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:\eecono\WEBS\ESTAD PARA WEB\"/>
    </mc:Choice>
  </mc:AlternateContent>
  <xr:revisionPtr revIDLastSave="0" documentId="13_ncr:1_{DEBCDB5F-F65E-4C30-8867-C73EB80997F6}" xr6:coauthVersionLast="47" xr6:coauthVersionMax="47" xr10:uidLastSave="{00000000-0000-0000-0000-000000000000}"/>
  <bookViews>
    <workbookView xWindow="-120" yWindow="-120" windowWidth="29040" windowHeight="15720" firstSheet="3" activeTab="8" xr2:uid="{00000000-000D-0000-FFFF-FFFF00000000}"/>
  </bookViews>
  <sheets>
    <sheet name="01.XLS" sheetId="1610" r:id="rId1"/>
    <sheet name="02.XLS" sheetId="1611" r:id="rId2"/>
    <sheet name="03.XLS" sheetId="2533" r:id="rId3"/>
    <sheet name="04.XLS" sheetId="2534" r:id="rId4"/>
    <sheet name="05.XLS" sheetId="2478" r:id="rId5"/>
    <sheet name="06.XLS" sheetId="1615" r:id="rId6"/>
    <sheet name="07.XLS" sheetId="1619" r:id="rId7"/>
    <sheet name="08.XLS" sheetId="1973" r:id="rId8"/>
    <sheet name="09.XLS" sheetId="1974" r:id="rId9"/>
    <sheet name="10 - Base 2007" sheetId="2522" r:id="rId10"/>
    <sheet name="11.XLS" sheetId="1609" r:id="rId11"/>
    <sheet name="MINCETUR" sheetId="1975" r:id="rId12"/>
    <sheet name="12.XLS" sheetId="1709" r:id="rId13"/>
    <sheet name="13.XLS" sheetId="1976" r:id="rId14"/>
    <sheet name="14.XLS" sheetId="2545" r:id="rId15"/>
    <sheet name="15.XLS" sheetId="2535" r:id="rId16"/>
    <sheet name="GASTO G.N." sheetId="2536" r:id="rId17"/>
    <sheet name="INVERSION G.N." sheetId="2537" r:id="rId18"/>
    <sheet name="INGRESO G.R." sheetId="2538" r:id="rId19"/>
    <sheet name="GASTO G.R." sheetId="2539" r:id="rId20"/>
    <sheet name="INVERSION G.R." sheetId="2540" r:id="rId21"/>
    <sheet name="INGRESO G.L." sheetId="2541" r:id="rId22"/>
    <sheet name="GASTO G.L." sheetId="2542" r:id="rId23"/>
    <sheet name="INVERSION G.L." sheetId="2543" r:id="rId24"/>
    <sheet name="19.XLS" sheetId="1969" r:id="rId25"/>
    <sheet name="20.XLS" sheetId="1970" r:id="rId26"/>
    <sheet name="21.XLS" sheetId="1971" r:id="rId27"/>
    <sheet name="22.XLS" sheetId="1972" r:id="rId28"/>
    <sheet name="23.XLS" sheetId="1429" r:id="rId29"/>
  </sheets>
  <externalReferences>
    <externalReference r:id="rId30"/>
  </externalReferences>
  <definedNames>
    <definedName name="_xlnm._FilterDatabase" localSheetId="7" hidden="1">'08.XLS'!$A$9:$ID$39</definedName>
    <definedName name="_xlnm._FilterDatabase" localSheetId="8" hidden="1">'09.XLS'!$A$9:$ID$39</definedName>
    <definedName name="_xlnm._FilterDatabase" localSheetId="9" hidden="1">'10 - Base 2007'!$JO$48:$JO$333</definedName>
    <definedName name="_xlnm._FilterDatabase" localSheetId="14" hidden="1">'14.XLS'!$KC$43:$KD$201</definedName>
    <definedName name="SMN.AGRO.DATE">'01.XLS'!$B$5:$JN$5</definedName>
    <definedName name="SMN.AGRO.NAME">'01.XLS'!$A$7:$A$59</definedName>
    <definedName name="SMN.AGRO.VAL">'01.XLS'!$B$7:$JN$59</definedName>
    <definedName name="SMN.ASERRADA.DATE">'09.XLS'!$B$5:$LN$5</definedName>
    <definedName name="SMN.ASERRADA.NAME">'09.XLS'!$A$7:$A$39</definedName>
    <definedName name="SMN.ASERRADA.VAL">'09.XLS'!$B$7:$LN$39</definedName>
    <definedName name="SMN.COSECHA.DATE">'05.XLS'!$B$5:$KA$5</definedName>
    <definedName name="SMN.COSECHA.NAME">'05.XLS'!$A$7:$A$41</definedName>
    <definedName name="SMN.COSECHA.VAL">'05.XLS'!$B$7:$KA$41</definedName>
    <definedName name="SMN.GGL.DATE">'GASTO G.L.'!$B$5:$IN$5</definedName>
    <definedName name="SMN.GGL.NAME">'GASTO G.L.'!$A$7:$A$21</definedName>
    <definedName name="SMN.GGL.VAL">'GASTO G.L.'!$B$7:$IN$21</definedName>
    <definedName name="SMN.GGN.DATE">'GASTO G.N.'!$B$5:$IN$5</definedName>
    <definedName name="SMN.GGN.NAME">'GASTO G.N.'!$A$7:$A$21</definedName>
    <definedName name="SMN.GGN.VAL">'GASTO G.N.'!$B$7:$IN$21</definedName>
    <definedName name="SMN.GGR.DATE">'GASTO G.R.'!$B$5:$IN$5</definedName>
    <definedName name="SMN.GGR.NAME">'GASTO G.R.'!$A$7:$A$21</definedName>
    <definedName name="SMN.GGR.VAL">'GASTO G.R.'!$B$7:$IN$21</definedName>
    <definedName name="SMN.IGL.DATE">'INVERSION G.L.'!$B$5:$IN$5</definedName>
    <definedName name="SMN.IGL.NAME">'INVERSION G.L.'!$A$7:$A$37</definedName>
    <definedName name="SMN.IGL.VAL">'INVERSION G.L.'!$B$7:$IN$37</definedName>
    <definedName name="SMN.IGN.DATE">'INVERSION G.N.'!$B$5:$IN$5</definedName>
    <definedName name="SMN.IGN.NAME">'INVERSION G.N.'!$A$7:$A$37</definedName>
    <definedName name="SMN.IGN.VAL">'INVERSION G.N.'!$B$7:$IN$37</definedName>
    <definedName name="SMN.IGR.DATE">'INVERSION G.R.'!$B$5:$IN$5</definedName>
    <definedName name="SMN.IGR.NAME">'INVERSION G.R.'!$A$7:$A$38</definedName>
    <definedName name="SMN.IGR.VAL">'INVERSION G.R.'!$B$7:$IN$38</definedName>
    <definedName name="SMN.MANUFACTURA.DATE">'10 - Base 2007'!$B$5:$KA$5</definedName>
    <definedName name="SMN.MANUFACTURA.NAME">'10 - Base 2007'!$A$7:$A$20</definedName>
    <definedName name="SMN.MANUFACTURA.VAL">'10 - Base 2007'!$B$7:$KA$20</definedName>
    <definedName name="SMN.MANUFACTURAVAR.DATE">'10 - Base 2007'!$B$27:$KA$27</definedName>
    <definedName name="SMN.MANUFACTURAVAR.NAME">'10 - Base 2007'!$A$29:$A$42</definedName>
    <definedName name="SMN.MANUFACTURAVAR.VAL">'10 - Base 2007'!$B$29:$KA$42</definedName>
    <definedName name="SMN.PESCA.DATE">'07.XLS'!$B$5:$JN$5</definedName>
    <definedName name="SMN.PESCA.NAME">'07.XLS'!$A$7:$A$24</definedName>
    <definedName name="SMN.PESCA.VAL">'07.XLS'!$B$7:$JN$24</definedName>
    <definedName name="SMN.ROLLIZA.DATE">'08.XLS'!$B$5:$LN$5</definedName>
    <definedName name="SMN.ROLLIZA.NAME">'08.XLS'!$A$7:$A$39</definedName>
    <definedName name="SMN.ROLLIZA.VAL">'08.XLS'!$B$7:$LN$39</definedName>
    <definedName name="SMN.SIEMBRA.DATE">'03.XLS'!$B$5:$JN$5</definedName>
    <definedName name="SMN.SIEMBRA.NAME">'03.XLS'!$A$7:$A$38</definedName>
    <definedName name="SMN.SIEMBRA.VAL">'03.XLS'!$B$7:$JN$38</definedName>
    <definedName name="SMN.X.DATE">'14.XLS'!$B$5:$KA$5</definedName>
    <definedName name="SMN.X.NAME">'14.XLS'!$A$7:$A$36</definedName>
    <definedName name="SMN.X.VAL">'14.XLS'!$B$7:$KA$36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P5" i="1974" l="1"/>
  <c r="LP5" i="1973"/>
  <c r="JV42" i="2522" l="1"/>
  <c r="KC5" i="2522"/>
  <c r="JN49" i="2545"/>
  <c r="JN46" i="2545"/>
  <c r="IP5" i="2543"/>
  <c r="IS10" i="2543" s="1"/>
  <c r="IU8" i="2543"/>
  <c r="IU9" i="2543"/>
  <c r="IU10" i="2543"/>
  <c r="IU11" i="2543"/>
  <c r="IU12" i="2543"/>
  <c r="IU13" i="2543"/>
  <c r="IU14" i="2543"/>
  <c r="IU15" i="2543"/>
  <c r="IU16" i="2543"/>
  <c r="IU17" i="2543"/>
  <c r="IU18" i="2543"/>
  <c r="IU19" i="2543"/>
  <c r="IU20" i="2543"/>
  <c r="IU21" i="2543"/>
  <c r="IU22" i="2543"/>
  <c r="IU23" i="2543"/>
  <c r="IU24" i="2543"/>
  <c r="IU25" i="2543"/>
  <c r="IU26" i="2543"/>
  <c r="IU27" i="2543"/>
  <c r="IU28" i="2543"/>
  <c r="IU7" i="2543"/>
  <c r="IS8" i="2543"/>
  <c r="IS11" i="2543"/>
  <c r="IS12" i="2543"/>
  <c r="IS13" i="2543"/>
  <c r="IS14" i="2543"/>
  <c r="IS15" i="2543"/>
  <c r="IS16" i="2543"/>
  <c r="IS17" i="2543"/>
  <c r="IS18" i="2543"/>
  <c r="IS19" i="2543"/>
  <c r="IS20" i="2543"/>
  <c r="IS21" i="2543"/>
  <c r="IS24" i="2543"/>
  <c r="IS25" i="2543"/>
  <c r="IS26" i="2543"/>
  <c r="IS27" i="2543"/>
  <c r="IS28" i="2543"/>
  <c r="IS29" i="2543"/>
  <c r="IS30" i="2543"/>
  <c r="IS31" i="2543"/>
  <c r="IS32" i="2543"/>
  <c r="IS33" i="2543"/>
  <c r="IS35" i="2543"/>
  <c r="IS37" i="2543"/>
  <c r="IS7" i="2543"/>
  <c r="IR8" i="2543"/>
  <c r="IR9" i="2543"/>
  <c r="IR10" i="2543"/>
  <c r="IR11" i="2543"/>
  <c r="IR12" i="2543"/>
  <c r="IR13" i="2543"/>
  <c r="IR14" i="2543"/>
  <c r="IR16" i="2543"/>
  <c r="IR17" i="2543"/>
  <c r="IR19" i="2543"/>
  <c r="IR20" i="2543"/>
  <c r="IR21" i="2543"/>
  <c r="IR22" i="2543"/>
  <c r="IR23" i="2543"/>
  <c r="IR24" i="2543"/>
  <c r="IR25" i="2543"/>
  <c r="IR26" i="2543"/>
  <c r="IR28" i="2543"/>
  <c r="IR29" i="2543"/>
  <c r="IR30" i="2543"/>
  <c r="IR32" i="2543"/>
  <c r="IR33" i="2543"/>
  <c r="IR34" i="2543"/>
  <c r="IR35" i="2543"/>
  <c r="IR36" i="2543"/>
  <c r="IR37" i="2543"/>
  <c r="IR7" i="2543"/>
  <c r="IP9" i="2543"/>
  <c r="IP10" i="2543"/>
  <c r="IP11" i="2543"/>
  <c r="IP12" i="2543"/>
  <c r="IP14" i="2543"/>
  <c r="IP15" i="2543"/>
  <c r="IP16" i="2543"/>
  <c r="IP17" i="2543"/>
  <c r="IP18" i="2543"/>
  <c r="IP19" i="2543"/>
  <c r="IP21" i="2543"/>
  <c r="IP22" i="2543"/>
  <c r="IP23" i="2543"/>
  <c r="IP24" i="2543"/>
  <c r="IP25" i="2543"/>
  <c r="IP27" i="2543"/>
  <c r="IP28" i="2543"/>
  <c r="IP29" i="2543"/>
  <c r="IP30" i="2543"/>
  <c r="IP31" i="2543"/>
  <c r="IP33" i="2543"/>
  <c r="IP34" i="2543"/>
  <c r="IP35" i="2543"/>
  <c r="IP7" i="2543"/>
  <c r="IP5" i="2542"/>
  <c r="IS70" i="2542"/>
  <c r="IP39" i="2542"/>
  <c r="IS45" i="2542"/>
  <c r="IS46" i="2542"/>
  <c r="IS47" i="2542"/>
  <c r="IS48" i="2542"/>
  <c r="IS59" i="2542"/>
  <c r="IS60" i="2542"/>
  <c r="IS61" i="2542"/>
  <c r="IS62" i="2542"/>
  <c r="IR50" i="2542"/>
  <c r="IR51" i="2542"/>
  <c r="IR52" i="2542"/>
  <c r="IR55" i="2542"/>
  <c r="IR64" i="2542"/>
  <c r="IP42" i="2542"/>
  <c r="IP43" i="2542"/>
  <c r="IP44" i="2542"/>
  <c r="IP55" i="2542"/>
  <c r="IP56" i="2542"/>
  <c r="IP57" i="2542"/>
  <c r="IP58" i="2542"/>
  <c r="IS13" i="2542"/>
  <c r="IS14" i="2542"/>
  <c r="IS15" i="2542"/>
  <c r="IS16" i="2542"/>
  <c r="IS27" i="2542"/>
  <c r="IS28" i="2542"/>
  <c r="IS29" i="2542"/>
  <c r="IS30" i="2542"/>
  <c r="IR17" i="2542"/>
  <c r="IR18" i="2542"/>
  <c r="IR19" i="2542"/>
  <c r="IR22" i="2542"/>
  <c r="IR7" i="2542"/>
  <c r="IP10" i="2542"/>
  <c r="IP11" i="2542"/>
  <c r="IP12" i="2542"/>
  <c r="IP23" i="2542"/>
  <c r="IP24" i="2542"/>
  <c r="IP25" i="2542"/>
  <c r="IP26" i="2542"/>
  <c r="IU42" i="2542"/>
  <c r="IU43" i="2542"/>
  <c r="IU44" i="2542"/>
  <c r="IU45" i="2542"/>
  <c r="IU46" i="2542"/>
  <c r="IU47" i="2542"/>
  <c r="IU48" i="2542"/>
  <c r="IU49" i="2542"/>
  <c r="IU50" i="2542"/>
  <c r="IU51" i="2542"/>
  <c r="IU52" i="2542"/>
  <c r="IU41" i="2542"/>
  <c r="IP63" i="2542"/>
  <c r="IP64" i="2542"/>
  <c r="IP29" i="2542"/>
  <c r="IP30" i="2542"/>
  <c r="II68" i="2542"/>
  <c r="II70" i="2542"/>
  <c r="II42" i="2542"/>
  <c r="II43" i="2542"/>
  <c r="II44" i="2542"/>
  <c r="II45" i="2542"/>
  <c r="II46" i="2542"/>
  <c r="II47" i="2542"/>
  <c r="II48" i="2542"/>
  <c r="II49" i="2542"/>
  <c r="II50" i="2542"/>
  <c r="II51" i="2542"/>
  <c r="II52" i="2542"/>
  <c r="II53" i="2542"/>
  <c r="II54" i="2542"/>
  <c r="II55" i="2542"/>
  <c r="II56" i="2542"/>
  <c r="II57" i="2542"/>
  <c r="II58" i="2542"/>
  <c r="II59" i="2542"/>
  <c r="II60" i="2542"/>
  <c r="II61" i="2542"/>
  <c r="II62" i="2542"/>
  <c r="II63" i="2542"/>
  <c r="II64" i="2542"/>
  <c r="II41" i="2542"/>
  <c r="II36" i="2542"/>
  <c r="II23" i="2542"/>
  <c r="II19" i="2542"/>
  <c r="II14" i="2542"/>
  <c r="II8" i="2542"/>
  <c r="II7" i="2542"/>
  <c r="IR7" i="2540"/>
  <c r="IP7" i="2540"/>
  <c r="IU8" i="2540"/>
  <c r="IU9" i="2540"/>
  <c r="IU10" i="2540"/>
  <c r="IU11" i="2540"/>
  <c r="IU12" i="2540"/>
  <c r="IU13" i="2540"/>
  <c r="IU14" i="2540"/>
  <c r="IU15" i="2540"/>
  <c r="IU16" i="2540"/>
  <c r="IU17" i="2540"/>
  <c r="IU18" i="2540"/>
  <c r="IU19" i="2540"/>
  <c r="IU20" i="2540"/>
  <c r="IU21" i="2540"/>
  <c r="IU22" i="2540"/>
  <c r="IU23" i="2540"/>
  <c r="IU24" i="2540"/>
  <c r="IU25" i="2540"/>
  <c r="IU26" i="2540"/>
  <c r="IU27" i="2540"/>
  <c r="IU28" i="2540"/>
  <c r="IU29" i="2540"/>
  <c r="IU7" i="2540"/>
  <c r="IR8" i="2540"/>
  <c r="IR9" i="2540"/>
  <c r="IR10" i="2540"/>
  <c r="IR11" i="2540"/>
  <c r="IR12" i="2540"/>
  <c r="IR13" i="2540"/>
  <c r="IR14" i="2540"/>
  <c r="IR15" i="2540"/>
  <c r="IR16" i="2540"/>
  <c r="IR17" i="2540"/>
  <c r="IR18" i="2540"/>
  <c r="IR19" i="2540"/>
  <c r="IR20" i="2540"/>
  <c r="IR21" i="2540"/>
  <c r="IR22" i="2540"/>
  <c r="IR23" i="2540"/>
  <c r="IR24" i="2540"/>
  <c r="IR25" i="2540"/>
  <c r="IR26" i="2540"/>
  <c r="IR27" i="2540"/>
  <c r="IR28" i="2540"/>
  <c r="IR29" i="2540"/>
  <c r="IR30" i="2540"/>
  <c r="IR31" i="2540"/>
  <c r="IR32" i="2540"/>
  <c r="IR33" i="2540"/>
  <c r="IR34" i="2540"/>
  <c r="IR35" i="2540"/>
  <c r="IR36" i="2540"/>
  <c r="IR37" i="2540"/>
  <c r="IR38" i="2540"/>
  <c r="IP8" i="2540"/>
  <c r="IP9" i="2540"/>
  <c r="IP10" i="2540"/>
  <c r="IP11" i="2540"/>
  <c r="IP12" i="2540"/>
  <c r="IP13" i="2540"/>
  <c r="IP14" i="2540"/>
  <c r="IP15" i="2540"/>
  <c r="IP16" i="2540"/>
  <c r="IP17" i="2540"/>
  <c r="IP18" i="2540"/>
  <c r="IP19" i="2540"/>
  <c r="IP20" i="2540"/>
  <c r="IP21" i="2540"/>
  <c r="IP22" i="2540"/>
  <c r="IP23" i="2540"/>
  <c r="IP24" i="2540"/>
  <c r="IP25" i="2540"/>
  <c r="IP26" i="2540"/>
  <c r="IP27" i="2540"/>
  <c r="IP28" i="2540"/>
  <c r="IP29" i="2540"/>
  <c r="IP30" i="2540"/>
  <c r="IP31" i="2540"/>
  <c r="IP32" i="2540"/>
  <c r="IP33" i="2540"/>
  <c r="IP34" i="2540"/>
  <c r="IP35" i="2540"/>
  <c r="IP36" i="2540"/>
  <c r="IP37" i="2540"/>
  <c r="IP38" i="2540"/>
  <c r="II31" i="2540"/>
  <c r="II7" i="2540"/>
  <c r="II84" i="2539"/>
  <c r="II86" i="2539"/>
  <c r="IH86" i="2539"/>
  <c r="IG86" i="2539"/>
  <c r="IF86" i="2539"/>
  <c r="IE86" i="2539"/>
  <c r="ID86" i="2539"/>
  <c r="IC86" i="2539"/>
  <c r="IB86" i="2539"/>
  <c r="II85" i="2539"/>
  <c r="IH85" i="2539"/>
  <c r="IG85" i="2539"/>
  <c r="IF85" i="2539"/>
  <c r="IE85" i="2539"/>
  <c r="ID85" i="2539"/>
  <c r="IC85" i="2539"/>
  <c r="IB85" i="2539"/>
  <c r="IH84" i="2539"/>
  <c r="IG84" i="2539"/>
  <c r="IF84" i="2539"/>
  <c r="IE84" i="2539"/>
  <c r="ID84" i="2539"/>
  <c r="IC84" i="2539"/>
  <c r="IB84" i="2539"/>
  <c r="II83" i="2539"/>
  <c r="IH83" i="2539"/>
  <c r="IG83" i="2539"/>
  <c r="IF83" i="2539"/>
  <c r="IE83" i="2539"/>
  <c r="ID83" i="2539"/>
  <c r="IC83" i="2539"/>
  <c r="IB83" i="2539"/>
  <c r="II82" i="2539"/>
  <c r="IH82" i="2539"/>
  <c r="IG82" i="2539"/>
  <c r="IF82" i="2539"/>
  <c r="IE82" i="2539"/>
  <c r="ID82" i="2539"/>
  <c r="IC82" i="2539"/>
  <c r="IB82" i="2539"/>
  <c r="ID81" i="2539" l="1"/>
  <c r="IE81" i="2539"/>
  <c r="IB81" i="2539"/>
  <c r="IB74" i="2539" s="1"/>
  <c r="IC81" i="2539"/>
  <c r="II81" i="2539"/>
  <c r="IF81" i="2539"/>
  <c r="IF74" i="2539" s="1"/>
  <c r="IH81" i="2539"/>
  <c r="IG81" i="2539"/>
  <c r="IP26" i="2543"/>
  <c r="IP13" i="2543"/>
  <c r="IR31" i="2543"/>
  <c r="IR18" i="2543"/>
  <c r="IS36" i="2543"/>
  <c r="IS23" i="2543"/>
  <c r="IS9" i="2543"/>
  <c r="IP32" i="2543"/>
  <c r="IP20" i="2543"/>
  <c r="IP8" i="2543"/>
  <c r="IR27" i="2543"/>
  <c r="IR15" i="2543"/>
  <c r="IS34" i="2543"/>
  <c r="IS22" i="2543"/>
  <c r="IR30" i="2542"/>
  <c r="IP54" i="2542"/>
  <c r="IS58" i="2542"/>
  <c r="IR29" i="2542"/>
  <c r="IS11" i="2542"/>
  <c r="IR62" i="2542"/>
  <c r="IS43" i="2542"/>
  <c r="IR16" i="2542"/>
  <c r="IS12" i="2542"/>
  <c r="IR63" i="2542"/>
  <c r="IS44" i="2542"/>
  <c r="IR15" i="2542"/>
  <c r="IS25" i="2542"/>
  <c r="IP51" i="2542"/>
  <c r="IS57" i="2542"/>
  <c r="IP18" i="2542"/>
  <c r="IR14" i="2542"/>
  <c r="IS24" i="2542"/>
  <c r="IS10" i="2542"/>
  <c r="IP50" i="2542"/>
  <c r="IR61" i="2542"/>
  <c r="IR47" i="2542"/>
  <c r="IS42" i="2542"/>
  <c r="IR27" i="2542"/>
  <c r="IR13" i="2542"/>
  <c r="IS23" i="2542"/>
  <c r="IP41" i="2542"/>
  <c r="IP49" i="2542"/>
  <c r="IR60" i="2542"/>
  <c r="IR46" i="2542"/>
  <c r="IS55" i="2542"/>
  <c r="IP16" i="2542"/>
  <c r="IR26" i="2542"/>
  <c r="IR12" i="2542"/>
  <c r="IS22" i="2542"/>
  <c r="IP62" i="2542"/>
  <c r="IP48" i="2542"/>
  <c r="IR59" i="2542"/>
  <c r="IR45" i="2542"/>
  <c r="IS54" i="2542"/>
  <c r="IS52" i="2542"/>
  <c r="IP7" i="2542"/>
  <c r="IP15" i="2542"/>
  <c r="IR25" i="2542"/>
  <c r="IR11" i="2542"/>
  <c r="IS19" i="2542"/>
  <c r="IP61" i="2542"/>
  <c r="IP47" i="2542"/>
  <c r="IR58" i="2542"/>
  <c r="IR44" i="2542"/>
  <c r="IS51" i="2542"/>
  <c r="IP70" i="2542"/>
  <c r="IP22" i="2542"/>
  <c r="IS26" i="2542"/>
  <c r="IR49" i="2542"/>
  <c r="IP19" i="2542"/>
  <c r="IR48" i="2542"/>
  <c r="IR28" i="2542"/>
  <c r="IS56" i="2542"/>
  <c r="IP17" i="2542"/>
  <c r="IP28" i="2542"/>
  <c r="IP14" i="2542"/>
  <c r="IR24" i="2542"/>
  <c r="IR10" i="2542"/>
  <c r="IS18" i="2542"/>
  <c r="IP60" i="2542"/>
  <c r="IP46" i="2542"/>
  <c r="IR57" i="2542"/>
  <c r="IR43" i="2542"/>
  <c r="IS50" i="2542"/>
  <c r="IR70" i="2542"/>
  <c r="IP27" i="2542"/>
  <c r="IP13" i="2542"/>
  <c r="IR23" i="2542"/>
  <c r="IS7" i="2542"/>
  <c r="IS17" i="2542"/>
  <c r="IP59" i="2542"/>
  <c r="IP45" i="2542"/>
  <c r="IR56" i="2542"/>
  <c r="IS63" i="2542"/>
  <c r="IS49" i="2542"/>
  <c r="IP21" i="2542"/>
  <c r="IP9" i="2542"/>
  <c r="IR21" i="2542"/>
  <c r="IR9" i="2542"/>
  <c r="IS21" i="2542"/>
  <c r="IS9" i="2542"/>
  <c r="IP53" i="2542"/>
  <c r="IR41" i="2542"/>
  <c r="IR54" i="2542"/>
  <c r="IR42" i="2542"/>
  <c r="IS53" i="2542"/>
  <c r="IP20" i="2542"/>
  <c r="IP8" i="2542"/>
  <c r="IR20" i="2542"/>
  <c r="IR8" i="2542"/>
  <c r="IS20" i="2542"/>
  <c r="IS8" i="2542"/>
  <c r="IP52" i="2542"/>
  <c r="IS41" i="2542"/>
  <c r="IR53" i="2542"/>
  <c r="IS64" i="2542"/>
  <c r="IP75" i="2539" l="1"/>
  <c r="IP76" i="2539"/>
  <c r="IP77" i="2539"/>
  <c r="IP78" i="2539"/>
  <c r="IP79" i="2539"/>
  <c r="IP80" i="2539"/>
  <c r="IP83" i="2539"/>
  <c r="IP86" i="2539"/>
  <c r="IP87" i="2539"/>
  <c r="IP88" i="2539"/>
  <c r="IP89" i="2539"/>
  <c r="IP90" i="2539"/>
  <c r="IP91" i="2539"/>
  <c r="IP92" i="2539"/>
  <c r="IP94" i="2539"/>
  <c r="IP95" i="2539"/>
  <c r="IP96" i="2539"/>
  <c r="IP97" i="2539"/>
  <c r="IP98" i="2539"/>
  <c r="IP99" i="2539"/>
  <c r="IP106" i="2539"/>
  <c r="IP107" i="2539"/>
  <c r="IP108" i="2539"/>
  <c r="IP109" i="2539"/>
  <c r="IP110" i="2539"/>
  <c r="IP111" i="2539"/>
  <c r="IP113" i="2539"/>
  <c r="IP115" i="2539"/>
  <c r="IS70" i="2539"/>
  <c r="IR70" i="2539"/>
  <c r="IP70" i="2539"/>
  <c r="IS42" i="2539"/>
  <c r="IS43" i="2539"/>
  <c r="IS44" i="2539"/>
  <c r="IS45" i="2539"/>
  <c r="IS46" i="2539"/>
  <c r="IS47" i="2539"/>
  <c r="IS48" i="2539"/>
  <c r="IS49" i="2539"/>
  <c r="IS50" i="2539"/>
  <c r="IS51" i="2539"/>
  <c r="IS52" i="2539"/>
  <c r="IS53" i="2539"/>
  <c r="IS54" i="2539"/>
  <c r="IS55" i="2539"/>
  <c r="IS56" i="2539"/>
  <c r="IS57" i="2539"/>
  <c r="IS58" i="2539"/>
  <c r="IS59" i="2539"/>
  <c r="IS60" i="2539"/>
  <c r="IS61" i="2539"/>
  <c r="IS62" i="2539"/>
  <c r="IS63" i="2539"/>
  <c r="IS64" i="2539"/>
  <c r="IS41" i="2539"/>
  <c r="IR42" i="2539"/>
  <c r="IR43" i="2539"/>
  <c r="IR44" i="2539"/>
  <c r="IR45" i="2539"/>
  <c r="IR46" i="2539"/>
  <c r="IR47" i="2539"/>
  <c r="IR48" i="2539"/>
  <c r="IR49" i="2539"/>
  <c r="IR50" i="2539"/>
  <c r="IR51" i="2539"/>
  <c r="IR52" i="2539"/>
  <c r="IR53" i="2539"/>
  <c r="IR54" i="2539"/>
  <c r="IR55" i="2539"/>
  <c r="IR56" i="2539"/>
  <c r="IR57" i="2539"/>
  <c r="IR58" i="2539"/>
  <c r="IR59" i="2539"/>
  <c r="IR60" i="2539"/>
  <c r="IR61" i="2539"/>
  <c r="IR62" i="2539"/>
  <c r="IR63" i="2539"/>
  <c r="IR64" i="2539"/>
  <c r="IR41" i="2539"/>
  <c r="IP42" i="2539"/>
  <c r="IP43" i="2539"/>
  <c r="IP44" i="2539"/>
  <c r="IP45" i="2539"/>
  <c r="IP46" i="2539"/>
  <c r="IP47" i="2539"/>
  <c r="IP48" i="2539"/>
  <c r="IP49" i="2539"/>
  <c r="IP50" i="2539"/>
  <c r="IP51" i="2539"/>
  <c r="IP52" i="2539"/>
  <c r="IP53" i="2539"/>
  <c r="IP54" i="2539"/>
  <c r="IP55" i="2539"/>
  <c r="IP56" i="2539"/>
  <c r="IP57" i="2539"/>
  <c r="IP58" i="2539"/>
  <c r="IP59" i="2539"/>
  <c r="IP60" i="2539"/>
  <c r="IP61" i="2539"/>
  <c r="IP62" i="2539"/>
  <c r="IP63" i="2539"/>
  <c r="IP64" i="2539"/>
  <c r="IP41" i="2539"/>
  <c r="IS8" i="2539"/>
  <c r="IS9" i="2539"/>
  <c r="IS10" i="2539"/>
  <c r="IS11" i="2539"/>
  <c r="IS12" i="2539"/>
  <c r="IS13" i="2539"/>
  <c r="IS14" i="2539"/>
  <c r="IS15" i="2539"/>
  <c r="IS16" i="2539"/>
  <c r="IS17" i="2539"/>
  <c r="IS18" i="2539"/>
  <c r="IS19" i="2539"/>
  <c r="IS20" i="2539"/>
  <c r="IS21" i="2539"/>
  <c r="IS22" i="2539"/>
  <c r="IS23" i="2539"/>
  <c r="IS24" i="2539"/>
  <c r="IS25" i="2539"/>
  <c r="IS26" i="2539"/>
  <c r="IS27" i="2539"/>
  <c r="IS28" i="2539"/>
  <c r="IS29" i="2539"/>
  <c r="IS30" i="2539"/>
  <c r="IS7" i="2539"/>
  <c r="IR8" i="2539"/>
  <c r="IR9" i="2539"/>
  <c r="IR10" i="2539"/>
  <c r="IR11" i="2539"/>
  <c r="IR12" i="2539"/>
  <c r="IR13" i="2539"/>
  <c r="IR14" i="2539"/>
  <c r="IR15" i="2539"/>
  <c r="IR16" i="2539"/>
  <c r="IR17" i="2539"/>
  <c r="IR18" i="2539"/>
  <c r="IR19" i="2539"/>
  <c r="IR20" i="2539"/>
  <c r="IR21" i="2539"/>
  <c r="IR22" i="2539"/>
  <c r="IR23" i="2539"/>
  <c r="IR24" i="2539"/>
  <c r="IR25" i="2539"/>
  <c r="IR26" i="2539"/>
  <c r="IR27" i="2539"/>
  <c r="IR28" i="2539"/>
  <c r="IR29" i="2539"/>
  <c r="IR30" i="2539"/>
  <c r="IR7" i="2539"/>
  <c r="IP8" i="2539"/>
  <c r="IP9" i="2539"/>
  <c r="IP10" i="2539"/>
  <c r="IP11" i="2539"/>
  <c r="IP12" i="2539"/>
  <c r="IP13" i="2539"/>
  <c r="IP14" i="2539"/>
  <c r="IP15" i="2539"/>
  <c r="IP16" i="2539"/>
  <c r="IP17" i="2539"/>
  <c r="IP18" i="2539"/>
  <c r="IP19" i="2539"/>
  <c r="IP20" i="2539"/>
  <c r="IP21" i="2539"/>
  <c r="IP22" i="2539"/>
  <c r="IP23" i="2539"/>
  <c r="IP24" i="2539"/>
  <c r="IP25" i="2539"/>
  <c r="IP26" i="2539"/>
  <c r="IP27" i="2539"/>
  <c r="IP7" i="2539"/>
  <c r="IU75" i="2539"/>
  <c r="IU76" i="2539"/>
  <c r="IU77" i="2539"/>
  <c r="IU78" i="2539"/>
  <c r="IU79" i="2539"/>
  <c r="IU80" i="2539"/>
  <c r="IU84" i="2539"/>
  <c r="IU85" i="2539"/>
  <c r="IU86" i="2539"/>
  <c r="IU87" i="2539"/>
  <c r="IU88" i="2539"/>
  <c r="IU89" i="2539"/>
  <c r="IU90" i="2539"/>
  <c r="IU91" i="2539"/>
  <c r="IU92" i="2539"/>
  <c r="IR75" i="2539"/>
  <c r="IR76" i="2539"/>
  <c r="IR77" i="2539"/>
  <c r="IR78" i="2539"/>
  <c r="IR79" i="2539"/>
  <c r="IR80" i="2539"/>
  <c r="IR81" i="2539"/>
  <c r="IR82" i="2539"/>
  <c r="IR83" i="2539"/>
  <c r="IR84" i="2539"/>
  <c r="IR85" i="2539"/>
  <c r="IR86" i="2539"/>
  <c r="IR87" i="2539"/>
  <c r="IR88" i="2539"/>
  <c r="IR89" i="2539"/>
  <c r="IR90" i="2539"/>
  <c r="IR91" i="2539"/>
  <c r="IR92" i="2539"/>
  <c r="IR93" i="2539"/>
  <c r="IR94" i="2539"/>
  <c r="IR95" i="2539"/>
  <c r="IR96" i="2539"/>
  <c r="IR97" i="2539"/>
  <c r="IR98" i="2539"/>
  <c r="IR99" i="2539"/>
  <c r="IR100" i="2539"/>
  <c r="IR101" i="2539"/>
  <c r="IR102" i="2539"/>
  <c r="IR103" i="2539"/>
  <c r="IR104" i="2539"/>
  <c r="IR105" i="2539"/>
  <c r="IR106" i="2539"/>
  <c r="IR107" i="2539"/>
  <c r="IR108" i="2539"/>
  <c r="IR109" i="2539"/>
  <c r="IR110" i="2539"/>
  <c r="IR111" i="2539"/>
  <c r="IR112" i="2539"/>
  <c r="IR113" i="2539"/>
  <c r="IR114" i="2539"/>
  <c r="IR115" i="2539"/>
  <c r="IR74" i="2539"/>
  <c r="IP5" i="2539"/>
  <c r="IP39" i="2539" s="1"/>
  <c r="IU42" i="2539"/>
  <c r="IU43" i="2539"/>
  <c r="IU44" i="2539"/>
  <c r="IU45" i="2539"/>
  <c r="IU46" i="2539"/>
  <c r="IU47" i="2539"/>
  <c r="IU48" i="2539"/>
  <c r="IU49" i="2539"/>
  <c r="IU50" i="2539"/>
  <c r="IU51" i="2539"/>
  <c r="IU52" i="2539"/>
  <c r="IU41" i="2539"/>
  <c r="IU82" i="2539"/>
  <c r="IU83" i="2539"/>
  <c r="II103" i="2539"/>
  <c r="IP103" i="2539" s="1"/>
  <c r="IP85" i="2539"/>
  <c r="II76" i="2539"/>
  <c r="II75" i="2539" s="1"/>
  <c r="II77" i="2539"/>
  <c r="II78" i="2539"/>
  <c r="II79" i="2539"/>
  <c r="II80" i="2539"/>
  <c r="II87" i="2539"/>
  <c r="II95" i="2539"/>
  <c r="II94" i="2539" s="1"/>
  <c r="II96" i="2539"/>
  <c r="II97" i="2539"/>
  <c r="II98" i="2539"/>
  <c r="II99" i="2539"/>
  <c r="II102" i="2539"/>
  <c r="IP102" i="2539" s="1"/>
  <c r="II105" i="2539"/>
  <c r="IP105" i="2539" s="1"/>
  <c r="II107" i="2539"/>
  <c r="II106" i="2539" s="1"/>
  <c r="II115" i="2539" s="1"/>
  <c r="II108" i="2539"/>
  <c r="II109" i="2539"/>
  <c r="II110" i="2539"/>
  <c r="II111" i="2539"/>
  <c r="II68" i="2539"/>
  <c r="II70" i="2539"/>
  <c r="II42" i="2539"/>
  <c r="II43" i="2539"/>
  <c r="II44" i="2539"/>
  <c r="II45" i="2539"/>
  <c r="II46" i="2539"/>
  <c r="II47" i="2539"/>
  <c r="II48" i="2539"/>
  <c r="II49" i="2539"/>
  <c r="II50" i="2539"/>
  <c r="II51" i="2539"/>
  <c r="II52" i="2539"/>
  <c r="II53" i="2539"/>
  <c r="II54" i="2539"/>
  <c r="II55" i="2539"/>
  <c r="II56" i="2539"/>
  <c r="II57" i="2539"/>
  <c r="II58" i="2539"/>
  <c r="II59" i="2539"/>
  <c r="II60" i="2539"/>
  <c r="II61" i="2539"/>
  <c r="II62" i="2539"/>
  <c r="II63" i="2539"/>
  <c r="II64" i="2539"/>
  <c r="II41" i="2539"/>
  <c r="II36" i="2539"/>
  <c r="II23" i="2539"/>
  <c r="II19" i="2539"/>
  <c r="II14" i="2539"/>
  <c r="II8" i="2539"/>
  <c r="II7" i="2539"/>
  <c r="IS8" i="2537"/>
  <c r="IS9" i="2537"/>
  <c r="IS10" i="2537"/>
  <c r="IS11" i="2537"/>
  <c r="IS12" i="2537"/>
  <c r="IS13" i="2537"/>
  <c r="IS14" i="2537"/>
  <c r="IS15" i="2537"/>
  <c r="IS16" i="2537"/>
  <c r="IS17" i="2537"/>
  <c r="IS18" i="2537"/>
  <c r="IS19" i="2537"/>
  <c r="IS20" i="2537"/>
  <c r="IS21" i="2537"/>
  <c r="IS22" i="2537"/>
  <c r="IS23" i="2537"/>
  <c r="IS24" i="2537"/>
  <c r="IS25" i="2537"/>
  <c r="IS26" i="2537"/>
  <c r="IS27" i="2537"/>
  <c r="IS28" i="2537"/>
  <c r="IS29" i="2537"/>
  <c r="IS30" i="2537"/>
  <c r="IS31" i="2537"/>
  <c r="IS32" i="2537"/>
  <c r="IS33" i="2537"/>
  <c r="IS34" i="2537"/>
  <c r="IS35" i="2537"/>
  <c r="IS36" i="2537"/>
  <c r="IS37" i="2537"/>
  <c r="IR8" i="2537"/>
  <c r="IR9" i="2537"/>
  <c r="IR10" i="2537"/>
  <c r="IR11" i="2537"/>
  <c r="IR12" i="2537"/>
  <c r="IR13" i="2537"/>
  <c r="IR14" i="2537"/>
  <c r="IR15" i="2537"/>
  <c r="IR16" i="2537"/>
  <c r="IR17" i="2537"/>
  <c r="IR18" i="2537"/>
  <c r="IR19" i="2537"/>
  <c r="IR20" i="2537"/>
  <c r="IR21" i="2537"/>
  <c r="IR22" i="2537"/>
  <c r="IR23" i="2537"/>
  <c r="IR24" i="2537"/>
  <c r="IR25" i="2537"/>
  <c r="IR26" i="2537"/>
  <c r="IR27" i="2537"/>
  <c r="IR28" i="2537"/>
  <c r="IR29" i="2537"/>
  <c r="IR30" i="2537"/>
  <c r="IR31" i="2537"/>
  <c r="IR32" i="2537"/>
  <c r="IR33" i="2537"/>
  <c r="IR34" i="2537"/>
  <c r="IR35" i="2537"/>
  <c r="IR36" i="2537"/>
  <c r="IR37" i="2537"/>
  <c r="IS7" i="2537"/>
  <c r="IR7" i="2537"/>
  <c r="IP8" i="2537"/>
  <c r="IP9" i="2537"/>
  <c r="IP10" i="2537"/>
  <c r="IP11" i="2537"/>
  <c r="IP12" i="2537"/>
  <c r="IP13" i="2537"/>
  <c r="IP14" i="2537"/>
  <c r="IP15" i="2537"/>
  <c r="IP16" i="2537"/>
  <c r="IP17" i="2537"/>
  <c r="IP18" i="2537"/>
  <c r="IP19" i="2537"/>
  <c r="IP20" i="2537"/>
  <c r="IP21" i="2537"/>
  <c r="IP22" i="2537"/>
  <c r="IP23" i="2537"/>
  <c r="IP24" i="2537"/>
  <c r="IP25" i="2537"/>
  <c r="IP26" i="2537"/>
  <c r="IP27" i="2537"/>
  <c r="IP28" i="2537"/>
  <c r="IP29" i="2537"/>
  <c r="IP30" i="2537"/>
  <c r="IP31" i="2537"/>
  <c r="IP32" i="2537"/>
  <c r="IP33" i="2537"/>
  <c r="IP34" i="2537"/>
  <c r="IP35" i="2537"/>
  <c r="IP36" i="2537"/>
  <c r="IP7" i="2537"/>
  <c r="IU8" i="2537"/>
  <c r="IU9" i="2537"/>
  <c r="IU10" i="2537"/>
  <c r="IU11" i="2537"/>
  <c r="IU12" i="2537"/>
  <c r="IU13" i="2537"/>
  <c r="IU14" i="2537"/>
  <c r="IU15" i="2537"/>
  <c r="IU16" i="2537"/>
  <c r="IU17" i="2537"/>
  <c r="IU18" i="2537"/>
  <c r="IU19" i="2537"/>
  <c r="IU20" i="2537"/>
  <c r="IU21" i="2537"/>
  <c r="IU22" i="2537"/>
  <c r="IU23" i="2537"/>
  <c r="IU24" i="2537"/>
  <c r="IU25" i="2537"/>
  <c r="IU26" i="2537"/>
  <c r="IU27" i="2537"/>
  <c r="IU28" i="2537"/>
  <c r="IU7" i="2537"/>
  <c r="IP37" i="2537"/>
  <c r="IP5" i="2537"/>
  <c r="II30" i="2537"/>
  <c r="II7" i="2537"/>
  <c r="IP39" i="2536"/>
  <c r="IP5" i="2536"/>
  <c r="IS70" i="2536"/>
  <c r="IR70" i="2536"/>
  <c r="IP70" i="2536"/>
  <c r="IS42" i="2536"/>
  <c r="IS43" i="2536"/>
  <c r="IS44" i="2536"/>
  <c r="IS45" i="2536"/>
  <c r="IS46" i="2536"/>
  <c r="IS47" i="2536"/>
  <c r="IS48" i="2536"/>
  <c r="IS49" i="2536"/>
  <c r="IS50" i="2536"/>
  <c r="IS51" i="2536"/>
  <c r="IS52" i="2536"/>
  <c r="IS53" i="2536"/>
  <c r="IS54" i="2536"/>
  <c r="IS55" i="2536"/>
  <c r="IS56" i="2536"/>
  <c r="IS57" i="2536"/>
  <c r="IS58" i="2536"/>
  <c r="IS59" i="2536"/>
  <c r="IS60" i="2536"/>
  <c r="IS61" i="2536"/>
  <c r="IS62" i="2536"/>
  <c r="IS63" i="2536"/>
  <c r="IS64" i="2536"/>
  <c r="IR42" i="2536"/>
  <c r="IR43" i="2536"/>
  <c r="IR44" i="2536"/>
  <c r="IR45" i="2536"/>
  <c r="IR46" i="2536"/>
  <c r="IR47" i="2536"/>
  <c r="IR48" i="2536"/>
  <c r="IR49" i="2536"/>
  <c r="IR50" i="2536"/>
  <c r="IR51" i="2536"/>
  <c r="IR52" i="2536"/>
  <c r="IR53" i="2536"/>
  <c r="IR54" i="2536"/>
  <c r="IR55" i="2536"/>
  <c r="IR56" i="2536"/>
  <c r="IR57" i="2536"/>
  <c r="IR58" i="2536"/>
  <c r="IR59" i="2536"/>
  <c r="IR60" i="2536"/>
  <c r="IR61" i="2536"/>
  <c r="IR62" i="2536"/>
  <c r="IR63" i="2536"/>
  <c r="IR64" i="2536"/>
  <c r="IS41" i="2536"/>
  <c r="IR41" i="2536"/>
  <c r="IP42" i="2536"/>
  <c r="IP43" i="2536"/>
  <c r="IP44" i="2536"/>
  <c r="IP45" i="2536"/>
  <c r="IP46" i="2536"/>
  <c r="IP47" i="2536"/>
  <c r="IP48" i="2536"/>
  <c r="IP49" i="2536"/>
  <c r="IP50" i="2536"/>
  <c r="IP51" i="2536"/>
  <c r="IP52" i="2536"/>
  <c r="IP53" i="2536"/>
  <c r="IP54" i="2536"/>
  <c r="IP55" i="2536"/>
  <c r="IP56" i="2536"/>
  <c r="IP57" i="2536"/>
  <c r="IP58" i="2536"/>
  <c r="IP59" i="2536"/>
  <c r="IP60" i="2536"/>
  <c r="IP61" i="2536"/>
  <c r="IP62" i="2536"/>
  <c r="IP63" i="2536"/>
  <c r="IP41" i="2536"/>
  <c r="IS8" i="2536"/>
  <c r="IS9" i="2536"/>
  <c r="IS10" i="2536"/>
  <c r="IS11" i="2536"/>
  <c r="IS12" i="2536"/>
  <c r="IS13" i="2536"/>
  <c r="IS14" i="2536"/>
  <c r="IS15" i="2536"/>
  <c r="IS16" i="2536"/>
  <c r="IS17" i="2536"/>
  <c r="IS18" i="2536"/>
  <c r="IS19" i="2536"/>
  <c r="IS20" i="2536"/>
  <c r="IS21" i="2536"/>
  <c r="IS22" i="2536"/>
  <c r="IS23" i="2536"/>
  <c r="IS24" i="2536"/>
  <c r="IS25" i="2536"/>
  <c r="IS26" i="2536"/>
  <c r="IS27" i="2536"/>
  <c r="IS28" i="2536"/>
  <c r="IS29" i="2536"/>
  <c r="IR8" i="2536"/>
  <c r="IR9" i="2536"/>
  <c r="IR10" i="2536"/>
  <c r="IR11" i="2536"/>
  <c r="IR12" i="2536"/>
  <c r="IR13" i="2536"/>
  <c r="IR14" i="2536"/>
  <c r="IR15" i="2536"/>
  <c r="IR16" i="2536"/>
  <c r="IR17" i="2536"/>
  <c r="IR18" i="2536"/>
  <c r="IR19" i="2536"/>
  <c r="IR20" i="2536"/>
  <c r="IR21" i="2536"/>
  <c r="IR22" i="2536"/>
  <c r="IR23" i="2536"/>
  <c r="IR24" i="2536"/>
  <c r="IR25" i="2536"/>
  <c r="IR26" i="2536"/>
  <c r="IR27" i="2536"/>
  <c r="IR28" i="2536"/>
  <c r="IR29" i="2536"/>
  <c r="IP8" i="2536"/>
  <c r="IP9" i="2536"/>
  <c r="IP10" i="2536"/>
  <c r="IP11" i="2536"/>
  <c r="IP12" i="2536"/>
  <c r="IP13" i="2536"/>
  <c r="IP14" i="2536"/>
  <c r="IP15" i="2536"/>
  <c r="IP16" i="2536"/>
  <c r="IP17" i="2536"/>
  <c r="IP18" i="2536"/>
  <c r="IP19" i="2536"/>
  <c r="IP20" i="2536"/>
  <c r="IP21" i="2536"/>
  <c r="IP22" i="2536"/>
  <c r="IP23" i="2536"/>
  <c r="IP24" i="2536"/>
  <c r="IP25" i="2536"/>
  <c r="IP26" i="2536"/>
  <c r="IP27" i="2536"/>
  <c r="IP28" i="2536"/>
  <c r="IS7" i="2536"/>
  <c r="IR7" i="2536"/>
  <c r="IP7" i="2536"/>
  <c r="IU42" i="2536"/>
  <c r="IU43" i="2536"/>
  <c r="IU44" i="2536"/>
  <c r="IU45" i="2536"/>
  <c r="IU46" i="2536"/>
  <c r="IU47" i="2536"/>
  <c r="IU48" i="2536"/>
  <c r="IU49" i="2536"/>
  <c r="IU50" i="2536"/>
  <c r="IU51" i="2536"/>
  <c r="IU52" i="2536"/>
  <c r="IU41" i="2536"/>
  <c r="IU8" i="2536"/>
  <c r="IU9" i="2536"/>
  <c r="IU10" i="2536"/>
  <c r="IU11" i="2536"/>
  <c r="IU12" i="2536"/>
  <c r="IU13" i="2536"/>
  <c r="IU14" i="2536"/>
  <c r="IU15" i="2536"/>
  <c r="IU16" i="2536"/>
  <c r="IU17" i="2536"/>
  <c r="IU18" i="2536"/>
  <c r="IP29" i="2536"/>
  <c r="IU7" i="2536"/>
  <c r="II68" i="2536"/>
  <c r="II70" i="2536"/>
  <c r="II42" i="2536"/>
  <c r="II43" i="2536"/>
  <c r="II44" i="2536"/>
  <c r="II45" i="2536"/>
  <c r="II46" i="2536"/>
  <c r="II47" i="2536"/>
  <c r="II48" i="2536"/>
  <c r="II49" i="2536"/>
  <c r="II50" i="2536"/>
  <c r="II51" i="2536"/>
  <c r="II52" i="2536"/>
  <c r="II53" i="2536"/>
  <c r="II54" i="2536"/>
  <c r="II55" i="2536"/>
  <c r="II56" i="2536"/>
  <c r="II57" i="2536"/>
  <c r="II58" i="2536"/>
  <c r="II59" i="2536"/>
  <c r="II60" i="2536"/>
  <c r="II61" i="2536"/>
  <c r="II62" i="2536"/>
  <c r="II63" i="2536"/>
  <c r="II64" i="2536"/>
  <c r="II41" i="2536"/>
  <c r="II36" i="2536"/>
  <c r="II23" i="2536"/>
  <c r="II19" i="2536"/>
  <c r="II14" i="2536"/>
  <c r="II8" i="2536"/>
  <c r="II7" i="2536"/>
  <c r="KR31" i="2535"/>
  <c r="KR32" i="2535"/>
  <c r="KR33" i="2535"/>
  <c r="KR34" i="2535"/>
  <c r="KR35" i="2535"/>
  <c r="KR36" i="2535"/>
  <c r="KR37" i="2535"/>
  <c r="KR38" i="2535"/>
  <c r="KR39" i="2535"/>
  <c r="KR40" i="2535"/>
  <c r="KR41" i="2535"/>
  <c r="KR42" i="2535"/>
  <c r="KR30" i="2535"/>
  <c r="KP31" i="2535"/>
  <c r="KP32" i="2535"/>
  <c r="KP33" i="2535"/>
  <c r="KP34" i="2535"/>
  <c r="KP35" i="2535"/>
  <c r="KP36" i="2535"/>
  <c r="KP37" i="2535"/>
  <c r="KP38" i="2535"/>
  <c r="KP39" i="2535"/>
  <c r="KP40" i="2535"/>
  <c r="KP41" i="2535"/>
  <c r="KP42" i="2535"/>
  <c r="KP30" i="2535"/>
  <c r="KP28" i="2535"/>
  <c r="KR8" i="2535"/>
  <c r="KR9" i="2535"/>
  <c r="KR10" i="2535"/>
  <c r="KR11" i="2535"/>
  <c r="KR12" i="2535"/>
  <c r="KR13" i="2535"/>
  <c r="KR14" i="2535"/>
  <c r="KR15" i="2535"/>
  <c r="KR16" i="2535"/>
  <c r="KR17" i="2535"/>
  <c r="KR18" i="2535"/>
  <c r="KR19" i="2535"/>
  <c r="KR7" i="2535"/>
  <c r="KP8" i="2535"/>
  <c r="KP9" i="2535"/>
  <c r="KP10" i="2535"/>
  <c r="KP11" i="2535"/>
  <c r="KP12" i="2535"/>
  <c r="KP13" i="2535"/>
  <c r="KP14" i="2535"/>
  <c r="KP15" i="2535"/>
  <c r="KP16" i="2535"/>
  <c r="KP17" i="2535"/>
  <c r="KP18" i="2535"/>
  <c r="KP19" i="2535"/>
  <c r="KP7" i="2535"/>
  <c r="KP5" i="2535"/>
  <c r="KI31" i="2535"/>
  <c r="KI32" i="2535"/>
  <c r="KI33" i="2535"/>
  <c r="KI34" i="2535"/>
  <c r="KI35" i="2535"/>
  <c r="KI36" i="2535"/>
  <c r="KI37" i="2535"/>
  <c r="KI38" i="2535"/>
  <c r="KI39" i="2535"/>
  <c r="KI40" i="2535"/>
  <c r="KI41" i="2535"/>
  <c r="KI42" i="2535"/>
  <c r="KI30" i="2535"/>
  <c r="JR54" i="2538"/>
  <c r="JR55" i="2538"/>
  <c r="JR56" i="2538"/>
  <c r="JR57" i="2538"/>
  <c r="JR58" i="2538"/>
  <c r="JR59" i="2538"/>
  <c r="JR60" i="2538"/>
  <c r="JR61" i="2538"/>
  <c r="JR62" i="2538"/>
  <c r="JR63" i="2538"/>
  <c r="JR64" i="2538"/>
  <c r="JR65" i="2538"/>
  <c r="JR66" i="2538"/>
  <c r="JR67" i="2538"/>
  <c r="JR68" i="2538"/>
  <c r="JR69" i="2538"/>
  <c r="JR70" i="2538"/>
  <c r="JR71" i="2538"/>
  <c r="JR72" i="2538"/>
  <c r="JR73" i="2538"/>
  <c r="JR74" i="2538"/>
  <c r="JR75" i="2538"/>
  <c r="JR76" i="2538"/>
  <c r="JR77" i="2538"/>
  <c r="JR78" i="2538"/>
  <c r="JR79" i="2538"/>
  <c r="JR53" i="2538"/>
  <c r="JP54" i="2538"/>
  <c r="JP55" i="2538"/>
  <c r="JP56" i="2538"/>
  <c r="JP57" i="2538"/>
  <c r="JP58" i="2538"/>
  <c r="JP59" i="2538"/>
  <c r="JP60" i="2538"/>
  <c r="JP61" i="2538"/>
  <c r="JP62" i="2538"/>
  <c r="JP63" i="2538"/>
  <c r="JP64" i="2538"/>
  <c r="JP65" i="2538"/>
  <c r="JP66" i="2538"/>
  <c r="JP67" i="2538"/>
  <c r="JP68" i="2538"/>
  <c r="JP69" i="2538"/>
  <c r="JP70" i="2538"/>
  <c r="JP71" i="2538"/>
  <c r="JP72" i="2538"/>
  <c r="JP73" i="2538"/>
  <c r="JP74" i="2538"/>
  <c r="JP75" i="2538"/>
  <c r="JP76" i="2538"/>
  <c r="JP77" i="2538"/>
  <c r="JP78" i="2538"/>
  <c r="JP79" i="2538"/>
  <c r="JP80" i="2538"/>
  <c r="JP53" i="2538"/>
  <c r="JR42" i="2538"/>
  <c r="JR40" i="2538"/>
  <c r="JR41" i="2538"/>
  <c r="JR43" i="2538"/>
  <c r="JR44" i="2538"/>
  <c r="JR45" i="2538"/>
  <c r="JR47" i="2538"/>
  <c r="JP39" i="2538"/>
  <c r="JP40" i="2538"/>
  <c r="JP41" i="2538"/>
  <c r="JP42" i="2538"/>
  <c r="JP43" i="2538"/>
  <c r="JP44" i="2538"/>
  <c r="JP45" i="2538"/>
  <c r="JR38" i="2538"/>
  <c r="JP38" i="2538"/>
  <c r="JR8" i="2538"/>
  <c r="JR9" i="2538"/>
  <c r="JR10" i="2538"/>
  <c r="JR11" i="2538"/>
  <c r="JR12" i="2538"/>
  <c r="JR13" i="2538"/>
  <c r="JR14" i="2538"/>
  <c r="JR15" i="2538"/>
  <c r="JR16" i="2538"/>
  <c r="JR17" i="2538"/>
  <c r="JR18" i="2538"/>
  <c r="JR19" i="2538"/>
  <c r="JR20" i="2538"/>
  <c r="JR21" i="2538"/>
  <c r="JR22" i="2538"/>
  <c r="JR23" i="2538"/>
  <c r="JR24" i="2538"/>
  <c r="JR25" i="2538"/>
  <c r="JR26" i="2538"/>
  <c r="JR27" i="2538"/>
  <c r="JR28" i="2538"/>
  <c r="JR29" i="2538"/>
  <c r="JR30" i="2538"/>
  <c r="JR7" i="2538"/>
  <c r="JP8" i="2538"/>
  <c r="JP9" i="2538"/>
  <c r="JP10" i="2538"/>
  <c r="JP11" i="2538"/>
  <c r="JP12" i="2538"/>
  <c r="JP13" i="2538"/>
  <c r="JP14" i="2538"/>
  <c r="JP15" i="2538"/>
  <c r="JP16" i="2538"/>
  <c r="JP17" i="2538"/>
  <c r="JP18" i="2538"/>
  <c r="JP19" i="2538"/>
  <c r="JP20" i="2538"/>
  <c r="JP21" i="2538"/>
  <c r="JP22" i="2538"/>
  <c r="JP23" i="2538"/>
  <c r="JP24" i="2538"/>
  <c r="JP25" i="2538"/>
  <c r="JP26" i="2538"/>
  <c r="JP27" i="2538"/>
  <c r="JP28" i="2538"/>
  <c r="JP29" i="2538"/>
  <c r="JP30" i="2538"/>
  <c r="JP7" i="2538"/>
  <c r="JP5" i="2538"/>
  <c r="JG62" i="2538"/>
  <c r="JH62" i="2538"/>
  <c r="JI62" i="2538"/>
  <c r="JI54" i="2538"/>
  <c r="JG54" i="2538"/>
  <c r="JH54" i="2538"/>
  <c r="JH53" i="2538" s="1"/>
  <c r="JI53" i="2538"/>
  <c r="JI50" i="2538"/>
  <c r="JI41" i="2538"/>
  <c r="JI43" i="2538"/>
  <c r="JI44" i="2538"/>
  <c r="JI45" i="2538"/>
  <c r="JI42" i="2538" s="1"/>
  <c r="JI40" i="2538" s="1"/>
  <c r="JI47" i="2538"/>
  <c r="JI34" i="2538"/>
  <c r="GU80" i="2541"/>
  <c r="GU77" i="2541" s="1"/>
  <c r="GU47" i="2541" s="1"/>
  <c r="GV80" i="2541"/>
  <c r="GV77" i="2541" s="1"/>
  <c r="GU63" i="2541"/>
  <c r="GU62" i="2541" s="1"/>
  <c r="GU53" i="2541" s="1"/>
  <c r="GV63" i="2541"/>
  <c r="GV62" i="2541" s="1"/>
  <c r="GU56" i="2541"/>
  <c r="GV56" i="2541"/>
  <c r="GT53" i="2541"/>
  <c r="GT52" i="2541" s="1"/>
  <c r="GV50" i="2541"/>
  <c r="GV44" i="2541"/>
  <c r="FX46" i="2541"/>
  <c r="GT46" i="2541"/>
  <c r="GT41" i="2541"/>
  <c r="GU41" i="2541"/>
  <c r="GV41" i="2541"/>
  <c r="GT42" i="2541"/>
  <c r="GU42" i="2541"/>
  <c r="GV42" i="2541"/>
  <c r="GT44" i="2541"/>
  <c r="GU44" i="2541"/>
  <c r="HC44" i="2541"/>
  <c r="GT45" i="2541"/>
  <c r="GU45" i="2541"/>
  <c r="GV45" i="2541"/>
  <c r="HC45" i="2541" s="1"/>
  <c r="GU46" i="2541"/>
  <c r="GV46" i="2541"/>
  <c r="HC46" i="2541" s="1"/>
  <c r="GT47" i="2541"/>
  <c r="GT43" i="2541" s="1"/>
  <c r="GV24" i="2541"/>
  <c r="HC24" i="2541" s="1"/>
  <c r="GU24" i="2541"/>
  <c r="GU20" i="2541"/>
  <c r="GV20" i="2541"/>
  <c r="GU17" i="2541"/>
  <c r="GV17" i="2541"/>
  <c r="GV8" i="2541"/>
  <c r="GV7" i="2541" s="1"/>
  <c r="HC7" i="2541" s="1"/>
  <c r="GU8" i="2541"/>
  <c r="GT8" i="2541"/>
  <c r="HE40" i="2541"/>
  <c r="HE41" i="2541"/>
  <c r="HE42" i="2541"/>
  <c r="HE43" i="2541"/>
  <c r="HE44" i="2541"/>
  <c r="HE45" i="2541"/>
  <c r="HE46" i="2541"/>
  <c r="HE47" i="2541"/>
  <c r="HE48" i="2541"/>
  <c r="HE49" i="2541"/>
  <c r="HE50" i="2541"/>
  <c r="HE51" i="2541"/>
  <c r="HE52" i="2541"/>
  <c r="HE53" i="2541"/>
  <c r="HE54" i="2541"/>
  <c r="HE55" i="2541"/>
  <c r="HE56" i="2541"/>
  <c r="HE57" i="2541"/>
  <c r="HE58" i="2541"/>
  <c r="HE59" i="2541"/>
  <c r="HE60" i="2541"/>
  <c r="HE61" i="2541"/>
  <c r="HE62" i="2541"/>
  <c r="HE63" i="2541"/>
  <c r="HE64" i="2541"/>
  <c r="HE65" i="2541"/>
  <c r="HE66" i="2541"/>
  <c r="HE67" i="2541"/>
  <c r="HE68" i="2541"/>
  <c r="HE69" i="2541"/>
  <c r="HE70" i="2541"/>
  <c r="HE71" i="2541"/>
  <c r="HE72" i="2541"/>
  <c r="HE73" i="2541"/>
  <c r="HE74" i="2541"/>
  <c r="HE75" i="2541"/>
  <c r="HE77" i="2541"/>
  <c r="HE78" i="2541"/>
  <c r="HE79" i="2541"/>
  <c r="HE80" i="2541"/>
  <c r="HE81" i="2541"/>
  <c r="HE82" i="2541"/>
  <c r="HE83" i="2541"/>
  <c r="HE84" i="2541"/>
  <c r="HE85" i="2541"/>
  <c r="HE38" i="2541"/>
  <c r="HC39" i="2541"/>
  <c r="HC41" i="2541"/>
  <c r="HC42" i="2541"/>
  <c r="HC48" i="2541"/>
  <c r="HC49" i="2541"/>
  <c r="HC50" i="2541"/>
  <c r="HC51" i="2541"/>
  <c r="HC54" i="2541"/>
  <c r="HC55" i="2541"/>
  <c r="HC56" i="2541"/>
  <c r="HC57" i="2541"/>
  <c r="HC58" i="2541"/>
  <c r="HC59" i="2541"/>
  <c r="HC60" i="2541"/>
  <c r="HC61" i="2541"/>
  <c r="HC63" i="2541"/>
  <c r="HC64" i="2541"/>
  <c r="HC65" i="2541"/>
  <c r="HC66" i="2541"/>
  <c r="HC67" i="2541"/>
  <c r="HC68" i="2541"/>
  <c r="HC69" i="2541"/>
  <c r="HC70" i="2541"/>
  <c r="HC71" i="2541"/>
  <c r="HC72" i="2541"/>
  <c r="HC73" i="2541"/>
  <c r="HC74" i="2541"/>
  <c r="HC75" i="2541"/>
  <c r="HC78" i="2541"/>
  <c r="HC79" i="2541"/>
  <c r="HC80" i="2541"/>
  <c r="HC81" i="2541"/>
  <c r="HC82" i="2541"/>
  <c r="HC83" i="2541"/>
  <c r="HC84" i="2541"/>
  <c r="HC85" i="2541"/>
  <c r="HE8" i="2541"/>
  <c r="HE9" i="2541"/>
  <c r="HE10" i="2541"/>
  <c r="HE11" i="2541"/>
  <c r="HE12" i="2541"/>
  <c r="HE13" i="2541"/>
  <c r="HE14" i="2541"/>
  <c r="HE15" i="2541"/>
  <c r="HE16" i="2541"/>
  <c r="HE17" i="2541"/>
  <c r="HE18" i="2541"/>
  <c r="HE19" i="2541"/>
  <c r="HE20" i="2541"/>
  <c r="HE21" i="2541"/>
  <c r="HE22" i="2541"/>
  <c r="HE24" i="2541"/>
  <c r="HE25" i="2541"/>
  <c r="HE26" i="2541"/>
  <c r="HE27" i="2541"/>
  <c r="HE28" i="2541"/>
  <c r="HE29" i="2541"/>
  <c r="HE30" i="2541"/>
  <c r="HE7" i="2541"/>
  <c r="HC9" i="2541"/>
  <c r="HC10" i="2541"/>
  <c r="HC11" i="2541"/>
  <c r="HC12" i="2541"/>
  <c r="HC13" i="2541"/>
  <c r="HC14" i="2541"/>
  <c r="HC15" i="2541"/>
  <c r="HC16" i="2541"/>
  <c r="HC17" i="2541"/>
  <c r="HC18" i="2541"/>
  <c r="HC19" i="2541"/>
  <c r="HC20" i="2541"/>
  <c r="HC21" i="2541"/>
  <c r="HC22" i="2541"/>
  <c r="HC23" i="2541"/>
  <c r="HC25" i="2541"/>
  <c r="HC26" i="2541"/>
  <c r="HC27" i="2541"/>
  <c r="HC37" i="2541"/>
  <c r="HC5" i="2541"/>
  <c r="IP82" i="2539" l="1"/>
  <c r="II101" i="2539"/>
  <c r="IP101" i="2539" s="1"/>
  <c r="II104" i="2539"/>
  <c r="IP104" i="2539" s="1"/>
  <c r="IP84" i="2539"/>
  <c r="II113" i="2539"/>
  <c r="II100" i="2539"/>
  <c r="II74" i="2539"/>
  <c r="JI38" i="2538"/>
  <c r="JI35" i="2538" s="1"/>
  <c r="HC77" i="2541"/>
  <c r="GV47" i="2541"/>
  <c r="HC47" i="2541" s="1"/>
  <c r="GU52" i="2541"/>
  <c r="GU43" i="2541"/>
  <c r="GU40" i="2541" s="1"/>
  <c r="GU38" i="2541" s="1"/>
  <c r="HC62" i="2541"/>
  <c r="GV53" i="2541"/>
  <c r="GV52" i="2541" s="1"/>
  <c r="HC52" i="2541" s="1"/>
  <c r="GV43" i="2541"/>
  <c r="HC8" i="2541"/>
  <c r="IU74" i="2539" l="1"/>
  <c r="IP74" i="2539"/>
  <c r="II114" i="2539"/>
  <c r="IP114" i="2539" s="1"/>
  <c r="IP100" i="2539"/>
  <c r="IP81" i="2539"/>
  <c r="IU81" i="2539"/>
  <c r="II112" i="2539"/>
  <c r="IP112" i="2539" s="1"/>
  <c r="II93" i="2539"/>
  <c r="IP93" i="2539" s="1"/>
  <c r="HC53" i="2541"/>
  <c r="HC43" i="2541"/>
  <c r="GV40" i="2541"/>
  <c r="GV38" i="2541" l="1"/>
  <c r="HC38" i="2541" s="1"/>
  <c r="HC40" i="2541"/>
  <c r="KE30" i="2535" l="1"/>
  <c r="KF30" i="2535"/>
  <c r="KG30" i="2535"/>
  <c r="KH31" i="2535"/>
  <c r="KH32" i="2535"/>
  <c r="KH33" i="2535"/>
  <c r="KH34" i="2535"/>
  <c r="KH35" i="2535"/>
  <c r="KH36" i="2535"/>
  <c r="KH37" i="2535"/>
  <c r="KH38" i="2535"/>
  <c r="KH39" i="2535"/>
  <c r="KH40" i="2535"/>
  <c r="KH41" i="2535"/>
  <c r="KH42" i="2535"/>
  <c r="KH30" i="2535"/>
  <c r="IF41" i="2536" l="1"/>
  <c r="IG41" i="2536"/>
  <c r="IH41" i="2536"/>
  <c r="IF14" i="2536"/>
  <c r="IC14" i="2536"/>
  <c r="IG14" i="2536"/>
  <c r="IH14" i="2536"/>
  <c r="IB23" i="2542" l="1"/>
  <c r="IB19" i="2542"/>
  <c r="IB14" i="2542"/>
  <c r="IB8" i="2542"/>
  <c r="IH30" i="2543"/>
  <c r="IH7" i="2543"/>
  <c r="IH42" i="2542"/>
  <c r="IH43" i="2542"/>
  <c r="IH44" i="2542"/>
  <c r="IH45" i="2542"/>
  <c r="IH46" i="2542"/>
  <c r="IH47" i="2542"/>
  <c r="IH48" i="2542"/>
  <c r="IH49" i="2542"/>
  <c r="IH50" i="2542"/>
  <c r="IH51" i="2542"/>
  <c r="IH52" i="2542"/>
  <c r="IH53" i="2542"/>
  <c r="IH54" i="2542"/>
  <c r="IH55" i="2542"/>
  <c r="IH56" i="2542"/>
  <c r="IH57" i="2542"/>
  <c r="IH58" i="2542"/>
  <c r="IH59" i="2542"/>
  <c r="IH60" i="2542"/>
  <c r="IH61" i="2542"/>
  <c r="IH62" i="2542"/>
  <c r="IH63" i="2542"/>
  <c r="IH64" i="2542"/>
  <c r="IH41" i="2542"/>
  <c r="IH70" i="2542"/>
  <c r="IH23" i="2542"/>
  <c r="IH19" i="2542"/>
  <c r="IH14" i="2542"/>
  <c r="IH8" i="2542"/>
  <c r="IH7" i="2542"/>
  <c r="IG23" i="2542"/>
  <c r="IF23" i="2542"/>
  <c r="IF19" i="2542"/>
  <c r="IF14" i="2542"/>
  <c r="IF8" i="2542"/>
  <c r="IG19" i="2542"/>
  <c r="IG14" i="2542"/>
  <c r="IG8" i="2542"/>
  <c r="IG7" i="2542"/>
  <c r="IP5" i="2540"/>
  <c r="IH80" i="2539"/>
  <c r="IH79" i="2539"/>
  <c r="IH78" i="2539"/>
  <c r="IH77" i="2539"/>
  <c r="IH76" i="2539"/>
  <c r="IH70" i="2539"/>
  <c r="IH68" i="2539"/>
  <c r="IH36" i="2539"/>
  <c r="IH96" i="2539"/>
  <c r="IH97" i="2539"/>
  <c r="IH98" i="2539"/>
  <c r="IH99" i="2539"/>
  <c r="IH87" i="2539"/>
  <c r="IH95" i="2539"/>
  <c r="IH94" i="2539" s="1"/>
  <c r="IH107" i="2539"/>
  <c r="IH106" i="2539" s="1"/>
  <c r="IH115" i="2539" s="1"/>
  <c r="IH108" i="2539"/>
  <c r="IH109" i="2539"/>
  <c r="IH110" i="2539"/>
  <c r="IH111" i="2539"/>
  <c r="IF42" i="2539"/>
  <c r="IF43" i="2539"/>
  <c r="IF44" i="2539"/>
  <c r="IF45" i="2539"/>
  <c r="IF46" i="2539"/>
  <c r="IF47" i="2539"/>
  <c r="IF48" i="2539"/>
  <c r="IF49" i="2539"/>
  <c r="IF50" i="2539"/>
  <c r="IF51" i="2539"/>
  <c r="IF52" i="2539"/>
  <c r="IF53" i="2539"/>
  <c r="IF54" i="2539"/>
  <c r="IF55" i="2539"/>
  <c r="IF56" i="2539"/>
  <c r="IF57" i="2539"/>
  <c r="IF58" i="2539"/>
  <c r="IF59" i="2539"/>
  <c r="IF60" i="2539"/>
  <c r="IF61" i="2539"/>
  <c r="IF62" i="2539"/>
  <c r="IF63" i="2539"/>
  <c r="IF64" i="2539"/>
  <c r="IG42" i="2539"/>
  <c r="IG43" i="2539"/>
  <c r="IG44" i="2539"/>
  <c r="IG45" i="2539"/>
  <c r="IG46" i="2539"/>
  <c r="IG47" i="2539"/>
  <c r="IG48" i="2539"/>
  <c r="IG49" i="2539"/>
  <c r="IG50" i="2539"/>
  <c r="IG51" i="2539"/>
  <c r="IG52" i="2539"/>
  <c r="IG53" i="2539"/>
  <c r="IG54" i="2539"/>
  <c r="IG55" i="2539"/>
  <c r="IG56" i="2539"/>
  <c r="IG57" i="2539"/>
  <c r="IG58" i="2539"/>
  <c r="IG59" i="2539"/>
  <c r="IG60" i="2539"/>
  <c r="IG61" i="2539"/>
  <c r="IG62" i="2539"/>
  <c r="IG63" i="2539"/>
  <c r="IG64" i="2539"/>
  <c r="IF41" i="2539"/>
  <c r="IG41" i="2539"/>
  <c r="IH42" i="2539"/>
  <c r="IH43" i="2539"/>
  <c r="IH44" i="2539"/>
  <c r="IH45" i="2539"/>
  <c r="IH46" i="2539"/>
  <c r="IH47" i="2539"/>
  <c r="IH48" i="2539"/>
  <c r="IH49" i="2539"/>
  <c r="IH50" i="2539"/>
  <c r="IH51" i="2539"/>
  <c r="IH52" i="2539"/>
  <c r="IH53" i="2539"/>
  <c r="IH54" i="2539"/>
  <c r="IH55" i="2539"/>
  <c r="IH56" i="2539"/>
  <c r="IH57" i="2539"/>
  <c r="IH58" i="2539"/>
  <c r="IH59" i="2539"/>
  <c r="IH60" i="2539"/>
  <c r="IH61" i="2539"/>
  <c r="IH62" i="2539"/>
  <c r="IH63" i="2539"/>
  <c r="IH64" i="2539"/>
  <c r="IH41" i="2539"/>
  <c r="IH23" i="2539"/>
  <c r="IH19" i="2539"/>
  <c r="IH14" i="2539"/>
  <c r="IH8" i="2539"/>
  <c r="IH7" i="2539"/>
  <c r="IH70" i="2536"/>
  <c r="IH68" i="2536"/>
  <c r="IH42" i="2536"/>
  <c r="IH43" i="2536"/>
  <c r="IH44" i="2536"/>
  <c r="IH45" i="2536"/>
  <c r="IH46" i="2536"/>
  <c r="IH47" i="2536"/>
  <c r="IH48" i="2536"/>
  <c r="IH49" i="2536"/>
  <c r="IH50" i="2536"/>
  <c r="IH51" i="2536"/>
  <c r="IH52" i="2536"/>
  <c r="IH53" i="2536"/>
  <c r="IH54" i="2536"/>
  <c r="IH55" i="2536"/>
  <c r="IH56" i="2536"/>
  <c r="IH57" i="2536"/>
  <c r="IH58" i="2536"/>
  <c r="IH59" i="2536"/>
  <c r="IH60" i="2536"/>
  <c r="IH61" i="2536"/>
  <c r="IH62" i="2536"/>
  <c r="IH63" i="2536"/>
  <c r="IH64" i="2536"/>
  <c r="IH7" i="2536"/>
  <c r="IH30" i="2537"/>
  <c r="IH7" i="2537"/>
  <c r="IH23" i="2536"/>
  <c r="IH8" i="2536"/>
  <c r="IH105" i="2539" l="1"/>
  <c r="IH104" i="2539"/>
  <c r="IH103" i="2539"/>
  <c r="IH102" i="2539"/>
  <c r="IH101" i="2539"/>
  <c r="IF7" i="2542"/>
  <c r="IH113" i="2539"/>
  <c r="IH75" i="2539"/>
  <c r="IH100" i="2539" l="1"/>
  <c r="IH93" i="2539" s="1"/>
  <c r="IH74" i="2539"/>
  <c r="IH114" i="2539" l="1"/>
  <c r="IH112" i="2539" l="1"/>
  <c r="GT80" i="2541"/>
  <c r="GT77" i="2541" s="1"/>
  <c r="GT63" i="2541"/>
  <c r="GT62" i="2541" s="1"/>
  <c r="GT56" i="2541"/>
  <c r="GT50" i="2541"/>
  <c r="GS47" i="2541"/>
  <c r="GS46" i="2541"/>
  <c r="GS45" i="2541"/>
  <c r="GS44" i="2541"/>
  <c r="GS43" i="2541"/>
  <c r="GS42" i="2541"/>
  <c r="GS41" i="2541"/>
  <c r="GS40" i="2541"/>
  <c r="GT49" i="2541"/>
  <c r="JH34" i="2538"/>
  <c r="GT40" i="2541" l="1"/>
  <c r="GT38" i="2541" s="1"/>
  <c r="JH24" i="2538" l="1"/>
  <c r="JG20" i="2538"/>
  <c r="JH20" i="2538"/>
  <c r="JH8" i="2538"/>
  <c r="JH7" i="2538" s="1"/>
  <c r="JN8" i="2538"/>
  <c r="JS8" i="2538"/>
  <c r="JQ8" i="2538" s="1"/>
  <c r="JN9" i="2538"/>
  <c r="JS9" i="2538"/>
  <c r="JQ9" i="2538" s="1"/>
  <c r="JN10" i="2538"/>
  <c r="JS10" i="2538"/>
  <c r="JQ10" i="2538" s="1"/>
  <c r="JN11" i="2538"/>
  <c r="JS11" i="2538"/>
  <c r="JN12" i="2538"/>
  <c r="JS12" i="2538"/>
  <c r="JQ12" i="2538" s="1"/>
  <c r="JN13" i="2538"/>
  <c r="JS13" i="2538"/>
  <c r="JQ13" i="2538" s="1"/>
  <c r="JN14" i="2538"/>
  <c r="JS14" i="2538"/>
  <c r="JQ14" i="2538" s="1"/>
  <c r="JN15" i="2538"/>
  <c r="JS15" i="2538"/>
  <c r="JQ15" i="2538" s="1"/>
  <c r="JN17" i="2538"/>
  <c r="JS17" i="2538"/>
  <c r="JQ17" i="2538" s="1"/>
  <c r="JN18" i="2538"/>
  <c r="JS18" i="2538"/>
  <c r="JQ18" i="2538" s="1"/>
  <c r="JN19" i="2538"/>
  <c r="JS19" i="2538"/>
  <c r="JQ19" i="2538" s="1"/>
  <c r="JN20" i="2538"/>
  <c r="JS20" i="2538"/>
  <c r="JQ20" i="2538" s="1"/>
  <c r="JN21" i="2538"/>
  <c r="JS21" i="2538"/>
  <c r="JQ21" i="2538" s="1"/>
  <c r="JN22" i="2538"/>
  <c r="JS22" i="2538"/>
  <c r="JQ22" i="2538" s="1"/>
  <c r="JN24" i="2538"/>
  <c r="JS24" i="2538"/>
  <c r="JQ24" i="2538" s="1"/>
  <c r="JN25" i="2538"/>
  <c r="JS25" i="2538"/>
  <c r="JQ25" i="2538" s="1"/>
  <c r="JN26" i="2538"/>
  <c r="JS26" i="2538"/>
  <c r="JQ26" i="2538" s="1"/>
  <c r="JN27" i="2538"/>
  <c r="JS27" i="2538"/>
  <c r="JQ27" i="2538" s="1"/>
  <c r="JN28" i="2538"/>
  <c r="JS28" i="2538"/>
  <c r="JQ28" i="2538" s="1"/>
  <c r="JN29" i="2538"/>
  <c r="JS29" i="2538"/>
  <c r="JQ29" i="2538" s="1"/>
  <c r="JN30" i="2538"/>
  <c r="JS30" i="2538"/>
  <c r="JQ30" i="2538" s="1"/>
  <c r="JH47" i="2538"/>
  <c r="JP47" i="2538" s="1"/>
  <c r="JH41" i="2538"/>
  <c r="JH50" i="2538"/>
  <c r="JH43" i="2538"/>
  <c r="JH44" i="2538"/>
  <c r="JH45" i="2538"/>
  <c r="JQ11" i="2538" l="1"/>
  <c r="JN7" i="2538"/>
  <c r="JS7" i="2538"/>
  <c r="JQ7" i="2538" s="1"/>
  <c r="JH42" i="2538"/>
  <c r="JH40" i="2538" l="1"/>
  <c r="JH38" i="2538" s="1"/>
  <c r="JH35" i="2538" l="1"/>
  <c r="JR42" i="2522" l="1"/>
  <c r="JT42" i="2522"/>
  <c r="JS29" i="2522" l="1"/>
  <c r="JT30" i="2522"/>
  <c r="JT31" i="2522"/>
  <c r="JT32" i="2522"/>
  <c r="JT33" i="2522"/>
  <c r="JT34" i="2522"/>
  <c r="JT35" i="2522"/>
  <c r="JT36" i="2522"/>
  <c r="JT37" i="2522"/>
  <c r="JT38" i="2522"/>
  <c r="JT39" i="2522"/>
  <c r="JT40" i="2522"/>
  <c r="JT41" i="2522"/>
  <c r="JT29" i="2522"/>
  <c r="IG68" i="2536"/>
  <c r="IG70" i="2536"/>
  <c r="IG8" i="2536" l="1"/>
  <c r="KC10" i="2522"/>
  <c r="LE7" i="1973" l="1"/>
  <c r="LP7" i="1974"/>
  <c r="JT7" i="2545"/>
  <c r="JR7" i="2545"/>
  <c r="JP7" i="2545"/>
  <c r="JO7" i="2545" l="1"/>
  <c r="KG42" i="2535"/>
  <c r="KG41" i="2535"/>
  <c r="KG40" i="2535"/>
  <c r="KG39" i="2535"/>
  <c r="KG38" i="2535"/>
  <c r="KG37" i="2535"/>
  <c r="KG36" i="2535"/>
  <c r="KG35" i="2535"/>
  <c r="KG34" i="2535"/>
  <c r="KG33" i="2535"/>
  <c r="KG32" i="2535"/>
  <c r="KG31" i="2535"/>
  <c r="IG30" i="2543"/>
  <c r="IG7" i="2543"/>
  <c r="IP65" i="2542"/>
  <c r="IG43" i="2542"/>
  <c r="IG44" i="2542"/>
  <c r="IG45" i="2542"/>
  <c r="IG46" i="2542"/>
  <c r="IG47" i="2542"/>
  <c r="IG48" i="2542"/>
  <c r="IG49" i="2542"/>
  <c r="IG50" i="2542"/>
  <c r="IG51" i="2542"/>
  <c r="IG52" i="2542"/>
  <c r="IG53" i="2542"/>
  <c r="IG54" i="2542"/>
  <c r="IG55" i="2542"/>
  <c r="IG56" i="2542"/>
  <c r="IG58" i="2542"/>
  <c r="IG59" i="2542"/>
  <c r="IG60" i="2542"/>
  <c r="IG61" i="2542"/>
  <c r="IG62" i="2542"/>
  <c r="IG63" i="2542"/>
  <c r="IG64" i="2542"/>
  <c r="IG68" i="2542"/>
  <c r="IG70" i="2542"/>
  <c r="IG36" i="2542"/>
  <c r="IG57" i="2542"/>
  <c r="IG42" i="2542"/>
  <c r="IG41" i="2542"/>
  <c r="IG31" i="2540"/>
  <c r="IG7" i="2540"/>
  <c r="IG70" i="2539"/>
  <c r="IG75" i="2539"/>
  <c r="IG111" i="2539"/>
  <c r="IG110" i="2539"/>
  <c r="IG109" i="2539"/>
  <c r="IG108" i="2539"/>
  <c r="IG107" i="2539"/>
  <c r="IG106" i="2539"/>
  <c r="IG115" i="2539" s="1"/>
  <c r="IG105" i="2539"/>
  <c r="IG104" i="2539"/>
  <c r="IG103" i="2539"/>
  <c r="IG102" i="2539"/>
  <c r="IG101" i="2539"/>
  <c r="IG99" i="2539"/>
  <c r="IG98" i="2539"/>
  <c r="IG97" i="2539"/>
  <c r="IG96" i="2539"/>
  <c r="IG95" i="2539"/>
  <c r="IG94" i="2539" s="1"/>
  <c r="IG87" i="2539"/>
  <c r="IG74" i="2539"/>
  <c r="IG80" i="2539"/>
  <c r="IG79" i="2539"/>
  <c r="IG78" i="2539"/>
  <c r="IG77" i="2539"/>
  <c r="IG76" i="2539"/>
  <c r="IG68" i="2539"/>
  <c r="IG36" i="2539"/>
  <c r="IG23" i="2539"/>
  <c r="IG7" i="2539"/>
  <c r="IG30" i="2537"/>
  <c r="IG7" i="2537"/>
  <c r="IQ39" i="2536"/>
  <c r="IR39" i="2536" s="1"/>
  <c r="IG42" i="2536"/>
  <c r="IG43" i="2536"/>
  <c r="IG44" i="2536"/>
  <c r="IG45" i="2536"/>
  <c r="IG46" i="2536"/>
  <c r="IG47" i="2536"/>
  <c r="IG48" i="2536"/>
  <c r="IG49" i="2536"/>
  <c r="IG50" i="2536"/>
  <c r="IG51" i="2536"/>
  <c r="IG52" i="2536"/>
  <c r="IG53" i="2536"/>
  <c r="IG54" i="2536"/>
  <c r="IG55" i="2536"/>
  <c r="IG56" i="2536"/>
  <c r="IG58" i="2536"/>
  <c r="IG59" i="2536"/>
  <c r="IG60" i="2536"/>
  <c r="IG61" i="2536"/>
  <c r="IG62" i="2536"/>
  <c r="IG63" i="2536"/>
  <c r="IG64" i="2536"/>
  <c r="IG36" i="2536"/>
  <c r="IG23" i="2536"/>
  <c r="IG57" i="2536" s="1"/>
  <c r="IG7" i="2536"/>
  <c r="IG100" i="2539" l="1"/>
  <c r="IG114" i="2539" s="1"/>
  <c r="IG113" i="2539"/>
  <c r="JG50" i="2538"/>
  <c r="GP38" i="2541"/>
  <c r="JG53" i="2538"/>
  <c r="JG41" i="2538"/>
  <c r="JG44" i="2538"/>
  <c r="JG45" i="2538"/>
  <c r="JG47" i="2538"/>
  <c r="JG34" i="2538"/>
  <c r="JE35" i="2538"/>
  <c r="KE10" i="2522"/>
  <c r="HC28" i="2541"/>
  <c r="HC29" i="2541"/>
  <c r="HC30" i="2541"/>
  <c r="HC31" i="2541"/>
  <c r="GS80" i="2541"/>
  <c r="GS77" i="2541" s="1"/>
  <c r="GS63" i="2541"/>
  <c r="GS62" i="2541"/>
  <c r="GS56" i="2541"/>
  <c r="GS53" i="2541"/>
  <c r="GS52" i="2541" s="1"/>
  <c r="GS50" i="2541"/>
  <c r="GS49" i="2541"/>
  <c r="GS38" i="2541"/>
  <c r="GS24" i="2541"/>
  <c r="GS20" i="2541"/>
  <c r="GS8" i="2541"/>
  <c r="GS7" i="2541"/>
  <c r="JF75" i="2538"/>
  <c r="JF71" i="2538"/>
  <c r="JF62" i="2538"/>
  <c r="JF57" i="2538"/>
  <c r="JF54" i="2538"/>
  <c r="JF53" i="2538"/>
  <c r="JF50" i="2538"/>
  <c r="JF41" i="2538"/>
  <c r="JF44" i="2538"/>
  <c r="JF45" i="2538"/>
  <c r="JF47" i="2538"/>
  <c r="JF34" i="2538"/>
  <c r="JF24" i="2538"/>
  <c r="JF20" i="2538"/>
  <c r="JF17" i="2538"/>
  <c r="JF8" i="2538"/>
  <c r="JF7" i="2538"/>
  <c r="IG112" i="2539" l="1"/>
  <c r="IG93" i="2539"/>
  <c r="JG43" i="2538"/>
  <c r="JG42" i="2538" s="1"/>
  <c r="JG40" i="2538" s="1"/>
  <c r="JF43" i="2538"/>
  <c r="JF42" i="2538" s="1"/>
  <c r="JF40" i="2538" s="1"/>
  <c r="JF38" i="2538" s="1"/>
  <c r="JF35" i="2538"/>
  <c r="JG38" i="2538" l="1"/>
  <c r="JG35" i="2538" s="1"/>
  <c r="IF30" i="2543"/>
  <c r="IF7" i="2543"/>
  <c r="IQ5" i="2540"/>
  <c r="IF30" i="2537"/>
  <c r="IF7" i="2537"/>
  <c r="IF70" i="2542"/>
  <c r="IF68" i="2542"/>
  <c r="IF64" i="2542"/>
  <c r="IF63" i="2542"/>
  <c r="IF62" i="2542"/>
  <c r="IF61" i="2542"/>
  <c r="IF60" i="2542"/>
  <c r="IF59" i="2542"/>
  <c r="IF58" i="2542"/>
  <c r="IF57" i="2542"/>
  <c r="IF55" i="2542"/>
  <c r="IQ55" i="2542" s="1"/>
  <c r="IF54" i="2542"/>
  <c r="IN54" i="2542" s="1"/>
  <c r="IF53" i="2542"/>
  <c r="IF52" i="2542"/>
  <c r="IF51" i="2542"/>
  <c r="IF50" i="2542"/>
  <c r="IF49" i="2542"/>
  <c r="IF48" i="2542"/>
  <c r="IF47" i="2542"/>
  <c r="IF46" i="2542"/>
  <c r="IF45" i="2542"/>
  <c r="IQ45" i="2542" s="1"/>
  <c r="IF44" i="2542"/>
  <c r="IQ44" i="2542" s="1"/>
  <c r="IF43" i="2542"/>
  <c r="IN43" i="2542" s="1"/>
  <c r="IF42" i="2542"/>
  <c r="IF41" i="2542"/>
  <c r="IN61" i="2542"/>
  <c r="IF36" i="2542"/>
  <c r="IP31" i="2542"/>
  <c r="IQ23" i="2542"/>
  <c r="IF111" i="2539"/>
  <c r="IF110" i="2539"/>
  <c r="IF106" i="2539" s="1"/>
  <c r="IF115" i="2539" s="1"/>
  <c r="IF109" i="2539"/>
  <c r="IF108" i="2539"/>
  <c r="IF107" i="2539"/>
  <c r="IF105" i="2539"/>
  <c r="IF104" i="2539"/>
  <c r="IF103" i="2539"/>
  <c r="IF102" i="2539"/>
  <c r="IF101" i="2539"/>
  <c r="IF98" i="2539"/>
  <c r="IF97" i="2539"/>
  <c r="IF96" i="2539"/>
  <c r="IF87" i="2539"/>
  <c r="IF80" i="2539"/>
  <c r="IF99" i="2539" s="1"/>
  <c r="IF79" i="2539"/>
  <c r="IF78" i="2539"/>
  <c r="IF77" i="2539"/>
  <c r="IF76" i="2539"/>
  <c r="IF75" i="2539" s="1"/>
  <c r="IF70" i="2539"/>
  <c r="IN70" i="2539" s="1"/>
  <c r="IF68" i="2539"/>
  <c r="IN47" i="2539"/>
  <c r="IN64" i="2539"/>
  <c r="IF36" i="2539"/>
  <c r="IF23" i="2539"/>
  <c r="IF19" i="2539"/>
  <c r="IF14" i="2539"/>
  <c r="IF8" i="2539"/>
  <c r="IQ8" i="2539" s="1"/>
  <c r="IF70" i="2536"/>
  <c r="IF68" i="2536"/>
  <c r="IF59" i="2536"/>
  <c r="IF64" i="2536"/>
  <c r="IF63" i="2536"/>
  <c r="IF62" i="2536"/>
  <c r="IF61" i="2536"/>
  <c r="IF60" i="2536"/>
  <c r="IF58" i="2536"/>
  <c r="IF55" i="2536"/>
  <c r="IF54" i="2536"/>
  <c r="IF52" i="2536"/>
  <c r="IF51" i="2536"/>
  <c r="IF50" i="2536"/>
  <c r="IF49" i="2536"/>
  <c r="IF47" i="2536"/>
  <c r="IF46" i="2536"/>
  <c r="IF45" i="2536"/>
  <c r="IF44" i="2536"/>
  <c r="IF43" i="2536"/>
  <c r="IF42" i="2536"/>
  <c r="IF36" i="2536"/>
  <c r="IF23" i="2536"/>
  <c r="IF57" i="2536" s="1"/>
  <c r="IF19" i="2536"/>
  <c r="IF53" i="2536" s="1"/>
  <c r="IF48" i="2536"/>
  <c r="IF8" i="2536"/>
  <c r="KF42" i="2535"/>
  <c r="KF41" i="2535"/>
  <c r="KF40" i="2535"/>
  <c r="KF39" i="2535"/>
  <c r="KF38" i="2535"/>
  <c r="KF37" i="2535"/>
  <c r="KS37" i="2535" s="1"/>
  <c r="KQ37" i="2535" s="1"/>
  <c r="KF36" i="2535"/>
  <c r="KF35" i="2535"/>
  <c r="KF34" i="2535"/>
  <c r="KF33" i="2535"/>
  <c r="KF32" i="2535"/>
  <c r="KF31" i="2535"/>
  <c r="KS41" i="2535"/>
  <c r="IQ38" i="2543"/>
  <c r="IP38" i="2543"/>
  <c r="IQ37" i="2543"/>
  <c r="IP37" i="2543"/>
  <c r="IN37" i="2543"/>
  <c r="IA37" i="2543"/>
  <c r="IQ36" i="2543"/>
  <c r="IP36" i="2543"/>
  <c r="IN36" i="2543"/>
  <c r="IA36" i="2543"/>
  <c r="IN35" i="2543"/>
  <c r="IA35" i="2543"/>
  <c r="IQ34" i="2543"/>
  <c r="IN34" i="2543"/>
  <c r="IA34" i="2543"/>
  <c r="IQ33" i="2543"/>
  <c r="IN33" i="2543"/>
  <c r="IA33" i="2543"/>
  <c r="IN32" i="2543"/>
  <c r="IA32" i="2543"/>
  <c r="IN31" i="2543"/>
  <c r="IA31" i="2543"/>
  <c r="IE30" i="2543"/>
  <c r="ID30" i="2543"/>
  <c r="IC30" i="2543"/>
  <c r="IB30" i="2543"/>
  <c r="HY30" i="2543"/>
  <c r="HX30" i="2543"/>
  <c r="HW30" i="2543"/>
  <c r="HV30" i="2543"/>
  <c r="HU30" i="2543"/>
  <c r="HT30" i="2543"/>
  <c r="HS30" i="2543"/>
  <c r="HR30" i="2543"/>
  <c r="HQ30" i="2543"/>
  <c r="HP30" i="2543"/>
  <c r="HO30" i="2543"/>
  <c r="IA30" i="2543" s="1"/>
  <c r="IQ28" i="2543"/>
  <c r="IN28" i="2543"/>
  <c r="IA28" i="2543"/>
  <c r="IN27" i="2543"/>
  <c r="IA27" i="2543"/>
  <c r="IQ26" i="2543"/>
  <c r="IN26" i="2543"/>
  <c r="IA26" i="2543"/>
  <c r="IQ25" i="2543"/>
  <c r="IN25" i="2543"/>
  <c r="IA25" i="2543"/>
  <c r="IQ24" i="2543"/>
  <c r="IN24" i="2543"/>
  <c r="IA24" i="2543"/>
  <c r="IQ23" i="2543"/>
  <c r="IN23" i="2543"/>
  <c r="IA23" i="2543"/>
  <c r="IQ22" i="2543"/>
  <c r="IN22" i="2543"/>
  <c r="IA22" i="2543"/>
  <c r="IQ21" i="2543"/>
  <c r="IN21" i="2543"/>
  <c r="IA21" i="2543"/>
  <c r="IN20" i="2543"/>
  <c r="IA20" i="2543"/>
  <c r="IN19" i="2543"/>
  <c r="IA19" i="2543"/>
  <c r="IN18" i="2543"/>
  <c r="IA18" i="2543"/>
  <c r="IN17" i="2543"/>
  <c r="IA17" i="2543"/>
  <c r="IQ16" i="2543"/>
  <c r="IN16" i="2543"/>
  <c r="IA16" i="2543"/>
  <c r="IN15" i="2543"/>
  <c r="IA15" i="2543"/>
  <c r="IQ14" i="2543"/>
  <c r="IN14" i="2543"/>
  <c r="IA14" i="2543"/>
  <c r="IQ13" i="2543"/>
  <c r="IN13" i="2543"/>
  <c r="IA13" i="2543"/>
  <c r="IN12" i="2543"/>
  <c r="IA12" i="2543"/>
  <c r="IQ11" i="2543"/>
  <c r="IN11" i="2543"/>
  <c r="IA11" i="2543"/>
  <c r="IQ10" i="2543"/>
  <c r="IN10" i="2543"/>
  <c r="IA10" i="2543"/>
  <c r="IQ9" i="2543"/>
  <c r="IN9" i="2543"/>
  <c r="IA9" i="2543"/>
  <c r="IQ8" i="2543"/>
  <c r="IN8" i="2543"/>
  <c r="IA8" i="2543"/>
  <c r="IQ7" i="2543"/>
  <c r="IE7" i="2543"/>
  <c r="ID7" i="2543"/>
  <c r="IC7" i="2543"/>
  <c r="IB7" i="2543"/>
  <c r="IN7" i="2543" s="1"/>
  <c r="HY7" i="2543"/>
  <c r="HX7" i="2543"/>
  <c r="HW7" i="2543"/>
  <c r="HV7" i="2543"/>
  <c r="HU7" i="2543"/>
  <c r="HT7" i="2543"/>
  <c r="HS7" i="2543"/>
  <c r="HR7" i="2543"/>
  <c r="HQ7" i="2543"/>
  <c r="HP7" i="2543"/>
  <c r="HO7" i="2543"/>
  <c r="IQ5" i="2543"/>
  <c r="IS5" i="2543" s="1"/>
  <c r="IN5" i="2543"/>
  <c r="IA5" i="2543"/>
  <c r="IS4" i="2543"/>
  <c r="IP4" i="2543" s="1"/>
  <c r="IB4" i="2543"/>
  <c r="HO4" i="2543"/>
  <c r="IE70" i="2542"/>
  <c r="ID70" i="2542"/>
  <c r="IC70" i="2542"/>
  <c r="IB70" i="2542"/>
  <c r="HZ70" i="2542"/>
  <c r="HY70" i="2542"/>
  <c r="HX70" i="2542"/>
  <c r="HW70" i="2542"/>
  <c r="HV70" i="2542"/>
  <c r="HU70" i="2542"/>
  <c r="HT70" i="2542"/>
  <c r="HS70" i="2542"/>
  <c r="HR70" i="2542"/>
  <c r="HQ70" i="2542"/>
  <c r="HP70" i="2542"/>
  <c r="HO70" i="2542"/>
  <c r="IE68" i="2542"/>
  <c r="ID68" i="2542"/>
  <c r="IC68" i="2542"/>
  <c r="IB68" i="2542"/>
  <c r="HZ68" i="2542"/>
  <c r="HY68" i="2542"/>
  <c r="HX68" i="2542"/>
  <c r="HW68" i="2542"/>
  <c r="HV68" i="2542"/>
  <c r="HU68" i="2542"/>
  <c r="HT68" i="2542"/>
  <c r="HS68" i="2542"/>
  <c r="HR68" i="2542"/>
  <c r="HQ68" i="2542"/>
  <c r="HP68" i="2542"/>
  <c r="HO68" i="2542"/>
  <c r="IE64" i="2542"/>
  <c r="ID64" i="2542"/>
  <c r="IC64" i="2542"/>
  <c r="IB64" i="2542"/>
  <c r="IA64" i="2542"/>
  <c r="IE63" i="2542"/>
  <c r="ID63" i="2542"/>
  <c r="IC63" i="2542"/>
  <c r="IB63" i="2542"/>
  <c r="IA63" i="2542"/>
  <c r="IE62" i="2542"/>
  <c r="ID62" i="2542"/>
  <c r="IC62" i="2542"/>
  <c r="IB62" i="2542"/>
  <c r="IN62" i="2542" s="1"/>
  <c r="HZ62" i="2542"/>
  <c r="HY62" i="2542"/>
  <c r="HX62" i="2542"/>
  <c r="HW62" i="2542"/>
  <c r="HV62" i="2542"/>
  <c r="HU62" i="2542"/>
  <c r="HT62" i="2542"/>
  <c r="HS62" i="2542"/>
  <c r="HR62" i="2542"/>
  <c r="HQ62" i="2542"/>
  <c r="HP62" i="2542"/>
  <c r="HO62" i="2542"/>
  <c r="IA62" i="2542" s="1"/>
  <c r="IE61" i="2542"/>
  <c r="ID61" i="2542"/>
  <c r="IC61" i="2542"/>
  <c r="IB61" i="2542"/>
  <c r="HZ61" i="2542"/>
  <c r="HY61" i="2542"/>
  <c r="HX61" i="2542"/>
  <c r="HW61" i="2542"/>
  <c r="HV61" i="2542"/>
  <c r="HU61" i="2542"/>
  <c r="HT61" i="2542"/>
  <c r="HS61" i="2542"/>
  <c r="HR61" i="2542"/>
  <c r="HQ61" i="2542"/>
  <c r="HP61" i="2542"/>
  <c r="HO61" i="2542"/>
  <c r="IE60" i="2542"/>
  <c r="ID60" i="2542"/>
  <c r="IC60" i="2542"/>
  <c r="IB60" i="2542"/>
  <c r="HZ60" i="2542"/>
  <c r="HY60" i="2542"/>
  <c r="HX60" i="2542"/>
  <c r="HW60" i="2542"/>
  <c r="HV60" i="2542"/>
  <c r="HU60" i="2542"/>
  <c r="HT60" i="2542"/>
  <c r="HS60" i="2542"/>
  <c r="HR60" i="2542"/>
  <c r="HQ60" i="2542"/>
  <c r="HP60" i="2542"/>
  <c r="HO60" i="2542"/>
  <c r="IA60" i="2542" s="1"/>
  <c r="IE59" i="2542"/>
  <c r="ID59" i="2542"/>
  <c r="IC59" i="2542"/>
  <c r="IB59" i="2542"/>
  <c r="HZ59" i="2542"/>
  <c r="HY59" i="2542"/>
  <c r="HX59" i="2542"/>
  <c r="HW59" i="2542"/>
  <c r="HV59" i="2542"/>
  <c r="HU59" i="2542"/>
  <c r="HT59" i="2542"/>
  <c r="HS59" i="2542"/>
  <c r="HR59" i="2542"/>
  <c r="HQ59" i="2542"/>
  <c r="HP59" i="2542"/>
  <c r="HO59" i="2542"/>
  <c r="IE58" i="2542"/>
  <c r="ID58" i="2542"/>
  <c r="IC58" i="2542"/>
  <c r="IB58" i="2542"/>
  <c r="HZ58" i="2542"/>
  <c r="HY58" i="2542"/>
  <c r="HX58" i="2542"/>
  <c r="HW58" i="2542"/>
  <c r="HV58" i="2542"/>
  <c r="HU58" i="2542"/>
  <c r="HT58" i="2542"/>
  <c r="HS58" i="2542"/>
  <c r="HR58" i="2542"/>
  <c r="HQ58" i="2542"/>
  <c r="HP58" i="2542"/>
  <c r="HO58" i="2542"/>
  <c r="IE57" i="2542"/>
  <c r="ID57" i="2542"/>
  <c r="IB57" i="2542"/>
  <c r="HZ57" i="2542"/>
  <c r="HY57" i="2542"/>
  <c r="HX57" i="2542"/>
  <c r="HT57" i="2542"/>
  <c r="HS57" i="2542"/>
  <c r="HR57" i="2542"/>
  <c r="HP57" i="2542"/>
  <c r="HO57" i="2542"/>
  <c r="IE55" i="2542"/>
  <c r="ID55" i="2542"/>
  <c r="IC55" i="2542"/>
  <c r="IB55" i="2542"/>
  <c r="IN55" i="2542" s="1"/>
  <c r="HZ55" i="2542"/>
  <c r="HY55" i="2542"/>
  <c r="HX55" i="2542"/>
  <c r="HW55" i="2542"/>
  <c r="HV55" i="2542"/>
  <c r="HU55" i="2542"/>
  <c r="HT55" i="2542"/>
  <c r="HS55" i="2542"/>
  <c r="HR55" i="2542"/>
  <c r="HQ55" i="2542"/>
  <c r="HP55" i="2542"/>
  <c r="HO55" i="2542"/>
  <c r="IA55" i="2542" s="1"/>
  <c r="IQ54" i="2542"/>
  <c r="IE54" i="2542"/>
  <c r="ID54" i="2542"/>
  <c r="IC54" i="2542"/>
  <c r="IB54" i="2542"/>
  <c r="HZ54" i="2542"/>
  <c r="HY54" i="2542"/>
  <c r="HX54" i="2542"/>
  <c r="HW54" i="2542"/>
  <c r="HV54" i="2542"/>
  <c r="HU54" i="2542"/>
  <c r="IA54" i="2542" s="1"/>
  <c r="HT54" i="2542"/>
  <c r="HS54" i="2542"/>
  <c r="HR54" i="2542"/>
  <c r="HQ54" i="2542"/>
  <c r="HP54" i="2542"/>
  <c r="HO54" i="2542"/>
  <c r="IE53" i="2542"/>
  <c r="ID53" i="2542"/>
  <c r="HU53" i="2542"/>
  <c r="HT53" i="2542"/>
  <c r="HS53" i="2542"/>
  <c r="HR53" i="2542"/>
  <c r="IE52" i="2542"/>
  <c r="ID52" i="2542"/>
  <c r="IC52" i="2542"/>
  <c r="IB52" i="2542"/>
  <c r="HZ52" i="2542"/>
  <c r="HY52" i="2542"/>
  <c r="HX52" i="2542"/>
  <c r="HW52" i="2542"/>
  <c r="HV52" i="2542"/>
  <c r="HU52" i="2542"/>
  <c r="HT52" i="2542"/>
  <c r="HS52" i="2542"/>
  <c r="HR52" i="2542"/>
  <c r="HQ52" i="2542"/>
  <c r="HP52" i="2542"/>
  <c r="HO52" i="2542"/>
  <c r="IE51" i="2542"/>
  <c r="ID51" i="2542"/>
  <c r="IC51" i="2542"/>
  <c r="IB51" i="2542"/>
  <c r="HZ51" i="2542"/>
  <c r="HY51" i="2542"/>
  <c r="HX51" i="2542"/>
  <c r="HW51" i="2542"/>
  <c r="HV51" i="2542"/>
  <c r="HU51" i="2542"/>
  <c r="HT51" i="2542"/>
  <c r="HS51" i="2542"/>
  <c r="HR51" i="2542"/>
  <c r="HQ51" i="2542"/>
  <c r="HP51" i="2542"/>
  <c r="HO51" i="2542"/>
  <c r="IE50" i="2542"/>
  <c r="ID50" i="2542"/>
  <c r="IC50" i="2542"/>
  <c r="IB50" i="2542"/>
  <c r="HZ50" i="2542"/>
  <c r="HY50" i="2542"/>
  <c r="HX50" i="2542"/>
  <c r="HW50" i="2542"/>
  <c r="HV50" i="2542"/>
  <c r="HU50" i="2542"/>
  <c r="HT50" i="2542"/>
  <c r="HS50" i="2542"/>
  <c r="HR50" i="2542"/>
  <c r="HQ50" i="2542"/>
  <c r="HP50" i="2542"/>
  <c r="HO50" i="2542"/>
  <c r="IA50" i="2542" s="1"/>
  <c r="IE49" i="2542"/>
  <c r="ID49" i="2542"/>
  <c r="IC49" i="2542"/>
  <c r="IB49" i="2542"/>
  <c r="HZ49" i="2542"/>
  <c r="HY49" i="2542"/>
  <c r="HX49" i="2542"/>
  <c r="HW49" i="2542"/>
  <c r="HV49" i="2542"/>
  <c r="HU49" i="2542"/>
  <c r="HT49" i="2542"/>
  <c r="HS49" i="2542"/>
  <c r="HR49" i="2542"/>
  <c r="HQ49" i="2542"/>
  <c r="HP49" i="2542"/>
  <c r="HO49" i="2542"/>
  <c r="IE48" i="2542"/>
  <c r="ID48" i="2542"/>
  <c r="IC48" i="2542"/>
  <c r="IB48" i="2542"/>
  <c r="HZ48" i="2542"/>
  <c r="HY48" i="2542"/>
  <c r="HS48" i="2542"/>
  <c r="HR48" i="2542"/>
  <c r="HQ48" i="2542"/>
  <c r="HP48" i="2542"/>
  <c r="HO48" i="2542"/>
  <c r="IE47" i="2542"/>
  <c r="ID47" i="2542"/>
  <c r="IC47" i="2542"/>
  <c r="IB47" i="2542"/>
  <c r="IN47" i="2542" s="1"/>
  <c r="HZ47" i="2542"/>
  <c r="HY47" i="2542"/>
  <c r="HX47" i="2542"/>
  <c r="IA47" i="2542" s="1"/>
  <c r="HW47" i="2542"/>
  <c r="HV47" i="2542"/>
  <c r="HU47" i="2542"/>
  <c r="HT47" i="2542"/>
  <c r="HS47" i="2542"/>
  <c r="HR47" i="2542"/>
  <c r="HQ47" i="2542"/>
  <c r="HP47" i="2542"/>
  <c r="HO47" i="2542"/>
  <c r="IE46" i="2542"/>
  <c r="ID46" i="2542"/>
  <c r="IC46" i="2542"/>
  <c r="IB46" i="2542"/>
  <c r="HZ46" i="2542"/>
  <c r="HY46" i="2542"/>
  <c r="HX46" i="2542"/>
  <c r="HW46" i="2542"/>
  <c r="HV46" i="2542"/>
  <c r="HU46" i="2542"/>
  <c r="HT46" i="2542"/>
  <c r="HS46" i="2542"/>
  <c r="HR46" i="2542"/>
  <c r="HQ46" i="2542"/>
  <c r="HP46" i="2542"/>
  <c r="HO46" i="2542"/>
  <c r="IA46" i="2542" s="1"/>
  <c r="IE45" i="2542"/>
  <c r="ID45" i="2542"/>
  <c r="IC45" i="2542"/>
  <c r="IB45" i="2542"/>
  <c r="HZ45" i="2542"/>
  <c r="HY45" i="2542"/>
  <c r="HX45" i="2542"/>
  <c r="HW45" i="2542"/>
  <c r="HV45" i="2542"/>
  <c r="HU45" i="2542"/>
  <c r="HT45" i="2542"/>
  <c r="HS45" i="2542"/>
  <c r="HR45" i="2542"/>
  <c r="HQ45" i="2542"/>
  <c r="HP45" i="2542"/>
  <c r="HO45" i="2542"/>
  <c r="IA45" i="2542" s="1"/>
  <c r="IE44" i="2542"/>
  <c r="ID44" i="2542"/>
  <c r="IC44" i="2542"/>
  <c r="IB44" i="2542"/>
  <c r="HZ44" i="2542"/>
  <c r="HY44" i="2542"/>
  <c r="HX44" i="2542"/>
  <c r="HW44" i="2542"/>
  <c r="HV44" i="2542"/>
  <c r="HU44" i="2542"/>
  <c r="HT44" i="2542"/>
  <c r="HS44" i="2542"/>
  <c r="HR44" i="2542"/>
  <c r="HQ44" i="2542"/>
  <c r="HP44" i="2542"/>
  <c r="HO44" i="2542"/>
  <c r="IQ43" i="2542"/>
  <c r="IE43" i="2542"/>
  <c r="ID43" i="2542"/>
  <c r="IC43" i="2542"/>
  <c r="IB43" i="2542"/>
  <c r="HZ43" i="2542"/>
  <c r="HY43" i="2542"/>
  <c r="HX43" i="2542"/>
  <c r="HW43" i="2542"/>
  <c r="HV43" i="2542"/>
  <c r="HU43" i="2542"/>
  <c r="HT43" i="2542"/>
  <c r="HS43" i="2542"/>
  <c r="HR43" i="2542"/>
  <c r="HQ43" i="2542"/>
  <c r="HP43" i="2542"/>
  <c r="HO43" i="2542"/>
  <c r="IA43" i="2542" s="1"/>
  <c r="IE42" i="2542"/>
  <c r="HW42" i="2542"/>
  <c r="HV42" i="2542"/>
  <c r="HU42" i="2542"/>
  <c r="HT42" i="2542"/>
  <c r="HS42" i="2542"/>
  <c r="IC41" i="2542"/>
  <c r="HQ41" i="2542"/>
  <c r="IQ39" i="2542"/>
  <c r="IR39" i="2542" s="1"/>
  <c r="IA39" i="2542"/>
  <c r="IS38" i="2542"/>
  <c r="IR38" i="2542"/>
  <c r="IP38" i="2542"/>
  <c r="HO38" i="2542"/>
  <c r="IE36" i="2542"/>
  <c r="ID36" i="2542"/>
  <c r="IC36" i="2542"/>
  <c r="IB36" i="2542"/>
  <c r="HZ36" i="2542"/>
  <c r="HY36" i="2542"/>
  <c r="HX36" i="2542"/>
  <c r="HW36" i="2542"/>
  <c r="HV36" i="2542"/>
  <c r="HU36" i="2542"/>
  <c r="HT36" i="2542"/>
  <c r="HS36" i="2542"/>
  <c r="HR36" i="2542"/>
  <c r="HQ36" i="2542"/>
  <c r="HP36" i="2542"/>
  <c r="HO36" i="2542"/>
  <c r="IN30" i="2542"/>
  <c r="IA30" i="2542"/>
  <c r="IQ29" i="2542"/>
  <c r="IN29" i="2542"/>
  <c r="IA29" i="2542"/>
  <c r="IN28" i="2542"/>
  <c r="IA28" i="2542"/>
  <c r="IN27" i="2542"/>
  <c r="IA27" i="2542"/>
  <c r="IN26" i="2542"/>
  <c r="IA26" i="2542"/>
  <c r="IQ25" i="2542"/>
  <c r="IN25" i="2542"/>
  <c r="IA25" i="2542"/>
  <c r="IN24" i="2542"/>
  <c r="IA24" i="2542"/>
  <c r="IE23" i="2542"/>
  <c r="ID23" i="2542"/>
  <c r="IC23" i="2542"/>
  <c r="IC57" i="2542" s="1"/>
  <c r="IN23" i="2542"/>
  <c r="HY23" i="2542"/>
  <c r="HX23" i="2542"/>
  <c r="HW23" i="2542"/>
  <c r="HW57" i="2542" s="1"/>
  <c r="HV23" i="2542"/>
  <c r="HV57" i="2542" s="1"/>
  <c r="HU23" i="2542"/>
  <c r="HU57" i="2542" s="1"/>
  <c r="HT23" i="2542"/>
  <c r="HS23" i="2542"/>
  <c r="HR23" i="2542"/>
  <c r="HQ23" i="2542"/>
  <c r="HQ57" i="2542" s="1"/>
  <c r="HP23" i="2542"/>
  <c r="HO23" i="2542"/>
  <c r="IA23" i="2542" s="1"/>
  <c r="IQ21" i="2542"/>
  <c r="IN21" i="2542"/>
  <c r="IA21" i="2542"/>
  <c r="IQ20" i="2542"/>
  <c r="IN20" i="2542"/>
  <c r="IA20" i="2542"/>
  <c r="IE19" i="2542"/>
  <c r="ID19" i="2542"/>
  <c r="IC19" i="2542"/>
  <c r="IC53" i="2542" s="1"/>
  <c r="IN19" i="2542"/>
  <c r="HZ53" i="2542"/>
  <c r="HY19" i="2542"/>
  <c r="HY53" i="2542" s="1"/>
  <c r="HX19" i="2542"/>
  <c r="HX53" i="2542" s="1"/>
  <c r="HW19" i="2542"/>
  <c r="HW53" i="2542" s="1"/>
  <c r="HV19" i="2542"/>
  <c r="HV53" i="2542" s="1"/>
  <c r="HU19" i="2542"/>
  <c r="HT19" i="2542"/>
  <c r="HS19" i="2542"/>
  <c r="HR19" i="2542"/>
  <c r="HQ19" i="2542"/>
  <c r="HQ53" i="2542" s="1"/>
  <c r="HP19" i="2542"/>
  <c r="HP53" i="2542" s="1"/>
  <c r="HO19" i="2542"/>
  <c r="HO53" i="2542" s="1"/>
  <c r="IN18" i="2542"/>
  <c r="IA18" i="2542"/>
  <c r="IQ17" i="2542"/>
  <c r="IN17" i="2542"/>
  <c r="IA17" i="2542"/>
  <c r="IN16" i="2542"/>
  <c r="IA16" i="2542"/>
  <c r="IN15" i="2542"/>
  <c r="IA15" i="2542"/>
  <c r="IQ14" i="2542"/>
  <c r="IN14" i="2542"/>
  <c r="IE14" i="2542"/>
  <c r="ID14" i="2542"/>
  <c r="IC14" i="2542"/>
  <c r="HY14" i="2542"/>
  <c r="HX14" i="2542"/>
  <c r="HX48" i="2542" s="1"/>
  <c r="HW14" i="2542"/>
  <c r="HW48" i="2542" s="1"/>
  <c r="HV14" i="2542"/>
  <c r="HV48" i="2542" s="1"/>
  <c r="HU14" i="2542"/>
  <c r="HU48" i="2542" s="1"/>
  <c r="HT14" i="2542"/>
  <c r="HT48" i="2542" s="1"/>
  <c r="HS14" i="2542"/>
  <c r="HR14" i="2542"/>
  <c r="HQ14" i="2542"/>
  <c r="HP14" i="2542"/>
  <c r="HO14" i="2542"/>
  <c r="IA14" i="2542" s="1"/>
  <c r="IN13" i="2542"/>
  <c r="IA13" i="2542"/>
  <c r="IQ12" i="2542"/>
  <c r="IN12" i="2542"/>
  <c r="IA12" i="2542"/>
  <c r="IQ11" i="2542"/>
  <c r="IN11" i="2542"/>
  <c r="IA11" i="2542"/>
  <c r="IQ10" i="2542"/>
  <c r="IN10" i="2542"/>
  <c r="IA10" i="2542"/>
  <c r="IQ9" i="2542"/>
  <c r="IN9" i="2542"/>
  <c r="IA9" i="2542"/>
  <c r="IE8" i="2542"/>
  <c r="ID8" i="2542"/>
  <c r="ID7" i="2542" s="1"/>
  <c r="ID41" i="2542" s="1"/>
  <c r="IC8" i="2542"/>
  <c r="IC42" i="2542" s="1"/>
  <c r="IB42" i="2542"/>
  <c r="HZ42" i="2542"/>
  <c r="HY8" i="2542"/>
  <c r="HY42" i="2542" s="1"/>
  <c r="HX8" i="2542"/>
  <c r="HX7" i="2542" s="1"/>
  <c r="HX41" i="2542" s="1"/>
  <c r="HW8" i="2542"/>
  <c r="HV8" i="2542"/>
  <c r="HU8" i="2542"/>
  <c r="HT8" i="2542"/>
  <c r="HT7" i="2542" s="1"/>
  <c r="HT41" i="2542" s="1"/>
  <c r="HS8" i="2542"/>
  <c r="HS7" i="2542" s="1"/>
  <c r="HS41" i="2542" s="1"/>
  <c r="HR8" i="2542"/>
  <c r="HR7" i="2542" s="1"/>
  <c r="HR41" i="2542" s="1"/>
  <c r="HQ8" i="2542"/>
  <c r="HQ42" i="2542" s="1"/>
  <c r="HP8" i="2542"/>
  <c r="HP42" i="2542" s="1"/>
  <c r="HO8" i="2542"/>
  <c r="IA8" i="2542" s="1"/>
  <c r="IC7" i="2542"/>
  <c r="HW7" i="2542"/>
  <c r="HW41" i="2542" s="1"/>
  <c r="HQ7" i="2542"/>
  <c r="IQ5" i="2542"/>
  <c r="IN5" i="2542"/>
  <c r="IS4" i="2542" s="1"/>
  <c r="IA5" i="2542"/>
  <c r="IB4" i="2542"/>
  <c r="HO4" i="2542"/>
  <c r="HF85" i="2541"/>
  <c r="HA85" i="2541"/>
  <c r="GN85" i="2541"/>
  <c r="HF84" i="2541"/>
  <c r="HD84" i="2541" s="1"/>
  <c r="HA84" i="2541"/>
  <c r="GN84" i="2541"/>
  <c r="HF83" i="2541"/>
  <c r="HA83" i="2541"/>
  <c r="GN83" i="2541"/>
  <c r="HF82" i="2541"/>
  <c r="HD82" i="2541" s="1"/>
  <c r="HA82" i="2541"/>
  <c r="GN82" i="2541"/>
  <c r="HF81" i="2541"/>
  <c r="HA81" i="2541"/>
  <c r="GN81" i="2541"/>
  <c r="GR80" i="2541"/>
  <c r="GR77" i="2541" s="1"/>
  <c r="GQ80" i="2541"/>
  <c r="GP80" i="2541"/>
  <c r="GO80" i="2541"/>
  <c r="GO77" i="2541" s="1"/>
  <c r="GM80" i="2541"/>
  <c r="GM77" i="2541" s="1"/>
  <c r="GL80" i="2541"/>
  <c r="GL77" i="2541" s="1"/>
  <c r="GK80" i="2541"/>
  <c r="GJ80" i="2541"/>
  <c r="GI80" i="2541"/>
  <c r="GI77" i="2541" s="1"/>
  <c r="GH80" i="2541"/>
  <c r="GH77" i="2541" s="1"/>
  <c r="GG80" i="2541"/>
  <c r="GG77" i="2541" s="1"/>
  <c r="GF80" i="2541"/>
  <c r="GF77" i="2541" s="1"/>
  <c r="GE80" i="2541"/>
  <c r="GD80" i="2541"/>
  <c r="GC80" i="2541"/>
  <c r="GC77" i="2541" s="1"/>
  <c r="GB80" i="2541"/>
  <c r="GB77" i="2541" s="1"/>
  <c r="HF79" i="2541"/>
  <c r="HD79" i="2541" s="1"/>
  <c r="HA79" i="2541"/>
  <c r="GN79" i="2541"/>
  <c r="HF78" i="2541"/>
  <c r="HD78" i="2541" s="1"/>
  <c r="HA78" i="2541"/>
  <c r="GN78" i="2541"/>
  <c r="GQ77" i="2541"/>
  <c r="GP77" i="2541"/>
  <c r="GK77" i="2541"/>
  <c r="GJ77" i="2541"/>
  <c r="GE77" i="2541"/>
  <c r="GD77" i="2541"/>
  <c r="HF75" i="2541"/>
  <c r="HD75" i="2541" s="1"/>
  <c r="HA75" i="2541"/>
  <c r="GN75" i="2541"/>
  <c r="HF74" i="2541"/>
  <c r="HD74" i="2541" s="1"/>
  <c r="HA74" i="2541"/>
  <c r="GN74" i="2541"/>
  <c r="GR73" i="2541"/>
  <c r="GQ73" i="2541"/>
  <c r="GP73" i="2541"/>
  <c r="GO73" i="2541"/>
  <c r="HF73" i="2541" s="1"/>
  <c r="GM73" i="2541"/>
  <c r="GL73" i="2541"/>
  <c r="GK73" i="2541"/>
  <c r="GJ73" i="2541"/>
  <c r="GI73" i="2541"/>
  <c r="GH73" i="2541"/>
  <c r="GG73" i="2541"/>
  <c r="GF73" i="2541"/>
  <c r="GE73" i="2541"/>
  <c r="GD73" i="2541"/>
  <c r="GC73" i="2541"/>
  <c r="GB73" i="2541"/>
  <c r="GN73" i="2541" s="1"/>
  <c r="HF72" i="2541"/>
  <c r="HD72" i="2541" s="1"/>
  <c r="HA72" i="2541"/>
  <c r="GN72" i="2541"/>
  <c r="HF71" i="2541"/>
  <c r="HD71" i="2541" s="1"/>
  <c r="HA71" i="2541"/>
  <c r="GN71" i="2541"/>
  <c r="HF70" i="2541"/>
  <c r="HD70" i="2541" s="1"/>
  <c r="HA70" i="2541"/>
  <c r="GN70" i="2541"/>
  <c r="HF69" i="2541"/>
  <c r="HD69" i="2541" s="1"/>
  <c r="HA69" i="2541"/>
  <c r="GN69" i="2541"/>
  <c r="HF68" i="2541"/>
  <c r="HD68" i="2541" s="1"/>
  <c r="HA68" i="2541"/>
  <c r="GN68" i="2541"/>
  <c r="HF67" i="2541"/>
  <c r="HD67" i="2541" s="1"/>
  <c r="HA67" i="2541"/>
  <c r="GN67" i="2541"/>
  <c r="HF66" i="2541"/>
  <c r="HD66" i="2541" s="1"/>
  <c r="HA66" i="2541"/>
  <c r="GN66" i="2541"/>
  <c r="HF65" i="2541"/>
  <c r="HD65" i="2541" s="1"/>
  <c r="HA65" i="2541"/>
  <c r="GN65" i="2541"/>
  <c r="HF64" i="2541"/>
  <c r="HD64" i="2541" s="1"/>
  <c r="HA64" i="2541"/>
  <c r="GN64" i="2541"/>
  <c r="GR63" i="2541"/>
  <c r="GQ63" i="2541"/>
  <c r="GP63" i="2541"/>
  <c r="GO63" i="2541"/>
  <c r="GO62" i="2541" s="1"/>
  <c r="GM63" i="2541"/>
  <c r="GM62" i="2541" s="1"/>
  <c r="GM53" i="2541" s="1"/>
  <c r="GL63" i="2541"/>
  <c r="GL62" i="2541" s="1"/>
  <c r="GL53" i="2541" s="1"/>
  <c r="GK63" i="2541"/>
  <c r="GJ63" i="2541"/>
  <c r="GI63" i="2541"/>
  <c r="GI62" i="2541" s="1"/>
  <c r="GH63" i="2541"/>
  <c r="GH62" i="2541" s="1"/>
  <c r="GG63" i="2541"/>
  <c r="GG62" i="2541" s="1"/>
  <c r="GG53" i="2541" s="1"/>
  <c r="GG52" i="2541" s="1"/>
  <c r="GF63" i="2541"/>
  <c r="GF62" i="2541" s="1"/>
  <c r="GF53" i="2541" s="1"/>
  <c r="GF52" i="2541" s="1"/>
  <c r="GE63" i="2541"/>
  <c r="GD63" i="2541"/>
  <c r="GC63" i="2541"/>
  <c r="GC62" i="2541" s="1"/>
  <c r="GB63" i="2541"/>
  <c r="GB62" i="2541" s="1"/>
  <c r="GQ62" i="2541"/>
  <c r="GP62" i="2541"/>
  <c r="GK62" i="2541"/>
  <c r="GJ62" i="2541"/>
  <c r="GE62" i="2541"/>
  <c r="GD62" i="2541"/>
  <c r="HF61" i="2541"/>
  <c r="HD61" i="2541" s="1"/>
  <c r="HA61" i="2541"/>
  <c r="GN61" i="2541"/>
  <c r="HF60" i="2541"/>
  <c r="HD60" i="2541" s="1"/>
  <c r="HA60" i="2541"/>
  <c r="GN60" i="2541"/>
  <c r="HF59" i="2541"/>
  <c r="HD59" i="2541" s="1"/>
  <c r="HA59" i="2541"/>
  <c r="GN59" i="2541"/>
  <c r="HF58" i="2541"/>
  <c r="HD58" i="2541" s="1"/>
  <c r="HA58" i="2541"/>
  <c r="GN58" i="2541"/>
  <c r="HF57" i="2541"/>
  <c r="HD57" i="2541" s="1"/>
  <c r="HA57" i="2541"/>
  <c r="GN57" i="2541"/>
  <c r="HF56" i="2541"/>
  <c r="HD56" i="2541" s="1"/>
  <c r="GR56" i="2541"/>
  <c r="GQ56" i="2541"/>
  <c r="GQ53" i="2541" s="1"/>
  <c r="GQ52" i="2541" s="1"/>
  <c r="GP56" i="2541"/>
  <c r="GP53" i="2541" s="1"/>
  <c r="GP52" i="2541" s="1"/>
  <c r="GO56" i="2541"/>
  <c r="HA56" i="2541" s="1"/>
  <c r="GM56" i="2541"/>
  <c r="GL56" i="2541"/>
  <c r="GK56" i="2541"/>
  <c r="GK53" i="2541" s="1"/>
  <c r="GK52" i="2541" s="1"/>
  <c r="GJ56" i="2541"/>
  <c r="GJ53" i="2541" s="1"/>
  <c r="GJ52" i="2541" s="1"/>
  <c r="GI56" i="2541"/>
  <c r="GI53" i="2541" s="1"/>
  <c r="GI52" i="2541" s="1"/>
  <c r="GH56" i="2541"/>
  <c r="GH53" i="2541" s="1"/>
  <c r="GH52" i="2541" s="1"/>
  <c r="GG56" i="2541"/>
  <c r="GF56" i="2541"/>
  <c r="GE56" i="2541"/>
  <c r="GE53" i="2541" s="1"/>
  <c r="GE52" i="2541" s="1"/>
  <c r="GD56" i="2541"/>
  <c r="GD53" i="2541" s="1"/>
  <c r="GD52" i="2541" s="1"/>
  <c r="GC56" i="2541"/>
  <c r="GC53" i="2541" s="1"/>
  <c r="GC52" i="2541" s="1"/>
  <c r="GB56" i="2541"/>
  <c r="GN56" i="2541" s="1"/>
  <c r="HF55" i="2541"/>
  <c r="HD55" i="2541" s="1"/>
  <c r="HA55" i="2541"/>
  <c r="GN55" i="2541"/>
  <c r="HF54" i="2541"/>
  <c r="HD54" i="2541" s="1"/>
  <c r="HA54" i="2541"/>
  <c r="GN54" i="2541"/>
  <c r="GN51" i="2541"/>
  <c r="GR50" i="2541"/>
  <c r="GQ50" i="2541"/>
  <c r="GP50" i="2541"/>
  <c r="HF50" i="2541" s="1"/>
  <c r="GO50" i="2541"/>
  <c r="GM50" i="2541"/>
  <c r="GL50" i="2541"/>
  <c r="GK50" i="2541"/>
  <c r="GJ50" i="2541"/>
  <c r="GI50" i="2541"/>
  <c r="GH50" i="2541"/>
  <c r="GG50" i="2541"/>
  <c r="GF50" i="2541"/>
  <c r="GE50" i="2541"/>
  <c r="GD50" i="2541"/>
  <c r="GC50" i="2541"/>
  <c r="GB50" i="2541"/>
  <c r="GN50" i="2541" s="1"/>
  <c r="GR49" i="2541"/>
  <c r="GQ49" i="2541"/>
  <c r="GP49" i="2541"/>
  <c r="GO49" i="2541"/>
  <c r="HF49" i="2541" s="1"/>
  <c r="HD49" i="2541" s="1"/>
  <c r="GG49" i="2541"/>
  <c r="GF49" i="2541"/>
  <c r="GE49" i="2541"/>
  <c r="GD49" i="2541"/>
  <c r="GC49" i="2541"/>
  <c r="GB49" i="2541"/>
  <c r="HF47" i="2541"/>
  <c r="HD47" i="2541" s="1"/>
  <c r="HA47" i="2541"/>
  <c r="GN47" i="2541"/>
  <c r="HF46" i="2541"/>
  <c r="HD46" i="2541" s="1"/>
  <c r="HA46" i="2541"/>
  <c r="GN46" i="2541"/>
  <c r="HF45" i="2541"/>
  <c r="HD45" i="2541" s="1"/>
  <c r="HA45" i="2541"/>
  <c r="GN45" i="2541"/>
  <c r="HF44" i="2541"/>
  <c r="HD44" i="2541" s="1"/>
  <c r="HA44" i="2541"/>
  <c r="GN44" i="2541"/>
  <c r="HF43" i="2541"/>
  <c r="HD43" i="2541" s="1"/>
  <c r="HA43" i="2541"/>
  <c r="GN43" i="2541"/>
  <c r="HF42" i="2541"/>
  <c r="HD42" i="2541" s="1"/>
  <c r="HA42" i="2541"/>
  <c r="GN42" i="2541"/>
  <c r="HF41" i="2541"/>
  <c r="HD41" i="2541" s="1"/>
  <c r="HA41" i="2541"/>
  <c r="GN41" i="2541"/>
  <c r="GR40" i="2541"/>
  <c r="GQ40" i="2541"/>
  <c r="GP40" i="2541"/>
  <c r="GO40" i="2541"/>
  <c r="GO38" i="2541" s="1"/>
  <c r="GM40" i="2541"/>
  <c r="GM38" i="2541" s="1"/>
  <c r="GL40" i="2541"/>
  <c r="GL38" i="2541" s="1"/>
  <c r="GK40" i="2541"/>
  <c r="GJ40" i="2541"/>
  <c r="GI40" i="2541"/>
  <c r="GH40" i="2541"/>
  <c r="GH38" i="2541" s="1"/>
  <c r="GG40" i="2541"/>
  <c r="GG38" i="2541" s="1"/>
  <c r="GF40" i="2541"/>
  <c r="GF38" i="2541" s="1"/>
  <c r="GE40" i="2541"/>
  <c r="GD40" i="2541"/>
  <c r="GC40" i="2541"/>
  <c r="GC38" i="2541" s="1"/>
  <c r="GB40" i="2541"/>
  <c r="GB38" i="2541" s="1"/>
  <c r="GQ38" i="2541"/>
  <c r="GE38" i="2541"/>
  <c r="GD38" i="2541"/>
  <c r="HD37" i="2541"/>
  <c r="GN37" i="2541"/>
  <c r="HF36" i="2541"/>
  <c r="HE36" i="2541"/>
  <c r="HC36" i="2541"/>
  <c r="GB36" i="2541"/>
  <c r="HF30" i="2541"/>
  <c r="HD30" i="2541" s="1"/>
  <c r="HA30" i="2541"/>
  <c r="GN30" i="2541"/>
  <c r="HF29" i="2541"/>
  <c r="HD29" i="2541" s="1"/>
  <c r="HA29" i="2541"/>
  <c r="GN29" i="2541"/>
  <c r="HF28" i="2541"/>
  <c r="HD28" i="2541" s="1"/>
  <c r="HA28" i="2541"/>
  <c r="GN28" i="2541"/>
  <c r="HF27" i="2541"/>
  <c r="HD27" i="2541" s="1"/>
  <c r="HA27" i="2541"/>
  <c r="GN27" i="2541"/>
  <c r="HF26" i="2541"/>
  <c r="HD26" i="2541" s="1"/>
  <c r="HA26" i="2541"/>
  <c r="GN26" i="2541"/>
  <c r="HF25" i="2541"/>
  <c r="HD25" i="2541" s="1"/>
  <c r="HA25" i="2541"/>
  <c r="GN25" i="2541"/>
  <c r="HF24" i="2541"/>
  <c r="GR24" i="2541"/>
  <c r="GQ24" i="2541"/>
  <c r="GP24" i="2541"/>
  <c r="GO24" i="2541"/>
  <c r="HA24" i="2541" s="1"/>
  <c r="GM24" i="2541"/>
  <c r="GL24" i="2541"/>
  <c r="GK24" i="2541"/>
  <c r="GJ24" i="2541"/>
  <c r="GI24" i="2541"/>
  <c r="GH24" i="2541"/>
  <c r="GG24" i="2541"/>
  <c r="GF24" i="2541"/>
  <c r="GE24" i="2541"/>
  <c r="GD24" i="2541"/>
  <c r="GC24" i="2541"/>
  <c r="GB24" i="2541"/>
  <c r="HF22" i="2541"/>
  <c r="HD22" i="2541" s="1"/>
  <c r="HA22" i="2541"/>
  <c r="GN22" i="2541"/>
  <c r="HF21" i="2541"/>
  <c r="HD21" i="2541" s="1"/>
  <c r="HA21" i="2541"/>
  <c r="GN21" i="2541"/>
  <c r="HF20" i="2541"/>
  <c r="HD20" i="2541" s="1"/>
  <c r="GR20" i="2541"/>
  <c r="GQ20" i="2541"/>
  <c r="GP20" i="2541"/>
  <c r="GO20" i="2541"/>
  <c r="HA20" i="2541" s="1"/>
  <c r="GM20" i="2541"/>
  <c r="GL20" i="2541"/>
  <c r="GK20" i="2541"/>
  <c r="GJ20" i="2541"/>
  <c r="GI20" i="2541"/>
  <c r="GH20" i="2541"/>
  <c r="GG20" i="2541"/>
  <c r="GF20" i="2541"/>
  <c r="GE20" i="2541"/>
  <c r="GD20" i="2541"/>
  <c r="GC20" i="2541"/>
  <c r="GB20" i="2541"/>
  <c r="GN20" i="2541" s="1"/>
  <c r="HF19" i="2541"/>
  <c r="HD19" i="2541" s="1"/>
  <c r="HA19" i="2541"/>
  <c r="GN19" i="2541"/>
  <c r="HF18" i="2541"/>
  <c r="HD18" i="2541" s="1"/>
  <c r="HA18" i="2541"/>
  <c r="GN18" i="2541"/>
  <c r="HF17" i="2541"/>
  <c r="HD17" i="2541" s="1"/>
  <c r="GR17" i="2541"/>
  <c r="GQ17" i="2541"/>
  <c r="GP17" i="2541"/>
  <c r="GO17" i="2541"/>
  <c r="HA17" i="2541" s="1"/>
  <c r="GM17" i="2541"/>
  <c r="GM49" i="2541" s="1"/>
  <c r="GL17" i="2541"/>
  <c r="GL49" i="2541" s="1"/>
  <c r="GK17" i="2541"/>
  <c r="GK7" i="2541" s="1"/>
  <c r="GJ17" i="2541"/>
  <c r="GJ49" i="2541" s="1"/>
  <c r="GJ38" i="2541" s="1"/>
  <c r="GI17" i="2541"/>
  <c r="GI49" i="2541" s="1"/>
  <c r="GH17" i="2541"/>
  <c r="GH49" i="2541" s="1"/>
  <c r="GG17" i="2541"/>
  <c r="GF17" i="2541"/>
  <c r="GE17" i="2541"/>
  <c r="GD17" i="2541"/>
  <c r="GC17" i="2541"/>
  <c r="GB17" i="2541"/>
  <c r="GN17" i="2541" s="1"/>
  <c r="HF16" i="2541"/>
  <c r="HD16" i="2541" s="1"/>
  <c r="HA16" i="2541"/>
  <c r="GN16" i="2541"/>
  <c r="HF15" i="2541"/>
  <c r="HD15" i="2541" s="1"/>
  <c r="HD50" i="2541" s="1"/>
  <c r="HA15" i="2541"/>
  <c r="GN15" i="2541"/>
  <c r="HF14" i="2541"/>
  <c r="HD14" i="2541" s="1"/>
  <c r="HA14" i="2541"/>
  <c r="GN14" i="2541"/>
  <c r="HF13" i="2541"/>
  <c r="HD13" i="2541" s="1"/>
  <c r="HA13" i="2541"/>
  <c r="GN13" i="2541"/>
  <c r="HF12" i="2541"/>
  <c r="HD12" i="2541" s="1"/>
  <c r="HA12" i="2541"/>
  <c r="GN12" i="2541"/>
  <c r="HF11" i="2541"/>
  <c r="HD11" i="2541" s="1"/>
  <c r="HA11" i="2541"/>
  <c r="GN11" i="2541"/>
  <c r="HF10" i="2541"/>
  <c r="HD10" i="2541" s="1"/>
  <c r="HA10" i="2541"/>
  <c r="GN10" i="2541"/>
  <c r="HF9" i="2541"/>
  <c r="HD9" i="2541" s="1"/>
  <c r="HA9" i="2541"/>
  <c r="GN9" i="2541"/>
  <c r="GR8" i="2541"/>
  <c r="HA8" i="2541" s="1"/>
  <c r="GQ8" i="2541"/>
  <c r="GP8" i="2541"/>
  <c r="GO8" i="2541"/>
  <c r="GO7" i="2541" s="1"/>
  <c r="GM8" i="2541"/>
  <c r="GM7" i="2541" s="1"/>
  <c r="GL8" i="2541"/>
  <c r="GL7" i="2541" s="1"/>
  <c r="GK8" i="2541"/>
  <c r="GJ8" i="2541"/>
  <c r="GI8" i="2541"/>
  <c r="GI7" i="2541" s="1"/>
  <c r="GH8" i="2541"/>
  <c r="GH7" i="2541" s="1"/>
  <c r="GG8" i="2541"/>
  <c r="GG7" i="2541" s="1"/>
  <c r="GF8" i="2541"/>
  <c r="GF7" i="2541" s="1"/>
  <c r="GE8" i="2541"/>
  <c r="GD8" i="2541"/>
  <c r="GC8" i="2541"/>
  <c r="GC7" i="2541" s="1"/>
  <c r="GB8" i="2541"/>
  <c r="GN8" i="2541" s="1"/>
  <c r="GQ7" i="2541"/>
  <c r="GP7" i="2541"/>
  <c r="GE7" i="2541"/>
  <c r="GD7" i="2541"/>
  <c r="HD5" i="2541"/>
  <c r="GN5" i="2541"/>
  <c r="HF4" i="2541"/>
  <c r="HE4" i="2541"/>
  <c r="HC4" i="2541"/>
  <c r="GB4" i="2541"/>
  <c r="IS38" i="2540"/>
  <c r="IN38" i="2540"/>
  <c r="IA38" i="2540"/>
  <c r="IS37" i="2540"/>
  <c r="IN37" i="2540"/>
  <c r="IA37" i="2540"/>
  <c r="IS36" i="2540"/>
  <c r="IQ36" i="2540" s="1"/>
  <c r="IN36" i="2540"/>
  <c r="IA36" i="2540"/>
  <c r="IS35" i="2540"/>
  <c r="IQ35" i="2540" s="1"/>
  <c r="IN35" i="2540"/>
  <c r="IA35" i="2540"/>
  <c r="IS34" i="2540"/>
  <c r="IQ34" i="2540" s="1"/>
  <c r="IN34" i="2540"/>
  <c r="IA34" i="2540"/>
  <c r="IS33" i="2540"/>
  <c r="IQ33" i="2540" s="1"/>
  <c r="IN33" i="2540"/>
  <c r="IA33" i="2540"/>
  <c r="IS32" i="2540"/>
  <c r="IN32" i="2540"/>
  <c r="IA32" i="2540"/>
  <c r="IE31" i="2540"/>
  <c r="ID31" i="2540"/>
  <c r="IC31" i="2540"/>
  <c r="IN31" i="2540" s="1"/>
  <c r="IB31" i="2540"/>
  <c r="HZ31" i="2540"/>
  <c r="HY31" i="2540"/>
  <c r="HX31" i="2540"/>
  <c r="HW31" i="2540"/>
  <c r="HV31" i="2540"/>
  <c r="HU31" i="2540"/>
  <c r="HT31" i="2540"/>
  <c r="HS31" i="2540"/>
  <c r="HR31" i="2540"/>
  <c r="HQ31" i="2540"/>
  <c r="HP31" i="2540"/>
  <c r="HO31" i="2540"/>
  <c r="IA31" i="2540" s="1"/>
  <c r="IS29" i="2540"/>
  <c r="IN29" i="2540"/>
  <c r="IA29" i="2540"/>
  <c r="IS28" i="2540"/>
  <c r="IN28" i="2540"/>
  <c r="IA28" i="2540"/>
  <c r="IS27" i="2540"/>
  <c r="IN27" i="2540"/>
  <c r="IA27" i="2540"/>
  <c r="IS26" i="2540"/>
  <c r="IN26" i="2540"/>
  <c r="IA26" i="2540"/>
  <c r="IS25" i="2540"/>
  <c r="IN25" i="2540"/>
  <c r="IA25" i="2540"/>
  <c r="IS24" i="2540"/>
  <c r="IQ24" i="2540" s="1"/>
  <c r="IN24" i="2540"/>
  <c r="IA24" i="2540"/>
  <c r="IS23" i="2540"/>
  <c r="IQ23" i="2540" s="1"/>
  <c r="IN23" i="2540"/>
  <c r="IA23" i="2540"/>
  <c r="IS22" i="2540"/>
  <c r="IQ22" i="2540" s="1"/>
  <c r="IN22" i="2540"/>
  <c r="IA22" i="2540"/>
  <c r="IS21" i="2540"/>
  <c r="IQ21" i="2540" s="1"/>
  <c r="IN21" i="2540"/>
  <c r="IA21" i="2540"/>
  <c r="IS20" i="2540"/>
  <c r="IQ20" i="2540" s="1"/>
  <c r="IN20" i="2540"/>
  <c r="IA20" i="2540"/>
  <c r="IS19" i="2540"/>
  <c r="IN19" i="2540"/>
  <c r="IA19" i="2540"/>
  <c r="IS18" i="2540"/>
  <c r="IN18" i="2540"/>
  <c r="IA18" i="2540"/>
  <c r="IS17" i="2540"/>
  <c r="IN17" i="2540"/>
  <c r="IA17" i="2540"/>
  <c r="IS16" i="2540"/>
  <c r="IN16" i="2540"/>
  <c r="IA16" i="2540"/>
  <c r="IS15" i="2540"/>
  <c r="IN15" i="2540"/>
  <c r="IA15" i="2540"/>
  <c r="IS14" i="2540"/>
  <c r="IN14" i="2540"/>
  <c r="IA14" i="2540"/>
  <c r="IS13" i="2540"/>
  <c r="IN13" i="2540"/>
  <c r="IA13" i="2540"/>
  <c r="IS12" i="2540"/>
  <c r="IN12" i="2540"/>
  <c r="IA12" i="2540"/>
  <c r="IS11" i="2540"/>
  <c r="IQ11" i="2540" s="1"/>
  <c r="IN11" i="2540"/>
  <c r="IA11" i="2540"/>
  <c r="IS10" i="2540"/>
  <c r="IQ10" i="2540" s="1"/>
  <c r="IN10" i="2540"/>
  <c r="IA10" i="2540"/>
  <c r="IS9" i="2540"/>
  <c r="IQ9" i="2540" s="1"/>
  <c r="IN9" i="2540"/>
  <c r="IA9" i="2540"/>
  <c r="IS8" i="2540"/>
  <c r="IQ8" i="2540" s="1"/>
  <c r="IN8" i="2540"/>
  <c r="IA8" i="2540"/>
  <c r="IE7" i="2540"/>
  <c r="ID7" i="2540"/>
  <c r="IC7" i="2540"/>
  <c r="IB7" i="2540"/>
  <c r="IN7" i="2540" s="1"/>
  <c r="HZ7" i="2540"/>
  <c r="HY7" i="2540"/>
  <c r="HX7" i="2540"/>
  <c r="HW7" i="2540"/>
  <c r="HV7" i="2540"/>
  <c r="HU7" i="2540"/>
  <c r="HT7" i="2540"/>
  <c r="HS7" i="2540"/>
  <c r="HR7" i="2540"/>
  <c r="HQ7" i="2540"/>
  <c r="HP7" i="2540"/>
  <c r="HO7" i="2540"/>
  <c r="IN5" i="2540"/>
  <c r="IA5" i="2540"/>
  <c r="IB4" i="2540"/>
  <c r="HO4" i="2540"/>
  <c r="IE111" i="2539"/>
  <c r="ID111" i="2539"/>
  <c r="IC111" i="2539"/>
  <c r="IB111" i="2539"/>
  <c r="HZ111" i="2539"/>
  <c r="HY111" i="2539"/>
  <c r="HX111" i="2539"/>
  <c r="HW111" i="2539"/>
  <c r="HV111" i="2539"/>
  <c r="HU111" i="2539"/>
  <c r="HU106" i="2539" s="1"/>
  <c r="HU115" i="2539" s="1"/>
  <c r="HT111" i="2539"/>
  <c r="HS111" i="2539"/>
  <c r="HR111" i="2539"/>
  <c r="HQ111" i="2539"/>
  <c r="HP111" i="2539"/>
  <c r="HO111" i="2539"/>
  <c r="IE110" i="2539"/>
  <c r="ID110" i="2539"/>
  <c r="IC110" i="2539"/>
  <c r="IB110" i="2539"/>
  <c r="HZ110" i="2539"/>
  <c r="HY110" i="2539"/>
  <c r="HX110" i="2539"/>
  <c r="HW110" i="2539"/>
  <c r="HV110" i="2539"/>
  <c r="HU110" i="2539"/>
  <c r="HT110" i="2539"/>
  <c r="HS110" i="2539"/>
  <c r="HR110" i="2539"/>
  <c r="HQ110" i="2539"/>
  <c r="HP110" i="2539"/>
  <c r="HO110" i="2539"/>
  <c r="IE109" i="2539"/>
  <c r="ID109" i="2539"/>
  <c r="IC109" i="2539"/>
  <c r="IB109" i="2539"/>
  <c r="HZ109" i="2539"/>
  <c r="HZ106" i="2539" s="1"/>
  <c r="HZ115" i="2539" s="1"/>
  <c r="HY109" i="2539"/>
  <c r="HX109" i="2539"/>
  <c r="HW109" i="2539"/>
  <c r="HV109" i="2539"/>
  <c r="HU109" i="2539"/>
  <c r="HT109" i="2539"/>
  <c r="HS109" i="2539"/>
  <c r="HR109" i="2539"/>
  <c r="HQ109" i="2539"/>
  <c r="HP109" i="2539"/>
  <c r="HO109" i="2539"/>
  <c r="IE108" i="2539"/>
  <c r="ID108" i="2539"/>
  <c r="IC108" i="2539"/>
  <c r="IB108" i="2539"/>
  <c r="IN108" i="2539" s="1"/>
  <c r="HZ108" i="2539"/>
  <c r="HY108" i="2539"/>
  <c r="HX108" i="2539"/>
  <c r="HW108" i="2539"/>
  <c r="HW106" i="2539" s="1"/>
  <c r="HW115" i="2539" s="1"/>
  <c r="HV108" i="2539"/>
  <c r="HU108" i="2539"/>
  <c r="HT108" i="2539"/>
  <c r="HS108" i="2539"/>
  <c r="HR108" i="2539"/>
  <c r="HQ108" i="2539"/>
  <c r="HP108" i="2539"/>
  <c r="HO108" i="2539"/>
  <c r="IA108" i="2539" s="1"/>
  <c r="IE107" i="2539"/>
  <c r="ID107" i="2539"/>
  <c r="IC107" i="2539"/>
  <c r="IB107" i="2539"/>
  <c r="HZ107" i="2539"/>
  <c r="HY107" i="2539"/>
  <c r="HY106" i="2539" s="1"/>
  <c r="HY115" i="2539" s="1"/>
  <c r="HX107" i="2539"/>
  <c r="HX106" i="2539" s="1"/>
  <c r="HX115" i="2539" s="1"/>
  <c r="HW107" i="2539"/>
  <c r="HV107" i="2539"/>
  <c r="HU107" i="2539"/>
  <c r="HT107" i="2539"/>
  <c r="HS107" i="2539"/>
  <c r="HR107" i="2539"/>
  <c r="HQ107" i="2539"/>
  <c r="HP107" i="2539"/>
  <c r="HO107" i="2539"/>
  <c r="HV106" i="2539"/>
  <c r="HV115" i="2539" s="1"/>
  <c r="HT106" i="2539"/>
  <c r="HT115" i="2539" s="1"/>
  <c r="HS106" i="2539"/>
  <c r="HS115" i="2539" s="1"/>
  <c r="IE105" i="2539"/>
  <c r="ID105" i="2539"/>
  <c r="IC105" i="2539"/>
  <c r="IB105" i="2539"/>
  <c r="HZ105" i="2539"/>
  <c r="HY105" i="2539"/>
  <c r="HX105" i="2539"/>
  <c r="HW105" i="2539"/>
  <c r="HV105" i="2539"/>
  <c r="HU105" i="2539"/>
  <c r="HT105" i="2539"/>
  <c r="HS105" i="2539"/>
  <c r="HS100" i="2539" s="1"/>
  <c r="HS114" i="2539" s="1"/>
  <c r="HR105" i="2539"/>
  <c r="HQ105" i="2539"/>
  <c r="HP105" i="2539"/>
  <c r="HO105" i="2539"/>
  <c r="IE104" i="2539"/>
  <c r="ID104" i="2539"/>
  <c r="IC104" i="2539"/>
  <c r="IB104" i="2539"/>
  <c r="IA104" i="2539"/>
  <c r="HZ104" i="2539"/>
  <c r="HY104" i="2539"/>
  <c r="HX104" i="2539"/>
  <c r="HW104" i="2539"/>
  <c r="HV104" i="2539"/>
  <c r="HU104" i="2539"/>
  <c r="HT104" i="2539"/>
  <c r="HS104" i="2539"/>
  <c r="HR104" i="2539"/>
  <c r="HQ104" i="2539"/>
  <c r="HP104" i="2539"/>
  <c r="HO104" i="2539"/>
  <c r="IE103" i="2539"/>
  <c r="ID103" i="2539"/>
  <c r="IC103" i="2539"/>
  <c r="IB103" i="2539"/>
  <c r="HZ103" i="2539"/>
  <c r="HY103" i="2539"/>
  <c r="HX103" i="2539"/>
  <c r="HW103" i="2539"/>
  <c r="HV103" i="2539"/>
  <c r="HU103" i="2539"/>
  <c r="HT103" i="2539"/>
  <c r="HT100" i="2539" s="1"/>
  <c r="HT114" i="2539" s="1"/>
  <c r="HT112" i="2539" s="1"/>
  <c r="HS103" i="2539"/>
  <c r="HR103" i="2539"/>
  <c r="HQ103" i="2539"/>
  <c r="HP103" i="2539"/>
  <c r="HO103" i="2539"/>
  <c r="IE102" i="2539"/>
  <c r="ID102" i="2539"/>
  <c r="IC102" i="2539"/>
  <c r="IB102" i="2539"/>
  <c r="HZ102" i="2539"/>
  <c r="HZ100" i="2539" s="1"/>
  <c r="HZ114" i="2539" s="1"/>
  <c r="HY102" i="2539"/>
  <c r="HX102" i="2539"/>
  <c r="HW102" i="2539"/>
  <c r="HV102" i="2539"/>
  <c r="HU102" i="2539"/>
  <c r="HT102" i="2539"/>
  <c r="HS102" i="2539"/>
  <c r="HR102" i="2539"/>
  <c r="HQ102" i="2539"/>
  <c r="HP102" i="2539"/>
  <c r="HO102" i="2539"/>
  <c r="IE101" i="2539"/>
  <c r="ID101" i="2539"/>
  <c r="IC101" i="2539"/>
  <c r="IB101" i="2539"/>
  <c r="HZ101" i="2539"/>
  <c r="HY101" i="2539"/>
  <c r="HX101" i="2539"/>
  <c r="HX100" i="2539" s="1"/>
  <c r="HX114" i="2539" s="1"/>
  <c r="HW101" i="2539"/>
  <c r="HW100" i="2539" s="1"/>
  <c r="HW114" i="2539" s="1"/>
  <c r="HV101" i="2539"/>
  <c r="HV100" i="2539" s="1"/>
  <c r="HV114" i="2539" s="1"/>
  <c r="HU101" i="2539"/>
  <c r="HU100" i="2539" s="1"/>
  <c r="HU114" i="2539" s="1"/>
  <c r="HT101" i="2539"/>
  <c r="HS101" i="2539"/>
  <c r="HR101" i="2539"/>
  <c r="HQ101" i="2539"/>
  <c r="HP101" i="2539"/>
  <c r="HO101" i="2539"/>
  <c r="IE99" i="2539"/>
  <c r="ID99" i="2539"/>
  <c r="IC99" i="2539"/>
  <c r="HY99" i="2539"/>
  <c r="HX99" i="2539"/>
  <c r="HV99" i="2539"/>
  <c r="ID98" i="2539"/>
  <c r="IC98" i="2539"/>
  <c r="HX98" i="2539"/>
  <c r="HW98" i="2539"/>
  <c r="HV98" i="2539"/>
  <c r="HT98" i="2539"/>
  <c r="HR98" i="2539"/>
  <c r="HQ98" i="2539"/>
  <c r="HP98" i="2539"/>
  <c r="HO98" i="2539"/>
  <c r="ID97" i="2539"/>
  <c r="HV97" i="2539"/>
  <c r="HU97" i="2539"/>
  <c r="HT97" i="2539"/>
  <c r="HR97" i="2539"/>
  <c r="HQ97" i="2539"/>
  <c r="HP97" i="2539"/>
  <c r="IE96" i="2539"/>
  <c r="ID96" i="2539"/>
  <c r="IB96" i="2539"/>
  <c r="HY96" i="2539"/>
  <c r="HX96" i="2539"/>
  <c r="HW96" i="2539"/>
  <c r="HT96" i="2539"/>
  <c r="HS96" i="2539"/>
  <c r="HR96" i="2539"/>
  <c r="HP96" i="2539"/>
  <c r="IB95" i="2539"/>
  <c r="HY95" i="2539"/>
  <c r="HX95" i="2539"/>
  <c r="HX94" i="2539" s="1"/>
  <c r="HW95" i="2539"/>
  <c r="HP95" i="2539"/>
  <c r="HV94" i="2539"/>
  <c r="HV93" i="2539" s="1"/>
  <c r="HT93" i="2539"/>
  <c r="IS92" i="2539"/>
  <c r="IN92" i="2539"/>
  <c r="IA92" i="2539"/>
  <c r="IS91" i="2539"/>
  <c r="IQ91" i="2539" s="1"/>
  <c r="IN91" i="2539"/>
  <c r="IA91" i="2539"/>
  <c r="IS90" i="2539"/>
  <c r="IN90" i="2539"/>
  <c r="IA90" i="2539"/>
  <c r="IS89" i="2539"/>
  <c r="IQ89" i="2539" s="1"/>
  <c r="IN89" i="2539"/>
  <c r="IA89" i="2539"/>
  <c r="IS88" i="2539"/>
  <c r="IQ88" i="2539" s="1"/>
  <c r="IN88" i="2539"/>
  <c r="IA88" i="2539"/>
  <c r="IE87" i="2539"/>
  <c r="ID87" i="2539"/>
  <c r="IC87" i="2539"/>
  <c r="HZ87" i="2539"/>
  <c r="HY87" i="2539"/>
  <c r="HX87" i="2539"/>
  <c r="HW87" i="2539"/>
  <c r="HV87" i="2539"/>
  <c r="HU87" i="2539"/>
  <c r="HT87" i="2539"/>
  <c r="HS87" i="2539"/>
  <c r="HR87" i="2539"/>
  <c r="HQ87" i="2539"/>
  <c r="HP87" i="2539"/>
  <c r="HO87" i="2539"/>
  <c r="IA87" i="2539" s="1"/>
  <c r="IS86" i="2539"/>
  <c r="IN86" i="2539"/>
  <c r="IA86" i="2539"/>
  <c r="IS85" i="2539"/>
  <c r="IN85" i="2539"/>
  <c r="IA85" i="2539"/>
  <c r="IS84" i="2539"/>
  <c r="IN84" i="2539"/>
  <c r="IA84" i="2539"/>
  <c r="IS83" i="2539"/>
  <c r="IN83" i="2539"/>
  <c r="IA83" i="2539"/>
  <c r="IS82" i="2539"/>
  <c r="IN82" i="2539"/>
  <c r="IA82" i="2539"/>
  <c r="HZ81" i="2539"/>
  <c r="HY81" i="2539"/>
  <c r="HX81" i="2539"/>
  <c r="HW81" i="2539"/>
  <c r="HV81" i="2539"/>
  <c r="HU81" i="2539"/>
  <c r="HT81" i="2539"/>
  <c r="HS81" i="2539"/>
  <c r="HR81" i="2539"/>
  <c r="HQ81" i="2539"/>
  <c r="HP81" i="2539"/>
  <c r="HO81" i="2539"/>
  <c r="IE80" i="2539"/>
  <c r="ID80" i="2539"/>
  <c r="IC80" i="2539"/>
  <c r="IB80" i="2539"/>
  <c r="HZ80" i="2539"/>
  <c r="HZ99" i="2539" s="1"/>
  <c r="HY80" i="2539"/>
  <c r="HX80" i="2539"/>
  <c r="HW80" i="2539"/>
  <c r="HW99" i="2539" s="1"/>
  <c r="HV80" i="2539"/>
  <c r="HU80" i="2539"/>
  <c r="HU99" i="2539" s="1"/>
  <c r="HT80" i="2539"/>
  <c r="HT99" i="2539" s="1"/>
  <c r="HS80" i="2539"/>
  <c r="HS99" i="2539" s="1"/>
  <c r="HR80" i="2539"/>
  <c r="HR99" i="2539" s="1"/>
  <c r="HQ80" i="2539"/>
  <c r="HQ99" i="2539" s="1"/>
  <c r="HP80" i="2539"/>
  <c r="HP99" i="2539" s="1"/>
  <c r="HO80" i="2539"/>
  <c r="IE79" i="2539"/>
  <c r="ID79" i="2539"/>
  <c r="IC79" i="2539"/>
  <c r="IB79" i="2539"/>
  <c r="HZ79" i="2539"/>
  <c r="HZ98" i="2539" s="1"/>
  <c r="HY79" i="2539"/>
  <c r="HY98" i="2539" s="1"/>
  <c r="HX79" i="2539"/>
  <c r="HW79" i="2539"/>
  <c r="HV79" i="2539"/>
  <c r="HU79" i="2539"/>
  <c r="HU98" i="2539" s="1"/>
  <c r="HT79" i="2539"/>
  <c r="HS79" i="2539"/>
  <c r="HS98" i="2539" s="1"/>
  <c r="HR79" i="2539"/>
  <c r="HQ79" i="2539"/>
  <c r="HP79" i="2539"/>
  <c r="HO79" i="2539"/>
  <c r="IE78" i="2539"/>
  <c r="ID78" i="2539"/>
  <c r="IC78" i="2539"/>
  <c r="IC97" i="2539" s="1"/>
  <c r="IB78" i="2539"/>
  <c r="HZ78" i="2539"/>
  <c r="HY78" i="2539"/>
  <c r="HY97" i="2539" s="1"/>
  <c r="HX78" i="2539"/>
  <c r="HX97" i="2539" s="1"/>
  <c r="HW78" i="2539"/>
  <c r="HW97" i="2539" s="1"/>
  <c r="HV78" i="2539"/>
  <c r="HU78" i="2539"/>
  <c r="HT78" i="2539"/>
  <c r="HS78" i="2539"/>
  <c r="HS97" i="2539" s="1"/>
  <c r="HR78" i="2539"/>
  <c r="HQ78" i="2539"/>
  <c r="HP78" i="2539"/>
  <c r="HO78" i="2539"/>
  <c r="IS77" i="2539"/>
  <c r="IE77" i="2539"/>
  <c r="ID77" i="2539"/>
  <c r="IC77" i="2539"/>
  <c r="IC96" i="2539" s="1"/>
  <c r="IB77" i="2539"/>
  <c r="IN77" i="2539" s="1"/>
  <c r="HZ77" i="2539"/>
  <c r="HZ96" i="2539" s="1"/>
  <c r="HY77" i="2539"/>
  <c r="HX77" i="2539"/>
  <c r="HW77" i="2539"/>
  <c r="HV77" i="2539"/>
  <c r="HV96" i="2539" s="1"/>
  <c r="HU77" i="2539"/>
  <c r="HU96" i="2539" s="1"/>
  <c r="HU94" i="2539" s="1"/>
  <c r="HT77" i="2539"/>
  <c r="HS77" i="2539"/>
  <c r="HR77" i="2539"/>
  <c r="HQ77" i="2539"/>
  <c r="HQ96" i="2539" s="1"/>
  <c r="HP77" i="2539"/>
  <c r="HO77" i="2539"/>
  <c r="IS76" i="2539"/>
  <c r="IQ76" i="2539" s="1"/>
  <c r="IE76" i="2539"/>
  <c r="IE95" i="2539" s="1"/>
  <c r="ID76" i="2539"/>
  <c r="IC76" i="2539"/>
  <c r="IC95" i="2539" s="1"/>
  <c r="IB76" i="2539"/>
  <c r="HZ76" i="2539"/>
  <c r="HZ95" i="2539" s="1"/>
  <c r="HY76" i="2539"/>
  <c r="HX76" i="2539"/>
  <c r="HW76" i="2539"/>
  <c r="HV76" i="2539"/>
  <c r="HV95" i="2539" s="1"/>
  <c r="HU76" i="2539"/>
  <c r="HU95" i="2539" s="1"/>
  <c r="HT76" i="2539"/>
  <c r="HT95" i="2539" s="1"/>
  <c r="HT94" i="2539" s="1"/>
  <c r="HT113" i="2539" s="1"/>
  <c r="HS76" i="2539"/>
  <c r="HS95" i="2539" s="1"/>
  <c r="HR76" i="2539"/>
  <c r="HR75" i="2539" s="1"/>
  <c r="HR74" i="2539" s="1"/>
  <c r="HQ76" i="2539"/>
  <c r="HP76" i="2539"/>
  <c r="HO76" i="2539"/>
  <c r="HX75" i="2539"/>
  <c r="HX74" i="2539" s="1"/>
  <c r="HW75" i="2539"/>
  <c r="HW74" i="2539" s="1"/>
  <c r="IR73" i="2539"/>
  <c r="IS73" i="2539" s="1"/>
  <c r="IE70" i="2539"/>
  <c r="ID70" i="2539"/>
  <c r="IC70" i="2539"/>
  <c r="IB70" i="2539"/>
  <c r="HZ70" i="2539"/>
  <c r="HY70" i="2539"/>
  <c r="HX70" i="2539"/>
  <c r="HW70" i="2539"/>
  <c r="HV70" i="2539"/>
  <c r="HU70" i="2539"/>
  <c r="HT70" i="2539"/>
  <c r="HS70" i="2539"/>
  <c r="HR70" i="2539"/>
  <c r="HQ70" i="2539"/>
  <c r="HP70" i="2539"/>
  <c r="HO70" i="2539"/>
  <c r="IE68" i="2539"/>
  <c r="ID68" i="2539"/>
  <c r="IC68" i="2539"/>
  <c r="IB68" i="2539"/>
  <c r="HZ68" i="2539"/>
  <c r="HY68" i="2539"/>
  <c r="HX68" i="2539"/>
  <c r="HW68" i="2539"/>
  <c r="HV68" i="2539"/>
  <c r="HU68" i="2539"/>
  <c r="HT68" i="2539"/>
  <c r="HS68" i="2539"/>
  <c r="HR68" i="2539"/>
  <c r="HQ68" i="2539"/>
  <c r="HP68" i="2539"/>
  <c r="HO68" i="2539"/>
  <c r="IE64" i="2539"/>
  <c r="ID64" i="2539"/>
  <c r="IC64" i="2539"/>
  <c r="IB64" i="2539"/>
  <c r="IA64" i="2539"/>
  <c r="IE63" i="2539"/>
  <c r="ID63" i="2539"/>
  <c r="IC63" i="2539"/>
  <c r="IB63" i="2539"/>
  <c r="IA63" i="2539"/>
  <c r="IE62" i="2539"/>
  <c r="ID62" i="2539"/>
  <c r="IC62" i="2539"/>
  <c r="IB62" i="2539"/>
  <c r="HZ62" i="2539"/>
  <c r="HY62" i="2539"/>
  <c r="HX62" i="2539"/>
  <c r="HW62" i="2539"/>
  <c r="HV62" i="2539"/>
  <c r="HU62" i="2539"/>
  <c r="HT62" i="2539"/>
  <c r="HS62" i="2539"/>
  <c r="HR62" i="2539"/>
  <c r="HQ62" i="2539"/>
  <c r="HP62" i="2539"/>
  <c r="HO62" i="2539"/>
  <c r="IE61" i="2539"/>
  <c r="ID61" i="2539"/>
  <c r="IC61" i="2539"/>
  <c r="IB61" i="2539"/>
  <c r="HZ61" i="2539"/>
  <c r="HY61" i="2539"/>
  <c r="HX61" i="2539"/>
  <c r="HW61" i="2539"/>
  <c r="HV61" i="2539"/>
  <c r="HU61" i="2539"/>
  <c r="HT61" i="2539"/>
  <c r="HS61" i="2539"/>
  <c r="HR61" i="2539"/>
  <c r="HQ61" i="2539"/>
  <c r="HP61" i="2539"/>
  <c r="HO61" i="2539"/>
  <c r="IE60" i="2539"/>
  <c r="ID60" i="2539"/>
  <c r="IC60" i="2539"/>
  <c r="IB60" i="2539"/>
  <c r="HZ60" i="2539"/>
  <c r="HY60" i="2539"/>
  <c r="HX60" i="2539"/>
  <c r="HW60" i="2539"/>
  <c r="HV60" i="2539"/>
  <c r="HU60" i="2539"/>
  <c r="HT60" i="2539"/>
  <c r="HS60" i="2539"/>
  <c r="HR60" i="2539"/>
  <c r="HQ60" i="2539"/>
  <c r="HP60" i="2539"/>
  <c r="HO60" i="2539"/>
  <c r="IE59" i="2539"/>
  <c r="ID59" i="2539"/>
  <c r="IC59" i="2539"/>
  <c r="IB59" i="2539"/>
  <c r="IN59" i="2539" s="1"/>
  <c r="HZ59" i="2539"/>
  <c r="HY59" i="2539"/>
  <c r="HX59" i="2539"/>
  <c r="HW59" i="2539"/>
  <c r="HV59" i="2539"/>
  <c r="IA59" i="2539" s="1"/>
  <c r="HU59" i="2539"/>
  <c r="HT59" i="2539"/>
  <c r="HS59" i="2539"/>
  <c r="HR59" i="2539"/>
  <c r="HQ59" i="2539"/>
  <c r="HP59" i="2539"/>
  <c r="HO59" i="2539"/>
  <c r="IN58" i="2539"/>
  <c r="IE58" i="2539"/>
  <c r="ID58" i="2539"/>
  <c r="IC58" i="2539"/>
  <c r="IB58" i="2539"/>
  <c r="HZ58" i="2539"/>
  <c r="HY58" i="2539"/>
  <c r="HX58" i="2539"/>
  <c r="HW58" i="2539"/>
  <c r="HV58" i="2539"/>
  <c r="HU58" i="2539"/>
  <c r="HT58" i="2539"/>
  <c r="HS58" i="2539"/>
  <c r="HR58" i="2539"/>
  <c r="HQ58" i="2539"/>
  <c r="HP58" i="2539"/>
  <c r="HO58" i="2539"/>
  <c r="IA58" i="2539" s="1"/>
  <c r="IE57" i="2539"/>
  <c r="ID57" i="2539"/>
  <c r="HY57" i="2539"/>
  <c r="HX57" i="2539"/>
  <c r="HS57" i="2539"/>
  <c r="HR57" i="2539"/>
  <c r="HZ56" i="2539"/>
  <c r="IQ55" i="2539"/>
  <c r="IE55" i="2539"/>
  <c r="ID55" i="2539"/>
  <c r="IC55" i="2539"/>
  <c r="IB55" i="2539"/>
  <c r="HZ55" i="2539"/>
  <c r="HY55" i="2539"/>
  <c r="HX55" i="2539"/>
  <c r="HW55" i="2539"/>
  <c r="HV55" i="2539"/>
  <c r="HU55" i="2539"/>
  <c r="HT55" i="2539"/>
  <c r="HS55" i="2539"/>
  <c r="HR55" i="2539"/>
  <c r="HQ55" i="2539"/>
  <c r="HP55" i="2539"/>
  <c r="HO55" i="2539"/>
  <c r="IE54" i="2539"/>
  <c r="ID54" i="2539"/>
  <c r="IC54" i="2539"/>
  <c r="IB54" i="2539"/>
  <c r="HZ54" i="2539"/>
  <c r="HY54" i="2539"/>
  <c r="HX54" i="2539"/>
  <c r="HW54" i="2539"/>
  <c r="HV54" i="2539"/>
  <c r="HU54" i="2539"/>
  <c r="HT54" i="2539"/>
  <c r="HS54" i="2539"/>
  <c r="HR54" i="2539"/>
  <c r="HQ54" i="2539"/>
  <c r="HP54" i="2539"/>
  <c r="HO54" i="2539"/>
  <c r="IC53" i="2539"/>
  <c r="IB53" i="2539"/>
  <c r="HZ53" i="2539"/>
  <c r="HU53" i="2539"/>
  <c r="HT53" i="2539"/>
  <c r="HS53" i="2539"/>
  <c r="HQ53" i="2539"/>
  <c r="HP53" i="2539"/>
  <c r="HO53" i="2539"/>
  <c r="IE52" i="2539"/>
  <c r="ID52" i="2539"/>
  <c r="IC52" i="2539"/>
  <c r="IB52" i="2539"/>
  <c r="HZ52" i="2539"/>
  <c r="HY52" i="2539"/>
  <c r="HX52" i="2539"/>
  <c r="HW52" i="2539"/>
  <c r="HV52" i="2539"/>
  <c r="HU52" i="2539"/>
  <c r="HT52" i="2539"/>
  <c r="HS52" i="2539"/>
  <c r="HR52" i="2539"/>
  <c r="HQ52" i="2539"/>
  <c r="HP52" i="2539"/>
  <c r="HO52" i="2539"/>
  <c r="IE51" i="2539"/>
  <c r="ID51" i="2539"/>
  <c r="IC51" i="2539"/>
  <c r="IB51" i="2539"/>
  <c r="HZ51" i="2539"/>
  <c r="HY51" i="2539"/>
  <c r="HX51" i="2539"/>
  <c r="IA51" i="2539" s="1"/>
  <c r="HW51" i="2539"/>
  <c r="HV51" i="2539"/>
  <c r="HU51" i="2539"/>
  <c r="HT51" i="2539"/>
  <c r="HS51" i="2539"/>
  <c r="HR51" i="2539"/>
  <c r="HQ51" i="2539"/>
  <c r="HP51" i="2539"/>
  <c r="HO51" i="2539"/>
  <c r="IE50" i="2539"/>
  <c r="ID50" i="2539"/>
  <c r="IC50" i="2539"/>
  <c r="IB50" i="2539"/>
  <c r="HZ50" i="2539"/>
  <c r="HY50" i="2539"/>
  <c r="HX50" i="2539"/>
  <c r="HW50" i="2539"/>
  <c r="HV50" i="2539"/>
  <c r="HU50" i="2539"/>
  <c r="HT50" i="2539"/>
  <c r="HS50" i="2539"/>
  <c r="HR50" i="2539"/>
  <c r="HQ50" i="2539"/>
  <c r="HP50" i="2539"/>
  <c r="HO50" i="2539"/>
  <c r="IE49" i="2539"/>
  <c r="ID49" i="2539"/>
  <c r="IC49" i="2539"/>
  <c r="IB49" i="2539"/>
  <c r="HZ49" i="2539"/>
  <c r="HY49" i="2539"/>
  <c r="HX49" i="2539"/>
  <c r="HW49" i="2539"/>
  <c r="HV49" i="2539"/>
  <c r="HU49" i="2539"/>
  <c r="HT49" i="2539"/>
  <c r="HS49" i="2539"/>
  <c r="HR49" i="2539"/>
  <c r="HQ49" i="2539"/>
  <c r="HP49" i="2539"/>
  <c r="HO49" i="2539"/>
  <c r="IB48" i="2539"/>
  <c r="HZ48" i="2539"/>
  <c r="HY48" i="2539"/>
  <c r="HX48" i="2539"/>
  <c r="HW48" i="2539"/>
  <c r="HV48" i="2539"/>
  <c r="HU48" i="2539"/>
  <c r="HO48" i="2539"/>
  <c r="IE47" i="2539"/>
  <c r="ID47" i="2539"/>
  <c r="IC47" i="2539"/>
  <c r="IB47" i="2539"/>
  <c r="HZ47" i="2539"/>
  <c r="HY47" i="2539"/>
  <c r="HX47" i="2539"/>
  <c r="HW47" i="2539"/>
  <c r="HV47" i="2539"/>
  <c r="HU47" i="2539"/>
  <c r="HT47" i="2539"/>
  <c r="HS47" i="2539"/>
  <c r="HR47" i="2539"/>
  <c r="HQ47" i="2539"/>
  <c r="HP47" i="2539"/>
  <c r="HO47" i="2539"/>
  <c r="IE46" i="2539"/>
  <c r="ID46" i="2539"/>
  <c r="IC46" i="2539"/>
  <c r="IB46" i="2539"/>
  <c r="HZ46" i="2539"/>
  <c r="HY46" i="2539"/>
  <c r="HX46" i="2539"/>
  <c r="HW46" i="2539"/>
  <c r="HV46" i="2539"/>
  <c r="HU46" i="2539"/>
  <c r="HT46" i="2539"/>
  <c r="HS46" i="2539"/>
  <c r="HR46" i="2539"/>
  <c r="HQ46" i="2539"/>
  <c r="HP46" i="2539"/>
  <c r="HO46" i="2539"/>
  <c r="IE45" i="2539"/>
  <c r="ID45" i="2539"/>
  <c r="IC45" i="2539"/>
  <c r="IB45" i="2539"/>
  <c r="HZ45" i="2539"/>
  <c r="HY45" i="2539"/>
  <c r="HX45" i="2539"/>
  <c r="HW45" i="2539"/>
  <c r="HV45" i="2539"/>
  <c r="HU45" i="2539"/>
  <c r="HT45" i="2539"/>
  <c r="HS45" i="2539"/>
  <c r="HR45" i="2539"/>
  <c r="HQ45" i="2539"/>
  <c r="HP45" i="2539"/>
  <c r="HO45" i="2539"/>
  <c r="IQ44" i="2539"/>
  <c r="IE44" i="2539"/>
  <c r="ID44" i="2539"/>
  <c r="IC44" i="2539"/>
  <c r="IN44" i="2539" s="1"/>
  <c r="IB44" i="2539"/>
  <c r="HZ44" i="2539"/>
  <c r="HY44" i="2539"/>
  <c r="HX44" i="2539"/>
  <c r="HW44" i="2539"/>
  <c r="HV44" i="2539"/>
  <c r="HU44" i="2539"/>
  <c r="HT44" i="2539"/>
  <c r="HS44" i="2539"/>
  <c r="HR44" i="2539"/>
  <c r="HQ44" i="2539"/>
  <c r="HP44" i="2539"/>
  <c r="HO44" i="2539"/>
  <c r="IE43" i="2539"/>
  <c r="ID43" i="2539"/>
  <c r="IC43" i="2539"/>
  <c r="IB43" i="2539"/>
  <c r="HZ43" i="2539"/>
  <c r="HY43" i="2539"/>
  <c r="HX43" i="2539"/>
  <c r="HW43" i="2539"/>
  <c r="HV43" i="2539"/>
  <c r="HU43" i="2539"/>
  <c r="HT43" i="2539"/>
  <c r="HS43" i="2539"/>
  <c r="HR43" i="2539"/>
  <c r="HQ43" i="2539"/>
  <c r="HP43" i="2539"/>
  <c r="HO43" i="2539"/>
  <c r="IE42" i="2539"/>
  <c r="ID42" i="2539"/>
  <c r="IC42" i="2539"/>
  <c r="IB42" i="2539"/>
  <c r="HV42" i="2539"/>
  <c r="HU42" i="2539"/>
  <c r="HS42" i="2539"/>
  <c r="HR42" i="2539"/>
  <c r="HQ42" i="2539"/>
  <c r="HP42" i="2539"/>
  <c r="IC41" i="2539"/>
  <c r="IB41" i="2539"/>
  <c r="HP41" i="2539"/>
  <c r="HO41" i="2539"/>
  <c r="IQ39" i="2539"/>
  <c r="IA39" i="2539"/>
  <c r="IS38" i="2539"/>
  <c r="IR38" i="2539"/>
  <c r="IP38" i="2539"/>
  <c r="HO38" i="2539"/>
  <c r="IE36" i="2539"/>
  <c r="ID36" i="2539"/>
  <c r="IC36" i="2539"/>
  <c r="IB36" i="2539"/>
  <c r="HZ36" i="2539"/>
  <c r="HY36" i="2539"/>
  <c r="HX36" i="2539"/>
  <c r="HW36" i="2539"/>
  <c r="HV36" i="2539"/>
  <c r="HU36" i="2539"/>
  <c r="HT36" i="2539"/>
  <c r="HS36" i="2539"/>
  <c r="HR36" i="2539"/>
  <c r="HQ36" i="2539"/>
  <c r="HP36" i="2539"/>
  <c r="HO36" i="2539"/>
  <c r="IP30" i="2539"/>
  <c r="IN30" i="2539"/>
  <c r="IA30" i="2539"/>
  <c r="IP29" i="2539"/>
  <c r="IN29" i="2539"/>
  <c r="IA29" i="2539"/>
  <c r="IQ28" i="2539"/>
  <c r="IP28" i="2539"/>
  <c r="IN28" i="2539"/>
  <c r="IA28" i="2539"/>
  <c r="IN27" i="2539"/>
  <c r="IA27" i="2539"/>
  <c r="IN26" i="2539"/>
  <c r="IA26" i="2539"/>
  <c r="IN25" i="2539"/>
  <c r="IA25" i="2539"/>
  <c r="IQ24" i="2539"/>
  <c r="IN24" i="2539"/>
  <c r="IA24" i="2539"/>
  <c r="IE23" i="2539"/>
  <c r="IQ23" i="2539" s="1"/>
  <c r="ID23" i="2539"/>
  <c r="IC23" i="2539"/>
  <c r="IC57" i="2539" s="1"/>
  <c r="IB23" i="2539"/>
  <c r="IB57" i="2539" s="1"/>
  <c r="HZ57" i="2539"/>
  <c r="HY23" i="2539"/>
  <c r="HX23" i="2539"/>
  <c r="HW23" i="2539"/>
  <c r="HW57" i="2539" s="1"/>
  <c r="HV23" i="2539"/>
  <c r="HV57" i="2539" s="1"/>
  <c r="HU23" i="2539"/>
  <c r="HU57" i="2539" s="1"/>
  <c r="HT23" i="2539"/>
  <c r="HT57" i="2539" s="1"/>
  <c r="HS23" i="2539"/>
  <c r="HR23" i="2539"/>
  <c r="HQ23" i="2539"/>
  <c r="HQ57" i="2539" s="1"/>
  <c r="HP23" i="2539"/>
  <c r="HP57" i="2539" s="1"/>
  <c r="HO23" i="2539"/>
  <c r="IA23" i="2539" s="1"/>
  <c r="IQ21" i="2539"/>
  <c r="IN21" i="2539"/>
  <c r="IA21" i="2539"/>
  <c r="IQ20" i="2539"/>
  <c r="IN20" i="2539"/>
  <c r="IA20" i="2539"/>
  <c r="IE19" i="2539"/>
  <c r="ID19" i="2539"/>
  <c r="ID7" i="2539" s="1"/>
  <c r="IC19" i="2539"/>
  <c r="IB19" i="2539"/>
  <c r="HY19" i="2539"/>
  <c r="HY53" i="2539" s="1"/>
  <c r="HX19" i="2539"/>
  <c r="HX53" i="2539" s="1"/>
  <c r="HW19" i="2539"/>
  <c r="HW53" i="2539" s="1"/>
  <c r="HV19" i="2539"/>
  <c r="HV53" i="2539" s="1"/>
  <c r="HU19" i="2539"/>
  <c r="HT19" i="2539"/>
  <c r="HS19" i="2539"/>
  <c r="HR19" i="2539"/>
  <c r="HR53" i="2539" s="1"/>
  <c r="HQ19" i="2539"/>
  <c r="HP19" i="2539"/>
  <c r="HO19" i="2539"/>
  <c r="IN18" i="2539"/>
  <c r="IA18" i="2539"/>
  <c r="IN17" i="2539"/>
  <c r="IA17" i="2539"/>
  <c r="IN16" i="2539"/>
  <c r="IA16" i="2539"/>
  <c r="IN15" i="2539"/>
  <c r="IA15" i="2539"/>
  <c r="IN14" i="2539"/>
  <c r="IE14" i="2539"/>
  <c r="IE48" i="2539" s="1"/>
  <c r="ID14" i="2539"/>
  <c r="ID48" i="2539" s="1"/>
  <c r="IC14" i="2539"/>
  <c r="IC48" i="2539" s="1"/>
  <c r="IB14" i="2539"/>
  <c r="IQ14" i="2539" s="1"/>
  <c r="HY14" i="2539"/>
  <c r="HX14" i="2539"/>
  <c r="HW14" i="2539"/>
  <c r="HV14" i="2539"/>
  <c r="HV7" i="2539" s="1"/>
  <c r="HV41" i="2539" s="1"/>
  <c r="HU14" i="2539"/>
  <c r="HU7" i="2539" s="1"/>
  <c r="HU41" i="2539" s="1"/>
  <c r="HT14" i="2539"/>
  <c r="HS14" i="2539"/>
  <c r="HS48" i="2539" s="1"/>
  <c r="HR14" i="2539"/>
  <c r="HR48" i="2539" s="1"/>
  <c r="HQ14" i="2539"/>
  <c r="HQ48" i="2539" s="1"/>
  <c r="HP14" i="2539"/>
  <c r="HP48" i="2539" s="1"/>
  <c r="HO14" i="2539"/>
  <c r="IQ13" i="2539"/>
  <c r="IN13" i="2539"/>
  <c r="IA13" i="2539"/>
  <c r="IN12" i="2539"/>
  <c r="IA12" i="2539"/>
  <c r="IQ11" i="2539"/>
  <c r="IN11" i="2539"/>
  <c r="IA11" i="2539"/>
  <c r="IQ10" i="2539"/>
  <c r="IN10" i="2539"/>
  <c r="IA10" i="2539"/>
  <c r="IQ9" i="2539"/>
  <c r="IN9" i="2539"/>
  <c r="IA9" i="2539"/>
  <c r="IE8" i="2539"/>
  <c r="ID8" i="2539"/>
  <c r="IC8" i="2539"/>
  <c r="IC7" i="2539" s="1"/>
  <c r="IB8" i="2539"/>
  <c r="IB7" i="2539" s="1"/>
  <c r="HY8" i="2539"/>
  <c r="HX8" i="2539"/>
  <c r="HW8" i="2539"/>
  <c r="HV8" i="2539"/>
  <c r="HU8" i="2539"/>
  <c r="HT8" i="2539"/>
  <c r="HT42" i="2539" s="1"/>
  <c r="HS8" i="2539"/>
  <c r="HR8" i="2539"/>
  <c r="HQ8" i="2539"/>
  <c r="HQ7" i="2539" s="1"/>
  <c r="HQ41" i="2539" s="1"/>
  <c r="HP8" i="2539"/>
  <c r="HP7" i="2539" s="1"/>
  <c r="HO8" i="2539"/>
  <c r="HO7" i="2539" s="1"/>
  <c r="HR7" i="2539"/>
  <c r="HR41" i="2539" s="1"/>
  <c r="IQ5" i="2539"/>
  <c r="IS5" i="2539" s="1"/>
  <c r="IN5" i="2539"/>
  <c r="IA5" i="2539"/>
  <c r="IS4" i="2539"/>
  <c r="IP4" i="2539" s="1"/>
  <c r="IB4" i="2539"/>
  <c r="HO4" i="2539"/>
  <c r="JS79" i="2538"/>
  <c r="JQ79" i="2538"/>
  <c r="JN79" i="2538"/>
  <c r="JA79" i="2538"/>
  <c r="JS78" i="2538"/>
  <c r="JQ78" i="2538"/>
  <c r="JN78" i="2538"/>
  <c r="JA78" i="2538"/>
  <c r="JS77" i="2538"/>
  <c r="JQ77" i="2538"/>
  <c r="JN77" i="2538"/>
  <c r="JA77" i="2538"/>
  <c r="JS76" i="2538"/>
  <c r="JQ76" i="2538"/>
  <c r="JN76" i="2538"/>
  <c r="JA76" i="2538"/>
  <c r="JE75" i="2538"/>
  <c r="JD75" i="2538"/>
  <c r="JD71" i="2538" s="1"/>
  <c r="JC75" i="2538"/>
  <c r="JB75" i="2538"/>
  <c r="IZ75" i="2538"/>
  <c r="IY75" i="2538"/>
  <c r="IY71" i="2538" s="1"/>
  <c r="IX75" i="2538"/>
  <c r="IW75" i="2538"/>
  <c r="IV75" i="2538"/>
  <c r="IU75" i="2538"/>
  <c r="IT75" i="2538"/>
  <c r="IS75" i="2538"/>
  <c r="IR75" i="2538"/>
  <c r="IQ75" i="2538"/>
  <c r="IP75" i="2538"/>
  <c r="IO75" i="2538"/>
  <c r="JS74" i="2538"/>
  <c r="JN74" i="2538"/>
  <c r="JA74" i="2538"/>
  <c r="JS73" i="2538"/>
  <c r="JQ73" i="2538"/>
  <c r="JN73" i="2538"/>
  <c r="JA73" i="2538"/>
  <c r="JS72" i="2538"/>
  <c r="JN72" i="2538"/>
  <c r="JA72" i="2538"/>
  <c r="JE71" i="2538"/>
  <c r="JC71" i="2538"/>
  <c r="IX71" i="2538"/>
  <c r="IW71" i="2538"/>
  <c r="IV71" i="2538"/>
  <c r="IU71" i="2538"/>
  <c r="IT71" i="2538"/>
  <c r="IS71" i="2538"/>
  <c r="IS53" i="2538" s="1"/>
  <c r="IR71" i="2538"/>
  <c r="IR53" i="2538" s="1"/>
  <c r="IQ71" i="2538"/>
  <c r="IQ53" i="2538" s="1"/>
  <c r="JS70" i="2538"/>
  <c r="JQ70" i="2538" s="1"/>
  <c r="JN70" i="2538"/>
  <c r="JA70" i="2538"/>
  <c r="JS69" i="2538"/>
  <c r="JQ69" i="2538"/>
  <c r="JN69" i="2538"/>
  <c r="JA69" i="2538"/>
  <c r="JS68" i="2538"/>
  <c r="JQ68" i="2538" s="1"/>
  <c r="JN68" i="2538"/>
  <c r="JA68" i="2538"/>
  <c r="JS67" i="2538"/>
  <c r="JQ67" i="2538"/>
  <c r="JN67" i="2538"/>
  <c r="JA67" i="2538"/>
  <c r="JS66" i="2538"/>
  <c r="JQ66" i="2538" s="1"/>
  <c r="JN66" i="2538"/>
  <c r="JA66" i="2538"/>
  <c r="JS65" i="2538"/>
  <c r="JQ65" i="2538"/>
  <c r="JN65" i="2538"/>
  <c r="JA65" i="2538"/>
  <c r="JS64" i="2538"/>
  <c r="JQ64" i="2538" s="1"/>
  <c r="JN64" i="2538"/>
  <c r="JA64" i="2538"/>
  <c r="JS63" i="2538"/>
  <c r="JE63" i="2538"/>
  <c r="JD63" i="2538"/>
  <c r="JD62" i="2538" s="1"/>
  <c r="JC63" i="2538"/>
  <c r="JC62" i="2538" s="1"/>
  <c r="JN62" i="2538" s="1"/>
  <c r="JB63" i="2538"/>
  <c r="JN63" i="2538" s="1"/>
  <c r="IZ63" i="2538"/>
  <c r="IZ62" i="2538" s="1"/>
  <c r="IY63" i="2538"/>
  <c r="IX63" i="2538"/>
  <c r="IW63" i="2538"/>
  <c r="IV63" i="2538"/>
  <c r="IU63" i="2538"/>
  <c r="IT63" i="2538"/>
  <c r="IS63" i="2538"/>
  <c r="IR63" i="2538"/>
  <c r="IR62" i="2538" s="1"/>
  <c r="IQ63" i="2538"/>
  <c r="IQ62" i="2538" s="1"/>
  <c r="IP63" i="2538"/>
  <c r="IO63" i="2538"/>
  <c r="IO62" i="2538" s="1"/>
  <c r="JS62" i="2538"/>
  <c r="JE62" i="2538"/>
  <c r="JB62" i="2538"/>
  <c r="IY62" i="2538"/>
  <c r="IX62" i="2538"/>
  <c r="IX54" i="2538" s="1"/>
  <c r="IX53" i="2538" s="1"/>
  <c r="IW62" i="2538"/>
  <c r="IV62" i="2538"/>
  <c r="IU62" i="2538"/>
  <c r="IU54" i="2538" s="1"/>
  <c r="IU53" i="2538" s="1"/>
  <c r="IT62" i="2538"/>
  <c r="IT54" i="2538" s="1"/>
  <c r="IT53" i="2538" s="1"/>
  <c r="IS62" i="2538"/>
  <c r="IP62" i="2538"/>
  <c r="JS61" i="2538"/>
  <c r="JQ61" i="2538"/>
  <c r="JN61" i="2538"/>
  <c r="JA61" i="2538"/>
  <c r="JS60" i="2538"/>
  <c r="JN60" i="2538"/>
  <c r="JA60" i="2538"/>
  <c r="JS59" i="2538"/>
  <c r="JQ59" i="2538"/>
  <c r="JN59" i="2538"/>
  <c r="JA59" i="2538"/>
  <c r="JS58" i="2538"/>
  <c r="JN58" i="2538"/>
  <c r="JA58" i="2538"/>
  <c r="JE57" i="2538"/>
  <c r="JD57" i="2538"/>
  <c r="JC57" i="2538"/>
  <c r="JS57" i="2538" s="1"/>
  <c r="JQ57" i="2538" s="1"/>
  <c r="JB57" i="2538"/>
  <c r="IZ57" i="2538"/>
  <c r="IY57" i="2538"/>
  <c r="IY54" i="2538" s="1"/>
  <c r="IY53" i="2538" s="1"/>
  <c r="IX57" i="2538"/>
  <c r="IW57" i="2538"/>
  <c r="IW54" i="2538" s="1"/>
  <c r="IW53" i="2538" s="1"/>
  <c r="IV57" i="2538"/>
  <c r="IU57" i="2538"/>
  <c r="IT57" i="2538"/>
  <c r="IS57" i="2538"/>
  <c r="IR57" i="2538"/>
  <c r="IQ57" i="2538"/>
  <c r="IP57" i="2538"/>
  <c r="IO57" i="2538"/>
  <c r="JS56" i="2538"/>
  <c r="JQ56" i="2538"/>
  <c r="JN56" i="2538"/>
  <c r="JA56" i="2538"/>
  <c r="JS55" i="2538"/>
  <c r="JQ55" i="2538"/>
  <c r="JN55" i="2538"/>
  <c r="JA55" i="2538"/>
  <c r="JE54" i="2538"/>
  <c r="JE53" i="2538" s="1"/>
  <c r="JD54" i="2538"/>
  <c r="JB54" i="2538"/>
  <c r="IS54" i="2538"/>
  <c r="IR54" i="2538"/>
  <c r="IQ54" i="2538"/>
  <c r="IP54" i="2538"/>
  <c r="IO54" i="2538"/>
  <c r="JE50" i="2538"/>
  <c r="JD50" i="2538"/>
  <c r="JC50" i="2538"/>
  <c r="JB50" i="2538"/>
  <c r="IZ50" i="2538"/>
  <c r="IY50" i="2538"/>
  <c r="IX50" i="2538"/>
  <c r="IW50" i="2538"/>
  <c r="IV50" i="2538"/>
  <c r="IU50" i="2538"/>
  <c r="IT50" i="2538"/>
  <c r="IS50" i="2538"/>
  <c r="IR50" i="2538"/>
  <c r="IQ50" i="2538"/>
  <c r="IP50" i="2538"/>
  <c r="IO50" i="2538"/>
  <c r="JD47" i="2538"/>
  <c r="IZ47" i="2538"/>
  <c r="IY47" i="2538"/>
  <c r="IW47" i="2538"/>
  <c r="IP47" i="2538"/>
  <c r="IO47" i="2538"/>
  <c r="JN46" i="2538"/>
  <c r="JS45" i="2538"/>
  <c r="JE45" i="2538"/>
  <c r="JD45" i="2538"/>
  <c r="JC45" i="2538"/>
  <c r="JB45" i="2538"/>
  <c r="JN45" i="2538" s="1"/>
  <c r="IZ45" i="2538"/>
  <c r="IY45" i="2538"/>
  <c r="IX45" i="2538"/>
  <c r="IW45" i="2538"/>
  <c r="IV45" i="2538"/>
  <c r="IU45" i="2538"/>
  <c r="IT45" i="2538"/>
  <c r="IS45" i="2538"/>
  <c r="IR45" i="2538"/>
  <c r="IQ45" i="2538"/>
  <c r="IP45" i="2538"/>
  <c r="IO45" i="2538"/>
  <c r="JS44" i="2538"/>
  <c r="JQ44" i="2538" s="1"/>
  <c r="JE44" i="2538"/>
  <c r="JN44" i="2538" s="1"/>
  <c r="JD44" i="2538"/>
  <c r="JC44" i="2538"/>
  <c r="JB44" i="2538"/>
  <c r="IZ44" i="2538"/>
  <c r="IY44" i="2538"/>
  <c r="IX44" i="2538"/>
  <c r="IW44" i="2538"/>
  <c r="IV44" i="2538"/>
  <c r="IU44" i="2538"/>
  <c r="IU42" i="2538" s="1"/>
  <c r="IT44" i="2538"/>
  <c r="IS44" i="2538"/>
  <c r="IR44" i="2538"/>
  <c r="IQ44" i="2538"/>
  <c r="IP44" i="2538"/>
  <c r="IO44" i="2538"/>
  <c r="JA44" i="2538" s="1"/>
  <c r="JE43" i="2538"/>
  <c r="JE42" i="2538" s="1"/>
  <c r="JD43" i="2538"/>
  <c r="JD42" i="2538" s="1"/>
  <c r="IX43" i="2538"/>
  <c r="IV43" i="2538"/>
  <c r="IU43" i="2538"/>
  <c r="IT43" i="2538"/>
  <c r="IS43" i="2538"/>
  <c r="IR43" i="2538"/>
  <c r="IQ43" i="2538"/>
  <c r="IT42" i="2538"/>
  <c r="IS42" i="2538"/>
  <c r="IS40" i="2538" s="1"/>
  <c r="IS38" i="2538" s="1"/>
  <c r="IR42" i="2538"/>
  <c r="IQ42" i="2538"/>
  <c r="IQ40" i="2538" s="1"/>
  <c r="IQ38" i="2538" s="1"/>
  <c r="JE41" i="2538"/>
  <c r="JD41" i="2538"/>
  <c r="JC41" i="2538"/>
  <c r="JB41" i="2538"/>
  <c r="IZ41" i="2538"/>
  <c r="IY41" i="2538"/>
  <c r="IX41" i="2538"/>
  <c r="IW41" i="2538"/>
  <c r="IV41" i="2538"/>
  <c r="IU41" i="2538"/>
  <c r="IT41" i="2538"/>
  <c r="IS41" i="2538"/>
  <c r="IR41" i="2538"/>
  <c r="IQ41" i="2538"/>
  <c r="IP41" i="2538"/>
  <c r="IO41" i="2538"/>
  <c r="IP34" i="2538"/>
  <c r="JA30" i="2538"/>
  <c r="JA29" i="2538"/>
  <c r="JA28" i="2538"/>
  <c r="JA27" i="2538"/>
  <c r="JA26" i="2538"/>
  <c r="JA25" i="2538"/>
  <c r="JE24" i="2538"/>
  <c r="JD24" i="2538"/>
  <c r="JC24" i="2538"/>
  <c r="JB24" i="2538"/>
  <c r="IZ24" i="2538"/>
  <c r="IY24" i="2538"/>
  <c r="IX24" i="2538"/>
  <c r="IW24" i="2538"/>
  <c r="IV24" i="2538"/>
  <c r="IU24" i="2538"/>
  <c r="IT24" i="2538"/>
  <c r="IS24" i="2538"/>
  <c r="IR24" i="2538"/>
  <c r="IQ24" i="2538"/>
  <c r="IP24" i="2538"/>
  <c r="IO24" i="2538"/>
  <c r="JA22" i="2538"/>
  <c r="JA21" i="2538"/>
  <c r="JE20" i="2538"/>
  <c r="JD20" i="2538"/>
  <c r="JC20" i="2538"/>
  <c r="JB20" i="2538"/>
  <c r="IZ20" i="2538"/>
  <c r="IY20" i="2538"/>
  <c r="IX20" i="2538"/>
  <c r="IW20" i="2538"/>
  <c r="IV20" i="2538"/>
  <c r="IU20" i="2538"/>
  <c r="IT20" i="2538"/>
  <c r="IS20" i="2538"/>
  <c r="IR20" i="2538"/>
  <c r="IQ20" i="2538"/>
  <c r="IP20" i="2538"/>
  <c r="IO20" i="2538"/>
  <c r="JA19" i="2538"/>
  <c r="JA18" i="2538"/>
  <c r="JE17" i="2538"/>
  <c r="JE47" i="2538" s="1"/>
  <c r="JD17" i="2538"/>
  <c r="JC17" i="2538"/>
  <c r="JC47" i="2538" s="1"/>
  <c r="JB17" i="2538"/>
  <c r="JB47" i="2538" s="1"/>
  <c r="IZ17" i="2538"/>
  <c r="IY17" i="2538"/>
  <c r="IX17" i="2538"/>
  <c r="IX47" i="2538" s="1"/>
  <c r="IW17" i="2538"/>
  <c r="IV17" i="2538"/>
  <c r="IV47" i="2538" s="1"/>
  <c r="IU17" i="2538"/>
  <c r="IU47" i="2538" s="1"/>
  <c r="IT17" i="2538"/>
  <c r="IT47" i="2538" s="1"/>
  <c r="IS17" i="2538"/>
  <c r="IS47" i="2538" s="1"/>
  <c r="IR17" i="2538"/>
  <c r="IR47" i="2538" s="1"/>
  <c r="IQ17" i="2538"/>
  <c r="IQ47" i="2538" s="1"/>
  <c r="IP17" i="2538"/>
  <c r="IO17" i="2538"/>
  <c r="JA15" i="2538"/>
  <c r="JS50" i="2538"/>
  <c r="JR50" i="2538"/>
  <c r="JA14" i="2538"/>
  <c r="JA13" i="2538"/>
  <c r="JA12" i="2538"/>
  <c r="JA11" i="2538"/>
  <c r="JA10" i="2538"/>
  <c r="JA9" i="2538"/>
  <c r="JE8" i="2538"/>
  <c r="JD8" i="2538"/>
  <c r="JC8" i="2538"/>
  <c r="JC7" i="2538" s="1"/>
  <c r="JC34" i="2538" s="1"/>
  <c r="JB8" i="2538"/>
  <c r="IZ8" i="2538"/>
  <c r="IY8" i="2538"/>
  <c r="IX8" i="2538"/>
  <c r="IW8" i="2538"/>
  <c r="IV8" i="2538"/>
  <c r="IV7" i="2538" s="1"/>
  <c r="IV34" i="2538" s="1"/>
  <c r="IU8" i="2538"/>
  <c r="IU7" i="2538" s="1"/>
  <c r="IU34" i="2538" s="1"/>
  <c r="IT8" i="2538"/>
  <c r="IS8" i="2538"/>
  <c r="IR8" i="2538"/>
  <c r="IR7" i="2538" s="1"/>
  <c r="IR34" i="2538" s="1"/>
  <c r="IQ8" i="2538"/>
  <c r="IQ7" i="2538" s="1"/>
  <c r="IQ34" i="2538" s="1"/>
  <c r="IP8" i="2538"/>
  <c r="IP7" i="2538" s="1"/>
  <c r="IO8" i="2538"/>
  <c r="JA8" i="2538" s="1"/>
  <c r="IY7" i="2538"/>
  <c r="IY34" i="2538" s="1"/>
  <c r="IX7" i="2538"/>
  <c r="IX34" i="2538" s="1"/>
  <c r="IW7" i="2538"/>
  <c r="IW34" i="2538" s="1"/>
  <c r="IO7" i="2538"/>
  <c r="IO34" i="2538" s="1"/>
  <c r="JQ5" i="2538"/>
  <c r="JA5" i="2538"/>
  <c r="JS4" i="2538"/>
  <c r="JS51" i="2538" s="1"/>
  <c r="JR4" i="2538"/>
  <c r="JR51" i="2538" s="1"/>
  <c r="JP4" i="2538"/>
  <c r="IO4" i="2538"/>
  <c r="IP38" i="2537"/>
  <c r="IN37" i="2537"/>
  <c r="IA37" i="2537"/>
  <c r="IQ36" i="2537"/>
  <c r="IN36" i="2537"/>
  <c r="IA36" i="2537"/>
  <c r="IN35" i="2537"/>
  <c r="IA35" i="2537"/>
  <c r="IQ34" i="2537"/>
  <c r="IN34" i="2537"/>
  <c r="IA34" i="2537"/>
  <c r="IN33" i="2537"/>
  <c r="IA33" i="2537"/>
  <c r="IN32" i="2537"/>
  <c r="IA32" i="2537"/>
  <c r="IN31" i="2537"/>
  <c r="IA31" i="2537"/>
  <c r="IE30" i="2537"/>
  <c r="ID30" i="2537"/>
  <c r="IC30" i="2537"/>
  <c r="IB30" i="2537"/>
  <c r="IN30" i="2537" s="1"/>
  <c r="HZ30" i="2537"/>
  <c r="HY30" i="2537"/>
  <c r="HX30" i="2537"/>
  <c r="HW30" i="2537"/>
  <c r="HV30" i="2537"/>
  <c r="HU30" i="2537"/>
  <c r="HT30" i="2537"/>
  <c r="HS30" i="2537"/>
  <c r="HR30" i="2537"/>
  <c r="HQ30" i="2537"/>
  <c r="HP30" i="2537"/>
  <c r="HO30" i="2537"/>
  <c r="IA30" i="2537" s="1"/>
  <c r="IN28" i="2537"/>
  <c r="IA28" i="2537"/>
  <c r="IN27" i="2537"/>
  <c r="IA27" i="2537"/>
  <c r="IN26" i="2537"/>
  <c r="IA26" i="2537"/>
  <c r="IN25" i="2537"/>
  <c r="IA25" i="2537"/>
  <c r="IQ24" i="2537"/>
  <c r="IN24" i="2537"/>
  <c r="IA24" i="2537"/>
  <c r="IQ23" i="2537"/>
  <c r="IN23" i="2537"/>
  <c r="IA23" i="2537"/>
  <c r="IQ22" i="2537"/>
  <c r="IN22" i="2537"/>
  <c r="IA22" i="2537"/>
  <c r="IQ21" i="2537"/>
  <c r="IN21" i="2537"/>
  <c r="IA21" i="2537"/>
  <c r="IQ20" i="2537"/>
  <c r="IN20" i="2537"/>
  <c r="IA20" i="2537"/>
  <c r="IN19" i="2537"/>
  <c r="IA19" i="2537"/>
  <c r="IN18" i="2537"/>
  <c r="IA18" i="2537"/>
  <c r="IN17" i="2537"/>
  <c r="IA17" i="2537"/>
  <c r="IN16" i="2537"/>
  <c r="IA16" i="2537"/>
  <c r="IN15" i="2537"/>
  <c r="IA15" i="2537"/>
  <c r="IN14" i="2537"/>
  <c r="IA14" i="2537"/>
  <c r="IN13" i="2537"/>
  <c r="IA13" i="2537"/>
  <c r="IQ12" i="2537"/>
  <c r="IN12" i="2537"/>
  <c r="IA12" i="2537"/>
  <c r="IQ11" i="2537"/>
  <c r="IN11" i="2537"/>
  <c r="IA11" i="2537"/>
  <c r="IQ10" i="2537"/>
  <c r="IN10" i="2537"/>
  <c r="IA10" i="2537"/>
  <c r="IQ9" i="2537"/>
  <c r="IN9" i="2537"/>
  <c r="IA9" i="2537"/>
  <c r="IQ8" i="2537"/>
  <c r="IN8" i="2537"/>
  <c r="IA8" i="2537"/>
  <c r="IE7" i="2537"/>
  <c r="ID7" i="2537"/>
  <c r="IC7" i="2537"/>
  <c r="IB7" i="2537"/>
  <c r="HZ7" i="2537"/>
  <c r="HY7" i="2537"/>
  <c r="HX7" i="2537"/>
  <c r="HW7" i="2537"/>
  <c r="HV7" i="2537"/>
  <c r="HU7" i="2537"/>
  <c r="HT7" i="2537"/>
  <c r="HS7" i="2537"/>
  <c r="HR7" i="2537"/>
  <c r="HQ7" i="2537"/>
  <c r="HP7" i="2537"/>
  <c r="HO7" i="2537"/>
  <c r="IQ5" i="2537"/>
  <c r="IR5" i="2537" s="1"/>
  <c r="IN5" i="2537"/>
  <c r="IA5" i="2537"/>
  <c r="IS4" i="2537"/>
  <c r="IR4" i="2537" s="1"/>
  <c r="IB4" i="2537"/>
  <c r="HO4" i="2537"/>
  <c r="IE70" i="2536"/>
  <c r="ID70" i="2536"/>
  <c r="IC70" i="2536"/>
  <c r="IB70" i="2536"/>
  <c r="HZ70" i="2536"/>
  <c r="HY70" i="2536"/>
  <c r="HX70" i="2536"/>
  <c r="HW70" i="2536"/>
  <c r="HV70" i="2536"/>
  <c r="HU70" i="2536"/>
  <c r="HT70" i="2536"/>
  <c r="HS70" i="2536"/>
  <c r="HR70" i="2536"/>
  <c r="HQ70" i="2536"/>
  <c r="HP70" i="2536"/>
  <c r="HO70" i="2536"/>
  <c r="IE68" i="2536"/>
  <c r="ID68" i="2536"/>
  <c r="IC68" i="2536"/>
  <c r="IB68" i="2536"/>
  <c r="HZ68" i="2536"/>
  <c r="HY68" i="2536"/>
  <c r="HX68" i="2536"/>
  <c r="HW68" i="2536"/>
  <c r="HV68" i="2536"/>
  <c r="HU68" i="2536"/>
  <c r="HT68" i="2536"/>
  <c r="HS68" i="2536"/>
  <c r="HR68" i="2536"/>
  <c r="HQ68" i="2536"/>
  <c r="HP68" i="2536"/>
  <c r="HO68" i="2536"/>
  <c r="IS66" i="2536"/>
  <c r="IE64" i="2536"/>
  <c r="IP64" i="2536" s="1"/>
  <c r="ID64" i="2536"/>
  <c r="IC64" i="2536"/>
  <c r="IA64" i="2536"/>
  <c r="IE63" i="2536"/>
  <c r="ID63" i="2536"/>
  <c r="IC63" i="2536"/>
  <c r="IA63" i="2536"/>
  <c r="IE62" i="2536"/>
  <c r="ID62" i="2536"/>
  <c r="IC62" i="2536"/>
  <c r="IB62" i="2536"/>
  <c r="HZ62" i="2536"/>
  <c r="HY62" i="2536"/>
  <c r="HX62" i="2536"/>
  <c r="HW62" i="2536"/>
  <c r="HV62" i="2536"/>
  <c r="HU62" i="2536"/>
  <c r="HT62" i="2536"/>
  <c r="HS62" i="2536"/>
  <c r="HR62" i="2536"/>
  <c r="HQ62" i="2536"/>
  <c r="HP62" i="2536"/>
  <c r="HO62" i="2536"/>
  <c r="IE61" i="2536"/>
  <c r="ID61" i="2536"/>
  <c r="IC61" i="2536"/>
  <c r="IN61" i="2536" s="1"/>
  <c r="IB61" i="2536"/>
  <c r="HZ61" i="2536"/>
  <c r="HY61" i="2536"/>
  <c r="HX61" i="2536"/>
  <c r="HW61" i="2536"/>
  <c r="HV61" i="2536"/>
  <c r="HU61" i="2536"/>
  <c r="HT61" i="2536"/>
  <c r="HS61" i="2536"/>
  <c r="HR61" i="2536"/>
  <c r="HQ61" i="2536"/>
  <c r="HP61" i="2536"/>
  <c r="HO61" i="2536"/>
  <c r="IE60" i="2536"/>
  <c r="ID60" i="2536"/>
  <c r="IC60" i="2536"/>
  <c r="IB60" i="2536"/>
  <c r="HZ60" i="2536"/>
  <c r="HY60" i="2536"/>
  <c r="HX60" i="2536"/>
  <c r="HW60" i="2536"/>
  <c r="HV60" i="2536"/>
  <c r="HU60" i="2536"/>
  <c r="HT60" i="2536"/>
  <c r="HS60" i="2536"/>
  <c r="HR60" i="2536"/>
  <c r="HQ60" i="2536"/>
  <c r="HP60" i="2536"/>
  <c r="HO60" i="2536"/>
  <c r="IE59" i="2536"/>
  <c r="ID59" i="2536"/>
  <c r="IC59" i="2536"/>
  <c r="IB59" i="2536"/>
  <c r="HZ59" i="2536"/>
  <c r="HY59" i="2536"/>
  <c r="HX59" i="2536"/>
  <c r="HW59" i="2536"/>
  <c r="HV59" i="2536"/>
  <c r="HU59" i="2536"/>
  <c r="HT59" i="2536"/>
  <c r="HS59" i="2536"/>
  <c r="HR59" i="2536"/>
  <c r="HQ59" i="2536"/>
  <c r="HP59" i="2536"/>
  <c r="HO59" i="2536"/>
  <c r="IE58" i="2536"/>
  <c r="ID58" i="2536"/>
  <c r="IC58" i="2536"/>
  <c r="IB58" i="2536"/>
  <c r="HZ58" i="2536"/>
  <c r="HY58" i="2536"/>
  <c r="HX58" i="2536"/>
  <c r="HW58" i="2536"/>
  <c r="HV58" i="2536"/>
  <c r="HU58" i="2536"/>
  <c r="HT58" i="2536"/>
  <c r="HS58" i="2536"/>
  <c r="HR58" i="2536"/>
  <c r="HQ58" i="2536"/>
  <c r="HP58" i="2536"/>
  <c r="HO58" i="2536"/>
  <c r="IE55" i="2536"/>
  <c r="ID55" i="2536"/>
  <c r="IC55" i="2536"/>
  <c r="IB55" i="2536"/>
  <c r="HZ55" i="2536"/>
  <c r="HY55" i="2536"/>
  <c r="HX55" i="2536"/>
  <c r="HW55" i="2536"/>
  <c r="HV55" i="2536"/>
  <c r="HU55" i="2536"/>
  <c r="HT55" i="2536"/>
  <c r="HS55" i="2536"/>
  <c r="HR55" i="2536"/>
  <c r="HQ55" i="2536"/>
  <c r="HP55" i="2536"/>
  <c r="HO55" i="2536"/>
  <c r="IE54" i="2536"/>
  <c r="ID54" i="2536"/>
  <c r="IC54" i="2536"/>
  <c r="IB54" i="2536"/>
  <c r="HZ54" i="2536"/>
  <c r="HY54" i="2536"/>
  <c r="HX54" i="2536"/>
  <c r="HW54" i="2536"/>
  <c r="HV54" i="2536"/>
  <c r="HU54" i="2536"/>
  <c r="HT54" i="2536"/>
  <c r="HS54" i="2536"/>
  <c r="HR54" i="2536"/>
  <c r="HQ54" i="2536"/>
  <c r="HP54" i="2536"/>
  <c r="HO54" i="2536"/>
  <c r="HZ53" i="2536"/>
  <c r="HY53" i="2536"/>
  <c r="HX53" i="2536"/>
  <c r="HW53" i="2536"/>
  <c r="HV53" i="2536"/>
  <c r="HU53" i="2536"/>
  <c r="HT53" i="2536"/>
  <c r="HS53" i="2536"/>
  <c r="HR53" i="2536"/>
  <c r="HQ53" i="2536"/>
  <c r="HP53" i="2536"/>
  <c r="HO53" i="2536"/>
  <c r="IE52" i="2536"/>
  <c r="ID52" i="2536"/>
  <c r="IC52" i="2536"/>
  <c r="IB52" i="2536"/>
  <c r="HZ52" i="2536"/>
  <c r="HY52" i="2536"/>
  <c r="HX52" i="2536"/>
  <c r="HW52" i="2536"/>
  <c r="HV52" i="2536"/>
  <c r="HU52" i="2536"/>
  <c r="HT52" i="2536"/>
  <c r="HS52" i="2536"/>
  <c r="HR52" i="2536"/>
  <c r="HQ52" i="2536"/>
  <c r="HP52" i="2536"/>
  <c r="HO52" i="2536"/>
  <c r="IE51" i="2536"/>
  <c r="ID51" i="2536"/>
  <c r="IC51" i="2536"/>
  <c r="IB51" i="2536"/>
  <c r="HZ51" i="2536"/>
  <c r="HY51" i="2536"/>
  <c r="HX51" i="2536"/>
  <c r="HW51" i="2536"/>
  <c r="HV51" i="2536"/>
  <c r="HU51" i="2536"/>
  <c r="HT51" i="2536"/>
  <c r="HS51" i="2536"/>
  <c r="HR51" i="2536"/>
  <c r="HQ51" i="2536"/>
  <c r="HP51" i="2536"/>
  <c r="HO51" i="2536"/>
  <c r="IE50" i="2536"/>
  <c r="ID50" i="2536"/>
  <c r="IC50" i="2536"/>
  <c r="IB50" i="2536"/>
  <c r="HZ50" i="2536"/>
  <c r="HY50" i="2536"/>
  <c r="HX50" i="2536"/>
  <c r="HW50" i="2536"/>
  <c r="HV50" i="2536"/>
  <c r="HU50" i="2536"/>
  <c r="HT50" i="2536"/>
  <c r="HS50" i="2536"/>
  <c r="HR50" i="2536"/>
  <c r="HQ50" i="2536"/>
  <c r="HP50" i="2536"/>
  <c r="HO50" i="2536"/>
  <c r="IE49" i="2536"/>
  <c r="ID49" i="2536"/>
  <c r="IC49" i="2536"/>
  <c r="IB49" i="2536"/>
  <c r="HZ49" i="2536"/>
  <c r="HY49" i="2536"/>
  <c r="HX49" i="2536"/>
  <c r="HW49" i="2536"/>
  <c r="HV49" i="2536"/>
  <c r="HU49" i="2536"/>
  <c r="HT49" i="2536"/>
  <c r="HS49" i="2536"/>
  <c r="HR49" i="2536"/>
  <c r="HQ49" i="2536"/>
  <c r="HP49" i="2536"/>
  <c r="HO49" i="2536"/>
  <c r="IE47" i="2536"/>
  <c r="ID47" i="2536"/>
  <c r="IC47" i="2536"/>
  <c r="IB47" i="2536"/>
  <c r="IN47" i="2536" s="1"/>
  <c r="HZ47" i="2536"/>
  <c r="HY47" i="2536"/>
  <c r="HX47" i="2536"/>
  <c r="HW47" i="2536"/>
  <c r="HV47" i="2536"/>
  <c r="HU47" i="2536"/>
  <c r="HT47" i="2536"/>
  <c r="HS47" i="2536"/>
  <c r="HR47" i="2536"/>
  <c r="HQ47" i="2536"/>
  <c r="HP47" i="2536"/>
  <c r="HO47" i="2536"/>
  <c r="IE46" i="2536"/>
  <c r="ID46" i="2536"/>
  <c r="IC46" i="2536"/>
  <c r="IB46" i="2536"/>
  <c r="HZ46" i="2536"/>
  <c r="HY46" i="2536"/>
  <c r="HX46" i="2536"/>
  <c r="HW46" i="2536"/>
  <c r="HV46" i="2536"/>
  <c r="HU46" i="2536"/>
  <c r="HT46" i="2536"/>
  <c r="HS46" i="2536"/>
  <c r="HR46" i="2536"/>
  <c r="HQ46" i="2536"/>
  <c r="HP46" i="2536"/>
  <c r="HO46" i="2536"/>
  <c r="IE45" i="2536"/>
  <c r="ID45" i="2536"/>
  <c r="IC45" i="2536"/>
  <c r="IB45" i="2536"/>
  <c r="HZ45" i="2536"/>
  <c r="HY45" i="2536"/>
  <c r="HX45" i="2536"/>
  <c r="HW45" i="2536"/>
  <c r="HV45" i="2536"/>
  <c r="HU45" i="2536"/>
  <c r="HT45" i="2536"/>
  <c r="HS45" i="2536"/>
  <c r="HR45" i="2536"/>
  <c r="HQ45" i="2536"/>
  <c r="HP45" i="2536"/>
  <c r="HO45" i="2536"/>
  <c r="IE44" i="2536"/>
  <c r="ID44" i="2536"/>
  <c r="IC44" i="2536"/>
  <c r="IB44" i="2536"/>
  <c r="HZ44" i="2536"/>
  <c r="HY44" i="2536"/>
  <c r="HX44" i="2536"/>
  <c r="HW44" i="2536"/>
  <c r="HV44" i="2536"/>
  <c r="HU44" i="2536"/>
  <c r="HT44" i="2536"/>
  <c r="HS44" i="2536"/>
  <c r="HR44" i="2536"/>
  <c r="HQ44" i="2536"/>
  <c r="HP44" i="2536"/>
  <c r="HO44" i="2536"/>
  <c r="IE43" i="2536"/>
  <c r="ID43" i="2536"/>
  <c r="IC43" i="2536"/>
  <c r="IB43" i="2536"/>
  <c r="HZ43" i="2536"/>
  <c r="HY43" i="2536"/>
  <c r="HX43" i="2536"/>
  <c r="HW43" i="2536"/>
  <c r="HV43" i="2536"/>
  <c r="HU43" i="2536"/>
  <c r="HT43" i="2536"/>
  <c r="HS43" i="2536"/>
  <c r="HR43" i="2536"/>
  <c r="HQ43" i="2536"/>
  <c r="HP43" i="2536"/>
  <c r="HO43" i="2536"/>
  <c r="IA39" i="2536"/>
  <c r="IS38" i="2536"/>
  <c r="IR38" i="2536" s="1"/>
  <c r="HO38" i="2536"/>
  <c r="IE36" i="2536"/>
  <c r="ID36" i="2536"/>
  <c r="IC36" i="2536"/>
  <c r="IB36" i="2536"/>
  <c r="HZ36" i="2536"/>
  <c r="HY36" i="2536"/>
  <c r="HX36" i="2536"/>
  <c r="HW36" i="2536"/>
  <c r="HV36" i="2536"/>
  <c r="HU36" i="2536"/>
  <c r="HT36" i="2536"/>
  <c r="HS36" i="2536"/>
  <c r="HR36" i="2536"/>
  <c r="HQ36" i="2536"/>
  <c r="HP36" i="2536"/>
  <c r="HO36" i="2536"/>
  <c r="IN29" i="2536"/>
  <c r="IA29" i="2536"/>
  <c r="IQ28" i="2536"/>
  <c r="IN28" i="2536"/>
  <c r="IA28" i="2536"/>
  <c r="IN27" i="2536"/>
  <c r="IA27" i="2536"/>
  <c r="IN26" i="2536"/>
  <c r="IA26" i="2536"/>
  <c r="IQ25" i="2536"/>
  <c r="IN25" i="2536"/>
  <c r="IA25" i="2536"/>
  <c r="IQ24" i="2536"/>
  <c r="IN24" i="2536"/>
  <c r="IA24" i="2536"/>
  <c r="IE23" i="2536"/>
  <c r="IE57" i="2536" s="1"/>
  <c r="ID23" i="2536"/>
  <c r="ID57" i="2536" s="1"/>
  <c r="IC23" i="2536"/>
  <c r="IC57" i="2536" s="1"/>
  <c r="IB23" i="2536"/>
  <c r="HZ23" i="2536"/>
  <c r="HZ57" i="2536" s="1"/>
  <c r="HY23" i="2536"/>
  <c r="HY57" i="2536" s="1"/>
  <c r="HX23" i="2536"/>
  <c r="HX57" i="2536" s="1"/>
  <c r="HW23" i="2536"/>
  <c r="HW57" i="2536" s="1"/>
  <c r="HV23" i="2536"/>
  <c r="HV57" i="2536" s="1"/>
  <c r="HU23" i="2536"/>
  <c r="HT23" i="2536"/>
  <c r="HS23" i="2536"/>
  <c r="HS57" i="2536" s="1"/>
  <c r="HR23" i="2536"/>
  <c r="HR57" i="2536" s="1"/>
  <c r="HQ23" i="2536"/>
  <c r="HQ57" i="2536" s="1"/>
  <c r="HP23" i="2536"/>
  <c r="HP57" i="2536" s="1"/>
  <c r="HO23" i="2536"/>
  <c r="IQ21" i="2536"/>
  <c r="IN21" i="2536"/>
  <c r="IA21" i="2536"/>
  <c r="IQ20" i="2536"/>
  <c r="IN20" i="2536"/>
  <c r="IA20" i="2536"/>
  <c r="IE19" i="2536"/>
  <c r="IE53" i="2536" s="1"/>
  <c r="ID19" i="2536"/>
  <c r="ID53" i="2536" s="1"/>
  <c r="IC19" i="2536"/>
  <c r="IC53" i="2536" s="1"/>
  <c r="IB19" i="2536"/>
  <c r="IB53" i="2536" s="1"/>
  <c r="IA19" i="2536"/>
  <c r="IN18" i="2536"/>
  <c r="IA18" i="2536"/>
  <c r="IQ17" i="2536"/>
  <c r="IN17" i="2536"/>
  <c r="IA17" i="2536"/>
  <c r="IN16" i="2536"/>
  <c r="IA16" i="2536"/>
  <c r="IN15" i="2536"/>
  <c r="IA15" i="2536"/>
  <c r="IE14" i="2536"/>
  <c r="ID14" i="2536"/>
  <c r="ID48" i="2536" s="1"/>
  <c r="IC48" i="2536"/>
  <c r="IB14" i="2536"/>
  <c r="IB48" i="2536" s="1"/>
  <c r="HZ14" i="2536"/>
  <c r="HZ48" i="2536" s="1"/>
  <c r="HY14" i="2536"/>
  <c r="HY48" i="2536" s="1"/>
  <c r="HX14" i="2536"/>
  <c r="HX48" i="2536" s="1"/>
  <c r="HW14" i="2536"/>
  <c r="HW48" i="2536" s="1"/>
  <c r="HV14" i="2536"/>
  <c r="HV48" i="2536" s="1"/>
  <c r="HU14" i="2536"/>
  <c r="HT14" i="2536"/>
  <c r="HS14" i="2536"/>
  <c r="HS48" i="2536" s="1"/>
  <c r="HR14" i="2536"/>
  <c r="HR48" i="2536" s="1"/>
  <c r="HQ14" i="2536"/>
  <c r="HQ48" i="2536" s="1"/>
  <c r="HP14" i="2536"/>
  <c r="HP48" i="2536" s="1"/>
  <c r="HO14" i="2536"/>
  <c r="IN13" i="2536"/>
  <c r="IA13" i="2536"/>
  <c r="IQ12" i="2536"/>
  <c r="IN12" i="2536"/>
  <c r="IA12" i="2536"/>
  <c r="IQ11" i="2536"/>
  <c r="IN11" i="2536"/>
  <c r="IA11" i="2536"/>
  <c r="IQ10" i="2536"/>
  <c r="IN10" i="2536"/>
  <c r="IA10" i="2536"/>
  <c r="IQ9" i="2536"/>
  <c r="IN9" i="2536"/>
  <c r="IA9" i="2536"/>
  <c r="IE8" i="2536"/>
  <c r="IE7" i="2536" s="1"/>
  <c r="ID8" i="2536"/>
  <c r="IC8" i="2536"/>
  <c r="IC42" i="2536" s="1"/>
  <c r="IB8" i="2536"/>
  <c r="IB42" i="2536" s="1"/>
  <c r="HZ8" i="2536"/>
  <c r="HZ42" i="2536" s="1"/>
  <c r="HY8" i="2536"/>
  <c r="HY42" i="2536" s="1"/>
  <c r="HX8" i="2536"/>
  <c r="HX42" i="2536" s="1"/>
  <c r="HW8" i="2536"/>
  <c r="HV8" i="2536"/>
  <c r="HV42" i="2536" s="1"/>
  <c r="HU8" i="2536"/>
  <c r="HT8" i="2536"/>
  <c r="HT42" i="2536" s="1"/>
  <c r="HS8" i="2536"/>
  <c r="HR8" i="2536"/>
  <c r="HR7" i="2536" s="1"/>
  <c r="HR41" i="2536" s="1"/>
  <c r="HQ8" i="2536"/>
  <c r="HQ42" i="2536" s="1"/>
  <c r="HP8" i="2536"/>
  <c r="HP42" i="2536" s="1"/>
  <c r="HO8" i="2536"/>
  <c r="IQ5" i="2536"/>
  <c r="IN5" i="2536"/>
  <c r="IA5" i="2536"/>
  <c r="IS4" i="2536"/>
  <c r="IP4" i="2536" s="1"/>
  <c r="IB4" i="2536"/>
  <c r="HO4" i="2536"/>
  <c r="KE42" i="2535"/>
  <c r="KD42" i="2535"/>
  <c r="KC42" i="2535"/>
  <c r="KB42" i="2535"/>
  <c r="KS42" i="2535" s="1"/>
  <c r="KE41" i="2535"/>
  <c r="KD41" i="2535"/>
  <c r="KC41" i="2535"/>
  <c r="KB41" i="2535"/>
  <c r="KE40" i="2535"/>
  <c r="KD40" i="2535"/>
  <c r="KC40" i="2535"/>
  <c r="KB40" i="2535"/>
  <c r="KS40" i="2535" s="1"/>
  <c r="KE39" i="2535"/>
  <c r="KD39" i="2535"/>
  <c r="KC39" i="2535"/>
  <c r="KB39" i="2535"/>
  <c r="KE38" i="2535"/>
  <c r="KD38" i="2535"/>
  <c r="KC38" i="2535"/>
  <c r="KB38" i="2535"/>
  <c r="KE37" i="2535"/>
  <c r="KD37" i="2535"/>
  <c r="KC37" i="2535"/>
  <c r="KB37" i="2535"/>
  <c r="KN37" i="2535" s="1"/>
  <c r="KE36" i="2535"/>
  <c r="KD36" i="2535"/>
  <c r="KC36" i="2535"/>
  <c r="KB36" i="2535"/>
  <c r="KS36" i="2535" s="1"/>
  <c r="KQ36" i="2535" s="1"/>
  <c r="KE35" i="2535"/>
  <c r="KD35" i="2535"/>
  <c r="KC35" i="2535"/>
  <c r="KB35" i="2535"/>
  <c r="KS35" i="2535" s="1"/>
  <c r="KQ35" i="2535" s="1"/>
  <c r="KE34" i="2535"/>
  <c r="KD34" i="2535"/>
  <c r="KC34" i="2535"/>
  <c r="KB34" i="2535"/>
  <c r="KS34" i="2535" s="1"/>
  <c r="KQ34" i="2535" s="1"/>
  <c r="KS33" i="2535"/>
  <c r="KQ33" i="2535" s="1"/>
  <c r="KE33" i="2535"/>
  <c r="KD33" i="2535"/>
  <c r="KC33" i="2535"/>
  <c r="KB33" i="2535"/>
  <c r="KE32" i="2535"/>
  <c r="KD32" i="2535"/>
  <c r="KC32" i="2535"/>
  <c r="KB32" i="2535"/>
  <c r="KE31" i="2535"/>
  <c r="KD31" i="2535"/>
  <c r="KC31" i="2535"/>
  <c r="KB31" i="2535"/>
  <c r="KS31" i="2535" s="1"/>
  <c r="KQ31" i="2535" s="1"/>
  <c r="KD30" i="2535"/>
  <c r="KC30" i="2535"/>
  <c r="KB30" i="2535"/>
  <c r="KS30" i="2535" s="1"/>
  <c r="KQ30" i="2535" s="1"/>
  <c r="KQ28" i="2535"/>
  <c r="KR28" i="2535" s="1"/>
  <c r="KS27" i="2535"/>
  <c r="KR27" i="2535"/>
  <c r="KP27" i="2535"/>
  <c r="KS19" i="2535"/>
  <c r="KN19" i="2535"/>
  <c r="KS18" i="2535"/>
  <c r="KN18" i="2535"/>
  <c r="KS17" i="2535"/>
  <c r="KN17" i="2535"/>
  <c r="KS16" i="2535"/>
  <c r="KQ16" i="2535" s="1"/>
  <c r="KN16" i="2535"/>
  <c r="KS15" i="2535"/>
  <c r="KN15" i="2535"/>
  <c r="KS14" i="2535"/>
  <c r="KN14" i="2535"/>
  <c r="KS13" i="2535"/>
  <c r="KQ13" i="2535" s="1"/>
  <c r="KN13" i="2535"/>
  <c r="KS12" i="2535"/>
  <c r="KQ12" i="2535" s="1"/>
  <c r="KN12" i="2535"/>
  <c r="KS11" i="2535"/>
  <c r="KQ11" i="2535" s="1"/>
  <c r="KN11" i="2535"/>
  <c r="KS10" i="2535"/>
  <c r="KQ10" i="2535" s="1"/>
  <c r="KN10" i="2535"/>
  <c r="KS9" i="2535"/>
  <c r="KQ9" i="2535" s="1"/>
  <c r="KN9" i="2535"/>
  <c r="KS8" i="2535"/>
  <c r="KQ8" i="2535" s="1"/>
  <c r="KN8" i="2535"/>
  <c r="KS7" i="2535"/>
  <c r="KQ7" i="2535" s="1"/>
  <c r="KN7" i="2535"/>
  <c r="KQ5" i="2535"/>
  <c r="KS5" i="2535" s="1"/>
  <c r="KS4" i="2535"/>
  <c r="KR4" i="2535"/>
  <c r="KP4" i="2535"/>
  <c r="IS111" i="2539" l="1"/>
  <c r="IQ111" i="2539" s="1"/>
  <c r="IS108" i="2539"/>
  <c r="IR5" i="2539"/>
  <c r="IC100" i="2539"/>
  <c r="IC114" i="2539" s="1"/>
  <c r="IE100" i="2539"/>
  <c r="IE114" i="2539" s="1"/>
  <c r="IA61" i="2542"/>
  <c r="IA44" i="2542"/>
  <c r="IA52" i="2542"/>
  <c r="IS102" i="2539"/>
  <c r="IQ102" i="2539" s="1"/>
  <c r="IN102" i="2539"/>
  <c r="IN81" i="2539"/>
  <c r="IN105" i="2539"/>
  <c r="IS101" i="2539"/>
  <c r="IQ101" i="2539" s="1"/>
  <c r="IF100" i="2539"/>
  <c r="IF114" i="2539" s="1"/>
  <c r="IA80" i="2539"/>
  <c r="IA77" i="2539"/>
  <c r="IA62" i="2539"/>
  <c r="IA47" i="2539"/>
  <c r="IN7" i="2537"/>
  <c r="IQ70" i="2539"/>
  <c r="IQ45" i="2539"/>
  <c r="IN45" i="2539"/>
  <c r="IF7" i="2539"/>
  <c r="IQ70" i="2542"/>
  <c r="HZ7" i="2536"/>
  <c r="HZ41" i="2536" s="1"/>
  <c r="IQ45" i="2536"/>
  <c r="IS5" i="2536"/>
  <c r="IR5" i="2536"/>
  <c r="IN64" i="2536"/>
  <c r="ID7" i="2536"/>
  <c r="ID41" i="2536" s="1"/>
  <c r="IP38" i="2536"/>
  <c r="IA55" i="2536"/>
  <c r="IN55" i="2536"/>
  <c r="IA62" i="2536"/>
  <c r="IQ62" i="2536"/>
  <c r="HU48" i="2536"/>
  <c r="HX7" i="2536"/>
  <c r="HX41" i="2536" s="1"/>
  <c r="HU57" i="2536"/>
  <c r="HU42" i="2536"/>
  <c r="IA43" i="2536"/>
  <c r="IF7" i="2536"/>
  <c r="IQ14" i="2536"/>
  <c r="IR4" i="2543"/>
  <c r="IP4" i="2537"/>
  <c r="IN43" i="2536"/>
  <c r="IN62" i="2536"/>
  <c r="HS7" i="2536"/>
  <c r="HS41" i="2536" s="1"/>
  <c r="HO42" i="2536"/>
  <c r="IA60" i="2536"/>
  <c r="IA47" i="2536"/>
  <c r="IA14" i="2536"/>
  <c r="IA45" i="2536"/>
  <c r="IA54" i="2536"/>
  <c r="IN58" i="2536"/>
  <c r="IA61" i="2536"/>
  <c r="IA70" i="2536"/>
  <c r="HT48" i="2536"/>
  <c r="IA46" i="2536"/>
  <c r="IA44" i="2536"/>
  <c r="IA53" i="2536"/>
  <c r="IA49" i="2536"/>
  <c r="IA58" i="2536"/>
  <c r="IN46" i="2536"/>
  <c r="HW7" i="2536"/>
  <c r="HW41" i="2536" s="1"/>
  <c r="HP7" i="2536"/>
  <c r="HP41" i="2536" s="1"/>
  <c r="HO48" i="2536"/>
  <c r="IQ43" i="2536"/>
  <c r="IA52" i="2536"/>
  <c r="HT57" i="2536"/>
  <c r="HT7" i="2536"/>
  <c r="IN60" i="2536"/>
  <c r="HY7" i="2536"/>
  <c r="HY41" i="2536" s="1"/>
  <c r="HO57" i="2536"/>
  <c r="IQ23" i="2536"/>
  <c r="HW42" i="2536"/>
  <c r="IN45" i="2536"/>
  <c r="HD81" i="2541"/>
  <c r="HD83" i="2541"/>
  <c r="HD85" i="2541"/>
  <c r="IQ32" i="2543"/>
  <c r="IQ17" i="2543"/>
  <c r="IQ19" i="2543"/>
  <c r="IQ30" i="2543"/>
  <c r="IQ18" i="2543"/>
  <c r="IQ27" i="2543"/>
  <c r="IQ12" i="2543"/>
  <c r="IQ15" i="2543"/>
  <c r="IQ31" i="2543"/>
  <c r="IQ35" i="2543"/>
  <c r="IN30" i="2543"/>
  <c r="IQ20" i="2543"/>
  <c r="IQ15" i="2540"/>
  <c r="IQ27" i="2540"/>
  <c r="IQ16" i="2540"/>
  <c r="IQ28" i="2540"/>
  <c r="IQ32" i="2540"/>
  <c r="IQ18" i="2540"/>
  <c r="IQ12" i="2540"/>
  <c r="IQ19" i="2540"/>
  <c r="IQ25" i="2540"/>
  <c r="IQ13" i="2540"/>
  <c r="IQ14" i="2540"/>
  <c r="IQ17" i="2540"/>
  <c r="IQ26" i="2540"/>
  <c r="IQ29" i="2540"/>
  <c r="IS4" i="2540"/>
  <c r="IQ28" i="2537"/>
  <c r="IQ14" i="2537"/>
  <c r="IQ17" i="2537"/>
  <c r="IQ26" i="2537"/>
  <c r="IQ16" i="2537"/>
  <c r="IQ32" i="2537"/>
  <c r="IQ13" i="2537"/>
  <c r="IQ19" i="2537"/>
  <c r="IQ25" i="2537"/>
  <c r="IQ30" i="2537"/>
  <c r="IQ15" i="2537"/>
  <c r="IQ18" i="2537"/>
  <c r="IQ27" i="2537"/>
  <c r="IQ37" i="2537"/>
  <c r="IQ31" i="2537"/>
  <c r="IQ35" i="2537"/>
  <c r="IQ33" i="2537"/>
  <c r="IQ47" i="2542"/>
  <c r="IQ61" i="2542"/>
  <c r="IQ46" i="2542"/>
  <c r="IQ62" i="2542"/>
  <c r="IQ58" i="2542"/>
  <c r="IN44" i="2542"/>
  <c r="IQ57" i="2542"/>
  <c r="IN45" i="2542"/>
  <c r="IQ51" i="2542"/>
  <c r="IN52" i="2542"/>
  <c r="IN48" i="2542"/>
  <c r="IN63" i="2542"/>
  <c r="IN46" i="2542"/>
  <c r="IQ49" i="2542"/>
  <c r="IQ52" i="2542"/>
  <c r="IQ50" i="2542"/>
  <c r="IQ59" i="2542"/>
  <c r="IQ26" i="2542"/>
  <c r="IQ15" i="2542"/>
  <c r="IQ27" i="2542"/>
  <c r="IQ16" i="2542"/>
  <c r="IQ28" i="2542"/>
  <c r="IQ18" i="2542"/>
  <c r="IQ30" i="2542"/>
  <c r="IQ19" i="2542"/>
  <c r="IQ13" i="2542"/>
  <c r="IQ24" i="2542"/>
  <c r="IQ77" i="2539"/>
  <c r="IQ86" i="2539"/>
  <c r="IQ108" i="2539"/>
  <c r="IQ83" i="2539"/>
  <c r="IQ58" i="2539"/>
  <c r="IQ59" i="2539"/>
  <c r="IQ16" i="2539"/>
  <c r="IQ25" i="2539"/>
  <c r="IQ29" i="2539"/>
  <c r="IQ17" i="2539"/>
  <c r="IQ18" i="2539"/>
  <c r="IQ26" i="2539"/>
  <c r="IQ15" i="2539"/>
  <c r="IQ27" i="2539"/>
  <c r="IQ30" i="2539"/>
  <c r="IR4" i="2539"/>
  <c r="IF95" i="2539"/>
  <c r="IF94" i="2539" s="1"/>
  <c r="IS109" i="2539"/>
  <c r="IQ109" i="2539" s="1"/>
  <c r="IN103" i="2539"/>
  <c r="IS103" i="2539"/>
  <c r="IQ103" i="2539" s="1"/>
  <c r="IS87" i="2539"/>
  <c r="IN96" i="2539"/>
  <c r="IN78" i="2539"/>
  <c r="IQ85" i="2539"/>
  <c r="IS96" i="2539"/>
  <c r="IQ92" i="2539"/>
  <c r="IQ90" i="2539"/>
  <c r="IN54" i="2539"/>
  <c r="IN55" i="2539"/>
  <c r="IQ47" i="2539"/>
  <c r="IQ64" i="2539"/>
  <c r="IN48" i="2539"/>
  <c r="IN51" i="2539"/>
  <c r="IQ62" i="2539"/>
  <c r="IN49" i="2539"/>
  <c r="IQ52" i="2539"/>
  <c r="IN60" i="2539"/>
  <c r="IN8" i="2539"/>
  <c r="IN44" i="2536"/>
  <c r="IN54" i="2536"/>
  <c r="IN52" i="2536"/>
  <c r="IN63" i="2536"/>
  <c r="IQ50" i="2536"/>
  <c r="IQ51" i="2536"/>
  <c r="IN51" i="2536"/>
  <c r="IQ16" i="2536"/>
  <c r="IQ26" i="2536"/>
  <c r="IQ27" i="2536"/>
  <c r="IQ15" i="2536"/>
  <c r="IQ18" i="2536"/>
  <c r="IR4" i="2536"/>
  <c r="IQ13" i="2536"/>
  <c r="KQ41" i="2535"/>
  <c r="KQ42" i="2535"/>
  <c r="KQ40" i="2535"/>
  <c r="KQ15" i="2535"/>
  <c r="KQ14" i="2535"/>
  <c r="KQ17" i="2535"/>
  <c r="KQ18" i="2535"/>
  <c r="KQ19" i="2535"/>
  <c r="KS32" i="2535"/>
  <c r="KQ32" i="2535" s="1"/>
  <c r="KN33" i="2535"/>
  <c r="KN41" i="2535"/>
  <c r="KS39" i="2535"/>
  <c r="KQ39" i="2535" s="1"/>
  <c r="KS38" i="2535"/>
  <c r="KQ38" i="2535" s="1"/>
  <c r="IR5" i="2543"/>
  <c r="IA7" i="2543"/>
  <c r="IA53" i="2542"/>
  <c r="IA57" i="2542"/>
  <c r="IR5" i="2542"/>
  <c r="IS5" i="2542"/>
  <c r="IN57" i="2542"/>
  <c r="IR4" i="2542"/>
  <c r="IP4" i="2542"/>
  <c r="IQ60" i="2542"/>
  <c r="HU7" i="2542"/>
  <c r="HU41" i="2542" s="1"/>
  <c r="IQ8" i="2542"/>
  <c r="HR42" i="2542"/>
  <c r="ID42" i="2542"/>
  <c r="IN42" i="2542" s="1"/>
  <c r="IQ48" i="2542"/>
  <c r="IA51" i="2542"/>
  <c r="IA59" i="2542"/>
  <c r="HZ41" i="2542"/>
  <c r="IN51" i="2542"/>
  <c r="IN59" i="2542"/>
  <c r="HO7" i="2542"/>
  <c r="IA19" i="2542"/>
  <c r="HX42" i="2542"/>
  <c r="IN50" i="2542"/>
  <c r="IN64" i="2542"/>
  <c r="HV7" i="2542"/>
  <c r="HV41" i="2542" s="1"/>
  <c r="IA70" i="2542"/>
  <c r="IA48" i="2542"/>
  <c r="IN60" i="2542"/>
  <c r="IB7" i="2542"/>
  <c r="IN8" i="2542"/>
  <c r="IS39" i="2542"/>
  <c r="HO42" i="2542"/>
  <c r="IA49" i="2542"/>
  <c r="IA58" i="2542"/>
  <c r="HP7" i="2542"/>
  <c r="HP41" i="2542" s="1"/>
  <c r="IN49" i="2542"/>
  <c r="IE7" i="2542"/>
  <c r="IB53" i="2542"/>
  <c r="HY7" i="2542"/>
  <c r="HY41" i="2542" s="1"/>
  <c r="IN58" i="2542"/>
  <c r="IN70" i="2542"/>
  <c r="HE37" i="2541"/>
  <c r="HF37" i="2541"/>
  <c r="GI38" i="2541"/>
  <c r="GN38" i="2541" s="1"/>
  <c r="GN77" i="2541"/>
  <c r="HF77" i="2541"/>
  <c r="HD77" i="2541" s="1"/>
  <c r="HA77" i="2541"/>
  <c r="HD24" i="2541"/>
  <c r="GM52" i="2541"/>
  <c r="HD73" i="2541"/>
  <c r="GN62" i="2541"/>
  <c r="HE5" i="2541"/>
  <c r="HF5" i="2541"/>
  <c r="GL52" i="2541"/>
  <c r="HF8" i="2541"/>
  <c r="HD8" i="2541" s="1"/>
  <c r="HF40" i="2541"/>
  <c r="HD40" i="2541" s="1"/>
  <c r="HA49" i="2541"/>
  <c r="HF63" i="2541"/>
  <c r="HD63" i="2541" s="1"/>
  <c r="HA73" i="2541"/>
  <c r="HF80" i="2541"/>
  <c r="HD80" i="2541" s="1"/>
  <c r="GB53" i="2541"/>
  <c r="GK49" i="2541"/>
  <c r="GK38" i="2541" s="1"/>
  <c r="GO53" i="2541"/>
  <c r="HA63" i="2541"/>
  <c r="HA80" i="2541"/>
  <c r="GR7" i="2541"/>
  <c r="GJ7" i="2541"/>
  <c r="GN40" i="2541"/>
  <c r="GN63" i="2541"/>
  <c r="GN80" i="2541"/>
  <c r="GB7" i="2541"/>
  <c r="GN49" i="2541"/>
  <c r="HA40" i="2541"/>
  <c r="GR38" i="2541"/>
  <c r="GR62" i="2541"/>
  <c r="GN24" i="2541"/>
  <c r="HA50" i="2541"/>
  <c r="IS5" i="2540"/>
  <c r="IR5" i="2540"/>
  <c r="IS31" i="2540"/>
  <c r="IQ31" i="2540" s="1"/>
  <c r="IS7" i="2540"/>
  <c r="IQ7" i="2540" s="1"/>
  <c r="IA7" i="2540"/>
  <c r="HU113" i="2539"/>
  <c r="HU112" i="2539" s="1"/>
  <c r="HU93" i="2539"/>
  <c r="IA46" i="2539"/>
  <c r="IN57" i="2539"/>
  <c r="IA50" i="2539"/>
  <c r="IQ63" i="2539"/>
  <c r="IN63" i="2539"/>
  <c r="IN43" i="2539"/>
  <c r="IE75" i="2539"/>
  <c r="IE98" i="2539"/>
  <c r="IS105" i="2539"/>
  <c r="IQ105" i="2539" s="1"/>
  <c r="IQ12" i="2539"/>
  <c r="HT48" i="2539"/>
  <c r="IA48" i="2539" s="1"/>
  <c r="HT7" i="2539"/>
  <c r="HT41" i="2539" s="1"/>
  <c r="IA49" i="2539"/>
  <c r="HZ75" i="2539"/>
  <c r="HZ74" i="2539" s="1"/>
  <c r="HZ97" i="2539"/>
  <c r="HZ94" i="2539" s="1"/>
  <c r="IR39" i="2539"/>
  <c r="IS39" i="2539"/>
  <c r="IQ87" i="2539"/>
  <c r="HX93" i="2539"/>
  <c r="HX113" i="2539"/>
  <c r="HX112" i="2539" s="1"/>
  <c r="HV113" i="2539"/>
  <c r="HV112" i="2539" s="1"/>
  <c r="HY42" i="2539"/>
  <c r="HY7" i="2539"/>
  <c r="HY41" i="2539" s="1"/>
  <c r="IA110" i="2539"/>
  <c r="IA98" i="2539"/>
  <c r="HS7" i="2539"/>
  <c r="HS41" i="2539" s="1"/>
  <c r="IA52" i="2539"/>
  <c r="HX42" i="2539"/>
  <c r="HX7" i="2539"/>
  <c r="HX41" i="2539" s="1"/>
  <c r="IA53" i="2539"/>
  <c r="IS110" i="2539"/>
  <c r="IQ110" i="2539" s="1"/>
  <c r="IN110" i="2539"/>
  <c r="IE94" i="2539"/>
  <c r="HW42" i="2539"/>
  <c r="HW7" i="2539"/>
  <c r="HW41" i="2539" s="1"/>
  <c r="HS94" i="2539"/>
  <c r="HW94" i="2539"/>
  <c r="ID41" i="2539"/>
  <c r="IQ50" i="2539"/>
  <c r="IS81" i="2539"/>
  <c r="IA8" i="2539"/>
  <c r="HY100" i="2539"/>
  <c r="HY114" i="2539" s="1"/>
  <c r="IS104" i="2539"/>
  <c r="IQ104" i="2539" s="1"/>
  <c r="IN104" i="2539"/>
  <c r="HP106" i="2539"/>
  <c r="HP115" i="2539" s="1"/>
  <c r="IC106" i="2539"/>
  <c r="IC115" i="2539" s="1"/>
  <c r="IN23" i="2539"/>
  <c r="IN46" i="2539"/>
  <c r="IQ53" i="2539"/>
  <c r="HQ106" i="2539"/>
  <c r="HQ115" i="2539" s="1"/>
  <c r="ID106" i="2539"/>
  <c r="ID115" i="2539" s="1"/>
  <c r="HZ42" i="2539"/>
  <c r="HZ41" i="2539"/>
  <c r="IA14" i="2539"/>
  <c r="HS75" i="2539"/>
  <c r="HS74" i="2539" s="1"/>
  <c r="IA79" i="2539"/>
  <c r="IQ84" i="2539"/>
  <c r="HO96" i="2539"/>
  <c r="HQ100" i="2539"/>
  <c r="HQ114" i="2539" s="1"/>
  <c r="ID100" i="2539"/>
  <c r="ID114" i="2539" s="1"/>
  <c r="IA19" i="2539"/>
  <c r="IN95" i="2539"/>
  <c r="IN107" i="2539"/>
  <c r="IB106" i="2539"/>
  <c r="IA44" i="2539"/>
  <c r="IE97" i="2539"/>
  <c r="HO100" i="2539"/>
  <c r="HR106" i="2539"/>
  <c r="HR115" i="2539" s="1"/>
  <c r="IA109" i="2539"/>
  <c r="IA111" i="2539"/>
  <c r="ID53" i="2539"/>
  <c r="IN53" i="2539" s="1"/>
  <c r="IN62" i="2539"/>
  <c r="IS78" i="2539"/>
  <c r="IQ78" i="2539" s="1"/>
  <c r="IS95" i="2539"/>
  <c r="IQ46" i="2539"/>
  <c r="HT75" i="2539"/>
  <c r="HT74" i="2539" s="1"/>
  <c r="HP94" i="2539"/>
  <c r="IB97" i="2539"/>
  <c r="HR100" i="2539"/>
  <c r="HR114" i="2539" s="1"/>
  <c r="IA105" i="2539"/>
  <c r="IE7" i="2539"/>
  <c r="IQ43" i="2539"/>
  <c r="IQ61" i="2539"/>
  <c r="IN61" i="2539"/>
  <c r="HU75" i="2539"/>
  <c r="HU74" i="2539" s="1"/>
  <c r="IC94" i="2539"/>
  <c r="IE106" i="2539"/>
  <c r="IS107" i="2539"/>
  <c r="IN111" i="2539"/>
  <c r="IA78" i="2539"/>
  <c r="IB99" i="2539"/>
  <c r="IS80" i="2539"/>
  <c r="HY94" i="2539"/>
  <c r="IA102" i="2539"/>
  <c r="IA45" i="2539"/>
  <c r="IA60" i="2539"/>
  <c r="HO106" i="2539"/>
  <c r="HO42" i="2539"/>
  <c r="IN52" i="2539"/>
  <c r="IN80" i="2539"/>
  <c r="IN101" i="2539"/>
  <c r="IB100" i="2539"/>
  <c r="IB93" i="2539" s="1"/>
  <c r="IN42" i="2539"/>
  <c r="IA55" i="2539"/>
  <c r="HY75" i="2539"/>
  <c r="HY74" i="2539" s="1"/>
  <c r="HP100" i="2539"/>
  <c r="HP114" i="2539" s="1"/>
  <c r="IN19" i="2539"/>
  <c r="IQ49" i="2539"/>
  <c r="IE53" i="2539"/>
  <c r="IQ60" i="2539"/>
  <c r="IA61" i="2539"/>
  <c r="IA70" i="2539"/>
  <c r="HO75" i="2539"/>
  <c r="IN76" i="2539"/>
  <c r="IB75" i="2539"/>
  <c r="IS79" i="2539"/>
  <c r="IQ79" i="2539" s="1"/>
  <c r="IN79" i="2539"/>
  <c r="IA81" i="2539"/>
  <c r="IQ82" i="2539"/>
  <c r="IA103" i="2539"/>
  <c r="IA43" i="2539"/>
  <c r="HP75" i="2539"/>
  <c r="HP74" i="2539" s="1"/>
  <c r="IQ19" i="2539"/>
  <c r="IQ48" i="2539"/>
  <c r="IN50" i="2539"/>
  <c r="IQ51" i="2539"/>
  <c r="IA54" i="2539"/>
  <c r="IQ54" i="2539"/>
  <c r="HV75" i="2539"/>
  <c r="HV74" i="2539" s="1"/>
  <c r="HQ75" i="2539"/>
  <c r="HQ74" i="2539" s="1"/>
  <c r="ID75" i="2539"/>
  <c r="ID74" i="2539" s="1"/>
  <c r="IN87" i="2539"/>
  <c r="HO97" i="2539"/>
  <c r="IB98" i="2539"/>
  <c r="IN109" i="2539"/>
  <c r="IA76" i="2539"/>
  <c r="HO95" i="2539"/>
  <c r="IA101" i="2539"/>
  <c r="IA107" i="2539"/>
  <c r="HQ95" i="2539"/>
  <c r="HQ94" i="2539" s="1"/>
  <c r="HO57" i="2539"/>
  <c r="HR95" i="2539"/>
  <c r="HR94" i="2539" s="1"/>
  <c r="ID95" i="2539"/>
  <c r="ID94" i="2539" s="1"/>
  <c r="IC75" i="2539"/>
  <c r="IC74" i="2539" s="1"/>
  <c r="HO99" i="2539"/>
  <c r="JN47" i="2538"/>
  <c r="JS47" i="2538"/>
  <c r="IR35" i="2538"/>
  <c r="JE40" i="2538"/>
  <c r="JC35" i="2538"/>
  <c r="JQ45" i="2538"/>
  <c r="IO53" i="2538"/>
  <c r="JQ52" i="2538"/>
  <c r="JR52" i="2538" s="1"/>
  <c r="JS52" i="2538" s="1"/>
  <c r="JS5" i="2538"/>
  <c r="JR5" i="2538"/>
  <c r="JQ37" i="2538"/>
  <c r="JR37" i="2538" s="1"/>
  <c r="JS37" i="2538" s="1"/>
  <c r="JA47" i="2538"/>
  <c r="IZ40" i="2538"/>
  <c r="IZ38" i="2538" s="1"/>
  <c r="IY40" i="2538"/>
  <c r="IY38" i="2538" s="1"/>
  <c r="IY35" i="2538" s="1"/>
  <c r="JD53" i="2538"/>
  <c r="JQ60" i="2538"/>
  <c r="JA63" i="2538"/>
  <c r="JA24" i="2538"/>
  <c r="IZ54" i="2538"/>
  <c r="IZ53" i="2538" s="1"/>
  <c r="JQ58" i="2538"/>
  <c r="IQ35" i="2538"/>
  <c r="JQ74" i="2538"/>
  <c r="IR40" i="2538"/>
  <c r="IR38" i="2538" s="1"/>
  <c r="JA75" i="2538"/>
  <c r="IS7" i="2538"/>
  <c r="IS34" i="2538" s="1"/>
  <c r="IS35" i="2538" s="1"/>
  <c r="JS36" i="2538"/>
  <c r="IW43" i="2538"/>
  <c r="IW42" i="2538" s="1"/>
  <c r="IW40" i="2538" s="1"/>
  <c r="IW38" i="2538" s="1"/>
  <c r="IW35" i="2538" s="1"/>
  <c r="JN57" i="2538"/>
  <c r="JQ63" i="2538"/>
  <c r="IP71" i="2538"/>
  <c r="IP53" i="2538" s="1"/>
  <c r="IP43" i="2538"/>
  <c r="IP42" i="2538" s="1"/>
  <c r="IP40" i="2538" s="1"/>
  <c r="IP38" i="2538" s="1"/>
  <c r="IP35" i="2538" s="1"/>
  <c r="JS75" i="2538"/>
  <c r="JB71" i="2538"/>
  <c r="JB43" i="2538"/>
  <c r="JN75" i="2538"/>
  <c r="IT7" i="2538"/>
  <c r="IT34" i="2538" s="1"/>
  <c r="IZ7" i="2538"/>
  <c r="IZ34" i="2538" s="1"/>
  <c r="IT40" i="2538"/>
  <c r="IT38" i="2538" s="1"/>
  <c r="IX42" i="2538"/>
  <c r="IX40" i="2538" s="1"/>
  <c r="IX38" i="2538" s="1"/>
  <c r="IX35" i="2538" s="1"/>
  <c r="JA20" i="2538"/>
  <c r="IZ71" i="2538"/>
  <c r="IZ43" i="2538"/>
  <c r="IZ42" i="2538" s="1"/>
  <c r="IV42" i="2538"/>
  <c r="JQ72" i="2538"/>
  <c r="IO71" i="2538"/>
  <c r="IO43" i="2538"/>
  <c r="IU40" i="2538"/>
  <c r="IU38" i="2538" s="1"/>
  <c r="IU35" i="2538" s="1"/>
  <c r="JD7" i="2538"/>
  <c r="JD34" i="2538" s="1"/>
  <c r="JD35" i="2538" s="1"/>
  <c r="JA62" i="2538"/>
  <c r="JE7" i="2538"/>
  <c r="JA41" i="2538"/>
  <c r="JA45" i="2538"/>
  <c r="JA57" i="2538"/>
  <c r="JS41" i="2538"/>
  <c r="JQ41" i="2538" s="1"/>
  <c r="JN41" i="2538"/>
  <c r="JR36" i="2538"/>
  <c r="JD40" i="2538"/>
  <c r="JD38" i="2538" s="1"/>
  <c r="JA17" i="2538"/>
  <c r="IY43" i="2538"/>
  <c r="IY42" i="2538" s="1"/>
  <c r="IV40" i="2538"/>
  <c r="IV38" i="2538" s="1"/>
  <c r="IV35" i="2538" s="1"/>
  <c r="JC43" i="2538"/>
  <c r="JC42" i="2538" s="1"/>
  <c r="JC40" i="2538" s="1"/>
  <c r="JC38" i="2538" s="1"/>
  <c r="JC54" i="2538"/>
  <c r="IV54" i="2538"/>
  <c r="IV53" i="2538" s="1"/>
  <c r="JQ62" i="2538"/>
  <c r="JB7" i="2538"/>
  <c r="IQ7" i="2537"/>
  <c r="IS5" i="2537"/>
  <c r="IA7" i="2537"/>
  <c r="IN53" i="2536"/>
  <c r="IE41" i="2536"/>
  <c r="IS39" i="2536"/>
  <c r="IC7" i="2536"/>
  <c r="IC41" i="2536" s="1"/>
  <c r="IA8" i="2536"/>
  <c r="IA23" i="2536"/>
  <c r="HR42" i="2536"/>
  <c r="ID42" i="2536"/>
  <c r="IA51" i="2536"/>
  <c r="HO7" i="2536"/>
  <c r="HS42" i="2536"/>
  <c r="IE42" i="2536"/>
  <c r="IN42" i="2536" s="1"/>
  <c r="IA50" i="2536"/>
  <c r="IA59" i="2536"/>
  <c r="IN23" i="2536"/>
  <c r="IB7" i="2536"/>
  <c r="IN8" i="2536"/>
  <c r="IN19" i="2536"/>
  <c r="IN50" i="2536"/>
  <c r="IB57" i="2536"/>
  <c r="IN59" i="2536"/>
  <c r="HQ7" i="2536"/>
  <c r="HQ41" i="2536" s="1"/>
  <c r="IN14" i="2536"/>
  <c r="HU7" i="2536"/>
  <c r="IE48" i="2536"/>
  <c r="IN49" i="2536"/>
  <c r="IN70" i="2536"/>
  <c r="HV7" i="2536"/>
  <c r="HV41" i="2536" s="1"/>
  <c r="IQ19" i="2536"/>
  <c r="KR5" i="2535"/>
  <c r="KN32" i="2535"/>
  <c r="KN36" i="2535"/>
  <c r="KN40" i="2535"/>
  <c r="KS28" i="2535"/>
  <c r="KN31" i="2535"/>
  <c r="KN35" i="2535"/>
  <c r="KN39" i="2535"/>
  <c r="KN30" i="2535"/>
  <c r="KN34" i="2535"/>
  <c r="KN38" i="2535"/>
  <c r="KN42" i="2535"/>
  <c r="IA41" i="2539" l="1"/>
  <c r="IQ46" i="2536"/>
  <c r="IQ54" i="2536"/>
  <c r="IQ55" i="2536"/>
  <c r="IQ48" i="2536"/>
  <c r="IQ58" i="2536"/>
  <c r="IQ59" i="2536"/>
  <c r="HU41" i="2536"/>
  <c r="IQ8" i="2536"/>
  <c r="IQ70" i="2536"/>
  <c r="IQ53" i="2536"/>
  <c r="IQ42" i="2536"/>
  <c r="IQ61" i="2536"/>
  <c r="IQ44" i="2536"/>
  <c r="IA48" i="2536"/>
  <c r="IA42" i="2536"/>
  <c r="IA57" i="2536"/>
  <c r="IN48" i="2536"/>
  <c r="HT41" i="2536"/>
  <c r="IR4" i="2540"/>
  <c r="IP4" i="2540"/>
  <c r="IF93" i="2539"/>
  <c r="IF113" i="2539"/>
  <c r="IF112" i="2539" s="1"/>
  <c r="IQ52" i="2536"/>
  <c r="IQ49" i="2536"/>
  <c r="IQ60" i="2536"/>
  <c r="HO41" i="2542"/>
  <c r="IA7" i="2542"/>
  <c r="IA42" i="2542"/>
  <c r="IN53" i="2542"/>
  <c r="IQ53" i="2542"/>
  <c r="IB41" i="2542"/>
  <c r="IN7" i="2542"/>
  <c r="IQ7" i="2542"/>
  <c r="IE41" i="2542"/>
  <c r="HA7" i="2541"/>
  <c r="GR53" i="2541"/>
  <c r="GO52" i="2541"/>
  <c r="HA53" i="2541"/>
  <c r="HF53" i="2541"/>
  <c r="HD53" i="2541" s="1"/>
  <c r="HF7" i="2541"/>
  <c r="HA62" i="2541"/>
  <c r="GN7" i="2541"/>
  <c r="GB52" i="2541"/>
  <c r="GN53" i="2541"/>
  <c r="HF62" i="2541"/>
  <c r="HD62" i="2541" s="1"/>
  <c r="HA38" i="2541"/>
  <c r="HF38" i="2541"/>
  <c r="HD38" i="2541" s="1"/>
  <c r="HR113" i="2539"/>
  <c r="HR112" i="2539" s="1"/>
  <c r="HR93" i="2539"/>
  <c r="IA75" i="2539"/>
  <c r="HO74" i="2539"/>
  <c r="IS106" i="2539"/>
  <c r="IN106" i="2539"/>
  <c r="IB115" i="2539"/>
  <c r="IS99" i="2539"/>
  <c r="IQ99" i="2539" s="1"/>
  <c r="IN99" i="2539"/>
  <c r="IA57" i="2539"/>
  <c r="IQ57" i="2539"/>
  <c r="IQ81" i="2539"/>
  <c r="HQ113" i="2539"/>
  <c r="HQ112" i="2539" s="1"/>
  <c r="HQ93" i="2539"/>
  <c r="IB114" i="2539"/>
  <c r="IS100" i="2539"/>
  <c r="IQ100" i="2539" s="1"/>
  <c r="IN100" i="2539"/>
  <c r="IQ80" i="2539"/>
  <c r="IE41" i="2539"/>
  <c r="IE113" i="2539"/>
  <c r="IE93" i="2539"/>
  <c r="IB94" i="2539"/>
  <c r="HO94" i="2539"/>
  <c r="IA95" i="2539"/>
  <c r="IQ95" i="2539"/>
  <c r="IS97" i="2539"/>
  <c r="IN97" i="2539"/>
  <c r="IQ42" i="2539"/>
  <c r="IA42" i="2539"/>
  <c r="IQ107" i="2539"/>
  <c r="HP93" i="2539"/>
  <c r="HP113" i="2539"/>
  <c r="HP112" i="2539" s="1"/>
  <c r="IA100" i="2539"/>
  <c r="HO114" i="2539"/>
  <c r="IE74" i="2539"/>
  <c r="IS74" i="2539" s="1"/>
  <c r="IA106" i="2539"/>
  <c r="HO115" i="2539"/>
  <c r="IE115" i="2539"/>
  <c r="IN7" i="2539"/>
  <c r="HZ93" i="2539"/>
  <c r="HZ113" i="2539"/>
  <c r="HZ112" i="2539" s="1"/>
  <c r="IQ7" i="2539"/>
  <c r="IA99" i="2539"/>
  <c r="IS98" i="2539"/>
  <c r="IQ98" i="2539" s="1"/>
  <c r="IN98" i="2539"/>
  <c r="IC113" i="2539"/>
  <c r="IC112" i="2539" s="1"/>
  <c r="IC93" i="2539"/>
  <c r="IA97" i="2539"/>
  <c r="IS75" i="2539"/>
  <c r="IN75" i="2539"/>
  <c r="IQ96" i="2539"/>
  <c r="IA96" i="2539"/>
  <c r="HW93" i="2539"/>
  <c r="HW113" i="2539"/>
  <c r="HW112" i="2539" s="1"/>
  <c r="ID113" i="2539"/>
  <c r="ID112" i="2539" s="1"/>
  <c r="ID93" i="2539"/>
  <c r="HY93" i="2539"/>
  <c r="HY113" i="2539"/>
  <c r="HY112" i="2539" s="1"/>
  <c r="IA7" i="2539"/>
  <c r="HS113" i="2539"/>
  <c r="HS112" i="2539" s="1"/>
  <c r="HS93" i="2539"/>
  <c r="JA53" i="2538"/>
  <c r="JN54" i="2538"/>
  <c r="JC53" i="2538"/>
  <c r="JS54" i="2538"/>
  <c r="JQ54" i="2538" s="1"/>
  <c r="JA54" i="2538"/>
  <c r="JA43" i="2538"/>
  <c r="IO42" i="2538"/>
  <c r="JE38" i="2538"/>
  <c r="JA71" i="2538"/>
  <c r="IZ35" i="2538"/>
  <c r="IT35" i="2538"/>
  <c r="JQ47" i="2538"/>
  <c r="JE34" i="2538"/>
  <c r="JS43" i="2538"/>
  <c r="JN43" i="2538"/>
  <c r="JB42" i="2538"/>
  <c r="JS71" i="2538"/>
  <c r="JQ71" i="2538" s="1"/>
  <c r="JN71" i="2538"/>
  <c r="JB53" i="2538"/>
  <c r="JB34" i="2538"/>
  <c r="JQ75" i="2538"/>
  <c r="JA7" i="2538"/>
  <c r="IB41" i="2536"/>
  <c r="IN7" i="2536"/>
  <c r="HO41" i="2536"/>
  <c r="IA7" i="2536"/>
  <c r="IN57" i="2536"/>
  <c r="IQ57" i="2536"/>
  <c r="IQ47" i="2536"/>
  <c r="IN41" i="2542" l="1"/>
  <c r="IQ42" i="2542"/>
  <c r="IA41" i="2542"/>
  <c r="GN52" i="2541"/>
  <c r="HD7" i="2541"/>
  <c r="GR52" i="2541"/>
  <c r="IN74" i="2539"/>
  <c r="IE112" i="2539"/>
  <c r="IA115" i="2539"/>
  <c r="IN41" i="2539"/>
  <c r="IQ41" i="2539"/>
  <c r="IS115" i="2539"/>
  <c r="IQ115" i="2539" s="1"/>
  <c r="IN115" i="2539"/>
  <c r="IQ97" i="2539"/>
  <c r="IQ106" i="2539"/>
  <c r="IA94" i="2539"/>
  <c r="HO93" i="2539"/>
  <c r="HO113" i="2539"/>
  <c r="IN114" i="2539"/>
  <c r="IS114" i="2539"/>
  <c r="IQ114" i="2539" s="1"/>
  <c r="IA74" i="2539"/>
  <c r="IA114" i="2539"/>
  <c r="IB113" i="2539"/>
  <c r="IS94" i="2539"/>
  <c r="IN94" i="2539"/>
  <c r="IQ75" i="2539"/>
  <c r="JS42" i="2538"/>
  <c r="JQ42" i="2538" s="1"/>
  <c r="JN42" i="2538"/>
  <c r="JB40" i="2538"/>
  <c r="JS53" i="2538"/>
  <c r="JQ53" i="2538" s="1"/>
  <c r="JN53" i="2538"/>
  <c r="JA42" i="2538"/>
  <c r="IO40" i="2538"/>
  <c r="JQ43" i="2538"/>
  <c r="IA41" i="2536"/>
  <c r="IQ41" i="2536"/>
  <c r="IN41" i="2536"/>
  <c r="IQ7" i="2536"/>
  <c r="IQ41" i="2542" l="1"/>
  <c r="HF52" i="2541"/>
  <c r="HD52" i="2541" s="1"/>
  <c r="HA52" i="2541"/>
  <c r="HO112" i="2539"/>
  <c r="IA113" i="2539"/>
  <c r="IA93" i="2539"/>
  <c r="IN113" i="2539"/>
  <c r="IB112" i="2539"/>
  <c r="IS113" i="2539"/>
  <c r="IQ113" i="2539" s="1"/>
  <c r="IS93" i="2539"/>
  <c r="IQ93" i="2539" s="1"/>
  <c r="IN93" i="2539"/>
  <c r="IQ94" i="2539"/>
  <c r="IQ74" i="2539"/>
  <c r="JA40" i="2538"/>
  <c r="IO38" i="2538"/>
  <c r="JN40" i="2538"/>
  <c r="JB38" i="2538"/>
  <c r="JS40" i="2538"/>
  <c r="IS112" i="2539" l="1"/>
  <c r="IN112" i="2539"/>
  <c r="IA112" i="2539"/>
  <c r="JQ40" i="2538"/>
  <c r="JN38" i="2538"/>
  <c r="JS38" i="2538"/>
  <c r="JB35" i="2538"/>
  <c r="JA38" i="2538"/>
  <c r="IO35" i="2538"/>
  <c r="IQ112" i="2539" l="1"/>
  <c r="JQ38" i="2538"/>
  <c r="KC11" i="2522" l="1"/>
  <c r="KE13" i="2522"/>
  <c r="JZ42" i="2522"/>
  <c r="JY42" i="2522"/>
  <c r="JX42" i="2522"/>
  <c r="JW42" i="2522"/>
  <c r="JU42" i="2522"/>
  <c r="JS42" i="2522"/>
  <c r="JQ42" i="2522"/>
  <c r="JP42" i="2522"/>
  <c r="JO42" i="2522"/>
  <c r="JZ40" i="2522"/>
  <c r="JY40" i="2522"/>
  <c r="JX40" i="2522"/>
  <c r="JW40" i="2522"/>
  <c r="JV40" i="2522"/>
  <c r="JU40" i="2522"/>
  <c r="JS40" i="2522"/>
  <c r="JR40" i="2522"/>
  <c r="JQ40" i="2522"/>
  <c r="JP40" i="2522"/>
  <c r="JO40" i="2522"/>
  <c r="JZ39" i="2522"/>
  <c r="JY39" i="2522"/>
  <c r="JX39" i="2522"/>
  <c r="JW39" i="2522"/>
  <c r="JV39" i="2522"/>
  <c r="JU39" i="2522"/>
  <c r="JS39" i="2522"/>
  <c r="JR39" i="2522"/>
  <c r="JQ39" i="2522"/>
  <c r="JP39" i="2522"/>
  <c r="JO39" i="2522"/>
  <c r="JZ38" i="2522"/>
  <c r="JY38" i="2522"/>
  <c r="JX38" i="2522"/>
  <c r="JW38" i="2522"/>
  <c r="JV38" i="2522"/>
  <c r="JU38" i="2522"/>
  <c r="JS38" i="2522"/>
  <c r="JR38" i="2522"/>
  <c r="JQ38" i="2522"/>
  <c r="JP38" i="2522"/>
  <c r="JO38" i="2522"/>
  <c r="JZ37" i="2522"/>
  <c r="JY37" i="2522"/>
  <c r="JX37" i="2522"/>
  <c r="JW37" i="2522"/>
  <c r="JV37" i="2522"/>
  <c r="JU37" i="2522"/>
  <c r="JS37" i="2522"/>
  <c r="JR37" i="2522"/>
  <c r="JQ37" i="2522"/>
  <c r="JP37" i="2522"/>
  <c r="JO37" i="2522"/>
  <c r="JZ36" i="2522"/>
  <c r="JY36" i="2522"/>
  <c r="JX36" i="2522"/>
  <c r="JW36" i="2522"/>
  <c r="JV36" i="2522"/>
  <c r="JU36" i="2522"/>
  <c r="JS36" i="2522"/>
  <c r="JR36" i="2522"/>
  <c r="JQ36" i="2522"/>
  <c r="JP36" i="2522"/>
  <c r="JO36" i="2522"/>
  <c r="JZ35" i="2522"/>
  <c r="JY35" i="2522"/>
  <c r="JX35" i="2522"/>
  <c r="JW35" i="2522"/>
  <c r="JV35" i="2522"/>
  <c r="JU35" i="2522"/>
  <c r="JS35" i="2522"/>
  <c r="JR35" i="2522"/>
  <c r="JQ35" i="2522"/>
  <c r="JP35" i="2522"/>
  <c r="JO35" i="2522"/>
  <c r="JZ34" i="2522"/>
  <c r="JY34" i="2522"/>
  <c r="JX34" i="2522"/>
  <c r="JW34" i="2522"/>
  <c r="JV34" i="2522"/>
  <c r="JU34" i="2522"/>
  <c r="JS34" i="2522"/>
  <c r="JR34" i="2522"/>
  <c r="JQ34" i="2522"/>
  <c r="JP34" i="2522"/>
  <c r="JO34" i="2522"/>
  <c r="JZ33" i="2522"/>
  <c r="JY33" i="2522"/>
  <c r="JX33" i="2522"/>
  <c r="JW33" i="2522"/>
  <c r="JV33" i="2522"/>
  <c r="JU33" i="2522"/>
  <c r="JS33" i="2522"/>
  <c r="JR33" i="2522"/>
  <c r="JQ33" i="2522"/>
  <c r="JP33" i="2522"/>
  <c r="JO33" i="2522"/>
  <c r="JZ32" i="2522"/>
  <c r="JY32" i="2522"/>
  <c r="JX32" i="2522"/>
  <c r="JW32" i="2522"/>
  <c r="JV32" i="2522"/>
  <c r="JU32" i="2522"/>
  <c r="JS32" i="2522"/>
  <c r="JR32" i="2522"/>
  <c r="JQ32" i="2522"/>
  <c r="JP32" i="2522"/>
  <c r="JO32" i="2522"/>
  <c r="KA30" i="2522"/>
  <c r="JZ30" i="2522"/>
  <c r="JY30" i="2522"/>
  <c r="JX30" i="2522"/>
  <c r="JW30" i="2522"/>
  <c r="JV30" i="2522"/>
  <c r="JU30" i="2522"/>
  <c r="JS30" i="2522"/>
  <c r="JR30" i="2522"/>
  <c r="JQ30" i="2522"/>
  <c r="JP30" i="2522"/>
  <c r="JO30" i="2522"/>
  <c r="KA29" i="2522"/>
  <c r="JZ29" i="2522"/>
  <c r="JY29" i="2522"/>
  <c r="JX29" i="2522"/>
  <c r="JW29" i="2522"/>
  <c r="JV29" i="2522"/>
  <c r="JU29" i="2522"/>
  <c r="JR29" i="2522"/>
  <c r="JQ29" i="2522"/>
  <c r="JP29" i="2522"/>
  <c r="JO29" i="2522"/>
  <c r="KA27" i="2522"/>
  <c r="KC20" i="2522" a="1"/>
  <c r="KC20" i="2522" s="1"/>
  <c r="KA20" i="2522"/>
  <c r="KF18" i="2522" a="1"/>
  <c r="KF18" i="2522" s="1"/>
  <c r="KA18" i="2522"/>
  <c r="KF17" i="2522" a="1"/>
  <c r="KF17" i="2522" s="1"/>
  <c r="KE17" i="2522" a="1"/>
  <c r="KE17" i="2522" s="1"/>
  <c r="KC17" i="2522" a="1"/>
  <c r="KC17" i="2522" s="1"/>
  <c r="KA17" i="2522"/>
  <c r="KC16" i="2522" a="1"/>
  <c r="KC16" i="2522" s="1"/>
  <c r="KA16" i="2522"/>
  <c r="KF15" i="2522" a="1"/>
  <c r="KF15" i="2522" s="1"/>
  <c r="KA15" i="2522"/>
  <c r="KF14" i="2522" a="1"/>
  <c r="KF14" i="2522" s="1"/>
  <c r="KE14" i="2522" a="1"/>
  <c r="KE14" i="2522" s="1"/>
  <c r="KC14" i="2522" a="1"/>
  <c r="KC14" i="2522" s="1"/>
  <c r="KA14" i="2522"/>
  <c r="KC13" i="2522" a="1"/>
  <c r="KC13" i="2522" s="1"/>
  <c r="KA13" i="2522"/>
  <c r="KF12" i="2522" a="1"/>
  <c r="KF12" i="2522" s="1"/>
  <c r="KA12" i="2522"/>
  <c r="KF11" i="2522" a="1"/>
  <c r="KF11" i="2522" s="1"/>
  <c r="KE11" i="2522" a="1"/>
  <c r="KE11" i="2522" s="1"/>
  <c r="KA11" i="2522"/>
  <c r="KA10" i="2522"/>
  <c r="KF8" i="2522" a="1"/>
  <c r="KF8" i="2522" s="1"/>
  <c r="KA8" i="2522"/>
  <c r="KF7" i="2522" a="1"/>
  <c r="KF7" i="2522" s="1"/>
  <c r="KE7" i="2522" a="1"/>
  <c r="KE7" i="2522" s="1"/>
  <c r="KC7" i="2522" a="1"/>
  <c r="KC7" i="2522" s="1"/>
  <c r="KA7" i="2522"/>
  <c r="KE18" i="2522" a="1"/>
  <c r="KE18" i="2522" s="1"/>
  <c r="KA5" i="2522"/>
  <c r="KF4" i="2522"/>
  <c r="KE4" i="2522" s="1"/>
  <c r="KC4" i="2522" l="1"/>
  <c r="KD18" i="2522"/>
  <c r="KD14" i="2522"/>
  <c r="KD11" i="2522"/>
  <c r="KD7" i="2522"/>
  <c r="KD17" i="2522"/>
  <c r="KE16" i="2522" a="1"/>
  <c r="KE16" i="2522" s="1"/>
  <c r="KC8" i="2522" a="1"/>
  <c r="KC8" i="2522" s="1"/>
  <c r="KC15" i="2522" a="1"/>
  <c r="KC15" i="2522" s="1"/>
  <c r="KF13" i="2522" a="1"/>
  <c r="KF13" i="2522" s="1"/>
  <c r="KD13" i="2522" s="1"/>
  <c r="KF16" i="2522" a="1"/>
  <c r="KF16" i="2522" s="1"/>
  <c r="KD5" i="2522"/>
  <c r="KC18" i="2522" a="1"/>
  <c r="KC18" i="2522" s="1"/>
  <c r="KF20" i="2522" a="1"/>
  <c r="KF20" i="2522" s="1"/>
  <c r="KE20" i="2522" a="1"/>
  <c r="KE20" i="2522" s="1"/>
  <c r="KC12" i="2522" a="1"/>
  <c r="KC12" i="2522" s="1"/>
  <c r="KF10" i="2522" a="1"/>
  <c r="KF10" i="2522" s="1"/>
  <c r="KE8" i="2522" a="1"/>
  <c r="KE8" i="2522" s="1"/>
  <c r="KD8" i="2522" s="1"/>
  <c r="KE12" i="2522" a="1"/>
  <c r="KE12" i="2522" s="1"/>
  <c r="KD12" i="2522" s="1"/>
  <c r="KE15" i="2522" a="1"/>
  <c r="KE15" i="2522" s="1"/>
  <c r="KD15" i="2522" s="1"/>
  <c r="KD10" i="2522" l="1"/>
  <c r="KF5" i="2522"/>
  <c r="KE5" i="2522"/>
  <c r="KD20" i="2522"/>
  <c r="KD16" i="2522"/>
  <c r="KC5" i="2545" l="1"/>
  <c r="GM52" i="2536" l="1"/>
  <c r="GM51" i="2536"/>
  <c r="GM50" i="2536"/>
  <c r="GM49" i="2536"/>
  <c r="GL52" i="2536"/>
  <c r="GL51" i="2536"/>
  <c r="GL50" i="2536"/>
  <c r="GL49" i="2536"/>
  <c r="GK52" i="2536"/>
  <c r="GK51" i="2536"/>
  <c r="GK50" i="2536"/>
  <c r="GK49" i="2536"/>
  <c r="GJ52" i="2536"/>
  <c r="GJ51" i="2536"/>
  <c r="GJ50" i="2536"/>
  <c r="GJ49" i="2536"/>
  <c r="GI52" i="2536"/>
  <c r="GI51" i="2536"/>
  <c r="GI50" i="2536"/>
  <c r="GI49" i="2536"/>
  <c r="GH52" i="2536"/>
  <c r="GH51" i="2536"/>
  <c r="GH50" i="2536"/>
  <c r="GH49" i="2536"/>
  <c r="GG52" i="2536"/>
  <c r="GG51" i="2536"/>
  <c r="GG50" i="2536"/>
  <c r="GG49" i="2536"/>
  <c r="GF52" i="2536"/>
  <c r="GF51" i="2536"/>
  <c r="GF50" i="2536"/>
  <c r="GF49" i="2536"/>
  <c r="GE50" i="2536"/>
  <c r="GE52" i="2536"/>
  <c r="GE51" i="2536"/>
  <c r="GE49" i="2536"/>
  <c r="GD52" i="2536"/>
  <c r="GD51" i="2536"/>
  <c r="GD50" i="2536"/>
  <c r="GD49" i="2536"/>
  <c r="GC52" i="2536"/>
  <c r="GC51" i="2536"/>
  <c r="GC50" i="2536"/>
  <c r="GC49" i="2536"/>
  <c r="GB52" i="2536"/>
  <c r="GB51" i="2536"/>
  <c r="GB50" i="2536"/>
  <c r="GB49" i="2536"/>
  <c r="GO52" i="2536"/>
  <c r="GO51" i="2536"/>
  <c r="GO50" i="2536"/>
  <c r="GO49" i="2536"/>
  <c r="GZ52" i="2536"/>
  <c r="GZ51" i="2536"/>
  <c r="GZ50" i="2536"/>
  <c r="GZ49" i="2536"/>
  <c r="GY52" i="2536"/>
  <c r="GY51" i="2536"/>
  <c r="GY50" i="2536"/>
  <c r="GY49" i="2536"/>
  <c r="GX52" i="2536"/>
  <c r="GX51" i="2536"/>
  <c r="GX50" i="2536"/>
  <c r="GX49" i="2536"/>
  <c r="GW52" i="2536"/>
  <c r="GW51" i="2536"/>
  <c r="GW50" i="2536"/>
  <c r="GW49" i="2536"/>
  <c r="GV52" i="2536"/>
  <c r="GV51" i="2536"/>
  <c r="GV50" i="2536"/>
  <c r="GV49" i="2536"/>
  <c r="GU52" i="2536"/>
  <c r="GU51" i="2536"/>
  <c r="GU50" i="2536"/>
  <c r="GU49" i="2536"/>
  <c r="GT52" i="2536"/>
  <c r="GT51" i="2536"/>
  <c r="GT50" i="2536"/>
  <c r="GT49" i="2536"/>
  <c r="GS52" i="2536"/>
  <c r="GS51" i="2536"/>
  <c r="GS50" i="2536"/>
  <c r="GS49" i="2536"/>
  <c r="GR52" i="2536"/>
  <c r="GR51" i="2536"/>
  <c r="GR50" i="2536"/>
  <c r="GR49" i="2536"/>
  <c r="GQ52" i="2536"/>
  <c r="GQ51" i="2536"/>
  <c r="GQ50" i="2536"/>
  <c r="GQ49" i="2536"/>
  <c r="GP52" i="2536"/>
  <c r="GP51" i="2536"/>
  <c r="GP50" i="2536"/>
  <c r="GP49" i="2536"/>
  <c r="HM52" i="2536"/>
  <c r="HL52" i="2536"/>
  <c r="HK52" i="2536"/>
  <c r="HJ52" i="2536"/>
  <c r="HI52" i="2536"/>
  <c r="HH52" i="2536"/>
  <c r="HG52" i="2536"/>
  <c r="HF52" i="2536"/>
  <c r="HE52" i="2536"/>
  <c r="HD52" i="2536"/>
  <c r="HC52" i="2536"/>
  <c r="HB52" i="2536"/>
  <c r="HB51" i="2536"/>
  <c r="HB50" i="2536"/>
  <c r="HM49" i="2536"/>
  <c r="HL49" i="2536"/>
  <c r="HK49" i="2536"/>
  <c r="HJ49" i="2536"/>
  <c r="HI49" i="2536"/>
  <c r="HH49" i="2536"/>
  <c r="HG49" i="2536"/>
  <c r="HF49" i="2536"/>
  <c r="HE49" i="2536"/>
  <c r="HD49" i="2536"/>
  <c r="HC49" i="2536"/>
  <c r="HB49" i="2536"/>
  <c r="HM51" i="2536"/>
  <c r="HL51" i="2536"/>
  <c r="HK51" i="2536"/>
  <c r="HJ51" i="2536"/>
  <c r="HI51" i="2536"/>
  <c r="HH51" i="2536"/>
  <c r="HG51" i="2536"/>
  <c r="HF51" i="2536"/>
  <c r="HE51" i="2536"/>
  <c r="HD51" i="2536"/>
  <c r="HC51" i="2536"/>
  <c r="HM50" i="2536"/>
  <c r="HL50" i="2536"/>
  <c r="HK50" i="2536"/>
  <c r="HJ50" i="2536"/>
  <c r="HI50" i="2536"/>
  <c r="HH50" i="2536"/>
  <c r="HG50" i="2536"/>
  <c r="HF50" i="2536"/>
  <c r="HE50" i="2536"/>
  <c r="HD50" i="2536"/>
  <c r="HC50" i="2536"/>
  <c r="HB83" i="2539"/>
  <c r="HC82" i="2539"/>
  <c r="HD82" i="2539"/>
  <c r="HE82" i="2539"/>
  <c r="HF82" i="2539"/>
  <c r="HG82" i="2539"/>
  <c r="HH82" i="2539"/>
  <c r="HI82" i="2539"/>
  <c r="HJ82" i="2539"/>
  <c r="HK82" i="2539"/>
  <c r="HL82" i="2539"/>
  <c r="HM82" i="2539"/>
  <c r="HB82" i="2539"/>
  <c r="HC86" i="2539"/>
  <c r="HD86" i="2539"/>
  <c r="HE86" i="2539"/>
  <c r="HF86" i="2539"/>
  <c r="HG86" i="2539"/>
  <c r="HH86" i="2539"/>
  <c r="HI86" i="2539"/>
  <c r="HJ86" i="2539"/>
  <c r="HK86" i="2539"/>
  <c r="HL86" i="2539"/>
  <c r="HM86" i="2539"/>
  <c r="HB86" i="2539"/>
  <c r="EP84" i="2539"/>
  <c r="EQ84" i="2539"/>
  <c r="ER84" i="2539"/>
  <c r="ES84" i="2539"/>
  <c r="ET84" i="2539"/>
  <c r="EU84" i="2539"/>
  <c r="EV84" i="2539"/>
  <c r="EW84" i="2539"/>
  <c r="EX84" i="2539"/>
  <c r="EY84" i="2539"/>
  <c r="EZ84" i="2539"/>
  <c r="EP85" i="2539"/>
  <c r="EQ85" i="2539"/>
  <c r="ER85" i="2539"/>
  <c r="ES85" i="2539"/>
  <c r="ET85" i="2539"/>
  <c r="EU85" i="2539"/>
  <c r="EV85" i="2539"/>
  <c r="EW85" i="2539"/>
  <c r="EX85" i="2539"/>
  <c r="EY85" i="2539"/>
  <c r="EZ85" i="2539"/>
  <c r="EO85" i="2539"/>
  <c r="EO84" i="2539"/>
  <c r="FC84" i="2539"/>
  <c r="FD84" i="2539"/>
  <c r="FE84" i="2539"/>
  <c r="FF84" i="2539"/>
  <c r="FG84" i="2539"/>
  <c r="FH84" i="2539"/>
  <c r="FI84" i="2539"/>
  <c r="FJ84" i="2539"/>
  <c r="FK84" i="2539"/>
  <c r="FL84" i="2539"/>
  <c r="FM84" i="2539"/>
  <c r="FC85" i="2539"/>
  <c r="FD85" i="2539"/>
  <c r="FE85" i="2539"/>
  <c r="FF85" i="2539"/>
  <c r="FG85" i="2539"/>
  <c r="FH85" i="2539"/>
  <c r="FI85" i="2539"/>
  <c r="FJ85" i="2539"/>
  <c r="FK85" i="2539"/>
  <c r="FL85" i="2539"/>
  <c r="FM85" i="2539"/>
  <c r="FB85" i="2539"/>
  <c r="FB84" i="2539"/>
  <c r="FP84" i="2539"/>
  <c r="FQ84" i="2539"/>
  <c r="FR84" i="2539"/>
  <c r="FS84" i="2539"/>
  <c r="FT84" i="2539"/>
  <c r="FU84" i="2539"/>
  <c r="FV84" i="2539"/>
  <c r="FW84" i="2539"/>
  <c r="FX84" i="2539"/>
  <c r="FY84" i="2539"/>
  <c r="FZ84" i="2539"/>
  <c r="FP85" i="2539"/>
  <c r="FQ85" i="2539"/>
  <c r="FR85" i="2539"/>
  <c r="FS85" i="2539"/>
  <c r="FT85" i="2539"/>
  <c r="FU85" i="2539"/>
  <c r="FV85" i="2539"/>
  <c r="FW85" i="2539"/>
  <c r="FX85" i="2539"/>
  <c r="FY85" i="2539"/>
  <c r="FZ85" i="2539"/>
  <c r="FO85" i="2539"/>
  <c r="FO84" i="2539"/>
  <c r="GC85" i="2539"/>
  <c r="GD85" i="2539"/>
  <c r="GE85" i="2539"/>
  <c r="GF85" i="2539"/>
  <c r="GG85" i="2539"/>
  <c r="GH85" i="2539"/>
  <c r="GI85" i="2539"/>
  <c r="GJ85" i="2539"/>
  <c r="GK85" i="2539"/>
  <c r="GL85" i="2539"/>
  <c r="GM85" i="2539"/>
  <c r="GB85" i="2539"/>
  <c r="GC84" i="2539"/>
  <c r="GD84" i="2539"/>
  <c r="GE84" i="2539"/>
  <c r="GF84" i="2539"/>
  <c r="GG84" i="2539"/>
  <c r="GH84" i="2539"/>
  <c r="GI84" i="2539"/>
  <c r="GJ84" i="2539"/>
  <c r="GK84" i="2539"/>
  <c r="GL84" i="2539"/>
  <c r="GM84" i="2539"/>
  <c r="GB84" i="2539"/>
  <c r="GP85" i="2539"/>
  <c r="GQ85" i="2539"/>
  <c r="GR85" i="2539"/>
  <c r="GS85" i="2539"/>
  <c r="GT85" i="2539"/>
  <c r="GU85" i="2539"/>
  <c r="GV85" i="2539"/>
  <c r="GW85" i="2539"/>
  <c r="GX85" i="2539"/>
  <c r="GY85" i="2539"/>
  <c r="GZ85" i="2539"/>
  <c r="GO85" i="2539"/>
  <c r="GP84" i="2539"/>
  <c r="GQ84" i="2539"/>
  <c r="GR84" i="2539"/>
  <c r="GS84" i="2539"/>
  <c r="GT84" i="2539"/>
  <c r="GU84" i="2539"/>
  <c r="GV84" i="2539"/>
  <c r="GW84" i="2539"/>
  <c r="GX84" i="2539"/>
  <c r="GY84" i="2539"/>
  <c r="GZ84" i="2539"/>
  <c r="GO84" i="2539"/>
  <c r="HC85" i="2539"/>
  <c r="HD85" i="2539"/>
  <c r="HE85" i="2539"/>
  <c r="HF85" i="2539"/>
  <c r="HG85" i="2539"/>
  <c r="HH85" i="2539"/>
  <c r="HI85" i="2539"/>
  <c r="HJ85" i="2539"/>
  <c r="HK85" i="2539"/>
  <c r="HL85" i="2539"/>
  <c r="HM85" i="2539"/>
  <c r="HB85" i="2539"/>
  <c r="HC84" i="2539"/>
  <c r="HD84" i="2539"/>
  <c r="HE84" i="2539"/>
  <c r="HF84" i="2539"/>
  <c r="HG84" i="2539"/>
  <c r="HH84" i="2539"/>
  <c r="HI84" i="2539"/>
  <c r="HJ84" i="2539"/>
  <c r="HK84" i="2539"/>
  <c r="HL84" i="2539"/>
  <c r="HM84" i="2539"/>
  <c r="HB84" i="2539"/>
  <c r="B46" i="2536"/>
  <c r="B47" i="2536"/>
  <c r="CB47" i="2536"/>
  <c r="CO47" i="2536"/>
  <c r="DO47" i="2536"/>
  <c r="EB47" i="2536"/>
  <c r="FB47" i="2536"/>
  <c r="FO47" i="2536"/>
  <c r="GB47" i="2536"/>
  <c r="GO47" i="2536"/>
  <c r="HB47" i="2536"/>
  <c r="HJ47" i="2536"/>
  <c r="HM47" i="2536"/>
  <c r="JN11" i="2522" l="1"/>
  <c r="KA33" i="2522" s="1"/>
  <c r="JN20" i="2522"/>
  <c r="KA42" i="2522" s="1"/>
  <c r="HA5" i="1975"/>
  <c r="GM22" i="1975"/>
  <c r="GL22" i="1975"/>
  <c r="GK22" i="1975"/>
  <c r="GJ22" i="1975"/>
  <c r="GI22" i="1975"/>
  <c r="GH22" i="1975"/>
  <c r="GG22" i="1975"/>
  <c r="GF22" i="1975"/>
  <c r="GE22" i="1975"/>
  <c r="GD22" i="1975"/>
  <c r="GC22" i="1975"/>
  <c r="GB22" i="1975"/>
  <c r="GM21" i="1975"/>
  <c r="GL21" i="1975"/>
  <c r="GK21" i="1975"/>
  <c r="GJ21" i="1975"/>
  <c r="GI21" i="1975"/>
  <c r="GH21" i="1975"/>
  <c r="GG21" i="1975"/>
  <c r="GF21" i="1975"/>
  <c r="GE21" i="1975"/>
  <c r="GD21" i="1975"/>
  <c r="GC21" i="1975"/>
  <c r="GB21" i="1975"/>
  <c r="GM19" i="1975"/>
  <c r="GL19" i="1975"/>
  <c r="GK19" i="1975"/>
  <c r="GJ19" i="1975"/>
  <c r="GI19" i="1975"/>
  <c r="GH19" i="1975"/>
  <c r="GG19" i="1975"/>
  <c r="GF19" i="1975"/>
  <c r="GE19" i="1975"/>
  <c r="GD19" i="1975"/>
  <c r="GC19" i="1975"/>
  <c r="GB19" i="1975"/>
  <c r="GM18" i="1975"/>
  <c r="GL18" i="1975"/>
  <c r="GK18" i="1975"/>
  <c r="GJ18" i="1975"/>
  <c r="GI18" i="1975"/>
  <c r="GH18" i="1975"/>
  <c r="GG18" i="1975"/>
  <c r="GF18" i="1975"/>
  <c r="GE18" i="1975"/>
  <c r="GD18" i="1975"/>
  <c r="GC18" i="1975"/>
  <c r="GB18" i="1975"/>
  <c r="GN13" i="1975"/>
  <c r="GN12" i="1975"/>
  <c r="GM11" i="1975"/>
  <c r="GL11" i="1975"/>
  <c r="GK11" i="1975"/>
  <c r="GJ11" i="1975"/>
  <c r="GI11" i="1975"/>
  <c r="GH11" i="1975"/>
  <c r="GG11" i="1975"/>
  <c r="GF11" i="1975"/>
  <c r="GE11" i="1975"/>
  <c r="GD11" i="1975"/>
  <c r="GC11" i="1975"/>
  <c r="GB11" i="1975"/>
  <c r="GN9" i="1975"/>
  <c r="GN8" i="1975"/>
  <c r="GM7" i="1975"/>
  <c r="GL7" i="1975"/>
  <c r="GK7" i="1975"/>
  <c r="GJ7" i="1975"/>
  <c r="GI7" i="1975"/>
  <c r="GH7" i="1975"/>
  <c r="GG7" i="1975"/>
  <c r="GF7" i="1975"/>
  <c r="GE7" i="1975"/>
  <c r="GD7" i="1975"/>
  <c r="GC7" i="1975"/>
  <c r="GB7" i="1975"/>
  <c r="GN5" i="1975"/>
  <c r="GN11" i="1975" l="1"/>
  <c r="GN7" i="1975"/>
  <c r="B4" i="2542" l="1"/>
  <c r="O4" i="2542"/>
  <c r="AB4" i="2542"/>
  <c r="AO4" i="2542"/>
  <c r="BB4" i="2542"/>
  <c r="BO4" i="2542"/>
  <c r="CB4" i="2542"/>
  <c r="CO4" i="2542"/>
  <c r="DB4" i="2542"/>
  <c r="DO4" i="2542"/>
  <c r="EB4" i="2542"/>
  <c r="EO4" i="2542"/>
  <c r="FB4" i="2542"/>
  <c r="FO4" i="2542"/>
  <c r="GB4" i="2542"/>
  <c r="GO4" i="2542"/>
  <c r="HB4" i="2542"/>
  <c r="N5" i="2542"/>
  <c r="AA5" i="2542"/>
  <c r="AN5" i="2542"/>
  <c r="BA5" i="2542"/>
  <c r="BN5" i="2542"/>
  <c r="CA5" i="2542"/>
  <c r="CN5" i="2542"/>
  <c r="DA5" i="2542"/>
  <c r="DN5" i="2542"/>
  <c r="EA5" i="2542"/>
  <c r="EN5" i="2542"/>
  <c r="FA5" i="2542"/>
  <c r="FN5" i="2542"/>
  <c r="GA5" i="2542"/>
  <c r="GN5" i="2542"/>
  <c r="HA5" i="2542"/>
  <c r="HN5" i="2542"/>
  <c r="C7" i="2542"/>
  <c r="D7" i="2542"/>
  <c r="T7" i="2542"/>
  <c r="T41" i="2542" s="1"/>
  <c r="U7" i="2542"/>
  <c r="U41" i="2542" s="1"/>
  <c r="CB7" i="2542"/>
  <c r="CC7" i="2542"/>
  <c r="CC41" i="2542" s="1"/>
  <c r="CD7" i="2542"/>
  <c r="CD41" i="2542" s="1"/>
  <c r="EB7" i="2542"/>
  <c r="EB41" i="2542" s="1"/>
  <c r="EC7" i="2542"/>
  <c r="EC41" i="2542" s="1"/>
  <c r="FP7" i="2542"/>
  <c r="FP41" i="2542" s="1"/>
  <c r="FQ7" i="2542"/>
  <c r="FQ41" i="2542" s="1"/>
  <c r="FV7" i="2542"/>
  <c r="FV41" i="2542" s="1"/>
  <c r="FW7" i="2542"/>
  <c r="FW41" i="2542" s="1"/>
  <c r="HG7" i="2542"/>
  <c r="HG41" i="2542" s="1"/>
  <c r="B8" i="2542"/>
  <c r="B42" i="2542" s="1"/>
  <c r="C8" i="2542"/>
  <c r="C42" i="2542" s="1"/>
  <c r="D8" i="2542"/>
  <c r="D42" i="2542" s="1"/>
  <c r="E8" i="2542"/>
  <c r="F8" i="2542"/>
  <c r="G8" i="2542"/>
  <c r="H8" i="2542"/>
  <c r="H42" i="2542" s="1"/>
  <c r="I8" i="2542"/>
  <c r="I42" i="2542" s="1"/>
  <c r="J8" i="2542"/>
  <c r="K8" i="2542"/>
  <c r="L8" i="2542"/>
  <c r="M8" i="2542"/>
  <c r="O8" i="2542"/>
  <c r="P8" i="2542"/>
  <c r="P42" i="2542" s="1"/>
  <c r="Q8" i="2542"/>
  <c r="R8" i="2542"/>
  <c r="S8" i="2542"/>
  <c r="T8" i="2542"/>
  <c r="U8" i="2542"/>
  <c r="V8" i="2542"/>
  <c r="V7" i="2542" s="1"/>
  <c r="V41" i="2542" s="1"/>
  <c r="W8" i="2542"/>
  <c r="X8" i="2542"/>
  <c r="Y8" i="2542"/>
  <c r="Z8" i="2542"/>
  <c r="AB8" i="2542"/>
  <c r="AB42" i="2542" s="1"/>
  <c r="AC8" i="2542"/>
  <c r="AD8" i="2542"/>
  <c r="AD42" i="2542" s="1"/>
  <c r="AE8" i="2542"/>
  <c r="AE42" i="2542" s="1"/>
  <c r="AF8" i="2542"/>
  <c r="AG8" i="2542"/>
  <c r="AH8" i="2542"/>
  <c r="AI8" i="2542"/>
  <c r="AI42" i="2542" s="1"/>
  <c r="AJ8" i="2542"/>
  <c r="AK8" i="2542"/>
  <c r="AL8" i="2542"/>
  <c r="AM8" i="2542"/>
  <c r="AO8" i="2542"/>
  <c r="AP8" i="2542"/>
  <c r="AQ8" i="2542"/>
  <c r="AQ42" i="2542" s="1"/>
  <c r="AR8" i="2542"/>
  <c r="AR42" i="2542" s="1"/>
  <c r="AS8" i="2542"/>
  <c r="AT8" i="2542"/>
  <c r="AU8" i="2542"/>
  <c r="AU42" i="2542" s="1"/>
  <c r="AV8" i="2542"/>
  <c r="AV42" i="2542" s="1"/>
  <c r="AW8" i="2542"/>
  <c r="AW42" i="2542" s="1"/>
  <c r="AX8" i="2542"/>
  <c r="AX7" i="2542" s="1"/>
  <c r="AX41" i="2542" s="1"/>
  <c r="AY8" i="2542"/>
  <c r="AZ8" i="2542"/>
  <c r="BB8" i="2542"/>
  <c r="BC8" i="2542"/>
  <c r="BD8" i="2542"/>
  <c r="BD42" i="2542" s="1"/>
  <c r="BE8" i="2542"/>
  <c r="BE42" i="2542" s="1"/>
  <c r="BF8" i="2542"/>
  <c r="BG8" i="2542"/>
  <c r="BH8" i="2542"/>
  <c r="BI8" i="2542"/>
  <c r="BJ8" i="2542"/>
  <c r="BK8" i="2542"/>
  <c r="BL8" i="2542"/>
  <c r="BM8" i="2542"/>
  <c r="BO8" i="2542"/>
  <c r="BP8" i="2542"/>
  <c r="BP7" i="2542" s="1"/>
  <c r="BP41" i="2542" s="1"/>
  <c r="BQ8" i="2542"/>
  <c r="BQ42" i="2542" s="1"/>
  <c r="BR8" i="2542"/>
  <c r="BR42" i="2542" s="1"/>
  <c r="BS8" i="2542"/>
  <c r="BT8" i="2542"/>
  <c r="BU8" i="2542"/>
  <c r="BV8" i="2542"/>
  <c r="BW8" i="2542"/>
  <c r="BW42" i="2542" s="1"/>
  <c r="BX8" i="2542"/>
  <c r="BX7" i="2542" s="1"/>
  <c r="BX41" i="2542" s="1"/>
  <c r="BY8" i="2542"/>
  <c r="BZ8" i="2542"/>
  <c r="CB8" i="2542"/>
  <c r="CC8" i="2542"/>
  <c r="CD8" i="2542"/>
  <c r="CD42" i="2542" s="1"/>
  <c r="CE8" i="2542"/>
  <c r="CE42" i="2542" s="1"/>
  <c r="CF8" i="2542"/>
  <c r="CG8" i="2542"/>
  <c r="CG42" i="2542" s="1"/>
  <c r="CH8" i="2542"/>
  <c r="CI8" i="2542"/>
  <c r="CJ8" i="2542"/>
  <c r="CK8" i="2542"/>
  <c r="CL8" i="2542"/>
  <c r="CM8" i="2542"/>
  <c r="CO8" i="2542"/>
  <c r="CO7" i="2542" s="1"/>
  <c r="CP8" i="2542"/>
  <c r="CP7" i="2542" s="1"/>
  <c r="CP41" i="2542" s="1"/>
  <c r="CQ8" i="2542"/>
  <c r="CQ42" i="2542" s="1"/>
  <c r="CR8" i="2542"/>
  <c r="CR42" i="2542" s="1"/>
  <c r="CS8" i="2542"/>
  <c r="CT8" i="2542"/>
  <c r="CT42" i="2542" s="1"/>
  <c r="CU8" i="2542"/>
  <c r="CU42" i="2542" s="1"/>
  <c r="CV8" i="2542"/>
  <c r="CV42" i="2542" s="1"/>
  <c r="CW8" i="2542"/>
  <c r="CX8" i="2542"/>
  <c r="CY8" i="2542"/>
  <c r="CZ8" i="2542"/>
  <c r="DB8" i="2542"/>
  <c r="DC8" i="2542"/>
  <c r="DC42" i="2542" s="1"/>
  <c r="DD8" i="2542"/>
  <c r="DD42" i="2542" s="1"/>
  <c r="DE8" i="2542"/>
  <c r="DE42" i="2542" s="1"/>
  <c r="DF8" i="2542"/>
  <c r="DG8" i="2542"/>
  <c r="DG42" i="2542" s="1"/>
  <c r="DH8" i="2542"/>
  <c r="DH42" i="2542" s="1"/>
  <c r="DI8" i="2542"/>
  <c r="DJ8" i="2542"/>
  <c r="DK8" i="2542"/>
  <c r="DK42" i="2542" s="1"/>
  <c r="DL8" i="2542"/>
  <c r="DM8" i="2542"/>
  <c r="DO8" i="2542"/>
  <c r="DO42" i="2542" s="1"/>
  <c r="DP8" i="2542"/>
  <c r="DP42" i="2542" s="1"/>
  <c r="DQ8" i="2542"/>
  <c r="DQ42" i="2542" s="1"/>
  <c r="DR8" i="2542"/>
  <c r="DR42" i="2542" s="1"/>
  <c r="DS8" i="2542"/>
  <c r="DT8" i="2542"/>
  <c r="DU8" i="2542"/>
  <c r="DV8" i="2542"/>
  <c r="DV7" i="2542" s="1"/>
  <c r="DV41" i="2542" s="1"/>
  <c r="DW8" i="2542"/>
  <c r="DW42" i="2542" s="1"/>
  <c r="DX8" i="2542"/>
  <c r="DY8" i="2542"/>
  <c r="DZ8" i="2542"/>
  <c r="EB8" i="2542"/>
  <c r="EB42" i="2542" s="1"/>
  <c r="EC8" i="2542"/>
  <c r="ED8" i="2542"/>
  <c r="EE8" i="2542"/>
  <c r="EF8" i="2542"/>
  <c r="EG8" i="2542"/>
  <c r="EH8" i="2542"/>
  <c r="EH7" i="2542" s="1"/>
  <c r="EH41" i="2542" s="1"/>
  <c r="EI8" i="2542"/>
  <c r="EI42" i="2542" s="1"/>
  <c r="EJ8" i="2542"/>
  <c r="EJ42" i="2542" s="1"/>
  <c r="EK8" i="2542"/>
  <c r="EK42" i="2542" s="1"/>
  <c r="EL8" i="2542"/>
  <c r="EM8" i="2542"/>
  <c r="EM42" i="2542" s="1"/>
  <c r="EO8" i="2542"/>
  <c r="EO7" i="2542" s="1"/>
  <c r="EP8" i="2542"/>
  <c r="EP7" i="2542" s="1"/>
  <c r="EP41" i="2542" s="1"/>
  <c r="ER8" i="2542"/>
  <c r="ES8" i="2542"/>
  <c r="ET8" i="2542"/>
  <c r="EU8" i="2542"/>
  <c r="EV8" i="2542"/>
  <c r="EV42" i="2542" s="1"/>
  <c r="EW8" i="2542"/>
  <c r="EW42" i="2542" s="1"/>
  <c r="EX8" i="2542"/>
  <c r="EX7" i="2542" s="1"/>
  <c r="EX41" i="2542" s="1"/>
  <c r="EY8" i="2542"/>
  <c r="EY42" i="2542" s="1"/>
  <c r="EZ8" i="2542"/>
  <c r="EZ42" i="2542" s="1"/>
  <c r="FB8" i="2542"/>
  <c r="FC8" i="2542"/>
  <c r="FD8" i="2542"/>
  <c r="FN8" i="2542" s="1"/>
  <c r="FE8" i="2542"/>
  <c r="FE42" i="2542" s="1"/>
  <c r="FF8" i="2542"/>
  <c r="FF42" i="2542" s="1"/>
  <c r="FG8" i="2542"/>
  <c r="FH8" i="2542"/>
  <c r="FI8" i="2542"/>
  <c r="FI7" i="2542" s="1"/>
  <c r="FI41" i="2542" s="1"/>
  <c r="FJ8" i="2542"/>
  <c r="FJ7" i="2542" s="1"/>
  <c r="FJ41" i="2542" s="1"/>
  <c r="FK8" i="2542"/>
  <c r="FL8" i="2542"/>
  <c r="FL42" i="2542" s="1"/>
  <c r="FM8" i="2542"/>
  <c r="FO8" i="2542"/>
  <c r="FP8" i="2542"/>
  <c r="FP42" i="2542" s="1"/>
  <c r="FQ8" i="2542"/>
  <c r="FQ42" i="2542" s="1"/>
  <c r="FR8" i="2542"/>
  <c r="FR42" i="2542" s="1"/>
  <c r="FS8" i="2542"/>
  <c r="FT8" i="2542"/>
  <c r="FT42" i="2542" s="1"/>
  <c r="FU8" i="2542"/>
  <c r="FU42" i="2542" s="1"/>
  <c r="FV8" i="2542"/>
  <c r="FV42" i="2542" s="1"/>
  <c r="FW8" i="2542"/>
  <c r="FW42" i="2542" s="1"/>
  <c r="FX8" i="2542"/>
  <c r="FY8" i="2542"/>
  <c r="FY7" i="2542" s="1"/>
  <c r="FY41" i="2542" s="1"/>
  <c r="FZ8" i="2542"/>
  <c r="GB8" i="2542"/>
  <c r="GC8" i="2542"/>
  <c r="GD8" i="2542"/>
  <c r="GE8" i="2542"/>
  <c r="GF8" i="2542"/>
  <c r="GG8" i="2542"/>
  <c r="GH8" i="2542"/>
  <c r="GI8" i="2542"/>
  <c r="GI42" i="2542" s="1"/>
  <c r="GJ8" i="2542"/>
  <c r="GK8" i="2542"/>
  <c r="GL8" i="2542"/>
  <c r="GM8" i="2542"/>
  <c r="GO8" i="2542"/>
  <c r="GO42" i="2542" s="1"/>
  <c r="GP8" i="2542"/>
  <c r="GQ8" i="2542"/>
  <c r="GR8" i="2542"/>
  <c r="GR42" i="2542" s="1"/>
  <c r="GS8" i="2542"/>
  <c r="GT8" i="2542"/>
  <c r="GU8" i="2542"/>
  <c r="GU42" i="2542" s="1"/>
  <c r="GV8" i="2542"/>
  <c r="GV42" i="2542" s="1"/>
  <c r="GW8" i="2542"/>
  <c r="GW42" i="2542" s="1"/>
  <c r="GX8" i="2542"/>
  <c r="GY8" i="2542"/>
  <c r="GZ8" i="2542"/>
  <c r="HB8" i="2542"/>
  <c r="HC8" i="2542"/>
  <c r="HD8" i="2542"/>
  <c r="HD42" i="2542" s="1"/>
  <c r="HE8" i="2542"/>
  <c r="HE42" i="2542" s="1"/>
  <c r="HF8" i="2542"/>
  <c r="HG8" i="2542"/>
  <c r="HG42" i="2542" s="1"/>
  <c r="HH8" i="2542"/>
  <c r="HH42" i="2542" s="1"/>
  <c r="HI8" i="2542"/>
  <c r="HI7" i="2542" s="1"/>
  <c r="HI41" i="2542" s="1"/>
  <c r="HJ8" i="2542"/>
  <c r="HK8" i="2542"/>
  <c r="HK42" i="2542" s="1"/>
  <c r="HL8" i="2542"/>
  <c r="HM8" i="2542"/>
  <c r="N9" i="2542"/>
  <c r="AA9" i="2542"/>
  <c r="AN9" i="2542"/>
  <c r="BA9" i="2542"/>
  <c r="BN9" i="2542"/>
  <c r="CA9" i="2542"/>
  <c r="CN9" i="2542"/>
  <c r="DA9" i="2542"/>
  <c r="DN9" i="2542"/>
  <c r="EA9" i="2542"/>
  <c r="EN9" i="2542"/>
  <c r="FA9" i="2542"/>
  <c r="FN9" i="2542"/>
  <c r="GA9" i="2542"/>
  <c r="GN9" i="2542"/>
  <c r="HA9" i="2542"/>
  <c r="HN9" i="2542"/>
  <c r="N10" i="2542"/>
  <c r="AA10" i="2542"/>
  <c r="AN10" i="2542"/>
  <c r="BA10" i="2542"/>
  <c r="BN10" i="2542"/>
  <c r="CA10" i="2542"/>
  <c r="CN10" i="2542"/>
  <c r="DA10" i="2542"/>
  <c r="DN10" i="2542"/>
  <c r="EA10" i="2542"/>
  <c r="EN10" i="2542"/>
  <c r="FA10" i="2542"/>
  <c r="FN10" i="2542"/>
  <c r="GA10" i="2542"/>
  <c r="GN10" i="2542"/>
  <c r="HA10" i="2542"/>
  <c r="HN10" i="2542"/>
  <c r="N11" i="2542"/>
  <c r="AA11" i="2542"/>
  <c r="AN11" i="2542"/>
  <c r="BA11" i="2542"/>
  <c r="BN11" i="2542"/>
  <c r="CA11" i="2542"/>
  <c r="CN11" i="2542"/>
  <c r="DA11" i="2542"/>
  <c r="DN11" i="2542"/>
  <c r="EA11" i="2542"/>
  <c r="EN11" i="2542"/>
  <c r="FA11" i="2542"/>
  <c r="FN11" i="2542"/>
  <c r="GA11" i="2542"/>
  <c r="GN11" i="2542"/>
  <c r="HA11" i="2542"/>
  <c r="HN11" i="2542"/>
  <c r="N12" i="2542"/>
  <c r="AA12" i="2542"/>
  <c r="AN12" i="2542"/>
  <c r="BA12" i="2542"/>
  <c r="BN12" i="2542"/>
  <c r="CA12" i="2542"/>
  <c r="CN12" i="2542"/>
  <c r="DA12" i="2542"/>
  <c r="DN12" i="2542"/>
  <c r="EA12" i="2542"/>
  <c r="EN12" i="2542"/>
  <c r="FA12" i="2542"/>
  <c r="FN12" i="2542"/>
  <c r="GA12" i="2542"/>
  <c r="GN12" i="2542"/>
  <c r="HA12" i="2542"/>
  <c r="HN12" i="2542"/>
  <c r="N13" i="2542"/>
  <c r="AA13" i="2542"/>
  <c r="AN13" i="2542"/>
  <c r="BA13" i="2542"/>
  <c r="BN13" i="2542"/>
  <c r="CA13" i="2542"/>
  <c r="CN13" i="2542"/>
  <c r="DA13" i="2542"/>
  <c r="DN13" i="2542"/>
  <c r="EA13" i="2542"/>
  <c r="EN13" i="2542"/>
  <c r="FA13" i="2542"/>
  <c r="FN13" i="2542"/>
  <c r="GA13" i="2542"/>
  <c r="GN13" i="2542"/>
  <c r="HA13" i="2542"/>
  <c r="HN13" i="2542"/>
  <c r="B14" i="2542"/>
  <c r="C14" i="2542"/>
  <c r="D14" i="2542"/>
  <c r="D48" i="2542" s="1"/>
  <c r="E14" i="2542"/>
  <c r="E48" i="2542" s="1"/>
  <c r="F14" i="2542"/>
  <c r="G14" i="2542"/>
  <c r="H14" i="2542"/>
  <c r="I14" i="2542"/>
  <c r="J14" i="2542"/>
  <c r="J48" i="2542" s="1"/>
  <c r="K14" i="2542"/>
  <c r="K48" i="2542" s="1"/>
  <c r="L14" i="2542"/>
  <c r="L48" i="2542" s="1"/>
  <c r="M14" i="2542"/>
  <c r="M48" i="2542" s="1"/>
  <c r="O14" i="2542"/>
  <c r="P14" i="2542"/>
  <c r="Q14" i="2542"/>
  <c r="Q48" i="2542" s="1"/>
  <c r="R14" i="2542"/>
  <c r="S14" i="2542"/>
  <c r="T14" i="2542"/>
  <c r="T48" i="2542" s="1"/>
  <c r="U14" i="2542"/>
  <c r="U48" i="2542" s="1"/>
  <c r="V14" i="2542"/>
  <c r="V48" i="2542" s="1"/>
  <c r="W14" i="2542"/>
  <c r="W48" i="2542" s="1"/>
  <c r="X14" i="2542"/>
  <c r="X48" i="2542" s="1"/>
  <c r="Y14" i="2542"/>
  <c r="Y48" i="2542" s="1"/>
  <c r="Z14" i="2542"/>
  <c r="Z48" i="2542" s="1"/>
  <c r="AB14" i="2542"/>
  <c r="AC14" i="2542"/>
  <c r="AD14" i="2542"/>
  <c r="AE14" i="2542"/>
  <c r="AF14" i="2542"/>
  <c r="AG14" i="2542"/>
  <c r="AH14" i="2542"/>
  <c r="AI14" i="2542"/>
  <c r="AI48" i="2542" s="1"/>
  <c r="AJ14" i="2542"/>
  <c r="AK14" i="2542"/>
  <c r="AK48" i="2542" s="1"/>
  <c r="AL14" i="2542"/>
  <c r="AL48" i="2542" s="1"/>
  <c r="AM14" i="2542"/>
  <c r="AM48" i="2542" s="1"/>
  <c r="AO14" i="2542"/>
  <c r="AO48" i="2542" s="1"/>
  <c r="AP14" i="2542"/>
  <c r="AQ14" i="2542"/>
  <c r="AR14" i="2542"/>
  <c r="AS14" i="2542"/>
  <c r="AS7" i="2542" s="1"/>
  <c r="AS41" i="2542" s="1"/>
  <c r="AT14" i="2542"/>
  <c r="AT48" i="2542" s="1"/>
  <c r="AU14" i="2542"/>
  <c r="AU48" i="2542" s="1"/>
  <c r="AV14" i="2542"/>
  <c r="AW14" i="2542"/>
  <c r="AX14" i="2542"/>
  <c r="AY14" i="2542"/>
  <c r="AZ14" i="2542"/>
  <c r="BB14" i="2542"/>
  <c r="BB48" i="2542" s="1"/>
  <c r="BC14" i="2542"/>
  <c r="BD14" i="2542"/>
  <c r="BE14" i="2542"/>
  <c r="BE48" i="2542" s="1"/>
  <c r="BF14" i="2542"/>
  <c r="BG14" i="2542"/>
  <c r="BH14" i="2542"/>
  <c r="BI14" i="2542"/>
  <c r="BJ14" i="2542"/>
  <c r="BJ48" i="2542" s="1"/>
  <c r="BK14" i="2542"/>
  <c r="BK48" i="2542" s="1"/>
  <c r="BL14" i="2542"/>
  <c r="BL48" i="2542" s="1"/>
  <c r="BM14" i="2542"/>
  <c r="BM48" i="2542" s="1"/>
  <c r="BO14" i="2542"/>
  <c r="BP14" i="2542"/>
  <c r="BQ14" i="2542"/>
  <c r="BR14" i="2542"/>
  <c r="BS14" i="2542"/>
  <c r="BT14" i="2542"/>
  <c r="BT48" i="2542" s="1"/>
  <c r="BU14" i="2542"/>
  <c r="BV14" i="2542"/>
  <c r="BV48" i="2542" s="1"/>
  <c r="BW14" i="2542"/>
  <c r="BW48" i="2542" s="1"/>
  <c r="BX14" i="2542"/>
  <c r="BX48" i="2542" s="1"/>
  <c r="BY14" i="2542"/>
  <c r="BY48" i="2542" s="1"/>
  <c r="BZ14" i="2542"/>
  <c r="BZ48" i="2542" s="1"/>
  <c r="CB14" i="2542"/>
  <c r="CC14" i="2542"/>
  <c r="CD14" i="2542"/>
  <c r="CE14" i="2542"/>
  <c r="CF14" i="2542"/>
  <c r="CG14" i="2542"/>
  <c r="CH14" i="2542"/>
  <c r="CI14" i="2542"/>
  <c r="CJ14" i="2542"/>
  <c r="CJ48" i="2542" s="1"/>
  <c r="CK14" i="2542"/>
  <c r="CK48" i="2542" s="1"/>
  <c r="CL14" i="2542"/>
  <c r="CL48" i="2542" s="1"/>
  <c r="CM14" i="2542"/>
  <c r="CO14" i="2542"/>
  <c r="CP14" i="2542"/>
  <c r="CQ14" i="2542"/>
  <c r="CR14" i="2542"/>
  <c r="CS14" i="2542"/>
  <c r="CS48" i="2542" s="1"/>
  <c r="CT14" i="2542"/>
  <c r="CT48" i="2542" s="1"/>
  <c r="CU14" i="2542"/>
  <c r="CV14" i="2542"/>
  <c r="CW14" i="2542"/>
  <c r="CX14" i="2542"/>
  <c r="CY14" i="2542"/>
  <c r="CZ14" i="2542"/>
  <c r="CZ48" i="2542" s="1"/>
  <c r="DB14" i="2542"/>
  <c r="DC14" i="2542"/>
  <c r="DD14" i="2542"/>
  <c r="DE14" i="2542"/>
  <c r="DF14" i="2542"/>
  <c r="DG14" i="2542"/>
  <c r="DG48" i="2542" s="1"/>
  <c r="DH14" i="2542"/>
  <c r="DI14" i="2542"/>
  <c r="DJ14" i="2542"/>
  <c r="DK14" i="2542"/>
  <c r="DL14" i="2542"/>
  <c r="DL7" i="2542" s="1"/>
  <c r="DL41" i="2542" s="1"/>
  <c r="DM14" i="2542"/>
  <c r="DO14" i="2542"/>
  <c r="DO48" i="2542" s="1"/>
  <c r="DP14" i="2542"/>
  <c r="DQ14" i="2542"/>
  <c r="DR14" i="2542"/>
  <c r="DS14" i="2542"/>
  <c r="DT14" i="2542"/>
  <c r="DU14" i="2542"/>
  <c r="DV14" i="2542"/>
  <c r="DV48" i="2542" s="1"/>
  <c r="DW14" i="2542"/>
  <c r="DX14" i="2542"/>
  <c r="DX48" i="2542" s="1"/>
  <c r="DY14" i="2542"/>
  <c r="DY7" i="2542" s="1"/>
  <c r="DZ14" i="2542"/>
  <c r="DZ7" i="2542" s="1"/>
  <c r="DZ41" i="2542" s="1"/>
  <c r="EB14" i="2542"/>
  <c r="EC14" i="2542"/>
  <c r="ED14" i="2542"/>
  <c r="EE14" i="2542"/>
  <c r="EE48" i="2542" s="1"/>
  <c r="EF14" i="2542"/>
  <c r="EF48" i="2542" s="1"/>
  <c r="EG14" i="2542"/>
  <c r="EG48" i="2542" s="1"/>
  <c r="EH14" i="2542"/>
  <c r="EI14" i="2542"/>
  <c r="EJ14" i="2542"/>
  <c r="EJ48" i="2542" s="1"/>
  <c r="EK14" i="2542"/>
  <c r="EK48" i="2542" s="1"/>
  <c r="EL14" i="2542"/>
  <c r="EL48" i="2542" s="1"/>
  <c r="EM14" i="2542"/>
  <c r="EM48" i="2542" s="1"/>
  <c r="EO14" i="2542"/>
  <c r="EP14" i="2542"/>
  <c r="ER14" i="2542"/>
  <c r="ES14" i="2542"/>
  <c r="ET14" i="2542"/>
  <c r="ET48" i="2542" s="1"/>
  <c r="EU14" i="2542"/>
  <c r="EU48" i="2542" s="1"/>
  <c r="EV14" i="2542"/>
  <c r="EW14" i="2542"/>
  <c r="EX14" i="2542"/>
  <c r="EX48" i="2542" s="1"/>
  <c r="EY14" i="2542"/>
  <c r="EY48" i="2542" s="1"/>
  <c r="EZ14" i="2542"/>
  <c r="EZ48" i="2542" s="1"/>
  <c r="FB14" i="2542"/>
  <c r="FB48" i="2542" s="1"/>
  <c r="FC14" i="2542"/>
  <c r="FD14" i="2542"/>
  <c r="FE14" i="2542"/>
  <c r="FE48" i="2542" s="1"/>
  <c r="FF14" i="2542"/>
  <c r="FF48" i="2542" s="1"/>
  <c r="FG14" i="2542"/>
  <c r="FG48" i="2542" s="1"/>
  <c r="FH14" i="2542"/>
  <c r="FI14" i="2542"/>
  <c r="FJ14" i="2542"/>
  <c r="FK14" i="2542"/>
  <c r="FL14" i="2542"/>
  <c r="FL48" i="2542" s="1"/>
  <c r="FM14" i="2542"/>
  <c r="FM48" i="2542" s="1"/>
  <c r="FO14" i="2542"/>
  <c r="FO48" i="2542" s="1"/>
  <c r="FP14" i="2542"/>
  <c r="FQ14" i="2542"/>
  <c r="FR14" i="2542"/>
  <c r="FS14" i="2542"/>
  <c r="FS48" i="2542" s="1"/>
  <c r="FT14" i="2542"/>
  <c r="FU14" i="2542"/>
  <c r="FV14" i="2542"/>
  <c r="FW14" i="2542"/>
  <c r="FW48" i="2542" s="1"/>
  <c r="FX14" i="2542"/>
  <c r="FX48" i="2542" s="1"/>
  <c r="FY14" i="2542"/>
  <c r="FY48" i="2542" s="1"/>
  <c r="FZ14" i="2542"/>
  <c r="GB14" i="2542"/>
  <c r="GB48" i="2542" s="1"/>
  <c r="GC14" i="2542"/>
  <c r="GC48" i="2542" s="1"/>
  <c r="GD14" i="2542"/>
  <c r="GE14" i="2542"/>
  <c r="GF14" i="2542"/>
  <c r="GG14" i="2542"/>
  <c r="GH14" i="2542"/>
  <c r="GH48" i="2542" s="1"/>
  <c r="GI14" i="2542"/>
  <c r="GI48" i="2542" s="1"/>
  <c r="GJ14" i="2542"/>
  <c r="GK14" i="2542"/>
  <c r="GK48" i="2542" s="1"/>
  <c r="GL14" i="2542"/>
  <c r="GL48" i="2542" s="1"/>
  <c r="GM14" i="2542"/>
  <c r="GO14" i="2542"/>
  <c r="GP14" i="2542"/>
  <c r="GP48" i="2542" s="1"/>
  <c r="GQ14" i="2542"/>
  <c r="GR14" i="2542"/>
  <c r="GS14" i="2542"/>
  <c r="GT14" i="2542"/>
  <c r="GU14" i="2542"/>
  <c r="GV14" i="2542"/>
  <c r="GW14" i="2542"/>
  <c r="GW48" i="2542" s="1"/>
  <c r="GX14" i="2542"/>
  <c r="GX48" i="2542" s="1"/>
  <c r="GY14" i="2542"/>
  <c r="GY48" i="2542" s="1"/>
  <c r="GZ14" i="2542"/>
  <c r="HB14" i="2542"/>
  <c r="HB48" i="2542" s="1"/>
  <c r="HC14" i="2542"/>
  <c r="HC48" i="2542" s="1"/>
  <c r="HD14" i="2542"/>
  <c r="HE14" i="2542"/>
  <c r="HF14" i="2542"/>
  <c r="HG14" i="2542"/>
  <c r="HG48" i="2542" s="1"/>
  <c r="HH14" i="2542"/>
  <c r="HH48" i="2542" s="1"/>
  <c r="HI14" i="2542"/>
  <c r="HJ14" i="2542"/>
  <c r="HJ48" i="2542" s="1"/>
  <c r="HK14" i="2542"/>
  <c r="HK48" i="2542" s="1"/>
  <c r="HL14" i="2542"/>
  <c r="HL7" i="2542" s="1"/>
  <c r="HL41" i="2542" s="1"/>
  <c r="HM14" i="2542"/>
  <c r="HM48" i="2542" s="1"/>
  <c r="N15" i="2542"/>
  <c r="AA15" i="2542"/>
  <c r="AN15" i="2542"/>
  <c r="BA15" i="2542"/>
  <c r="BN15" i="2542"/>
  <c r="CA15" i="2542"/>
  <c r="CN15" i="2542"/>
  <c r="DA15" i="2542"/>
  <c r="DN15" i="2542"/>
  <c r="EA15" i="2542"/>
  <c r="EN15" i="2542"/>
  <c r="FA15" i="2542"/>
  <c r="FN15" i="2542"/>
  <c r="GA15" i="2542"/>
  <c r="GN15" i="2542"/>
  <c r="HA15" i="2542"/>
  <c r="HN15" i="2542"/>
  <c r="N16" i="2542"/>
  <c r="AA16" i="2542"/>
  <c r="AN16" i="2542"/>
  <c r="BA16" i="2542"/>
  <c r="BN16" i="2542"/>
  <c r="CA16" i="2542"/>
  <c r="CN16" i="2542"/>
  <c r="DA16" i="2542"/>
  <c r="DN16" i="2542"/>
  <c r="EA16" i="2542"/>
  <c r="EN16" i="2542"/>
  <c r="FA16" i="2542"/>
  <c r="FN16" i="2542"/>
  <c r="GA16" i="2542"/>
  <c r="GN16" i="2542"/>
  <c r="HA16" i="2542"/>
  <c r="HN16" i="2542"/>
  <c r="N17" i="2542"/>
  <c r="AA17" i="2542"/>
  <c r="AN17" i="2542"/>
  <c r="BA17" i="2542"/>
  <c r="BN17" i="2542"/>
  <c r="CA17" i="2542"/>
  <c r="CN17" i="2542"/>
  <c r="DA17" i="2542"/>
  <c r="DN17" i="2542"/>
  <c r="EA17" i="2542"/>
  <c r="EN17" i="2542"/>
  <c r="FA17" i="2542"/>
  <c r="FN17" i="2542"/>
  <c r="GA17" i="2542"/>
  <c r="GN17" i="2542"/>
  <c r="HA17" i="2542"/>
  <c r="HN17" i="2542"/>
  <c r="N18" i="2542"/>
  <c r="AA18" i="2542"/>
  <c r="AN18" i="2542"/>
  <c r="BA18" i="2542"/>
  <c r="BN18" i="2542"/>
  <c r="CA18" i="2542"/>
  <c r="CN18" i="2542"/>
  <c r="DA18" i="2542"/>
  <c r="DN18" i="2542"/>
  <c r="EA18" i="2542"/>
  <c r="EN18" i="2542"/>
  <c r="FA18" i="2542"/>
  <c r="FN18" i="2542"/>
  <c r="GA18" i="2542"/>
  <c r="GN18" i="2542"/>
  <c r="HA18" i="2542"/>
  <c r="HN18" i="2542"/>
  <c r="B19" i="2542"/>
  <c r="C19" i="2542"/>
  <c r="D19" i="2542"/>
  <c r="D53" i="2542" s="1"/>
  <c r="E19" i="2542"/>
  <c r="E53" i="2542" s="1"/>
  <c r="F19" i="2542"/>
  <c r="F53" i="2542" s="1"/>
  <c r="G19" i="2542"/>
  <c r="G53" i="2542" s="1"/>
  <c r="H19" i="2542"/>
  <c r="I19" i="2542"/>
  <c r="I53" i="2542" s="1"/>
  <c r="J19" i="2542"/>
  <c r="J53" i="2542" s="1"/>
  <c r="K19" i="2542"/>
  <c r="K53" i="2542" s="1"/>
  <c r="L19" i="2542"/>
  <c r="M19" i="2542"/>
  <c r="M53" i="2542" s="1"/>
  <c r="O19" i="2542"/>
  <c r="P19" i="2542"/>
  <c r="Q19" i="2542"/>
  <c r="R19" i="2542"/>
  <c r="S19" i="2542"/>
  <c r="T19" i="2542"/>
  <c r="T53" i="2542" s="1"/>
  <c r="U19" i="2542"/>
  <c r="U53" i="2542" s="1"/>
  <c r="V19" i="2542"/>
  <c r="W19" i="2542"/>
  <c r="W53" i="2542" s="1"/>
  <c r="X19" i="2542"/>
  <c r="X53" i="2542" s="1"/>
  <c r="Y19" i="2542"/>
  <c r="Y53" i="2542" s="1"/>
  <c r="Z19" i="2542"/>
  <c r="Z53" i="2542" s="1"/>
  <c r="AB19" i="2542"/>
  <c r="AC19" i="2542"/>
  <c r="AD19" i="2542"/>
  <c r="AD53" i="2542" s="1"/>
  <c r="AE19" i="2542"/>
  <c r="AE53" i="2542" s="1"/>
  <c r="AF19" i="2542"/>
  <c r="AF53" i="2542" s="1"/>
  <c r="AG19" i="2542"/>
  <c r="AG53" i="2542" s="1"/>
  <c r="AH19" i="2542"/>
  <c r="AH53" i="2542" s="1"/>
  <c r="AI19" i="2542"/>
  <c r="AI53" i="2542" s="1"/>
  <c r="AJ19" i="2542"/>
  <c r="AJ53" i="2542" s="1"/>
  <c r="AK19" i="2542"/>
  <c r="AK53" i="2542" s="1"/>
  <c r="AL19" i="2542"/>
  <c r="AM19" i="2542"/>
  <c r="AO19" i="2542"/>
  <c r="AP19" i="2542"/>
  <c r="AQ19" i="2542"/>
  <c r="AQ53" i="2542" s="1"/>
  <c r="AR19" i="2542"/>
  <c r="AR53" i="2542" s="1"/>
  <c r="AS19" i="2542"/>
  <c r="AS53" i="2542" s="1"/>
  <c r="AT19" i="2542"/>
  <c r="AT53" i="2542" s="1"/>
  <c r="AU19" i="2542"/>
  <c r="AU53" i="2542" s="1"/>
  <c r="AV19" i="2542"/>
  <c r="AV53" i="2542" s="1"/>
  <c r="AW19" i="2542"/>
  <c r="AW53" i="2542" s="1"/>
  <c r="AX19" i="2542"/>
  <c r="AX53" i="2542" s="1"/>
  <c r="AY19" i="2542"/>
  <c r="AY53" i="2542" s="1"/>
  <c r="AZ19" i="2542"/>
  <c r="AZ53" i="2542" s="1"/>
  <c r="BB19" i="2542"/>
  <c r="BC19" i="2542"/>
  <c r="BD19" i="2542"/>
  <c r="BD7" i="2542" s="1"/>
  <c r="BD41" i="2542" s="1"/>
  <c r="BE19" i="2542"/>
  <c r="BE53" i="2542" s="1"/>
  <c r="BF19" i="2542"/>
  <c r="BF53" i="2542" s="1"/>
  <c r="BG19" i="2542"/>
  <c r="BG53" i="2542" s="1"/>
  <c r="BH19" i="2542"/>
  <c r="BH53" i="2542" s="1"/>
  <c r="BI19" i="2542"/>
  <c r="BI53" i="2542" s="1"/>
  <c r="BJ19" i="2542"/>
  <c r="BJ53" i="2542" s="1"/>
  <c r="BK19" i="2542"/>
  <c r="BL19" i="2542"/>
  <c r="BM19" i="2542"/>
  <c r="BO19" i="2542"/>
  <c r="BP19" i="2542"/>
  <c r="BP53" i="2542" s="1"/>
  <c r="BQ19" i="2542"/>
  <c r="BQ53" i="2542" s="1"/>
  <c r="BR19" i="2542"/>
  <c r="BR53" i="2542" s="1"/>
  <c r="BS19" i="2542"/>
  <c r="BS53" i="2542" s="1"/>
  <c r="BT19" i="2542"/>
  <c r="BT53" i="2542" s="1"/>
  <c r="BU19" i="2542"/>
  <c r="BU53" i="2542" s="1"/>
  <c r="BV19" i="2542"/>
  <c r="BV53" i="2542" s="1"/>
  <c r="BW19" i="2542"/>
  <c r="BX19" i="2542"/>
  <c r="BY19" i="2542"/>
  <c r="BZ19" i="2542"/>
  <c r="BZ53" i="2542" s="1"/>
  <c r="CB19" i="2542"/>
  <c r="CC19" i="2542"/>
  <c r="CD19" i="2542"/>
  <c r="CE19" i="2542"/>
  <c r="CF19" i="2542"/>
  <c r="CG19" i="2542"/>
  <c r="CG53" i="2542" s="1"/>
  <c r="CH19" i="2542"/>
  <c r="CH53" i="2542" s="1"/>
  <c r="CI19" i="2542"/>
  <c r="CI53" i="2542" s="1"/>
  <c r="CJ19" i="2542"/>
  <c r="CK19" i="2542"/>
  <c r="CK53" i="2542" s="1"/>
  <c r="CL19" i="2542"/>
  <c r="CL53" i="2542" s="1"/>
  <c r="CM19" i="2542"/>
  <c r="CM53" i="2542" s="1"/>
  <c r="CO19" i="2542"/>
  <c r="CP19" i="2542"/>
  <c r="CQ19" i="2542"/>
  <c r="CQ53" i="2542" s="1"/>
  <c r="CR19" i="2542"/>
  <c r="CR53" i="2542" s="1"/>
  <c r="CS19" i="2542"/>
  <c r="CS53" i="2542" s="1"/>
  <c r="CT19" i="2542"/>
  <c r="CU19" i="2542"/>
  <c r="CU53" i="2542" s="1"/>
  <c r="CV19" i="2542"/>
  <c r="CW19" i="2542"/>
  <c r="CX19" i="2542"/>
  <c r="CY19" i="2542"/>
  <c r="CZ19" i="2542"/>
  <c r="DB19" i="2542"/>
  <c r="DB7" i="2542" s="1"/>
  <c r="DB41" i="2542" s="1"/>
  <c r="DC19" i="2542"/>
  <c r="DC53" i="2542" s="1"/>
  <c r="DD19" i="2542"/>
  <c r="DD53" i="2542" s="1"/>
  <c r="DE19" i="2542"/>
  <c r="DE53" i="2542" s="1"/>
  <c r="DF19" i="2542"/>
  <c r="DF53" i="2542" s="1"/>
  <c r="DG19" i="2542"/>
  <c r="DG53" i="2542" s="1"/>
  <c r="DH19" i="2542"/>
  <c r="DH53" i="2542" s="1"/>
  <c r="DI19" i="2542"/>
  <c r="DJ19" i="2542"/>
  <c r="DK19" i="2542"/>
  <c r="DL19" i="2542"/>
  <c r="DM19" i="2542"/>
  <c r="DM53" i="2542" s="1"/>
  <c r="DO19" i="2542"/>
  <c r="DP19" i="2542"/>
  <c r="DQ19" i="2542"/>
  <c r="DR19" i="2542"/>
  <c r="DR53" i="2542" s="1"/>
  <c r="DS19" i="2542"/>
  <c r="DS53" i="2542" s="1"/>
  <c r="DT19" i="2542"/>
  <c r="DT53" i="2542" s="1"/>
  <c r="DU19" i="2542"/>
  <c r="DV19" i="2542"/>
  <c r="DW19" i="2542"/>
  <c r="DX19" i="2542"/>
  <c r="DX53" i="2542" s="1"/>
  <c r="DY19" i="2542"/>
  <c r="DY53" i="2542" s="1"/>
  <c r="DZ19" i="2542"/>
  <c r="DZ53" i="2542" s="1"/>
  <c r="EB19" i="2542"/>
  <c r="EC19" i="2542"/>
  <c r="EC53" i="2542" s="1"/>
  <c r="ED19" i="2542"/>
  <c r="ED53" i="2542" s="1"/>
  <c r="EE19" i="2542"/>
  <c r="EE53" i="2542" s="1"/>
  <c r="EF19" i="2542"/>
  <c r="EF53" i="2542" s="1"/>
  <c r="EG19" i="2542"/>
  <c r="EH19" i="2542"/>
  <c r="EI19" i="2542"/>
  <c r="EJ19" i="2542"/>
  <c r="EK19" i="2542"/>
  <c r="EK53" i="2542" s="1"/>
  <c r="EL19" i="2542"/>
  <c r="EL53" i="2542" s="1"/>
  <c r="EM19" i="2542"/>
  <c r="EM53" i="2542" s="1"/>
  <c r="EO19" i="2542"/>
  <c r="EP19" i="2542"/>
  <c r="EP53" i="2542" s="1"/>
  <c r="ER19" i="2542"/>
  <c r="ER53" i="2542" s="1"/>
  <c r="ES19" i="2542"/>
  <c r="ES53" i="2542" s="1"/>
  <c r="ET19" i="2542"/>
  <c r="EU19" i="2542"/>
  <c r="EV19" i="2542"/>
  <c r="EW19" i="2542"/>
  <c r="EX19" i="2542"/>
  <c r="EY19" i="2542"/>
  <c r="EY53" i="2542" s="1"/>
  <c r="EZ19" i="2542"/>
  <c r="FB19" i="2542"/>
  <c r="FB53" i="2542" s="1"/>
  <c r="FC19" i="2542"/>
  <c r="FC7" i="2542" s="1"/>
  <c r="FC41" i="2542" s="1"/>
  <c r="FD19" i="2542"/>
  <c r="FD53" i="2542" s="1"/>
  <c r="FE19" i="2542"/>
  <c r="FE7" i="2542" s="1"/>
  <c r="FE41" i="2542" s="1"/>
  <c r="FF19" i="2542"/>
  <c r="FF53" i="2542" s="1"/>
  <c r="FG19" i="2542"/>
  <c r="FG53" i="2542" s="1"/>
  <c r="FH19" i="2542"/>
  <c r="FI19" i="2542"/>
  <c r="FJ19" i="2542"/>
  <c r="FK19" i="2542"/>
  <c r="FL19" i="2542"/>
  <c r="FL53" i="2542" s="1"/>
  <c r="FM19" i="2542"/>
  <c r="FM53" i="2542" s="1"/>
  <c r="FO19" i="2542"/>
  <c r="FO53" i="2542" s="1"/>
  <c r="FP19" i="2542"/>
  <c r="FQ19" i="2542"/>
  <c r="FR19" i="2542"/>
  <c r="FR53" i="2542" s="1"/>
  <c r="FS19" i="2542"/>
  <c r="FS53" i="2542" s="1"/>
  <c r="FT19" i="2542"/>
  <c r="FT53" i="2542" s="1"/>
  <c r="FU19" i="2542"/>
  <c r="FV19" i="2542"/>
  <c r="FW19" i="2542"/>
  <c r="FX19" i="2542"/>
  <c r="FY19" i="2542"/>
  <c r="FY53" i="2542" s="1"/>
  <c r="FZ19" i="2542"/>
  <c r="FZ53" i="2542" s="1"/>
  <c r="GB19" i="2542"/>
  <c r="GB53" i="2542" s="1"/>
  <c r="GC19" i="2542"/>
  <c r="GD19" i="2542"/>
  <c r="GE19" i="2542"/>
  <c r="GN19" i="2542" s="1"/>
  <c r="GF19" i="2542"/>
  <c r="GF53" i="2542" s="1"/>
  <c r="GG19" i="2542"/>
  <c r="GG53" i="2542" s="1"/>
  <c r="GH19" i="2542"/>
  <c r="GH53" i="2542" s="1"/>
  <c r="GI19" i="2542"/>
  <c r="GJ19" i="2542"/>
  <c r="GK19" i="2542"/>
  <c r="GL19" i="2542"/>
  <c r="GM19" i="2542"/>
  <c r="GM53" i="2542" s="1"/>
  <c r="GO19" i="2542"/>
  <c r="GP19" i="2542"/>
  <c r="GP53" i="2542" s="1"/>
  <c r="GQ19" i="2542"/>
  <c r="GQ53" i="2542" s="1"/>
  <c r="GR19" i="2542"/>
  <c r="GR53" i="2542" s="1"/>
  <c r="GS19" i="2542"/>
  <c r="GS53" i="2542" s="1"/>
  <c r="GT19" i="2542"/>
  <c r="GT53" i="2542" s="1"/>
  <c r="GU19" i="2542"/>
  <c r="GV19" i="2542"/>
  <c r="GW19" i="2542"/>
  <c r="GX19" i="2542"/>
  <c r="GY19" i="2542"/>
  <c r="GZ19" i="2542"/>
  <c r="HB19" i="2542"/>
  <c r="HC19" i="2542"/>
  <c r="HC53" i="2542" s="1"/>
  <c r="HD19" i="2542"/>
  <c r="HD53" i="2542" s="1"/>
  <c r="HE19" i="2542"/>
  <c r="HE53" i="2542" s="1"/>
  <c r="HF19" i="2542"/>
  <c r="HG19" i="2542"/>
  <c r="HG53" i="2542" s="1"/>
  <c r="HH19" i="2542"/>
  <c r="HI19" i="2542"/>
  <c r="HJ19" i="2542"/>
  <c r="HK19" i="2542"/>
  <c r="HL19" i="2542"/>
  <c r="HL53" i="2542" s="1"/>
  <c r="HM19" i="2542"/>
  <c r="N20" i="2542"/>
  <c r="AA20" i="2542"/>
  <c r="AN20" i="2542"/>
  <c r="BA20" i="2542"/>
  <c r="BN20" i="2542"/>
  <c r="CA20" i="2542"/>
  <c r="CN20" i="2542"/>
  <c r="DA20" i="2542"/>
  <c r="DN20" i="2542"/>
  <c r="EA20" i="2542"/>
  <c r="EN20" i="2542"/>
  <c r="FA20" i="2542"/>
  <c r="FN20" i="2542"/>
  <c r="GA20" i="2542"/>
  <c r="GN20" i="2542"/>
  <c r="HA20" i="2542"/>
  <c r="HN20" i="2542"/>
  <c r="N21" i="2542"/>
  <c r="AA21" i="2542"/>
  <c r="AN21" i="2542"/>
  <c r="BA21" i="2542"/>
  <c r="BN21" i="2542"/>
  <c r="CA21" i="2542"/>
  <c r="CN21" i="2542"/>
  <c r="DA21" i="2542"/>
  <c r="DN21" i="2542"/>
  <c r="EA21" i="2542"/>
  <c r="EN21" i="2542"/>
  <c r="FA21" i="2542"/>
  <c r="FN21" i="2542"/>
  <c r="GA21" i="2542"/>
  <c r="GN21" i="2542"/>
  <c r="HA21" i="2542"/>
  <c r="HN21" i="2542"/>
  <c r="B23" i="2542"/>
  <c r="B57" i="2542" s="1"/>
  <c r="C23" i="2542"/>
  <c r="C57" i="2542" s="1"/>
  <c r="D23" i="2542"/>
  <c r="E23" i="2542"/>
  <c r="E57" i="2542" s="1"/>
  <c r="F23" i="2542"/>
  <c r="F57" i="2542" s="1"/>
  <c r="G23" i="2542"/>
  <c r="H23" i="2542"/>
  <c r="I23" i="2542"/>
  <c r="I57" i="2542" s="1"/>
  <c r="J23" i="2542"/>
  <c r="J57" i="2542" s="1"/>
  <c r="K23" i="2542"/>
  <c r="L23" i="2542"/>
  <c r="L57" i="2542" s="1"/>
  <c r="M23" i="2542"/>
  <c r="M57" i="2542" s="1"/>
  <c r="O23" i="2542"/>
  <c r="O57" i="2542" s="1"/>
  <c r="P23" i="2542"/>
  <c r="Q23" i="2542"/>
  <c r="Q57" i="2542" s="1"/>
  <c r="R23" i="2542"/>
  <c r="R57" i="2542" s="1"/>
  <c r="S23" i="2542"/>
  <c r="S57" i="2542" s="1"/>
  <c r="T23" i="2542"/>
  <c r="U23" i="2542"/>
  <c r="V23" i="2542"/>
  <c r="V57" i="2542" s="1"/>
  <c r="V66" i="2542" s="1"/>
  <c r="W23" i="2542"/>
  <c r="W57" i="2542" s="1"/>
  <c r="X23" i="2542"/>
  <c r="X57" i="2542" s="1"/>
  <c r="Y23" i="2542"/>
  <c r="Y57" i="2542" s="1"/>
  <c r="Z23" i="2542"/>
  <c r="Z57" i="2542" s="1"/>
  <c r="AB23" i="2542"/>
  <c r="AC23" i="2542"/>
  <c r="AC57" i="2542" s="1"/>
  <c r="AD23" i="2542"/>
  <c r="AE23" i="2542"/>
  <c r="AE57" i="2542" s="1"/>
  <c r="AF23" i="2542"/>
  <c r="AF57" i="2542" s="1"/>
  <c r="AG23" i="2542"/>
  <c r="AG57" i="2542" s="1"/>
  <c r="AH23" i="2542"/>
  <c r="AI23" i="2542"/>
  <c r="AI57" i="2542" s="1"/>
  <c r="AJ23" i="2542"/>
  <c r="AJ57" i="2542" s="1"/>
  <c r="AK23" i="2542"/>
  <c r="AK57" i="2542" s="1"/>
  <c r="AL23" i="2542"/>
  <c r="AL57" i="2542" s="1"/>
  <c r="AM23" i="2542"/>
  <c r="AM57" i="2542" s="1"/>
  <c r="AO23" i="2542"/>
  <c r="AO57" i="2542" s="1"/>
  <c r="AP23" i="2542"/>
  <c r="AP57" i="2542" s="1"/>
  <c r="AQ23" i="2542"/>
  <c r="AQ57" i="2542" s="1"/>
  <c r="AR23" i="2542"/>
  <c r="AR57" i="2542" s="1"/>
  <c r="AS23" i="2542"/>
  <c r="AS57" i="2542" s="1"/>
  <c r="AT23" i="2542"/>
  <c r="AU23" i="2542"/>
  <c r="AU57" i="2542" s="1"/>
  <c r="AV23" i="2542"/>
  <c r="AV57" i="2542" s="1"/>
  <c r="AW23" i="2542"/>
  <c r="AW57" i="2542" s="1"/>
  <c r="AX23" i="2542"/>
  <c r="AX57" i="2542" s="1"/>
  <c r="AY23" i="2542"/>
  <c r="AY57" i="2542" s="1"/>
  <c r="AZ23" i="2542"/>
  <c r="AZ57" i="2542" s="1"/>
  <c r="BB23" i="2542"/>
  <c r="BB57" i="2542" s="1"/>
  <c r="BC23" i="2542"/>
  <c r="BD23" i="2542"/>
  <c r="BE23" i="2542"/>
  <c r="BF23" i="2542"/>
  <c r="BF57" i="2542" s="1"/>
  <c r="BG23" i="2542"/>
  <c r="BH23" i="2542"/>
  <c r="BH57" i="2542" s="1"/>
  <c r="BI23" i="2542"/>
  <c r="BJ23" i="2542"/>
  <c r="BK23" i="2542"/>
  <c r="BK57" i="2542" s="1"/>
  <c r="BL23" i="2542"/>
  <c r="BL57" i="2542" s="1"/>
  <c r="BM23" i="2542"/>
  <c r="BM57" i="2542" s="1"/>
  <c r="BO23" i="2542"/>
  <c r="BO57" i="2542" s="1"/>
  <c r="BP23" i="2542"/>
  <c r="BQ23" i="2542"/>
  <c r="BR23" i="2542"/>
  <c r="BS23" i="2542"/>
  <c r="BT23" i="2542"/>
  <c r="BT57" i="2542" s="1"/>
  <c r="BU23" i="2542"/>
  <c r="BU57" i="2542" s="1"/>
  <c r="BV23" i="2542"/>
  <c r="BW23" i="2542"/>
  <c r="BW57" i="2542" s="1"/>
  <c r="BX23" i="2542"/>
  <c r="BX57" i="2542" s="1"/>
  <c r="BY23" i="2542"/>
  <c r="BY57" i="2542" s="1"/>
  <c r="BZ23" i="2542"/>
  <c r="BZ57" i="2542" s="1"/>
  <c r="CB23" i="2542"/>
  <c r="CB57" i="2542" s="1"/>
  <c r="CN57" i="2542" s="1"/>
  <c r="CC23" i="2542"/>
  <c r="CD23" i="2542"/>
  <c r="CE23" i="2542"/>
  <c r="CF23" i="2542"/>
  <c r="CF57" i="2542" s="1"/>
  <c r="CG23" i="2542"/>
  <c r="CH23" i="2542"/>
  <c r="CI23" i="2542"/>
  <c r="CJ23" i="2542"/>
  <c r="CJ57" i="2542" s="1"/>
  <c r="CK23" i="2542"/>
  <c r="CK57" i="2542" s="1"/>
  <c r="CL23" i="2542"/>
  <c r="CL57" i="2542" s="1"/>
  <c r="CM23" i="2542"/>
  <c r="CM57" i="2542" s="1"/>
  <c r="CO23" i="2542"/>
  <c r="CO57" i="2542" s="1"/>
  <c r="DA57" i="2542" s="1"/>
  <c r="CP23" i="2542"/>
  <c r="CQ23" i="2542"/>
  <c r="CR23" i="2542"/>
  <c r="CS23" i="2542"/>
  <c r="CT23" i="2542"/>
  <c r="CU23" i="2542"/>
  <c r="CV23" i="2542"/>
  <c r="CW23" i="2542"/>
  <c r="CW57" i="2542" s="1"/>
  <c r="CX23" i="2542"/>
  <c r="CY23" i="2542"/>
  <c r="CY57" i="2542" s="1"/>
  <c r="CZ23" i="2542"/>
  <c r="CZ57" i="2542" s="1"/>
  <c r="DB23" i="2542"/>
  <c r="DB57" i="2542" s="1"/>
  <c r="DC23" i="2542"/>
  <c r="DD23" i="2542"/>
  <c r="DE23" i="2542"/>
  <c r="DF23" i="2542"/>
  <c r="DF57" i="2542" s="1"/>
  <c r="DG23" i="2542"/>
  <c r="DH23" i="2542"/>
  <c r="DI23" i="2542"/>
  <c r="DJ23" i="2542"/>
  <c r="DJ57" i="2542" s="1"/>
  <c r="DK23" i="2542"/>
  <c r="DL23" i="2542"/>
  <c r="DM23" i="2542"/>
  <c r="DM57" i="2542" s="1"/>
  <c r="DO23" i="2542"/>
  <c r="DO57" i="2542" s="1"/>
  <c r="DP23" i="2542"/>
  <c r="DQ23" i="2542"/>
  <c r="DR23" i="2542"/>
  <c r="DS23" i="2542"/>
  <c r="DT23" i="2542"/>
  <c r="DU23" i="2542"/>
  <c r="DU57" i="2542" s="1"/>
  <c r="DV23" i="2542"/>
  <c r="DW23" i="2542"/>
  <c r="DW57" i="2542" s="1"/>
  <c r="DX23" i="2542"/>
  <c r="DY23" i="2542"/>
  <c r="DZ23" i="2542"/>
  <c r="DZ57" i="2542" s="1"/>
  <c r="EB23" i="2542"/>
  <c r="EN23" i="2542" s="1"/>
  <c r="EC23" i="2542"/>
  <c r="ED23" i="2542"/>
  <c r="EE23" i="2542"/>
  <c r="EF23" i="2542"/>
  <c r="EG23" i="2542"/>
  <c r="EH23" i="2542"/>
  <c r="EI23" i="2542"/>
  <c r="EI57" i="2542" s="1"/>
  <c r="EJ23" i="2542"/>
  <c r="EJ57" i="2542" s="1"/>
  <c r="EK23" i="2542"/>
  <c r="EK57" i="2542" s="1"/>
  <c r="EL23" i="2542"/>
  <c r="EL57" i="2542" s="1"/>
  <c r="EM23" i="2542"/>
  <c r="EM57" i="2542" s="1"/>
  <c r="EO23" i="2542"/>
  <c r="EO57" i="2542" s="1"/>
  <c r="FA57" i="2542" s="1"/>
  <c r="EP23" i="2542"/>
  <c r="ER23" i="2542"/>
  <c r="ES23" i="2542"/>
  <c r="ET23" i="2542"/>
  <c r="EU23" i="2542"/>
  <c r="EV23" i="2542"/>
  <c r="EV57" i="2542" s="1"/>
  <c r="EW23" i="2542"/>
  <c r="EX23" i="2542"/>
  <c r="EX57" i="2542" s="1"/>
  <c r="EY23" i="2542"/>
  <c r="EY57" i="2542" s="1"/>
  <c r="EZ23" i="2542"/>
  <c r="EZ57" i="2542" s="1"/>
  <c r="FB23" i="2542"/>
  <c r="FB57" i="2542" s="1"/>
  <c r="FN57" i="2542" s="1"/>
  <c r="FC23" i="2542"/>
  <c r="FD23" i="2542"/>
  <c r="FE23" i="2542"/>
  <c r="FF23" i="2542"/>
  <c r="FF57" i="2542" s="1"/>
  <c r="FG23" i="2542"/>
  <c r="FH23" i="2542"/>
  <c r="FH57" i="2542" s="1"/>
  <c r="FI23" i="2542"/>
  <c r="FJ23" i="2542"/>
  <c r="FK23" i="2542"/>
  <c r="FK57" i="2542" s="1"/>
  <c r="FL23" i="2542"/>
  <c r="FL57" i="2542" s="1"/>
  <c r="FM23" i="2542"/>
  <c r="FM57" i="2542" s="1"/>
  <c r="FO23" i="2542"/>
  <c r="FO57" i="2542" s="1"/>
  <c r="FP23" i="2542"/>
  <c r="FQ23" i="2542"/>
  <c r="FR23" i="2542"/>
  <c r="FS23" i="2542"/>
  <c r="FT23" i="2542"/>
  <c r="FU23" i="2542"/>
  <c r="FU57" i="2542" s="1"/>
  <c r="FV23" i="2542"/>
  <c r="FW23" i="2542"/>
  <c r="FX23" i="2542"/>
  <c r="FX57" i="2542" s="1"/>
  <c r="FY23" i="2542"/>
  <c r="FY57" i="2542" s="1"/>
  <c r="FZ23" i="2542"/>
  <c r="FZ57" i="2542" s="1"/>
  <c r="GB23" i="2542"/>
  <c r="GB57" i="2542" s="1"/>
  <c r="GC23" i="2542"/>
  <c r="GD23" i="2542"/>
  <c r="GE23" i="2542"/>
  <c r="GF23" i="2542"/>
  <c r="GG23" i="2542"/>
  <c r="GH23" i="2542"/>
  <c r="GH57" i="2542" s="1"/>
  <c r="GI23" i="2542"/>
  <c r="GJ23" i="2542"/>
  <c r="GJ57" i="2542" s="1"/>
  <c r="GK23" i="2542"/>
  <c r="GK57" i="2542" s="1"/>
  <c r="GL23" i="2542"/>
  <c r="GL57" i="2542" s="1"/>
  <c r="GM23" i="2542"/>
  <c r="GM57" i="2542" s="1"/>
  <c r="GO23" i="2542"/>
  <c r="GO57" i="2542" s="1"/>
  <c r="GP23" i="2542"/>
  <c r="GQ23" i="2542"/>
  <c r="GR23" i="2542"/>
  <c r="GR57" i="2542" s="1"/>
  <c r="GS23" i="2542"/>
  <c r="GS57" i="2542" s="1"/>
  <c r="GT23" i="2542"/>
  <c r="GU23" i="2542"/>
  <c r="GV23" i="2542"/>
  <c r="GW23" i="2542"/>
  <c r="GX23" i="2542"/>
  <c r="GX57" i="2542" s="1"/>
  <c r="GY23" i="2542"/>
  <c r="GY57" i="2542" s="1"/>
  <c r="GZ23" i="2542"/>
  <c r="GZ57" i="2542" s="1"/>
  <c r="HB23" i="2542"/>
  <c r="HB57" i="2542" s="1"/>
  <c r="HC23" i="2542"/>
  <c r="HD23" i="2542"/>
  <c r="HE23" i="2542"/>
  <c r="HE57" i="2542" s="1"/>
  <c r="HF23" i="2542"/>
  <c r="HG23" i="2542"/>
  <c r="HH23" i="2542"/>
  <c r="HH57" i="2542" s="1"/>
  <c r="HI23" i="2542"/>
  <c r="HJ23" i="2542"/>
  <c r="HK23" i="2542"/>
  <c r="HK57" i="2542" s="1"/>
  <c r="HL23" i="2542"/>
  <c r="HM23" i="2542"/>
  <c r="HM57" i="2542" s="1"/>
  <c r="N24" i="2542"/>
  <c r="AA24" i="2542"/>
  <c r="AN24" i="2542"/>
  <c r="BA24" i="2542"/>
  <c r="BN24" i="2542"/>
  <c r="CA24" i="2542"/>
  <c r="CN24" i="2542"/>
  <c r="DA24" i="2542"/>
  <c r="DN24" i="2542"/>
  <c r="EA24" i="2542"/>
  <c r="EN24" i="2542"/>
  <c r="FA24" i="2542"/>
  <c r="FN24" i="2542"/>
  <c r="GA24" i="2542"/>
  <c r="GN24" i="2542"/>
  <c r="HA24" i="2542"/>
  <c r="HN24" i="2542"/>
  <c r="N25" i="2542"/>
  <c r="AA25" i="2542"/>
  <c r="AN25" i="2542"/>
  <c r="BA25" i="2542"/>
  <c r="BN25" i="2542"/>
  <c r="CA25" i="2542"/>
  <c r="CN25" i="2542"/>
  <c r="DA25" i="2542"/>
  <c r="DN25" i="2542"/>
  <c r="EA25" i="2542"/>
  <c r="EN25" i="2542"/>
  <c r="FA25" i="2542"/>
  <c r="FN25" i="2542"/>
  <c r="GA25" i="2542"/>
  <c r="GN25" i="2542"/>
  <c r="HA25" i="2542"/>
  <c r="HN25" i="2542"/>
  <c r="N26" i="2542"/>
  <c r="AA26" i="2542"/>
  <c r="AN26" i="2542"/>
  <c r="BA26" i="2542"/>
  <c r="BN26" i="2542"/>
  <c r="CA26" i="2542"/>
  <c r="CN26" i="2542"/>
  <c r="DA26" i="2542"/>
  <c r="DN26" i="2542"/>
  <c r="EA26" i="2542"/>
  <c r="EN26" i="2542"/>
  <c r="FA26" i="2542"/>
  <c r="FN26" i="2542"/>
  <c r="GA26" i="2542"/>
  <c r="GN26" i="2542"/>
  <c r="HA26" i="2542"/>
  <c r="HN26" i="2542"/>
  <c r="N27" i="2542"/>
  <c r="AA27" i="2542"/>
  <c r="AN27" i="2542"/>
  <c r="BA27" i="2542"/>
  <c r="BN27" i="2542"/>
  <c r="CA27" i="2542"/>
  <c r="CN27" i="2542"/>
  <c r="DA27" i="2542"/>
  <c r="DN27" i="2542"/>
  <c r="EA27" i="2542"/>
  <c r="EN27" i="2542"/>
  <c r="FA27" i="2542"/>
  <c r="FN27" i="2542"/>
  <c r="GA27" i="2542"/>
  <c r="GN27" i="2542"/>
  <c r="HA27" i="2542"/>
  <c r="HN27" i="2542"/>
  <c r="N28" i="2542"/>
  <c r="AA28" i="2542"/>
  <c r="AN28" i="2542"/>
  <c r="BA28" i="2542"/>
  <c r="BN28" i="2542"/>
  <c r="CA28" i="2542"/>
  <c r="CN28" i="2542"/>
  <c r="DA28" i="2542"/>
  <c r="DN28" i="2542"/>
  <c r="EA28" i="2542"/>
  <c r="EN28" i="2542"/>
  <c r="FA28" i="2542"/>
  <c r="FN28" i="2542"/>
  <c r="GA28" i="2542"/>
  <c r="GN28" i="2542"/>
  <c r="HA28" i="2542"/>
  <c r="HN28" i="2542"/>
  <c r="HA29" i="2542"/>
  <c r="AN30" i="2542"/>
  <c r="HA30" i="2542"/>
  <c r="FB36" i="2542"/>
  <c r="FC36" i="2542"/>
  <c r="FD36" i="2542"/>
  <c r="FE36" i="2542"/>
  <c r="FF36" i="2542"/>
  <c r="FG36" i="2542"/>
  <c r="FH36" i="2542"/>
  <c r="FI36" i="2542"/>
  <c r="FJ36" i="2542"/>
  <c r="FK36" i="2542"/>
  <c r="FL36" i="2542"/>
  <c r="FM36" i="2542"/>
  <c r="FO36" i="2542"/>
  <c r="FP36" i="2542"/>
  <c r="FQ36" i="2542"/>
  <c r="FR36" i="2542"/>
  <c r="FS36" i="2542"/>
  <c r="FT36" i="2542"/>
  <c r="FU36" i="2542"/>
  <c r="FV36" i="2542"/>
  <c r="FW36" i="2542"/>
  <c r="FX36" i="2542"/>
  <c r="FY36" i="2542"/>
  <c r="FZ36" i="2542"/>
  <c r="GB36" i="2542"/>
  <c r="GC36" i="2542"/>
  <c r="GD36" i="2542"/>
  <c r="GE36" i="2542"/>
  <c r="GF36" i="2542"/>
  <c r="GG36" i="2542"/>
  <c r="GH36" i="2542"/>
  <c r="GI36" i="2542"/>
  <c r="GJ36" i="2542"/>
  <c r="GK36" i="2542"/>
  <c r="GL36" i="2542"/>
  <c r="GM36" i="2542"/>
  <c r="GO36" i="2542"/>
  <c r="GP36" i="2542"/>
  <c r="GQ36" i="2542"/>
  <c r="GR36" i="2542"/>
  <c r="GS36" i="2542"/>
  <c r="GT36" i="2542"/>
  <c r="GU36" i="2542"/>
  <c r="GV36" i="2542"/>
  <c r="GW36" i="2542"/>
  <c r="GX36" i="2542"/>
  <c r="GY36" i="2542"/>
  <c r="GZ36" i="2542"/>
  <c r="HB36" i="2542"/>
  <c r="HC36" i="2542"/>
  <c r="HD36" i="2542"/>
  <c r="HE36" i="2542"/>
  <c r="HF36" i="2542"/>
  <c r="HG36" i="2542"/>
  <c r="HH36" i="2542"/>
  <c r="HI36" i="2542"/>
  <c r="HJ36" i="2542"/>
  <c r="HK36" i="2542"/>
  <c r="HL36" i="2542"/>
  <c r="HM36" i="2542"/>
  <c r="B38" i="2542"/>
  <c r="O38" i="2542"/>
  <c r="AB38" i="2542"/>
  <c r="AO38" i="2542"/>
  <c r="BB38" i="2542"/>
  <c r="BO38" i="2542"/>
  <c r="CB38" i="2542"/>
  <c r="CO38" i="2542"/>
  <c r="DB38" i="2542"/>
  <c r="DO38" i="2542"/>
  <c r="EB38" i="2542"/>
  <c r="EO38" i="2542"/>
  <c r="FB38" i="2542"/>
  <c r="FO38" i="2542"/>
  <c r="GB38" i="2542"/>
  <c r="GO38" i="2542"/>
  <c r="HB38" i="2542"/>
  <c r="N39" i="2542"/>
  <c r="AA39" i="2542"/>
  <c r="AN39" i="2542"/>
  <c r="BA39" i="2542"/>
  <c r="BN39" i="2542"/>
  <c r="CA39" i="2542"/>
  <c r="CN39" i="2542"/>
  <c r="DA39" i="2542"/>
  <c r="DN39" i="2542"/>
  <c r="EA39" i="2542"/>
  <c r="EN39" i="2542"/>
  <c r="FA39" i="2542"/>
  <c r="FN39" i="2542"/>
  <c r="GA39" i="2542"/>
  <c r="GN39" i="2542"/>
  <c r="HA39" i="2542"/>
  <c r="HN39" i="2542"/>
  <c r="DY41" i="2542"/>
  <c r="EQ41" i="2542"/>
  <c r="F42" i="2542"/>
  <c r="G42" i="2542"/>
  <c r="Q42" i="2542"/>
  <c r="R42" i="2542"/>
  <c r="S42" i="2542"/>
  <c r="T42" i="2542"/>
  <c r="U42" i="2542"/>
  <c r="AF42" i="2542"/>
  <c r="AG42" i="2542"/>
  <c r="AP42" i="2542"/>
  <c r="AS42" i="2542"/>
  <c r="AZ42" i="2542"/>
  <c r="BB42" i="2542"/>
  <c r="BC42" i="2542"/>
  <c r="BL42" i="2542"/>
  <c r="BM42" i="2542"/>
  <c r="BO42" i="2542"/>
  <c r="BP42" i="2542"/>
  <c r="BZ42" i="2542"/>
  <c r="CB42" i="2542"/>
  <c r="CC42" i="2542"/>
  <c r="CL42" i="2542"/>
  <c r="CM42" i="2542"/>
  <c r="CO42" i="2542"/>
  <c r="CY42" i="2542"/>
  <c r="CZ42" i="2542"/>
  <c r="DB42" i="2542"/>
  <c r="DL42" i="2542"/>
  <c r="DM42" i="2542"/>
  <c r="DS42" i="2542"/>
  <c r="DT42" i="2542"/>
  <c r="DY42" i="2542"/>
  <c r="DZ42" i="2542"/>
  <c r="EC42" i="2542"/>
  <c r="ED42" i="2542"/>
  <c r="EE42" i="2542"/>
  <c r="EF42" i="2542"/>
  <c r="EL42" i="2542"/>
  <c r="EO42" i="2542"/>
  <c r="EP42" i="2542"/>
  <c r="EQ42" i="2542"/>
  <c r="ER42" i="2542"/>
  <c r="ES42" i="2542"/>
  <c r="ET42" i="2542"/>
  <c r="FC42" i="2542"/>
  <c r="FD42" i="2542"/>
  <c r="FG42" i="2542"/>
  <c r="FH42" i="2542"/>
  <c r="FI42" i="2542"/>
  <c r="FJ42" i="2542"/>
  <c r="FM42" i="2542"/>
  <c r="FS42" i="2542"/>
  <c r="FY42" i="2542"/>
  <c r="GE42" i="2542"/>
  <c r="GF42" i="2542"/>
  <c r="GG42" i="2542"/>
  <c r="GH42" i="2542"/>
  <c r="GL42" i="2542"/>
  <c r="GM42" i="2542"/>
  <c r="GQ42" i="2542"/>
  <c r="GS42" i="2542"/>
  <c r="GY42" i="2542"/>
  <c r="GZ42" i="2542"/>
  <c r="HB42" i="2542"/>
  <c r="HC42" i="2542"/>
  <c r="HF42" i="2542"/>
  <c r="HL42" i="2542"/>
  <c r="HM42" i="2542"/>
  <c r="B43" i="2542"/>
  <c r="C43" i="2542"/>
  <c r="D43" i="2542"/>
  <c r="E43" i="2542"/>
  <c r="F43" i="2542"/>
  <c r="G43" i="2542"/>
  <c r="H43" i="2542"/>
  <c r="I43" i="2542"/>
  <c r="J43" i="2542"/>
  <c r="K43" i="2542"/>
  <c r="L43" i="2542"/>
  <c r="M43" i="2542"/>
  <c r="O43" i="2542"/>
  <c r="P43" i="2542"/>
  <c r="Q43" i="2542"/>
  <c r="R43" i="2542"/>
  <c r="S43" i="2542"/>
  <c r="T43" i="2542"/>
  <c r="U43" i="2542"/>
  <c r="V43" i="2542"/>
  <c r="W43" i="2542"/>
  <c r="X43" i="2542"/>
  <c r="Y43" i="2542"/>
  <c r="Z43" i="2542"/>
  <c r="AB43" i="2542"/>
  <c r="AC43" i="2542"/>
  <c r="AD43" i="2542"/>
  <c r="AE43" i="2542"/>
  <c r="AF43" i="2542"/>
  <c r="AG43" i="2542"/>
  <c r="AH43" i="2542"/>
  <c r="AI43" i="2542"/>
  <c r="AJ43" i="2542"/>
  <c r="AK43" i="2542"/>
  <c r="AL43" i="2542"/>
  <c r="AM43" i="2542"/>
  <c r="AO43" i="2542"/>
  <c r="AP43" i="2542"/>
  <c r="AQ43" i="2542"/>
  <c r="AR43" i="2542"/>
  <c r="BA43" i="2542" s="1"/>
  <c r="AS43" i="2542"/>
  <c r="AT43" i="2542"/>
  <c r="AU43" i="2542"/>
  <c r="AV43" i="2542"/>
  <c r="AW43" i="2542"/>
  <c r="AX43" i="2542"/>
  <c r="AY43" i="2542"/>
  <c r="AZ43" i="2542"/>
  <c r="BB43" i="2542"/>
  <c r="BC43" i="2542"/>
  <c r="BN43" i="2542" s="1"/>
  <c r="BD43" i="2542"/>
  <c r="BE43" i="2542"/>
  <c r="BF43" i="2542"/>
  <c r="BG43" i="2542"/>
  <c r="BH43" i="2542"/>
  <c r="BI43" i="2542"/>
  <c r="BJ43" i="2542"/>
  <c r="BK43" i="2542"/>
  <c r="BL43" i="2542"/>
  <c r="BM43" i="2542"/>
  <c r="BO43" i="2542"/>
  <c r="BP43" i="2542"/>
  <c r="BQ43" i="2542"/>
  <c r="BR43" i="2542"/>
  <c r="BS43" i="2542"/>
  <c r="BT43" i="2542"/>
  <c r="BU43" i="2542"/>
  <c r="BV43" i="2542"/>
  <c r="BW43" i="2542"/>
  <c r="BX43" i="2542"/>
  <c r="BY43" i="2542"/>
  <c r="BZ43" i="2542"/>
  <c r="CB43" i="2542"/>
  <c r="CC43" i="2542"/>
  <c r="CD43" i="2542"/>
  <c r="CE43" i="2542"/>
  <c r="CF43" i="2542"/>
  <c r="CG43" i="2542"/>
  <c r="CH43" i="2542"/>
  <c r="CI43" i="2542"/>
  <c r="CJ43" i="2542"/>
  <c r="CK43" i="2542"/>
  <c r="CL43" i="2542"/>
  <c r="CM43" i="2542"/>
  <c r="CO43" i="2542"/>
  <c r="CP43" i="2542"/>
  <c r="CQ43" i="2542"/>
  <c r="CR43" i="2542"/>
  <c r="CS43" i="2542"/>
  <c r="CT43" i="2542"/>
  <c r="CU43" i="2542"/>
  <c r="CV43" i="2542"/>
  <c r="CW43" i="2542"/>
  <c r="CX43" i="2542"/>
  <c r="CY43" i="2542"/>
  <c r="CZ43" i="2542"/>
  <c r="DB43" i="2542"/>
  <c r="DC43" i="2542"/>
  <c r="DD43" i="2542"/>
  <c r="DE43" i="2542"/>
  <c r="DF43" i="2542"/>
  <c r="DG43" i="2542"/>
  <c r="DH43" i="2542"/>
  <c r="DI43" i="2542"/>
  <c r="DJ43" i="2542"/>
  <c r="DK43" i="2542"/>
  <c r="DL43" i="2542"/>
  <c r="DM43" i="2542"/>
  <c r="DO43" i="2542"/>
  <c r="DP43" i="2542"/>
  <c r="DQ43" i="2542"/>
  <c r="DR43" i="2542"/>
  <c r="DS43" i="2542"/>
  <c r="DT43" i="2542"/>
  <c r="DU43" i="2542"/>
  <c r="DV43" i="2542"/>
  <c r="DW43" i="2542"/>
  <c r="DX43" i="2542"/>
  <c r="DY43" i="2542"/>
  <c r="DZ43" i="2542"/>
  <c r="EB43" i="2542"/>
  <c r="EC43" i="2542"/>
  <c r="ED43" i="2542"/>
  <c r="EE43" i="2542"/>
  <c r="EF43" i="2542"/>
  <c r="EG43" i="2542"/>
  <c r="EH43" i="2542"/>
  <c r="EI43" i="2542"/>
  <c r="EJ43" i="2542"/>
  <c r="EK43" i="2542"/>
  <c r="EL43" i="2542"/>
  <c r="EM43" i="2542"/>
  <c r="EO43" i="2542"/>
  <c r="EP43" i="2542"/>
  <c r="EQ43" i="2542"/>
  <c r="ER43" i="2542"/>
  <c r="ES43" i="2542"/>
  <c r="ET43" i="2542"/>
  <c r="EU43" i="2542"/>
  <c r="EV43" i="2542"/>
  <c r="EW43" i="2542"/>
  <c r="EX43" i="2542"/>
  <c r="EY43" i="2542"/>
  <c r="EZ43" i="2542"/>
  <c r="FB43" i="2542"/>
  <c r="FC43" i="2542"/>
  <c r="FD43" i="2542"/>
  <c r="FE43" i="2542"/>
  <c r="FF43" i="2542"/>
  <c r="FG43" i="2542"/>
  <c r="FH43" i="2542"/>
  <c r="FI43" i="2542"/>
  <c r="FJ43" i="2542"/>
  <c r="FK43" i="2542"/>
  <c r="FL43" i="2542"/>
  <c r="FM43" i="2542"/>
  <c r="FO43" i="2542"/>
  <c r="FP43" i="2542"/>
  <c r="FQ43" i="2542"/>
  <c r="FR43" i="2542"/>
  <c r="FS43" i="2542"/>
  <c r="FT43" i="2542"/>
  <c r="FU43" i="2542"/>
  <c r="FV43" i="2542"/>
  <c r="FW43" i="2542"/>
  <c r="FX43" i="2542"/>
  <c r="FY43" i="2542"/>
  <c r="FZ43" i="2542"/>
  <c r="GB43" i="2542"/>
  <c r="GC43" i="2542"/>
  <c r="GD43" i="2542"/>
  <c r="GE43" i="2542"/>
  <c r="GF43" i="2542"/>
  <c r="GG43" i="2542"/>
  <c r="GH43" i="2542"/>
  <c r="GI43" i="2542"/>
  <c r="GJ43" i="2542"/>
  <c r="GK43" i="2542"/>
  <c r="GL43" i="2542"/>
  <c r="GM43" i="2542"/>
  <c r="GO43" i="2542"/>
  <c r="GP43" i="2542"/>
  <c r="GQ43" i="2542"/>
  <c r="GR43" i="2542"/>
  <c r="GS43" i="2542"/>
  <c r="GT43" i="2542"/>
  <c r="GU43" i="2542"/>
  <c r="GV43" i="2542"/>
  <c r="GW43" i="2542"/>
  <c r="GX43" i="2542"/>
  <c r="GY43" i="2542"/>
  <c r="GZ43" i="2542"/>
  <c r="HB43" i="2542"/>
  <c r="HC43" i="2542"/>
  <c r="HD43" i="2542"/>
  <c r="HE43" i="2542"/>
  <c r="HF43" i="2542"/>
  <c r="HG43" i="2542"/>
  <c r="HH43" i="2542"/>
  <c r="HI43" i="2542"/>
  <c r="HJ43" i="2542"/>
  <c r="HK43" i="2542"/>
  <c r="HL43" i="2542"/>
  <c r="HM43" i="2542"/>
  <c r="B44" i="2542"/>
  <c r="C44" i="2542"/>
  <c r="D44" i="2542"/>
  <c r="E44" i="2542"/>
  <c r="F44" i="2542"/>
  <c r="G44" i="2542"/>
  <c r="H44" i="2542"/>
  <c r="I44" i="2542"/>
  <c r="J44" i="2542"/>
  <c r="K44" i="2542"/>
  <c r="L44" i="2542"/>
  <c r="M44" i="2542"/>
  <c r="O44" i="2542"/>
  <c r="P44" i="2542"/>
  <c r="Q44" i="2542"/>
  <c r="R44" i="2542"/>
  <c r="S44" i="2542"/>
  <c r="T44" i="2542"/>
  <c r="U44" i="2542"/>
  <c r="V44" i="2542"/>
  <c r="W44" i="2542"/>
  <c r="X44" i="2542"/>
  <c r="Y44" i="2542"/>
  <c r="Z44" i="2542"/>
  <c r="AB44" i="2542"/>
  <c r="AC44" i="2542"/>
  <c r="AD44" i="2542"/>
  <c r="AE44" i="2542"/>
  <c r="AF44" i="2542"/>
  <c r="AG44" i="2542"/>
  <c r="AH44" i="2542"/>
  <c r="AI44" i="2542"/>
  <c r="AJ44" i="2542"/>
  <c r="AK44" i="2542"/>
  <c r="AL44" i="2542"/>
  <c r="AM44" i="2542"/>
  <c r="AO44" i="2542"/>
  <c r="AP44" i="2542"/>
  <c r="AQ44" i="2542"/>
  <c r="AR44" i="2542"/>
  <c r="AS44" i="2542"/>
  <c r="AT44" i="2542"/>
  <c r="AU44" i="2542"/>
  <c r="AV44" i="2542"/>
  <c r="AW44" i="2542"/>
  <c r="AX44" i="2542"/>
  <c r="AY44" i="2542"/>
  <c r="AZ44" i="2542"/>
  <c r="BB44" i="2542"/>
  <c r="BC44" i="2542"/>
  <c r="BD44" i="2542"/>
  <c r="BE44" i="2542"/>
  <c r="BF44" i="2542"/>
  <c r="BG44" i="2542"/>
  <c r="BH44" i="2542"/>
  <c r="BI44" i="2542"/>
  <c r="BJ44" i="2542"/>
  <c r="BK44" i="2542"/>
  <c r="BL44" i="2542"/>
  <c r="BM44" i="2542"/>
  <c r="BO44" i="2542"/>
  <c r="BP44" i="2542"/>
  <c r="BQ44" i="2542"/>
  <c r="BR44" i="2542"/>
  <c r="BS44" i="2542"/>
  <c r="BT44" i="2542"/>
  <c r="BU44" i="2542"/>
  <c r="BV44" i="2542"/>
  <c r="BW44" i="2542"/>
  <c r="BX44" i="2542"/>
  <c r="BY44" i="2542"/>
  <c r="BZ44" i="2542"/>
  <c r="CB44" i="2542"/>
  <c r="CC44" i="2542"/>
  <c r="CD44" i="2542"/>
  <c r="CE44" i="2542"/>
  <c r="CF44" i="2542"/>
  <c r="CG44" i="2542"/>
  <c r="CH44" i="2542"/>
  <c r="CI44" i="2542"/>
  <c r="CJ44" i="2542"/>
  <c r="CK44" i="2542"/>
  <c r="CL44" i="2542"/>
  <c r="CM44" i="2542"/>
  <c r="CO44" i="2542"/>
  <c r="CP44" i="2542"/>
  <c r="CQ44" i="2542"/>
  <c r="CR44" i="2542"/>
  <c r="CS44" i="2542"/>
  <c r="CT44" i="2542"/>
  <c r="CU44" i="2542"/>
  <c r="CV44" i="2542"/>
  <c r="CW44" i="2542"/>
  <c r="CX44" i="2542"/>
  <c r="CY44" i="2542"/>
  <c r="CZ44" i="2542"/>
  <c r="DB44" i="2542"/>
  <c r="DC44" i="2542"/>
  <c r="DD44" i="2542"/>
  <c r="DE44" i="2542"/>
  <c r="DF44" i="2542"/>
  <c r="DG44" i="2542"/>
  <c r="DH44" i="2542"/>
  <c r="DI44" i="2542"/>
  <c r="DJ44" i="2542"/>
  <c r="DK44" i="2542"/>
  <c r="DL44" i="2542"/>
  <c r="DM44" i="2542"/>
  <c r="DO44" i="2542"/>
  <c r="DP44" i="2542"/>
  <c r="DQ44" i="2542"/>
  <c r="DR44" i="2542"/>
  <c r="DS44" i="2542"/>
  <c r="DT44" i="2542"/>
  <c r="DU44" i="2542"/>
  <c r="DV44" i="2542"/>
  <c r="DW44" i="2542"/>
  <c r="DX44" i="2542"/>
  <c r="DY44" i="2542"/>
  <c r="DZ44" i="2542"/>
  <c r="EB44" i="2542"/>
  <c r="EC44" i="2542"/>
  <c r="ED44" i="2542"/>
  <c r="EE44" i="2542"/>
  <c r="EF44" i="2542"/>
  <c r="EG44" i="2542"/>
  <c r="EH44" i="2542"/>
  <c r="EI44" i="2542"/>
  <c r="EJ44" i="2542"/>
  <c r="EK44" i="2542"/>
  <c r="EL44" i="2542"/>
  <c r="EM44" i="2542"/>
  <c r="EO44" i="2542"/>
  <c r="EP44" i="2542"/>
  <c r="EQ44" i="2542"/>
  <c r="ER44" i="2542"/>
  <c r="ES44" i="2542"/>
  <c r="ET44" i="2542"/>
  <c r="EU44" i="2542"/>
  <c r="EV44" i="2542"/>
  <c r="EW44" i="2542"/>
  <c r="EX44" i="2542"/>
  <c r="EY44" i="2542"/>
  <c r="EZ44" i="2542"/>
  <c r="FB44" i="2542"/>
  <c r="FC44" i="2542"/>
  <c r="FD44" i="2542"/>
  <c r="FE44" i="2542"/>
  <c r="FF44" i="2542"/>
  <c r="FG44" i="2542"/>
  <c r="FH44" i="2542"/>
  <c r="FI44" i="2542"/>
  <c r="FJ44" i="2542"/>
  <c r="FK44" i="2542"/>
  <c r="FL44" i="2542"/>
  <c r="FM44" i="2542"/>
  <c r="FO44" i="2542"/>
  <c r="FP44" i="2542"/>
  <c r="FQ44" i="2542"/>
  <c r="FR44" i="2542"/>
  <c r="FS44" i="2542"/>
  <c r="FT44" i="2542"/>
  <c r="FU44" i="2542"/>
  <c r="FV44" i="2542"/>
  <c r="FW44" i="2542"/>
  <c r="FX44" i="2542"/>
  <c r="FY44" i="2542"/>
  <c r="FZ44" i="2542"/>
  <c r="GB44" i="2542"/>
  <c r="GC44" i="2542"/>
  <c r="GD44" i="2542"/>
  <c r="GE44" i="2542"/>
  <c r="GF44" i="2542"/>
  <c r="GG44" i="2542"/>
  <c r="GH44" i="2542"/>
  <c r="GI44" i="2542"/>
  <c r="GJ44" i="2542"/>
  <c r="GK44" i="2542"/>
  <c r="GL44" i="2542"/>
  <c r="GM44" i="2542"/>
  <c r="GO44" i="2542"/>
  <c r="GP44" i="2542"/>
  <c r="GQ44" i="2542"/>
  <c r="GR44" i="2542"/>
  <c r="GS44" i="2542"/>
  <c r="GT44" i="2542"/>
  <c r="GU44" i="2542"/>
  <c r="GV44" i="2542"/>
  <c r="GW44" i="2542"/>
  <c r="GX44" i="2542"/>
  <c r="GY44" i="2542"/>
  <c r="GZ44" i="2542"/>
  <c r="HB44" i="2542"/>
  <c r="HC44" i="2542"/>
  <c r="HD44" i="2542"/>
  <c r="HE44" i="2542"/>
  <c r="HF44" i="2542"/>
  <c r="HG44" i="2542"/>
  <c r="HH44" i="2542"/>
  <c r="HI44" i="2542"/>
  <c r="HJ44" i="2542"/>
  <c r="HK44" i="2542"/>
  <c r="HL44" i="2542"/>
  <c r="HM44" i="2542"/>
  <c r="B45" i="2542"/>
  <c r="C45" i="2542"/>
  <c r="D45" i="2542"/>
  <c r="E45" i="2542"/>
  <c r="F45" i="2542"/>
  <c r="G45" i="2542"/>
  <c r="H45" i="2542"/>
  <c r="I45" i="2542"/>
  <c r="J45" i="2542"/>
  <c r="K45" i="2542"/>
  <c r="L45" i="2542"/>
  <c r="M45" i="2542"/>
  <c r="O45" i="2542"/>
  <c r="P45" i="2542"/>
  <c r="Q45" i="2542"/>
  <c r="R45" i="2542"/>
  <c r="S45" i="2542"/>
  <c r="T45" i="2542"/>
  <c r="U45" i="2542"/>
  <c r="V45" i="2542"/>
  <c r="W45" i="2542"/>
  <c r="X45" i="2542"/>
  <c r="Y45" i="2542"/>
  <c r="Z45" i="2542"/>
  <c r="AB45" i="2542"/>
  <c r="AC45" i="2542"/>
  <c r="AD45" i="2542"/>
  <c r="AE45" i="2542"/>
  <c r="AF45" i="2542"/>
  <c r="AG45" i="2542"/>
  <c r="AH45" i="2542"/>
  <c r="AI45" i="2542"/>
  <c r="AJ45" i="2542"/>
  <c r="AK45" i="2542"/>
  <c r="AL45" i="2542"/>
  <c r="AM45" i="2542"/>
  <c r="AO45" i="2542"/>
  <c r="AP45" i="2542"/>
  <c r="AQ45" i="2542"/>
  <c r="AR45" i="2542"/>
  <c r="AS45" i="2542"/>
  <c r="AT45" i="2542"/>
  <c r="AU45" i="2542"/>
  <c r="AV45" i="2542"/>
  <c r="AW45" i="2542"/>
  <c r="AX45" i="2542"/>
  <c r="AY45" i="2542"/>
  <c r="AZ45" i="2542"/>
  <c r="BB45" i="2542"/>
  <c r="BC45" i="2542"/>
  <c r="BD45" i="2542"/>
  <c r="BE45" i="2542"/>
  <c r="BF45" i="2542"/>
  <c r="BG45" i="2542"/>
  <c r="BH45" i="2542"/>
  <c r="BI45" i="2542"/>
  <c r="BJ45" i="2542"/>
  <c r="BK45" i="2542"/>
  <c r="BL45" i="2542"/>
  <c r="BM45" i="2542"/>
  <c r="BO45" i="2542"/>
  <c r="BP45" i="2542"/>
  <c r="BQ45" i="2542"/>
  <c r="BR45" i="2542"/>
  <c r="BS45" i="2542"/>
  <c r="BT45" i="2542"/>
  <c r="BU45" i="2542"/>
  <c r="BV45" i="2542"/>
  <c r="BW45" i="2542"/>
  <c r="BX45" i="2542"/>
  <c r="BY45" i="2542"/>
  <c r="BZ45" i="2542"/>
  <c r="CB45" i="2542"/>
  <c r="CC45" i="2542"/>
  <c r="CD45" i="2542"/>
  <c r="CE45" i="2542"/>
  <c r="CF45" i="2542"/>
  <c r="CG45" i="2542"/>
  <c r="CH45" i="2542"/>
  <c r="CI45" i="2542"/>
  <c r="CJ45" i="2542"/>
  <c r="CK45" i="2542"/>
  <c r="CL45" i="2542"/>
  <c r="CM45" i="2542"/>
  <c r="CO45" i="2542"/>
  <c r="CP45" i="2542"/>
  <c r="CQ45" i="2542"/>
  <c r="CR45" i="2542"/>
  <c r="CS45" i="2542"/>
  <c r="CT45" i="2542"/>
  <c r="CU45" i="2542"/>
  <c r="CV45" i="2542"/>
  <c r="CW45" i="2542"/>
  <c r="CX45" i="2542"/>
  <c r="CY45" i="2542"/>
  <c r="CZ45" i="2542"/>
  <c r="DB45" i="2542"/>
  <c r="DC45" i="2542"/>
  <c r="DD45" i="2542"/>
  <c r="DE45" i="2542"/>
  <c r="DF45" i="2542"/>
  <c r="DG45" i="2542"/>
  <c r="DH45" i="2542"/>
  <c r="DI45" i="2542"/>
  <c r="DJ45" i="2542"/>
  <c r="DK45" i="2542"/>
  <c r="DL45" i="2542"/>
  <c r="DM45" i="2542"/>
  <c r="DO45" i="2542"/>
  <c r="DP45" i="2542"/>
  <c r="DQ45" i="2542"/>
  <c r="DR45" i="2542"/>
  <c r="DS45" i="2542"/>
  <c r="DT45" i="2542"/>
  <c r="DU45" i="2542"/>
  <c r="DV45" i="2542"/>
  <c r="DW45" i="2542"/>
  <c r="DX45" i="2542"/>
  <c r="DY45" i="2542"/>
  <c r="DZ45" i="2542"/>
  <c r="EB45" i="2542"/>
  <c r="EC45" i="2542"/>
  <c r="ED45" i="2542"/>
  <c r="EE45" i="2542"/>
  <c r="EF45" i="2542"/>
  <c r="EG45" i="2542"/>
  <c r="EH45" i="2542"/>
  <c r="EI45" i="2542"/>
  <c r="EJ45" i="2542"/>
  <c r="EK45" i="2542"/>
  <c r="EL45" i="2542"/>
  <c r="EM45" i="2542"/>
  <c r="EO45" i="2542"/>
  <c r="EP45" i="2542"/>
  <c r="EQ45" i="2542"/>
  <c r="ER45" i="2542"/>
  <c r="ES45" i="2542"/>
  <c r="ET45" i="2542"/>
  <c r="EU45" i="2542"/>
  <c r="EV45" i="2542"/>
  <c r="EW45" i="2542"/>
  <c r="EX45" i="2542"/>
  <c r="EY45" i="2542"/>
  <c r="EZ45" i="2542"/>
  <c r="FB45" i="2542"/>
  <c r="FC45" i="2542"/>
  <c r="FD45" i="2542"/>
  <c r="FE45" i="2542"/>
  <c r="FF45" i="2542"/>
  <c r="FG45" i="2542"/>
  <c r="FH45" i="2542"/>
  <c r="FI45" i="2542"/>
  <c r="FJ45" i="2542"/>
  <c r="FK45" i="2542"/>
  <c r="FL45" i="2542"/>
  <c r="FM45" i="2542"/>
  <c r="FO45" i="2542"/>
  <c r="FP45" i="2542"/>
  <c r="FQ45" i="2542"/>
  <c r="FR45" i="2542"/>
  <c r="FS45" i="2542"/>
  <c r="FT45" i="2542"/>
  <c r="FU45" i="2542"/>
  <c r="FV45" i="2542"/>
  <c r="FW45" i="2542"/>
  <c r="FX45" i="2542"/>
  <c r="FY45" i="2542"/>
  <c r="FZ45" i="2542"/>
  <c r="GB45" i="2542"/>
  <c r="GC45" i="2542"/>
  <c r="GN45" i="2542" s="1"/>
  <c r="GD45" i="2542"/>
  <c r="GE45" i="2542"/>
  <c r="GF45" i="2542"/>
  <c r="GG45" i="2542"/>
  <c r="GH45" i="2542"/>
  <c r="GI45" i="2542"/>
  <c r="GJ45" i="2542"/>
  <c r="GK45" i="2542"/>
  <c r="GL45" i="2542"/>
  <c r="GM45" i="2542"/>
  <c r="GO45" i="2542"/>
  <c r="GP45" i="2542"/>
  <c r="GQ45" i="2542"/>
  <c r="GR45" i="2542"/>
  <c r="GS45" i="2542"/>
  <c r="GT45" i="2542"/>
  <c r="GU45" i="2542"/>
  <c r="GV45" i="2542"/>
  <c r="GW45" i="2542"/>
  <c r="GX45" i="2542"/>
  <c r="GY45" i="2542"/>
  <c r="GZ45" i="2542"/>
  <c r="HB45" i="2542"/>
  <c r="HC45" i="2542"/>
  <c r="HD45" i="2542"/>
  <c r="HE45" i="2542"/>
  <c r="HF45" i="2542"/>
  <c r="HG45" i="2542"/>
  <c r="HH45" i="2542"/>
  <c r="HI45" i="2542"/>
  <c r="HJ45" i="2542"/>
  <c r="HK45" i="2542"/>
  <c r="HL45" i="2542"/>
  <c r="HM45" i="2542"/>
  <c r="B46" i="2542"/>
  <c r="C46" i="2542"/>
  <c r="D46" i="2542"/>
  <c r="E46" i="2542"/>
  <c r="F46" i="2542"/>
  <c r="G46" i="2542"/>
  <c r="H46" i="2542"/>
  <c r="I46" i="2542"/>
  <c r="J46" i="2542"/>
  <c r="K46" i="2542"/>
  <c r="L46" i="2542"/>
  <c r="M46" i="2542"/>
  <c r="O46" i="2542"/>
  <c r="P46" i="2542"/>
  <c r="Q46" i="2542"/>
  <c r="R46" i="2542"/>
  <c r="S46" i="2542"/>
  <c r="T46" i="2542"/>
  <c r="U46" i="2542"/>
  <c r="V46" i="2542"/>
  <c r="W46" i="2542"/>
  <c r="X46" i="2542"/>
  <c r="Y46" i="2542"/>
  <c r="Z46" i="2542"/>
  <c r="AB46" i="2542"/>
  <c r="AC46" i="2542"/>
  <c r="AD46" i="2542"/>
  <c r="AE46" i="2542"/>
  <c r="AF46" i="2542"/>
  <c r="AG46" i="2542"/>
  <c r="AH46" i="2542"/>
  <c r="AI46" i="2542"/>
  <c r="AJ46" i="2542"/>
  <c r="AK46" i="2542"/>
  <c r="AL46" i="2542"/>
  <c r="AM46" i="2542"/>
  <c r="AO46" i="2542"/>
  <c r="AP46" i="2542"/>
  <c r="AQ46" i="2542"/>
  <c r="AR46" i="2542"/>
  <c r="AS46" i="2542"/>
  <c r="AT46" i="2542"/>
  <c r="AU46" i="2542"/>
  <c r="AV46" i="2542"/>
  <c r="AW46" i="2542"/>
  <c r="AX46" i="2542"/>
  <c r="AY46" i="2542"/>
  <c r="AZ46" i="2542"/>
  <c r="BB46" i="2542"/>
  <c r="BC46" i="2542"/>
  <c r="BD46" i="2542"/>
  <c r="BE46" i="2542"/>
  <c r="BF46" i="2542"/>
  <c r="BG46" i="2542"/>
  <c r="BH46" i="2542"/>
  <c r="BI46" i="2542"/>
  <c r="BJ46" i="2542"/>
  <c r="BK46" i="2542"/>
  <c r="BL46" i="2542"/>
  <c r="BM46" i="2542"/>
  <c r="BO46" i="2542"/>
  <c r="BP46" i="2542"/>
  <c r="BQ46" i="2542"/>
  <c r="BR46" i="2542"/>
  <c r="BS46" i="2542"/>
  <c r="BT46" i="2542"/>
  <c r="BU46" i="2542"/>
  <c r="BV46" i="2542"/>
  <c r="BW46" i="2542"/>
  <c r="BX46" i="2542"/>
  <c r="BY46" i="2542"/>
  <c r="BZ46" i="2542"/>
  <c r="CB46" i="2542"/>
  <c r="CC46" i="2542"/>
  <c r="CD46" i="2542"/>
  <c r="CE46" i="2542"/>
  <c r="CF46" i="2542"/>
  <c r="CG46" i="2542"/>
  <c r="CH46" i="2542"/>
  <c r="CI46" i="2542"/>
  <c r="CJ46" i="2542"/>
  <c r="CK46" i="2542"/>
  <c r="CL46" i="2542"/>
  <c r="CM46" i="2542"/>
  <c r="CO46" i="2542"/>
  <c r="CP46" i="2542"/>
  <c r="CQ46" i="2542"/>
  <c r="CR46" i="2542"/>
  <c r="CS46" i="2542"/>
  <c r="CT46" i="2542"/>
  <c r="CU46" i="2542"/>
  <c r="CV46" i="2542"/>
  <c r="CW46" i="2542"/>
  <c r="CX46" i="2542"/>
  <c r="CY46" i="2542"/>
  <c r="CZ46" i="2542"/>
  <c r="DB46" i="2542"/>
  <c r="DC46" i="2542"/>
  <c r="DN46" i="2542" s="1"/>
  <c r="DD46" i="2542"/>
  <c r="DE46" i="2542"/>
  <c r="DF46" i="2542"/>
  <c r="DG46" i="2542"/>
  <c r="DH46" i="2542"/>
  <c r="DI46" i="2542"/>
  <c r="DJ46" i="2542"/>
  <c r="DK46" i="2542"/>
  <c r="DL46" i="2542"/>
  <c r="DM46" i="2542"/>
  <c r="DO46" i="2542"/>
  <c r="DP46" i="2542"/>
  <c r="DQ46" i="2542"/>
  <c r="DR46" i="2542"/>
  <c r="DS46" i="2542"/>
  <c r="DT46" i="2542"/>
  <c r="DU46" i="2542"/>
  <c r="DV46" i="2542"/>
  <c r="DW46" i="2542"/>
  <c r="DX46" i="2542"/>
  <c r="DY46" i="2542"/>
  <c r="DZ46" i="2542"/>
  <c r="EB46" i="2542"/>
  <c r="EC46" i="2542"/>
  <c r="ED46" i="2542"/>
  <c r="EE46" i="2542"/>
  <c r="EF46" i="2542"/>
  <c r="EG46" i="2542"/>
  <c r="EH46" i="2542"/>
  <c r="EI46" i="2542"/>
  <c r="EJ46" i="2542"/>
  <c r="EK46" i="2542"/>
  <c r="EL46" i="2542"/>
  <c r="EM46" i="2542"/>
  <c r="EO46" i="2542"/>
  <c r="EP46" i="2542"/>
  <c r="EQ46" i="2542"/>
  <c r="ER46" i="2542"/>
  <c r="ES46" i="2542"/>
  <c r="ET46" i="2542"/>
  <c r="EU46" i="2542"/>
  <c r="EV46" i="2542"/>
  <c r="EW46" i="2542"/>
  <c r="EX46" i="2542"/>
  <c r="EY46" i="2542"/>
  <c r="EZ46" i="2542"/>
  <c r="FB46" i="2542"/>
  <c r="FC46" i="2542"/>
  <c r="FD46" i="2542"/>
  <c r="FE46" i="2542"/>
  <c r="FF46" i="2542"/>
  <c r="FG46" i="2542"/>
  <c r="FH46" i="2542"/>
  <c r="FI46" i="2542"/>
  <c r="FJ46" i="2542"/>
  <c r="FK46" i="2542"/>
  <c r="FL46" i="2542"/>
  <c r="FM46" i="2542"/>
  <c r="FO46" i="2542"/>
  <c r="FP46" i="2542"/>
  <c r="FQ46" i="2542"/>
  <c r="FR46" i="2542"/>
  <c r="FS46" i="2542"/>
  <c r="FT46" i="2542"/>
  <c r="FU46" i="2542"/>
  <c r="FV46" i="2542"/>
  <c r="FW46" i="2542"/>
  <c r="FX46" i="2542"/>
  <c r="FY46" i="2542"/>
  <c r="FZ46" i="2542"/>
  <c r="GB46" i="2542"/>
  <c r="GC46" i="2542"/>
  <c r="GD46" i="2542"/>
  <c r="GE46" i="2542"/>
  <c r="GF46" i="2542"/>
  <c r="GG46" i="2542"/>
  <c r="GH46" i="2542"/>
  <c r="GI46" i="2542"/>
  <c r="GJ46" i="2542"/>
  <c r="GK46" i="2542"/>
  <c r="GL46" i="2542"/>
  <c r="GM46" i="2542"/>
  <c r="GO46" i="2542"/>
  <c r="GP46" i="2542"/>
  <c r="GQ46" i="2542"/>
  <c r="GR46" i="2542"/>
  <c r="GS46" i="2542"/>
  <c r="GT46" i="2542"/>
  <c r="GU46" i="2542"/>
  <c r="GV46" i="2542"/>
  <c r="GW46" i="2542"/>
  <c r="GX46" i="2542"/>
  <c r="GY46" i="2542"/>
  <c r="GZ46" i="2542"/>
  <c r="HB46" i="2542"/>
  <c r="HC46" i="2542"/>
  <c r="HD46" i="2542"/>
  <c r="HE46" i="2542"/>
  <c r="HF46" i="2542"/>
  <c r="HG46" i="2542"/>
  <c r="HH46" i="2542"/>
  <c r="HI46" i="2542"/>
  <c r="HJ46" i="2542"/>
  <c r="HK46" i="2542"/>
  <c r="HL46" i="2542"/>
  <c r="HM46" i="2542"/>
  <c r="B47" i="2542"/>
  <c r="C47" i="2542"/>
  <c r="D47" i="2542"/>
  <c r="N47" i="2542" s="1"/>
  <c r="E47" i="2542"/>
  <c r="F47" i="2542"/>
  <c r="G47" i="2542"/>
  <c r="H47" i="2542"/>
  <c r="I47" i="2542"/>
  <c r="J47" i="2542"/>
  <c r="K47" i="2542"/>
  <c r="L47" i="2542"/>
  <c r="M47" i="2542"/>
  <c r="O47" i="2542"/>
  <c r="P47" i="2542"/>
  <c r="Q47" i="2542"/>
  <c r="R47" i="2542"/>
  <c r="S47" i="2542"/>
  <c r="T47" i="2542"/>
  <c r="U47" i="2542"/>
  <c r="V47" i="2542"/>
  <c r="W47" i="2542"/>
  <c r="X47" i="2542"/>
  <c r="Y47" i="2542"/>
  <c r="Z47" i="2542"/>
  <c r="AB47" i="2542"/>
  <c r="AC47" i="2542"/>
  <c r="AD47" i="2542"/>
  <c r="AE47" i="2542"/>
  <c r="AF47" i="2542"/>
  <c r="AG47" i="2542"/>
  <c r="AH47" i="2542"/>
  <c r="AI47" i="2542"/>
  <c r="AJ47" i="2542"/>
  <c r="AK47" i="2542"/>
  <c r="AL47" i="2542"/>
  <c r="AM47" i="2542"/>
  <c r="AO47" i="2542"/>
  <c r="AP47" i="2542"/>
  <c r="AQ47" i="2542"/>
  <c r="BA47" i="2542" s="1"/>
  <c r="AR47" i="2542"/>
  <c r="AS47" i="2542"/>
  <c r="AT47" i="2542"/>
  <c r="AU47" i="2542"/>
  <c r="AV47" i="2542"/>
  <c r="AW47" i="2542"/>
  <c r="AX47" i="2542"/>
  <c r="AY47" i="2542"/>
  <c r="AZ47" i="2542"/>
  <c r="BB47" i="2542"/>
  <c r="BC47" i="2542"/>
  <c r="BD47" i="2542"/>
  <c r="BE47" i="2542"/>
  <c r="BF47" i="2542"/>
  <c r="BG47" i="2542"/>
  <c r="BH47" i="2542"/>
  <c r="BI47" i="2542"/>
  <c r="BJ47" i="2542"/>
  <c r="BK47" i="2542"/>
  <c r="BL47" i="2542"/>
  <c r="BM47" i="2542"/>
  <c r="BO47" i="2542"/>
  <c r="BP47" i="2542"/>
  <c r="BQ47" i="2542"/>
  <c r="BR47" i="2542"/>
  <c r="BS47" i="2542"/>
  <c r="BT47" i="2542"/>
  <c r="BU47" i="2542"/>
  <c r="BV47" i="2542"/>
  <c r="BW47" i="2542"/>
  <c r="BX47" i="2542"/>
  <c r="BY47" i="2542"/>
  <c r="BZ47" i="2542"/>
  <c r="CB47" i="2542"/>
  <c r="CC47" i="2542"/>
  <c r="CD47" i="2542"/>
  <c r="CN47" i="2542" s="1"/>
  <c r="CE47" i="2542"/>
  <c r="CF47" i="2542"/>
  <c r="CG47" i="2542"/>
  <c r="CH47" i="2542"/>
  <c r="CI47" i="2542"/>
  <c r="CJ47" i="2542"/>
  <c r="CK47" i="2542"/>
  <c r="CL47" i="2542"/>
  <c r="CM47" i="2542"/>
  <c r="CO47" i="2542"/>
  <c r="CP47" i="2542"/>
  <c r="CQ47" i="2542"/>
  <c r="CR47" i="2542"/>
  <c r="CS47" i="2542"/>
  <c r="CT47" i="2542"/>
  <c r="CU47" i="2542"/>
  <c r="CV47" i="2542"/>
  <c r="CW47" i="2542"/>
  <c r="CX47" i="2542"/>
  <c r="CY47" i="2542"/>
  <c r="CZ47" i="2542"/>
  <c r="DB47" i="2542"/>
  <c r="DC47" i="2542"/>
  <c r="DD47" i="2542"/>
  <c r="DE47" i="2542"/>
  <c r="DF47" i="2542"/>
  <c r="DG47" i="2542"/>
  <c r="DH47" i="2542"/>
  <c r="DI47" i="2542"/>
  <c r="DJ47" i="2542"/>
  <c r="DK47" i="2542"/>
  <c r="DL47" i="2542"/>
  <c r="DM47" i="2542"/>
  <c r="DO47" i="2542"/>
  <c r="DP47" i="2542"/>
  <c r="DQ47" i="2542"/>
  <c r="DR47" i="2542"/>
  <c r="DS47" i="2542"/>
  <c r="DT47" i="2542"/>
  <c r="DU47" i="2542"/>
  <c r="DV47" i="2542"/>
  <c r="DW47" i="2542"/>
  <c r="DX47" i="2542"/>
  <c r="DY47" i="2542"/>
  <c r="DZ47" i="2542"/>
  <c r="EB47" i="2542"/>
  <c r="EC47" i="2542"/>
  <c r="ED47" i="2542"/>
  <c r="EE47" i="2542"/>
  <c r="EF47" i="2542"/>
  <c r="EG47" i="2542"/>
  <c r="EH47" i="2542"/>
  <c r="EI47" i="2542"/>
  <c r="EJ47" i="2542"/>
  <c r="EK47" i="2542"/>
  <c r="EL47" i="2542"/>
  <c r="EM47" i="2542"/>
  <c r="EO47" i="2542"/>
  <c r="EP47" i="2542"/>
  <c r="EQ47" i="2542"/>
  <c r="ER47" i="2542"/>
  <c r="ES47" i="2542"/>
  <c r="ET47" i="2542"/>
  <c r="EU47" i="2542"/>
  <c r="EV47" i="2542"/>
  <c r="EW47" i="2542"/>
  <c r="EX47" i="2542"/>
  <c r="EY47" i="2542"/>
  <c r="EZ47" i="2542"/>
  <c r="FB47" i="2542"/>
  <c r="FC47" i="2542"/>
  <c r="FD47" i="2542"/>
  <c r="FE47" i="2542"/>
  <c r="FF47" i="2542"/>
  <c r="FG47" i="2542"/>
  <c r="FH47" i="2542"/>
  <c r="FI47" i="2542"/>
  <c r="FJ47" i="2542"/>
  <c r="FK47" i="2542"/>
  <c r="FL47" i="2542"/>
  <c r="FM47" i="2542"/>
  <c r="FO47" i="2542"/>
  <c r="FP47" i="2542"/>
  <c r="FQ47" i="2542"/>
  <c r="FR47" i="2542"/>
  <c r="FS47" i="2542"/>
  <c r="FT47" i="2542"/>
  <c r="FU47" i="2542"/>
  <c r="FV47" i="2542"/>
  <c r="FW47" i="2542"/>
  <c r="FX47" i="2542"/>
  <c r="FY47" i="2542"/>
  <c r="FZ47" i="2542"/>
  <c r="GB47" i="2542"/>
  <c r="GC47" i="2542"/>
  <c r="GD47" i="2542"/>
  <c r="GE47" i="2542"/>
  <c r="GF47" i="2542"/>
  <c r="GG47" i="2542"/>
  <c r="GH47" i="2542"/>
  <c r="GI47" i="2542"/>
  <c r="GJ47" i="2542"/>
  <c r="GK47" i="2542"/>
  <c r="GL47" i="2542"/>
  <c r="GM47" i="2542"/>
  <c r="GO47" i="2542"/>
  <c r="GP47" i="2542"/>
  <c r="GQ47" i="2542"/>
  <c r="GR47" i="2542"/>
  <c r="GS47" i="2542"/>
  <c r="GT47" i="2542"/>
  <c r="GU47" i="2542"/>
  <c r="GV47" i="2542"/>
  <c r="GW47" i="2542"/>
  <c r="GX47" i="2542"/>
  <c r="GY47" i="2542"/>
  <c r="GZ47" i="2542"/>
  <c r="HB47" i="2542"/>
  <c r="HC47" i="2542"/>
  <c r="HD47" i="2542"/>
  <c r="HE47" i="2542"/>
  <c r="HF47" i="2542"/>
  <c r="HG47" i="2542"/>
  <c r="HH47" i="2542"/>
  <c r="HI47" i="2542"/>
  <c r="HJ47" i="2542"/>
  <c r="HK47" i="2542"/>
  <c r="HL47" i="2542"/>
  <c r="HM47" i="2542"/>
  <c r="B48" i="2542"/>
  <c r="C48" i="2542"/>
  <c r="F48" i="2542"/>
  <c r="I48" i="2542"/>
  <c r="O48" i="2542"/>
  <c r="P48" i="2542"/>
  <c r="R48" i="2542"/>
  <c r="S48" i="2542"/>
  <c r="AB48" i="2542"/>
  <c r="AD48" i="2542"/>
  <c r="AE48" i="2542"/>
  <c r="AF48" i="2542"/>
  <c r="AG48" i="2542"/>
  <c r="AH48" i="2542"/>
  <c r="AJ48" i="2542"/>
  <c r="AP48" i="2542"/>
  <c r="AQ48" i="2542"/>
  <c r="AR48" i="2542"/>
  <c r="AV48" i="2542"/>
  <c r="AW48" i="2542"/>
  <c r="AX48" i="2542"/>
  <c r="AY48" i="2542"/>
  <c r="BC48" i="2542"/>
  <c r="BD48" i="2542"/>
  <c r="BF48" i="2542"/>
  <c r="BH48" i="2542"/>
  <c r="BI48" i="2542"/>
  <c r="BO48" i="2542"/>
  <c r="BP48" i="2542"/>
  <c r="BQ48" i="2542"/>
  <c r="BR48" i="2542"/>
  <c r="BU48" i="2542"/>
  <c r="CB48" i="2542"/>
  <c r="CC48" i="2542"/>
  <c r="CD48" i="2542"/>
  <c r="CF48" i="2542"/>
  <c r="CG48" i="2542"/>
  <c r="CH48" i="2542"/>
  <c r="CI48" i="2542"/>
  <c r="CO48" i="2542"/>
  <c r="CP48" i="2542"/>
  <c r="CR48" i="2542"/>
  <c r="CU48" i="2542"/>
  <c r="CV48" i="2542"/>
  <c r="CW48" i="2542"/>
  <c r="CX48" i="2542"/>
  <c r="DB48" i="2542"/>
  <c r="DD48" i="2542"/>
  <c r="DE48" i="2542"/>
  <c r="DF48" i="2542"/>
  <c r="DH48" i="2542"/>
  <c r="DI48" i="2542"/>
  <c r="DJ48" i="2542"/>
  <c r="DK48" i="2542"/>
  <c r="DL48" i="2542"/>
  <c r="DP48" i="2542"/>
  <c r="DQ48" i="2542"/>
  <c r="DR48" i="2542"/>
  <c r="DS48" i="2542"/>
  <c r="DU48" i="2542"/>
  <c r="DY48" i="2542"/>
  <c r="EB48" i="2542"/>
  <c r="EC48" i="2542"/>
  <c r="ED48" i="2542"/>
  <c r="EH48" i="2542"/>
  <c r="EI48" i="2542"/>
  <c r="EO48" i="2542"/>
  <c r="EP48" i="2542"/>
  <c r="EQ48" i="2542"/>
  <c r="EV48" i="2542"/>
  <c r="EW48" i="2542"/>
  <c r="FC48" i="2542"/>
  <c r="FH48" i="2542"/>
  <c r="FI48" i="2542"/>
  <c r="FJ48" i="2542"/>
  <c r="FK48" i="2542"/>
  <c r="FQ48" i="2542"/>
  <c r="FR48" i="2542"/>
  <c r="FU48" i="2542"/>
  <c r="FV48" i="2542"/>
  <c r="FZ48" i="2542"/>
  <c r="GD48" i="2542"/>
  <c r="GE48" i="2542"/>
  <c r="GJ48" i="2542"/>
  <c r="GQ48" i="2542"/>
  <c r="GR48" i="2542"/>
  <c r="GS48" i="2542"/>
  <c r="GT48" i="2542"/>
  <c r="GV48" i="2542"/>
  <c r="HF48" i="2542"/>
  <c r="HI48" i="2542"/>
  <c r="B49" i="2542"/>
  <c r="C49" i="2542"/>
  <c r="D49" i="2542"/>
  <c r="E49" i="2542"/>
  <c r="F49" i="2542"/>
  <c r="G49" i="2542"/>
  <c r="H49" i="2542"/>
  <c r="I49" i="2542"/>
  <c r="J49" i="2542"/>
  <c r="K49" i="2542"/>
  <c r="L49" i="2542"/>
  <c r="M49" i="2542"/>
  <c r="O49" i="2542"/>
  <c r="P49" i="2542"/>
  <c r="Q49" i="2542"/>
  <c r="R49" i="2542"/>
  <c r="S49" i="2542"/>
  <c r="T49" i="2542"/>
  <c r="U49" i="2542"/>
  <c r="V49" i="2542"/>
  <c r="W49" i="2542"/>
  <c r="X49" i="2542"/>
  <c r="Y49" i="2542"/>
  <c r="Z49" i="2542"/>
  <c r="AB49" i="2542"/>
  <c r="AC49" i="2542"/>
  <c r="AD49" i="2542"/>
  <c r="AE49" i="2542"/>
  <c r="AF49" i="2542"/>
  <c r="AG49" i="2542"/>
  <c r="AH49" i="2542"/>
  <c r="AI49" i="2542"/>
  <c r="AJ49" i="2542"/>
  <c r="AK49" i="2542"/>
  <c r="AL49" i="2542"/>
  <c r="AM49" i="2542"/>
  <c r="AO49" i="2542"/>
  <c r="AP49" i="2542"/>
  <c r="AQ49" i="2542"/>
  <c r="AR49" i="2542"/>
  <c r="AS49" i="2542"/>
  <c r="AT49" i="2542"/>
  <c r="AU49" i="2542"/>
  <c r="AV49" i="2542"/>
  <c r="AW49" i="2542"/>
  <c r="AX49" i="2542"/>
  <c r="AY49" i="2542"/>
  <c r="AZ49" i="2542"/>
  <c r="BB49" i="2542"/>
  <c r="BC49" i="2542"/>
  <c r="BD49" i="2542"/>
  <c r="BE49" i="2542"/>
  <c r="BF49" i="2542"/>
  <c r="BG49" i="2542"/>
  <c r="BH49" i="2542"/>
  <c r="BI49" i="2542"/>
  <c r="BJ49" i="2542"/>
  <c r="BK49" i="2542"/>
  <c r="BL49" i="2542"/>
  <c r="BM49" i="2542"/>
  <c r="BO49" i="2542"/>
  <c r="BP49" i="2542"/>
  <c r="BQ49" i="2542"/>
  <c r="BR49" i="2542"/>
  <c r="BS49" i="2542"/>
  <c r="BT49" i="2542"/>
  <c r="BU49" i="2542"/>
  <c r="BV49" i="2542"/>
  <c r="BW49" i="2542"/>
  <c r="BX49" i="2542"/>
  <c r="BY49" i="2542"/>
  <c r="BZ49" i="2542"/>
  <c r="CB49" i="2542"/>
  <c r="CC49" i="2542"/>
  <c r="CD49" i="2542"/>
  <c r="CE49" i="2542"/>
  <c r="CF49" i="2542"/>
  <c r="CG49" i="2542"/>
  <c r="CH49" i="2542"/>
  <c r="CI49" i="2542"/>
  <c r="CJ49" i="2542"/>
  <c r="CK49" i="2542"/>
  <c r="CL49" i="2542"/>
  <c r="CM49" i="2542"/>
  <c r="CO49" i="2542"/>
  <c r="CP49" i="2542"/>
  <c r="CQ49" i="2542"/>
  <c r="CR49" i="2542"/>
  <c r="CS49" i="2542"/>
  <c r="CT49" i="2542"/>
  <c r="CU49" i="2542"/>
  <c r="CV49" i="2542"/>
  <c r="CW49" i="2542"/>
  <c r="CX49" i="2542"/>
  <c r="CY49" i="2542"/>
  <c r="CZ49" i="2542"/>
  <c r="DB49" i="2542"/>
  <c r="DC49" i="2542"/>
  <c r="DD49" i="2542"/>
  <c r="DE49" i="2542"/>
  <c r="DF49" i="2542"/>
  <c r="DG49" i="2542"/>
  <c r="DH49" i="2542"/>
  <c r="DI49" i="2542"/>
  <c r="DJ49" i="2542"/>
  <c r="DK49" i="2542"/>
  <c r="DL49" i="2542"/>
  <c r="DM49" i="2542"/>
  <c r="DO49" i="2542"/>
  <c r="DP49" i="2542"/>
  <c r="DQ49" i="2542"/>
  <c r="DR49" i="2542"/>
  <c r="DS49" i="2542"/>
  <c r="DT49" i="2542"/>
  <c r="DU49" i="2542"/>
  <c r="DV49" i="2542"/>
  <c r="DW49" i="2542"/>
  <c r="DX49" i="2542"/>
  <c r="DY49" i="2542"/>
  <c r="DZ49" i="2542"/>
  <c r="EB49" i="2542"/>
  <c r="EC49" i="2542"/>
  <c r="ED49" i="2542"/>
  <c r="EE49" i="2542"/>
  <c r="EF49" i="2542"/>
  <c r="EG49" i="2542"/>
  <c r="EH49" i="2542"/>
  <c r="EI49" i="2542"/>
  <c r="EJ49" i="2542"/>
  <c r="EK49" i="2542"/>
  <c r="EL49" i="2542"/>
  <c r="EM49" i="2542"/>
  <c r="EO49" i="2542"/>
  <c r="EP49" i="2542"/>
  <c r="EQ49" i="2542"/>
  <c r="ER49" i="2542"/>
  <c r="ES49" i="2542"/>
  <c r="ET49" i="2542"/>
  <c r="EU49" i="2542"/>
  <c r="EV49" i="2542"/>
  <c r="EW49" i="2542"/>
  <c r="EX49" i="2542"/>
  <c r="EY49" i="2542"/>
  <c r="EZ49" i="2542"/>
  <c r="FB49" i="2542"/>
  <c r="FC49" i="2542"/>
  <c r="FD49" i="2542"/>
  <c r="FE49" i="2542"/>
  <c r="FF49" i="2542"/>
  <c r="FG49" i="2542"/>
  <c r="FH49" i="2542"/>
  <c r="FI49" i="2542"/>
  <c r="FJ49" i="2542"/>
  <c r="FK49" i="2542"/>
  <c r="FL49" i="2542"/>
  <c r="FM49" i="2542"/>
  <c r="FO49" i="2542"/>
  <c r="FP49" i="2542"/>
  <c r="FQ49" i="2542"/>
  <c r="FR49" i="2542"/>
  <c r="FS49" i="2542"/>
  <c r="FT49" i="2542"/>
  <c r="FU49" i="2542"/>
  <c r="FV49" i="2542"/>
  <c r="FW49" i="2542"/>
  <c r="FX49" i="2542"/>
  <c r="FY49" i="2542"/>
  <c r="FZ49" i="2542"/>
  <c r="GB49" i="2542"/>
  <c r="GC49" i="2542"/>
  <c r="GD49" i="2542"/>
  <c r="GE49" i="2542"/>
  <c r="GF49" i="2542"/>
  <c r="GG49" i="2542"/>
  <c r="GH49" i="2542"/>
  <c r="GI49" i="2542"/>
  <c r="GJ49" i="2542"/>
  <c r="GK49" i="2542"/>
  <c r="GL49" i="2542"/>
  <c r="GM49" i="2542"/>
  <c r="GO49" i="2542"/>
  <c r="GP49" i="2542"/>
  <c r="GQ49" i="2542"/>
  <c r="GR49" i="2542"/>
  <c r="GS49" i="2542"/>
  <c r="GT49" i="2542"/>
  <c r="GU49" i="2542"/>
  <c r="GV49" i="2542"/>
  <c r="GW49" i="2542"/>
  <c r="GX49" i="2542"/>
  <c r="GY49" i="2542"/>
  <c r="GZ49" i="2542"/>
  <c r="HB49" i="2542"/>
  <c r="HC49" i="2542"/>
  <c r="HD49" i="2542"/>
  <c r="HE49" i="2542"/>
  <c r="HF49" i="2542"/>
  <c r="HG49" i="2542"/>
  <c r="HH49" i="2542"/>
  <c r="HI49" i="2542"/>
  <c r="HJ49" i="2542"/>
  <c r="HK49" i="2542"/>
  <c r="HL49" i="2542"/>
  <c r="HM49" i="2542"/>
  <c r="B50" i="2542"/>
  <c r="C50" i="2542"/>
  <c r="D50" i="2542"/>
  <c r="E50" i="2542"/>
  <c r="F50" i="2542"/>
  <c r="G50" i="2542"/>
  <c r="H50" i="2542"/>
  <c r="I50" i="2542"/>
  <c r="J50" i="2542"/>
  <c r="K50" i="2542"/>
  <c r="L50" i="2542"/>
  <c r="M50" i="2542"/>
  <c r="O50" i="2542"/>
  <c r="P50" i="2542"/>
  <c r="Q50" i="2542"/>
  <c r="R50" i="2542"/>
  <c r="S50" i="2542"/>
  <c r="T50" i="2542"/>
  <c r="U50" i="2542"/>
  <c r="V50" i="2542"/>
  <c r="W50" i="2542"/>
  <c r="X50" i="2542"/>
  <c r="Y50" i="2542"/>
  <c r="Z50" i="2542"/>
  <c r="AB50" i="2542"/>
  <c r="AC50" i="2542"/>
  <c r="AD50" i="2542"/>
  <c r="AE50" i="2542"/>
  <c r="AF50" i="2542"/>
  <c r="AG50" i="2542"/>
  <c r="AH50" i="2542"/>
  <c r="AI50" i="2542"/>
  <c r="AJ50" i="2542"/>
  <c r="AK50" i="2542"/>
  <c r="AL50" i="2542"/>
  <c r="AM50" i="2542"/>
  <c r="AO50" i="2542"/>
  <c r="AP50" i="2542"/>
  <c r="AQ50" i="2542"/>
  <c r="AR50" i="2542"/>
  <c r="AS50" i="2542"/>
  <c r="AT50" i="2542"/>
  <c r="AU50" i="2542"/>
  <c r="AV50" i="2542"/>
  <c r="AW50" i="2542"/>
  <c r="AX50" i="2542"/>
  <c r="AY50" i="2542"/>
  <c r="AZ50" i="2542"/>
  <c r="BB50" i="2542"/>
  <c r="BC50" i="2542"/>
  <c r="BD50" i="2542"/>
  <c r="BE50" i="2542"/>
  <c r="BF50" i="2542"/>
  <c r="BG50" i="2542"/>
  <c r="BH50" i="2542"/>
  <c r="BI50" i="2542"/>
  <c r="BJ50" i="2542"/>
  <c r="BK50" i="2542"/>
  <c r="BL50" i="2542"/>
  <c r="BM50" i="2542"/>
  <c r="BO50" i="2542"/>
  <c r="BP50" i="2542"/>
  <c r="BQ50" i="2542"/>
  <c r="BR50" i="2542"/>
  <c r="BS50" i="2542"/>
  <c r="BT50" i="2542"/>
  <c r="BU50" i="2542"/>
  <c r="BV50" i="2542"/>
  <c r="BW50" i="2542"/>
  <c r="BX50" i="2542"/>
  <c r="BY50" i="2542"/>
  <c r="BZ50" i="2542"/>
  <c r="CB50" i="2542"/>
  <c r="CC50" i="2542"/>
  <c r="CD50" i="2542"/>
  <c r="CE50" i="2542"/>
  <c r="CF50" i="2542"/>
  <c r="CG50" i="2542"/>
  <c r="CH50" i="2542"/>
  <c r="CI50" i="2542"/>
  <c r="CJ50" i="2542"/>
  <c r="CK50" i="2542"/>
  <c r="CL50" i="2542"/>
  <c r="CM50" i="2542"/>
  <c r="CO50" i="2542"/>
  <c r="CP50" i="2542"/>
  <c r="CQ50" i="2542"/>
  <c r="CR50" i="2542"/>
  <c r="CS50" i="2542"/>
  <c r="CT50" i="2542"/>
  <c r="CU50" i="2542"/>
  <c r="CV50" i="2542"/>
  <c r="CW50" i="2542"/>
  <c r="CX50" i="2542"/>
  <c r="CY50" i="2542"/>
  <c r="CZ50" i="2542"/>
  <c r="DB50" i="2542"/>
  <c r="DC50" i="2542"/>
  <c r="DD50" i="2542"/>
  <c r="DE50" i="2542"/>
  <c r="DF50" i="2542"/>
  <c r="DG50" i="2542"/>
  <c r="DH50" i="2542"/>
  <c r="DI50" i="2542"/>
  <c r="DJ50" i="2542"/>
  <c r="DK50" i="2542"/>
  <c r="DL50" i="2542"/>
  <c r="DM50" i="2542"/>
  <c r="DO50" i="2542"/>
  <c r="DP50" i="2542"/>
  <c r="DQ50" i="2542"/>
  <c r="DR50" i="2542"/>
  <c r="DS50" i="2542"/>
  <c r="DT50" i="2542"/>
  <c r="DU50" i="2542"/>
  <c r="DV50" i="2542"/>
  <c r="DW50" i="2542"/>
  <c r="DX50" i="2542"/>
  <c r="DY50" i="2542"/>
  <c r="DZ50" i="2542"/>
  <c r="EB50" i="2542"/>
  <c r="EC50" i="2542"/>
  <c r="ED50" i="2542"/>
  <c r="EE50" i="2542"/>
  <c r="EF50" i="2542"/>
  <c r="EG50" i="2542"/>
  <c r="EH50" i="2542"/>
  <c r="EI50" i="2542"/>
  <c r="EJ50" i="2542"/>
  <c r="EK50" i="2542"/>
  <c r="EL50" i="2542"/>
  <c r="EM50" i="2542"/>
  <c r="EO50" i="2542"/>
  <c r="EP50" i="2542"/>
  <c r="EQ50" i="2542"/>
  <c r="ER50" i="2542"/>
  <c r="ES50" i="2542"/>
  <c r="ET50" i="2542"/>
  <c r="EU50" i="2542"/>
  <c r="EV50" i="2542"/>
  <c r="EW50" i="2542"/>
  <c r="EX50" i="2542"/>
  <c r="EY50" i="2542"/>
  <c r="EZ50" i="2542"/>
  <c r="FB50" i="2542"/>
  <c r="FC50" i="2542"/>
  <c r="FD50" i="2542"/>
  <c r="FE50" i="2542"/>
  <c r="FF50" i="2542"/>
  <c r="FG50" i="2542"/>
  <c r="FH50" i="2542"/>
  <c r="FI50" i="2542"/>
  <c r="FJ50" i="2542"/>
  <c r="FK50" i="2542"/>
  <c r="FL50" i="2542"/>
  <c r="FM50" i="2542"/>
  <c r="FO50" i="2542"/>
  <c r="FP50" i="2542"/>
  <c r="FQ50" i="2542"/>
  <c r="FR50" i="2542"/>
  <c r="FS50" i="2542"/>
  <c r="FT50" i="2542"/>
  <c r="FU50" i="2542"/>
  <c r="FV50" i="2542"/>
  <c r="FW50" i="2542"/>
  <c r="FX50" i="2542"/>
  <c r="FY50" i="2542"/>
  <c r="FZ50" i="2542"/>
  <c r="GB50" i="2542"/>
  <c r="GC50" i="2542"/>
  <c r="GD50" i="2542"/>
  <c r="GE50" i="2542"/>
  <c r="GF50" i="2542"/>
  <c r="GG50" i="2542"/>
  <c r="GH50" i="2542"/>
  <c r="GI50" i="2542"/>
  <c r="GJ50" i="2542"/>
  <c r="GK50" i="2542"/>
  <c r="GL50" i="2542"/>
  <c r="GM50" i="2542"/>
  <c r="GO50" i="2542"/>
  <c r="GP50" i="2542"/>
  <c r="GQ50" i="2542"/>
  <c r="GR50" i="2542"/>
  <c r="GS50" i="2542"/>
  <c r="GT50" i="2542"/>
  <c r="GU50" i="2542"/>
  <c r="GV50" i="2542"/>
  <c r="GW50" i="2542"/>
  <c r="GX50" i="2542"/>
  <c r="GY50" i="2542"/>
  <c r="GZ50" i="2542"/>
  <c r="HB50" i="2542"/>
  <c r="HC50" i="2542"/>
  <c r="HD50" i="2542"/>
  <c r="HE50" i="2542"/>
  <c r="HF50" i="2542"/>
  <c r="HG50" i="2542"/>
  <c r="HH50" i="2542"/>
  <c r="HI50" i="2542"/>
  <c r="HJ50" i="2542"/>
  <c r="HK50" i="2542"/>
  <c r="HL50" i="2542"/>
  <c r="HM50" i="2542"/>
  <c r="B51" i="2542"/>
  <c r="C51" i="2542"/>
  <c r="D51" i="2542"/>
  <c r="E51" i="2542"/>
  <c r="F51" i="2542"/>
  <c r="G51" i="2542"/>
  <c r="H51" i="2542"/>
  <c r="I51" i="2542"/>
  <c r="J51" i="2542"/>
  <c r="K51" i="2542"/>
  <c r="L51" i="2542"/>
  <c r="M51" i="2542"/>
  <c r="O51" i="2542"/>
  <c r="P51" i="2542"/>
  <c r="Q51" i="2542"/>
  <c r="R51" i="2542"/>
  <c r="S51" i="2542"/>
  <c r="T51" i="2542"/>
  <c r="U51" i="2542"/>
  <c r="V51" i="2542"/>
  <c r="W51" i="2542"/>
  <c r="X51" i="2542"/>
  <c r="Y51" i="2542"/>
  <c r="Z51" i="2542"/>
  <c r="AB51" i="2542"/>
  <c r="AC51" i="2542"/>
  <c r="AD51" i="2542"/>
  <c r="AE51" i="2542"/>
  <c r="AF51" i="2542"/>
  <c r="AG51" i="2542"/>
  <c r="AH51" i="2542"/>
  <c r="AI51" i="2542"/>
  <c r="AJ51" i="2542"/>
  <c r="AK51" i="2542"/>
  <c r="AL51" i="2542"/>
  <c r="AM51" i="2542"/>
  <c r="AO51" i="2542"/>
  <c r="AP51" i="2542"/>
  <c r="AQ51" i="2542"/>
  <c r="AR51" i="2542"/>
  <c r="AS51" i="2542"/>
  <c r="AT51" i="2542"/>
  <c r="AU51" i="2542"/>
  <c r="AV51" i="2542"/>
  <c r="AW51" i="2542"/>
  <c r="AX51" i="2542"/>
  <c r="AY51" i="2542"/>
  <c r="AZ51" i="2542"/>
  <c r="BB51" i="2542"/>
  <c r="BC51" i="2542"/>
  <c r="BD51" i="2542"/>
  <c r="BE51" i="2542"/>
  <c r="BF51" i="2542"/>
  <c r="BG51" i="2542"/>
  <c r="BH51" i="2542"/>
  <c r="BI51" i="2542"/>
  <c r="BJ51" i="2542"/>
  <c r="BK51" i="2542"/>
  <c r="BL51" i="2542"/>
  <c r="BM51" i="2542"/>
  <c r="BO51" i="2542"/>
  <c r="BP51" i="2542"/>
  <c r="BQ51" i="2542"/>
  <c r="BR51" i="2542"/>
  <c r="BS51" i="2542"/>
  <c r="BT51" i="2542"/>
  <c r="BU51" i="2542"/>
  <c r="BV51" i="2542"/>
  <c r="BW51" i="2542"/>
  <c r="BX51" i="2542"/>
  <c r="BY51" i="2542"/>
  <c r="BZ51" i="2542"/>
  <c r="CB51" i="2542"/>
  <c r="CC51" i="2542"/>
  <c r="CD51" i="2542"/>
  <c r="CE51" i="2542"/>
  <c r="CF51" i="2542"/>
  <c r="CG51" i="2542"/>
  <c r="CH51" i="2542"/>
  <c r="CI51" i="2542"/>
  <c r="CJ51" i="2542"/>
  <c r="CK51" i="2542"/>
  <c r="CL51" i="2542"/>
  <c r="CM51" i="2542"/>
  <c r="CO51" i="2542"/>
  <c r="CP51" i="2542"/>
  <c r="CQ51" i="2542"/>
  <c r="CR51" i="2542"/>
  <c r="CS51" i="2542"/>
  <c r="CT51" i="2542"/>
  <c r="CU51" i="2542"/>
  <c r="CV51" i="2542"/>
  <c r="CW51" i="2542"/>
  <c r="CX51" i="2542"/>
  <c r="CY51" i="2542"/>
  <c r="CZ51" i="2542"/>
  <c r="DB51" i="2542"/>
  <c r="DC51" i="2542"/>
  <c r="DD51" i="2542"/>
  <c r="DE51" i="2542"/>
  <c r="DF51" i="2542"/>
  <c r="DG51" i="2542"/>
  <c r="DH51" i="2542"/>
  <c r="DI51" i="2542"/>
  <c r="DJ51" i="2542"/>
  <c r="DK51" i="2542"/>
  <c r="DL51" i="2542"/>
  <c r="DM51" i="2542"/>
  <c r="DO51" i="2542"/>
  <c r="DP51" i="2542"/>
  <c r="DQ51" i="2542"/>
  <c r="DR51" i="2542"/>
  <c r="DS51" i="2542"/>
  <c r="DT51" i="2542"/>
  <c r="DU51" i="2542"/>
  <c r="DV51" i="2542"/>
  <c r="DW51" i="2542"/>
  <c r="DX51" i="2542"/>
  <c r="DY51" i="2542"/>
  <c r="DZ51" i="2542"/>
  <c r="EB51" i="2542"/>
  <c r="EC51" i="2542"/>
  <c r="ED51" i="2542"/>
  <c r="EE51" i="2542"/>
  <c r="EF51" i="2542"/>
  <c r="EG51" i="2542"/>
  <c r="EH51" i="2542"/>
  <c r="EI51" i="2542"/>
  <c r="EJ51" i="2542"/>
  <c r="EK51" i="2542"/>
  <c r="EL51" i="2542"/>
  <c r="EM51" i="2542"/>
  <c r="EO51" i="2542"/>
  <c r="EP51" i="2542"/>
  <c r="EQ51" i="2542"/>
  <c r="ER51" i="2542"/>
  <c r="ES51" i="2542"/>
  <c r="ET51" i="2542"/>
  <c r="EU51" i="2542"/>
  <c r="EV51" i="2542"/>
  <c r="EW51" i="2542"/>
  <c r="EX51" i="2542"/>
  <c r="EY51" i="2542"/>
  <c r="EZ51" i="2542"/>
  <c r="FB51" i="2542"/>
  <c r="FC51" i="2542"/>
  <c r="FN51" i="2542" s="1"/>
  <c r="FD51" i="2542"/>
  <c r="FE51" i="2542"/>
  <c r="FF51" i="2542"/>
  <c r="FG51" i="2542"/>
  <c r="FH51" i="2542"/>
  <c r="FI51" i="2542"/>
  <c r="FJ51" i="2542"/>
  <c r="FK51" i="2542"/>
  <c r="FL51" i="2542"/>
  <c r="FM51" i="2542"/>
  <c r="FO51" i="2542"/>
  <c r="FP51" i="2542"/>
  <c r="FQ51" i="2542"/>
  <c r="FR51" i="2542"/>
  <c r="FS51" i="2542"/>
  <c r="FT51" i="2542"/>
  <c r="FU51" i="2542"/>
  <c r="FV51" i="2542"/>
  <c r="FW51" i="2542"/>
  <c r="FX51" i="2542"/>
  <c r="FY51" i="2542"/>
  <c r="FZ51" i="2542"/>
  <c r="GB51" i="2542"/>
  <c r="GC51" i="2542"/>
  <c r="GD51" i="2542"/>
  <c r="GE51" i="2542"/>
  <c r="GF51" i="2542"/>
  <c r="GG51" i="2542"/>
  <c r="GH51" i="2542"/>
  <c r="GI51" i="2542"/>
  <c r="GJ51" i="2542"/>
  <c r="GK51" i="2542"/>
  <c r="GL51" i="2542"/>
  <c r="GM51" i="2542"/>
  <c r="GO51" i="2542"/>
  <c r="GP51" i="2542"/>
  <c r="GQ51" i="2542"/>
  <c r="GR51" i="2542"/>
  <c r="GS51" i="2542"/>
  <c r="GT51" i="2542"/>
  <c r="GU51" i="2542"/>
  <c r="GV51" i="2542"/>
  <c r="GW51" i="2542"/>
  <c r="GX51" i="2542"/>
  <c r="GY51" i="2542"/>
  <c r="GZ51" i="2542"/>
  <c r="HB51" i="2542"/>
  <c r="HC51" i="2542"/>
  <c r="HD51" i="2542"/>
  <c r="HE51" i="2542"/>
  <c r="HF51" i="2542"/>
  <c r="HG51" i="2542"/>
  <c r="HH51" i="2542"/>
  <c r="HI51" i="2542"/>
  <c r="HJ51" i="2542"/>
  <c r="HK51" i="2542"/>
  <c r="HL51" i="2542"/>
  <c r="HM51" i="2542"/>
  <c r="B52" i="2542"/>
  <c r="C52" i="2542"/>
  <c r="D52" i="2542"/>
  <c r="E52" i="2542"/>
  <c r="F52" i="2542"/>
  <c r="G52" i="2542"/>
  <c r="H52" i="2542"/>
  <c r="I52" i="2542"/>
  <c r="J52" i="2542"/>
  <c r="K52" i="2542"/>
  <c r="L52" i="2542"/>
  <c r="M52" i="2542"/>
  <c r="O52" i="2542"/>
  <c r="P52" i="2542"/>
  <c r="Q52" i="2542"/>
  <c r="R52" i="2542"/>
  <c r="S52" i="2542"/>
  <c r="T52" i="2542"/>
  <c r="U52" i="2542"/>
  <c r="V52" i="2542"/>
  <c r="W52" i="2542"/>
  <c r="X52" i="2542"/>
  <c r="Y52" i="2542"/>
  <c r="Z52" i="2542"/>
  <c r="AB52" i="2542"/>
  <c r="AC52" i="2542"/>
  <c r="AD52" i="2542"/>
  <c r="AE52" i="2542"/>
  <c r="AF52" i="2542"/>
  <c r="AG52" i="2542"/>
  <c r="AH52" i="2542"/>
  <c r="AI52" i="2542"/>
  <c r="AJ52" i="2542"/>
  <c r="AK52" i="2542"/>
  <c r="AL52" i="2542"/>
  <c r="AM52" i="2542"/>
  <c r="AO52" i="2542"/>
  <c r="AP52" i="2542"/>
  <c r="AQ52" i="2542"/>
  <c r="AR52" i="2542"/>
  <c r="AS52" i="2542"/>
  <c r="AT52" i="2542"/>
  <c r="AU52" i="2542"/>
  <c r="AV52" i="2542"/>
  <c r="AW52" i="2542"/>
  <c r="AX52" i="2542"/>
  <c r="AY52" i="2542"/>
  <c r="AZ52" i="2542"/>
  <c r="BB52" i="2542"/>
  <c r="BC52" i="2542"/>
  <c r="BD52" i="2542"/>
  <c r="BE52" i="2542"/>
  <c r="BF52" i="2542"/>
  <c r="BG52" i="2542"/>
  <c r="BH52" i="2542"/>
  <c r="BI52" i="2542"/>
  <c r="BJ52" i="2542"/>
  <c r="BK52" i="2542"/>
  <c r="BL52" i="2542"/>
  <c r="BM52" i="2542"/>
  <c r="BO52" i="2542"/>
  <c r="BP52" i="2542"/>
  <c r="BQ52" i="2542"/>
  <c r="BR52" i="2542"/>
  <c r="BS52" i="2542"/>
  <c r="BT52" i="2542"/>
  <c r="BU52" i="2542"/>
  <c r="BV52" i="2542"/>
  <c r="BW52" i="2542"/>
  <c r="BX52" i="2542"/>
  <c r="BY52" i="2542"/>
  <c r="BZ52" i="2542"/>
  <c r="CB52" i="2542"/>
  <c r="CC52" i="2542"/>
  <c r="CD52" i="2542"/>
  <c r="CE52" i="2542"/>
  <c r="CF52" i="2542"/>
  <c r="CG52" i="2542"/>
  <c r="CH52" i="2542"/>
  <c r="CI52" i="2542"/>
  <c r="CJ52" i="2542"/>
  <c r="CK52" i="2542"/>
  <c r="CL52" i="2542"/>
  <c r="CM52" i="2542"/>
  <c r="CO52" i="2542"/>
  <c r="CP52" i="2542"/>
  <c r="CQ52" i="2542"/>
  <c r="CR52" i="2542"/>
  <c r="CS52" i="2542"/>
  <c r="CT52" i="2542"/>
  <c r="CU52" i="2542"/>
  <c r="CV52" i="2542"/>
  <c r="CW52" i="2542"/>
  <c r="CX52" i="2542"/>
  <c r="CY52" i="2542"/>
  <c r="CZ52" i="2542"/>
  <c r="DB52" i="2542"/>
  <c r="DC52" i="2542"/>
  <c r="DD52" i="2542"/>
  <c r="DE52" i="2542"/>
  <c r="DF52" i="2542"/>
  <c r="DG52" i="2542"/>
  <c r="DH52" i="2542"/>
  <c r="DI52" i="2542"/>
  <c r="DJ52" i="2542"/>
  <c r="DK52" i="2542"/>
  <c r="DL52" i="2542"/>
  <c r="DM52" i="2542"/>
  <c r="DO52" i="2542"/>
  <c r="DP52" i="2542"/>
  <c r="DQ52" i="2542"/>
  <c r="DR52" i="2542"/>
  <c r="DS52" i="2542"/>
  <c r="DT52" i="2542"/>
  <c r="DU52" i="2542"/>
  <c r="DV52" i="2542"/>
  <c r="DW52" i="2542"/>
  <c r="DX52" i="2542"/>
  <c r="DY52" i="2542"/>
  <c r="DZ52" i="2542"/>
  <c r="EB52" i="2542"/>
  <c r="EC52" i="2542"/>
  <c r="ED52" i="2542"/>
  <c r="EE52" i="2542"/>
  <c r="EF52" i="2542"/>
  <c r="EG52" i="2542"/>
  <c r="EH52" i="2542"/>
  <c r="EI52" i="2542"/>
  <c r="EJ52" i="2542"/>
  <c r="EK52" i="2542"/>
  <c r="EL52" i="2542"/>
  <c r="EM52" i="2542"/>
  <c r="EO52" i="2542"/>
  <c r="EP52" i="2542"/>
  <c r="EQ52" i="2542"/>
  <c r="ER52" i="2542"/>
  <c r="ES52" i="2542"/>
  <c r="ET52" i="2542"/>
  <c r="EU52" i="2542"/>
  <c r="EV52" i="2542"/>
  <c r="EW52" i="2542"/>
  <c r="EX52" i="2542"/>
  <c r="EY52" i="2542"/>
  <c r="EZ52" i="2542"/>
  <c r="FB52" i="2542"/>
  <c r="FC52" i="2542"/>
  <c r="FD52" i="2542"/>
  <c r="FE52" i="2542"/>
  <c r="FF52" i="2542"/>
  <c r="FG52" i="2542"/>
  <c r="FH52" i="2542"/>
  <c r="FI52" i="2542"/>
  <c r="FJ52" i="2542"/>
  <c r="FK52" i="2542"/>
  <c r="FL52" i="2542"/>
  <c r="FM52" i="2542"/>
  <c r="FO52" i="2542"/>
  <c r="FP52" i="2542"/>
  <c r="FQ52" i="2542"/>
  <c r="FR52" i="2542"/>
  <c r="FS52" i="2542"/>
  <c r="FT52" i="2542"/>
  <c r="FU52" i="2542"/>
  <c r="FV52" i="2542"/>
  <c r="FW52" i="2542"/>
  <c r="FX52" i="2542"/>
  <c r="FY52" i="2542"/>
  <c r="FZ52" i="2542"/>
  <c r="GB52" i="2542"/>
  <c r="GC52" i="2542"/>
  <c r="GD52" i="2542"/>
  <c r="GE52" i="2542"/>
  <c r="GF52" i="2542"/>
  <c r="GG52" i="2542"/>
  <c r="GH52" i="2542"/>
  <c r="GI52" i="2542"/>
  <c r="GJ52" i="2542"/>
  <c r="GK52" i="2542"/>
  <c r="GL52" i="2542"/>
  <c r="GM52" i="2542"/>
  <c r="GO52" i="2542"/>
  <c r="GP52" i="2542"/>
  <c r="GQ52" i="2542"/>
  <c r="GR52" i="2542"/>
  <c r="GS52" i="2542"/>
  <c r="GT52" i="2542"/>
  <c r="GU52" i="2542"/>
  <c r="GV52" i="2542"/>
  <c r="GW52" i="2542"/>
  <c r="GX52" i="2542"/>
  <c r="GY52" i="2542"/>
  <c r="GZ52" i="2542"/>
  <c r="HB52" i="2542"/>
  <c r="HC52" i="2542"/>
  <c r="HD52" i="2542"/>
  <c r="HE52" i="2542"/>
  <c r="HF52" i="2542"/>
  <c r="HG52" i="2542"/>
  <c r="HH52" i="2542"/>
  <c r="HI52" i="2542"/>
  <c r="HJ52" i="2542"/>
  <c r="HK52" i="2542"/>
  <c r="HL52" i="2542"/>
  <c r="HM52" i="2542"/>
  <c r="B53" i="2542"/>
  <c r="C53" i="2542"/>
  <c r="H53" i="2542"/>
  <c r="L53" i="2542"/>
  <c r="O53" i="2542"/>
  <c r="P53" i="2542"/>
  <c r="Q53" i="2542"/>
  <c r="R53" i="2542"/>
  <c r="S53" i="2542"/>
  <c r="AB53" i="2542"/>
  <c r="AC53" i="2542"/>
  <c r="AL53" i="2542"/>
  <c r="AM53" i="2542"/>
  <c r="AO53" i="2542"/>
  <c r="AP53" i="2542"/>
  <c r="BB53" i="2542"/>
  <c r="BC53" i="2542"/>
  <c r="BK53" i="2542"/>
  <c r="BL53" i="2542"/>
  <c r="BM53" i="2542"/>
  <c r="BO53" i="2542"/>
  <c r="BW53" i="2542"/>
  <c r="BX53" i="2542"/>
  <c r="BY53" i="2542"/>
  <c r="CB53" i="2542"/>
  <c r="CC53" i="2542"/>
  <c r="CD53" i="2542"/>
  <c r="CE53" i="2542"/>
  <c r="CJ53" i="2542"/>
  <c r="CO53" i="2542"/>
  <c r="CP53" i="2542"/>
  <c r="CV53" i="2542"/>
  <c r="CW53" i="2542"/>
  <c r="CX53" i="2542"/>
  <c r="CY53" i="2542"/>
  <c r="CZ53" i="2542"/>
  <c r="DB53" i="2542"/>
  <c r="DI53" i="2542"/>
  <c r="DJ53" i="2542"/>
  <c r="DK53" i="2542"/>
  <c r="DL53" i="2542"/>
  <c r="DO53" i="2542"/>
  <c r="DP53" i="2542"/>
  <c r="DQ53" i="2542"/>
  <c r="DU53" i="2542"/>
  <c r="DV53" i="2542"/>
  <c r="DW53" i="2542"/>
  <c r="EB53" i="2542"/>
  <c r="EG53" i="2542"/>
  <c r="EH53" i="2542"/>
  <c r="EI53" i="2542"/>
  <c r="EJ53" i="2542"/>
  <c r="EO53" i="2542"/>
  <c r="EQ53" i="2542"/>
  <c r="ET53" i="2542"/>
  <c r="EU53" i="2542"/>
  <c r="EV53" i="2542"/>
  <c r="EW53" i="2542"/>
  <c r="EX53" i="2542"/>
  <c r="EZ53" i="2542"/>
  <c r="FC53" i="2542"/>
  <c r="FH53" i="2542"/>
  <c r="FI53" i="2542"/>
  <c r="FJ53" i="2542"/>
  <c r="FK53" i="2542"/>
  <c r="FQ53" i="2542"/>
  <c r="FV53" i="2542"/>
  <c r="FW53" i="2542"/>
  <c r="FX53" i="2542"/>
  <c r="GC53" i="2542"/>
  <c r="GD53" i="2542"/>
  <c r="GI53" i="2542"/>
  <c r="GJ53" i="2542"/>
  <c r="GK53" i="2542"/>
  <c r="GL53" i="2542"/>
  <c r="GO53" i="2542"/>
  <c r="GU53" i="2542"/>
  <c r="GV53" i="2542"/>
  <c r="GW53" i="2542"/>
  <c r="GX53" i="2542"/>
  <c r="GY53" i="2542"/>
  <c r="HB53" i="2542"/>
  <c r="HH53" i="2542"/>
  <c r="HI53" i="2542"/>
  <c r="HJ53" i="2542"/>
  <c r="HK53" i="2542"/>
  <c r="HM53" i="2542"/>
  <c r="B54" i="2542"/>
  <c r="C54" i="2542"/>
  <c r="D54" i="2542"/>
  <c r="E54" i="2542"/>
  <c r="F54" i="2542"/>
  <c r="G54" i="2542"/>
  <c r="H54" i="2542"/>
  <c r="I54" i="2542"/>
  <c r="J54" i="2542"/>
  <c r="K54" i="2542"/>
  <c r="L54" i="2542"/>
  <c r="M54" i="2542"/>
  <c r="O54" i="2542"/>
  <c r="P54" i="2542"/>
  <c r="Q54" i="2542"/>
  <c r="R54" i="2542"/>
  <c r="S54" i="2542"/>
  <c r="T54" i="2542"/>
  <c r="U54" i="2542"/>
  <c r="V54" i="2542"/>
  <c r="W54" i="2542"/>
  <c r="X54" i="2542"/>
  <c r="Y54" i="2542"/>
  <c r="Z54" i="2542"/>
  <c r="AB54" i="2542"/>
  <c r="AC54" i="2542"/>
  <c r="AD54" i="2542"/>
  <c r="AE54" i="2542"/>
  <c r="AF54" i="2542"/>
  <c r="AG54" i="2542"/>
  <c r="AH54" i="2542"/>
  <c r="AI54" i="2542"/>
  <c r="AJ54" i="2542"/>
  <c r="AK54" i="2542"/>
  <c r="AL54" i="2542"/>
  <c r="AM54" i="2542"/>
  <c r="AO54" i="2542"/>
  <c r="AP54" i="2542"/>
  <c r="AQ54" i="2542"/>
  <c r="AR54" i="2542"/>
  <c r="AS54" i="2542"/>
  <c r="AT54" i="2542"/>
  <c r="AU54" i="2542"/>
  <c r="AV54" i="2542"/>
  <c r="AW54" i="2542"/>
  <c r="AX54" i="2542"/>
  <c r="AY54" i="2542"/>
  <c r="AZ54" i="2542"/>
  <c r="BB54" i="2542"/>
  <c r="BC54" i="2542"/>
  <c r="BD54" i="2542"/>
  <c r="BE54" i="2542"/>
  <c r="BF54" i="2542"/>
  <c r="BG54" i="2542"/>
  <c r="BH54" i="2542"/>
  <c r="BI54" i="2542"/>
  <c r="BJ54" i="2542"/>
  <c r="BK54" i="2542"/>
  <c r="BL54" i="2542"/>
  <c r="BM54" i="2542"/>
  <c r="BO54" i="2542"/>
  <c r="BP54" i="2542"/>
  <c r="BQ54" i="2542"/>
  <c r="BR54" i="2542"/>
  <c r="BS54" i="2542"/>
  <c r="BT54" i="2542"/>
  <c r="BU54" i="2542"/>
  <c r="BV54" i="2542"/>
  <c r="BW54" i="2542"/>
  <c r="BX54" i="2542"/>
  <c r="BY54" i="2542"/>
  <c r="BZ54" i="2542"/>
  <c r="CB54" i="2542"/>
  <c r="CC54" i="2542"/>
  <c r="CD54" i="2542"/>
  <c r="CE54" i="2542"/>
  <c r="CF54" i="2542"/>
  <c r="CG54" i="2542"/>
  <c r="CH54" i="2542"/>
  <c r="CI54" i="2542"/>
  <c r="CJ54" i="2542"/>
  <c r="CK54" i="2542"/>
  <c r="CL54" i="2542"/>
  <c r="CM54" i="2542"/>
  <c r="CO54" i="2542"/>
  <c r="CP54" i="2542"/>
  <c r="CQ54" i="2542"/>
  <c r="CR54" i="2542"/>
  <c r="CS54" i="2542"/>
  <c r="CT54" i="2542"/>
  <c r="CU54" i="2542"/>
  <c r="CV54" i="2542"/>
  <c r="CW54" i="2542"/>
  <c r="CX54" i="2542"/>
  <c r="CY54" i="2542"/>
  <c r="CZ54" i="2542"/>
  <c r="DB54" i="2542"/>
  <c r="DC54" i="2542"/>
  <c r="DD54" i="2542"/>
  <c r="DE54" i="2542"/>
  <c r="DF54" i="2542"/>
  <c r="DG54" i="2542"/>
  <c r="DH54" i="2542"/>
  <c r="DI54" i="2542"/>
  <c r="DJ54" i="2542"/>
  <c r="DK54" i="2542"/>
  <c r="DL54" i="2542"/>
  <c r="DM54" i="2542"/>
  <c r="DO54" i="2542"/>
  <c r="DP54" i="2542"/>
  <c r="DQ54" i="2542"/>
  <c r="DR54" i="2542"/>
  <c r="DS54" i="2542"/>
  <c r="DT54" i="2542"/>
  <c r="DU54" i="2542"/>
  <c r="DV54" i="2542"/>
  <c r="DW54" i="2542"/>
  <c r="DX54" i="2542"/>
  <c r="DY54" i="2542"/>
  <c r="DZ54" i="2542"/>
  <c r="EB54" i="2542"/>
  <c r="EC54" i="2542"/>
  <c r="ED54" i="2542"/>
  <c r="EE54" i="2542"/>
  <c r="EF54" i="2542"/>
  <c r="EG54" i="2542"/>
  <c r="EH54" i="2542"/>
  <c r="EI54" i="2542"/>
  <c r="EJ54" i="2542"/>
  <c r="EK54" i="2542"/>
  <c r="EL54" i="2542"/>
  <c r="EM54" i="2542"/>
  <c r="EO54" i="2542"/>
  <c r="EP54" i="2542"/>
  <c r="EQ54" i="2542"/>
  <c r="ER54" i="2542"/>
  <c r="ES54" i="2542"/>
  <c r="ET54" i="2542"/>
  <c r="EU54" i="2542"/>
  <c r="EV54" i="2542"/>
  <c r="EW54" i="2542"/>
  <c r="EX54" i="2542"/>
  <c r="EY54" i="2542"/>
  <c r="EZ54" i="2542"/>
  <c r="FB54" i="2542"/>
  <c r="FC54" i="2542"/>
  <c r="FD54" i="2542"/>
  <c r="FE54" i="2542"/>
  <c r="FF54" i="2542"/>
  <c r="FG54" i="2542"/>
  <c r="FH54" i="2542"/>
  <c r="FI54" i="2542"/>
  <c r="FJ54" i="2542"/>
  <c r="FK54" i="2542"/>
  <c r="FL54" i="2542"/>
  <c r="FM54" i="2542"/>
  <c r="FO54" i="2542"/>
  <c r="FP54" i="2542"/>
  <c r="FQ54" i="2542"/>
  <c r="FR54" i="2542"/>
  <c r="FS54" i="2542"/>
  <c r="FT54" i="2542"/>
  <c r="FU54" i="2542"/>
  <c r="FV54" i="2542"/>
  <c r="FW54" i="2542"/>
  <c r="FX54" i="2542"/>
  <c r="FY54" i="2542"/>
  <c r="FZ54" i="2542"/>
  <c r="GB54" i="2542"/>
  <c r="GC54" i="2542"/>
  <c r="GD54" i="2542"/>
  <c r="GE54" i="2542"/>
  <c r="GF54" i="2542"/>
  <c r="GG54" i="2542"/>
  <c r="GH54" i="2542"/>
  <c r="GI54" i="2542"/>
  <c r="GJ54" i="2542"/>
  <c r="GK54" i="2542"/>
  <c r="GL54" i="2542"/>
  <c r="GM54" i="2542"/>
  <c r="GO54" i="2542"/>
  <c r="GP54" i="2542"/>
  <c r="GQ54" i="2542"/>
  <c r="GR54" i="2542"/>
  <c r="GS54" i="2542"/>
  <c r="GT54" i="2542"/>
  <c r="GU54" i="2542"/>
  <c r="GV54" i="2542"/>
  <c r="GW54" i="2542"/>
  <c r="GX54" i="2542"/>
  <c r="GY54" i="2542"/>
  <c r="GZ54" i="2542"/>
  <c r="HB54" i="2542"/>
  <c r="HC54" i="2542"/>
  <c r="HD54" i="2542"/>
  <c r="HE54" i="2542"/>
  <c r="HF54" i="2542"/>
  <c r="HG54" i="2542"/>
  <c r="HH54" i="2542"/>
  <c r="HI54" i="2542"/>
  <c r="HJ54" i="2542"/>
  <c r="HK54" i="2542"/>
  <c r="HL54" i="2542"/>
  <c r="HM54" i="2542"/>
  <c r="B55" i="2542"/>
  <c r="C55" i="2542"/>
  <c r="D55" i="2542"/>
  <c r="E55" i="2542"/>
  <c r="F55" i="2542"/>
  <c r="G55" i="2542"/>
  <c r="H55" i="2542"/>
  <c r="I55" i="2542"/>
  <c r="J55" i="2542"/>
  <c r="K55" i="2542"/>
  <c r="L55" i="2542"/>
  <c r="M55" i="2542"/>
  <c r="O55" i="2542"/>
  <c r="P55" i="2542"/>
  <c r="Q55" i="2542"/>
  <c r="R55" i="2542"/>
  <c r="S55" i="2542"/>
  <c r="T55" i="2542"/>
  <c r="U55" i="2542"/>
  <c r="V55" i="2542"/>
  <c r="W55" i="2542"/>
  <c r="X55" i="2542"/>
  <c r="Y55" i="2542"/>
  <c r="Z55" i="2542"/>
  <c r="AB55" i="2542"/>
  <c r="AC55" i="2542"/>
  <c r="AD55" i="2542"/>
  <c r="AE55" i="2542"/>
  <c r="AF55" i="2542"/>
  <c r="AG55" i="2542"/>
  <c r="AH55" i="2542"/>
  <c r="AI55" i="2542"/>
  <c r="AJ55" i="2542"/>
  <c r="AK55" i="2542"/>
  <c r="AL55" i="2542"/>
  <c r="AM55" i="2542"/>
  <c r="AO55" i="2542"/>
  <c r="AP55" i="2542"/>
  <c r="AQ55" i="2542"/>
  <c r="AR55" i="2542"/>
  <c r="AS55" i="2542"/>
  <c r="AT55" i="2542"/>
  <c r="AU55" i="2542"/>
  <c r="AV55" i="2542"/>
  <c r="AW55" i="2542"/>
  <c r="AX55" i="2542"/>
  <c r="AY55" i="2542"/>
  <c r="AZ55" i="2542"/>
  <c r="BB55" i="2542"/>
  <c r="BC55" i="2542"/>
  <c r="BD55" i="2542"/>
  <c r="BE55" i="2542"/>
  <c r="BF55" i="2542"/>
  <c r="BG55" i="2542"/>
  <c r="BH55" i="2542"/>
  <c r="BI55" i="2542"/>
  <c r="BJ55" i="2542"/>
  <c r="BK55" i="2542"/>
  <c r="BL55" i="2542"/>
  <c r="BM55" i="2542"/>
  <c r="BO55" i="2542"/>
  <c r="BP55" i="2542"/>
  <c r="BQ55" i="2542"/>
  <c r="BR55" i="2542"/>
  <c r="BS55" i="2542"/>
  <c r="BT55" i="2542"/>
  <c r="BU55" i="2542"/>
  <c r="BV55" i="2542"/>
  <c r="BW55" i="2542"/>
  <c r="BX55" i="2542"/>
  <c r="BY55" i="2542"/>
  <c r="BZ55" i="2542"/>
  <c r="CB55" i="2542"/>
  <c r="CC55" i="2542"/>
  <c r="CD55" i="2542"/>
  <c r="CE55" i="2542"/>
  <c r="CF55" i="2542"/>
  <c r="CG55" i="2542"/>
  <c r="CH55" i="2542"/>
  <c r="CI55" i="2542"/>
  <c r="CJ55" i="2542"/>
  <c r="CK55" i="2542"/>
  <c r="CL55" i="2542"/>
  <c r="CM55" i="2542"/>
  <c r="CO55" i="2542"/>
  <c r="CP55" i="2542"/>
  <c r="CQ55" i="2542"/>
  <c r="CR55" i="2542"/>
  <c r="CS55" i="2542"/>
  <c r="CT55" i="2542"/>
  <c r="CU55" i="2542"/>
  <c r="CV55" i="2542"/>
  <c r="CW55" i="2542"/>
  <c r="CX55" i="2542"/>
  <c r="CY55" i="2542"/>
  <c r="CZ55" i="2542"/>
  <c r="DB55" i="2542"/>
  <c r="DC55" i="2542"/>
  <c r="DD55" i="2542"/>
  <c r="DE55" i="2542"/>
  <c r="DF55" i="2542"/>
  <c r="DG55" i="2542"/>
  <c r="DH55" i="2542"/>
  <c r="DI55" i="2542"/>
  <c r="DJ55" i="2542"/>
  <c r="DK55" i="2542"/>
  <c r="DL55" i="2542"/>
  <c r="DM55" i="2542"/>
  <c r="DO55" i="2542"/>
  <c r="DP55" i="2542"/>
  <c r="DQ55" i="2542"/>
  <c r="DR55" i="2542"/>
  <c r="DS55" i="2542"/>
  <c r="DT55" i="2542"/>
  <c r="DU55" i="2542"/>
  <c r="DV55" i="2542"/>
  <c r="DW55" i="2542"/>
  <c r="DX55" i="2542"/>
  <c r="DY55" i="2542"/>
  <c r="DZ55" i="2542"/>
  <c r="EB55" i="2542"/>
  <c r="EC55" i="2542"/>
  <c r="ED55" i="2542"/>
  <c r="EE55" i="2542"/>
  <c r="EF55" i="2542"/>
  <c r="EG55" i="2542"/>
  <c r="EH55" i="2542"/>
  <c r="EI55" i="2542"/>
  <c r="EJ55" i="2542"/>
  <c r="EK55" i="2542"/>
  <c r="EL55" i="2542"/>
  <c r="EM55" i="2542"/>
  <c r="EO55" i="2542"/>
  <c r="EP55" i="2542"/>
  <c r="EQ55" i="2542"/>
  <c r="ER55" i="2542"/>
  <c r="ES55" i="2542"/>
  <c r="ET55" i="2542"/>
  <c r="EU55" i="2542"/>
  <c r="EV55" i="2542"/>
  <c r="EW55" i="2542"/>
  <c r="EX55" i="2542"/>
  <c r="EY55" i="2542"/>
  <c r="EZ55" i="2542"/>
  <c r="FB55" i="2542"/>
  <c r="FC55" i="2542"/>
  <c r="FD55" i="2542"/>
  <c r="FE55" i="2542"/>
  <c r="FF55" i="2542"/>
  <c r="FG55" i="2542"/>
  <c r="FH55" i="2542"/>
  <c r="FI55" i="2542"/>
  <c r="FJ55" i="2542"/>
  <c r="FK55" i="2542"/>
  <c r="FL55" i="2542"/>
  <c r="FM55" i="2542"/>
  <c r="FO55" i="2542"/>
  <c r="FP55" i="2542"/>
  <c r="FQ55" i="2542"/>
  <c r="FR55" i="2542"/>
  <c r="FS55" i="2542"/>
  <c r="FT55" i="2542"/>
  <c r="FU55" i="2542"/>
  <c r="FV55" i="2542"/>
  <c r="FW55" i="2542"/>
  <c r="FX55" i="2542"/>
  <c r="FY55" i="2542"/>
  <c r="FZ55" i="2542"/>
  <c r="GB55" i="2542"/>
  <c r="GC55" i="2542"/>
  <c r="GD55" i="2542"/>
  <c r="GE55" i="2542"/>
  <c r="GF55" i="2542"/>
  <c r="GG55" i="2542"/>
  <c r="GH55" i="2542"/>
  <c r="GI55" i="2542"/>
  <c r="GJ55" i="2542"/>
  <c r="GK55" i="2542"/>
  <c r="GL55" i="2542"/>
  <c r="GM55" i="2542"/>
  <c r="GO55" i="2542"/>
  <c r="GP55" i="2542"/>
  <c r="GQ55" i="2542"/>
  <c r="GR55" i="2542"/>
  <c r="HA55" i="2542" s="1"/>
  <c r="GS55" i="2542"/>
  <c r="GT55" i="2542"/>
  <c r="GU55" i="2542"/>
  <c r="GV55" i="2542"/>
  <c r="GW55" i="2542"/>
  <c r="GX55" i="2542"/>
  <c r="GY55" i="2542"/>
  <c r="GZ55" i="2542"/>
  <c r="HB55" i="2542"/>
  <c r="HC55" i="2542"/>
  <c r="HD55" i="2542"/>
  <c r="HE55" i="2542"/>
  <c r="HF55" i="2542"/>
  <c r="HG55" i="2542"/>
  <c r="HH55" i="2542"/>
  <c r="HI55" i="2542"/>
  <c r="HJ55" i="2542"/>
  <c r="HK55" i="2542"/>
  <c r="HL55" i="2542"/>
  <c r="HM55" i="2542"/>
  <c r="G57" i="2542"/>
  <c r="H57" i="2542"/>
  <c r="T57" i="2542"/>
  <c r="T66" i="2542" s="1"/>
  <c r="U57" i="2542"/>
  <c r="U66" i="2542" s="1"/>
  <c r="AD57" i="2542"/>
  <c r="AH57" i="2542"/>
  <c r="AT57" i="2542"/>
  <c r="BC57" i="2542"/>
  <c r="BD57" i="2542"/>
  <c r="BE57" i="2542"/>
  <c r="BG57" i="2542"/>
  <c r="BI57" i="2542"/>
  <c r="BJ57" i="2542"/>
  <c r="BP57" i="2542"/>
  <c r="BQ57" i="2542"/>
  <c r="BR57" i="2542"/>
  <c r="BS57" i="2542"/>
  <c r="BV57" i="2542"/>
  <c r="CC57" i="2542"/>
  <c r="CD57" i="2542"/>
  <c r="CE57" i="2542"/>
  <c r="CG57" i="2542"/>
  <c r="CH57" i="2542"/>
  <c r="CI57" i="2542"/>
  <c r="CP57" i="2542"/>
  <c r="CQ57" i="2542"/>
  <c r="CR57" i="2542"/>
  <c r="CS57" i="2542"/>
  <c r="CT57" i="2542"/>
  <c r="CU57" i="2542"/>
  <c r="CV57" i="2542"/>
  <c r="CX57" i="2542"/>
  <c r="DC57" i="2542"/>
  <c r="DD57" i="2542"/>
  <c r="DE57" i="2542"/>
  <c r="DG57" i="2542"/>
  <c r="DH57" i="2542"/>
  <c r="DI57" i="2542"/>
  <c r="DK57" i="2542"/>
  <c r="DL57" i="2542"/>
  <c r="DP57" i="2542"/>
  <c r="DQ57" i="2542"/>
  <c r="DR57" i="2542"/>
  <c r="DS57" i="2542"/>
  <c r="DT57" i="2542"/>
  <c r="DV57" i="2542"/>
  <c r="DX57" i="2542"/>
  <c r="DY57" i="2542"/>
  <c r="EC57" i="2542"/>
  <c r="ED57" i="2542"/>
  <c r="EE57" i="2542"/>
  <c r="EF57" i="2542"/>
  <c r="EG57" i="2542"/>
  <c r="EH57" i="2542"/>
  <c r="EP57" i="2542"/>
  <c r="EQ57" i="2542"/>
  <c r="ER57" i="2542"/>
  <c r="ES57" i="2542"/>
  <c r="ET57" i="2542"/>
  <c r="EU57" i="2542"/>
  <c r="EW57" i="2542"/>
  <c r="FC57" i="2542"/>
  <c r="FD57" i="2542"/>
  <c r="FE57" i="2542"/>
  <c r="FG57" i="2542"/>
  <c r="FI57" i="2542"/>
  <c r="FJ57" i="2542"/>
  <c r="FP57" i="2542"/>
  <c r="FQ57" i="2542"/>
  <c r="FR57" i="2542"/>
  <c r="FS57" i="2542"/>
  <c r="FT57" i="2542"/>
  <c r="FV57" i="2542"/>
  <c r="FW57" i="2542"/>
  <c r="GC57" i="2542"/>
  <c r="GD57" i="2542"/>
  <c r="GE57" i="2542"/>
  <c r="GF57" i="2542"/>
  <c r="GG57" i="2542"/>
  <c r="GI57" i="2542"/>
  <c r="GP57" i="2542"/>
  <c r="GQ57" i="2542"/>
  <c r="GT57" i="2542"/>
  <c r="GU57" i="2542"/>
  <c r="GV57" i="2542"/>
  <c r="GW57" i="2542"/>
  <c r="HC57" i="2542"/>
  <c r="HF57" i="2542"/>
  <c r="HG57" i="2542"/>
  <c r="HI57" i="2542"/>
  <c r="HJ57" i="2542"/>
  <c r="HL57" i="2542"/>
  <c r="B58" i="2542"/>
  <c r="C58" i="2542"/>
  <c r="D58" i="2542"/>
  <c r="E58" i="2542"/>
  <c r="F58" i="2542"/>
  <c r="G58" i="2542"/>
  <c r="H58" i="2542"/>
  <c r="I58" i="2542"/>
  <c r="J58" i="2542"/>
  <c r="K58" i="2542"/>
  <c r="L58" i="2542"/>
  <c r="M58" i="2542"/>
  <c r="O58" i="2542"/>
  <c r="P58" i="2542"/>
  <c r="Q58" i="2542"/>
  <c r="R58" i="2542"/>
  <c r="S58" i="2542"/>
  <c r="T58" i="2542"/>
  <c r="U58" i="2542"/>
  <c r="V58" i="2542"/>
  <c r="W58" i="2542"/>
  <c r="X58" i="2542"/>
  <c r="Y58" i="2542"/>
  <c r="Z58" i="2542"/>
  <c r="AB58" i="2542"/>
  <c r="AC58" i="2542"/>
  <c r="AD58" i="2542"/>
  <c r="AE58" i="2542"/>
  <c r="AF58" i="2542"/>
  <c r="AG58" i="2542"/>
  <c r="AH58" i="2542"/>
  <c r="AI58" i="2542"/>
  <c r="AJ58" i="2542"/>
  <c r="AK58" i="2542"/>
  <c r="AL58" i="2542"/>
  <c r="AM58" i="2542"/>
  <c r="AO58" i="2542"/>
  <c r="AP58" i="2542"/>
  <c r="AQ58" i="2542"/>
  <c r="AR58" i="2542"/>
  <c r="AS58" i="2542"/>
  <c r="AT58" i="2542"/>
  <c r="AU58" i="2542"/>
  <c r="AV58" i="2542"/>
  <c r="AW58" i="2542"/>
  <c r="AX58" i="2542"/>
  <c r="AY58" i="2542"/>
  <c r="AZ58" i="2542"/>
  <c r="BB58" i="2542"/>
  <c r="BC58" i="2542"/>
  <c r="BD58" i="2542"/>
  <c r="BE58" i="2542"/>
  <c r="BF58" i="2542"/>
  <c r="BG58" i="2542"/>
  <c r="BH58" i="2542"/>
  <c r="BI58" i="2542"/>
  <c r="BJ58" i="2542"/>
  <c r="BK58" i="2542"/>
  <c r="BL58" i="2542"/>
  <c r="BM58" i="2542"/>
  <c r="BO58" i="2542"/>
  <c r="BP58" i="2542"/>
  <c r="BQ58" i="2542"/>
  <c r="BR58" i="2542"/>
  <c r="BS58" i="2542"/>
  <c r="BT58" i="2542"/>
  <c r="BU58" i="2542"/>
  <c r="BV58" i="2542"/>
  <c r="BW58" i="2542"/>
  <c r="BX58" i="2542"/>
  <c r="BY58" i="2542"/>
  <c r="BZ58" i="2542"/>
  <c r="CB58" i="2542"/>
  <c r="CC58" i="2542"/>
  <c r="CD58" i="2542"/>
  <c r="CE58" i="2542"/>
  <c r="CF58" i="2542"/>
  <c r="CG58" i="2542"/>
  <c r="CH58" i="2542"/>
  <c r="CI58" i="2542"/>
  <c r="CJ58" i="2542"/>
  <c r="CK58" i="2542"/>
  <c r="CL58" i="2542"/>
  <c r="CM58" i="2542"/>
  <c r="CO58" i="2542"/>
  <c r="CP58" i="2542"/>
  <c r="CQ58" i="2542"/>
  <c r="CR58" i="2542"/>
  <c r="CS58" i="2542"/>
  <c r="CT58" i="2542"/>
  <c r="CU58" i="2542"/>
  <c r="CV58" i="2542"/>
  <c r="CW58" i="2542"/>
  <c r="CX58" i="2542"/>
  <c r="CY58" i="2542"/>
  <c r="CZ58" i="2542"/>
  <c r="DB58" i="2542"/>
  <c r="DC58" i="2542"/>
  <c r="DD58" i="2542"/>
  <c r="DE58" i="2542"/>
  <c r="DF58" i="2542"/>
  <c r="DG58" i="2542"/>
  <c r="DH58" i="2542"/>
  <c r="DI58" i="2542"/>
  <c r="DJ58" i="2542"/>
  <c r="DK58" i="2542"/>
  <c r="DL58" i="2542"/>
  <c r="DM58" i="2542"/>
  <c r="DO58" i="2542"/>
  <c r="DP58" i="2542"/>
  <c r="DQ58" i="2542"/>
  <c r="DR58" i="2542"/>
  <c r="DS58" i="2542"/>
  <c r="DT58" i="2542"/>
  <c r="DU58" i="2542"/>
  <c r="DV58" i="2542"/>
  <c r="DW58" i="2542"/>
  <c r="DX58" i="2542"/>
  <c r="DY58" i="2542"/>
  <c r="DZ58" i="2542"/>
  <c r="EB58" i="2542"/>
  <c r="EC58" i="2542"/>
  <c r="ED58" i="2542"/>
  <c r="EE58" i="2542"/>
  <c r="EF58" i="2542"/>
  <c r="EG58" i="2542"/>
  <c r="EH58" i="2542"/>
  <c r="EI58" i="2542"/>
  <c r="EJ58" i="2542"/>
  <c r="EK58" i="2542"/>
  <c r="EL58" i="2542"/>
  <c r="EM58" i="2542"/>
  <c r="EO58" i="2542"/>
  <c r="EP58" i="2542"/>
  <c r="EQ58" i="2542"/>
  <c r="ER58" i="2542"/>
  <c r="ES58" i="2542"/>
  <c r="ET58" i="2542"/>
  <c r="EU58" i="2542"/>
  <c r="EV58" i="2542"/>
  <c r="EW58" i="2542"/>
  <c r="EX58" i="2542"/>
  <c r="EY58" i="2542"/>
  <c r="EZ58" i="2542"/>
  <c r="FB58" i="2542"/>
  <c r="FC58" i="2542"/>
  <c r="FD58" i="2542"/>
  <c r="FE58" i="2542"/>
  <c r="FF58" i="2542"/>
  <c r="FG58" i="2542"/>
  <c r="FH58" i="2542"/>
  <c r="FI58" i="2542"/>
  <c r="FJ58" i="2542"/>
  <c r="FK58" i="2542"/>
  <c r="FL58" i="2542"/>
  <c r="FM58" i="2542"/>
  <c r="FO58" i="2542"/>
  <c r="FP58" i="2542"/>
  <c r="FQ58" i="2542"/>
  <c r="FR58" i="2542"/>
  <c r="FS58" i="2542"/>
  <c r="FT58" i="2542"/>
  <c r="FU58" i="2542"/>
  <c r="FV58" i="2542"/>
  <c r="FW58" i="2542"/>
  <c r="FX58" i="2542"/>
  <c r="FY58" i="2542"/>
  <c r="FZ58" i="2542"/>
  <c r="GB58" i="2542"/>
  <c r="GC58" i="2542"/>
  <c r="GD58" i="2542"/>
  <c r="GE58" i="2542"/>
  <c r="GF58" i="2542"/>
  <c r="GG58" i="2542"/>
  <c r="GH58" i="2542"/>
  <c r="GI58" i="2542"/>
  <c r="GJ58" i="2542"/>
  <c r="GK58" i="2542"/>
  <c r="GL58" i="2542"/>
  <c r="GM58" i="2542"/>
  <c r="GO58" i="2542"/>
  <c r="GP58" i="2542"/>
  <c r="GQ58" i="2542"/>
  <c r="GR58" i="2542"/>
  <c r="GS58" i="2542"/>
  <c r="GT58" i="2542"/>
  <c r="GU58" i="2542"/>
  <c r="GV58" i="2542"/>
  <c r="GW58" i="2542"/>
  <c r="GX58" i="2542"/>
  <c r="GY58" i="2542"/>
  <c r="GZ58" i="2542"/>
  <c r="HB58" i="2542"/>
  <c r="HC58" i="2542"/>
  <c r="HD58" i="2542"/>
  <c r="HE58" i="2542"/>
  <c r="HF58" i="2542"/>
  <c r="HG58" i="2542"/>
  <c r="HH58" i="2542"/>
  <c r="HI58" i="2542"/>
  <c r="HJ58" i="2542"/>
  <c r="HK58" i="2542"/>
  <c r="HL58" i="2542"/>
  <c r="HM58" i="2542"/>
  <c r="B59" i="2542"/>
  <c r="C59" i="2542"/>
  <c r="D59" i="2542"/>
  <c r="E59" i="2542"/>
  <c r="F59" i="2542"/>
  <c r="G59" i="2542"/>
  <c r="H59" i="2542"/>
  <c r="I59" i="2542"/>
  <c r="J59" i="2542"/>
  <c r="K59" i="2542"/>
  <c r="L59" i="2542"/>
  <c r="M59" i="2542"/>
  <c r="O59" i="2542"/>
  <c r="P59" i="2542"/>
  <c r="Q59" i="2542"/>
  <c r="AA59" i="2542" s="1"/>
  <c r="R59" i="2542"/>
  <c r="S59" i="2542"/>
  <c r="T59" i="2542"/>
  <c r="U59" i="2542"/>
  <c r="V59" i="2542"/>
  <c r="W59" i="2542"/>
  <c r="X59" i="2542"/>
  <c r="Y59" i="2542"/>
  <c r="Z59" i="2542"/>
  <c r="AB59" i="2542"/>
  <c r="AC59" i="2542"/>
  <c r="AD59" i="2542"/>
  <c r="AE59" i="2542"/>
  <c r="AF59" i="2542"/>
  <c r="AG59" i="2542"/>
  <c r="AH59" i="2542"/>
  <c r="AI59" i="2542"/>
  <c r="AJ59" i="2542"/>
  <c r="AK59" i="2542"/>
  <c r="AL59" i="2542"/>
  <c r="AM59" i="2542"/>
  <c r="AO59" i="2542"/>
  <c r="AP59" i="2542"/>
  <c r="AQ59" i="2542"/>
  <c r="AR59" i="2542"/>
  <c r="AS59" i="2542"/>
  <c r="AT59" i="2542"/>
  <c r="AU59" i="2542"/>
  <c r="AV59" i="2542"/>
  <c r="AW59" i="2542"/>
  <c r="AX59" i="2542"/>
  <c r="AY59" i="2542"/>
  <c r="AZ59" i="2542"/>
  <c r="BB59" i="2542"/>
  <c r="BC59" i="2542"/>
  <c r="BN59" i="2542" s="1"/>
  <c r="BD59" i="2542"/>
  <c r="BE59" i="2542"/>
  <c r="BF59" i="2542"/>
  <c r="BG59" i="2542"/>
  <c r="BH59" i="2542"/>
  <c r="BI59" i="2542"/>
  <c r="BJ59" i="2542"/>
  <c r="BK59" i="2542"/>
  <c r="BL59" i="2542"/>
  <c r="BM59" i="2542"/>
  <c r="BO59" i="2542"/>
  <c r="BP59" i="2542"/>
  <c r="BQ59" i="2542"/>
  <c r="BR59" i="2542"/>
  <c r="BS59" i="2542"/>
  <c r="BT59" i="2542"/>
  <c r="BU59" i="2542"/>
  <c r="BV59" i="2542"/>
  <c r="BW59" i="2542"/>
  <c r="BX59" i="2542"/>
  <c r="BY59" i="2542"/>
  <c r="BZ59" i="2542"/>
  <c r="CB59" i="2542"/>
  <c r="CC59" i="2542"/>
  <c r="CD59" i="2542"/>
  <c r="CE59" i="2542"/>
  <c r="CF59" i="2542"/>
  <c r="CG59" i="2542"/>
  <c r="CH59" i="2542"/>
  <c r="CI59" i="2542"/>
  <c r="CJ59" i="2542"/>
  <c r="CK59" i="2542"/>
  <c r="CL59" i="2542"/>
  <c r="CM59" i="2542"/>
  <c r="CO59" i="2542"/>
  <c r="CP59" i="2542"/>
  <c r="CQ59" i="2542"/>
  <c r="CR59" i="2542"/>
  <c r="CS59" i="2542"/>
  <c r="CT59" i="2542"/>
  <c r="CU59" i="2542"/>
  <c r="CV59" i="2542"/>
  <c r="CW59" i="2542"/>
  <c r="CX59" i="2542"/>
  <c r="CY59" i="2542"/>
  <c r="CZ59" i="2542"/>
  <c r="DB59" i="2542"/>
  <c r="DC59" i="2542"/>
  <c r="DD59" i="2542"/>
  <c r="DE59" i="2542"/>
  <c r="DF59" i="2542"/>
  <c r="DG59" i="2542"/>
  <c r="DH59" i="2542"/>
  <c r="DI59" i="2542"/>
  <c r="DJ59" i="2542"/>
  <c r="DK59" i="2542"/>
  <c r="DL59" i="2542"/>
  <c r="DM59" i="2542"/>
  <c r="DO59" i="2542"/>
  <c r="DP59" i="2542"/>
  <c r="EA59" i="2542" s="1"/>
  <c r="DQ59" i="2542"/>
  <c r="DR59" i="2542"/>
  <c r="DS59" i="2542"/>
  <c r="DT59" i="2542"/>
  <c r="DU59" i="2542"/>
  <c r="DV59" i="2542"/>
  <c r="DW59" i="2542"/>
  <c r="DX59" i="2542"/>
  <c r="DY59" i="2542"/>
  <c r="DZ59" i="2542"/>
  <c r="EB59" i="2542"/>
  <c r="EC59" i="2542"/>
  <c r="EN59" i="2542" s="1"/>
  <c r="ED59" i="2542"/>
  <c r="EE59" i="2542"/>
  <c r="EF59" i="2542"/>
  <c r="EG59" i="2542"/>
  <c r="EH59" i="2542"/>
  <c r="EI59" i="2542"/>
  <c r="EJ59" i="2542"/>
  <c r="EK59" i="2542"/>
  <c r="EL59" i="2542"/>
  <c r="EM59" i="2542"/>
  <c r="EO59" i="2542"/>
  <c r="EP59" i="2542"/>
  <c r="FA59" i="2542" s="1"/>
  <c r="EQ59" i="2542"/>
  <c r="ER59" i="2542"/>
  <c r="ES59" i="2542"/>
  <c r="ET59" i="2542"/>
  <c r="EU59" i="2542"/>
  <c r="EV59" i="2542"/>
  <c r="EW59" i="2542"/>
  <c r="EX59" i="2542"/>
  <c r="EY59" i="2542"/>
  <c r="EZ59" i="2542"/>
  <c r="FB59" i="2542"/>
  <c r="FC59" i="2542"/>
  <c r="FN59" i="2542" s="1"/>
  <c r="FD59" i="2542"/>
  <c r="FE59" i="2542"/>
  <c r="FF59" i="2542"/>
  <c r="FG59" i="2542"/>
  <c r="FH59" i="2542"/>
  <c r="FI59" i="2542"/>
  <c r="FJ59" i="2542"/>
  <c r="FK59" i="2542"/>
  <c r="FL59" i="2542"/>
  <c r="FM59" i="2542"/>
  <c r="FO59" i="2542"/>
  <c r="FP59" i="2542"/>
  <c r="FQ59" i="2542"/>
  <c r="FR59" i="2542"/>
  <c r="FS59" i="2542"/>
  <c r="FT59" i="2542"/>
  <c r="FU59" i="2542"/>
  <c r="FV59" i="2542"/>
  <c r="FW59" i="2542"/>
  <c r="FX59" i="2542"/>
  <c r="FY59" i="2542"/>
  <c r="FZ59" i="2542"/>
  <c r="GB59" i="2542"/>
  <c r="GC59" i="2542"/>
  <c r="GN59" i="2542" s="1"/>
  <c r="GD59" i="2542"/>
  <c r="GE59" i="2542"/>
  <c r="GF59" i="2542"/>
  <c r="GG59" i="2542"/>
  <c r="GH59" i="2542"/>
  <c r="GI59" i="2542"/>
  <c r="GJ59" i="2542"/>
  <c r="GK59" i="2542"/>
  <c r="GL59" i="2542"/>
  <c r="GM59" i="2542"/>
  <c r="GO59" i="2542"/>
  <c r="GP59" i="2542"/>
  <c r="HA59" i="2542" s="1"/>
  <c r="GQ59" i="2542"/>
  <c r="GR59" i="2542"/>
  <c r="GS59" i="2542"/>
  <c r="GT59" i="2542"/>
  <c r="GU59" i="2542"/>
  <c r="GV59" i="2542"/>
  <c r="GW59" i="2542"/>
  <c r="GX59" i="2542"/>
  <c r="GY59" i="2542"/>
  <c r="GZ59" i="2542"/>
  <c r="HB59" i="2542"/>
  <c r="HC59" i="2542"/>
  <c r="HD59" i="2542"/>
  <c r="HE59" i="2542"/>
  <c r="HF59" i="2542"/>
  <c r="HG59" i="2542"/>
  <c r="HH59" i="2542"/>
  <c r="HI59" i="2542"/>
  <c r="HJ59" i="2542"/>
  <c r="HK59" i="2542"/>
  <c r="HL59" i="2542"/>
  <c r="HM59" i="2542"/>
  <c r="B60" i="2542"/>
  <c r="C60" i="2542"/>
  <c r="D60" i="2542"/>
  <c r="E60" i="2542"/>
  <c r="F60" i="2542"/>
  <c r="G60" i="2542"/>
  <c r="H60" i="2542"/>
  <c r="I60" i="2542"/>
  <c r="J60" i="2542"/>
  <c r="K60" i="2542"/>
  <c r="L60" i="2542"/>
  <c r="M60" i="2542"/>
  <c r="O60" i="2542"/>
  <c r="P60" i="2542"/>
  <c r="Q60" i="2542"/>
  <c r="R60" i="2542"/>
  <c r="S60" i="2542"/>
  <c r="T60" i="2542"/>
  <c r="U60" i="2542"/>
  <c r="V60" i="2542"/>
  <c r="W60" i="2542"/>
  <c r="X60" i="2542"/>
  <c r="Y60" i="2542"/>
  <c r="Z60" i="2542"/>
  <c r="AB60" i="2542"/>
  <c r="AC60" i="2542"/>
  <c r="AD60" i="2542"/>
  <c r="AE60" i="2542"/>
  <c r="AF60" i="2542"/>
  <c r="AG60" i="2542"/>
  <c r="AH60" i="2542"/>
  <c r="AI60" i="2542"/>
  <c r="AJ60" i="2542"/>
  <c r="AK60" i="2542"/>
  <c r="AL60" i="2542"/>
  <c r="AM60" i="2542"/>
  <c r="AO60" i="2542"/>
  <c r="AP60" i="2542"/>
  <c r="AQ60" i="2542"/>
  <c r="AR60" i="2542"/>
  <c r="AS60" i="2542"/>
  <c r="AT60" i="2542"/>
  <c r="AU60" i="2542"/>
  <c r="AV60" i="2542"/>
  <c r="AW60" i="2542"/>
  <c r="AX60" i="2542"/>
  <c r="AY60" i="2542"/>
  <c r="AZ60" i="2542"/>
  <c r="BB60" i="2542"/>
  <c r="BC60" i="2542"/>
  <c r="BD60" i="2542"/>
  <c r="BE60" i="2542"/>
  <c r="BF60" i="2542"/>
  <c r="BG60" i="2542"/>
  <c r="BH60" i="2542"/>
  <c r="BI60" i="2542"/>
  <c r="BJ60" i="2542"/>
  <c r="BK60" i="2542"/>
  <c r="BL60" i="2542"/>
  <c r="BM60" i="2542"/>
  <c r="BO60" i="2542"/>
  <c r="BP60" i="2542"/>
  <c r="BQ60" i="2542"/>
  <c r="BR60" i="2542"/>
  <c r="BS60" i="2542"/>
  <c r="BT60" i="2542"/>
  <c r="BU60" i="2542"/>
  <c r="BV60" i="2542"/>
  <c r="BW60" i="2542"/>
  <c r="BX60" i="2542"/>
  <c r="BY60" i="2542"/>
  <c r="BZ60" i="2542"/>
  <c r="CB60" i="2542"/>
  <c r="CC60" i="2542"/>
  <c r="CD60" i="2542"/>
  <c r="CE60" i="2542"/>
  <c r="CF60" i="2542"/>
  <c r="CG60" i="2542"/>
  <c r="CH60" i="2542"/>
  <c r="CI60" i="2542"/>
  <c r="CJ60" i="2542"/>
  <c r="CK60" i="2542"/>
  <c r="CL60" i="2542"/>
  <c r="CM60" i="2542"/>
  <c r="CO60" i="2542"/>
  <c r="CP60" i="2542"/>
  <c r="CQ60" i="2542"/>
  <c r="CR60" i="2542"/>
  <c r="CS60" i="2542"/>
  <c r="CT60" i="2542"/>
  <c r="CU60" i="2542"/>
  <c r="CV60" i="2542"/>
  <c r="CW60" i="2542"/>
  <c r="CX60" i="2542"/>
  <c r="CY60" i="2542"/>
  <c r="CZ60" i="2542"/>
  <c r="DB60" i="2542"/>
  <c r="DC60" i="2542"/>
  <c r="DD60" i="2542"/>
  <c r="DE60" i="2542"/>
  <c r="DF60" i="2542"/>
  <c r="DG60" i="2542"/>
  <c r="DH60" i="2542"/>
  <c r="DI60" i="2542"/>
  <c r="DJ60" i="2542"/>
  <c r="DK60" i="2542"/>
  <c r="DL60" i="2542"/>
  <c r="DM60" i="2542"/>
  <c r="DO60" i="2542"/>
  <c r="DP60" i="2542"/>
  <c r="DQ60" i="2542"/>
  <c r="DR60" i="2542"/>
  <c r="DS60" i="2542"/>
  <c r="DT60" i="2542"/>
  <c r="DU60" i="2542"/>
  <c r="DV60" i="2542"/>
  <c r="DW60" i="2542"/>
  <c r="DX60" i="2542"/>
  <c r="DY60" i="2542"/>
  <c r="DZ60" i="2542"/>
  <c r="EB60" i="2542"/>
  <c r="EC60" i="2542"/>
  <c r="ED60" i="2542"/>
  <c r="EE60" i="2542"/>
  <c r="EF60" i="2542"/>
  <c r="EG60" i="2542"/>
  <c r="EH60" i="2542"/>
  <c r="EI60" i="2542"/>
  <c r="EJ60" i="2542"/>
  <c r="EK60" i="2542"/>
  <c r="EL60" i="2542"/>
  <c r="EM60" i="2542"/>
  <c r="EO60" i="2542"/>
  <c r="EP60" i="2542"/>
  <c r="EQ60" i="2542"/>
  <c r="EQ64" i="2542" s="1"/>
  <c r="FA64" i="2542" s="1"/>
  <c r="ER60" i="2542"/>
  <c r="ES60" i="2542"/>
  <c r="ET60" i="2542"/>
  <c r="EU60" i="2542"/>
  <c r="EV60" i="2542"/>
  <c r="EW60" i="2542"/>
  <c r="EX60" i="2542"/>
  <c r="EY60" i="2542"/>
  <c r="EZ60" i="2542"/>
  <c r="FB60" i="2542"/>
  <c r="FC60" i="2542"/>
  <c r="FD60" i="2542"/>
  <c r="FE60" i="2542"/>
  <c r="FF60" i="2542"/>
  <c r="FG60" i="2542"/>
  <c r="FH60" i="2542"/>
  <c r="FI60" i="2542"/>
  <c r="FJ60" i="2542"/>
  <c r="FK60" i="2542"/>
  <c r="FL60" i="2542"/>
  <c r="FM60" i="2542"/>
  <c r="FO60" i="2542"/>
  <c r="FP60" i="2542"/>
  <c r="FQ60" i="2542"/>
  <c r="FR60" i="2542"/>
  <c r="FS60" i="2542"/>
  <c r="FT60" i="2542"/>
  <c r="FU60" i="2542"/>
  <c r="FV60" i="2542"/>
  <c r="FW60" i="2542"/>
  <c r="FX60" i="2542"/>
  <c r="FY60" i="2542"/>
  <c r="FZ60" i="2542"/>
  <c r="GB60" i="2542"/>
  <c r="GC60" i="2542"/>
  <c r="GD60" i="2542"/>
  <c r="GE60" i="2542"/>
  <c r="GF60" i="2542"/>
  <c r="GG60" i="2542"/>
  <c r="GH60" i="2542"/>
  <c r="GI60" i="2542"/>
  <c r="GJ60" i="2542"/>
  <c r="GK60" i="2542"/>
  <c r="GL60" i="2542"/>
  <c r="GM60" i="2542"/>
  <c r="GO60" i="2542"/>
  <c r="GP60" i="2542"/>
  <c r="GQ60" i="2542"/>
  <c r="GR60" i="2542"/>
  <c r="GS60" i="2542"/>
  <c r="GT60" i="2542"/>
  <c r="GU60" i="2542"/>
  <c r="GV60" i="2542"/>
  <c r="GW60" i="2542"/>
  <c r="GX60" i="2542"/>
  <c r="GY60" i="2542"/>
  <c r="GZ60" i="2542"/>
  <c r="HB60" i="2542"/>
  <c r="HC60" i="2542"/>
  <c r="HD60" i="2542"/>
  <c r="HE60" i="2542"/>
  <c r="HF60" i="2542"/>
  <c r="HG60" i="2542"/>
  <c r="HH60" i="2542"/>
  <c r="HI60" i="2542"/>
  <c r="HJ60" i="2542"/>
  <c r="HK60" i="2542"/>
  <c r="HL60" i="2542"/>
  <c r="HM60" i="2542"/>
  <c r="B61" i="2542"/>
  <c r="C61" i="2542"/>
  <c r="D61" i="2542"/>
  <c r="E61" i="2542"/>
  <c r="F61" i="2542"/>
  <c r="G61" i="2542"/>
  <c r="H61" i="2542"/>
  <c r="I61" i="2542"/>
  <c r="J61" i="2542"/>
  <c r="K61" i="2542"/>
  <c r="L61" i="2542"/>
  <c r="M61" i="2542"/>
  <c r="O61" i="2542"/>
  <c r="P61" i="2542"/>
  <c r="Q61" i="2542"/>
  <c r="R61" i="2542"/>
  <c r="S61" i="2542"/>
  <c r="T61" i="2542"/>
  <c r="U61" i="2542"/>
  <c r="V61" i="2542"/>
  <c r="W61" i="2542"/>
  <c r="X61" i="2542"/>
  <c r="Y61" i="2542"/>
  <c r="Z61" i="2542"/>
  <c r="AB61" i="2542"/>
  <c r="AC61" i="2542"/>
  <c r="AD61" i="2542"/>
  <c r="AE61" i="2542"/>
  <c r="AF61" i="2542"/>
  <c r="AG61" i="2542"/>
  <c r="AH61" i="2542"/>
  <c r="AI61" i="2542"/>
  <c r="AJ61" i="2542"/>
  <c r="AK61" i="2542"/>
  <c r="AL61" i="2542"/>
  <c r="AM61" i="2542"/>
  <c r="AO61" i="2542"/>
  <c r="AP61" i="2542"/>
  <c r="AQ61" i="2542"/>
  <c r="AR61" i="2542"/>
  <c r="AS61" i="2542"/>
  <c r="AT61" i="2542"/>
  <c r="AU61" i="2542"/>
  <c r="AV61" i="2542"/>
  <c r="AW61" i="2542"/>
  <c r="AX61" i="2542"/>
  <c r="AY61" i="2542"/>
  <c r="AZ61" i="2542"/>
  <c r="BB61" i="2542"/>
  <c r="BC61" i="2542"/>
  <c r="BD61" i="2542"/>
  <c r="BE61" i="2542"/>
  <c r="BF61" i="2542"/>
  <c r="BG61" i="2542"/>
  <c r="BH61" i="2542"/>
  <c r="BI61" i="2542"/>
  <c r="BJ61" i="2542"/>
  <c r="BK61" i="2542"/>
  <c r="BL61" i="2542"/>
  <c r="BM61" i="2542"/>
  <c r="BO61" i="2542"/>
  <c r="BP61" i="2542"/>
  <c r="BQ61" i="2542"/>
  <c r="BR61" i="2542"/>
  <c r="BS61" i="2542"/>
  <c r="BT61" i="2542"/>
  <c r="BU61" i="2542"/>
  <c r="BV61" i="2542"/>
  <c r="BW61" i="2542"/>
  <c r="BX61" i="2542"/>
  <c r="BY61" i="2542"/>
  <c r="BZ61" i="2542"/>
  <c r="CB61" i="2542"/>
  <c r="CC61" i="2542"/>
  <c r="CD61" i="2542"/>
  <c r="CE61" i="2542"/>
  <c r="CF61" i="2542"/>
  <c r="CG61" i="2542"/>
  <c r="CH61" i="2542"/>
  <c r="CI61" i="2542"/>
  <c r="CJ61" i="2542"/>
  <c r="CK61" i="2542"/>
  <c r="CL61" i="2542"/>
  <c r="CM61" i="2542"/>
  <c r="CO61" i="2542"/>
  <c r="CP61" i="2542"/>
  <c r="CQ61" i="2542"/>
  <c r="CR61" i="2542"/>
  <c r="CS61" i="2542"/>
  <c r="CT61" i="2542"/>
  <c r="CU61" i="2542"/>
  <c r="CV61" i="2542"/>
  <c r="CW61" i="2542"/>
  <c r="CX61" i="2542"/>
  <c r="CY61" i="2542"/>
  <c r="CZ61" i="2542"/>
  <c r="DB61" i="2542"/>
  <c r="DC61" i="2542"/>
  <c r="DD61" i="2542"/>
  <c r="DE61" i="2542"/>
  <c r="DF61" i="2542"/>
  <c r="DG61" i="2542"/>
  <c r="DH61" i="2542"/>
  <c r="DI61" i="2542"/>
  <c r="DJ61" i="2542"/>
  <c r="DK61" i="2542"/>
  <c r="DL61" i="2542"/>
  <c r="DM61" i="2542"/>
  <c r="DO61" i="2542"/>
  <c r="DP61" i="2542"/>
  <c r="DQ61" i="2542"/>
  <c r="DR61" i="2542"/>
  <c r="DS61" i="2542"/>
  <c r="DT61" i="2542"/>
  <c r="DU61" i="2542"/>
  <c r="DV61" i="2542"/>
  <c r="DW61" i="2542"/>
  <c r="DX61" i="2542"/>
  <c r="DY61" i="2542"/>
  <c r="DZ61" i="2542"/>
  <c r="EB61" i="2542"/>
  <c r="EC61" i="2542"/>
  <c r="ED61" i="2542"/>
  <c r="EE61" i="2542"/>
  <c r="EF61" i="2542"/>
  <c r="EG61" i="2542"/>
  <c r="EH61" i="2542"/>
  <c r="EI61" i="2542"/>
  <c r="EJ61" i="2542"/>
  <c r="EK61" i="2542"/>
  <c r="EL61" i="2542"/>
  <c r="EM61" i="2542"/>
  <c r="EO61" i="2542"/>
  <c r="EP61" i="2542"/>
  <c r="EQ61" i="2542"/>
  <c r="ER61" i="2542"/>
  <c r="ES61" i="2542"/>
  <c r="ET61" i="2542"/>
  <c r="EU61" i="2542"/>
  <c r="EV61" i="2542"/>
  <c r="EW61" i="2542"/>
  <c r="EX61" i="2542"/>
  <c r="EY61" i="2542"/>
  <c r="EZ61" i="2542"/>
  <c r="FB61" i="2542"/>
  <c r="FC61" i="2542"/>
  <c r="FD61" i="2542"/>
  <c r="FE61" i="2542"/>
  <c r="FF61" i="2542"/>
  <c r="FG61" i="2542"/>
  <c r="FH61" i="2542"/>
  <c r="FI61" i="2542"/>
  <c r="FJ61" i="2542"/>
  <c r="FK61" i="2542"/>
  <c r="FL61" i="2542"/>
  <c r="FM61" i="2542"/>
  <c r="FO61" i="2542"/>
  <c r="FP61" i="2542"/>
  <c r="FQ61" i="2542"/>
  <c r="FR61" i="2542"/>
  <c r="FS61" i="2542"/>
  <c r="FT61" i="2542"/>
  <c r="FU61" i="2542"/>
  <c r="FV61" i="2542"/>
  <c r="FW61" i="2542"/>
  <c r="FX61" i="2542"/>
  <c r="FY61" i="2542"/>
  <c r="FZ61" i="2542"/>
  <c r="GB61" i="2542"/>
  <c r="GC61" i="2542"/>
  <c r="GD61" i="2542"/>
  <c r="GE61" i="2542"/>
  <c r="GF61" i="2542"/>
  <c r="GG61" i="2542"/>
  <c r="GH61" i="2542"/>
  <c r="GI61" i="2542"/>
  <c r="GJ61" i="2542"/>
  <c r="GK61" i="2542"/>
  <c r="GL61" i="2542"/>
  <c r="GM61" i="2542"/>
  <c r="GO61" i="2542"/>
  <c r="GP61" i="2542"/>
  <c r="GQ61" i="2542"/>
  <c r="GR61" i="2542"/>
  <c r="GS61" i="2542"/>
  <c r="GT61" i="2542"/>
  <c r="GU61" i="2542"/>
  <c r="GV61" i="2542"/>
  <c r="GW61" i="2542"/>
  <c r="GX61" i="2542"/>
  <c r="GY61" i="2542"/>
  <c r="GZ61" i="2542"/>
  <c r="HB61" i="2542"/>
  <c r="HC61" i="2542"/>
  <c r="HD61" i="2542"/>
  <c r="HE61" i="2542"/>
  <c r="HF61" i="2542"/>
  <c r="HG61" i="2542"/>
  <c r="HH61" i="2542"/>
  <c r="HI61" i="2542"/>
  <c r="HJ61" i="2542"/>
  <c r="HK61" i="2542"/>
  <c r="HL61" i="2542"/>
  <c r="HM61" i="2542"/>
  <c r="B62" i="2542"/>
  <c r="C62" i="2542"/>
  <c r="D62" i="2542"/>
  <c r="E62" i="2542"/>
  <c r="F62" i="2542"/>
  <c r="G62" i="2542"/>
  <c r="H62" i="2542"/>
  <c r="I62" i="2542"/>
  <c r="J62" i="2542"/>
  <c r="K62" i="2542"/>
  <c r="L62" i="2542"/>
  <c r="M62" i="2542"/>
  <c r="O62" i="2542"/>
  <c r="P62" i="2542"/>
  <c r="Q62" i="2542"/>
  <c r="R62" i="2542"/>
  <c r="S62" i="2542"/>
  <c r="T62" i="2542"/>
  <c r="U62" i="2542"/>
  <c r="V62" i="2542"/>
  <c r="W62" i="2542"/>
  <c r="X62" i="2542"/>
  <c r="Y62" i="2542"/>
  <c r="Z62" i="2542"/>
  <c r="AB62" i="2542"/>
  <c r="AC62" i="2542"/>
  <c r="AD62" i="2542"/>
  <c r="AE62" i="2542"/>
  <c r="AF62" i="2542"/>
  <c r="AG62" i="2542"/>
  <c r="AH62" i="2542"/>
  <c r="AI62" i="2542"/>
  <c r="AJ62" i="2542"/>
  <c r="AK62" i="2542"/>
  <c r="AL62" i="2542"/>
  <c r="AM62" i="2542"/>
  <c r="AO62" i="2542"/>
  <c r="AP62" i="2542"/>
  <c r="AQ62" i="2542"/>
  <c r="AR62" i="2542"/>
  <c r="AS62" i="2542"/>
  <c r="AT62" i="2542"/>
  <c r="AU62" i="2542"/>
  <c r="AV62" i="2542"/>
  <c r="AW62" i="2542"/>
  <c r="AX62" i="2542"/>
  <c r="AY62" i="2542"/>
  <c r="AZ62" i="2542"/>
  <c r="BB62" i="2542"/>
  <c r="BC62" i="2542"/>
  <c r="BD62" i="2542"/>
  <c r="BE62" i="2542"/>
  <c r="BF62" i="2542"/>
  <c r="BG62" i="2542"/>
  <c r="BH62" i="2542"/>
  <c r="BI62" i="2542"/>
  <c r="BJ62" i="2542"/>
  <c r="BK62" i="2542"/>
  <c r="BL62" i="2542"/>
  <c r="BM62" i="2542"/>
  <c r="BO62" i="2542"/>
  <c r="BP62" i="2542"/>
  <c r="BQ62" i="2542"/>
  <c r="BR62" i="2542"/>
  <c r="BS62" i="2542"/>
  <c r="BT62" i="2542"/>
  <c r="BU62" i="2542"/>
  <c r="BV62" i="2542"/>
  <c r="BW62" i="2542"/>
  <c r="BX62" i="2542"/>
  <c r="BY62" i="2542"/>
  <c r="BZ62" i="2542"/>
  <c r="CB62" i="2542"/>
  <c r="CC62" i="2542"/>
  <c r="CD62" i="2542"/>
  <c r="CE62" i="2542"/>
  <c r="CN62" i="2542" s="1"/>
  <c r="CF62" i="2542"/>
  <c r="CG62" i="2542"/>
  <c r="CH62" i="2542"/>
  <c r="CI62" i="2542"/>
  <c r="CJ62" i="2542"/>
  <c r="CK62" i="2542"/>
  <c r="CL62" i="2542"/>
  <c r="CM62" i="2542"/>
  <c r="CO62" i="2542"/>
  <c r="CP62" i="2542"/>
  <c r="CQ62" i="2542"/>
  <c r="CR62" i="2542"/>
  <c r="CS62" i="2542"/>
  <c r="CT62" i="2542"/>
  <c r="CU62" i="2542"/>
  <c r="CV62" i="2542"/>
  <c r="CW62" i="2542"/>
  <c r="CX62" i="2542"/>
  <c r="CY62" i="2542"/>
  <c r="CZ62" i="2542"/>
  <c r="DB62" i="2542"/>
  <c r="DC62" i="2542"/>
  <c r="DD62" i="2542"/>
  <c r="DE62" i="2542"/>
  <c r="DF62" i="2542"/>
  <c r="DG62" i="2542"/>
  <c r="DH62" i="2542"/>
  <c r="DI62" i="2542"/>
  <c r="DJ62" i="2542"/>
  <c r="DK62" i="2542"/>
  <c r="DL62" i="2542"/>
  <c r="DM62" i="2542"/>
  <c r="DO62" i="2542"/>
  <c r="DP62" i="2542"/>
  <c r="DQ62" i="2542"/>
  <c r="DR62" i="2542"/>
  <c r="DS62" i="2542"/>
  <c r="DT62" i="2542"/>
  <c r="DU62" i="2542"/>
  <c r="DV62" i="2542"/>
  <c r="DW62" i="2542"/>
  <c r="DX62" i="2542"/>
  <c r="DY62" i="2542"/>
  <c r="DZ62" i="2542"/>
  <c r="EB62" i="2542"/>
  <c r="EC62" i="2542"/>
  <c r="ED62" i="2542"/>
  <c r="EE62" i="2542"/>
  <c r="EF62" i="2542"/>
  <c r="EG62" i="2542"/>
  <c r="EH62" i="2542"/>
  <c r="EI62" i="2542"/>
  <c r="EJ62" i="2542"/>
  <c r="EK62" i="2542"/>
  <c r="EL62" i="2542"/>
  <c r="EM62" i="2542"/>
  <c r="EO62" i="2542"/>
  <c r="EP62" i="2542"/>
  <c r="EQ62" i="2542"/>
  <c r="ER62" i="2542"/>
  <c r="ES62" i="2542"/>
  <c r="ET62" i="2542"/>
  <c r="EU62" i="2542"/>
  <c r="EV62" i="2542"/>
  <c r="EW62" i="2542"/>
  <c r="EX62" i="2542"/>
  <c r="EY62" i="2542"/>
  <c r="EZ62" i="2542"/>
  <c r="FB62" i="2542"/>
  <c r="FC62" i="2542"/>
  <c r="FD62" i="2542"/>
  <c r="FE62" i="2542"/>
  <c r="FF62" i="2542"/>
  <c r="FG62" i="2542"/>
  <c r="FH62" i="2542"/>
  <c r="FI62" i="2542"/>
  <c r="FJ62" i="2542"/>
  <c r="FK62" i="2542"/>
  <c r="FL62" i="2542"/>
  <c r="FM62" i="2542"/>
  <c r="FO62" i="2542"/>
  <c r="FP62" i="2542"/>
  <c r="FQ62" i="2542"/>
  <c r="FR62" i="2542"/>
  <c r="FS62" i="2542"/>
  <c r="FT62" i="2542"/>
  <c r="FU62" i="2542"/>
  <c r="FV62" i="2542"/>
  <c r="FW62" i="2542"/>
  <c r="FX62" i="2542"/>
  <c r="FY62" i="2542"/>
  <c r="FZ62" i="2542"/>
  <c r="GB62" i="2542"/>
  <c r="GC62" i="2542"/>
  <c r="GD62" i="2542"/>
  <c r="GE62" i="2542"/>
  <c r="GF62" i="2542"/>
  <c r="GG62" i="2542"/>
  <c r="GH62" i="2542"/>
  <c r="GI62" i="2542"/>
  <c r="GJ62" i="2542"/>
  <c r="GK62" i="2542"/>
  <c r="GL62" i="2542"/>
  <c r="GM62" i="2542"/>
  <c r="GO62" i="2542"/>
  <c r="GP62" i="2542"/>
  <c r="GQ62" i="2542"/>
  <c r="GR62" i="2542"/>
  <c r="GS62" i="2542"/>
  <c r="GT62" i="2542"/>
  <c r="GU62" i="2542"/>
  <c r="GV62" i="2542"/>
  <c r="GW62" i="2542"/>
  <c r="GX62" i="2542"/>
  <c r="GY62" i="2542"/>
  <c r="GZ62" i="2542"/>
  <c r="HB62" i="2542"/>
  <c r="HC62" i="2542"/>
  <c r="HD62" i="2542"/>
  <c r="HE62" i="2542"/>
  <c r="HF62" i="2542"/>
  <c r="HG62" i="2542"/>
  <c r="HH62" i="2542"/>
  <c r="HI62" i="2542"/>
  <c r="HJ62" i="2542"/>
  <c r="HK62" i="2542"/>
  <c r="HL62" i="2542"/>
  <c r="HM62" i="2542"/>
  <c r="AB63" i="2542"/>
  <c r="AC63" i="2542"/>
  <c r="AD63" i="2542"/>
  <c r="AE63" i="2542"/>
  <c r="AF63" i="2542"/>
  <c r="AG63" i="2542"/>
  <c r="AH63" i="2542"/>
  <c r="AI63" i="2542"/>
  <c r="AJ63" i="2542"/>
  <c r="AK63" i="2542"/>
  <c r="AL63" i="2542"/>
  <c r="AM63" i="2542"/>
  <c r="AO63" i="2542"/>
  <c r="AP63" i="2542"/>
  <c r="AQ63" i="2542"/>
  <c r="BO63" i="2542"/>
  <c r="CF63" i="2542"/>
  <c r="CG63" i="2542"/>
  <c r="CH63" i="2542"/>
  <c r="CJ63" i="2542"/>
  <c r="DN63" i="2542"/>
  <c r="EA63" i="2542"/>
  <c r="EN63" i="2542"/>
  <c r="EQ63" i="2542"/>
  <c r="FA63" i="2542" s="1"/>
  <c r="FN63" i="2542"/>
  <c r="FV63" i="2542"/>
  <c r="GA63" i="2542" s="1"/>
  <c r="GN63" i="2542"/>
  <c r="GV63" i="2542"/>
  <c r="HA63" i="2542" s="1"/>
  <c r="HB63" i="2542"/>
  <c r="HN63" i="2542" s="1"/>
  <c r="HF63" i="2542"/>
  <c r="AB64" i="2542"/>
  <c r="AC64" i="2542"/>
  <c r="AD64" i="2542"/>
  <c r="AE64" i="2542"/>
  <c r="AF64" i="2542"/>
  <c r="AG64" i="2542"/>
  <c r="AH64" i="2542"/>
  <c r="AI64" i="2542"/>
  <c r="AJ64" i="2542"/>
  <c r="AK64" i="2542"/>
  <c r="AL64" i="2542"/>
  <c r="AM64" i="2542"/>
  <c r="AO64" i="2542"/>
  <c r="AP64" i="2542"/>
  <c r="AQ64" i="2542"/>
  <c r="BO64" i="2542"/>
  <c r="CF64" i="2542"/>
  <c r="CG64" i="2542"/>
  <c r="CH64" i="2542"/>
  <c r="CJ64" i="2542"/>
  <c r="DN64" i="2542"/>
  <c r="EA64" i="2542"/>
  <c r="EN64" i="2542"/>
  <c r="FN64" i="2542"/>
  <c r="FV64" i="2542"/>
  <c r="GA64" i="2542"/>
  <c r="GN64" i="2542"/>
  <c r="GV64" i="2542"/>
  <c r="HA64" i="2542" s="1"/>
  <c r="HB64" i="2542"/>
  <c r="HN64" i="2542" s="1"/>
  <c r="HF64" i="2542"/>
  <c r="BZ68" i="2542"/>
  <c r="CB68" i="2542"/>
  <c r="CC68" i="2542"/>
  <c r="CD68" i="2542"/>
  <c r="CE68" i="2542"/>
  <c r="CF68" i="2542"/>
  <c r="CG68" i="2542"/>
  <c r="CH68" i="2542"/>
  <c r="CI68" i="2542"/>
  <c r="CJ68" i="2542"/>
  <c r="CK68" i="2542"/>
  <c r="CL68" i="2542"/>
  <c r="CM68" i="2542"/>
  <c r="CO68" i="2542"/>
  <c r="CP68" i="2542"/>
  <c r="CQ68" i="2542"/>
  <c r="CR68" i="2542"/>
  <c r="CS68" i="2542"/>
  <c r="CT68" i="2542"/>
  <c r="CU68" i="2542"/>
  <c r="CV68" i="2542"/>
  <c r="CW68" i="2542"/>
  <c r="CX68" i="2542"/>
  <c r="CY68" i="2542"/>
  <c r="CZ68" i="2542"/>
  <c r="DB68" i="2542"/>
  <c r="DC68" i="2542"/>
  <c r="DD68" i="2542"/>
  <c r="DE68" i="2542"/>
  <c r="DF68" i="2542"/>
  <c r="DG68" i="2542"/>
  <c r="DH68" i="2542"/>
  <c r="DI68" i="2542"/>
  <c r="DJ68" i="2542"/>
  <c r="DK68" i="2542"/>
  <c r="DL68" i="2542"/>
  <c r="DM68" i="2542"/>
  <c r="DO68" i="2542"/>
  <c r="DP68" i="2542"/>
  <c r="DQ68" i="2542"/>
  <c r="DR68" i="2542"/>
  <c r="DS68" i="2542"/>
  <c r="DT68" i="2542"/>
  <c r="DU68" i="2542"/>
  <c r="DV68" i="2542"/>
  <c r="DW68" i="2542"/>
  <c r="DX68" i="2542"/>
  <c r="DY68" i="2542"/>
  <c r="DZ68" i="2542"/>
  <c r="EB68" i="2542"/>
  <c r="EC68" i="2542"/>
  <c r="ED68" i="2542"/>
  <c r="EE68" i="2542"/>
  <c r="EF68" i="2542"/>
  <c r="EG68" i="2542"/>
  <c r="EH68" i="2542"/>
  <c r="EI68" i="2542"/>
  <c r="EJ68" i="2542"/>
  <c r="EK68" i="2542"/>
  <c r="EL68" i="2542"/>
  <c r="EM68" i="2542"/>
  <c r="EO68" i="2542"/>
  <c r="EP68" i="2542"/>
  <c r="ER68" i="2542"/>
  <c r="ES68" i="2542"/>
  <c r="ET68" i="2542"/>
  <c r="EU68" i="2542"/>
  <c r="EV68" i="2542"/>
  <c r="EW68" i="2542"/>
  <c r="EX68" i="2542"/>
  <c r="EY68" i="2542"/>
  <c r="EZ68" i="2542"/>
  <c r="FB68" i="2542"/>
  <c r="FC68" i="2542"/>
  <c r="FD68" i="2542"/>
  <c r="FE68" i="2542"/>
  <c r="FF68" i="2542"/>
  <c r="FG68" i="2542"/>
  <c r="FH68" i="2542"/>
  <c r="FI68" i="2542"/>
  <c r="FJ68" i="2542"/>
  <c r="FK68" i="2542"/>
  <c r="FL68" i="2542"/>
  <c r="FM68" i="2542"/>
  <c r="FO68" i="2542"/>
  <c r="FP68" i="2542"/>
  <c r="FQ68" i="2542"/>
  <c r="FR68" i="2542"/>
  <c r="FS68" i="2542"/>
  <c r="FT68" i="2542"/>
  <c r="FU68" i="2542"/>
  <c r="FV68" i="2542"/>
  <c r="FW68" i="2542"/>
  <c r="FX68" i="2542"/>
  <c r="FY68" i="2542"/>
  <c r="FZ68" i="2542"/>
  <c r="GB68" i="2542"/>
  <c r="GC68" i="2542"/>
  <c r="GD68" i="2542"/>
  <c r="GE68" i="2542"/>
  <c r="GF68" i="2542"/>
  <c r="GG68" i="2542"/>
  <c r="GH68" i="2542"/>
  <c r="GI68" i="2542"/>
  <c r="GJ68" i="2542"/>
  <c r="GK68" i="2542"/>
  <c r="GL68" i="2542"/>
  <c r="GM68" i="2542"/>
  <c r="GO68" i="2542"/>
  <c r="GP68" i="2542"/>
  <c r="GQ68" i="2542"/>
  <c r="GR68" i="2542"/>
  <c r="GS68" i="2542"/>
  <c r="GT68" i="2542"/>
  <c r="GU68" i="2542"/>
  <c r="GV68" i="2542"/>
  <c r="GW68" i="2542"/>
  <c r="GX68" i="2542"/>
  <c r="GY68" i="2542"/>
  <c r="GZ68" i="2542"/>
  <c r="HB68" i="2542"/>
  <c r="HC68" i="2542"/>
  <c r="HD68" i="2542"/>
  <c r="HE68" i="2542"/>
  <c r="HF68" i="2542"/>
  <c r="HG68" i="2542"/>
  <c r="HH68" i="2542"/>
  <c r="HI68" i="2542"/>
  <c r="HJ68" i="2542"/>
  <c r="HK68" i="2542"/>
  <c r="HL68" i="2542"/>
  <c r="HM68" i="2542"/>
  <c r="B70" i="2542"/>
  <c r="C70" i="2542"/>
  <c r="D70" i="2542"/>
  <c r="E70" i="2542"/>
  <c r="F70" i="2542"/>
  <c r="G70" i="2542"/>
  <c r="H70" i="2542"/>
  <c r="I70" i="2542"/>
  <c r="J70" i="2542"/>
  <c r="K70" i="2542"/>
  <c r="L70" i="2542"/>
  <c r="M70" i="2542"/>
  <c r="O70" i="2542"/>
  <c r="P70" i="2542"/>
  <c r="Q70" i="2542"/>
  <c r="R70" i="2542"/>
  <c r="S70" i="2542"/>
  <c r="T70" i="2542"/>
  <c r="U70" i="2542"/>
  <c r="V70" i="2542"/>
  <c r="W70" i="2542"/>
  <c r="X70" i="2542"/>
  <c r="Y70" i="2542"/>
  <c r="Z70" i="2542"/>
  <c r="AB70" i="2542"/>
  <c r="AC70" i="2542"/>
  <c r="AD70" i="2542"/>
  <c r="AE70" i="2542"/>
  <c r="AF70" i="2542"/>
  <c r="AG70" i="2542"/>
  <c r="AH70" i="2542"/>
  <c r="AI70" i="2542"/>
  <c r="AJ70" i="2542"/>
  <c r="AK70" i="2542"/>
  <c r="AL70" i="2542"/>
  <c r="AM70" i="2542"/>
  <c r="AO70" i="2542"/>
  <c r="AP70" i="2542"/>
  <c r="AQ70" i="2542"/>
  <c r="AR70" i="2542"/>
  <c r="AS70" i="2542"/>
  <c r="AT70" i="2542"/>
  <c r="AU70" i="2542"/>
  <c r="AV70" i="2542"/>
  <c r="AW70" i="2542"/>
  <c r="AX70" i="2542"/>
  <c r="AY70" i="2542"/>
  <c r="AZ70" i="2542"/>
  <c r="BB70" i="2542"/>
  <c r="BC70" i="2542"/>
  <c r="BD70" i="2542"/>
  <c r="BE70" i="2542"/>
  <c r="BF70" i="2542"/>
  <c r="BN70" i="2542" s="1"/>
  <c r="BG70" i="2542"/>
  <c r="BH70" i="2542"/>
  <c r="BI70" i="2542"/>
  <c r="BJ70" i="2542"/>
  <c r="BK70" i="2542"/>
  <c r="BL70" i="2542"/>
  <c r="BM70" i="2542"/>
  <c r="BO70" i="2542"/>
  <c r="BP70" i="2542"/>
  <c r="BQ70" i="2542"/>
  <c r="BR70" i="2542"/>
  <c r="BS70" i="2542"/>
  <c r="BT70" i="2542"/>
  <c r="BU70" i="2542"/>
  <c r="BV70" i="2542"/>
  <c r="BW70" i="2542"/>
  <c r="BX70" i="2542"/>
  <c r="BY70" i="2542"/>
  <c r="BZ70" i="2542"/>
  <c r="CB70" i="2542"/>
  <c r="CC70" i="2542"/>
  <c r="CD70" i="2542"/>
  <c r="CE70" i="2542"/>
  <c r="CF70" i="2542"/>
  <c r="CG70" i="2542"/>
  <c r="CH70" i="2542"/>
  <c r="CI70" i="2542"/>
  <c r="CJ70" i="2542"/>
  <c r="CK70" i="2542"/>
  <c r="CL70" i="2542"/>
  <c r="CM70" i="2542"/>
  <c r="CO70" i="2542"/>
  <c r="CP70" i="2542"/>
  <c r="CQ70" i="2542"/>
  <c r="CR70" i="2542"/>
  <c r="CS70" i="2542"/>
  <c r="CT70" i="2542"/>
  <c r="CU70" i="2542"/>
  <c r="CV70" i="2542"/>
  <c r="CW70" i="2542"/>
  <c r="CX70" i="2542"/>
  <c r="CY70" i="2542"/>
  <c r="CZ70" i="2542"/>
  <c r="DB70" i="2542"/>
  <c r="DC70" i="2542"/>
  <c r="DD70" i="2542"/>
  <c r="DE70" i="2542"/>
  <c r="DF70" i="2542"/>
  <c r="DG70" i="2542"/>
  <c r="DH70" i="2542"/>
  <c r="DI70" i="2542"/>
  <c r="DJ70" i="2542"/>
  <c r="DK70" i="2542"/>
  <c r="DL70" i="2542"/>
  <c r="DM70" i="2542"/>
  <c r="DO70" i="2542"/>
  <c r="DP70" i="2542"/>
  <c r="DQ70" i="2542"/>
  <c r="DR70" i="2542"/>
  <c r="DS70" i="2542"/>
  <c r="DT70" i="2542"/>
  <c r="DU70" i="2542"/>
  <c r="DV70" i="2542"/>
  <c r="DW70" i="2542"/>
  <c r="DX70" i="2542"/>
  <c r="DY70" i="2542"/>
  <c r="DZ70" i="2542"/>
  <c r="EB70" i="2542"/>
  <c r="EC70" i="2542"/>
  <c r="ED70" i="2542"/>
  <c r="EE70" i="2542"/>
  <c r="EF70" i="2542"/>
  <c r="EG70" i="2542"/>
  <c r="EH70" i="2542"/>
  <c r="EI70" i="2542"/>
  <c r="EJ70" i="2542"/>
  <c r="EK70" i="2542"/>
  <c r="EL70" i="2542"/>
  <c r="EM70" i="2542"/>
  <c r="EO70" i="2542"/>
  <c r="EP70" i="2542"/>
  <c r="EQ70" i="2542"/>
  <c r="ER70" i="2542"/>
  <c r="ES70" i="2542"/>
  <c r="ET70" i="2542"/>
  <c r="EU70" i="2542"/>
  <c r="EV70" i="2542"/>
  <c r="EW70" i="2542"/>
  <c r="EX70" i="2542"/>
  <c r="EY70" i="2542"/>
  <c r="EZ70" i="2542"/>
  <c r="FB70" i="2542"/>
  <c r="FC70" i="2542"/>
  <c r="FD70" i="2542"/>
  <c r="FE70" i="2542"/>
  <c r="FF70" i="2542"/>
  <c r="FG70" i="2542"/>
  <c r="FH70" i="2542"/>
  <c r="FI70" i="2542"/>
  <c r="FJ70" i="2542"/>
  <c r="FK70" i="2542"/>
  <c r="FL70" i="2542"/>
  <c r="FM70" i="2542"/>
  <c r="FO70" i="2542"/>
  <c r="FP70" i="2542"/>
  <c r="FQ70" i="2542"/>
  <c r="FR70" i="2542"/>
  <c r="FS70" i="2542"/>
  <c r="FT70" i="2542"/>
  <c r="FU70" i="2542"/>
  <c r="FV70" i="2542"/>
  <c r="FW70" i="2542"/>
  <c r="FX70" i="2542"/>
  <c r="FY70" i="2542"/>
  <c r="FZ70" i="2542"/>
  <c r="GB70" i="2542"/>
  <c r="GC70" i="2542"/>
  <c r="GD70" i="2542"/>
  <c r="GE70" i="2542"/>
  <c r="GF70" i="2542"/>
  <c r="GG70" i="2542"/>
  <c r="GH70" i="2542"/>
  <c r="GI70" i="2542"/>
  <c r="GJ70" i="2542"/>
  <c r="GK70" i="2542"/>
  <c r="GL70" i="2542"/>
  <c r="GM70" i="2542"/>
  <c r="GO70" i="2542"/>
  <c r="GP70" i="2542"/>
  <c r="GQ70" i="2542"/>
  <c r="GR70" i="2542"/>
  <c r="GS70" i="2542"/>
  <c r="GT70" i="2542"/>
  <c r="GU70" i="2542"/>
  <c r="GV70" i="2542"/>
  <c r="GW70" i="2542"/>
  <c r="GX70" i="2542"/>
  <c r="GY70" i="2542"/>
  <c r="GZ70" i="2542"/>
  <c r="HB70" i="2542"/>
  <c r="HC70" i="2542"/>
  <c r="HD70" i="2542"/>
  <c r="HE70" i="2542"/>
  <c r="HF70" i="2542"/>
  <c r="HG70" i="2542"/>
  <c r="HH70" i="2542"/>
  <c r="HI70" i="2542"/>
  <c r="HJ70" i="2542"/>
  <c r="HK70" i="2542"/>
  <c r="HL70" i="2542"/>
  <c r="HM70" i="2542"/>
  <c r="BA57" i="2542" l="1"/>
  <c r="AN23" i="2542"/>
  <c r="EA57" i="2542"/>
  <c r="DN47" i="2542"/>
  <c r="GA70" i="2542"/>
  <c r="FN58" i="2542"/>
  <c r="DX7" i="2542"/>
  <c r="DX41" i="2542" s="1"/>
  <c r="DX42" i="2542"/>
  <c r="CX7" i="2542"/>
  <c r="CX41" i="2542" s="1"/>
  <c r="CX42" i="2542"/>
  <c r="EA53" i="2542"/>
  <c r="GK42" i="2542"/>
  <c r="GK7" i="2542"/>
  <c r="GK41" i="2542" s="1"/>
  <c r="FX42" i="2542"/>
  <c r="FX7" i="2542"/>
  <c r="FX41" i="2542" s="1"/>
  <c r="FK42" i="2542"/>
  <c r="FK7" i="2542"/>
  <c r="FK41" i="2542" s="1"/>
  <c r="DJ7" i="2542"/>
  <c r="DJ41" i="2542" s="1"/>
  <c r="DJ42" i="2542"/>
  <c r="CW7" i="2542"/>
  <c r="CW41" i="2542" s="1"/>
  <c r="CW42" i="2542"/>
  <c r="FA47" i="2542"/>
  <c r="AN47" i="2542"/>
  <c r="FA23" i="2542"/>
  <c r="FN70" i="2542"/>
  <c r="CA70" i="2542"/>
  <c r="BA59" i="2542"/>
  <c r="DA47" i="2542"/>
  <c r="EA70" i="2542"/>
  <c r="HN62" i="2542"/>
  <c r="BA55" i="2542"/>
  <c r="N55" i="2542"/>
  <c r="BN49" i="2542"/>
  <c r="GA45" i="2542"/>
  <c r="FA45" i="2542"/>
  <c r="U33" i="2542"/>
  <c r="GO48" i="2542"/>
  <c r="GO7" i="2542"/>
  <c r="GO41" i="2542" s="1"/>
  <c r="DM48" i="2542"/>
  <c r="DM7" i="2542"/>
  <c r="DM41" i="2542" s="1"/>
  <c r="CM7" i="2542"/>
  <c r="CM41" i="2542" s="1"/>
  <c r="CM48" i="2542"/>
  <c r="AZ48" i="2542"/>
  <c r="AZ7" i="2542"/>
  <c r="AZ41" i="2542" s="1"/>
  <c r="GA47" i="2542"/>
  <c r="CA47" i="2542"/>
  <c r="FA70" i="2542"/>
  <c r="FN62" i="2542"/>
  <c r="AA54" i="2542"/>
  <c r="N52" i="2542"/>
  <c r="CA50" i="2542"/>
  <c r="BN50" i="2542"/>
  <c r="BA50" i="2542"/>
  <c r="T33" i="2542"/>
  <c r="GM48" i="2542"/>
  <c r="GM7" i="2542"/>
  <c r="GM41" i="2542" s="1"/>
  <c r="CY7" i="2542"/>
  <c r="CY41" i="2542" s="1"/>
  <c r="CY48" i="2542"/>
  <c r="GH7" i="2542"/>
  <c r="GH41" i="2542" s="1"/>
  <c r="AG7" i="2542"/>
  <c r="AG33" i="2542" s="1"/>
  <c r="EL7" i="2542"/>
  <c r="EL41" i="2542" s="1"/>
  <c r="DN57" i="2542"/>
  <c r="FN43" i="2542"/>
  <c r="GN70" i="2542"/>
  <c r="CN61" i="2542"/>
  <c r="HA62" i="2542"/>
  <c r="EA62" i="2542"/>
  <c r="HN55" i="2542"/>
  <c r="GJ42" i="2542"/>
  <c r="GJ7" i="2542"/>
  <c r="GJ41" i="2542" s="1"/>
  <c r="EA54" i="2542"/>
  <c r="DZ48" i="2542"/>
  <c r="FU7" i="2542"/>
  <c r="FU41" i="2542" s="1"/>
  <c r="FU53" i="2542"/>
  <c r="AF7" i="2542"/>
  <c r="EK7" i="2542"/>
  <c r="EK41" i="2542" s="1"/>
  <c r="N59" i="2542"/>
  <c r="FN47" i="2542"/>
  <c r="BN47" i="2542"/>
  <c r="HN43" i="2542"/>
  <c r="AN45" i="2542"/>
  <c r="GN60" i="2542"/>
  <c r="DN53" i="2542"/>
  <c r="HN59" i="2542"/>
  <c r="AN59" i="2542"/>
  <c r="AA47" i="2542"/>
  <c r="CN70" i="2542"/>
  <c r="GA62" i="2542"/>
  <c r="CA61" i="2542"/>
  <c r="GN55" i="2542"/>
  <c r="AN55" i="2542"/>
  <c r="GA58" i="2542"/>
  <c r="EN53" i="2542"/>
  <c r="GN52" i="2542"/>
  <c r="GA44" i="2542"/>
  <c r="HF7" i="2542"/>
  <c r="HF41" i="2542" s="1"/>
  <c r="HF53" i="2542"/>
  <c r="EN62" i="2542"/>
  <c r="HL48" i="2542"/>
  <c r="EA47" i="2542"/>
  <c r="N45" i="2542"/>
  <c r="FA43" i="2542"/>
  <c r="EN43" i="2542"/>
  <c r="CN43" i="2542"/>
  <c r="DW7" i="2542"/>
  <c r="DW41" i="2542" s="1"/>
  <c r="BR7" i="2542"/>
  <c r="BR41" i="2542" s="1"/>
  <c r="HN61" i="2542"/>
  <c r="EN61" i="2542"/>
  <c r="BA61" i="2542"/>
  <c r="BA58" i="2542"/>
  <c r="AA55" i="2542"/>
  <c r="FN52" i="2542"/>
  <c r="EA52" i="2542"/>
  <c r="N49" i="2542"/>
  <c r="DW48" i="2542"/>
  <c r="AA45" i="2542"/>
  <c r="EW7" i="2542"/>
  <c r="EW41" i="2542" s="1"/>
  <c r="EI7" i="2542"/>
  <c r="EI41" i="2542" s="1"/>
  <c r="GT7" i="2542"/>
  <c r="GT41" i="2542" s="1"/>
  <c r="EU7" i="2542"/>
  <c r="EU41" i="2542" s="1"/>
  <c r="EG7" i="2542"/>
  <c r="EG41" i="2542" s="1"/>
  <c r="BQ7" i="2542"/>
  <c r="BQ41" i="2542" s="1"/>
  <c r="EN70" i="2542"/>
  <c r="HA61" i="2542"/>
  <c r="BN61" i="2542"/>
  <c r="AN61" i="2542"/>
  <c r="AA61" i="2542"/>
  <c r="N61" i="2542"/>
  <c r="FE53" i="2542"/>
  <c r="GA52" i="2542"/>
  <c r="FA52" i="2542"/>
  <c r="EN52" i="2542"/>
  <c r="AN49" i="2542"/>
  <c r="AA49" i="2542"/>
  <c r="AS48" i="2542"/>
  <c r="BA48" i="2542" s="1"/>
  <c r="EN47" i="2542"/>
  <c r="BN45" i="2542"/>
  <c r="GT42" i="2542"/>
  <c r="N19" i="2542"/>
  <c r="EV7" i="2542"/>
  <c r="EV41" i="2542" s="1"/>
  <c r="H7" i="2542"/>
  <c r="H41" i="2542" s="1"/>
  <c r="FS7" i="2542"/>
  <c r="FS41" i="2542" s="1"/>
  <c r="DS7" i="2542"/>
  <c r="DS41" i="2542" s="1"/>
  <c r="GL7" i="2542"/>
  <c r="GL41" i="2542" s="1"/>
  <c r="DA70" i="2542"/>
  <c r="FH7" i="2542"/>
  <c r="FH41" i="2542" s="1"/>
  <c r="G7" i="2542"/>
  <c r="E7" i="2542"/>
  <c r="DK7" i="2542"/>
  <c r="DK41" i="2542" s="1"/>
  <c r="DN70" i="2542"/>
  <c r="FA62" i="2542"/>
  <c r="FA58" i="2542"/>
  <c r="EN58" i="2542"/>
  <c r="EA58" i="2542"/>
  <c r="N58" i="2542"/>
  <c r="GE53" i="2542"/>
  <c r="GN53" i="2542" s="1"/>
  <c r="G48" i="2542"/>
  <c r="BN46" i="2542"/>
  <c r="AN46" i="2542"/>
  <c r="DV42" i="2542"/>
  <c r="GY7" i="2542"/>
  <c r="GY41" i="2542" s="1"/>
  <c r="BL7" i="2542"/>
  <c r="BL41" i="2542" s="1"/>
  <c r="GG7" i="2542"/>
  <c r="GG41" i="2542" s="1"/>
  <c r="FT7" i="2542"/>
  <c r="FT41" i="2542" s="1"/>
  <c r="EA14" i="2542"/>
  <c r="S7" i="2542"/>
  <c r="AV7" i="2542"/>
  <c r="AV41" i="2542" s="1"/>
  <c r="EN45" i="2542"/>
  <c r="N50" i="2542"/>
  <c r="DN58" i="2542"/>
  <c r="BD53" i="2542"/>
  <c r="BN53" i="2542" s="1"/>
  <c r="BA49" i="2542"/>
  <c r="DN54" i="2542"/>
  <c r="DA54" i="2542"/>
  <c r="CA54" i="2542"/>
  <c r="BA54" i="2542"/>
  <c r="DA46" i="2542"/>
  <c r="CN46" i="2542"/>
  <c r="CA46" i="2542"/>
  <c r="BA46" i="2542"/>
  <c r="HI42" i="2542"/>
  <c r="GS7" i="2542"/>
  <c r="GS41" i="2542" s="1"/>
  <c r="GF7" i="2542"/>
  <c r="GF41" i="2542" s="1"/>
  <c r="ES7" i="2542"/>
  <c r="ES41" i="2542" s="1"/>
  <c r="AE7" i="2542"/>
  <c r="AE41" i="2542" s="1"/>
  <c r="AE66" i="2542" s="1"/>
  <c r="HC7" i="2542"/>
  <c r="HC41" i="2542" s="1"/>
  <c r="P7" i="2542"/>
  <c r="P33" i="2542" s="1"/>
  <c r="GI7" i="2542"/>
  <c r="GI41" i="2542" s="1"/>
  <c r="AA50" i="2542"/>
  <c r="GN47" i="2542"/>
  <c r="CZ7" i="2542"/>
  <c r="CZ41" i="2542" s="1"/>
  <c r="FN60" i="2542"/>
  <c r="AA58" i="2542"/>
  <c r="GA60" i="2542"/>
  <c r="EN60" i="2542"/>
  <c r="N54" i="2542"/>
  <c r="CN50" i="2542"/>
  <c r="FN44" i="2542"/>
  <c r="FA44" i="2542"/>
  <c r="EN44" i="2542"/>
  <c r="EA44" i="2542"/>
  <c r="EH42" i="2542"/>
  <c r="CP42" i="2542"/>
  <c r="GW7" i="2542"/>
  <c r="GW41" i="2542" s="1"/>
  <c r="EJ7" i="2542"/>
  <c r="EJ41" i="2542" s="1"/>
  <c r="HE7" i="2542"/>
  <c r="HE41" i="2542" s="1"/>
  <c r="GR7" i="2542"/>
  <c r="GR41" i="2542" s="1"/>
  <c r="CQ7" i="2542"/>
  <c r="CQ41" i="2542" s="1"/>
  <c r="AQ7" i="2542"/>
  <c r="AQ41" i="2542" s="1"/>
  <c r="CV7" i="2542"/>
  <c r="CV41" i="2542" s="1"/>
  <c r="EA45" i="2542"/>
  <c r="GA57" i="2542"/>
  <c r="CA43" i="2542"/>
  <c r="HA60" i="2542"/>
  <c r="AN63" i="2542"/>
  <c r="FA60" i="2542"/>
  <c r="CN60" i="2542"/>
  <c r="FA51" i="2542"/>
  <c r="EN51" i="2542"/>
  <c r="BN51" i="2542"/>
  <c r="BA51" i="2542"/>
  <c r="GG48" i="2542"/>
  <c r="GN48" i="2542" s="1"/>
  <c r="EU42" i="2542"/>
  <c r="FA42" i="2542" s="1"/>
  <c r="EG42" i="2542"/>
  <c r="EN42" i="2542" s="1"/>
  <c r="E42" i="2542"/>
  <c r="HD7" i="2542"/>
  <c r="HD41" i="2542" s="1"/>
  <c r="BC7" i="2542"/>
  <c r="BC41" i="2542" s="1"/>
  <c r="BZ7" i="2542"/>
  <c r="BZ41" i="2542" s="1"/>
  <c r="BM7" i="2542"/>
  <c r="BM41" i="2542" s="1"/>
  <c r="BA70" i="2542"/>
  <c r="AN50" i="2542"/>
  <c r="AA46" i="2542"/>
  <c r="HN60" i="2542"/>
  <c r="DA51" i="2542"/>
  <c r="GF48" i="2542"/>
  <c r="ES48" i="2542"/>
  <c r="V42" i="2542"/>
  <c r="AN53" i="2542"/>
  <c r="BO7" i="2542"/>
  <c r="BO41" i="2542" s="1"/>
  <c r="FM7" i="2542"/>
  <c r="FM41" i="2542" s="1"/>
  <c r="EM7" i="2542"/>
  <c r="EM41" i="2542" s="1"/>
  <c r="AB7" i="2542"/>
  <c r="AB41" i="2542" s="1"/>
  <c r="AA48" i="2542"/>
  <c r="AB57" i="2542"/>
  <c r="HJ7" i="2542"/>
  <c r="HJ41" i="2542" s="1"/>
  <c r="HN8" i="2542"/>
  <c r="HJ42" i="2542"/>
  <c r="HN42" i="2542" s="1"/>
  <c r="CJ7" i="2542"/>
  <c r="CJ41" i="2542" s="1"/>
  <c r="CJ42" i="2542"/>
  <c r="BJ7" i="2542"/>
  <c r="BJ41" i="2542" s="1"/>
  <c r="BJ42" i="2542"/>
  <c r="C41" i="2542"/>
  <c r="C33" i="2542"/>
  <c r="GN62" i="2542"/>
  <c r="GN61" i="2542"/>
  <c r="GA61" i="2542"/>
  <c r="FN61" i="2542"/>
  <c r="DA58" i="2542"/>
  <c r="CN58" i="2542"/>
  <c r="CA58" i="2542"/>
  <c r="FN55" i="2542"/>
  <c r="DN55" i="2542"/>
  <c r="N46" i="2542"/>
  <c r="Z33" i="2542"/>
  <c r="DI7" i="2542"/>
  <c r="DI41" i="2542" s="1"/>
  <c r="DI42" i="2542"/>
  <c r="CI7" i="2542"/>
  <c r="CI41" i="2542" s="1"/>
  <c r="CI42" i="2542"/>
  <c r="BV7" i="2542"/>
  <c r="BV41" i="2542" s="1"/>
  <c r="BV42" i="2542"/>
  <c r="BI7" i="2542"/>
  <c r="BI41" i="2542" s="1"/>
  <c r="BI42" i="2542"/>
  <c r="B7" i="2542"/>
  <c r="CA60" i="2542"/>
  <c r="BN60" i="2542"/>
  <c r="AN60" i="2542"/>
  <c r="AA60" i="2542"/>
  <c r="N60" i="2542"/>
  <c r="HN58" i="2542"/>
  <c r="HA54" i="2542"/>
  <c r="DN52" i="2542"/>
  <c r="DA52" i="2542"/>
  <c r="GN46" i="2542"/>
  <c r="EA46" i="2542"/>
  <c r="HA45" i="2542"/>
  <c r="AU7" i="2542"/>
  <c r="AU41" i="2542" s="1"/>
  <c r="BA53" i="2542"/>
  <c r="AN43" i="2542"/>
  <c r="AA43" i="2542"/>
  <c r="V33" i="2542"/>
  <c r="GA23" i="2542"/>
  <c r="DT7" i="2542"/>
  <c r="DT41" i="2542" s="1"/>
  <c r="BN57" i="2542"/>
  <c r="AK7" i="2542"/>
  <c r="AK41" i="2542" s="1"/>
  <c r="AK66" i="2542" s="1"/>
  <c r="AK42" i="2542"/>
  <c r="AY7" i="2542"/>
  <c r="AY41" i="2542" s="1"/>
  <c r="AY42" i="2542"/>
  <c r="AL7" i="2542"/>
  <c r="AL42" i="2542"/>
  <c r="Z42" i="2542"/>
  <c r="Z7" i="2542"/>
  <c r="Z41" i="2542" s="1"/>
  <c r="Z66" i="2542" s="1"/>
  <c r="N8" i="2542"/>
  <c r="HA70" i="2542"/>
  <c r="CA57" i="2542"/>
  <c r="CK7" i="2542"/>
  <c r="CK41" i="2542" s="1"/>
  <c r="CK42" i="2542"/>
  <c r="Y42" i="2542"/>
  <c r="Y7" i="2542"/>
  <c r="Y41" i="2542" s="1"/>
  <c r="Y66" i="2542" s="1"/>
  <c r="D41" i="2542"/>
  <c r="D33" i="2542"/>
  <c r="GN50" i="2542"/>
  <c r="EO41" i="2542"/>
  <c r="AW7" i="2542"/>
  <c r="AW41" i="2542" s="1"/>
  <c r="DN60" i="2542"/>
  <c r="EB57" i="2542"/>
  <c r="EN57" i="2542" s="1"/>
  <c r="CN52" i="2542"/>
  <c r="HA50" i="2542"/>
  <c r="DA62" i="2542"/>
  <c r="BA60" i="2542"/>
  <c r="AN70" i="2542"/>
  <c r="DN62" i="2542"/>
  <c r="CA44" i="2542"/>
  <c r="AN64" i="2542"/>
  <c r="BA62" i="2542"/>
  <c r="N62" i="2542"/>
  <c r="CA59" i="2542"/>
  <c r="HN54" i="2542"/>
  <c r="FA53" i="2542"/>
  <c r="N53" i="2542"/>
  <c r="HA49" i="2542"/>
  <c r="DN45" i="2542"/>
  <c r="CN44" i="2542"/>
  <c r="BA44" i="2542"/>
  <c r="AA44" i="2542"/>
  <c r="BX42" i="2542"/>
  <c r="AX42" i="2542"/>
  <c r="CT53" i="2542"/>
  <c r="DA53" i="2542" s="1"/>
  <c r="CT7" i="2542"/>
  <c r="CT41" i="2542" s="1"/>
  <c r="GX7" i="2542"/>
  <c r="GX41" i="2542" s="1"/>
  <c r="GX42" i="2542"/>
  <c r="BK7" i="2542"/>
  <c r="BK41" i="2542" s="1"/>
  <c r="BK42" i="2542"/>
  <c r="FA61" i="2542"/>
  <c r="DA60" i="2542"/>
  <c r="GA55" i="2542"/>
  <c r="EA60" i="2542"/>
  <c r="CN55" i="2542"/>
  <c r="K33" i="2542"/>
  <c r="K57" i="2542"/>
  <c r="AA70" i="2542"/>
  <c r="N70" i="2542"/>
  <c r="CA62" i="2542"/>
  <c r="AN62" i="2542"/>
  <c r="AA62" i="2542"/>
  <c r="HA58" i="2542"/>
  <c r="BN62" i="2542"/>
  <c r="GA54" i="2542"/>
  <c r="FN54" i="2542"/>
  <c r="FA54" i="2542"/>
  <c r="EN54" i="2542"/>
  <c r="GA51" i="2542"/>
  <c r="HN49" i="2542"/>
  <c r="GN49" i="2542"/>
  <c r="GA49" i="2542"/>
  <c r="FN49" i="2542"/>
  <c r="FA49" i="2542"/>
  <c r="DN44" i="2542"/>
  <c r="DA44" i="2542"/>
  <c r="CB41" i="2542"/>
  <c r="DN50" i="2542"/>
  <c r="M42" i="2542"/>
  <c r="M7" i="2542"/>
  <c r="M41" i="2542" s="1"/>
  <c r="HN70" i="2542"/>
  <c r="BN58" i="2542"/>
  <c r="HN53" i="2542"/>
  <c r="HN50" i="2542"/>
  <c r="GA59" i="2542"/>
  <c r="BN55" i="2542"/>
  <c r="GN54" i="2542"/>
  <c r="FN53" i="2542"/>
  <c r="HN51" i="2542"/>
  <c r="HA51" i="2542"/>
  <c r="GN51" i="2542"/>
  <c r="EA51" i="2542"/>
  <c r="CA51" i="2542"/>
  <c r="HA47" i="2542"/>
  <c r="V53" i="2542"/>
  <c r="AA53" i="2542" s="1"/>
  <c r="AA19" i="2542"/>
  <c r="AM42" i="2542"/>
  <c r="AM7" i="2542"/>
  <c r="AA8" i="2542"/>
  <c r="O7" i="2542"/>
  <c r="O42" i="2542"/>
  <c r="BW7" i="2542"/>
  <c r="BW41" i="2542" s="1"/>
  <c r="N43" i="2542"/>
  <c r="DU7" i="2542"/>
  <c r="DU41" i="2542" s="1"/>
  <c r="DU42" i="2542"/>
  <c r="EA42" i="2542" s="1"/>
  <c r="CH7" i="2542"/>
  <c r="CH41" i="2542" s="1"/>
  <c r="CH42" i="2542"/>
  <c r="BU7" i="2542"/>
  <c r="BU41" i="2542" s="1"/>
  <c r="BU42" i="2542"/>
  <c r="BH42" i="2542"/>
  <c r="BH7" i="2542"/>
  <c r="BH41" i="2542" s="1"/>
  <c r="AJ42" i="2542"/>
  <c r="AJ7" i="2542"/>
  <c r="AJ41" i="2542" s="1"/>
  <c r="AJ66" i="2542" s="1"/>
  <c r="X42" i="2542"/>
  <c r="X7" i="2542"/>
  <c r="X41" i="2542" s="1"/>
  <c r="X66" i="2542" s="1"/>
  <c r="L42" i="2542"/>
  <c r="L7" i="2542"/>
  <c r="L41" i="2542" s="1"/>
  <c r="DH7" i="2542"/>
  <c r="DH41" i="2542" s="1"/>
  <c r="EN19" i="2542"/>
  <c r="BG48" i="2542"/>
  <c r="BN48" i="2542" s="1"/>
  <c r="BN14" i="2542"/>
  <c r="FG7" i="2542"/>
  <c r="FG41" i="2542" s="1"/>
  <c r="ET7" i="2542"/>
  <c r="ET41" i="2542" s="1"/>
  <c r="EF7" i="2542"/>
  <c r="EF41" i="2542" s="1"/>
  <c r="DF42" i="2542"/>
  <c r="DF7" i="2542"/>
  <c r="DF41" i="2542" s="1"/>
  <c r="DA8" i="2542"/>
  <c r="CS42" i="2542"/>
  <c r="DA42" i="2542" s="1"/>
  <c r="CF42" i="2542"/>
  <c r="CF7" i="2542"/>
  <c r="CF41" i="2542" s="1"/>
  <c r="BS42" i="2542"/>
  <c r="BS7" i="2542"/>
  <c r="BS41" i="2542" s="1"/>
  <c r="BF7" i="2542"/>
  <c r="BF41" i="2542" s="1"/>
  <c r="BF42" i="2542"/>
  <c r="AT7" i="2542"/>
  <c r="AT41" i="2542" s="1"/>
  <c r="AT42" i="2542"/>
  <c r="AH7" i="2542"/>
  <c r="AH41" i="2542" s="1"/>
  <c r="AH66" i="2542" s="1"/>
  <c r="J42" i="2542"/>
  <c r="J7" i="2542"/>
  <c r="J41" i="2542" s="1"/>
  <c r="CU7" i="2542"/>
  <c r="CU41" i="2542" s="1"/>
  <c r="FA55" i="2542"/>
  <c r="EN55" i="2542"/>
  <c r="EA55" i="2542"/>
  <c r="CA52" i="2542"/>
  <c r="BA52" i="2542"/>
  <c r="AN52" i="2542"/>
  <c r="DN51" i="2542"/>
  <c r="GA50" i="2542"/>
  <c r="FN50" i="2542"/>
  <c r="FA50" i="2542"/>
  <c r="DT48" i="2542"/>
  <c r="EA48" i="2542" s="1"/>
  <c r="GN23" i="2542"/>
  <c r="GA19" i="2542"/>
  <c r="FP53" i="2542"/>
  <c r="GA53" i="2542" s="1"/>
  <c r="FA19" i="2542"/>
  <c r="EN14" i="2542"/>
  <c r="CA14" i="2542"/>
  <c r="BS48" i="2542"/>
  <c r="CA48" i="2542" s="1"/>
  <c r="GE7" i="2542"/>
  <c r="GE41" i="2542" s="1"/>
  <c r="CN51" i="2542"/>
  <c r="HN46" i="2542"/>
  <c r="GZ53" i="2542"/>
  <c r="HA53" i="2542" s="1"/>
  <c r="HA19" i="2542"/>
  <c r="FA14" i="2542"/>
  <c r="CE48" i="2542"/>
  <c r="CN48" i="2542" s="1"/>
  <c r="CE7" i="2542"/>
  <c r="CE41" i="2542" s="1"/>
  <c r="GQ7" i="2542"/>
  <c r="GQ41" i="2542" s="1"/>
  <c r="CS7" i="2542"/>
  <c r="CS41" i="2542" s="1"/>
  <c r="BN52" i="2542"/>
  <c r="HA46" i="2542"/>
  <c r="CN59" i="2542"/>
  <c r="EN46" i="2542"/>
  <c r="HN23" i="2542"/>
  <c r="HD57" i="2542"/>
  <c r="HN57" i="2542" s="1"/>
  <c r="EA61" i="2542"/>
  <c r="DN59" i="2542"/>
  <c r="DA59" i="2542"/>
  <c r="CA53" i="2542"/>
  <c r="HN52" i="2542"/>
  <c r="EA49" i="2542"/>
  <c r="DA49" i="2542"/>
  <c r="CA49" i="2542"/>
  <c r="ER48" i="2542"/>
  <c r="FA48" i="2542" s="1"/>
  <c r="DN48" i="2542"/>
  <c r="GA46" i="2542"/>
  <c r="FN46" i="2542"/>
  <c r="FA46" i="2542"/>
  <c r="HN44" i="2542"/>
  <c r="GN44" i="2542"/>
  <c r="HA23" i="2542"/>
  <c r="CN23" i="2542"/>
  <c r="HA14" i="2542"/>
  <c r="HA48" i="2542"/>
  <c r="GA14" i="2542"/>
  <c r="FP48" i="2542"/>
  <c r="FN14" i="2542"/>
  <c r="DC48" i="2542"/>
  <c r="DN14" i="2542"/>
  <c r="CN14" i="2542"/>
  <c r="HM7" i="2542"/>
  <c r="HM41" i="2542" s="1"/>
  <c r="HN14" i="2542"/>
  <c r="FD7" i="2542"/>
  <c r="FD41" i="2542" s="1"/>
  <c r="FD48" i="2542"/>
  <c r="FN48" i="2542" s="1"/>
  <c r="CQ48" i="2542"/>
  <c r="DA14" i="2542"/>
  <c r="CR7" i="2542"/>
  <c r="CR41" i="2542" s="1"/>
  <c r="DN61" i="2542"/>
  <c r="GN58" i="2542"/>
  <c r="HA57" i="2542"/>
  <c r="AN51" i="2542"/>
  <c r="AA51" i="2542"/>
  <c r="N51" i="2542"/>
  <c r="EN49" i="2542"/>
  <c r="DN49" i="2542"/>
  <c r="CN49" i="2542"/>
  <c r="HE48" i="2542"/>
  <c r="FT48" i="2542"/>
  <c r="GN43" i="2542"/>
  <c r="DA43" i="2542"/>
  <c r="CN42" i="2542"/>
  <c r="FN23" i="2542"/>
  <c r="GZ48" i="2542"/>
  <c r="GZ7" i="2542"/>
  <c r="GZ41" i="2542" s="1"/>
  <c r="GN14" i="2542"/>
  <c r="AC48" i="2542"/>
  <c r="AN48" i="2542" s="1"/>
  <c r="AN14" i="2542"/>
  <c r="AA14" i="2542"/>
  <c r="FZ7" i="2542"/>
  <c r="FZ41" i="2542" s="1"/>
  <c r="FZ42" i="2542"/>
  <c r="FB42" i="2542"/>
  <c r="FN42" i="2542" s="1"/>
  <c r="FB7" i="2542"/>
  <c r="BA8" i="2542"/>
  <c r="AO7" i="2542"/>
  <c r="AO42" i="2542"/>
  <c r="AC7" i="2542"/>
  <c r="AC42" i="2542"/>
  <c r="Q7" i="2542"/>
  <c r="ER7" i="2542"/>
  <c r="ER41" i="2542" s="1"/>
  <c r="AA52" i="2542"/>
  <c r="EN50" i="2542"/>
  <c r="AN44" i="2542"/>
  <c r="N44" i="2542"/>
  <c r="DA61" i="2542"/>
  <c r="HA52" i="2542"/>
  <c r="HN45" i="2542"/>
  <c r="CN54" i="2542"/>
  <c r="BN54" i="2542"/>
  <c r="AN54" i="2542"/>
  <c r="HD48" i="2542"/>
  <c r="HN48" i="2542" s="1"/>
  <c r="EN48" i="2542"/>
  <c r="FN45" i="2542"/>
  <c r="DA45" i="2542"/>
  <c r="HA43" i="2542"/>
  <c r="GA43" i="2542"/>
  <c r="AH42" i="2542"/>
  <c r="EA23" i="2542"/>
  <c r="DN23" i="2542"/>
  <c r="DA23" i="2542"/>
  <c r="CA23" i="2542"/>
  <c r="BA23" i="2542"/>
  <c r="BA14" i="2542"/>
  <c r="CL7" i="2542"/>
  <c r="CL41" i="2542" s="1"/>
  <c r="BY7" i="2542"/>
  <c r="BY41" i="2542" s="1"/>
  <c r="BY42" i="2542"/>
  <c r="AN8" i="2542"/>
  <c r="CO41" i="2542"/>
  <c r="BN44" i="2542"/>
  <c r="CN19" i="2542"/>
  <c r="BT42" i="2542"/>
  <c r="BT7" i="2542"/>
  <c r="BT41" i="2542" s="1"/>
  <c r="BG42" i="2542"/>
  <c r="BG7" i="2542"/>
  <c r="BG41" i="2542" s="1"/>
  <c r="W42" i="2542"/>
  <c r="W7" i="2542"/>
  <c r="W41" i="2542" s="1"/>
  <c r="W66" i="2542" s="1"/>
  <c r="K42" i="2542"/>
  <c r="K7" i="2542"/>
  <c r="K41" i="2542" s="1"/>
  <c r="EA43" i="2542"/>
  <c r="DN43" i="2542"/>
  <c r="DN19" i="2542"/>
  <c r="N14" i="2542"/>
  <c r="HB7" i="2542"/>
  <c r="GP7" i="2542"/>
  <c r="GP42" i="2542"/>
  <c r="GD7" i="2542"/>
  <c r="GD41" i="2542" s="1"/>
  <c r="GD42" i="2542"/>
  <c r="FR7" i="2542"/>
  <c r="FR41" i="2542" s="1"/>
  <c r="FF7" i="2542"/>
  <c r="FF41" i="2542" s="1"/>
  <c r="EE7" i="2542"/>
  <c r="EE41" i="2542" s="1"/>
  <c r="DR7" i="2542"/>
  <c r="DR41" i="2542" s="1"/>
  <c r="I7" i="2542"/>
  <c r="DG7" i="2542"/>
  <c r="CG7" i="2542"/>
  <c r="CG41" i="2542" s="1"/>
  <c r="CA45" i="2542"/>
  <c r="HA44" i="2542"/>
  <c r="FN19" i="2542"/>
  <c r="EA19" i="2542"/>
  <c r="DA19" i="2542"/>
  <c r="HA8" i="2542"/>
  <c r="GC7" i="2542"/>
  <c r="GC41" i="2542" s="1"/>
  <c r="GC42" i="2542"/>
  <c r="ED7" i="2542"/>
  <c r="DQ7" i="2542"/>
  <c r="DQ41" i="2542" s="1"/>
  <c r="EA8" i="2542"/>
  <c r="GN57" i="2542"/>
  <c r="DA55" i="2542"/>
  <c r="EA50" i="2542"/>
  <c r="CN45" i="2542"/>
  <c r="D57" i="2542"/>
  <c r="N23" i="2542"/>
  <c r="GU48" i="2542"/>
  <c r="GU7" i="2542"/>
  <c r="GU41" i="2542" s="1"/>
  <c r="GN8" i="2542"/>
  <c r="GB7" i="2542"/>
  <c r="GB42" i="2542"/>
  <c r="EN8" i="2542"/>
  <c r="DE7" i="2542"/>
  <c r="DE41" i="2542" s="1"/>
  <c r="AI7" i="2542"/>
  <c r="AI41" i="2542" s="1"/>
  <c r="AI66" i="2542" s="1"/>
  <c r="AN58" i="2542"/>
  <c r="CA55" i="2542"/>
  <c r="CF53" i="2542"/>
  <c r="CN53" i="2542" s="1"/>
  <c r="DA50" i="2542"/>
  <c r="BA45" i="2542"/>
  <c r="P57" i="2542"/>
  <c r="AA57" i="2542" s="1"/>
  <c r="AA23" i="2542"/>
  <c r="AN19" i="2542"/>
  <c r="HK7" i="2542"/>
  <c r="HK41" i="2542" s="1"/>
  <c r="GA8" i="2542"/>
  <c r="FO42" i="2542"/>
  <c r="FO7" i="2542"/>
  <c r="FA8" i="2542"/>
  <c r="DD7" i="2542"/>
  <c r="DD41" i="2542" s="1"/>
  <c r="BA19" i="2542"/>
  <c r="BN8" i="2542"/>
  <c r="GV7" i="2542"/>
  <c r="GV41" i="2542" s="1"/>
  <c r="EZ7" i="2542"/>
  <c r="EZ41" i="2542" s="1"/>
  <c r="DC7" i="2542"/>
  <c r="AR7" i="2542"/>
  <c r="AR41" i="2542" s="1"/>
  <c r="EY7" i="2542"/>
  <c r="EY41" i="2542" s="1"/>
  <c r="H48" i="2542"/>
  <c r="N48" i="2542" s="1"/>
  <c r="HN47" i="2542"/>
  <c r="EX42" i="2542"/>
  <c r="AK33" i="2542"/>
  <c r="CA19" i="2542"/>
  <c r="BN19" i="2542"/>
  <c r="DN8" i="2542"/>
  <c r="CN8" i="2542"/>
  <c r="CA8" i="2542"/>
  <c r="DP7" i="2542"/>
  <c r="DP41" i="2542" s="1"/>
  <c r="BE7" i="2542"/>
  <c r="BE41" i="2542" s="1"/>
  <c r="HN19" i="2542"/>
  <c r="BB7" i="2542"/>
  <c r="AP7" i="2542"/>
  <c r="AP41" i="2542" s="1"/>
  <c r="AD7" i="2542"/>
  <c r="R7" i="2542"/>
  <c r="F7" i="2542"/>
  <c r="HH7" i="2542"/>
  <c r="HH41" i="2542" s="1"/>
  <c r="FL7" i="2542"/>
  <c r="FL41" i="2542" s="1"/>
  <c r="DO7" i="2542"/>
  <c r="LS4" i="1974"/>
  <c r="JS4" i="1619"/>
  <c r="JN18" i="2522"/>
  <c r="KA40" i="2522" s="1"/>
  <c r="JN17" i="2522"/>
  <c r="KA39" i="2522" s="1"/>
  <c r="JN16" i="2522"/>
  <c r="KA38" i="2522" s="1"/>
  <c r="JN15" i="2522"/>
  <c r="KA37" i="2522" s="1"/>
  <c r="JN14" i="2522"/>
  <c r="KA36" i="2522" s="1"/>
  <c r="JN13" i="2522"/>
  <c r="KA35" i="2522" s="1"/>
  <c r="JN12" i="2522"/>
  <c r="KA34" i="2522" s="1"/>
  <c r="JN10" i="2522"/>
  <c r="KA32" i="2522" s="1"/>
  <c r="JN8" i="2522"/>
  <c r="JN7" i="2522"/>
  <c r="JN27" i="2522"/>
  <c r="JA27" i="2522"/>
  <c r="IN27" i="2522"/>
  <c r="IA27" i="2522"/>
  <c r="HN27" i="2522"/>
  <c r="HA27" i="2522"/>
  <c r="GN27" i="2522"/>
  <c r="GA27" i="2522"/>
  <c r="FN27" i="2522"/>
  <c r="FA27" i="2522"/>
  <c r="EN27" i="2522"/>
  <c r="EA27" i="2522"/>
  <c r="DN27" i="2522"/>
  <c r="DA27" i="2522"/>
  <c r="CN27" i="2522"/>
  <c r="CA27" i="2522"/>
  <c r="BN27" i="2522"/>
  <c r="BA27" i="2522"/>
  <c r="AN27" i="2522"/>
  <c r="AA27" i="2522"/>
  <c r="N27" i="2522"/>
  <c r="N7" i="2522"/>
  <c r="AA7" i="2522"/>
  <c r="AN7" i="2522"/>
  <c r="BA7" i="2522"/>
  <c r="BN7" i="2522"/>
  <c r="CA7" i="2522"/>
  <c r="CN7" i="2522"/>
  <c r="DA7" i="2522"/>
  <c r="DN7" i="2522"/>
  <c r="EA7" i="2522"/>
  <c r="EN7" i="2522"/>
  <c r="EP7" i="2522"/>
  <c r="EQ7" i="2522"/>
  <c r="ER7" i="2522"/>
  <c r="ES7" i="2522"/>
  <c r="ET7" i="2522"/>
  <c r="EU7" i="2522"/>
  <c r="EV7" i="2522"/>
  <c r="EW7" i="2522"/>
  <c r="EX7" i="2522"/>
  <c r="EY7" i="2522"/>
  <c r="EZ7" i="2522"/>
  <c r="FN7" i="2522"/>
  <c r="GA7" i="2522"/>
  <c r="GN7" i="2522"/>
  <c r="HA7" i="2522"/>
  <c r="HN7" i="2522"/>
  <c r="IA7" i="2522"/>
  <c r="IN7" i="2522"/>
  <c r="JA7" i="2522"/>
  <c r="JR21" i="1619"/>
  <c r="JP5" i="1619"/>
  <c r="JQ5" i="1619" s="1"/>
  <c r="JR4" i="1619"/>
  <c r="JP4" i="1619"/>
  <c r="B4" i="1619"/>
  <c r="O4" i="1619"/>
  <c r="AB4" i="1619"/>
  <c r="AO4" i="1619"/>
  <c r="BB4" i="1619"/>
  <c r="BO4" i="1619"/>
  <c r="CB4" i="1619"/>
  <c r="CO4" i="1619"/>
  <c r="DB4" i="1619"/>
  <c r="DO4" i="1619"/>
  <c r="EB4" i="1619"/>
  <c r="EO4" i="1619"/>
  <c r="FB4" i="1619"/>
  <c r="FO4" i="1619"/>
  <c r="GB4" i="1619"/>
  <c r="GO4" i="1619"/>
  <c r="HB4" i="1619"/>
  <c r="HO4" i="1619"/>
  <c r="IB4" i="1619"/>
  <c r="IO4" i="1619"/>
  <c r="N5" i="1619"/>
  <c r="AA5" i="1619"/>
  <c r="AN5" i="1619"/>
  <c r="JP24" i="1619" s="1"/>
  <c r="BA5" i="1619"/>
  <c r="JR11" i="1619" s="1"/>
  <c r="BN5" i="1619"/>
  <c r="JP11" i="1619" s="1"/>
  <c r="CA5" i="1619"/>
  <c r="CN5" i="1619"/>
  <c r="DA5" i="1619"/>
  <c r="JR22" i="1619" s="1"/>
  <c r="DN5" i="1619"/>
  <c r="JR23" i="1619" s="1"/>
  <c r="EA5" i="1619"/>
  <c r="EN5" i="1619"/>
  <c r="FA5" i="1619"/>
  <c r="FN5" i="1619"/>
  <c r="GA5" i="1619"/>
  <c r="GN5" i="1619"/>
  <c r="HA5" i="1619"/>
  <c r="HN5" i="1619"/>
  <c r="IA5" i="1619"/>
  <c r="IN5" i="1619"/>
  <c r="JA5" i="1619"/>
  <c r="JN5" i="1619"/>
  <c r="JB4" i="1619"/>
  <c r="KC5" i="1615"/>
  <c r="KD5" i="1615" s="1"/>
  <c r="KF4" i="1615"/>
  <c r="KE4" i="1615" s="1"/>
  <c r="JP5" i="2534"/>
  <c r="JQ5" i="2534" s="1"/>
  <c r="JS4" i="2534"/>
  <c r="JR4" i="2534" s="1"/>
  <c r="KF4" i="2478"/>
  <c r="KC4" i="2478" s="1"/>
  <c r="KC5" i="2478"/>
  <c r="KD5" i="2478"/>
  <c r="KE5" i="2478" s="1"/>
  <c r="JP5" i="1611"/>
  <c r="JQ5" i="1611" s="1"/>
  <c r="JS4" i="1611"/>
  <c r="JP4" i="1611" s="1"/>
  <c r="JP5" i="1610"/>
  <c r="JS4" i="1610" s="1"/>
  <c r="JM20" i="2545"/>
  <c r="JL20" i="2545"/>
  <c r="JK20" i="2545"/>
  <c r="JJ20" i="2545"/>
  <c r="JI20" i="2545"/>
  <c r="JH20" i="2545"/>
  <c r="JG20" i="2545"/>
  <c r="JF20" i="2545"/>
  <c r="JE20" i="2545"/>
  <c r="JD20" i="2545"/>
  <c r="JC20" i="2545"/>
  <c r="JB20" i="2545"/>
  <c r="IZ20" i="2545"/>
  <c r="IY20" i="2545"/>
  <c r="IX20" i="2545"/>
  <c r="IW20" i="2545"/>
  <c r="IV20" i="2545"/>
  <c r="IU20" i="2545"/>
  <c r="IT20" i="2545"/>
  <c r="IS20" i="2545"/>
  <c r="IR20" i="2545"/>
  <c r="IQ20" i="2545"/>
  <c r="IP20" i="2545"/>
  <c r="IO20" i="2545"/>
  <c r="IM20" i="2545"/>
  <c r="IL20" i="2545"/>
  <c r="IK20" i="2545"/>
  <c r="IJ20" i="2545"/>
  <c r="II20" i="2545"/>
  <c r="IH20" i="2545"/>
  <c r="IG20" i="2545"/>
  <c r="IF20" i="2545"/>
  <c r="IE20" i="2545"/>
  <c r="ID20" i="2545"/>
  <c r="IC20" i="2545"/>
  <c r="IB20" i="2545"/>
  <c r="HZ20" i="2545"/>
  <c r="HY20" i="2545"/>
  <c r="HX20" i="2545"/>
  <c r="HW20" i="2545"/>
  <c r="HV20" i="2545"/>
  <c r="HU20" i="2545"/>
  <c r="HT20" i="2545"/>
  <c r="HS20" i="2545"/>
  <c r="HR20" i="2545"/>
  <c r="HQ20" i="2545"/>
  <c r="HP20" i="2545"/>
  <c r="HO20" i="2545"/>
  <c r="HM20" i="2545"/>
  <c r="HL20" i="2545"/>
  <c r="HK20" i="2545"/>
  <c r="HJ20" i="2545"/>
  <c r="HI20" i="2545"/>
  <c r="HH20" i="2545"/>
  <c r="HG20" i="2545"/>
  <c r="HF20" i="2545"/>
  <c r="HE20" i="2545"/>
  <c r="HD20" i="2545"/>
  <c r="HB20" i="2545"/>
  <c r="GZ20" i="2545"/>
  <c r="GY20" i="2545"/>
  <c r="GX20" i="2545"/>
  <c r="GV20" i="2545"/>
  <c r="GU20" i="2545"/>
  <c r="GS20" i="2545"/>
  <c r="GR20" i="2545"/>
  <c r="GL20" i="2545"/>
  <c r="GK20" i="2545"/>
  <c r="GJ20" i="2545"/>
  <c r="GI20" i="2545"/>
  <c r="GH20" i="2545"/>
  <c r="GB20" i="2545"/>
  <c r="FZ20" i="2545"/>
  <c r="FT20" i="2545"/>
  <c r="FS20" i="2545"/>
  <c r="FM20" i="2545"/>
  <c r="FE20" i="2545"/>
  <c r="FD20" i="2545"/>
  <c r="FC20" i="2545"/>
  <c r="FB20" i="2545"/>
  <c r="EZ20" i="2545"/>
  <c r="EY20" i="2545"/>
  <c r="EX20" i="2545"/>
  <c r="EW20" i="2545"/>
  <c r="ES20" i="2545"/>
  <c r="ER20" i="2545"/>
  <c r="EQ20" i="2545"/>
  <c r="EP20" i="2545"/>
  <c r="EO20" i="2545"/>
  <c r="EM20" i="2545"/>
  <c r="EL20" i="2545"/>
  <c r="EK20" i="2545"/>
  <c r="EJ20" i="2545"/>
  <c r="EI20" i="2545"/>
  <c r="EH20" i="2545"/>
  <c r="EG20" i="2545"/>
  <c r="EF20" i="2545"/>
  <c r="EE20" i="2545"/>
  <c r="ED20" i="2545"/>
  <c r="EC20" i="2545"/>
  <c r="EB20" i="2545"/>
  <c r="DZ20" i="2545"/>
  <c r="DY20" i="2545"/>
  <c r="DX20" i="2545"/>
  <c r="DW20" i="2545"/>
  <c r="DV20" i="2545"/>
  <c r="DU20" i="2545"/>
  <c r="DT20" i="2545"/>
  <c r="DS20" i="2545"/>
  <c r="DR20" i="2545"/>
  <c r="DQ20" i="2545"/>
  <c r="DP20" i="2545"/>
  <c r="DO20" i="2545"/>
  <c r="DM20" i="2545"/>
  <c r="DL20" i="2545"/>
  <c r="DK20" i="2545"/>
  <c r="DJ20" i="2545"/>
  <c r="DI20" i="2545"/>
  <c r="DH20" i="2545"/>
  <c r="DG20" i="2545"/>
  <c r="DF20" i="2545"/>
  <c r="DE20" i="2545"/>
  <c r="DD20" i="2545"/>
  <c r="DC20" i="2545"/>
  <c r="DB20" i="2545"/>
  <c r="CZ20" i="2545"/>
  <c r="CY20" i="2545"/>
  <c r="CX20" i="2545"/>
  <c r="CW20" i="2545"/>
  <c r="CV20" i="2545"/>
  <c r="CU20" i="2545"/>
  <c r="CT20" i="2545"/>
  <c r="CS20" i="2545"/>
  <c r="CR20" i="2545"/>
  <c r="CQ20" i="2545"/>
  <c r="CP20" i="2545"/>
  <c r="CO20" i="2545"/>
  <c r="CM20" i="2545"/>
  <c r="CL20" i="2545"/>
  <c r="CK20" i="2545"/>
  <c r="CJ20" i="2545"/>
  <c r="CI20" i="2545"/>
  <c r="CH20" i="2545"/>
  <c r="CG20" i="2545"/>
  <c r="CF20" i="2545"/>
  <c r="CE20" i="2545"/>
  <c r="CD20" i="2545"/>
  <c r="CC20" i="2545"/>
  <c r="CB20" i="2545"/>
  <c r="BZ20" i="2545"/>
  <c r="BY20" i="2545"/>
  <c r="BX20" i="2545"/>
  <c r="BW20" i="2545"/>
  <c r="BV20" i="2545"/>
  <c r="BU20" i="2545"/>
  <c r="BT20" i="2545"/>
  <c r="BS20" i="2545"/>
  <c r="BR20" i="2545"/>
  <c r="BQ20" i="2545"/>
  <c r="BP20" i="2545"/>
  <c r="BO20" i="2545"/>
  <c r="BM20" i="2545"/>
  <c r="BL20" i="2545"/>
  <c r="BK20" i="2545"/>
  <c r="BJ20" i="2545"/>
  <c r="BI20" i="2545"/>
  <c r="BH20" i="2545"/>
  <c r="BG20" i="2545"/>
  <c r="BF20" i="2545"/>
  <c r="BE20" i="2545"/>
  <c r="BD20" i="2545"/>
  <c r="BC20" i="2545"/>
  <c r="BB20" i="2545"/>
  <c r="AZ20" i="2545"/>
  <c r="AY20" i="2545"/>
  <c r="AX20" i="2545"/>
  <c r="AW20" i="2545"/>
  <c r="AV20" i="2545"/>
  <c r="AU20" i="2545"/>
  <c r="AT20" i="2545"/>
  <c r="AS20" i="2545"/>
  <c r="AR20" i="2545"/>
  <c r="AQ20" i="2545"/>
  <c r="AP20" i="2545"/>
  <c r="AO20" i="2545"/>
  <c r="AM20" i="2545"/>
  <c r="AL20" i="2545"/>
  <c r="AK20" i="2545"/>
  <c r="AJ20" i="2545"/>
  <c r="AI20" i="2545"/>
  <c r="AH20" i="2545"/>
  <c r="AG20" i="2545"/>
  <c r="AF20" i="2545"/>
  <c r="AE20" i="2545"/>
  <c r="AD20" i="2545"/>
  <c r="AC20" i="2545"/>
  <c r="AB20" i="2545"/>
  <c r="Z20" i="2545"/>
  <c r="Y20" i="2545"/>
  <c r="X20" i="2545"/>
  <c r="W20" i="2545"/>
  <c r="V20" i="2545"/>
  <c r="U20" i="2545"/>
  <c r="T20" i="2545"/>
  <c r="S20" i="2545"/>
  <c r="R20" i="2545"/>
  <c r="Q20" i="2545"/>
  <c r="P20" i="2545"/>
  <c r="O20" i="2545"/>
  <c r="M20" i="2545"/>
  <c r="L20" i="2545"/>
  <c r="K20" i="2545"/>
  <c r="J20" i="2545"/>
  <c r="I20" i="2545"/>
  <c r="H20" i="2545"/>
  <c r="G20" i="2545"/>
  <c r="F20" i="2545"/>
  <c r="E20" i="2545"/>
  <c r="D20" i="2545"/>
  <c r="C20" i="2545"/>
  <c r="B20" i="2545"/>
  <c r="JZ20" i="2545"/>
  <c r="JY20" i="2545"/>
  <c r="JX20" i="2545"/>
  <c r="JW20" i="2545"/>
  <c r="JV20" i="2545"/>
  <c r="JU20" i="2545"/>
  <c r="JT20" i="2545"/>
  <c r="JS20" i="2545"/>
  <c r="JR20" i="2545"/>
  <c r="JQ20" i="2545"/>
  <c r="JP20" i="2545"/>
  <c r="JO20" i="2545"/>
  <c r="JM9" i="2545"/>
  <c r="JL9" i="2545"/>
  <c r="JK9" i="2545"/>
  <c r="JJ9" i="2545"/>
  <c r="JI9" i="2545"/>
  <c r="JH9" i="2545"/>
  <c r="JG9" i="2545"/>
  <c r="JF9" i="2545"/>
  <c r="JE9" i="2545"/>
  <c r="JD9" i="2545"/>
  <c r="JC9" i="2545"/>
  <c r="JB9" i="2545"/>
  <c r="IZ9" i="2545"/>
  <c r="IY9" i="2545"/>
  <c r="IX9" i="2545"/>
  <c r="IW9" i="2545"/>
  <c r="IV9" i="2545"/>
  <c r="IU9" i="2545"/>
  <c r="IT9" i="2545"/>
  <c r="IS9" i="2545"/>
  <c r="IR9" i="2545"/>
  <c r="IQ9" i="2545"/>
  <c r="IP9" i="2545"/>
  <c r="IO9" i="2545"/>
  <c r="IM9" i="2545"/>
  <c r="IL9" i="2545"/>
  <c r="IK9" i="2545"/>
  <c r="IJ9" i="2545"/>
  <c r="II9" i="2545"/>
  <c r="IH9" i="2545"/>
  <c r="IG9" i="2545"/>
  <c r="IF9" i="2545"/>
  <c r="IE9" i="2545"/>
  <c r="ID9" i="2545"/>
  <c r="IC9" i="2545"/>
  <c r="IB9" i="2545"/>
  <c r="HZ9" i="2545"/>
  <c r="HY9" i="2545"/>
  <c r="HX9" i="2545"/>
  <c r="HW9" i="2545"/>
  <c r="HV9" i="2545"/>
  <c r="HU9" i="2545"/>
  <c r="HT9" i="2545"/>
  <c r="HS9" i="2545"/>
  <c r="HR9" i="2545"/>
  <c r="HQ9" i="2545"/>
  <c r="HP9" i="2545"/>
  <c r="HO9" i="2545"/>
  <c r="HM9" i="2545"/>
  <c r="HL9" i="2545"/>
  <c r="HK9" i="2545"/>
  <c r="HJ9" i="2545"/>
  <c r="HI9" i="2545"/>
  <c r="HH9" i="2545"/>
  <c r="HG9" i="2545"/>
  <c r="HF9" i="2545"/>
  <c r="HE9" i="2545"/>
  <c r="HB9" i="2545"/>
  <c r="GZ9" i="2545"/>
  <c r="GY9" i="2545"/>
  <c r="GX9" i="2545"/>
  <c r="GW9" i="2545"/>
  <c r="GV9" i="2545"/>
  <c r="GU9" i="2545"/>
  <c r="GR9" i="2545"/>
  <c r="GQ9" i="2545"/>
  <c r="GP9" i="2545"/>
  <c r="GO9" i="2545"/>
  <c r="GM9" i="2545"/>
  <c r="GL9" i="2545"/>
  <c r="GK9" i="2545"/>
  <c r="GJ9" i="2545"/>
  <c r="GI9" i="2545"/>
  <c r="GH9" i="2545"/>
  <c r="GG9" i="2545"/>
  <c r="GF9" i="2545"/>
  <c r="GE9" i="2545"/>
  <c r="GD9" i="2545"/>
  <c r="GC9" i="2545"/>
  <c r="GB9" i="2545"/>
  <c r="FZ9" i="2545"/>
  <c r="FY9" i="2545"/>
  <c r="FX9" i="2545"/>
  <c r="FW9" i="2545"/>
  <c r="FV9" i="2545"/>
  <c r="FU9" i="2545"/>
  <c r="FT9" i="2545"/>
  <c r="FS9" i="2545"/>
  <c r="FR9" i="2545"/>
  <c r="FQ9" i="2545"/>
  <c r="FP9" i="2545"/>
  <c r="FO9" i="2545"/>
  <c r="FM9" i="2545"/>
  <c r="FL9" i="2545"/>
  <c r="FK9" i="2545"/>
  <c r="FJ9" i="2545"/>
  <c r="FI9" i="2545"/>
  <c r="FH9" i="2545"/>
  <c r="FG9" i="2545"/>
  <c r="FF9" i="2545"/>
  <c r="FE9" i="2545"/>
  <c r="FD9" i="2545"/>
  <c r="FC9" i="2545"/>
  <c r="FB9" i="2545"/>
  <c r="EZ9" i="2545"/>
  <c r="EY9" i="2545"/>
  <c r="EX9" i="2545"/>
  <c r="EW9" i="2545"/>
  <c r="EV9" i="2545"/>
  <c r="EU9" i="2545"/>
  <c r="ET9" i="2545"/>
  <c r="ES9" i="2545"/>
  <c r="ER9" i="2545"/>
  <c r="EQ9" i="2545"/>
  <c r="EP9" i="2545"/>
  <c r="EO9" i="2545"/>
  <c r="EM9" i="2545"/>
  <c r="EL9" i="2545"/>
  <c r="EK9" i="2545"/>
  <c r="EJ9" i="2545"/>
  <c r="EI9" i="2545"/>
  <c r="EH9" i="2545"/>
  <c r="EG9" i="2545"/>
  <c r="EF9" i="2545"/>
  <c r="EE9" i="2545"/>
  <c r="ED9" i="2545"/>
  <c r="EC9" i="2545"/>
  <c r="EB9" i="2545"/>
  <c r="DZ9" i="2545"/>
  <c r="DY9" i="2545"/>
  <c r="DX9" i="2545"/>
  <c r="DW9" i="2545"/>
  <c r="DV9" i="2545"/>
  <c r="DU9" i="2545"/>
  <c r="DT9" i="2545"/>
  <c r="DS9" i="2545"/>
  <c r="DR9" i="2545"/>
  <c r="DQ9" i="2545"/>
  <c r="DP9" i="2545"/>
  <c r="DO9" i="2545"/>
  <c r="DM9" i="2545"/>
  <c r="DL9" i="2545"/>
  <c r="DK9" i="2545"/>
  <c r="DJ9" i="2545"/>
  <c r="DI9" i="2545"/>
  <c r="DH9" i="2545"/>
  <c r="DG9" i="2545"/>
  <c r="DF9" i="2545"/>
  <c r="DE9" i="2545"/>
  <c r="DD9" i="2545"/>
  <c r="DC9" i="2545"/>
  <c r="DB9" i="2545"/>
  <c r="CZ9" i="2545"/>
  <c r="CY9" i="2545"/>
  <c r="CX9" i="2545"/>
  <c r="CW9" i="2545"/>
  <c r="CV9" i="2545"/>
  <c r="CU9" i="2545"/>
  <c r="CT9" i="2545"/>
  <c r="CS9" i="2545"/>
  <c r="CR9" i="2545"/>
  <c r="CQ9" i="2545"/>
  <c r="CP9" i="2545"/>
  <c r="CO9" i="2545"/>
  <c r="CM9" i="2545"/>
  <c r="CL9" i="2545"/>
  <c r="CK9" i="2545"/>
  <c r="CJ9" i="2545"/>
  <c r="CI9" i="2545"/>
  <c r="CH9" i="2545"/>
  <c r="CG9" i="2545"/>
  <c r="CF9" i="2545"/>
  <c r="CE9" i="2545"/>
  <c r="CD9" i="2545"/>
  <c r="CC9" i="2545"/>
  <c r="CB9" i="2545"/>
  <c r="BZ9" i="2545"/>
  <c r="BY9" i="2545"/>
  <c r="BX9" i="2545"/>
  <c r="BW9" i="2545"/>
  <c r="BV9" i="2545"/>
  <c r="BU9" i="2545"/>
  <c r="BT9" i="2545"/>
  <c r="BS9" i="2545"/>
  <c r="BR9" i="2545"/>
  <c r="BQ9" i="2545"/>
  <c r="BP9" i="2545"/>
  <c r="BO9" i="2545"/>
  <c r="BM9" i="2545"/>
  <c r="BL9" i="2545"/>
  <c r="BK9" i="2545"/>
  <c r="BJ9" i="2545"/>
  <c r="BI9" i="2545"/>
  <c r="BH9" i="2545"/>
  <c r="BG9" i="2545"/>
  <c r="BF9" i="2545"/>
  <c r="BE9" i="2545"/>
  <c r="BD9" i="2545"/>
  <c r="BC9" i="2545"/>
  <c r="BB9" i="2545"/>
  <c r="AZ9" i="2545"/>
  <c r="AY9" i="2545"/>
  <c r="AX9" i="2545"/>
  <c r="AW9" i="2545"/>
  <c r="AV9" i="2545"/>
  <c r="AU9" i="2545"/>
  <c r="AT9" i="2545"/>
  <c r="AS9" i="2545"/>
  <c r="AR9" i="2545"/>
  <c r="AQ9" i="2545"/>
  <c r="AP9" i="2545"/>
  <c r="AO9" i="2545"/>
  <c r="AM9" i="2545"/>
  <c r="AL9" i="2545"/>
  <c r="AK9" i="2545"/>
  <c r="AJ9" i="2545"/>
  <c r="AI9" i="2545"/>
  <c r="AH9" i="2545"/>
  <c r="AG9" i="2545"/>
  <c r="AF9" i="2545"/>
  <c r="AE9" i="2545"/>
  <c r="AD9" i="2545"/>
  <c r="AC9" i="2545"/>
  <c r="AB9" i="2545"/>
  <c r="Z9" i="2545"/>
  <c r="Y9" i="2545"/>
  <c r="X9" i="2545"/>
  <c r="W9" i="2545"/>
  <c r="V9" i="2545"/>
  <c r="U9" i="2545"/>
  <c r="T9" i="2545"/>
  <c r="S9" i="2545"/>
  <c r="R9" i="2545"/>
  <c r="Q9" i="2545"/>
  <c r="P9" i="2545"/>
  <c r="O9" i="2545"/>
  <c r="M9" i="2545"/>
  <c r="L9" i="2545"/>
  <c r="K9" i="2545"/>
  <c r="J9" i="2545"/>
  <c r="I9" i="2545"/>
  <c r="H9" i="2545"/>
  <c r="G9" i="2545"/>
  <c r="F9" i="2545"/>
  <c r="E9" i="2545"/>
  <c r="D9" i="2545"/>
  <c r="C9" i="2545"/>
  <c r="B9" i="2545"/>
  <c r="M33" i="2542" l="1"/>
  <c r="S33" i="2542"/>
  <c r="S41" i="2542"/>
  <c r="S66" i="2542" s="1"/>
  <c r="AG41" i="2542"/>
  <c r="AG66" i="2542" s="1"/>
  <c r="N57" i="2542"/>
  <c r="DA48" i="2542"/>
  <c r="FA7" i="2542"/>
  <c r="P41" i="2542"/>
  <c r="AN42" i="2542"/>
  <c r="DN42" i="2542"/>
  <c r="AB33" i="2542"/>
  <c r="GA42" i="2542"/>
  <c r="CA41" i="2542"/>
  <c r="GA48" i="2542"/>
  <c r="H33" i="2542"/>
  <c r="AE33" i="2542"/>
  <c r="E41" i="2542"/>
  <c r="E33" i="2542"/>
  <c r="AF33" i="2542"/>
  <c r="AF41" i="2542"/>
  <c r="AF66" i="2542" s="1"/>
  <c r="N42" i="2542"/>
  <c r="G41" i="2542"/>
  <c r="G33" i="2542"/>
  <c r="F41" i="2542"/>
  <c r="F33" i="2542"/>
  <c r="CN7" i="2542"/>
  <c r="FA41" i="2542"/>
  <c r="N33" i="2542"/>
  <c r="R33" i="2542"/>
  <c r="R41" i="2542"/>
  <c r="R66" i="2542" s="1"/>
  <c r="Q41" i="2542"/>
  <c r="Q66" i="2542" s="1"/>
  <c r="Q33" i="2542"/>
  <c r="BN7" i="2542"/>
  <c r="BB41" i="2542"/>
  <c r="BN41" i="2542" s="1"/>
  <c r="AA42" i="2542"/>
  <c r="AM33" i="2542"/>
  <c r="AM41" i="2542"/>
  <c r="AM66" i="2542" s="1"/>
  <c r="AD33" i="2542"/>
  <c r="AD41" i="2542"/>
  <c r="AD66" i="2542" s="1"/>
  <c r="BN42" i="2542"/>
  <c r="AN7" i="2542"/>
  <c r="AN33" i="2542" s="1"/>
  <c r="AN57" i="2542"/>
  <c r="AB66" i="2542"/>
  <c r="AC41" i="2542"/>
  <c r="AC66" i="2542" s="1"/>
  <c r="AC33" i="2542"/>
  <c r="BA42" i="2542"/>
  <c r="CA42" i="2542"/>
  <c r="CA7" i="2542"/>
  <c r="HA42" i="2542"/>
  <c r="BA7" i="2542"/>
  <c r="AO41" i="2542"/>
  <c r="BA41" i="2542" s="1"/>
  <c r="Y33" i="2542"/>
  <c r="GP41" i="2542"/>
  <c r="HA41" i="2542" s="1"/>
  <c r="HA7" i="2542"/>
  <c r="L33" i="2542"/>
  <c r="P66" i="2542"/>
  <c r="HN7" i="2542"/>
  <c r="HB41" i="2542"/>
  <c r="HN41" i="2542" s="1"/>
  <c r="FN7" i="2542"/>
  <c r="FB41" i="2542"/>
  <c r="FN41" i="2542" s="1"/>
  <c r="AH33" i="2542"/>
  <c r="N7" i="2542"/>
  <c r="B33" i="2542"/>
  <c r="B41" i="2542"/>
  <c r="AI33" i="2542"/>
  <c r="GN42" i="2542"/>
  <c r="O33" i="2542"/>
  <c r="AA7" i="2542"/>
  <c r="AA33" i="2542" s="1"/>
  <c r="O41" i="2542"/>
  <c r="GN7" i="2542"/>
  <c r="GB41" i="2542"/>
  <c r="GN41" i="2542" s="1"/>
  <c r="DA41" i="2542"/>
  <c r="EA7" i="2542"/>
  <c r="DO41" i="2542"/>
  <c r="EA41" i="2542" s="1"/>
  <c r="X33" i="2542"/>
  <c r="ED41" i="2542"/>
  <c r="EN41" i="2542" s="1"/>
  <c r="EN7" i="2542"/>
  <c r="J33" i="2542"/>
  <c r="I33" i="2542"/>
  <c r="I41" i="2542"/>
  <c r="GA7" i="2542"/>
  <c r="FO41" i="2542"/>
  <c r="GA41" i="2542" s="1"/>
  <c r="CN41" i="2542"/>
  <c r="DC41" i="2542"/>
  <c r="DN7" i="2542"/>
  <c r="AL41" i="2542"/>
  <c r="AL66" i="2542" s="1"/>
  <c r="AL33" i="2542"/>
  <c r="DA7" i="2542"/>
  <c r="AJ33" i="2542"/>
  <c r="DG33" i="2542"/>
  <c r="DG41" i="2542"/>
  <c r="W33" i="2542"/>
  <c r="FA7" i="2522"/>
  <c r="IA20" i="2545"/>
  <c r="IN20" i="2545"/>
  <c r="JA20" i="2545"/>
  <c r="JP23" i="1619"/>
  <c r="JP13" i="1619"/>
  <c r="JR13" i="1619"/>
  <c r="JS13" i="1619"/>
  <c r="JR10" i="1619"/>
  <c r="JR20" i="1619"/>
  <c r="JS20" i="1619"/>
  <c r="JP19" i="1619"/>
  <c r="JP22" i="1619"/>
  <c r="JP10" i="1619"/>
  <c r="JS22" i="1619"/>
  <c r="JQ22" i="1619" s="1"/>
  <c r="JP20" i="1619"/>
  <c r="JP15" i="1619"/>
  <c r="JS15" i="1619"/>
  <c r="JS19" i="1619"/>
  <c r="JR24" i="1619"/>
  <c r="JS23" i="1619"/>
  <c r="JQ23" i="1619" s="1"/>
  <c r="JS11" i="1619"/>
  <c r="JQ11" i="1619" s="1"/>
  <c r="JR15" i="1619"/>
  <c r="JR19" i="1619"/>
  <c r="JP21" i="1619"/>
  <c r="JS24" i="1619"/>
  <c r="JS5" i="1619"/>
  <c r="JR5" i="1619"/>
  <c r="KF5" i="1615"/>
  <c r="KE5" i="1615"/>
  <c r="KC4" i="1615"/>
  <c r="JS5" i="2534"/>
  <c r="JR5" i="2534"/>
  <c r="JP4" i="2534"/>
  <c r="KE4" i="2478"/>
  <c r="KF5" i="2478"/>
  <c r="JS5" i="1611"/>
  <c r="JR5" i="1611"/>
  <c r="JR4" i="1611"/>
  <c r="JN20" i="2545"/>
  <c r="N20" i="2545"/>
  <c r="AA20" i="2545"/>
  <c r="AN20" i="2545"/>
  <c r="BA20" i="2545"/>
  <c r="BN20" i="2545"/>
  <c r="CA20" i="2545"/>
  <c r="CN20" i="2545"/>
  <c r="DA20" i="2545"/>
  <c r="DN20" i="2545"/>
  <c r="EA20" i="2545"/>
  <c r="BA9" i="2545"/>
  <c r="N9" i="2545"/>
  <c r="FN9" i="2545"/>
  <c r="FA9" i="2545"/>
  <c r="AA9" i="2545"/>
  <c r="AN9" i="2545"/>
  <c r="BN9" i="2545"/>
  <c r="CA9" i="2545"/>
  <c r="CN9" i="2545"/>
  <c r="DA9" i="2545"/>
  <c r="DN9" i="2545"/>
  <c r="EN9" i="2545"/>
  <c r="GA9" i="2545"/>
  <c r="GN9" i="2545"/>
  <c r="IA9" i="2545"/>
  <c r="IN9" i="2545"/>
  <c r="JA9" i="2545"/>
  <c r="JN9" i="2545"/>
  <c r="EN20" i="2545"/>
  <c r="EA9" i="2545"/>
  <c r="JQ13" i="1619" l="1"/>
  <c r="JQ20" i="1619"/>
  <c r="AN66" i="2542"/>
  <c r="AA41" i="2542"/>
  <c r="AA66" i="2542" s="1"/>
  <c r="O66" i="2542"/>
  <c r="N41" i="2542"/>
  <c r="AN41" i="2542"/>
  <c r="DN41" i="2542"/>
  <c r="JQ24" i="1619"/>
  <c r="JQ19" i="1619"/>
  <c r="JQ15" i="1619"/>
  <c r="KA42" i="2545"/>
  <c r="JN42" i="2545"/>
  <c r="JA42" i="2545"/>
  <c r="IN42" i="2545"/>
  <c r="IA42" i="2545"/>
  <c r="HN42" i="2545"/>
  <c r="HA42" i="2545"/>
  <c r="GN42" i="2545"/>
  <c r="GA42" i="2545"/>
  <c r="FN42" i="2545"/>
  <c r="FA42" i="2545"/>
  <c r="EN42" i="2545"/>
  <c r="KA36" i="2545"/>
  <c r="IN36" i="2545"/>
  <c r="IA36" i="2545"/>
  <c r="HD36" i="2545"/>
  <c r="HB36" i="2545"/>
  <c r="HA36" i="2545"/>
  <c r="GN36" i="2545"/>
  <c r="GA36" i="2545"/>
  <c r="FN36" i="2545"/>
  <c r="FA36" i="2545"/>
  <c r="EN36" i="2545"/>
  <c r="DO36" i="2545"/>
  <c r="EA36" i="2545" s="1"/>
  <c r="DN36" i="2545"/>
  <c r="DA36" i="2545"/>
  <c r="CN36" i="2545"/>
  <c r="CA36" i="2545"/>
  <c r="BN36" i="2545"/>
  <c r="BA36" i="2545"/>
  <c r="AN36" i="2545"/>
  <c r="AA36" i="2545"/>
  <c r="N36" i="2545"/>
  <c r="KA35" i="2545"/>
  <c r="IN35" i="2545"/>
  <c r="KA34" i="2545"/>
  <c r="JN34" i="2545"/>
  <c r="IN34" i="2545"/>
  <c r="IA34" i="2545"/>
  <c r="HN34" i="2545"/>
  <c r="HA34" i="2545"/>
  <c r="GN34" i="2545"/>
  <c r="GA34" i="2545"/>
  <c r="FN34" i="2545"/>
  <c r="FA34" i="2545"/>
  <c r="EN34" i="2545"/>
  <c r="EA34" i="2545"/>
  <c r="DN34" i="2545"/>
  <c r="DA34" i="2545"/>
  <c r="CN34" i="2545"/>
  <c r="CA34" i="2545"/>
  <c r="BN34" i="2545"/>
  <c r="BA34" i="2545"/>
  <c r="AN34" i="2545"/>
  <c r="AA34" i="2545"/>
  <c r="N34" i="2545"/>
  <c r="KA33" i="2545"/>
  <c r="JN33" i="2545"/>
  <c r="IN33" i="2545"/>
  <c r="IA33" i="2545"/>
  <c r="HN33" i="2545"/>
  <c r="GW33" i="2545"/>
  <c r="GN33" i="2545"/>
  <c r="GA33" i="2545"/>
  <c r="FN33" i="2545"/>
  <c r="FA33" i="2545"/>
  <c r="EN33" i="2545"/>
  <c r="EA33" i="2545"/>
  <c r="DN33" i="2545"/>
  <c r="DA33" i="2545"/>
  <c r="CN33" i="2545"/>
  <c r="CA33" i="2545"/>
  <c r="BN33" i="2545"/>
  <c r="BA33" i="2545"/>
  <c r="AN33" i="2545"/>
  <c r="AA33" i="2545"/>
  <c r="N33" i="2545"/>
  <c r="KA32" i="2545"/>
  <c r="JN32" i="2545"/>
  <c r="KA31" i="2545"/>
  <c r="JN31" i="2545"/>
  <c r="IN31" i="2545"/>
  <c r="IA31" i="2545"/>
  <c r="HN31" i="2545"/>
  <c r="GT31" i="2545"/>
  <c r="HA31" i="2545" s="1"/>
  <c r="GN31" i="2545"/>
  <c r="GA31" i="2545"/>
  <c r="FN31" i="2545"/>
  <c r="FA31" i="2545"/>
  <c r="EN31" i="2545"/>
  <c r="EA31" i="2545"/>
  <c r="DN31" i="2545"/>
  <c r="DA31" i="2545"/>
  <c r="CN31" i="2545"/>
  <c r="CA31" i="2545"/>
  <c r="BN31" i="2545"/>
  <c r="BA31" i="2545"/>
  <c r="AN31" i="2545"/>
  <c r="AA31" i="2545"/>
  <c r="N31" i="2545"/>
  <c r="KA30" i="2545"/>
  <c r="JN30" i="2545"/>
  <c r="IN30" i="2545"/>
  <c r="IA30" i="2545"/>
  <c r="HN30" i="2545"/>
  <c r="HA30" i="2545"/>
  <c r="GN30" i="2545"/>
  <c r="GA30" i="2545"/>
  <c r="FN30" i="2545"/>
  <c r="FA30" i="2545"/>
  <c r="EN30" i="2545"/>
  <c r="EA30" i="2545"/>
  <c r="DN30" i="2545"/>
  <c r="DA30" i="2545"/>
  <c r="CN30" i="2545"/>
  <c r="CA30" i="2545"/>
  <c r="BN30" i="2545"/>
  <c r="BA30" i="2545"/>
  <c r="KA29" i="2545"/>
  <c r="JN29" i="2545"/>
  <c r="IN29" i="2545"/>
  <c r="IA29" i="2545"/>
  <c r="HN29" i="2545"/>
  <c r="HA29" i="2545"/>
  <c r="GN29" i="2545"/>
  <c r="GA29" i="2545"/>
  <c r="FN29" i="2545"/>
  <c r="FA29" i="2545"/>
  <c r="EN29" i="2545"/>
  <c r="EA29" i="2545"/>
  <c r="DN29" i="2545"/>
  <c r="DA29" i="2545"/>
  <c r="CN29" i="2545"/>
  <c r="CA29" i="2545"/>
  <c r="BN29" i="2545"/>
  <c r="BA29" i="2545"/>
  <c r="AN29" i="2545"/>
  <c r="AA29" i="2545"/>
  <c r="N29" i="2545"/>
  <c r="KA28" i="2545"/>
  <c r="JN28" i="2545"/>
  <c r="IN28" i="2545"/>
  <c r="IA28" i="2545"/>
  <c r="HN28" i="2545"/>
  <c r="HA28" i="2545"/>
  <c r="GN28" i="2545"/>
  <c r="GA28" i="2545"/>
  <c r="FN28" i="2545"/>
  <c r="FA28" i="2545"/>
  <c r="EN28" i="2545"/>
  <c r="EA28" i="2545"/>
  <c r="DN28" i="2545"/>
  <c r="DA28" i="2545"/>
  <c r="CN28" i="2545"/>
  <c r="CA28" i="2545"/>
  <c r="BN28" i="2545"/>
  <c r="BA28" i="2545"/>
  <c r="AN28" i="2545"/>
  <c r="AA28" i="2545"/>
  <c r="N28" i="2545"/>
  <c r="KA27" i="2545"/>
  <c r="JN27" i="2545"/>
  <c r="IN27" i="2545"/>
  <c r="IA27" i="2545"/>
  <c r="HN27" i="2545"/>
  <c r="HA27" i="2545"/>
  <c r="GN27" i="2545"/>
  <c r="GA27" i="2545"/>
  <c r="FN27" i="2545"/>
  <c r="FA27" i="2545"/>
  <c r="EN27" i="2545"/>
  <c r="EA27" i="2545"/>
  <c r="DN27" i="2545"/>
  <c r="DA27" i="2545"/>
  <c r="CN27" i="2545"/>
  <c r="CA27" i="2545"/>
  <c r="BN27" i="2545"/>
  <c r="BA27" i="2545"/>
  <c r="AN27" i="2545"/>
  <c r="AA27" i="2545"/>
  <c r="N27" i="2545"/>
  <c r="KA26" i="2545"/>
  <c r="JN26" i="2545"/>
  <c r="KA25" i="2545"/>
  <c r="JN25" i="2545"/>
  <c r="IN25" i="2545"/>
  <c r="IA25" i="2545"/>
  <c r="HC25" i="2545"/>
  <c r="HC20" i="2545" s="1"/>
  <c r="HN20" i="2545" s="1"/>
  <c r="GT25" i="2545"/>
  <c r="GQ25" i="2545"/>
  <c r="GQ20" i="2545" s="1"/>
  <c r="GP25" i="2545"/>
  <c r="GP20" i="2545" s="1"/>
  <c r="GO25" i="2545"/>
  <c r="GO20" i="2545" s="1"/>
  <c r="GM25" i="2545"/>
  <c r="GM20" i="2545" s="1"/>
  <c r="GG25" i="2545"/>
  <c r="GG20" i="2545" s="1"/>
  <c r="GF25" i="2545"/>
  <c r="GF20" i="2545" s="1"/>
  <c r="GE25" i="2545"/>
  <c r="GE20" i="2545" s="1"/>
  <c r="GD25" i="2545"/>
  <c r="GD20" i="2545" s="1"/>
  <c r="GC25" i="2545"/>
  <c r="GC20" i="2545" s="1"/>
  <c r="FY25" i="2545"/>
  <c r="FY20" i="2545" s="1"/>
  <c r="FX25" i="2545"/>
  <c r="FX20" i="2545" s="1"/>
  <c r="FW25" i="2545"/>
  <c r="FW20" i="2545" s="1"/>
  <c r="FV25" i="2545"/>
  <c r="FV20" i="2545" s="1"/>
  <c r="FU25" i="2545"/>
  <c r="FU20" i="2545" s="1"/>
  <c r="FR25" i="2545"/>
  <c r="FR20" i="2545" s="1"/>
  <c r="FQ25" i="2545"/>
  <c r="FQ20" i="2545" s="1"/>
  <c r="FP25" i="2545"/>
  <c r="FP20" i="2545" s="1"/>
  <c r="FO25" i="2545"/>
  <c r="FO20" i="2545" s="1"/>
  <c r="FL25" i="2545"/>
  <c r="FL20" i="2545" s="1"/>
  <c r="FK25" i="2545"/>
  <c r="FK20" i="2545" s="1"/>
  <c r="FJ25" i="2545"/>
  <c r="FJ20" i="2545" s="1"/>
  <c r="FI25" i="2545"/>
  <c r="FI20" i="2545" s="1"/>
  <c r="FH25" i="2545"/>
  <c r="FH20" i="2545" s="1"/>
  <c r="FG25" i="2545"/>
  <c r="FG20" i="2545" s="1"/>
  <c r="FF25" i="2545"/>
  <c r="FF20" i="2545" s="1"/>
  <c r="EV25" i="2545"/>
  <c r="EV20" i="2545" s="1"/>
  <c r="EU25" i="2545"/>
  <c r="EU20" i="2545" s="1"/>
  <c r="ET25" i="2545"/>
  <c r="ET20" i="2545" s="1"/>
  <c r="EN25" i="2545"/>
  <c r="EA25" i="2545"/>
  <c r="DN25" i="2545"/>
  <c r="DA25" i="2545"/>
  <c r="CN25" i="2545"/>
  <c r="CA25" i="2545"/>
  <c r="BN25" i="2545"/>
  <c r="BA25" i="2545"/>
  <c r="AN25" i="2545"/>
  <c r="AA25" i="2545"/>
  <c r="N25" i="2545"/>
  <c r="KA24" i="2545"/>
  <c r="JN24" i="2545"/>
  <c r="IN24" i="2545"/>
  <c r="IA24" i="2545"/>
  <c r="HN24" i="2545"/>
  <c r="HA24" i="2545"/>
  <c r="GN24" i="2545"/>
  <c r="GA24" i="2545"/>
  <c r="FN24" i="2545"/>
  <c r="FA24" i="2545"/>
  <c r="EN24" i="2545"/>
  <c r="EA24" i="2545"/>
  <c r="DN24" i="2545"/>
  <c r="DA24" i="2545"/>
  <c r="CN24" i="2545"/>
  <c r="CA24" i="2545"/>
  <c r="BN24" i="2545"/>
  <c r="BA24" i="2545"/>
  <c r="KA23" i="2545"/>
  <c r="JN23" i="2545"/>
  <c r="IN23" i="2545"/>
  <c r="IA23" i="2545"/>
  <c r="HN23" i="2545"/>
  <c r="HA23" i="2545"/>
  <c r="GN23" i="2545"/>
  <c r="GA23" i="2545"/>
  <c r="FN23" i="2545"/>
  <c r="FA23" i="2545"/>
  <c r="EN23" i="2545"/>
  <c r="EA23" i="2545"/>
  <c r="DN23" i="2545"/>
  <c r="DA23" i="2545"/>
  <c r="CN23" i="2545"/>
  <c r="CA23" i="2545"/>
  <c r="BN23" i="2545"/>
  <c r="BA23" i="2545"/>
  <c r="KA22" i="2545"/>
  <c r="JN22" i="2545"/>
  <c r="IN22" i="2545"/>
  <c r="IA22" i="2545"/>
  <c r="HN22" i="2545"/>
  <c r="HA22" i="2545"/>
  <c r="GN22" i="2545"/>
  <c r="GA22" i="2545"/>
  <c r="FN22" i="2545"/>
  <c r="FA22" i="2545"/>
  <c r="EN22" i="2545"/>
  <c r="EA22" i="2545"/>
  <c r="DN22" i="2545"/>
  <c r="DA22" i="2545"/>
  <c r="CN22" i="2545"/>
  <c r="CA22" i="2545"/>
  <c r="BN22" i="2545"/>
  <c r="BA22" i="2545"/>
  <c r="KA21" i="2545"/>
  <c r="JN21" i="2545"/>
  <c r="IN21" i="2545"/>
  <c r="IA21" i="2545"/>
  <c r="HN21" i="2545"/>
  <c r="HA21" i="2545"/>
  <c r="GN21" i="2545"/>
  <c r="GA21" i="2545"/>
  <c r="FN21" i="2545"/>
  <c r="FA21" i="2545"/>
  <c r="EN21" i="2545"/>
  <c r="EA21" i="2545"/>
  <c r="DN21" i="2545"/>
  <c r="DA21" i="2545"/>
  <c r="CN21" i="2545"/>
  <c r="CA21" i="2545"/>
  <c r="BN21" i="2545"/>
  <c r="BA21" i="2545"/>
  <c r="KA19" i="2545"/>
  <c r="JN19" i="2545"/>
  <c r="JA19" i="2545"/>
  <c r="IN19" i="2545"/>
  <c r="IN18" i="2545" s="1"/>
  <c r="IA19" i="2545"/>
  <c r="IA18" i="2545" s="1"/>
  <c r="HN19" i="2545"/>
  <c r="HN18" i="2545" s="1"/>
  <c r="HA19" i="2545"/>
  <c r="HA18" i="2545" s="1"/>
  <c r="GN19" i="2545"/>
  <c r="GN18" i="2545" s="1"/>
  <c r="GA19" i="2545"/>
  <c r="GA18" i="2545" s="1"/>
  <c r="FN19" i="2545"/>
  <c r="FN18" i="2545" s="1"/>
  <c r="FA19" i="2545"/>
  <c r="EN19" i="2545"/>
  <c r="EA19" i="2545"/>
  <c r="EA18" i="2545" s="1"/>
  <c r="DN19" i="2545"/>
  <c r="DN18" i="2545" s="1"/>
  <c r="DA19" i="2545"/>
  <c r="DA18" i="2545" s="1"/>
  <c r="CN19" i="2545"/>
  <c r="CN18" i="2545" s="1"/>
  <c r="CA19" i="2545"/>
  <c r="CA18" i="2545" s="1"/>
  <c r="BN19" i="2545"/>
  <c r="BN18" i="2545" s="1"/>
  <c r="BA19" i="2545"/>
  <c r="BA18" i="2545" s="1"/>
  <c r="AN19" i="2545"/>
  <c r="AN18" i="2545" s="1"/>
  <c r="AA19" i="2545"/>
  <c r="AA18" i="2545" s="1"/>
  <c r="N19" i="2545"/>
  <c r="N18" i="2545" s="1"/>
  <c r="JZ18" i="2545"/>
  <c r="JY18" i="2545"/>
  <c r="JX18" i="2545"/>
  <c r="JW18" i="2545"/>
  <c r="JV18" i="2545"/>
  <c r="JU18" i="2545"/>
  <c r="JT18" i="2545"/>
  <c r="JS18" i="2545"/>
  <c r="JR18" i="2545"/>
  <c r="JQ18" i="2545"/>
  <c r="JP18" i="2545"/>
  <c r="JO18" i="2545"/>
  <c r="JM18" i="2545"/>
  <c r="JL18" i="2545"/>
  <c r="JK18" i="2545"/>
  <c r="JJ18" i="2545"/>
  <c r="JI18" i="2545"/>
  <c r="JH18" i="2545"/>
  <c r="JG18" i="2545"/>
  <c r="JF18" i="2545"/>
  <c r="JE18" i="2545"/>
  <c r="JD18" i="2545"/>
  <c r="JC18" i="2545"/>
  <c r="JB18" i="2545"/>
  <c r="IZ18" i="2545"/>
  <c r="IY18" i="2545"/>
  <c r="IX18" i="2545"/>
  <c r="IW18" i="2545"/>
  <c r="IV18" i="2545"/>
  <c r="IU18" i="2545"/>
  <c r="IT18" i="2545"/>
  <c r="IS18" i="2545"/>
  <c r="IR18" i="2545"/>
  <c r="IQ18" i="2545"/>
  <c r="IP18" i="2545"/>
  <c r="IO18" i="2545"/>
  <c r="IM18" i="2545"/>
  <c r="IL18" i="2545"/>
  <c r="IK18" i="2545"/>
  <c r="IJ18" i="2545"/>
  <c r="II18" i="2545"/>
  <c r="IH18" i="2545"/>
  <c r="IG18" i="2545"/>
  <c r="IF18" i="2545"/>
  <c r="IE18" i="2545"/>
  <c r="ID18" i="2545"/>
  <c r="IC18" i="2545"/>
  <c r="IB18" i="2545"/>
  <c r="HZ18" i="2545"/>
  <c r="HY18" i="2545"/>
  <c r="HX18" i="2545"/>
  <c r="HW18" i="2545"/>
  <c r="HV18" i="2545"/>
  <c r="HU18" i="2545"/>
  <c r="HT18" i="2545"/>
  <c r="HS18" i="2545"/>
  <c r="HR18" i="2545"/>
  <c r="HQ18" i="2545"/>
  <c r="HP18" i="2545"/>
  <c r="HO18" i="2545"/>
  <c r="HM18" i="2545"/>
  <c r="HL18" i="2545"/>
  <c r="HK18" i="2545"/>
  <c r="HJ18" i="2545"/>
  <c r="HI18" i="2545"/>
  <c r="HH18" i="2545"/>
  <c r="HG18" i="2545"/>
  <c r="HF18" i="2545"/>
  <c r="HE18" i="2545"/>
  <c r="HD18" i="2545"/>
  <c r="HC18" i="2545"/>
  <c r="HB18" i="2545"/>
  <c r="GZ18" i="2545"/>
  <c r="GY18" i="2545"/>
  <c r="GX18" i="2545"/>
  <c r="GW18" i="2545"/>
  <c r="GV18" i="2545"/>
  <c r="GU18" i="2545"/>
  <c r="GT18" i="2545"/>
  <c r="GS18" i="2545"/>
  <c r="GR18" i="2545"/>
  <c r="GQ18" i="2545"/>
  <c r="GP18" i="2545"/>
  <c r="GO18" i="2545"/>
  <c r="GM18" i="2545"/>
  <c r="GL18" i="2545"/>
  <c r="GK18" i="2545"/>
  <c r="GJ18" i="2545"/>
  <c r="GI18" i="2545"/>
  <c r="GH18" i="2545"/>
  <c r="GG18" i="2545"/>
  <c r="GF18" i="2545"/>
  <c r="GE18" i="2545"/>
  <c r="GD18" i="2545"/>
  <c r="GC18" i="2545"/>
  <c r="GB18" i="2545"/>
  <c r="FZ18" i="2545"/>
  <c r="FY18" i="2545"/>
  <c r="FX18" i="2545"/>
  <c r="FW18" i="2545"/>
  <c r="FV18" i="2545"/>
  <c r="FU18" i="2545"/>
  <c r="FT18" i="2545"/>
  <c r="FS18" i="2545"/>
  <c r="FR18" i="2545"/>
  <c r="FQ18" i="2545"/>
  <c r="FP18" i="2545"/>
  <c r="FO18" i="2545"/>
  <c r="FM18" i="2545"/>
  <c r="FL18" i="2545"/>
  <c r="FK18" i="2545"/>
  <c r="FJ18" i="2545"/>
  <c r="FI18" i="2545"/>
  <c r="FH18" i="2545"/>
  <c r="FG18" i="2545"/>
  <c r="FF18" i="2545"/>
  <c r="FE18" i="2545"/>
  <c r="FD18" i="2545"/>
  <c r="FC18" i="2545"/>
  <c r="FB18" i="2545"/>
  <c r="FA18" i="2545"/>
  <c r="EZ18" i="2545"/>
  <c r="EY18" i="2545"/>
  <c r="EX18" i="2545"/>
  <c r="EW18" i="2545"/>
  <c r="EV18" i="2545"/>
  <c r="EU18" i="2545"/>
  <c r="ET18" i="2545"/>
  <c r="ES18" i="2545"/>
  <c r="ER18" i="2545"/>
  <c r="EQ18" i="2545"/>
  <c r="EP18" i="2545"/>
  <c r="EO18" i="2545"/>
  <c r="EN18" i="2545"/>
  <c r="EM18" i="2545"/>
  <c r="EL18" i="2545"/>
  <c r="EK18" i="2545"/>
  <c r="EJ18" i="2545"/>
  <c r="EI18" i="2545"/>
  <c r="EH18" i="2545"/>
  <c r="EG18" i="2545"/>
  <c r="EF18" i="2545"/>
  <c r="EE18" i="2545"/>
  <c r="ED18" i="2545"/>
  <c r="EC18" i="2545"/>
  <c r="EB18" i="2545"/>
  <c r="DZ18" i="2545"/>
  <c r="DY18" i="2545"/>
  <c r="DX18" i="2545"/>
  <c r="DW18" i="2545"/>
  <c r="DV18" i="2545"/>
  <c r="DU18" i="2545"/>
  <c r="DT18" i="2545"/>
  <c r="DS18" i="2545"/>
  <c r="DR18" i="2545"/>
  <c r="DQ18" i="2545"/>
  <c r="DP18" i="2545"/>
  <c r="DO18" i="2545"/>
  <c r="DM18" i="2545"/>
  <c r="DL18" i="2545"/>
  <c r="DK18" i="2545"/>
  <c r="DJ18" i="2545"/>
  <c r="DI18" i="2545"/>
  <c r="DH18" i="2545"/>
  <c r="DG18" i="2545"/>
  <c r="DF18" i="2545"/>
  <c r="DE18" i="2545"/>
  <c r="DD18" i="2545"/>
  <c r="DC18" i="2545"/>
  <c r="DB18" i="2545"/>
  <c r="CZ18" i="2545"/>
  <c r="CY18" i="2545"/>
  <c r="CX18" i="2545"/>
  <c r="CW18" i="2545"/>
  <c r="CV18" i="2545"/>
  <c r="CU18" i="2545"/>
  <c r="CT18" i="2545"/>
  <c r="CS18" i="2545"/>
  <c r="CR18" i="2545"/>
  <c r="CQ18" i="2545"/>
  <c r="CP18" i="2545"/>
  <c r="CO18" i="2545"/>
  <c r="CM18" i="2545"/>
  <c r="CL18" i="2545"/>
  <c r="CK18" i="2545"/>
  <c r="CJ18" i="2545"/>
  <c r="CI18" i="2545"/>
  <c r="CH18" i="2545"/>
  <c r="CG18" i="2545"/>
  <c r="CF18" i="2545"/>
  <c r="CE18" i="2545"/>
  <c r="CD18" i="2545"/>
  <c r="CC18" i="2545"/>
  <c r="CB18" i="2545"/>
  <c r="BZ18" i="2545"/>
  <c r="BY18" i="2545"/>
  <c r="BX18" i="2545"/>
  <c r="BW18" i="2545"/>
  <c r="BV18" i="2545"/>
  <c r="BU18" i="2545"/>
  <c r="BT18" i="2545"/>
  <c r="BS18" i="2545"/>
  <c r="BR18" i="2545"/>
  <c r="BQ18" i="2545"/>
  <c r="BP18" i="2545"/>
  <c r="BO18" i="2545"/>
  <c r="BM18" i="2545"/>
  <c r="BL18" i="2545"/>
  <c r="BK18" i="2545"/>
  <c r="BJ18" i="2545"/>
  <c r="BI18" i="2545"/>
  <c r="BH18" i="2545"/>
  <c r="BG18" i="2545"/>
  <c r="BF18" i="2545"/>
  <c r="BE18" i="2545"/>
  <c r="BD18" i="2545"/>
  <c r="BC18" i="2545"/>
  <c r="BB18" i="2545"/>
  <c r="AZ18" i="2545"/>
  <c r="AY18" i="2545"/>
  <c r="AX18" i="2545"/>
  <c r="AW18" i="2545"/>
  <c r="AV18" i="2545"/>
  <c r="AU18" i="2545"/>
  <c r="AT18" i="2545"/>
  <c r="AS18" i="2545"/>
  <c r="AR18" i="2545"/>
  <c r="AQ18" i="2545"/>
  <c r="AP18" i="2545"/>
  <c r="AO18" i="2545"/>
  <c r="AM18" i="2545"/>
  <c r="AL18" i="2545"/>
  <c r="AK18" i="2545"/>
  <c r="AJ18" i="2545"/>
  <c r="AI18" i="2545"/>
  <c r="AH18" i="2545"/>
  <c r="AG18" i="2545"/>
  <c r="AF18" i="2545"/>
  <c r="AE18" i="2545"/>
  <c r="AD18" i="2545"/>
  <c r="AC18" i="2545"/>
  <c r="AB18" i="2545"/>
  <c r="Z18" i="2545"/>
  <c r="Y18" i="2545"/>
  <c r="X18" i="2545"/>
  <c r="W18" i="2545"/>
  <c r="V18" i="2545"/>
  <c r="U18" i="2545"/>
  <c r="T18" i="2545"/>
  <c r="S18" i="2545"/>
  <c r="R18" i="2545"/>
  <c r="Q18" i="2545"/>
  <c r="P18" i="2545"/>
  <c r="O18" i="2545"/>
  <c r="M18" i="2545"/>
  <c r="L18" i="2545"/>
  <c r="K18" i="2545"/>
  <c r="J18" i="2545"/>
  <c r="I18" i="2545"/>
  <c r="H18" i="2545"/>
  <c r="G18" i="2545"/>
  <c r="F18" i="2545"/>
  <c r="E18" i="2545"/>
  <c r="D18" i="2545"/>
  <c r="C18" i="2545"/>
  <c r="B18" i="2545"/>
  <c r="KA17" i="2545"/>
  <c r="JN17" i="2545"/>
  <c r="JA17" i="2545"/>
  <c r="IN17" i="2545"/>
  <c r="IA17" i="2545"/>
  <c r="HN17" i="2545"/>
  <c r="HA17" i="2545"/>
  <c r="GN17" i="2545"/>
  <c r="GA17" i="2545"/>
  <c r="FN17" i="2545"/>
  <c r="FA17" i="2545"/>
  <c r="EN17" i="2545"/>
  <c r="EA17" i="2545"/>
  <c r="DN17" i="2545"/>
  <c r="DA17" i="2545"/>
  <c r="CN17" i="2545"/>
  <c r="CA17" i="2545"/>
  <c r="BN17" i="2545"/>
  <c r="BA17" i="2545"/>
  <c r="AN17" i="2545"/>
  <c r="AA17" i="2545"/>
  <c r="N17" i="2545"/>
  <c r="KA16" i="2545"/>
  <c r="JN16" i="2545"/>
  <c r="JA16" i="2545"/>
  <c r="IN16" i="2545"/>
  <c r="IA16" i="2545"/>
  <c r="HN16" i="2545"/>
  <c r="HA16" i="2545"/>
  <c r="GN16" i="2545"/>
  <c r="GA16" i="2545"/>
  <c r="FN16" i="2545"/>
  <c r="FA16" i="2545"/>
  <c r="EN16" i="2545"/>
  <c r="EA16" i="2545"/>
  <c r="DN16" i="2545"/>
  <c r="DA16" i="2545"/>
  <c r="CN16" i="2545"/>
  <c r="CA16" i="2545"/>
  <c r="BN16" i="2545"/>
  <c r="BA16" i="2545"/>
  <c r="AN16" i="2545"/>
  <c r="AA16" i="2545"/>
  <c r="N16" i="2545"/>
  <c r="KA15" i="2545"/>
  <c r="JN15" i="2545"/>
  <c r="JA15" i="2545"/>
  <c r="IN15" i="2545"/>
  <c r="IA15" i="2545"/>
  <c r="HN15" i="2545"/>
  <c r="HA15" i="2545"/>
  <c r="GN15" i="2545"/>
  <c r="GA15" i="2545"/>
  <c r="FN15" i="2545"/>
  <c r="FA15" i="2545"/>
  <c r="EN15" i="2545"/>
  <c r="EA15" i="2545"/>
  <c r="DN15" i="2545"/>
  <c r="DA15" i="2545"/>
  <c r="CN15" i="2545"/>
  <c r="CA15" i="2545"/>
  <c r="BN15" i="2545"/>
  <c r="BA15" i="2545"/>
  <c r="AN15" i="2545"/>
  <c r="AA15" i="2545"/>
  <c r="N15" i="2545"/>
  <c r="KA14" i="2545"/>
  <c r="JN14" i="2545"/>
  <c r="JA14" i="2545"/>
  <c r="IN14" i="2545"/>
  <c r="IA14" i="2545"/>
  <c r="HN14" i="2545"/>
  <c r="HA14" i="2545"/>
  <c r="GN14" i="2545"/>
  <c r="GA14" i="2545"/>
  <c r="FN14" i="2545"/>
  <c r="FA14" i="2545"/>
  <c r="EN14" i="2545"/>
  <c r="EA14" i="2545"/>
  <c r="DN14" i="2545"/>
  <c r="DA14" i="2545"/>
  <c r="CN14" i="2545"/>
  <c r="CA14" i="2545"/>
  <c r="BN14" i="2545"/>
  <c r="BA14" i="2545"/>
  <c r="AN14" i="2545"/>
  <c r="AA14" i="2545"/>
  <c r="N14" i="2545"/>
  <c r="JZ13" i="2545"/>
  <c r="JY13" i="2545"/>
  <c r="JX13" i="2545"/>
  <c r="JW13" i="2545"/>
  <c r="JV13" i="2545"/>
  <c r="JU13" i="2545"/>
  <c r="JT13" i="2545"/>
  <c r="JS13" i="2545"/>
  <c r="JR13" i="2545"/>
  <c r="JQ13" i="2545"/>
  <c r="JP13" i="2545"/>
  <c r="JO13" i="2545"/>
  <c r="JM13" i="2545"/>
  <c r="JL13" i="2545"/>
  <c r="JK13" i="2545"/>
  <c r="JJ13" i="2545"/>
  <c r="JI13" i="2545"/>
  <c r="JH13" i="2545"/>
  <c r="JG13" i="2545"/>
  <c r="JF13" i="2545"/>
  <c r="JE13" i="2545"/>
  <c r="JD13" i="2545"/>
  <c r="JC13" i="2545"/>
  <c r="JB13" i="2545"/>
  <c r="IZ13" i="2545"/>
  <c r="IY13" i="2545"/>
  <c r="IX13" i="2545"/>
  <c r="IW13" i="2545"/>
  <c r="IV13" i="2545"/>
  <c r="IU13" i="2545"/>
  <c r="IT13" i="2545"/>
  <c r="IS13" i="2545"/>
  <c r="IR13" i="2545"/>
  <c r="IQ13" i="2545"/>
  <c r="IP13" i="2545"/>
  <c r="IO13" i="2545"/>
  <c r="IM13" i="2545"/>
  <c r="IL13" i="2545"/>
  <c r="IK13" i="2545"/>
  <c r="IJ13" i="2545"/>
  <c r="II13" i="2545"/>
  <c r="IH13" i="2545"/>
  <c r="IG13" i="2545"/>
  <c r="IF13" i="2545"/>
  <c r="IE13" i="2545"/>
  <c r="ID13" i="2545"/>
  <c r="IC13" i="2545"/>
  <c r="IB13" i="2545"/>
  <c r="HZ13" i="2545"/>
  <c r="HY13" i="2545"/>
  <c r="HX13" i="2545"/>
  <c r="HW13" i="2545"/>
  <c r="HV13" i="2545"/>
  <c r="HU13" i="2545"/>
  <c r="HT13" i="2545"/>
  <c r="HS13" i="2545"/>
  <c r="HR13" i="2545"/>
  <c r="HQ13" i="2545"/>
  <c r="HP13" i="2545"/>
  <c r="HO13" i="2545"/>
  <c r="HM13" i="2545"/>
  <c r="HL13" i="2545"/>
  <c r="HK13" i="2545"/>
  <c r="HJ13" i="2545"/>
  <c r="HI13" i="2545"/>
  <c r="HH13" i="2545"/>
  <c r="HG13" i="2545"/>
  <c r="HF13" i="2545"/>
  <c r="HE13" i="2545"/>
  <c r="HD13" i="2545"/>
  <c r="HC13" i="2545"/>
  <c r="HB13" i="2545"/>
  <c r="GZ13" i="2545"/>
  <c r="GY13" i="2545"/>
  <c r="GX13" i="2545"/>
  <c r="GW13" i="2545"/>
  <c r="GV13" i="2545"/>
  <c r="GU13" i="2545"/>
  <c r="GT13" i="2545"/>
  <c r="GS13" i="2545"/>
  <c r="GR13" i="2545"/>
  <c r="GQ13" i="2545"/>
  <c r="GP13" i="2545"/>
  <c r="GO13" i="2545"/>
  <c r="GM13" i="2545"/>
  <c r="GL13" i="2545"/>
  <c r="GK13" i="2545"/>
  <c r="GJ13" i="2545"/>
  <c r="GI13" i="2545"/>
  <c r="GH13" i="2545"/>
  <c r="GG13" i="2545"/>
  <c r="GF13" i="2545"/>
  <c r="GE13" i="2545"/>
  <c r="GD13" i="2545"/>
  <c r="GC13" i="2545"/>
  <c r="GB13" i="2545"/>
  <c r="FZ13" i="2545"/>
  <c r="FY13" i="2545"/>
  <c r="FX13" i="2545"/>
  <c r="FW13" i="2545"/>
  <c r="FV13" i="2545"/>
  <c r="FU13" i="2545"/>
  <c r="FT13" i="2545"/>
  <c r="FS13" i="2545"/>
  <c r="FR13" i="2545"/>
  <c r="FQ13" i="2545"/>
  <c r="FP13" i="2545"/>
  <c r="FO13" i="2545"/>
  <c r="FM13" i="2545"/>
  <c r="FL13" i="2545"/>
  <c r="FK13" i="2545"/>
  <c r="FJ13" i="2545"/>
  <c r="FI13" i="2545"/>
  <c r="FH13" i="2545"/>
  <c r="FG13" i="2545"/>
  <c r="FF13" i="2545"/>
  <c r="FE13" i="2545"/>
  <c r="FD13" i="2545"/>
  <c r="FC13" i="2545"/>
  <c r="FB13" i="2545"/>
  <c r="EZ13" i="2545"/>
  <c r="EY13" i="2545"/>
  <c r="EX13" i="2545"/>
  <c r="EW13" i="2545"/>
  <c r="EV13" i="2545"/>
  <c r="EU13" i="2545"/>
  <c r="ET13" i="2545"/>
  <c r="ES13" i="2545"/>
  <c r="ER13" i="2545"/>
  <c r="EQ13" i="2545"/>
  <c r="EP13" i="2545"/>
  <c r="EO13" i="2545"/>
  <c r="EM13" i="2545"/>
  <c r="EL13" i="2545"/>
  <c r="EK13" i="2545"/>
  <c r="EJ13" i="2545"/>
  <c r="EJ12" i="2545" s="1"/>
  <c r="EJ7" i="2545" s="1"/>
  <c r="EI13" i="2545"/>
  <c r="EH13" i="2545"/>
  <c r="EG13" i="2545"/>
  <c r="EF13" i="2545"/>
  <c r="EE13" i="2545"/>
  <c r="ED13" i="2545"/>
  <c r="EC13" i="2545"/>
  <c r="EB13" i="2545"/>
  <c r="DZ13" i="2545"/>
  <c r="DY13" i="2545"/>
  <c r="DX13" i="2545"/>
  <c r="DW13" i="2545"/>
  <c r="DW12" i="2545" s="1"/>
  <c r="DW7" i="2545" s="1"/>
  <c r="DV13" i="2545"/>
  <c r="DU13" i="2545"/>
  <c r="DT13" i="2545"/>
  <c r="DS13" i="2545"/>
  <c r="DR13" i="2545"/>
  <c r="DQ13" i="2545"/>
  <c r="DP13" i="2545"/>
  <c r="DO13" i="2545"/>
  <c r="DM13" i="2545"/>
  <c r="DL13" i="2545"/>
  <c r="DK13" i="2545"/>
  <c r="DJ13" i="2545"/>
  <c r="DJ12" i="2545" s="1"/>
  <c r="DJ7" i="2545" s="1"/>
  <c r="DI13" i="2545"/>
  <c r="DH13" i="2545"/>
  <c r="DG13" i="2545"/>
  <c r="DF13" i="2545"/>
  <c r="DE13" i="2545"/>
  <c r="DD13" i="2545"/>
  <c r="DC13" i="2545"/>
  <c r="DB13" i="2545"/>
  <c r="CZ13" i="2545"/>
  <c r="CY13" i="2545"/>
  <c r="CX13" i="2545"/>
  <c r="CW13" i="2545"/>
  <c r="CW12" i="2545" s="1"/>
  <c r="CW7" i="2545" s="1"/>
  <c r="CV13" i="2545"/>
  <c r="CU13" i="2545"/>
  <c r="CT13" i="2545"/>
  <c r="CS13" i="2545"/>
  <c r="CR13" i="2545"/>
  <c r="CQ13" i="2545"/>
  <c r="CP13" i="2545"/>
  <c r="CO13" i="2545"/>
  <c r="CM13" i="2545"/>
  <c r="CL13" i="2545"/>
  <c r="CK13" i="2545"/>
  <c r="CJ13" i="2545"/>
  <c r="CJ12" i="2545" s="1"/>
  <c r="CJ7" i="2545" s="1"/>
  <c r="CI13" i="2545"/>
  <c r="CH13" i="2545"/>
  <c r="CG13" i="2545"/>
  <c r="CF13" i="2545"/>
  <c r="CE13" i="2545"/>
  <c r="CD13" i="2545"/>
  <c r="CC13" i="2545"/>
  <c r="CB13" i="2545"/>
  <c r="BZ13" i="2545"/>
  <c r="BY13" i="2545"/>
  <c r="BX13" i="2545"/>
  <c r="BW13" i="2545"/>
  <c r="BW12" i="2545" s="1"/>
  <c r="BW7" i="2545" s="1"/>
  <c r="BV13" i="2545"/>
  <c r="BU13" i="2545"/>
  <c r="BT13" i="2545"/>
  <c r="BS13" i="2545"/>
  <c r="BR13" i="2545"/>
  <c r="BQ13" i="2545"/>
  <c r="BP13" i="2545"/>
  <c r="BO13" i="2545"/>
  <c r="BM13" i="2545"/>
  <c r="BL13" i="2545"/>
  <c r="BK13" i="2545"/>
  <c r="BJ13" i="2545"/>
  <c r="BJ12" i="2545" s="1"/>
  <c r="BJ7" i="2545" s="1"/>
  <c r="BI13" i="2545"/>
  <c r="BH13" i="2545"/>
  <c r="BG13" i="2545"/>
  <c r="BF13" i="2545"/>
  <c r="BE13" i="2545"/>
  <c r="BD13" i="2545"/>
  <c r="BC13" i="2545"/>
  <c r="BB13" i="2545"/>
  <c r="AZ13" i="2545"/>
  <c r="AY13" i="2545"/>
  <c r="AX13" i="2545"/>
  <c r="AW13" i="2545"/>
  <c r="AW12" i="2545" s="1"/>
  <c r="AW7" i="2545" s="1"/>
  <c r="AV13" i="2545"/>
  <c r="AU13" i="2545"/>
  <c r="AT13" i="2545"/>
  <c r="AS13" i="2545"/>
  <c r="AR13" i="2545"/>
  <c r="AQ13" i="2545"/>
  <c r="AP13" i="2545"/>
  <c r="AO13" i="2545"/>
  <c r="AM13" i="2545"/>
  <c r="AL13" i="2545"/>
  <c r="AK13" i="2545"/>
  <c r="AJ13" i="2545"/>
  <c r="AJ12" i="2545" s="1"/>
  <c r="AJ7" i="2545" s="1"/>
  <c r="AI13" i="2545"/>
  <c r="AH13" i="2545"/>
  <c r="AG13" i="2545"/>
  <c r="AF13" i="2545"/>
  <c r="AE13" i="2545"/>
  <c r="AD13" i="2545"/>
  <c r="AC13" i="2545"/>
  <c r="AB13" i="2545"/>
  <c r="Z13" i="2545"/>
  <c r="Y13" i="2545"/>
  <c r="X13" i="2545"/>
  <c r="W13" i="2545"/>
  <c r="W12" i="2545" s="1"/>
  <c r="W7" i="2545" s="1"/>
  <c r="V13" i="2545"/>
  <c r="U13" i="2545"/>
  <c r="T13" i="2545"/>
  <c r="S13" i="2545"/>
  <c r="R13" i="2545"/>
  <c r="Q13" i="2545"/>
  <c r="P13" i="2545"/>
  <c r="O13" i="2545"/>
  <c r="M13" i="2545"/>
  <c r="L13" i="2545"/>
  <c r="K13" i="2545"/>
  <c r="J13" i="2545"/>
  <c r="J12" i="2545" s="1"/>
  <c r="J7" i="2545" s="1"/>
  <c r="I13" i="2545"/>
  <c r="H13" i="2545"/>
  <c r="G13" i="2545"/>
  <c r="F13" i="2545"/>
  <c r="E13" i="2545"/>
  <c r="D13" i="2545"/>
  <c r="C13" i="2545"/>
  <c r="B13" i="2545"/>
  <c r="KA11" i="2545"/>
  <c r="JN11" i="2545"/>
  <c r="IN11" i="2545"/>
  <c r="IA11" i="2545"/>
  <c r="HD11" i="2545"/>
  <c r="HD9" i="2545" s="1"/>
  <c r="HC11" i="2545"/>
  <c r="HC9" i="2545" s="1"/>
  <c r="GT11" i="2545"/>
  <c r="GT9" i="2545" s="1"/>
  <c r="GS11" i="2545"/>
  <c r="GN11" i="2545"/>
  <c r="GA11" i="2545"/>
  <c r="FN11" i="2545"/>
  <c r="FA11" i="2545"/>
  <c r="EN11" i="2545"/>
  <c r="EA11" i="2545"/>
  <c r="DN11" i="2545"/>
  <c r="DA11" i="2545"/>
  <c r="CN11" i="2545"/>
  <c r="CA11" i="2545"/>
  <c r="BN11" i="2545"/>
  <c r="BA11" i="2545"/>
  <c r="AN11" i="2545"/>
  <c r="AA11" i="2545"/>
  <c r="N11" i="2545"/>
  <c r="KA10" i="2545"/>
  <c r="JN10" i="2545"/>
  <c r="JA10" i="2545"/>
  <c r="IN10" i="2545"/>
  <c r="IA10" i="2545"/>
  <c r="HN10" i="2545"/>
  <c r="HA10" i="2545"/>
  <c r="GN10" i="2545"/>
  <c r="GA10" i="2545"/>
  <c r="FN10" i="2545"/>
  <c r="FA10" i="2545"/>
  <c r="EN10" i="2545"/>
  <c r="EA10" i="2545"/>
  <c r="DN10" i="2545"/>
  <c r="DA10" i="2545"/>
  <c r="CN10" i="2545"/>
  <c r="CA10" i="2545"/>
  <c r="BN10" i="2545"/>
  <c r="BA10" i="2545"/>
  <c r="AN10" i="2545"/>
  <c r="AA10" i="2545"/>
  <c r="N10" i="2545"/>
  <c r="JZ9" i="2545"/>
  <c r="JY9" i="2545"/>
  <c r="JX9" i="2545"/>
  <c r="JW9" i="2545"/>
  <c r="JV9" i="2545"/>
  <c r="JU9" i="2545"/>
  <c r="JT9" i="2545"/>
  <c r="JS9" i="2545"/>
  <c r="JR9" i="2545"/>
  <c r="JQ9" i="2545"/>
  <c r="JP9" i="2545"/>
  <c r="JO9" i="2545"/>
  <c r="KF4" i="2545"/>
  <c r="KA5" i="2545"/>
  <c r="JN5" i="2545"/>
  <c r="JA5" i="2545"/>
  <c r="IN5" i="2545"/>
  <c r="IA5" i="2545"/>
  <c r="HN5" i="2545"/>
  <c r="HA5" i="2545"/>
  <c r="GN5" i="2545"/>
  <c r="GA5" i="2545"/>
  <c r="FN5" i="2545"/>
  <c r="FA5" i="2545"/>
  <c r="EN5" i="2545"/>
  <c r="EA5" i="2545"/>
  <c r="DN5" i="2545"/>
  <c r="DA5" i="2545"/>
  <c r="CN5" i="2545"/>
  <c r="CA5" i="2545"/>
  <c r="BN5" i="2545"/>
  <c r="BA5" i="2545"/>
  <c r="AN5" i="2545"/>
  <c r="AA5" i="2545"/>
  <c r="N5" i="2545"/>
  <c r="JO4" i="2545"/>
  <c r="JB4" i="2545"/>
  <c r="IO4" i="2545"/>
  <c r="IB4" i="2545"/>
  <c r="HO4" i="2545"/>
  <c r="HB4" i="2545"/>
  <c r="GO4" i="2545"/>
  <c r="GB4" i="2545"/>
  <c r="FO4" i="2545"/>
  <c r="FB4" i="2545"/>
  <c r="EO4" i="2545"/>
  <c r="EB4" i="2545"/>
  <c r="DO4" i="2545"/>
  <c r="DB4" i="2545"/>
  <c r="CO4" i="2545"/>
  <c r="CB4" i="2545"/>
  <c r="BO4" i="2545"/>
  <c r="BB4" i="2545"/>
  <c r="AO4" i="2545"/>
  <c r="AB4" i="2545"/>
  <c r="O4" i="2545"/>
  <c r="B4" i="2545"/>
  <c r="E12" i="2545" l="1"/>
  <c r="E7" i="2545" s="1"/>
  <c r="BR12" i="2545"/>
  <c r="BR7" i="2545" s="1"/>
  <c r="DE12" i="2545"/>
  <c r="DE7" i="2545" s="1"/>
  <c r="ER12" i="2545"/>
  <c r="ER7" i="2545" s="1"/>
  <c r="R12" i="2545"/>
  <c r="R7" i="2545" s="1"/>
  <c r="BE12" i="2545"/>
  <c r="BE7" i="2545" s="1"/>
  <c r="CR12" i="2545"/>
  <c r="CR7" i="2545" s="1"/>
  <c r="DR12" i="2545"/>
  <c r="DR7" i="2545" s="1"/>
  <c r="S12" i="2545"/>
  <c r="S7" i="2545" s="1"/>
  <c r="AF12" i="2545"/>
  <c r="AF7" i="2545" s="1"/>
  <c r="BF12" i="2545"/>
  <c r="BF7" i="2545" s="1"/>
  <c r="BS12" i="2545"/>
  <c r="BS7" i="2545" s="1"/>
  <c r="CF12" i="2545"/>
  <c r="CF7" i="2545" s="1"/>
  <c r="CS12" i="2545"/>
  <c r="CS7" i="2545" s="1"/>
  <c r="DF12" i="2545"/>
  <c r="DF7" i="2545" s="1"/>
  <c r="DS12" i="2545"/>
  <c r="DS7" i="2545" s="1"/>
  <c r="EF12" i="2545"/>
  <c r="EF7" i="2545" s="1"/>
  <c r="AR12" i="2545"/>
  <c r="AR7" i="2545" s="1"/>
  <c r="AE12" i="2545"/>
  <c r="AE7" i="2545" s="1"/>
  <c r="CE12" i="2545"/>
  <c r="CE7" i="2545" s="1"/>
  <c r="EE12" i="2545"/>
  <c r="EE7" i="2545" s="1"/>
  <c r="F12" i="2545"/>
  <c r="F7" i="2545" s="1"/>
  <c r="AS12" i="2545"/>
  <c r="AS7" i="2545" s="1"/>
  <c r="GT20" i="2545"/>
  <c r="GT12" i="2545" s="1"/>
  <c r="GT7" i="2545" s="1"/>
  <c r="HW12" i="2545"/>
  <c r="HW7" i="2545" s="1"/>
  <c r="JK12" i="2545"/>
  <c r="JK7" i="2545" s="1"/>
  <c r="AL12" i="2545"/>
  <c r="AL7" i="2545" s="1"/>
  <c r="BY12" i="2545"/>
  <c r="BY7" i="2545" s="1"/>
  <c r="DY12" i="2545"/>
  <c r="DY7" i="2545" s="1"/>
  <c r="FY12" i="2545"/>
  <c r="FY7" i="2545" s="1"/>
  <c r="HL12" i="2545"/>
  <c r="HL7" i="2545" s="1"/>
  <c r="DZ12" i="2545"/>
  <c r="DZ7" i="2545" s="1"/>
  <c r="HK12" i="2545"/>
  <c r="HK7" i="2545" s="1"/>
  <c r="IK12" i="2545"/>
  <c r="IK7" i="2545" s="1"/>
  <c r="DL12" i="2545"/>
  <c r="DL7" i="2545" s="1"/>
  <c r="CZ12" i="2545"/>
  <c r="CZ7" i="2545" s="1"/>
  <c r="GJ12" i="2545"/>
  <c r="GJ7" i="2545" s="1"/>
  <c r="HJ12" i="2545"/>
  <c r="HJ7" i="2545" s="1"/>
  <c r="GK12" i="2545"/>
  <c r="GK7" i="2545" s="1"/>
  <c r="HX12" i="2545"/>
  <c r="HX7" i="2545" s="1"/>
  <c r="JX12" i="2545"/>
  <c r="JX7" i="2545" s="1"/>
  <c r="JX40" i="2545" s="1"/>
  <c r="L12" i="2545"/>
  <c r="L7" i="2545" s="1"/>
  <c r="BL12" i="2545"/>
  <c r="BL7" i="2545" s="1"/>
  <c r="CY12" i="2545"/>
  <c r="CY7" i="2545" s="1"/>
  <c r="EY12" i="2545"/>
  <c r="EY7" i="2545" s="1"/>
  <c r="GL12" i="2545"/>
  <c r="GL7" i="2545" s="1"/>
  <c r="HY12" i="2545"/>
  <c r="HY7" i="2545" s="1"/>
  <c r="IY12" i="2545"/>
  <c r="IY7" i="2545" s="1"/>
  <c r="IY40" i="2545" s="1"/>
  <c r="JY12" i="2545"/>
  <c r="M12" i="2545"/>
  <c r="M7" i="2545" s="1"/>
  <c r="Z12" i="2545"/>
  <c r="Z7" i="2545" s="1"/>
  <c r="BM12" i="2545"/>
  <c r="BM7" i="2545" s="1"/>
  <c r="CM12" i="2545"/>
  <c r="CM7" i="2545" s="1"/>
  <c r="EM12" i="2545"/>
  <c r="EM7" i="2545" s="1"/>
  <c r="EP12" i="2545"/>
  <c r="EP7" i="2545" s="1"/>
  <c r="FC12" i="2545"/>
  <c r="FC7" i="2545" s="1"/>
  <c r="FP12" i="2545"/>
  <c r="FP7" i="2545" s="1"/>
  <c r="GC12" i="2545"/>
  <c r="GC7" i="2545" s="1"/>
  <c r="GP12" i="2545"/>
  <c r="GP7" i="2545" s="1"/>
  <c r="HP12" i="2545"/>
  <c r="HP7" i="2545" s="1"/>
  <c r="IC12" i="2545"/>
  <c r="IC7" i="2545" s="1"/>
  <c r="IP12" i="2545"/>
  <c r="IP7" i="2545" s="1"/>
  <c r="JC12" i="2545"/>
  <c r="JC7" i="2545" s="1"/>
  <c r="JP12" i="2545"/>
  <c r="FJ12" i="2545"/>
  <c r="FJ7" i="2545" s="1"/>
  <c r="IJ12" i="2545"/>
  <c r="IJ7" i="2545" s="1"/>
  <c r="GX12" i="2545"/>
  <c r="GX7" i="2545" s="1"/>
  <c r="IX12" i="2545"/>
  <c r="IX7" i="2545" s="1"/>
  <c r="IX40" i="2545" s="1"/>
  <c r="Y12" i="2545"/>
  <c r="Y7" i="2545" s="1"/>
  <c r="AY12" i="2545"/>
  <c r="AY7" i="2545" s="1"/>
  <c r="CL12" i="2545"/>
  <c r="CL7" i="2545" s="1"/>
  <c r="EL12" i="2545"/>
  <c r="EL7" i="2545" s="1"/>
  <c r="GY12" i="2545"/>
  <c r="GY7" i="2545" s="1"/>
  <c r="IL12" i="2545"/>
  <c r="IL7" i="2545" s="1"/>
  <c r="JL12" i="2545"/>
  <c r="JL7" i="2545" s="1"/>
  <c r="AM12" i="2545"/>
  <c r="AM7" i="2545" s="1"/>
  <c r="AZ12" i="2545"/>
  <c r="AZ7" i="2545" s="1"/>
  <c r="BZ12" i="2545"/>
  <c r="BZ7" i="2545" s="1"/>
  <c r="DM12" i="2545"/>
  <c r="DM7" i="2545" s="1"/>
  <c r="D12" i="2545"/>
  <c r="D7" i="2545" s="1"/>
  <c r="Q12" i="2545"/>
  <c r="Q7" i="2545" s="1"/>
  <c r="AD12" i="2545"/>
  <c r="AD7" i="2545" s="1"/>
  <c r="AQ12" i="2545"/>
  <c r="AQ7" i="2545" s="1"/>
  <c r="BD12" i="2545"/>
  <c r="BD7" i="2545" s="1"/>
  <c r="BQ12" i="2545"/>
  <c r="BQ7" i="2545" s="1"/>
  <c r="CD12" i="2545"/>
  <c r="CD7" i="2545" s="1"/>
  <c r="CQ12" i="2545"/>
  <c r="CQ7" i="2545" s="1"/>
  <c r="DD12" i="2545"/>
  <c r="DD7" i="2545" s="1"/>
  <c r="DQ12" i="2545"/>
  <c r="DQ7" i="2545" s="1"/>
  <c r="ED12" i="2545"/>
  <c r="ED7" i="2545" s="1"/>
  <c r="EQ12" i="2545"/>
  <c r="EQ7" i="2545" s="1"/>
  <c r="FD12" i="2545"/>
  <c r="FD7" i="2545" s="1"/>
  <c r="FQ12" i="2545"/>
  <c r="FQ7" i="2545" s="1"/>
  <c r="GD12" i="2545"/>
  <c r="GD7" i="2545" s="1"/>
  <c r="HD12" i="2545"/>
  <c r="HD7" i="2545" s="1"/>
  <c r="HQ12" i="2545"/>
  <c r="HQ7" i="2545" s="1"/>
  <c r="ID12" i="2545"/>
  <c r="ID7" i="2545" s="1"/>
  <c r="IQ12" i="2545"/>
  <c r="IQ7" i="2545" s="1"/>
  <c r="JD12" i="2545"/>
  <c r="JD7" i="2545" s="1"/>
  <c r="JQ12" i="2545"/>
  <c r="JQ7" i="2545" s="1"/>
  <c r="JQ40" i="2545" s="1"/>
  <c r="GH12" i="2545"/>
  <c r="GH7" i="2545" s="1"/>
  <c r="GU12" i="2545"/>
  <c r="GU7" i="2545" s="1"/>
  <c r="HH12" i="2545"/>
  <c r="HH7" i="2545" s="1"/>
  <c r="HU12" i="2545"/>
  <c r="HU7" i="2545" s="1"/>
  <c r="IH12" i="2545"/>
  <c r="IH7" i="2545" s="1"/>
  <c r="IU12" i="2545"/>
  <c r="IU7" i="2545" s="1"/>
  <c r="IU40" i="2545" s="1"/>
  <c r="JH12" i="2545"/>
  <c r="JH7" i="2545" s="1"/>
  <c r="JH40" i="2545" s="1"/>
  <c r="EX12" i="2545"/>
  <c r="EX7" i="2545" s="1"/>
  <c r="FK12" i="2545"/>
  <c r="FK7" i="2545" s="1"/>
  <c r="EZ12" i="2545"/>
  <c r="EZ7" i="2545" s="1"/>
  <c r="B12" i="2545"/>
  <c r="B7" i="2545" s="1"/>
  <c r="O12" i="2545"/>
  <c r="O7" i="2545" s="1"/>
  <c r="AB12" i="2545"/>
  <c r="AO12" i="2545"/>
  <c r="BB12" i="2545"/>
  <c r="BO12" i="2545"/>
  <c r="BO7" i="2545" s="1"/>
  <c r="CB12" i="2545"/>
  <c r="CB7" i="2545" s="1"/>
  <c r="CO12" i="2545"/>
  <c r="CO7" i="2545" s="1"/>
  <c r="DB12" i="2545"/>
  <c r="DB7" i="2545" s="1"/>
  <c r="DO12" i="2545"/>
  <c r="DO7" i="2545" s="1"/>
  <c r="EB12" i="2545"/>
  <c r="FB12" i="2545"/>
  <c r="FB7" i="2545" s="1"/>
  <c r="FO12" i="2545"/>
  <c r="FO7" i="2545" s="1"/>
  <c r="GB12" i="2545"/>
  <c r="GB7" i="2545" s="1"/>
  <c r="HB12" i="2545"/>
  <c r="HB7" i="2545" s="1"/>
  <c r="HO12" i="2545"/>
  <c r="HO7" i="2545" s="1"/>
  <c r="IB12" i="2545"/>
  <c r="IB7" i="2545" s="1"/>
  <c r="IO12" i="2545"/>
  <c r="IO7" i="2545" s="1"/>
  <c r="IO40" i="2545" s="1"/>
  <c r="JB12" i="2545"/>
  <c r="JB7" i="2545" s="1"/>
  <c r="JO12" i="2545"/>
  <c r="HN36" i="2545"/>
  <c r="IW12" i="2545"/>
  <c r="IW7" i="2545" s="1"/>
  <c r="IW40" i="2545" s="1"/>
  <c r="JJ12" i="2545"/>
  <c r="JJ7" i="2545" s="1"/>
  <c r="JJ40" i="2545" s="1"/>
  <c r="P12" i="2545"/>
  <c r="P7" i="2545" s="1"/>
  <c r="CP12" i="2545"/>
  <c r="CP7" i="2545" s="1"/>
  <c r="EC12" i="2545"/>
  <c r="EC7" i="2545" s="1"/>
  <c r="BP12" i="2545"/>
  <c r="BP7" i="2545" s="1"/>
  <c r="BC12" i="2545"/>
  <c r="BC7" i="2545" s="1"/>
  <c r="AP12" i="2545"/>
  <c r="AP7" i="2545" s="1"/>
  <c r="CC12" i="2545"/>
  <c r="CC7" i="2545" s="1"/>
  <c r="C12" i="2545"/>
  <c r="C7" i="2545" s="1"/>
  <c r="AC12" i="2545"/>
  <c r="AC7" i="2545" s="1"/>
  <c r="DP12" i="2545"/>
  <c r="DP7" i="2545" s="1"/>
  <c r="GN20" i="2545"/>
  <c r="DC12" i="2545"/>
  <c r="DC7" i="2545" s="1"/>
  <c r="FL12" i="2545"/>
  <c r="FL7" i="2545" s="1"/>
  <c r="FM12" i="2545"/>
  <c r="FM7" i="2545" s="1"/>
  <c r="FZ12" i="2545"/>
  <c r="FZ7" i="2545" s="1"/>
  <c r="GM12" i="2545"/>
  <c r="GM7" i="2545" s="1"/>
  <c r="GZ12" i="2545"/>
  <c r="GZ7" i="2545" s="1"/>
  <c r="HM12" i="2545"/>
  <c r="HM7" i="2545" s="1"/>
  <c r="HZ12" i="2545"/>
  <c r="HZ7" i="2545" s="1"/>
  <c r="IM12" i="2545"/>
  <c r="IM7" i="2545" s="1"/>
  <c r="IZ12" i="2545"/>
  <c r="IZ7" i="2545" s="1"/>
  <c r="IZ40" i="2545" s="1"/>
  <c r="JM12" i="2545"/>
  <c r="JM7" i="2545" s="1"/>
  <c r="JM40" i="2545" s="1"/>
  <c r="JZ12" i="2545"/>
  <c r="JZ7" i="2545" s="1"/>
  <c r="JZ40" i="2545" s="1"/>
  <c r="EO12" i="2545"/>
  <c r="EO7" i="2545" s="1"/>
  <c r="JU12" i="2545"/>
  <c r="JU7" i="2545" s="1"/>
  <c r="JU40" i="2545" s="1"/>
  <c r="FS12" i="2545"/>
  <c r="FS7" i="2545" s="1"/>
  <c r="GF12" i="2545"/>
  <c r="GF7" i="2545" s="1"/>
  <c r="GS12" i="2545"/>
  <c r="HF12" i="2545"/>
  <c r="HF7" i="2545" s="1"/>
  <c r="HS12" i="2545"/>
  <c r="HS7" i="2545" s="1"/>
  <c r="IF12" i="2545"/>
  <c r="IF7" i="2545" s="1"/>
  <c r="IS12" i="2545"/>
  <c r="IS7" i="2545" s="1"/>
  <c r="IS40" i="2545" s="1"/>
  <c r="JF12" i="2545"/>
  <c r="JF7" i="2545" s="1"/>
  <c r="JF40" i="2545" s="1"/>
  <c r="JS12" i="2545"/>
  <c r="U12" i="2545"/>
  <c r="U7" i="2545" s="1"/>
  <c r="AU12" i="2545"/>
  <c r="AU7" i="2545" s="1"/>
  <c r="BU12" i="2545"/>
  <c r="BU7" i="2545" s="1"/>
  <c r="CH12" i="2545"/>
  <c r="CH7" i="2545" s="1"/>
  <c r="CU12" i="2545"/>
  <c r="CU7" i="2545" s="1"/>
  <c r="DH12" i="2545"/>
  <c r="DH7" i="2545" s="1"/>
  <c r="EH12" i="2545"/>
  <c r="EH7" i="2545" s="1"/>
  <c r="FU12" i="2545"/>
  <c r="FU7" i="2545" s="1"/>
  <c r="H12" i="2545"/>
  <c r="H7" i="2545" s="1"/>
  <c r="AH12" i="2545"/>
  <c r="AH7" i="2545" s="1"/>
  <c r="BH12" i="2545"/>
  <c r="BH7" i="2545" s="1"/>
  <c r="DU12" i="2545"/>
  <c r="DU7" i="2545" s="1"/>
  <c r="EV12" i="2545"/>
  <c r="EV7" i="2545" s="1"/>
  <c r="GQ12" i="2545"/>
  <c r="GQ7" i="2545" s="1"/>
  <c r="IE12" i="2545"/>
  <c r="IE7" i="2545" s="1"/>
  <c r="ES12" i="2545"/>
  <c r="ES7" i="2545" s="1"/>
  <c r="FF12" i="2545"/>
  <c r="FF7" i="2545" s="1"/>
  <c r="GR12" i="2545"/>
  <c r="GR7" i="2545" s="1"/>
  <c r="G12" i="2545"/>
  <c r="G7" i="2545" s="1"/>
  <c r="T12" i="2545"/>
  <c r="T7" i="2545" s="1"/>
  <c r="AG12" i="2545"/>
  <c r="AG7" i="2545" s="1"/>
  <c r="AT12" i="2545"/>
  <c r="AT7" i="2545" s="1"/>
  <c r="BG12" i="2545"/>
  <c r="BG7" i="2545" s="1"/>
  <c r="BT12" i="2545"/>
  <c r="BT7" i="2545" s="1"/>
  <c r="CG12" i="2545"/>
  <c r="CG7" i="2545" s="1"/>
  <c r="CT12" i="2545"/>
  <c r="CT7" i="2545" s="1"/>
  <c r="DG12" i="2545"/>
  <c r="DG7" i="2545" s="1"/>
  <c r="DT12" i="2545"/>
  <c r="DT7" i="2545" s="1"/>
  <c r="EG12" i="2545"/>
  <c r="EG7" i="2545" s="1"/>
  <c r="FG12" i="2545"/>
  <c r="FG7" i="2545" s="1"/>
  <c r="FT12" i="2545"/>
  <c r="FT7" i="2545" s="1"/>
  <c r="GG12" i="2545"/>
  <c r="GG7" i="2545" s="1"/>
  <c r="HG12" i="2545"/>
  <c r="HG7" i="2545" s="1"/>
  <c r="HT12" i="2545"/>
  <c r="HT7" i="2545" s="1"/>
  <c r="IG12" i="2545"/>
  <c r="IG7" i="2545" s="1"/>
  <c r="IT12" i="2545"/>
  <c r="IT7" i="2545" s="1"/>
  <c r="IT40" i="2545" s="1"/>
  <c r="JG12" i="2545"/>
  <c r="JG7" i="2545" s="1"/>
  <c r="JG40" i="2545" s="1"/>
  <c r="JT12" i="2545"/>
  <c r="JT40" i="2545" s="1"/>
  <c r="CA13" i="2545"/>
  <c r="HE12" i="2545"/>
  <c r="HE7" i="2545" s="1"/>
  <c r="GE12" i="2545"/>
  <c r="GE7" i="2545" s="1"/>
  <c r="FR12" i="2545"/>
  <c r="FR7" i="2545" s="1"/>
  <c r="JE12" i="2545"/>
  <c r="JE7" i="2545" s="1"/>
  <c r="JE40" i="2545" s="1"/>
  <c r="IR12" i="2545"/>
  <c r="IR7" i="2545" s="1"/>
  <c r="IR40" i="2545" s="1"/>
  <c r="FE12" i="2545"/>
  <c r="FE7" i="2545" s="1"/>
  <c r="JR12" i="2545"/>
  <c r="JR40" i="2545" s="1"/>
  <c r="HR12" i="2545"/>
  <c r="HR7" i="2545" s="1"/>
  <c r="GO12" i="2545"/>
  <c r="GO7" i="2545" s="1"/>
  <c r="HA11" i="2545"/>
  <c r="GS9" i="2545"/>
  <c r="HC12" i="2545"/>
  <c r="HC7" i="2545" s="1"/>
  <c r="EU12" i="2545"/>
  <c r="EU7" i="2545" s="1"/>
  <c r="FN20" i="2545"/>
  <c r="BN13" i="2545"/>
  <c r="FW12" i="2545"/>
  <c r="FW7" i="2545" s="1"/>
  <c r="FH12" i="2545"/>
  <c r="FH7" i="2545" s="1"/>
  <c r="CN13" i="2545"/>
  <c r="IN13" i="2545"/>
  <c r="I12" i="2545"/>
  <c r="I7" i="2545" s="1"/>
  <c r="V12" i="2545"/>
  <c r="V7" i="2545" s="1"/>
  <c r="AI12" i="2545"/>
  <c r="AI7" i="2545" s="1"/>
  <c r="AV12" i="2545"/>
  <c r="AV7" i="2545" s="1"/>
  <c r="BI12" i="2545"/>
  <c r="BI7" i="2545" s="1"/>
  <c r="BV12" i="2545"/>
  <c r="BV7" i="2545" s="1"/>
  <c r="CI12" i="2545"/>
  <c r="CI7" i="2545" s="1"/>
  <c r="CV12" i="2545"/>
  <c r="CV7" i="2545" s="1"/>
  <c r="DI12" i="2545"/>
  <c r="DI7" i="2545" s="1"/>
  <c r="DV12" i="2545"/>
  <c r="DV7" i="2545" s="1"/>
  <c r="EI12" i="2545"/>
  <c r="EI7" i="2545" s="1"/>
  <c r="FI12" i="2545"/>
  <c r="FI7" i="2545" s="1"/>
  <c r="FV12" i="2545"/>
  <c r="FV7" i="2545" s="1"/>
  <c r="GI12" i="2545"/>
  <c r="GI7" i="2545" s="1"/>
  <c r="GV12" i="2545"/>
  <c r="GV7" i="2545" s="1"/>
  <c r="HI12" i="2545"/>
  <c r="HI7" i="2545" s="1"/>
  <c r="HV12" i="2545"/>
  <c r="HV7" i="2545" s="1"/>
  <c r="II12" i="2545"/>
  <c r="II7" i="2545" s="1"/>
  <c r="IV12" i="2545"/>
  <c r="IV7" i="2545" s="1"/>
  <c r="IV40" i="2545" s="1"/>
  <c r="JI12" i="2545"/>
  <c r="JI7" i="2545" s="1"/>
  <c r="JI40" i="2545" s="1"/>
  <c r="JV12" i="2545"/>
  <c r="JV7" i="2545" s="1"/>
  <c r="JV40" i="2545" s="1"/>
  <c r="HA33" i="2545"/>
  <c r="GW20" i="2545"/>
  <c r="GW12" i="2545" s="1"/>
  <c r="GW7" i="2545" s="1"/>
  <c r="EW12" i="2545"/>
  <c r="EW7" i="2545" s="1"/>
  <c r="JW12" i="2545"/>
  <c r="JW7" i="2545" s="1"/>
  <c r="JW40" i="2545" s="1"/>
  <c r="K12" i="2545"/>
  <c r="K7" i="2545" s="1"/>
  <c r="X12" i="2545"/>
  <c r="X7" i="2545" s="1"/>
  <c r="AK12" i="2545"/>
  <c r="AK7" i="2545" s="1"/>
  <c r="AX12" i="2545"/>
  <c r="AX7" i="2545" s="1"/>
  <c r="BK12" i="2545"/>
  <c r="BK7" i="2545" s="1"/>
  <c r="BX12" i="2545"/>
  <c r="BX7" i="2545" s="1"/>
  <c r="CK12" i="2545"/>
  <c r="CK7" i="2545" s="1"/>
  <c r="CX12" i="2545"/>
  <c r="CX7" i="2545" s="1"/>
  <c r="DK12" i="2545"/>
  <c r="DK7" i="2545" s="1"/>
  <c r="DX12" i="2545"/>
  <c r="DX7" i="2545" s="1"/>
  <c r="EK12" i="2545"/>
  <c r="EK7" i="2545" s="1"/>
  <c r="FX12" i="2545"/>
  <c r="FX7" i="2545" s="1"/>
  <c r="HN9" i="2545"/>
  <c r="JY7" i="2545"/>
  <c r="JY40" i="2545" s="1"/>
  <c r="GA20" i="2545"/>
  <c r="AB7" i="2545"/>
  <c r="AO7" i="2545"/>
  <c r="BB7" i="2545"/>
  <c r="EB7" i="2545"/>
  <c r="ET12" i="2545"/>
  <c r="ET7" i="2545" s="1"/>
  <c r="FA20" i="2545"/>
  <c r="JK40" i="2545"/>
  <c r="IP40" i="2545"/>
  <c r="AN13" i="2545"/>
  <c r="JL40" i="2545"/>
  <c r="KC16" i="2545"/>
  <c r="FA25" i="2545"/>
  <c r="HA25" i="2545"/>
  <c r="KE4" i="2545"/>
  <c r="KC4" i="2545"/>
  <c r="EN13" i="2545"/>
  <c r="EA13" i="2545"/>
  <c r="KF13" i="2545"/>
  <c r="GN13" i="2545"/>
  <c r="HN13" i="2545"/>
  <c r="DN13" i="2545"/>
  <c r="KF24" i="2545"/>
  <c r="KE9" i="2545"/>
  <c r="IA13" i="2545"/>
  <c r="IQ40" i="2545"/>
  <c r="DA13" i="2545"/>
  <c r="KC35" i="2545"/>
  <c r="GN25" i="2545"/>
  <c r="KI24" i="2545"/>
  <c r="KE10" i="2545"/>
  <c r="KF28" i="2545"/>
  <c r="KI23" i="2545"/>
  <c r="KC14" i="2545"/>
  <c r="KE27" i="2545"/>
  <c r="KI35" i="2545"/>
  <c r="KH35" i="2545"/>
  <c r="KC34" i="2545"/>
  <c r="KI33" i="2545"/>
  <c r="KH24" i="2545"/>
  <c r="KF23" i="2545"/>
  <c r="KI31" i="2545"/>
  <c r="KI25" i="2545"/>
  <c r="KI20" i="2545"/>
  <c r="KI19" i="2545"/>
  <c r="KC10" i="2545"/>
  <c r="KF35" i="2545"/>
  <c r="KF11" i="2545"/>
  <c r="KI16" i="2545"/>
  <c r="KF17" i="2545"/>
  <c r="KI18" i="2545"/>
  <c r="KF19" i="2545"/>
  <c r="KE35" i="2545"/>
  <c r="KI11" i="2545"/>
  <c r="KI17" i="2545"/>
  <c r="KH25" i="2545"/>
  <c r="KH20" i="2545"/>
  <c r="FN25" i="2545"/>
  <c r="GA25" i="2545"/>
  <c r="HN25" i="2545"/>
  <c r="KH31" i="2545"/>
  <c r="KE16" i="2545"/>
  <c r="KH16" i="2545"/>
  <c r="KA9" i="2545"/>
  <c r="HN11" i="2545"/>
  <c r="JA13" i="2545"/>
  <c r="KI13" i="2545"/>
  <c r="KF34" i="2545"/>
  <c r="JD40" i="2545"/>
  <c r="JN13" i="2545"/>
  <c r="KA13" i="2545"/>
  <c r="KF33" i="2545"/>
  <c r="JN18" i="2545"/>
  <c r="KF10" i="2545"/>
  <c r="N13" i="2545"/>
  <c r="FN13" i="2545"/>
  <c r="KA18" i="2545"/>
  <c r="KC22" i="2545"/>
  <c r="KH28" i="2545"/>
  <c r="KE34" i="2545"/>
  <c r="KC36" i="2545"/>
  <c r="FA13" i="2545"/>
  <c r="KH10" i="2545"/>
  <c r="AA13" i="2545"/>
  <c r="GA13" i="2545"/>
  <c r="KE14" i="2545"/>
  <c r="KC18" i="2545"/>
  <c r="KA20" i="2545"/>
  <c r="KI28" i="2545"/>
  <c r="KC29" i="2545"/>
  <c r="KE30" i="2545"/>
  <c r="KH33" i="2545"/>
  <c r="KE28" i="2545"/>
  <c r="KF25" i="2545"/>
  <c r="KE24" i="2545"/>
  <c r="KH23" i="2545"/>
  <c r="KH19" i="2545"/>
  <c r="KH17" i="2545"/>
  <c r="KH15" i="2545"/>
  <c r="KH13" i="2545"/>
  <c r="KH11" i="2545"/>
  <c r="KH36" i="2545"/>
  <c r="KE33" i="2545"/>
  <c r="KI30" i="2545"/>
  <c r="KC28" i="2545"/>
  <c r="KI27" i="2545"/>
  <c r="KC24" i="2545"/>
  <c r="KE23" i="2545"/>
  <c r="KH22" i="2545"/>
  <c r="KE19" i="2545"/>
  <c r="KE17" i="2545"/>
  <c r="KE15" i="2545"/>
  <c r="KE13" i="2545"/>
  <c r="KE11" i="2545"/>
  <c r="KI9" i="2545"/>
  <c r="KF36" i="2545"/>
  <c r="KH30" i="2545"/>
  <c r="KH27" i="2545"/>
  <c r="KC25" i="2545"/>
  <c r="KF22" i="2545"/>
  <c r="KI21" i="2545"/>
  <c r="KH9" i="2545"/>
  <c r="KE36" i="2545"/>
  <c r="KC33" i="2545"/>
  <c r="KF30" i="2545"/>
  <c r="KI29" i="2545"/>
  <c r="KF27" i="2545"/>
  <c r="KC23" i="2545"/>
  <c r="KE22" i="2545"/>
  <c r="KH21" i="2545"/>
  <c r="KC19" i="2545"/>
  <c r="KC17" i="2545"/>
  <c r="KC15" i="2545"/>
  <c r="KC13" i="2545"/>
  <c r="KC11" i="2545"/>
  <c r="KF9" i="2545"/>
  <c r="KH34" i="2545"/>
  <c r="KC30" i="2545"/>
  <c r="KE29" i="2545"/>
  <c r="KC27" i="2545"/>
  <c r="KF20" i="2545"/>
  <c r="KF18" i="2545"/>
  <c r="KF16" i="2545"/>
  <c r="KF14" i="2545"/>
  <c r="KC9" i="2545"/>
  <c r="KI10" i="2545"/>
  <c r="KH14" i="2545"/>
  <c r="KC20" i="2545"/>
  <c r="KC21" i="2545"/>
  <c r="KI22" i="2545"/>
  <c r="KC31" i="2545"/>
  <c r="KI34" i="2545"/>
  <c r="KI36" i="2545"/>
  <c r="BA13" i="2545"/>
  <c r="HA13" i="2545"/>
  <c r="KI14" i="2545"/>
  <c r="KF15" i="2545"/>
  <c r="KE18" i="2545"/>
  <c r="KE21" i="2545"/>
  <c r="KF29" i="2545"/>
  <c r="KE31" i="2545"/>
  <c r="JA18" i="2545"/>
  <c r="KD5" i="2545"/>
  <c r="KI15" i="2545"/>
  <c r="KH18" i="2545"/>
  <c r="KE20" i="2545"/>
  <c r="KF21" i="2545"/>
  <c r="KE25" i="2545"/>
  <c r="KH29" i="2545"/>
  <c r="KF31" i="2545"/>
  <c r="JS7" i="2545" l="1"/>
  <c r="JS40" i="2545" s="1"/>
  <c r="KD24" i="2545"/>
  <c r="HA20" i="2545"/>
  <c r="DN12" i="2545"/>
  <c r="DA7" i="2545"/>
  <c r="DA12" i="2545"/>
  <c r="HA12" i="2545"/>
  <c r="FN7" i="2545"/>
  <c r="GN7" i="2545"/>
  <c r="GN12" i="2545"/>
  <c r="FN12" i="2545"/>
  <c r="BA7" i="2545"/>
  <c r="AA7" i="2545"/>
  <c r="JN7" i="2545"/>
  <c r="JN40" i="2545" s="1"/>
  <c r="HN7" i="2545"/>
  <c r="JN12" i="2545"/>
  <c r="EA12" i="2545"/>
  <c r="DN7" i="2545"/>
  <c r="AN7" i="2545"/>
  <c r="AN12" i="2545"/>
  <c r="AA12" i="2545"/>
  <c r="JB40" i="2545"/>
  <c r="GA12" i="2545"/>
  <c r="JA7" i="2545"/>
  <c r="JA40" i="2545" s="1"/>
  <c r="GA7" i="2545"/>
  <c r="CN12" i="2545"/>
  <c r="N7" i="2545"/>
  <c r="JA12" i="2545"/>
  <c r="CN7" i="2545"/>
  <c r="N12" i="2545"/>
  <c r="IN12" i="2545"/>
  <c r="FA7" i="2545"/>
  <c r="CA12" i="2545"/>
  <c r="HN12" i="2545"/>
  <c r="IN7" i="2545"/>
  <c r="FA12" i="2545"/>
  <c r="CA7" i="2545"/>
  <c r="IA7" i="2545"/>
  <c r="EN7" i="2545"/>
  <c r="BN12" i="2545"/>
  <c r="IA12" i="2545"/>
  <c r="EN12" i="2545"/>
  <c r="BN7" i="2545"/>
  <c r="GS7" i="2545"/>
  <c r="HA7" i="2545" s="1"/>
  <c r="HA9" i="2545"/>
  <c r="EA7" i="2545"/>
  <c r="BA12" i="2545"/>
  <c r="KF12" i="2545"/>
  <c r="KH12" i="2545"/>
  <c r="KE12" i="2545"/>
  <c r="KI12" i="2545"/>
  <c r="JZ43" i="2545"/>
  <c r="KJ24" i="2545"/>
  <c r="KC12" i="2545"/>
  <c r="GJ43" i="2545"/>
  <c r="IJ43" i="2545"/>
  <c r="IG43" i="2545"/>
  <c r="ID43" i="2545"/>
  <c r="IW43" i="2545"/>
  <c r="FZ43" i="2545"/>
  <c r="FT43" i="2545"/>
  <c r="JJ43" i="2545"/>
  <c r="KE7" i="2545"/>
  <c r="IZ43" i="2545"/>
  <c r="FW43" i="2545"/>
  <c r="JD43" i="2545"/>
  <c r="GD43" i="2545"/>
  <c r="IQ43" i="2545"/>
  <c r="FQ43" i="2545"/>
  <c r="KD13" i="2545"/>
  <c r="EZ43" i="2545"/>
  <c r="IT43" i="2545"/>
  <c r="KJ14" i="2545"/>
  <c r="KD14" i="2545"/>
  <c r="EM43" i="2545"/>
  <c r="ED43" i="2545"/>
  <c r="EJ43" i="2545"/>
  <c r="EG43" i="2545"/>
  <c r="GG43" i="2545"/>
  <c r="KD11" i="2545"/>
  <c r="KJ11" i="2545"/>
  <c r="KJ20" i="2545"/>
  <c r="KD20" i="2545"/>
  <c r="GQ43" i="2545"/>
  <c r="KJ28" i="2545"/>
  <c r="KD28" i="2545"/>
  <c r="KJ16" i="2545"/>
  <c r="KD16" i="2545"/>
  <c r="FJ43" i="2545"/>
  <c r="FD43" i="2545"/>
  <c r="FM43" i="2545"/>
  <c r="FG43" i="2545"/>
  <c r="KJ27" i="2545"/>
  <c r="KD27" i="2545"/>
  <c r="KJ36" i="2545"/>
  <c r="KD36" i="2545"/>
  <c r="KD25" i="2545"/>
  <c r="KJ25" i="2545"/>
  <c r="KD33" i="2545"/>
  <c r="KJ33" i="2545"/>
  <c r="KD34" i="2545"/>
  <c r="KJ34" i="2545"/>
  <c r="KD23" i="2545"/>
  <c r="KJ23" i="2545"/>
  <c r="EQ43" i="2545"/>
  <c r="KE5" i="2545"/>
  <c r="KF5" i="2545"/>
  <c r="JO40" i="2545"/>
  <c r="KJ13" i="2545"/>
  <c r="HD43" i="2545"/>
  <c r="ET43" i="2545"/>
  <c r="GM43" i="2545"/>
  <c r="KJ30" i="2545"/>
  <c r="KD30" i="2545"/>
  <c r="KD10" i="2545"/>
  <c r="KJ10" i="2545"/>
  <c r="JG43" i="2545"/>
  <c r="JC40" i="2545"/>
  <c r="JM43" i="2545"/>
  <c r="EW43" i="2545"/>
  <c r="KD31" i="2545"/>
  <c r="KJ31" i="2545"/>
  <c r="KD19" i="2545"/>
  <c r="KJ19" i="2545"/>
  <c r="KJ9" i="2545"/>
  <c r="KD9" i="2545"/>
  <c r="KD17" i="2545"/>
  <c r="KJ17" i="2545"/>
  <c r="KD35" i="2545"/>
  <c r="KJ35" i="2545"/>
  <c r="KJ18" i="2545"/>
  <c r="KD18" i="2545"/>
  <c r="KJ21" i="2545"/>
  <c r="KD21" i="2545"/>
  <c r="KA12" i="2545"/>
  <c r="IM43" i="2545"/>
  <c r="KJ22" i="2545"/>
  <c r="KD22" i="2545"/>
  <c r="KD15" i="2545"/>
  <c r="KJ15" i="2545"/>
  <c r="KJ29" i="2545"/>
  <c r="KD29" i="2545"/>
  <c r="GT43" i="2545" l="1"/>
  <c r="KJ12" i="2545"/>
  <c r="KD12" i="2545"/>
  <c r="KI7" i="2545"/>
  <c r="HJ43" i="2545"/>
  <c r="KH7" i="2545"/>
  <c r="KA7" i="2545"/>
  <c r="JQ43" i="2545"/>
  <c r="JW43" i="2545"/>
  <c r="GW43" i="2545"/>
  <c r="JT43" i="2545"/>
  <c r="KF7" i="2545"/>
  <c r="KJ7" i="2545" s="1"/>
  <c r="GZ43" i="2545"/>
  <c r="HQ43" i="2545"/>
  <c r="HW43" i="2545"/>
  <c r="HZ43" i="2545"/>
  <c r="HT43" i="2545"/>
  <c r="HG43" i="2545"/>
  <c r="HM43" i="2545"/>
  <c r="JP40" i="2545"/>
  <c r="KI40" i="2545" s="1"/>
  <c r="KC7" i="2545"/>
  <c r="KE40" i="2545"/>
  <c r="KD7" i="2545" l="1"/>
  <c r="KA40" i="2545"/>
  <c r="KF40" i="2545"/>
  <c r="KD40" i="2545" s="1"/>
  <c r="KC40" i="2545"/>
  <c r="KH40" i="2545"/>
  <c r="KJ40" i="2545" l="1"/>
  <c r="HN37" i="2543" l="1"/>
  <c r="AN37" i="2543"/>
  <c r="HN36" i="2543"/>
  <c r="AN36" i="2543"/>
  <c r="HN35" i="2543"/>
  <c r="HA35" i="2543"/>
  <c r="GN35" i="2543"/>
  <c r="GA35" i="2543"/>
  <c r="FN35" i="2543"/>
  <c r="FA35" i="2543"/>
  <c r="EN35" i="2543"/>
  <c r="EA35" i="2543"/>
  <c r="DN35" i="2543"/>
  <c r="DA35" i="2543"/>
  <c r="CN35" i="2543"/>
  <c r="CA35" i="2543"/>
  <c r="BN35" i="2543"/>
  <c r="BA35" i="2543"/>
  <c r="AN35" i="2543"/>
  <c r="AA35" i="2543"/>
  <c r="N35" i="2543"/>
  <c r="HN34" i="2543"/>
  <c r="HA34" i="2543"/>
  <c r="GN34" i="2543"/>
  <c r="GA34" i="2543"/>
  <c r="FN34" i="2543"/>
  <c r="FA34" i="2543"/>
  <c r="EN34" i="2543"/>
  <c r="EA34" i="2543"/>
  <c r="DN34" i="2543"/>
  <c r="DA34" i="2543"/>
  <c r="CN34" i="2543"/>
  <c r="CA34" i="2543"/>
  <c r="BN34" i="2543"/>
  <c r="BA34" i="2543"/>
  <c r="AN34" i="2543"/>
  <c r="AA34" i="2543"/>
  <c r="N34" i="2543"/>
  <c r="HN33" i="2543"/>
  <c r="HA33" i="2543"/>
  <c r="GN33" i="2543"/>
  <c r="GA33" i="2543"/>
  <c r="FN33" i="2543"/>
  <c r="FA33" i="2543"/>
  <c r="EN33" i="2543"/>
  <c r="EA33" i="2543"/>
  <c r="DN33" i="2543"/>
  <c r="DA33" i="2543"/>
  <c r="CN33" i="2543"/>
  <c r="CA33" i="2543"/>
  <c r="BN33" i="2543"/>
  <c r="BA33" i="2543"/>
  <c r="AN33" i="2543"/>
  <c r="AA33" i="2543"/>
  <c r="N33" i="2543"/>
  <c r="HN32" i="2543"/>
  <c r="HA32" i="2543"/>
  <c r="GN32" i="2543"/>
  <c r="GA32" i="2543"/>
  <c r="FN32" i="2543"/>
  <c r="FA32" i="2543"/>
  <c r="EN32" i="2543"/>
  <c r="EA32" i="2543"/>
  <c r="DN32" i="2543"/>
  <c r="DA32" i="2543"/>
  <c r="CN32" i="2543"/>
  <c r="CA32" i="2543"/>
  <c r="BN32" i="2543"/>
  <c r="BA32" i="2543"/>
  <c r="AN32" i="2543"/>
  <c r="AA32" i="2543"/>
  <c r="N32" i="2543"/>
  <c r="HN31" i="2543"/>
  <c r="HA31" i="2543"/>
  <c r="GN31" i="2543"/>
  <c r="GA31" i="2543"/>
  <c r="FN31" i="2543"/>
  <c r="FA31" i="2543"/>
  <c r="EN31" i="2543"/>
  <c r="EA31" i="2543"/>
  <c r="DN31" i="2543"/>
  <c r="DA31" i="2543"/>
  <c r="CN31" i="2543"/>
  <c r="CA31" i="2543"/>
  <c r="BN31" i="2543"/>
  <c r="BA31" i="2543"/>
  <c r="AN31" i="2543"/>
  <c r="AA31" i="2543"/>
  <c r="N31" i="2543"/>
  <c r="HM30" i="2543"/>
  <c r="HL30" i="2543"/>
  <c r="HK30" i="2543"/>
  <c r="HJ30" i="2543"/>
  <c r="HI30" i="2543"/>
  <c r="HH30" i="2543"/>
  <c r="HG30" i="2543"/>
  <c r="HF30" i="2543"/>
  <c r="HE30" i="2543"/>
  <c r="HD30" i="2543"/>
  <c r="HC30" i="2543"/>
  <c r="HB30" i="2543"/>
  <c r="GZ30" i="2543"/>
  <c r="GY30" i="2543"/>
  <c r="GX30" i="2543"/>
  <c r="GW30" i="2543"/>
  <c r="GV30" i="2543"/>
  <c r="GU30" i="2543"/>
  <c r="GT30" i="2543"/>
  <c r="GS30" i="2543"/>
  <c r="GR30" i="2543"/>
  <c r="GQ30" i="2543"/>
  <c r="GP30" i="2543"/>
  <c r="GO30" i="2543"/>
  <c r="GM30" i="2543"/>
  <c r="GL30" i="2543"/>
  <c r="GK30" i="2543"/>
  <c r="GJ30" i="2543"/>
  <c r="GI30" i="2543"/>
  <c r="GH30" i="2543"/>
  <c r="GG30" i="2543"/>
  <c r="GF30" i="2543"/>
  <c r="GE30" i="2543"/>
  <c r="GD30" i="2543"/>
  <c r="GC30" i="2543"/>
  <c r="GB30" i="2543"/>
  <c r="FZ30" i="2543"/>
  <c r="FY30" i="2543"/>
  <c r="FX30" i="2543"/>
  <c r="FW30" i="2543"/>
  <c r="FV30" i="2543"/>
  <c r="FU30" i="2543"/>
  <c r="FT30" i="2543"/>
  <c r="FS30" i="2543"/>
  <c r="FR30" i="2543"/>
  <c r="FQ30" i="2543"/>
  <c r="FP30" i="2543"/>
  <c r="FO30" i="2543"/>
  <c r="FM30" i="2543"/>
  <c r="FL30" i="2543"/>
  <c r="FK30" i="2543"/>
  <c r="FJ30" i="2543"/>
  <c r="FI30" i="2543"/>
  <c r="FH30" i="2543"/>
  <c r="FG30" i="2543"/>
  <c r="FF30" i="2543"/>
  <c r="FE30" i="2543"/>
  <c r="FD30" i="2543"/>
  <c r="FC30" i="2543"/>
  <c r="FB30" i="2543"/>
  <c r="EZ30" i="2543"/>
  <c r="EY30" i="2543"/>
  <c r="EX30" i="2543"/>
  <c r="EW30" i="2543"/>
  <c r="EV30" i="2543"/>
  <c r="EU30" i="2543"/>
  <c r="ET30" i="2543"/>
  <c r="ES30" i="2543"/>
  <c r="ER30" i="2543"/>
  <c r="EQ30" i="2543"/>
  <c r="EP30" i="2543"/>
  <c r="EO30" i="2543"/>
  <c r="EM30" i="2543"/>
  <c r="EL30" i="2543"/>
  <c r="EK30" i="2543"/>
  <c r="EJ30" i="2543"/>
  <c r="EI30" i="2543"/>
  <c r="EH30" i="2543"/>
  <c r="EG30" i="2543"/>
  <c r="EF30" i="2543"/>
  <c r="EE30" i="2543"/>
  <c r="ED30" i="2543"/>
  <c r="EC30" i="2543"/>
  <c r="EB30" i="2543"/>
  <c r="DZ30" i="2543"/>
  <c r="DY30" i="2543"/>
  <c r="DX30" i="2543"/>
  <c r="DW30" i="2543"/>
  <c r="DV30" i="2543"/>
  <c r="DU30" i="2543"/>
  <c r="DT30" i="2543"/>
  <c r="DS30" i="2543"/>
  <c r="DR30" i="2543"/>
  <c r="DQ30" i="2543"/>
  <c r="DP30" i="2543"/>
  <c r="DO30" i="2543"/>
  <c r="DM30" i="2543"/>
  <c r="DL30" i="2543"/>
  <c r="DK30" i="2543"/>
  <c r="DJ30" i="2543"/>
  <c r="DI30" i="2543"/>
  <c r="DH30" i="2543"/>
  <c r="DG30" i="2543"/>
  <c r="DF30" i="2543"/>
  <c r="DE30" i="2543"/>
  <c r="DD30" i="2543"/>
  <c r="DC30" i="2543"/>
  <c r="DB30" i="2543"/>
  <c r="CZ30" i="2543"/>
  <c r="CY30" i="2543"/>
  <c r="CX30" i="2543"/>
  <c r="CW30" i="2543"/>
  <c r="CV30" i="2543"/>
  <c r="CU30" i="2543"/>
  <c r="CT30" i="2543"/>
  <c r="CS30" i="2543"/>
  <c r="CR30" i="2543"/>
  <c r="CQ30" i="2543"/>
  <c r="CP30" i="2543"/>
  <c r="CO30" i="2543"/>
  <c r="CM30" i="2543"/>
  <c r="CL30" i="2543"/>
  <c r="CK30" i="2543"/>
  <c r="CJ30" i="2543"/>
  <c r="CI30" i="2543"/>
  <c r="CH30" i="2543"/>
  <c r="CG30" i="2543"/>
  <c r="CF30" i="2543"/>
  <c r="CE30" i="2543"/>
  <c r="CD30" i="2543"/>
  <c r="CC30" i="2543"/>
  <c r="CB30" i="2543"/>
  <c r="BZ30" i="2543"/>
  <c r="BY30" i="2543"/>
  <c r="BX30" i="2543"/>
  <c r="BW30" i="2543"/>
  <c r="BV30" i="2543"/>
  <c r="BU30" i="2543"/>
  <c r="BT30" i="2543"/>
  <c r="BS30" i="2543"/>
  <c r="BR30" i="2543"/>
  <c r="BQ30" i="2543"/>
  <c r="BP30" i="2543"/>
  <c r="BO30" i="2543"/>
  <c r="BM30" i="2543"/>
  <c r="BL30" i="2543"/>
  <c r="BK30" i="2543"/>
  <c r="BJ30" i="2543"/>
  <c r="BI30" i="2543"/>
  <c r="BH30" i="2543"/>
  <c r="BG30" i="2543"/>
  <c r="BF30" i="2543"/>
  <c r="BE30" i="2543"/>
  <c r="BD30" i="2543"/>
  <c r="BC30" i="2543"/>
  <c r="BB30" i="2543"/>
  <c r="AZ30" i="2543"/>
  <c r="AY30" i="2543"/>
  <c r="AX30" i="2543"/>
  <c r="AW30" i="2543"/>
  <c r="AV30" i="2543"/>
  <c r="AU30" i="2543"/>
  <c r="AT30" i="2543"/>
  <c r="AS30" i="2543"/>
  <c r="AR30" i="2543"/>
  <c r="AQ30" i="2543"/>
  <c r="AP30" i="2543"/>
  <c r="AO30" i="2543"/>
  <c r="AM30" i="2543"/>
  <c r="AL30" i="2543"/>
  <c r="AK30" i="2543"/>
  <c r="AJ30" i="2543"/>
  <c r="AI30" i="2543"/>
  <c r="AH30" i="2543"/>
  <c r="AG30" i="2543"/>
  <c r="AF30" i="2543"/>
  <c r="AE30" i="2543"/>
  <c r="AD30" i="2543"/>
  <c r="AC30" i="2543"/>
  <c r="AB30" i="2543"/>
  <c r="Z30" i="2543"/>
  <c r="Y30" i="2543"/>
  <c r="X30" i="2543"/>
  <c r="W30" i="2543"/>
  <c r="V30" i="2543"/>
  <c r="U30" i="2543"/>
  <c r="T30" i="2543"/>
  <c r="S30" i="2543"/>
  <c r="R30" i="2543"/>
  <c r="Q30" i="2543"/>
  <c r="P30" i="2543"/>
  <c r="O30" i="2543"/>
  <c r="M30" i="2543"/>
  <c r="L30" i="2543"/>
  <c r="K30" i="2543"/>
  <c r="J30" i="2543"/>
  <c r="I30" i="2543"/>
  <c r="H30" i="2543"/>
  <c r="G30" i="2543"/>
  <c r="F30" i="2543"/>
  <c r="E30" i="2543"/>
  <c r="D30" i="2543"/>
  <c r="C30" i="2543"/>
  <c r="B30" i="2543"/>
  <c r="HN28" i="2543"/>
  <c r="HA28" i="2543"/>
  <c r="GN28" i="2543"/>
  <c r="GA28" i="2543"/>
  <c r="FN28" i="2543"/>
  <c r="FA28" i="2543"/>
  <c r="EN28" i="2543"/>
  <c r="EA28" i="2543"/>
  <c r="DN28" i="2543"/>
  <c r="DA28" i="2543"/>
  <c r="CN28" i="2543"/>
  <c r="CA28" i="2543"/>
  <c r="BN28" i="2543"/>
  <c r="BA28" i="2543"/>
  <c r="AN28" i="2543"/>
  <c r="AA28" i="2543"/>
  <c r="N28" i="2543"/>
  <c r="HN27" i="2543"/>
  <c r="HA27" i="2543"/>
  <c r="GN27" i="2543"/>
  <c r="GA27" i="2543"/>
  <c r="FN27" i="2543"/>
  <c r="FA27" i="2543"/>
  <c r="EN27" i="2543"/>
  <c r="EA27" i="2543"/>
  <c r="DN27" i="2543"/>
  <c r="DA27" i="2543"/>
  <c r="CN27" i="2543"/>
  <c r="CA27" i="2543"/>
  <c r="BN27" i="2543"/>
  <c r="BA27" i="2543"/>
  <c r="AN27" i="2543"/>
  <c r="AA27" i="2543"/>
  <c r="N27" i="2543"/>
  <c r="HN26" i="2543"/>
  <c r="HA26" i="2543"/>
  <c r="GN26" i="2543"/>
  <c r="GA26" i="2543"/>
  <c r="FN26" i="2543"/>
  <c r="FA26" i="2543"/>
  <c r="EN26" i="2543"/>
  <c r="EA26" i="2543"/>
  <c r="DN26" i="2543"/>
  <c r="DA26" i="2543"/>
  <c r="CN26" i="2543"/>
  <c r="CA26" i="2543"/>
  <c r="BA26" i="2543"/>
  <c r="AN26" i="2543"/>
  <c r="AA26" i="2543"/>
  <c r="N26" i="2543"/>
  <c r="HN25" i="2543"/>
  <c r="HA25" i="2543"/>
  <c r="GN25" i="2543"/>
  <c r="GA25" i="2543"/>
  <c r="FN25" i="2543"/>
  <c r="FA25" i="2543"/>
  <c r="EN25" i="2543"/>
  <c r="EA25" i="2543"/>
  <c r="DN25" i="2543"/>
  <c r="DA25" i="2543"/>
  <c r="CN25" i="2543"/>
  <c r="CA25" i="2543"/>
  <c r="BN25" i="2543"/>
  <c r="BA25" i="2543"/>
  <c r="AN25" i="2543"/>
  <c r="AA25" i="2543"/>
  <c r="N25" i="2543"/>
  <c r="HN24" i="2543"/>
  <c r="HA24" i="2543"/>
  <c r="GN24" i="2543"/>
  <c r="GA24" i="2543"/>
  <c r="FN24" i="2543"/>
  <c r="FA24" i="2543"/>
  <c r="EN24" i="2543"/>
  <c r="EA24" i="2543"/>
  <c r="DN24" i="2543"/>
  <c r="DA24" i="2543"/>
  <c r="CN24" i="2543"/>
  <c r="CA24" i="2543"/>
  <c r="BN24" i="2543"/>
  <c r="BA24" i="2543"/>
  <c r="AN24" i="2543"/>
  <c r="AA24" i="2543"/>
  <c r="N24" i="2543"/>
  <c r="HN23" i="2543"/>
  <c r="HA23" i="2543"/>
  <c r="GN23" i="2543"/>
  <c r="GA23" i="2543"/>
  <c r="FN23" i="2543"/>
  <c r="FA23" i="2543"/>
  <c r="EN23" i="2543"/>
  <c r="EA23" i="2543"/>
  <c r="DN23" i="2543"/>
  <c r="DA23" i="2543"/>
  <c r="CN23" i="2543"/>
  <c r="CA23" i="2543"/>
  <c r="BN23" i="2543"/>
  <c r="BA23" i="2543"/>
  <c r="AN23" i="2543"/>
  <c r="AA23" i="2543"/>
  <c r="N23" i="2543"/>
  <c r="HN22" i="2543"/>
  <c r="HA22" i="2543"/>
  <c r="GN22" i="2543"/>
  <c r="GA22" i="2543"/>
  <c r="FN22" i="2543"/>
  <c r="FA22" i="2543"/>
  <c r="EN22" i="2543"/>
  <c r="EA22" i="2543"/>
  <c r="DN22" i="2543"/>
  <c r="DA22" i="2543"/>
  <c r="CN22" i="2543"/>
  <c r="CA22" i="2543"/>
  <c r="BN22" i="2543"/>
  <c r="BA22" i="2543"/>
  <c r="AN22" i="2543"/>
  <c r="AA22" i="2543"/>
  <c r="N22" i="2543"/>
  <c r="HN21" i="2543"/>
  <c r="HA21" i="2543"/>
  <c r="GN21" i="2543"/>
  <c r="GA21" i="2543"/>
  <c r="FN21" i="2543"/>
  <c r="FA21" i="2543"/>
  <c r="EN21" i="2543"/>
  <c r="EA21" i="2543"/>
  <c r="DN21" i="2543"/>
  <c r="DA21" i="2543"/>
  <c r="CN21" i="2543"/>
  <c r="CA21" i="2543"/>
  <c r="BN21" i="2543"/>
  <c r="BA21" i="2543"/>
  <c r="AN21" i="2543"/>
  <c r="AA21" i="2543"/>
  <c r="N21" i="2543"/>
  <c r="HN20" i="2543"/>
  <c r="HA20" i="2543"/>
  <c r="GN20" i="2543"/>
  <c r="GA20" i="2543"/>
  <c r="FN20" i="2543"/>
  <c r="FA20" i="2543"/>
  <c r="EN20" i="2543"/>
  <c r="EA20" i="2543"/>
  <c r="DN20" i="2543"/>
  <c r="DA20" i="2543"/>
  <c r="CN20" i="2543"/>
  <c r="CA20" i="2543"/>
  <c r="BN20" i="2543"/>
  <c r="BA20" i="2543"/>
  <c r="AN20" i="2543"/>
  <c r="AA20" i="2543"/>
  <c r="N20" i="2543"/>
  <c r="HN19" i="2543"/>
  <c r="HA19" i="2543"/>
  <c r="GN19" i="2543"/>
  <c r="GA19" i="2543"/>
  <c r="FN19" i="2543"/>
  <c r="FA19" i="2543"/>
  <c r="EN19" i="2543"/>
  <c r="EA19" i="2543"/>
  <c r="DN19" i="2543"/>
  <c r="DA19" i="2543"/>
  <c r="CN19" i="2543"/>
  <c r="CA19" i="2543"/>
  <c r="BN19" i="2543"/>
  <c r="BA19" i="2543"/>
  <c r="AN19" i="2543"/>
  <c r="AA19" i="2543"/>
  <c r="N19" i="2543"/>
  <c r="HN18" i="2543"/>
  <c r="HA18" i="2543"/>
  <c r="GN18" i="2543"/>
  <c r="GA18" i="2543"/>
  <c r="FN18" i="2543"/>
  <c r="FA18" i="2543"/>
  <c r="EN18" i="2543"/>
  <c r="EA18" i="2543"/>
  <c r="DN18" i="2543"/>
  <c r="DA18" i="2543"/>
  <c r="CN18" i="2543"/>
  <c r="CA18" i="2543"/>
  <c r="BN18" i="2543"/>
  <c r="BA18" i="2543"/>
  <c r="AN18" i="2543"/>
  <c r="AA18" i="2543"/>
  <c r="N18" i="2543"/>
  <c r="HN17" i="2543"/>
  <c r="HA17" i="2543"/>
  <c r="GN17" i="2543"/>
  <c r="GA17" i="2543"/>
  <c r="FN17" i="2543"/>
  <c r="FA17" i="2543"/>
  <c r="EN17" i="2543"/>
  <c r="EA17" i="2543"/>
  <c r="DN17" i="2543"/>
  <c r="DA17" i="2543"/>
  <c r="CN17" i="2543"/>
  <c r="CA17" i="2543"/>
  <c r="BN17" i="2543"/>
  <c r="BA17" i="2543"/>
  <c r="AN17" i="2543"/>
  <c r="AA17" i="2543"/>
  <c r="N17" i="2543"/>
  <c r="HN16" i="2543"/>
  <c r="HA16" i="2543"/>
  <c r="GN16" i="2543"/>
  <c r="GA16" i="2543"/>
  <c r="FN16" i="2543"/>
  <c r="FA16" i="2543"/>
  <c r="EN16" i="2543"/>
  <c r="EA16" i="2543"/>
  <c r="DN16" i="2543"/>
  <c r="DA16" i="2543"/>
  <c r="CN16" i="2543"/>
  <c r="CA16" i="2543"/>
  <c r="BN16" i="2543"/>
  <c r="BA16" i="2543"/>
  <c r="AN16" i="2543"/>
  <c r="AA16" i="2543"/>
  <c r="N16" i="2543"/>
  <c r="HN15" i="2543"/>
  <c r="HA15" i="2543"/>
  <c r="GN15" i="2543"/>
  <c r="GA15" i="2543"/>
  <c r="FN15" i="2543"/>
  <c r="FA15" i="2543"/>
  <c r="EN15" i="2543"/>
  <c r="EA15" i="2543"/>
  <c r="DN15" i="2543"/>
  <c r="DA15" i="2543"/>
  <c r="CN15" i="2543"/>
  <c r="CA15" i="2543"/>
  <c r="BN15" i="2543"/>
  <c r="BA15" i="2543"/>
  <c r="AN15" i="2543"/>
  <c r="AA15" i="2543"/>
  <c r="N15" i="2543"/>
  <c r="HN14" i="2543"/>
  <c r="HA14" i="2543"/>
  <c r="GN14" i="2543"/>
  <c r="GA14" i="2543"/>
  <c r="FN14" i="2543"/>
  <c r="FA14" i="2543"/>
  <c r="EN14" i="2543"/>
  <c r="EA14" i="2543"/>
  <c r="DN14" i="2543"/>
  <c r="DA14" i="2543"/>
  <c r="CN14" i="2543"/>
  <c r="CA14" i="2543"/>
  <c r="BN14" i="2543"/>
  <c r="BA14" i="2543"/>
  <c r="AN14" i="2543"/>
  <c r="AA14" i="2543"/>
  <c r="N14" i="2543"/>
  <c r="HN13" i="2543"/>
  <c r="HA13" i="2543"/>
  <c r="GN13" i="2543"/>
  <c r="GA13" i="2543"/>
  <c r="FN13" i="2543"/>
  <c r="FA13" i="2543"/>
  <c r="EN13" i="2543"/>
  <c r="EA13" i="2543"/>
  <c r="DN13" i="2543"/>
  <c r="DA13" i="2543"/>
  <c r="CN13" i="2543"/>
  <c r="CA13" i="2543"/>
  <c r="BN13" i="2543"/>
  <c r="BA13" i="2543"/>
  <c r="AN13" i="2543"/>
  <c r="AA13" i="2543"/>
  <c r="N13" i="2543"/>
  <c r="HN12" i="2543"/>
  <c r="HA12" i="2543"/>
  <c r="GN12" i="2543"/>
  <c r="GA12" i="2543"/>
  <c r="FN12" i="2543"/>
  <c r="FA12" i="2543"/>
  <c r="EN12" i="2543"/>
  <c r="EA12" i="2543"/>
  <c r="DN12" i="2543"/>
  <c r="DA12" i="2543"/>
  <c r="CN12" i="2543"/>
  <c r="CA12" i="2543"/>
  <c r="BN12" i="2543"/>
  <c r="BA12" i="2543"/>
  <c r="AN12" i="2543"/>
  <c r="AA12" i="2543"/>
  <c r="N12" i="2543"/>
  <c r="HN11" i="2543"/>
  <c r="HA11" i="2543"/>
  <c r="GN11" i="2543"/>
  <c r="GA11" i="2543"/>
  <c r="FN11" i="2543"/>
  <c r="FA11" i="2543"/>
  <c r="EN11" i="2543"/>
  <c r="EA11" i="2543"/>
  <c r="DN11" i="2543"/>
  <c r="DA11" i="2543"/>
  <c r="CN11" i="2543"/>
  <c r="CA11" i="2543"/>
  <c r="BN11" i="2543"/>
  <c r="BA11" i="2543"/>
  <c r="AN11" i="2543"/>
  <c r="AA11" i="2543"/>
  <c r="N11" i="2543"/>
  <c r="HN10" i="2543"/>
  <c r="HA10" i="2543"/>
  <c r="GN10" i="2543"/>
  <c r="GA10" i="2543"/>
  <c r="FN10" i="2543"/>
  <c r="FA10" i="2543"/>
  <c r="EN10" i="2543"/>
  <c r="EA10" i="2543"/>
  <c r="DN10" i="2543"/>
  <c r="DA10" i="2543"/>
  <c r="CN10" i="2543"/>
  <c r="CA10" i="2543"/>
  <c r="BN10" i="2543"/>
  <c r="BA10" i="2543"/>
  <c r="AN10" i="2543"/>
  <c r="AA10" i="2543"/>
  <c r="N10" i="2543"/>
  <c r="HN9" i="2543"/>
  <c r="HA9" i="2543"/>
  <c r="GN9" i="2543"/>
  <c r="GA9" i="2543"/>
  <c r="FN9" i="2543"/>
  <c r="FA9" i="2543"/>
  <c r="EN9" i="2543"/>
  <c r="EA9" i="2543"/>
  <c r="DN9" i="2543"/>
  <c r="DA9" i="2543"/>
  <c r="CN9" i="2543"/>
  <c r="CA9" i="2543"/>
  <c r="BN9" i="2543"/>
  <c r="BA9" i="2543"/>
  <c r="AN9" i="2543"/>
  <c r="AA9" i="2543"/>
  <c r="N9" i="2543"/>
  <c r="HN8" i="2543"/>
  <c r="HA8" i="2543"/>
  <c r="GN8" i="2543"/>
  <c r="GA8" i="2543"/>
  <c r="FN8" i="2543"/>
  <c r="FA8" i="2543"/>
  <c r="EN8" i="2543"/>
  <c r="EA8" i="2543"/>
  <c r="DN8" i="2543"/>
  <c r="DA8" i="2543"/>
  <c r="CN8" i="2543"/>
  <c r="CA8" i="2543"/>
  <c r="BN8" i="2543"/>
  <c r="BA8" i="2543"/>
  <c r="AN8" i="2543"/>
  <c r="AA8" i="2543"/>
  <c r="N8" i="2543"/>
  <c r="HM7" i="2543"/>
  <c r="HL7" i="2543"/>
  <c r="HK7" i="2543"/>
  <c r="HJ7" i="2543"/>
  <c r="HI7" i="2543"/>
  <c r="HH7" i="2543"/>
  <c r="HG7" i="2543"/>
  <c r="HF7" i="2543"/>
  <c r="HE7" i="2543"/>
  <c r="HD7" i="2543"/>
  <c r="HC7" i="2543"/>
  <c r="HB7" i="2543"/>
  <c r="GZ7" i="2543"/>
  <c r="GY7" i="2543"/>
  <c r="GX7" i="2543"/>
  <c r="GW7" i="2543"/>
  <c r="GV7" i="2543"/>
  <c r="GU7" i="2543"/>
  <c r="GT7" i="2543"/>
  <c r="GS7" i="2543"/>
  <c r="GR7" i="2543"/>
  <c r="GQ7" i="2543"/>
  <c r="GP7" i="2543"/>
  <c r="GO7" i="2543"/>
  <c r="GM7" i="2543"/>
  <c r="GL7" i="2543"/>
  <c r="GK7" i="2543"/>
  <c r="GJ7" i="2543"/>
  <c r="GI7" i="2543"/>
  <c r="GH7" i="2543"/>
  <c r="GG7" i="2543"/>
  <c r="GF7" i="2543"/>
  <c r="GE7" i="2543"/>
  <c r="GD7" i="2543"/>
  <c r="GC7" i="2543"/>
  <c r="GB7" i="2543"/>
  <c r="FZ7" i="2543"/>
  <c r="FY7" i="2543"/>
  <c r="FX7" i="2543"/>
  <c r="FW7" i="2543"/>
  <c r="FV7" i="2543"/>
  <c r="FU7" i="2543"/>
  <c r="FT7" i="2543"/>
  <c r="FS7" i="2543"/>
  <c r="FR7" i="2543"/>
  <c r="FQ7" i="2543"/>
  <c r="FP7" i="2543"/>
  <c r="FO7" i="2543"/>
  <c r="FM7" i="2543"/>
  <c r="FL7" i="2543"/>
  <c r="FK7" i="2543"/>
  <c r="FJ7" i="2543"/>
  <c r="FI7" i="2543"/>
  <c r="FH7" i="2543"/>
  <c r="FG7" i="2543"/>
  <c r="FF7" i="2543"/>
  <c r="FE7" i="2543"/>
  <c r="FD7" i="2543"/>
  <c r="FC7" i="2543"/>
  <c r="FB7" i="2543"/>
  <c r="EZ7" i="2543"/>
  <c r="EY7" i="2543"/>
  <c r="EX7" i="2543"/>
  <c r="EW7" i="2543"/>
  <c r="EV7" i="2543"/>
  <c r="EU7" i="2543"/>
  <c r="ET7" i="2543"/>
  <c r="ES7" i="2543"/>
  <c r="ER7" i="2543"/>
  <c r="EQ7" i="2543"/>
  <c r="EP7" i="2543"/>
  <c r="EO7" i="2543"/>
  <c r="EM7" i="2543"/>
  <c r="EL7" i="2543"/>
  <c r="EK7" i="2543"/>
  <c r="EJ7" i="2543"/>
  <c r="EI7" i="2543"/>
  <c r="EH7" i="2543"/>
  <c r="EG7" i="2543"/>
  <c r="EF7" i="2543"/>
  <c r="EE7" i="2543"/>
  <c r="ED7" i="2543"/>
  <c r="EC7" i="2543"/>
  <c r="EB7" i="2543"/>
  <c r="DZ7" i="2543"/>
  <c r="DY7" i="2543"/>
  <c r="DX7" i="2543"/>
  <c r="DW7" i="2543"/>
  <c r="DV7" i="2543"/>
  <c r="DU7" i="2543"/>
  <c r="DT7" i="2543"/>
  <c r="DS7" i="2543"/>
  <c r="DR7" i="2543"/>
  <c r="DQ7" i="2543"/>
  <c r="DP7" i="2543"/>
  <c r="DO7" i="2543"/>
  <c r="DM7" i="2543"/>
  <c r="DL7" i="2543"/>
  <c r="DK7" i="2543"/>
  <c r="DJ7" i="2543"/>
  <c r="DI7" i="2543"/>
  <c r="DH7" i="2543"/>
  <c r="DG7" i="2543"/>
  <c r="DF7" i="2543"/>
  <c r="DE7" i="2543"/>
  <c r="DD7" i="2543"/>
  <c r="DC7" i="2543"/>
  <c r="DB7" i="2543"/>
  <c r="CZ7" i="2543"/>
  <c r="CY7" i="2543"/>
  <c r="CX7" i="2543"/>
  <c r="CW7" i="2543"/>
  <c r="CV7" i="2543"/>
  <c r="CU7" i="2543"/>
  <c r="CT7" i="2543"/>
  <c r="CS7" i="2543"/>
  <c r="CR7" i="2543"/>
  <c r="CQ7" i="2543"/>
  <c r="CP7" i="2543"/>
  <c r="CO7" i="2543"/>
  <c r="CM7" i="2543"/>
  <c r="CL7" i="2543"/>
  <c r="CK7" i="2543"/>
  <c r="CJ7" i="2543"/>
  <c r="CI7" i="2543"/>
  <c r="CH7" i="2543"/>
  <c r="CG7" i="2543"/>
  <c r="CF7" i="2543"/>
  <c r="CE7" i="2543"/>
  <c r="CD7" i="2543"/>
  <c r="CC7" i="2543"/>
  <c r="CB7" i="2543"/>
  <c r="BZ7" i="2543"/>
  <c r="BY7" i="2543"/>
  <c r="BX7" i="2543"/>
  <c r="BW7" i="2543"/>
  <c r="BV7" i="2543"/>
  <c r="BU7" i="2543"/>
  <c r="BT7" i="2543"/>
  <c r="BS7" i="2543"/>
  <c r="BR7" i="2543"/>
  <c r="BQ7" i="2543"/>
  <c r="BP7" i="2543"/>
  <c r="BO7" i="2543"/>
  <c r="BM7" i="2543"/>
  <c r="BL7" i="2543"/>
  <c r="BK7" i="2543"/>
  <c r="BJ7" i="2543"/>
  <c r="BI7" i="2543"/>
  <c r="BH7" i="2543"/>
  <c r="BG7" i="2543"/>
  <c r="BF7" i="2543"/>
  <c r="BE7" i="2543"/>
  <c r="BD7" i="2543"/>
  <c r="BC7" i="2543"/>
  <c r="BB7" i="2543"/>
  <c r="AZ7" i="2543"/>
  <c r="AY7" i="2543"/>
  <c r="AX7" i="2543"/>
  <c r="AW7" i="2543"/>
  <c r="AV7" i="2543"/>
  <c r="AU7" i="2543"/>
  <c r="AT7" i="2543"/>
  <c r="AS7" i="2543"/>
  <c r="AR7" i="2543"/>
  <c r="AQ7" i="2543"/>
  <c r="AP7" i="2543"/>
  <c r="AO7" i="2543"/>
  <c r="AM7" i="2543"/>
  <c r="AL7" i="2543"/>
  <c r="AK7" i="2543"/>
  <c r="AJ7" i="2543"/>
  <c r="AI7" i="2543"/>
  <c r="AH7" i="2543"/>
  <c r="AG7" i="2543"/>
  <c r="AF7" i="2543"/>
  <c r="AE7" i="2543"/>
  <c r="AD7" i="2543"/>
  <c r="AC7" i="2543"/>
  <c r="AB7" i="2543"/>
  <c r="Z7" i="2543"/>
  <c r="Y7" i="2543"/>
  <c r="X7" i="2543"/>
  <c r="W7" i="2543"/>
  <c r="V7" i="2543"/>
  <c r="U7" i="2543"/>
  <c r="T7" i="2543"/>
  <c r="S7" i="2543"/>
  <c r="R7" i="2543"/>
  <c r="Q7" i="2543"/>
  <c r="P7" i="2543"/>
  <c r="O7" i="2543"/>
  <c r="M7" i="2543"/>
  <c r="L7" i="2543"/>
  <c r="K7" i="2543"/>
  <c r="J7" i="2543"/>
  <c r="I7" i="2543"/>
  <c r="H7" i="2543"/>
  <c r="G7" i="2543"/>
  <c r="F7" i="2543"/>
  <c r="E7" i="2543"/>
  <c r="D7" i="2543"/>
  <c r="C7" i="2543"/>
  <c r="B7" i="2543"/>
  <c r="HN5" i="2543"/>
  <c r="HA5" i="2543"/>
  <c r="GN5" i="2543"/>
  <c r="GA5" i="2543"/>
  <c r="FN5" i="2543"/>
  <c r="FA5" i="2543"/>
  <c r="EN5" i="2543"/>
  <c r="EA5" i="2543"/>
  <c r="DN5" i="2543"/>
  <c r="DA5" i="2543"/>
  <c r="CN5" i="2543"/>
  <c r="CA5" i="2543"/>
  <c r="BN5" i="2543"/>
  <c r="BA5" i="2543"/>
  <c r="AN5" i="2543"/>
  <c r="AA5" i="2543"/>
  <c r="N5" i="2543"/>
  <c r="HB4" i="2543"/>
  <c r="GO4" i="2543"/>
  <c r="GB4" i="2543"/>
  <c r="FO4" i="2543"/>
  <c r="FB4" i="2543"/>
  <c r="EO4" i="2543"/>
  <c r="EB4" i="2543"/>
  <c r="DO4" i="2543"/>
  <c r="DB4" i="2543"/>
  <c r="CO4" i="2543"/>
  <c r="CB4" i="2543"/>
  <c r="BO4" i="2543"/>
  <c r="BB4" i="2543"/>
  <c r="AO4" i="2543"/>
  <c r="AB4" i="2543"/>
  <c r="O4" i="2543"/>
  <c r="B4" i="2543"/>
  <c r="GP92" i="2539"/>
  <c r="GP111" i="2539" s="1"/>
  <c r="GQ89" i="2539"/>
  <c r="GQ108" i="2539" s="1"/>
  <c r="GP89" i="2539"/>
  <c r="GP108" i="2539" s="1"/>
  <c r="GQ88" i="2539"/>
  <c r="GP88" i="2539"/>
  <c r="GP107" i="2539" s="1"/>
  <c r="GA85" i="2541"/>
  <c r="FN85" i="2541"/>
  <c r="FA85" i="2541"/>
  <c r="EN85" i="2541"/>
  <c r="EA85" i="2541"/>
  <c r="DN85" i="2541"/>
  <c r="DA85" i="2541"/>
  <c r="CN85" i="2541"/>
  <c r="CA85" i="2541"/>
  <c r="BN85" i="2541"/>
  <c r="BA85" i="2541"/>
  <c r="AN85" i="2541"/>
  <c r="GA84" i="2541"/>
  <c r="FN84" i="2541"/>
  <c r="FA84" i="2541"/>
  <c r="EN84" i="2541"/>
  <c r="EA84" i="2541"/>
  <c r="DN84" i="2541"/>
  <c r="DA84" i="2541"/>
  <c r="CN84" i="2541"/>
  <c r="CA84" i="2541"/>
  <c r="BN84" i="2541"/>
  <c r="BA84" i="2541"/>
  <c r="AN84" i="2541"/>
  <c r="GA83" i="2541"/>
  <c r="FN83" i="2541"/>
  <c r="FA83" i="2541"/>
  <c r="EN83" i="2541"/>
  <c r="EA83" i="2541"/>
  <c r="DN83" i="2541"/>
  <c r="DA83" i="2541"/>
  <c r="CN83" i="2541"/>
  <c r="CA83" i="2541"/>
  <c r="BN83" i="2541"/>
  <c r="BA83" i="2541"/>
  <c r="AN83" i="2541"/>
  <c r="GA82" i="2541"/>
  <c r="FN82" i="2541"/>
  <c r="FA82" i="2541"/>
  <c r="EN82" i="2541"/>
  <c r="EA82" i="2541"/>
  <c r="DN82" i="2541"/>
  <c r="DA82" i="2541"/>
  <c r="CN82" i="2541"/>
  <c r="CA82" i="2541"/>
  <c r="BN82" i="2541"/>
  <c r="BA82" i="2541"/>
  <c r="AN82" i="2541"/>
  <c r="GA81" i="2541"/>
  <c r="FN81" i="2541"/>
  <c r="FA81" i="2541"/>
  <c r="EN81" i="2541"/>
  <c r="EA81" i="2541"/>
  <c r="DN81" i="2541"/>
  <c r="DA81" i="2541"/>
  <c r="CN81" i="2541"/>
  <c r="CA81" i="2541"/>
  <c r="BN81" i="2541"/>
  <c r="BA81" i="2541"/>
  <c r="AN81" i="2541"/>
  <c r="FZ80" i="2541"/>
  <c r="FZ77" i="2541" s="1"/>
  <c r="FY80" i="2541"/>
  <c r="FY77" i="2541" s="1"/>
  <c r="FX80" i="2541"/>
  <c r="FX77" i="2541" s="1"/>
  <c r="FW80" i="2541"/>
  <c r="FW77" i="2541" s="1"/>
  <c r="FV80" i="2541"/>
  <c r="FV77" i="2541" s="1"/>
  <c r="FU80" i="2541"/>
  <c r="FT80" i="2541"/>
  <c r="FT77" i="2541" s="1"/>
  <c r="FS80" i="2541"/>
  <c r="FS77" i="2541" s="1"/>
  <c r="FR80" i="2541"/>
  <c r="FR77" i="2541" s="1"/>
  <c r="FQ80" i="2541"/>
  <c r="FQ77" i="2541" s="1"/>
  <c r="FP80" i="2541"/>
  <c r="FP77" i="2541" s="1"/>
  <c r="FO80" i="2541"/>
  <c r="FO77" i="2541" s="1"/>
  <c r="FM80" i="2541"/>
  <c r="FM77" i="2541" s="1"/>
  <c r="FL80" i="2541"/>
  <c r="FL77" i="2541" s="1"/>
  <c r="FK80" i="2541"/>
  <c r="FK77" i="2541" s="1"/>
  <c r="FJ80" i="2541"/>
  <c r="FJ77" i="2541" s="1"/>
  <c r="FI80" i="2541"/>
  <c r="FI77" i="2541" s="1"/>
  <c r="FH80" i="2541"/>
  <c r="FG80" i="2541"/>
  <c r="FG77" i="2541" s="1"/>
  <c r="FF80" i="2541"/>
  <c r="FF77" i="2541" s="1"/>
  <c r="FE80" i="2541"/>
  <c r="FE77" i="2541" s="1"/>
  <c r="FD80" i="2541"/>
  <c r="FD77" i="2541" s="1"/>
  <c r="FC80" i="2541"/>
  <c r="FC77" i="2541" s="1"/>
  <c r="FB80" i="2541"/>
  <c r="FB77" i="2541" s="1"/>
  <c r="EZ80" i="2541"/>
  <c r="EZ77" i="2541" s="1"/>
  <c r="EY80" i="2541"/>
  <c r="EY77" i="2541" s="1"/>
  <c r="EX80" i="2541"/>
  <c r="EX77" i="2541" s="1"/>
  <c r="EW80" i="2541"/>
  <c r="EW77" i="2541" s="1"/>
  <c r="EV80" i="2541"/>
  <c r="EU80" i="2541"/>
  <c r="ET80" i="2541"/>
  <c r="ET77" i="2541" s="1"/>
  <c r="ES80" i="2541"/>
  <c r="ES77" i="2541" s="1"/>
  <c r="ER80" i="2541"/>
  <c r="ER77" i="2541" s="1"/>
  <c r="EQ80" i="2541"/>
  <c r="EQ77" i="2541" s="1"/>
  <c r="EP80" i="2541"/>
  <c r="EP77" i="2541" s="1"/>
  <c r="EO80" i="2541"/>
  <c r="EO77" i="2541" s="1"/>
  <c r="EM80" i="2541"/>
  <c r="EM77" i="2541" s="1"/>
  <c r="EL80" i="2541"/>
  <c r="EL77" i="2541" s="1"/>
  <c r="EK80" i="2541"/>
  <c r="EJ80" i="2541"/>
  <c r="EJ77" i="2541" s="1"/>
  <c r="EI80" i="2541"/>
  <c r="EI77" i="2541" s="1"/>
  <c r="EH80" i="2541"/>
  <c r="EG80" i="2541"/>
  <c r="EG77" i="2541" s="1"/>
  <c r="EF80" i="2541"/>
  <c r="EF77" i="2541" s="1"/>
  <c r="EE80" i="2541"/>
  <c r="EE77" i="2541" s="1"/>
  <c r="ED80" i="2541"/>
  <c r="ED77" i="2541" s="1"/>
  <c r="EC80" i="2541"/>
  <c r="EC77" i="2541" s="1"/>
  <c r="EB80" i="2541"/>
  <c r="EB77" i="2541" s="1"/>
  <c r="DZ80" i="2541"/>
  <c r="DZ77" i="2541" s="1"/>
  <c r="DY80" i="2541"/>
  <c r="DY77" i="2541" s="1"/>
  <c r="DX80" i="2541"/>
  <c r="DX77" i="2541" s="1"/>
  <c r="DW80" i="2541"/>
  <c r="DW77" i="2541" s="1"/>
  <c r="DV80" i="2541"/>
  <c r="DV77" i="2541" s="1"/>
  <c r="DU80" i="2541"/>
  <c r="DU77" i="2541" s="1"/>
  <c r="DT80" i="2541"/>
  <c r="DT77" i="2541" s="1"/>
  <c r="DS80" i="2541"/>
  <c r="DS77" i="2541" s="1"/>
  <c r="DR80" i="2541"/>
  <c r="DR77" i="2541" s="1"/>
  <c r="DQ80" i="2541"/>
  <c r="DQ77" i="2541" s="1"/>
  <c r="DP80" i="2541"/>
  <c r="DP77" i="2541" s="1"/>
  <c r="DO80" i="2541"/>
  <c r="DO77" i="2541" s="1"/>
  <c r="DM80" i="2541"/>
  <c r="DM77" i="2541" s="1"/>
  <c r="DL80" i="2541"/>
  <c r="DL77" i="2541" s="1"/>
  <c r="DK80" i="2541"/>
  <c r="DK77" i="2541" s="1"/>
  <c r="DJ80" i="2541"/>
  <c r="DJ77" i="2541" s="1"/>
  <c r="DI80" i="2541"/>
  <c r="DI77" i="2541" s="1"/>
  <c r="DH80" i="2541"/>
  <c r="DG80" i="2541"/>
  <c r="DG77" i="2541" s="1"/>
  <c r="DF80" i="2541"/>
  <c r="DF77" i="2541" s="1"/>
  <c r="DE80" i="2541"/>
  <c r="DE77" i="2541" s="1"/>
  <c r="DD80" i="2541"/>
  <c r="DD77" i="2541" s="1"/>
  <c r="DC80" i="2541"/>
  <c r="DC77" i="2541" s="1"/>
  <c r="DB80" i="2541"/>
  <c r="DB77" i="2541" s="1"/>
  <c r="CZ80" i="2541"/>
  <c r="CZ77" i="2541" s="1"/>
  <c r="CY80" i="2541"/>
  <c r="CY77" i="2541" s="1"/>
  <c r="CX80" i="2541"/>
  <c r="CX77" i="2541" s="1"/>
  <c r="CW80" i="2541"/>
  <c r="CW77" i="2541" s="1"/>
  <c r="CV80" i="2541"/>
  <c r="CV77" i="2541" s="1"/>
  <c r="CU80" i="2541"/>
  <c r="CU77" i="2541" s="1"/>
  <c r="CT80" i="2541"/>
  <c r="CT77" i="2541" s="1"/>
  <c r="CS80" i="2541"/>
  <c r="CS77" i="2541" s="1"/>
  <c r="CR80" i="2541"/>
  <c r="CR77" i="2541" s="1"/>
  <c r="CQ80" i="2541"/>
  <c r="CQ77" i="2541" s="1"/>
  <c r="CP80" i="2541"/>
  <c r="CP77" i="2541" s="1"/>
  <c r="CO80" i="2541"/>
  <c r="CO77" i="2541" s="1"/>
  <c r="CM80" i="2541"/>
  <c r="CM77" i="2541" s="1"/>
  <c r="CL80" i="2541"/>
  <c r="CL77" i="2541" s="1"/>
  <c r="CK80" i="2541"/>
  <c r="CK77" i="2541" s="1"/>
  <c r="CJ80" i="2541"/>
  <c r="CJ77" i="2541" s="1"/>
  <c r="CI80" i="2541"/>
  <c r="CI77" i="2541" s="1"/>
  <c r="CH80" i="2541"/>
  <c r="CH77" i="2541" s="1"/>
  <c r="CG80" i="2541"/>
  <c r="CG77" i="2541" s="1"/>
  <c r="CF80" i="2541"/>
  <c r="CF77" i="2541" s="1"/>
  <c r="CE80" i="2541"/>
  <c r="CE77" i="2541" s="1"/>
  <c r="CD80" i="2541"/>
  <c r="CD77" i="2541" s="1"/>
  <c r="CC80" i="2541"/>
  <c r="CC77" i="2541" s="1"/>
  <c r="CB80" i="2541"/>
  <c r="CB77" i="2541" s="1"/>
  <c r="BZ80" i="2541"/>
  <c r="BZ77" i="2541" s="1"/>
  <c r="BY80" i="2541"/>
  <c r="BY77" i="2541" s="1"/>
  <c r="BX80" i="2541"/>
  <c r="BX77" i="2541" s="1"/>
  <c r="BW80" i="2541"/>
  <c r="BW77" i="2541" s="1"/>
  <c r="BV80" i="2541"/>
  <c r="BV77" i="2541" s="1"/>
  <c r="BU80" i="2541"/>
  <c r="BU77" i="2541" s="1"/>
  <c r="BT80" i="2541"/>
  <c r="BT77" i="2541" s="1"/>
  <c r="BS80" i="2541"/>
  <c r="BS77" i="2541" s="1"/>
  <c r="BR80" i="2541"/>
  <c r="BR77" i="2541" s="1"/>
  <c r="BQ80" i="2541"/>
  <c r="BQ77" i="2541" s="1"/>
  <c r="BP80" i="2541"/>
  <c r="BP77" i="2541" s="1"/>
  <c r="BO80" i="2541"/>
  <c r="BO77" i="2541" s="1"/>
  <c r="BM80" i="2541"/>
  <c r="BM77" i="2541" s="1"/>
  <c r="BL80" i="2541"/>
  <c r="BL77" i="2541" s="1"/>
  <c r="BK80" i="2541"/>
  <c r="BK77" i="2541" s="1"/>
  <c r="BJ80" i="2541"/>
  <c r="BJ77" i="2541" s="1"/>
  <c r="BI80" i="2541"/>
  <c r="BI77" i="2541" s="1"/>
  <c r="BH80" i="2541"/>
  <c r="BG80" i="2541"/>
  <c r="BG77" i="2541" s="1"/>
  <c r="BF80" i="2541"/>
  <c r="BF77" i="2541" s="1"/>
  <c r="BE80" i="2541"/>
  <c r="BE77" i="2541" s="1"/>
  <c r="BD80" i="2541"/>
  <c r="BD77" i="2541" s="1"/>
  <c r="BC80" i="2541"/>
  <c r="BC77" i="2541" s="1"/>
  <c r="BB80" i="2541"/>
  <c r="BB77" i="2541" s="1"/>
  <c r="AZ80" i="2541"/>
  <c r="AZ77" i="2541" s="1"/>
  <c r="AY80" i="2541"/>
  <c r="AY77" i="2541" s="1"/>
  <c r="AX80" i="2541"/>
  <c r="AX77" i="2541" s="1"/>
  <c r="AW80" i="2541"/>
  <c r="AW77" i="2541" s="1"/>
  <c r="AV80" i="2541"/>
  <c r="AV77" i="2541" s="1"/>
  <c r="AU80" i="2541"/>
  <c r="AU77" i="2541" s="1"/>
  <c r="AT80" i="2541"/>
  <c r="AT77" i="2541" s="1"/>
  <c r="AS80" i="2541"/>
  <c r="AS77" i="2541" s="1"/>
  <c r="AR80" i="2541"/>
  <c r="AR77" i="2541" s="1"/>
  <c r="AQ80" i="2541"/>
  <c r="AQ77" i="2541" s="1"/>
  <c r="AP80" i="2541"/>
  <c r="AP77" i="2541" s="1"/>
  <c r="AO80" i="2541"/>
  <c r="AO77" i="2541" s="1"/>
  <c r="AM80" i="2541"/>
  <c r="AM77" i="2541" s="1"/>
  <c r="AL80" i="2541"/>
  <c r="AL77" i="2541" s="1"/>
  <c r="AK80" i="2541"/>
  <c r="AK77" i="2541" s="1"/>
  <c r="AJ80" i="2541"/>
  <c r="AJ77" i="2541" s="1"/>
  <c r="AI80" i="2541"/>
  <c r="AI77" i="2541" s="1"/>
  <c r="AH80" i="2541"/>
  <c r="AH77" i="2541" s="1"/>
  <c r="AG80" i="2541"/>
  <c r="AG77" i="2541" s="1"/>
  <c r="AF80" i="2541"/>
  <c r="AF77" i="2541" s="1"/>
  <c r="AE80" i="2541"/>
  <c r="AE77" i="2541" s="1"/>
  <c r="AD80" i="2541"/>
  <c r="AD77" i="2541" s="1"/>
  <c r="AC80" i="2541"/>
  <c r="AC77" i="2541" s="1"/>
  <c r="AB80" i="2541"/>
  <c r="AB77" i="2541" s="1"/>
  <c r="GA79" i="2541"/>
  <c r="FN79" i="2541"/>
  <c r="FA79" i="2541"/>
  <c r="EN79" i="2541"/>
  <c r="EA79" i="2541"/>
  <c r="DN79" i="2541"/>
  <c r="DA79" i="2541"/>
  <c r="CN79" i="2541"/>
  <c r="CA79" i="2541"/>
  <c r="BN79" i="2541"/>
  <c r="BA79" i="2541"/>
  <c r="AN79" i="2541"/>
  <c r="GA78" i="2541"/>
  <c r="FN78" i="2541"/>
  <c r="FA78" i="2541"/>
  <c r="EN78" i="2541"/>
  <c r="EA78" i="2541"/>
  <c r="DN78" i="2541"/>
  <c r="DA78" i="2541"/>
  <c r="CN78" i="2541"/>
  <c r="CA78" i="2541"/>
  <c r="BN78" i="2541"/>
  <c r="BA78" i="2541"/>
  <c r="AN78" i="2541"/>
  <c r="FU77" i="2541"/>
  <c r="FH77" i="2541"/>
  <c r="EV77" i="2541"/>
  <c r="EU77" i="2541"/>
  <c r="EK77" i="2541"/>
  <c r="EH77" i="2541"/>
  <c r="DH77" i="2541"/>
  <c r="BH77" i="2541"/>
  <c r="GA76" i="2541"/>
  <c r="GA75" i="2541"/>
  <c r="FN75" i="2541"/>
  <c r="FA75" i="2541"/>
  <c r="EN75" i="2541"/>
  <c r="EA75" i="2541"/>
  <c r="DN75" i="2541"/>
  <c r="DA75" i="2541"/>
  <c r="CN75" i="2541"/>
  <c r="CA75" i="2541"/>
  <c r="BN75" i="2541"/>
  <c r="BA75" i="2541"/>
  <c r="AN75" i="2541"/>
  <c r="GA74" i="2541"/>
  <c r="FN74" i="2541"/>
  <c r="FA74" i="2541"/>
  <c r="EN74" i="2541"/>
  <c r="EA74" i="2541"/>
  <c r="DN74" i="2541"/>
  <c r="DA74" i="2541"/>
  <c r="CN74" i="2541"/>
  <c r="CA74" i="2541"/>
  <c r="BN74" i="2541"/>
  <c r="BA74" i="2541"/>
  <c r="AN74" i="2541"/>
  <c r="FZ73" i="2541"/>
  <c r="FY73" i="2541"/>
  <c r="FX73" i="2541"/>
  <c r="FW73" i="2541"/>
  <c r="FV73" i="2541"/>
  <c r="FU73" i="2541"/>
  <c r="FT73" i="2541"/>
  <c r="FS73" i="2541"/>
  <c r="FR73" i="2541"/>
  <c r="FQ73" i="2541"/>
  <c r="FP73" i="2541"/>
  <c r="FO73" i="2541"/>
  <c r="FM73" i="2541"/>
  <c r="FL73" i="2541"/>
  <c r="FK73" i="2541"/>
  <c r="FJ73" i="2541"/>
  <c r="FI73" i="2541"/>
  <c r="FH73" i="2541"/>
  <c r="FG73" i="2541"/>
  <c r="FF73" i="2541"/>
  <c r="FE73" i="2541"/>
  <c r="FD73" i="2541"/>
  <c r="FC73" i="2541"/>
  <c r="FB73" i="2541"/>
  <c r="EZ73" i="2541"/>
  <c r="EY73" i="2541"/>
  <c r="EX73" i="2541"/>
  <c r="EW73" i="2541"/>
  <c r="EV73" i="2541"/>
  <c r="EU73" i="2541"/>
  <c r="ET73" i="2541"/>
  <c r="ES73" i="2541"/>
  <c r="ER73" i="2541"/>
  <c r="EQ73" i="2541"/>
  <c r="EP73" i="2541"/>
  <c r="EO73" i="2541"/>
  <c r="EJ73" i="2541"/>
  <c r="EI73" i="2541"/>
  <c r="EH73" i="2541"/>
  <c r="EG73" i="2541"/>
  <c r="EG62" i="2541" s="1"/>
  <c r="EF73" i="2541"/>
  <c r="EF62" i="2541" s="1"/>
  <c r="EE73" i="2541"/>
  <c r="ED73" i="2541"/>
  <c r="EC73" i="2541"/>
  <c r="EB73" i="2541"/>
  <c r="DZ73" i="2541"/>
  <c r="DY73" i="2541"/>
  <c r="DX73" i="2541"/>
  <c r="DW73" i="2541"/>
  <c r="DV73" i="2541"/>
  <c r="DU73" i="2541"/>
  <c r="DT73" i="2541"/>
  <c r="DS73" i="2541"/>
  <c r="DR73" i="2541"/>
  <c r="DQ73" i="2541"/>
  <c r="DP73" i="2541"/>
  <c r="DO73" i="2541"/>
  <c r="DM73" i="2541"/>
  <c r="DL73" i="2541"/>
  <c r="DK73" i="2541"/>
  <c r="DJ73" i="2541"/>
  <c r="DI73" i="2541"/>
  <c r="DH73" i="2541"/>
  <c r="DG73" i="2541"/>
  <c r="DF73" i="2541"/>
  <c r="DE73" i="2541"/>
  <c r="DD73" i="2541"/>
  <c r="DC73" i="2541"/>
  <c r="DB73" i="2541"/>
  <c r="CZ73" i="2541"/>
  <c r="CY73" i="2541"/>
  <c r="CX73" i="2541"/>
  <c r="CW73" i="2541"/>
  <c r="CV73" i="2541"/>
  <c r="CU73" i="2541"/>
  <c r="CU62" i="2541" s="1"/>
  <c r="CT73" i="2541"/>
  <c r="CS73" i="2541"/>
  <c r="CR73" i="2541"/>
  <c r="CQ73" i="2541"/>
  <c r="CP73" i="2541"/>
  <c r="CO73" i="2541"/>
  <c r="CM73" i="2541"/>
  <c r="CL73" i="2541"/>
  <c r="CK73" i="2541"/>
  <c r="CJ73" i="2541"/>
  <c r="CI73" i="2541"/>
  <c r="CH73" i="2541"/>
  <c r="CG73" i="2541"/>
  <c r="CF73" i="2541"/>
  <c r="CE73" i="2541"/>
  <c r="CD73" i="2541"/>
  <c r="CC73" i="2541"/>
  <c r="CB73" i="2541"/>
  <c r="BZ73" i="2541"/>
  <c r="BY73" i="2541"/>
  <c r="BX73" i="2541"/>
  <c r="BW73" i="2541"/>
  <c r="BV73" i="2541"/>
  <c r="BU73" i="2541"/>
  <c r="BT73" i="2541"/>
  <c r="BS73" i="2541"/>
  <c r="BR73" i="2541"/>
  <c r="BQ73" i="2541"/>
  <c r="BP73" i="2541"/>
  <c r="BO73" i="2541"/>
  <c r="BM73" i="2541"/>
  <c r="BL73" i="2541"/>
  <c r="BK73" i="2541"/>
  <c r="BJ73" i="2541"/>
  <c r="BI73" i="2541"/>
  <c r="BH73" i="2541"/>
  <c r="BG73" i="2541"/>
  <c r="BF73" i="2541"/>
  <c r="BE73" i="2541"/>
  <c r="BD73" i="2541"/>
  <c r="BC73" i="2541"/>
  <c r="BB73" i="2541"/>
  <c r="AZ73" i="2541"/>
  <c r="AY73" i="2541"/>
  <c r="AY62" i="2541" s="1"/>
  <c r="AX73" i="2541"/>
  <c r="AW73" i="2541"/>
  <c r="AV73" i="2541"/>
  <c r="AU73" i="2541"/>
  <c r="AT73" i="2541"/>
  <c r="AS73" i="2541"/>
  <c r="AR73" i="2541"/>
  <c r="AQ73" i="2541"/>
  <c r="AP73" i="2541"/>
  <c r="AO73" i="2541"/>
  <c r="AM73" i="2541"/>
  <c r="AL73" i="2541"/>
  <c r="AK73" i="2541"/>
  <c r="AJ73" i="2541"/>
  <c r="AI73" i="2541"/>
  <c r="AH73" i="2541"/>
  <c r="AG73" i="2541"/>
  <c r="AF73" i="2541"/>
  <c r="AE73" i="2541"/>
  <c r="AD73" i="2541"/>
  <c r="AC73" i="2541"/>
  <c r="AB73" i="2541"/>
  <c r="GA72" i="2541"/>
  <c r="FN72" i="2541"/>
  <c r="FA72" i="2541"/>
  <c r="EN72" i="2541"/>
  <c r="DX72" i="2541"/>
  <c r="EA72" i="2541" s="1"/>
  <c r="DN72" i="2541"/>
  <c r="DA72" i="2541"/>
  <c r="DA46" i="2541" s="1"/>
  <c r="CN72" i="2541"/>
  <c r="CN46" i="2541" s="1"/>
  <c r="CA72" i="2541"/>
  <c r="CA46" i="2541" s="1"/>
  <c r="BN72" i="2541"/>
  <c r="BN46" i="2541" s="1"/>
  <c r="BA72" i="2541"/>
  <c r="AN72" i="2541"/>
  <c r="AN46" i="2541" s="1"/>
  <c r="GA71" i="2541"/>
  <c r="FN71" i="2541"/>
  <c r="FA71" i="2541"/>
  <c r="EN71" i="2541"/>
  <c r="EA71" i="2541"/>
  <c r="DN71" i="2541"/>
  <c r="DA71" i="2541"/>
  <c r="CN71" i="2541"/>
  <c r="CA71" i="2541"/>
  <c r="BN71" i="2541"/>
  <c r="BA71" i="2541"/>
  <c r="AN71" i="2541"/>
  <c r="GA70" i="2541"/>
  <c r="FN70" i="2541"/>
  <c r="FA70" i="2541"/>
  <c r="EN70" i="2541"/>
  <c r="EA70" i="2541"/>
  <c r="DN70" i="2541"/>
  <c r="DA70" i="2541"/>
  <c r="CN70" i="2541"/>
  <c r="CA70" i="2541"/>
  <c r="BN70" i="2541"/>
  <c r="BA70" i="2541"/>
  <c r="AN70" i="2541"/>
  <c r="GA69" i="2541"/>
  <c r="FN69" i="2541"/>
  <c r="FA69" i="2541"/>
  <c r="EN69" i="2541"/>
  <c r="EA69" i="2541"/>
  <c r="DN69" i="2541"/>
  <c r="DA69" i="2541"/>
  <c r="CN69" i="2541"/>
  <c r="CA69" i="2541"/>
  <c r="BN69" i="2541"/>
  <c r="BA69" i="2541"/>
  <c r="AN69" i="2541"/>
  <c r="GA68" i="2541"/>
  <c r="FN68" i="2541"/>
  <c r="FA68" i="2541"/>
  <c r="EN68" i="2541"/>
  <c r="EA68" i="2541"/>
  <c r="DN68" i="2541"/>
  <c r="DA68" i="2541"/>
  <c r="CN68" i="2541"/>
  <c r="CA68" i="2541"/>
  <c r="BN68" i="2541"/>
  <c r="BA68" i="2541"/>
  <c r="AN68" i="2541"/>
  <c r="GA67" i="2541"/>
  <c r="FN67" i="2541"/>
  <c r="FA67" i="2541"/>
  <c r="EN67" i="2541"/>
  <c r="EA67" i="2541"/>
  <c r="DN67" i="2541"/>
  <c r="DA67" i="2541"/>
  <c r="CN67" i="2541"/>
  <c r="CA67" i="2541"/>
  <c r="BN67" i="2541"/>
  <c r="BA67" i="2541"/>
  <c r="AN67" i="2541"/>
  <c r="GA66" i="2541"/>
  <c r="FN66" i="2541"/>
  <c r="FA66" i="2541"/>
  <c r="EN66" i="2541"/>
  <c r="EA66" i="2541"/>
  <c r="DN66" i="2541"/>
  <c r="DN45" i="2541" s="1"/>
  <c r="DN44" i="2541" s="1"/>
  <c r="DA66" i="2541"/>
  <c r="DA45" i="2541" s="1"/>
  <c r="DA44" i="2541" s="1"/>
  <c r="CN66" i="2541"/>
  <c r="CN45" i="2541" s="1"/>
  <c r="CN44" i="2541" s="1"/>
  <c r="CA66" i="2541"/>
  <c r="CA45" i="2541" s="1"/>
  <c r="CA44" i="2541" s="1"/>
  <c r="BN66" i="2541"/>
  <c r="BN45" i="2541" s="1"/>
  <c r="BN44" i="2541" s="1"/>
  <c r="BA66" i="2541"/>
  <c r="BA45" i="2541" s="1"/>
  <c r="AN66" i="2541"/>
  <c r="AN45" i="2541" s="1"/>
  <c r="AN44" i="2541" s="1"/>
  <c r="GA65" i="2541"/>
  <c r="FN65" i="2541"/>
  <c r="FA65" i="2541"/>
  <c r="EN65" i="2541"/>
  <c r="EA65" i="2541"/>
  <c r="DN65" i="2541"/>
  <c r="DA65" i="2541"/>
  <c r="CN65" i="2541"/>
  <c r="CA65" i="2541"/>
  <c r="BN65" i="2541"/>
  <c r="BA65" i="2541"/>
  <c r="AN65" i="2541"/>
  <c r="GA64" i="2541"/>
  <c r="FN64" i="2541"/>
  <c r="FA64" i="2541"/>
  <c r="EN64" i="2541"/>
  <c r="EA64" i="2541"/>
  <c r="DN64" i="2541"/>
  <c r="DA64" i="2541"/>
  <c r="CN64" i="2541"/>
  <c r="CA64" i="2541"/>
  <c r="BN64" i="2541"/>
  <c r="BA64" i="2541"/>
  <c r="AN64" i="2541"/>
  <c r="FZ63" i="2541"/>
  <c r="FY63" i="2541"/>
  <c r="FX63" i="2541"/>
  <c r="FW63" i="2541"/>
  <c r="FW62" i="2541" s="1"/>
  <c r="FV63" i="2541"/>
  <c r="FU63" i="2541"/>
  <c r="FT63" i="2541"/>
  <c r="FT62" i="2541" s="1"/>
  <c r="FS63" i="2541"/>
  <c r="FR63" i="2541"/>
  <c r="FQ63" i="2541"/>
  <c r="FQ62" i="2541" s="1"/>
  <c r="FP63" i="2541"/>
  <c r="FP62" i="2541" s="1"/>
  <c r="FO63" i="2541"/>
  <c r="FM63" i="2541"/>
  <c r="FL63" i="2541"/>
  <c r="FK63" i="2541"/>
  <c r="FJ63" i="2541"/>
  <c r="FJ62" i="2541" s="1"/>
  <c r="FI63" i="2541"/>
  <c r="FH63" i="2541"/>
  <c r="FG63" i="2541"/>
  <c r="FF63" i="2541"/>
  <c r="FE63" i="2541"/>
  <c r="FD63" i="2541"/>
  <c r="FD62" i="2541" s="1"/>
  <c r="FD53" i="2541" s="1"/>
  <c r="FC63" i="2541"/>
  <c r="FB63" i="2541"/>
  <c r="EZ63" i="2541"/>
  <c r="EY63" i="2541"/>
  <c r="EX63" i="2541"/>
  <c r="EW63" i="2541"/>
  <c r="EW62" i="2541" s="1"/>
  <c r="EV63" i="2541"/>
  <c r="EU63" i="2541"/>
  <c r="ET63" i="2541"/>
  <c r="ES63" i="2541"/>
  <c r="ER63" i="2541"/>
  <c r="EQ63" i="2541"/>
  <c r="EQ62" i="2541" s="1"/>
  <c r="EP63" i="2541"/>
  <c r="EO63" i="2541"/>
  <c r="EM63" i="2541"/>
  <c r="EM62" i="2541" s="1"/>
  <c r="EL63" i="2541"/>
  <c r="EL62" i="2541" s="1"/>
  <c r="EK63" i="2541"/>
  <c r="EK62" i="2541" s="1"/>
  <c r="EJ63" i="2541"/>
  <c r="EI63" i="2541"/>
  <c r="EH63" i="2541"/>
  <c r="EE63" i="2541"/>
  <c r="ED63" i="2541"/>
  <c r="EC63" i="2541"/>
  <c r="EB63" i="2541"/>
  <c r="DZ63" i="2541"/>
  <c r="DY63" i="2541"/>
  <c r="DX63" i="2541"/>
  <c r="DW63" i="2541"/>
  <c r="DV63" i="2541"/>
  <c r="DU63" i="2541"/>
  <c r="DT63" i="2541"/>
  <c r="DS63" i="2541"/>
  <c r="DR63" i="2541"/>
  <c r="DQ63" i="2541"/>
  <c r="DQ62" i="2541" s="1"/>
  <c r="DP63" i="2541"/>
  <c r="DO63" i="2541"/>
  <c r="DM63" i="2541"/>
  <c r="DL63" i="2541"/>
  <c r="DK63" i="2541"/>
  <c r="DJ63" i="2541"/>
  <c r="DI63" i="2541"/>
  <c r="DH63" i="2541"/>
  <c r="DG63" i="2541"/>
  <c r="DF63" i="2541"/>
  <c r="DE63" i="2541"/>
  <c r="DD63" i="2541"/>
  <c r="DC63" i="2541"/>
  <c r="DB63" i="2541"/>
  <c r="CZ63" i="2541"/>
  <c r="CY63" i="2541"/>
  <c r="CX63" i="2541"/>
  <c r="CW63" i="2541"/>
  <c r="CV63" i="2541"/>
  <c r="CU63" i="2541"/>
  <c r="CT63" i="2541"/>
  <c r="CS63" i="2541"/>
  <c r="CR63" i="2541"/>
  <c r="CQ63" i="2541"/>
  <c r="CQ62" i="2541" s="1"/>
  <c r="CP63" i="2541"/>
  <c r="CO63" i="2541"/>
  <c r="CM63" i="2541"/>
  <c r="CL63" i="2541"/>
  <c r="CK63" i="2541"/>
  <c r="CJ63" i="2541"/>
  <c r="CI63" i="2541"/>
  <c r="CH63" i="2541"/>
  <c r="CG63" i="2541"/>
  <c r="CF63" i="2541"/>
  <c r="CE63" i="2541"/>
  <c r="CD63" i="2541"/>
  <c r="CD62" i="2541" s="1"/>
  <c r="CC63" i="2541"/>
  <c r="CB63" i="2541"/>
  <c r="BZ63" i="2541"/>
  <c r="BY63" i="2541"/>
  <c r="BX63" i="2541"/>
  <c r="BW63" i="2541"/>
  <c r="BV63" i="2541"/>
  <c r="BU63" i="2541"/>
  <c r="BT63" i="2541"/>
  <c r="BS63" i="2541"/>
  <c r="BR63" i="2541"/>
  <c r="BQ63" i="2541"/>
  <c r="BQ62" i="2541" s="1"/>
  <c r="BP63" i="2541"/>
  <c r="BO63" i="2541"/>
  <c r="BM63" i="2541"/>
  <c r="BL63" i="2541"/>
  <c r="BK63" i="2541"/>
  <c r="BJ63" i="2541"/>
  <c r="BI63" i="2541"/>
  <c r="BH63" i="2541"/>
  <c r="BG63" i="2541"/>
  <c r="BF63" i="2541"/>
  <c r="BE63" i="2541"/>
  <c r="BD63" i="2541"/>
  <c r="BD62" i="2541" s="1"/>
  <c r="BC63" i="2541"/>
  <c r="BB63" i="2541"/>
  <c r="AZ63" i="2541"/>
  <c r="AY63" i="2541"/>
  <c r="AX63" i="2541"/>
  <c r="AW63" i="2541"/>
  <c r="AV63" i="2541"/>
  <c r="AU63" i="2541"/>
  <c r="AT63" i="2541"/>
  <c r="AS63" i="2541"/>
  <c r="AR63" i="2541"/>
  <c r="AQ63" i="2541"/>
  <c r="AQ62" i="2541" s="1"/>
  <c r="AP63" i="2541"/>
  <c r="AO63" i="2541"/>
  <c r="AM63" i="2541"/>
  <c r="AL63" i="2541"/>
  <c r="AK63" i="2541"/>
  <c r="AJ63" i="2541"/>
  <c r="AI63" i="2541"/>
  <c r="AH63" i="2541"/>
  <c r="AG63" i="2541"/>
  <c r="AF63" i="2541"/>
  <c r="AE63" i="2541"/>
  <c r="AD63" i="2541"/>
  <c r="AD62" i="2541" s="1"/>
  <c r="AC63" i="2541"/>
  <c r="AB63" i="2541"/>
  <c r="GA61" i="2541"/>
  <c r="FN61" i="2541"/>
  <c r="FA61" i="2541"/>
  <c r="EN61" i="2541"/>
  <c r="EA61" i="2541"/>
  <c r="DN61" i="2541"/>
  <c r="DA61" i="2541"/>
  <c r="CN61" i="2541"/>
  <c r="CA61" i="2541"/>
  <c r="BN61" i="2541"/>
  <c r="BA61" i="2541"/>
  <c r="AN61" i="2541"/>
  <c r="GA60" i="2541"/>
  <c r="FN60" i="2541"/>
  <c r="FA60" i="2541"/>
  <c r="EN60" i="2541"/>
  <c r="EA60" i="2541"/>
  <c r="DN60" i="2541"/>
  <c r="DA60" i="2541"/>
  <c r="CN60" i="2541"/>
  <c r="CA60" i="2541"/>
  <c r="BN60" i="2541"/>
  <c r="BA60" i="2541"/>
  <c r="AN60" i="2541"/>
  <c r="GA59" i="2541"/>
  <c r="FN59" i="2541"/>
  <c r="FA59" i="2541"/>
  <c r="EN59" i="2541"/>
  <c r="EA59" i="2541"/>
  <c r="DN59" i="2541"/>
  <c r="DA59" i="2541"/>
  <c r="CN59" i="2541"/>
  <c r="CA59" i="2541"/>
  <c r="BN59" i="2541"/>
  <c r="BA59" i="2541"/>
  <c r="AN59" i="2541"/>
  <c r="GA58" i="2541"/>
  <c r="FN58" i="2541"/>
  <c r="FA58" i="2541"/>
  <c r="EN58" i="2541"/>
  <c r="EA58" i="2541"/>
  <c r="DN58" i="2541"/>
  <c r="DA58" i="2541"/>
  <c r="CN58" i="2541"/>
  <c r="CA58" i="2541"/>
  <c r="BN58" i="2541"/>
  <c r="BA58" i="2541"/>
  <c r="AN58" i="2541"/>
  <c r="GA57" i="2541"/>
  <c r="FN57" i="2541"/>
  <c r="FA57" i="2541"/>
  <c r="EN57" i="2541"/>
  <c r="EA57" i="2541"/>
  <c r="DN57" i="2541"/>
  <c r="DA57" i="2541"/>
  <c r="CN57" i="2541"/>
  <c r="CA57" i="2541"/>
  <c r="BN57" i="2541"/>
  <c r="BA57" i="2541"/>
  <c r="AN57" i="2541"/>
  <c r="FZ56" i="2541"/>
  <c r="FY56" i="2541"/>
  <c r="FX56" i="2541"/>
  <c r="FW56" i="2541"/>
  <c r="FV56" i="2541"/>
  <c r="FU56" i="2541"/>
  <c r="FT56" i="2541"/>
  <c r="FS56" i="2541"/>
  <c r="FR56" i="2541"/>
  <c r="FQ56" i="2541"/>
  <c r="FP56" i="2541"/>
  <c r="FO56" i="2541"/>
  <c r="FM56" i="2541"/>
  <c r="FL56" i="2541"/>
  <c r="FK56" i="2541"/>
  <c r="FJ56" i="2541"/>
  <c r="FI56" i="2541"/>
  <c r="FH56" i="2541"/>
  <c r="FG56" i="2541"/>
  <c r="FF56" i="2541"/>
  <c r="FE56" i="2541"/>
  <c r="FD56" i="2541"/>
  <c r="FC56" i="2541"/>
  <c r="FB56" i="2541"/>
  <c r="EZ56" i="2541"/>
  <c r="EY56" i="2541"/>
  <c r="EX56" i="2541"/>
  <c r="EW56" i="2541"/>
  <c r="EV56" i="2541"/>
  <c r="EU56" i="2541"/>
  <c r="EU47" i="2541" s="1"/>
  <c r="ET56" i="2541"/>
  <c r="ES56" i="2541"/>
  <c r="ER56" i="2541"/>
  <c r="EQ56" i="2541"/>
  <c r="EP56" i="2541"/>
  <c r="EO56" i="2541"/>
  <c r="EM56" i="2541"/>
  <c r="EL56" i="2541"/>
  <c r="EK56" i="2541"/>
  <c r="EJ56" i="2541"/>
  <c r="EI56" i="2541"/>
  <c r="EH56" i="2541"/>
  <c r="EG56" i="2541"/>
  <c r="EF56" i="2541"/>
  <c r="EE56" i="2541"/>
  <c r="ED56" i="2541"/>
  <c r="EC56" i="2541"/>
  <c r="EB56" i="2541"/>
  <c r="DZ56" i="2541"/>
  <c r="DY56" i="2541"/>
  <c r="DX56" i="2541"/>
  <c r="DW56" i="2541"/>
  <c r="DV56" i="2541"/>
  <c r="DU56" i="2541"/>
  <c r="DT56" i="2541"/>
  <c r="DS56" i="2541"/>
  <c r="DR56" i="2541"/>
  <c r="DQ56" i="2541"/>
  <c r="DP56" i="2541"/>
  <c r="DO56" i="2541"/>
  <c r="DM56" i="2541"/>
  <c r="DL56" i="2541"/>
  <c r="DK56" i="2541"/>
  <c r="DJ56" i="2541"/>
  <c r="DI56" i="2541"/>
  <c r="DH56" i="2541"/>
  <c r="DG56" i="2541"/>
  <c r="DF56" i="2541"/>
  <c r="DE56" i="2541"/>
  <c r="DD56" i="2541"/>
  <c r="DC56" i="2541"/>
  <c r="DB56" i="2541"/>
  <c r="CZ56" i="2541"/>
  <c r="CY56" i="2541"/>
  <c r="CX56" i="2541"/>
  <c r="CW56" i="2541"/>
  <c r="CV56" i="2541"/>
  <c r="CU56" i="2541"/>
  <c r="CT56" i="2541"/>
  <c r="CS56" i="2541"/>
  <c r="CR56" i="2541"/>
  <c r="CQ56" i="2541"/>
  <c r="CP56" i="2541"/>
  <c r="CO56" i="2541"/>
  <c r="CM56" i="2541"/>
  <c r="CL56" i="2541"/>
  <c r="CK56" i="2541"/>
  <c r="CJ56" i="2541"/>
  <c r="CI56" i="2541"/>
  <c r="CH56" i="2541"/>
  <c r="CG56" i="2541"/>
  <c r="CF56" i="2541"/>
  <c r="CE56" i="2541"/>
  <c r="CD56" i="2541"/>
  <c r="CC56" i="2541"/>
  <c r="CB56" i="2541"/>
  <c r="BZ56" i="2541"/>
  <c r="BY56" i="2541"/>
  <c r="BX56" i="2541"/>
  <c r="BW56" i="2541"/>
  <c r="BV56" i="2541"/>
  <c r="BU56" i="2541"/>
  <c r="BT56" i="2541"/>
  <c r="BS56" i="2541"/>
  <c r="BR56" i="2541"/>
  <c r="BQ56" i="2541"/>
  <c r="BP56" i="2541"/>
  <c r="BO56" i="2541"/>
  <c r="BM56" i="2541"/>
  <c r="BL56" i="2541"/>
  <c r="BK56" i="2541"/>
  <c r="BJ56" i="2541"/>
  <c r="BI56" i="2541"/>
  <c r="BH56" i="2541"/>
  <c r="BG56" i="2541"/>
  <c r="BF56" i="2541"/>
  <c r="BE56" i="2541"/>
  <c r="BD56" i="2541"/>
  <c r="BC56" i="2541"/>
  <c r="BB56" i="2541"/>
  <c r="AZ56" i="2541"/>
  <c r="AY56" i="2541"/>
  <c r="AX56" i="2541"/>
  <c r="AW56" i="2541"/>
  <c r="AV56" i="2541"/>
  <c r="AU56" i="2541"/>
  <c r="AT56" i="2541"/>
  <c r="AS56" i="2541"/>
  <c r="AR56" i="2541"/>
  <c r="AQ56" i="2541"/>
  <c r="AP56" i="2541"/>
  <c r="AO56" i="2541"/>
  <c r="AM56" i="2541"/>
  <c r="AL56" i="2541"/>
  <c r="AK56" i="2541"/>
  <c r="AJ56" i="2541"/>
  <c r="AI56" i="2541"/>
  <c r="AH56" i="2541"/>
  <c r="AG56" i="2541"/>
  <c r="AF56" i="2541"/>
  <c r="AE56" i="2541"/>
  <c r="AD56" i="2541"/>
  <c r="AC56" i="2541"/>
  <c r="AB56" i="2541"/>
  <c r="GA55" i="2541"/>
  <c r="FN55" i="2541"/>
  <c r="FA55" i="2541"/>
  <c r="EN55" i="2541"/>
  <c r="EA55" i="2541"/>
  <c r="DN55" i="2541"/>
  <c r="DA55" i="2541"/>
  <c r="CN55" i="2541"/>
  <c r="CA55" i="2541"/>
  <c r="BN55" i="2541"/>
  <c r="BA55" i="2541"/>
  <c r="AN55" i="2541"/>
  <c r="GA54" i="2541"/>
  <c r="FN54" i="2541"/>
  <c r="FA54" i="2541"/>
  <c r="EN54" i="2541"/>
  <c r="EA54" i="2541"/>
  <c r="DN54" i="2541"/>
  <c r="DA54" i="2541"/>
  <c r="CN54" i="2541"/>
  <c r="CA54" i="2541"/>
  <c r="BN54" i="2541"/>
  <c r="BA54" i="2541"/>
  <c r="AN54" i="2541"/>
  <c r="FZ50" i="2541"/>
  <c r="FY50" i="2541"/>
  <c r="FX50" i="2541"/>
  <c r="FW50" i="2541"/>
  <c r="FV50" i="2541"/>
  <c r="FU50" i="2541"/>
  <c r="FT50" i="2541"/>
  <c r="FS50" i="2541"/>
  <c r="FR50" i="2541"/>
  <c r="FQ50" i="2541"/>
  <c r="FP50" i="2541"/>
  <c r="FO50" i="2541"/>
  <c r="FM50" i="2541"/>
  <c r="FL50" i="2541"/>
  <c r="FK50" i="2541"/>
  <c r="FJ50" i="2541"/>
  <c r="FI50" i="2541"/>
  <c r="FH50" i="2541"/>
  <c r="FG50" i="2541"/>
  <c r="FF50" i="2541"/>
  <c r="FE50" i="2541"/>
  <c r="FD50" i="2541"/>
  <c r="FC50" i="2541"/>
  <c r="FB50" i="2541"/>
  <c r="EZ50" i="2541"/>
  <c r="EY50" i="2541"/>
  <c r="EX50" i="2541"/>
  <c r="EW50" i="2541"/>
  <c r="EV50" i="2541"/>
  <c r="EU50" i="2541"/>
  <c r="ET50" i="2541"/>
  <c r="ES50" i="2541"/>
  <c r="ER50" i="2541"/>
  <c r="EQ50" i="2541"/>
  <c r="EP50" i="2541"/>
  <c r="EO50" i="2541"/>
  <c r="EM50" i="2541"/>
  <c r="EL50" i="2541"/>
  <c r="EK50" i="2541"/>
  <c r="EJ50" i="2541"/>
  <c r="EI50" i="2541"/>
  <c r="EH50" i="2541"/>
  <c r="EG50" i="2541"/>
  <c r="EF50" i="2541"/>
  <c r="EE50" i="2541"/>
  <c r="ED50" i="2541"/>
  <c r="EC50" i="2541"/>
  <c r="EB50" i="2541"/>
  <c r="DZ50" i="2541"/>
  <c r="DY50" i="2541"/>
  <c r="DX50" i="2541"/>
  <c r="DW50" i="2541"/>
  <c r="DV50" i="2541"/>
  <c r="DU50" i="2541"/>
  <c r="DT50" i="2541"/>
  <c r="DS50" i="2541"/>
  <c r="DR50" i="2541"/>
  <c r="DQ50" i="2541"/>
  <c r="DP50" i="2541"/>
  <c r="DO50" i="2541"/>
  <c r="DM50" i="2541"/>
  <c r="DL50" i="2541"/>
  <c r="DK50" i="2541"/>
  <c r="DJ50" i="2541"/>
  <c r="DI50" i="2541"/>
  <c r="DH50" i="2541"/>
  <c r="DG50" i="2541"/>
  <c r="DF50" i="2541"/>
  <c r="DE50" i="2541"/>
  <c r="DD50" i="2541"/>
  <c r="DC50" i="2541"/>
  <c r="DB50" i="2541"/>
  <c r="CZ50" i="2541"/>
  <c r="CY50" i="2541"/>
  <c r="CX50" i="2541"/>
  <c r="CW50" i="2541"/>
  <c r="CV50" i="2541"/>
  <c r="CU50" i="2541"/>
  <c r="CT50" i="2541"/>
  <c r="CS50" i="2541"/>
  <c r="CR50" i="2541"/>
  <c r="CQ50" i="2541"/>
  <c r="CP50" i="2541"/>
  <c r="CO50" i="2541"/>
  <c r="CM50" i="2541"/>
  <c r="CL50" i="2541"/>
  <c r="CK50" i="2541"/>
  <c r="CJ50" i="2541"/>
  <c r="CI50" i="2541"/>
  <c r="CH50" i="2541"/>
  <c r="CG50" i="2541"/>
  <c r="CF50" i="2541"/>
  <c r="CE50" i="2541"/>
  <c r="CD50" i="2541"/>
  <c r="CC50" i="2541"/>
  <c r="CB50" i="2541"/>
  <c r="BZ50" i="2541"/>
  <c r="BY50" i="2541"/>
  <c r="BX50" i="2541"/>
  <c r="BW50" i="2541"/>
  <c r="BV50" i="2541"/>
  <c r="BU50" i="2541"/>
  <c r="BT50" i="2541"/>
  <c r="BS50" i="2541"/>
  <c r="BR50" i="2541"/>
  <c r="BQ50" i="2541"/>
  <c r="BP50" i="2541"/>
  <c r="BO50" i="2541"/>
  <c r="BM50" i="2541"/>
  <c r="BL50" i="2541"/>
  <c r="BK50" i="2541"/>
  <c r="BJ50" i="2541"/>
  <c r="BI50" i="2541"/>
  <c r="BH50" i="2541"/>
  <c r="BG50" i="2541"/>
  <c r="BF50" i="2541"/>
  <c r="BE50" i="2541"/>
  <c r="BD50" i="2541"/>
  <c r="BC50" i="2541"/>
  <c r="BB50" i="2541"/>
  <c r="AZ50" i="2541"/>
  <c r="AY50" i="2541"/>
  <c r="AX50" i="2541"/>
  <c r="AW50" i="2541"/>
  <c r="AV50" i="2541"/>
  <c r="AU50" i="2541"/>
  <c r="AT50" i="2541"/>
  <c r="AS50" i="2541"/>
  <c r="AR50" i="2541"/>
  <c r="AQ50" i="2541"/>
  <c r="AP50" i="2541"/>
  <c r="AO50" i="2541"/>
  <c r="AM50" i="2541"/>
  <c r="AL50" i="2541"/>
  <c r="AK50" i="2541"/>
  <c r="AJ50" i="2541"/>
  <c r="AI50" i="2541"/>
  <c r="AH50" i="2541"/>
  <c r="AG50" i="2541"/>
  <c r="AF50" i="2541"/>
  <c r="AE50" i="2541"/>
  <c r="AD50" i="2541"/>
  <c r="AC50" i="2541"/>
  <c r="AB50" i="2541"/>
  <c r="FN48" i="2541"/>
  <c r="ED47" i="2541"/>
  <c r="DQ47" i="2541"/>
  <c r="CQ47" i="2541"/>
  <c r="FZ46" i="2541"/>
  <c r="FY46" i="2541"/>
  <c r="FW46" i="2541"/>
  <c r="FV46" i="2541"/>
  <c r="FU46" i="2541"/>
  <c r="FT46" i="2541"/>
  <c r="FS46" i="2541"/>
  <c r="FR46" i="2541"/>
  <c r="FQ46" i="2541"/>
  <c r="FP46" i="2541"/>
  <c r="FO46" i="2541"/>
  <c r="FM46" i="2541"/>
  <c r="FL46" i="2541"/>
  <c r="FK46" i="2541"/>
  <c r="FJ46" i="2541"/>
  <c r="FI46" i="2541"/>
  <c r="FH46" i="2541"/>
  <c r="FG46" i="2541"/>
  <c r="FF46" i="2541"/>
  <c r="FE46" i="2541"/>
  <c r="FD46" i="2541"/>
  <c r="FC46" i="2541"/>
  <c r="FB46" i="2541"/>
  <c r="EZ46" i="2541"/>
  <c r="EY46" i="2541"/>
  <c r="EX46" i="2541"/>
  <c r="EW46" i="2541"/>
  <c r="EV46" i="2541"/>
  <c r="EU46" i="2541"/>
  <c r="ET46" i="2541"/>
  <c r="ES46" i="2541"/>
  <c r="ER46" i="2541"/>
  <c r="EQ46" i="2541"/>
  <c r="EP46" i="2541"/>
  <c r="EO46" i="2541"/>
  <c r="EM46" i="2541"/>
  <c r="EL46" i="2541"/>
  <c r="EK46" i="2541"/>
  <c r="EJ46" i="2541"/>
  <c r="EI46" i="2541"/>
  <c r="EH46" i="2541"/>
  <c r="EG46" i="2541"/>
  <c r="EF46" i="2541"/>
  <c r="EE46" i="2541"/>
  <c r="ED46" i="2541"/>
  <c r="EC46" i="2541"/>
  <c r="EB46" i="2541"/>
  <c r="DZ46" i="2541"/>
  <c r="DY46" i="2541"/>
  <c r="DX46" i="2541"/>
  <c r="DW46" i="2541"/>
  <c r="DV46" i="2541"/>
  <c r="DU46" i="2541"/>
  <c r="DT46" i="2541"/>
  <c r="DS46" i="2541"/>
  <c r="DR46" i="2541"/>
  <c r="DQ46" i="2541"/>
  <c r="DP46" i="2541"/>
  <c r="DO46" i="2541"/>
  <c r="DN46" i="2541"/>
  <c r="DM46" i="2541"/>
  <c r="DL46" i="2541"/>
  <c r="DK46" i="2541"/>
  <c r="DJ46" i="2541"/>
  <c r="DI46" i="2541"/>
  <c r="DH46" i="2541"/>
  <c r="DG46" i="2541"/>
  <c r="DF46" i="2541"/>
  <c r="DE46" i="2541"/>
  <c r="DD46" i="2541"/>
  <c r="DC46" i="2541"/>
  <c r="DB46" i="2541"/>
  <c r="CZ46" i="2541"/>
  <c r="CY46" i="2541"/>
  <c r="CX46" i="2541"/>
  <c r="CW46" i="2541"/>
  <c r="CV46" i="2541"/>
  <c r="CU46" i="2541"/>
  <c r="CT46" i="2541"/>
  <c r="CS46" i="2541"/>
  <c r="CR46" i="2541"/>
  <c r="CQ46" i="2541"/>
  <c r="CP46" i="2541"/>
  <c r="CO46" i="2541"/>
  <c r="CM46" i="2541"/>
  <c r="CL46" i="2541"/>
  <c r="CK46" i="2541"/>
  <c r="CJ46" i="2541"/>
  <c r="CI46" i="2541"/>
  <c r="CH46" i="2541"/>
  <c r="CG46" i="2541"/>
  <c r="CF46" i="2541"/>
  <c r="CE46" i="2541"/>
  <c r="CD46" i="2541"/>
  <c r="CC46" i="2541"/>
  <c r="CB46" i="2541"/>
  <c r="BZ46" i="2541"/>
  <c r="BY46" i="2541"/>
  <c r="BX46" i="2541"/>
  <c r="BW46" i="2541"/>
  <c r="BV46" i="2541"/>
  <c r="BU46" i="2541"/>
  <c r="BT46" i="2541"/>
  <c r="BS46" i="2541"/>
  <c r="BR46" i="2541"/>
  <c r="BQ46" i="2541"/>
  <c r="BP46" i="2541"/>
  <c r="BO46" i="2541"/>
  <c r="BM46" i="2541"/>
  <c r="BL46" i="2541"/>
  <c r="BK46" i="2541"/>
  <c r="BJ46" i="2541"/>
  <c r="BI46" i="2541"/>
  <c r="BH46" i="2541"/>
  <c r="BG46" i="2541"/>
  <c r="BF46" i="2541"/>
  <c r="BE46" i="2541"/>
  <c r="BD46" i="2541"/>
  <c r="BC46" i="2541"/>
  <c r="BB46" i="2541"/>
  <c r="BA46" i="2541"/>
  <c r="AZ46" i="2541"/>
  <c r="AY46" i="2541"/>
  <c r="AX46" i="2541"/>
  <c r="AW46" i="2541"/>
  <c r="AV46" i="2541"/>
  <c r="AU46" i="2541"/>
  <c r="AT46" i="2541"/>
  <c r="AS46" i="2541"/>
  <c r="AR46" i="2541"/>
  <c r="AQ46" i="2541"/>
  <c r="AP46" i="2541"/>
  <c r="AO46" i="2541"/>
  <c r="AM46" i="2541"/>
  <c r="AL46" i="2541"/>
  <c r="AK46" i="2541"/>
  <c r="AJ46" i="2541"/>
  <c r="AI46" i="2541"/>
  <c r="AH46" i="2541"/>
  <c r="AG46" i="2541"/>
  <c r="AF46" i="2541"/>
  <c r="AE46" i="2541"/>
  <c r="AD46" i="2541"/>
  <c r="AC46" i="2541"/>
  <c r="AB46" i="2541"/>
  <c r="FZ45" i="2541"/>
  <c r="FZ44" i="2541" s="1"/>
  <c r="FY45" i="2541"/>
  <c r="FY44" i="2541" s="1"/>
  <c r="FX45" i="2541"/>
  <c r="FX44" i="2541" s="1"/>
  <c r="FW45" i="2541"/>
  <c r="FW44" i="2541" s="1"/>
  <c r="FV45" i="2541"/>
  <c r="FV44" i="2541" s="1"/>
  <c r="FU45" i="2541"/>
  <c r="FU44" i="2541" s="1"/>
  <c r="FT45" i="2541"/>
  <c r="FT44" i="2541" s="1"/>
  <c r="FS45" i="2541"/>
  <c r="FS44" i="2541" s="1"/>
  <c r="FR45" i="2541"/>
  <c r="FR44" i="2541" s="1"/>
  <c r="FQ45" i="2541"/>
  <c r="FQ44" i="2541" s="1"/>
  <c r="FP45" i="2541"/>
  <c r="FP44" i="2541" s="1"/>
  <c r="FO45" i="2541"/>
  <c r="FO44" i="2541" s="1"/>
  <c r="FM45" i="2541"/>
  <c r="FM44" i="2541" s="1"/>
  <c r="FL45" i="2541"/>
  <c r="FL44" i="2541" s="1"/>
  <c r="FK45" i="2541"/>
  <c r="FK44" i="2541" s="1"/>
  <c r="FJ45" i="2541"/>
  <c r="FJ44" i="2541" s="1"/>
  <c r="FI45" i="2541"/>
  <c r="FI44" i="2541" s="1"/>
  <c r="FH45" i="2541"/>
  <c r="FH44" i="2541" s="1"/>
  <c r="FG45" i="2541"/>
  <c r="FG44" i="2541" s="1"/>
  <c r="FF45" i="2541"/>
  <c r="FF44" i="2541" s="1"/>
  <c r="FE45" i="2541"/>
  <c r="FE44" i="2541" s="1"/>
  <c r="FD45" i="2541"/>
  <c r="FD44" i="2541" s="1"/>
  <c r="FC45" i="2541"/>
  <c r="FC44" i="2541" s="1"/>
  <c r="FB45" i="2541"/>
  <c r="FB44" i="2541" s="1"/>
  <c r="EZ45" i="2541"/>
  <c r="EZ44" i="2541" s="1"/>
  <c r="EY45" i="2541"/>
  <c r="EY44" i="2541" s="1"/>
  <c r="EX45" i="2541"/>
  <c r="EX44" i="2541" s="1"/>
  <c r="EW45" i="2541"/>
  <c r="EW44" i="2541" s="1"/>
  <c r="EV45" i="2541"/>
  <c r="EV44" i="2541" s="1"/>
  <c r="EU45" i="2541"/>
  <c r="EU44" i="2541" s="1"/>
  <c r="ET45" i="2541"/>
  <c r="ET44" i="2541" s="1"/>
  <c r="ES45" i="2541"/>
  <c r="ES44" i="2541" s="1"/>
  <c r="ER45" i="2541"/>
  <c r="ER44" i="2541" s="1"/>
  <c r="EQ45" i="2541"/>
  <c r="EQ44" i="2541" s="1"/>
  <c r="EP45" i="2541"/>
  <c r="EP44" i="2541" s="1"/>
  <c r="EO45" i="2541"/>
  <c r="EO44" i="2541" s="1"/>
  <c r="EM45" i="2541"/>
  <c r="EM44" i="2541" s="1"/>
  <c r="EL45" i="2541"/>
  <c r="EL44" i="2541" s="1"/>
  <c r="EK45" i="2541"/>
  <c r="EK44" i="2541" s="1"/>
  <c r="EJ45" i="2541"/>
  <c r="EJ44" i="2541" s="1"/>
  <c r="EI45" i="2541"/>
  <c r="EI44" i="2541" s="1"/>
  <c r="EH45" i="2541"/>
  <c r="EH44" i="2541" s="1"/>
  <c r="EG45" i="2541"/>
  <c r="EG44" i="2541" s="1"/>
  <c r="EF45" i="2541"/>
  <c r="EF44" i="2541" s="1"/>
  <c r="EE45" i="2541"/>
  <c r="EE44" i="2541" s="1"/>
  <c r="ED45" i="2541"/>
  <c r="ED44" i="2541" s="1"/>
  <c r="EC45" i="2541"/>
  <c r="EC44" i="2541" s="1"/>
  <c r="EB45" i="2541"/>
  <c r="EB44" i="2541" s="1"/>
  <c r="DZ45" i="2541"/>
  <c r="DZ44" i="2541" s="1"/>
  <c r="DY45" i="2541"/>
  <c r="DY44" i="2541" s="1"/>
  <c r="DX45" i="2541"/>
  <c r="DX44" i="2541" s="1"/>
  <c r="DW45" i="2541"/>
  <c r="DW44" i="2541" s="1"/>
  <c r="DV45" i="2541"/>
  <c r="DV44" i="2541" s="1"/>
  <c r="DU45" i="2541"/>
  <c r="DU44" i="2541" s="1"/>
  <c r="DT45" i="2541"/>
  <c r="DT44" i="2541" s="1"/>
  <c r="DS45" i="2541"/>
  <c r="DS44" i="2541" s="1"/>
  <c r="DR45" i="2541"/>
  <c r="DR44" i="2541" s="1"/>
  <c r="DQ45" i="2541"/>
  <c r="DQ44" i="2541" s="1"/>
  <c r="DP45" i="2541"/>
  <c r="DP44" i="2541" s="1"/>
  <c r="DO45" i="2541"/>
  <c r="DO44" i="2541" s="1"/>
  <c r="DM45" i="2541"/>
  <c r="DM44" i="2541" s="1"/>
  <c r="DL45" i="2541"/>
  <c r="DL44" i="2541" s="1"/>
  <c r="DK45" i="2541"/>
  <c r="DK44" i="2541" s="1"/>
  <c r="DJ45" i="2541"/>
  <c r="DJ44" i="2541" s="1"/>
  <c r="DI45" i="2541"/>
  <c r="DI44" i="2541" s="1"/>
  <c r="DH45" i="2541"/>
  <c r="DH44" i="2541" s="1"/>
  <c r="DG45" i="2541"/>
  <c r="DG44" i="2541" s="1"/>
  <c r="DF45" i="2541"/>
  <c r="DF44" i="2541" s="1"/>
  <c r="DE45" i="2541"/>
  <c r="DE44" i="2541" s="1"/>
  <c r="DD45" i="2541"/>
  <c r="DD44" i="2541" s="1"/>
  <c r="DC45" i="2541"/>
  <c r="DC44" i="2541" s="1"/>
  <c r="DB45" i="2541"/>
  <c r="DB44" i="2541" s="1"/>
  <c r="CZ45" i="2541"/>
  <c r="CZ44" i="2541" s="1"/>
  <c r="CY45" i="2541"/>
  <c r="CY44" i="2541" s="1"/>
  <c r="CX45" i="2541"/>
  <c r="CX44" i="2541" s="1"/>
  <c r="CW45" i="2541"/>
  <c r="CV45" i="2541"/>
  <c r="CV44" i="2541" s="1"/>
  <c r="CU45" i="2541"/>
  <c r="CU44" i="2541" s="1"/>
  <c r="CT45" i="2541"/>
  <c r="CT44" i="2541" s="1"/>
  <c r="CS45" i="2541"/>
  <c r="CS44" i="2541" s="1"/>
  <c r="CR45" i="2541"/>
  <c r="CR44" i="2541" s="1"/>
  <c r="CQ45" i="2541"/>
  <c r="CQ44" i="2541" s="1"/>
  <c r="CP45" i="2541"/>
  <c r="CP44" i="2541" s="1"/>
  <c r="CO45" i="2541"/>
  <c r="CO44" i="2541" s="1"/>
  <c r="CM45" i="2541"/>
  <c r="CM44" i="2541" s="1"/>
  <c r="CL45" i="2541"/>
  <c r="CL44" i="2541" s="1"/>
  <c r="CK45" i="2541"/>
  <c r="CK44" i="2541" s="1"/>
  <c r="CJ45" i="2541"/>
  <c r="CJ44" i="2541" s="1"/>
  <c r="CI45" i="2541"/>
  <c r="CI44" i="2541" s="1"/>
  <c r="CH45" i="2541"/>
  <c r="CH44" i="2541" s="1"/>
  <c r="CG45" i="2541"/>
  <c r="CG44" i="2541" s="1"/>
  <c r="CF45" i="2541"/>
  <c r="CF44" i="2541" s="1"/>
  <c r="CE45" i="2541"/>
  <c r="CE44" i="2541" s="1"/>
  <c r="CD45" i="2541"/>
  <c r="CD44" i="2541" s="1"/>
  <c r="CC45" i="2541"/>
  <c r="CC44" i="2541" s="1"/>
  <c r="CB45" i="2541"/>
  <c r="CB44" i="2541" s="1"/>
  <c r="BZ45" i="2541"/>
  <c r="BZ44" i="2541" s="1"/>
  <c r="BY45" i="2541"/>
  <c r="BY44" i="2541" s="1"/>
  <c r="BX45" i="2541"/>
  <c r="BX44" i="2541" s="1"/>
  <c r="BW45" i="2541"/>
  <c r="BW44" i="2541" s="1"/>
  <c r="BV45" i="2541"/>
  <c r="BV44" i="2541" s="1"/>
  <c r="BU45" i="2541"/>
  <c r="BU44" i="2541" s="1"/>
  <c r="BT45" i="2541"/>
  <c r="BT44" i="2541" s="1"/>
  <c r="BS45" i="2541"/>
  <c r="BS44" i="2541" s="1"/>
  <c r="BR45" i="2541"/>
  <c r="BR44" i="2541" s="1"/>
  <c r="BQ45" i="2541"/>
  <c r="BQ44" i="2541" s="1"/>
  <c r="BP45" i="2541"/>
  <c r="BP44" i="2541" s="1"/>
  <c r="BO45" i="2541"/>
  <c r="BO44" i="2541" s="1"/>
  <c r="BM45" i="2541"/>
  <c r="BM44" i="2541" s="1"/>
  <c r="BL45" i="2541"/>
  <c r="BL44" i="2541" s="1"/>
  <c r="BK45" i="2541"/>
  <c r="BK44" i="2541" s="1"/>
  <c r="BJ45" i="2541"/>
  <c r="BJ44" i="2541" s="1"/>
  <c r="BI45" i="2541"/>
  <c r="BI44" i="2541" s="1"/>
  <c r="BH45" i="2541"/>
  <c r="BH44" i="2541" s="1"/>
  <c r="BG45" i="2541"/>
  <c r="BG44" i="2541" s="1"/>
  <c r="BF45" i="2541"/>
  <c r="BF44" i="2541" s="1"/>
  <c r="BE45" i="2541"/>
  <c r="BE44" i="2541" s="1"/>
  <c r="BD45" i="2541"/>
  <c r="BD44" i="2541" s="1"/>
  <c r="BC45" i="2541"/>
  <c r="BC44" i="2541" s="1"/>
  <c r="BB45" i="2541"/>
  <c r="BB44" i="2541" s="1"/>
  <c r="AZ45" i="2541"/>
  <c r="AY45" i="2541"/>
  <c r="AY44" i="2541" s="1"/>
  <c r="AX45" i="2541"/>
  <c r="AX44" i="2541" s="1"/>
  <c r="AW45" i="2541"/>
  <c r="AW44" i="2541" s="1"/>
  <c r="AV45" i="2541"/>
  <c r="AV44" i="2541" s="1"/>
  <c r="AU45" i="2541"/>
  <c r="AU44" i="2541" s="1"/>
  <c r="AT45" i="2541"/>
  <c r="AT44" i="2541" s="1"/>
  <c r="AS45" i="2541"/>
  <c r="AS44" i="2541" s="1"/>
  <c r="AR45" i="2541"/>
  <c r="AR44" i="2541" s="1"/>
  <c r="AQ45" i="2541"/>
  <c r="AQ44" i="2541" s="1"/>
  <c r="AP45" i="2541"/>
  <c r="AP44" i="2541" s="1"/>
  <c r="AO45" i="2541"/>
  <c r="AO44" i="2541" s="1"/>
  <c r="AM45" i="2541"/>
  <c r="AM44" i="2541" s="1"/>
  <c r="AL45" i="2541"/>
  <c r="AL44" i="2541" s="1"/>
  <c r="AK45" i="2541"/>
  <c r="AK44" i="2541" s="1"/>
  <c r="AJ45" i="2541"/>
  <c r="AJ44" i="2541" s="1"/>
  <c r="AI45" i="2541"/>
  <c r="AI44" i="2541" s="1"/>
  <c r="AH45" i="2541"/>
  <c r="AH44" i="2541" s="1"/>
  <c r="AG45" i="2541"/>
  <c r="AG44" i="2541" s="1"/>
  <c r="AF45" i="2541"/>
  <c r="AF44" i="2541" s="1"/>
  <c r="AE45" i="2541"/>
  <c r="AE44" i="2541" s="1"/>
  <c r="AD45" i="2541"/>
  <c r="AD44" i="2541" s="1"/>
  <c r="AC45" i="2541"/>
  <c r="AB45" i="2541"/>
  <c r="AB44" i="2541" s="1"/>
  <c r="CW44" i="2541"/>
  <c r="BA44" i="2541"/>
  <c r="AZ44" i="2541"/>
  <c r="AC44" i="2541"/>
  <c r="FZ42" i="2541"/>
  <c r="FY42" i="2541"/>
  <c r="FX42" i="2541"/>
  <c r="FW42" i="2541"/>
  <c r="FV42" i="2541"/>
  <c r="FU42" i="2541"/>
  <c r="FT42" i="2541"/>
  <c r="FS42" i="2541"/>
  <c r="FR42" i="2541"/>
  <c r="FQ42" i="2541"/>
  <c r="FP42" i="2541"/>
  <c r="FO42" i="2541"/>
  <c r="FM42" i="2541"/>
  <c r="FL42" i="2541"/>
  <c r="FK42" i="2541"/>
  <c r="FJ42" i="2541"/>
  <c r="FI42" i="2541"/>
  <c r="FH42" i="2541"/>
  <c r="FG42" i="2541"/>
  <c r="FF42" i="2541"/>
  <c r="FE42" i="2541"/>
  <c r="FD42" i="2541"/>
  <c r="FC42" i="2541"/>
  <c r="FB42" i="2541"/>
  <c r="EZ42" i="2541"/>
  <c r="EY42" i="2541"/>
  <c r="EX42" i="2541"/>
  <c r="EW42" i="2541"/>
  <c r="EV42" i="2541"/>
  <c r="EU42" i="2541"/>
  <c r="ET42" i="2541"/>
  <c r="ES42" i="2541"/>
  <c r="ER42" i="2541"/>
  <c r="EQ42" i="2541"/>
  <c r="EP42" i="2541"/>
  <c r="EO42" i="2541"/>
  <c r="EM42" i="2541"/>
  <c r="EL42" i="2541"/>
  <c r="EK42" i="2541"/>
  <c r="EJ42" i="2541"/>
  <c r="EI42" i="2541"/>
  <c r="EH42" i="2541"/>
  <c r="EG42" i="2541"/>
  <c r="EF42" i="2541"/>
  <c r="EE42" i="2541"/>
  <c r="ED42" i="2541"/>
  <c r="EC42" i="2541"/>
  <c r="EB42" i="2541"/>
  <c r="DZ42" i="2541"/>
  <c r="DY42" i="2541"/>
  <c r="DX42" i="2541"/>
  <c r="DW42" i="2541"/>
  <c r="DV42" i="2541"/>
  <c r="DU42" i="2541"/>
  <c r="DT42" i="2541"/>
  <c r="DS42" i="2541"/>
  <c r="DR42" i="2541"/>
  <c r="DQ42" i="2541"/>
  <c r="DP42" i="2541"/>
  <c r="DO42" i="2541"/>
  <c r="DM42" i="2541"/>
  <c r="DL42" i="2541"/>
  <c r="DK42" i="2541"/>
  <c r="DJ42" i="2541"/>
  <c r="DI42" i="2541"/>
  <c r="DH42" i="2541"/>
  <c r="DG42" i="2541"/>
  <c r="DF42" i="2541"/>
  <c r="DE42" i="2541"/>
  <c r="DD42" i="2541"/>
  <c r="DC42" i="2541"/>
  <c r="DB42" i="2541"/>
  <c r="CZ42" i="2541"/>
  <c r="CX42" i="2541"/>
  <c r="CW42" i="2541"/>
  <c r="CV42" i="2541"/>
  <c r="CU42" i="2541"/>
  <c r="CT42" i="2541"/>
  <c r="CS42" i="2541"/>
  <c r="CR42" i="2541"/>
  <c r="CQ42" i="2541"/>
  <c r="CP42" i="2541"/>
  <c r="CO42" i="2541"/>
  <c r="CM42" i="2541"/>
  <c r="CL42" i="2541"/>
  <c r="CK42" i="2541"/>
  <c r="CJ42" i="2541"/>
  <c r="CI42" i="2541"/>
  <c r="CH42" i="2541"/>
  <c r="CG42" i="2541"/>
  <c r="CF42" i="2541"/>
  <c r="CE42" i="2541"/>
  <c r="CD42" i="2541"/>
  <c r="CC42" i="2541"/>
  <c r="CB42" i="2541"/>
  <c r="BZ42" i="2541"/>
  <c r="BY42" i="2541"/>
  <c r="BX42" i="2541"/>
  <c r="BW42" i="2541"/>
  <c r="BV42" i="2541"/>
  <c r="BU42" i="2541"/>
  <c r="BT42" i="2541"/>
  <c r="BS42" i="2541"/>
  <c r="BR42" i="2541"/>
  <c r="BQ42" i="2541"/>
  <c r="BP42" i="2541"/>
  <c r="BO42" i="2541"/>
  <c r="BM42" i="2541"/>
  <c r="BL42" i="2541"/>
  <c r="BK42" i="2541"/>
  <c r="BJ42" i="2541"/>
  <c r="BI42" i="2541"/>
  <c r="BH42" i="2541"/>
  <c r="BG42" i="2541"/>
  <c r="BF42" i="2541"/>
  <c r="BE42" i="2541"/>
  <c r="BD42" i="2541"/>
  <c r="BC42" i="2541"/>
  <c r="BB42" i="2541"/>
  <c r="AZ42" i="2541"/>
  <c r="AY42" i="2541"/>
  <c r="AX42" i="2541"/>
  <c r="AW42" i="2541"/>
  <c r="AV42" i="2541"/>
  <c r="AU42" i="2541"/>
  <c r="AT42" i="2541"/>
  <c r="AS42" i="2541"/>
  <c r="AR42" i="2541"/>
  <c r="AQ42" i="2541"/>
  <c r="AP42" i="2541"/>
  <c r="AO42" i="2541"/>
  <c r="AM42" i="2541"/>
  <c r="AL42" i="2541"/>
  <c r="AK42" i="2541"/>
  <c r="AJ42" i="2541"/>
  <c r="AI42" i="2541"/>
  <c r="AH42" i="2541"/>
  <c r="AG42" i="2541"/>
  <c r="AF42" i="2541"/>
  <c r="AE42" i="2541"/>
  <c r="AD42" i="2541"/>
  <c r="AC42" i="2541"/>
  <c r="AB42" i="2541"/>
  <c r="FZ41" i="2541"/>
  <c r="FY41" i="2541"/>
  <c r="FX41" i="2541"/>
  <c r="FW41" i="2541"/>
  <c r="FV41" i="2541"/>
  <c r="FU41" i="2541"/>
  <c r="FT41" i="2541"/>
  <c r="FS41" i="2541"/>
  <c r="FR41" i="2541"/>
  <c r="FQ41" i="2541"/>
  <c r="FP41" i="2541"/>
  <c r="FO41" i="2541"/>
  <c r="FM41" i="2541"/>
  <c r="FL41" i="2541"/>
  <c r="FK41" i="2541"/>
  <c r="FJ41" i="2541"/>
  <c r="FI41" i="2541"/>
  <c r="FH41" i="2541"/>
  <c r="FG41" i="2541"/>
  <c r="FF41" i="2541"/>
  <c r="FE41" i="2541"/>
  <c r="FD41" i="2541"/>
  <c r="FC41" i="2541"/>
  <c r="FB41" i="2541"/>
  <c r="EZ41" i="2541"/>
  <c r="EY41" i="2541"/>
  <c r="EX41" i="2541"/>
  <c r="EW41" i="2541"/>
  <c r="EV41" i="2541"/>
  <c r="EU41" i="2541"/>
  <c r="ET41" i="2541"/>
  <c r="ES41" i="2541"/>
  <c r="ER41" i="2541"/>
  <c r="EQ41" i="2541"/>
  <c r="EP41" i="2541"/>
  <c r="EO41" i="2541"/>
  <c r="EM41" i="2541"/>
  <c r="EL41" i="2541"/>
  <c r="EK41" i="2541"/>
  <c r="EJ41" i="2541"/>
  <c r="EI41" i="2541"/>
  <c r="EH41" i="2541"/>
  <c r="EG41" i="2541"/>
  <c r="EF41" i="2541"/>
  <c r="EE41" i="2541"/>
  <c r="ED41" i="2541"/>
  <c r="EC41" i="2541"/>
  <c r="EB41" i="2541"/>
  <c r="DZ41" i="2541"/>
  <c r="DY41" i="2541"/>
  <c r="DX41" i="2541"/>
  <c r="DW41" i="2541"/>
  <c r="DV41" i="2541"/>
  <c r="DU41" i="2541"/>
  <c r="DT41" i="2541"/>
  <c r="DS41" i="2541"/>
  <c r="DR41" i="2541"/>
  <c r="DQ41" i="2541"/>
  <c r="DP41" i="2541"/>
  <c r="DO41" i="2541"/>
  <c r="DM41" i="2541"/>
  <c r="DL41" i="2541"/>
  <c r="DK41" i="2541"/>
  <c r="DJ41" i="2541"/>
  <c r="DI41" i="2541"/>
  <c r="DH41" i="2541"/>
  <c r="DG41" i="2541"/>
  <c r="DF41" i="2541"/>
  <c r="DE41" i="2541"/>
  <c r="DD41" i="2541"/>
  <c r="DC41" i="2541"/>
  <c r="DB41" i="2541"/>
  <c r="CZ41" i="2541"/>
  <c r="CY41" i="2541"/>
  <c r="CX41" i="2541"/>
  <c r="CW41" i="2541"/>
  <c r="CV41" i="2541"/>
  <c r="CU41" i="2541"/>
  <c r="CT41" i="2541"/>
  <c r="CS41" i="2541"/>
  <c r="CR41" i="2541"/>
  <c r="CQ41" i="2541"/>
  <c r="CP41" i="2541"/>
  <c r="CO41" i="2541"/>
  <c r="CM41" i="2541"/>
  <c r="CL41" i="2541"/>
  <c r="CK41" i="2541"/>
  <c r="CJ41" i="2541"/>
  <c r="CI41" i="2541"/>
  <c r="CH41" i="2541"/>
  <c r="CG41" i="2541"/>
  <c r="CF41" i="2541"/>
  <c r="CE41" i="2541"/>
  <c r="CD41" i="2541"/>
  <c r="CC41" i="2541"/>
  <c r="CB41" i="2541"/>
  <c r="BZ41" i="2541"/>
  <c r="BY41" i="2541"/>
  <c r="BX41" i="2541"/>
  <c r="BW41" i="2541"/>
  <c r="BV41" i="2541"/>
  <c r="BU41" i="2541"/>
  <c r="BT41" i="2541"/>
  <c r="BS41" i="2541"/>
  <c r="BR41" i="2541"/>
  <c r="BQ41" i="2541"/>
  <c r="BP41" i="2541"/>
  <c r="BO41" i="2541"/>
  <c r="BM41" i="2541"/>
  <c r="BL41" i="2541"/>
  <c r="BK41" i="2541"/>
  <c r="BJ41" i="2541"/>
  <c r="BI41" i="2541"/>
  <c r="BH41" i="2541"/>
  <c r="BG41" i="2541"/>
  <c r="BF41" i="2541"/>
  <c r="BE41" i="2541"/>
  <c r="BD41" i="2541"/>
  <c r="BC41" i="2541"/>
  <c r="BB41" i="2541"/>
  <c r="AZ41" i="2541"/>
  <c r="AY41" i="2541"/>
  <c r="AX41" i="2541"/>
  <c r="AW41" i="2541"/>
  <c r="AV41" i="2541"/>
  <c r="AU41" i="2541"/>
  <c r="AT41" i="2541"/>
  <c r="AS41" i="2541"/>
  <c r="AR41" i="2541"/>
  <c r="AQ41" i="2541"/>
  <c r="AP41" i="2541"/>
  <c r="AO41" i="2541"/>
  <c r="AM41" i="2541"/>
  <c r="AL41" i="2541"/>
  <c r="AK41" i="2541"/>
  <c r="AJ41" i="2541"/>
  <c r="AI41" i="2541"/>
  <c r="AH41" i="2541"/>
  <c r="AG41" i="2541"/>
  <c r="AF41" i="2541"/>
  <c r="AE41" i="2541"/>
  <c r="AD41" i="2541"/>
  <c r="AC41" i="2541"/>
  <c r="AB41" i="2541"/>
  <c r="GA37" i="2541"/>
  <c r="FN37" i="2541"/>
  <c r="FA37" i="2541"/>
  <c r="EN37" i="2541"/>
  <c r="EA37" i="2541"/>
  <c r="DN37" i="2541"/>
  <c r="DA37" i="2541"/>
  <c r="CN37" i="2541"/>
  <c r="CA37" i="2541"/>
  <c r="BN37" i="2541"/>
  <c r="BA37" i="2541"/>
  <c r="AN37" i="2541"/>
  <c r="AA37" i="2541"/>
  <c r="N37" i="2541"/>
  <c r="FO36" i="2541"/>
  <c r="FB36" i="2541"/>
  <c r="EO36" i="2541"/>
  <c r="EB36" i="2541"/>
  <c r="DO36" i="2541"/>
  <c r="DB36" i="2541"/>
  <c r="CO36" i="2541"/>
  <c r="CB36" i="2541"/>
  <c r="BO36" i="2541"/>
  <c r="BB36" i="2541"/>
  <c r="AO36" i="2541"/>
  <c r="AB36" i="2541"/>
  <c r="O36" i="2541"/>
  <c r="B36" i="2541"/>
  <c r="GA30" i="2541"/>
  <c r="FN30" i="2541"/>
  <c r="EN30" i="2541"/>
  <c r="BA30" i="2541"/>
  <c r="AN30" i="2541"/>
  <c r="AA30" i="2541"/>
  <c r="N30" i="2541"/>
  <c r="GA29" i="2541"/>
  <c r="FN29" i="2541"/>
  <c r="EN29" i="2541"/>
  <c r="BA29" i="2541"/>
  <c r="AN29" i="2541"/>
  <c r="AA29" i="2541"/>
  <c r="N29" i="2541"/>
  <c r="GA28" i="2541"/>
  <c r="FN28" i="2541"/>
  <c r="FA28" i="2541"/>
  <c r="EN28" i="2541"/>
  <c r="EA28" i="2541"/>
  <c r="DN28" i="2541"/>
  <c r="DA28" i="2541"/>
  <c r="CN28" i="2541"/>
  <c r="CA28" i="2541"/>
  <c r="BN28" i="2541"/>
  <c r="BA28" i="2541"/>
  <c r="AN28" i="2541"/>
  <c r="AA28" i="2541"/>
  <c r="N28" i="2541"/>
  <c r="GA27" i="2541"/>
  <c r="FN27" i="2541"/>
  <c r="FA27" i="2541"/>
  <c r="EN27" i="2541"/>
  <c r="EA27" i="2541"/>
  <c r="DN27" i="2541"/>
  <c r="DA27" i="2541"/>
  <c r="CN27" i="2541"/>
  <c r="CA27" i="2541"/>
  <c r="BN27" i="2541"/>
  <c r="BA27" i="2541"/>
  <c r="AN27" i="2541"/>
  <c r="AA27" i="2541"/>
  <c r="N27" i="2541"/>
  <c r="GA26" i="2541"/>
  <c r="FN26" i="2541"/>
  <c r="FA26" i="2541"/>
  <c r="EN26" i="2541"/>
  <c r="EA26" i="2541"/>
  <c r="DN26" i="2541"/>
  <c r="DA26" i="2541"/>
  <c r="CN26" i="2541"/>
  <c r="CA26" i="2541"/>
  <c r="BN26" i="2541"/>
  <c r="BA26" i="2541"/>
  <c r="AN26" i="2541"/>
  <c r="AA26" i="2541"/>
  <c r="N26" i="2541"/>
  <c r="GA25" i="2541"/>
  <c r="FN25" i="2541"/>
  <c r="FA25" i="2541"/>
  <c r="EN25" i="2541"/>
  <c r="EA25" i="2541"/>
  <c r="DN25" i="2541"/>
  <c r="DA25" i="2541"/>
  <c r="CN25" i="2541"/>
  <c r="CA25" i="2541"/>
  <c r="BN25" i="2541"/>
  <c r="BA25" i="2541"/>
  <c r="AN25" i="2541"/>
  <c r="AA25" i="2541"/>
  <c r="N25" i="2541"/>
  <c r="FZ24" i="2541"/>
  <c r="FY24" i="2541"/>
  <c r="FX24" i="2541"/>
  <c r="FW24" i="2541"/>
  <c r="FV24" i="2541"/>
  <c r="FU24" i="2541"/>
  <c r="FT24" i="2541"/>
  <c r="FS24" i="2541"/>
  <c r="FR24" i="2541"/>
  <c r="FQ24" i="2541"/>
  <c r="FP24" i="2541"/>
  <c r="FO24" i="2541"/>
  <c r="FM24" i="2541"/>
  <c r="FL24" i="2541"/>
  <c r="FK24" i="2541"/>
  <c r="FJ24" i="2541"/>
  <c r="FI24" i="2541"/>
  <c r="FH24" i="2541"/>
  <c r="FG24" i="2541"/>
  <c r="FF24" i="2541"/>
  <c r="FE24" i="2541"/>
  <c r="FD24" i="2541"/>
  <c r="FC24" i="2541"/>
  <c r="FB24" i="2541"/>
  <c r="EZ24" i="2541"/>
  <c r="EY24" i="2541"/>
  <c r="EX24" i="2541"/>
  <c r="EW24" i="2541"/>
  <c r="EV24" i="2541"/>
  <c r="EU24" i="2541"/>
  <c r="ET24" i="2541"/>
  <c r="ES24" i="2541"/>
  <c r="ER24" i="2541"/>
  <c r="EQ24" i="2541"/>
  <c r="EP24" i="2541"/>
  <c r="EO24" i="2541"/>
  <c r="EM24" i="2541"/>
  <c r="EL24" i="2541"/>
  <c r="EK24" i="2541"/>
  <c r="EJ24" i="2541"/>
  <c r="EI24" i="2541"/>
  <c r="EH24" i="2541"/>
  <c r="EG24" i="2541"/>
  <c r="EF24" i="2541"/>
  <c r="EE24" i="2541"/>
  <c r="ED24" i="2541"/>
  <c r="EC24" i="2541"/>
  <c r="EB24" i="2541"/>
  <c r="DZ24" i="2541"/>
  <c r="DY24" i="2541"/>
  <c r="DX24" i="2541"/>
  <c r="DW24" i="2541"/>
  <c r="DV24" i="2541"/>
  <c r="DU24" i="2541"/>
  <c r="DT24" i="2541"/>
  <c r="DS24" i="2541"/>
  <c r="DR24" i="2541"/>
  <c r="DQ24" i="2541"/>
  <c r="DP24" i="2541"/>
  <c r="DO24" i="2541"/>
  <c r="DM24" i="2541"/>
  <c r="DL24" i="2541"/>
  <c r="DK24" i="2541"/>
  <c r="DJ24" i="2541"/>
  <c r="DI24" i="2541"/>
  <c r="DH24" i="2541"/>
  <c r="DG24" i="2541"/>
  <c r="DF24" i="2541"/>
  <c r="DE24" i="2541"/>
  <c r="DD24" i="2541"/>
  <c r="DC24" i="2541"/>
  <c r="DB24" i="2541"/>
  <c r="CZ24" i="2541"/>
  <c r="CY24" i="2541"/>
  <c r="CX24" i="2541"/>
  <c r="CW24" i="2541"/>
  <c r="CV24" i="2541"/>
  <c r="CU24" i="2541"/>
  <c r="CT24" i="2541"/>
  <c r="CS24" i="2541"/>
  <c r="CR24" i="2541"/>
  <c r="CQ24" i="2541"/>
  <c r="CP24" i="2541"/>
  <c r="CO24" i="2541"/>
  <c r="CM24" i="2541"/>
  <c r="CL24" i="2541"/>
  <c r="CK24" i="2541"/>
  <c r="CJ24" i="2541"/>
  <c r="CI24" i="2541"/>
  <c r="CH24" i="2541"/>
  <c r="CG24" i="2541"/>
  <c r="CF24" i="2541"/>
  <c r="CE24" i="2541"/>
  <c r="CD24" i="2541"/>
  <c r="CC24" i="2541"/>
  <c r="CB24" i="2541"/>
  <c r="BZ24" i="2541"/>
  <c r="BY24" i="2541"/>
  <c r="BX24" i="2541"/>
  <c r="BW24" i="2541"/>
  <c r="BV24" i="2541"/>
  <c r="BU24" i="2541"/>
  <c r="BT24" i="2541"/>
  <c r="BS24" i="2541"/>
  <c r="BR24" i="2541"/>
  <c r="BQ24" i="2541"/>
  <c r="BP24" i="2541"/>
  <c r="BO24" i="2541"/>
  <c r="BM24" i="2541"/>
  <c r="BL24" i="2541"/>
  <c r="BK24" i="2541"/>
  <c r="BJ24" i="2541"/>
  <c r="BI24" i="2541"/>
  <c r="BH24" i="2541"/>
  <c r="BG24" i="2541"/>
  <c r="BF24" i="2541"/>
  <c r="BE24" i="2541"/>
  <c r="BD24" i="2541"/>
  <c r="BC24" i="2541"/>
  <c r="BB24" i="2541"/>
  <c r="AZ24" i="2541"/>
  <c r="AY24" i="2541"/>
  <c r="AX24" i="2541"/>
  <c r="AW24" i="2541"/>
  <c r="AV24" i="2541"/>
  <c r="AU24" i="2541"/>
  <c r="AT24" i="2541"/>
  <c r="AS24" i="2541"/>
  <c r="AR24" i="2541"/>
  <c r="AQ24" i="2541"/>
  <c r="AP24" i="2541"/>
  <c r="AO24" i="2541"/>
  <c r="AM24" i="2541"/>
  <c r="AL24" i="2541"/>
  <c r="AK24" i="2541"/>
  <c r="AJ24" i="2541"/>
  <c r="AI24" i="2541"/>
  <c r="AH24" i="2541"/>
  <c r="AG24" i="2541"/>
  <c r="AF24" i="2541"/>
  <c r="AE24" i="2541"/>
  <c r="AD24" i="2541"/>
  <c r="AC24" i="2541"/>
  <c r="AB24" i="2541"/>
  <c r="Z24" i="2541"/>
  <c r="Y24" i="2541"/>
  <c r="X24" i="2541"/>
  <c r="W24" i="2541"/>
  <c r="V24" i="2541"/>
  <c r="U24" i="2541"/>
  <c r="T24" i="2541"/>
  <c r="S24" i="2541"/>
  <c r="R24" i="2541"/>
  <c r="Q24" i="2541"/>
  <c r="P24" i="2541"/>
  <c r="O24" i="2541"/>
  <c r="M24" i="2541"/>
  <c r="L24" i="2541"/>
  <c r="K24" i="2541"/>
  <c r="J24" i="2541"/>
  <c r="I24" i="2541"/>
  <c r="H24" i="2541"/>
  <c r="G24" i="2541"/>
  <c r="F24" i="2541"/>
  <c r="E24" i="2541"/>
  <c r="D24" i="2541"/>
  <c r="C24" i="2541"/>
  <c r="B24" i="2541"/>
  <c r="GA22" i="2541"/>
  <c r="FN22" i="2541"/>
  <c r="FA22" i="2541"/>
  <c r="EN22" i="2541"/>
  <c r="EA22" i="2541"/>
  <c r="DN22" i="2541"/>
  <c r="DA22" i="2541"/>
  <c r="CN22" i="2541"/>
  <c r="CA22" i="2541"/>
  <c r="BN22" i="2541"/>
  <c r="BA22" i="2541"/>
  <c r="AN22" i="2541"/>
  <c r="AA22" i="2541"/>
  <c r="N22" i="2541"/>
  <c r="GA21" i="2541"/>
  <c r="FN21" i="2541"/>
  <c r="FA21" i="2541"/>
  <c r="EN21" i="2541"/>
  <c r="EA21" i="2541"/>
  <c r="DN21" i="2541"/>
  <c r="DA21" i="2541"/>
  <c r="CN21" i="2541"/>
  <c r="CA21" i="2541"/>
  <c r="BN21" i="2541"/>
  <c r="BA21" i="2541"/>
  <c r="AN21" i="2541"/>
  <c r="AA21" i="2541"/>
  <c r="N21" i="2541"/>
  <c r="FZ20" i="2541"/>
  <c r="FY20" i="2541"/>
  <c r="FX20" i="2541"/>
  <c r="FW20" i="2541"/>
  <c r="FV20" i="2541"/>
  <c r="FU20" i="2541"/>
  <c r="FT20" i="2541"/>
  <c r="FS20" i="2541"/>
  <c r="FR20" i="2541"/>
  <c r="FQ20" i="2541"/>
  <c r="FP20" i="2541"/>
  <c r="FO20" i="2541"/>
  <c r="FM20" i="2541"/>
  <c r="FL20" i="2541"/>
  <c r="FK20" i="2541"/>
  <c r="FJ20" i="2541"/>
  <c r="FI20" i="2541"/>
  <c r="FH20" i="2541"/>
  <c r="FG20" i="2541"/>
  <c r="FF20" i="2541"/>
  <c r="FE20" i="2541"/>
  <c r="FD20" i="2541"/>
  <c r="FC20" i="2541"/>
  <c r="FB20" i="2541"/>
  <c r="EZ20" i="2541"/>
  <c r="EY20" i="2541"/>
  <c r="EX20" i="2541"/>
  <c r="EW20" i="2541"/>
  <c r="EV20" i="2541"/>
  <c r="EU20" i="2541"/>
  <c r="ET20" i="2541"/>
  <c r="ES20" i="2541"/>
  <c r="ER20" i="2541"/>
  <c r="EQ20" i="2541"/>
  <c r="EP20" i="2541"/>
  <c r="EO20" i="2541"/>
  <c r="EM20" i="2541"/>
  <c r="EL20" i="2541"/>
  <c r="EK20" i="2541"/>
  <c r="EJ20" i="2541"/>
  <c r="EI20" i="2541"/>
  <c r="EH20" i="2541"/>
  <c r="EG20" i="2541"/>
  <c r="EF20" i="2541"/>
  <c r="EE20" i="2541"/>
  <c r="ED20" i="2541"/>
  <c r="EC20" i="2541"/>
  <c r="EB20" i="2541"/>
  <c r="DZ20" i="2541"/>
  <c r="DY20" i="2541"/>
  <c r="DX20" i="2541"/>
  <c r="DW20" i="2541"/>
  <c r="DV20" i="2541"/>
  <c r="DU20" i="2541"/>
  <c r="DT20" i="2541"/>
  <c r="DS20" i="2541"/>
  <c r="DR20" i="2541"/>
  <c r="DQ20" i="2541"/>
  <c r="DP20" i="2541"/>
  <c r="DO20" i="2541"/>
  <c r="DM20" i="2541"/>
  <c r="DL20" i="2541"/>
  <c r="DK20" i="2541"/>
  <c r="DJ20" i="2541"/>
  <c r="DI20" i="2541"/>
  <c r="DH20" i="2541"/>
  <c r="DG20" i="2541"/>
  <c r="DF20" i="2541"/>
  <c r="DE20" i="2541"/>
  <c r="DD20" i="2541"/>
  <c r="DC20" i="2541"/>
  <c r="DB20" i="2541"/>
  <c r="CZ20" i="2541"/>
  <c r="CY20" i="2541"/>
  <c r="CX20" i="2541"/>
  <c r="CW20" i="2541"/>
  <c r="CV20" i="2541"/>
  <c r="CU20" i="2541"/>
  <c r="CT20" i="2541"/>
  <c r="CS20" i="2541"/>
  <c r="CR20" i="2541"/>
  <c r="CQ20" i="2541"/>
  <c r="CP20" i="2541"/>
  <c r="CO20" i="2541"/>
  <c r="CM20" i="2541"/>
  <c r="CL20" i="2541"/>
  <c r="CK20" i="2541"/>
  <c r="CJ20" i="2541"/>
  <c r="CI20" i="2541"/>
  <c r="CH20" i="2541"/>
  <c r="CG20" i="2541"/>
  <c r="CF20" i="2541"/>
  <c r="CE20" i="2541"/>
  <c r="CD20" i="2541"/>
  <c r="CC20" i="2541"/>
  <c r="CB20" i="2541"/>
  <c r="BZ20" i="2541"/>
  <c r="BY20" i="2541"/>
  <c r="BX20" i="2541"/>
  <c r="BW20" i="2541"/>
  <c r="BV20" i="2541"/>
  <c r="BU20" i="2541"/>
  <c r="BT20" i="2541"/>
  <c r="BS20" i="2541"/>
  <c r="BR20" i="2541"/>
  <c r="BQ20" i="2541"/>
  <c r="BP20" i="2541"/>
  <c r="BO20" i="2541"/>
  <c r="BM20" i="2541"/>
  <c r="BL20" i="2541"/>
  <c r="BK20" i="2541"/>
  <c r="BJ20" i="2541"/>
  <c r="BI20" i="2541"/>
  <c r="BH20" i="2541"/>
  <c r="BG20" i="2541"/>
  <c r="BF20" i="2541"/>
  <c r="BE20" i="2541"/>
  <c r="BD20" i="2541"/>
  <c r="BC20" i="2541"/>
  <c r="BB20" i="2541"/>
  <c r="AZ20" i="2541"/>
  <c r="AY20" i="2541"/>
  <c r="AX20" i="2541"/>
  <c r="AW20" i="2541"/>
  <c r="AV20" i="2541"/>
  <c r="AU20" i="2541"/>
  <c r="AT20" i="2541"/>
  <c r="AS20" i="2541"/>
  <c r="AR20" i="2541"/>
  <c r="AQ20" i="2541"/>
  <c r="AP20" i="2541"/>
  <c r="AO20" i="2541"/>
  <c r="AM20" i="2541"/>
  <c r="AL20" i="2541"/>
  <c r="AK20" i="2541"/>
  <c r="AJ20" i="2541"/>
  <c r="AI20" i="2541"/>
  <c r="AH20" i="2541"/>
  <c r="AG20" i="2541"/>
  <c r="AF20" i="2541"/>
  <c r="AE20" i="2541"/>
  <c r="AD20" i="2541"/>
  <c r="AC20" i="2541"/>
  <c r="AB20" i="2541"/>
  <c r="Z20" i="2541"/>
  <c r="Y20" i="2541"/>
  <c r="X20" i="2541"/>
  <c r="W20" i="2541"/>
  <c r="V20" i="2541"/>
  <c r="U20" i="2541"/>
  <c r="T20" i="2541"/>
  <c r="S20" i="2541"/>
  <c r="R20" i="2541"/>
  <c r="Q20" i="2541"/>
  <c r="P20" i="2541"/>
  <c r="O20" i="2541"/>
  <c r="M20" i="2541"/>
  <c r="L20" i="2541"/>
  <c r="K20" i="2541"/>
  <c r="J20" i="2541"/>
  <c r="I20" i="2541"/>
  <c r="H20" i="2541"/>
  <c r="G20" i="2541"/>
  <c r="F20" i="2541"/>
  <c r="E20" i="2541"/>
  <c r="D20" i="2541"/>
  <c r="C20" i="2541"/>
  <c r="B20" i="2541"/>
  <c r="GA19" i="2541"/>
  <c r="FN19" i="2541"/>
  <c r="FA19" i="2541"/>
  <c r="EN19" i="2541"/>
  <c r="EA19" i="2541"/>
  <c r="DN19" i="2541"/>
  <c r="DA19" i="2541"/>
  <c r="CN19" i="2541"/>
  <c r="CA19" i="2541"/>
  <c r="BN19" i="2541"/>
  <c r="BA19" i="2541"/>
  <c r="AN19" i="2541"/>
  <c r="AA19" i="2541"/>
  <c r="N19" i="2541"/>
  <c r="GA18" i="2541"/>
  <c r="FN18" i="2541"/>
  <c r="FA18" i="2541"/>
  <c r="EN18" i="2541"/>
  <c r="EA18" i="2541"/>
  <c r="DN18" i="2541"/>
  <c r="DA18" i="2541"/>
  <c r="CN18" i="2541"/>
  <c r="CA18" i="2541"/>
  <c r="BN18" i="2541"/>
  <c r="BA18" i="2541"/>
  <c r="AN18" i="2541"/>
  <c r="AA18" i="2541"/>
  <c r="N18" i="2541"/>
  <c r="FZ17" i="2541"/>
  <c r="FZ49" i="2541" s="1"/>
  <c r="FY17" i="2541"/>
  <c r="FX17" i="2541"/>
  <c r="FX49" i="2541" s="1"/>
  <c r="FW17" i="2541"/>
  <c r="FV17" i="2541"/>
  <c r="FV49" i="2541" s="1"/>
  <c r="FU17" i="2541"/>
  <c r="FU49" i="2541" s="1"/>
  <c r="FT17" i="2541"/>
  <c r="FT49" i="2541" s="1"/>
  <c r="FS17" i="2541"/>
  <c r="FS49" i="2541" s="1"/>
  <c r="FR17" i="2541"/>
  <c r="FR49" i="2541" s="1"/>
  <c r="FQ17" i="2541"/>
  <c r="FQ49" i="2541" s="1"/>
  <c r="FP17" i="2541"/>
  <c r="FP49" i="2541" s="1"/>
  <c r="FO17" i="2541"/>
  <c r="FO49" i="2541" s="1"/>
  <c r="FM17" i="2541"/>
  <c r="FM49" i="2541" s="1"/>
  <c r="FL17" i="2541"/>
  <c r="FL49" i="2541" s="1"/>
  <c r="FK17" i="2541"/>
  <c r="FK49" i="2541" s="1"/>
  <c r="FJ17" i="2541"/>
  <c r="FI17" i="2541"/>
  <c r="FI49" i="2541" s="1"/>
  <c r="FH17" i="2541"/>
  <c r="FH49" i="2541" s="1"/>
  <c r="FG17" i="2541"/>
  <c r="FG49" i="2541" s="1"/>
  <c r="FF17" i="2541"/>
  <c r="FE17" i="2541"/>
  <c r="FE49" i="2541" s="1"/>
  <c r="FD17" i="2541"/>
  <c r="FD49" i="2541" s="1"/>
  <c r="FC17" i="2541"/>
  <c r="FC49" i="2541" s="1"/>
  <c r="FB17" i="2541"/>
  <c r="FB49" i="2541" s="1"/>
  <c r="EZ17" i="2541"/>
  <c r="EZ49" i="2541" s="1"/>
  <c r="EY17" i="2541"/>
  <c r="EX17" i="2541"/>
  <c r="EX49" i="2541" s="1"/>
  <c r="EW17" i="2541"/>
  <c r="EW49" i="2541" s="1"/>
  <c r="EV17" i="2541"/>
  <c r="EV49" i="2541" s="1"/>
  <c r="EU17" i="2541"/>
  <c r="EU49" i="2541" s="1"/>
  <c r="ET17" i="2541"/>
  <c r="ET49" i="2541" s="1"/>
  <c r="ES17" i="2541"/>
  <c r="ES49" i="2541" s="1"/>
  <c r="ER17" i="2541"/>
  <c r="ER49" i="2541" s="1"/>
  <c r="EQ17" i="2541"/>
  <c r="EQ49" i="2541" s="1"/>
  <c r="EP17" i="2541"/>
  <c r="EP49" i="2541" s="1"/>
  <c r="EO17" i="2541"/>
  <c r="EM17" i="2541"/>
  <c r="EM49" i="2541" s="1"/>
  <c r="EL17" i="2541"/>
  <c r="EK17" i="2541"/>
  <c r="EK49" i="2541" s="1"/>
  <c r="EJ17" i="2541"/>
  <c r="EJ49" i="2541" s="1"/>
  <c r="EI17" i="2541"/>
  <c r="EI49" i="2541" s="1"/>
  <c r="EH17" i="2541"/>
  <c r="EH49" i="2541" s="1"/>
  <c r="EG17" i="2541"/>
  <c r="EG49" i="2541" s="1"/>
  <c r="EF17" i="2541"/>
  <c r="EF49" i="2541" s="1"/>
  <c r="EE17" i="2541"/>
  <c r="EE49" i="2541" s="1"/>
  <c r="ED17" i="2541"/>
  <c r="ED49" i="2541" s="1"/>
  <c r="EC17" i="2541"/>
  <c r="EC49" i="2541" s="1"/>
  <c r="EB17" i="2541"/>
  <c r="EB49" i="2541" s="1"/>
  <c r="DZ17" i="2541"/>
  <c r="DZ49" i="2541" s="1"/>
  <c r="DY17" i="2541"/>
  <c r="DY49" i="2541" s="1"/>
  <c r="DX17" i="2541"/>
  <c r="DX49" i="2541" s="1"/>
  <c r="DW17" i="2541"/>
  <c r="DW49" i="2541" s="1"/>
  <c r="DV17" i="2541"/>
  <c r="DV49" i="2541" s="1"/>
  <c r="DU17" i="2541"/>
  <c r="DU49" i="2541" s="1"/>
  <c r="DT17" i="2541"/>
  <c r="DT49" i="2541" s="1"/>
  <c r="DS17" i="2541"/>
  <c r="DS49" i="2541" s="1"/>
  <c r="DR17" i="2541"/>
  <c r="DR49" i="2541" s="1"/>
  <c r="DQ17" i="2541"/>
  <c r="DQ49" i="2541" s="1"/>
  <c r="DP17" i="2541"/>
  <c r="DO17" i="2541"/>
  <c r="DO49" i="2541" s="1"/>
  <c r="DM17" i="2541"/>
  <c r="DM49" i="2541" s="1"/>
  <c r="DL17" i="2541"/>
  <c r="DL49" i="2541" s="1"/>
  <c r="DK17" i="2541"/>
  <c r="DK49" i="2541" s="1"/>
  <c r="DJ17" i="2541"/>
  <c r="DJ49" i="2541" s="1"/>
  <c r="DI17" i="2541"/>
  <c r="DI49" i="2541" s="1"/>
  <c r="DH17" i="2541"/>
  <c r="DH49" i="2541" s="1"/>
  <c r="DG17" i="2541"/>
  <c r="DG49" i="2541" s="1"/>
  <c r="DF17" i="2541"/>
  <c r="DF49" i="2541" s="1"/>
  <c r="DE17" i="2541"/>
  <c r="DE49" i="2541" s="1"/>
  <c r="DD17" i="2541"/>
  <c r="DD49" i="2541" s="1"/>
  <c r="DC17" i="2541"/>
  <c r="DC49" i="2541" s="1"/>
  <c r="DB17" i="2541"/>
  <c r="CZ17" i="2541"/>
  <c r="CZ49" i="2541" s="1"/>
  <c r="CY17" i="2541"/>
  <c r="CY49" i="2541" s="1"/>
  <c r="CX17" i="2541"/>
  <c r="CX49" i="2541" s="1"/>
  <c r="CW17" i="2541"/>
  <c r="CV17" i="2541"/>
  <c r="CV49" i="2541" s="1"/>
  <c r="CU17" i="2541"/>
  <c r="CU49" i="2541" s="1"/>
  <c r="CT17" i="2541"/>
  <c r="CT49" i="2541" s="1"/>
  <c r="CS17" i="2541"/>
  <c r="CS49" i="2541" s="1"/>
  <c r="CR17" i="2541"/>
  <c r="CR49" i="2541" s="1"/>
  <c r="CQ17" i="2541"/>
  <c r="CQ49" i="2541" s="1"/>
  <c r="CP17" i="2541"/>
  <c r="CP49" i="2541" s="1"/>
  <c r="CO17" i="2541"/>
  <c r="CM17" i="2541"/>
  <c r="CM49" i="2541" s="1"/>
  <c r="CL17" i="2541"/>
  <c r="CL49" i="2541" s="1"/>
  <c r="CK17" i="2541"/>
  <c r="CK49" i="2541" s="1"/>
  <c r="CJ17" i="2541"/>
  <c r="CI17" i="2541"/>
  <c r="CI49" i="2541" s="1"/>
  <c r="CH17" i="2541"/>
  <c r="CH49" i="2541" s="1"/>
  <c r="CG17" i="2541"/>
  <c r="CG49" i="2541" s="1"/>
  <c r="CF17" i="2541"/>
  <c r="CE17" i="2541"/>
  <c r="CE49" i="2541" s="1"/>
  <c r="CD17" i="2541"/>
  <c r="CD49" i="2541" s="1"/>
  <c r="CC17" i="2541"/>
  <c r="CC49" i="2541" s="1"/>
  <c r="CB17" i="2541"/>
  <c r="CB49" i="2541" s="1"/>
  <c r="BZ17" i="2541"/>
  <c r="BZ49" i="2541" s="1"/>
  <c r="BY17" i="2541"/>
  <c r="BY49" i="2541" s="1"/>
  <c r="BX17" i="2541"/>
  <c r="BX49" i="2541" s="1"/>
  <c r="BW17" i="2541"/>
  <c r="BV17" i="2541"/>
  <c r="BV49" i="2541" s="1"/>
  <c r="BU17" i="2541"/>
  <c r="BU49" i="2541" s="1"/>
  <c r="BT17" i="2541"/>
  <c r="BT49" i="2541" s="1"/>
  <c r="BS17" i="2541"/>
  <c r="BS49" i="2541" s="1"/>
  <c r="BR17" i="2541"/>
  <c r="BR49" i="2541" s="1"/>
  <c r="BQ17" i="2541"/>
  <c r="BQ49" i="2541" s="1"/>
  <c r="BP17" i="2541"/>
  <c r="BP49" i="2541" s="1"/>
  <c r="BO17" i="2541"/>
  <c r="BO49" i="2541" s="1"/>
  <c r="BM17" i="2541"/>
  <c r="BM49" i="2541" s="1"/>
  <c r="BL17" i="2541"/>
  <c r="BK17" i="2541"/>
  <c r="BK49" i="2541" s="1"/>
  <c r="BJ17" i="2541"/>
  <c r="BJ49" i="2541" s="1"/>
  <c r="BI17" i="2541"/>
  <c r="BI49" i="2541" s="1"/>
  <c r="BH17" i="2541"/>
  <c r="BH49" i="2541" s="1"/>
  <c r="BG17" i="2541"/>
  <c r="BG49" i="2541" s="1"/>
  <c r="BF17" i="2541"/>
  <c r="BF49" i="2541" s="1"/>
  <c r="BE17" i="2541"/>
  <c r="BE49" i="2541" s="1"/>
  <c r="BD17" i="2541"/>
  <c r="BD49" i="2541" s="1"/>
  <c r="BC17" i="2541"/>
  <c r="BC49" i="2541" s="1"/>
  <c r="BB17" i="2541"/>
  <c r="BB49" i="2541" s="1"/>
  <c r="AZ17" i="2541"/>
  <c r="AZ49" i="2541" s="1"/>
  <c r="AY17" i="2541"/>
  <c r="AX17" i="2541"/>
  <c r="AX49" i="2541" s="1"/>
  <c r="AW17" i="2541"/>
  <c r="AW49" i="2541" s="1"/>
  <c r="AV17" i="2541"/>
  <c r="AV49" i="2541" s="1"/>
  <c r="AU17" i="2541"/>
  <c r="AU49" i="2541" s="1"/>
  <c r="AT17" i="2541"/>
  <c r="AT49" i="2541" s="1"/>
  <c r="AS17" i="2541"/>
  <c r="AS49" i="2541" s="1"/>
  <c r="AR17" i="2541"/>
  <c r="AR49" i="2541" s="1"/>
  <c r="AQ17" i="2541"/>
  <c r="AQ49" i="2541" s="1"/>
  <c r="AP17" i="2541"/>
  <c r="AP49" i="2541" s="1"/>
  <c r="AO17" i="2541"/>
  <c r="AO49" i="2541" s="1"/>
  <c r="AM17" i="2541"/>
  <c r="AM49" i="2541" s="1"/>
  <c r="AL17" i="2541"/>
  <c r="AK17" i="2541"/>
  <c r="AK49" i="2541" s="1"/>
  <c r="AJ17" i="2541"/>
  <c r="AJ49" i="2541" s="1"/>
  <c r="AI17" i="2541"/>
  <c r="AI49" i="2541" s="1"/>
  <c r="AH17" i="2541"/>
  <c r="AH49" i="2541" s="1"/>
  <c r="AG17" i="2541"/>
  <c r="AG49" i="2541" s="1"/>
  <c r="AF17" i="2541"/>
  <c r="AF49" i="2541" s="1"/>
  <c r="AE17" i="2541"/>
  <c r="AE49" i="2541" s="1"/>
  <c r="AD17" i="2541"/>
  <c r="AC17" i="2541"/>
  <c r="AC49" i="2541" s="1"/>
  <c r="AB17" i="2541"/>
  <c r="AB49" i="2541" s="1"/>
  <c r="Z17" i="2541"/>
  <c r="Y17" i="2541"/>
  <c r="X17" i="2541"/>
  <c r="W17" i="2541"/>
  <c r="V17" i="2541"/>
  <c r="U17" i="2541"/>
  <c r="T17" i="2541"/>
  <c r="S17" i="2541"/>
  <c r="R17" i="2541"/>
  <c r="Q17" i="2541"/>
  <c r="P17" i="2541"/>
  <c r="O17" i="2541"/>
  <c r="M17" i="2541"/>
  <c r="L17" i="2541"/>
  <c r="K17" i="2541"/>
  <c r="J17" i="2541"/>
  <c r="I17" i="2541"/>
  <c r="H17" i="2541"/>
  <c r="G17" i="2541"/>
  <c r="F17" i="2541"/>
  <c r="E17" i="2541"/>
  <c r="D17" i="2541"/>
  <c r="C17" i="2541"/>
  <c r="B17" i="2541"/>
  <c r="GA16" i="2541"/>
  <c r="FN16" i="2541"/>
  <c r="FA16" i="2541"/>
  <c r="EN16" i="2541"/>
  <c r="EA16" i="2541"/>
  <c r="DN16" i="2541"/>
  <c r="CY16" i="2541"/>
  <c r="CN16" i="2541"/>
  <c r="CA16" i="2541"/>
  <c r="BN16" i="2541"/>
  <c r="BA16" i="2541"/>
  <c r="AN16" i="2541"/>
  <c r="AA16" i="2541"/>
  <c r="N16" i="2541"/>
  <c r="GA15" i="2541"/>
  <c r="FN15" i="2541"/>
  <c r="FA15" i="2541"/>
  <c r="EN15" i="2541"/>
  <c r="EA15" i="2541"/>
  <c r="DN15" i="2541"/>
  <c r="DN50" i="2541" s="1"/>
  <c r="DA15" i="2541"/>
  <c r="DA50" i="2541" s="1"/>
  <c r="CN15" i="2541"/>
  <c r="CN50" i="2541" s="1"/>
  <c r="CA15" i="2541"/>
  <c r="CA50" i="2541" s="1"/>
  <c r="BN15" i="2541"/>
  <c r="BN50" i="2541" s="1"/>
  <c r="BA15" i="2541"/>
  <c r="BA50" i="2541" s="1"/>
  <c r="AN15" i="2541"/>
  <c r="AN50" i="2541" s="1"/>
  <c r="AA15" i="2541"/>
  <c r="N15" i="2541"/>
  <c r="GA14" i="2541"/>
  <c r="FN14" i="2541"/>
  <c r="FA14" i="2541"/>
  <c r="EN14" i="2541"/>
  <c r="EA14" i="2541"/>
  <c r="DN14" i="2541"/>
  <c r="DA14" i="2541"/>
  <c r="CN14" i="2541"/>
  <c r="CA14" i="2541"/>
  <c r="BN14" i="2541"/>
  <c r="BA14" i="2541"/>
  <c r="AN14" i="2541"/>
  <c r="AA14" i="2541"/>
  <c r="N14" i="2541"/>
  <c r="GA13" i="2541"/>
  <c r="FN13" i="2541"/>
  <c r="FA13" i="2541"/>
  <c r="EN13" i="2541"/>
  <c r="EA13" i="2541"/>
  <c r="DN13" i="2541"/>
  <c r="DA13" i="2541"/>
  <c r="CN13" i="2541"/>
  <c r="CA13" i="2541"/>
  <c r="BN13" i="2541"/>
  <c r="BA13" i="2541"/>
  <c r="AN13" i="2541"/>
  <c r="AA13" i="2541"/>
  <c r="N13" i="2541"/>
  <c r="GA12" i="2541"/>
  <c r="FN12" i="2541"/>
  <c r="FA12" i="2541"/>
  <c r="EN12" i="2541"/>
  <c r="EA12" i="2541"/>
  <c r="DN12" i="2541"/>
  <c r="DA12" i="2541"/>
  <c r="CN12" i="2541"/>
  <c r="CA12" i="2541"/>
  <c r="BN12" i="2541"/>
  <c r="BA12" i="2541"/>
  <c r="AN12" i="2541"/>
  <c r="AA12" i="2541"/>
  <c r="N12" i="2541"/>
  <c r="GA11" i="2541"/>
  <c r="FN11" i="2541"/>
  <c r="FA11" i="2541"/>
  <c r="EN11" i="2541"/>
  <c r="EA11" i="2541"/>
  <c r="DN11" i="2541"/>
  <c r="DA11" i="2541"/>
  <c r="CN11" i="2541"/>
  <c r="CA11" i="2541"/>
  <c r="BN11" i="2541"/>
  <c r="BA11" i="2541"/>
  <c r="AN11" i="2541"/>
  <c r="AA11" i="2541"/>
  <c r="N11" i="2541"/>
  <c r="GA10" i="2541"/>
  <c r="FN10" i="2541"/>
  <c r="FA10" i="2541"/>
  <c r="EN10" i="2541"/>
  <c r="EA10" i="2541"/>
  <c r="DN10" i="2541"/>
  <c r="DA10" i="2541"/>
  <c r="CN10" i="2541"/>
  <c r="CA10" i="2541"/>
  <c r="BN10" i="2541"/>
  <c r="BA10" i="2541"/>
  <c r="AN10" i="2541"/>
  <c r="AA10" i="2541"/>
  <c r="N10" i="2541"/>
  <c r="GA9" i="2541"/>
  <c r="FN9" i="2541"/>
  <c r="FA9" i="2541"/>
  <c r="EN9" i="2541"/>
  <c r="EA9" i="2541"/>
  <c r="DN9" i="2541"/>
  <c r="DN41" i="2541" s="1"/>
  <c r="DA9" i="2541"/>
  <c r="DA41" i="2541" s="1"/>
  <c r="CN9" i="2541"/>
  <c r="CN41" i="2541" s="1"/>
  <c r="CA9" i="2541"/>
  <c r="CA41" i="2541" s="1"/>
  <c r="BN9" i="2541"/>
  <c r="BN41" i="2541" s="1"/>
  <c r="BA9" i="2541"/>
  <c r="BA41" i="2541" s="1"/>
  <c r="AN9" i="2541"/>
  <c r="AN41" i="2541" s="1"/>
  <c r="AA9" i="2541"/>
  <c r="N9" i="2541"/>
  <c r="FZ8" i="2541"/>
  <c r="FY8" i="2541"/>
  <c r="FX8" i="2541"/>
  <c r="FX7" i="2541" s="1"/>
  <c r="FW8" i="2541"/>
  <c r="FV8" i="2541"/>
  <c r="FU8" i="2541"/>
  <c r="FT8" i="2541"/>
  <c r="FS8" i="2541"/>
  <c r="FR8" i="2541"/>
  <c r="FQ8" i="2541"/>
  <c r="FP8" i="2541"/>
  <c r="FO8" i="2541"/>
  <c r="FM8" i="2541"/>
  <c r="FL8" i="2541"/>
  <c r="FL7" i="2541" s="1"/>
  <c r="FK8" i="2541"/>
  <c r="FK7" i="2541" s="1"/>
  <c r="FJ8" i="2541"/>
  <c r="FI8" i="2541"/>
  <c r="FH8" i="2541"/>
  <c r="FG8" i="2541"/>
  <c r="FF8" i="2541"/>
  <c r="FE8" i="2541"/>
  <c r="FD8" i="2541"/>
  <c r="FC8" i="2541"/>
  <c r="FB8" i="2541"/>
  <c r="EZ8" i="2541"/>
  <c r="EY8" i="2541"/>
  <c r="EX8" i="2541"/>
  <c r="EX7" i="2541" s="1"/>
  <c r="EW8" i="2541"/>
  <c r="EV8" i="2541"/>
  <c r="EU8" i="2541"/>
  <c r="ET8" i="2541"/>
  <c r="ES8" i="2541"/>
  <c r="ER8" i="2541"/>
  <c r="EQ8" i="2541"/>
  <c r="EP8" i="2541"/>
  <c r="EO8" i="2541"/>
  <c r="EM8" i="2541"/>
  <c r="EL8" i="2541"/>
  <c r="EK8" i="2541"/>
  <c r="EK7" i="2541" s="1"/>
  <c r="EJ8" i="2541"/>
  <c r="EI8" i="2541"/>
  <c r="EH8" i="2541"/>
  <c r="EG8" i="2541"/>
  <c r="EF8" i="2541"/>
  <c r="EE8" i="2541"/>
  <c r="ED8" i="2541"/>
  <c r="EC8" i="2541"/>
  <c r="EB8" i="2541"/>
  <c r="DZ8" i="2541"/>
  <c r="DY8" i="2541"/>
  <c r="DX8" i="2541"/>
  <c r="DX7" i="2541" s="1"/>
  <c r="DW8" i="2541"/>
  <c r="DV8" i="2541"/>
  <c r="DU8" i="2541"/>
  <c r="DT8" i="2541"/>
  <c r="DS8" i="2541"/>
  <c r="DR8" i="2541"/>
  <c r="DQ8" i="2541"/>
  <c r="DP8" i="2541"/>
  <c r="DO8" i="2541"/>
  <c r="DM8" i="2541"/>
  <c r="DL8" i="2541"/>
  <c r="DK8" i="2541"/>
  <c r="DK7" i="2541" s="1"/>
  <c r="DJ8" i="2541"/>
  <c r="DI8" i="2541"/>
  <c r="DH8" i="2541"/>
  <c r="DG8" i="2541"/>
  <c r="DF8" i="2541"/>
  <c r="DE8" i="2541"/>
  <c r="DD8" i="2541"/>
  <c r="DC8" i="2541"/>
  <c r="DB8" i="2541"/>
  <c r="CZ8" i="2541"/>
  <c r="CX8" i="2541"/>
  <c r="CW8" i="2541"/>
  <c r="CV8" i="2541"/>
  <c r="CU8" i="2541"/>
  <c r="CU7" i="2541" s="1"/>
  <c r="CT8" i="2541"/>
  <c r="CS8" i="2541"/>
  <c r="CR8" i="2541"/>
  <c r="CR7" i="2541" s="1"/>
  <c r="CQ8" i="2541"/>
  <c r="CP8" i="2541"/>
  <c r="CO8" i="2541"/>
  <c r="CM8" i="2541"/>
  <c r="CL8" i="2541"/>
  <c r="CK8" i="2541"/>
  <c r="CJ8" i="2541"/>
  <c r="CI8" i="2541"/>
  <c r="CH8" i="2541"/>
  <c r="CG8" i="2541"/>
  <c r="CF8" i="2541"/>
  <c r="CE8" i="2541"/>
  <c r="CD8" i="2541"/>
  <c r="CC8" i="2541"/>
  <c r="CB8" i="2541"/>
  <c r="BZ8" i="2541"/>
  <c r="BY8" i="2541"/>
  <c r="BX8" i="2541"/>
  <c r="BW8" i="2541"/>
  <c r="BV8" i="2541"/>
  <c r="BU8" i="2541"/>
  <c r="BT8" i="2541"/>
  <c r="BS8" i="2541"/>
  <c r="BR8" i="2541"/>
  <c r="BR7" i="2541" s="1"/>
  <c r="BR34" i="2541" s="1"/>
  <c r="BQ8" i="2541"/>
  <c r="BP8" i="2541"/>
  <c r="BO8" i="2541"/>
  <c r="BM8" i="2541"/>
  <c r="BL8" i="2541"/>
  <c r="BK8" i="2541"/>
  <c r="BJ8" i="2541"/>
  <c r="BI8" i="2541"/>
  <c r="BH8" i="2541"/>
  <c r="BG8" i="2541"/>
  <c r="BF8" i="2541"/>
  <c r="BE8" i="2541"/>
  <c r="BE7" i="2541" s="1"/>
  <c r="BD8" i="2541"/>
  <c r="BC8" i="2541"/>
  <c r="BB8" i="2541"/>
  <c r="AZ8" i="2541"/>
  <c r="AY8" i="2541"/>
  <c r="AX8" i="2541"/>
  <c r="AW8" i="2541"/>
  <c r="AV8" i="2541"/>
  <c r="AU8" i="2541"/>
  <c r="AT8" i="2541"/>
  <c r="AS8" i="2541"/>
  <c r="AR8" i="2541"/>
  <c r="AR7" i="2541" s="1"/>
  <c r="AQ8" i="2541"/>
  <c r="AP8" i="2541"/>
  <c r="AO8" i="2541"/>
  <c r="AM8" i="2541"/>
  <c r="AL8" i="2541"/>
  <c r="AK8" i="2541"/>
  <c r="AJ8" i="2541"/>
  <c r="AI8" i="2541"/>
  <c r="AH8" i="2541"/>
  <c r="AG8" i="2541"/>
  <c r="AF8" i="2541"/>
  <c r="AE8" i="2541"/>
  <c r="AE7" i="2541" s="1"/>
  <c r="AD8" i="2541"/>
  <c r="AC8" i="2541"/>
  <c r="AB8" i="2541"/>
  <c r="Z8" i="2541"/>
  <c r="Y8" i="2541"/>
  <c r="X8" i="2541"/>
  <c r="W8" i="2541"/>
  <c r="V8" i="2541"/>
  <c r="U8" i="2541"/>
  <c r="U7" i="2541" s="1"/>
  <c r="T8" i="2541"/>
  <c r="S8" i="2541"/>
  <c r="R8" i="2541"/>
  <c r="R7" i="2541" s="1"/>
  <c r="Q8" i="2541"/>
  <c r="P8" i="2541"/>
  <c r="O8" i="2541"/>
  <c r="M8" i="2541"/>
  <c r="L8" i="2541"/>
  <c r="K8" i="2541"/>
  <c r="J8" i="2541"/>
  <c r="I8" i="2541"/>
  <c r="H8" i="2541"/>
  <c r="G8" i="2541"/>
  <c r="F8" i="2541"/>
  <c r="E8" i="2541"/>
  <c r="E7" i="2541" s="1"/>
  <c r="D8" i="2541"/>
  <c r="C8" i="2541"/>
  <c r="B8" i="2541"/>
  <c r="EP7" i="2541"/>
  <c r="GA5" i="2541"/>
  <c r="FN5" i="2541"/>
  <c r="FA5" i="2541"/>
  <c r="EN5" i="2541"/>
  <c r="EA5" i="2541"/>
  <c r="DN5" i="2541"/>
  <c r="DA5" i="2541"/>
  <c r="CN5" i="2541"/>
  <c r="CA5" i="2541"/>
  <c r="BN5" i="2541"/>
  <c r="BA5" i="2541"/>
  <c r="AN5" i="2541"/>
  <c r="AA5" i="2541"/>
  <c r="N5" i="2541"/>
  <c r="FO4" i="2541"/>
  <c r="FB4" i="2541"/>
  <c r="EO4" i="2541"/>
  <c r="EB4" i="2541"/>
  <c r="DO4" i="2541"/>
  <c r="DB4" i="2541"/>
  <c r="CO4" i="2541"/>
  <c r="CB4" i="2541"/>
  <c r="BO4" i="2541"/>
  <c r="BB4" i="2541"/>
  <c r="AO4" i="2541"/>
  <c r="AB4" i="2541"/>
  <c r="O4" i="2541"/>
  <c r="B4" i="2541"/>
  <c r="HN38" i="2540"/>
  <c r="HA38" i="2540"/>
  <c r="GN38" i="2540"/>
  <c r="GA38" i="2540"/>
  <c r="BA38" i="2540"/>
  <c r="AN38" i="2540"/>
  <c r="HN37" i="2540"/>
  <c r="HA37" i="2540"/>
  <c r="GN37" i="2540"/>
  <c r="GA37" i="2540"/>
  <c r="BA37" i="2540"/>
  <c r="AN37" i="2540"/>
  <c r="HN36" i="2540"/>
  <c r="HA36" i="2540"/>
  <c r="GN36" i="2540"/>
  <c r="GA36" i="2540"/>
  <c r="FN36" i="2540"/>
  <c r="FA36" i="2540"/>
  <c r="EN36" i="2540"/>
  <c r="EA36" i="2540"/>
  <c r="DN36" i="2540"/>
  <c r="DA36" i="2540"/>
  <c r="CN36" i="2540"/>
  <c r="CA36" i="2540"/>
  <c r="BN36" i="2540"/>
  <c r="BA36" i="2540"/>
  <c r="AN36" i="2540"/>
  <c r="HN35" i="2540"/>
  <c r="HA35" i="2540"/>
  <c r="GN35" i="2540"/>
  <c r="GA35" i="2540"/>
  <c r="FN35" i="2540"/>
  <c r="FA35" i="2540"/>
  <c r="EN35" i="2540"/>
  <c r="EA35" i="2540"/>
  <c r="DN35" i="2540"/>
  <c r="DA35" i="2540"/>
  <c r="CN35" i="2540"/>
  <c r="CA35" i="2540"/>
  <c r="BN35" i="2540"/>
  <c r="BA35" i="2540"/>
  <c r="AN35" i="2540"/>
  <c r="HN34" i="2540"/>
  <c r="HA34" i="2540"/>
  <c r="GN34" i="2540"/>
  <c r="GA34" i="2540"/>
  <c r="FN34" i="2540"/>
  <c r="FA34" i="2540"/>
  <c r="EN34" i="2540"/>
  <c r="EA34" i="2540"/>
  <c r="DN34" i="2540"/>
  <c r="DA34" i="2540"/>
  <c r="CN34" i="2540"/>
  <c r="CA34" i="2540"/>
  <c r="BN34" i="2540"/>
  <c r="BA34" i="2540"/>
  <c r="AN34" i="2540"/>
  <c r="HN33" i="2540"/>
  <c r="HA33" i="2540"/>
  <c r="GN33" i="2540"/>
  <c r="GA33" i="2540"/>
  <c r="FN33" i="2540"/>
  <c r="FA33" i="2540"/>
  <c r="EN33" i="2540"/>
  <c r="EA33" i="2540"/>
  <c r="DN33" i="2540"/>
  <c r="DA33" i="2540"/>
  <c r="CN33" i="2540"/>
  <c r="CA33" i="2540"/>
  <c r="BN33" i="2540"/>
  <c r="BA33" i="2540"/>
  <c r="AN33" i="2540"/>
  <c r="HN32" i="2540"/>
  <c r="HA32" i="2540"/>
  <c r="GN32" i="2540"/>
  <c r="GA32" i="2540"/>
  <c r="FN32" i="2540"/>
  <c r="FA32" i="2540"/>
  <c r="EN32" i="2540"/>
  <c r="EA32" i="2540"/>
  <c r="DN32" i="2540"/>
  <c r="DA32" i="2540"/>
  <c r="CN32" i="2540"/>
  <c r="CA32" i="2540"/>
  <c r="BN32" i="2540"/>
  <c r="BA32" i="2540"/>
  <c r="AN32" i="2540"/>
  <c r="HM31" i="2540"/>
  <c r="HL31" i="2540"/>
  <c r="HK31" i="2540"/>
  <c r="HJ31" i="2540"/>
  <c r="HI31" i="2540"/>
  <c r="HH31" i="2540"/>
  <c r="HG31" i="2540"/>
  <c r="HF31" i="2540"/>
  <c r="HE31" i="2540"/>
  <c r="HD31" i="2540"/>
  <c r="HC31" i="2540"/>
  <c r="HB31" i="2540"/>
  <c r="GZ31" i="2540"/>
  <c r="GY31" i="2540"/>
  <c r="GX31" i="2540"/>
  <c r="GW31" i="2540"/>
  <c r="GV31" i="2540"/>
  <c r="GU31" i="2540"/>
  <c r="GT31" i="2540"/>
  <c r="GS31" i="2540"/>
  <c r="GR31" i="2540"/>
  <c r="GQ31" i="2540"/>
  <c r="GP31" i="2540"/>
  <c r="GO31" i="2540"/>
  <c r="GM31" i="2540"/>
  <c r="GL31" i="2540"/>
  <c r="GK31" i="2540"/>
  <c r="GJ31" i="2540"/>
  <c r="GI31" i="2540"/>
  <c r="GH31" i="2540"/>
  <c r="GG31" i="2540"/>
  <c r="GF31" i="2540"/>
  <c r="GE31" i="2540"/>
  <c r="GD31" i="2540"/>
  <c r="GC31" i="2540"/>
  <c r="GB31" i="2540"/>
  <c r="FZ31" i="2540"/>
  <c r="FY31" i="2540"/>
  <c r="FX31" i="2540"/>
  <c r="FW31" i="2540"/>
  <c r="FV31" i="2540"/>
  <c r="FU31" i="2540"/>
  <c r="FT31" i="2540"/>
  <c r="FS31" i="2540"/>
  <c r="FR31" i="2540"/>
  <c r="FQ31" i="2540"/>
  <c r="FP31" i="2540"/>
  <c r="FO31" i="2540"/>
  <c r="FM31" i="2540"/>
  <c r="FL31" i="2540"/>
  <c r="FK31" i="2540"/>
  <c r="FJ31" i="2540"/>
  <c r="FI31" i="2540"/>
  <c r="FH31" i="2540"/>
  <c r="FG31" i="2540"/>
  <c r="FF31" i="2540"/>
  <c r="FE31" i="2540"/>
  <c r="FD31" i="2540"/>
  <c r="FC31" i="2540"/>
  <c r="FB31" i="2540"/>
  <c r="EZ31" i="2540"/>
  <c r="EY31" i="2540"/>
  <c r="EX31" i="2540"/>
  <c r="EW31" i="2540"/>
  <c r="EV31" i="2540"/>
  <c r="EU31" i="2540"/>
  <c r="ET31" i="2540"/>
  <c r="ES31" i="2540"/>
  <c r="ER31" i="2540"/>
  <c r="EQ31" i="2540"/>
  <c r="EP31" i="2540"/>
  <c r="EO31" i="2540"/>
  <c r="EM31" i="2540"/>
  <c r="EL31" i="2540"/>
  <c r="EK31" i="2540"/>
  <c r="EJ31" i="2540"/>
  <c r="EI31" i="2540"/>
  <c r="EH31" i="2540"/>
  <c r="EG31" i="2540"/>
  <c r="EF31" i="2540"/>
  <c r="EE31" i="2540"/>
  <c r="ED31" i="2540"/>
  <c r="EC31" i="2540"/>
  <c r="EB31" i="2540"/>
  <c r="DZ31" i="2540"/>
  <c r="DY31" i="2540"/>
  <c r="DX31" i="2540"/>
  <c r="DW31" i="2540"/>
  <c r="DV31" i="2540"/>
  <c r="DU31" i="2540"/>
  <c r="DT31" i="2540"/>
  <c r="DS31" i="2540"/>
  <c r="DR31" i="2540"/>
  <c r="DQ31" i="2540"/>
  <c r="DP31" i="2540"/>
  <c r="DO31" i="2540"/>
  <c r="DM31" i="2540"/>
  <c r="DL31" i="2540"/>
  <c r="DK31" i="2540"/>
  <c r="DJ31" i="2540"/>
  <c r="DI31" i="2540"/>
  <c r="DH31" i="2540"/>
  <c r="DG31" i="2540"/>
  <c r="DF31" i="2540"/>
  <c r="DE31" i="2540"/>
  <c r="DD31" i="2540"/>
  <c r="DC31" i="2540"/>
  <c r="DB31" i="2540"/>
  <c r="CZ31" i="2540"/>
  <c r="CY31" i="2540"/>
  <c r="CX31" i="2540"/>
  <c r="CW31" i="2540"/>
  <c r="CV31" i="2540"/>
  <c r="CU31" i="2540"/>
  <c r="CT31" i="2540"/>
  <c r="CS31" i="2540"/>
  <c r="CR31" i="2540"/>
  <c r="CQ31" i="2540"/>
  <c r="CP31" i="2540"/>
  <c r="CO31" i="2540"/>
  <c r="CM31" i="2540"/>
  <c r="CL31" i="2540"/>
  <c r="CK31" i="2540"/>
  <c r="CJ31" i="2540"/>
  <c r="CI31" i="2540"/>
  <c r="CH31" i="2540"/>
  <c r="CG31" i="2540"/>
  <c r="CF31" i="2540"/>
  <c r="CE31" i="2540"/>
  <c r="CD31" i="2540"/>
  <c r="CC31" i="2540"/>
  <c r="CB31" i="2540"/>
  <c r="BZ31" i="2540"/>
  <c r="BY31" i="2540"/>
  <c r="BX31" i="2540"/>
  <c r="BW31" i="2540"/>
  <c r="BV31" i="2540"/>
  <c r="BU31" i="2540"/>
  <c r="BT31" i="2540"/>
  <c r="BS31" i="2540"/>
  <c r="BR31" i="2540"/>
  <c r="BQ31" i="2540"/>
  <c r="BP31" i="2540"/>
  <c r="BO31" i="2540"/>
  <c r="BM31" i="2540"/>
  <c r="BL31" i="2540"/>
  <c r="BK31" i="2540"/>
  <c r="BJ31" i="2540"/>
  <c r="BI31" i="2540"/>
  <c r="BH31" i="2540"/>
  <c r="BG31" i="2540"/>
  <c r="BF31" i="2540"/>
  <c r="BE31" i="2540"/>
  <c r="BD31" i="2540"/>
  <c r="BC31" i="2540"/>
  <c r="BB31" i="2540"/>
  <c r="AZ31" i="2540"/>
  <c r="AY31" i="2540"/>
  <c r="AX31" i="2540"/>
  <c r="AW31" i="2540"/>
  <c r="AV31" i="2540"/>
  <c r="AU31" i="2540"/>
  <c r="AT31" i="2540"/>
  <c r="AS31" i="2540"/>
  <c r="AR31" i="2540"/>
  <c r="AQ31" i="2540"/>
  <c r="AP31" i="2540"/>
  <c r="AO31" i="2540"/>
  <c r="AM31" i="2540"/>
  <c r="AL31" i="2540"/>
  <c r="AK31" i="2540"/>
  <c r="AJ31" i="2540"/>
  <c r="AI31" i="2540"/>
  <c r="AH31" i="2540"/>
  <c r="AG31" i="2540"/>
  <c r="AF31" i="2540"/>
  <c r="AE31" i="2540"/>
  <c r="AD31" i="2540"/>
  <c r="AC31" i="2540"/>
  <c r="AB31" i="2540"/>
  <c r="HN29" i="2540"/>
  <c r="HA29" i="2540"/>
  <c r="GN29" i="2540"/>
  <c r="GA29" i="2540"/>
  <c r="FN29" i="2540"/>
  <c r="FA29" i="2540"/>
  <c r="EN29" i="2540"/>
  <c r="EA29" i="2540"/>
  <c r="DN29" i="2540"/>
  <c r="DA29" i="2540"/>
  <c r="CN29" i="2540"/>
  <c r="CA29" i="2540"/>
  <c r="BN29" i="2540"/>
  <c r="BA29" i="2540"/>
  <c r="AN29" i="2540"/>
  <c r="AA29" i="2540"/>
  <c r="N29" i="2540"/>
  <c r="HN28" i="2540"/>
  <c r="HA28" i="2540"/>
  <c r="GN28" i="2540"/>
  <c r="GA28" i="2540"/>
  <c r="FN28" i="2540"/>
  <c r="FA28" i="2540"/>
  <c r="EN28" i="2540"/>
  <c r="EA28" i="2540"/>
  <c r="DN28" i="2540"/>
  <c r="DA28" i="2540"/>
  <c r="CN28" i="2540"/>
  <c r="CA28" i="2540"/>
  <c r="BN28" i="2540"/>
  <c r="BA28" i="2540"/>
  <c r="AN28" i="2540"/>
  <c r="AA28" i="2540"/>
  <c r="N28" i="2540"/>
  <c r="HN27" i="2540"/>
  <c r="HA27" i="2540"/>
  <c r="GN27" i="2540"/>
  <c r="GA27" i="2540"/>
  <c r="FN27" i="2540"/>
  <c r="FA27" i="2540"/>
  <c r="EN27" i="2540"/>
  <c r="EA27" i="2540"/>
  <c r="DN27" i="2540"/>
  <c r="DA27" i="2540"/>
  <c r="CN27" i="2540"/>
  <c r="CA27" i="2540"/>
  <c r="BN27" i="2540"/>
  <c r="BA27" i="2540"/>
  <c r="AN27" i="2540"/>
  <c r="AA27" i="2540"/>
  <c r="N27" i="2540"/>
  <c r="HN26" i="2540"/>
  <c r="HA26" i="2540"/>
  <c r="GN26" i="2540"/>
  <c r="GA26" i="2540"/>
  <c r="FN26" i="2540"/>
  <c r="FA26" i="2540"/>
  <c r="EN26" i="2540"/>
  <c r="EA26" i="2540"/>
  <c r="DN26" i="2540"/>
  <c r="DA26" i="2540"/>
  <c r="CN26" i="2540"/>
  <c r="CA26" i="2540"/>
  <c r="BN26" i="2540"/>
  <c r="BA26" i="2540"/>
  <c r="AN26" i="2540"/>
  <c r="AA26" i="2540"/>
  <c r="N26" i="2540"/>
  <c r="HN25" i="2540"/>
  <c r="HA25" i="2540"/>
  <c r="GN25" i="2540"/>
  <c r="GA25" i="2540"/>
  <c r="FN25" i="2540"/>
  <c r="FA25" i="2540"/>
  <c r="EN25" i="2540"/>
  <c r="EA25" i="2540"/>
  <c r="DN25" i="2540"/>
  <c r="DA25" i="2540"/>
  <c r="CN25" i="2540"/>
  <c r="CA25" i="2540"/>
  <c r="BN25" i="2540"/>
  <c r="BA25" i="2540"/>
  <c r="AG25" i="2540"/>
  <c r="AG7" i="2540" s="1"/>
  <c r="AF25" i="2540"/>
  <c r="AA25" i="2540"/>
  <c r="N25" i="2540"/>
  <c r="HN24" i="2540"/>
  <c r="HA24" i="2540"/>
  <c r="GN24" i="2540"/>
  <c r="GA24" i="2540"/>
  <c r="FN24" i="2540"/>
  <c r="FA24" i="2540"/>
  <c r="EN24" i="2540"/>
  <c r="EA24" i="2540"/>
  <c r="DN24" i="2540"/>
  <c r="DA24" i="2540"/>
  <c r="CN24" i="2540"/>
  <c r="CA24" i="2540"/>
  <c r="BN24" i="2540"/>
  <c r="BA24" i="2540"/>
  <c r="AN24" i="2540"/>
  <c r="AA24" i="2540"/>
  <c r="N24" i="2540"/>
  <c r="HN23" i="2540"/>
  <c r="HA23" i="2540"/>
  <c r="GN23" i="2540"/>
  <c r="GA23" i="2540"/>
  <c r="FN23" i="2540"/>
  <c r="FA23" i="2540"/>
  <c r="EN23" i="2540"/>
  <c r="EA23" i="2540"/>
  <c r="DN23" i="2540"/>
  <c r="DA23" i="2540"/>
  <c r="CN23" i="2540"/>
  <c r="CA23" i="2540"/>
  <c r="BN23" i="2540"/>
  <c r="BA23" i="2540"/>
  <c r="AN23" i="2540"/>
  <c r="AA23" i="2540"/>
  <c r="N23" i="2540"/>
  <c r="HN22" i="2540"/>
  <c r="HA22" i="2540"/>
  <c r="GN22" i="2540"/>
  <c r="GA22" i="2540"/>
  <c r="FN22" i="2540"/>
  <c r="FA22" i="2540"/>
  <c r="EN22" i="2540"/>
  <c r="EA22" i="2540"/>
  <c r="DN22" i="2540"/>
  <c r="DA22" i="2540"/>
  <c r="CN22" i="2540"/>
  <c r="CA22" i="2540"/>
  <c r="BN22" i="2540"/>
  <c r="BA22" i="2540"/>
  <c r="AN22" i="2540"/>
  <c r="AA22" i="2540"/>
  <c r="N22" i="2540"/>
  <c r="HN21" i="2540"/>
  <c r="HA21" i="2540"/>
  <c r="GN21" i="2540"/>
  <c r="GA21" i="2540"/>
  <c r="FN21" i="2540"/>
  <c r="FA21" i="2540"/>
  <c r="EN21" i="2540"/>
  <c r="EA21" i="2540"/>
  <c r="DN21" i="2540"/>
  <c r="DA21" i="2540"/>
  <c r="CN21" i="2540"/>
  <c r="CA21" i="2540"/>
  <c r="BN21" i="2540"/>
  <c r="BA21" i="2540"/>
  <c r="AN21" i="2540"/>
  <c r="AA21" i="2540"/>
  <c r="N21" i="2540"/>
  <c r="HN20" i="2540"/>
  <c r="HA20" i="2540"/>
  <c r="GN20" i="2540"/>
  <c r="GA20" i="2540"/>
  <c r="FN20" i="2540"/>
  <c r="FA20" i="2540"/>
  <c r="EN20" i="2540"/>
  <c r="EA20" i="2540"/>
  <c r="DN20" i="2540"/>
  <c r="DA20" i="2540"/>
  <c r="CN20" i="2540"/>
  <c r="CA20" i="2540"/>
  <c r="BN20" i="2540"/>
  <c r="BA20" i="2540"/>
  <c r="AN20" i="2540"/>
  <c r="AA20" i="2540"/>
  <c r="N20" i="2540"/>
  <c r="HN19" i="2540"/>
  <c r="HA19" i="2540"/>
  <c r="GN19" i="2540"/>
  <c r="GA19" i="2540"/>
  <c r="FN19" i="2540"/>
  <c r="FA19" i="2540"/>
  <c r="EN19" i="2540"/>
  <c r="EA19" i="2540"/>
  <c r="DN19" i="2540"/>
  <c r="DA19" i="2540"/>
  <c r="CN19" i="2540"/>
  <c r="CA19" i="2540"/>
  <c r="BN19" i="2540"/>
  <c r="BA19" i="2540"/>
  <c r="AN19" i="2540"/>
  <c r="AA19" i="2540"/>
  <c r="N19" i="2540"/>
  <c r="HN18" i="2540"/>
  <c r="HA18" i="2540"/>
  <c r="GN18" i="2540"/>
  <c r="GA18" i="2540"/>
  <c r="FN18" i="2540"/>
  <c r="FA18" i="2540"/>
  <c r="EN18" i="2540"/>
  <c r="EA18" i="2540"/>
  <c r="DN18" i="2540"/>
  <c r="DA18" i="2540"/>
  <c r="CN18" i="2540"/>
  <c r="CA18" i="2540"/>
  <c r="BN18" i="2540"/>
  <c r="BA18" i="2540"/>
  <c r="AN18" i="2540"/>
  <c r="AA18" i="2540"/>
  <c r="N18" i="2540"/>
  <c r="HN17" i="2540"/>
  <c r="HA17" i="2540"/>
  <c r="GN17" i="2540"/>
  <c r="GA17" i="2540"/>
  <c r="FN17" i="2540"/>
  <c r="FA17" i="2540"/>
  <c r="EN17" i="2540"/>
  <c r="EA17" i="2540"/>
  <c r="DN17" i="2540"/>
  <c r="DA17" i="2540"/>
  <c r="CN17" i="2540"/>
  <c r="CA17" i="2540"/>
  <c r="BN17" i="2540"/>
  <c r="BA17" i="2540"/>
  <c r="AN17" i="2540"/>
  <c r="AA17" i="2540"/>
  <c r="N17" i="2540"/>
  <c r="HN16" i="2540"/>
  <c r="HA16" i="2540"/>
  <c r="GN16" i="2540"/>
  <c r="GA16" i="2540"/>
  <c r="FN16" i="2540"/>
  <c r="FA16" i="2540"/>
  <c r="EN16" i="2540"/>
  <c r="EA16" i="2540"/>
  <c r="DN16" i="2540"/>
  <c r="DA16" i="2540"/>
  <c r="CN16" i="2540"/>
  <c r="CA16" i="2540"/>
  <c r="BN16" i="2540"/>
  <c r="BA16" i="2540"/>
  <c r="AN16" i="2540"/>
  <c r="AA16" i="2540"/>
  <c r="N16" i="2540"/>
  <c r="HN15" i="2540"/>
  <c r="HA15" i="2540"/>
  <c r="GN15" i="2540"/>
  <c r="GA15" i="2540"/>
  <c r="FN15" i="2540"/>
  <c r="FA15" i="2540"/>
  <c r="EN15" i="2540"/>
  <c r="EA15" i="2540"/>
  <c r="DN15" i="2540"/>
  <c r="DA15" i="2540"/>
  <c r="CN15" i="2540"/>
  <c r="CA15" i="2540"/>
  <c r="BN15" i="2540"/>
  <c r="BA15" i="2540"/>
  <c r="AN15" i="2540"/>
  <c r="AA15" i="2540"/>
  <c r="N15" i="2540"/>
  <c r="HN14" i="2540"/>
  <c r="HA14" i="2540"/>
  <c r="GN14" i="2540"/>
  <c r="GA14" i="2540"/>
  <c r="FN14" i="2540"/>
  <c r="FA14" i="2540"/>
  <c r="EN14" i="2540"/>
  <c r="EA14" i="2540"/>
  <c r="DN14" i="2540"/>
  <c r="DA14" i="2540"/>
  <c r="CN14" i="2540"/>
  <c r="CA14" i="2540"/>
  <c r="BN14" i="2540"/>
  <c r="BA14" i="2540"/>
  <c r="AN14" i="2540"/>
  <c r="AA14" i="2540"/>
  <c r="N14" i="2540"/>
  <c r="HN13" i="2540"/>
  <c r="HA13" i="2540"/>
  <c r="GN13" i="2540"/>
  <c r="GA13" i="2540"/>
  <c r="FN13" i="2540"/>
  <c r="FA13" i="2540"/>
  <c r="EN13" i="2540"/>
  <c r="EA13" i="2540"/>
  <c r="DN13" i="2540"/>
  <c r="DA13" i="2540"/>
  <c r="CN13" i="2540"/>
  <c r="CA13" i="2540"/>
  <c r="BN13" i="2540"/>
  <c r="BA13" i="2540"/>
  <c r="AN13" i="2540"/>
  <c r="AA13" i="2540"/>
  <c r="N13" i="2540"/>
  <c r="HN12" i="2540"/>
  <c r="HA12" i="2540"/>
  <c r="GN12" i="2540"/>
  <c r="GA12" i="2540"/>
  <c r="FN12" i="2540"/>
  <c r="FA12" i="2540"/>
  <c r="EN12" i="2540"/>
  <c r="EA12" i="2540"/>
  <c r="DN12" i="2540"/>
  <c r="DA12" i="2540"/>
  <c r="CN12" i="2540"/>
  <c r="CA12" i="2540"/>
  <c r="BN12" i="2540"/>
  <c r="BA12" i="2540"/>
  <c r="AN12" i="2540"/>
  <c r="AA12" i="2540"/>
  <c r="N12" i="2540"/>
  <c r="HN11" i="2540"/>
  <c r="HA11" i="2540"/>
  <c r="GN11" i="2540"/>
  <c r="GA11" i="2540"/>
  <c r="FN11" i="2540"/>
  <c r="FA11" i="2540"/>
  <c r="EN11" i="2540"/>
  <c r="EA11" i="2540"/>
  <c r="DN11" i="2540"/>
  <c r="DA11" i="2540"/>
  <c r="CN11" i="2540"/>
  <c r="CA11" i="2540"/>
  <c r="BN11" i="2540"/>
  <c r="BA11" i="2540"/>
  <c r="AN11" i="2540"/>
  <c r="AA11" i="2540"/>
  <c r="N11" i="2540"/>
  <c r="HN10" i="2540"/>
  <c r="HA10" i="2540"/>
  <c r="GN10" i="2540"/>
  <c r="GA10" i="2540"/>
  <c r="FN10" i="2540"/>
  <c r="FA10" i="2540"/>
  <c r="EN10" i="2540"/>
  <c r="EA10" i="2540"/>
  <c r="DN10" i="2540"/>
  <c r="DA10" i="2540"/>
  <c r="CN10" i="2540"/>
  <c r="CA10" i="2540"/>
  <c r="BN10" i="2540"/>
  <c r="BA10" i="2540"/>
  <c r="AN10" i="2540"/>
  <c r="AA10" i="2540"/>
  <c r="N10" i="2540"/>
  <c r="HN9" i="2540"/>
  <c r="HA9" i="2540"/>
  <c r="GN9" i="2540"/>
  <c r="GA9" i="2540"/>
  <c r="FN9" i="2540"/>
  <c r="FA9" i="2540"/>
  <c r="EN9" i="2540"/>
  <c r="EA9" i="2540"/>
  <c r="DN9" i="2540"/>
  <c r="DA9" i="2540"/>
  <c r="CN9" i="2540"/>
  <c r="CA9" i="2540"/>
  <c r="BN9" i="2540"/>
  <c r="BA9" i="2540"/>
  <c r="AN9" i="2540"/>
  <c r="AA9" i="2540"/>
  <c r="N9" i="2540"/>
  <c r="HN8" i="2540"/>
  <c r="HA8" i="2540"/>
  <c r="GN8" i="2540"/>
  <c r="GA8" i="2540"/>
  <c r="FN8" i="2540"/>
  <c r="FA8" i="2540"/>
  <c r="EN8" i="2540"/>
  <c r="EA8" i="2540"/>
  <c r="DN8" i="2540"/>
  <c r="HM7" i="2540"/>
  <c r="HL7" i="2540"/>
  <c r="HK7" i="2540"/>
  <c r="HJ7" i="2540"/>
  <c r="HI7" i="2540"/>
  <c r="HH7" i="2540"/>
  <c r="HG7" i="2540"/>
  <c r="HF7" i="2540"/>
  <c r="HE7" i="2540"/>
  <c r="HD7" i="2540"/>
  <c r="HC7" i="2540"/>
  <c r="HB7" i="2540"/>
  <c r="GZ7" i="2540"/>
  <c r="GY7" i="2540"/>
  <c r="GX7" i="2540"/>
  <c r="GW7" i="2540"/>
  <c r="GV7" i="2540"/>
  <c r="GU7" i="2540"/>
  <c r="GT7" i="2540"/>
  <c r="GS7" i="2540"/>
  <c r="GR7" i="2540"/>
  <c r="GQ7" i="2540"/>
  <c r="GP7" i="2540"/>
  <c r="GO7" i="2540"/>
  <c r="GM7" i="2540"/>
  <c r="GL7" i="2540"/>
  <c r="GK7" i="2540"/>
  <c r="GJ7" i="2540"/>
  <c r="GI7" i="2540"/>
  <c r="GH7" i="2540"/>
  <c r="GG7" i="2540"/>
  <c r="GF7" i="2540"/>
  <c r="GE7" i="2540"/>
  <c r="GD7" i="2540"/>
  <c r="GC7" i="2540"/>
  <c r="GB7" i="2540"/>
  <c r="FZ7" i="2540"/>
  <c r="FY7" i="2540"/>
  <c r="FX7" i="2540"/>
  <c r="FW7" i="2540"/>
  <c r="FV7" i="2540"/>
  <c r="FU7" i="2540"/>
  <c r="FT7" i="2540"/>
  <c r="FS7" i="2540"/>
  <c r="FR7" i="2540"/>
  <c r="FQ7" i="2540"/>
  <c r="FP7" i="2540"/>
  <c r="FO7" i="2540"/>
  <c r="FM7" i="2540"/>
  <c r="FL7" i="2540"/>
  <c r="FK7" i="2540"/>
  <c r="FJ7" i="2540"/>
  <c r="FI7" i="2540"/>
  <c r="FH7" i="2540"/>
  <c r="FG7" i="2540"/>
  <c r="FF7" i="2540"/>
  <c r="FE7" i="2540"/>
  <c r="FD7" i="2540"/>
  <c r="FC7" i="2540"/>
  <c r="FB7" i="2540"/>
  <c r="EZ7" i="2540"/>
  <c r="EY7" i="2540"/>
  <c r="EX7" i="2540"/>
  <c r="EW7" i="2540"/>
  <c r="EV7" i="2540"/>
  <c r="EU7" i="2540"/>
  <c r="ET7" i="2540"/>
  <c r="ES7" i="2540"/>
  <c r="ER7" i="2540"/>
  <c r="EQ7" i="2540"/>
  <c r="EP7" i="2540"/>
  <c r="EO7" i="2540"/>
  <c r="EM7" i="2540"/>
  <c r="EL7" i="2540"/>
  <c r="EK7" i="2540"/>
  <c r="EJ7" i="2540"/>
  <c r="EI7" i="2540"/>
  <c r="EH7" i="2540"/>
  <c r="EG7" i="2540"/>
  <c r="EF7" i="2540"/>
  <c r="EE7" i="2540"/>
  <c r="ED7" i="2540"/>
  <c r="EC7" i="2540"/>
  <c r="EB7" i="2540"/>
  <c r="DZ7" i="2540"/>
  <c r="DY7" i="2540"/>
  <c r="DX7" i="2540"/>
  <c r="DW7" i="2540"/>
  <c r="DV7" i="2540"/>
  <c r="DU7" i="2540"/>
  <c r="DT7" i="2540"/>
  <c r="DS7" i="2540"/>
  <c r="DR7" i="2540"/>
  <c r="DQ7" i="2540"/>
  <c r="DP7" i="2540"/>
  <c r="DO7" i="2540"/>
  <c r="DM7" i="2540"/>
  <c r="DL7" i="2540"/>
  <c r="DK7" i="2540"/>
  <c r="DJ7" i="2540"/>
  <c r="DI7" i="2540"/>
  <c r="DH7" i="2540"/>
  <c r="DG7" i="2540"/>
  <c r="DF7" i="2540"/>
  <c r="DE7" i="2540"/>
  <c r="DD7" i="2540"/>
  <c r="DC7" i="2540"/>
  <c r="DB7" i="2540"/>
  <c r="CZ7" i="2540"/>
  <c r="CY7" i="2540"/>
  <c r="CX7" i="2540"/>
  <c r="CW7" i="2540"/>
  <c r="CV7" i="2540"/>
  <c r="CU7" i="2540"/>
  <c r="CT7" i="2540"/>
  <c r="CS7" i="2540"/>
  <c r="CR7" i="2540"/>
  <c r="CQ7" i="2540"/>
  <c r="CP7" i="2540"/>
  <c r="CO7" i="2540"/>
  <c r="CM7" i="2540"/>
  <c r="CL7" i="2540"/>
  <c r="CK7" i="2540"/>
  <c r="CJ7" i="2540"/>
  <c r="CI7" i="2540"/>
  <c r="CH7" i="2540"/>
  <c r="CG7" i="2540"/>
  <c r="CF7" i="2540"/>
  <c r="CE7" i="2540"/>
  <c r="CD7" i="2540"/>
  <c r="CC7" i="2540"/>
  <c r="CB7" i="2540"/>
  <c r="BZ7" i="2540"/>
  <c r="BY7" i="2540"/>
  <c r="BX7" i="2540"/>
  <c r="BW7" i="2540"/>
  <c r="BV7" i="2540"/>
  <c r="BU7" i="2540"/>
  <c r="BT7" i="2540"/>
  <c r="BS7" i="2540"/>
  <c r="BR7" i="2540"/>
  <c r="BQ7" i="2540"/>
  <c r="BP7" i="2540"/>
  <c r="BO7" i="2540"/>
  <c r="BM7" i="2540"/>
  <c r="BL7" i="2540"/>
  <c r="BK7" i="2540"/>
  <c r="BJ7" i="2540"/>
  <c r="BI7" i="2540"/>
  <c r="BH7" i="2540"/>
  <c r="BG7" i="2540"/>
  <c r="BF7" i="2540"/>
  <c r="BE7" i="2540"/>
  <c r="BD7" i="2540"/>
  <c r="BC7" i="2540"/>
  <c r="BB7" i="2540"/>
  <c r="AZ7" i="2540"/>
  <c r="AY7" i="2540"/>
  <c r="AX7" i="2540"/>
  <c r="AW7" i="2540"/>
  <c r="AV7" i="2540"/>
  <c r="AU7" i="2540"/>
  <c r="AT7" i="2540"/>
  <c r="AS7" i="2540"/>
  <c r="AR7" i="2540"/>
  <c r="AQ7" i="2540"/>
  <c r="AP7" i="2540"/>
  <c r="AO7" i="2540"/>
  <c r="AM7" i="2540"/>
  <c r="AL7" i="2540"/>
  <c r="AK7" i="2540"/>
  <c r="AJ7" i="2540"/>
  <c r="AI7" i="2540"/>
  <c r="AH7" i="2540"/>
  <c r="AE7" i="2540"/>
  <c r="AD7" i="2540"/>
  <c r="AC7" i="2540"/>
  <c r="AB7" i="2540"/>
  <c r="Z7" i="2540"/>
  <c r="Y7" i="2540"/>
  <c r="X7" i="2540"/>
  <c r="W7" i="2540"/>
  <c r="V7" i="2540"/>
  <c r="U7" i="2540"/>
  <c r="T7" i="2540"/>
  <c r="S7" i="2540"/>
  <c r="R7" i="2540"/>
  <c r="Q7" i="2540"/>
  <c r="P7" i="2540"/>
  <c r="O7" i="2540"/>
  <c r="M7" i="2540"/>
  <c r="L7" i="2540"/>
  <c r="K7" i="2540"/>
  <c r="J7" i="2540"/>
  <c r="I7" i="2540"/>
  <c r="H7" i="2540"/>
  <c r="G7" i="2540"/>
  <c r="F7" i="2540"/>
  <c r="E7" i="2540"/>
  <c r="D7" i="2540"/>
  <c r="C7" i="2540"/>
  <c r="B7" i="2540"/>
  <c r="HN5" i="2540"/>
  <c r="HA5" i="2540"/>
  <c r="GN5" i="2540"/>
  <c r="GA5" i="2540"/>
  <c r="FN5" i="2540"/>
  <c r="FA5" i="2540"/>
  <c r="EN5" i="2540"/>
  <c r="EA5" i="2540"/>
  <c r="DN5" i="2540"/>
  <c r="DA5" i="2540"/>
  <c r="CN5" i="2540"/>
  <c r="CA5" i="2540"/>
  <c r="BN5" i="2540"/>
  <c r="BA5" i="2540"/>
  <c r="AN5" i="2540"/>
  <c r="AA5" i="2540"/>
  <c r="N5" i="2540"/>
  <c r="HB4" i="2540"/>
  <c r="GO4" i="2540"/>
  <c r="GB4" i="2540"/>
  <c r="FO4" i="2540"/>
  <c r="FB4" i="2540"/>
  <c r="EO4" i="2540"/>
  <c r="EB4" i="2540"/>
  <c r="DO4" i="2540"/>
  <c r="DB4" i="2540"/>
  <c r="CO4" i="2540"/>
  <c r="CB4" i="2540"/>
  <c r="BO4" i="2540"/>
  <c r="BB4" i="2540"/>
  <c r="AO4" i="2540"/>
  <c r="AB4" i="2540"/>
  <c r="O4" i="2540"/>
  <c r="B4" i="2540"/>
  <c r="EM111" i="2539"/>
  <c r="EL111" i="2539"/>
  <c r="EK111" i="2539"/>
  <c r="EJ111" i="2539"/>
  <c r="EI111" i="2539"/>
  <c r="EH111" i="2539"/>
  <c r="EG111" i="2539"/>
  <c r="EF111" i="2539"/>
  <c r="EE111" i="2539"/>
  <c r="ED111" i="2539"/>
  <c r="EC111" i="2539"/>
  <c r="EB111" i="2539"/>
  <c r="DZ111" i="2539"/>
  <c r="DY111" i="2539"/>
  <c r="DX111" i="2539"/>
  <c r="DW111" i="2539"/>
  <c r="DV111" i="2539"/>
  <c r="DU111" i="2539"/>
  <c r="DT111" i="2539"/>
  <c r="DS111" i="2539"/>
  <c r="DR111" i="2539"/>
  <c r="DQ111" i="2539"/>
  <c r="DP111" i="2539"/>
  <c r="DO111" i="2539"/>
  <c r="DM111" i="2539"/>
  <c r="DL111" i="2539"/>
  <c r="DK111" i="2539"/>
  <c r="DJ111" i="2539"/>
  <c r="DI111" i="2539"/>
  <c r="DH111" i="2539"/>
  <c r="DG111" i="2539"/>
  <c r="DF111" i="2539"/>
  <c r="DE111" i="2539"/>
  <c r="DD111" i="2539"/>
  <c r="DC111" i="2539"/>
  <c r="DB111" i="2539"/>
  <c r="CZ111" i="2539"/>
  <c r="CY111" i="2539"/>
  <c r="CX111" i="2539"/>
  <c r="CW111" i="2539"/>
  <c r="CV111" i="2539"/>
  <c r="CU111" i="2539"/>
  <c r="CT111" i="2539"/>
  <c r="CS111" i="2539"/>
  <c r="CR111" i="2539"/>
  <c r="CQ111" i="2539"/>
  <c r="CP111" i="2539"/>
  <c r="CO111" i="2539"/>
  <c r="CM111" i="2539"/>
  <c r="CL111" i="2539"/>
  <c r="CK111" i="2539"/>
  <c r="CJ111" i="2539"/>
  <c r="CI111" i="2539"/>
  <c r="CH111" i="2539"/>
  <c r="CG111" i="2539"/>
  <c r="CF111" i="2539"/>
  <c r="CE111" i="2539"/>
  <c r="CD111" i="2539"/>
  <c r="CC111" i="2539"/>
  <c r="CB111" i="2539"/>
  <c r="BZ111" i="2539"/>
  <c r="BY111" i="2539"/>
  <c r="BX111" i="2539"/>
  <c r="BW111" i="2539"/>
  <c r="BV111" i="2539"/>
  <c r="BU111" i="2539"/>
  <c r="BT111" i="2539"/>
  <c r="BS111" i="2539"/>
  <c r="BR111" i="2539"/>
  <c r="BQ111" i="2539"/>
  <c r="BP111" i="2539"/>
  <c r="BO111" i="2539"/>
  <c r="BM111" i="2539"/>
  <c r="BL111" i="2539"/>
  <c r="BK111" i="2539"/>
  <c r="BJ111" i="2539"/>
  <c r="BI111" i="2539"/>
  <c r="BH111" i="2539"/>
  <c r="BG111" i="2539"/>
  <c r="BF111" i="2539"/>
  <c r="BE111" i="2539"/>
  <c r="BD111" i="2539"/>
  <c r="BC111" i="2539"/>
  <c r="BB111" i="2539"/>
  <c r="EM110" i="2539"/>
  <c r="EL110" i="2539"/>
  <c r="EK110" i="2539"/>
  <c r="EJ110" i="2539"/>
  <c r="EI110" i="2539"/>
  <c r="EH110" i="2539"/>
  <c r="EG110" i="2539"/>
  <c r="EF110" i="2539"/>
  <c r="EE110" i="2539"/>
  <c r="ED110" i="2539"/>
  <c r="EC110" i="2539"/>
  <c r="EB110" i="2539"/>
  <c r="DZ110" i="2539"/>
  <c r="DY110" i="2539"/>
  <c r="DX110" i="2539"/>
  <c r="DW110" i="2539"/>
  <c r="DV110" i="2539"/>
  <c r="DU110" i="2539"/>
  <c r="DT110" i="2539"/>
  <c r="DS110" i="2539"/>
  <c r="DR110" i="2539"/>
  <c r="DQ110" i="2539"/>
  <c r="DP110" i="2539"/>
  <c r="DO110" i="2539"/>
  <c r="DM110" i="2539"/>
  <c r="DL110" i="2539"/>
  <c r="DK110" i="2539"/>
  <c r="DJ110" i="2539"/>
  <c r="DI110" i="2539"/>
  <c r="DH110" i="2539"/>
  <c r="DG110" i="2539"/>
  <c r="DF110" i="2539"/>
  <c r="DE110" i="2539"/>
  <c r="DD110" i="2539"/>
  <c r="DC110" i="2539"/>
  <c r="DB110" i="2539"/>
  <c r="CZ110" i="2539"/>
  <c r="CY110" i="2539"/>
  <c r="CX110" i="2539"/>
  <c r="CW110" i="2539"/>
  <c r="CV110" i="2539"/>
  <c r="CU110" i="2539"/>
  <c r="CT110" i="2539"/>
  <c r="CS110" i="2539"/>
  <c r="CR110" i="2539"/>
  <c r="CQ110" i="2539"/>
  <c r="CP110" i="2539"/>
  <c r="CO110" i="2539"/>
  <c r="CM110" i="2539"/>
  <c r="CL110" i="2539"/>
  <c r="CK110" i="2539"/>
  <c r="CJ110" i="2539"/>
  <c r="CI110" i="2539"/>
  <c r="CH110" i="2539"/>
  <c r="CG110" i="2539"/>
  <c r="CF110" i="2539"/>
  <c r="CE110" i="2539"/>
  <c r="CD110" i="2539"/>
  <c r="CC110" i="2539"/>
  <c r="CB110" i="2539"/>
  <c r="BZ110" i="2539"/>
  <c r="BY110" i="2539"/>
  <c r="BX110" i="2539"/>
  <c r="BW110" i="2539"/>
  <c r="BV110" i="2539"/>
  <c r="BU110" i="2539"/>
  <c r="BT110" i="2539"/>
  <c r="BS110" i="2539"/>
  <c r="BR110" i="2539"/>
  <c r="BQ110" i="2539"/>
  <c r="BP110" i="2539"/>
  <c r="BO110" i="2539"/>
  <c r="EM109" i="2539"/>
  <c r="EL109" i="2539"/>
  <c r="EK109" i="2539"/>
  <c r="EJ109" i="2539"/>
  <c r="EI109" i="2539"/>
  <c r="EH109" i="2539"/>
  <c r="EG109" i="2539"/>
  <c r="EF109" i="2539"/>
  <c r="EE109" i="2539"/>
  <c r="ED109" i="2539"/>
  <c r="EC109" i="2539"/>
  <c r="EB109" i="2539"/>
  <c r="DZ109" i="2539"/>
  <c r="DY109" i="2539"/>
  <c r="DX109" i="2539"/>
  <c r="DW109" i="2539"/>
  <c r="DV109" i="2539"/>
  <c r="DU109" i="2539"/>
  <c r="DT109" i="2539"/>
  <c r="DS109" i="2539"/>
  <c r="DR109" i="2539"/>
  <c r="DQ109" i="2539"/>
  <c r="DP109" i="2539"/>
  <c r="DO109" i="2539"/>
  <c r="DM109" i="2539"/>
  <c r="DL109" i="2539"/>
  <c r="DK109" i="2539"/>
  <c r="DJ109" i="2539"/>
  <c r="DI109" i="2539"/>
  <c r="DH109" i="2539"/>
  <c r="DG109" i="2539"/>
  <c r="DF109" i="2539"/>
  <c r="DE109" i="2539"/>
  <c r="DD109" i="2539"/>
  <c r="DC109" i="2539"/>
  <c r="DB109" i="2539"/>
  <c r="CZ109" i="2539"/>
  <c r="CY109" i="2539"/>
  <c r="CX109" i="2539"/>
  <c r="CW109" i="2539"/>
  <c r="CV109" i="2539"/>
  <c r="CU109" i="2539"/>
  <c r="CT109" i="2539"/>
  <c r="CS109" i="2539"/>
  <c r="CR109" i="2539"/>
  <c r="CQ109" i="2539"/>
  <c r="CP109" i="2539"/>
  <c r="CO109" i="2539"/>
  <c r="CM109" i="2539"/>
  <c r="CL109" i="2539"/>
  <c r="CK109" i="2539"/>
  <c r="CJ109" i="2539"/>
  <c r="CI109" i="2539"/>
  <c r="CH109" i="2539"/>
  <c r="CG109" i="2539"/>
  <c r="CF109" i="2539"/>
  <c r="CE109" i="2539"/>
  <c r="CD109" i="2539"/>
  <c r="CC109" i="2539"/>
  <c r="CB109" i="2539"/>
  <c r="BZ109" i="2539"/>
  <c r="BY109" i="2539"/>
  <c r="BX109" i="2539"/>
  <c r="BW109" i="2539"/>
  <c r="BV109" i="2539"/>
  <c r="BU109" i="2539"/>
  <c r="BT109" i="2539"/>
  <c r="BS109" i="2539"/>
  <c r="BR109" i="2539"/>
  <c r="BQ109" i="2539"/>
  <c r="BP109" i="2539"/>
  <c r="BO109" i="2539"/>
  <c r="EM108" i="2539"/>
  <c r="EL108" i="2539"/>
  <c r="EK108" i="2539"/>
  <c r="EJ108" i="2539"/>
  <c r="EI108" i="2539"/>
  <c r="EH108" i="2539"/>
  <c r="EG108" i="2539"/>
  <c r="EF108" i="2539"/>
  <c r="EE108" i="2539"/>
  <c r="ED108" i="2539"/>
  <c r="EC108" i="2539"/>
  <c r="EB108" i="2539"/>
  <c r="DZ108" i="2539"/>
  <c r="DY108" i="2539"/>
  <c r="DX108" i="2539"/>
  <c r="DW108" i="2539"/>
  <c r="DV108" i="2539"/>
  <c r="DU108" i="2539"/>
  <c r="DT108" i="2539"/>
  <c r="DS108" i="2539"/>
  <c r="DR108" i="2539"/>
  <c r="DQ108" i="2539"/>
  <c r="DP108" i="2539"/>
  <c r="DO108" i="2539"/>
  <c r="DM108" i="2539"/>
  <c r="DL108" i="2539"/>
  <c r="DK108" i="2539"/>
  <c r="DJ108" i="2539"/>
  <c r="DI108" i="2539"/>
  <c r="DH108" i="2539"/>
  <c r="DG108" i="2539"/>
  <c r="DF108" i="2539"/>
  <c r="DE108" i="2539"/>
  <c r="DD108" i="2539"/>
  <c r="DC108" i="2539"/>
  <c r="DB108" i="2539"/>
  <c r="CZ108" i="2539"/>
  <c r="CY108" i="2539"/>
  <c r="CX108" i="2539"/>
  <c r="CW108" i="2539"/>
  <c r="CV108" i="2539"/>
  <c r="CU108" i="2539"/>
  <c r="CT108" i="2539"/>
  <c r="CS108" i="2539"/>
  <c r="CR108" i="2539"/>
  <c r="CQ108" i="2539"/>
  <c r="CP108" i="2539"/>
  <c r="CO108" i="2539"/>
  <c r="CM108" i="2539"/>
  <c r="CL108" i="2539"/>
  <c r="CK108" i="2539"/>
  <c r="CJ108" i="2539"/>
  <c r="CI108" i="2539"/>
  <c r="CH108" i="2539"/>
  <c r="CG108" i="2539"/>
  <c r="CF108" i="2539"/>
  <c r="CE108" i="2539"/>
  <c r="CD108" i="2539"/>
  <c r="CC108" i="2539"/>
  <c r="CB108" i="2539"/>
  <c r="BZ108" i="2539"/>
  <c r="BY108" i="2539"/>
  <c r="BX108" i="2539"/>
  <c r="BW108" i="2539"/>
  <c r="BV108" i="2539"/>
  <c r="BU108" i="2539"/>
  <c r="BT108" i="2539"/>
  <c r="BS108" i="2539"/>
  <c r="BR108" i="2539"/>
  <c r="BQ108" i="2539"/>
  <c r="BP108" i="2539"/>
  <c r="BO108" i="2539"/>
  <c r="EM107" i="2539"/>
  <c r="EL107" i="2539"/>
  <c r="EK107" i="2539"/>
  <c r="EJ107" i="2539"/>
  <c r="EI107" i="2539"/>
  <c r="EH107" i="2539"/>
  <c r="EG107" i="2539"/>
  <c r="EF107" i="2539"/>
  <c r="EE107" i="2539"/>
  <c r="ED107" i="2539"/>
  <c r="EC107" i="2539"/>
  <c r="EB107" i="2539"/>
  <c r="EB106" i="2539" s="1"/>
  <c r="DZ107" i="2539"/>
  <c r="DY107" i="2539"/>
  <c r="DX107" i="2539"/>
  <c r="DW107" i="2539"/>
  <c r="DV107" i="2539"/>
  <c r="DU107" i="2539"/>
  <c r="DT107" i="2539"/>
  <c r="DS107" i="2539"/>
  <c r="DS106" i="2539" s="1"/>
  <c r="DS115" i="2539" s="1"/>
  <c r="DR107" i="2539"/>
  <c r="DQ107" i="2539"/>
  <c r="DP107" i="2539"/>
  <c r="DO107" i="2539"/>
  <c r="DM107" i="2539"/>
  <c r="DL107" i="2539"/>
  <c r="DK107" i="2539"/>
  <c r="DJ107" i="2539"/>
  <c r="DI107" i="2539"/>
  <c r="DH107" i="2539"/>
  <c r="DG107" i="2539"/>
  <c r="DF107" i="2539"/>
  <c r="DF106" i="2539" s="1"/>
  <c r="DF115" i="2539" s="1"/>
  <c r="DE107" i="2539"/>
  <c r="DD107" i="2539"/>
  <c r="DD106" i="2539" s="1"/>
  <c r="DD115" i="2539" s="1"/>
  <c r="DC107" i="2539"/>
  <c r="DB107" i="2539"/>
  <c r="CZ107" i="2539"/>
  <c r="CY107" i="2539"/>
  <c r="CX107" i="2539"/>
  <c r="CW107" i="2539"/>
  <c r="CV107" i="2539"/>
  <c r="CU107" i="2539"/>
  <c r="CU106" i="2539" s="1"/>
  <c r="CU115" i="2539" s="1"/>
  <c r="CT107" i="2539"/>
  <c r="CS107" i="2539"/>
  <c r="CS106" i="2539" s="1"/>
  <c r="CS115" i="2539" s="1"/>
  <c r="CR107" i="2539"/>
  <c r="CQ107" i="2539"/>
  <c r="CP107" i="2539"/>
  <c r="CO107" i="2539"/>
  <c r="CM107" i="2539"/>
  <c r="CL107" i="2539"/>
  <c r="CK107" i="2539"/>
  <c r="CJ107" i="2539"/>
  <c r="CI107" i="2539"/>
  <c r="CH107" i="2539"/>
  <c r="CG107" i="2539"/>
  <c r="CF107" i="2539"/>
  <c r="CF106" i="2539" s="1"/>
  <c r="CF115" i="2539" s="1"/>
  <c r="CE107" i="2539"/>
  <c r="CD107" i="2539"/>
  <c r="CC107" i="2539"/>
  <c r="CB107" i="2539"/>
  <c r="CB106" i="2539" s="1"/>
  <c r="BZ107" i="2539"/>
  <c r="BY107" i="2539"/>
  <c r="BX107" i="2539"/>
  <c r="BW107" i="2539"/>
  <c r="BW106" i="2539" s="1"/>
  <c r="BW115" i="2539" s="1"/>
  <c r="BV107" i="2539"/>
  <c r="BU107" i="2539"/>
  <c r="BT107" i="2539"/>
  <c r="BS107" i="2539"/>
  <c r="BR107" i="2539"/>
  <c r="BQ107" i="2539"/>
  <c r="BP107" i="2539"/>
  <c r="BO107" i="2539"/>
  <c r="BM107" i="2539"/>
  <c r="BL107" i="2539"/>
  <c r="BK107" i="2539"/>
  <c r="BK106" i="2539" s="1"/>
  <c r="BK115" i="2539" s="1"/>
  <c r="BJ107" i="2539"/>
  <c r="BI107" i="2539"/>
  <c r="BH107" i="2539"/>
  <c r="BH106" i="2539" s="1"/>
  <c r="BG107" i="2539"/>
  <c r="BF107" i="2539"/>
  <c r="BF106" i="2539" s="1"/>
  <c r="BF115" i="2539" s="1"/>
  <c r="BE107" i="2539"/>
  <c r="BE106" i="2539" s="1"/>
  <c r="BE115" i="2539" s="1"/>
  <c r="BD107" i="2539"/>
  <c r="BD106" i="2539" s="1"/>
  <c r="BD115" i="2539" s="1"/>
  <c r="BC107" i="2539"/>
  <c r="BC106" i="2539" s="1"/>
  <c r="BC115" i="2539" s="1"/>
  <c r="BB107" i="2539"/>
  <c r="EM105" i="2539"/>
  <c r="EL105" i="2539"/>
  <c r="EK105" i="2539"/>
  <c r="EJ105" i="2539"/>
  <c r="EI105" i="2539"/>
  <c r="EH105" i="2539"/>
  <c r="EG105" i="2539"/>
  <c r="EF105" i="2539"/>
  <c r="EE105" i="2539"/>
  <c r="ED105" i="2539"/>
  <c r="EC105" i="2539"/>
  <c r="EB105" i="2539"/>
  <c r="DZ105" i="2539"/>
  <c r="DY105" i="2539"/>
  <c r="DX105" i="2539"/>
  <c r="DW105" i="2539"/>
  <c r="DV105" i="2539"/>
  <c r="DU105" i="2539"/>
  <c r="DT105" i="2539"/>
  <c r="DS105" i="2539"/>
  <c r="DR105" i="2539"/>
  <c r="DQ105" i="2539"/>
  <c r="DP105" i="2539"/>
  <c r="DO105" i="2539"/>
  <c r="DM105" i="2539"/>
  <c r="DL105" i="2539"/>
  <c r="DK105" i="2539"/>
  <c r="DJ105" i="2539"/>
  <c r="DI105" i="2539"/>
  <c r="DH105" i="2539"/>
  <c r="DG105" i="2539"/>
  <c r="DF105" i="2539"/>
  <c r="DE105" i="2539"/>
  <c r="DD105" i="2539"/>
  <c r="DC105" i="2539"/>
  <c r="DB105" i="2539"/>
  <c r="CZ105" i="2539"/>
  <c r="CY105" i="2539"/>
  <c r="CX105" i="2539"/>
  <c r="CW105" i="2539"/>
  <c r="CV105" i="2539"/>
  <c r="CU105" i="2539"/>
  <c r="CT105" i="2539"/>
  <c r="CS105" i="2539"/>
  <c r="CR105" i="2539"/>
  <c r="CQ105" i="2539"/>
  <c r="CP105" i="2539"/>
  <c r="CO105" i="2539"/>
  <c r="CM105" i="2539"/>
  <c r="CL105" i="2539"/>
  <c r="CK105" i="2539"/>
  <c r="CJ105" i="2539"/>
  <c r="CI105" i="2539"/>
  <c r="CH105" i="2539"/>
  <c r="CG105" i="2539"/>
  <c r="CF105" i="2539"/>
  <c r="CE105" i="2539"/>
  <c r="CD105" i="2539"/>
  <c r="CC105" i="2539"/>
  <c r="CB105" i="2539"/>
  <c r="BZ105" i="2539"/>
  <c r="BY105" i="2539"/>
  <c r="BX105" i="2539"/>
  <c r="BW105" i="2539"/>
  <c r="BV105" i="2539"/>
  <c r="BU105" i="2539"/>
  <c r="BT105" i="2539"/>
  <c r="BS105" i="2539"/>
  <c r="BR105" i="2539"/>
  <c r="BQ105" i="2539"/>
  <c r="BP105" i="2539"/>
  <c r="BO105" i="2539"/>
  <c r="BM105" i="2539"/>
  <c r="BL105" i="2539"/>
  <c r="BK105" i="2539"/>
  <c r="BJ105" i="2539"/>
  <c r="BI105" i="2539"/>
  <c r="BH105" i="2539"/>
  <c r="BG105" i="2539"/>
  <c r="BF105" i="2539"/>
  <c r="BE105" i="2539"/>
  <c r="BD105" i="2539"/>
  <c r="BC105" i="2539"/>
  <c r="BB105" i="2539"/>
  <c r="EM104" i="2539"/>
  <c r="EL104" i="2539"/>
  <c r="EK104" i="2539"/>
  <c r="EJ104" i="2539"/>
  <c r="EI104" i="2539"/>
  <c r="EH104" i="2539"/>
  <c r="EG104" i="2539"/>
  <c r="EF104" i="2539"/>
  <c r="EE104" i="2539"/>
  <c r="ED104" i="2539"/>
  <c r="EC104" i="2539"/>
  <c r="EB104" i="2539"/>
  <c r="DZ104" i="2539"/>
  <c r="DY104" i="2539"/>
  <c r="DX104" i="2539"/>
  <c r="DW104" i="2539"/>
  <c r="DV104" i="2539"/>
  <c r="DU104" i="2539"/>
  <c r="DT104" i="2539"/>
  <c r="DS104" i="2539"/>
  <c r="DR104" i="2539"/>
  <c r="DQ104" i="2539"/>
  <c r="DP104" i="2539"/>
  <c r="DO104" i="2539"/>
  <c r="DM104" i="2539"/>
  <c r="DL104" i="2539"/>
  <c r="DK104" i="2539"/>
  <c r="DJ104" i="2539"/>
  <c r="DI104" i="2539"/>
  <c r="DH104" i="2539"/>
  <c r="DG104" i="2539"/>
  <c r="DF104" i="2539"/>
  <c r="DE104" i="2539"/>
  <c r="DD104" i="2539"/>
  <c r="DC104" i="2539"/>
  <c r="DB104" i="2539"/>
  <c r="CZ104" i="2539"/>
  <c r="CY104" i="2539"/>
  <c r="CX104" i="2539"/>
  <c r="CW104" i="2539"/>
  <c r="CV104" i="2539"/>
  <c r="CU104" i="2539"/>
  <c r="CT104" i="2539"/>
  <c r="CS104" i="2539"/>
  <c r="CR104" i="2539"/>
  <c r="CQ104" i="2539"/>
  <c r="CP104" i="2539"/>
  <c r="CO104" i="2539"/>
  <c r="CM104" i="2539"/>
  <c r="CL104" i="2539"/>
  <c r="CK104" i="2539"/>
  <c r="CJ104" i="2539"/>
  <c r="CI104" i="2539"/>
  <c r="CH104" i="2539"/>
  <c r="CG104" i="2539"/>
  <c r="CF104" i="2539"/>
  <c r="CE104" i="2539"/>
  <c r="CD104" i="2539"/>
  <c r="CC104" i="2539"/>
  <c r="CB104" i="2539"/>
  <c r="BZ104" i="2539"/>
  <c r="BY104" i="2539"/>
  <c r="BX104" i="2539"/>
  <c r="BW104" i="2539"/>
  <c r="BV104" i="2539"/>
  <c r="BU104" i="2539"/>
  <c r="BT104" i="2539"/>
  <c r="BS104" i="2539"/>
  <c r="BR104" i="2539"/>
  <c r="BQ104" i="2539"/>
  <c r="BP104" i="2539"/>
  <c r="BO104" i="2539"/>
  <c r="EM103" i="2539"/>
  <c r="EL103" i="2539"/>
  <c r="EK103" i="2539"/>
  <c r="EJ103" i="2539"/>
  <c r="EI103" i="2539"/>
  <c r="EH103" i="2539"/>
  <c r="EG103" i="2539"/>
  <c r="EF103" i="2539"/>
  <c r="EE103" i="2539"/>
  <c r="ED103" i="2539"/>
  <c r="EC103" i="2539"/>
  <c r="EB103" i="2539"/>
  <c r="DZ103" i="2539"/>
  <c r="DY103" i="2539"/>
  <c r="DX103" i="2539"/>
  <c r="DW103" i="2539"/>
  <c r="DV103" i="2539"/>
  <c r="DU103" i="2539"/>
  <c r="DT103" i="2539"/>
  <c r="DS103" i="2539"/>
  <c r="DR103" i="2539"/>
  <c r="DQ103" i="2539"/>
  <c r="DP103" i="2539"/>
  <c r="DO103" i="2539"/>
  <c r="DM103" i="2539"/>
  <c r="DL103" i="2539"/>
  <c r="DK103" i="2539"/>
  <c r="DJ103" i="2539"/>
  <c r="DI103" i="2539"/>
  <c r="DH103" i="2539"/>
  <c r="DG103" i="2539"/>
  <c r="DF103" i="2539"/>
  <c r="DE103" i="2539"/>
  <c r="DD103" i="2539"/>
  <c r="DC103" i="2539"/>
  <c r="DB103" i="2539"/>
  <c r="CZ103" i="2539"/>
  <c r="CY103" i="2539"/>
  <c r="CX103" i="2539"/>
  <c r="CW103" i="2539"/>
  <c r="CV103" i="2539"/>
  <c r="CU103" i="2539"/>
  <c r="CT103" i="2539"/>
  <c r="CS103" i="2539"/>
  <c r="CR103" i="2539"/>
  <c r="CQ103" i="2539"/>
  <c r="CP103" i="2539"/>
  <c r="CO103" i="2539"/>
  <c r="CM103" i="2539"/>
  <c r="CL103" i="2539"/>
  <c r="CK103" i="2539"/>
  <c r="CJ103" i="2539"/>
  <c r="CI103" i="2539"/>
  <c r="CH103" i="2539"/>
  <c r="CG103" i="2539"/>
  <c r="CF103" i="2539"/>
  <c r="CE103" i="2539"/>
  <c r="CD103" i="2539"/>
  <c r="CC103" i="2539"/>
  <c r="CB103" i="2539"/>
  <c r="BZ103" i="2539"/>
  <c r="BY103" i="2539"/>
  <c r="BX103" i="2539"/>
  <c r="BW103" i="2539"/>
  <c r="BV103" i="2539"/>
  <c r="BU103" i="2539"/>
  <c r="BT103" i="2539"/>
  <c r="BS103" i="2539"/>
  <c r="BR103" i="2539"/>
  <c r="BQ103" i="2539"/>
  <c r="BP103" i="2539"/>
  <c r="BO103" i="2539"/>
  <c r="EM102" i="2539"/>
  <c r="EL102" i="2539"/>
  <c r="EK102" i="2539"/>
  <c r="EJ102" i="2539"/>
  <c r="EI102" i="2539"/>
  <c r="EH102" i="2539"/>
  <c r="EG102" i="2539"/>
  <c r="EF102" i="2539"/>
  <c r="EE102" i="2539"/>
  <c r="ED102" i="2539"/>
  <c r="EC102" i="2539"/>
  <c r="EB102" i="2539"/>
  <c r="DZ102" i="2539"/>
  <c r="DY102" i="2539"/>
  <c r="DX102" i="2539"/>
  <c r="DW102" i="2539"/>
  <c r="DV102" i="2539"/>
  <c r="DU102" i="2539"/>
  <c r="DT102" i="2539"/>
  <c r="DS102" i="2539"/>
  <c r="DR102" i="2539"/>
  <c r="DQ102" i="2539"/>
  <c r="DP102" i="2539"/>
  <c r="DO102" i="2539"/>
  <c r="DM102" i="2539"/>
  <c r="DL102" i="2539"/>
  <c r="DK102" i="2539"/>
  <c r="DJ102" i="2539"/>
  <c r="DI102" i="2539"/>
  <c r="DH102" i="2539"/>
  <c r="DG102" i="2539"/>
  <c r="DF102" i="2539"/>
  <c r="DE102" i="2539"/>
  <c r="DD102" i="2539"/>
  <c r="DC102" i="2539"/>
  <c r="DB102" i="2539"/>
  <c r="CZ102" i="2539"/>
  <c r="CY102" i="2539"/>
  <c r="CX102" i="2539"/>
  <c r="CW102" i="2539"/>
  <c r="CV102" i="2539"/>
  <c r="CU102" i="2539"/>
  <c r="CT102" i="2539"/>
  <c r="CS102" i="2539"/>
  <c r="CR102" i="2539"/>
  <c r="CQ102" i="2539"/>
  <c r="CP102" i="2539"/>
  <c r="CO102" i="2539"/>
  <c r="CM102" i="2539"/>
  <c r="CL102" i="2539"/>
  <c r="CK102" i="2539"/>
  <c r="CJ102" i="2539"/>
  <c r="CI102" i="2539"/>
  <c r="CH102" i="2539"/>
  <c r="CG102" i="2539"/>
  <c r="CF102" i="2539"/>
  <c r="CE102" i="2539"/>
  <c r="CD102" i="2539"/>
  <c r="CC102" i="2539"/>
  <c r="CB102" i="2539"/>
  <c r="BZ102" i="2539"/>
  <c r="BY102" i="2539"/>
  <c r="BX102" i="2539"/>
  <c r="BW102" i="2539"/>
  <c r="BV102" i="2539"/>
  <c r="BU102" i="2539"/>
  <c r="BT102" i="2539"/>
  <c r="BS102" i="2539"/>
  <c r="BR102" i="2539"/>
  <c r="BQ102" i="2539"/>
  <c r="BP102" i="2539"/>
  <c r="BO102" i="2539"/>
  <c r="EM101" i="2539"/>
  <c r="EM100" i="2539" s="1"/>
  <c r="EM114" i="2539" s="1"/>
  <c r="EL101" i="2539"/>
  <c r="EK101" i="2539"/>
  <c r="EJ101" i="2539"/>
  <c r="EI101" i="2539"/>
  <c r="EH101" i="2539"/>
  <c r="EG101" i="2539"/>
  <c r="EF101" i="2539"/>
  <c r="EE101" i="2539"/>
  <c r="EE100" i="2539" s="1"/>
  <c r="EE114" i="2539" s="1"/>
  <c r="ED101" i="2539"/>
  <c r="ED100" i="2539" s="1"/>
  <c r="ED114" i="2539" s="1"/>
  <c r="EC101" i="2539"/>
  <c r="EB101" i="2539"/>
  <c r="DZ101" i="2539"/>
  <c r="DZ100" i="2539" s="1"/>
  <c r="DZ114" i="2539" s="1"/>
  <c r="DY101" i="2539"/>
  <c r="DY100" i="2539" s="1"/>
  <c r="DY114" i="2539" s="1"/>
  <c r="DX101" i="2539"/>
  <c r="DW101" i="2539"/>
  <c r="DV101" i="2539"/>
  <c r="DU101" i="2539"/>
  <c r="DT101" i="2539"/>
  <c r="DS101" i="2539"/>
  <c r="DR101" i="2539"/>
  <c r="DR100" i="2539" s="1"/>
  <c r="DR114" i="2539" s="1"/>
  <c r="DQ101" i="2539"/>
  <c r="DP101" i="2539"/>
  <c r="DP100" i="2539" s="1"/>
  <c r="DP114" i="2539" s="1"/>
  <c r="DO101" i="2539"/>
  <c r="DO100" i="2539" s="1"/>
  <c r="DO114" i="2539" s="1"/>
  <c r="DM101" i="2539"/>
  <c r="DM100" i="2539" s="1"/>
  <c r="DM114" i="2539" s="1"/>
  <c r="DL101" i="2539"/>
  <c r="DK101" i="2539"/>
  <c r="DJ101" i="2539"/>
  <c r="DI101" i="2539"/>
  <c r="DH101" i="2539"/>
  <c r="DG101" i="2539"/>
  <c r="DF101" i="2539"/>
  <c r="DE101" i="2539"/>
  <c r="DE100" i="2539" s="1"/>
  <c r="DE114" i="2539" s="1"/>
  <c r="DD101" i="2539"/>
  <c r="DC101" i="2539"/>
  <c r="DC100" i="2539" s="1"/>
  <c r="DC114" i="2539" s="1"/>
  <c r="DB101" i="2539"/>
  <c r="DB100" i="2539" s="1"/>
  <c r="DB114" i="2539" s="1"/>
  <c r="CZ101" i="2539"/>
  <c r="CZ100" i="2539" s="1"/>
  <c r="CZ114" i="2539" s="1"/>
  <c r="CY101" i="2539"/>
  <c r="CX101" i="2539"/>
  <c r="CW101" i="2539"/>
  <c r="CV101" i="2539"/>
  <c r="CU101" i="2539"/>
  <c r="CT101" i="2539"/>
  <c r="CS101" i="2539"/>
  <c r="CS100" i="2539" s="1"/>
  <c r="CS114" i="2539" s="1"/>
  <c r="CR101" i="2539"/>
  <c r="CQ101" i="2539"/>
  <c r="CQ100" i="2539" s="1"/>
  <c r="CQ114" i="2539" s="1"/>
  <c r="CP101" i="2539"/>
  <c r="CP100" i="2539" s="1"/>
  <c r="CP114" i="2539" s="1"/>
  <c r="CO101" i="2539"/>
  <c r="CO100" i="2539" s="1"/>
  <c r="CM101" i="2539"/>
  <c r="CM100" i="2539" s="1"/>
  <c r="CM114" i="2539" s="1"/>
  <c r="CL101" i="2539"/>
  <c r="CK101" i="2539"/>
  <c r="CJ101" i="2539"/>
  <c r="CI101" i="2539"/>
  <c r="CH101" i="2539"/>
  <c r="CG101" i="2539"/>
  <c r="CF101" i="2539"/>
  <c r="CE101" i="2539"/>
  <c r="CE100" i="2539" s="1"/>
  <c r="CE114" i="2539" s="1"/>
  <c r="CD101" i="2539"/>
  <c r="CD100" i="2539" s="1"/>
  <c r="CD114" i="2539" s="1"/>
  <c r="CC101" i="2539"/>
  <c r="CC100" i="2539" s="1"/>
  <c r="CC114" i="2539" s="1"/>
  <c r="CB101" i="2539"/>
  <c r="BZ101" i="2539"/>
  <c r="BZ100" i="2539" s="1"/>
  <c r="BZ114" i="2539" s="1"/>
  <c r="BY101" i="2539"/>
  <c r="BX101" i="2539"/>
  <c r="BW101" i="2539"/>
  <c r="BW100" i="2539" s="1"/>
  <c r="BW114" i="2539" s="1"/>
  <c r="BV101" i="2539"/>
  <c r="BU101" i="2539"/>
  <c r="BT101" i="2539"/>
  <c r="BS101" i="2539"/>
  <c r="BS100" i="2539" s="1"/>
  <c r="BS114" i="2539" s="1"/>
  <c r="BR101" i="2539"/>
  <c r="BR100" i="2539" s="1"/>
  <c r="BR114" i="2539" s="1"/>
  <c r="BQ101" i="2539"/>
  <c r="BQ100" i="2539" s="1"/>
  <c r="BQ114" i="2539" s="1"/>
  <c r="BP101" i="2539"/>
  <c r="BO101" i="2539"/>
  <c r="BM101" i="2539"/>
  <c r="BM100" i="2539" s="1"/>
  <c r="BM114" i="2539" s="1"/>
  <c r="BL101" i="2539"/>
  <c r="BK101" i="2539"/>
  <c r="BJ101" i="2539"/>
  <c r="BI101" i="2539"/>
  <c r="BI100" i="2539" s="1"/>
  <c r="BI114" i="2539" s="1"/>
  <c r="BH101" i="2539"/>
  <c r="BH100" i="2539" s="1"/>
  <c r="BH114" i="2539" s="1"/>
  <c r="BG101" i="2539"/>
  <c r="BG100" i="2539" s="1"/>
  <c r="BG114" i="2539" s="1"/>
  <c r="BF101" i="2539"/>
  <c r="BE101" i="2539"/>
  <c r="BE100" i="2539" s="1"/>
  <c r="BE114" i="2539" s="1"/>
  <c r="BD101" i="2539"/>
  <c r="BD100" i="2539" s="1"/>
  <c r="BD114" i="2539" s="1"/>
  <c r="BC101" i="2539"/>
  <c r="BC100" i="2539" s="1"/>
  <c r="BC114" i="2539" s="1"/>
  <c r="BB101" i="2539"/>
  <c r="BB100" i="2539" s="1"/>
  <c r="BZ99" i="2539"/>
  <c r="BY99" i="2539"/>
  <c r="BX99" i="2539"/>
  <c r="BW99" i="2539"/>
  <c r="BV99" i="2539"/>
  <c r="BU99" i="2539"/>
  <c r="BT99" i="2539"/>
  <c r="BS99" i="2539"/>
  <c r="BR99" i="2539"/>
  <c r="BQ99" i="2539"/>
  <c r="BP99" i="2539"/>
  <c r="BO99" i="2539"/>
  <c r="BM99" i="2539"/>
  <c r="BL99" i="2539"/>
  <c r="BK99" i="2539"/>
  <c r="BJ99" i="2539"/>
  <c r="BI99" i="2539"/>
  <c r="BH99" i="2539"/>
  <c r="BG99" i="2539"/>
  <c r="BF99" i="2539"/>
  <c r="BE99" i="2539"/>
  <c r="BD99" i="2539"/>
  <c r="BC99" i="2539"/>
  <c r="BB99" i="2539"/>
  <c r="EM98" i="2539"/>
  <c r="EL98" i="2539"/>
  <c r="EK98" i="2539"/>
  <c r="EJ98" i="2539"/>
  <c r="EI98" i="2539"/>
  <c r="EH98" i="2539"/>
  <c r="EG98" i="2539"/>
  <c r="EF98" i="2539"/>
  <c r="EE98" i="2539"/>
  <c r="ED98" i="2539"/>
  <c r="EC98" i="2539"/>
  <c r="EB98" i="2539"/>
  <c r="BZ95" i="2539"/>
  <c r="BY95" i="2539"/>
  <c r="BX95" i="2539"/>
  <c r="BW95" i="2539"/>
  <c r="BV95" i="2539"/>
  <c r="BU95" i="2539"/>
  <c r="BT95" i="2539"/>
  <c r="BS95" i="2539"/>
  <c r="BR95" i="2539"/>
  <c r="BQ95" i="2539"/>
  <c r="BP95" i="2539"/>
  <c r="BO95" i="2539"/>
  <c r="BM95" i="2539"/>
  <c r="BM94" i="2539" s="1"/>
  <c r="BL95" i="2539"/>
  <c r="BL94" i="2539" s="1"/>
  <c r="BL113" i="2539" s="1"/>
  <c r="BK95" i="2539"/>
  <c r="BK94" i="2539" s="1"/>
  <c r="BJ95" i="2539"/>
  <c r="BI95" i="2539"/>
  <c r="BI94" i="2539" s="1"/>
  <c r="BH95" i="2539"/>
  <c r="BH94" i="2539" s="1"/>
  <c r="BH113" i="2539" s="1"/>
  <c r="BG95" i="2539"/>
  <c r="BF95" i="2539"/>
  <c r="BE95" i="2539"/>
  <c r="BE94" i="2539" s="1"/>
  <c r="BD95" i="2539"/>
  <c r="BC95" i="2539"/>
  <c r="BC94" i="2539" s="1"/>
  <c r="BB95" i="2539"/>
  <c r="BB94" i="2539" s="1"/>
  <c r="HM92" i="2539"/>
  <c r="HM111" i="2539" s="1"/>
  <c r="HL92" i="2539"/>
  <c r="HL111" i="2539" s="1"/>
  <c r="HK92" i="2539"/>
  <c r="HK111" i="2539" s="1"/>
  <c r="HJ92" i="2539"/>
  <c r="HJ111" i="2539" s="1"/>
  <c r="HI92" i="2539"/>
  <c r="HI111" i="2539" s="1"/>
  <c r="HH92" i="2539"/>
  <c r="HH111" i="2539" s="1"/>
  <c r="HG92" i="2539"/>
  <c r="HG111" i="2539" s="1"/>
  <c r="HF92" i="2539"/>
  <c r="HF111" i="2539" s="1"/>
  <c r="HE92" i="2539"/>
  <c r="HE111" i="2539" s="1"/>
  <c r="HD92" i="2539"/>
  <c r="HD111" i="2539" s="1"/>
  <c r="HC92" i="2539"/>
  <c r="HC111" i="2539" s="1"/>
  <c r="HB92" i="2539"/>
  <c r="HB111" i="2539" s="1"/>
  <c r="GZ92" i="2539"/>
  <c r="GZ111" i="2539" s="1"/>
  <c r="GY92" i="2539"/>
  <c r="GY111" i="2539" s="1"/>
  <c r="GX92" i="2539"/>
  <c r="GX111" i="2539" s="1"/>
  <c r="GW92" i="2539"/>
  <c r="GW111" i="2539" s="1"/>
  <c r="GV92" i="2539"/>
  <c r="GV111" i="2539" s="1"/>
  <c r="GU92" i="2539"/>
  <c r="GU111" i="2539" s="1"/>
  <c r="GT92" i="2539"/>
  <c r="GT111" i="2539" s="1"/>
  <c r="GS92" i="2539"/>
  <c r="GS111" i="2539" s="1"/>
  <c r="GR92" i="2539"/>
  <c r="GR111" i="2539" s="1"/>
  <c r="GM92" i="2539"/>
  <c r="GM111" i="2539" s="1"/>
  <c r="GL92" i="2539"/>
  <c r="GL111" i="2539" s="1"/>
  <c r="GK92" i="2539"/>
  <c r="GK111" i="2539" s="1"/>
  <c r="GJ92" i="2539"/>
  <c r="GJ111" i="2539" s="1"/>
  <c r="GI92" i="2539"/>
  <c r="GI111" i="2539" s="1"/>
  <c r="GH92" i="2539"/>
  <c r="GH111" i="2539" s="1"/>
  <c r="GG92" i="2539"/>
  <c r="GG111" i="2539" s="1"/>
  <c r="GF92" i="2539"/>
  <c r="GF111" i="2539" s="1"/>
  <c r="GE92" i="2539"/>
  <c r="GE111" i="2539" s="1"/>
  <c r="GD92" i="2539"/>
  <c r="GD111" i="2539" s="1"/>
  <c r="GC92" i="2539"/>
  <c r="GC111" i="2539" s="1"/>
  <c r="GB92" i="2539"/>
  <c r="GB111" i="2539" s="1"/>
  <c r="FZ92" i="2539"/>
  <c r="FZ111" i="2539" s="1"/>
  <c r="FY92" i="2539"/>
  <c r="FY111" i="2539" s="1"/>
  <c r="FX92" i="2539"/>
  <c r="FX111" i="2539" s="1"/>
  <c r="FW92" i="2539"/>
  <c r="FW111" i="2539" s="1"/>
  <c r="FV92" i="2539"/>
  <c r="FV111" i="2539" s="1"/>
  <c r="FU92" i="2539"/>
  <c r="FU111" i="2539" s="1"/>
  <c r="FT92" i="2539"/>
  <c r="FT111" i="2539" s="1"/>
  <c r="FS92" i="2539"/>
  <c r="FS111" i="2539" s="1"/>
  <c r="FR92" i="2539"/>
  <c r="FR111" i="2539" s="1"/>
  <c r="FQ92" i="2539"/>
  <c r="FQ111" i="2539" s="1"/>
  <c r="FP92" i="2539"/>
  <c r="FP111" i="2539" s="1"/>
  <c r="FO92" i="2539"/>
  <c r="FO111" i="2539" s="1"/>
  <c r="FM92" i="2539"/>
  <c r="FM111" i="2539" s="1"/>
  <c r="FL92" i="2539"/>
  <c r="FL111" i="2539" s="1"/>
  <c r="FK92" i="2539"/>
  <c r="FK111" i="2539" s="1"/>
  <c r="FJ92" i="2539"/>
  <c r="FJ111" i="2539" s="1"/>
  <c r="FI92" i="2539"/>
  <c r="FI111" i="2539" s="1"/>
  <c r="FH92" i="2539"/>
  <c r="FH111" i="2539" s="1"/>
  <c r="FG92" i="2539"/>
  <c r="FG111" i="2539" s="1"/>
  <c r="FF92" i="2539"/>
  <c r="FF111" i="2539" s="1"/>
  <c r="FE92" i="2539"/>
  <c r="FE111" i="2539" s="1"/>
  <c r="FD92" i="2539"/>
  <c r="FD111" i="2539" s="1"/>
  <c r="FC92" i="2539"/>
  <c r="FC111" i="2539" s="1"/>
  <c r="FB92" i="2539"/>
  <c r="FB111" i="2539" s="1"/>
  <c r="EZ92" i="2539"/>
  <c r="EZ111" i="2539" s="1"/>
  <c r="EY92" i="2539"/>
  <c r="EY111" i="2539" s="1"/>
  <c r="EX92" i="2539"/>
  <c r="EX111" i="2539" s="1"/>
  <c r="EW92" i="2539"/>
  <c r="EW111" i="2539" s="1"/>
  <c r="EV92" i="2539"/>
  <c r="EV111" i="2539" s="1"/>
  <c r="EU92" i="2539"/>
  <c r="EU111" i="2539" s="1"/>
  <c r="ET92" i="2539"/>
  <c r="ET111" i="2539" s="1"/>
  <c r="ES92" i="2539"/>
  <c r="ES111" i="2539" s="1"/>
  <c r="ER92" i="2539"/>
  <c r="ER111" i="2539" s="1"/>
  <c r="EQ92" i="2539"/>
  <c r="EQ111" i="2539" s="1"/>
  <c r="EP92" i="2539"/>
  <c r="EP111" i="2539" s="1"/>
  <c r="EO92" i="2539"/>
  <c r="EO111" i="2539" s="1"/>
  <c r="EN92" i="2539"/>
  <c r="EA92" i="2539"/>
  <c r="DN92" i="2539"/>
  <c r="DA92" i="2539"/>
  <c r="CN92" i="2539"/>
  <c r="CA92" i="2539"/>
  <c r="BN92" i="2539"/>
  <c r="HM91" i="2539"/>
  <c r="HM110" i="2539" s="1"/>
  <c r="HL91" i="2539"/>
  <c r="HL110" i="2539" s="1"/>
  <c r="HK91" i="2539"/>
  <c r="HK110" i="2539" s="1"/>
  <c r="HJ91" i="2539"/>
  <c r="HJ110" i="2539" s="1"/>
  <c r="HI91" i="2539"/>
  <c r="HI110" i="2539" s="1"/>
  <c r="HH91" i="2539"/>
  <c r="HH110" i="2539" s="1"/>
  <c r="HG91" i="2539"/>
  <c r="HG110" i="2539" s="1"/>
  <c r="HF91" i="2539"/>
  <c r="HF110" i="2539" s="1"/>
  <c r="HE91" i="2539"/>
  <c r="HE110" i="2539" s="1"/>
  <c r="HD91" i="2539"/>
  <c r="HD110" i="2539" s="1"/>
  <c r="HC91" i="2539"/>
  <c r="HC110" i="2539" s="1"/>
  <c r="HB91" i="2539"/>
  <c r="HB110" i="2539" s="1"/>
  <c r="GZ91" i="2539"/>
  <c r="GZ110" i="2539" s="1"/>
  <c r="GY91" i="2539"/>
  <c r="GY110" i="2539" s="1"/>
  <c r="GX91" i="2539"/>
  <c r="GX110" i="2539" s="1"/>
  <c r="GW91" i="2539"/>
  <c r="GW110" i="2539" s="1"/>
  <c r="GV91" i="2539"/>
  <c r="GV110" i="2539" s="1"/>
  <c r="GU91" i="2539"/>
  <c r="GU110" i="2539" s="1"/>
  <c r="GT91" i="2539"/>
  <c r="GT110" i="2539" s="1"/>
  <c r="GS91" i="2539"/>
  <c r="GS110" i="2539" s="1"/>
  <c r="GR91" i="2539"/>
  <c r="GR110" i="2539" s="1"/>
  <c r="GQ91" i="2539"/>
  <c r="GQ110" i="2539" s="1"/>
  <c r="GP91" i="2539"/>
  <c r="GP110" i="2539" s="1"/>
  <c r="GM91" i="2539"/>
  <c r="GM110" i="2539" s="1"/>
  <c r="GL91" i="2539"/>
  <c r="GL110" i="2539" s="1"/>
  <c r="GK91" i="2539"/>
  <c r="GK110" i="2539" s="1"/>
  <c r="GJ91" i="2539"/>
  <c r="GJ110" i="2539" s="1"/>
  <c r="GI91" i="2539"/>
  <c r="GH91" i="2539"/>
  <c r="GH110" i="2539" s="1"/>
  <c r="GG91" i="2539"/>
  <c r="GG110" i="2539" s="1"/>
  <c r="GF91" i="2539"/>
  <c r="GF110" i="2539" s="1"/>
  <c r="GE91" i="2539"/>
  <c r="GE110" i="2539" s="1"/>
  <c r="GD91" i="2539"/>
  <c r="GD110" i="2539" s="1"/>
  <c r="GC91" i="2539"/>
  <c r="GC110" i="2539" s="1"/>
  <c r="GB91" i="2539"/>
  <c r="GB110" i="2539" s="1"/>
  <c r="FZ91" i="2539"/>
  <c r="FZ110" i="2539" s="1"/>
  <c r="FY91" i="2539"/>
  <c r="FY110" i="2539" s="1"/>
  <c r="FX91" i="2539"/>
  <c r="FX110" i="2539" s="1"/>
  <c r="FW91" i="2539"/>
  <c r="FW110" i="2539" s="1"/>
  <c r="FV91" i="2539"/>
  <c r="FV110" i="2539" s="1"/>
  <c r="FU91" i="2539"/>
  <c r="FU110" i="2539" s="1"/>
  <c r="FT91" i="2539"/>
  <c r="FT110" i="2539" s="1"/>
  <c r="FS91" i="2539"/>
  <c r="FS110" i="2539" s="1"/>
  <c r="FR91" i="2539"/>
  <c r="FR110" i="2539" s="1"/>
  <c r="FQ91" i="2539"/>
  <c r="FQ110" i="2539" s="1"/>
  <c r="FP91" i="2539"/>
  <c r="FP110" i="2539" s="1"/>
  <c r="FO91" i="2539"/>
  <c r="FO110" i="2539" s="1"/>
  <c r="FM91" i="2539"/>
  <c r="FM110" i="2539" s="1"/>
  <c r="FL91" i="2539"/>
  <c r="FL110" i="2539" s="1"/>
  <c r="FK91" i="2539"/>
  <c r="FK110" i="2539" s="1"/>
  <c r="FJ91" i="2539"/>
  <c r="FJ110" i="2539" s="1"/>
  <c r="FI91" i="2539"/>
  <c r="FI110" i="2539" s="1"/>
  <c r="FH91" i="2539"/>
  <c r="FH110" i="2539" s="1"/>
  <c r="FG91" i="2539"/>
  <c r="FG110" i="2539" s="1"/>
  <c r="FF91" i="2539"/>
  <c r="FF110" i="2539" s="1"/>
  <c r="FE91" i="2539"/>
  <c r="FE110" i="2539" s="1"/>
  <c r="FD91" i="2539"/>
  <c r="FD110" i="2539" s="1"/>
  <c r="FC91" i="2539"/>
  <c r="FC110" i="2539" s="1"/>
  <c r="FB91" i="2539"/>
  <c r="FB110" i="2539" s="1"/>
  <c r="EZ91" i="2539"/>
  <c r="EZ110" i="2539" s="1"/>
  <c r="EY91" i="2539"/>
  <c r="EY110" i="2539" s="1"/>
  <c r="EX91" i="2539"/>
  <c r="EX110" i="2539" s="1"/>
  <c r="EW91" i="2539"/>
  <c r="EW110" i="2539" s="1"/>
  <c r="EV91" i="2539"/>
  <c r="EV110" i="2539" s="1"/>
  <c r="EU91" i="2539"/>
  <c r="EU110" i="2539" s="1"/>
  <c r="ET91" i="2539"/>
  <c r="ET110" i="2539" s="1"/>
  <c r="ES91" i="2539"/>
  <c r="ES110" i="2539" s="1"/>
  <c r="ER91" i="2539"/>
  <c r="ER110" i="2539" s="1"/>
  <c r="EQ91" i="2539"/>
  <c r="EQ110" i="2539" s="1"/>
  <c r="EP91" i="2539"/>
  <c r="EP110" i="2539" s="1"/>
  <c r="EO91" i="2539"/>
  <c r="EO110" i="2539" s="1"/>
  <c r="EN91" i="2539"/>
  <c r="EA91" i="2539"/>
  <c r="DN91" i="2539"/>
  <c r="DA91" i="2539"/>
  <c r="CN91" i="2539"/>
  <c r="CA91" i="2539"/>
  <c r="HM90" i="2539"/>
  <c r="HM109" i="2539" s="1"/>
  <c r="HL90" i="2539"/>
  <c r="HL109" i="2539" s="1"/>
  <c r="HK90" i="2539"/>
  <c r="HK109" i="2539" s="1"/>
  <c r="HJ90" i="2539"/>
  <c r="HJ109" i="2539" s="1"/>
  <c r="HI90" i="2539"/>
  <c r="HI109" i="2539" s="1"/>
  <c r="HH90" i="2539"/>
  <c r="HH109" i="2539" s="1"/>
  <c r="HG90" i="2539"/>
  <c r="HG109" i="2539" s="1"/>
  <c r="HF90" i="2539"/>
  <c r="HF109" i="2539" s="1"/>
  <c r="HE90" i="2539"/>
  <c r="HE109" i="2539" s="1"/>
  <c r="HD90" i="2539"/>
  <c r="HD109" i="2539" s="1"/>
  <c r="HC90" i="2539"/>
  <c r="HC109" i="2539" s="1"/>
  <c r="HB90" i="2539"/>
  <c r="GZ90" i="2539"/>
  <c r="GZ109" i="2539" s="1"/>
  <c r="GY90" i="2539"/>
  <c r="GY109" i="2539" s="1"/>
  <c r="GX90" i="2539"/>
  <c r="GX109" i="2539" s="1"/>
  <c r="GW90" i="2539"/>
  <c r="GW109" i="2539" s="1"/>
  <c r="GV90" i="2539"/>
  <c r="GV109" i="2539" s="1"/>
  <c r="GU90" i="2539"/>
  <c r="GU109" i="2539" s="1"/>
  <c r="GT90" i="2539"/>
  <c r="GT109" i="2539" s="1"/>
  <c r="GS90" i="2539"/>
  <c r="GS109" i="2539" s="1"/>
  <c r="GR90" i="2539"/>
  <c r="GR109" i="2539" s="1"/>
  <c r="GQ90" i="2539"/>
  <c r="GQ109" i="2539" s="1"/>
  <c r="GP90" i="2539"/>
  <c r="GM90" i="2539"/>
  <c r="GM109" i="2539" s="1"/>
  <c r="GL90" i="2539"/>
  <c r="GL109" i="2539" s="1"/>
  <c r="GK90" i="2539"/>
  <c r="GK109" i="2539" s="1"/>
  <c r="GJ90" i="2539"/>
  <c r="GJ109" i="2539" s="1"/>
  <c r="GI90" i="2539"/>
  <c r="GI109" i="2539" s="1"/>
  <c r="GH90" i="2539"/>
  <c r="GH109" i="2539" s="1"/>
  <c r="GG90" i="2539"/>
  <c r="GG109" i="2539" s="1"/>
  <c r="GF90" i="2539"/>
  <c r="GF109" i="2539" s="1"/>
  <c r="GE90" i="2539"/>
  <c r="GE109" i="2539" s="1"/>
  <c r="GD90" i="2539"/>
  <c r="GC90" i="2539"/>
  <c r="GC109" i="2539" s="1"/>
  <c r="GB90" i="2539"/>
  <c r="GB109" i="2539" s="1"/>
  <c r="FZ90" i="2539"/>
  <c r="FZ109" i="2539" s="1"/>
  <c r="FY90" i="2539"/>
  <c r="FY109" i="2539" s="1"/>
  <c r="FX90" i="2539"/>
  <c r="FX109" i="2539" s="1"/>
  <c r="FW90" i="2539"/>
  <c r="FW109" i="2539" s="1"/>
  <c r="FV90" i="2539"/>
  <c r="FV109" i="2539" s="1"/>
  <c r="FU90" i="2539"/>
  <c r="FU109" i="2539" s="1"/>
  <c r="FT90" i="2539"/>
  <c r="FT109" i="2539" s="1"/>
  <c r="FS90" i="2539"/>
  <c r="FS109" i="2539" s="1"/>
  <c r="FR90" i="2539"/>
  <c r="FQ90" i="2539"/>
  <c r="FQ109" i="2539" s="1"/>
  <c r="FP90" i="2539"/>
  <c r="FP109" i="2539" s="1"/>
  <c r="FO90" i="2539"/>
  <c r="FO109" i="2539" s="1"/>
  <c r="FM90" i="2539"/>
  <c r="FM109" i="2539" s="1"/>
  <c r="FL90" i="2539"/>
  <c r="FL109" i="2539" s="1"/>
  <c r="FK90" i="2539"/>
  <c r="FK109" i="2539" s="1"/>
  <c r="FJ90" i="2539"/>
  <c r="FJ109" i="2539" s="1"/>
  <c r="FI90" i="2539"/>
  <c r="FI109" i="2539" s="1"/>
  <c r="FH90" i="2539"/>
  <c r="FH109" i="2539" s="1"/>
  <c r="FG90" i="2539"/>
  <c r="FG109" i="2539" s="1"/>
  <c r="FF90" i="2539"/>
  <c r="FE90" i="2539"/>
  <c r="FE109" i="2539" s="1"/>
  <c r="FD90" i="2539"/>
  <c r="FD109" i="2539" s="1"/>
  <c r="FC90" i="2539"/>
  <c r="FC109" i="2539" s="1"/>
  <c r="FB90" i="2539"/>
  <c r="EZ90" i="2539"/>
  <c r="EZ109" i="2539" s="1"/>
  <c r="EY90" i="2539"/>
  <c r="EY109" i="2539" s="1"/>
  <c r="EX90" i="2539"/>
  <c r="EX109" i="2539" s="1"/>
  <c r="EW90" i="2539"/>
  <c r="EW109" i="2539" s="1"/>
  <c r="EV90" i="2539"/>
  <c r="EV109" i="2539" s="1"/>
  <c r="EU90" i="2539"/>
  <c r="EU109" i="2539" s="1"/>
  <c r="ET90" i="2539"/>
  <c r="ES90" i="2539"/>
  <c r="ES109" i="2539" s="1"/>
  <c r="ER90" i="2539"/>
  <c r="ER109" i="2539" s="1"/>
  <c r="EQ90" i="2539"/>
  <c r="EQ109" i="2539" s="1"/>
  <c r="EP90" i="2539"/>
  <c r="EP109" i="2539" s="1"/>
  <c r="EO90" i="2539"/>
  <c r="EO109" i="2539" s="1"/>
  <c r="EN90" i="2539"/>
  <c r="EA90" i="2539"/>
  <c r="DN90" i="2539"/>
  <c r="DA90" i="2539"/>
  <c r="CN90" i="2539"/>
  <c r="CA90" i="2539"/>
  <c r="HM89" i="2539"/>
  <c r="HM108" i="2539" s="1"/>
  <c r="HL89" i="2539"/>
  <c r="HL108" i="2539" s="1"/>
  <c r="HK89" i="2539"/>
  <c r="HK108" i="2539" s="1"/>
  <c r="HJ89" i="2539"/>
  <c r="HJ108" i="2539" s="1"/>
  <c r="HI89" i="2539"/>
  <c r="HH89" i="2539"/>
  <c r="HH108" i="2539" s="1"/>
  <c r="HG89" i="2539"/>
  <c r="HG108" i="2539" s="1"/>
  <c r="HF89" i="2539"/>
  <c r="HF108" i="2539" s="1"/>
  <c r="HE89" i="2539"/>
  <c r="HE108" i="2539" s="1"/>
  <c r="HD89" i="2539"/>
  <c r="HD108" i="2539" s="1"/>
  <c r="HC89" i="2539"/>
  <c r="HC108" i="2539" s="1"/>
  <c r="HB89" i="2539"/>
  <c r="HB108" i="2539" s="1"/>
  <c r="GZ89" i="2539"/>
  <c r="GZ108" i="2539" s="1"/>
  <c r="GY89" i="2539"/>
  <c r="GY108" i="2539" s="1"/>
  <c r="GX89" i="2539"/>
  <c r="GX108" i="2539" s="1"/>
  <c r="GW89" i="2539"/>
  <c r="GV89" i="2539"/>
  <c r="GV108" i="2539" s="1"/>
  <c r="GU89" i="2539"/>
  <c r="GU108" i="2539" s="1"/>
  <c r="GT89" i="2539"/>
  <c r="GT108" i="2539" s="1"/>
  <c r="GS89" i="2539"/>
  <c r="GS108" i="2539" s="1"/>
  <c r="GR89" i="2539"/>
  <c r="GR108" i="2539" s="1"/>
  <c r="GM89" i="2539"/>
  <c r="GM108" i="2539" s="1"/>
  <c r="GL89" i="2539"/>
  <c r="GL108" i="2539" s="1"/>
  <c r="GK89" i="2539"/>
  <c r="GJ89" i="2539"/>
  <c r="GJ108" i="2539" s="1"/>
  <c r="GI89" i="2539"/>
  <c r="GI108" i="2539" s="1"/>
  <c r="GH89" i="2539"/>
  <c r="GH108" i="2539" s="1"/>
  <c r="GG89" i="2539"/>
  <c r="GG108" i="2539" s="1"/>
  <c r="GF89" i="2539"/>
  <c r="GF108" i="2539" s="1"/>
  <c r="GE89" i="2539"/>
  <c r="GE108" i="2539" s="1"/>
  <c r="GD89" i="2539"/>
  <c r="GD108" i="2539" s="1"/>
  <c r="GC89" i="2539"/>
  <c r="GC108" i="2539" s="1"/>
  <c r="GB89" i="2539"/>
  <c r="GB108" i="2539" s="1"/>
  <c r="FZ89" i="2539"/>
  <c r="FZ108" i="2539" s="1"/>
  <c r="FY89" i="2539"/>
  <c r="FX89" i="2539"/>
  <c r="FX108" i="2539" s="1"/>
  <c r="FW89" i="2539"/>
  <c r="FW108" i="2539" s="1"/>
  <c r="FV89" i="2539"/>
  <c r="FV108" i="2539" s="1"/>
  <c r="FU89" i="2539"/>
  <c r="FU108" i="2539" s="1"/>
  <c r="FT89" i="2539"/>
  <c r="FT108" i="2539" s="1"/>
  <c r="FS89" i="2539"/>
  <c r="FS108" i="2539" s="1"/>
  <c r="FR89" i="2539"/>
  <c r="FR108" i="2539" s="1"/>
  <c r="FQ89" i="2539"/>
  <c r="FP89" i="2539"/>
  <c r="FP108" i="2539" s="1"/>
  <c r="FO89" i="2539"/>
  <c r="FO108" i="2539" s="1"/>
  <c r="FM89" i="2539"/>
  <c r="FL89" i="2539"/>
  <c r="FL108" i="2539" s="1"/>
  <c r="FK89" i="2539"/>
  <c r="FK108" i="2539" s="1"/>
  <c r="FJ89" i="2539"/>
  <c r="FJ108" i="2539" s="1"/>
  <c r="FI89" i="2539"/>
  <c r="FI108" i="2539" s="1"/>
  <c r="FH89" i="2539"/>
  <c r="FH108" i="2539" s="1"/>
  <c r="FG89" i="2539"/>
  <c r="FG108" i="2539" s="1"/>
  <c r="FF89" i="2539"/>
  <c r="FF108" i="2539" s="1"/>
  <c r="FE89" i="2539"/>
  <c r="FE108" i="2539" s="1"/>
  <c r="FD89" i="2539"/>
  <c r="FC89" i="2539"/>
  <c r="FC108" i="2539" s="1"/>
  <c r="FB89" i="2539"/>
  <c r="FB108" i="2539" s="1"/>
  <c r="EZ89" i="2539"/>
  <c r="EZ108" i="2539" s="1"/>
  <c r="EY89" i="2539"/>
  <c r="EY108" i="2539" s="1"/>
  <c r="EX89" i="2539"/>
  <c r="EX108" i="2539" s="1"/>
  <c r="EW89" i="2539"/>
  <c r="EW108" i="2539" s="1"/>
  <c r="EV89" i="2539"/>
  <c r="EV108" i="2539" s="1"/>
  <c r="EU89" i="2539"/>
  <c r="EU108" i="2539" s="1"/>
  <c r="ET89" i="2539"/>
  <c r="ET108" i="2539" s="1"/>
  <c r="ES89" i="2539"/>
  <c r="ES108" i="2539" s="1"/>
  <c r="ER89" i="2539"/>
  <c r="ER108" i="2539" s="1"/>
  <c r="EQ89" i="2539"/>
  <c r="EQ108" i="2539" s="1"/>
  <c r="EP89" i="2539"/>
  <c r="EP108" i="2539" s="1"/>
  <c r="EO89" i="2539"/>
  <c r="EN89" i="2539"/>
  <c r="EA89" i="2539"/>
  <c r="DN89" i="2539"/>
  <c r="DA89" i="2539"/>
  <c r="CN89" i="2539"/>
  <c r="CA89" i="2539"/>
  <c r="HM88" i="2539"/>
  <c r="HM107" i="2539" s="1"/>
  <c r="HL88" i="2539"/>
  <c r="HL107" i="2539" s="1"/>
  <c r="HK88" i="2539"/>
  <c r="HJ88" i="2539"/>
  <c r="HI88" i="2539"/>
  <c r="HI107" i="2539" s="1"/>
  <c r="HH88" i="2539"/>
  <c r="HH107" i="2539" s="1"/>
  <c r="HG88" i="2539"/>
  <c r="HG107" i="2539" s="1"/>
  <c r="HF88" i="2539"/>
  <c r="HF107" i="2539" s="1"/>
  <c r="HE88" i="2539"/>
  <c r="HE107" i="2539" s="1"/>
  <c r="HD88" i="2539"/>
  <c r="HC88" i="2539"/>
  <c r="HB88" i="2539"/>
  <c r="HB107" i="2539" s="1"/>
  <c r="GZ88" i="2539"/>
  <c r="GZ107" i="2539" s="1"/>
  <c r="GY88" i="2539"/>
  <c r="GX88" i="2539"/>
  <c r="GW88" i="2539"/>
  <c r="GW107" i="2539" s="1"/>
  <c r="GV88" i="2539"/>
  <c r="GV107" i="2539" s="1"/>
  <c r="GU88" i="2539"/>
  <c r="GU107" i="2539" s="1"/>
  <c r="GT88" i="2539"/>
  <c r="GT107" i="2539" s="1"/>
  <c r="GS88" i="2539"/>
  <c r="GS107" i="2539" s="1"/>
  <c r="GR88" i="2539"/>
  <c r="GM88" i="2539"/>
  <c r="GL88" i="2539"/>
  <c r="GK88" i="2539"/>
  <c r="GK107" i="2539" s="1"/>
  <c r="GJ88" i="2539"/>
  <c r="GJ107" i="2539" s="1"/>
  <c r="GI88" i="2539"/>
  <c r="GI107" i="2539" s="1"/>
  <c r="GH88" i="2539"/>
  <c r="GH107" i="2539" s="1"/>
  <c r="GG88" i="2539"/>
  <c r="GG107" i="2539" s="1"/>
  <c r="GF88" i="2539"/>
  <c r="GE88" i="2539"/>
  <c r="GD88" i="2539"/>
  <c r="GD107" i="2539" s="1"/>
  <c r="GC88" i="2539"/>
  <c r="GC107" i="2539" s="1"/>
  <c r="GB88" i="2539"/>
  <c r="GB107" i="2539" s="1"/>
  <c r="FZ88" i="2539"/>
  <c r="FY88" i="2539"/>
  <c r="FY107" i="2539" s="1"/>
  <c r="FX88" i="2539"/>
  <c r="FX107" i="2539" s="1"/>
  <c r="FW88" i="2539"/>
  <c r="FW107" i="2539" s="1"/>
  <c r="FV88" i="2539"/>
  <c r="FV107" i="2539" s="1"/>
  <c r="FU88" i="2539"/>
  <c r="FU107" i="2539" s="1"/>
  <c r="FT88" i="2539"/>
  <c r="FS88" i="2539"/>
  <c r="FR88" i="2539"/>
  <c r="FR107" i="2539" s="1"/>
  <c r="FQ88" i="2539"/>
  <c r="FQ107" i="2539" s="1"/>
  <c r="FP88" i="2539"/>
  <c r="FO88" i="2539"/>
  <c r="FM88" i="2539"/>
  <c r="FM107" i="2539" s="1"/>
  <c r="FL88" i="2539"/>
  <c r="FL107" i="2539" s="1"/>
  <c r="FK88" i="2539"/>
  <c r="FJ88" i="2539"/>
  <c r="FJ107" i="2539" s="1"/>
  <c r="FI88" i="2539"/>
  <c r="FI107" i="2539" s="1"/>
  <c r="FH88" i="2539"/>
  <c r="FG88" i="2539"/>
  <c r="FF88" i="2539"/>
  <c r="FF107" i="2539" s="1"/>
  <c r="FE88" i="2539"/>
  <c r="FE107" i="2539" s="1"/>
  <c r="FD88" i="2539"/>
  <c r="FD107" i="2539" s="1"/>
  <c r="FC88" i="2539"/>
  <c r="FB88" i="2539"/>
  <c r="EZ88" i="2539"/>
  <c r="EZ107" i="2539" s="1"/>
  <c r="EY88" i="2539"/>
  <c r="EY107" i="2539" s="1"/>
  <c r="EX88" i="2539"/>
  <c r="EX107" i="2539" s="1"/>
  <c r="EW88" i="2539"/>
  <c r="EW107" i="2539" s="1"/>
  <c r="EV88" i="2539"/>
  <c r="EU88" i="2539"/>
  <c r="ET88" i="2539"/>
  <c r="ET107" i="2539" s="1"/>
  <c r="ES88" i="2539"/>
  <c r="ES107" i="2539" s="1"/>
  <c r="ER88" i="2539"/>
  <c r="ER107" i="2539" s="1"/>
  <c r="EQ88" i="2539"/>
  <c r="EP88" i="2539"/>
  <c r="EO88" i="2539"/>
  <c r="EO107" i="2539" s="1"/>
  <c r="EN88" i="2539"/>
  <c r="EA88" i="2539"/>
  <c r="DN88" i="2539"/>
  <c r="DA88" i="2539"/>
  <c r="CN88" i="2539"/>
  <c r="CA88" i="2539"/>
  <c r="BN88" i="2539"/>
  <c r="EM87" i="2539"/>
  <c r="EL87" i="2539"/>
  <c r="EK87" i="2539"/>
  <c r="EJ87" i="2539"/>
  <c r="EI87" i="2539"/>
  <c r="EH87" i="2539"/>
  <c r="EG87" i="2539"/>
  <c r="EF87" i="2539"/>
  <c r="EE87" i="2539"/>
  <c r="ED87" i="2539"/>
  <c r="EC87" i="2539"/>
  <c r="EB87" i="2539"/>
  <c r="DZ87" i="2539"/>
  <c r="DY87" i="2539"/>
  <c r="DX87" i="2539"/>
  <c r="DW87" i="2539"/>
  <c r="DV87" i="2539"/>
  <c r="DU87" i="2539"/>
  <c r="DT87" i="2539"/>
  <c r="DS87" i="2539"/>
  <c r="DR87" i="2539"/>
  <c r="DQ87" i="2539"/>
  <c r="DP87" i="2539"/>
  <c r="DO87" i="2539"/>
  <c r="DM87" i="2539"/>
  <c r="DL87" i="2539"/>
  <c r="DK87" i="2539"/>
  <c r="DJ87" i="2539"/>
  <c r="DI87" i="2539"/>
  <c r="DH87" i="2539"/>
  <c r="DG87" i="2539"/>
  <c r="DF87" i="2539"/>
  <c r="DE87" i="2539"/>
  <c r="DD87" i="2539"/>
  <c r="DC87" i="2539"/>
  <c r="DB87" i="2539"/>
  <c r="CZ87" i="2539"/>
  <c r="CY87" i="2539"/>
  <c r="CX87" i="2539"/>
  <c r="CW87" i="2539"/>
  <c r="CV87" i="2539"/>
  <c r="CU87" i="2539"/>
  <c r="CT87" i="2539"/>
  <c r="CS87" i="2539"/>
  <c r="CR87" i="2539"/>
  <c r="CQ87" i="2539"/>
  <c r="CP87" i="2539"/>
  <c r="CO87" i="2539"/>
  <c r="CM87" i="2539"/>
  <c r="CL87" i="2539"/>
  <c r="CK87" i="2539"/>
  <c r="CJ87" i="2539"/>
  <c r="CI87" i="2539"/>
  <c r="CH87" i="2539"/>
  <c r="CG87" i="2539"/>
  <c r="CF87" i="2539"/>
  <c r="CE87" i="2539"/>
  <c r="CD87" i="2539"/>
  <c r="CC87" i="2539"/>
  <c r="CB87" i="2539"/>
  <c r="BZ87" i="2539"/>
  <c r="BY87" i="2539"/>
  <c r="BX87" i="2539"/>
  <c r="BW87" i="2539"/>
  <c r="BV87" i="2539"/>
  <c r="BU87" i="2539"/>
  <c r="BT87" i="2539"/>
  <c r="BS87" i="2539"/>
  <c r="BR87" i="2539"/>
  <c r="BQ87" i="2539"/>
  <c r="BP87" i="2539"/>
  <c r="BO87" i="2539"/>
  <c r="BM87" i="2539"/>
  <c r="BL87" i="2539"/>
  <c r="BK87" i="2539"/>
  <c r="BJ87" i="2539"/>
  <c r="BI87" i="2539"/>
  <c r="BH87" i="2539"/>
  <c r="BG87" i="2539"/>
  <c r="BF87" i="2539"/>
  <c r="BE87" i="2539"/>
  <c r="BD87" i="2539"/>
  <c r="BC87" i="2539"/>
  <c r="BB87" i="2539"/>
  <c r="HM105" i="2539"/>
  <c r="HL105" i="2539"/>
  <c r="HK105" i="2539"/>
  <c r="HJ105" i="2539"/>
  <c r="HI105" i="2539"/>
  <c r="HH105" i="2539"/>
  <c r="HG105" i="2539"/>
  <c r="HF105" i="2539"/>
  <c r="HE105" i="2539"/>
  <c r="HD105" i="2539"/>
  <c r="HC105" i="2539"/>
  <c r="GZ86" i="2539"/>
  <c r="GZ105" i="2539" s="1"/>
  <c r="GY86" i="2539"/>
  <c r="GY105" i="2539" s="1"/>
  <c r="GX86" i="2539"/>
  <c r="GX105" i="2539" s="1"/>
  <c r="GW86" i="2539"/>
  <c r="GW105" i="2539" s="1"/>
  <c r="GV86" i="2539"/>
  <c r="GV105" i="2539" s="1"/>
  <c r="GU86" i="2539"/>
  <c r="GU105" i="2539" s="1"/>
  <c r="GT86" i="2539"/>
  <c r="GT105" i="2539" s="1"/>
  <c r="GS86" i="2539"/>
  <c r="GS105" i="2539" s="1"/>
  <c r="GR86" i="2539"/>
  <c r="GQ86" i="2539"/>
  <c r="GQ105" i="2539" s="1"/>
  <c r="GP86" i="2539"/>
  <c r="GP105" i="2539" s="1"/>
  <c r="GO86" i="2539"/>
  <c r="GO105" i="2539" s="1"/>
  <c r="GM86" i="2539"/>
  <c r="GM105" i="2539" s="1"/>
  <c r="GL86" i="2539"/>
  <c r="GL105" i="2539" s="1"/>
  <c r="GK86" i="2539"/>
  <c r="GK105" i="2539" s="1"/>
  <c r="GJ86" i="2539"/>
  <c r="GJ105" i="2539" s="1"/>
  <c r="GI86" i="2539"/>
  <c r="GI105" i="2539" s="1"/>
  <c r="GH86" i="2539"/>
  <c r="GH105" i="2539" s="1"/>
  <c r="GG86" i="2539"/>
  <c r="GG105" i="2539" s="1"/>
  <c r="GF86" i="2539"/>
  <c r="GF105" i="2539" s="1"/>
  <c r="GE86" i="2539"/>
  <c r="GE105" i="2539" s="1"/>
  <c r="GD86" i="2539"/>
  <c r="GD105" i="2539" s="1"/>
  <c r="GC86" i="2539"/>
  <c r="GC105" i="2539" s="1"/>
  <c r="GB86" i="2539"/>
  <c r="GB105" i="2539" s="1"/>
  <c r="FZ86" i="2539"/>
  <c r="FZ105" i="2539" s="1"/>
  <c r="FY86" i="2539"/>
  <c r="FY105" i="2539" s="1"/>
  <c r="FX86" i="2539"/>
  <c r="FX105" i="2539" s="1"/>
  <c r="FW86" i="2539"/>
  <c r="FW105" i="2539" s="1"/>
  <c r="FV86" i="2539"/>
  <c r="FV105" i="2539" s="1"/>
  <c r="FU86" i="2539"/>
  <c r="FU105" i="2539" s="1"/>
  <c r="FT86" i="2539"/>
  <c r="FT105" i="2539" s="1"/>
  <c r="FS86" i="2539"/>
  <c r="FS105" i="2539" s="1"/>
  <c r="FR86" i="2539"/>
  <c r="FR105" i="2539" s="1"/>
  <c r="FQ86" i="2539"/>
  <c r="FQ105" i="2539" s="1"/>
  <c r="FP86" i="2539"/>
  <c r="FP105" i="2539" s="1"/>
  <c r="FO86" i="2539"/>
  <c r="FO105" i="2539" s="1"/>
  <c r="FM86" i="2539"/>
  <c r="FM105" i="2539" s="1"/>
  <c r="FL86" i="2539"/>
  <c r="FL105" i="2539" s="1"/>
  <c r="FK86" i="2539"/>
  <c r="FK105" i="2539" s="1"/>
  <c r="FJ86" i="2539"/>
  <c r="FJ105" i="2539" s="1"/>
  <c r="FI86" i="2539"/>
  <c r="FI105" i="2539" s="1"/>
  <c r="FH86" i="2539"/>
  <c r="FH105" i="2539" s="1"/>
  <c r="FG86" i="2539"/>
  <c r="FG105" i="2539" s="1"/>
  <c r="FF86" i="2539"/>
  <c r="FF105" i="2539" s="1"/>
  <c r="FE86" i="2539"/>
  <c r="FE105" i="2539" s="1"/>
  <c r="FD86" i="2539"/>
  <c r="FD105" i="2539" s="1"/>
  <c r="FC86" i="2539"/>
  <c r="FC105" i="2539" s="1"/>
  <c r="FB86" i="2539"/>
  <c r="FB105" i="2539" s="1"/>
  <c r="EZ86" i="2539"/>
  <c r="EZ105" i="2539" s="1"/>
  <c r="EY86" i="2539"/>
  <c r="EY105" i="2539" s="1"/>
  <c r="EX86" i="2539"/>
  <c r="EX105" i="2539" s="1"/>
  <c r="EW86" i="2539"/>
  <c r="EW105" i="2539" s="1"/>
  <c r="EV86" i="2539"/>
  <c r="EV105" i="2539" s="1"/>
  <c r="EU86" i="2539"/>
  <c r="EU105" i="2539" s="1"/>
  <c r="ET86" i="2539"/>
  <c r="ET105" i="2539" s="1"/>
  <c r="ES86" i="2539"/>
  <c r="ES105" i="2539" s="1"/>
  <c r="ER86" i="2539"/>
  <c r="ER105" i="2539" s="1"/>
  <c r="EQ86" i="2539"/>
  <c r="EQ105" i="2539" s="1"/>
  <c r="EP86" i="2539"/>
  <c r="EP105" i="2539" s="1"/>
  <c r="EO86" i="2539"/>
  <c r="EO105" i="2539" s="1"/>
  <c r="EN86" i="2539"/>
  <c r="EA86" i="2539"/>
  <c r="DN86" i="2539"/>
  <c r="DA86" i="2539"/>
  <c r="CN86" i="2539"/>
  <c r="CA86" i="2539"/>
  <c r="BN86" i="2539"/>
  <c r="HM104" i="2539"/>
  <c r="HK104" i="2539"/>
  <c r="HJ104" i="2539"/>
  <c r="HI104" i="2539"/>
  <c r="HH104" i="2539"/>
  <c r="HG104" i="2539"/>
  <c r="HF104" i="2539"/>
  <c r="HE104" i="2539"/>
  <c r="HD104" i="2539"/>
  <c r="HC104" i="2539"/>
  <c r="GZ104" i="2539"/>
  <c r="GY104" i="2539"/>
  <c r="GX104" i="2539"/>
  <c r="GW104" i="2539"/>
  <c r="GV104" i="2539"/>
  <c r="GU104" i="2539"/>
  <c r="GT104" i="2539"/>
  <c r="GS104" i="2539"/>
  <c r="GR104" i="2539"/>
  <c r="GQ104" i="2539"/>
  <c r="GP104" i="2539"/>
  <c r="GO104" i="2539"/>
  <c r="GM104" i="2539"/>
  <c r="GL104" i="2539"/>
  <c r="GK104" i="2539"/>
  <c r="GJ104" i="2539"/>
  <c r="GI104" i="2539"/>
  <c r="GH104" i="2539"/>
  <c r="GG104" i="2539"/>
  <c r="GF104" i="2539"/>
  <c r="GE104" i="2539"/>
  <c r="GD104" i="2539"/>
  <c r="GC104" i="2539"/>
  <c r="GB104" i="2539"/>
  <c r="FZ104" i="2539"/>
  <c r="FY104" i="2539"/>
  <c r="FX104" i="2539"/>
  <c r="FW104" i="2539"/>
  <c r="FV104" i="2539"/>
  <c r="FU104" i="2539"/>
  <c r="FT104" i="2539"/>
  <c r="FS104" i="2539"/>
  <c r="FR104" i="2539"/>
  <c r="FQ104" i="2539"/>
  <c r="FP104" i="2539"/>
  <c r="FO104" i="2539"/>
  <c r="FM104" i="2539"/>
  <c r="FL104" i="2539"/>
  <c r="FK104" i="2539"/>
  <c r="FJ104" i="2539"/>
  <c r="FI104" i="2539"/>
  <c r="FH104" i="2539"/>
  <c r="FG104" i="2539"/>
  <c r="FF104" i="2539"/>
  <c r="FD104" i="2539"/>
  <c r="FC104" i="2539"/>
  <c r="FB104" i="2539"/>
  <c r="EZ104" i="2539"/>
  <c r="EY104" i="2539"/>
  <c r="EX104" i="2539"/>
  <c r="EW104" i="2539"/>
  <c r="EV104" i="2539"/>
  <c r="EU104" i="2539"/>
  <c r="ET104" i="2539"/>
  <c r="ES104" i="2539"/>
  <c r="EQ104" i="2539"/>
  <c r="EP104" i="2539"/>
  <c r="EO104" i="2539"/>
  <c r="EN85" i="2539"/>
  <c r="EA85" i="2539"/>
  <c r="DN85" i="2539"/>
  <c r="DA85" i="2539"/>
  <c r="CN85" i="2539"/>
  <c r="CA85" i="2539"/>
  <c r="HM103" i="2539"/>
  <c r="HL103" i="2539"/>
  <c r="HK103" i="2539"/>
  <c r="HJ103" i="2539"/>
  <c r="HI103" i="2539"/>
  <c r="HH103" i="2539"/>
  <c r="HG103" i="2539"/>
  <c r="HF103" i="2539"/>
  <c r="HE103" i="2539"/>
  <c r="HD103" i="2539"/>
  <c r="HC103" i="2539"/>
  <c r="GZ103" i="2539"/>
  <c r="GY103" i="2539"/>
  <c r="GX103" i="2539"/>
  <c r="GW103" i="2539"/>
  <c r="GV103" i="2539"/>
  <c r="GT103" i="2539"/>
  <c r="GS103" i="2539"/>
  <c r="GR103" i="2539"/>
  <c r="GQ103" i="2539"/>
  <c r="GP103" i="2539"/>
  <c r="GO103" i="2539"/>
  <c r="GM103" i="2539"/>
  <c r="GL103" i="2539"/>
  <c r="GK103" i="2539"/>
  <c r="GJ103" i="2539"/>
  <c r="GI103" i="2539"/>
  <c r="GH103" i="2539"/>
  <c r="GG103" i="2539"/>
  <c r="GF103" i="2539"/>
  <c r="GE103" i="2539"/>
  <c r="GC103" i="2539"/>
  <c r="GB103" i="2539"/>
  <c r="FZ103" i="2539"/>
  <c r="FY103" i="2539"/>
  <c r="FX103" i="2539"/>
  <c r="FW103" i="2539"/>
  <c r="FV103" i="2539"/>
  <c r="FU103" i="2539"/>
  <c r="FT103" i="2539"/>
  <c r="FS103" i="2539"/>
  <c r="FR103" i="2539"/>
  <c r="FQ103" i="2539"/>
  <c r="FP103" i="2539"/>
  <c r="FO103" i="2539"/>
  <c r="FM103" i="2539"/>
  <c r="FL103" i="2539"/>
  <c r="FK103" i="2539"/>
  <c r="FJ103" i="2539"/>
  <c r="FI103" i="2539"/>
  <c r="FH103" i="2539"/>
  <c r="FG103" i="2539"/>
  <c r="FF103" i="2539"/>
  <c r="FE103" i="2539"/>
  <c r="FD103" i="2539"/>
  <c r="FC103" i="2539"/>
  <c r="FB103" i="2539"/>
  <c r="EZ103" i="2539"/>
  <c r="EY103" i="2539"/>
  <c r="EX103" i="2539"/>
  <c r="EW103" i="2539"/>
  <c r="EV103" i="2539"/>
  <c r="EU103" i="2539"/>
  <c r="ET103" i="2539"/>
  <c r="ES103" i="2539"/>
  <c r="ER103" i="2539"/>
  <c r="EQ103" i="2539"/>
  <c r="EP103" i="2539"/>
  <c r="EO103" i="2539"/>
  <c r="EN84" i="2539"/>
  <c r="EA84" i="2539"/>
  <c r="DN84" i="2539"/>
  <c r="DA84" i="2539"/>
  <c r="CN84" i="2539"/>
  <c r="CA84" i="2539"/>
  <c r="HM83" i="2539"/>
  <c r="HM102" i="2539" s="1"/>
  <c r="HL83" i="2539"/>
  <c r="HL102" i="2539" s="1"/>
  <c r="HK83" i="2539"/>
  <c r="HK102" i="2539" s="1"/>
  <c r="HJ83" i="2539"/>
  <c r="HJ102" i="2539" s="1"/>
  <c r="HI83" i="2539"/>
  <c r="HH83" i="2539"/>
  <c r="HH102" i="2539" s="1"/>
  <c r="HG83" i="2539"/>
  <c r="HG102" i="2539" s="1"/>
  <c r="HF83" i="2539"/>
  <c r="HF102" i="2539" s="1"/>
  <c r="HE83" i="2539"/>
  <c r="HE102" i="2539" s="1"/>
  <c r="HD83" i="2539"/>
  <c r="HD102" i="2539" s="1"/>
  <c r="HC83" i="2539"/>
  <c r="HC102" i="2539" s="1"/>
  <c r="GZ83" i="2539"/>
  <c r="GZ102" i="2539" s="1"/>
  <c r="GY83" i="2539"/>
  <c r="GY102" i="2539" s="1"/>
  <c r="GX83" i="2539"/>
  <c r="GX102" i="2539" s="1"/>
  <c r="GW83" i="2539"/>
  <c r="GV83" i="2539"/>
  <c r="GV102" i="2539" s="1"/>
  <c r="GU83" i="2539"/>
  <c r="GU102" i="2539" s="1"/>
  <c r="GT83" i="2539"/>
  <c r="GT102" i="2539" s="1"/>
  <c r="GS83" i="2539"/>
  <c r="GS102" i="2539" s="1"/>
  <c r="GR83" i="2539"/>
  <c r="GR102" i="2539" s="1"/>
  <c r="GQ83" i="2539"/>
  <c r="GQ102" i="2539" s="1"/>
  <c r="GP83" i="2539"/>
  <c r="GP102" i="2539" s="1"/>
  <c r="GO83" i="2539"/>
  <c r="GO102" i="2539" s="1"/>
  <c r="GM83" i="2539"/>
  <c r="GM102" i="2539" s="1"/>
  <c r="GL83" i="2539"/>
  <c r="GL102" i="2539" s="1"/>
  <c r="GK83" i="2539"/>
  <c r="GJ83" i="2539"/>
  <c r="GJ102" i="2539" s="1"/>
  <c r="GI83" i="2539"/>
  <c r="GI102" i="2539" s="1"/>
  <c r="GH83" i="2539"/>
  <c r="GH102" i="2539" s="1"/>
  <c r="GG83" i="2539"/>
  <c r="GG102" i="2539" s="1"/>
  <c r="GF83" i="2539"/>
  <c r="GF102" i="2539" s="1"/>
  <c r="GE83" i="2539"/>
  <c r="GE102" i="2539" s="1"/>
  <c r="GD83" i="2539"/>
  <c r="GD102" i="2539" s="1"/>
  <c r="GC83" i="2539"/>
  <c r="GB83" i="2539"/>
  <c r="GB102" i="2539" s="1"/>
  <c r="FZ83" i="2539"/>
  <c r="FZ102" i="2539" s="1"/>
  <c r="FY83" i="2539"/>
  <c r="FX83" i="2539"/>
  <c r="FX102" i="2539" s="1"/>
  <c r="FW83" i="2539"/>
  <c r="FW102" i="2539" s="1"/>
  <c r="FV83" i="2539"/>
  <c r="FV102" i="2539" s="1"/>
  <c r="FU83" i="2539"/>
  <c r="FU102" i="2539" s="1"/>
  <c r="FT83" i="2539"/>
  <c r="FT102" i="2539" s="1"/>
  <c r="FS83" i="2539"/>
  <c r="FS102" i="2539" s="1"/>
  <c r="FR83" i="2539"/>
  <c r="FR102" i="2539" s="1"/>
  <c r="FQ83" i="2539"/>
  <c r="FP83" i="2539"/>
  <c r="FP102" i="2539" s="1"/>
  <c r="FO83" i="2539"/>
  <c r="FO102" i="2539" s="1"/>
  <c r="FM83" i="2539"/>
  <c r="FL83" i="2539"/>
  <c r="FL102" i="2539" s="1"/>
  <c r="FK83" i="2539"/>
  <c r="FK102" i="2539" s="1"/>
  <c r="FJ83" i="2539"/>
  <c r="FJ102" i="2539" s="1"/>
  <c r="FI83" i="2539"/>
  <c r="FI102" i="2539" s="1"/>
  <c r="FH83" i="2539"/>
  <c r="FH102" i="2539" s="1"/>
  <c r="FG83" i="2539"/>
  <c r="FG102" i="2539" s="1"/>
  <c r="FF83" i="2539"/>
  <c r="FF102" i="2539" s="1"/>
  <c r="FE83" i="2539"/>
  <c r="FE102" i="2539" s="1"/>
  <c r="FD83" i="2539"/>
  <c r="FD102" i="2539" s="1"/>
  <c r="FC83" i="2539"/>
  <c r="FC102" i="2539" s="1"/>
  <c r="FB83" i="2539"/>
  <c r="FB102" i="2539" s="1"/>
  <c r="EZ83" i="2539"/>
  <c r="EZ102" i="2539" s="1"/>
  <c r="EY83" i="2539"/>
  <c r="EY102" i="2539" s="1"/>
  <c r="EX83" i="2539"/>
  <c r="EX102" i="2539" s="1"/>
  <c r="EW83" i="2539"/>
  <c r="EW102" i="2539" s="1"/>
  <c r="EV83" i="2539"/>
  <c r="EV102" i="2539" s="1"/>
  <c r="EU83" i="2539"/>
  <c r="EU102" i="2539" s="1"/>
  <c r="ET83" i="2539"/>
  <c r="ET102" i="2539" s="1"/>
  <c r="ES83" i="2539"/>
  <c r="ES102" i="2539" s="1"/>
  <c r="ER83" i="2539"/>
  <c r="ER102" i="2539" s="1"/>
  <c r="EQ83" i="2539"/>
  <c r="EQ102" i="2539" s="1"/>
  <c r="EP83" i="2539"/>
  <c r="EP102" i="2539" s="1"/>
  <c r="EO83" i="2539"/>
  <c r="EN83" i="2539"/>
  <c r="EA83" i="2539"/>
  <c r="DN83" i="2539"/>
  <c r="DA83" i="2539"/>
  <c r="CN83" i="2539"/>
  <c r="CA83" i="2539"/>
  <c r="HM101" i="2539"/>
  <c r="HL101" i="2539"/>
  <c r="HK101" i="2539"/>
  <c r="HI101" i="2539"/>
  <c r="HH101" i="2539"/>
  <c r="HG101" i="2539"/>
  <c r="HF101" i="2539"/>
  <c r="HD101" i="2539"/>
  <c r="GZ82" i="2539"/>
  <c r="GZ101" i="2539" s="1"/>
  <c r="GY82" i="2539"/>
  <c r="GY101" i="2539" s="1"/>
  <c r="GX82" i="2539"/>
  <c r="GW82" i="2539"/>
  <c r="GW101" i="2539" s="1"/>
  <c r="GV82" i="2539"/>
  <c r="GU82" i="2539"/>
  <c r="GU101" i="2539" s="1"/>
  <c r="GT82" i="2539"/>
  <c r="GT101" i="2539" s="1"/>
  <c r="GS82" i="2539"/>
  <c r="GR82" i="2539"/>
  <c r="GR101" i="2539" s="1"/>
  <c r="GQ82" i="2539"/>
  <c r="GP82" i="2539"/>
  <c r="GP101" i="2539" s="1"/>
  <c r="GO82" i="2539"/>
  <c r="GO101" i="2539" s="1"/>
  <c r="GM82" i="2539"/>
  <c r="GM101" i="2539" s="1"/>
  <c r="GL82" i="2539"/>
  <c r="GK82" i="2539"/>
  <c r="GK101" i="2539" s="1"/>
  <c r="GJ82" i="2539"/>
  <c r="GI82" i="2539"/>
  <c r="GI101" i="2539" s="1"/>
  <c r="GH82" i="2539"/>
  <c r="GH101" i="2539" s="1"/>
  <c r="GG82" i="2539"/>
  <c r="GF82" i="2539"/>
  <c r="GF101" i="2539" s="1"/>
  <c r="GE82" i="2539"/>
  <c r="GD82" i="2539"/>
  <c r="GD101" i="2539" s="1"/>
  <c r="GC82" i="2539"/>
  <c r="GC101" i="2539" s="1"/>
  <c r="GB82" i="2539"/>
  <c r="GB101" i="2539" s="1"/>
  <c r="FZ82" i="2539"/>
  <c r="FY82" i="2539"/>
  <c r="FY101" i="2539" s="1"/>
  <c r="FX82" i="2539"/>
  <c r="FW82" i="2539"/>
  <c r="FW101" i="2539" s="1"/>
  <c r="FV82" i="2539"/>
  <c r="FV101" i="2539" s="1"/>
  <c r="FU82" i="2539"/>
  <c r="FT82" i="2539"/>
  <c r="FT101" i="2539" s="1"/>
  <c r="FS82" i="2539"/>
  <c r="FR82" i="2539"/>
  <c r="FR101" i="2539" s="1"/>
  <c r="FQ82" i="2539"/>
  <c r="FQ101" i="2539" s="1"/>
  <c r="FP82" i="2539"/>
  <c r="FP101" i="2539" s="1"/>
  <c r="FO82" i="2539"/>
  <c r="FO101" i="2539" s="1"/>
  <c r="FM82" i="2539"/>
  <c r="FM101" i="2539" s="1"/>
  <c r="FL82" i="2539"/>
  <c r="FK82" i="2539"/>
  <c r="FK101" i="2539" s="1"/>
  <c r="FJ82" i="2539"/>
  <c r="FJ101" i="2539" s="1"/>
  <c r="FI82" i="2539"/>
  <c r="FH82" i="2539"/>
  <c r="FH101" i="2539" s="1"/>
  <c r="FG82" i="2539"/>
  <c r="FF82" i="2539"/>
  <c r="FF101" i="2539" s="1"/>
  <c r="FE82" i="2539"/>
  <c r="FE101" i="2539" s="1"/>
  <c r="FD82" i="2539"/>
  <c r="FC82" i="2539"/>
  <c r="FC101" i="2539" s="1"/>
  <c r="FB82" i="2539"/>
  <c r="EZ82" i="2539"/>
  <c r="EY82" i="2539"/>
  <c r="EY101" i="2539" s="1"/>
  <c r="EX82" i="2539"/>
  <c r="EX101" i="2539" s="1"/>
  <c r="EW82" i="2539"/>
  <c r="EV82" i="2539"/>
  <c r="EV101" i="2539" s="1"/>
  <c r="EU82" i="2539"/>
  <c r="ET82" i="2539"/>
  <c r="ET101" i="2539" s="1"/>
  <c r="ES82" i="2539"/>
  <c r="ES101" i="2539" s="1"/>
  <c r="ER82" i="2539"/>
  <c r="ER101" i="2539" s="1"/>
  <c r="EQ82" i="2539"/>
  <c r="EP82" i="2539"/>
  <c r="EO82" i="2539"/>
  <c r="EO101" i="2539" s="1"/>
  <c r="EN82" i="2539"/>
  <c r="EA82" i="2539"/>
  <c r="DN82" i="2539"/>
  <c r="DA82" i="2539"/>
  <c r="CN82" i="2539"/>
  <c r="CA82" i="2539"/>
  <c r="BN82" i="2539"/>
  <c r="EM81" i="2539"/>
  <c r="EL81" i="2539"/>
  <c r="EK81" i="2539"/>
  <c r="EJ81" i="2539"/>
  <c r="EI81" i="2539"/>
  <c r="EH81" i="2539"/>
  <c r="EG81" i="2539"/>
  <c r="EF81" i="2539"/>
  <c r="EE81" i="2539"/>
  <c r="ED81" i="2539"/>
  <c r="EC81" i="2539"/>
  <c r="EB81" i="2539"/>
  <c r="DZ81" i="2539"/>
  <c r="DY81" i="2539"/>
  <c r="DX81" i="2539"/>
  <c r="DW81" i="2539"/>
  <c r="DV81" i="2539"/>
  <c r="DU81" i="2539"/>
  <c r="DT81" i="2539"/>
  <c r="DS81" i="2539"/>
  <c r="DR81" i="2539"/>
  <c r="DQ81" i="2539"/>
  <c r="DP81" i="2539"/>
  <c r="DO81" i="2539"/>
  <c r="DM81" i="2539"/>
  <c r="DL81" i="2539"/>
  <c r="DK81" i="2539"/>
  <c r="DJ81" i="2539"/>
  <c r="DI81" i="2539"/>
  <c r="DH81" i="2539"/>
  <c r="DG81" i="2539"/>
  <c r="DF81" i="2539"/>
  <c r="DE81" i="2539"/>
  <c r="DD81" i="2539"/>
  <c r="DC81" i="2539"/>
  <c r="DB81" i="2539"/>
  <c r="CZ81" i="2539"/>
  <c r="CY81" i="2539"/>
  <c r="CX81" i="2539"/>
  <c r="CW81" i="2539"/>
  <c r="CV81" i="2539"/>
  <c r="CU81" i="2539"/>
  <c r="CT81" i="2539"/>
  <c r="CS81" i="2539"/>
  <c r="CR81" i="2539"/>
  <c r="CQ81" i="2539"/>
  <c r="CP81" i="2539"/>
  <c r="CO81" i="2539"/>
  <c r="CM81" i="2539"/>
  <c r="CL81" i="2539"/>
  <c r="CK81" i="2539"/>
  <c r="CJ81" i="2539"/>
  <c r="CI81" i="2539"/>
  <c r="CH81" i="2539"/>
  <c r="CG81" i="2539"/>
  <c r="CF81" i="2539"/>
  <c r="CE81" i="2539"/>
  <c r="CD81" i="2539"/>
  <c r="CC81" i="2539"/>
  <c r="CB81" i="2539"/>
  <c r="BZ81" i="2539"/>
  <c r="BY81" i="2539"/>
  <c r="BX81" i="2539"/>
  <c r="BW81" i="2539"/>
  <c r="BV81" i="2539"/>
  <c r="BU81" i="2539"/>
  <c r="BT81" i="2539"/>
  <c r="BS81" i="2539"/>
  <c r="BR81" i="2539"/>
  <c r="BQ81" i="2539"/>
  <c r="BP81" i="2539"/>
  <c r="BO81" i="2539"/>
  <c r="BM81" i="2539"/>
  <c r="BL81" i="2539"/>
  <c r="BK81" i="2539"/>
  <c r="BJ81" i="2539"/>
  <c r="BI81" i="2539"/>
  <c r="BH81" i="2539"/>
  <c r="BG81" i="2539"/>
  <c r="BF81" i="2539"/>
  <c r="BE81" i="2539"/>
  <c r="BD81" i="2539"/>
  <c r="BC81" i="2539"/>
  <c r="BB81" i="2539"/>
  <c r="HM80" i="2539"/>
  <c r="HM99" i="2539" s="1"/>
  <c r="HL80" i="2539"/>
  <c r="HL99" i="2539" s="1"/>
  <c r="HK80" i="2539"/>
  <c r="HK99" i="2539" s="1"/>
  <c r="HJ80" i="2539"/>
  <c r="HJ99" i="2539" s="1"/>
  <c r="HI80" i="2539"/>
  <c r="HI99" i="2539" s="1"/>
  <c r="HH80" i="2539"/>
  <c r="HH99" i="2539" s="1"/>
  <c r="HG80" i="2539"/>
  <c r="HG99" i="2539" s="1"/>
  <c r="HF80" i="2539"/>
  <c r="HF99" i="2539" s="1"/>
  <c r="HE80" i="2539"/>
  <c r="HE99" i="2539" s="1"/>
  <c r="HD80" i="2539"/>
  <c r="HD99" i="2539" s="1"/>
  <c r="HC80" i="2539"/>
  <c r="HC99" i="2539" s="1"/>
  <c r="HB80" i="2539"/>
  <c r="HB99" i="2539" s="1"/>
  <c r="GZ80" i="2539"/>
  <c r="GZ99" i="2539" s="1"/>
  <c r="GY80" i="2539"/>
  <c r="GY99" i="2539" s="1"/>
  <c r="GX80" i="2539"/>
  <c r="GX99" i="2539" s="1"/>
  <c r="GW80" i="2539"/>
  <c r="GW99" i="2539" s="1"/>
  <c r="GV80" i="2539"/>
  <c r="GV99" i="2539" s="1"/>
  <c r="GU80" i="2539"/>
  <c r="GU99" i="2539" s="1"/>
  <c r="GT80" i="2539"/>
  <c r="GT99" i="2539" s="1"/>
  <c r="GS80" i="2539"/>
  <c r="GS99" i="2539" s="1"/>
  <c r="GR80" i="2539"/>
  <c r="GQ80" i="2539"/>
  <c r="GQ99" i="2539" s="1"/>
  <c r="GP80" i="2539"/>
  <c r="GP99" i="2539" s="1"/>
  <c r="GO80" i="2539"/>
  <c r="GO99" i="2539" s="1"/>
  <c r="GM80" i="2539"/>
  <c r="GM99" i="2539" s="1"/>
  <c r="GL80" i="2539"/>
  <c r="GL99" i="2539" s="1"/>
  <c r="GK80" i="2539"/>
  <c r="GK99" i="2539" s="1"/>
  <c r="GJ80" i="2539"/>
  <c r="GJ99" i="2539" s="1"/>
  <c r="GI80" i="2539"/>
  <c r="GI99" i="2539" s="1"/>
  <c r="GH80" i="2539"/>
  <c r="GH99" i="2539" s="1"/>
  <c r="GG80" i="2539"/>
  <c r="GG99" i="2539" s="1"/>
  <c r="GF80" i="2539"/>
  <c r="GF99" i="2539" s="1"/>
  <c r="GE80" i="2539"/>
  <c r="GE99" i="2539" s="1"/>
  <c r="GD80" i="2539"/>
  <c r="GD99" i="2539" s="1"/>
  <c r="GC80" i="2539"/>
  <c r="GC99" i="2539" s="1"/>
  <c r="GB80" i="2539"/>
  <c r="GB99" i="2539" s="1"/>
  <c r="FZ80" i="2539"/>
  <c r="FZ99" i="2539" s="1"/>
  <c r="FY80" i="2539"/>
  <c r="FY99" i="2539" s="1"/>
  <c r="FX80" i="2539"/>
  <c r="FX99" i="2539" s="1"/>
  <c r="FW80" i="2539"/>
  <c r="FW99" i="2539" s="1"/>
  <c r="FV80" i="2539"/>
  <c r="FV99" i="2539" s="1"/>
  <c r="FU80" i="2539"/>
  <c r="FU99" i="2539" s="1"/>
  <c r="FT80" i="2539"/>
  <c r="FT99" i="2539" s="1"/>
  <c r="FS80" i="2539"/>
  <c r="FS99" i="2539" s="1"/>
  <c r="FR80" i="2539"/>
  <c r="FR99" i="2539" s="1"/>
  <c r="FQ80" i="2539"/>
  <c r="FQ99" i="2539" s="1"/>
  <c r="FP80" i="2539"/>
  <c r="FP99" i="2539" s="1"/>
  <c r="FO80" i="2539"/>
  <c r="FO99" i="2539" s="1"/>
  <c r="FM80" i="2539"/>
  <c r="FM99" i="2539" s="1"/>
  <c r="FL80" i="2539"/>
  <c r="FL99" i="2539" s="1"/>
  <c r="FK80" i="2539"/>
  <c r="FK99" i="2539" s="1"/>
  <c r="FJ80" i="2539"/>
  <c r="FJ99" i="2539" s="1"/>
  <c r="FI80" i="2539"/>
  <c r="FI99" i="2539" s="1"/>
  <c r="FH80" i="2539"/>
  <c r="FH99" i="2539" s="1"/>
  <c r="FG80" i="2539"/>
  <c r="FG99" i="2539" s="1"/>
  <c r="FF80" i="2539"/>
  <c r="FF99" i="2539" s="1"/>
  <c r="FE80" i="2539"/>
  <c r="FE99" i="2539" s="1"/>
  <c r="FD80" i="2539"/>
  <c r="FD99" i="2539" s="1"/>
  <c r="FC80" i="2539"/>
  <c r="FC99" i="2539" s="1"/>
  <c r="FB80" i="2539"/>
  <c r="FB99" i="2539" s="1"/>
  <c r="EZ80" i="2539"/>
  <c r="EZ99" i="2539" s="1"/>
  <c r="EY80" i="2539"/>
  <c r="EY99" i="2539" s="1"/>
  <c r="EX80" i="2539"/>
  <c r="EX99" i="2539" s="1"/>
  <c r="EW80" i="2539"/>
  <c r="EW99" i="2539" s="1"/>
  <c r="EV80" i="2539"/>
  <c r="EV99" i="2539" s="1"/>
  <c r="EU80" i="2539"/>
  <c r="EU99" i="2539" s="1"/>
  <c r="ET80" i="2539"/>
  <c r="ET99" i="2539" s="1"/>
  <c r="ES80" i="2539"/>
  <c r="ES99" i="2539" s="1"/>
  <c r="ER80" i="2539"/>
  <c r="ER99" i="2539" s="1"/>
  <c r="EQ80" i="2539"/>
  <c r="EQ99" i="2539" s="1"/>
  <c r="EP80" i="2539"/>
  <c r="EP99" i="2539" s="1"/>
  <c r="EO80" i="2539"/>
  <c r="EO99" i="2539" s="1"/>
  <c r="EM80" i="2539"/>
  <c r="EM99" i="2539" s="1"/>
  <c r="EL80" i="2539"/>
  <c r="EL99" i="2539" s="1"/>
  <c r="EK80" i="2539"/>
  <c r="EK99" i="2539" s="1"/>
  <c r="EJ80" i="2539"/>
  <c r="EJ99" i="2539" s="1"/>
  <c r="EI80" i="2539"/>
  <c r="EI99" i="2539" s="1"/>
  <c r="EH80" i="2539"/>
  <c r="EH99" i="2539" s="1"/>
  <c r="EG80" i="2539"/>
  <c r="EG99" i="2539" s="1"/>
  <c r="EF80" i="2539"/>
  <c r="EF99" i="2539" s="1"/>
  <c r="EE80" i="2539"/>
  <c r="EE99" i="2539" s="1"/>
  <c r="ED80" i="2539"/>
  <c r="ED99" i="2539" s="1"/>
  <c r="EC80" i="2539"/>
  <c r="EC99" i="2539" s="1"/>
  <c r="EB80" i="2539"/>
  <c r="EB99" i="2539" s="1"/>
  <c r="DZ80" i="2539"/>
  <c r="DZ99" i="2539" s="1"/>
  <c r="DY80" i="2539"/>
  <c r="DY99" i="2539" s="1"/>
  <c r="DX80" i="2539"/>
  <c r="DX99" i="2539" s="1"/>
  <c r="DW80" i="2539"/>
  <c r="DW99" i="2539" s="1"/>
  <c r="DV80" i="2539"/>
  <c r="DV99" i="2539" s="1"/>
  <c r="DU80" i="2539"/>
  <c r="DU99" i="2539" s="1"/>
  <c r="DT80" i="2539"/>
  <c r="DT99" i="2539" s="1"/>
  <c r="DS80" i="2539"/>
  <c r="DR80" i="2539"/>
  <c r="DR99" i="2539" s="1"/>
  <c r="DQ80" i="2539"/>
  <c r="DQ99" i="2539" s="1"/>
  <c r="DP80" i="2539"/>
  <c r="DP99" i="2539" s="1"/>
  <c r="DO80" i="2539"/>
  <c r="DO99" i="2539" s="1"/>
  <c r="DM80" i="2539"/>
  <c r="DM99" i="2539" s="1"/>
  <c r="DL80" i="2539"/>
  <c r="DL99" i="2539" s="1"/>
  <c r="DK80" i="2539"/>
  <c r="DK99" i="2539" s="1"/>
  <c r="DJ80" i="2539"/>
  <c r="DJ99" i="2539" s="1"/>
  <c r="DI80" i="2539"/>
  <c r="DI99" i="2539" s="1"/>
  <c r="DH80" i="2539"/>
  <c r="DH99" i="2539" s="1"/>
  <c r="DG80" i="2539"/>
  <c r="DG99" i="2539" s="1"/>
  <c r="DF80" i="2539"/>
  <c r="DF99" i="2539" s="1"/>
  <c r="DE80" i="2539"/>
  <c r="DE99" i="2539" s="1"/>
  <c r="DD80" i="2539"/>
  <c r="DD99" i="2539" s="1"/>
  <c r="DC80" i="2539"/>
  <c r="DC99" i="2539" s="1"/>
  <c r="DB80" i="2539"/>
  <c r="CZ80" i="2539"/>
  <c r="CZ99" i="2539" s="1"/>
  <c r="CY80" i="2539"/>
  <c r="CY99" i="2539" s="1"/>
  <c r="CX80" i="2539"/>
  <c r="CX99" i="2539" s="1"/>
  <c r="CW80" i="2539"/>
  <c r="CW99" i="2539" s="1"/>
  <c r="CV80" i="2539"/>
  <c r="CV99" i="2539" s="1"/>
  <c r="CU80" i="2539"/>
  <c r="CU99" i="2539" s="1"/>
  <c r="CT80" i="2539"/>
  <c r="CT99" i="2539" s="1"/>
  <c r="CS80" i="2539"/>
  <c r="CR80" i="2539"/>
  <c r="CR99" i="2539" s="1"/>
  <c r="CQ80" i="2539"/>
  <c r="CQ99" i="2539" s="1"/>
  <c r="CP80" i="2539"/>
  <c r="CP99" i="2539" s="1"/>
  <c r="CO80" i="2539"/>
  <c r="CM80" i="2539"/>
  <c r="CM99" i="2539" s="1"/>
  <c r="CL80" i="2539"/>
  <c r="CL99" i="2539" s="1"/>
  <c r="CK80" i="2539"/>
  <c r="CK99" i="2539" s="1"/>
  <c r="CJ80" i="2539"/>
  <c r="CJ99" i="2539" s="1"/>
  <c r="CI80" i="2539"/>
  <c r="CI99" i="2539" s="1"/>
  <c r="CH80" i="2539"/>
  <c r="CH99" i="2539" s="1"/>
  <c r="CG80" i="2539"/>
  <c r="CG99" i="2539" s="1"/>
  <c r="CF80" i="2539"/>
  <c r="CF99" i="2539" s="1"/>
  <c r="CE80" i="2539"/>
  <c r="CE99" i="2539" s="1"/>
  <c r="CD80" i="2539"/>
  <c r="CD99" i="2539" s="1"/>
  <c r="CC80" i="2539"/>
  <c r="CC99" i="2539" s="1"/>
  <c r="CB80" i="2539"/>
  <c r="CB99" i="2539" s="1"/>
  <c r="CA80" i="2539"/>
  <c r="BN80" i="2539"/>
  <c r="HM79" i="2539"/>
  <c r="HM98" i="2539" s="1"/>
  <c r="HL79" i="2539"/>
  <c r="HL98" i="2539" s="1"/>
  <c r="HK79" i="2539"/>
  <c r="HK98" i="2539" s="1"/>
  <c r="HJ79" i="2539"/>
  <c r="HJ98" i="2539" s="1"/>
  <c r="HI79" i="2539"/>
  <c r="HI98" i="2539" s="1"/>
  <c r="HH79" i="2539"/>
  <c r="HH98" i="2539" s="1"/>
  <c r="HG79" i="2539"/>
  <c r="HG98" i="2539" s="1"/>
  <c r="HF79" i="2539"/>
  <c r="HF98" i="2539" s="1"/>
  <c r="HE79" i="2539"/>
  <c r="HE98" i="2539" s="1"/>
  <c r="HD79" i="2539"/>
  <c r="HD98" i="2539" s="1"/>
  <c r="HC79" i="2539"/>
  <c r="HC98" i="2539" s="1"/>
  <c r="HB79" i="2539"/>
  <c r="HB98" i="2539" s="1"/>
  <c r="GZ79" i="2539"/>
  <c r="GZ98" i="2539" s="1"/>
  <c r="GY79" i="2539"/>
  <c r="GY98" i="2539" s="1"/>
  <c r="GX79" i="2539"/>
  <c r="GX98" i="2539" s="1"/>
  <c r="GW79" i="2539"/>
  <c r="GW98" i="2539" s="1"/>
  <c r="GV79" i="2539"/>
  <c r="GV98" i="2539" s="1"/>
  <c r="GU79" i="2539"/>
  <c r="GU98" i="2539" s="1"/>
  <c r="GT79" i="2539"/>
  <c r="GT98" i="2539" s="1"/>
  <c r="GS79" i="2539"/>
  <c r="GS98" i="2539" s="1"/>
  <c r="GR79" i="2539"/>
  <c r="GR98" i="2539" s="1"/>
  <c r="GQ79" i="2539"/>
  <c r="GQ98" i="2539" s="1"/>
  <c r="GP79" i="2539"/>
  <c r="GP98" i="2539" s="1"/>
  <c r="GO79" i="2539"/>
  <c r="GM79" i="2539"/>
  <c r="GM98" i="2539" s="1"/>
  <c r="GL79" i="2539"/>
  <c r="GL98" i="2539" s="1"/>
  <c r="GK79" i="2539"/>
  <c r="GK98" i="2539" s="1"/>
  <c r="GJ79" i="2539"/>
  <c r="GJ98" i="2539" s="1"/>
  <c r="GI79" i="2539"/>
  <c r="GI98" i="2539" s="1"/>
  <c r="GH79" i="2539"/>
  <c r="GH98" i="2539" s="1"/>
  <c r="GG79" i="2539"/>
  <c r="GG98" i="2539" s="1"/>
  <c r="GF79" i="2539"/>
  <c r="GF98" i="2539" s="1"/>
  <c r="GE79" i="2539"/>
  <c r="GE98" i="2539" s="1"/>
  <c r="GD79" i="2539"/>
  <c r="GD98" i="2539" s="1"/>
  <c r="GC79" i="2539"/>
  <c r="GC98" i="2539" s="1"/>
  <c r="GB79" i="2539"/>
  <c r="GB98" i="2539" s="1"/>
  <c r="FZ79" i="2539"/>
  <c r="FZ98" i="2539" s="1"/>
  <c r="FY79" i="2539"/>
  <c r="FY98" i="2539" s="1"/>
  <c r="FX79" i="2539"/>
  <c r="FX98" i="2539" s="1"/>
  <c r="FW79" i="2539"/>
  <c r="FW98" i="2539" s="1"/>
  <c r="FV79" i="2539"/>
  <c r="FV98" i="2539" s="1"/>
  <c r="FU79" i="2539"/>
  <c r="FU98" i="2539" s="1"/>
  <c r="FT79" i="2539"/>
  <c r="FT98" i="2539" s="1"/>
  <c r="FS79" i="2539"/>
  <c r="FS98" i="2539" s="1"/>
  <c r="FR79" i="2539"/>
  <c r="FR98" i="2539" s="1"/>
  <c r="FQ79" i="2539"/>
  <c r="FQ98" i="2539" s="1"/>
  <c r="FP79" i="2539"/>
  <c r="FP98" i="2539" s="1"/>
  <c r="FO79" i="2539"/>
  <c r="FO98" i="2539" s="1"/>
  <c r="FM79" i="2539"/>
  <c r="FM98" i="2539" s="1"/>
  <c r="FL79" i="2539"/>
  <c r="FL98" i="2539" s="1"/>
  <c r="FK79" i="2539"/>
  <c r="FK98" i="2539" s="1"/>
  <c r="FJ79" i="2539"/>
  <c r="FJ98" i="2539" s="1"/>
  <c r="FI79" i="2539"/>
  <c r="FI98" i="2539" s="1"/>
  <c r="FH79" i="2539"/>
  <c r="FG79" i="2539"/>
  <c r="FG98" i="2539" s="1"/>
  <c r="FF79" i="2539"/>
  <c r="FF98" i="2539" s="1"/>
  <c r="FE79" i="2539"/>
  <c r="FE98" i="2539" s="1"/>
  <c r="FD79" i="2539"/>
  <c r="FD98" i="2539" s="1"/>
  <c r="FC79" i="2539"/>
  <c r="FC98" i="2539" s="1"/>
  <c r="FB79" i="2539"/>
  <c r="FB98" i="2539" s="1"/>
  <c r="EZ79" i="2539"/>
  <c r="EZ98" i="2539" s="1"/>
  <c r="EY79" i="2539"/>
  <c r="EY98" i="2539" s="1"/>
  <c r="EX79" i="2539"/>
  <c r="EX98" i="2539" s="1"/>
  <c r="EW79" i="2539"/>
  <c r="EW98" i="2539" s="1"/>
  <c r="EV79" i="2539"/>
  <c r="EV98" i="2539" s="1"/>
  <c r="EU79" i="2539"/>
  <c r="EU98" i="2539" s="1"/>
  <c r="ET79" i="2539"/>
  <c r="ET98" i="2539" s="1"/>
  <c r="ES79" i="2539"/>
  <c r="ES98" i="2539" s="1"/>
  <c r="ER79" i="2539"/>
  <c r="ER98" i="2539" s="1"/>
  <c r="EQ79" i="2539"/>
  <c r="EQ98" i="2539" s="1"/>
  <c r="EP79" i="2539"/>
  <c r="EP98" i="2539" s="1"/>
  <c r="EO79" i="2539"/>
  <c r="EO98" i="2539" s="1"/>
  <c r="HM78" i="2539"/>
  <c r="HM97" i="2539" s="1"/>
  <c r="HL78" i="2539"/>
  <c r="HK78" i="2539"/>
  <c r="HK97" i="2539" s="1"/>
  <c r="HJ78" i="2539"/>
  <c r="HJ97" i="2539" s="1"/>
  <c r="HI78" i="2539"/>
  <c r="HI97" i="2539" s="1"/>
  <c r="HH78" i="2539"/>
  <c r="HH97" i="2539" s="1"/>
  <c r="HG78" i="2539"/>
  <c r="HG97" i="2539" s="1"/>
  <c r="HF78" i="2539"/>
  <c r="HF97" i="2539" s="1"/>
  <c r="HE78" i="2539"/>
  <c r="HE97" i="2539" s="1"/>
  <c r="HD78" i="2539"/>
  <c r="HD97" i="2539" s="1"/>
  <c r="HC78" i="2539"/>
  <c r="HC97" i="2539" s="1"/>
  <c r="HB78" i="2539"/>
  <c r="GZ78" i="2539"/>
  <c r="GY78" i="2539"/>
  <c r="GY97" i="2539" s="1"/>
  <c r="GX78" i="2539"/>
  <c r="GX97" i="2539" s="1"/>
  <c r="GW78" i="2539"/>
  <c r="GW97" i="2539" s="1"/>
  <c r="GV78" i="2539"/>
  <c r="GV97" i="2539" s="1"/>
  <c r="GU78" i="2539"/>
  <c r="GU97" i="2539" s="1"/>
  <c r="GT78" i="2539"/>
  <c r="GT97" i="2539" s="1"/>
  <c r="GS78" i="2539"/>
  <c r="GS97" i="2539" s="1"/>
  <c r="GR78" i="2539"/>
  <c r="GR97" i="2539" s="1"/>
  <c r="GQ78" i="2539"/>
  <c r="GQ97" i="2539" s="1"/>
  <c r="GP78" i="2539"/>
  <c r="GP97" i="2539" s="1"/>
  <c r="GO78" i="2539"/>
  <c r="GO97" i="2539" s="1"/>
  <c r="GM78" i="2539"/>
  <c r="GM97" i="2539" s="1"/>
  <c r="GL78" i="2539"/>
  <c r="GL97" i="2539" s="1"/>
  <c r="GK78" i="2539"/>
  <c r="GK97" i="2539" s="1"/>
  <c r="GJ78" i="2539"/>
  <c r="GJ97" i="2539" s="1"/>
  <c r="GI78" i="2539"/>
  <c r="GI97" i="2539" s="1"/>
  <c r="GH78" i="2539"/>
  <c r="GH97" i="2539" s="1"/>
  <c r="GG78" i="2539"/>
  <c r="GG97" i="2539" s="1"/>
  <c r="GF78" i="2539"/>
  <c r="GF97" i="2539" s="1"/>
  <c r="GE78" i="2539"/>
  <c r="GE97" i="2539" s="1"/>
  <c r="GD78" i="2539"/>
  <c r="GD97" i="2539" s="1"/>
  <c r="GC78" i="2539"/>
  <c r="GC97" i="2539" s="1"/>
  <c r="GB78" i="2539"/>
  <c r="FZ78" i="2539"/>
  <c r="FZ97" i="2539" s="1"/>
  <c r="FY78" i="2539"/>
  <c r="FY97" i="2539" s="1"/>
  <c r="FX78" i="2539"/>
  <c r="FX97" i="2539" s="1"/>
  <c r="FW78" i="2539"/>
  <c r="FW97" i="2539" s="1"/>
  <c r="FV78" i="2539"/>
  <c r="FV97" i="2539" s="1"/>
  <c r="FU78" i="2539"/>
  <c r="FU97" i="2539" s="1"/>
  <c r="FT78" i="2539"/>
  <c r="FT97" i="2539" s="1"/>
  <c r="FS78" i="2539"/>
  <c r="FS97" i="2539" s="1"/>
  <c r="FR78" i="2539"/>
  <c r="FR97" i="2539" s="1"/>
  <c r="FQ78" i="2539"/>
  <c r="FQ97" i="2539" s="1"/>
  <c r="FP78" i="2539"/>
  <c r="FP97" i="2539" s="1"/>
  <c r="FO78" i="2539"/>
  <c r="FO97" i="2539" s="1"/>
  <c r="FM78" i="2539"/>
  <c r="FL78" i="2539"/>
  <c r="FL97" i="2539" s="1"/>
  <c r="FK78" i="2539"/>
  <c r="FK97" i="2539" s="1"/>
  <c r="FJ78" i="2539"/>
  <c r="FJ97" i="2539" s="1"/>
  <c r="FI78" i="2539"/>
  <c r="FI97" i="2539" s="1"/>
  <c r="FH78" i="2539"/>
  <c r="FH97" i="2539" s="1"/>
  <c r="FG78" i="2539"/>
  <c r="FG97" i="2539" s="1"/>
  <c r="FF78" i="2539"/>
  <c r="FF97" i="2539" s="1"/>
  <c r="FE78" i="2539"/>
  <c r="FE97" i="2539" s="1"/>
  <c r="FD78" i="2539"/>
  <c r="FC78" i="2539"/>
  <c r="FC97" i="2539" s="1"/>
  <c r="FB78" i="2539"/>
  <c r="FB97" i="2539" s="1"/>
  <c r="EZ78" i="2539"/>
  <c r="EZ97" i="2539" s="1"/>
  <c r="EY78" i="2539"/>
  <c r="EY97" i="2539" s="1"/>
  <c r="EX78" i="2539"/>
  <c r="EX97" i="2539" s="1"/>
  <c r="EW78" i="2539"/>
  <c r="EW97" i="2539" s="1"/>
  <c r="EV78" i="2539"/>
  <c r="EV97" i="2539" s="1"/>
  <c r="EU78" i="2539"/>
  <c r="EU97" i="2539" s="1"/>
  <c r="ET78" i="2539"/>
  <c r="ET97" i="2539" s="1"/>
  <c r="ES78" i="2539"/>
  <c r="ES97" i="2539" s="1"/>
  <c r="ER78" i="2539"/>
  <c r="ER97" i="2539" s="1"/>
  <c r="EQ78" i="2539"/>
  <c r="EQ97" i="2539" s="1"/>
  <c r="EP78" i="2539"/>
  <c r="EP97" i="2539" s="1"/>
  <c r="EO78" i="2539"/>
  <c r="EO97" i="2539" s="1"/>
  <c r="EM78" i="2539"/>
  <c r="EM97" i="2539" s="1"/>
  <c r="EL78" i="2539"/>
  <c r="EL97" i="2539" s="1"/>
  <c r="EK78" i="2539"/>
  <c r="EK97" i="2539" s="1"/>
  <c r="EJ78" i="2539"/>
  <c r="EJ97" i="2539" s="1"/>
  <c r="EI78" i="2539"/>
  <c r="EI97" i="2539" s="1"/>
  <c r="EH78" i="2539"/>
  <c r="EH97" i="2539" s="1"/>
  <c r="EG78" i="2539"/>
  <c r="EG97" i="2539" s="1"/>
  <c r="EF78" i="2539"/>
  <c r="EF97" i="2539" s="1"/>
  <c r="EE78" i="2539"/>
  <c r="EE97" i="2539" s="1"/>
  <c r="ED78" i="2539"/>
  <c r="ED97" i="2539" s="1"/>
  <c r="EC78" i="2539"/>
  <c r="EC97" i="2539" s="1"/>
  <c r="EB78" i="2539"/>
  <c r="EB97" i="2539" s="1"/>
  <c r="DZ78" i="2539"/>
  <c r="DY78" i="2539"/>
  <c r="DY97" i="2539" s="1"/>
  <c r="DX78" i="2539"/>
  <c r="DX97" i="2539" s="1"/>
  <c r="DW78" i="2539"/>
  <c r="DW97" i="2539" s="1"/>
  <c r="DV78" i="2539"/>
  <c r="DV97" i="2539" s="1"/>
  <c r="DU78" i="2539"/>
  <c r="DU97" i="2539" s="1"/>
  <c r="DT78" i="2539"/>
  <c r="DT97" i="2539" s="1"/>
  <c r="DS78" i="2539"/>
  <c r="DS97" i="2539" s="1"/>
  <c r="DR78" i="2539"/>
  <c r="DR97" i="2539" s="1"/>
  <c r="DQ78" i="2539"/>
  <c r="DQ97" i="2539" s="1"/>
  <c r="DP78" i="2539"/>
  <c r="DP97" i="2539" s="1"/>
  <c r="DO78" i="2539"/>
  <c r="DO97" i="2539" s="1"/>
  <c r="DM78" i="2539"/>
  <c r="DM97" i="2539" s="1"/>
  <c r="DL78" i="2539"/>
  <c r="DL97" i="2539" s="1"/>
  <c r="DK78" i="2539"/>
  <c r="DK97" i="2539" s="1"/>
  <c r="DJ78" i="2539"/>
  <c r="DJ97" i="2539" s="1"/>
  <c r="DI78" i="2539"/>
  <c r="DI97" i="2539" s="1"/>
  <c r="DH78" i="2539"/>
  <c r="DH97" i="2539" s="1"/>
  <c r="DG78" i="2539"/>
  <c r="DG97" i="2539" s="1"/>
  <c r="DF78" i="2539"/>
  <c r="DF97" i="2539" s="1"/>
  <c r="DE78" i="2539"/>
  <c r="DE97" i="2539" s="1"/>
  <c r="DD78" i="2539"/>
  <c r="DD97" i="2539" s="1"/>
  <c r="DC78" i="2539"/>
  <c r="DC97" i="2539" s="1"/>
  <c r="DB78" i="2539"/>
  <c r="DB97" i="2539" s="1"/>
  <c r="CZ78" i="2539"/>
  <c r="CZ97" i="2539" s="1"/>
  <c r="CY78" i="2539"/>
  <c r="CY97" i="2539" s="1"/>
  <c r="CX78" i="2539"/>
  <c r="CX97" i="2539" s="1"/>
  <c r="CW78" i="2539"/>
  <c r="CW97" i="2539" s="1"/>
  <c r="CV78" i="2539"/>
  <c r="CV97" i="2539" s="1"/>
  <c r="CU78" i="2539"/>
  <c r="CU97" i="2539" s="1"/>
  <c r="CT78" i="2539"/>
  <c r="CT97" i="2539" s="1"/>
  <c r="CS78" i="2539"/>
  <c r="CS97" i="2539" s="1"/>
  <c r="CR78" i="2539"/>
  <c r="CR97" i="2539" s="1"/>
  <c r="CQ78" i="2539"/>
  <c r="CP78" i="2539"/>
  <c r="CP97" i="2539" s="1"/>
  <c r="CO78" i="2539"/>
  <c r="CO97" i="2539" s="1"/>
  <c r="CM78" i="2539"/>
  <c r="CM97" i="2539" s="1"/>
  <c r="CL78" i="2539"/>
  <c r="CL97" i="2539" s="1"/>
  <c r="CK78" i="2539"/>
  <c r="CK97" i="2539" s="1"/>
  <c r="CJ78" i="2539"/>
  <c r="CJ97" i="2539" s="1"/>
  <c r="CI78" i="2539"/>
  <c r="CI97" i="2539" s="1"/>
  <c r="CH78" i="2539"/>
  <c r="CH97" i="2539" s="1"/>
  <c r="CG78" i="2539"/>
  <c r="CG97" i="2539" s="1"/>
  <c r="CF78" i="2539"/>
  <c r="CF97" i="2539" s="1"/>
  <c r="CE78" i="2539"/>
  <c r="CE97" i="2539" s="1"/>
  <c r="CD78" i="2539"/>
  <c r="CD97" i="2539" s="1"/>
  <c r="CC78" i="2539"/>
  <c r="CC97" i="2539" s="1"/>
  <c r="CB78" i="2539"/>
  <c r="CB97" i="2539" s="1"/>
  <c r="BZ78" i="2539"/>
  <c r="BY78" i="2539"/>
  <c r="BY97" i="2539" s="1"/>
  <c r="BX78" i="2539"/>
  <c r="BX97" i="2539" s="1"/>
  <c r="BW78" i="2539"/>
  <c r="BW97" i="2539" s="1"/>
  <c r="BV78" i="2539"/>
  <c r="BV97" i="2539" s="1"/>
  <c r="BU78" i="2539"/>
  <c r="BU97" i="2539" s="1"/>
  <c r="BT78" i="2539"/>
  <c r="BT97" i="2539" s="1"/>
  <c r="BS78" i="2539"/>
  <c r="BS97" i="2539" s="1"/>
  <c r="BR78" i="2539"/>
  <c r="BR97" i="2539" s="1"/>
  <c r="BQ78" i="2539"/>
  <c r="BQ97" i="2539" s="1"/>
  <c r="BP78" i="2539"/>
  <c r="BP97" i="2539" s="1"/>
  <c r="BO78" i="2539"/>
  <c r="BO97" i="2539" s="1"/>
  <c r="HM77" i="2539"/>
  <c r="HM96" i="2539" s="1"/>
  <c r="HL77" i="2539"/>
  <c r="HL96" i="2539" s="1"/>
  <c r="HK77" i="2539"/>
  <c r="HK96" i="2539" s="1"/>
  <c r="HJ77" i="2539"/>
  <c r="HJ96" i="2539" s="1"/>
  <c r="HI77" i="2539"/>
  <c r="HI96" i="2539" s="1"/>
  <c r="HH77" i="2539"/>
  <c r="HH96" i="2539" s="1"/>
  <c r="HG77" i="2539"/>
  <c r="HG96" i="2539" s="1"/>
  <c r="HF77" i="2539"/>
  <c r="HF96" i="2539" s="1"/>
  <c r="HE77" i="2539"/>
  <c r="HD77" i="2539"/>
  <c r="HD96" i="2539" s="1"/>
  <c r="HC77" i="2539"/>
  <c r="HC96" i="2539" s="1"/>
  <c r="HB77" i="2539"/>
  <c r="GZ77" i="2539"/>
  <c r="GZ96" i="2539" s="1"/>
  <c r="GY77" i="2539"/>
  <c r="GY96" i="2539" s="1"/>
  <c r="GX77" i="2539"/>
  <c r="GX96" i="2539" s="1"/>
  <c r="GW77" i="2539"/>
  <c r="GW96" i="2539" s="1"/>
  <c r="GV77" i="2539"/>
  <c r="GV96" i="2539" s="1"/>
  <c r="GU77" i="2539"/>
  <c r="GU96" i="2539" s="1"/>
  <c r="GT77" i="2539"/>
  <c r="GT96" i="2539" s="1"/>
  <c r="GS77" i="2539"/>
  <c r="GR77" i="2539"/>
  <c r="GR96" i="2539" s="1"/>
  <c r="GQ77" i="2539"/>
  <c r="GQ96" i="2539" s="1"/>
  <c r="GP77" i="2539"/>
  <c r="GO77" i="2539"/>
  <c r="GO96" i="2539" s="1"/>
  <c r="GM77" i="2539"/>
  <c r="GM96" i="2539" s="1"/>
  <c r="GL77" i="2539"/>
  <c r="GL96" i="2539" s="1"/>
  <c r="GK77" i="2539"/>
  <c r="GK96" i="2539" s="1"/>
  <c r="GJ77" i="2539"/>
  <c r="GJ96" i="2539" s="1"/>
  <c r="GI77" i="2539"/>
  <c r="GI96" i="2539" s="1"/>
  <c r="GH77" i="2539"/>
  <c r="GH96" i="2539" s="1"/>
  <c r="GG77" i="2539"/>
  <c r="GF77" i="2539"/>
  <c r="GF96" i="2539" s="1"/>
  <c r="GE77" i="2539"/>
  <c r="GE96" i="2539" s="1"/>
  <c r="GD77" i="2539"/>
  <c r="GC77" i="2539"/>
  <c r="GB77" i="2539"/>
  <c r="GB96" i="2539" s="1"/>
  <c r="FZ77" i="2539"/>
  <c r="FZ96" i="2539" s="1"/>
  <c r="FY77" i="2539"/>
  <c r="FY96" i="2539" s="1"/>
  <c r="FX77" i="2539"/>
  <c r="FX96" i="2539" s="1"/>
  <c r="FW77" i="2539"/>
  <c r="FW96" i="2539" s="1"/>
  <c r="FV77" i="2539"/>
  <c r="FV96" i="2539" s="1"/>
  <c r="FU77" i="2539"/>
  <c r="FU96" i="2539" s="1"/>
  <c r="FT77" i="2539"/>
  <c r="FT96" i="2539" s="1"/>
  <c r="FS77" i="2539"/>
  <c r="FS96" i="2539" s="1"/>
  <c r="FR77" i="2539"/>
  <c r="FR96" i="2539" s="1"/>
  <c r="FQ77" i="2539"/>
  <c r="FP77" i="2539"/>
  <c r="FP96" i="2539" s="1"/>
  <c r="FO77" i="2539"/>
  <c r="FM77" i="2539"/>
  <c r="FM96" i="2539" s="1"/>
  <c r="FL77" i="2539"/>
  <c r="FL96" i="2539" s="1"/>
  <c r="FK77" i="2539"/>
  <c r="FK96" i="2539" s="1"/>
  <c r="FJ77" i="2539"/>
  <c r="FJ96" i="2539" s="1"/>
  <c r="FI77" i="2539"/>
  <c r="FI96" i="2539" s="1"/>
  <c r="FH77" i="2539"/>
  <c r="FH96" i="2539" s="1"/>
  <c r="FG77" i="2539"/>
  <c r="FG96" i="2539" s="1"/>
  <c r="FF77" i="2539"/>
  <c r="FE77" i="2539"/>
  <c r="FE96" i="2539" s="1"/>
  <c r="FD77" i="2539"/>
  <c r="FD96" i="2539" s="1"/>
  <c r="FC77" i="2539"/>
  <c r="FC96" i="2539" s="1"/>
  <c r="FB77" i="2539"/>
  <c r="EZ77" i="2539"/>
  <c r="EZ96" i="2539" s="1"/>
  <c r="EY77" i="2539"/>
  <c r="EY96" i="2539" s="1"/>
  <c r="EX77" i="2539"/>
  <c r="EX96" i="2539" s="1"/>
  <c r="EW77" i="2539"/>
  <c r="EW96" i="2539" s="1"/>
  <c r="EV77" i="2539"/>
  <c r="EV96" i="2539" s="1"/>
  <c r="EU77" i="2539"/>
  <c r="EU96" i="2539" s="1"/>
  <c r="ET77" i="2539"/>
  <c r="ES77" i="2539"/>
  <c r="ES96" i="2539" s="1"/>
  <c r="ER77" i="2539"/>
  <c r="ER96" i="2539" s="1"/>
  <c r="EQ77" i="2539"/>
  <c r="EQ96" i="2539" s="1"/>
  <c r="EP77" i="2539"/>
  <c r="EP96" i="2539" s="1"/>
  <c r="EO77" i="2539"/>
  <c r="EM77" i="2539"/>
  <c r="EM96" i="2539" s="1"/>
  <c r="EL77" i="2539"/>
  <c r="EL96" i="2539" s="1"/>
  <c r="EK77" i="2539"/>
  <c r="EK96" i="2539" s="1"/>
  <c r="EJ77" i="2539"/>
  <c r="EJ96" i="2539" s="1"/>
  <c r="EI77" i="2539"/>
  <c r="EI96" i="2539" s="1"/>
  <c r="EH77" i="2539"/>
  <c r="EG77" i="2539"/>
  <c r="EG96" i="2539" s="1"/>
  <c r="EF77" i="2539"/>
  <c r="EF96" i="2539" s="1"/>
  <c r="EE77" i="2539"/>
  <c r="EE96" i="2539" s="1"/>
  <c r="ED77" i="2539"/>
  <c r="ED96" i="2539" s="1"/>
  <c r="EC77" i="2539"/>
  <c r="EC96" i="2539" s="1"/>
  <c r="EB77" i="2539"/>
  <c r="EB96" i="2539" s="1"/>
  <c r="DZ77" i="2539"/>
  <c r="DZ96" i="2539" s="1"/>
  <c r="DY77" i="2539"/>
  <c r="DY96" i="2539" s="1"/>
  <c r="DX77" i="2539"/>
  <c r="DX96" i="2539" s="1"/>
  <c r="DW77" i="2539"/>
  <c r="DW96" i="2539" s="1"/>
  <c r="DV77" i="2539"/>
  <c r="DU77" i="2539"/>
  <c r="DU96" i="2539" s="1"/>
  <c r="DT77" i="2539"/>
  <c r="DS77" i="2539"/>
  <c r="DS96" i="2539" s="1"/>
  <c r="DR77" i="2539"/>
  <c r="DR96" i="2539" s="1"/>
  <c r="DQ77" i="2539"/>
  <c r="DQ96" i="2539" s="1"/>
  <c r="DP77" i="2539"/>
  <c r="DO77" i="2539"/>
  <c r="DO96" i="2539" s="1"/>
  <c r="DM77" i="2539"/>
  <c r="DM96" i="2539" s="1"/>
  <c r="DL77" i="2539"/>
  <c r="DL96" i="2539" s="1"/>
  <c r="DK77" i="2539"/>
  <c r="DK96" i="2539" s="1"/>
  <c r="DJ77" i="2539"/>
  <c r="DJ96" i="2539" s="1"/>
  <c r="DI77" i="2539"/>
  <c r="DI96" i="2539" s="1"/>
  <c r="DH77" i="2539"/>
  <c r="DH96" i="2539" s="1"/>
  <c r="DG77" i="2539"/>
  <c r="DG96" i="2539" s="1"/>
  <c r="DF77" i="2539"/>
  <c r="DF96" i="2539" s="1"/>
  <c r="DE77" i="2539"/>
  <c r="DE96" i="2539" s="1"/>
  <c r="DD77" i="2539"/>
  <c r="DD96" i="2539" s="1"/>
  <c r="DC77" i="2539"/>
  <c r="DC96" i="2539" s="1"/>
  <c r="DB77" i="2539"/>
  <c r="DB96" i="2539" s="1"/>
  <c r="CZ77" i="2539"/>
  <c r="CZ96" i="2539" s="1"/>
  <c r="CY77" i="2539"/>
  <c r="CY96" i="2539" s="1"/>
  <c r="CX77" i="2539"/>
  <c r="CX96" i="2539" s="1"/>
  <c r="CW77" i="2539"/>
  <c r="CW96" i="2539" s="1"/>
  <c r="CV77" i="2539"/>
  <c r="CV96" i="2539" s="1"/>
  <c r="CU77" i="2539"/>
  <c r="CU96" i="2539" s="1"/>
  <c r="CT77" i="2539"/>
  <c r="CT96" i="2539" s="1"/>
  <c r="CS77" i="2539"/>
  <c r="CS96" i="2539" s="1"/>
  <c r="CR77" i="2539"/>
  <c r="CR96" i="2539" s="1"/>
  <c r="CQ77" i="2539"/>
  <c r="CQ96" i="2539" s="1"/>
  <c r="CP77" i="2539"/>
  <c r="CP96" i="2539" s="1"/>
  <c r="CO77" i="2539"/>
  <c r="CO96" i="2539" s="1"/>
  <c r="CM77" i="2539"/>
  <c r="CM96" i="2539" s="1"/>
  <c r="CL77" i="2539"/>
  <c r="CL96" i="2539" s="1"/>
  <c r="CK77" i="2539"/>
  <c r="CK96" i="2539" s="1"/>
  <c r="CJ77" i="2539"/>
  <c r="CJ96" i="2539" s="1"/>
  <c r="CI77" i="2539"/>
  <c r="CI96" i="2539" s="1"/>
  <c r="CH77" i="2539"/>
  <c r="CH96" i="2539" s="1"/>
  <c r="CG77" i="2539"/>
  <c r="CG96" i="2539" s="1"/>
  <c r="CF77" i="2539"/>
  <c r="CF96" i="2539" s="1"/>
  <c r="CE77" i="2539"/>
  <c r="CE96" i="2539" s="1"/>
  <c r="CD77" i="2539"/>
  <c r="CD96" i="2539" s="1"/>
  <c r="CC77" i="2539"/>
  <c r="CC96" i="2539" s="1"/>
  <c r="CB77" i="2539"/>
  <c r="CB96" i="2539" s="1"/>
  <c r="BZ77" i="2539"/>
  <c r="BZ96" i="2539" s="1"/>
  <c r="BY77" i="2539"/>
  <c r="BX77" i="2539"/>
  <c r="BX96" i="2539" s="1"/>
  <c r="BW77" i="2539"/>
  <c r="BW96" i="2539" s="1"/>
  <c r="BV77" i="2539"/>
  <c r="BU77" i="2539"/>
  <c r="BU96" i="2539" s="1"/>
  <c r="BT77" i="2539"/>
  <c r="BT96" i="2539" s="1"/>
  <c r="BS77" i="2539"/>
  <c r="BS96" i="2539" s="1"/>
  <c r="BR77" i="2539"/>
  <c r="BR96" i="2539" s="1"/>
  <c r="BQ77" i="2539"/>
  <c r="BQ96" i="2539" s="1"/>
  <c r="BP77" i="2539"/>
  <c r="BP96" i="2539" s="1"/>
  <c r="BO77" i="2539"/>
  <c r="HM76" i="2539"/>
  <c r="HM95" i="2539" s="1"/>
  <c r="HL76" i="2539"/>
  <c r="HL95" i="2539" s="1"/>
  <c r="HK76" i="2539"/>
  <c r="HK95" i="2539" s="1"/>
  <c r="HJ76" i="2539"/>
  <c r="HI76" i="2539"/>
  <c r="HI95" i="2539" s="1"/>
  <c r="HH76" i="2539"/>
  <c r="HH95" i="2539" s="1"/>
  <c r="HG76" i="2539"/>
  <c r="HG95" i="2539" s="1"/>
  <c r="HF76" i="2539"/>
  <c r="HF95" i="2539" s="1"/>
  <c r="HE76" i="2539"/>
  <c r="HE95" i="2539" s="1"/>
  <c r="HD76" i="2539"/>
  <c r="HD95" i="2539" s="1"/>
  <c r="HC76" i="2539"/>
  <c r="HB76" i="2539"/>
  <c r="GZ76" i="2539"/>
  <c r="GZ95" i="2539" s="1"/>
  <c r="GY76" i="2539"/>
  <c r="GY95" i="2539" s="1"/>
  <c r="GX76" i="2539"/>
  <c r="GW76" i="2539"/>
  <c r="GW95" i="2539" s="1"/>
  <c r="GV76" i="2539"/>
  <c r="GV95" i="2539" s="1"/>
  <c r="GU76" i="2539"/>
  <c r="GU95" i="2539" s="1"/>
  <c r="GT76" i="2539"/>
  <c r="GT95" i="2539" s="1"/>
  <c r="GS76" i="2539"/>
  <c r="GS95" i="2539" s="1"/>
  <c r="GR76" i="2539"/>
  <c r="GR95" i="2539" s="1"/>
  <c r="GQ76" i="2539"/>
  <c r="GP76" i="2539"/>
  <c r="GP95" i="2539" s="1"/>
  <c r="GO76" i="2539"/>
  <c r="GO95" i="2539" s="1"/>
  <c r="GM76" i="2539"/>
  <c r="GM95" i="2539" s="1"/>
  <c r="GL76" i="2539"/>
  <c r="GK76" i="2539"/>
  <c r="GJ76" i="2539"/>
  <c r="GJ95" i="2539" s="1"/>
  <c r="GI76" i="2539"/>
  <c r="GI95" i="2539" s="1"/>
  <c r="GH76" i="2539"/>
  <c r="GH95" i="2539" s="1"/>
  <c r="GG76" i="2539"/>
  <c r="GG95" i="2539" s="1"/>
  <c r="GF76" i="2539"/>
  <c r="GF95" i="2539" s="1"/>
  <c r="GE76" i="2539"/>
  <c r="GD76" i="2539"/>
  <c r="GD95" i="2539" s="1"/>
  <c r="GC76" i="2539"/>
  <c r="GC95" i="2539" s="1"/>
  <c r="GB76" i="2539"/>
  <c r="GB95" i="2539" s="1"/>
  <c r="FZ76" i="2539"/>
  <c r="FZ95" i="2539" s="1"/>
  <c r="FY76" i="2539"/>
  <c r="FX76" i="2539"/>
  <c r="FX95" i="2539" s="1"/>
  <c r="FW76" i="2539"/>
  <c r="FW95" i="2539" s="1"/>
  <c r="FV76" i="2539"/>
  <c r="FV95" i="2539" s="1"/>
  <c r="FU76" i="2539"/>
  <c r="FU95" i="2539" s="1"/>
  <c r="FT76" i="2539"/>
  <c r="FT95" i="2539" s="1"/>
  <c r="FS76" i="2539"/>
  <c r="FR76" i="2539"/>
  <c r="FQ76" i="2539"/>
  <c r="FQ95" i="2539" s="1"/>
  <c r="FP76" i="2539"/>
  <c r="FP95" i="2539" s="1"/>
  <c r="FO76" i="2539"/>
  <c r="FO95" i="2539" s="1"/>
  <c r="FM76" i="2539"/>
  <c r="FM95" i="2539" s="1"/>
  <c r="FL76" i="2539"/>
  <c r="FL95" i="2539" s="1"/>
  <c r="FK76" i="2539"/>
  <c r="FK95" i="2539" s="1"/>
  <c r="FJ76" i="2539"/>
  <c r="FI76" i="2539"/>
  <c r="FI95" i="2539" s="1"/>
  <c r="FH76" i="2539"/>
  <c r="FH95" i="2539" s="1"/>
  <c r="FG76" i="2539"/>
  <c r="FF76" i="2539"/>
  <c r="FF95" i="2539" s="1"/>
  <c r="FE76" i="2539"/>
  <c r="FE95" i="2539" s="1"/>
  <c r="FD76" i="2539"/>
  <c r="FD95" i="2539" s="1"/>
  <c r="FC76" i="2539"/>
  <c r="FC95" i="2539" s="1"/>
  <c r="FB76" i="2539"/>
  <c r="EZ76" i="2539"/>
  <c r="EZ95" i="2539" s="1"/>
  <c r="EY76" i="2539"/>
  <c r="EY95" i="2539" s="1"/>
  <c r="EX76" i="2539"/>
  <c r="EW76" i="2539"/>
  <c r="EW95" i="2539" s="1"/>
  <c r="EV76" i="2539"/>
  <c r="EV95" i="2539" s="1"/>
  <c r="EU76" i="2539"/>
  <c r="ET76" i="2539"/>
  <c r="ET95" i="2539" s="1"/>
  <c r="ES76" i="2539"/>
  <c r="ES95" i="2539" s="1"/>
  <c r="ER76" i="2539"/>
  <c r="ER95" i="2539" s="1"/>
  <c r="EQ76" i="2539"/>
  <c r="EQ95" i="2539" s="1"/>
  <c r="EP76" i="2539"/>
  <c r="EO76" i="2539"/>
  <c r="EO95" i="2539" s="1"/>
  <c r="EM76" i="2539"/>
  <c r="EM95" i="2539" s="1"/>
  <c r="EL76" i="2539"/>
  <c r="EK76" i="2539"/>
  <c r="EK95" i="2539" s="1"/>
  <c r="EJ76" i="2539"/>
  <c r="EJ95" i="2539" s="1"/>
  <c r="EI76" i="2539"/>
  <c r="EH76" i="2539"/>
  <c r="EH95" i="2539" s="1"/>
  <c r="EG76" i="2539"/>
  <c r="EG95" i="2539" s="1"/>
  <c r="EF76" i="2539"/>
  <c r="EF95" i="2539" s="1"/>
  <c r="EE76" i="2539"/>
  <c r="EE95" i="2539" s="1"/>
  <c r="ED76" i="2539"/>
  <c r="ED95" i="2539" s="1"/>
  <c r="EC76" i="2539"/>
  <c r="EB76" i="2539"/>
  <c r="EB95" i="2539" s="1"/>
  <c r="DZ76" i="2539"/>
  <c r="DZ95" i="2539" s="1"/>
  <c r="DY76" i="2539"/>
  <c r="DX76" i="2539"/>
  <c r="DX95" i="2539" s="1"/>
  <c r="DW76" i="2539"/>
  <c r="DV76" i="2539"/>
  <c r="DV95" i="2539" s="1"/>
  <c r="DU76" i="2539"/>
  <c r="DU95" i="2539" s="1"/>
  <c r="DT76" i="2539"/>
  <c r="DT95" i="2539" s="1"/>
  <c r="DS76" i="2539"/>
  <c r="DS95" i="2539" s="1"/>
  <c r="DR76" i="2539"/>
  <c r="DR95" i="2539" s="1"/>
  <c r="DQ76" i="2539"/>
  <c r="DQ95" i="2539" s="1"/>
  <c r="DP76" i="2539"/>
  <c r="DP95" i="2539" s="1"/>
  <c r="DO76" i="2539"/>
  <c r="DM76" i="2539"/>
  <c r="DM95" i="2539" s="1"/>
  <c r="DL76" i="2539"/>
  <c r="DL95" i="2539" s="1"/>
  <c r="DK76" i="2539"/>
  <c r="DJ76" i="2539"/>
  <c r="DJ95" i="2539" s="1"/>
  <c r="DI76" i="2539"/>
  <c r="DI95" i="2539" s="1"/>
  <c r="DH76" i="2539"/>
  <c r="DH95" i="2539" s="1"/>
  <c r="DG76" i="2539"/>
  <c r="DG95" i="2539" s="1"/>
  <c r="DF76" i="2539"/>
  <c r="DF95" i="2539" s="1"/>
  <c r="DE76" i="2539"/>
  <c r="DD76" i="2539"/>
  <c r="DD95" i="2539" s="1"/>
  <c r="DC76" i="2539"/>
  <c r="DC95" i="2539" s="1"/>
  <c r="DB76" i="2539"/>
  <c r="DB95" i="2539" s="1"/>
  <c r="CZ76" i="2539"/>
  <c r="CZ95" i="2539" s="1"/>
  <c r="CY76" i="2539"/>
  <c r="CX76" i="2539"/>
  <c r="CX95" i="2539" s="1"/>
  <c r="CW76" i="2539"/>
  <c r="CW95" i="2539" s="1"/>
  <c r="CV76" i="2539"/>
  <c r="CV95" i="2539" s="1"/>
  <c r="CU76" i="2539"/>
  <c r="CU95" i="2539" s="1"/>
  <c r="CT76" i="2539"/>
  <c r="CT95" i="2539" s="1"/>
  <c r="CS76" i="2539"/>
  <c r="CS95" i="2539" s="1"/>
  <c r="CR76" i="2539"/>
  <c r="CR95" i="2539" s="1"/>
  <c r="CQ76" i="2539"/>
  <c r="CQ95" i="2539" s="1"/>
  <c r="CP76" i="2539"/>
  <c r="CP95" i="2539" s="1"/>
  <c r="CO76" i="2539"/>
  <c r="CM76" i="2539"/>
  <c r="CL76" i="2539"/>
  <c r="CL95" i="2539" s="1"/>
  <c r="CK76" i="2539"/>
  <c r="CK95" i="2539" s="1"/>
  <c r="CJ76" i="2539"/>
  <c r="CJ95" i="2539" s="1"/>
  <c r="CI76" i="2539"/>
  <c r="CI95" i="2539" s="1"/>
  <c r="CH76" i="2539"/>
  <c r="CG76" i="2539"/>
  <c r="CG95" i="2539" s="1"/>
  <c r="CF76" i="2539"/>
  <c r="CF95" i="2539" s="1"/>
  <c r="CE76" i="2539"/>
  <c r="CD76" i="2539"/>
  <c r="CD95" i="2539" s="1"/>
  <c r="CC76" i="2539"/>
  <c r="CB76" i="2539"/>
  <c r="CB95" i="2539" s="1"/>
  <c r="CA76" i="2539"/>
  <c r="BN76" i="2539"/>
  <c r="BM75" i="2539"/>
  <c r="BL75" i="2539"/>
  <c r="BK75" i="2539"/>
  <c r="BJ75" i="2539"/>
  <c r="BI75" i="2539"/>
  <c r="BH75" i="2539"/>
  <c r="BG75" i="2539"/>
  <c r="BF75" i="2539"/>
  <c r="BE75" i="2539"/>
  <c r="BD75" i="2539"/>
  <c r="BD74" i="2539" s="1"/>
  <c r="BC75" i="2539"/>
  <c r="BB75" i="2539"/>
  <c r="GZ73" i="2539"/>
  <c r="GY73" i="2539"/>
  <c r="GX73" i="2539"/>
  <c r="GW73" i="2539"/>
  <c r="GV73" i="2539"/>
  <c r="GU73" i="2539"/>
  <c r="GT73" i="2539"/>
  <c r="GS73" i="2539"/>
  <c r="GR73" i="2539"/>
  <c r="GQ73" i="2539"/>
  <c r="GP73" i="2539"/>
  <c r="GO73" i="2539"/>
  <c r="CX73" i="2539"/>
  <c r="CW73" i="2539"/>
  <c r="CV73" i="2539"/>
  <c r="CU73" i="2539"/>
  <c r="CT73" i="2539"/>
  <c r="CS73" i="2539"/>
  <c r="CR73" i="2539"/>
  <c r="CQ73" i="2539"/>
  <c r="CP73" i="2539"/>
  <c r="CO73" i="2539"/>
  <c r="HM70" i="2539"/>
  <c r="HL70" i="2539"/>
  <c r="HK70" i="2539"/>
  <c r="HJ70" i="2539"/>
  <c r="HI70" i="2539"/>
  <c r="HH70" i="2539"/>
  <c r="HG70" i="2539"/>
  <c r="HF70" i="2539"/>
  <c r="HE70" i="2539"/>
  <c r="HD70" i="2539"/>
  <c r="HC70" i="2539"/>
  <c r="HB70" i="2539"/>
  <c r="GZ70" i="2539"/>
  <c r="GY70" i="2539"/>
  <c r="GX70" i="2539"/>
  <c r="GW70" i="2539"/>
  <c r="GV70" i="2539"/>
  <c r="GU70" i="2539"/>
  <c r="GT70" i="2539"/>
  <c r="GS70" i="2539"/>
  <c r="GR70" i="2539"/>
  <c r="GQ70" i="2539"/>
  <c r="GP70" i="2539"/>
  <c r="GO70" i="2539"/>
  <c r="GM70" i="2539"/>
  <c r="GL70" i="2539"/>
  <c r="GK70" i="2539"/>
  <c r="GJ70" i="2539"/>
  <c r="GI70" i="2539"/>
  <c r="GH70" i="2539"/>
  <c r="GG70" i="2539"/>
  <c r="GF70" i="2539"/>
  <c r="GE70" i="2539"/>
  <c r="GD70" i="2539"/>
  <c r="GC70" i="2539"/>
  <c r="GB70" i="2539"/>
  <c r="FZ70" i="2539"/>
  <c r="FY70" i="2539"/>
  <c r="FX70" i="2539"/>
  <c r="FW70" i="2539"/>
  <c r="FV70" i="2539"/>
  <c r="FU70" i="2539"/>
  <c r="FT70" i="2539"/>
  <c r="FS70" i="2539"/>
  <c r="FR70" i="2539"/>
  <c r="FQ70" i="2539"/>
  <c r="FP70" i="2539"/>
  <c r="FO70" i="2539"/>
  <c r="FM70" i="2539"/>
  <c r="FL70" i="2539"/>
  <c r="FK70" i="2539"/>
  <c r="FJ70" i="2539"/>
  <c r="FI70" i="2539"/>
  <c r="FH70" i="2539"/>
  <c r="FG70" i="2539"/>
  <c r="FF70" i="2539"/>
  <c r="FE70" i="2539"/>
  <c r="FD70" i="2539"/>
  <c r="FC70" i="2539"/>
  <c r="FB70" i="2539"/>
  <c r="EZ70" i="2539"/>
  <c r="EY70" i="2539"/>
  <c r="EX70" i="2539"/>
  <c r="EW70" i="2539"/>
  <c r="EV70" i="2539"/>
  <c r="EU70" i="2539"/>
  <c r="ET70" i="2539"/>
  <c r="ES70" i="2539"/>
  <c r="ER70" i="2539"/>
  <c r="EQ70" i="2539"/>
  <c r="EP70" i="2539"/>
  <c r="EO70" i="2539"/>
  <c r="EM70" i="2539"/>
  <c r="EL70" i="2539"/>
  <c r="EK70" i="2539"/>
  <c r="EJ70" i="2539"/>
  <c r="EI70" i="2539"/>
  <c r="EH70" i="2539"/>
  <c r="EG70" i="2539"/>
  <c r="EF70" i="2539"/>
  <c r="EE70" i="2539"/>
  <c r="ED70" i="2539"/>
  <c r="EC70" i="2539"/>
  <c r="EB70" i="2539"/>
  <c r="DZ70" i="2539"/>
  <c r="DY70" i="2539"/>
  <c r="DX70" i="2539"/>
  <c r="DW70" i="2539"/>
  <c r="DV70" i="2539"/>
  <c r="DU70" i="2539"/>
  <c r="DT70" i="2539"/>
  <c r="DS70" i="2539"/>
  <c r="DR70" i="2539"/>
  <c r="DQ70" i="2539"/>
  <c r="DP70" i="2539"/>
  <c r="DO70" i="2539"/>
  <c r="DM70" i="2539"/>
  <c r="DL70" i="2539"/>
  <c r="DK70" i="2539"/>
  <c r="DJ70" i="2539"/>
  <c r="DI70" i="2539"/>
  <c r="DH70" i="2539"/>
  <c r="DG70" i="2539"/>
  <c r="DF70" i="2539"/>
  <c r="DE70" i="2539"/>
  <c r="DD70" i="2539"/>
  <c r="DC70" i="2539"/>
  <c r="DB70" i="2539"/>
  <c r="CZ70" i="2539"/>
  <c r="CY70" i="2539"/>
  <c r="CX70" i="2539"/>
  <c r="CW70" i="2539"/>
  <c r="CV70" i="2539"/>
  <c r="CU70" i="2539"/>
  <c r="CT70" i="2539"/>
  <c r="CS70" i="2539"/>
  <c r="CR70" i="2539"/>
  <c r="CQ70" i="2539"/>
  <c r="CP70" i="2539"/>
  <c r="CO70" i="2539"/>
  <c r="CM70" i="2539"/>
  <c r="CL70" i="2539"/>
  <c r="CK70" i="2539"/>
  <c r="CJ70" i="2539"/>
  <c r="CI70" i="2539"/>
  <c r="CH70" i="2539"/>
  <c r="CG70" i="2539"/>
  <c r="CF70" i="2539"/>
  <c r="CE70" i="2539"/>
  <c r="CD70" i="2539"/>
  <c r="CC70" i="2539"/>
  <c r="CB70" i="2539"/>
  <c r="BZ70" i="2539"/>
  <c r="BY70" i="2539"/>
  <c r="BX70" i="2539"/>
  <c r="BW70" i="2539"/>
  <c r="BV70" i="2539"/>
  <c r="BU70" i="2539"/>
  <c r="BT70" i="2539"/>
  <c r="BS70" i="2539"/>
  <c r="BR70" i="2539"/>
  <c r="BQ70" i="2539"/>
  <c r="BP70" i="2539"/>
  <c r="BO70" i="2539"/>
  <c r="BM70" i="2539"/>
  <c r="BL70" i="2539"/>
  <c r="BK70" i="2539"/>
  <c r="BJ70" i="2539"/>
  <c r="BI70" i="2539"/>
  <c r="BH70" i="2539"/>
  <c r="BG70" i="2539"/>
  <c r="BF70" i="2539"/>
  <c r="BE70" i="2539"/>
  <c r="BD70" i="2539"/>
  <c r="BC70" i="2539"/>
  <c r="BB70" i="2539"/>
  <c r="AZ70" i="2539"/>
  <c r="AY70" i="2539"/>
  <c r="AX70" i="2539"/>
  <c r="AW70" i="2539"/>
  <c r="AV70" i="2539"/>
  <c r="AU70" i="2539"/>
  <c r="AT70" i="2539"/>
  <c r="AS70" i="2539"/>
  <c r="AR70" i="2539"/>
  <c r="AQ70" i="2539"/>
  <c r="AP70" i="2539"/>
  <c r="AO70" i="2539"/>
  <c r="AM70" i="2539"/>
  <c r="AL70" i="2539"/>
  <c r="AK70" i="2539"/>
  <c r="AJ70" i="2539"/>
  <c r="AI70" i="2539"/>
  <c r="AH70" i="2539"/>
  <c r="AG70" i="2539"/>
  <c r="AF70" i="2539"/>
  <c r="AE70" i="2539"/>
  <c r="AD70" i="2539"/>
  <c r="AC70" i="2539"/>
  <c r="AB70" i="2539"/>
  <c r="Z70" i="2539"/>
  <c r="Y70" i="2539"/>
  <c r="X70" i="2539"/>
  <c r="W70" i="2539"/>
  <c r="V70" i="2539"/>
  <c r="U70" i="2539"/>
  <c r="T70" i="2539"/>
  <c r="S70" i="2539"/>
  <c r="R70" i="2539"/>
  <c r="Q70" i="2539"/>
  <c r="P70" i="2539"/>
  <c r="O70" i="2539"/>
  <c r="M70" i="2539"/>
  <c r="L70" i="2539"/>
  <c r="K70" i="2539"/>
  <c r="J70" i="2539"/>
  <c r="I70" i="2539"/>
  <c r="H70" i="2539"/>
  <c r="G70" i="2539"/>
  <c r="F70" i="2539"/>
  <c r="E70" i="2539"/>
  <c r="D70" i="2539"/>
  <c r="C70" i="2539"/>
  <c r="B70" i="2539"/>
  <c r="HM68" i="2539"/>
  <c r="HL68" i="2539"/>
  <c r="HK68" i="2539"/>
  <c r="HJ68" i="2539"/>
  <c r="HI68" i="2539"/>
  <c r="HH68" i="2539"/>
  <c r="HG68" i="2539"/>
  <c r="HF68" i="2539"/>
  <c r="HE68" i="2539"/>
  <c r="HD68" i="2539"/>
  <c r="HC68" i="2539"/>
  <c r="HB68" i="2539"/>
  <c r="GZ68" i="2539"/>
  <c r="GY68" i="2539"/>
  <c r="GX68" i="2539"/>
  <c r="GW68" i="2539"/>
  <c r="GV68" i="2539"/>
  <c r="GU68" i="2539"/>
  <c r="GT68" i="2539"/>
  <c r="GS68" i="2539"/>
  <c r="GR68" i="2539"/>
  <c r="GQ68" i="2539"/>
  <c r="GP68" i="2539"/>
  <c r="GO68" i="2539"/>
  <c r="GM68" i="2539"/>
  <c r="GL68" i="2539"/>
  <c r="GK68" i="2539"/>
  <c r="GJ68" i="2539"/>
  <c r="GI68" i="2539"/>
  <c r="GH68" i="2539"/>
  <c r="GG68" i="2539"/>
  <c r="GF68" i="2539"/>
  <c r="GE68" i="2539"/>
  <c r="GD68" i="2539"/>
  <c r="GC68" i="2539"/>
  <c r="GB68" i="2539"/>
  <c r="FZ68" i="2539"/>
  <c r="FY68" i="2539"/>
  <c r="FX68" i="2539"/>
  <c r="FW68" i="2539"/>
  <c r="FV68" i="2539"/>
  <c r="FU68" i="2539"/>
  <c r="FT68" i="2539"/>
  <c r="FS68" i="2539"/>
  <c r="FR68" i="2539"/>
  <c r="FQ68" i="2539"/>
  <c r="FP68" i="2539"/>
  <c r="FO68" i="2539"/>
  <c r="FM68" i="2539"/>
  <c r="FL68" i="2539"/>
  <c r="FK68" i="2539"/>
  <c r="FJ68" i="2539"/>
  <c r="FI68" i="2539"/>
  <c r="FH68" i="2539"/>
  <c r="FG68" i="2539"/>
  <c r="FF68" i="2539"/>
  <c r="FE68" i="2539"/>
  <c r="FD68" i="2539"/>
  <c r="FC68" i="2539"/>
  <c r="FB68" i="2539"/>
  <c r="EZ68" i="2539"/>
  <c r="EY68" i="2539"/>
  <c r="EX68" i="2539"/>
  <c r="EW68" i="2539"/>
  <c r="EV68" i="2539"/>
  <c r="EU68" i="2539"/>
  <c r="ET68" i="2539"/>
  <c r="ES68" i="2539"/>
  <c r="ER68" i="2539"/>
  <c r="EQ68" i="2539"/>
  <c r="EP68" i="2539"/>
  <c r="EO68" i="2539"/>
  <c r="EM68" i="2539"/>
  <c r="EL68" i="2539"/>
  <c r="EK68" i="2539"/>
  <c r="EJ68" i="2539"/>
  <c r="EI68" i="2539"/>
  <c r="EH68" i="2539"/>
  <c r="EG68" i="2539"/>
  <c r="EF68" i="2539"/>
  <c r="EE68" i="2539"/>
  <c r="ED68" i="2539"/>
  <c r="EC68" i="2539"/>
  <c r="EB68" i="2539"/>
  <c r="DZ68" i="2539"/>
  <c r="DY68" i="2539"/>
  <c r="DX68" i="2539"/>
  <c r="DW68" i="2539"/>
  <c r="DV68" i="2539"/>
  <c r="DU68" i="2539"/>
  <c r="DT68" i="2539"/>
  <c r="DS68" i="2539"/>
  <c r="DR68" i="2539"/>
  <c r="DQ68" i="2539"/>
  <c r="DP68" i="2539"/>
  <c r="DO68" i="2539"/>
  <c r="DM68" i="2539"/>
  <c r="DL68" i="2539"/>
  <c r="DK68" i="2539"/>
  <c r="DJ68" i="2539"/>
  <c r="DI68" i="2539"/>
  <c r="DH68" i="2539"/>
  <c r="DG68" i="2539"/>
  <c r="DF68" i="2539"/>
  <c r="DE68" i="2539"/>
  <c r="DD68" i="2539"/>
  <c r="DC68" i="2539"/>
  <c r="DB68" i="2539"/>
  <c r="CZ68" i="2539"/>
  <c r="CY68" i="2539"/>
  <c r="CX68" i="2539"/>
  <c r="CW68" i="2539"/>
  <c r="CV68" i="2539"/>
  <c r="CU68" i="2539"/>
  <c r="CT68" i="2539"/>
  <c r="CS68" i="2539"/>
  <c r="CR68" i="2539"/>
  <c r="CQ68" i="2539"/>
  <c r="CP68" i="2539"/>
  <c r="CO68" i="2539"/>
  <c r="CM68" i="2539"/>
  <c r="CL68" i="2539"/>
  <c r="CK68" i="2539"/>
  <c r="CJ68" i="2539"/>
  <c r="CI68" i="2539"/>
  <c r="CH68" i="2539"/>
  <c r="CG68" i="2539"/>
  <c r="CF68" i="2539"/>
  <c r="CE68" i="2539"/>
  <c r="CD68" i="2539"/>
  <c r="CC68" i="2539"/>
  <c r="CB68" i="2539"/>
  <c r="BZ68" i="2539"/>
  <c r="BY68" i="2539"/>
  <c r="BX68" i="2539"/>
  <c r="BW68" i="2539"/>
  <c r="BV68" i="2539"/>
  <c r="BU68" i="2539"/>
  <c r="BT68" i="2539"/>
  <c r="BS68" i="2539"/>
  <c r="BR68" i="2539"/>
  <c r="BQ68" i="2539"/>
  <c r="BP68" i="2539"/>
  <c r="BO68" i="2539"/>
  <c r="HL64" i="2539"/>
  <c r="HN64" i="2539" s="1"/>
  <c r="GX64" i="2539"/>
  <c r="FQ64" i="2539"/>
  <c r="FP64" i="2539"/>
  <c r="FO64" i="2539"/>
  <c r="FD64" i="2539"/>
  <c r="FC64" i="2539"/>
  <c r="FB64" i="2539"/>
  <c r="EZ64" i="2539"/>
  <c r="EY64" i="2539"/>
  <c r="EX64" i="2539"/>
  <c r="EW64" i="2539"/>
  <c r="EV64" i="2539"/>
  <c r="EU64" i="2539"/>
  <c r="ET64" i="2539"/>
  <c r="ES64" i="2539"/>
  <c r="ER64" i="2539"/>
  <c r="EQ64" i="2539"/>
  <c r="EP64" i="2539"/>
  <c r="EO64" i="2539"/>
  <c r="EM64" i="2539"/>
  <c r="EL64" i="2539"/>
  <c r="EK64" i="2539"/>
  <c r="EJ64" i="2539"/>
  <c r="EI64" i="2539"/>
  <c r="EH64" i="2539"/>
  <c r="EG64" i="2539"/>
  <c r="EF64" i="2539"/>
  <c r="EE64" i="2539"/>
  <c r="ED64" i="2539"/>
  <c r="EC64" i="2539"/>
  <c r="EB64" i="2539"/>
  <c r="DZ64" i="2539"/>
  <c r="DY64" i="2539"/>
  <c r="DX64" i="2539"/>
  <c r="DW64" i="2539"/>
  <c r="DV64" i="2539"/>
  <c r="DU64" i="2539"/>
  <c r="DT64" i="2539"/>
  <c r="DS64" i="2539"/>
  <c r="DR64" i="2539"/>
  <c r="DQ64" i="2539"/>
  <c r="DP64" i="2539"/>
  <c r="DO64" i="2539"/>
  <c r="DM64" i="2539"/>
  <c r="DL64" i="2539"/>
  <c r="DK64" i="2539"/>
  <c r="DJ64" i="2539"/>
  <c r="DI64" i="2539"/>
  <c r="DH64" i="2539"/>
  <c r="DG64" i="2539"/>
  <c r="DF64" i="2539"/>
  <c r="DE64" i="2539"/>
  <c r="DD64" i="2539"/>
  <c r="DC64" i="2539"/>
  <c r="DB64" i="2539"/>
  <c r="CZ64" i="2539"/>
  <c r="CY64" i="2539"/>
  <c r="CX64" i="2539"/>
  <c r="CW64" i="2539"/>
  <c r="CV64" i="2539"/>
  <c r="CU64" i="2539"/>
  <c r="CT64" i="2539"/>
  <c r="CS64" i="2539"/>
  <c r="CR64" i="2539"/>
  <c r="CQ64" i="2539"/>
  <c r="CP64" i="2539"/>
  <c r="CO64" i="2539"/>
  <c r="CM64" i="2539"/>
  <c r="CL64" i="2539"/>
  <c r="CK64" i="2539"/>
  <c r="CJ64" i="2539"/>
  <c r="CI64" i="2539"/>
  <c r="CH64" i="2539"/>
  <c r="CG64" i="2539"/>
  <c r="CF64" i="2539"/>
  <c r="CE64" i="2539"/>
  <c r="CD64" i="2539"/>
  <c r="CC64" i="2539"/>
  <c r="CB64" i="2539"/>
  <c r="BZ64" i="2539"/>
  <c r="BY64" i="2539"/>
  <c r="BX64" i="2539"/>
  <c r="BW64" i="2539"/>
  <c r="BV64" i="2539"/>
  <c r="BU64" i="2539"/>
  <c r="BT64" i="2539"/>
  <c r="BS64" i="2539"/>
  <c r="BR64" i="2539"/>
  <c r="BQ64" i="2539"/>
  <c r="BP64" i="2539"/>
  <c r="BO64" i="2539"/>
  <c r="BM64" i="2539"/>
  <c r="BL64" i="2539"/>
  <c r="BK64" i="2539"/>
  <c r="BJ64" i="2539"/>
  <c r="BI64" i="2539"/>
  <c r="BH64" i="2539"/>
  <c r="BG64" i="2539"/>
  <c r="BF64" i="2539"/>
  <c r="BE64" i="2539"/>
  <c r="BD64" i="2539"/>
  <c r="BC64" i="2539"/>
  <c r="BB64" i="2539"/>
  <c r="AZ64" i="2539"/>
  <c r="AY64" i="2539"/>
  <c r="AX64" i="2539"/>
  <c r="AW64" i="2539"/>
  <c r="AV64" i="2539"/>
  <c r="AU64" i="2539"/>
  <c r="AT64" i="2539"/>
  <c r="AS64" i="2539"/>
  <c r="AR64" i="2539"/>
  <c r="AQ64" i="2539"/>
  <c r="AP64" i="2539"/>
  <c r="AO64" i="2539"/>
  <c r="AM64" i="2539"/>
  <c r="AL64" i="2539"/>
  <c r="AK64" i="2539"/>
  <c r="AJ64" i="2539"/>
  <c r="AI64" i="2539"/>
  <c r="AH64" i="2539"/>
  <c r="AG64" i="2539"/>
  <c r="AF64" i="2539"/>
  <c r="AE64" i="2539"/>
  <c r="AD64" i="2539"/>
  <c r="AC64" i="2539"/>
  <c r="AB64" i="2539"/>
  <c r="Z64" i="2539"/>
  <c r="Y64" i="2539"/>
  <c r="X64" i="2539"/>
  <c r="W64" i="2539"/>
  <c r="V64" i="2539"/>
  <c r="U64" i="2539"/>
  <c r="T64" i="2539"/>
  <c r="S64" i="2539"/>
  <c r="R64" i="2539"/>
  <c r="Q64" i="2539"/>
  <c r="P64" i="2539"/>
  <c r="O64" i="2539"/>
  <c r="M64" i="2539"/>
  <c r="L64" i="2539"/>
  <c r="K64" i="2539"/>
  <c r="J64" i="2539"/>
  <c r="I64" i="2539"/>
  <c r="H64" i="2539"/>
  <c r="G64" i="2539"/>
  <c r="F64" i="2539"/>
  <c r="E64" i="2539"/>
  <c r="D64" i="2539"/>
  <c r="C64" i="2539"/>
  <c r="B64" i="2539"/>
  <c r="HL63" i="2539"/>
  <c r="HN63" i="2539" s="1"/>
  <c r="GX63" i="2539"/>
  <c r="FQ63" i="2539"/>
  <c r="FP63" i="2539"/>
  <c r="FO63" i="2539"/>
  <c r="FD63" i="2539"/>
  <c r="FC63" i="2539"/>
  <c r="FB63" i="2539"/>
  <c r="EZ63" i="2539"/>
  <c r="EY63" i="2539"/>
  <c r="EX63" i="2539"/>
  <c r="EW63" i="2539"/>
  <c r="EV63" i="2539"/>
  <c r="EU63" i="2539"/>
  <c r="ET63" i="2539"/>
  <c r="ES63" i="2539"/>
  <c r="ER63" i="2539"/>
  <c r="EQ63" i="2539"/>
  <c r="EP63" i="2539"/>
  <c r="EO63" i="2539"/>
  <c r="EM63" i="2539"/>
  <c r="EL63" i="2539"/>
  <c r="EK63" i="2539"/>
  <c r="EJ63" i="2539"/>
  <c r="EI63" i="2539"/>
  <c r="EH63" i="2539"/>
  <c r="EG63" i="2539"/>
  <c r="EF63" i="2539"/>
  <c r="EE63" i="2539"/>
  <c r="ED63" i="2539"/>
  <c r="EC63" i="2539"/>
  <c r="EB63" i="2539"/>
  <c r="DZ63" i="2539"/>
  <c r="DY63" i="2539"/>
  <c r="DX63" i="2539"/>
  <c r="DW63" i="2539"/>
  <c r="DV63" i="2539"/>
  <c r="DU63" i="2539"/>
  <c r="DT63" i="2539"/>
  <c r="DS63" i="2539"/>
  <c r="DR63" i="2539"/>
  <c r="DQ63" i="2539"/>
  <c r="DP63" i="2539"/>
  <c r="DO63" i="2539"/>
  <c r="DM63" i="2539"/>
  <c r="DL63" i="2539"/>
  <c r="DK63" i="2539"/>
  <c r="DJ63" i="2539"/>
  <c r="DI63" i="2539"/>
  <c r="DH63" i="2539"/>
  <c r="DG63" i="2539"/>
  <c r="DF63" i="2539"/>
  <c r="DE63" i="2539"/>
  <c r="DD63" i="2539"/>
  <c r="DC63" i="2539"/>
  <c r="DB63" i="2539"/>
  <c r="CZ63" i="2539"/>
  <c r="CY63" i="2539"/>
  <c r="CX63" i="2539"/>
  <c r="CW63" i="2539"/>
  <c r="CV63" i="2539"/>
  <c r="CU63" i="2539"/>
  <c r="CT63" i="2539"/>
  <c r="CS63" i="2539"/>
  <c r="CR63" i="2539"/>
  <c r="CQ63" i="2539"/>
  <c r="CP63" i="2539"/>
  <c r="CO63" i="2539"/>
  <c r="CM63" i="2539"/>
  <c r="CL63" i="2539"/>
  <c r="CK63" i="2539"/>
  <c r="CJ63" i="2539"/>
  <c r="CI63" i="2539"/>
  <c r="CH63" i="2539"/>
  <c r="CG63" i="2539"/>
  <c r="CF63" i="2539"/>
  <c r="CE63" i="2539"/>
  <c r="CD63" i="2539"/>
  <c r="CC63" i="2539"/>
  <c r="CB63" i="2539"/>
  <c r="BZ63" i="2539"/>
  <c r="BY63" i="2539"/>
  <c r="BX63" i="2539"/>
  <c r="BW63" i="2539"/>
  <c r="BV63" i="2539"/>
  <c r="BU63" i="2539"/>
  <c r="BT63" i="2539"/>
  <c r="BS63" i="2539"/>
  <c r="BR63" i="2539"/>
  <c r="BQ63" i="2539"/>
  <c r="BP63" i="2539"/>
  <c r="BO63" i="2539"/>
  <c r="BM63" i="2539"/>
  <c r="BL63" i="2539"/>
  <c r="BK63" i="2539"/>
  <c r="BJ63" i="2539"/>
  <c r="BI63" i="2539"/>
  <c r="BH63" i="2539"/>
  <c r="BG63" i="2539"/>
  <c r="BF63" i="2539"/>
  <c r="BE63" i="2539"/>
  <c r="BD63" i="2539"/>
  <c r="BC63" i="2539"/>
  <c r="BB63" i="2539"/>
  <c r="AZ63" i="2539"/>
  <c r="AY63" i="2539"/>
  <c r="AX63" i="2539"/>
  <c r="AW63" i="2539"/>
  <c r="AV63" i="2539"/>
  <c r="AU63" i="2539"/>
  <c r="AT63" i="2539"/>
  <c r="AS63" i="2539"/>
  <c r="AR63" i="2539"/>
  <c r="AQ63" i="2539"/>
  <c r="AP63" i="2539"/>
  <c r="AO63" i="2539"/>
  <c r="AM63" i="2539"/>
  <c r="AL63" i="2539"/>
  <c r="AK63" i="2539"/>
  <c r="AJ63" i="2539"/>
  <c r="AI63" i="2539"/>
  <c r="AH63" i="2539"/>
  <c r="AG63" i="2539"/>
  <c r="AF63" i="2539"/>
  <c r="AE63" i="2539"/>
  <c r="AD63" i="2539"/>
  <c r="AC63" i="2539"/>
  <c r="AB63" i="2539"/>
  <c r="Z63" i="2539"/>
  <c r="Y63" i="2539"/>
  <c r="X63" i="2539"/>
  <c r="W63" i="2539"/>
  <c r="V63" i="2539"/>
  <c r="U63" i="2539"/>
  <c r="T63" i="2539"/>
  <c r="S63" i="2539"/>
  <c r="R63" i="2539"/>
  <c r="Q63" i="2539"/>
  <c r="P63" i="2539"/>
  <c r="O63" i="2539"/>
  <c r="M63" i="2539"/>
  <c r="L63" i="2539"/>
  <c r="K63" i="2539"/>
  <c r="J63" i="2539"/>
  <c r="I63" i="2539"/>
  <c r="H63" i="2539"/>
  <c r="G63" i="2539"/>
  <c r="F63" i="2539"/>
  <c r="E63" i="2539"/>
  <c r="D63" i="2539"/>
  <c r="C63" i="2539"/>
  <c r="B63" i="2539"/>
  <c r="HM62" i="2539"/>
  <c r="HL62" i="2539"/>
  <c r="HK62" i="2539"/>
  <c r="HJ62" i="2539"/>
  <c r="HI62" i="2539"/>
  <c r="HH62" i="2539"/>
  <c r="HG62" i="2539"/>
  <c r="HF62" i="2539"/>
  <c r="HE62" i="2539"/>
  <c r="HD62" i="2539"/>
  <c r="HC62" i="2539"/>
  <c r="HB62" i="2539"/>
  <c r="GZ62" i="2539"/>
  <c r="GY62" i="2539"/>
  <c r="GX62" i="2539"/>
  <c r="GW62" i="2539"/>
  <c r="GV62" i="2539"/>
  <c r="GU62" i="2539"/>
  <c r="GT62" i="2539"/>
  <c r="GS62" i="2539"/>
  <c r="GR62" i="2539"/>
  <c r="GQ62" i="2539"/>
  <c r="GP62" i="2539"/>
  <c r="GO62" i="2539"/>
  <c r="GM62" i="2539"/>
  <c r="GL62" i="2539"/>
  <c r="GK62" i="2539"/>
  <c r="GJ62" i="2539"/>
  <c r="GI62" i="2539"/>
  <c r="GH62" i="2539"/>
  <c r="GG62" i="2539"/>
  <c r="GF62" i="2539"/>
  <c r="GE62" i="2539"/>
  <c r="GD62" i="2539"/>
  <c r="GC62" i="2539"/>
  <c r="GB62" i="2539"/>
  <c r="FZ62" i="2539"/>
  <c r="FY62" i="2539"/>
  <c r="FX62" i="2539"/>
  <c r="FW62" i="2539"/>
  <c r="FV62" i="2539"/>
  <c r="FU62" i="2539"/>
  <c r="FT62" i="2539"/>
  <c r="FS62" i="2539"/>
  <c r="FR62" i="2539"/>
  <c r="FQ62" i="2539"/>
  <c r="FP62" i="2539"/>
  <c r="FO62" i="2539"/>
  <c r="FM62" i="2539"/>
  <c r="FL62" i="2539"/>
  <c r="FK62" i="2539"/>
  <c r="FJ62" i="2539"/>
  <c r="FI62" i="2539"/>
  <c r="FH62" i="2539"/>
  <c r="FG62" i="2539"/>
  <c r="FF62" i="2539"/>
  <c r="FE62" i="2539"/>
  <c r="FD62" i="2539"/>
  <c r="FC62" i="2539"/>
  <c r="FB62" i="2539"/>
  <c r="EZ62" i="2539"/>
  <c r="EY62" i="2539"/>
  <c r="EX62" i="2539"/>
  <c r="EW62" i="2539"/>
  <c r="EV62" i="2539"/>
  <c r="EU62" i="2539"/>
  <c r="ET62" i="2539"/>
  <c r="ES62" i="2539"/>
  <c r="ER62" i="2539"/>
  <c r="EQ62" i="2539"/>
  <c r="EP62" i="2539"/>
  <c r="EO62" i="2539"/>
  <c r="EM62" i="2539"/>
  <c r="EL62" i="2539"/>
  <c r="EK62" i="2539"/>
  <c r="EJ62" i="2539"/>
  <c r="EI62" i="2539"/>
  <c r="EH62" i="2539"/>
  <c r="EG62" i="2539"/>
  <c r="EF62" i="2539"/>
  <c r="EE62" i="2539"/>
  <c r="ED62" i="2539"/>
  <c r="EC62" i="2539"/>
  <c r="EB62" i="2539"/>
  <c r="DZ62" i="2539"/>
  <c r="DY62" i="2539"/>
  <c r="DX62" i="2539"/>
  <c r="DW62" i="2539"/>
  <c r="DV62" i="2539"/>
  <c r="DU62" i="2539"/>
  <c r="DT62" i="2539"/>
  <c r="DS62" i="2539"/>
  <c r="DR62" i="2539"/>
  <c r="DQ62" i="2539"/>
  <c r="DP62" i="2539"/>
  <c r="DO62" i="2539"/>
  <c r="DM62" i="2539"/>
  <c r="DL62" i="2539"/>
  <c r="DK62" i="2539"/>
  <c r="DJ62" i="2539"/>
  <c r="DI62" i="2539"/>
  <c r="DH62" i="2539"/>
  <c r="DG62" i="2539"/>
  <c r="DF62" i="2539"/>
  <c r="DE62" i="2539"/>
  <c r="DD62" i="2539"/>
  <c r="DC62" i="2539"/>
  <c r="DB62" i="2539"/>
  <c r="CZ62" i="2539"/>
  <c r="CY62" i="2539"/>
  <c r="CX62" i="2539"/>
  <c r="CW62" i="2539"/>
  <c r="CV62" i="2539"/>
  <c r="CU62" i="2539"/>
  <c r="CT62" i="2539"/>
  <c r="CS62" i="2539"/>
  <c r="CR62" i="2539"/>
  <c r="CQ62" i="2539"/>
  <c r="CP62" i="2539"/>
  <c r="CO62" i="2539"/>
  <c r="CM62" i="2539"/>
  <c r="CL62" i="2539"/>
  <c r="CK62" i="2539"/>
  <c r="CJ62" i="2539"/>
  <c r="CI62" i="2539"/>
  <c r="CH62" i="2539"/>
  <c r="CG62" i="2539"/>
  <c r="CF62" i="2539"/>
  <c r="CE62" i="2539"/>
  <c r="CD62" i="2539"/>
  <c r="CC62" i="2539"/>
  <c r="CB62" i="2539"/>
  <c r="BZ62" i="2539"/>
  <c r="BY62" i="2539"/>
  <c r="BX62" i="2539"/>
  <c r="BW62" i="2539"/>
  <c r="BV62" i="2539"/>
  <c r="BU62" i="2539"/>
  <c r="BT62" i="2539"/>
  <c r="BS62" i="2539"/>
  <c r="BR62" i="2539"/>
  <c r="BQ62" i="2539"/>
  <c r="BP62" i="2539"/>
  <c r="BO62" i="2539"/>
  <c r="BM62" i="2539"/>
  <c r="BL62" i="2539"/>
  <c r="BK62" i="2539"/>
  <c r="BJ62" i="2539"/>
  <c r="BI62" i="2539"/>
  <c r="BH62" i="2539"/>
  <c r="BG62" i="2539"/>
  <c r="BF62" i="2539"/>
  <c r="BE62" i="2539"/>
  <c r="BD62" i="2539"/>
  <c r="BC62" i="2539"/>
  <c r="BB62" i="2539"/>
  <c r="AZ62" i="2539"/>
  <c r="AY62" i="2539"/>
  <c r="AX62" i="2539"/>
  <c r="AW62" i="2539"/>
  <c r="AV62" i="2539"/>
  <c r="AU62" i="2539"/>
  <c r="AT62" i="2539"/>
  <c r="AS62" i="2539"/>
  <c r="AR62" i="2539"/>
  <c r="AQ62" i="2539"/>
  <c r="AP62" i="2539"/>
  <c r="AO62" i="2539"/>
  <c r="AM62" i="2539"/>
  <c r="AL62" i="2539"/>
  <c r="AK62" i="2539"/>
  <c r="AJ62" i="2539"/>
  <c r="AI62" i="2539"/>
  <c r="AH62" i="2539"/>
  <c r="AG62" i="2539"/>
  <c r="AF62" i="2539"/>
  <c r="AE62" i="2539"/>
  <c r="AD62" i="2539"/>
  <c r="AC62" i="2539"/>
  <c r="AB62" i="2539"/>
  <c r="Z62" i="2539"/>
  <c r="Y62" i="2539"/>
  <c r="X62" i="2539"/>
  <c r="W62" i="2539"/>
  <c r="V62" i="2539"/>
  <c r="U62" i="2539"/>
  <c r="T62" i="2539"/>
  <c r="S62" i="2539"/>
  <c r="R62" i="2539"/>
  <c r="Q62" i="2539"/>
  <c r="P62" i="2539"/>
  <c r="O62" i="2539"/>
  <c r="M62" i="2539"/>
  <c r="L62" i="2539"/>
  <c r="K62" i="2539"/>
  <c r="J62" i="2539"/>
  <c r="I62" i="2539"/>
  <c r="H62" i="2539"/>
  <c r="G62" i="2539"/>
  <c r="F62" i="2539"/>
  <c r="E62" i="2539"/>
  <c r="D62" i="2539"/>
  <c r="C62" i="2539"/>
  <c r="B62" i="2539"/>
  <c r="HM61" i="2539"/>
  <c r="HL61" i="2539"/>
  <c r="HK61" i="2539"/>
  <c r="HJ61" i="2539"/>
  <c r="HI61" i="2539"/>
  <c r="HH61" i="2539"/>
  <c r="HG61" i="2539"/>
  <c r="HF61" i="2539"/>
  <c r="HE61" i="2539"/>
  <c r="HD61" i="2539"/>
  <c r="HC61" i="2539"/>
  <c r="HB61" i="2539"/>
  <c r="GZ61" i="2539"/>
  <c r="GY61" i="2539"/>
  <c r="GX61" i="2539"/>
  <c r="GW61" i="2539"/>
  <c r="GV61" i="2539"/>
  <c r="GU61" i="2539"/>
  <c r="GT61" i="2539"/>
  <c r="GS61" i="2539"/>
  <c r="GR61" i="2539"/>
  <c r="GQ61" i="2539"/>
  <c r="GP61" i="2539"/>
  <c r="GO61" i="2539"/>
  <c r="GM61" i="2539"/>
  <c r="GL61" i="2539"/>
  <c r="GK61" i="2539"/>
  <c r="GJ61" i="2539"/>
  <c r="GI61" i="2539"/>
  <c r="GH61" i="2539"/>
  <c r="GG61" i="2539"/>
  <c r="GF61" i="2539"/>
  <c r="GE61" i="2539"/>
  <c r="GD61" i="2539"/>
  <c r="GC61" i="2539"/>
  <c r="GB61" i="2539"/>
  <c r="FZ61" i="2539"/>
  <c r="FY61" i="2539"/>
  <c r="FX61" i="2539"/>
  <c r="FW61" i="2539"/>
  <c r="FV61" i="2539"/>
  <c r="FU61" i="2539"/>
  <c r="FT61" i="2539"/>
  <c r="FS61" i="2539"/>
  <c r="FR61" i="2539"/>
  <c r="FQ61" i="2539"/>
  <c r="FP61" i="2539"/>
  <c r="FO61" i="2539"/>
  <c r="FM61" i="2539"/>
  <c r="FL61" i="2539"/>
  <c r="FK61" i="2539"/>
  <c r="FJ61" i="2539"/>
  <c r="FI61" i="2539"/>
  <c r="FH61" i="2539"/>
  <c r="FG61" i="2539"/>
  <c r="FF61" i="2539"/>
  <c r="FE61" i="2539"/>
  <c r="FD61" i="2539"/>
  <c r="FC61" i="2539"/>
  <c r="FB61" i="2539"/>
  <c r="EZ61" i="2539"/>
  <c r="EY61" i="2539"/>
  <c r="EX61" i="2539"/>
  <c r="EW61" i="2539"/>
  <c r="EV61" i="2539"/>
  <c r="EU61" i="2539"/>
  <c r="ET61" i="2539"/>
  <c r="ES61" i="2539"/>
  <c r="ER61" i="2539"/>
  <c r="EQ61" i="2539"/>
  <c r="EP61" i="2539"/>
  <c r="EO61" i="2539"/>
  <c r="EM61" i="2539"/>
  <c r="EL61" i="2539"/>
  <c r="EK61" i="2539"/>
  <c r="EJ61" i="2539"/>
  <c r="EI61" i="2539"/>
  <c r="EH61" i="2539"/>
  <c r="EG61" i="2539"/>
  <c r="EF61" i="2539"/>
  <c r="EE61" i="2539"/>
  <c r="ED61" i="2539"/>
  <c r="EC61" i="2539"/>
  <c r="EB61" i="2539"/>
  <c r="DZ61" i="2539"/>
  <c r="DY61" i="2539"/>
  <c r="DX61" i="2539"/>
  <c r="DW61" i="2539"/>
  <c r="DV61" i="2539"/>
  <c r="DU61" i="2539"/>
  <c r="DT61" i="2539"/>
  <c r="DS61" i="2539"/>
  <c r="DR61" i="2539"/>
  <c r="DQ61" i="2539"/>
  <c r="DP61" i="2539"/>
  <c r="DO61" i="2539"/>
  <c r="DM61" i="2539"/>
  <c r="DL61" i="2539"/>
  <c r="DK61" i="2539"/>
  <c r="DJ61" i="2539"/>
  <c r="DI61" i="2539"/>
  <c r="DH61" i="2539"/>
  <c r="DG61" i="2539"/>
  <c r="DF61" i="2539"/>
  <c r="DE61" i="2539"/>
  <c r="DD61" i="2539"/>
  <c r="DC61" i="2539"/>
  <c r="DB61" i="2539"/>
  <c r="CZ61" i="2539"/>
  <c r="CY61" i="2539"/>
  <c r="CX61" i="2539"/>
  <c r="CW61" i="2539"/>
  <c r="CV61" i="2539"/>
  <c r="CU61" i="2539"/>
  <c r="CT61" i="2539"/>
  <c r="CS61" i="2539"/>
  <c r="CR61" i="2539"/>
  <c r="CQ61" i="2539"/>
  <c r="CP61" i="2539"/>
  <c r="CO61" i="2539"/>
  <c r="CM61" i="2539"/>
  <c r="CL61" i="2539"/>
  <c r="CK61" i="2539"/>
  <c r="CJ61" i="2539"/>
  <c r="CI61" i="2539"/>
  <c r="CH61" i="2539"/>
  <c r="CG61" i="2539"/>
  <c r="CF61" i="2539"/>
  <c r="CE61" i="2539"/>
  <c r="CD61" i="2539"/>
  <c r="CC61" i="2539"/>
  <c r="CB61" i="2539"/>
  <c r="BZ61" i="2539"/>
  <c r="BY61" i="2539"/>
  <c r="BX61" i="2539"/>
  <c r="BW61" i="2539"/>
  <c r="BV61" i="2539"/>
  <c r="BU61" i="2539"/>
  <c r="BT61" i="2539"/>
  <c r="BS61" i="2539"/>
  <c r="BR61" i="2539"/>
  <c r="BQ61" i="2539"/>
  <c r="BP61" i="2539"/>
  <c r="BO61" i="2539"/>
  <c r="BM61" i="2539"/>
  <c r="BL61" i="2539"/>
  <c r="BK61" i="2539"/>
  <c r="BJ61" i="2539"/>
  <c r="BI61" i="2539"/>
  <c r="BH61" i="2539"/>
  <c r="BG61" i="2539"/>
  <c r="BF61" i="2539"/>
  <c r="BE61" i="2539"/>
  <c r="BD61" i="2539"/>
  <c r="BC61" i="2539"/>
  <c r="BB61" i="2539"/>
  <c r="AZ61" i="2539"/>
  <c r="AY61" i="2539"/>
  <c r="AX61" i="2539"/>
  <c r="AW61" i="2539"/>
  <c r="AV61" i="2539"/>
  <c r="AU61" i="2539"/>
  <c r="AT61" i="2539"/>
  <c r="AS61" i="2539"/>
  <c r="AR61" i="2539"/>
  <c r="AQ61" i="2539"/>
  <c r="AP61" i="2539"/>
  <c r="AO61" i="2539"/>
  <c r="AM61" i="2539"/>
  <c r="AL61" i="2539"/>
  <c r="AK61" i="2539"/>
  <c r="AJ61" i="2539"/>
  <c r="AI61" i="2539"/>
  <c r="AH61" i="2539"/>
  <c r="AG61" i="2539"/>
  <c r="AF61" i="2539"/>
  <c r="AE61" i="2539"/>
  <c r="AD61" i="2539"/>
  <c r="AC61" i="2539"/>
  <c r="AB61" i="2539"/>
  <c r="Z61" i="2539"/>
  <c r="Y61" i="2539"/>
  <c r="X61" i="2539"/>
  <c r="W61" i="2539"/>
  <c r="V61" i="2539"/>
  <c r="U61" i="2539"/>
  <c r="T61" i="2539"/>
  <c r="S61" i="2539"/>
  <c r="R61" i="2539"/>
  <c r="Q61" i="2539"/>
  <c r="P61" i="2539"/>
  <c r="O61" i="2539"/>
  <c r="M61" i="2539"/>
  <c r="L61" i="2539"/>
  <c r="K61" i="2539"/>
  <c r="J61" i="2539"/>
  <c r="I61" i="2539"/>
  <c r="H61" i="2539"/>
  <c r="G61" i="2539"/>
  <c r="F61" i="2539"/>
  <c r="E61" i="2539"/>
  <c r="D61" i="2539"/>
  <c r="C61" i="2539"/>
  <c r="B61" i="2539"/>
  <c r="HM60" i="2539"/>
  <c r="HL60" i="2539"/>
  <c r="HK60" i="2539"/>
  <c r="HJ60" i="2539"/>
  <c r="HI60" i="2539"/>
  <c r="HH60" i="2539"/>
  <c r="HG60" i="2539"/>
  <c r="HF60" i="2539"/>
  <c r="HE60" i="2539"/>
  <c r="HD60" i="2539"/>
  <c r="HC60" i="2539"/>
  <c r="HB60" i="2539"/>
  <c r="GZ60" i="2539"/>
  <c r="GY60" i="2539"/>
  <c r="GX60" i="2539"/>
  <c r="GW60" i="2539"/>
  <c r="GV60" i="2539"/>
  <c r="GU60" i="2539"/>
  <c r="GT60" i="2539"/>
  <c r="GS60" i="2539"/>
  <c r="GR60" i="2539"/>
  <c r="GQ60" i="2539"/>
  <c r="GP60" i="2539"/>
  <c r="GO60" i="2539"/>
  <c r="GM60" i="2539"/>
  <c r="GL60" i="2539"/>
  <c r="GK60" i="2539"/>
  <c r="GJ60" i="2539"/>
  <c r="GI60" i="2539"/>
  <c r="GH60" i="2539"/>
  <c r="GG60" i="2539"/>
  <c r="GF60" i="2539"/>
  <c r="GE60" i="2539"/>
  <c r="GD60" i="2539"/>
  <c r="GC60" i="2539"/>
  <c r="GB60" i="2539"/>
  <c r="FZ60" i="2539"/>
  <c r="FY60" i="2539"/>
  <c r="FX60" i="2539"/>
  <c r="FW60" i="2539"/>
  <c r="FV60" i="2539"/>
  <c r="FU60" i="2539"/>
  <c r="FT60" i="2539"/>
  <c r="FS60" i="2539"/>
  <c r="FR60" i="2539"/>
  <c r="FQ60" i="2539"/>
  <c r="FP60" i="2539"/>
  <c r="FO60" i="2539"/>
  <c r="FM60" i="2539"/>
  <c r="FL60" i="2539"/>
  <c r="FK60" i="2539"/>
  <c r="FJ60" i="2539"/>
  <c r="FI60" i="2539"/>
  <c r="FH60" i="2539"/>
  <c r="FG60" i="2539"/>
  <c r="FF60" i="2539"/>
  <c r="FE60" i="2539"/>
  <c r="FD60" i="2539"/>
  <c r="FC60" i="2539"/>
  <c r="FB60" i="2539"/>
  <c r="EZ60" i="2539"/>
  <c r="EY60" i="2539"/>
  <c r="EX60" i="2539"/>
  <c r="EW60" i="2539"/>
  <c r="EV60" i="2539"/>
  <c r="EU60" i="2539"/>
  <c r="ET60" i="2539"/>
  <c r="ES60" i="2539"/>
  <c r="ER60" i="2539"/>
  <c r="EQ60" i="2539"/>
  <c r="EP60" i="2539"/>
  <c r="EO60" i="2539"/>
  <c r="EM60" i="2539"/>
  <c r="EL60" i="2539"/>
  <c r="EK60" i="2539"/>
  <c r="EJ60" i="2539"/>
  <c r="EI60" i="2539"/>
  <c r="EH60" i="2539"/>
  <c r="EG60" i="2539"/>
  <c r="EF60" i="2539"/>
  <c r="EE60" i="2539"/>
  <c r="ED60" i="2539"/>
  <c r="EC60" i="2539"/>
  <c r="EB60" i="2539"/>
  <c r="DZ60" i="2539"/>
  <c r="DY60" i="2539"/>
  <c r="DX60" i="2539"/>
  <c r="DW60" i="2539"/>
  <c r="DV60" i="2539"/>
  <c r="DU60" i="2539"/>
  <c r="DT60" i="2539"/>
  <c r="DS60" i="2539"/>
  <c r="DR60" i="2539"/>
  <c r="DQ60" i="2539"/>
  <c r="DP60" i="2539"/>
  <c r="DO60" i="2539"/>
  <c r="DM60" i="2539"/>
  <c r="DL60" i="2539"/>
  <c r="DK60" i="2539"/>
  <c r="DJ60" i="2539"/>
  <c r="DI60" i="2539"/>
  <c r="DH60" i="2539"/>
  <c r="DG60" i="2539"/>
  <c r="DF60" i="2539"/>
  <c r="DE60" i="2539"/>
  <c r="DD60" i="2539"/>
  <c r="DC60" i="2539"/>
  <c r="DB60" i="2539"/>
  <c r="CZ60" i="2539"/>
  <c r="CY60" i="2539"/>
  <c r="CX60" i="2539"/>
  <c r="CW60" i="2539"/>
  <c r="CV60" i="2539"/>
  <c r="CU60" i="2539"/>
  <c r="CT60" i="2539"/>
  <c r="CS60" i="2539"/>
  <c r="CR60" i="2539"/>
  <c r="CQ60" i="2539"/>
  <c r="CP60" i="2539"/>
  <c r="CO60" i="2539"/>
  <c r="CM60" i="2539"/>
  <c r="CL60" i="2539"/>
  <c r="CK60" i="2539"/>
  <c r="CJ60" i="2539"/>
  <c r="CI60" i="2539"/>
  <c r="CH60" i="2539"/>
  <c r="CG60" i="2539"/>
  <c r="CF60" i="2539"/>
  <c r="CE60" i="2539"/>
  <c r="CD60" i="2539"/>
  <c r="CC60" i="2539"/>
  <c r="CB60" i="2539"/>
  <c r="BZ60" i="2539"/>
  <c r="BY60" i="2539"/>
  <c r="BX60" i="2539"/>
  <c r="BW60" i="2539"/>
  <c r="BV60" i="2539"/>
  <c r="BU60" i="2539"/>
  <c r="BT60" i="2539"/>
  <c r="BS60" i="2539"/>
  <c r="BR60" i="2539"/>
  <c r="BQ60" i="2539"/>
  <c r="BP60" i="2539"/>
  <c r="BO60" i="2539"/>
  <c r="BM60" i="2539"/>
  <c r="BL60" i="2539"/>
  <c r="BK60" i="2539"/>
  <c r="BJ60" i="2539"/>
  <c r="BI60" i="2539"/>
  <c r="BH60" i="2539"/>
  <c r="BG60" i="2539"/>
  <c r="BF60" i="2539"/>
  <c r="BE60" i="2539"/>
  <c r="BD60" i="2539"/>
  <c r="BC60" i="2539"/>
  <c r="BB60" i="2539"/>
  <c r="AZ60" i="2539"/>
  <c r="AY60" i="2539"/>
  <c r="AX60" i="2539"/>
  <c r="AW60" i="2539"/>
  <c r="AV60" i="2539"/>
  <c r="AU60" i="2539"/>
  <c r="AT60" i="2539"/>
  <c r="AS60" i="2539"/>
  <c r="AR60" i="2539"/>
  <c r="AQ60" i="2539"/>
  <c r="AP60" i="2539"/>
  <c r="AO60" i="2539"/>
  <c r="AM60" i="2539"/>
  <c r="AL60" i="2539"/>
  <c r="AK60" i="2539"/>
  <c r="AJ60" i="2539"/>
  <c r="AI60" i="2539"/>
  <c r="AH60" i="2539"/>
  <c r="AG60" i="2539"/>
  <c r="AF60" i="2539"/>
  <c r="AE60" i="2539"/>
  <c r="AD60" i="2539"/>
  <c r="AC60" i="2539"/>
  <c r="AB60" i="2539"/>
  <c r="Z60" i="2539"/>
  <c r="Y60" i="2539"/>
  <c r="X60" i="2539"/>
  <c r="W60" i="2539"/>
  <c r="V60" i="2539"/>
  <c r="U60" i="2539"/>
  <c r="T60" i="2539"/>
  <c r="S60" i="2539"/>
  <c r="R60" i="2539"/>
  <c r="Q60" i="2539"/>
  <c r="P60" i="2539"/>
  <c r="O60" i="2539"/>
  <c r="M60" i="2539"/>
  <c r="L60" i="2539"/>
  <c r="K60" i="2539"/>
  <c r="J60" i="2539"/>
  <c r="I60" i="2539"/>
  <c r="H60" i="2539"/>
  <c r="G60" i="2539"/>
  <c r="F60" i="2539"/>
  <c r="E60" i="2539"/>
  <c r="D60" i="2539"/>
  <c r="C60" i="2539"/>
  <c r="B60" i="2539"/>
  <c r="HM59" i="2539"/>
  <c r="HL59" i="2539"/>
  <c r="HK59" i="2539"/>
  <c r="HJ59" i="2539"/>
  <c r="HI59" i="2539"/>
  <c r="HH59" i="2539"/>
  <c r="HG59" i="2539"/>
  <c r="HF59" i="2539"/>
  <c r="HE59" i="2539"/>
  <c r="HD59" i="2539"/>
  <c r="HC59" i="2539"/>
  <c r="HB59" i="2539"/>
  <c r="GZ59" i="2539"/>
  <c r="GY59" i="2539"/>
  <c r="GX59" i="2539"/>
  <c r="GW59" i="2539"/>
  <c r="GV59" i="2539"/>
  <c r="GU59" i="2539"/>
  <c r="GT59" i="2539"/>
  <c r="GS59" i="2539"/>
  <c r="GR59" i="2539"/>
  <c r="GQ59" i="2539"/>
  <c r="GP59" i="2539"/>
  <c r="GO59" i="2539"/>
  <c r="GM59" i="2539"/>
  <c r="GL59" i="2539"/>
  <c r="GK59" i="2539"/>
  <c r="GJ59" i="2539"/>
  <c r="GI59" i="2539"/>
  <c r="GH59" i="2539"/>
  <c r="GG59" i="2539"/>
  <c r="GF59" i="2539"/>
  <c r="GE59" i="2539"/>
  <c r="GD59" i="2539"/>
  <c r="GC59" i="2539"/>
  <c r="GB59" i="2539"/>
  <c r="FZ59" i="2539"/>
  <c r="FY59" i="2539"/>
  <c r="FX59" i="2539"/>
  <c r="FW59" i="2539"/>
  <c r="FV59" i="2539"/>
  <c r="FU59" i="2539"/>
  <c r="FT59" i="2539"/>
  <c r="FS59" i="2539"/>
  <c r="FR59" i="2539"/>
  <c r="FQ59" i="2539"/>
  <c r="FP59" i="2539"/>
  <c r="FO59" i="2539"/>
  <c r="FM59" i="2539"/>
  <c r="FL59" i="2539"/>
  <c r="FK59" i="2539"/>
  <c r="FJ59" i="2539"/>
  <c r="FI59" i="2539"/>
  <c r="FH59" i="2539"/>
  <c r="FG59" i="2539"/>
  <c r="FF59" i="2539"/>
  <c r="FE59" i="2539"/>
  <c r="FD59" i="2539"/>
  <c r="FC59" i="2539"/>
  <c r="FB59" i="2539"/>
  <c r="EZ59" i="2539"/>
  <c r="EY59" i="2539"/>
  <c r="EX59" i="2539"/>
  <c r="EW59" i="2539"/>
  <c r="EV59" i="2539"/>
  <c r="EU59" i="2539"/>
  <c r="ET59" i="2539"/>
  <c r="ES59" i="2539"/>
  <c r="ER59" i="2539"/>
  <c r="EQ59" i="2539"/>
  <c r="EP59" i="2539"/>
  <c r="EO59" i="2539"/>
  <c r="EM59" i="2539"/>
  <c r="EL59" i="2539"/>
  <c r="EK59" i="2539"/>
  <c r="EJ59" i="2539"/>
  <c r="EI59" i="2539"/>
  <c r="EH59" i="2539"/>
  <c r="EG59" i="2539"/>
  <c r="EF59" i="2539"/>
  <c r="EE59" i="2539"/>
  <c r="ED59" i="2539"/>
  <c r="EC59" i="2539"/>
  <c r="EB59" i="2539"/>
  <c r="DZ59" i="2539"/>
  <c r="DY59" i="2539"/>
  <c r="DX59" i="2539"/>
  <c r="DW59" i="2539"/>
  <c r="DV59" i="2539"/>
  <c r="DU59" i="2539"/>
  <c r="DT59" i="2539"/>
  <c r="DS59" i="2539"/>
  <c r="DR59" i="2539"/>
  <c r="DQ59" i="2539"/>
  <c r="DP59" i="2539"/>
  <c r="DO59" i="2539"/>
  <c r="DM59" i="2539"/>
  <c r="DL59" i="2539"/>
  <c r="DK59" i="2539"/>
  <c r="DJ59" i="2539"/>
  <c r="DI59" i="2539"/>
  <c r="DH59" i="2539"/>
  <c r="DG59" i="2539"/>
  <c r="DF59" i="2539"/>
  <c r="DE59" i="2539"/>
  <c r="DD59" i="2539"/>
  <c r="DC59" i="2539"/>
  <c r="DB59" i="2539"/>
  <c r="CZ59" i="2539"/>
  <c r="CY59" i="2539"/>
  <c r="CX59" i="2539"/>
  <c r="CW59" i="2539"/>
  <c r="CV59" i="2539"/>
  <c r="CU59" i="2539"/>
  <c r="CT59" i="2539"/>
  <c r="CS59" i="2539"/>
  <c r="CR59" i="2539"/>
  <c r="CQ59" i="2539"/>
  <c r="CP59" i="2539"/>
  <c r="CO59" i="2539"/>
  <c r="CM59" i="2539"/>
  <c r="CL59" i="2539"/>
  <c r="CK59" i="2539"/>
  <c r="CJ59" i="2539"/>
  <c r="CI59" i="2539"/>
  <c r="CH59" i="2539"/>
  <c r="CG59" i="2539"/>
  <c r="CF59" i="2539"/>
  <c r="CE59" i="2539"/>
  <c r="CD59" i="2539"/>
  <c r="CC59" i="2539"/>
  <c r="CB59" i="2539"/>
  <c r="BZ59" i="2539"/>
  <c r="BY59" i="2539"/>
  <c r="BX59" i="2539"/>
  <c r="BW59" i="2539"/>
  <c r="BV59" i="2539"/>
  <c r="BU59" i="2539"/>
  <c r="BT59" i="2539"/>
  <c r="BS59" i="2539"/>
  <c r="BR59" i="2539"/>
  <c r="BQ59" i="2539"/>
  <c r="BP59" i="2539"/>
  <c r="BO59" i="2539"/>
  <c r="BM59" i="2539"/>
  <c r="BL59" i="2539"/>
  <c r="BK59" i="2539"/>
  <c r="BJ59" i="2539"/>
  <c r="BI59" i="2539"/>
  <c r="BH59" i="2539"/>
  <c r="BG59" i="2539"/>
  <c r="BF59" i="2539"/>
  <c r="BE59" i="2539"/>
  <c r="BD59" i="2539"/>
  <c r="BC59" i="2539"/>
  <c r="BB59" i="2539"/>
  <c r="AZ59" i="2539"/>
  <c r="AY59" i="2539"/>
  <c r="AX59" i="2539"/>
  <c r="AW59" i="2539"/>
  <c r="AV59" i="2539"/>
  <c r="AU59" i="2539"/>
  <c r="AT59" i="2539"/>
  <c r="AS59" i="2539"/>
  <c r="AR59" i="2539"/>
  <c r="AQ59" i="2539"/>
  <c r="AP59" i="2539"/>
  <c r="AO59" i="2539"/>
  <c r="AM59" i="2539"/>
  <c r="AL59" i="2539"/>
  <c r="AK59" i="2539"/>
  <c r="AJ59" i="2539"/>
  <c r="AI59" i="2539"/>
  <c r="AH59" i="2539"/>
  <c r="AG59" i="2539"/>
  <c r="AF59" i="2539"/>
  <c r="AE59" i="2539"/>
  <c r="AD59" i="2539"/>
  <c r="AC59" i="2539"/>
  <c r="AB59" i="2539"/>
  <c r="Z59" i="2539"/>
  <c r="Y59" i="2539"/>
  <c r="X59" i="2539"/>
  <c r="W59" i="2539"/>
  <c r="V59" i="2539"/>
  <c r="U59" i="2539"/>
  <c r="T59" i="2539"/>
  <c r="S59" i="2539"/>
  <c r="R59" i="2539"/>
  <c r="Q59" i="2539"/>
  <c r="P59" i="2539"/>
  <c r="O59" i="2539"/>
  <c r="M59" i="2539"/>
  <c r="L59" i="2539"/>
  <c r="K59" i="2539"/>
  <c r="J59" i="2539"/>
  <c r="I59" i="2539"/>
  <c r="H59" i="2539"/>
  <c r="G59" i="2539"/>
  <c r="F59" i="2539"/>
  <c r="E59" i="2539"/>
  <c r="D59" i="2539"/>
  <c r="C59" i="2539"/>
  <c r="B59" i="2539"/>
  <c r="HM58" i="2539"/>
  <c r="HL58" i="2539"/>
  <c r="HK58" i="2539"/>
  <c r="HJ58" i="2539"/>
  <c r="HI58" i="2539"/>
  <c r="HH58" i="2539"/>
  <c r="HG58" i="2539"/>
  <c r="HF58" i="2539"/>
  <c r="HE58" i="2539"/>
  <c r="HD58" i="2539"/>
  <c r="HC58" i="2539"/>
  <c r="HB58" i="2539"/>
  <c r="GZ58" i="2539"/>
  <c r="GY58" i="2539"/>
  <c r="GX58" i="2539"/>
  <c r="GW58" i="2539"/>
  <c r="GV58" i="2539"/>
  <c r="GU58" i="2539"/>
  <c r="GT58" i="2539"/>
  <c r="GS58" i="2539"/>
  <c r="GR58" i="2539"/>
  <c r="GQ58" i="2539"/>
  <c r="GP58" i="2539"/>
  <c r="GO58" i="2539"/>
  <c r="GM58" i="2539"/>
  <c r="GL58" i="2539"/>
  <c r="GK58" i="2539"/>
  <c r="GJ58" i="2539"/>
  <c r="GI58" i="2539"/>
  <c r="GH58" i="2539"/>
  <c r="GG58" i="2539"/>
  <c r="GF58" i="2539"/>
  <c r="GE58" i="2539"/>
  <c r="GD58" i="2539"/>
  <c r="GC58" i="2539"/>
  <c r="GB58" i="2539"/>
  <c r="FZ58" i="2539"/>
  <c r="FY58" i="2539"/>
  <c r="FX58" i="2539"/>
  <c r="FW58" i="2539"/>
  <c r="FV58" i="2539"/>
  <c r="FU58" i="2539"/>
  <c r="FT58" i="2539"/>
  <c r="FS58" i="2539"/>
  <c r="FR58" i="2539"/>
  <c r="FQ58" i="2539"/>
  <c r="FP58" i="2539"/>
  <c r="FO58" i="2539"/>
  <c r="FM58" i="2539"/>
  <c r="FL58" i="2539"/>
  <c r="FK58" i="2539"/>
  <c r="FJ58" i="2539"/>
  <c r="FI58" i="2539"/>
  <c r="FH58" i="2539"/>
  <c r="FG58" i="2539"/>
  <c r="FF58" i="2539"/>
  <c r="FE58" i="2539"/>
  <c r="FD58" i="2539"/>
  <c r="FC58" i="2539"/>
  <c r="FB58" i="2539"/>
  <c r="EZ58" i="2539"/>
  <c r="EY58" i="2539"/>
  <c r="EX58" i="2539"/>
  <c r="EW58" i="2539"/>
  <c r="EV58" i="2539"/>
  <c r="EU58" i="2539"/>
  <c r="ET58" i="2539"/>
  <c r="ES58" i="2539"/>
  <c r="ER58" i="2539"/>
  <c r="EQ58" i="2539"/>
  <c r="EP58" i="2539"/>
  <c r="EO58" i="2539"/>
  <c r="EM58" i="2539"/>
  <c r="EL58" i="2539"/>
  <c r="EK58" i="2539"/>
  <c r="EJ58" i="2539"/>
  <c r="EI58" i="2539"/>
  <c r="EH58" i="2539"/>
  <c r="EG58" i="2539"/>
  <c r="EF58" i="2539"/>
  <c r="EE58" i="2539"/>
  <c r="ED58" i="2539"/>
  <c r="EC58" i="2539"/>
  <c r="EB58" i="2539"/>
  <c r="DZ58" i="2539"/>
  <c r="DY58" i="2539"/>
  <c r="DX58" i="2539"/>
  <c r="DW58" i="2539"/>
  <c r="DV58" i="2539"/>
  <c r="DU58" i="2539"/>
  <c r="DT58" i="2539"/>
  <c r="DS58" i="2539"/>
  <c r="DR58" i="2539"/>
  <c r="DQ58" i="2539"/>
  <c r="DP58" i="2539"/>
  <c r="DO58" i="2539"/>
  <c r="DM58" i="2539"/>
  <c r="DL58" i="2539"/>
  <c r="DK58" i="2539"/>
  <c r="DJ58" i="2539"/>
  <c r="DI58" i="2539"/>
  <c r="DH58" i="2539"/>
  <c r="DG58" i="2539"/>
  <c r="DF58" i="2539"/>
  <c r="DE58" i="2539"/>
  <c r="DD58" i="2539"/>
  <c r="DC58" i="2539"/>
  <c r="DB58" i="2539"/>
  <c r="CZ58" i="2539"/>
  <c r="CY58" i="2539"/>
  <c r="CX58" i="2539"/>
  <c r="CW58" i="2539"/>
  <c r="CV58" i="2539"/>
  <c r="CU58" i="2539"/>
  <c r="CT58" i="2539"/>
  <c r="CS58" i="2539"/>
  <c r="CR58" i="2539"/>
  <c r="CQ58" i="2539"/>
  <c r="CP58" i="2539"/>
  <c r="CO58" i="2539"/>
  <c r="CM58" i="2539"/>
  <c r="CL58" i="2539"/>
  <c r="CK58" i="2539"/>
  <c r="CJ58" i="2539"/>
  <c r="CI58" i="2539"/>
  <c r="CH58" i="2539"/>
  <c r="CG58" i="2539"/>
  <c r="CF58" i="2539"/>
  <c r="CE58" i="2539"/>
  <c r="CD58" i="2539"/>
  <c r="CC58" i="2539"/>
  <c r="CB58" i="2539"/>
  <c r="BZ58" i="2539"/>
  <c r="BY58" i="2539"/>
  <c r="BX58" i="2539"/>
  <c r="BW58" i="2539"/>
  <c r="BV58" i="2539"/>
  <c r="BU58" i="2539"/>
  <c r="BT58" i="2539"/>
  <c r="BS58" i="2539"/>
  <c r="BR58" i="2539"/>
  <c r="BQ58" i="2539"/>
  <c r="BP58" i="2539"/>
  <c r="BO58" i="2539"/>
  <c r="BM58" i="2539"/>
  <c r="BL58" i="2539"/>
  <c r="BK58" i="2539"/>
  <c r="BJ58" i="2539"/>
  <c r="BI58" i="2539"/>
  <c r="BH58" i="2539"/>
  <c r="BG58" i="2539"/>
  <c r="BF58" i="2539"/>
  <c r="BE58" i="2539"/>
  <c r="BD58" i="2539"/>
  <c r="BC58" i="2539"/>
  <c r="BB58" i="2539"/>
  <c r="AZ58" i="2539"/>
  <c r="AY58" i="2539"/>
  <c r="AX58" i="2539"/>
  <c r="AW58" i="2539"/>
  <c r="AV58" i="2539"/>
  <c r="AU58" i="2539"/>
  <c r="AT58" i="2539"/>
  <c r="AS58" i="2539"/>
  <c r="AR58" i="2539"/>
  <c r="AQ58" i="2539"/>
  <c r="AP58" i="2539"/>
  <c r="AO58" i="2539"/>
  <c r="AM58" i="2539"/>
  <c r="AL58" i="2539"/>
  <c r="AK58" i="2539"/>
  <c r="AJ58" i="2539"/>
  <c r="AI58" i="2539"/>
  <c r="AH58" i="2539"/>
  <c r="AG58" i="2539"/>
  <c r="AF58" i="2539"/>
  <c r="AE58" i="2539"/>
  <c r="AD58" i="2539"/>
  <c r="AC58" i="2539"/>
  <c r="AB58" i="2539"/>
  <c r="Z58" i="2539"/>
  <c r="Y58" i="2539"/>
  <c r="X58" i="2539"/>
  <c r="W58" i="2539"/>
  <c r="V58" i="2539"/>
  <c r="U58" i="2539"/>
  <c r="T58" i="2539"/>
  <c r="S58" i="2539"/>
  <c r="R58" i="2539"/>
  <c r="Q58" i="2539"/>
  <c r="P58" i="2539"/>
  <c r="O58" i="2539"/>
  <c r="M58" i="2539"/>
  <c r="L58" i="2539"/>
  <c r="K58" i="2539"/>
  <c r="J58" i="2539"/>
  <c r="I58" i="2539"/>
  <c r="H58" i="2539"/>
  <c r="G58" i="2539"/>
  <c r="F58" i="2539"/>
  <c r="E58" i="2539"/>
  <c r="D58" i="2539"/>
  <c r="C58" i="2539"/>
  <c r="B58" i="2539"/>
  <c r="N56" i="2539"/>
  <c r="HM55" i="2539"/>
  <c r="HL55" i="2539"/>
  <c r="HK55" i="2539"/>
  <c r="HJ55" i="2539"/>
  <c r="HI55" i="2539"/>
  <c r="HH55" i="2539"/>
  <c r="HG55" i="2539"/>
  <c r="HF55" i="2539"/>
  <c r="HE55" i="2539"/>
  <c r="HD55" i="2539"/>
  <c r="HC55" i="2539"/>
  <c r="HB55" i="2539"/>
  <c r="GZ55" i="2539"/>
  <c r="GY55" i="2539"/>
  <c r="GX55" i="2539"/>
  <c r="GW55" i="2539"/>
  <c r="GV55" i="2539"/>
  <c r="GU55" i="2539"/>
  <c r="GT55" i="2539"/>
  <c r="GS55" i="2539"/>
  <c r="GR55" i="2539"/>
  <c r="GQ55" i="2539"/>
  <c r="GP55" i="2539"/>
  <c r="GO55" i="2539"/>
  <c r="GM55" i="2539"/>
  <c r="GL55" i="2539"/>
  <c r="GK55" i="2539"/>
  <c r="GJ55" i="2539"/>
  <c r="GI55" i="2539"/>
  <c r="GH55" i="2539"/>
  <c r="GG55" i="2539"/>
  <c r="GF55" i="2539"/>
  <c r="GE55" i="2539"/>
  <c r="GD55" i="2539"/>
  <c r="GC55" i="2539"/>
  <c r="GB55" i="2539"/>
  <c r="FZ55" i="2539"/>
  <c r="FY55" i="2539"/>
  <c r="FX55" i="2539"/>
  <c r="FW55" i="2539"/>
  <c r="FV55" i="2539"/>
  <c r="FU55" i="2539"/>
  <c r="FT55" i="2539"/>
  <c r="FS55" i="2539"/>
  <c r="FR55" i="2539"/>
  <c r="FQ55" i="2539"/>
  <c r="FP55" i="2539"/>
  <c r="FO55" i="2539"/>
  <c r="FM55" i="2539"/>
  <c r="FL55" i="2539"/>
  <c r="FK55" i="2539"/>
  <c r="FJ55" i="2539"/>
  <c r="FI55" i="2539"/>
  <c r="FH55" i="2539"/>
  <c r="FG55" i="2539"/>
  <c r="FF55" i="2539"/>
  <c r="FE55" i="2539"/>
  <c r="FD55" i="2539"/>
  <c r="FC55" i="2539"/>
  <c r="FB55" i="2539"/>
  <c r="EZ55" i="2539"/>
  <c r="EY55" i="2539"/>
  <c r="EX55" i="2539"/>
  <c r="EW55" i="2539"/>
  <c r="EV55" i="2539"/>
  <c r="EU55" i="2539"/>
  <c r="ET55" i="2539"/>
  <c r="ES55" i="2539"/>
  <c r="ER55" i="2539"/>
  <c r="EQ55" i="2539"/>
  <c r="EP55" i="2539"/>
  <c r="EO55" i="2539"/>
  <c r="EM55" i="2539"/>
  <c r="EL55" i="2539"/>
  <c r="EK55" i="2539"/>
  <c r="EJ55" i="2539"/>
  <c r="EI55" i="2539"/>
  <c r="EH55" i="2539"/>
  <c r="EG55" i="2539"/>
  <c r="EF55" i="2539"/>
  <c r="EE55" i="2539"/>
  <c r="ED55" i="2539"/>
  <c r="EC55" i="2539"/>
  <c r="EB55" i="2539"/>
  <c r="DZ55" i="2539"/>
  <c r="DY55" i="2539"/>
  <c r="DX55" i="2539"/>
  <c r="DW55" i="2539"/>
  <c r="DV55" i="2539"/>
  <c r="DU55" i="2539"/>
  <c r="DT55" i="2539"/>
  <c r="DS55" i="2539"/>
  <c r="DR55" i="2539"/>
  <c r="DQ55" i="2539"/>
  <c r="DP55" i="2539"/>
  <c r="DO55" i="2539"/>
  <c r="DM55" i="2539"/>
  <c r="DL55" i="2539"/>
  <c r="DK55" i="2539"/>
  <c r="DJ55" i="2539"/>
  <c r="DI55" i="2539"/>
  <c r="DH55" i="2539"/>
  <c r="DG55" i="2539"/>
  <c r="DF55" i="2539"/>
  <c r="DE55" i="2539"/>
  <c r="DD55" i="2539"/>
  <c r="DC55" i="2539"/>
  <c r="DB55" i="2539"/>
  <c r="CZ55" i="2539"/>
  <c r="CY55" i="2539"/>
  <c r="CX55" i="2539"/>
  <c r="CW55" i="2539"/>
  <c r="CV55" i="2539"/>
  <c r="CU55" i="2539"/>
  <c r="CT55" i="2539"/>
  <c r="CS55" i="2539"/>
  <c r="CR55" i="2539"/>
  <c r="CQ55" i="2539"/>
  <c r="CP55" i="2539"/>
  <c r="CO55" i="2539"/>
  <c r="CM55" i="2539"/>
  <c r="CL55" i="2539"/>
  <c r="CK55" i="2539"/>
  <c r="CJ55" i="2539"/>
  <c r="CI55" i="2539"/>
  <c r="CH55" i="2539"/>
  <c r="CG55" i="2539"/>
  <c r="CF55" i="2539"/>
  <c r="CE55" i="2539"/>
  <c r="CD55" i="2539"/>
  <c r="CC55" i="2539"/>
  <c r="CB55" i="2539"/>
  <c r="BZ55" i="2539"/>
  <c r="BY55" i="2539"/>
  <c r="BX55" i="2539"/>
  <c r="BW55" i="2539"/>
  <c r="BV55" i="2539"/>
  <c r="BU55" i="2539"/>
  <c r="BT55" i="2539"/>
  <c r="BS55" i="2539"/>
  <c r="BR55" i="2539"/>
  <c r="BQ55" i="2539"/>
  <c r="BP55" i="2539"/>
  <c r="BO55" i="2539"/>
  <c r="BM55" i="2539"/>
  <c r="BL55" i="2539"/>
  <c r="BK55" i="2539"/>
  <c r="BJ55" i="2539"/>
  <c r="BI55" i="2539"/>
  <c r="BH55" i="2539"/>
  <c r="BG55" i="2539"/>
  <c r="BF55" i="2539"/>
  <c r="BE55" i="2539"/>
  <c r="BD55" i="2539"/>
  <c r="BC55" i="2539"/>
  <c r="BB55" i="2539"/>
  <c r="AZ55" i="2539"/>
  <c r="AY55" i="2539"/>
  <c r="AX55" i="2539"/>
  <c r="AW55" i="2539"/>
  <c r="AV55" i="2539"/>
  <c r="AU55" i="2539"/>
  <c r="AT55" i="2539"/>
  <c r="AS55" i="2539"/>
  <c r="AR55" i="2539"/>
  <c r="AQ55" i="2539"/>
  <c r="AP55" i="2539"/>
  <c r="AO55" i="2539"/>
  <c r="AM55" i="2539"/>
  <c r="AL55" i="2539"/>
  <c r="AK55" i="2539"/>
  <c r="AJ55" i="2539"/>
  <c r="AI55" i="2539"/>
  <c r="AH55" i="2539"/>
  <c r="AG55" i="2539"/>
  <c r="AF55" i="2539"/>
  <c r="AE55" i="2539"/>
  <c r="AD55" i="2539"/>
  <c r="AC55" i="2539"/>
  <c r="AB55" i="2539"/>
  <c r="Z55" i="2539"/>
  <c r="Y55" i="2539"/>
  <c r="X55" i="2539"/>
  <c r="W55" i="2539"/>
  <c r="V55" i="2539"/>
  <c r="U55" i="2539"/>
  <c r="T55" i="2539"/>
  <c r="S55" i="2539"/>
  <c r="R55" i="2539"/>
  <c r="Q55" i="2539"/>
  <c r="P55" i="2539"/>
  <c r="O55" i="2539"/>
  <c r="M55" i="2539"/>
  <c r="L55" i="2539"/>
  <c r="K55" i="2539"/>
  <c r="J55" i="2539"/>
  <c r="I55" i="2539"/>
  <c r="H55" i="2539"/>
  <c r="G55" i="2539"/>
  <c r="F55" i="2539"/>
  <c r="E55" i="2539"/>
  <c r="D55" i="2539"/>
  <c r="C55" i="2539"/>
  <c r="B55" i="2539"/>
  <c r="HM54" i="2539"/>
  <c r="HL54" i="2539"/>
  <c r="HK54" i="2539"/>
  <c r="HJ54" i="2539"/>
  <c r="HI54" i="2539"/>
  <c r="HH54" i="2539"/>
  <c r="HG54" i="2539"/>
  <c r="HF54" i="2539"/>
  <c r="HE54" i="2539"/>
  <c r="HD54" i="2539"/>
  <c r="HC54" i="2539"/>
  <c r="HB54" i="2539"/>
  <c r="GY54" i="2539"/>
  <c r="GX54" i="2539"/>
  <c r="GW54" i="2539"/>
  <c r="GV54" i="2539"/>
  <c r="GT54" i="2539"/>
  <c r="GS54" i="2539"/>
  <c r="GR54" i="2539"/>
  <c r="GQ54" i="2539"/>
  <c r="GP54" i="2539"/>
  <c r="GO54" i="2539"/>
  <c r="GL54" i="2539"/>
  <c r="GK54" i="2539"/>
  <c r="GJ54" i="2539"/>
  <c r="GI54" i="2539"/>
  <c r="GH54" i="2539"/>
  <c r="GG54" i="2539"/>
  <c r="GF54" i="2539"/>
  <c r="GE54" i="2539"/>
  <c r="GD54" i="2539"/>
  <c r="GC54" i="2539"/>
  <c r="GB54" i="2539"/>
  <c r="FZ54" i="2539"/>
  <c r="FY54" i="2539"/>
  <c r="FX54" i="2539"/>
  <c r="FW54" i="2539"/>
  <c r="FV54" i="2539"/>
  <c r="FU54" i="2539"/>
  <c r="FT54" i="2539"/>
  <c r="FS54" i="2539"/>
  <c r="FR54" i="2539"/>
  <c r="FQ54" i="2539"/>
  <c r="FP54" i="2539"/>
  <c r="FO54" i="2539"/>
  <c r="FM54" i="2539"/>
  <c r="FL54" i="2539"/>
  <c r="FK54" i="2539"/>
  <c r="FJ54" i="2539"/>
  <c r="FI54" i="2539"/>
  <c r="FG54" i="2539"/>
  <c r="FF54" i="2539"/>
  <c r="FE54" i="2539"/>
  <c r="FD54" i="2539"/>
  <c r="FC54" i="2539"/>
  <c r="FB54" i="2539"/>
  <c r="EZ54" i="2539"/>
  <c r="EY54" i="2539"/>
  <c r="EX54" i="2539"/>
  <c r="EW54" i="2539"/>
  <c r="EV54" i="2539"/>
  <c r="EU54" i="2539"/>
  <c r="ET54" i="2539"/>
  <c r="ES54" i="2539"/>
  <c r="ER54" i="2539"/>
  <c r="EQ54" i="2539"/>
  <c r="EP54" i="2539"/>
  <c r="EO54" i="2539"/>
  <c r="EM54" i="2539"/>
  <c r="EJ54" i="2539"/>
  <c r="EI54" i="2539"/>
  <c r="EH54" i="2539"/>
  <c r="EG54" i="2539"/>
  <c r="EF54" i="2539"/>
  <c r="EE54" i="2539"/>
  <c r="ED54" i="2539"/>
  <c r="EC54" i="2539"/>
  <c r="EB54" i="2539"/>
  <c r="DZ54" i="2539"/>
  <c r="DY54" i="2539"/>
  <c r="DX54" i="2539"/>
  <c r="DW54" i="2539"/>
  <c r="DV54" i="2539"/>
  <c r="DU54" i="2539"/>
  <c r="DT54" i="2539"/>
  <c r="DS54" i="2539"/>
  <c r="DR54" i="2539"/>
  <c r="DQ54" i="2539"/>
  <c r="DP54" i="2539"/>
  <c r="DO54" i="2539"/>
  <c r="DM54" i="2539"/>
  <c r="DL54" i="2539"/>
  <c r="DK54" i="2539"/>
  <c r="DJ54" i="2539"/>
  <c r="DI54" i="2539"/>
  <c r="DH54" i="2539"/>
  <c r="DG54" i="2539"/>
  <c r="DF54" i="2539"/>
  <c r="DE54" i="2539"/>
  <c r="DD54" i="2539"/>
  <c r="DC54" i="2539"/>
  <c r="DB54" i="2539"/>
  <c r="CZ54" i="2539"/>
  <c r="CY54" i="2539"/>
  <c r="CX54" i="2539"/>
  <c r="CW54" i="2539"/>
  <c r="CV54" i="2539"/>
  <c r="CU54" i="2539"/>
  <c r="CT54" i="2539"/>
  <c r="CS54" i="2539"/>
  <c r="CR54" i="2539"/>
  <c r="CQ54" i="2539"/>
  <c r="CP54" i="2539"/>
  <c r="CO54" i="2539"/>
  <c r="CM54" i="2539"/>
  <c r="CL54" i="2539"/>
  <c r="CK54" i="2539"/>
  <c r="CJ54" i="2539"/>
  <c r="CI54" i="2539"/>
  <c r="CH54" i="2539"/>
  <c r="CG54" i="2539"/>
  <c r="CF54" i="2539"/>
  <c r="CE54" i="2539"/>
  <c r="CD54" i="2539"/>
  <c r="CC54" i="2539"/>
  <c r="CB54" i="2539"/>
  <c r="BZ54" i="2539"/>
  <c r="BY54" i="2539"/>
  <c r="BX54" i="2539"/>
  <c r="BW54" i="2539"/>
  <c r="BV54" i="2539"/>
  <c r="BU54" i="2539"/>
  <c r="BT54" i="2539"/>
  <c r="BS54" i="2539"/>
  <c r="BR54" i="2539"/>
  <c r="BQ54" i="2539"/>
  <c r="BP54" i="2539"/>
  <c r="BO54" i="2539"/>
  <c r="BM54" i="2539"/>
  <c r="BL54" i="2539"/>
  <c r="BK54" i="2539"/>
  <c r="BJ54" i="2539"/>
  <c r="BI54" i="2539"/>
  <c r="BH54" i="2539"/>
  <c r="BG54" i="2539"/>
  <c r="BF54" i="2539"/>
  <c r="BE54" i="2539"/>
  <c r="BD54" i="2539"/>
  <c r="BC54" i="2539"/>
  <c r="BB54" i="2539"/>
  <c r="AZ54" i="2539"/>
  <c r="AY54" i="2539"/>
  <c r="AX54" i="2539"/>
  <c r="AW54" i="2539"/>
  <c r="AV54" i="2539"/>
  <c r="AU54" i="2539"/>
  <c r="AT54" i="2539"/>
  <c r="AS54" i="2539"/>
  <c r="AR54" i="2539"/>
  <c r="AQ54" i="2539"/>
  <c r="AP54" i="2539"/>
  <c r="AO54" i="2539"/>
  <c r="AM54" i="2539"/>
  <c r="AL54" i="2539"/>
  <c r="AK54" i="2539"/>
  <c r="AJ54" i="2539"/>
  <c r="AI54" i="2539"/>
  <c r="AH54" i="2539"/>
  <c r="AG54" i="2539"/>
  <c r="AF54" i="2539"/>
  <c r="AE54" i="2539"/>
  <c r="AD54" i="2539"/>
  <c r="AC54" i="2539"/>
  <c r="AB54" i="2539"/>
  <c r="Z54" i="2539"/>
  <c r="Y54" i="2539"/>
  <c r="X54" i="2539"/>
  <c r="W54" i="2539"/>
  <c r="V54" i="2539"/>
  <c r="U54" i="2539"/>
  <c r="T54" i="2539"/>
  <c r="S54" i="2539"/>
  <c r="R54" i="2539"/>
  <c r="Q54" i="2539"/>
  <c r="P54" i="2539"/>
  <c r="O54" i="2539"/>
  <c r="M54" i="2539"/>
  <c r="L54" i="2539"/>
  <c r="K54" i="2539"/>
  <c r="J54" i="2539"/>
  <c r="I54" i="2539"/>
  <c r="H54" i="2539"/>
  <c r="G54" i="2539"/>
  <c r="F54" i="2539"/>
  <c r="E54" i="2539"/>
  <c r="D54" i="2539"/>
  <c r="C54" i="2539"/>
  <c r="B54" i="2539"/>
  <c r="AZ53" i="2539"/>
  <c r="AY53" i="2539"/>
  <c r="AM53" i="2539"/>
  <c r="HM52" i="2539"/>
  <c r="HL52" i="2539"/>
  <c r="HK52" i="2539"/>
  <c r="HJ52" i="2539"/>
  <c r="HI52" i="2539"/>
  <c r="HH52" i="2539"/>
  <c r="HG52" i="2539"/>
  <c r="HF52" i="2539"/>
  <c r="HE52" i="2539"/>
  <c r="HD52" i="2539"/>
  <c r="HC52" i="2539"/>
  <c r="HB52" i="2539"/>
  <c r="GZ52" i="2539"/>
  <c r="GY52" i="2539"/>
  <c r="GX52" i="2539"/>
  <c r="GW52" i="2539"/>
  <c r="GV52" i="2539"/>
  <c r="GU52" i="2539"/>
  <c r="GT52" i="2539"/>
  <c r="GS52" i="2539"/>
  <c r="GR52" i="2539"/>
  <c r="GQ52" i="2539"/>
  <c r="GP52" i="2539"/>
  <c r="GO52" i="2539"/>
  <c r="GM52" i="2539"/>
  <c r="GL52" i="2539"/>
  <c r="GK52" i="2539"/>
  <c r="GJ52" i="2539"/>
  <c r="GI52" i="2539"/>
  <c r="GH52" i="2539"/>
  <c r="GG52" i="2539"/>
  <c r="GF52" i="2539"/>
  <c r="GE52" i="2539"/>
  <c r="GD52" i="2539"/>
  <c r="GC52" i="2539"/>
  <c r="GB52" i="2539"/>
  <c r="FZ52" i="2539"/>
  <c r="FY52" i="2539"/>
  <c r="FX52" i="2539"/>
  <c r="FW52" i="2539"/>
  <c r="FV52" i="2539"/>
  <c r="FU52" i="2539"/>
  <c r="FT52" i="2539"/>
  <c r="FS52" i="2539"/>
  <c r="FR52" i="2539"/>
  <c r="FQ52" i="2539"/>
  <c r="FP52" i="2539"/>
  <c r="FO52" i="2539"/>
  <c r="FM52" i="2539"/>
  <c r="FL52" i="2539"/>
  <c r="FK52" i="2539"/>
  <c r="FJ52" i="2539"/>
  <c r="FI52" i="2539"/>
  <c r="FH52" i="2539"/>
  <c r="FG52" i="2539"/>
  <c r="FF52" i="2539"/>
  <c r="FE52" i="2539"/>
  <c r="FD52" i="2539"/>
  <c r="FC52" i="2539"/>
  <c r="FB52" i="2539"/>
  <c r="EZ52" i="2539"/>
  <c r="EY52" i="2539"/>
  <c r="EX52" i="2539"/>
  <c r="EW52" i="2539"/>
  <c r="EV52" i="2539"/>
  <c r="EU52" i="2539"/>
  <c r="ET52" i="2539"/>
  <c r="ES52" i="2539"/>
  <c r="ER52" i="2539"/>
  <c r="EQ52" i="2539"/>
  <c r="EP52" i="2539"/>
  <c r="EO52" i="2539"/>
  <c r="EM52" i="2539"/>
  <c r="EL52" i="2539"/>
  <c r="EK52" i="2539"/>
  <c r="EJ52" i="2539"/>
  <c r="EI52" i="2539"/>
  <c r="EH52" i="2539"/>
  <c r="EG52" i="2539"/>
  <c r="EF52" i="2539"/>
  <c r="EE52" i="2539"/>
  <c r="ED52" i="2539"/>
  <c r="EC52" i="2539"/>
  <c r="EB52" i="2539"/>
  <c r="DZ52" i="2539"/>
  <c r="DY52" i="2539"/>
  <c r="DX52" i="2539"/>
  <c r="DW52" i="2539"/>
  <c r="DV52" i="2539"/>
  <c r="DU52" i="2539"/>
  <c r="DT52" i="2539"/>
  <c r="DS52" i="2539"/>
  <c r="DR52" i="2539"/>
  <c r="DQ52" i="2539"/>
  <c r="DP52" i="2539"/>
  <c r="DO52" i="2539"/>
  <c r="DM52" i="2539"/>
  <c r="DL52" i="2539"/>
  <c r="DK52" i="2539"/>
  <c r="DJ52" i="2539"/>
  <c r="DI52" i="2539"/>
  <c r="DH52" i="2539"/>
  <c r="DG52" i="2539"/>
  <c r="DF52" i="2539"/>
  <c r="DE52" i="2539"/>
  <c r="DD52" i="2539"/>
  <c r="DC52" i="2539"/>
  <c r="DB52" i="2539"/>
  <c r="CZ52" i="2539"/>
  <c r="CY52" i="2539"/>
  <c r="CX52" i="2539"/>
  <c r="CW52" i="2539"/>
  <c r="CV52" i="2539"/>
  <c r="CU52" i="2539"/>
  <c r="CT52" i="2539"/>
  <c r="CS52" i="2539"/>
  <c r="CR52" i="2539"/>
  <c r="CQ52" i="2539"/>
  <c r="CP52" i="2539"/>
  <c r="CO52" i="2539"/>
  <c r="CM52" i="2539"/>
  <c r="CL52" i="2539"/>
  <c r="CK52" i="2539"/>
  <c r="CJ52" i="2539"/>
  <c r="CI52" i="2539"/>
  <c r="CH52" i="2539"/>
  <c r="CG52" i="2539"/>
  <c r="CF52" i="2539"/>
  <c r="CE52" i="2539"/>
  <c r="CD52" i="2539"/>
  <c r="CC52" i="2539"/>
  <c r="CB52" i="2539"/>
  <c r="BZ52" i="2539"/>
  <c r="BY52" i="2539"/>
  <c r="BX52" i="2539"/>
  <c r="BW52" i="2539"/>
  <c r="BV52" i="2539"/>
  <c r="BU52" i="2539"/>
  <c r="BT52" i="2539"/>
  <c r="BS52" i="2539"/>
  <c r="BR52" i="2539"/>
  <c r="BQ52" i="2539"/>
  <c r="BP52" i="2539"/>
  <c r="BO52" i="2539"/>
  <c r="BM52" i="2539"/>
  <c r="BL52" i="2539"/>
  <c r="BK52" i="2539"/>
  <c r="BJ52" i="2539"/>
  <c r="BI52" i="2539"/>
  <c r="BH52" i="2539"/>
  <c r="BG52" i="2539"/>
  <c r="BF52" i="2539"/>
  <c r="BE52" i="2539"/>
  <c r="BD52" i="2539"/>
  <c r="BC52" i="2539"/>
  <c r="BB52" i="2539"/>
  <c r="AZ52" i="2539"/>
  <c r="AY52" i="2539"/>
  <c r="AX52" i="2539"/>
  <c r="AW52" i="2539"/>
  <c r="AV52" i="2539"/>
  <c r="AU52" i="2539"/>
  <c r="AT52" i="2539"/>
  <c r="AS52" i="2539"/>
  <c r="AR52" i="2539"/>
  <c r="AQ52" i="2539"/>
  <c r="AP52" i="2539"/>
  <c r="AO52" i="2539"/>
  <c r="AM52" i="2539"/>
  <c r="AL52" i="2539"/>
  <c r="AK52" i="2539"/>
  <c r="AJ52" i="2539"/>
  <c r="AI52" i="2539"/>
  <c r="AH52" i="2539"/>
  <c r="AG52" i="2539"/>
  <c r="AF52" i="2539"/>
  <c r="AE52" i="2539"/>
  <c r="AD52" i="2539"/>
  <c r="AC52" i="2539"/>
  <c r="AB52" i="2539"/>
  <c r="Z52" i="2539"/>
  <c r="Y52" i="2539"/>
  <c r="X52" i="2539"/>
  <c r="W52" i="2539"/>
  <c r="V52" i="2539"/>
  <c r="U52" i="2539"/>
  <c r="T52" i="2539"/>
  <c r="S52" i="2539"/>
  <c r="R52" i="2539"/>
  <c r="Q52" i="2539"/>
  <c r="P52" i="2539"/>
  <c r="O52" i="2539"/>
  <c r="M52" i="2539"/>
  <c r="L52" i="2539"/>
  <c r="K52" i="2539"/>
  <c r="J52" i="2539"/>
  <c r="I52" i="2539"/>
  <c r="H52" i="2539"/>
  <c r="G52" i="2539"/>
  <c r="F52" i="2539"/>
  <c r="E52" i="2539"/>
  <c r="D52" i="2539"/>
  <c r="C52" i="2539"/>
  <c r="B52" i="2539"/>
  <c r="HM51" i="2539"/>
  <c r="HL51" i="2539"/>
  <c r="HK51" i="2539"/>
  <c r="HJ51" i="2539"/>
  <c r="HI51" i="2539"/>
  <c r="HH51" i="2539"/>
  <c r="HG51" i="2539"/>
  <c r="HF51" i="2539"/>
  <c r="HE51" i="2539"/>
  <c r="HD51" i="2539"/>
  <c r="HC51" i="2539"/>
  <c r="HB51" i="2539"/>
  <c r="GZ51" i="2539"/>
  <c r="GY51" i="2539"/>
  <c r="GX51" i="2539"/>
  <c r="GW51" i="2539"/>
  <c r="GV51" i="2539"/>
  <c r="GU51" i="2539"/>
  <c r="GT51" i="2539"/>
  <c r="GS51" i="2539"/>
  <c r="GR51" i="2539"/>
  <c r="GQ51" i="2539"/>
  <c r="GP51" i="2539"/>
  <c r="GO51" i="2539"/>
  <c r="GM51" i="2539"/>
  <c r="GL51" i="2539"/>
  <c r="GK51" i="2539"/>
  <c r="GJ51" i="2539"/>
  <c r="GI51" i="2539"/>
  <c r="GH51" i="2539"/>
  <c r="GG51" i="2539"/>
  <c r="GF51" i="2539"/>
  <c r="GE51" i="2539"/>
  <c r="GD51" i="2539"/>
  <c r="GC51" i="2539"/>
  <c r="GB51" i="2539"/>
  <c r="FZ51" i="2539"/>
  <c r="FY51" i="2539"/>
  <c r="FX51" i="2539"/>
  <c r="FW51" i="2539"/>
  <c r="FV51" i="2539"/>
  <c r="FU51" i="2539"/>
  <c r="FT51" i="2539"/>
  <c r="FS51" i="2539"/>
  <c r="FR51" i="2539"/>
  <c r="FQ51" i="2539"/>
  <c r="FP51" i="2539"/>
  <c r="FO51" i="2539"/>
  <c r="FM51" i="2539"/>
  <c r="FL51" i="2539"/>
  <c r="FK51" i="2539"/>
  <c r="FJ51" i="2539"/>
  <c r="FI51" i="2539"/>
  <c r="FH51" i="2539"/>
  <c r="FG51" i="2539"/>
  <c r="FF51" i="2539"/>
  <c r="FE51" i="2539"/>
  <c r="FD51" i="2539"/>
  <c r="FC51" i="2539"/>
  <c r="FB51" i="2539"/>
  <c r="EZ51" i="2539"/>
  <c r="EY51" i="2539"/>
  <c r="EX51" i="2539"/>
  <c r="EW51" i="2539"/>
  <c r="EV51" i="2539"/>
  <c r="EU51" i="2539"/>
  <c r="ET51" i="2539"/>
  <c r="ES51" i="2539"/>
  <c r="ER51" i="2539"/>
  <c r="EQ51" i="2539"/>
  <c r="EP51" i="2539"/>
  <c r="EO51" i="2539"/>
  <c r="EM51" i="2539"/>
  <c r="EL51" i="2539"/>
  <c r="EK51" i="2539"/>
  <c r="EJ51" i="2539"/>
  <c r="EI51" i="2539"/>
  <c r="EH51" i="2539"/>
  <c r="EG51" i="2539"/>
  <c r="EF51" i="2539"/>
  <c r="EE51" i="2539"/>
  <c r="ED51" i="2539"/>
  <c r="EC51" i="2539"/>
  <c r="EB51" i="2539"/>
  <c r="DZ51" i="2539"/>
  <c r="DY51" i="2539"/>
  <c r="DX51" i="2539"/>
  <c r="DW51" i="2539"/>
  <c r="DV51" i="2539"/>
  <c r="DU51" i="2539"/>
  <c r="DT51" i="2539"/>
  <c r="DS51" i="2539"/>
  <c r="DR51" i="2539"/>
  <c r="DQ51" i="2539"/>
  <c r="DP51" i="2539"/>
  <c r="DO51" i="2539"/>
  <c r="DM51" i="2539"/>
  <c r="DL51" i="2539"/>
  <c r="DK51" i="2539"/>
  <c r="DJ51" i="2539"/>
  <c r="DI51" i="2539"/>
  <c r="DH51" i="2539"/>
  <c r="DG51" i="2539"/>
  <c r="DF51" i="2539"/>
  <c r="DE51" i="2539"/>
  <c r="DD51" i="2539"/>
  <c r="DC51" i="2539"/>
  <c r="DB51" i="2539"/>
  <c r="CZ51" i="2539"/>
  <c r="CY51" i="2539"/>
  <c r="CX51" i="2539"/>
  <c r="CW51" i="2539"/>
  <c r="CV51" i="2539"/>
  <c r="CU51" i="2539"/>
  <c r="CT51" i="2539"/>
  <c r="CS51" i="2539"/>
  <c r="CR51" i="2539"/>
  <c r="CQ51" i="2539"/>
  <c r="CP51" i="2539"/>
  <c r="CO51" i="2539"/>
  <c r="CM51" i="2539"/>
  <c r="CL51" i="2539"/>
  <c r="CK51" i="2539"/>
  <c r="CJ51" i="2539"/>
  <c r="CI51" i="2539"/>
  <c r="CH51" i="2539"/>
  <c r="CG51" i="2539"/>
  <c r="CF51" i="2539"/>
  <c r="CE51" i="2539"/>
  <c r="CD51" i="2539"/>
  <c r="CC51" i="2539"/>
  <c r="CB51" i="2539"/>
  <c r="BZ51" i="2539"/>
  <c r="BY51" i="2539"/>
  <c r="BX51" i="2539"/>
  <c r="BW51" i="2539"/>
  <c r="BV51" i="2539"/>
  <c r="BU51" i="2539"/>
  <c r="BT51" i="2539"/>
  <c r="BS51" i="2539"/>
  <c r="BR51" i="2539"/>
  <c r="BQ51" i="2539"/>
  <c r="BP51" i="2539"/>
  <c r="BO51" i="2539"/>
  <c r="BM51" i="2539"/>
  <c r="BL51" i="2539"/>
  <c r="BK51" i="2539"/>
  <c r="BJ51" i="2539"/>
  <c r="BI51" i="2539"/>
  <c r="BH51" i="2539"/>
  <c r="BG51" i="2539"/>
  <c r="BF51" i="2539"/>
  <c r="BE51" i="2539"/>
  <c r="BD51" i="2539"/>
  <c r="BC51" i="2539"/>
  <c r="BB51" i="2539"/>
  <c r="AZ51" i="2539"/>
  <c r="AY51" i="2539"/>
  <c r="AX51" i="2539"/>
  <c r="AW51" i="2539"/>
  <c r="AV51" i="2539"/>
  <c r="AU51" i="2539"/>
  <c r="AT51" i="2539"/>
  <c r="AS51" i="2539"/>
  <c r="AR51" i="2539"/>
  <c r="AQ51" i="2539"/>
  <c r="AP51" i="2539"/>
  <c r="AO51" i="2539"/>
  <c r="AM51" i="2539"/>
  <c r="AL51" i="2539"/>
  <c r="AK51" i="2539"/>
  <c r="AJ51" i="2539"/>
  <c r="AI51" i="2539"/>
  <c r="AH51" i="2539"/>
  <c r="AG51" i="2539"/>
  <c r="N51" i="2539"/>
  <c r="HM50" i="2539"/>
  <c r="HL50" i="2539"/>
  <c r="HK50" i="2539"/>
  <c r="HJ50" i="2539"/>
  <c r="HI50" i="2539"/>
  <c r="HH50" i="2539"/>
  <c r="HG50" i="2539"/>
  <c r="HF50" i="2539"/>
  <c r="HE50" i="2539"/>
  <c r="HD50" i="2539"/>
  <c r="HC50" i="2539"/>
  <c r="HB50" i="2539"/>
  <c r="GZ50" i="2539"/>
  <c r="GY50" i="2539"/>
  <c r="GX50" i="2539"/>
  <c r="GW50" i="2539"/>
  <c r="GV50" i="2539"/>
  <c r="GU50" i="2539"/>
  <c r="GT50" i="2539"/>
  <c r="GS50" i="2539"/>
  <c r="GR50" i="2539"/>
  <c r="GQ50" i="2539"/>
  <c r="GP50" i="2539"/>
  <c r="GO50" i="2539"/>
  <c r="GM50" i="2539"/>
  <c r="GL50" i="2539"/>
  <c r="GK50" i="2539"/>
  <c r="GJ50" i="2539"/>
  <c r="GI50" i="2539"/>
  <c r="GH50" i="2539"/>
  <c r="GG50" i="2539"/>
  <c r="GF50" i="2539"/>
  <c r="GE50" i="2539"/>
  <c r="GD50" i="2539"/>
  <c r="GC50" i="2539"/>
  <c r="GB50" i="2539"/>
  <c r="FZ50" i="2539"/>
  <c r="FY50" i="2539"/>
  <c r="FX50" i="2539"/>
  <c r="FW50" i="2539"/>
  <c r="FV50" i="2539"/>
  <c r="FU50" i="2539"/>
  <c r="FT50" i="2539"/>
  <c r="FS50" i="2539"/>
  <c r="FR50" i="2539"/>
  <c r="FQ50" i="2539"/>
  <c r="FP50" i="2539"/>
  <c r="FO50" i="2539"/>
  <c r="FM50" i="2539"/>
  <c r="FL50" i="2539"/>
  <c r="FK50" i="2539"/>
  <c r="FJ50" i="2539"/>
  <c r="FI50" i="2539"/>
  <c r="FH50" i="2539"/>
  <c r="FG50" i="2539"/>
  <c r="FF50" i="2539"/>
  <c r="FE50" i="2539"/>
  <c r="FD50" i="2539"/>
  <c r="FC50" i="2539"/>
  <c r="FB50" i="2539"/>
  <c r="EZ50" i="2539"/>
  <c r="EY50" i="2539"/>
  <c r="EX50" i="2539"/>
  <c r="EW50" i="2539"/>
  <c r="EV50" i="2539"/>
  <c r="EU50" i="2539"/>
  <c r="ET50" i="2539"/>
  <c r="ES50" i="2539"/>
  <c r="ER50" i="2539"/>
  <c r="EQ50" i="2539"/>
  <c r="EP50" i="2539"/>
  <c r="EO50" i="2539"/>
  <c r="EM50" i="2539"/>
  <c r="EL50" i="2539"/>
  <c r="EK50" i="2539"/>
  <c r="EJ50" i="2539"/>
  <c r="EI50" i="2539"/>
  <c r="EH50" i="2539"/>
  <c r="EG50" i="2539"/>
  <c r="EF50" i="2539"/>
  <c r="EE50" i="2539"/>
  <c r="ED50" i="2539"/>
  <c r="EC50" i="2539"/>
  <c r="EB50" i="2539"/>
  <c r="DZ50" i="2539"/>
  <c r="DY50" i="2539"/>
  <c r="DX50" i="2539"/>
  <c r="DW50" i="2539"/>
  <c r="DV50" i="2539"/>
  <c r="DU50" i="2539"/>
  <c r="DT50" i="2539"/>
  <c r="DS50" i="2539"/>
  <c r="DR50" i="2539"/>
  <c r="DQ50" i="2539"/>
  <c r="DP50" i="2539"/>
  <c r="DO50" i="2539"/>
  <c r="DM50" i="2539"/>
  <c r="DL50" i="2539"/>
  <c r="DK50" i="2539"/>
  <c r="DJ50" i="2539"/>
  <c r="DI50" i="2539"/>
  <c r="DH50" i="2539"/>
  <c r="DG50" i="2539"/>
  <c r="DF50" i="2539"/>
  <c r="DE50" i="2539"/>
  <c r="DD50" i="2539"/>
  <c r="DC50" i="2539"/>
  <c r="DB50" i="2539"/>
  <c r="CZ50" i="2539"/>
  <c r="CY50" i="2539"/>
  <c r="CX50" i="2539"/>
  <c r="CW50" i="2539"/>
  <c r="CV50" i="2539"/>
  <c r="CU50" i="2539"/>
  <c r="CT50" i="2539"/>
  <c r="CS50" i="2539"/>
  <c r="CR50" i="2539"/>
  <c r="CQ50" i="2539"/>
  <c r="CP50" i="2539"/>
  <c r="CO50" i="2539"/>
  <c r="CM50" i="2539"/>
  <c r="CL50" i="2539"/>
  <c r="CK50" i="2539"/>
  <c r="CJ50" i="2539"/>
  <c r="CI50" i="2539"/>
  <c r="CH50" i="2539"/>
  <c r="CG50" i="2539"/>
  <c r="CF50" i="2539"/>
  <c r="CE50" i="2539"/>
  <c r="CD50" i="2539"/>
  <c r="CC50" i="2539"/>
  <c r="CB50" i="2539"/>
  <c r="BZ50" i="2539"/>
  <c r="BY50" i="2539"/>
  <c r="BX50" i="2539"/>
  <c r="BW50" i="2539"/>
  <c r="BV50" i="2539"/>
  <c r="BU50" i="2539"/>
  <c r="BT50" i="2539"/>
  <c r="BS50" i="2539"/>
  <c r="BR50" i="2539"/>
  <c r="BQ50" i="2539"/>
  <c r="BP50" i="2539"/>
  <c r="BO50" i="2539"/>
  <c r="BM50" i="2539"/>
  <c r="BL50" i="2539"/>
  <c r="BK50" i="2539"/>
  <c r="BJ50" i="2539"/>
  <c r="BI50" i="2539"/>
  <c r="BH50" i="2539"/>
  <c r="BG50" i="2539"/>
  <c r="BF50" i="2539"/>
  <c r="BE50" i="2539"/>
  <c r="BD50" i="2539"/>
  <c r="BC50" i="2539"/>
  <c r="BB50" i="2539"/>
  <c r="AZ50" i="2539"/>
  <c r="AY50" i="2539"/>
  <c r="AX50" i="2539"/>
  <c r="AW50" i="2539"/>
  <c r="AV50" i="2539"/>
  <c r="AU50" i="2539"/>
  <c r="AT50" i="2539"/>
  <c r="AS50" i="2539"/>
  <c r="AR50" i="2539"/>
  <c r="AQ50" i="2539"/>
  <c r="AP50" i="2539"/>
  <c r="AO50" i="2539"/>
  <c r="AM50" i="2539"/>
  <c r="AL50" i="2539"/>
  <c r="AK50" i="2539"/>
  <c r="AJ50" i="2539"/>
  <c r="AI50" i="2539"/>
  <c r="AH50" i="2539"/>
  <c r="AG50" i="2539"/>
  <c r="AF50" i="2539"/>
  <c r="AE50" i="2539"/>
  <c r="AD50" i="2539"/>
  <c r="AC50" i="2539"/>
  <c r="AB50" i="2539"/>
  <c r="Z50" i="2539"/>
  <c r="Y50" i="2539"/>
  <c r="X50" i="2539"/>
  <c r="W50" i="2539"/>
  <c r="V50" i="2539"/>
  <c r="U50" i="2539"/>
  <c r="T50" i="2539"/>
  <c r="S50" i="2539"/>
  <c r="R50" i="2539"/>
  <c r="Q50" i="2539"/>
  <c r="P50" i="2539"/>
  <c r="O50" i="2539"/>
  <c r="M50" i="2539"/>
  <c r="L50" i="2539"/>
  <c r="K50" i="2539"/>
  <c r="J50" i="2539"/>
  <c r="I50" i="2539"/>
  <c r="H50" i="2539"/>
  <c r="G50" i="2539"/>
  <c r="F50" i="2539"/>
  <c r="E50" i="2539"/>
  <c r="D50" i="2539"/>
  <c r="C50" i="2539"/>
  <c r="B50" i="2539"/>
  <c r="HM49" i="2539"/>
  <c r="HL49" i="2539"/>
  <c r="HK49" i="2539"/>
  <c r="HJ49" i="2539"/>
  <c r="HI49" i="2539"/>
  <c r="HH49" i="2539"/>
  <c r="HG49" i="2539"/>
  <c r="HF49" i="2539"/>
  <c r="HE49" i="2539"/>
  <c r="HD49" i="2539"/>
  <c r="HC49" i="2539"/>
  <c r="HB49" i="2539"/>
  <c r="GZ49" i="2539"/>
  <c r="GY49" i="2539"/>
  <c r="GX49" i="2539"/>
  <c r="GW49" i="2539"/>
  <c r="GV49" i="2539"/>
  <c r="GU49" i="2539"/>
  <c r="GT49" i="2539"/>
  <c r="GS49" i="2539"/>
  <c r="GR49" i="2539"/>
  <c r="GQ49" i="2539"/>
  <c r="GP49" i="2539"/>
  <c r="GO49" i="2539"/>
  <c r="GM49" i="2539"/>
  <c r="GL49" i="2539"/>
  <c r="GK49" i="2539"/>
  <c r="GJ49" i="2539"/>
  <c r="GI49" i="2539"/>
  <c r="GH49" i="2539"/>
  <c r="GG49" i="2539"/>
  <c r="GF49" i="2539"/>
  <c r="GE49" i="2539"/>
  <c r="GD49" i="2539"/>
  <c r="GC49" i="2539"/>
  <c r="GB49" i="2539"/>
  <c r="FZ49" i="2539"/>
  <c r="FY49" i="2539"/>
  <c r="FX49" i="2539"/>
  <c r="FW49" i="2539"/>
  <c r="FV49" i="2539"/>
  <c r="FU49" i="2539"/>
  <c r="FT49" i="2539"/>
  <c r="FS49" i="2539"/>
  <c r="FR49" i="2539"/>
  <c r="FQ49" i="2539"/>
  <c r="FP49" i="2539"/>
  <c r="FO49" i="2539"/>
  <c r="FM49" i="2539"/>
  <c r="FL49" i="2539"/>
  <c r="FK49" i="2539"/>
  <c r="FJ49" i="2539"/>
  <c r="FI49" i="2539"/>
  <c r="FH49" i="2539"/>
  <c r="FG49" i="2539"/>
  <c r="FF49" i="2539"/>
  <c r="FE49" i="2539"/>
  <c r="FD49" i="2539"/>
  <c r="FC49" i="2539"/>
  <c r="FB49" i="2539"/>
  <c r="EZ49" i="2539"/>
  <c r="EY49" i="2539"/>
  <c r="EX49" i="2539"/>
  <c r="EW49" i="2539"/>
  <c r="EV49" i="2539"/>
  <c r="EU49" i="2539"/>
  <c r="ET49" i="2539"/>
  <c r="ES49" i="2539"/>
  <c r="ER49" i="2539"/>
  <c r="EQ49" i="2539"/>
  <c r="EP49" i="2539"/>
  <c r="EO49" i="2539"/>
  <c r="EM49" i="2539"/>
  <c r="EL49" i="2539"/>
  <c r="EK49" i="2539"/>
  <c r="EJ49" i="2539"/>
  <c r="EI49" i="2539"/>
  <c r="EH49" i="2539"/>
  <c r="EG49" i="2539"/>
  <c r="EF49" i="2539"/>
  <c r="EE49" i="2539"/>
  <c r="ED49" i="2539"/>
  <c r="EC49" i="2539"/>
  <c r="EB49" i="2539"/>
  <c r="DZ49" i="2539"/>
  <c r="DY49" i="2539"/>
  <c r="DX49" i="2539"/>
  <c r="DW49" i="2539"/>
  <c r="DV49" i="2539"/>
  <c r="DU49" i="2539"/>
  <c r="DT49" i="2539"/>
  <c r="DS49" i="2539"/>
  <c r="DR49" i="2539"/>
  <c r="DQ49" i="2539"/>
  <c r="DP49" i="2539"/>
  <c r="DO49" i="2539"/>
  <c r="DM49" i="2539"/>
  <c r="DL49" i="2539"/>
  <c r="DK49" i="2539"/>
  <c r="DJ49" i="2539"/>
  <c r="DI49" i="2539"/>
  <c r="DH49" i="2539"/>
  <c r="DG49" i="2539"/>
  <c r="DF49" i="2539"/>
  <c r="DE49" i="2539"/>
  <c r="DD49" i="2539"/>
  <c r="DC49" i="2539"/>
  <c r="DB49" i="2539"/>
  <c r="CZ49" i="2539"/>
  <c r="CY49" i="2539"/>
  <c r="CX49" i="2539"/>
  <c r="CW49" i="2539"/>
  <c r="CV49" i="2539"/>
  <c r="CU49" i="2539"/>
  <c r="CT49" i="2539"/>
  <c r="CS49" i="2539"/>
  <c r="CR49" i="2539"/>
  <c r="CQ49" i="2539"/>
  <c r="CP49" i="2539"/>
  <c r="CO49" i="2539"/>
  <c r="CM49" i="2539"/>
  <c r="CL49" i="2539"/>
  <c r="CK49" i="2539"/>
  <c r="CJ49" i="2539"/>
  <c r="CI49" i="2539"/>
  <c r="CH49" i="2539"/>
  <c r="CG49" i="2539"/>
  <c r="CF49" i="2539"/>
  <c r="CE49" i="2539"/>
  <c r="CD49" i="2539"/>
  <c r="CC49" i="2539"/>
  <c r="CB49" i="2539"/>
  <c r="BZ49" i="2539"/>
  <c r="BY49" i="2539"/>
  <c r="BX49" i="2539"/>
  <c r="BW49" i="2539"/>
  <c r="BV49" i="2539"/>
  <c r="BU49" i="2539"/>
  <c r="BT49" i="2539"/>
  <c r="BS49" i="2539"/>
  <c r="BR49" i="2539"/>
  <c r="BQ49" i="2539"/>
  <c r="BP49" i="2539"/>
  <c r="BO49" i="2539"/>
  <c r="BM49" i="2539"/>
  <c r="BL49" i="2539"/>
  <c r="BK49" i="2539"/>
  <c r="BJ49" i="2539"/>
  <c r="BI49" i="2539"/>
  <c r="BH49" i="2539"/>
  <c r="BG49" i="2539"/>
  <c r="BF49" i="2539"/>
  <c r="BE49" i="2539"/>
  <c r="BD49" i="2539"/>
  <c r="BC49" i="2539"/>
  <c r="BB49" i="2539"/>
  <c r="AZ49" i="2539"/>
  <c r="AY49" i="2539"/>
  <c r="AX49" i="2539"/>
  <c r="AW49" i="2539"/>
  <c r="AV49" i="2539"/>
  <c r="AU49" i="2539"/>
  <c r="AT49" i="2539"/>
  <c r="AS49" i="2539"/>
  <c r="AR49" i="2539"/>
  <c r="AQ49" i="2539"/>
  <c r="AP49" i="2539"/>
  <c r="AO49" i="2539"/>
  <c r="AM49" i="2539"/>
  <c r="AL49" i="2539"/>
  <c r="AK49" i="2539"/>
  <c r="AJ49" i="2539"/>
  <c r="AI49" i="2539"/>
  <c r="AH49" i="2539"/>
  <c r="AG49" i="2539"/>
  <c r="AF49" i="2539"/>
  <c r="AE49" i="2539"/>
  <c r="AD49" i="2539"/>
  <c r="AC49" i="2539"/>
  <c r="AB49" i="2539"/>
  <c r="Z49" i="2539"/>
  <c r="Y49" i="2539"/>
  <c r="X49" i="2539"/>
  <c r="W49" i="2539"/>
  <c r="V49" i="2539"/>
  <c r="U49" i="2539"/>
  <c r="T49" i="2539"/>
  <c r="S49" i="2539"/>
  <c r="R49" i="2539"/>
  <c r="Q49" i="2539"/>
  <c r="P49" i="2539"/>
  <c r="O49" i="2539"/>
  <c r="M49" i="2539"/>
  <c r="L49" i="2539"/>
  <c r="K49" i="2539"/>
  <c r="J49" i="2539"/>
  <c r="I49" i="2539"/>
  <c r="H49" i="2539"/>
  <c r="G49" i="2539"/>
  <c r="F49" i="2539"/>
  <c r="E49" i="2539"/>
  <c r="D49" i="2539"/>
  <c r="C49" i="2539"/>
  <c r="B49" i="2539"/>
  <c r="HM47" i="2539"/>
  <c r="HL47" i="2539"/>
  <c r="HK47" i="2539"/>
  <c r="HJ47" i="2539"/>
  <c r="HI47" i="2539"/>
  <c r="HH47" i="2539"/>
  <c r="HG47" i="2539"/>
  <c r="HF47" i="2539"/>
  <c r="HE47" i="2539"/>
  <c r="HD47" i="2539"/>
  <c r="HC47" i="2539"/>
  <c r="HB47" i="2539"/>
  <c r="GZ47" i="2539"/>
  <c r="GY47" i="2539"/>
  <c r="GX47" i="2539"/>
  <c r="GW47" i="2539"/>
  <c r="GV47" i="2539"/>
  <c r="GU47" i="2539"/>
  <c r="GT47" i="2539"/>
  <c r="GS47" i="2539"/>
  <c r="GR47" i="2539"/>
  <c r="GQ47" i="2539"/>
  <c r="GP47" i="2539"/>
  <c r="GO47" i="2539"/>
  <c r="GM47" i="2539"/>
  <c r="GL47" i="2539"/>
  <c r="GK47" i="2539"/>
  <c r="GJ47" i="2539"/>
  <c r="GI47" i="2539"/>
  <c r="GH47" i="2539"/>
  <c r="GG47" i="2539"/>
  <c r="GF47" i="2539"/>
  <c r="GE47" i="2539"/>
  <c r="GD47" i="2539"/>
  <c r="GC47" i="2539"/>
  <c r="GB47" i="2539"/>
  <c r="FZ47" i="2539"/>
  <c r="FY47" i="2539"/>
  <c r="FX47" i="2539"/>
  <c r="FW47" i="2539"/>
  <c r="FV47" i="2539"/>
  <c r="FU47" i="2539"/>
  <c r="FT47" i="2539"/>
  <c r="FS47" i="2539"/>
  <c r="FR47" i="2539"/>
  <c r="FQ47" i="2539"/>
  <c r="FP47" i="2539"/>
  <c r="FO47" i="2539"/>
  <c r="FM47" i="2539"/>
  <c r="FL47" i="2539"/>
  <c r="FK47" i="2539"/>
  <c r="FJ47" i="2539"/>
  <c r="FI47" i="2539"/>
  <c r="FH47" i="2539"/>
  <c r="FG47" i="2539"/>
  <c r="FF47" i="2539"/>
  <c r="FE47" i="2539"/>
  <c r="FD47" i="2539"/>
  <c r="FC47" i="2539"/>
  <c r="FB47" i="2539"/>
  <c r="EZ47" i="2539"/>
  <c r="EY47" i="2539"/>
  <c r="EX47" i="2539"/>
  <c r="EW47" i="2539"/>
  <c r="EV47" i="2539"/>
  <c r="EU47" i="2539"/>
  <c r="ET47" i="2539"/>
  <c r="ES47" i="2539"/>
  <c r="ER47" i="2539"/>
  <c r="EQ47" i="2539"/>
  <c r="EP47" i="2539"/>
  <c r="EO47" i="2539"/>
  <c r="EM47" i="2539"/>
  <c r="EL47" i="2539"/>
  <c r="EK47" i="2539"/>
  <c r="EJ47" i="2539"/>
  <c r="EI47" i="2539"/>
  <c r="EH47" i="2539"/>
  <c r="EG47" i="2539"/>
  <c r="EF47" i="2539"/>
  <c r="EE47" i="2539"/>
  <c r="ED47" i="2539"/>
  <c r="EC47" i="2539"/>
  <c r="EB47" i="2539"/>
  <c r="DZ47" i="2539"/>
  <c r="DY47" i="2539"/>
  <c r="DX47" i="2539"/>
  <c r="DW47" i="2539"/>
  <c r="DV47" i="2539"/>
  <c r="DU47" i="2539"/>
  <c r="DT47" i="2539"/>
  <c r="DS47" i="2539"/>
  <c r="DR47" i="2539"/>
  <c r="DQ47" i="2539"/>
  <c r="DP47" i="2539"/>
  <c r="DO47" i="2539"/>
  <c r="DM47" i="2539"/>
  <c r="DL47" i="2539"/>
  <c r="DK47" i="2539"/>
  <c r="DJ47" i="2539"/>
  <c r="DI47" i="2539"/>
  <c r="DH47" i="2539"/>
  <c r="DG47" i="2539"/>
  <c r="DF47" i="2539"/>
  <c r="DE47" i="2539"/>
  <c r="DD47" i="2539"/>
  <c r="DC47" i="2539"/>
  <c r="DB47" i="2539"/>
  <c r="CZ47" i="2539"/>
  <c r="CY47" i="2539"/>
  <c r="CX47" i="2539"/>
  <c r="CW47" i="2539"/>
  <c r="CV47" i="2539"/>
  <c r="CU47" i="2539"/>
  <c r="CT47" i="2539"/>
  <c r="CS47" i="2539"/>
  <c r="CR47" i="2539"/>
  <c r="CQ47" i="2539"/>
  <c r="CP47" i="2539"/>
  <c r="CO47" i="2539"/>
  <c r="CM47" i="2539"/>
  <c r="CL47" i="2539"/>
  <c r="CK47" i="2539"/>
  <c r="CJ47" i="2539"/>
  <c r="CI47" i="2539"/>
  <c r="CH47" i="2539"/>
  <c r="CG47" i="2539"/>
  <c r="CF47" i="2539"/>
  <c r="CE47" i="2539"/>
  <c r="CD47" i="2539"/>
  <c r="CC47" i="2539"/>
  <c r="CB47" i="2539"/>
  <c r="BZ47" i="2539"/>
  <c r="BY47" i="2539"/>
  <c r="BX47" i="2539"/>
  <c r="BW47" i="2539"/>
  <c r="BV47" i="2539"/>
  <c r="BU47" i="2539"/>
  <c r="BT47" i="2539"/>
  <c r="BS47" i="2539"/>
  <c r="BR47" i="2539"/>
  <c r="BQ47" i="2539"/>
  <c r="BP47" i="2539"/>
  <c r="BO47" i="2539"/>
  <c r="BM47" i="2539"/>
  <c r="BL47" i="2539"/>
  <c r="BK47" i="2539"/>
  <c r="BJ47" i="2539"/>
  <c r="BI47" i="2539"/>
  <c r="BH47" i="2539"/>
  <c r="BG47" i="2539"/>
  <c r="BF47" i="2539"/>
  <c r="BE47" i="2539"/>
  <c r="BD47" i="2539"/>
  <c r="BC47" i="2539"/>
  <c r="BB47" i="2539"/>
  <c r="AZ47" i="2539"/>
  <c r="AY47" i="2539"/>
  <c r="AX47" i="2539"/>
  <c r="AW47" i="2539"/>
  <c r="AV47" i="2539"/>
  <c r="AU47" i="2539"/>
  <c r="AT47" i="2539"/>
  <c r="AS47" i="2539"/>
  <c r="AR47" i="2539"/>
  <c r="AQ47" i="2539"/>
  <c r="AP47" i="2539"/>
  <c r="AO47" i="2539"/>
  <c r="AM47" i="2539"/>
  <c r="AL47" i="2539"/>
  <c r="AK47" i="2539"/>
  <c r="AJ47" i="2539"/>
  <c r="AI47" i="2539"/>
  <c r="AH47" i="2539"/>
  <c r="AG47" i="2539"/>
  <c r="AF47" i="2539"/>
  <c r="AE47" i="2539"/>
  <c r="AD47" i="2539"/>
  <c r="AC47" i="2539"/>
  <c r="AB47" i="2539"/>
  <c r="Z47" i="2539"/>
  <c r="Y47" i="2539"/>
  <c r="X47" i="2539"/>
  <c r="W47" i="2539"/>
  <c r="V47" i="2539"/>
  <c r="U47" i="2539"/>
  <c r="T47" i="2539"/>
  <c r="S47" i="2539"/>
  <c r="R47" i="2539"/>
  <c r="Q47" i="2539"/>
  <c r="P47" i="2539"/>
  <c r="O47" i="2539"/>
  <c r="M47" i="2539"/>
  <c r="L47" i="2539"/>
  <c r="K47" i="2539"/>
  <c r="J47" i="2539"/>
  <c r="I47" i="2539"/>
  <c r="H47" i="2539"/>
  <c r="G47" i="2539"/>
  <c r="F47" i="2539"/>
  <c r="E47" i="2539"/>
  <c r="D47" i="2539"/>
  <c r="C47" i="2539"/>
  <c r="B47" i="2539"/>
  <c r="HM46" i="2539"/>
  <c r="HL46" i="2539"/>
  <c r="HK46" i="2539"/>
  <c r="HJ46" i="2539"/>
  <c r="HI46" i="2539"/>
  <c r="HH46" i="2539"/>
  <c r="HG46" i="2539"/>
  <c r="HF46" i="2539"/>
  <c r="HE46" i="2539"/>
  <c r="HD46" i="2539"/>
  <c r="HC46" i="2539"/>
  <c r="HB46" i="2539"/>
  <c r="GZ46" i="2539"/>
  <c r="GY46" i="2539"/>
  <c r="GX46" i="2539"/>
  <c r="GW46" i="2539"/>
  <c r="GV46" i="2539"/>
  <c r="GU46" i="2539"/>
  <c r="GT46" i="2539"/>
  <c r="GS46" i="2539"/>
  <c r="GR46" i="2539"/>
  <c r="GQ46" i="2539"/>
  <c r="GP46" i="2539"/>
  <c r="GO46" i="2539"/>
  <c r="GM46" i="2539"/>
  <c r="GL46" i="2539"/>
  <c r="GK46" i="2539"/>
  <c r="GJ46" i="2539"/>
  <c r="GI46" i="2539"/>
  <c r="GH46" i="2539"/>
  <c r="GG46" i="2539"/>
  <c r="GF46" i="2539"/>
  <c r="GE46" i="2539"/>
  <c r="GD46" i="2539"/>
  <c r="GC46" i="2539"/>
  <c r="GB46" i="2539"/>
  <c r="FZ46" i="2539"/>
  <c r="FY46" i="2539"/>
  <c r="FX46" i="2539"/>
  <c r="FW46" i="2539"/>
  <c r="FV46" i="2539"/>
  <c r="FU46" i="2539"/>
  <c r="FT46" i="2539"/>
  <c r="FS46" i="2539"/>
  <c r="FR46" i="2539"/>
  <c r="FQ46" i="2539"/>
  <c r="FP46" i="2539"/>
  <c r="FO46" i="2539"/>
  <c r="FM46" i="2539"/>
  <c r="FL46" i="2539"/>
  <c r="FK46" i="2539"/>
  <c r="FJ46" i="2539"/>
  <c r="FI46" i="2539"/>
  <c r="FH46" i="2539"/>
  <c r="FG46" i="2539"/>
  <c r="FF46" i="2539"/>
  <c r="FE46" i="2539"/>
  <c r="FD46" i="2539"/>
  <c r="FC46" i="2539"/>
  <c r="FB46" i="2539"/>
  <c r="EZ46" i="2539"/>
  <c r="EY46" i="2539"/>
  <c r="EX46" i="2539"/>
  <c r="EW46" i="2539"/>
  <c r="EV46" i="2539"/>
  <c r="EU46" i="2539"/>
  <c r="ET46" i="2539"/>
  <c r="ES46" i="2539"/>
  <c r="ER46" i="2539"/>
  <c r="EQ46" i="2539"/>
  <c r="EP46" i="2539"/>
  <c r="EO46" i="2539"/>
  <c r="EM46" i="2539"/>
  <c r="EL46" i="2539"/>
  <c r="EK46" i="2539"/>
  <c r="EJ46" i="2539"/>
  <c r="EI46" i="2539"/>
  <c r="EH46" i="2539"/>
  <c r="EG46" i="2539"/>
  <c r="EF46" i="2539"/>
  <c r="EE46" i="2539"/>
  <c r="ED46" i="2539"/>
  <c r="EC46" i="2539"/>
  <c r="EB46" i="2539"/>
  <c r="HM45" i="2539"/>
  <c r="HL45" i="2539"/>
  <c r="HK45" i="2539"/>
  <c r="HJ45" i="2539"/>
  <c r="HI45" i="2539"/>
  <c r="HH45" i="2539"/>
  <c r="HG45" i="2539"/>
  <c r="HF45" i="2539"/>
  <c r="HE45" i="2539"/>
  <c r="HD45" i="2539"/>
  <c r="HC45" i="2539"/>
  <c r="HB45" i="2539"/>
  <c r="GZ45" i="2539"/>
  <c r="GY45" i="2539"/>
  <c r="GX45" i="2539"/>
  <c r="GW45" i="2539"/>
  <c r="GV45" i="2539"/>
  <c r="GU45" i="2539"/>
  <c r="GT45" i="2539"/>
  <c r="GS45" i="2539"/>
  <c r="GR45" i="2539"/>
  <c r="GQ45" i="2539"/>
  <c r="GP45" i="2539"/>
  <c r="GO45" i="2539"/>
  <c r="GM45" i="2539"/>
  <c r="GL45" i="2539"/>
  <c r="GK45" i="2539"/>
  <c r="GJ45" i="2539"/>
  <c r="GI45" i="2539"/>
  <c r="GH45" i="2539"/>
  <c r="GG45" i="2539"/>
  <c r="GF45" i="2539"/>
  <c r="GE45" i="2539"/>
  <c r="GD45" i="2539"/>
  <c r="GC45" i="2539"/>
  <c r="GB45" i="2539"/>
  <c r="FZ45" i="2539"/>
  <c r="FY45" i="2539"/>
  <c r="FX45" i="2539"/>
  <c r="FW45" i="2539"/>
  <c r="FV45" i="2539"/>
  <c r="FU45" i="2539"/>
  <c r="FT45" i="2539"/>
  <c r="FS45" i="2539"/>
  <c r="FR45" i="2539"/>
  <c r="FQ45" i="2539"/>
  <c r="FP45" i="2539"/>
  <c r="FO45" i="2539"/>
  <c r="FM45" i="2539"/>
  <c r="FL45" i="2539"/>
  <c r="FK45" i="2539"/>
  <c r="FJ45" i="2539"/>
  <c r="FI45" i="2539"/>
  <c r="FH45" i="2539"/>
  <c r="FG45" i="2539"/>
  <c r="FF45" i="2539"/>
  <c r="FE45" i="2539"/>
  <c r="FD45" i="2539"/>
  <c r="FC45" i="2539"/>
  <c r="FB45" i="2539"/>
  <c r="EZ45" i="2539"/>
  <c r="EY45" i="2539"/>
  <c r="EX45" i="2539"/>
  <c r="EW45" i="2539"/>
  <c r="EV45" i="2539"/>
  <c r="EU45" i="2539"/>
  <c r="ET45" i="2539"/>
  <c r="ES45" i="2539"/>
  <c r="ER45" i="2539"/>
  <c r="EQ45" i="2539"/>
  <c r="EP45" i="2539"/>
  <c r="EO45" i="2539"/>
  <c r="EM45" i="2539"/>
  <c r="EL45" i="2539"/>
  <c r="EK45" i="2539"/>
  <c r="EJ45" i="2539"/>
  <c r="EI45" i="2539"/>
  <c r="EH45" i="2539"/>
  <c r="EG45" i="2539"/>
  <c r="EF45" i="2539"/>
  <c r="EE45" i="2539"/>
  <c r="ED45" i="2539"/>
  <c r="EC45" i="2539"/>
  <c r="EB45" i="2539"/>
  <c r="DZ45" i="2539"/>
  <c r="DY45" i="2539"/>
  <c r="DX45" i="2539"/>
  <c r="DW45" i="2539"/>
  <c r="DV45" i="2539"/>
  <c r="DU45" i="2539"/>
  <c r="DT45" i="2539"/>
  <c r="DS45" i="2539"/>
  <c r="DR45" i="2539"/>
  <c r="DQ45" i="2539"/>
  <c r="DP45" i="2539"/>
  <c r="DO45" i="2539"/>
  <c r="DM45" i="2539"/>
  <c r="DL45" i="2539"/>
  <c r="DK45" i="2539"/>
  <c r="DJ45" i="2539"/>
  <c r="DI45" i="2539"/>
  <c r="DH45" i="2539"/>
  <c r="DG45" i="2539"/>
  <c r="DF45" i="2539"/>
  <c r="DE45" i="2539"/>
  <c r="DD45" i="2539"/>
  <c r="DC45" i="2539"/>
  <c r="DB45" i="2539"/>
  <c r="CZ45" i="2539"/>
  <c r="CY45" i="2539"/>
  <c r="CX45" i="2539"/>
  <c r="CW45" i="2539"/>
  <c r="CV45" i="2539"/>
  <c r="CU45" i="2539"/>
  <c r="CT45" i="2539"/>
  <c r="CS45" i="2539"/>
  <c r="CR45" i="2539"/>
  <c r="CQ45" i="2539"/>
  <c r="CP45" i="2539"/>
  <c r="CO45" i="2539"/>
  <c r="CM45" i="2539"/>
  <c r="CL45" i="2539"/>
  <c r="CK45" i="2539"/>
  <c r="CJ45" i="2539"/>
  <c r="CI45" i="2539"/>
  <c r="CH45" i="2539"/>
  <c r="CG45" i="2539"/>
  <c r="CF45" i="2539"/>
  <c r="CE45" i="2539"/>
  <c r="CD45" i="2539"/>
  <c r="CC45" i="2539"/>
  <c r="CB45" i="2539"/>
  <c r="BZ45" i="2539"/>
  <c r="BY45" i="2539"/>
  <c r="BX45" i="2539"/>
  <c r="BW45" i="2539"/>
  <c r="BV45" i="2539"/>
  <c r="BU45" i="2539"/>
  <c r="BT45" i="2539"/>
  <c r="BS45" i="2539"/>
  <c r="BR45" i="2539"/>
  <c r="BQ45" i="2539"/>
  <c r="BP45" i="2539"/>
  <c r="BO45" i="2539"/>
  <c r="BM45" i="2539"/>
  <c r="BL45" i="2539"/>
  <c r="BK45" i="2539"/>
  <c r="BJ45" i="2539"/>
  <c r="BI45" i="2539"/>
  <c r="BH45" i="2539"/>
  <c r="BG45" i="2539"/>
  <c r="BF45" i="2539"/>
  <c r="BE45" i="2539"/>
  <c r="BD45" i="2539"/>
  <c r="BC45" i="2539"/>
  <c r="BB45" i="2539"/>
  <c r="AZ45" i="2539"/>
  <c r="AY45" i="2539"/>
  <c r="AX45" i="2539"/>
  <c r="AW45" i="2539"/>
  <c r="AV45" i="2539"/>
  <c r="AU45" i="2539"/>
  <c r="AT45" i="2539"/>
  <c r="AS45" i="2539"/>
  <c r="AR45" i="2539"/>
  <c r="AQ45" i="2539"/>
  <c r="AP45" i="2539"/>
  <c r="AO45" i="2539"/>
  <c r="AM45" i="2539"/>
  <c r="AL45" i="2539"/>
  <c r="AK45" i="2539"/>
  <c r="AJ45" i="2539"/>
  <c r="AI45" i="2539"/>
  <c r="AH45" i="2539"/>
  <c r="AG45" i="2539"/>
  <c r="AF45" i="2539"/>
  <c r="AE45" i="2539"/>
  <c r="AD45" i="2539"/>
  <c r="AC45" i="2539"/>
  <c r="AB45" i="2539"/>
  <c r="Z45" i="2539"/>
  <c r="Y45" i="2539"/>
  <c r="X45" i="2539"/>
  <c r="W45" i="2539"/>
  <c r="V45" i="2539"/>
  <c r="U45" i="2539"/>
  <c r="T45" i="2539"/>
  <c r="S45" i="2539"/>
  <c r="R45" i="2539"/>
  <c r="Q45" i="2539"/>
  <c r="P45" i="2539"/>
  <c r="O45" i="2539"/>
  <c r="M45" i="2539"/>
  <c r="L45" i="2539"/>
  <c r="K45" i="2539"/>
  <c r="J45" i="2539"/>
  <c r="I45" i="2539"/>
  <c r="H45" i="2539"/>
  <c r="G45" i="2539"/>
  <c r="F45" i="2539"/>
  <c r="E45" i="2539"/>
  <c r="D45" i="2539"/>
  <c r="C45" i="2539"/>
  <c r="B45" i="2539"/>
  <c r="HM44" i="2539"/>
  <c r="HL44" i="2539"/>
  <c r="HK44" i="2539"/>
  <c r="HJ44" i="2539"/>
  <c r="HI44" i="2539"/>
  <c r="HH44" i="2539"/>
  <c r="HG44" i="2539"/>
  <c r="HF44" i="2539"/>
  <c r="HE44" i="2539"/>
  <c r="HD44" i="2539"/>
  <c r="HC44" i="2539"/>
  <c r="HB44" i="2539"/>
  <c r="GZ44" i="2539"/>
  <c r="GY44" i="2539"/>
  <c r="GX44" i="2539"/>
  <c r="GW44" i="2539"/>
  <c r="GV44" i="2539"/>
  <c r="GU44" i="2539"/>
  <c r="GT44" i="2539"/>
  <c r="GS44" i="2539"/>
  <c r="GR44" i="2539"/>
  <c r="GQ44" i="2539"/>
  <c r="GP44" i="2539"/>
  <c r="GO44" i="2539"/>
  <c r="GM44" i="2539"/>
  <c r="GL44" i="2539"/>
  <c r="GK44" i="2539"/>
  <c r="GJ44" i="2539"/>
  <c r="GI44" i="2539"/>
  <c r="GH44" i="2539"/>
  <c r="GG44" i="2539"/>
  <c r="GF44" i="2539"/>
  <c r="GE44" i="2539"/>
  <c r="GD44" i="2539"/>
  <c r="GC44" i="2539"/>
  <c r="GB44" i="2539"/>
  <c r="FZ44" i="2539"/>
  <c r="FY44" i="2539"/>
  <c r="FX44" i="2539"/>
  <c r="FW44" i="2539"/>
  <c r="FV44" i="2539"/>
  <c r="FU44" i="2539"/>
  <c r="FT44" i="2539"/>
  <c r="FS44" i="2539"/>
  <c r="FR44" i="2539"/>
  <c r="FQ44" i="2539"/>
  <c r="FP44" i="2539"/>
  <c r="FO44" i="2539"/>
  <c r="FM44" i="2539"/>
  <c r="FL44" i="2539"/>
  <c r="FK44" i="2539"/>
  <c r="FJ44" i="2539"/>
  <c r="FI44" i="2539"/>
  <c r="FH44" i="2539"/>
  <c r="FG44" i="2539"/>
  <c r="FF44" i="2539"/>
  <c r="FE44" i="2539"/>
  <c r="FD44" i="2539"/>
  <c r="FC44" i="2539"/>
  <c r="FB44" i="2539"/>
  <c r="EZ44" i="2539"/>
  <c r="EY44" i="2539"/>
  <c r="EX44" i="2539"/>
  <c r="EW44" i="2539"/>
  <c r="EV44" i="2539"/>
  <c r="EU44" i="2539"/>
  <c r="ET44" i="2539"/>
  <c r="ES44" i="2539"/>
  <c r="ER44" i="2539"/>
  <c r="EQ44" i="2539"/>
  <c r="EP44" i="2539"/>
  <c r="EO44" i="2539"/>
  <c r="EM44" i="2539"/>
  <c r="EL44" i="2539"/>
  <c r="EK44" i="2539"/>
  <c r="EJ44" i="2539"/>
  <c r="EI44" i="2539"/>
  <c r="EH44" i="2539"/>
  <c r="EG44" i="2539"/>
  <c r="EF44" i="2539"/>
  <c r="EE44" i="2539"/>
  <c r="ED44" i="2539"/>
  <c r="EC44" i="2539"/>
  <c r="EB44" i="2539"/>
  <c r="DZ44" i="2539"/>
  <c r="DY44" i="2539"/>
  <c r="DX44" i="2539"/>
  <c r="DW44" i="2539"/>
  <c r="DV44" i="2539"/>
  <c r="DU44" i="2539"/>
  <c r="DT44" i="2539"/>
  <c r="DS44" i="2539"/>
  <c r="DR44" i="2539"/>
  <c r="DQ44" i="2539"/>
  <c r="DP44" i="2539"/>
  <c r="DO44" i="2539"/>
  <c r="DM44" i="2539"/>
  <c r="DL44" i="2539"/>
  <c r="DK44" i="2539"/>
  <c r="DJ44" i="2539"/>
  <c r="DI44" i="2539"/>
  <c r="DH44" i="2539"/>
  <c r="DG44" i="2539"/>
  <c r="DF44" i="2539"/>
  <c r="DE44" i="2539"/>
  <c r="DD44" i="2539"/>
  <c r="DC44" i="2539"/>
  <c r="DB44" i="2539"/>
  <c r="CZ44" i="2539"/>
  <c r="CY44" i="2539"/>
  <c r="CX44" i="2539"/>
  <c r="CW44" i="2539"/>
  <c r="CV44" i="2539"/>
  <c r="CU44" i="2539"/>
  <c r="CT44" i="2539"/>
  <c r="CS44" i="2539"/>
  <c r="CR44" i="2539"/>
  <c r="CQ44" i="2539"/>
  <c r="CP44" i="2539"/>
  <c r="CO44" i="2539"/>
  <c r="CM44" i="2539"/>
  <c r="CL44" i="2539"/>
  <c r="CK44" i="2539"/>
  <c r="CJ44" i="2539"/>
  <c r="CI44" i="2539"/>
  <c r="CH44" i="2539"/>
  <c r="CG44" i="2539"/>
  <c r="CF44" i="2539"/>
  <c r="CE44" i="2539"/>
  <c r="CD44" i="2539"/>
  <c r="CC44" i="2539"/>
  <c r="CB44" i="2539"/>
  <c r="BZ44" i="2539"/>
  <c r="BY44" i="2539"/>
  <c r="BX44" i="2539"/>
  <c r="BW44" i="2539"/>
  <c r="BV44" i="2539"/>
  <c r="BU44" i="2539"/>
  <c r="BT44" i="2539"/>
  <c r="BS44" i="2539"/>
  <c r="BR44" i="2539"/>
  <c r="BQ44" i="2539"/>
  <c r="BP44" i="2539"/>
  <c r="BO44" i="2539"/>
  <c r="BM44" i="2539"/>
  <c r="BL44" i="2539"/>
  <c r="BK44" i="2539"/>
  <c r="BJ44" i="2539"/>
  <c r="BI44" i="2539"/>
  <c r="BH44" i="2539"/>
  <c r="BG44" i="2539"/>
  <c r="BF44" i="2539"/>
  <c r="BE44" i="2539"/>
  <c r="BD44" i="2539"/>
  <c r="BC44" i="2539"/>
  <c r="BB44" i="2539"/>
  <c r="AZ44" i="2539"/>
  <c r="AY44" i="2539"/>
  <c r="AX44" i="2539"/>
  <c r="AW44" i="2539"/>
  <c r="AV44" i="2539"/>
  <c r="AU44" i="2539"/>
  <c r="AT44" i="2539"/>
  <c r="AS44" i="2539"/>
  <c r="AR44" i="2539"/>
  <c r="AQ44" i="2539"/>
  <c r="AP44" i="2539"/>
  <c r="AO44" i="2539"/>
  <c r="AM44" i="2539"/>
  <c r="AL44" i="2539"/>
  <c r="AK44" i="2539"/>
  <c r="AJ44" i="2539"/>
  <c r="AI44" i="2539"/>
  <c r="AH44" i="2539"/>
  <c r="AG44" i="2539"/>
  <c r="AF44" i="2539"/>
  <c r="AE44" i="2539"/>
  <c r="AD44" i="2539"/>
  <c r="AC44" i="2539"/>
  <c r="AB44" i="2539"/>
  <c r="Z44" i="2539"/>
  <c r="Y44" i="2539"/>
  <c r="X44" i="2539"/>
  <c r="W44" i="2539"/>
  <c r="V44" i="2539"/>
  <c r="U44" i="2539"/>
  <c r="T44" i="2539"/>
  <c r="S44" i="2539"/>
  <c r="R44" i="2539"/>
  <c r="Q44" i="2539"/>
  <c r="P44" i="2539"/>
  <c r="O44" i="2539"/>
  <c r="M44" i="2539"/>
  <c r="L44" i="2539"/>
  <c r="K44" i="2539"/>
  <c r="J44" i="2539"/>
  <c r="I44" i="2539"/>
  <c r="H44" i="2539"/>
  <c r="G44" i="2539"/>
  <c r="F44" i="2539"/>
  <c r="E44" i="2539"/>
  <c r="D44" i="2539"/>
  <c r="C44" i="2539"/>
  <c r="B44" i="2539"/>
  <c r="HM43" i="2539"/>
  <c r="HL43" i="2539"/>
  <c r="HK43" i="2539"/>
  <c r="HJ43" i="2539"/>
  <c r="HI43" i="2539"/>
  <c r="HH43" i="2539"/>
  <c r="HG43" i="2539"/>
  <c r="HF43" i="2539"/>
  <c r="HE43" i="2539"/>
  <c r="HD43" i="2539"/>
  <c r="HC43" i="2539"/>
  <c r="HB43" i="2539"/>
  <c r="GZ43" i="2539"/>
  <c r="GY43" i="2539"/>
  <c r="GX43" i="2539"/>
  <c r="GW43" i="2539"/>
  <c r="GV43" i="2539"/>
  <c r="GU43" i="2539"/>
  <c r="GT43" i="2539"/>
  <c r="GS43" i="2539"/>
  <c r="GR43" i="2539"/>
  <c r="GQ43" i="2539"/>
  <c r="GP43" i="2539"/>
  <c r="GO43" i="2539"/>
  <c r="GM43" i="2539"/>
  <c r="GL43" i="2539"/>
  <c r="GK43" i="2539"/>
  <c r="GJ43" i="2539"/>
  <c r="GI43" i="2539"/>
  <c r="GH43" i="2539"/>
  <c r="GG43" i="2539"/>
  <c r="GF43" i="2539"/>
  <c r="GE43" i="2539"/>
  <c r="GD43" i="2539"/>
  <c r="GC43" i="2539"/>
  <c r="GB43" i="2539"/>
  <c r="FZ43" i="2539"/>
  <c r="FY43" i="2539"/>
  <c r="FX43" i="2539"/>
  <c r="FW43" i="2539"/>
  <c r="FV43" i="2539"/>
  <c r="FU43" i="2539"/>
  <c r="FT43" i="2539"/>
  <c r="FS43" i="2539"/>
  <c r="FR43" i="2539"/>
  <c r="FQ43" i="2539"/>
  <c r="FP43" i="2539"/>
  <c r="FO43" i="2539"/>
  <c r="FM43" i="2539"/>
  <c r="FL43" i="2539"/>
  <c r="FK43" i="2539"/>
  <c r="FJ43" i="2539"/>
  <c r="FI43" i="2539"/>
  <c r="FH43" i="2539"/>
  <c r="FG43" i="2539"/>
  <c r="FF43" i="2539"/>
  <c r="FE43" i="2539"/>
  <c r="FD43" i="2539"/>
  <c r="FC43" i="2539"/>
  <c r="FB43" i="2539"/>
  <c r="EZ43" i="2539"/>
  <c r="EY43" i="2539"/>
  <c r="EX43" i="2539"/>
  <c r="EW43" i="2539"/>
  <c r="EV43" i="2539"/>
  <c r="EU43" i="2539"/>
  <c r="ET43" i="2539"/>
  <c r="ES43" i="2539"/>
  <c r="ER43" i="2539"/>
  <c r="EQ43" i="2539"/>
  <c r="EP43" i="2539"/>
  <c r="EO43" i="2539"/>
  <c r="EM43" i="2539"/>
  <c r="EL43" i="2539"/>
  <c r="EK43" i="2539"/>
  <c r="EJ43" i="2539"/>
  <c r="EI43" i="2539"/>
  <c r="EH43" i="2539"/>
  <c r="EG43" i="2539"/>
  <c r="EF43" i="2539"/>
  <c r="EE43" i="2539"/>
  <c r="ED43" i="2539"/>
  <c r="EC43" i="2539"/>
  <c r="EB43" i="2539"/>
  <c r="DZ43" i="2539"/>
  <c r="DY43" i="2539"/>
  <c r="DX43" i="2539"/>
  <c r="DW43" i="2539"/>
  <c r="DV43" i="2539"/>
  <c r="DU43" i="2539"/>
  <c r="DT43" i="2539"/>
  <c r="DS43" i="2539"/>
  <c r="DR43" i="2539"/>
  <c r="DQ43" i="2539"/>
  <c r="DP43" i="2539"/>
  <c r="DO43" i="2539"/>
  <c r="DM43" i="2539"/>
  <c r="DL43" i="2539"/>
  <c r="DK43" i="2539"/>
  <c r="DJ43" i="2539"/>
  <c r="DI43" i="2539"/>
  <c r="DH43" i="2539"/>
  <c r="DG43" i="2539"/>
  <c r="DF43" i="2539"/>
  <c r="DE43" i="2539"/>
  <c r="DD43" i="2539"/>
  <c r="DC43" i="2539"/>
  <c r="DB43" i="2539"/>
  <c r="CZ43" i="2539"/>
  <c r="CY43" i="2539"/>
  <c r="CX43" i="2539"/>
  <c r="CW43" i="2539"/>
  <c r="CV43" i="2539"/>
  <c r="CU43" i="2539"/>
  <c r="CT43" i="2539"/>
  <c r="CS43" i="2539"/>
  <c r="CR43" i="2539"/>
  <c r="CQ43" i="2539"/>
  <c r="CP43" i="2539"/>
  <c r="CO43" i="2539"/>
  <c r="CM43" i="2539"/>
  <c r="CL43" i="2539"/>
  <c r="CK43" i="2539"/>
  <c r="CJ43" i="2539"/>
  <c r="CI43" i="2539"/>
  <c r="CH43" i="2539"/>
  <c r="CG43" i="2539"/>
  <c r="CF43" i="2539"/>
  <c r="CE43" i="2539"/>
  <c r="CD43" i="2539"/>
  <c r="CC43" i="2539"/>
  <c r="CB43" i="2539"/>
  <c r="BZ43" i="2539"/>
  <c r="BY43" i="2539"/>
  <c r="BX43" i="2539"/>
  <c r="BW43" i="2539"/>
  <c r="BV43" i="2539"/>
  <c r="BU43" i="2539"/>
  <c r="BT43" i="2539"/>
  <c r="BS43" i="2539"/>
  <c r="BR43" i="2539"/>
  <c r="BQ43" i="2539"/>
  <c r="BP43" i="2539"/>
  <c r="BO43" i="2539"/>
  <c r="BM43" i="2539"/>
  <c r="BL43" i="2539"/>
  <c r="BK43" i="2539"/>
  <c r="BJ43" i="2539"/>
  <c r="BI43" i="2539"/>
  <c r="BH43" i="2539"/>
  <c r="BG43" i="2539"/>
  <c r="BF43" i="2539"/>
  <c r="BE43" i="2539"/>
  <c r="BD43" i="2539"/>
  <c r="BC43" i="2539"/>
  <c r="BB43" i="2539"/>
  <c r="AZ43" i="2539"/>
  <c r="AY43" i="2539"/>
  <c r="AX43" i="2539"/>
  <c r="AW43" i="2539"/>
  <c r="AV43" i="2539"/>
  <c r="AU43" i="2539"/>
  <c r="AT43" i="2539"/>
  <c r="AS43" i="2539"/>
  <c r="AR43" i="2539"/>
  <c r="AQ43" i="2539"/>
  <c r="AP43" i="2539"/>
  <c r="AO43" i="2539"/>
  <c r="AM43" i="2539"/>
  <c r="AL43" i="2539"/>
  <c r="AK43" i="2539"/>
  <c r="AJ43" i="2539"/>
  <c r="AI43" i="2539"/>
  <c r="AH43" i="2539"/>
  <c r="AG43" i="2539"/>
  <c r="AF43" i="2539"/>
  <c r="AE43" i="2539"/>
  <c r="AD43" i="2539"/>
  <c r="AC43" i="2539"/>
  <c r="AB43" i="2539"/>
  <c r="Z43" i="2539"/>
  <c r="Y43" i="2539"/>
  <c r="X43" i="2539"/>
  <c r="W43" i="2539"/>
  <c r="V43" i="2539"/>
  <c r="U43" i="2539"/>
  <c r="T43" i="2539"/>
  <c r="S43" i="2539"/>
  <c r="R43" i="2539"/>
  <c r="Q43" i="2539"/>
  <c r="P43" i="2539"/>
  <c r="O43" i="2539"/>
  <c r="M43" i="2539"/>
  <c r="L43" i="2539"/>
  <c r="K43" i="2539"/>
  <c r="J43" i="2539"/>
  <c r="I43" i="2539"/>
  <c r="H43" i="2539"/>
  <c r="G43" i="2539"/>
  <c r="F43" i="2539"/>
  <c r="E43" i="2539"/>
  <c r="D43" i="2539"/>
  <c r="C43" i="2539"/>
  <c r="B43" i="2539"/>
  <c r="HN39" i="2539"/>
  <c r="HA39" i="2539"/>
  <c r="GN39" i="2539"/>
  <c r="GA39" i="2539"/>
  <c r="FN39" i="2539"/>
  <c r="FA39" i="2539"/>
  <c r="EN39" i="2539"/>
  <c r="EA39" i="2539"/>
  <c r="DN39" i="2539"/>
  <c r="DA39" i="2539"/>
  <c r="CN39" i="2539"/>
  <c r="CA39" i="2539"/>
  <c r="BN39" i="2539"/>
  <c r="BA39" i="2539"/>
  <c r="AN39" i="2539"/>
  <c r="AA39" i="2539"/>
  <c r="N39" i="2539"/>
  <c r="HB38" i="2539"/>
  <c r="GO38" i="2539"/>
  <c r="GB38" i="2539"/>
  <c r="FO38" i="2539"/>
  <c r="FB38" i="2539"/>
  <c r="EO38" i="2539"/>
  <c r="EB38" i="2539"/>
  <c r="DO38" i="2539"/>
  <c r="DB38" i="2539"/>
  <c r="CO38" i="2539"/>
  <c r="CB38" i="2539"/>
  <c r="BO38" i="2539"/>
  <c r="BB38" i="2539"/>
  <c r="AO38" i="2539"/>
  <c r="AB38" i="2539"/>
  <c r="O38" i="2539"/>
  <c r="B38" i="2539"/>
  <c r="HM36" i="2539"/>
  <c r="HL36" i="2539"/>
  <c r="HK36" i="2539"/>
  <c r="HJ36" i="2539"/>
  <c r="HI36" i="2539"/>
  <c r="HH36" i="2539"/>
  <c r="HG36" i="2539"/>
  <c r="HF36" i="2539"/>
  <c r="HE36" i="2539"/>
  <c r="HD36" i="2539"/>
  <c r="HC36" i="2539"/>
  <c r="HB36" i="2539"/>
  <c r="GZ36" i="2539"/>
  <c r="GY36" i="2539"/>
  <c r="GX36" i="2539"/>
  <c r="GW36" i="2539"/>
  <c r="GV36" i="2539"/>
  <c r="GU36" i="2539"/>
  <c r="GT36" i="2539"/>
  <c r="GS36" i="2539"/>
  <c r="GR36" i="2539"/>
  <c r="GQ36" i="2539"/>
  <c r="GP36" i="2539"/>
  <c r="GO36" i="2539"/>
  <c r="GM36" i="2539"/>
  <c r="GL36" i="2539"/>
  <c r="GK36" i="2539"/>
  <c r="GJ36" i="2539"/>
  <c r="GI36" i="2539"/>
  <c r="GH36" i="2539"/>
  <c r="GG36" i="2539"/>
  <c r="GF36" i="2539"/>
  <c r="GE36" i="2539"/>
  <c r="GD36" i="2539"/>
  <c r="GC36" i="2539"/>
  <c r="GB36" i="2539"/>
  <c r="FZ36" i="2539"/>
  <c r="FY36" i="2539"/>
  <c r="FX36" i="2539"/>
  <c r="FW36" i="2539"/>
  <c r="FV36" i="2539"/>
  <c r="FU36" i="2539"/>
  <c r="FT36" i="2539"/>
  <c r="FS36" i="2539"/>
  <c r="FR36" i="2539"/>
  <c r="FQ36" i="2539"/>
  <c r="FP36" i="2539"/>
  <c r="FO36" i="2539"/>
  <c r="FM36" i="2539"/>
  <c r="FL36" i="2539"/>
  <c r="FK36" i="2539"/>
  <c r="FJ36" i="2539"/>
  <c r="FI36" i="2539"/>
  <c r="FH36" i="2539"/>
  <c r="FG36" i="2539"/>
  <c r="FF36" i="2539"/>
  <c r="FE36" i="2539"/>
  <c r="FD36" i="2539"/>
  <c r="FC36" i="2539"/>
  <c r="FB36" i="2539"/>
  <c r="EZ36" i="2539"/>
  <c r="EY36" i="2539"/>
  <c r="EX36" i="2539"/>
  <c r="EW36" i="2539"/>
  <c r="EV36" i="2539"/>
  <c r="EU36" i="2539"/>
  <c r="ET36" i="2539"/>
  <c r="ES36" i="2539"/>
  <c r="ER36" i="2539"/>
  <c r="EQ36" i="2539"/>
  <c r="EP36" i="2539"/>
  <c r="EO36" i="2539"/>
  <c r="EM36" i="2539"/>
  <c r="EL36" i="2539"/>
  <c r="EK36" i="2539"/>
  <c r="EJ36" i="2539"/>
  <c r="EI36" i="2539"/>
  <c r="EH36" i="2539"/>
  <c r="EG36" i="2539"/>
  <c r="EF36" i="2539"/>
  <c r="EE36" i="2539"/>
  <c r="ED36" i="2539"/>
  <c r="EC36" i="2539"/>
  <c r="EB36" i="2539"/>
  <c r="DZ36" i="2539"/>
  <c r="DY36" i="2539"/>
  <c r="DX36" i="2539"/>
  <c r="DW36" i="2539"/>
  <c r="DV36" i="2539"/>
  <c r="DU36" i="2539"/>
  <c r="DT36" i="2539"/>
  <c r="DS36" i="2539"/>
  <c r="DR36" i="2539"/>
  <c r="DQ36" i="2539"/>
  <c r="DP36" i="2539"/>
  <c r="DO36" i="2539"/>
  <c r="DM36" i="2539"/>
  <c r="DL36" i="2539"/>
  <c r="DK36" i="2539"/>
  <c r="DJ36" i="2539"/>
  <c r="DI36" i="2539"/>
  <c r="DH36" i="2539"/>
  <c r="DG36" i="2539"/>
  <c r="DF36" i="2539"/>
  <c r="DE36" i="2539"/>
  <c r="DD36" i="2539"/>
  <c r="DC36" i="2539"/>
  <c r="DB36" i="2539"/>
  <c r="CZ36" i="2539"/>
  <c r="CY36" i="2539"/>
  <c r="CX36" i="2539"/>
  <c r="CW36" i="2539"/>
  <c r="CV36" i="2539"/>
  <c r="CU36" i="2539"/>
  <c r="CT36" i="2539"/>
  <c r="CS36" i="2539"/>
  <c r="CR36" i="2539"/>
  <c r="CQ36" i="2539"/>
  <c r="CP36" i="2539"/>
  <c r="CO36" i="2539"/>
  <c r="HN30" i="2539"/>
  <c r="HA30" i="2539"/>
  <c r="GM30" i="2539"/>
  <c r="GL30" i="2539"/>
  <c r="FN30" i="2539"/>
  <c r="FA30" i="2539"/>
  <c r="EN30" i="2539"/>
  <c r="EA30" i="2539"/>
  <c r="DN30" i="2539"/>
  <c r="CN30" i="2539"/>
  <c r="CA30" i="2539"/>
  <c r="BN30" i="2539"/>
  <c r="BA30" i="2539"/>
  <c r="AN30" i="2539"/>
  <c r="AA30" i="2539"/>
  <c r="N30" i="2539"/>
  <c r="HN29" i="2539"/>
  <c r="HA29" i="2539"/>
  <c r="GL29" i="2539"/>
  <c r="FJ29" i="2539"/>
  <c r="GM29" i="2539" s="1"/>
  <c r="FA29" i="2539"/>
  <c r="EN29" i="2539"/>
  <c r="EA29" i="2539"/>
  <c r="DN29" i="2539"/>
  <c r="CN29" i="2539"/>
  <c r="CA29" i="2539"/>
  <c r="BN29" i="2539"/>
  <c r="BA29" i="2539"/>
  <c r="AN29" i="2539"/>
  <c r="AA29" i="2539"/>
  <c r="N29" i="2539"/>
  <c r="HN28" i="2539"/>
  <c r="HA28" i="2539"/>
  <c r="GN28" i="2539"/>
  <c r="GA28" i="2539"/>
  <c r="FN28" i="2539"/>
  <c r="FA28" i="2539"/>
  <c r="EN28" i="2539"/>
  <c r="EA28" i="2539"/>
  <c r="DN28" i="2539"/>
  <c r="DA28" i="2539"/>
  <c r="CN28" i="2539"/>
  <c r="CA28" i="2539"/>
  <c r="BN28" i="2539"/>
  <c r="BA28" i="2539"/>
  <c r="AN28" i="2539"/>
  <c r="AA28" i="2539"/>
  <c r="N28" i="2539"/>
  <c r="HN27" i="2539"/>
  <c r="HA27" i="2539"/>
  <c r="GN27" i="2539"/>
  <c r="GA27" i="2539"/>
  <c r="FN27" i="2539"/>
  <c r="FA27" i="2539"/>
  <c r="EN27" i="2539"/>
  <c r="EA27" i="2539"/>
  <c r="DN27" i="2539"/>
  <c r="DA27" i="2539"/>
  <c r="CN27" i="2539"/>
  <c r="CA27" i="2539"/>
  <c r="BN27" i="2539"/>
  <c r="BA27" i="2539"/>
  <c r="AN27" i="2539"/>
  <c r="AA27" i="2539"/>
  <c r="N27" i="2539"/>
  <c r="HN26" i="2539"/>
  <c r="HA26" i="2539"/>
  <c r="GN26" i="2539"/>
  <c r="GA26" i="2539"/>
  <c r="FN26" i="2539"/>
  <c r="FA26" i="2539"/>
  <c r="EN26" i="2539"/>
  <c r="EA26" i="2539"/>
  <c r="DN26" i="2539"/>
  <c r="DA26" i="2539"/>
  <c r="CN26" i="2539"/>
  <c r="CA26" i="2539"/>
  <c r="BN26" i="2539"/>
  <c r="BA26" i="2539"/>
  <c r="AN26" i="2539"/>
  <c r="AA26" i="2539"/>
  <c r="N26" i="2539"/>
  <c r="HN25" i="2539"/>
  <c r="HA25" i="2539"/>
  <c r="GN25" i="2539"/>
  <c r="GA25" i="2539"/>
  <c r="FN25" i="2539"/>
  <c r="FA25" i="2539"/>
  <c r="EN25" i="2539"/>
  <c r="EA25" i="2539"/>
  <c r="DN25" i="2539"/>
  <c r="DA25" i="2539"/>
  <c r="CN25" i="2539"/>
  <c r="CA25" i="2539"/>
  <c r="BN25" i="2539"/>
  <c r="BA25" i="2539"/>
  <c r="AN25" i="2539"/>
  <c r="AA25" i="2539"/>
  <c r="N25" i="2539"/>
  <c r="HN24" i="2539"/>
  <c r="HA24" i="2539"/>
  <c r="GN24" i="2539"/>
  <c r="GA24" i="2539"/>
  <c r="FN24" i="2539"/>
  <c r="FA24" i="2539"/>
  <c r="EN24" i="2539"/>
  <c r="EA24" i="2539"/>
  <c r="DN24" i="2539"/>
  <c r="DA24" i="2539"/>
  <c r="CN24" i="2539"/>
  <c r="CA24" i="2539"/>
  <c r="BN24" i="2539"/>
  <c r="BA24" i="2539"/>
  <c r="AN24" i="2539"/>
  <c r="AA24" i="2539"/>
  <c r="N24" i="2539"/>
  <c r="HM23" i="2539"/>
  <c r="HM57" i="2539" s="1"/>
  <c r="HL23" i="2539"/>
  <c r="HL57" i="2539" s="1"/>
  <c r="HK23" i="2539"/>
  <c r="HK57" i="2539" s="1"/>
  <c r="HJ23" i="2539"/>
  <c r="HJ57" i="2539" s="1"/>
  <c r="HI23" i="2539"/>
  <c r="HI57" i="2539" s="1"/>
  <c r="HH23" i="2539"/>
  <c r="HH57" i="2539" s="1"/>
  <c r="HG23" i="2539"/>
  <c r="HG57" i="2539" s="1"/>
  <c r="HF23" i="2539"/>
  <c r="HF57" i="2539" s="1"/>
  <c r="HE23" i="2539"/>
  <c r="HE57" i="2539" s="1"/>
  <c r="HD23" i="2539"/>
  <c r="HD57" i="2539" s="1"/>
  <c r="HC23" i="2539"/>
  <c r="HC57" i="2539" s="1"/>
  <c r="HB23" i="2539"/>
  <c r="HB57" i="2539" s="1"/>
  <c r="GZ23" i="2539"/>
  <c r="GZ57" i="2539" s="1"/>
  <c r="GY23" i="2539"/>
  <c r="GY57" i="2539" s="1"/>
  <c r="GX23" i="2539"/>
  <c r="GX57" i="2539" s="1"/>
  <c r="GW23" i="2539"/>
  <c r="GW57" i="2539" s="1"/>
  <c r="GV23" i="2539"/>
  <c r="GV57" i="2539" s="1"/>
  <c r="GU23" i="2539"/>
  <c r="GU57" i="2539" s="1"/>
  <c r="GT23" i="2539"/>
  <c r="GT57" i="2539" s="1"/>
  <c r="GS23" i="2539"/>
  <c r="GS57" i="2539" s="1"/>
  <c r="GR23" i="2539"/>
  <c r="GR57" i="2539" s="1"/>
  <c r="GQ23" i="2539"/>
  <c r="GQ57" i="2539" s="1"/>
  <c r="GP23" i="2539"/>
  <c r="GP57" i="2539" s="1"/>
  <c r="GO23" i="2539"/>
  <c r="GK23" i="2539"/>
  <c r="GK57" i="2539" s="1"/>
  <c r="GJ23" i="2539"/>
  <c r="GJ57" i="2539" s="1"/>
  <c r="GI23" i="2539"/>
  <c r="GI57" i="2539" s="1"/>
  <c r="GH23" i="2539"/>
  <c r="GH57" i="2539" s="1"/>
  <c r="GG23" i="2539"/>
  <c r="GG57" i="2539" s="1"/>
  <c r="GF23" i="2539"/>
  <c r="GF57" i="2539" s="1"/>
  <c r="GE23" i="2539"/>
  <c r="GE57" i="2539" s="1"/>
  <c r="GD23" i="2539"/>
  <c r="GD57" i="2539" s="1"/>
  <c r="GC23" i="2539"/>
  <c r="GC57" i="2539" s="1"/>
  <c r="GB23" i="2539"/>
  <c r="GB57" i="2539" s="1"/>
  <c r="FZ23" i="2539"/>
  <c r="FZ57" i="2539" s="1"/>
  <c r="FY23" i="2539"/>
  <c r="FY57" i="2539" s="1"/>
  <c r="FX23" i="2539"/>
  <c r="FX57" i="2539" s="1"/>
  <c r="FW23" i="2539"/>
  <c r="FW57" i="2539" s="1"/>
  <c r="FV23" i="2539"/>
  <c r="FV57" i="2539" s="1"/>
  <c r="FU23" i="2539"/>
  <c r="FU57" i="2539" s="1"/>
  <c r="FT23" i="2539"/>
  <c r="FT57" i="2539" s="1"/>
  <c r="FS23" i="2539"/>
  <c r="FS57" i="2539" s="1"/>
  <c r="FR23" i="2539"/>
  <c r="FR57" i="2539" s="1"/>
  <c r="FQ23" i="2539"/>
  <c r="FQ57" i="2539" s="1"/>
  <c r="FP23" i="2539"/>
  <c r="FP57" i="2539" s="1"/>
  <c r="FO23" i="2539"/>
  <c r="FO57" i="2539" s="1"/>
  <c r="FM23" i="2539"/>
  <c r="FM57" i="2539" s="1"/>
  <c r="FL23" i="2539"/>
  <c r="FL57" i="2539" s="1"/>
  <c r="FK23" i="2539"/>
  <c r="FK57" i="2539" s="1"/>
  <c r="FI23" i="2539"/>
  <c r="FI57" i="2539" s="1"/>
  <c r="FH23" i="2539"/>
  <c r="FH57" i="2539" s="1"/>
  <c r="FG23" i="2539"/>
  <c r="FG57" i="2539" s="1"/>
  <c r="FF23" i="2539"/>
  <c r="FF57" i="2539" s="1"/>
  <c r="FE23" i="2539"/>
  <c r="FE57" i="2539" s="1"/>
  <c r="FD23" i="2539"/>
  <c r="FC23" i="2539"/>
  <c r="FC57" i="2539" s="1"/>
  <c r="FB23" i="2539"/>
  <c r="FB57" i="2539" s="1"/>
  <c r="EZ23" i="2539"/>
  <c r="EZ57" i="2539" s="1"/>
  <c r="EY23" i="2539"/>
  <c r="EY57" i="2539" s="1"/>
  <c r="EX23" i="2539"/>
  <c r="EX57" i="2539" s="1"/>
  <c r="EW23" i="2539"/>
  <c r="EW57" i="2539" s="1"/>
  <c r="EV23" i="2539"/>
  <c r="EV57" i="2539" s="1"/>
  <c r="EU23" i="2539"/>
  <c r="EU57" i="2539" s="1"/>
  <c r="ET23" i="2539"/>
  <c r="ET57" i="2539" s="1"/>
  <c r="ES23" i="2539"/>
  <c r="ES57" i="2539" s="1"/>
  <c r="ER23" i="2539"/>
  <c r="ER57" i="2539" s="1"/>
  <c r="EQ23" i="2539"/>
  <c r="EQ57" i="2539" s="1"/>
  <c r="EP23" i="2539"/>
  <c r="EP57" i="2539" s="1"/>
  <c r="EO23" i="2539"/>
  <c r="EO57" i="2539" s="1"/>
  <c r="EM23" i="2539"/>
  <c r="EM57" i="2539" s="1"/>
  <c r="EL23" i="2539"/>
  <c r="EL57" i="2539" s="1"/>
  <c r="EK23" i="2539"/>
  <c r="EK57" i="2539" s="1"/>
  <c r="EJ23" i="2539"/>
  <c r="EJ57" i="2539" s="1"/>
  <c r="EI23" i="2539"/>
  <c r="EI57" i="2539" s="1"/>
  <c r="EH23" i="2539"/>
  <c r="EH57" i="2539" s="1"/>
  <c r="EG23" i="2539"/>
  <c r="EG57" i="2539" s="1"/>
  <c r="EF23" i="2539"/>
  <c r="EF57" i="2539" s="1"/>
  <c r="EE23" i="2539"/>
  <c r="EE57" i="2539" s="1"/>
  <c r="ED23" i="2539"/>
  <c r="ED57" i="2539" s="1"/>
  <c r="EC23" i="2539"/>
  <c r="EC57" i="2539" s="1"/>
  <c r="EB23" i="2539"/>
  <c r="EB57" i="2539" s="1"/>
  <c r="DZ23" i="2539"/>
  <c r="DZ57" i="2539" s="1"/>
  <c r="DY23" i="2539"/>
  <c r="DY57" i="2539" s="1"/>
  <c r="DX23" i="2539"/>
  <c r="DX57" i="2539" s="1"/>
  <c r="DW23" i="2539"/>
  <c r="DW57" i="2539" s="1"/>
  <c r="DV23" i="2539"/>
  <c r="DV57" i="2539" s="1"/>
  <c r="DU23" i="2539"/>
  <c r="DU57" i="2539" s="1"/>
  <c r="DT23" i="2539"/>
  <c r="DT57" i="2539" s="1"/>
  <c r="DS23" i="2539"/>
  <c r="DS57" i="2539" s="1"/>
  <c r="DR23" i="2539"/>
  <c r="DR57" i="2539" s="1"/>
  <c r="DQ23" i="2539"/>
  <c r="DQ57" i="2539" s="1"/>
  <c r="DP23" i="2539"/>
  <c r="DP57" i="2539" s="1"/>
  <c r="DO23" i="2539"/>
  <c r="DO57" i="2539" s="1"/>
  <c r="DM23" i="2539"/>
  <c r="DM57" i="2539" s="1"/>
  <c r="DL23" i="2539"/>
  <c r="DL57" i="2539" s="1"/>
  <c r="DK23" i="2539"/>
  <c r="DK57" i="2539" s="1"/>
  <c r="DJ23" i="2539"/>
  <c r="DJ57" i="2539" s="1"/>
  <c r="DI23" i="2539"/>
  <c r="DI57" i="2539" s="1"/>
  <c r="DH23" i="2539"/>
  <c r="DH57" i="2539" s="1"/>
  <c r="DG23" i="2539"/>
  <c r="DG57" i="2539" s="1"/>
  <c r="DF23" i="2539"/>
  <c r="DF57" i="2539" s="1"/>
  <c r="DE23" i="2539"/>
  <c r="DE57" i="2539" s="1"/>
  <c r="DD23" i="2539"/>
  <c r="DD57" i="2539" s="1"/>
  <c r="DC23" i="2539"/>
  <c r="DC57" i="2539" s="1"/>
  <c r="DB23" i="2539"/>
  <c r="DB57" i="2539" s="1"/>
  <c r="CZ23" i="2539"/>
  <c r="CZ57" i="2539" s="1"/>
  <c r="CY23" i="2539"/>
  <c r="CY57" i="2539" s="1"/>
  <c r="CX23" i="2539"/>
  <c r="CX57" i="2539" s="1"/>
  <c r="CW23" i="2539"/>
  <c r="CW57" i="2539" s="1"/>
  <c r="CV23" i="2539"/>
  <c r="CV57" i="2539" s="1"/>
  <c r="CU23" i="2539"/>
  <c r="CU57" i="2539" s="1"/>
  <c r="CT23" i="2539"/>
  <c r="CT57" i="2539" s="1"/>
  <c r="CS23" i="2539"/>
  <c r="CS57" i="2539" s="1"/>
  <c r="CR23" i="2539"/>
  <c r="CR57" i="2539" s="1"/>
  <c r="CQ23" i="2539"/>
  <c r="CQ57" i="2539" s="1"/>
  <c r="CP23" i="2539"/>
  <c r="CP57" i="2539" s="1"/>
  <c r="CO23" i="2539"/>
  <c r="CO57" i="2539" s="1"/>
  <c r="CM23" i="2539"/>
  <c r="CM57" i="2539" s="1"/>
  <c r="CL23" i="2539"/>
  <c r="CL57" i="2539" s="1"/>
  <c r="CK23" i="2539"/>
  <c r="CK57" i="2539" s="1"/>
  <c r="CJ23" i="2539"/>
  <c r="CJ57" i="2539" s="1"/>
  <c r="CI23" i="2539"/>
  <c r="CI57" i="2539" s="1"/>
  <c r="CH23" i="2539"/>
  <c r="CH57" i="2539" s="1"/>
  <c r="CG23" i="2539"/>
  <c r="CG57" i="2539" s="1"/>
  <c r="CF23" i="2539"/>
  <c r="CF57" i="2539" s="1"/>
  <c r="CE23" i="2539"/>
  <c r="CE57" i="2539" s="1"/>
  <c r="CD23" i="2539"/>
  <c r="CD57" i="2539" s="1"/>
  <c r="CC23" i="2539"/>
  <c r="CC57" i="2539" s="1"/>
  <c r="CB23" i="2539"/>
  <c r="CB57" i="2539" s="1"/>
  <c r="BZ23" i="2539"/>
  <c r="BZ57" i="2539" s="1"/>
  <c r="BY23" i="2539"/>
  <c r="BY57" i="2539" s="1"/>
  <c r="BX23" i="2539"/>
  <c r="BX57" i="2539" s="1"/>
  <c r="BW23" i="2539"/>
  <c r="BW57" i="2539" s="1"/>
  <c r="BV23" i="2539"/>
  <c r="BV57" i="2539" s="1"/>
  <c r="BU23" i="2539"/>
  <c r="BU57" i="2539" s="1"/>
  <c r="BT23" i="2539"/>
  <c r="BT57" i="2539" s="1"/>
  <c r="BS23" i="2539"/>
  <c r="BS57" i="2539" s="1"/>
  <c r="BR23" i="2539"/>
  <c r="BR57" i="2539" s="1"/>
  <c r="BQ23" i="2539"/>
  <c r="BQ57" i="2539" s="1"/>
  <c r="BP23" i="2539"/>
  <c r="BP57" i="2539" s="1"/>
  <c r="BO23" i="2539"/>
  <c r="BO57" i="2539" s="1"/>
  <c r="BM23" i="2539"/>
  <c r="BM57" i="2539" s="1"/>
  <c r="BL23" i="2539"/>
  <c r="BL57" i="2539" s="1"/>
  <c r="BK23" i="2539"/>
  <c r="BK57" i="2539" s="1"/>
  <c r="BJ23" i="2539"/>
  <c r="BJ57" i="2539" s="1"/>
  <c r="BI23" i="2539"/>
  <c r="BI57" i="2539" s="1"/>
  <c r="BH23" i="2539"/>
  <c r="BH57" i="2539" s="1"/>
  <c r="BG23" i="2539"/>
  <c r="BG57" i="2539" s="1"/>
  <c r="BF23" i="2539"/>
  <c r="BF57" i="2539" s="1"/>
  <c r="BE23" i="2539"/>
  <c r="BE57" i="2539" s="1"/>
  <c r="BD23" i="2539"/>
  <c r="BD57" i="2539" s="1"/>
  <c r="BC23" i="2539"/>
  <c r="BC57" i="2539" s="1"/>
  <c r="BB23" i="2539"/>
  <c r="AZ23" i="2539"/>
  <c r="AZ57" i="2539" s="1"/>
  <c r="AY23" i="2539"/>
  <c r="AY57" i="2539" s="1"/>
  <c r="AX23" i="2539"/>
  <c r="AX57" i="2539" s="1"/>
  <c r="AW23" i="2539"/>
  <c r="AW57" i="2539" s="1"/>
  <c r="AV23" i="2539"/>
  <c r="AV57" i="2539" s="1"/>
  <c r="AU23" i="2539"/>
  <c r="AU57" i="2539" s="1"/>
  <c r="AT23" i="2539"/>
  <c r="AT57" i="2539" s="1"/>
  <c r="AS23" i="2539"/>
  <c r="AS57" i="2539" s="1"/>
  <c r="AR23" i="2539"/>
  <c r="AR57" i="2539" s="1"/>
  <c r="AQ23" i="2539"/>
  <c r="AQ57" i="2539" s="1"/>
  <c r="AP23" i="2539"/>
  <c r="AP57" i="2539" s="1"/>
  <c r="AO23" i="2539"/>
  <c r="AO57" i="2539" s="1"/>
  <c r="AM23" i="2539"/>
  <c r="AL23" i="2539"/>
  <c r="AK23" i="2539"/>
  <c r="AK57" i="2539" s="1"/>
  <c r="AJ23" i="2539"/>
  <c r="AJ57" i="2539" s="1"/>
  <c r="AI23" i="2539"/>
  <c r="AI57" i="2539" s="1"/>
  <c r="AH23" i="2539"/>
  <c r="AH57" i="2539" s="1"/>
  <c r="AG23" i="2539"/>
  <c r="AG57" i="2539" s="1"/>
  <c r="AF23" i="2539"/>
  <c r="AF57" i="2539" s="1"/>
  <c r="AE23" i="2539"/>
  <c r="AD23" i="2539"/>
  <c r="AC23" i="2539"/>
  <c r="AB23" i="2539"/>
  <c r="Z23" i="2539"/>
  <c r="Z57" i="2539" s="1"/>
  <c r="Y23" i="2539"/>
  <c r="Y57" i="2539" s="1"/>
  <c r="X23" i="2539"/>
  <c r="X57" i="2539" s="1"/>
  <c r="W23" i="2539"/>
  <c r="W57" i="2539" s="1"/>
  <c r="V23" i="2539"/>
  <c r="V57" i="2539" s="1"/>
  <c r="U23" i="2539"/>
  <c r="U57" i="2539" s="1"/>
  <c r="T23" i="2539"/>
  <c r="T57" i="2539" s="1"/>
  <c r="S23" i="2539"/>
  <c r="S57" i="2539" s="1"/>
  <c r="R23" i="2539"/>
  <c r="R57" i="2539" s="1"/>
  <c r="Q23" i="2539"/>
  <c r="Q57" i="2539" s="1"/>
  <c r="P23" i="2539"/>
  <c r="P57" i="2539" s="1"/>
  <c r="O23" i="2539"/>
  <c r="M23" i="2539"/>
  <c r="M57" i="2539" s="1"/>
  <c r="L23" i="2539"/>
  <c r="L57" i="2539" s="1"/>
  <c r="K23" i="2539"/>
  <c r="K57" i="2539" s="1"/>
  <c r="J23" i="2539"/>
  <c r="J57" i="2539" s="1"/>
  <c r="I23" i="2539"/>
  <c r="I57" i="2539" s="1"/>
  <c r="H23" i="2539"/>
  <c r="H57" i="2539" s="1"/>
  <c r="G23" i="2539"/>
  <c r="G57" i="2539" s="1"/>
  <c r="F23" i="2539"/>
  <c r="F57" i="2539" s="1"/>
  <c r="E23" i="2539"/>
  <c r="E57" i="2539" s="1"/>
  <c r="D23" i="2539"/>
  <c r="D57" i="2539" s="1"/>
  <c r="C23" i="2539"/>
  <c r="C57" i="2539" s="1"/>
  <c r="B23" i="2539"/>
  <c r="B57" i="2539" s="1"/>
  <c r="HN21" i="2539"/>
  <c r="HA21" i="2539"/>
  <c r="GN21" i="2539"/>
  <c r="GA21" i="2539"/>
  <c r="FN21" i="2539"/>
  <c r="FA21" i="2539"/>
  <c r="EN21" i="2539"/>
  <c r="EA21" i="2539"/>
  <c r="DN21" i="2539"/>
  <c r="DA21" i="2539"/>
  <c r="CN21" i="2539"/>
  <c r="CA21" i="2539"/>
  <c r="BN21" i="2539"/>
  <c r="BA21" i="2539"/>
  <c r="AN21" i="2539"/>
  <c r="AA21" i="2539"/>
  <c r="N21" i="2539"/>
  <c r="HN20" i="2539"/>
  <c r="GZ20" i="2539"/>
  <c r="GZ54" i="2539" s="1"/>
  <c r="GU20" i="2539"/>
  <c r="GU54" i="2539" s="1"/>
  <c r="GM20" i="2539"/>
  <c r="GA20" i="2539"/>
  <c r="FH20" i="2539"/>
  <c r="FH54" i="2539" s="1"/>
  <c r="FA20" i="2539"/>
  <c r="EL20" i="2539"/>
  <c r="EK20" i="2539"/>
  <c r="EK19" i="2539" s="1"/>
  <c r="EA20" i="2539"/>
  <c r="DN20" i="2539"/>
  <c r="DA20" i="2539"/>
  <c r="CN20" i="2539"/>
  <c r="CA20" i="2539"/>
  <c r="BN20" i="2539"/>
  <c r="BA20" i="2539"/>
  <c r="AN20" i="2539"/>
  <c r="AA20" i="2539"/>
  <c r="N20" i="2539"/>
  <c r="HM19" i="2539"/>
  <c r="HM53" i="2539" s="1"/>
  <c r="HL19" i="2539"/>
  <c r="HL53" i="2539" s="1"/>
  <c r="HK19" i="2539"/>
  <c r="HK53" i="2539" s="1"/>
  <c r="HJ19" i="2539"/>
  <c r="HJ53" i="2539" s="1"/>
  <c r="HI19" i="2539"/>
  <c r="HI53" i="2539" s="1"/>
  <c r="HH19" i="2539"/>
  <c r="HH53" i="2539" s="1"/>
  <c r="HG19" i="2539"/>
  <c r="HG53" i="2539" s="1"/>
  <c r="HF19" i="2539"/>
  <c r="HF53" i="2539" s="1"/>
  <c r="HE19" i="2539"/>
  <c r="HE53" i="2539" s="1"/>
  <c r="HD19" i="2539"/>
  <c r="HD53" i="2539" s="1"/>
  <c r="HC19" i="2539"/>
  <c r="HC53" i="2539" s="1"/>
  <c r="HB19" i="2539"/>
  <c r="HB53" i="2539" s="1"/>
  <c r="GY19" i="2539"/>
  <c r="GY53" i="2539" s="1"/>
  <c r="GX19" i="2539"/>
  <c r="GX53" i="2539" s="1"/>
  <c r="GW19" i="2539"/>
  <c r="GW53" i="2539" s="1"/>
  <c r="GV19" i="2539"/>
  <c r="GV53" i="2539" s="1"/>
  <c r="GT19" i="2539"/>
  <c r="GT53" i="2539" s="1"/>
  <c r="GS19" i="2539"/>
  <c r="GS53" i="2539" s="1"/>
  <c r="GR19" i="2539"/>
  <c r="GR53" i="2539" s="1"/>
  <c r="GQ19" i="2539"/>
  <c r="GQ53" i="2539" s="1"/>
  <c r="GP19" i="2539"/>
  <c r="GO19" i="2539"/>
  <c r="GO53" i="2539" s="1"/>
  <c r="GL19" i="2539"/>
  <c r="GL53" i="2539" s="1"/>
  <c r="GK19" i="2539"/>
  <c r="GK53" i="2539" s="1"/>
  <c r="GJ19" i="2539"/>
  <c r="GI19" i="2539"/>
  <c r="GI53" i="2539" s="1"/>
  <c r="GH19" i="2539"/>
  <c r="GH53" i="2539" s="1"/>
  <c r="GG19" i="2539"/>
  <c r="GG53" i="2539" s="1"/>
  <c r="GF19" i="2539"/>
  <c r="GF53" i="2539" s="1"/>
  <c r="GE19" i="2539"/>
  <c r="GE53" i="2539" s="1"/>
  <c r="GD19" i="2539"/>
  <c r="GD53" i="2539" s="1"/>
  <c r="GC19" i="2539"/>
  <c r="GC53" i="2539" s="1"/>
  <c r="GB19" i="2539"/>
  <c r="GB53" i="2539" s="1"/>
  <c r="FZ19" i="2539"/>
  <c r="FZ53" i="2539" s="1"/>
  <c r="FY19" i="2539"/>
  <c r="FY53" i="2539" s="1"/>
  <c r="FX19" i="2539"/>
  <c r="FX53" i="2539" s="1"/>
  <c r="FW19" i="2539"/>
  <c r="FW53" i="2539" s="1"/>
  <c r="FV19" i="2539"/>
  <c r="FV53" i="2539" s="1"/>
  <c r="FU19" i="2539"/>
  <c r="FU53" i="2539" s="1"/>
  <c r="FT19" i="2539"/>
  <c r="FT53" i="2539" s="1"/>
  <c r="FS19" i="2539"/>
  <c r="FS53" i="2539" s="1"/>
  <c r="FR19" i="2539"/>
  <c r="FR53" i="2539" s="1"/>
  <c r="FQ19" i="2539"/>
  <c r="FQ53" i="2539" s="1"/>
  <c r="FP19" i="2539"/>
  <c r="FP53" i="2539" s="1"/>
  <c r="FO19" i="2539"/>
  <c r="FO53" i="2539" s="1"/>
  <c r="FM19" i="2539"/>
  <c r="FM53" i="2539" s="1"/>
  <c r="FL19" i="2539"/>
  <c r="FL53" i="2539" s="1"/>
  <c r="FK19" i="2539"/>
  <c r="FK53" i="2539" s="1"/>
  <c r="FJ19" i="2539"/>
  <c r="FI19" i="2539"/>
  <c r="FI53" i="2539" s="1"/>
  <c r="FG19" i="2539"/>
  <c r="FG53" i="2539" s="1"/>
  <c r="FF19" i="2539"/>
  <c r="FF53" i="2539" s="1"/>
  <c r="FE19" i="2539"/>
  <c r="FE53" i="2539" s="1"/>
  <c r="FD19" i="2539"/>
  <c r="FD53" i="2539" s="1"/>
  <c r="FC19" i="2539"/>
  <c r="FC53" i="2539" s="1"/>
  <c r="FB19" i="2539"/>
  <c r="FB53" i="2539" s="1"/>
  <c r="EZ19" i="2539"/>
  <c r="EZ53" i="2539" s="1"/>
  <c r="EY19" i="2539"/>
  <c r="EY53" i="2539" s="1"/>
  <c r="EX19" i="2539"/>
  <c r="EW19" i="2539"/>
  <c r="EV19" i="2539"/>
  <c r="EV53" i="2539" s="1"/>
  <c r="EU19" i="2539"/>
  <c r="EU53" i="2539" s="1"/>
  <c r="ET19" i="2539"/>
  <c r="ET53" i="2539" s="1"/>
  <c r="ES19" i="2539"/>
  <c r="ES53" i="2539" s="1"/>
  <c r="ER19" i="2539"/>
  <c r="ER53" i="2539" s="1"/>
  <c r="EQ19" i="2539"/>
  <c r="EQ53" i="2539" s="1"/>
  <c r="EP19" i="2539"/>
  <c r="EP53" i="2539" s="1"/>
  <c r="EO19" i="2539"/>
  <c r="EO53" i="2539" s="1"/>
  <c r="EM19" i="2539"/>
  <c r="EM53" i="2539" s="1"/>
  <c r="EJ19" i="2539"/>
  <c r="EJ53" i="2539" s="1"/>
  <c r="EI19" i="2539"/>
  <c r="EI53" i="2539" s="1"/>
  <c r="EH19" i="2539"/>
  <c r="EH53" i="2539" s="1"/>
  <c r="EG19" i="2539"/>
  <c r="EG53" i="2539" s="1"/>
  <c r="EF19" i="2539"/>
  <c r="EF53" i="2539" s="1"/>
  <c r="EE19" i="2539"/>
  <c r="EE53" i="2539" s="1"/>
  <c r="ED19" i="2539"/>
  <c r="ED53" i="2539" s="1"/>
  <c r="EC19" i="2539"/>
  <c r="EC53" i="2539" s="1"/>
  <c r="EB19" i="2539"/>
  <c r="EB53" i="2539" s="1"/>
  <c r="DZ19" i="2539"/>
  <c r="DY19" i="2539"/>
  <c r="DY53" i="2539" s="1"/>
  <c r="DX19" i="2539"/>
  <c r="DW19" i="2539"/>
  <c r="DW53" i="2539" s="1"/>
  <c r="DV19" i="2539"/>
  <c r="DV53" i="2539" s="1"/>
  <c r="DU19" i="2539"/>
  <c r="DU53" i="2539" s="1"/>
  <c r="DT19" i="2539"/>
  <c r="DT53" i="2539" s="1"/>
  <c r="DS19" i="2539"/>
  <c r="DS53" i="2539" s="1"/>
  <c r="DR19" i="2539"/>
  <c r="DR53" i="2539" s="1"/>
  <c r="DQ19" i="2539"/>
  <c r="DQ53" i="2539" s="1"/>
  <c r="DP19" i="2539"/>
  <c r="DP53" i="2539" s="1"/>
  <c r="DO19" i="2539"/>
  <c r="DO53" i="2539" s="1"/>
  <c r="DM19" i="2539"/>
  <c r="DL19" i="2539"/>
  <c r="DL53" i="2539" s="1"/>
  <c r="DK19" i="2539"/>
  <c r="DK53" i="2539" s="1"/>
  <c r="DJ19" i="2539"/>
  <c r="DJ53" i="2539" s="1"/>
  <c r="DI19" i="2539"/>
  <c r="DI53" i="2539" s="1"/>
  <c r="DH19" i="2539"/>
  <c r="DH53" i="2539" s="1"/>
  <c r="DG19" i="2539"/>
  <c r="DG53" i="2539" s="1"/>
  <c r="DF19" i="2539"/>
  <c r="DF53" i="2539" s="1"/>
  <c r="DE19" i="2539"/>
  <c r="DE53" i="2539" s="1"/>
  <c r="DD19" i="2539"/>
  <c r="DD53" i="2539" s="1"/>
  <c r="DC19" i="2539"/>
  <c r="DC53" i="2539" s="1"/>
  <c r="DB19" i="2539"/>
  <c r="CZ19" i="2539"/>
  <c r="CZ53" i="2539" s="1"/>
  <c r="CY19" i="2539"/>
  <c r="CX19" i="2539"/>
  <c r="CW19" i="2539"/>
  <c r="CW53" i="2539" s="1"/>
  <c r="CV19" i="2539"/>
  <c r="CV53" i="2539" s="1"/>
  <c r="CU19" i="2539"/>
  <c r="CU53" i="2539" s="1"/>
  <c r="CT19" i="2539"/>
  <c r="CT53" i="2539" s="1"/>
  <c r="CS19" i="2539"/>
  <c r="CS53" i="2539" s="1"/>
  <c r="CR19" i="2539"/>
  <c r="CR53" i="2539" s="1"/>
  <c r="CQ19" i="2539"/>
  <c r="CQ53" i="2539" s="1"/>
  <c r="CP19" i="2539"/>
  <c r="CO19" i="2539"/>
  <c r="CO53" i="2539" s="1"/>
  <c r="CM19" i="2539"/>
  <c r="CM53" i="2539" s="1"/>
  <c r="CL19" i="2539"/>
  <c r="CL53" i="2539" s="1"/>
  <c r="CK19" i="2539"/>
  <c r="CK53" i="2539" s="1"/>
  <c r="CJ19" i="2539"/>
  <c r="CJ53" i="2539" s="1"/>
  <c r="CI19" i="2539"/>
  <c r="CI53" i="2539" s="1"/>
  <c r="CH19" i="2539"/>
  <c r="CH53" i="2539" s="1"/>
  <c r="CG19" i="2539"/>
  <c r="CG53" i="2539" s="1"/>
  <c r="CF19" i="2539"/>
  <c r="CF53" i="2539" s="1"/>
  <c r="CE19" i="2539"/>
  <c r="CE53" i="2539" s="1"/>
  <c r="CD19" i="2539"/>
  <c r="CD53" i="2539" s="1"/>
  <c r="CC19" i="2539"/>
  <c r="CC53" i="2539" s="1"/>
  <c r="CB19" i="2539"/>
  <c r="CB53" i="2539" s="1"/>
  <c r="BZ19" i="2539"/>
  <c r="BZ53" i="2539" s="1"/>
  <c r="BY19" i="2539"/>
  <c r="BY53" i="2539" s="1"/>
  <c r="BX19" i="2539"/>
  <c r="BX53" i="2539" s="1"/>
  <c r="BW19" i="2539"/>
  <c r="BW53" i="2539" s="1"/>
  <c r="BV19" i="2539"/>
  <c r="BV53" i="2539" s="1"/>
  <c r="BU19" i="2539"/>
  <c r="BU53" i="2539" s="1"/>
  <c r="BT19" i="2539"/>
  <c r="BT53" i="2539" s="1"/>
  <c r="BS19" i="2539"/>
  <c r="BS53" i="2539" s="1"/>
  <c r="BR19" i="2539"/>
  <c r="BR53" i="2539" s="1"/>
  <c r="BQ19" i="2539"/>
  <c r="BP19" i="2539"/>
  <c r="BP53" i="2539" s="1"/>
  <c r="BO19" i="2539"/>
  <c r="BM19" i="2539"/>
  <c r="BM53" i="2539" s="1"/>
  <c r="BL19" i="2539"/>
  <c r="BL53" i="2539" s="1"/>
  <c r="BK19" i="2539"/>
  <c r="BK53" i="2539" s="1"/>
  <c r="BJ19" i="2539"/>
  <c r="BJ53" i="2539" s="1"/>
  <c r="BI19" i="2539"/>
  <c r="BI53" i="2539" s="1"/>
  <c r="BH19" i="2539"/>
  <c r="BH53" i="2539" s="1"/>
  <c r="BG19" i="2539"/>
  <c r="BG53" i="2539" s="1"/>
  <c r="BF19" i="2539"/>
  <c r="BE19" i="2539"/>
  <c r="BE53" i="2539" s="1"/>
  <c r="BD19" i="2539"/>
  <c r="BD53" i="2539" s="1"/>
  <c r="BC19" i="2539"/>
  <c r="BC53" i="2539" s="1"/>
  <c r="BB19" i="2539"/>
  <c r="BB53" i="2539" s="1"/>
  <c r="AX19" i="2539"/>
  <c r="AX53" i="2539" s="1"/>
  <c r="AW19" i="2539"/>
  <c r="AW53" i="2539" s="1"/>
  <c r="AV19" i="2539"/>
  <c r="AV53" i="2539" s="1"/>
  <c r="AU19" i="2539"/>
  <c r="AU53" i="2539" s="1"/>
  <c r="AT19" i="2539"/>
  <c r="AT53" i="2539" s="1"/>
  <c r="AS19" i="2539"/>
  <c r="AS53" i="2539" s="1"/>
  <c r="AR19" i="2539"/>
  <c r="AR53" i="2539" s="1"/>
  <c r="AQ19" i="2539"/>
  <c r="AQ53" i="2539" s="1"/>
  <c r="AP19" i="2539"/>
  <c r="AP53" i="2539" s="1"/>
  <c r="AO19" i="2539"/>
  <c r="AL19" i="2539"/>
  <c r="AL53" i="2539" s="1"/>
  <c r="AK19" i="2539"/>
  <c r="AK53" i="2539" s="1"/>
  <c r="AJ19" i="2539"/>
  <c r="AJ53" i="2539" s="1"/>
  <c r="AI19" i="2539"/>
  <c r="AI53" i="2539" s="1"/>
  <c r="AH19" i="2539"/>
  <c r="AH53" i="2539" s="1"/>
  <c r="AG19" i="2539"/>
  <c r="AG53" i="2539" s="1"/>
  <c r="AF19" i="2539"/>
  <c r="AF53" i="2539" s="1"/>
  <c r="AE19" i="2539"/>
  <c r="AE53" i="2539" s="1"/>
  <c r="AD19" i="2539"/>
  <c r="AD53" i="2539" s="1"/>
  <c r="AC19" i="2539"/>
  <c r="AC53" i="2539" s="1"/>
  <c r="AB19" i="2539"/>
  <c r="AB53" i="2539" s="1"/>
  <c r="Z19" i="2539"/>
  <c r="Z53" i="2539" s="1"/>
  <c r="Y19" i="2539"/>
  <c r="Y53" i="2539" s="1"/>
  <c r="X19" i="2539"/>
  <c r="X53" i="2539" s="1"/>
  <c r="W19" i="2539"/>
  <c r="W53" i="2539" s="1"/>
  <c r="V19" i="2539"/>
  <c r="V53" i="2539" s="1"/>
  <c r="U19" i="2539"/>
  <c r="U53" i="2539" s="1"/>
  <c r="T19" i="2539"/>
  <c r="T53" i="2539" s="1"/>
  <c r="S19" i="2539"/>
  <c r="S53" i="2539" s="1"/>
  <c r="R19" i="2539"/>
  <c r="R53" i="2539" s="1"/>
  <c r="Q19" i="2539"/>
  <c r="Q53" i="2539" s="1"/>
  <c r="P19" i="2539"/>
  <c r="P53" i="2539" s="1"/>
  <c r="O19" i="2539"/>
  <c r="O53" i="2539" s="1"/>
  <c r="M19" i="2539"/>
  <c r="M53" i="2539" s="1"/>
  <c r="L19" i="2539"/>
  <c r="L53" i="2539" s="1"/>
  <c r="K19" i="2539"/>
  <c r="J19" i="2539"/>
  <c r="J53" i="2539" s="1"/>
  <c r="I19" i="2539"/>
  <c r="I53" i="2539" s="1"/>
  <c r="H19" i="2539"/>
  <c r="H53" i="2539" s="1"/>
  <c r="G19" i="2539"/>
  <c r="G53" i="2539" s="1"/>
  <c r="F19" i="2539"/>
  <c r="F53" i="2539" s="1"/>
  <c r="E19" i="2539"/>
  <c r="E53" i="2539" s="1"/>
  <c r="D19" i="2539"/>
  <c r="D53" i="2539" s="1"/>
  <c r="C19" i="2539"/>
  <c r="C53" i="2539" s="1"/>
  <c r="B19" i="2539"/>
  <c r="B53" i="2539" s="1"/>
  <c r="HN18" i="2539"/>
  <c r="HA18" i="2539"/>
  <c r="GN18" i="2539"/>
  <c r="GA18" i="2539"/>
  <c r="FN18" i="2539"/>
  <c r="FA18" i="2539"/>
  <c r="EN18" i="2539"/>
  <c r="EA18" i="2539"/>
  <c r="DN18" i="2539"/>
  <c r="DA18" i="2539"/>
  <c r="CN18" i="2539"/>
  <c r="CA18" i="2539"/>
  <c r="BN18" i="2539"/>
  <c r="BA18" i="2539"/>
  <c r="AN18" i="2539"/>
  <c r="AA18" i="2539"/>
  <c r="N18" i="2539"/>
  <c r="HN17" i="2539"/>
  <c r="HA17" i="2539"/>
  <c r="GN17" i="2539"/>
  <c r="GA17" i="2539"/>
  <c r="FN17" i="2539"/>
  <c r="FA17" i="2539"/>
  <c r="EN17" i="2539"/>
  <c r="EA17" i="2539"/>
  <c r="DN17" i="2539"/>
  <c r="DA17" i="2539"/>
  <c r="CN17" i="2539"/>
  <c r="CA17" i="2539"/>
  <c r="BN17" i="2539"/>
  <c r="BA17" i="2539"/>
  <c r="AN17" i="2539"/>
  <c r="N17" i="2539"/>
  <c r="HN16" i="2539"/>
  <c r="HA16" i="2539"/>
  <c r="GN16" i="2539"/>
  <c r="GA16" i="2539"/>
  <c r="FN16" i="2539"/>
  <c r="FA16" i="2539"/>
  <c r="EN16" i="2539"/>
  <c r="EA16" i="2539"/>
  <c r="DN16" i="2539"/>
  <c r="DA16" i="2539"/>
  <c r="CN16" i="2539"/>
  <c r="CA16" i="2539"/>
  <c r="BN16" i="2539"/>
  <c r="BA16" i="2539"/>
  <c r="AN16" i="2539"/>
  <c r="AA16" i="2539"/>
  <c r="N16" i="2539"/>
  <c r="HN15" i="2539"/>
  <c r="HA15" i="2539"/>
  <c r="GN15" i="2539"/>
  <c r="GA15" i="2539"/>
  <c r="FN15" i="2539"/>
  <c r="FA15" i="2539"/>
  <c r="EN15" i="2539"/>
  <c r="EA15" i="2539"/>
  <c r="DN15" i="2539"/>
  <c r="DA15" i="2539"/>
  <c r="CN15" i="2539"/>
  <c r="CA15" i="2539"/>
  <c r="BN15" i="2539"/>
  <c r="BA15" i="2539"/>
  <c r="AN15" i="2539"/>
  <c r="AA15" i="2539"/>
  <c r="N15" i="2539"/>
  <c r="HM14" i="2539"/>
  <c r="HL14" i="2539"/>
  <c r="HK14" i="2539"/>
  <c r="HJ14" i="2539"/>
  <c r="HI14" i="2539"/>
  <c r="HI48" i="2539" s="1"/>
  <c r="HH14" i="2539"/>
  <c r="HH48" i="2539" s="1"/>
  <c r="HG14" i="2539"/>
  <c r="HG48" i="2539" s="1"/>
  <c r="HF14" i="2539"/>
  <c r="HF48" i="2539" s="1"/>
  <c r="HE14" i="2539"/>
  <c r="HE48" i="2539" s="1"/>
  <c r="HD14" i="2539"/>
  <c r="HD48" i="2539" s="1"/>
  <c r="HC14" i="2539"/>
  <c r="HC48" i="2539" s="1"/>
  <c r="HB14" i="2539"/>
  <c r="HB48" i="2539" s="1"/>
  <c r="GZ14" i="2539"/>
  <c r="GY14" i="2539"/>
  <c r="GX14" i="2539"/>
  <c r="GW14" i="2539"/>
  <c r="GW48" i="2539" s="1"/>
  <c r="GV14" i="2539"/>
  <c r="GV48" i="2539" s="1"/>
  <c r="GU14" i="2539"/>
  <c r="GU48" i="2539" s="1"/>
  <c r="GT14" i="2539"/>
  <c r="GT48" i="2539" s="1"/>
  <c r="GS14" i="2539"/>
  <c r="GS48" i="2539" s="1"/>
  <c r="GR14" i="2539"/>
  <c r="GR48" i="2539" s="1"/>
  <c r="GQ14" i="2539"/>
  <c r="GQ48" i="2539" s="1"/>
  <c r="GP14" i="2539"/>
  <c r="GP48" i="2539" s="1"/>
  <c r="GO14" i="2539"/>
  <c r="GM14" i="2539"/>
  <c r="GM48" i="2539" s="1"/>
  <c r="GL14" i="2539"/>
  <c r="GK14" i="2539"/>
  <c r="GK48" i="2539" s="1"/>
  <c r="GJ14" i="2539"/>
  <c r="GJ48" i="2539" s="1"/>
  <c r="GI14" i="2539"/>
  <c r="GI48" i="2539" s="1"/>
  <c r="GH14" i="2539"/>
  <c r="GH48" i="2539" s="1"/>
  <c r="GG14" i="2539"/>
  <c r="GG48" i="2539" s="1"/>
  <c r="GF14" i="2539"/>
  <c r="GF48" i="2539" s="1"/>
  <c r="GE14" i="2539"/>
  <c r="GE48" i="2539" s="1"/>
  <c r="GD14" i="2539"/>
  <c r="GD48" i="2539" s="1"/>
  <c r="GC14" i="2539"/>
  <c r="GB14" i="2539"/>
  <c r="FZ14" i="2539"/>
  <c r="FY14" i="2539"/>
  <c r="FY48" i="2539" s="1"/>
  <c r="FX14" i="2539"/>
  <c r="FW14" i="2539"/>
  <c r="FW48" i="2539" s="1"/>
  <c r="FV14" i="2539"/>
  <c r="FV48" i="2539" s="1"/>
  <c r="FU14" i="2539"/>
  <c r="FU48" i="2539" s="1"/>
  <c r="FT14" i="2539"/>
  <c r="FT48" i="2539" s="1"/>
  <c r="FS14" i="2539"/>
  <c r="FS48" i="2539" s="1"/>
  <c r="FR14" i="2539"/>
  <c r="FR48" i="2539" s="1"/>
  <c r="FQ14" i="2539"/>
  <c r="FP14" i="2539"/>
  <c r="FO14" i="2539"/>
  <c r="FM14" i="2539"/>
  <c r="FM48" i="2539" s="1"/>
  <c r="FL14" i="2539"/>
  <c r="FL48" i="2539" s="1"/>
  <c r="FK14" i="2539"/>
  <c r="FK48" i="2539" s="1"/>
  <c r="FJ14" i="2539"/>
  <c r="FJ48" i="2539" s="1"/>
  <c r="FI14" i="2539"/>
  <c r="FI48" i="2539" s="1"/>
  <c r="FH14" i="2539"/>
  <c r="FH48" i="2539" s="1"/>
  <c r="FG14" i="2539"/>
  <c r="FG48" i="2539" s="1"/>
  <c r="FF14" i="2539"/>
  <c r="FF48" i="2539" s="1"/>
  <c r="FE14" i="2539"/>
  <c r="FD14" i="2539"/>
  <c r="FC14" i="2539"/>
  <c r="FB14" i="2539"/>
  <c r="EZ14" i="2539"/>
  <c r="EZ48" i="2539" s="1"/>
  <c r="EY14" i="2539"/>
  <c r="EY48" i="2539" s="1"/>
  <c r="EX14" i="2539"/>
  <c r="EX48" i="2539" s="1"/>
  <c r="EW14" i="2539"/>
  <c r="EW48" i="2539" s="1"/>
  <c r="EV14" i="2539"/>
  <c r="EV48" i="2539" s="1"/>
  <c r="EU14" i="2539"/>
  <c r="EU48" i="2539" s="1"/>
  <c r="ET14" i="2539"/>
  <c r="ET48" i="2539" s="1"/>
  <c r="ES14" i="2539"/>
  <c r="ER14" i="2539"/>
  <c r="EQ14" i="2539"/>
  <c r="EP14" i="2539"/>
  <c r="EO14" i="2539"/>
  <c r="EO48" i="2539" s="1"/>
  <c r="EM14" i="2539"/>
  <c r="EM48" i="2539" s="1"/>
  <c r="EL14" i="2539"/>
  <c r="EL48" i="2539" s="1"/>
  <c r="EK14" i="2539"/>
  <c r="EK48" i="2539" s="1"/>
  <c r="EJ14" i="2539"/>
  <c r="EJ48" i="2539" s="1"/>
  <c r="EI14" i="2539"/>
  <c r="EI48" i="2539" s="1"/>
  <c r="EH14" i="2539"/>
  <c r="EH48" i="2539" s="1"/>
  <c r="EG14" i="2539"/>
  <c r="EF14" i="2539"/>
  <c r="EE14" i="2539"/>
  <c r="ED14" i="2539"/>
  <c r="EC14" i="2539"/>
  <c r="EC48" i="2539" s="1"/>
  <c r="EB14" i="2539"/>
  <c r="EB48" i="2539" s="1"/>
  <c r="DZ14" i="2539"/>
  <c r="DZ48" i="2539" s="1"/>
  <c r="DY14" i="2539"/>
  <c r="DY48" i="2539" s="1"/>
  <c r="DX14" i="2539"/>
  <c r="DX48" i="2539" s="1"/>
  <c r="DW14" i="2539"/>
  <c r="DW48" i="2539" s="1"/>
  <c r="DV14" i="2539"/>
  <c r="DV48" i="2539" s="1"/>
  <c r="DU14" i="2539"/>
  <c r="DT14" i="2539"/>
  <c r="DS14" i="2539"/>
  <c r="DR14" i="2539"/>
  <c r="DQ14" i="2539"/>
  <c r="DQ48" i="2539" s="1"/>
  <c r="DP14" i="2539"/>
  <c r="DO14" i="2539"/>
  <c r="DO48" i="2539" s="1"/>
  <c r="DM14" i="2539"/>
  <c r="DM48" i="2539" s="1"/>
  <c r="DL14" i="2539"/>
  <c r="DL48" i="2539" s="1"/>
  <c r="DK14" i="2539"/>
  <c r="DK48" i="2539" s="1"/>
  <c r="DJ14" i="2539"/>
  <c r="DJ48" i="2539" s="1"/>
  <c r="DI14" i="2539"/>
  <c r="DH14" i="2539"/>
  <c r="DH48" i="2539" s="1"/>
  <c r="DG14" i="2539"/>
  <c r="DF14" i="2539"/>
  <c r="DE14" i="2539"/>
  <c r="DE48" i="2539" s="1"/>
  <c r="DD14" i="2539"/>
  <c r="DC14" i="2539"/>
  <c r="DC48" i="2539" s="1"/>
  <c r="DB14" i="2539"/>
  <c r="DB48" i="2539" s="1"/>
  <c r="CZ14" i="2539"/>
  <c r="CZ48" i="2539" s="1"/>
  <c r="CY14" i="2539"/>
  <c r="CY48" i="2539" s="1"/>
  <c r="CX14" i="2539"/>
  <c r="CX48" i="2539" s="1"/>
  <c r="CW14" i="2539"/>
  <c r="CV14" i="2539"/>
  <c r="CU14" i="2539"/>
  <c r="CT14" i="2539"/>
  <c r="CT48" i="2539" s="1"/>
  <c r="CS14" i="2539"/>
  <c r="CS48" i="2539" s="1"/>
  <c r="CR14" i="2539"/>
  <c r="CR48" i="2539" s="1"/>
  <c r="CQ14" i="2539"/>
  <c r="CP14" i="2539"/>
  <c r="CP48" i="2539" s="1"/>
  <c r="CO14" i="2539"/>
  <c r="CM14" i="2539"/>
  <c r="CM48" i="2539" s="1"/>
  <c r="CL14" i="2539"/>
  <c r="CL48" i="2539" s="1"/>
  <c r="CK14" i="2539"/>
  <c r="CJ14" i="2539"/>
  <c r="CI14" i="2539"/>
  <c r="CH14" i="2539"/>
  <c r="CG14" i="2539"/>
  <c r="CG48" i="2539" s="1"/>
  <c r="CF14" i="2539"/>
  <c r="CF48" i="2539" s="1"/>
  <c r="CE14" i="2539"/>
  <c r="CE48" i="2539" s="1"/>
  <c r="CD14" i="2539"/>
  <c r="CC14" i="2539"/>
  <c r="CC48" i="2539" s="1"/>
  <c r="CB14" i="2539"/>
  <c r="CB48" i="2539" s="1"/>
  <c r="BZ14" i="2539"/>
  <c r="BZ48" i="2539" s="1"/>
  <c r="BY14" i="2539"/>
  <c r="BX14" i="2539"/>
  <c r="BW14" i="2539"/>
  <c r="BV14" i="2539"/>
  <c r="BU14" i="2539"/>
  <c r="BT14" i="2539"/>
  <c r="BT48" i="2539" s="1"/>
  <c r="BS14" i="2539"/>
  <c r="BS48" i="2539" s="1"/>
  <c r="BR14" i="2539"/>
  <c r="BQ14" i="2539"/>
  <c r="BQ48" i="2539" s="1"/>
  <c r="BP14" i="2539"/>
  <c r="BP48" i="2539" s="1"/>
  <c r="BO14" i="2539"/>
  <c r="BO48" i="2539" s="1"/>
  <c r="BM14" i="2539"/>
  <c r="BL14" i="2539"/>
  <c r="BK14" i="2539"/>
  <c r="BJ14" i="2539"/>
  <c r="BI14" i="2539"/>
  <c r="BI48" i="2539" s="1"/>
  <c r="BH14" i="2539"/>
  <c r="BH48" i="2539" s="1"/>
  <c r="BG14" i="2539"/>
  <c r="BG48" i="2539" s="1"/>
  <c r="BF14" i="2539"/>
  <c r="BF48" i="2539" s="1"/>
  <c r="BE14" i="2539"/>
  <c r="BE48" i="2539" s="1"/>
  <c r="BD14" i="2539"/>
  <c r="BD48" i="2539" s="1"/>
  <c r="BC14" i="2539"/>
  <c r="BC48" i="2539" s="1"/>
  <c r="BB14" i="2539"/>
  <c r="BB48" i="2539" s="1"/>
  <c r="AZ14" i="2539"/>
  <c r="AY14" i="2539"/>
  <c r="AX14" i="2539"/>
  <c r="AW14" i="2539"/>
  <c r="AV14" i="2539"/>
  <c r="AV48" i="2539" s="1"/>
  <c r="AU14" i="2539"/>
  <c r="AU48" i="2539" s="1"/>
  <c r="AT14" i="2539"/>
  <c r="AT48" i="2539" s="1"/>
  <c r="AS14" i="2539"/>
  <c r="AS48" i="2539" s="1"/>
  <c r="AR14" i="2539"/>
  <c r="AQ14" i="2539"/>
  <c r="AQ48" i="2539" s="1"/>
  <c r="AP14" i="2539"/>
  <c r="AP48" i="2539" s="1"/>
  <c r="AO14" i="2539"/>
  <c r="AM14" i="2539"/>
  <c r="AL14" i="2539"/>
  <c r="AK14" i="2539"/>
  <c r="AJ14" i="2539"/>
  <c r="AI14" i="2539"/>
  <c r="AI48" i="2539" s="1"/>
  <c r="AH14" i="2539"/>
  <c r="AH48" i="2539" s="1"/>
  <c r="AG14" i="2539"/>
  <c r="AG48" i="2539" s="1"/>
  <c r="AF14" i="2539"/>
  <c r="AF48" i="2539" s="1"/>
  <c r="AE14" i="2539"/>
  <c r="AE48" i="2539" s="1"/>
  <c r="AD14" i="2539"/>
  <c r="AD48" i="2539" s="1"/>
  <c r="AC14" i="2539"/>
  <c r="AB14" i="2539"/>
  <c r="Z14" i="2539"/>
  <c r="Y14" i="2539"/>
  <c r="Y48" i="2539" s="1"/>
  <c r="X14" i="2539"/>
  <c r="X48" i="2539" s="1"/>
  <c r="W14" i="2539"/>
  <c r="W48" i="2539" s="1"/>
  <c r="V14" i="2539"/>
  <c r="V48" i="2539" s="1"/>
  <c r="U14" i="2539"/>
  <c r="U48" i="2539" s="1"/>
  <c r="T14" i="2539"/>
  <c r="T48" i="2539" s="1"/>
  <c r="S14" i="2539"/>
  <c r="S48" i="2539" s="1"/>
  <c r="R14" i="2539"/>
  <c r="R48" i="2539" s="1"/>
  <c r="Q14" i="2539"/>
  <c r="P14" i="2539"/>
  <c r="O14" i="2539"/>
  <c r="M14" i="2539"/>
  <c r="M48" i="2539" s="1"/>
  <c r="L14" i="2539"/>
  <c r="L48" i="2539" s="1"/>
  <c r="K14" i="2539"/>
  <c r="K48" i="2539" s="1"/>
  <c r="J14" i="2539"/>
  <c r="J48" i="2539" s="1"/>
  <c r="I14" i="2539"/>
  <c r="I48" i="2539" s="1"/>
  <c r="H14" i="2539"/>
  <c r="H48" i="2539" s="1"/>
  <c r="G14" i="2539"/>
  <c r="G48" i="2539" s="1"/>
  <c r="F14" i="2539"/>
  <c r="F48" i="2539" s="1"/>
  <c r="E14" i="2539"/>
  <c r="D14" i="2539"/>
  <c r="C14" i="2539"/>
  <c r="B14" i="2539"/>
  <c r="HN13" i="2539"/>
  <c r="HA13" i="2539"/>
  <c r="GN13" i="2539"/>
  <c r="GA13" i="2539"/>
  <c r="FN13" i="2539"/>
  <c r="FA13" i="2539"/>
  <c r="EN13" i="2539"/>
  <c r="EN78" i="2539" s="1"/>
  <c r="EA13" i="2539"/>
  <c r="EA78" i="2539" s="1"/>
  <c r="DN13" i="2539"/>
  <c r="DN78" i="2539" s="1"/>
  <c r="DA13" i="2539"/>
  <c r="DA78" i="2539" s="1"/>
  <c r="CN13" i="2539"/>
  <c r="CN78" i="2539" s="1"/>
  <c r="CA13" i="2539"/>
  <c r="CA78" i="2539" s="1"/>
  <c r="BN13" i="2539"/>
  <c r="BA13" i="2539"/>
  <c r="AN13" i="2539"/>
  <c r="AA13" i="2539"/>
  <c r="N13" i="2539"/>
  <c r="HN12" i="2539"/>
  <c r="HA12" i="2539"/>
  <c r="GN12" i="2539"/>
  <c r="GA12" i="2539"/>
  <c r="FN12" i="2539"/>
  <c r="FA12" i="2539"/>
  <c r="HN11" i="2539"/>
  <c r="HA11" i="2539"/>
  <c r="GN11" i="2539"/>
  <c r="GA11" i="2539"/>
  <c r="FN11" i="2539"/>
  <c r="FA11" i="2539"/>
  <c r="EN11" i="2539"/>
  <c r="EA11" i="2539"/>
  <c r="DN11" i="2539"/>
  <c r="DA11" i="2539"/>
  <c r="CN11" i="2539"/>
  <c r="CA11" i="2539"/>
  <c r="BN11" i="2539"/>
  <c r="BA11" i="2539"/>
  <c r="AN11" i="2539"/>
  <c r="AA11" i="2539"/>
  <c r="N11" i="2539"/>
  <c r="HN10" i="2539"/>
  <c r="HA10" i="2539"/>
  <c r="GN10" i="2539"/>
  <c r="GA10" i="2539"/>
  <c r="FN10" i="2539"/>
  <c r="FA10" i="2539"/>
  <c r="EN10" i="2539"/>
  <c r="EN77" i="2539" s="1"/>
  <c r="EA10" i="2539"/>
  <c r="EA77" i="2539" s="1"/>
  <c r="DN10" i="2539"/>
  <c r="DN77" i="2539" s="1"/>
  <c r="DA10" i="2539"/>
  <c r="DA77" i="2539" s="1"/>
  <c r="CN10" i="2539"/>
  <c r="CN77" i="2539" s="1"/>
  <c r="CA10" i="2539"/>
  <c r="CA77" i="2539" s="1"/>
  <c r="BN10" i="2539"/>
  <c r="BA10" i="2539"/>
  <c r="AN10" i="2539"/>
  <c r="AA10" i="2539"/>
  <c r="N10" i="2539"/>
  <c r="HN9" i="2539"/>
  <c r="HA9" i="2539"/>
  <c r="GN9" i="2539"/>
  <c r="GA9" i="2539"/>
  <c r="FN9" i="2539"/>
  <c r="FA9" i="2539"/>
  <c r="EN9" i="2539"/>
  <c r="EA9" i="2539"/>
  <c r="DN9" i="2539"/>
  <c r="DA9" i="2539"/>
  <c r="CN9" i="2539"/>
  <c r="CA9" i="2539"/>
  <c r="BN9" i="2539"/>
  <c r="BA9" i="2539"/>
  <c r="AN9" i="2539"/>
  <c r="AA9" i="2539"/>
  <c r="N9" i="2539"/>
  <c r="HM8" i="2539"/>
  <c r="HM42" i="2539" s="1"/>
  <c r="HL8" i="2539"/>
  <c r="HL42" i="2539" s="1"/>
  <c r="HK8" i="2539"/>
  <c r="HK42" i="2539" s="1"/>
  <c r="HJ8" i="2539"/>
  <c r="HJ42" i="2539" s="1"/>
  <c r="HI8" i="2539"/>
  <c r="HI42" i="2539" s="1"/>
  <c r="HH8" i="2539"/>
  <c r="HG8" i="2539"/>
  <c r="HF8" i="2539"/>
  <c r="HE8" i="2539"/>
  <c r="HD8" i="2539"/>
  <c r="HC8" i="2539"/>
  <c r="HC42" i="2539" s="1"/>
  <c r="HB8" i="2539"/>
  <c r="HB42" i="2539" s="1"/>
  <c r="GZ8" i="2539"/>
  <c r="GZ42" i="2539" s="1"/>
  <c r="GY8" i="2539"/>
  <c r="GY42" i="2539" s="1"/>
  <c r="GX8" i="2539"/>
  <c r="GX42" i="2539" s="1"/>
  <c r="GW8" i="2539"/>
  <c r="GW42" i="2539" s="1"/>
  <c r="GV8" i="2539"/>
  <c r="GV42" i="2539" s="1"/>
  <c r="GU8" i="2539"/>
  <c r="GT8" i="2539"/>
  <c r="GS8" i="2539"/>
  <c r="GR8" i="2539"/>
  <c r="GR42" i="2539" s="1"/>
  <c r="GQ8" i="2539"/>
  <c r="GP8" i="2539"/>
  <c r="GP42" i="2539" s="1"/>
  <c r="GO8" i="2539"/>
  <c r="GM8" i="2539"/>
  <c r="GM42" i="2539" s="1"/>
  <c r="GL8" i="2539"/>
  <c r="GL42" i="2539" s="1"/>
  <c r="GK8" i="2539"/>
  <c r="GK42" i="2539" s="1"/>
  <c r="GJ8" i="2539"/>
  <c r="GJ42" i="2539" s="1"/>
  <c r="GI8" i="2539"/>
  <c r="GI42" i="2539" s="1"/>
  <c r="GH8" i="2539"/>
  <c r="GG8" i="2539"/>
  <c r="GF8" i="2539"/>
  <c r="GE8" i="2539"/>
  <c r="GD8" i="2539"/>
  <c r="GC8" i="2539"/>
  <c r="GC42" i="2539" s="1"/>
  <c r="GB8" i="2539"/>
  <c r="FZ8" i="2539"/>
  <c r="FZ42" i="2539" s="1"/>
  <c r="FY8" i="2539"/>
  <c r="FX8" i="2539"/>
  <c r="FX42" i="2539" s="1"/>
  <c r="FW8" i="2539"/>
  <c r="FW42" i="2539" s="1"/>
  <c r="FV8" i="2539"/>
  <c r="FV42" i="2539" s="1"/>
  <c r="FU8" i="2539"/>
  <c r="FT8" i="2539"/>
  <c r="FS8" i="2539"/>
  <c r="FS42" i="2539" s="1"/>
  <c r="FR8" i="2539"/>
  <c r="FR42" i="2539" s="1"/>
  <c r="FQ8" i="2539"/>
  <c r="FQ42" i="2539" s="1"/>
  <c r="FP8" i="2539"/>
  <c r="FP42" i="2539" s="1"/>
  <c r="FO8" i="2539"/>
  <c r="FM8" i="2539"/>
  <c r="FM42" i="2539" s="1"/>
  <c r="FL8" i="2539"/>
  <c r="FL42" i="2539" s="1"/>
  <c r="FK8" i="2539"/>
  <c r="FK42" i="2539" s="1"/>
  <c r="FJ8" i="2539"/>
  <c r="FJ42" i="2539" s="1"/>
  <c r="FI8" i="2539"/>
  <c r="FI42" i="2539" s="1"/>
  <c r="FH8" i="2539"/>
  <c r="FH42" i="2539" s="1"/>
  <c r="FG8" i="2539"/>
  <c r="FF8" i="2539"/>
  <c r="FE8" i="2539"/>
  <c r="FE42" i="2539" s="1"/>
  <c r="FD8" i="2539"/>
  <c r="FD42" i="2539" s="1"/>
  <c r="FC8" i="2539"/>
  <c r="FC42" i="2539" s="1"/>
  <c r="FB8" i="2539"/>
  <c r="EZ8" i="2539"/>
  <c r="EZ42" i="2539" s="1"/>
  <c r="EY8" i="2539"/>
  <c r="EY42" i="2539" s="1"/>
  <c r="EX8" i="2539"/>
  <c r="EX42" i="2539" s="1"/>
  <c r="EW8" i="2539"/>
  <c r="EW42" i="2539" s="1"/>
  <c r="EV8" i="2539"/>
  <c r="EU8" i="2539"/>
  <c r="ET8" i="2539"/>
  <c r="ES8" i="2539"/>
  <c r="ES42" i="2539" s="1"/>
  <c r="ER8" i="2539"/>
  <c r="ER42" i="2539" s="1"/>
  <c r="EQ8" i="2539"/>
  <c r="EQ42" i="2539" s="1"/>
  <c r="EP8" i="2539"/>
  <c r="EP42" i="2539" s="1"/>
  <c r="EO8" i="2539"/>
  <c r="EO42" i="2539" s="1"/>
  <c r="EM8" i="2539"/>
  <c r="EM42" i="2539" s="1"/>
  <c r="EL8" i="2539"/>
  <c r="EL42" i="2539" s="1"/>
  <c r="EK8" i="2539"/>
  <c r="EK42" i="2539" s="1"/>
  <c r="EJ8" i="2539"/>
  <c r="EI8" i="2539"/>
  <c r="EI42" i="2539" s="1"/>
  <c r="EH8" i="2539"/>
  <c r="EH42" i="2539" s="1"/>
  <c r="EG8" i="2539"/>
  <c r="EG42" i="2539" s="1"/>
  <c r="EF8" i="2539"/>
  <c r="EF42" i="2539" s="1"/>
  <c r="EE8" i="2539"/>
  <c r="EE42" i="2539" s="1"/>
  <c r="ED8" i="2539"/>
  <c r="ED42" i="2539" s="1"/>
  <c r="EC8" i="2539"/>
  <c r="EC42" i="2539" s="1"/>
  <c r="EB8" i="2539"/>
  <c r="EB42" i="2539" s="1"/>
  <c r="DZ8" i="2539"/>
  <c r="DZ42" i="2539" s="1"/>
  <c r="DY8" i="2539"/>
  <c r="DY42" i="2539" s="1"/>
  <c r="DX8" i="2539"/>
  <c r="DX42" i="2539" s="1"/>
  <c r="DW8" i="2539"/>
  <c r="DV8" i="2539"/>
  <c r="DU8" i="2539"/>
  <c r="DU42" i="2539" s="1"/>
  <c r="DT8" i="2539"/>
  <c r="DT42" i="2539" s="1"/>
  <c r="DS8" i="2539"/>
  <c r="DS42" i="2539" s="1"/>
  <c r="DR8" i="2539"/>
  <c r="DR42" i="2539" s="1"/>
  <c r="DQ8" i="2539"/>
  <c r="DQ42" i="2539" s="1"/>
  <c r="DP8" i="2539"/>
  <c r="DP42" i="2539" s="1"/>
  <c r="DO8" i="2539"/>
  <c r="DO42" i="2539" s="1"/>
  <c r="DM8" i="2539"/>
  <c r="DM42" i="2539" s="1"/>
  <c r="DL8" i="2539"/>
  <c r="DL42" i="2539" s="1"/>
  <c r="DK8" i="2539"/>
  <c r="DJ8" i="2539"/>
  <c r="DI8" i="2539"/>
  <c r="DI42" i="2539" s="1"/>
  <c r="DH8" i="2539"/>
  <c r="DH42" i="2539" s="1"/>
  <c r="DG8" i="2539"/>
  <c r="DG42" i="2539" s="1"/>
  <c r="DF8" i="2539"/>
  <c r="DF42" i="2539" s="1"/>
  <c r="DE8" i="2539"/>
  <c r="DE42" i="2539" s="1"/>
  <c r="DD8" i="2539"/>
  <c r="DD42" i="2539" s="1"/>
  <c r="DC8" i="2539"/>
  <c r="DC42" i="2539" s="1"/>
  <c r="DB8" i="2539"/>
  <c r="DB42" i="2539" s="1"/>
  <c r="CZ8" i="2539"/>
  <c r="CZ42" i="2539" s="1"/>
  <c r="CY8" i="2539"/>
  <c r="CY42" i="2539" s="1"/>
  <c r="CX8" i="2539"/>
  <c r="CX42" i="2539" s="1"/>
  <c r="CW8" i="2539"/>
  <c r="CW42" i="2539" s="1"/>
  <c r="CV8" i="2539"/>
  <c r="CV42" i="2539" s="1"/>
  <c r="CU8" i="2539"/>
  <c r="CU42" i="2539" s="1"/>
  <c r="CT8" i="2539"/>
  <c r="CT42" i="2539" s="1"/>
  <c r="CS8" i="2539"/>
  <c r="CR8" i="2539"/>
  <c r="CR42" i="2539" s="1"/>
  <c r="CQ8" i="2539"/>
  <c r="CQ42" i="2539" s="1"/>
  <c r="CP8" i="2539"/>
  <c r="CP42" i="2539" s="1"/>
  <c r="CO8" i="2539"/>
  <c r="CO42" i="2539" s="1"/>
  <c r="CM8" i="2539"/>
  <c r="CM42" i="2539" s="1"/>
  <c r="CL8" i="2539"/>
  <c r="CK8" i="2539"/>
  <c r="CK42" i="2539" s="1"/>
  <c r="CJ8" i="2539"/>
  <c r="CJ42" i="2539" s="1"/>
  <c r="CI8" i="2539"/>
  <c r="CI42" i="2539" s="1"/>
  <c r="CH8" i="2539"/>
  <c r="CH42" i="2539" s="1"/>
  <c r="CG8" i="2539"/>
  <c r="CG42" i="2539" s="1"/>
  <c r="CF8" i="2539"/>
  <c r="CE8" i="2539"/>
  <c r="CE42" i="2539" s="1"/>
  <c r="CD8" i="2539"/>
  <c r="CD42" i="2539" s="1"/>
  <c r="CC8" i="2539"/>
  <c r="CC42" i="2539" s="1"/>
  <c r="CB8" i="2539"/>
  <c r="CB42" i="2539" s="1"/>
  <c r="BZ8" i="2539"/>
  <c r="BY8" i="2539"/>
  <c r="BY42" i="2539" s="1"/>
  <c r="BX8" i="2539"/>
  <c r="BX42" i="2539" s="1"/>
  <c r="BW8" i="2539"/>
  <c r="BW42" i="2539" s="1"/>
  <c r="BV8" i="2539"/>
  <c r="BV42" i="2539" s="1"/>
  <c r="BU8" i="2539"/>
  <c r="BU42" i="2539" s="1"/>
  <c r="BT8" i="2539"/>
  <c r="BT42" i="2539" s="1"/>
  <c r="BS8" i="2539"/>
  <c r="BS42" i="2539" s="1"/>
  <c r="BR8" i="2539"/>
  <c r="BR42" i="2539" s="1"/>
  <c r="BQ8" i="2539"/>
  <c r="BQ42" i="2539" s="1"/>
  <c r="BP8" i="2539"/>
  <c r="BP42" i="2539" s="1"/>
  <c r="BO8" i="2539"/>
  <c r="BO42" i="2539" s="1"/>
  <c r="BM8" i="2539"/>
  <c r="BM42" i="2539" s="1"/>
  <c r="BL8" i="2539"/>
  <c r="BL42" i="2539" s="1"/>
  <c r="BK8" i="2539"/>
  <c r="BK42" i="2539" s="1"/>
  <c r="BJ8" i="2539"/>
  <c r="BJ42" i="2539" s="1"/>
  <c r="BI8" i="2539"/>
  <c r="BI42" i="2539" s="1"/>
  <c r="BH8" i="2539"/>
  <c r="BG8" i="2539"/>
  <c r="BG42" i="2539" s="1"/>
  <c r="BF8" i="2539"/>
  <c r="BF42" i="2539" s="1"/>
  <c r="BE8" i="2539"/>
  <c r="BE42" i="2539" s="1"/>
  <c r="BD8" i="2539"/>
  <c r="BD42" i="2539" s="1"/>
  <c r="BC8" i="2539"/>
  <c r="BC42" i="2539" s="1"/>
  <c r="BB8" i="2539"/>
  <c r="AZ8" i="2539"/>
  <c r="AZ42" i="2539" s="1"/>
  <c r="AY8" i="2539"/>
  <c r="AY42" i="2539" s="1"/>
  <c r="AX8" i="2539"/>
  <c r="AX42" i="2539" s="1"/>
  <c r="AW8" i="2539"/>
  <c r="AW42" i="2539" s="1"/>
  <c r="AV8" i="2539"/>
  <c r="AV42" i="2539" s="1"/>
  <c r="AU8" i="2539"/>
  <c r="AT8" i="2539"/>
  <c r="AT42" i="2539" s="1"/>
  <c r="AS8" i="2539"/>
  <c r="AR8" i="2539"/>
  <c r="AR42" i="2539" s="1"/>
  <c r="AQ8" i="2539"/>
  <c r="AP8" i="2539"/>
  <c r="AO8" i="2539"/>
  <c r="AM8" i="2539"/>
  <c r="AM42" i="2539" s="1"/>
  <c r="AL8" i="2539"/>
  <c r="AL42" i="2539" s="1"/>
  <c r="AK8" i="2539"/>
  <c r="AK42" i="2539" s="1"/>
  <c r="AJ8" i="2539"/>
  <c r="AJ42" i="2539" s="1"/>
  <c r="AI8" i="2539"/>
  <c r="AI42" i="2539" s="1"/>
  <c r="AH8" i="2539"/>
  <c r="AG8" i="2539"/>
  <c r="AG42" i="2539" s="1"/>
  <c r="AF8" i="2539"/>
  <c r="AF42" i="2539" s="1"/>
  <c r="AE8" i="2539"/>
  <c r="AE42" i="2539" s="1"/>
  <c r="AD8" i="2539"/>
  <c r="AD42" i="2539" s="1"/>
  <c r="AC8" i="2539"/>
  <c r="AC42" i="2539" s="1"/>
  <c r="AB8" i="2539"/>
  <c r="Z8" i="2539"/>
  <c r="Z42" i="2539" s="1"/>
  <c r="Y8" i="2539"/>
  <c r="X8" i="2539"/>
  <c r="X42" i="2539" s="1"/>
  <c r="W8" i="2539"/>
  <c r="W42" i="2539" s="1"/>
  <c r="V8" i="2539"/>
  <c r="U8" i="2539"/>
  <c r="T8" i="2539"/>
  <c r="T42" i="2539" s="1"/>
  <c r="S8" i="2539"/>
  <c r="R8" i="2539"/>
  <c r="R42" i="2539" s="1"/>
  <c r="Q8" i="2539"/>
  <c r="Q42" i="2539" s="1"/>
  <c r="P8" i="2539"/>
  <c r="P42" i="2539" s="1"/>
  <c r="O8" i="2539"/>
  <c r="M8" i="2539"/>
  <c r="L8" i="2539"/>
  <c r="K8" i="2539"/>
  <c r="K42" i="2539" s="1"/>
  <c r="J8" i="2539"/>
  <c r="J42" i="2539" s="1"/>
  <c r="I8" i="2539"/>
  <c r="I42" i="2539" s="1"/>
  <c r="H8" i="2539"/>
  <c r="H42" i="2539" s="1"/>
  <c r="G8" i="2539"/>
  <c r="G42" i="2539" s="1"/>
  <c r="F8" i="2539"/>
  <c r="F42" i="2539" s="1"/>
  <c r="E8" i="2539"/>
  <c r="E42" i="2539" s="1"/>
  <c r="D8" i="2539"/>
  <c r="D42" i="2539" s="1"/>
  <c r="C8" i="2539"/>
  <c r="C42" i="2539" s="1"/>
  <c r="B8" i="2539"/>
  <c r="HN5" i="2539"/>
  <c r="HA5" i="2539"/>
  <c r="GN5" i="2539"/>
  <c r="GA5" i="2539"/>
  <c r="FN5" i="2539"/>
  <c r="FA5" i="2539"/>
  <c r="EN5" i="2539"/>
  <c r="EA5" i="2539"/>
  <c r="DN5" i="2539"/>
  <c r="DA5" i="2539"/>
  <c r="CN5" i="2539"/>
  <c r="CA5" i="2539"/>
  <c r="BN5" i="2539"/>
  <c r="BA5" i="2539"/>
  <c r="AN5" i="2539"/>
  <c r="AA5" i="2539"/>
  <c r="N5" i="2539"/>
  <c r="HB4" i="2539"/>
  <c r="GO4" i="2539"/>
  <c r="GB4" i="2539"/>
  <c r="FO4" i="2539"/>
  <c r="FB4" i="2539"/>
  <c r="EO4" i="2539"/>
  <c r="EB4" i="2539"/>
  <c r="DO4" i="2539"/>
  <c r="DB4" i="2539"/>
  <c r="CO4" i="2539"/>
  <c r="CB4" i="2539"/>
  <c r="BO4" i="2539"/>
  <c r="BB4" i="2539"/>
  <c r="AO4" i="2539"/>
  <c r="AB4" i="2539"/>
  <c r="O4" i="2539"/>
  <c r="B4" i="2539"/>
  <c r="IN79" i="2538"/>
  <c r="IA79" i="2538"/>
  <c r="HN79" i="2538"/>
  <c r="HA79" i="2538"/>
  <c r="GN79" i="2538"/>
  <c r="GA79" i="2538"/>
  <c r="FN79" i="2538"/>
  <c r="FA79" i="2538"/>
  <c r="EN79" i="2538"/>
  <c r="EA79" i="2538"/>
  <c r="DN79" i="2538"/>
  <c r="DA79" i="2538"/>
  <c r="IN78" i="2538"/>
  <c r="IA78" i="2538"/>
  <c r="HN78" i="2538"/>
  <c r="HA78" i="2538"/>
  <c r="GN78" i="2538"/>
  <c r="GA78" i="2538"/>
  <c r="FN78" i="2538"/>
  <c r="FA78" i="2538"/>
  <c r="EN78" i="2538"/>
  <c r="EA78" i="2538"/>
  <c r="DN78" i="2538"/>
  <c r="DA78" i="2538"/>
  <c r="IN77" i="2538"/>
  <c r="IA77" i="2538"/>
  <c r="HN77" i="2538"/>
  <c r="HA77" i="2538"/>
  <c r="GN77" i="2538"/>
  <c r="GA77" i="2538"/>
  <c r="FN77" i="2538"/>
  <c r="FA77" i="2538"/>
  <c r="EN77" i="2538"/>
  <c r="EA77" i="2538"/>
  <c r="DN77" i="2538"/>
  <c r="DA77" i="2538"/>
  <c r="IN76" i="2538"/>
  <c r="IA76" i="2538"/>
  <c r="HN76" i="2538"/>
  <c r="HA76" i="2538"/>
  <c r="GN76" i="2538"/>
  <c r="GA76" i="2538"/>
  <c r="FN76" i="2538"/>
  <c r="FA76" i="2538"/>
  <c r="EN76" i="2538"/>
  <c r="EA76" i="2538"/>
  <c r="DN76" i="2538"/>
  <c r="DA76" i="2538"/>
  <c r="IM75" i="2538"/>
  <c r="IM71" i="2538" s="1"/>
  <c r="IL75" i="2538"/>
  <c r="IL71" i="2538" s="1"/>
  <c r="IK75" i="2538"/>
  <c r="IK71" i="2538" s="1"/>
  <c r="IJ75" i="2538"/>
  <c r="IJ71" i="2538" s="1"/>
  <c r="II75" i="2538"/>
  <c r="II71" i="2538" s="1"/>
  <c r="IH75" i="2538"/>
  <c r="IH71" i="2538" s="1"/>
  <c r="IG75" i="2538"/>
  <c r="IF75" i="2538"/>
  <c r="IE75" i="2538"/>
  <c r="IE71" i="2538" s="1"/>
  <c r="ID75" i="2538"/>
  <c r="ID71" i="2538" s="1"/>
  <c r="IC75" i="2538"/>
  <c r="IC71" i="2538" s="1"/>
  <c r="IB75" i="2538"/>
  <c r="IB71" i="2538" s="1"/>
  <c r="HZ75" i="2538"/>
  <c r="HY75" i="2538"/>
  <c r="HY71" i="2538" s="1"/>
  <c r="HX75" i="2538"/>
  <c r="HX71" i="2538" s="1"/>
  <c r="HW75" i="2538"/>
  <c r="HW71" i="2538" s="1"/>
  <c r="HV75" i="2538"/>
  <c r="HV71" i="2538" s="1"/>
  <c r="HU75" i="2538"/>
  <c r="HT75" i="2538"/>
  <c r="HS75" i="2538"/>
  <c r="HS71" i="2538" s="1"/>
  <c r="HR75" i="2538"/>
  <c r="HR71" i="2538" s="1"/>
  <c r="HM75" i="2538"/>
  <c r="HM71" i="2538" s="1"/>
  <c r="HL75" i="2538"/>
  <c r="HL71" i="2538" s="1"/>
  <c r="HK75" i="2538"/>
  <c r="HK71" i="2538" s="1"/>
  <c r="HJ75" i="2538"/>
  <c r="HJ71" i="2538" s="1"/>
  <c r="GV75" i="2538"/>
  <c r="GV71" i="2538" s="1"/>
  <c r="GU75" i="2538"/>
  <c r="GU71" i="2538" s="1"/>
  <c r="GT75" i="2538"/>
  <c r="GT71" i="2538" s="1"/>
  <c r="GS75" i="2538"/>
  <c r="GR75" i="2538"/>
  <c r="GQ75" i="2538"/>
  <c r="GP75" i="2538"/>
  <c r="GP71" i="2538" s="1"/>
  <c r="GO75" i="2538"/>
  <c r="GM75" i="2538"/>
  <c r="GM71" i="2538" s="1"/>
  <c r="GL75" i="2538"/>
  <c r="GK75" i="2538"/>
  <c r="GK71" i="2538" s="1"/>
  <c r="GJ75" i="2538"/>
  <c r="GJ71" i="2538" s="1"/>
  <c r="GI75" i="2538"/>
  <c r="GI71" i="2538" s="1"/>
  <c r="GH75" i="2538"/>
  <c r="GH71" i="2538" s="1"/>
  <c r="GG75" i="2538"/>
  <c r="GF75" i="2538"/>
  <c r="GE75" i="2538"/>
  <c r="GE71" i="2538" s="1"/>
  <c r="GD75" i="2538"/>
  <c r="GD71" i="2538" s="1"/>
  <c r="GC75" i="2538"/>
  <c r="GC71" i="2538" s="1"/>
  <c r="GB75" i="2538"/>
  <c r="GB71" i="2538" s="1"/>
  <c r="FZ75" i="2538"/>
  <c r="FY75" i="2538"/>
  <c r="FX75" i="2538"/>
  <c r="FX71" i="2538" s="1"/>
  <c r="FW75" i="2538"/>
  <c r="FW71" i="2538" s="1"/>
  <c r="FV75" i="2538"/>
  <c r="FV71" i="2538" s="1"/>
  <c r="FU75" i="2538"/>
  <c r="FU71" i="2538" s="1"/>
  <c r="FT75" i="2538"/>
  <c r="FS75" i="2538"/>
  <c r="FR75" i="2538"/>
  <c r="FR71" i="2538" s="1"/>
  <c r="FQ75" i="2538"/>
  <c r="FQ71" i="2538" s="1"/>
  <c r="FP75" i="2538"/>
  <c r="FP71" i="2538" s="1"/>
  <c r="FO75" i="2538"/>
  <c r="FO71" i="2538" s="1"/>
  <c r="FM75" i="2538"/>
  <c r="FM71" i="2538" s="1"/>
  <c r="FL75" i="2538"/>
  <c r="FL71" i="2538" s="1"/>
  <c r="FK75" i="2538"/>
  <c r="FK71" i="2538" s="1"/>
  <c r="FJ75" i="2538"/>
  <c r="FJ71" i="2538" s="1"/>
  <c r="FI75" i="2538"/>
  <c r="FI71" i="2538" s="1"/>
  <c r="FH75" i="2538"/>
  <c r="FH71" i="2538" s="1"/>
  <c r="FG75" i="2538"/>
  <c r="FG71" i="2538" s="1"/>
  <c r="FF75" i="2538"/>
  <c r="FE75" i="2538"/>
  <c r="FE71" i="2538" s="1"/>
  <c r="FD75" i="2538"/>
  <c r="FD71" i="2538" s="1"/>
  <c r="FC75" i="2538"/>
  <c r="FC71" i="2538" s="1"/>
  <c r="FB75" i="2538"/>
  <c r="FB71" i="2538" s="1"/>
  <c r="EZ75" i="2538"/>
  <c r="EY75" i="2538"/>
  <c r="EX75" i="2538"/>
  <c r="EX71" i="2538" s="1"/>
  <c r="EW75" i="2538"/>
  <c r="EW71" i="2538" s="1"/>
  <c r="EV75" i="2538"/>
  <c r="EV71" i="2538" s="1"/>
  <c r="EU75" i="2538"/>
  <c r="EU71" i="2538" s="1"/>
  <c r="ET75" i="2538"/>
  <c r="ET71" i="2538" s="1"/>
  <c r="ES75" i="2538"/>
  <c r="ES71" i="2538" s="1"/>
  <c r="ER75" i="2538"/>
  <c r="ER71" i="2538" s="1"/>
  <c r="EQ75" i="2538"/>
  <c r="EQ71" i="2538" s="1"/>
  <c r="EP75" i="2538"/>
  <c r="EP71" i="2538" s="1"/>
  <c r="EO75" i="2538"/>
  <c r="EO71" i="2538" s="1"/>
  <c r="EM75" i="2538"/>
  <c r="EM71" i="2538" s="1"/>
  <c r="EL75" i="2538"/>
  <c r="EL71" i="2538" s="1"/>
  <c r="EK75" i="2538"/>
  <c r="EK71" i="2538" s="1"/>
  <c r="EJ75" i="2538"/>
  <c r="EJ71" i="2538" s="1"/>
  <c r="EI75" i="2538"/>
  <c r="EI71" i="2538" s="1"/>
  <c r="EH75" i="2538"/>
  <c r="EH71" i="2538" s="1"/>
  <c r="EG75" i="2538"/>
  <c r="EG71" i="2538" s="1"/>
  <c r="EF75" i="2538"/>
  <c r="EF71" i="2538" s="1"/>
  <c r="EE75" i="2538"/>
  <c r="EE71" i="2538" s="1"/>
  <c r="ED75" i="2538"/>
  <c r="ED71" i="2538" s="1"/>
  <c r="EC75" i="2538"/>
  <c r="EC71" i="2538" s="1"/>
  <c r="EB75" i="2538"/>
  <c r="EB71" i="2538" s="1"/>
  <c r="DZ75" i="2538"/>
  <c r="DZ71" i="2538" s="1"/>
  <c r="DY75" i="2538"/>
  <c r="DX75" i="2538"/>
  <c r="DX71" i="2538" s="1"/>
  <c r="DW75" i="2538"/>
  <c r="DW71" i="2538" s="1"/>
  <c r="DV75" i="2538"/>
  <c r="DV71" i="2538" s="1"/>
  <c r="DU75" i="2538"/>
  <c r="DT75" i="2538"/>
  <c r="DS75" i="2538"/>
  <c r="DS71" i="2538" s="1"/>
  <c r="DR75" i="2538"/>
  <c r="DR71" i="2538" s="1"/>
  <c r="DQ75" i="2538"/>
  <c r="DQ71" i="2538" s="1"/>
  <c r="DP75" i="2538"/>
  <c r="DP71" i="2538" s="1"/>
  <c r="DO75" i="2538"/>
  <c r="DO71" i="2538" s="1"/>
  <c r="DM75" i="2538"/>
  <c r="DL75" i="2538"/>
  <c r="DL71" i="2538" s="1"/>
  <c r="DK75" i="2538"/>
  <c r="DK71" i="2538" s="1"/>
  <c r="DJ75" i="2538"/>
  <c r="DJ71" i="2538" s="1"/>
  <c r="DI75" i="2538"/>
  <c r="DI71" i="2538" s="1"/>
  <c r="DH75" i="2538"/>
  <c r="DH71" i="2538" s="1"/>
  <c r="DG75" i="2538"/>
  <c r="DG71" i="2538" s="1"/>
  <c r="DF75" i="2538"/>
  <c r="DF71" i="2538" s="1"/>
  <c r="DE75" i="2538"/>
  <c r="DE71" i="2538" s="1"/>
  <c r="DD75" i="2538"/>
  <c r="DD71" i="2538" s="1"/>
  <c r="DC75" i="2538"/>
  <c r="DC71" i="2538" s="1"/>
  <c r="DB75" i="2538"/>
  <c r="CZ75" i="2538"/>
  <c r="CZ71" i="2538" s="1"/>
  <c r="CY75" i="2538"/>
  <c r="CY71" i="2538" s="1"/>
  <c r="CX75" i="2538"/>
  <c r="CX71" i="2538" s="1"/>
  <c r="CW75" i="2538"/>
  <c r="CW71" i="2538" s="1"/>
  <c r="CV75" i="2538"/>
  <c r="CV71" i="2538" s="1"/>
  <c r="CU75" i="2538"/>
  <c r="CU71" i="2538" s="1"/>
  <c r="CT75" i="2538"/>
  <c r="CT71" i="2538" s="1"/>
  <c r="CS75" i="2538"/>
  <c r="CS71" i="2538" s="1"/>
  <c r="CR75" i="2538"/>
  <c r="CR71" i="2538" s="1"/>
  <c r="CQ75" i="2538"/>
  <c r="CQ71" i="2538" s="1"/>
  <c r="CP75" i="2538"/>
  <c r="CP71" i="2538" s="1"/>
  <c r="CO75" i="2538"/>
  <c r="IN74" i="2538"/>
  <c r="IA74" i="2538"/>
  <c r="HN74" i="2538"/>
  <c r="HA74" i="2538"/>
  <c r="GN74" i="2538"/>
  <c r="GA74" i="2538"/>
  <c r="FN74" i="2538"/>
  <c r="FA74" i="2538"/>
  <c r="EN74" i="2538"/>
  <c r="EA74" i="2538"/>
  <c r="DN74" i="2538"/>
  <c r="DA74" i="2538"/>
  <c r="IN73" i="2538"/>
  <c r="IA73" i="2538"/>
  <c r="HN73" i="2538"/>
  <c r="HA73" i="2538"/>
  <c r="GN73" i="2538"/>
  <c r="GA73" i="2538"/>
  <c r="FN73" i="2538"/>
  <c r="FA73" i="2538"/>
  <c r="EN73" i="2538"/>
  <c r="EA73" i="2538"/>
  <c r="DN73" i="2538"/>
  <c r="DA73" i="2538"/>
  <c r="IN72" i="2538"/>
  <c r="IA72" i="2538"/>
  <c r="HN72" i="2538"/>
  <c r="HA72" i="2538"/>
  <c r="GN72" i="2538"/>
  <c r="GA72" i="2538"/>
  <c r="FN72" i="2538"/>
  <c r="FA72" i="2538"/>
  <c r="EN72" i="2538"/>
  <c r="EA72" i="2538"/>
  <c r="DN72" i="2538"/>
  <c r="DA72" i="2538"/>
  <c r="HZ71" i="2538"/>
  <c r="GQ71" i="2538"/>
  <c r="GL71" i="2538"/>
  <c r="FY71" i="2538"/>
  <c r="EY71" i="2538"/>
  <c r="DY71" i="2538"/>
  <c r="DU71" i="2538"/>
  <c r="DT71" i="2538"/>
  <c r="IN70" i="2538"/>
  <c r="HS70" i="2538"/>
  <c r="HS44" i="2538" s="1"/>
  <c r="HR70" i="2538"/>
  <c r="HQ70" i="2538"/>
  <c r="HQ62" i="2538" s="1"/>
  <c r="HP70" i="2538"/>
  <c r="HO70" i="2538"/>
  <c r="HM70" i="2538"/>
  <c r="HL70" i="2538"/>
  <c r="HL44" i="2538" s="1"/>
  <c r="HK70" i="2538"/>
  <c r="HK44" i="2538" s="1"/>
  <c r="HJ70" i="2538"/>
  <c r="HI70" i="2538"/>
  <c r="HI44" i="2538" s="1"/>
  <c r="HH70" i="2538"/>
  <c r="GP70" i="2538"/>
  <c r="GO70" i="2538"/>
  <c r="GO44" i="2538" s="1"/>
  <c r="GN70" i="2538"/>
  <c r="GA70" i="2538"/>
  <c r="GA44" i="2538" s="1"/>
  <c r="FN70" i="2538"/>
  <c r="FN44" i="2538" s="1"/>
  <c r="FA70" i="2538"/>
  <c r="EN70" i="2538"/>
  <c r="EA70" i="2538"/>
  <c r="EA44" i="2538" s="1"/>
  <c r="DN70" i="2538"/>
  <c r="DN44" i="2538" s="1"/>
  <c r="DA70" i="2538"/>
  <c r="IN69" i="2538"/>
  <c r="IA69" i="2538"/>
  <c r="HN69" i="2538"/>
  <c r="HA69" i="2538"/>
  <c r="GN69" i="2538"/>
  <c r="GA69" i="2538"/>
  <c r="FN69" i="2538"/>
  <c r="FA69" i="2538"/>
  <c r="EN69" i="2538"/>
  <c r="EA69" i="2538"/>
  <c r="DN69" i="2538"/>
  <c r="DA69" i="2538"/>
  <c r="IN68" i="2538"/>
  <c r="IA68" i="2538"/>
  <c r="HN68" i="2538"/>
  <c r="HA68" i="2538"/>
  <c r="GN68" i="2538"/>
  <c r="GA68" i="2538"/>
  <c r="FN68" i="2538"/>
  <c r="FA68" i="2538"/>
  <c r="EN68" i="2538"/>
  <c r="EA68" i="2538"/>
  <c r="DN68" i="2538"/>
  <c r="DA68" i="2538"/>
  <c r="IN67" i="2538"/>
  <c r="IA67" i="2538"/>
  <c r="HN67" i="2538"/>
  <c r="HA67" i="2538"/>
  <c r="GN67" i="2538"/>
  <c r="GA67" i="2538"/>
  <c r="FN67" i="2538"/>
  <c r="FA67" i="2538"/>
  <c r="EN67" i="2538"/>
  <c r="EA67" i="2538"/>
  <c r="DN67" i="2538"/>
  <c r="DA67" i="2538"/>
  <c r="IN66" i="2538"/>
  <c r="IA66" i="2538"/>
  <c r="HN66" i="2538"/>
  <c r="HA66" i="2538"/>
  <c r="GN66" i="2538"/>
  <c r="GA66" i="2538"/>
  <c r="FN66" i="2538"/>
  <c r="FA66" i="2538"/>
  <c r="EN66" i="2538"/>
  <c r="EA66" i="2538"/>
  <c r="DN66" i="2538"/>
  <c r="DA66" i="2538"/>
  <c r="IN65" i="2538"/>
  <c r="IA65" i="2538"/>
  <c r="HN65" i="2538"/>
  <c r="HA65" i="2538"/>
  <c r="GN65" i="2538"/>
  <c r="GA65" i="2538"/>
  <c r="FN65" i="2538"/>
  <c r="FA65" i="2538"/>
  <c r="EN65" i="2538"/>
  <c r="EA65" i="2538"/>
  <c r="DN65" i="2538"/>
  <c r="DA65" i="2538"/>
  <c r="IN64" i="2538"/>
  <c r="IA64" i="2538"/>
  <c r="HN64" i="2538"/>
  <c r="HA64" i="2538"/>
  <c r="GN64" i="2538"/>
  <c r="GA64" i="2538"/>
  <c r="FN64" i="2538"/>
  <c r="FA64" i="2538"/>
  <c r="EN64" i="2538"/>
  <c r="EA64" i="2538"/>
  <c r="DN64" i="2538"/>
  <c r="DA64" i="2538"/>
  <c r="IM63" i="2538"/>
  <c r="IM62" i="2538" s="1"/>
  <c r="IL63" i="2538"/>
  <c r="IL62" i="2538" s="1"/>
  <c r="IK63" i="2538"/>
  <c r="IK62" i="2538" s="1"/>
  <c r="IJ63" i="2538"/>
  <c r="IJ62" i="2538" s="1"/>
  <c r="II63" i="2538"/>
  <c r="II62" i="2538" s="1"/>
  <c r="IH63" i="2538"/>
  <c r="IH62" i="2538" s="1"/>
  <c r="IG63" i="2538"/>
  <c r="IG62" i="2538" s="1"/>
  <c r="IF63" i="2538"/>
  <c r="IF62" i="2538" s="1"/>
  <c r="IE63" i="2538"/>
  <c r="IE62" i="2538" s="1"/>
  <c r="ID63" i="2538"/>
  <c r="ID62" i="2538" s="1"/>
  <c r="IC63" i="2538"/>
  <c r="IC62" i="2538" s="1"/>
  <c r="IB63" i="2538"/>
  <c r="HZ63" i="2538"/>
  <c r="HZ62" i="2538" s="1"/>
  <c r="HY63" i="2538"/>
  <c r="HY62" i="2538" s="1"/>
  <c r="HX63" i="2538"/>
  <c r="HX62" i="2538" s="1"/>
  <c r="HW63" i="2538"/>
  <c r="HW62" i="2538" s="1"/>
  <c r="HV63" i="2538"/>
  <c r="HU63" i="2538"/>
  <c r="HU62" i="2538" s="1"/>
  <c r="HT63" i="2538"/>
  <c r="HT62" i="2538" s="1"/>
  <c r="HS63" i="2538"/>
  <c r="HR63" i="2538"/>
  <c r="HQ63" i="2538"/>
  <c r="HP63" i="2538"/>
  <c r="HO63" i="2538"/>
  <c r="HM63" i="2538"/>
  <c r="HL63" i="2538"/>
  <c r="HK63" i="2538"/>
  <c r="HJ63" i="2538"/>
  <c r="HI63" i="2538"/>
  <c r="HH63" i="2538"/>
  <c r="HG63" i="2538"/>
  <c r="HG62" i="2538" s="1"/>
  <c r="HF63" i="2538"/>
  <c r="HF62" i="2538" s="1"/>
  <c r="HE63" i="2538"/>
  <c r="HE62" i="2538" s="1"/>
  <c r="HD63" i="2538"/>
  <c r="HD62" i="2538" s="1"/>
  <c r="HC63" i="2538"/>
  <c r="HC62" i="2538" s="1"/>
  <c r="HB63" i="2538"/>
  <c r="HB62" i="2538" s="1"/>
  <c r="GZ63" i="2538"/>
  <c r="GZ62" i="2538" s="1"/>
  <c r="GY63" i="2538"/>
  <c r="GY62" i="2538" s="1"/>
  <c r="GX63" i="2538"/>
  <c r="GX62" i="2538" s="1"/>
  <c r="GW63" i="2538"/>
  <c r="GW62" i="2538" s="1"/>
  <c r="GV63" i="2538"/>
  <c r="GU63" i="2538"/>
  <c r="GU62" i="2538" s="1"/>
  <c r="GT63" i="2538"/>
  <c r="GT62" i="2538" s="1"/>
  <c r="GS63" i="2538"/>
  <c r="GS62" i="2538" s="1"/>
  <c r="GR63" i="2538"/>
  <c r="GR62" i="2538" s="1"/>
  <c r="GQ63" i="2538"/>
  <c r="GQ62" i="2538" s="1"/>
  <c r="GP63" i="2538"/>
  <c r="GO63" i="2538"/>
  <c r="GM63" i="2538"/>
  <c r="GM62" i="2538" s="1"/>
  <c r="GL63" i="2538"/>
  <c r="GL62" i="2538" s="1"/>
  <c r="GK63" i="2538"/>
  <c r="GK62" i="2538" s="1"/>
  <c r="GJ63" i="2538"/>
  <c r="GJ62" i="2538" s="1"/>
  <c r="GI63" i="2538"/>
  <c r="GI62" i="2538" s="1"/>
  <c r="GH63" i="2538"/>
  <c r="GH62" i="2538" s="1"/>
  <c r="GG63" i="2538"/>
  <c r="GG62" i="2538" s="1"/>
  <c r="GF63" i="2538"/>
  <c r="GF62" i="2538" s="1"/>
  <c r="GE63" i="2538"/>
  <c r="GE62" i="2538" s="1"/>
  <c r="GD63" i="2538"/>
  <c r="GC63" i="2538"/>
  <c r="GC62" i="2538" s="1"/>
  <c r="GB63" i="2538"/>
  <c r="GB62" i="2538" s="1"/>
  <c r="FZ63" i="2538"/>
  <c r="FZ62" i="2538" s="1"/>
  <c r="FY63" i="2538"/>
  <c r="FY62" i="2538" s="1"/>
  <c r="FX63" i="2538"/>
  <c r="FX62" i="2538" s="1"/>
  <c r="FW63" i="2538"/>
  <c r="FW62" i="2538" s="1"/>
  <c r="FV63" i="2538"/>
  <c r="FV62" i="2538" s="1"/>
  <c r="FU63" i="2538"/>
  <c r="FU62" i="2538" s="1"/>
  <c r="FS63" i="2538"/>
  <c r="FS62" i="2538" s="1"/>
  <c r="FR63" i="2538"/>
  <c r="FR62" i="2538" s="1"/>
  <c r="FQ63" i="2538"/>
  <c r="FQ62" i="2538" s="1"/>
  <c r="FP63" i="2538"/>
  <c r="FO63" i="2538"/>
  <c r="FM63" i="2538"/>
  <c r="FM62" i="2538" s="1"/>
  <c r="FL63" i="2538"/>
  <c r="FL62" i="2538" s="1"/>
  <c r="FK63" i="2538"/>
  <c r="FK62" i="2538" s="1"/>
  <c r="FJ63" i="2538"/>
  <c r="FJ62" i="2538" s="1"/>
  <c r="FI63" i="2538"/>
  <c r="FI62" i="2538" s="1"/>
  <c r="FH63" i="2538"/>
  <c r="FH62" i="2538" s="1"/>
  <c r="FG63" i="2538"/>
  <c r="FG62" i="2538" s="1"/>
  <c r="FF63" i="2538"/>
  <c r="FF62" i="2538" s="1"/>
  <c r="FE63" i="2538"/>
  <c r="FE62" i="2538" s="1"/>
  <c r="FD63" i="2538"/>
  <c r="FD62" i="2538" s="1"/>
  <c r="FC63" i="2538"/>
  <c r="FC62" i="2538" s="1"/>
  <c r="FB63" i="2538"/>
  <c r="FB62" i="2538" s="1"/>
  <c r="EZ63" i="2538"/>
  <c r="EZ62" i="2538" s="1"/>
  <c r="EY63" i="2538"/>
  <c r="EY62" i="2538" s="1"/>
  <c r="EX63" i="2538"/>
  <c r="EX62" i="2538" s="1"/>
  <c r="EW63" i="2538"/>
  <c r="EW62" i="2538" s="1"/>
  <c r="EV63" i="2538"/>
  <c r="EV62" i="2538" s="1"/>
  <c r="EU63" i="2538"/>
  <c r="EU62" i="2538" s="1"/>
  <c r="ET63" i="2538"/>
  <c r="ET62" i="2538" s="1"/>
  <c r="ER63" i="2538"/>
  <c r="ER62" i="2538" s="1"/>
  <c r="EQ63" i="2538"/>
  <c r="EQ62" i="2538" s="1"/>
  <c r="EP63" i="2538"/>
  <c r="EP62" i="2538" s="1"/>
  <c r="EO63" i="2538"/>
  <c r="EM63" i="2538"/>
  <c r="EM62" i="2538" s="1"/>
  <c r="EL63" i="2538"/>
  <c r="EL62" i="2538" s="1"/>
  <c r="EL54" i="2538" s="1"/>
  <c r="EL53" i="2538" s="1"/>
  <c r="EL81" i="2538" s="1"/>
  <c r="EK63" i="2538"/>
  <c r="EK62" i="2538" s="1"/>
  <c r="EJ63" i="2538"/>
  <c r="EJ62" i="2538" s="1"/>
  <c r="EI63" i="2538"/>
  <c r="EI62" i="2538" s="1"/>
  <c r="EH63" i="2538"/>
  <c r="EH62" i="2538" s="1"/>
  <c r="EG63" i="2538"/>
  <c r="EF63" i="2538"/>
  <c r="EF62" i="2538" s="1"/>
  <c r="EE63" i="2538"/>
  <c r="EE62" i="2538" s="1"/>
  <c r="ED63" i="2538"/>
  <c r="ED62" i="2538" s="1"/>
  <c r="EC63" i="2538"/>
  <c r="EC62" i="2538" s="1"/>
  <c r="EB63" i="2538"/>
  <c r="EB62" i="2538" s="1"/>
  <c r="DZ63" i="2538"/>
  <c r="DZ62" i="2538" s="1"/>
  <c r="DY63" i="2538"/>
  <c r="DY62" i="2538" s="1"/>
  <c r="DX63" i="2538"/>
  <c r="DX62" i="2538" s="1"/>
  <c r="DW63" i="2538"/>
  <c r="DW62" i="2538" s="1"/>
  <c r="DV63" i="2538"/>
  <c r="DV62" i="2538" s="1"/>
  <c r="DU63" i="2538"/>
  <c r="DU62" i="2538" s="1"/>
  <c r="DT63" i="2538"/>
  <c r="DT62" i="2538" s="1"/>
  <c r="DS63" i="2538"/>
  <c r="DS62" i="2538" s="1"/>
  <c r="DR63" i="2538"/>
  <c r="DR62" i="2538" s="1"/>
  <c r="DQ63" i="2538"/>
  <c r="DQ62" i="2538" s="1"/>
  <c r="DP63" i="2538"/>
  <c r="DP62" i="2538" s="1"/>
  <c r="DO63" i="2538"/>
  <c r="DM63" i="2538"/>
  <c r="DM62" i="2538" s="1"/>
  <c r="DL63" i="2538"/>
  <c r="DL62" i="2538" s="1"/>
  <c r="DK63" i="2538"/>
  <c r="DK62" i="2538" s="1"/>
  <c r="DJ63" i="2538"/>
  <c r="DJ62" i="2538" s="1"/>
  <c r="DI63" i="2538"/>
  <c r="DI62" i="2538" s="1"/>
  <c r="DH63" i="2538"/>
  <c r="DH62" i="2538" s="1"/>
  <c r="DG63" i="2538"/>
  <c r="DF63" i="2538"/>
  <c r="DF62" i="2538" s="1"/>
  <c r="DE63" i="2538"/>
  <c r="DE62" i="2538" s="1"/>
  <c r="DD63" i="2538"/>
  <c r="DD62" i="2538" s="1"/>
  <c r="DC63" i="2538"/>
  <c r="DC62" i="2538" s="1"/>
  <c r="DB63" i="2538"/>
  <c r="DB62" i="2538" s="1"/>
  <c r="CZ63" i="2538"/>
  <c r="CZ62" i="2538" s="1"/>
  <c r="CY63" i="2538"/>
  <c r="CY62" i="2538" s="1"/>
  <c r="CX63" i="2538"/>
  <c r="CX62" i="2538" s="1"/>
  <c r="CW63" i="2538"/>
  <c r="CW62" i="2538" s="1"/>
  <c r="CV63" i="2538"/>
  <c r="CV62" i="2538" s="1"/>
  <c r="CU63" i="2538"/>
  <c r="CU62" i="2538" s="1"/>
  <c r="CT63" i="2538"/>
  <c r="CT62" i="2538" s="1"/>
  <c r="CS63" i="2538"/>
  <c r="CS62" i="2538" s="1"/>
  <c r="CR63" i="2538"/>
  <c r="CR62" i="2538" s="1"/>
  <c r="CQ63" i="2538"/>
  <c r="CQ62" i="2538" s="1"/>
  <c r="CP63" i="2538"/>
  <c r="CP62" i="2538" s="1"/>
  <c r="CO63" i="2538"/>
  <c r="CO62" i="2538" s="1"/>
  <c r="HV62" i="2538"/>
  <c r="GV62" i="2538"/>
  <c r="GD62" i="2538"/>
  <c r="FT62" i="2538"/>
  <c r="FP62" i="2538"/>
  <c r="EG62" i="2538"/>
  <c r="DO62" i="2538"/>
  <c r="DG62" i="2538"/>
  <c r="IN61" i="2538"/>
  <c r="IA61" i="2538"/>
  <c r="HN61" i="2538"/>
  <c r="HA61" i="2538"/>
  <c r="GN61" i="2538"/>
  <c r="GA61" i="2538"/>
  <c r="FN61" i="2538"/>
  <c r="FA61" i="2538"/>
  <c r="EN61" i="2538"/>
  <c r="IN60" i="2538"/>
  <c r="IA60" i="2538"/>
  <c r="HN60" i="2538"/>
  <c r="HA60" i="2538"/>
  <c r="GN60" i="2538"/>
  <c r="GA60" i="2538"/>
  <c r="FN60" i="2538"/>
  <c r="FA60" i="2538"/>
  <c r="EN60" i="2538"/>
  <c r="EA60" i="2538"/>
  <c r="DN60" i="2538"/>
  <c r="DA60" i="2538"/>
  <c r="IN59" i="2538"/>
  <c r="IA59" i="2538"/>
  <c r="HN59" i="2538"/>
  <c r="HA59" i="2538"/>
  <c r="GN59" i="2538"/>
  <c r="GA59" i="2538"/>
  <c r="FN59" i="2538"/>
  <c r="FA59" i="2538"/>
  <c r="EN59" i="2538"/>
  <c r="EA59" i="2538"/>
  <c r="DN59" i="2538"/>
  <c r="DA59" i="2538"/>
  <c r="IN58" i="2538"/>
  <c r="IA58" i="2538"/>
  <c r="HN58" i="2538"/>
  <c r="HA58" i="2538"/>
  <c r="GN58" i="2538"/>
  <c r="GA58" i="2538"/>
  <c r="FN58" i="2538"/>
  <c r="FA58" i="2538"/>
  <c r="EN58" i="2538"/>
  <c r="EA58" i="2538"/>
  <c r="DN58" i="2538"/>
  <c r="DA58" i="2538"/>
  <c r="IM57" i="2538"/>
  <c r="IM43" i="2538" s="1"/>
  <c r="IL57" i="2538"/>
  <c r="IK57" i="2538"/>
  <c r="IJ57" i="2538"/>
  <c r="IJ43" i="2538" s="1"/>
  <c r="II57" i="2538"/>
  <c r="IH57" i="2538"/>
  <c r="IG57" i="2538"/>
  <c r="IF57" i="2538"/>
  <c r="IE57" i="2538"/>
  <c r="ID57" i="2538"/>
  <c r="IC57" i="2538"/>
  <c r="IC43" i="2538" s="1"/>
  <c r="IB57" i="2538"/>
  <c r="HZ57" i="2538"/>
  <c r="HY57" i="2538"/>
  <c r="HX57" i="2538"/>
  <c r="HW57" i="2538"/>
  <c r="HW43" i="2538" s="1"/>
  <c r="HW42" i="2538" s="1"/>
  <c r="HV57" i="2538"/>
  <c r="HU57" i="2538"/>
  <c r="HT57" i="2538"/>
  <c r="HS57" i="2538"/>
  <c r="HR57" i="2538"/>
  <c r="HQ57" i="2538"/>
  <c r="HP57" i="2538"/>
  <c r="HP43" i="2538" s="1"/>
  <c r="HO57" i="2538"/>
  <c r="HM57" i="2538"/>
  <c r="HL57" i="2538"/>
  <c r="HL43" i="2538" s="1"/>
  <c r="HK57" i="2538"/>
  <c r="HJ57" i="2538"/>
  <c r="HJ43" i="2538" s="1"/>
  <c r="HI57" i="2538"/>
  <c r="HH57" i="2538"/>
  <c r="HG57" i="2538"/>
  <c r="HG43" i="2538" s="1"/>
  <c r="HF57" i="2538"/>
  <c r="HF43" i="2538" s="1"/>
  <c r="HE57" i="2538"/>
  <c r="HD57" i="2538"/>
  <c r="HC57" i="2538"/>
  <c r="HC43" i="2538" s="1"/>
  <c r="HB57" i="2538"/>
  <c r="GZ57" i="2538"/>
  <c r="GZ43" i="2538" s="1"/>
  <c r="GY57" i="2538"/>
  <c r="GX57" i="2538"/>
  <c r="GW57" i="2538"/>
  <c r="GW43" i="2538" s="1"/>
  <c r="GV57" i="2538"/>
  <c r="GV43" i="2538" s="1"/>
  <c r="GU57" i="2538"/>
  <c r="GT57" i="2538"/>
  <c r="GT43" i="2538" s="1"/>
  <c r="GS57" i="2538"/>
  <c r="GR57" i="2538"/>
  <c r="GQ57" i="2538"/>
  <c r="GP57" i="2538"/>
  <c r="GO57" i="2538"/>
  <c r="GM57" i="2538"/>
  <c r="GL57" i="2538"/>
  <c r="GL43" i="2538" s="1"/>
  <c r="GK57" i="2538"/>
  <c r="GJ57" i="2538"/>
  <c r="GJ43" i="2538" s="1"/>
  <c r="GI57" i="2538"/>
  <c r="GI43" i="2538" s="1"/>
  <c r="GH57" i="2538"/>
  <c r="GH43" i="2538" s="1"/>
  <c r="GG57" i="2538"/>
  <c r="GF57" i="2538"/>
  <c r="GE57" i="2538"/>
  <c r="GD57" i="2538"/>
  <c r="GC57" i="2538"/>
  <c r="GB57" i="2538"/>
  <c r="FZ57" i="2538"/>
  <c r="FY57" i="2538"/>
  <c r="FY43" i="2538" s="1"/>
  <c r="FX57" i="2538"/>
  <c r="FW57" i="2538"/>
  <c r="FW43" i="2538" s="1"/>
  <c r="FV57" i="2538"/>
  <c r="FV43" i="2538" s="1"/>
  <c r="FU57" i="2538"/>
  <c r="FT57" i="2538"/>
  <c r="FS57" i="2538"/>
  <c r="FS43" i="2538" s="1"/>
  <c r="FR57" i="2538"/>
  <c r="FQ57" i="2538"/>
  <c r="FQ43" i="2538" s="1"/>
  <c r="FP57" i="2538"/>
  <c r="FO57" i="2538"/>
  <c r="FM57" i="2538"/>
  <c r="FL57" i="2538"/>
  <c r="FL43" i="2538" s="1"/>
  <c r="FK57" i="2538"/>
  <c r="FJ57" i="2538"/>
  <c r="FI57" i="2538"/>
  <c r="FI43" i="2538" s="1"/>
  <c r="FH57" i="2538"/>
  <c r="FG57" i="2538"/>
  <c r="FG43" i="2538" s="1"/>
  <c r="FF57" i="2538"/>
  <c r="FF43" i="2538" s="1"/>
  <c r="FE57" i="2538"/>
  <c r="FD57" i="2538"/>
  <c r="FC57" i="2538"/>
  <c r="FB57" i="2538"/>
  <c r="EZ57" i="2538"/>
  <c r="EY57" i="2538"/>
  <c r="EY43" i="2538" s="1"/>
  <c r="EX57" i="2538"/>
  <c r="EW57" i="2538"/>
  <c r="EW43" i="2538" s="1"/>
  <c r="EV57" i="2538"/>
  <c r="EU57" i="2538"/>
  <c r="ET57" i="2538"/>
  <c r="ES57" i="2538"/>
  <c r="ES54" i="2538" s="1"/>
  <c r="ES53" i="2538" s="1"/>
  <c r="ES81" i="2538" s="1"/>
  <c r="ER57" i="2538"/>
  <c r="EQ57" i="2538"/>
  <c r="EP57" i="2538"/>
  <c r="EO57" i="2538"/>
  <c r="EM57" i="2538"/>
  <c r="EL57" i="2538"/>
  <c r="EL43" i="2538" s="1"/>
  <c r="EK57" i="2538"/>
  <c r="EJ57" i="2538"/>
  <c r="EJ43" i="2538" s="1"/>
  <c r="EI57" i="2538"/>
  <c r="EI43" i="2538" s="1"/>
  <c r="EH57" i="2538"/>
  <c r="EG57" i="2538"/>
  <c r="EF57" i="2538"/>
  <c r="EF43" i="2538" s="1"/>
  <c r="EE57" i="2538"/>
  <c r="ED57" i="2538"/>
  <c r="ED43" i="2538" s="1"/>
  <c r="EC57" i="2538"/>
  <c r="EB57" i="2538"/>
  <c r="DZ57" i="2538"/>
  <c r="DY57" i="2538"/>
  <c r="DX57" i="2538"/>
  <c r="DW57" i="2538"/>
  <c r="DW43" i="2538" s="1"/>
  <c r="DV57" i="2538"/>
  <c r="DV43" i="2538" s="1"/>
  <c r="DU57" i="2538"/>
  <c r="DT57" i="2538"/>
  <c r="DS57" i="2538"/>
  <c r="DR57" i="2538"/>
  <c r="DQ57" i="2538"/>
  <c r="DQ43" i="2538" s="1"/>
  <c r="DP57" i="2538"/>
  <c r="DO57" i="2538"/>
  <c r="DM57" i="2538"/>
  <c r="DL57" i="2538"/>
  <c r="DL43" i="2538" s="1"/>
  <c r="DK57" i="2538"/>
  <c r="DJ57" i="2538"/>
  <c r="DJ43" i="2538" s="1"/>
  <c r="DI57" i="2538"/>
  <c r="DI43" i="2538" s="1"/>
  <c r="DH57" i="2538"/>
  <c r="DG57" i="2538"/>
  <c r="DF57" i="2538"/>
  <c r="DF43" i="2538" s="1"/>
  <c r="DE57" i="2538"/>
  <c r="DE54" i="2538" s="1"/>
  <c r="DD57" i="2538"/>
  <c r="DD43" i="2538" s="1"/>
  <c r="DC57" i="2538"/>
  <c r="DB57" i="2538"/>
  <c r="CZ57" i="2538"/>
  <c r="CY57" i="2538"/>
  <c r="CY43" i="2538" s="1"/>
  <c r="CX57" i="2538"/>
  <c r="CW57" i="2538"/>
  <c r="CV57" i="2538"/>
  <c r="CU57" i="2538"/>
  <c r="CT57" i="2538"/>
  <c r="CS57" i="2538"/>
  <c r="CS43" i="2538" s="1"/>
  <c r="CR57" i="2538"/>
  <c r="CQ57" i="2538"/>
  <c r="CQ43" i="2538" s="1"/>
  <c r="CP57" i="2538"/>
  <c r="CO57" i="2538"/>
  <c r="CO54" i="2538" s="1"/>
  <c r="IN56" i="2538"/>
  <c r="IA56" i="2538"/>
  <c r="HN56" i="2538"/>
  <c r="HA56" i="2538"/>
  <c r="GN56" i="2538"/>
  <c r="GA56" i="2538"/>
  <c r="FN56" i="2538"/>
  <c r="FA56" i="2538"/>
  <c r="EN56" i="2538"/>
  <c r="EA56" i="2538"/>
  <c r="DN56" i="2538"/>
  <c r="DA56" i="2538"/>
  <c r="IN55" i="2538"/>
  <c r="IA55" i="2538"/>
  <c r="HN55" i="2538"/>
  <c r="HA55" i="2538"/>
  <c r="GN55" i="2538"/>
  <c r="GA55" i="2538"/>
  <c r="FN55" i="2538"/>
  <c r="FA55" i="2538"/>
  <c r="EN55" i="2538"/>
  <c r="EA55" i="2538"/>
  <c r="DN55" i="2538"/>
  <c r="DA55" i="2538"/>
  <c r="HZ52" i="2538"/>
  <c r="IM52" i="2538" s="1"/>
  <c r="HY52" i="2538"/>
  <c r="IL52" i="2538" s="1"/>
  <c r="HX52" i="2538"/>
  <c r="IK52" i="2538" s="1"/>
  <c r="HW52" i="2538"/>
  <c r="IJ52" i="2538" s="1"/>
  <c r="HV52" i="2538"/>
  <c r="II52" i="2538" s="1"/>
  <c r="HU52" i="2538"/>
  <c r="IH52" i="2538" s="1"/>
  <c r="HT52" i="2538"/>
  <c r="IG52" i="2538" s="1"/>
  <c r="HS52" i="2538"/>
  <c r="IF52" i="2538" s="1"/>
  <c r="HR52" i="2538"/>
  <c r="IE52" i="2538" s="1"/>
  <c r="HQ52" i="2538"/>
  <c r="ID52" i="2538" s="1"/>
  <c r="HP52" i="2538"/>
  <c r="IC52" i="2538" s="1"/>
  <c r="HO52" i="2538"/>
  <c r="IB52" i="2538" s="1"/>
  <c r="DX52" i="2538"/>
  <c r="DW52" i="2538"/>
  <c r="DV52" i="2538"/>
  <c r="DU52" i="2538"/>
  <c r="DT52" i="2538"/>
  <c r="DS52" i="2538"/>
  <c r="DR52" i="2538"/>
  <c r="DQ52" i="2538"/>
  <c r="DP52" i="2538"/>
  <c r="DO52" i="2538"/>
  <c r="GN51" i="2538"/>
  <c r="IM50" i="2538"/>
  <c r="IL50" i="2538"/>
  <c r="IK50" i="2538"/>
  <c r="IJ50" i="2538"/>
  <c r="II50" i="2538"/>
  <c r="IH50" i="2538"/>
  <c r="IG50" i="2538"/>
  <c r="IF50" i="2538"/>
  <c r="IE50" i="2538"/>
  <c r="ID50" i="2538"/>
  <c r="IC50" i="2538"/>
  <c r="IB50" i="2538"/>
  <c r="HZ50" i="2538"/>
  <c r="HY50" i="2538"/>
  <c r="HX50" i="2538"/>
  <c r="HW50" i="2538"/>
  <c r="HV50" i="2538"/>
  <c r="HU50" i="2538"/>
  <c r="HT50" i="2538"/>
  <c r="HS50" i="2538"/>
  <c r="HR50" i="2538"/>
  <c r="HQ50" i="2538"/>
  <c r="HP50" i="2538"/>
  <c r="HO50" i="2538"/>
  <c r="HM50" i="2538"/>
  <c r="HL50" i="2538"/>
  <c r="HK50" i="2538"/>
  <c r="HJ50" i="2538"/>
  <c r="HI50" i="2538"/>
  <c r="HH50" i="2538"/>
  <c r="HG50" i="2538"/>
  <c r="HF50" i="2538"/>
  <c r="HE50" i="2538"/>
  <c r="HD50" i="2538"/>
  <c r="HC50" i="2538"/>
  <c r="HB50" i="2538"/>
  <c r="GZ50" i="2538"/>
  <c r="GY50" i="2538"/>
  <c r="GX50" i="2538"/>
  <c r="GW50" i="2538"/>
  <c r="GV50" i="2538"/>
  <c r="GU50" i="2538"/>
  <c r="GT50" i="2538"/>
  <c r="GS50" i="2538"/>
  <c r="GR50" i="2538"/>
  <c r="GQ50" i="2538"/>
  <c r="GP50" i="2538"/>
  <c r="GO50" i="2538"/>
  <c r="GM50" i="2538"/>
  <c r="GL50" i="2538"/>
  <c r="GK50" i="2538"/>
  <c r="GJ50" i="2538"/>
  <c r="GI50" i="2538"/>
  <c r="GH50" i="2538"/>
  <c r="GG50" i="2538"/>
  <c r="GF50" i="2538"/>
  <c r="GE50" i="2538"/>
  <c r="GD50" i="2538"/>
  <c r="GC50" i="2538"/>
  <c r="GB50" i="2538"/>
  <c r="FZ50" i="2538"/>
  <c r="FY50" i="2538"/>
  <c r="FX50" i="2538"/>
  <c r="FW50" i="2538"/>
  <c r="FV50" i="2538"/>
  <c r="FU50" i="2538"/>
  <c r="FT50" i="2538"/>
  <c r="FS50" i="2538"/>
  <c r="FR50" i="2538"/>
  <c r="FQ50" i="2538"/>
  <c r="FP50" i="2538"/>
  <c r="FO50" i="2538"/>
  <c r="FM50" i="2538"/>
  <c r="FL50" i="2538"/>
  <c r="FK50" i="2538"/>
  <c r="FJ50" i="2538"/>
  <c r="FI50" i="2538"/>
  <c r="FH50" i="2538"/>
  <c r="FG50" i="2538"/>
  <c r="FF50" i="2538"/>
  <c r="FE50" i="2538"/>
  <c r="FD50" i="2538"/>
  <c r="FC50" i="2538"/>
  <c r="FB50" i="2538"/>
  <c r="EZ50" i="2538"/>
  <c r="EY50" i="2538"/>
  <c r="EX50" i="2538"/>
  <c r="EW50" i="2538"/>
  <c r="EV50" i="2538"/>
  <c r="EU50" i="2538"/>
  <c r="ET50" i="2538"/>
  <c r="ES50" i="2538"/>
  <c r="ER50" i="2538"/>
  <c r="EQ50" i="2538"/>
  <c r="EP50" i="2538"/>
  <c r="EO50" i="2538"/>
  <c r="EM50" i="2538"/>
  <c r="EL50" i="2538"/>
  <c r="EK50" i="2538"/>
  <c r="EJ50" i="2538"/>
  <c r="EI50" i="2538"/>
  <c r="EH50" i="2538"/>
  <c r="EG50" i="2538"/>
  <c r="EF50" i="2538"/>
  <c r="EE50" i="2538"/>
  <c r="ED50" i="2538"/>
  <c r="EC50" i="2538"/>
  <c r="EB50" i="2538"/>
  <c r="DZ50" i="2538"/>
  <c r="DY50" i="2538"/>
  <c r="DX50" i="2538"/>
  <c r="DW50" i="2538"/>
  <c r="DV50" i="2538"/>
  <c r="DU50" i="2538"/>
  <c r="DT50" i="2538"/>
  <c r="DS50" i="2538"/>
  <c r="DR50" i="2538"/>
  <c r="DQ50" i="2538"/>
  <c r="DP50" i="2538"/>
  <c r="DO50" i="2538"/>
  <c r="DM50" i="2538"/>
  <c r="DL50" i="2538"/>
  <c r="DK50" i="2538"/>
  <c r="DJ50" i="2538"/>
  <c r="DI50" i="2538"/>
  <c r="DH50" i="2538"/>
  <c r="DG50" i="2538"/>
  <c r="DF50" i="2538"/>
  <c r="DE50" i="2538"/>
  <c r="DD50" i="2538"/>
  <c r="DC50" i="2538"/>
  <c r="DB50" i="2538"/>
  <c r="CZ50" i="2538"/>
  <c r="CY50" i="2538"/>
  <c r="CX50" i="2538"/>
  <c r="CW50" i="2538"/>
  <c r="CV50" i="2538"/>
  <c r="CU50" i="2538"/>
  <c r="CT50" i="2538"/>
  <c r="CS50" i="2538"/>
  <c r="CR50" i="2538"/>
  <c r="CQ50" i="2538"/>
  <c r="CP50" i="2538"/>
  <c r="CO50" i="2538"/>
  <c r="IM47" i="2538"/>
  <c r="IL47" i="2538"/>
  <c r="IK47" i="2538"/>
  <c r="IJ47" i="2538"/>
  <c r="II47" i="2538"/>
  <c r="IH47" i="2538"/>
  <c r="IG47" i="2538"/>
  <c r="IF47" i="2538"/>
  <c r="IE47" i="2538"/>
  <c r="ID47" i="2538"/>
  <c r="IC47" i="2538"/>
  <c r="IB47" i="2538"/>
  <c r="HZ47" i="2538"/>
  <c r="HY47" i="2538"/>
  <c r="HX47" i="2538"/>
  <c r="HW47" i="2538"/>
  <c r="HV47" i="2538"/>
  <c r="HU47" i="2538"/>
  <c r="HT47" i="2538"/>
  <c r="HS47" i="2538"/>
  <c r="HR47" i="2538"/>
  <c r="HQ47" i="2538"/>
  <c r="HP47" i="2538"/>
  <c r="HO47" i="2538"/>
  <c r="HM47" i="2538"/>
  <c r="HL47" i="2538"/>
  <c r="HK47" i="2538"/>
  <c r="HJ47" i="2538"/>
  <c r="HI47" i="2538"/>
  <c r="HH47" i="2538"/>
  <c r="HG47" i="2538"/>
  <c r="HF47" i="2538"/>
  <c r="HE47" i="2538"/>
  <c r="HD47" i="2538"/>
  <c r="HC47" i="2538"/>
  <c r="HB47" i="2538"/>
  <c r="GZ47" i="2538"/>
  <c r="GY47" i="2538"/>
  <c r="GX47" i="2538"/>
  <c r="GW47" i="2538"/>
  <c r="GV47" i="2538"/>
  <c r="GU47" i="2538"/>
  <c r="GT47" i="2538"/>
  <c r="GS47" i="2538"/>
  <c r="GR47" i="2538"/>
  <c r="GQ47" i="2538"/>
  <c r="GM47" i="2538"/>
  <c r="GL47" i="2538"/>
  <c r="GK47" i="2538"/>
  <c r="GJ47" i="2538"/>
  <c r="GI47" i="2538"/>
  <c r="GH47" i="2538"/>
  <c r="GG47" i="2538"/>
  <c r="GF47" i="2538"/>
  <c r="GE47" i="2538"/>
  <c r="GD47" i="2538"/>
  <c r="IM45" i="2538"/>
  <c r="IL45" i="2538"/>
  <c r="IK45" i="2538"/>
  <c r="IJ45" i="2538"/>
  <c r="II45" i="2538"/>
  <c r="IH45" i="2538"/>
  <c r="IG45" i="2538"/>
  <c r="IF45" i="2538"/>
  <c r="IE45" i="2538"/>
  <c r="ID45" i="2538"/>
  <c r="IC45" i="2538"/>
  <c r="IB45" i="2538"/>
  <c r="HZ45" i="2538"/>
  <c r="HY45" i="2538"/>
  <c r="HX45" i="2538"/>
  <c r="HW45" i="2538"/>
  <c r="HV45" i="2538"/>
  <c r="HU45" i="2538"/>
  <c r="HT45" i="2538"/>
  <c r="HS45" i="2538"/>
  <c r="HR45" i="2538"/>
  <c r="HQ45" i="2538"/>
  <c r="HP45" i="2538"/>
  <c r="HO45" i="2538"/>
  <c r="HM45" i="2538"/>
  <c r="HL45" i="2538"/>
  <c r="HK45" i="2538"/>
  <c r="HJ45" i="2538"/>
  <c r="HI45" i="2538"/>
  <c r="HH45" i="2538"/>
  <c r="HG45" i="2538"/>
  <c r="HF45" i="2538"/>
  <c r="HE45" i="2538"/>
  <c r="HD45" i="2538"/>
  <c r="HC45" i="2538"/>
  <c r="HB45" i="2538"/>
  <c r="GZ45" i="2538"/>
  <c r="GY45" i="2538"/>
  <c r="GX45" i="2538"/>
  <c r="GW45" i="2538"/>
  <c r="GV45" i="2538"/>
  <c r="GU45" i="2538"/>
  <c r="GT45" i="2538"/>
  <c r="GS45" i="2538"/>
  <c r="GR45" i="2538"/>
  <c r="GQ45" i="2538"/>
  <c r="GP45" i="2538"/>
  <c r="GO45" i="2538"/>
  <c r="GM45" i="2538"/>
  <c r="GL45" i="2538"/>
  <c r="GK45" i="2538"/>
  <c r="GJ45" i="2538"/>
  <c r="GI45" i="2538"/>
  <c r="GH45" i="2538"/>
  <c r="GG45" i="2538"/>
  <c r="GF45" i="2538"/>
  <c r="GE45" i="2538"/>
  <c r="GD45" i="2538"/>
  <c r="GC45" i="2538"/>
  <c r="GB45" i="2538"/>
  <c r="FZ45" i="2538"/>
  <c r="FY45" i="2538"/>
  <c r="FX45" i="2538"/>
  <c r="FW45" i="2538"/>
  <c r="FV45" i="2538"/>
  <c r="FU45" i="2538"/>
  <c r="FT45" i="2538"/>
  <c r="FS45" i="2538"/>
  <c r="FR45" i="2538"/>
  <c r="FQ45" i="2538"/>
  <c r="FP45" i="2538"/>
  <c r="FO45" i="2538"/>
  <c r="FM45" i="2538"/>
  <c r="FL45" i="2538"/>
  <c r="FK45" i="2538"/>
  <c r="FJ45" i="2538"/>
  <c r="FI45" i="2538"/>
  <c r="FH45" i="2538"/>
  <c r="FG45" i="2538"/>
  <c r="FF45" i="2538"/>
  <c r="FE45" i="2538"/>
  <c r="FD45" i="2538"/>
  <c r="FC45" i="2538"/>
  <c r="FB45" i="2538"/>
  <c r="EZ45" i="2538"/>
  <c r="EY45" i="2538"/>
  <c r="EX45" i="2538"/>
  <c r="EW45" i="2538"/>
  <c r="EV45" i="2538"/>
  <c r="EU45" i="2538"/>
  <c r="ET45" i="2538"/>
  <c r="ES45" i="2538"/>
  <c r="ER45" i="2538"/>
  <c r="EQ45" i="2538"/>
  <c r="EP45" i="2538"/>
  <c r="EO45" i="2538"/>
  <c r="EM45" i="2538"/>
  <c r="EL45" i="2538"/>
  <c r="EK45" i="2538"/>
  <c r="EJ45" i="2538"/>
  <c r="EI45" i="2538"/>
  <c r="EH45" i="2538"/>
  <c r="EG45" i="2538"/>
  <c r="EF45" i="2538"/>
  <c r="EE45" i="2538"/>
  <c r="ED45" i="2538"/>
  <c r="EC45" i="2538"/>
  <c r="EB45" i="2538"/>
  <c r="DZ45" i="2538"/>
  <c r="DY45" i="2538"/>
  <c r="DX45" i="2538"/>
  <c r="DW45" i="2538"/>
  <c r="DV45" i="2538"/>
  <c r="DU45" i="2538"/>
  <c r="DT45" i="2538"/>
  <c r="DS45" i="2538"/>
  <c r="DR45" i="2538"/>
  <c r="DQ45" i="2538"/>
  <c r="DP45" i="2538"/>
  <c r="DO45" i="2538"/>
  <c r="DM45" i="2538"/>
  <c r="DL45" i="2538"/>
  <c r="DK45" i="2538"/>
  <c r="DJ45" i="2538"/>
  <c r="DI45" i="2538"/>
  <c r="DH45" i="2538"/>
  <c r="DG45" i="2538"/>
  <c r="DF45" i="2538"/>
  <c r="DE45" i="2538"/>
  <c r="DD45" i="2538"/>
  <c r="DC45" i="2538"/>
  <c r="DB45" i="2538"/>
  <c r="CZ45" i="2538"/>
  <c r="CY45" i="2538"/>
  <c r="CX45" i="2538"/>
  <c r="CW45" i="2538"/>
  <c r="CV45" i="2538"/>
  <c r="CU45" i="2538"/>
  <c r="CT45" i="2538"/>
  <c r="CS45" i="2538"/>
  <c r="CR45" i="2538"/>
  <c r="CQ45" i="2538"/>
  <c r="CP45" i="2538"/>
  <c r="CO45" i="2538"/>
  <c r="IM44" i="2538"/>
  <c r="IL44" i="2538"/>
  <c r="IK44" i="2538"/>
  <c r="IJ44" i="2538"/>
  <c r="II44" i="2538"/>
  <c r="IH44" i="2538"/>
  <c r="IG44" i="2538"/>
  <c r="IF44" i="2538"/>
  <c r="IE44" i="2538"/>
  <c r="ID44" i="2538"/>
  <c r="IC44" i="2538"/>
  <c r="IB44" i="2538"/>
  <c r="HZ44" i="2538"/>
  <c r="HY44" i="2538"/>
  <c r="HX44" i="2538"/>
  <c r="HW44" i="2538"/>
  <c r="HV44" i="2538"/>
  <c r="HU44" i="2538"/>
  <c r="HT44" i="2538"/>
  <c r="HR44" i="2538"/>
  <c r="HQ44" i="2538"/>
  <c r="HO44" i="2538"/>
  <c r="HO42" i="2538" s="1"/>
  <c r="HJ44" i="2538"/>
  <c r="HH44" i="2538"/>
  <c r="HG44" i="2538"/>
  <c r="HF44" i="2538"/>
  <c r="HE44" i="2538"/>
  <c r="HD44" i="2538"/>
  <c r="HC44" i="2538"/>
  <c r="HB44" i="2538"/>
  <c r="GZ44" i="2538"/>
  <c r="GY44" i="2538"/>
  <c r="GX44" i="2538"/>
  <c r="GW44" i="2538"/>
  <c r="GV44" i="2538"/>
  <c r="GU44" i="2538"/>
  <c r="GT44" i="2538"/>
  <c r="GS44" i="2538"/>
  <c r="GR44" i="2538"/>
  <c r="GQ44" i="2538"/>
  <c r="GM44" i="2538"/>
  <c r="GL44" i="2538"/>
  <c r="GK44" i="2538"/>
  <c r="GJ44" i="2538"/>
  <c r="GI44" i="2538"/>
  <c r="GH44" i="2538"/>
  <c r="GG44" i="2538"/>
  <c r="GF44" i="2538"/>
  <c r="GE44" i="2538"/>
  <c r="GD44" i="2538"/>
  <c r="GC44" i="2538"/>
  <c r="GB44" i="2538"/>
  <c r="FZ44" i="2538"/>
  <c r="FY44" i="2538"/>
  <c r="FX44" i="2538"/>
  <c r="FW44" i="2538"/>
  <c r="FV44" i="2538"/>
  <c r="FU44" i="2538"/>
  <c r="FT44" i="2538"/>
  <c r="FS44" i="2538"/>
  <c r="FR44" i="2538"/>
  <c r="FQ44" i="2538"/>
  <c r="FP44" i="2538"/>
  <c r="FO44" i="2538"/>
  <c r="FM44" i="2538"/>
  <c r="FL44" i="2538"/>
  <c r="FK44" i="2538"/>
  <c r="FJ44" i="2538"/>
  <c r="FI44" i="2538"/>
  <c r="FH44" i="2538"/>
  <c r="FG44" i="2538"/>
  <c r="FF44" i="2538"/>
  <c r="FE44" i="2538"/>
  <c r="FD44" i="2538"/>
  <c r="FC44" i="2538"/>
  <c r="FB44" i="2538"/>
  <c r="FA44" i="2538"/>
  <c r="EZ44" i="2538"/>
  <c r="EY44" i="2538"/>
  <c r="EX44" i="2538"/>
  <c r="EW44" i="2538"/>
  <c r="EV44" i="2538"/>
  <c r="EU44" i="2538"/>
  <c r="ET44" i="2538"/>
  <c r="ES44" i="2538"/>
  <c r="ER44" i="2538"/>
  <c r="EQ44" i="2538"/>
  <c r="EP44" i="2538"/>
  <c r="EO44" i="2538"/>
  <c r="EN44" i="2538"/>
  <c r="EM44" i="2538"/>
  <c r="EL44" i="2538"/>
  <c r="EK44" i="2538"/>
  <c r="EJ44" i="2538"/>
  <c r="EI44" i="2538"/>
  <c r="EH44" i="2538"/>
  <c r="EG44" i="2538"/>
  <c r="EF44" i="2538"/>
  <c r="EE44" i="2538"/>
  <c r="ED44" i="2538"/>
  <c r="EC44" i="2538"/>
  <c r="EB44" i="2538"/>
  <c r="DZ44" i="2538"/>
  <c r="DY44" i="2538"/>
  <c r="DX44" i="2538"/>
  <c r="DW44" i="2538"/>
  <c r="DV44" i="2538"/>
  <c r="DU44" i="2538"/>
  <c r="DT44" i="2538"/>
  <c r="DS44" i="2538"/>
  <c r="DR44" i="2538"/>
  <c r="DQ44" i="2538"/>
  <c r="DP44" i="2538"/>
  <c r="DO44" i="2538"/>
  <c r="DM44" i="2538"/>
  <c r="DL44" i="2538"/>
  <c r="DK44" i="2538"/>
  <c r="DJ44" i="2538"/>
  <c r="DI44" i="2538"/>
  <c r="DH44" i="2538"/>
  <c r="DG44" i="2538"/>
  <c r="DF44" i="2538"/>
  <c r="DE44" i="2538"/>
  <c r="DD44" i="2538"/>
  <c r="DC44" i="2538"/>
  <c r="DB44" i="2538"/>
  <c r="DA44" i="2538"/>
  <c r="CZ44" i="2538"/>
  <c r="CY44" i="2538"/>
  <c r="CX44" i="2538"/>
  <c r="CW44" i="2538"/>
  <c r="CV44" i="2538"/>
  <c r="CU44" i="2538"/>
  <c r="CT44" i="2538"/>
  <c r="CS44" i="2538"/>
  <c r="CR44" i="2538"/>
  <c r="CQ44" i="2538"/>
  <c r="CP44" i="2538"/>
  <c r="CO44" i="2538"/>
  <c r="IK43" i="2538"/>
  <c r="HX43" i="2538"/>
  <c r="HO43" i="2538"/>
  <c r="HH43" i="2538"/>
  <c r="GX43" i="2538"/>
  <c r="GU43" i="2538"/>
  <c r="FU43" i="2538"/>
  <c r="FT43" i="2538"/>
  <c r="FH43" i="2538"/>
  <c r="FH42" i="2538" s="1"/>
  <c r="EU43" i="2538"/>
  <c r="DU43" i="2538"/>
  <c r="IM41" i="2538"/>
  <c r="IL41" i="2538"/>
  <c r="IK41" i="2538"/>
  <c r="IJ41" i="2538"/>
  <c r="II41" i="2538"/>
  <c r="IH41" i="2538"/>
  <c r="IG41" i="2538"/>
  <c r="IF41" i="2538"/>
  <c r="IE41" i="2538"/>
  <c r="ID41" i="2538"/>
  <c r="IC41" i="2538"/>
  <c r="IB41" i="2538"/>
  <c r="HZ41" i="2538"/>
  <c r="HY41" i="2538"/>
  <c r="HX41" i="2538"/>
  <c r="HW41" i="2538"/>
  <c r="HV41" i="2538"/>
  <c r="HU41" i="2538"/>
  <c r="HT41" i="2538"/>
  <c r="HS41" i="2538"/>
  <c r="HR41" i="2538"/>
  <c r="HQ41" i="2538"/>
  <c r="HP41" i="2538"/>
  <c r="HO41" i="2538"/>
  <c r="HM41" i="2538"/>
  <c r="HL41" i="2538"/>
  <c r="HK41" i="2538"/>
  <c r="HJ41" i="2538"/>
  <c r="HI41" i="2538"/>
  <c r="HH41" i="2538"/>
  <c r="HG41" i="2538"/>
  <c r="HF41" i="2538"/>
  <c r="HE41" i="2538"/>
  <c r="HD41" i="2538"/>
  <c r="HC41" i="2538"/>
  <c r="HB41" i="2538"/>
  <c r="GZ41" i="2538"/>
  <c r="GY41" i="2538"/>
  <c r="GX41" i="2538"/>
  <c r="GW41" i="2538"/>
  <c r="GV41" i="2538"/>
  <c r="GU41" i="2538"/>
  <c r="GT41" i="2538"/>
  <c r="GS41" i="2538"/>
  <c r="GR41" i="2538"/>
  <c r="GQ41" i="2538"/>
  <c r="GP41" i="2538"/>
  <c r="GO41" i="2538"/>
  <c r="GM41" i="2538"/>
  <c r="GL41" i="2538"/>
  <c r="GK41" i="2538"/>
  <c r="GJ41" i="2538"/>
  <c r="GI41" i="2538"/>
  <c r="GH41" i="2538"/>
  <c r="GG41" i="2538"/>
  <c r="GF41" i="2538"/>
  <c r="GE41" i="2538"/>
  <c r="GD41" i="2538"/>
  <c r="GC41" i="2538"/>
  <c r="GB41" i="2538"/>
  <c r="FZ41" i="2538"/>
  <c r="FY41" i="2538"/>
  <c r="FX41" i="2538"/>
  <c r="FW41" i="2538"/>
  <c r="FV41" i="2538"/>
  <c r="FU41" i="2538"/>
  <c r="FT41" i="2538"/>
  <c r="FS41" i="2538"/>
  <c r="FR41" i="2538"/>
  <c r="FQ41" i="2538"/>
  <c r="FP41" i="2538"/>
  <c r="FO41" i="2538"/>
  <c r="FM41" i="2538"/>
  <c r="FL41" i="2538"/>
  <c r="FK41" i="2538"/>
  <c r="FJ41" i="2538"/>
  <c r="FI41" i="2538"/>
  <c r="FH41" i="2538"/>
  <c r="FG41" i="2538"/>
  <c r="FF41" i="2538"/>
  <c r="FE41" i="2538"/>
  <c r="FD41" i="2538"/>
  <c r="FC41" i="2538"/>
  <c r="FB41" i="2538"/>
  <c r="EZ41" i="2538"/>
  <c r="EY41" i="2538"/>
  <c r="EX41" i="2538"/>
  <c r="EW41" i="2538"/>
  <c r="EV41" i="2538"/>
  <c r="EU41" i="2538"/>
  <c r="ET41" i="2538"/>
  <c r="ES41" i="2538"/>
  <c r="ER41" i="2538"/>
  <c r="EQ41" i="2538"/>
  <c r="EP41" i="2538"/>
  <c r="EO41" i="2538"/>
  <c r="EM41" i="2538"/>
  <c r="EL41" i="2538"/>
  <c r="EK41" i="2538"/>
  <c r="EJ41" i="2538"/>
  <c r="EI41" i="2538"/>
  <c r="EH41" i="2538"/>
  <c r="EG41" i="2538"/>
  <c r="EF41" i="2538"/>
  <c r="EE41" i="2538"/>
  <c r="ED41" i="2538"/>
  <c r="EC41" i="2538"/>
  <c r="EB41" i="2538"/>
  <c r="DZ41" i="2538"/>
  <c r="DY41" i="2538"/>
  <c r="DX41" i="2538"/>
  <c r="DW41" i="2538"/>
  <c r="DV41" i="2538"/>
  <c r="DU41" i="2538"/>
  <c r="DT41" i="2538"/>
  <c r="DS41" i="2538"/>
  <c r="DR41" i="2538"/>
  <c r="DQ41" i="2538"/>
  <c r="DP41" i="2538"/>
  <c r="DO41" i="2538"/>
  <c r="DM41" i="2538"/>
  <c r="DL41" i="2538"/>
  <c r="DK41" i="2538"/>
  <c r="DJ41" i="2538"/>
  <c r="DI41" i="2538"/>
  <c r="DH41" i="2538"/>
  <c r="DG41" i="2538"/>
  <c r="DF41" i="2538"/>
  <c r="DE41" i="2538"/>
  <c r="DD41" i="2538"/>
  <c r="DC41" i="2538"/>
  <c r="DB41" i="2538"/>
  <c r="CZ41" i="2538"/>
  <c r="CY41" i="2538"/>
  <c r="CX41" i="2538"/>
  <c r="CW41" i="2538"/>
  <c r="CV41" i="2538"/>
  <c r="CU41" i="2538"/>
  <c r="CT41" i="2538"/>
  <c r="CS41" i="2538"/>
  <c r="CR41" i="2538"/>
  <c r="CQ41" i="2538"/>
  <c r="CP41" i="2538"/>
  <c r="CO41" i="2538"/>
  <c r="HZ37" i="2538"/>
  <c r="IM37" i="2538" s="1"/>
  <c r="HY37" i="2538"/>
  <c r="IL37" i="2538" s="1"/>
  <c r="HX37" i="2538"/>
  <c r="IK37" i="2538" s="1"/>
  <c r="HW37" i="2538"/>
  <c r="IJ37" i="2538" s="1"/>
  <c r="HV37" i="2538"/>
  <c r="II37" i="2538" s="1"/>
  <c r="HU37" i="2538"/>
  <c r="IH37" i="2538" s="1"/>
  <c r="HT37" i="2538"/>
  <c r="IG37" i="2538" s="1"/>
  <c r="HS37" i="2538"/>
  <c r="IF37" i="2538" s="1"/>
  <c r="HR37" i="2538"/>
  <c r="IE37" i="2538" s="1"/>
  <c r="HQ37" i="2538"/>
  <c r="ID37" i="2538" s="1"/>
  <c r="HP37" i="2538"/>
  <c r="IC37" i="2538" s="1"/>
  <c r="HO37" i="2538"/>
  <c r="IB37" i="2538" s="1"/>
  <c r="DX37" i="2538"/>
  <c r="DW37" i="2538"/>
  <c r="DV37" i="2538"/>
  <c r="DU37" i="2538"/>
  <c r="DT37" i="2538"/>
  <c r="DS37" i="2538"/>
  <c r="DR37" i="2538"/>
  <c r="DQ37" i="2538"/>
  <c r="DP37" i="2538"/>
  <c r="DO37" i="2538"/>
  <c r="IN30" i="2538"/>
  <c r="EA30" i="2538"/>
  <c r="DN30" i="2538"/>
  <c r="DA30" i="2538"/>
  <c r="CN30" i="2538"/>
  <c r="CA30" i="2538"/>
  <c r="AN30" i="2538"/>
  <c r="AA30" i="2538"/>
  <c r="N30" i="2538"/>
  <c r="IN29" i="2538"/>
  <c r="EA29" i="2538"/>
  <c r="DN29" i="2538"/>
  <c r="DA29" i="2538"/>
  <c r="CN29" i="2538"/>
  <c r="CA29" i="2538"/>
  <c r="AN29" i="2538"/>
  <c r="AA29" i="2538"/>
  <c r="N29" i="2538"/>
  <c r="IN28" i="2538"/>
  <c r="IA28" i="2538"/>
  <c r="HN28" i="2538"/>
  <c r="HA28" i="2538"/>
  <c r="GN28" i="2538"/>
  <c r="GA28" i="2538"/>
  <c r="FN28" i="2538"/>
  <c r="FA28" i="2538"/>
  <c r="EN28" i="2538"/>
  <c r="EA28" i="2538"/>
  <c r="DN28" i="2538"/>
  <c r="DA28" i="2538"/>
  <c r="CN28" i="2538"/>
  <c r="CA28" i="2538"/>
  <c r="BN28" i="2538"/>
  <c r="BA28" i="2538"/>
  <c r="AN28" i="2538"/>
  <c r="AA28" i="2538"/>
  <c r="N28" i="2538"/>
  <c r="IN27" i="2538"/>
  <c r="IA27" i="2538"/>
  <c r="HN27" i="2538"/>
  <c r="HA27" i="2538"/>
  <c r="GN27" i="2538"/>
  <c r="GA27" i="2538"/>
  <c r="FN27" i="2538"/>
  <c r="FA27" i="2538"/>
  <c r="EN27" i="2538"/>
  <c r="EA27" i="2538"/>
  <c r="DN27" i="2538"/>
  <c r="DA27" i="2538"/>
  <c r="CN27" i="2538"/>
  <c r="CA27" i="2538"/>
  <c r="BN27" i="2538"/>
  <c r="BA27" i="2538"/>
  <c r="AN27" i="2538"/>
  <c r="AA27" i="2538"/>
  <c r="N27" i="2538"/>
  <c r="IN26" i="2538"/>
  <c r="IA26" i="2538"/>
  <c r="HN26" i="2538"/>
  <c r="HA26" i="2538"/>
  <c r="GN26" i="2538"/>
  <c r="GA26" i="2538"/>
  <c r="FN26" i="2538"/>
  <c r="FA26" i="2538"/>
  <c r="EN26" i="2538"/>
  <c r="EA26" i="2538"/>
  <c r="DN26" i="2538"/>
  <c r="DA26" i="2538"/>
  <c r="CN26" i="2538"/>
  <c r="CA26" i="2538"/>
  <c r="BN26" i="2538"/>
  <c r="BA26" i="2538"/>
  <c r="AF26" i="2538"/>
  <c r="AF24" i="2538" s="1"/>
  <c r="AE26" i="2538"/>
  <c r="AB26" i="2538"/>
  <c r="AB24" i="2538" s="1"/>
  <c r="AA26" i="2538"/>
  <c r="N26" i="2538"/>
  <c r="IN25" i="2538"/>
  <c r="IA25" i="2538"/>
  <c r="HN25" i="2538"/>
  <c r="HA25" i="2538"/>
  <c r="GN25" i="2538"/>
  <c r="GA25" i="2538"/>
  <c r="FN25" i="2538"/>
  <c r="FA25" i="2538"/>
  <c r="EN25" i="2538"/>
  <c r="EA25" i="2538"/>
  <c r="DN25" i="2538"/>
  <c r="DA25" i="2538"/>
  <c r="CN25" i="2538"/>
  <c r="CA25" i="2538"/>
  <c r="BN25" i="2538"/>
  <c r="BA25" i="2538"/>
  <c r="AN25" i="2538"/>
  <c r="AA25" i="2538"/>
  <c r="N25" i="2538"/>
  <c r="IM24" i="2538"/>
  <c r="IL24" i="2538"/>
  <c r="IK24" i="2538"/>
  <c r="IJ24" i="2538"/>
  <c r="II24" i="2538"/>
  <c r="IH24" i="2538"/>
  <c r="IG24" i="2538"/>
  <c r="IF24" i="2538"/>
  <c r="IE24" i="2538"/>
  <c r="ID24" i="2538"/>
  <c r="IC24" i="2538"/>
  <c r="IB24" i="2538"/>
  <c r="HZ24" i="2538"/>
  <c r="HY24" i="2538"/>
  <c r="HX24" i="2538"/>
  <c r="HW24" i="2538"/>
  <c r="HV24" i="2538"/>
  <c r="HU24" i="2538"/>
  <c r="HT24" i="2538"/>
  <c r="HS24" i="2538"/>
  <c r="HR24" i="2538"/>
  <c r="HQ24" i="2538"/>
  <c r="HP24" i="2538"/>
  <c r="HO24" i="2538"/>
  <c r="HM24" i="2538"/>
  <c r="HL24" i="2538"/>
  <c r="HK24" i="2538"/>
  <c r="HJ24" i="2538"/>
  <c r="HI24" i="2538"/>
  <c r="HH24" i="2538"/>
  <c r="HG24" i="2538"/>
  <c r="HF24" i="2538"/>
  <c r="HE24" i="2538"/>
  <c r="HD24" i="2538"/>
  <c r="HC24" i="2538"/>
  <c r="HB24" i="2538"/>
  <c r="GZ24" i="2538"/>
  <c r="GY24" i="2538"/>
  <c r="GX24" i="2538"/>
  <c r="GW24" i="2538"/>
  <c r="GV24" i="2538"/>
  <c r="GU24" i="2538"/>
  <c r="GT24" i="2538"/>
  <c r="GS24" i="2538"/>
  <c r="GR24" i="2538"/>
  <c r="GQ24" i="2538"/>
  <c r="GP24" i="2538"/>
  <c r="GO24" i="2538"/>
  <c r="GM24" i="2538"/>
  <c r="GL24" i="2538"/>
  <c r="GK24" i="2538"/>
  <c r="GJ24" i="2538"/>
  <c r="GI24" i="2538"/>
  <c r="GH24" i="2538"/>
  <c r="GG24" i="2538"/>
  <c r="GF24" i="2538"/>
  <c r="GE24" i="2538"/>
  <c r="GD24" i="2538"/>
  <c r="GC24" i="2538"/>
  <c r="GB24" i="2538"/>
  <c r="FZ24" i="2538"/>
  <c r="FY24" i="2538"/>
  <c r="FX24" i="2538"/>
  <c r="FW24" i="2538"/>
  <c r="FV24" i="2538"/>
  <c r="FU24" i="2538"/>
  <c r="FT24" i="2538"/>
  <c r="FS24" i="2538"/>
  <c r="FR24" i="2538"/>
  <c r="FQ24" i="2538"/>
  <c r="FP24" i="2538"/>
  <c r="FO24" i="2538"/>
  <c r="FM24" i="2538"/>
  <c r="FL24" i="2538"/>
  <c r="FK24" i="2538"/>
  <c r="FJ24" i="2538"/>
  <c r="FI24" i="2538"/>
  <c r="FH24" i="2538"/>
  <c r="FG24" i="2538"/>
  <c r="FF24" i="2538"/>
  <c r="FE24" i="2538"/>
  <c r="FD24" i="2538"/>
  <c r="FC24" i="2538"/>
  <c r="FB24" i="2538"/>
  <c r="EZ24" i="2538"/>
  <c r="EY24" i="2538"/>
  <c r="EX24" i="2538"/>
  <c r="EW24" i="2538"/>
  <c r="EV24" i="2538"/>
  <c r="EU24" i="2538"/>
  <c r="ET24" i="2538"/>
  <c r="ES24" i="2538"/>
  <c r="ER24" i="2538"/>
  <c r="EQ24" i="2538"/>
  <c r="EP24" i="2538"/>
  <c r="EO24" i="2538"/>
  <c r="EM24" i="2538"/>
  <c r="EL24" i="2538"/>
  <c r="EK24" i="2538"/>
  <c r="EJ24" i="2538"/>
  <c r="EI24" i="2538"/>
  <c r="EH24" i="2538"/>
  <c r="EG24" i="2538"/>
  <c r="EF24" i="2538"/>
  <c r="EE24" i="2538"/>
  <c r="ED24" i="2538"/>
  <c r="EC24" i="2538"/>
  <c r="EB24" i="2538"/>
  <c r="DZ24" i="2538"/>
  <c r="DY24" i="2538"/>
  <c r="DX24" i="2538"/>
  <c r="DW24" i="2538"/>
  <c r="DV24" i="2538"/>
  <c r="DU24" i="2538"/>
  <c r="DT24" i="2538"/>
  <c r="DS24" i="2538"/>
  <c r="DR24" i="2538"/>
  <c r="DQ24" i="2538"/>
  <c r="DP24" i="2538"/>
  <c r="DO24" i="2538"/>
  <c r="DM24" i="2538"/>
  <c r="DL24" i="2538"/>
  <c r="DK24" i="2538"/>
  <c r="DJ24" i="2538"/>
  <c r="DI24" i="2538"/>
  <c r="DH24" i="2538"/>
  <c r="DG24" i="2538"/>
  <c r="DF24" i="2538"/>
  <c r="DE24" i="2538"/>
  <c r="DD24" i="2538"/>
  <c r="DC24" i="2538"/>
  <c r="DB24" i="2538"/>
  <c r="CZ24" i="2538"/>
  <c r="CY24" i="2538"/>
  <c r="CX24" i="2538"/>
  <c r="CW24" i="2538"/>
  <c r="CV24" i="2538"/>
  <c r="CU24" i="2538"/>
  <c r="CT24" i="2538"/>
  <c r="CS24" i="2538"/>
  <c r="CR24" i="2538"/>
  <c r="CQ24" i="2538"/>
  <c r="CP24" i="2538"/>
  <c r="CO24" i="2538"/>
  <c r="CM24" i="2538"/>
  <c r="CL24" i="2538"/>
  <c r="CK24" i="2538"/>
  <c r="CJ24" i="2538"/>
  <c r="CI24" i="2538"/>
  <c r="CH24" i="2538"/>
  <c r="CG24" i="2538"/>
  <c r="CF24" i="2538"/>
  <c r="CE24" i="2538"/>
  <c r="CD24" i="2538"/>
  <c r="CC24" i="2538"/>
  <c r="CB24" i="2538"/>
  <c r="BZ24" i="2538"/>
  <c r="BY24" i="2538"/>
  <c r="BX24" i="2538"/>
  <c r="BW24" i="2538"/>
  <c r="BV24" i="2538"/>
  <c r="BU24" i="2538"/>
  <c r="BT24" i="2538"/>
  <c r="BS24" i="2538"/>
  <c r="BR24" i="2538"/>
  <c r="BQ24" i="2538"/>
  <c r="BP24" i="2538"/>
  <c r="BO24" i="2538"/>
  <c r="BM24" i="2538"/>
  <c r="BL24" i="2538"/>
  <c r="BK24" i="2538"/>
  <c r="BJ24" i="2538"/>
  <c r="BI24" i="2538"/>
  <c r="BH24" i="2538"/>
  <c r="BG24" i="2538"/>
  <c r="BF24" i="2538"/>
  <c r="BE24" i="2538"/>
  <c r="BD24" i="2538"/>
  <c r="BC24" i="2538"/>
  <c r="BB24" i="2538"/>
  <c r="AZ24" i="2538"/>
  <c r="AY24" i="2538"/>
  <c r="AX24" i="2538"/>
  <c r="AW24" i="2538"/>
  <c r="AV24" i="2538"/>
  <c r="AU24" i="2538"/>
  <c r="AT24" i="2538"/>
  <c r="AS24" i="2538"/>
  <c r="AR24" i="2538"/>
  <c r="AQ24" i="2538"/>
  <c r="AP24" i="2538"/>
  <c r="AO24" i="2538"/>
  <c r="AM24" i="2538"/>
  <c r="AL24" i="2538"/>
  <c r="AK24" i="2538"/>
  <c r="AJ24" i="2538"/>
  <c r="AI24" i="2538"/>
  <c r="AH24" i="2538"/>
  <c r="AG24" i="2538"/>
  <c r="AE24" i="2538"/>
  <c r="AD24" i="2538"/>
  <c r="AC24" i="2538"/>
  <c r="Z24" i="2538"/>
  <c r="Y24" i="2538"/>
  <c r="X24" i="2538"/>
  <c r="W24" i="2538"/>
  <c r="V24" i="2538"/>
  <c r="U24" i="2538"/>
  <c r="T24" i="2538"/>
  <c r="S24" i="2538"/>
  <c r="R24" i="2538"/>
  <c r="Q24" i="2538"/>
  <c r="P24" i="2538"/>
  <c r="O24" i="2538"/>
  <c r="M24" i="2538"/>
  <c r="L24" i="2538"/>
  <c r="K24" i="2538"/>
  <c r="J24" i="2538"/>
  <c r="I24" i="2538"/>
  <c r="H24" i="2538"/>
  <c r="G24" i="2538"/>
  <c r="F24" i="2538"/>
  <c r="E24" i="2538"/>
  <c r="D24" i="2538"/>
  <c r="C24" i="2538"/>
  <c r="B24" i="2538"/>
  <c r="IN22" i="2538"/>
  <c r="IA22" i="2538"/>
  <c r="HN22" i="2538"/>
  <c r="HA22" i="2538"/>
  <c r="GN22" i="2538"/>
  <c r="GA22" i="2538"/>
  <c r="FN22" i="2538"/>
  <c r="FA22" i="2538"/>
  <c r="EN22" i="2538"/>
  <c r="EA22" i="2538"/>
  <c r="DN22" i="2538"/>
  <c r="DA22" i="2538"/>
  <c r="CN22" i="2538"/>
  <c r="CA22" i="2538"/>
  <c r="BN22" i="2538"/>
  <c r="BA22" i="2538"/>
  <c r="AN22" i="2538"/>
  <c r="AA22" i="2538"/>
  <c r="N22" i="2538"/>
  <c r="IN21" i="2538"/>
  <c r="IA21" i="2538"/>
  <c r="HN21" i="2538"/>
  <c r="HA21" i="2538"/>
  <c r="GN21" i="2538"/>
  <c r="GA21" i="2538"/>
  <c r="FN21" i="2538"/>
  <c r="FA21" i="2538"/>
  <c r="EN21" i="2538"/>
  <c r="EA21" i="2538"/>
  <c r="DN21" i="2538"/>
  <c r="DA21" i="2538"/>
  <c r="CN21" i="2538"/>
  <c r="CA21" i="2538"/>
  <c r="BN21" i="2538"/>
  <c r="BA21" i="2538"/>
  <c r="AN21" i="2538"/>
  <c r="AA21" i="2538"/>
  <c r="N21" i="2538"/>
  <c r="IM20" i="2538"/>
  <c r="IL20" i="2538"/>
  <c r="IK20" i="2538"/>
  <c r="IJ20" i="2538"/>
  <c r="II20" i="2538"/>
  <c r="IH20" i="2538"/>
  <c r="IG20" i="2538"/>
  <c r="IF20" i="2538"/>
  <c r="IE20" i="2538"/>
  <c r="ID20" i="2538"/>
  <c r="IC20" i="2538"/>
  <c r="IB20" i="2538"/>
  <c r="HZ20" i="2538"/>
  <c r="HY20" i="2538"/>
  <c r="HX20" i="2538"/>
  <c r="HW20" i="2538"/>
  <c r="HV20" i="2538"/>
  <c r="HU20" i="2538"/>
  <c r="HT20" i="2538"/>
  <c r="HS20" i="2538"/>
  <c r="HR20" i="2538"/>
  <c r="HQ20" i="2538"/>
  <c r="HP20" i="2538"/>
  <c r="HO20" i="2538"/>
  <c r="HM20" i="2538"/>
  <c r="HL20" i="2538"/>
  <c r="HK20" i="2538"/>
  <c r="HJ20" i="2538"/>
  <c r="HI20" i="2538"/>
  <c r="HH20" i="2538"/>
  <c r="HG20" i="2538"/>
  <c r="HF20" i="2538"/>
  <c r="HE20" i="2538"/>
  <c r="HD20" i="2538"/>
  <c r="HC20" i="2538"/>
  <c r="HB20" i="2538"/>
  <c r="GZ20" i="2538"/>
  <c r="GY20" i="2538"/>
  <c r="GX20" i="2538"/>
  <c r="GW20" i="2538"/>
  <c r="GV20" i="2538"/>
  <c r="GU20" i="2538"/>
  <c r="GT20" i="2538"/>
  <c r="GS20" i="2538"/>
  <c r="GR20" i="2538"/>
  <c r="GQ20" i="2538"/>
  <c r="GP20" i="2538"/>
  <c r="GO20" i="2538"/>
  <c r="GM20" i="2538"/>
  <c r="GL20" i="2538"/>
  <c r="GK20" i="2538"/>
  <c r="GJ20" i="2538"/>
  <c r="GI20" i="2538"/>
  <c r="GH20" i="2538"/>
  <c r="GG20" i="2538"/>
  <c r="GF20" i="2538"/>
  <c r="GE20" i="2538"/>
  <c r="GD20" i="2538"/>
  <c r="GC20" i="2538"/>
  <c r="GB20" i="2538"/>
  <c r="FZ20" i="2538"/>
  <c r="FY20" i="2538"/>
  <c r="FX20" i="2538"/>
  <c r="FW20" i="2538"/>
  <c r="FV20" i="2538"/>
  <c r="FU20" i="2538"/>
  <c r="FT20" i="2538"/>
  <c r="FS20" i="2538"/>
  <c r="FR20" i="2538"/>
  <c r="FQ20" i="2538"/>
  <c r="FP20" i="2538"/>
  <c r="FO20" i="2538"/>
  <c r="FM20" i="2538"/>
  <c r="FL20" i="2538"/>
  <c r="FK20" i="2538"/>
  <c r="FJ20" i="2538"/>
  <c r="FI20" i="2538"/>
  <c r="FH20" i="2538"/>
  <c r="FG20" i="2538"/>
  <c r="FF20" i="2538"/>
  <c r="FE20" i="2538"/>
  <c r="FD20" i="2538"/>
  <c r="FC20" i="2538"/>
  <c r="FB20" i="2538"/>
  <c r="EZ20" i="2538"/>
  <c r="EY20" i="2538"/>
  <c r="EX20" i="2538"/>
  <c r="EW20" i="2538"/>
  <c r="EV20" i="2538"/>
  <c r="EU20" i="2538"/>
  <c r="ET20" i="2538"/>
  <c r="ES20" i="2538"/>
  <c r="ER20" i="2538"/>
  <c r="EQ20" i="2538"/>
  <c r="EP20" i="2538"/>
  <c r="EO20" i="2538"/>
  <c r="EM20" i="2538"/>
  <c r="EL20" i="2538"/>
  <c r="EK20" i="2538"/>
  <c r="EJ20" i="2538"/>
  <c r="EI20" i="2538"/>
  <c r="EH20" i="2538"/>
  <c r="EG20" i="2538"/>
  <c r="EF20" i="2538"/>
  <c r="EE20" i="2538"/>
  <c r="ED20" i="2538"/>
  <c r="EC20" i="2538"/>
  <c r="EB20" i="2538"/>
  <c r="DZ20" i="2538"/>
  <c r="DY20" i="2538"/>
  <c r="DX20" i="2538"/>
  <c r="DW20" i="2538"/>
  <c r="DV20" i="2538"/>
  <c r="DU20" i="2538"/>
  <c r="DT20" i="2538"/>
  <c r="DS20" i="2538"/>
  <c r="DR20" i="2538"/>
  <c r="DQ20" i="2538"/>
  <c r="DP20" i="2538"/>
  <c r="DO20" i="2538"/>
  <c r="DM20" i="2538"/>
  <c r="DL20" i="2538"/>
  <c r="DK20" i="2538"/>
  <c r="DJ20" i="2538"/>
  <c r="DI20" i="2538"/>
  <c r="DH20" i="2538"/>
  <c r="DG20" i="2538"/>
  <c r="DF20" i="2538"/>
  <c r="DE20" i="2538"/>
  <c r="DD20" i="2538"/>
  <c r="DC20" i="2538"/>
  <c r="DB20" i="2538"/>
  <c r="CZ20" i="2538"/>
  <c r="CY20" i="2538"/>
  <c r="CX20" i="2538"/>
  <c r="CW20" i="2538"/>
  <c r="CV20" i="2538"/>
  <c r="CU20" i="2538"/>
  <c r="CT20" i="2538"/>
  <c r="CS20" i="2538"/>
  <c r="CR20" i="2538"/>
  <c r="CQ20" i="2538"/>
  <c r="CP20" i="2538"/>
  <c r="CO20" i="2538"/>
  <c r="CM20" i="2538"/>
  <c r="CL20" i="2538"/>
  <c r="CK20" i="2538"/>
  <c r="CJ20" i="2538"/>
  <c r="CI20" i="2538"/>
  <c r="CH20" i="2538"/>
  <c r="CG20" i="2538"/>
  <c r="CF20" i="2538"/>
  <c r="CE20" i="2538"/>
  <c r="CD20" i="2538"/>
  <c r="CC20" i="2538"/>
  <c r="CB20" i="2538"/>
  <c r="BZ20" i="2538"/>
  <c r="BY20" i="2538"/>
  <c r="BX20" i="2538"/>
  <c r="BW20" i="2538"/>
  <c r="BV20" i="2538"/>
  <c r="BU20" i="2538"/>
  <c r="BT20" i="2538"/>
  <c r="BS20" i="2538"/>
  <c r="BR20" i="2538"/>
  <c r="BQ20" i="2538"/>
  <c r="BP20" i="2538"/>
  <c r="BO20" i="2538"/>
  <c r="BM20" i="2538"/>
  <c r="BL20" i="2538"/>
  <c r="BK20" i="2538"/>
  <c r="BJ20" i="2538"/>
  <c r="BI20" i="2538"/>
  <c r="BH20" i="2538"/>
  <c r="BG20" i="2538"/>
  <c r="BF20" i="2538"/>
  <c r="BE20" i="2538"/>
  <c r="BD20" i="2538"/>
  <c r="BC20" i="2538"/>
  <c r="BB20" i="2538"/>
  <c r="AZ20" i="2538"/>
  <c r="AY20" i="2538"/>
  <c r="AX20" i="2538"/>
  <c r="AW20" i="2538"/>
  <c r="AV20" i="2538"/>
  <c r="AU20" i="2538"/>
  <c r="AT20" i="2538"/>
  <c r="AS20" i="2538"/>
  <c r="AR20" i="2538"/>
  <c r="AQ20" i="2538"/>
  <c r="AP20" i="2538"/>
  <c r="AO20" i="2538"/>
  <c r="AM20" i="2538"/>
  <c r="AL20" i="2538"/>
  <c r="AK20" i="2538"/>
  <c r="AJ20" i="2538"/>
  <c r="AI20" i="2538"/>
  <c r="AH20" i="2538"/>
  <c r="AG20" i="2538"/>
  <c r="AF20" i="2538"/>
  <c r="AE20" i="2538"/>
  <c r="AD20" i="2538"/>
  <c r="AC20" i="2538"/>
  <c r="AB20" i="2538"/>
  <c r="Z20" i="2538"/>
  <c r="Y20" i="2538"/>
  <c r="X20" i="2538"/>
  <c r="W20" i="2538"/>
  <c r="V20" i="2538"/>
  <c r="U20" i="2538"/>
  <c r="T20" i="2538"/>
  <c r="S20" i="2538"/>
  <c r="R20" i="2538"/>
  <c r="Q20" i="2538"/>
  <c r="P20" i="2538"/>
  <c r="O20" i="2538"/>
  <c r="M20" i="2538"/>
  <c r="L20" i="2538"/>
  <c r="K20" i="2538"/>
  <c r="J20" i="2538"/>
  <c r="I20" i="2538"/>
  <c r="H20" i="2538"/>
  <c r="G20" i="2538"/>
  <c r="F20" i="2538"/>
  <c r="E20" i="2538"/>
  <c r="D20" i="2538"/>
  <c r="C20" i="2538"/>
  <c r="B20" i="2538"/>
  <c r="IN19" i="2538"/>
  <c r="IA19" i="2538"/>
  <c r="HN19" i="2538"/>
  <c r="HA19" i="2538"/>
  <c r="GN19" i="2538"/>
  <c r="GA19" i="2538"/>
  <c r="FN19" i="2538"/>
  <c r="FA19" i="2538"/>
  <c r="EN19" i="2538"/>
  <c r="EA19" i="2538"/>
  <c r="DN19" i="2538"/>
  <c r="DA19" i="2538"/>
  <c r="CN19" i="2538"/>
  <c r="CA19" i="2538"/>
  <c r="BN19" i="2538"/>
  <c r="BA19" i="2538"/>
  <c r="AN19" i="2538"/>
  <c r="AA19" i="2538"/>
  <c r="N19" i="2538"/>
  <c r="IN18" i="2538"/>
  <c r="IA18" i="2538"/>
  <c r="HN18" i="2538"/>
  <c r="HA18" i="2538"/>
  <c r="GN18" i="2538"/>
  <c r="GA18" i="2538"/>
  <c r="FN18" i="2538"/>
  <c r="FA18" i="2538"/>
  <c r="EN18" i="2538"/>
  <c r="EA18" i="2538"/>
  <c r="DN18" i="2538"/>
  <c r="DA18" i="2538"/>
  <c r="CN18" i="2538"/>
  <c r="CA18" i="2538"/>
  <c r="BN18" i="2538"/>
  <c r="BA18" i="2538"/>
  <c r="AA18" i="2538"/>
  <c r="N18" i="2538"/>
  <c r="IN17" i="2538"/>
  <c r="IA17" i="2538"/>
  <c r="HN17" i="2538"/>
  <c r="GP17" i="2538"/>
  <c r="GP47" i="2538" s="1"/>
  <c r="GO17" i="2538"/>
  <c r="GC17" i="2538"/>
  <c r="GC47" i="2538" s="1"/>
  <c r="GB17" i="2538"/>
  <c r="FZ17" i="2538"/>
  <c r="FZ47" i="2538" s="1"/>
  <c r="FY17" i="2538"/>
  <c r="FY47" i="2538" s="1"/>
  <c r="FX17" i="2538"/>
  <c r="FX47" i="2538" s="1"/>
  <c r="FW17" i="2538"/>
  <c r="FW47" i="2538" s="1"/>
  <c r="FV17" i="2538"/>
  <c r="FV47" i="2538" s="1"/>
  <c r="FU17" i="2538"/>
  <c r="FU47" i="2538" s="1"/>
  <c r="FT17" i="2538"/>
  <c r="FT47" i="2538" s="1"/>
  <c r="FS17" i="2538"/>
  <c r="FS47" i="2538" s="1"/>
  <c r="FR17" i="2538"/>
  <c r="FR47" i="2538" s="1"/>
  <c r="FQ17" i="2538"/>
  <c r="FQ47" i="2538" s="1"/>
  <c r="FP17" i="2538"/>
  <c r="FP47" i="2538" s="1"/>
  <c r="FO17" i="2538"/>
  <c r="FM17" i="2538"/>
  <c r="FM47" i="2538" s="1"/>
  <c r="FL17" i="2538"/>
  <c r="FL47" i="2538" s="1"/>
  <c r="FK17" i="2538"/>
  <c r="FK47" i="2538" s="1"/>
  <c r="FJ17" i="2538"/>
  <c r="FJ47" i="2538" s="1"/>
  <c r="FI17" i="2538"/>
  <c r="FI47" i="2538" s="1"/>
  <c r="FH17" i="2538"/>
  <c r="FH47" i="2538" s="1"/>
  <c r="FG17" i="2538"/>
  <c r="FG47" i="2538" s="1"/>
  <c r="FF17" i="2538"/>
  <c r="FF47" i="2538" s="1"/>
  <c r="FE17" i="2538"/>
  <c r="FE47" i="2538" s="1"/>
  <c r="FD17" i="2538"/>
  <c r="FD47" i="2538" s="1"/>
  <c r="FC17" i="2538"/>
  <c r="FC47" i="2538" s="1"/>
  <c r="FB17" i="2538"/>
  <c r="FB47" i="2538" s="1"/>
  <c r="EZ17" i="2538"/>
  <c r="EZ47" i="2538" s="1"/>
  <c r="EY17" i="2538"/>
  <c r="EY47" i="2538" s="1"/>
  <c r="EX17" i="2538"/>
  <c r="EX47" i="2538" s="1"/>
  <c r="EW17" i="2538"/>
  <c r="EW47" i="2538" s="1"/>
  <c r="EV17" i="2538"/>
  <c r="EV47" i="2538" s="1"/>
  <c r="EU17" i="2538"/>
  <c r="EU47" i="2538" s="1"/>
  <c r="ET17" i="2538"/>
  <c r="ET47" i="2538" s="1"/>
  <c r="ES17" i="2538"/>
  <c r="ES47" i="2538" s="1"/>
  <c r="ER17" i="2538"/>
  <c r="ER47" i="2538" s="1"/>
  <c r="EQ17" i="2538"/>
  <c r="EQ47" i="2538" s="1"/>
  <c r="EP17" i="2538"/>
  <c r="EP47" i="2538" s="1"/>
  <c r="EO17" i="2538"/>
  <c r="EO47" i="2538" s="1"/>
  <c r="EM17" i="2538"/>
  <c r="EM47" i="2538" s="1"/>
  <c r="EL17" i="2538"/>
  <c r="EL47" i="2538" s="1"/>
  <c r="EK17" i="2538"/>
  <c r="EK47" i="2538" s="1"/>
  <c r="EJ17" i="2538"/>
  <c r="EJ47" i="2538" s="1"/>
  <c r="EI17" i="2538"/>
  <c r="EI47" i="2538" s="1"/>
  <c r="EH17" i="2538"/>
  <c r="EH47" i="2538" s="1"/>
  <c r="EG17" i="2538"/>
  <c r="EG47" i="2538" s="1"/>
  <c r="EF17" i="2538"/>
  <c r="EF47" i="2538" s="1"/>
  <c r="EE17" i="2538"/>
  <c r="EE47" i="2538" s="1"/>
  <c r="ED17" i="2538"/>
  <c r="ED47" i="2538" s="1"/>
  <c r="EC17" i="2538"/>
  <c r="EC47" i="2538" s="1"/>
  <c r="EB17" i="2538"/>
  <c r="EB47" i="2538" s="1"/>
  <c r="DZ17" i="2538"/>
  <c r="DZ47" i="2538" s="1"/>
  <c r="DY17" i="2538"/>
  <c r="DY47" i="2538" s="1"/>
  <c r="DX17" i="2538"/>
  <c r="DX47" i="2538" s="1"/>
  <c r="DW17" i="2538"/>
  <c r="DW47" i="2538" s="1"/>
  <c r="DV17" i="2538"/>
  <c r="DV47" i="2538" s="1"/>
  <c r="DU17" i="2538"/>
  <c r="DU47" i="2538" s="1"/>
  <c r="DT17" i="2538"/>
  <c r="DT47" i="2538" s="1"/>
  <c r="DS17" i="2538"/>
  <c r="DS47" i="2538" s="1"/>
  <c r="DR17" i="2538"/>
  <c r="DR47" i="2538" s="1"/>
  <c r="DQ17" i="2538"/>
  <c r="DQ47" i="2538" s="1"/>
  <c r="DP17" i="2538"/>
  <c r="DP47" i="2538" s="1"/>
  <c r="DO17" i="2538"/>
  <c r="DM17" i="2538"/>
  <c r="DM47" i="2538" s="1"/>
  <c r="DL17" i="2538"/>
  <c r="DL47" i="2538" s="1"/>
  <c r="DK17" i="2538"/>
  <c r="DK47" i="2538" s="1"/>
  <c r="DJ17" i="2538"/>
  <c r="DJ47" i="2538" s="1"/>
  <c r="DI17" i="2538"/>
  <c r="DI47" i="2538" s="1"/>
  <c r="DH17" i="2538"/>
  <c r="DH47" i="2538" s="1"/>
  <c r="DG17" i="2538"/>
  <c r="DG47" i="2538" s="1"/>
  <c r="DF17" i="2538"/>
  <c r="DF47" i="2538" s="1"/>
  <c r="DE17" i="2538"/>
  <c r="DE47" i="2538" s="1"/>
  <c r="DD17" i="2538"/>
  <c r="DD47" i="2538" s="1"/>
  <c r="DC17" i="2538"/>
  <c r="DC47" i="2538" s="1"/>
  <c r="DB17" i="2538"/>
  <c r="DB47" i="2538" s="1"/>
  <c r="CZ17" i="2538"/>
  <c r="CZ47" i="2538" s="1"/>
  <c r="CY17" i="2538"/>
  <c r="CY47" i="2538" s="1"/>
  <c r="CX17" i="2538"/>
  <c r="CX47" i="2538" s="1"/>
  <c r="CW17" i="2538"/>
  <c r="CW47" i="2538" s="1"/>
  <c r="CV17" i="2538"/>
  <c r="CU17" i="2538"/>
  <c r="CU47" i="2538" s="1"/>
  <c r="CT17" i="2538"/>
  <c r="CT47" i="2538" s="1"/>
  <c r="CS17" i="2538"/>
  <c r="CS47" i="2538" s="1"/>
  <c r="CR17" i="2538"/>
  <c r="CR47" i="2538" s="1"/>
  <c r="CQ17" i="2538"/>
  <c r="CQ47" i="2538" s="1"/>
  <c r="CP17" i="2538"/>
  <c r="CP47" i="2538" s="1"/>
  <c r="CO17" i="2538"/>
  <c r="CO47" i="2538" s="1"/>
  <c r="CM17" i="2538"/>
  <c r="CL17" i="2538"/>
  <c r="CK17" i="2538"/>
  <c r="CJ17" i="2538"/>
  <c r="CI17" i="2538"/>
  <c r="CH17" i="2538"/>
  <c r="CG17" i="2538"/>
  <c r="CF17" i="2538"/>
  <c r="CE17" i="2538"/>
  <c r="CD17" i="2538"/>
  <c r="CC17" i="2538"/>
  <c r="CB17" i="2538"/>
  <c r="BZ17" i="2538"/>
  <c r="BY17" i="2538"/>
  <c r="BX17" i="2538"/>
  <c r="BW17" i="2538"/>
  <c r="BV17" i="2538"/>
  <c r="BU17" i="2538"/>
  <c r="BT17" i="2538"/>
  <c r="BS17" i="2538"/>
  <c r="BR17" i="2538"/>
  <c r="BQ17" i="2538"/>
  <c r="BP17" i="2538"/>
  <c r="BO17" i="2538"/>
  <c r="BM17" i="2538"/>
  <c r="BL17" i="2538"/>
  <c r="BK17" i="2538"/>
  <c r="BJ17" i="2538"/>
  <c r="BI17" i="2538"/>
  <c r="BH17" i="2538"/>
  <c r="BG17" i="2538"/>
  <c r="BF17" i="2538"/>
  <c r="BE17" i="2538"/>
  <c r="BD17" i="2538"/>
  <c r="BC17" i="2538"/>
  <c r="BB17" i="2538"/>
  <c r="AZ17" i="2538"/>
  <c r="AY17" i="2538"/>
  <c r="AX17" i="2538"/>
  <c r="AW17" i="2538"/>
  <c r="AV17" i="2538"/>
  <c r="AU17" i="2538"/>
  <c r="AT17" i="2538"/>
  <c r="AS17" i="2538"/>
  <c r="AR17" i="2538"/>
  <c r="AQ17" i="2538"/>
  <c r="AP17" i="2538"/>
  <c r="AO17" i="2538"/>
  <c r="AM17" i="2538"/>
  <c r="AL17" i="2538"/>
  <c r="AK17" i="2538"/>
  <c r="AJ17" i="2538"/>
  <c r="AI17" i="2538"/>
  <c r="AH17" i="2538"/>
  <c r="AG17" i="2538"/>
  <c r="AF17" i="2538"/>
  <c r="AE17" i="2538"/>
  <c r="AD17" i="2538"/>
  <c r="AC17" i="2538"/>
  <c r="AB17" i="2538"/>
  <c r="Z17" i="2538"/>
  <c r="Y17" i="2538"/>
  <c r="X17" i="2538"/>
  <c r="W17" i="2538"/>
  <c r="V17" i="2538"/>
  <c r="U17" i="2538"/>
  <c r="T17" i="2538"/>
  <c r="S17" i="2538"/>
  <c r="R17" i="2538"/>
  <c r="Q17" i="2538"/>
  <c r="P17" i="2538"/>
  <c r="O17" i="2538"/>
  <c r="M17" i="2538"/>
  <c r="L17" i="2538"/>
  <c r="K17" i="2538"/>
  <c r="J17" i="2538"/>
  <c r="I17" i="2538"/>
  <c r="H17" i="2538"/>
  <c r="G17" i="2538"/>
  <c r="F17" i="2538"/>
  <c r="E17" i="2538"/>
  <c r="D17" i="2538"/>
  <c r="C17" i="2538"/>
  <c r="B17" i="2538"/>
  <c r="IN16" i="2538"/>
  <c r="AA16" i="2538"/>
  <c r="N16" i="2538"/>
  <c r="IN15" i="2538"/>
  <c r="IA15" i="2538"/>
  <c r="HN15" i="2538"/>
  <c r="HA15" i="2538"/>
  <c r="GN15" i="2538"/>
  <c r="GA15" i="2538"/>
  <c r="FN15" i="2538"/>
  <c r="FA15" i="2538"/>
  <c r="EN15" i="2538"/>
  <c r="EA15" i="2538"/>
  <c r="DN15" i="2538"/>
  <c r="DA15" i="2538"/>
  <c r="CN15" i="2538"/>
  <c r="CA15" i="2538"/>
  <c r="BN15" i="2538"/>
  <c r="BA15" i="2538"/>
  <c r="AM15" i="2538"/>
  <c r="AL15" i="2538"/>
  <c r="AK15" i="2538"/>
  <c r="AJ15" i="2538"/>
  <c r="AI15" i="2538"/>
  <c r="AH15" i="2538"/>
  <c r="AG15" i="2538"/>
  <c r="AF15" i="2538"/>
  <c r="AE15" i="2538"/>
  <c r="AD15" i="2538"/>
  <c r="AC15" i="2538"/>
  <c r="AB15" i="2538"/>
  <c r="AA15" i="2538"/>
  <c r="N15" i="2538"/>
  <c r="IN14" i="2538"/>
  <c r="IA14" i="2538"/>
  <c r="HN14" i="2538"/>
  <c r="HA14" i="2538"/>
  <c r="GN14" i="2538"/>
  <c r="GA14" i="2538"/>
  <c r="GA50" i="2538" s="1"/>
  <c r="FN14" i="2538"/>
  <c r="FN50" i="2538" s="1"/>
  <c r="FA14" i="2538"/>
  <c r="FA50" i="2538" s="1"/>
  <c r="EN14" i="2538"/>
  <c r="EN50" i="2538" s="1"/>
  <c r="EA14" i="2538"/>
  <c r="EA50" i="2538" s="1"/>
  <c r="DN14" i="2538"/>
  <c r="DN50" i="2538" s="1"/>
  <c r="DA14" i="2538"/>
  <c r="DA50" i="2538" s="1"/>
  <c r="CN14" i="2538"/>
  <c r="CA14" i="2538"/>
  <c r="BN14" i="2538"/>
  <c r="BA14" i="2538"/>
  <c r="AM14" i="2538"/>
  <c r="AL14" i="2538"/>
  <c r="AK14" i="2538"/>
  <c r="AJ14" i="2538"/>
  <c r="AI14" i="2538"/>
  <c r="AH14" i="2538"/>
  <c r="AG14" i="2538"/>
  <c r="AF14" i="2538"/>
  <c r="AE14" i="2538"/>
  <c r="AD14" i="2538"/>
  <c r="AC14" i="2538"/>
  <c r="AB14" i="2538"/>
  <c r="AA14" i="2538"/>
  <c r="N14" i="2538"/>
  <c r="IN13" i="2538"/>
  <c r="IA13" i="2538"/>
  <c r="HN13" i="2538"/>
  <c r="HA13" i="2538"/>
  <c r="GN13" i="2538"/>
  <c r="GA13" i="2538"/>
  <c r="FN13" i="2538"/>
  <c r="FA13" i="2538"/>
  <c r="EN13" i="2538"/>
  <c r="EA13" i="2538"/>
  <c r="DN13" i="2538"/>
  <c r="DA13" i="2538"/>
  <c r="CN13" i="2538"/>
  <c r="CA13" i="2538"/>
  <c r="BN13" i="2538"/>
  <c r="BA13" i="2538"/>
  <c r="AN13" i="2538"/>
  <c r="AA13" i="2538"/>
  <c r="N13" i="2538"/>
  <c r="IN12" i="2538"/>
  <c r="IA12" i="2538"/>
  <c r="HN12" i="2538"/>
  <c r="HA12" i="2538"/>
  <c r="GN12" i="2538"/>
  <c r="GA12" i="2538"/>
  <c r="FN12" i="2538"/>
  <c r="FA12" i="2538"/>
  <c r="EN12" i="2538"/>
  <c r="EA12" i="2538"/>
  <c r="DN12" i="2538"/>
  <c r="DA12" i="2538"/>
  <c r="CN12" i="2538"/>
  <c r="CA12" i="2538"/>
  <c r="BN12" i="2538"/>
  <c r="BA12" i="2538"/>
  <c r="AN12" i="2538"/>
  <c r="AA12" i="2538"/>
  <c r="N12" i="2538"/>
  <c r="IN11" i="2538"/>
  <c r="IA11" i="2538"/>
  <c r="HN11" i="2538"/>
  <c r="HA11" i="2538"/>
  <c r="GN11" i="2538"/>
  <c r="GA11" i="2538"/>
  <c r="FN11" i="2538"/>
  <c r="FA11" i="2538"/>
  <c r="EN11" i="2538"/>
  <c r="EA11" i="2538"/>
  <c r="DN11" i="2538"/>
  <c r="DA11" i="2538"/>
  <c r="CN11" i="2538"/>
  <c r="CA11" i="2538"/>
  <c r="BN11" i="2538"/>
  <c r="BA11" i="2538"/>
  <c r="AN11" i="2538"/>
  <c r="AA11" i="2538"/>
  <c r="N11" i="2538"/>
  <c r="IN10" i="2538"/>
  <c r="IA10" i="2538"/>
  <c r="HN10" i="2538"/>
  <c r="HA10" i="2538"/>
  <c r="GN10" i="2538"/>
  <c r="GA10" i="2538"/>
  <c r="FN10" i="2538"/>
  <c r="FA10" i="2538"/>
  <c r="FA41" i="2538" s="1"/>
  <c r="EN10" i="2538"/>
  <c r="EN41" i="2538" s="1"/>
  <c r="EA10" i="2538"/>
  <c r="DN10" i="2538"/>
  <c r="DA10" i="2538"/>
  <c r="CN10" i="2538"/>
  <c r="CA10" i="2538"/>
  <c r="BN10" i="2538"/>
  <c r="BA10" i="2538"/>
  <c r="AM10" i="2538"/>
  <c r="AL10" i="2538"/>
  <c r="AK10" i="2538"/>
  <c r="AJ10" i="2538"/>
  <c r="AI10" i="2538"/>
  <c r="AH10" i="2538"/>
  <c r="AG10" i="2538"/>
  <c r="AF10" i="2538"/>
  <c r="AE10" i="2538"/>
  <c r="AD10" i="2538"/>
  <c r="AC10" i="2538"/>
  <c r="AB10" i="2538"/>
  <c r="AA10" i="2538"/>
  <c r="N10" i="2538"/>
  <c r="IN9" i="2538"/>
  <c r="IA9" i="2538"/>
  <c r="HN9" i="2538"/>
  <c r="HA9" i="2538"/>
  <c r="GN9" i="2538"/>
  <c r="GA9" i="2538"/>
  <c r="FN9" i="2538"/>
  <c r="FA9" i="2538"/>
  <c r="EN9" i="2538"/>
  <c r="EA9" i="2538"/>
  <c r="DN9" i="2538"/>
  <c r="DA9" i="2538"/>
  <c r="CN9" i="2538"/>
  <c r="CA9" i="2538"/>
  <c r="BN9" i="2538"/>
  <c r="BA9" i="2538"/>
  <c r="AN9" i="2538"/>
  <c r="AA9" i="2538"/>
  <c r="N9" i="2538"/>
  <c r="IM8" i="2538"/>
  <c r="IM7" i="2538" s="1"/>
  <c r="IM34" i="2538" s="1"/>
  <c r="IL8" i="2538"/>
  <c r="IK8" i="2538"/>
  <c r="IJ8" i="2538"/>
  <c r="IJ7" i="2538" s="1"/>
  <c r="IJ34" i="2538" s="1"/>
  <c r="II8" i="2538"/>
  <c r="IH8" i="2538"/>
  <c r="IH7" i="2538" s="1"/>
  <c r="IH34" i="2538" s="1"/>
  <c r="IG8" i="2538"/>
  <c r="IF8" i="2538"/>
  <c r="IE8" i="2538"/>
  <c r="ID8" i="2538"/>
  <c r="ID7" i="2538" s="1"/>
  <c r="ID34" i="2538" s="1"/>
  <c r="IC8" i="2538"/>
  <c r="IB8" i="2538"/>
  <c r="HZ8" i="2538"/>
  <c r="HZ7" i="2538" s="1"/>
  <c r="HZ34" i="2538" s="1"/>
  <c r="HY8" i="2538"/>
  <c r="HY7" i="2538" s="1"/>
  <c r="HY34" i="2538" s="1"/>
  <c r="HX8" i="2538"/>
  <c r="HW8" i="2538"/>
  <c r="HW7" i="2538" s="1"/>
  <c r="HW34" i="2538" s="1"/>
  <c r="HV8" i="2538"/>
  <c r="HU8" i="2538"/>
  <c r="HU7" i="2538" s="1"/>
  <c r="HU34" i="2538" s="1"/>
  <c r="HT8" i="2538"/>
  <c r="HS8" i="2538"/>
  <c r="HR8" i="2538"/>
  <c r="HQ8" i="2538"/>
  <c r="HQ7" i="2538" s="1"/>
  <c r="HQ34" i="2538" s="1"/>
  <c r="HP8" i="2538"/>
  <c r="HO8" i="2538"/>
  <c r="HM8" i="2538"/>
  <c r="HM7" i="2538" s="1"/>
  <c r="HM34" i="2538" s="1"/>
  <c r="HL8" i="2538"/>
  <c r="HK8" i="2538"/>
  <c r="HJ8" i="2538"/>
  <c r="HJ7" i="2538" s="1"/>
  <c r="HJ34" i="2538" s="1"/>
  <c r="HI8" i="2538"/>
  <c r="HH8" i="2538"/>
  <c r="HG8" i="2538"/>
  <c r="HF8" i="2538"/>
  <c r="HE8" i="2538"/>
  <c r="HD8" i="2538"/>
  <c r="HD7" i="2538" s="1"/>
  <c r="HD34" i="2538" s="1"/>
  <c r="HC8" i="2538"/>
  <c r="HB8" i="2538"/>
  <c r="GZ8" i="2538"/>
  <c r="GZ7" i="2538" s="1"/>
  <c r="GZ34" i="2538" s="1"/>
  <c r="GY8" i="2538"/>
  <c r="GX8" i="2538"/>
  <c r="GW8" i="2538"/>
  <c r="GW7" i="2538" s="1"/>
  <c r="GW34" i="2538" s="1"/>
  <c r="GV8" i="2538"/>
  <c r="GU8" i="2538"/>
  <c r="GU7" i="2538" s="1"/>
  <c r="GU34" i="2538" s="1"/>
  <c r="GT8" i="2538"/>
  <c r="GS8" i="2538"/>
  <c r="GR8" i="2538"/>
  <c r="GQ8" i="2538"/>
  <c r="GQ7" i="2538" s="1"/>
  <c r="GQ34" i="2538" s="1"/>
  <c r="GP8" i="2538"/>
  <c r="GO8" i="2538"/>
  <c r="GM8" i="2538"/>
  <c r="GM7" i="2538" s="1"/>
  <c r="GM34" i="2538" s="1"/>
  <c r="GL8" i="2538"/>
  <c r="GK8" i="2538"/>
  <c r="GJ8" i="2538"/>
  <c r="GI8" i="2538"/>
  <c r="GH8" i="2538"/>
  <c r="GH7" i="2538" s="1"/>
  <c r="GH34" i="2538" s="1"/>
  <c r="GG8" i="2538"/>
  <c r="GF8" i="2538"/>
  <c r="GE8" i="2538"/>
  <c r="GD8" i="2538"/>
  <c r="GD7" i="2538" s="1"/>
  <c r="GD34" i="2538" s="1"/>
  <c r="GC8" i="2538"/>
  <c r="GB8" i="2538"/>
  <c r="FZ8" i="2538"/>
  <c r="FY8" i="2538"/>
  <c r="FX8" i="2538"/>
  <c r="FW8" i="2538"/>
  <c r="FV8" i="2538"/>
  <c r="FU8" i="2538"/>
  <c r="FT8" i="2538"/>
  <c r="FS8" i="2538"/>
  <c r="FR8" i="2538"/>
  <c r="FQ8" i="2538"/>
  <c r="FP8" i="2538"/>
  <c r="FO8" i="2538"/>
  <c r="FM8" i="2538"/>
  <c r="FL8" i="2538"/>
  <c r="FK8" i="2538"/>
  <c r="FJ8" i="2538"/>
  <c r="FI8" i="2538"/>
  <c r="FH8" i="2538"/>
  <c r="FG8" i="2538"/>
  <c r="FF8" i="2538"/>
  <c r="FE8" i="2538"/>
  <c r="FD8" i="2538"/>
  <c r="FC8" i="2538"/>
  <c r="FB8" i="2538"/>
  <c r="EZ8" i="2538"/>
  <c r="EY8" i="2538"/>
  <c r="EX8" i="2538"/>
  <c r="EW8" i="2538"/>
  <c r="EV8" i="2538"/>
  <c r="EU8" i="2538"/>
  <c r="ET8" i="2538"/>
  <c r="ES8" i="2538"/>
  <c r="ER8" i="2538"/>
  <c r="EQ8" i="2538"/>
  <c r="EP8" i="2538"/>
  <c r="EO8" i="2538"/>
  <c r="EM8" i="2538"/>
  <c r="EL8" i="2538"/>
  <c r="EK8" i="2538"/>
  <c r="EJ8" i="2538"/>
  <c r="EI8" i="2538"/>
  <c r="EH8" i="2538"/>
  <c r="EG8" i="2538"/>
  <c r="EF8" i="2538"/>
  <c r="EE8" i="2538"/>
  <c r="ED8" i="2538"/>
  <c r="EC8" i="2538"/>
  <c r="EB8" i="2538"/>
  <c r="DZ8" i="2538"/>
  <c r="DY8" i="2538"/>
  <c r="DX8" i="2538"/>
  <c r="DW8" i="2538"/>
  <c r="DV8" i="2538"/>
  <c r="DU8" i="2538"/>
  <c r="DU7" i="2538" s="1"/>
  <c r="DT8" i="2538"/>
  <c r="DS8" i="2538"/>
  <c r="DR8" i="2538"/>
  <c r="DQ8" i="2538"/>
  <c r="DP8" i="2538"/>
  <c r="DO8" i="2538"/>
  <c r="DM8" i="2538"/>
  <c r="DL8" i="2538"/>
  <c r="DK8" i="2538"/>
  <c r="DJ8" i="2538"/>
  <c r="DI8" i="2538"/>
  <c r="DH8" i="2538"/>
  <c r="DG8" i="2538"/>
  <c r="DF8" i="2538"/>
  <c r="DE8" i="2538"/>
  <c r="DD8" i="2538"/>
  <c r="DC8" i="2538"/>
  <c r="DB8" i="2538"/>
  <c r="CZ8" i="2538"/>
  <c r="CY8" i="2538"/>
  <c r="CX8" i="2538"/>
  <c r="CW8" i="2538"/>
  <c r="CV8" i="2538"/>
  <c r="CU8" i="2538"/>
  <c r="CT8" i="2538"/>
  <c r="CS8" i="2538"/>
  <c r="CR8" i="2538"/>
  <c r="CQ8" i="2538"/>
  <c r="CP8" i="2538"/>
  <c r="CO8" i="2538"/>
  <c r="CM8" i="2538"/>
  <c r="CL8" i="2538"/>
  <c r="CK8" i="2538"/>
  <c r="CJ8" i="2538"/>
  <c r="CI8" i="2538"/>
  <c r="CH8" i="2538"/>
  <c r="CG8" i="2538"/>
  <c r="CF8" i="2538"/>
  <c r="CE8" i="2538"/>
  <c r="CD8" i="2538"/>
  <c r="CC8" i="2538"/>
  <c r="CB8" i="2538"/>
  <c r="BZ8" i="2538"/>
  <c r="BY8" i="2538"/>
  <c r="BX8" i="2538"/>
  <c r="BW8" i="2538"/>
  <c r="BV8" i="2538"/>
  <c r="BU8" i="2538"/>
  <c r="BT8" i="2538"/>
  <c r="BS8" i="2538"/>
  <c r="BR8" i="2538"/>
  <c r="BQ8" i="2538"/>
  <c r="BP8" i="2538"/>
  <c r="BO8" i="2538"/>
  <c r="BM8" i="2538"/>
  <c r="BL8" i="2538"/>
  <c r="BK8" i="2538"/>
  <c r="BJ8" i="2538"/>
  <c r="BI8" i="2538"/>
  <c r="BH8" i="2538"/>
  <c r="BG8" i="2538"/>
  <c r="BF8" i="2538"/>
  <c r="BE8" i="2538"/>
  <c r="BD8" i="2538"/>
  <c r="BC8" i="2538"/>
  <c r="BB8" i="2538"/>
  <c r="AZ8" i="2538"/>
  <c r="AY8" i="2538"/>
  <c r="AX8" i="2538"/>
  <c r="AW8" i="2538"/>
  <c r="AV8" i="2538"/>
  <c r="AU8" i="2538"/>
  <c r="AT8" i="2538"/>
  <c r="AS8" i="2538"/>
  <c r="AR8" i="2538"/>
  <c r="AQ8" i="2538"/>
  <c r="AP8" i="2538"/>
  <c r="AO8" i="2538"/>
  <c r="AM8" i="2538"/>
  <c r="Z8" i="2538"/>
  <c r="Y8" i="2538"/>
  <c r="X8" i="2538"/>
  <c r="W8" i="2538"/>
  <c r="V8" i="2538"/>
  <c r="U8" i="2538"/>
  <c r="T8" i="2538"/>
  <c r="S8" i="2538"/>
  <c r="R8" i="2538"/>
  <c r="Q8" i="2538"/>
  <c r="P8" i="2538"/>
  <c r="P7" i="2538" s="1"/>
  <c r="O8" i="2538"/>
  <c r="M8" i="2538"/>
  <c r="L8" i="2538"/>
  <c r="K8" i="2538"/>
  <c r="J8" i="2538"/>
  <c r="I8" i="2538"/>
  <c r="H8" i="2538"/>
  <c r="G8" i="2538"/>
  <c r="F8" i="2538"/>
  <c r="E8" i="2538"/>
  <c r="D8" i="2538"/>
  <c r="C8" i="2538"/>
  <c r="B8" i="2538"/>
  <c r="IN5" i="2538"/>
  <c r="IA5" i="2538"/>
  <c r="HN5" i="2538"/>
  <c r="HA5" i="2538"/>
  <c r="GN5" i="2538"/>
  <c r="GA5" i="2538"/>
  <c r="FN5" i="2538"/>
  <c r="FA5" i="2538"/>
  <c r="EN5" i="2538"/>
  <c r="EA5" i="2538"/>
  <c r="DN5" i="2538"/>
  <c r="DA5" i="2538"/>
  <c r="CN5" i="2538"/>
  <c r="CA5" i="2538"/>
  <c r="BN5" i="2538"/>
  <c r="BA5" i="2538"/>
  <c r="AN5" i="2538"/>
  <c r="AA5" i="2538"/>
  <c r="N5" i="2538"/>
  <c r="IB4" i="2538"/>
  <c r="HO4" i="2538"/>
  <c r="HB4" i="2538"/>
  <c r="GO4" i="2538"/>
  <c r="GB4" i="2538"/>
  <c r="FO4" i="2538"/>
  <c r="FB4" i="2538"/>
  <c r="EO4" i="2538"/>
  <c r="EB4" i="2538"/>
  <c r="DO4" i="2538"/>
  <c r="DB4" i="2538"/>
  <c r="CO4" i="2538"/>
  <c r="CB4" i="2538"/>
  <c r="BO4" i="2538"/>
  <c r="BB4" i="2538"/>
  <c r="AO4" i="2538"/>
  <c r="AB4" i="2538"/>
  <c r="O4" i="2538"/>
  <c r="B4" i="2538"/>
  <c r="HN37" i="2537"/>
  <c r="HA37" i="2537"/>
  <c r="AN37" i="2537"/>
  <c r="AA37" i="2537"/>
  <c r="N37" i="2537"/>
  <c r="HN36" i="2537"/>
  <c r="HA36" i="2537"/>
  <c r="AN36" i="2537"/>
  <c r="AA36" i="2537"/>
  <c r="N36" i="2537"/>
  <c r="HN35" i="2537"/>
  <c r="HA35" i="2537"/>
  <c r="GN35" i="2537"/>
  <c r="GA35" i="2537"/>
  <c r="FN35" i="2537"/>
  <c r="FA35" i="2537"/>
  <c r="EN35" i="2537"/>
  <c r="EA35" i="2537"/>
  <c r="DN35" i="2537"/>
  <c r="DA35" i="2537"/>
  <c r="CN35" i="2537"/>
  <c r="CA35" i="2537"/>
  <c r="BN35" i="2537"/>
  <c r="BA35" i="2537"/>
  <c r="AN35" i="2537"/>
  <c r="AA35" i="2537"/>
  <c r="N35" i="2537"/>
  <c r="HN34" i="2537"/>
  <c r="HA34" i="2537"/>
  <c r="GN34" i="2537"/>
  <c r="GA34" i="2537"/>
  <c r="FN34" i="2537"/>
  <c r="FA34" i="2537"/>
  <c r="EN34" i="2537"/>
  <c r="EA34" i="2537"/>
  <c r="DN34" i="2537"/>
  <c r="DA34" i="2537"/>
  <c r="CN34" i="2537"/>
  <c r="CA34" i="2537"/>
  <c r="BN34" i="2537"/>
  <c r="BA34" i="2537"/>
  <c r="AN34" i="2537"/>
  <c r="AA34" i="2537"/>
  <c r="N34" i="2537"/>
  <c r="HN33" i="2537"/>
  <c r="HA33" i="2537"/>
  <c r="GN33" i="2537"/>
  <c r="GA33" i="2537"/>
  <c r="FN33" i="2537"/>
  <c r="FA33" i="2537"/>
  <c r="EN33" i="2537"/>
  <c r="EA33" i="2537"/>
  <c r="DN33" i="2537"/>
  <c r="DA33" i="2537"/>
  <c r="CN33" i="2537"/>
  <c r="CA33" i="2537"/>
  <c r="BN33" i="2537"/>
  <c r="BA33" i="2537"/>
  <c r="AN33" i="2537"/>
  <c r="AA33" i="2537"/>
  <c r="N33" i="2537"/>
  <c r="HN32" i="2537"/>
  <c r="HA32" i="2537"/>
  <c r="GN32" i="2537"/>
  <c r="GA32" i="2537"/>
  <c r="FN32" i="2537"/>
  <c r="FA32" i="2537"/>
  <c r="EN32" i="2537"/>
  <c r="EA32" i="2537"/>
  <c r="DN32" i="2537"/>
  <c r="DA32" i="2537"/>
  <c r="CN32" i="2537"/>
  <c r="CA32" i="2537"/>
  <c r="BN32" i="2537"/>
  <c r="BA32" i="2537"/>
  <c r="AN32" i="2537"/>
  <c r="AA32" i="2537"/>
  <c r="N32" i="2537"/>
  <c r="HN31" i="2537"/>
  <c r="HA31" i="2537"/>
  <c r="GN31" i="2537"/>
  <c r="GA31" i="2537"/>
  <c r="FN31" i="2537"/>
  <c r="FA31" i="2537"/>
  <c r="EN31" i="2537"/>
  <c r="EA31" i="2537"/>
  <c r="DN31" i="2537"/>
  <c r="DA31" i="2537"/>
  <c r="CN31" i="2537"/>
  <c r="BZ31" i="2537"/>
  <c r="BZ30" i="2537" s="1"/>
  <c r="BN31" i="2537"/>
  <c r="BA31" i="2537"/>
  <c r="AN31" i="2537"/>
  <c r="AA31" i="2537"/>
  <c r="N31" i="2537"/>
  <c r="HM30" i="2537"/>
  <c r="HL30" i="2537"/>
  <c r="HK30" i="2537"/>
  <c r="HJ30" i="2537"/>
  <c r="HI30" i="2537"/>
  <c r="HH30" i="2537"/>
  <c r="HG30" i="2537"/>
  <c r="HF30" i="2537"/>
  <c r="HE30" i="2537"/>
  <c r="HD30" i="2537"/>
  <c r="HC30" i="2537"/>
  <c r="HB30" i="2537"/>
  <c r="GZ30" i="2537"/>
  <c r="GY30" i="2537"/>
  <c r="GX30" i="2537"/>
  <c r="GW30" i="2537"/>
  <c r="GV30" i="2537"/>
  <c r="GU30" i="2537"/>
  <c r="GT30" i="2537"/>
  <c r="GS30" i="2537"/>
  <c r="GR30" i="2537"/>
  <c r="GQ30" i="2537"/>
  <c r="GP30" i="2537"/>
  <c r="GO30" i="2537"/>
  <c r="GM30" i="2537"/>
  <c r="GL30" i="2537"/>
  <c r="GK30" i="2537"/>
  <c r="GJ30" i="2537"/>
  <c r="GI30" i="2537"/>
  <c r="GH30" i="2537"/>
  <c r="GG30" i="2537"/>
  <c r="GF30" i="2537"/>
  <c r="GE30" i="2537"/>
  <c r="GD30" i="2537"/>
  <c r="GC30" i="2537"/>
  <c r="GB30" i="2537"/>
  <c r="FZ30" i="2537"/>
  <c r="FY30" i="2537"/>
  <c r="FX30" i="2537"/>
  <c r="FW30" i="2537"/>
  <c r="FV30" i="2537"/>
  <c r="FU30" i="2537"/>
  <c r="FT30" i="2537"/>
  <c r="FS30" i="2537"/>
  <c r="FR30" i="2537"/>
  <c r="FQ30" i="2537"/>
  <c r="FP30" i="2537"/>
  <c r="FO30" i="2537"/>
  <c r="FM30" i="2537"/>
  <c r="FL30" i="2537"/>
  <c r="FK30" i="2537"/>
  <c r="FJ30" i="2537"/>
  <c r="FI30" i="2537"/>
  <c r="FH30" i="2537"/>
  <c r="FG30" i="2537"/>
  <c r="FF30" i="2537"/>
  <c r="FE30" i="2537"/>
  <c r="FD30" i="2537"/>
  <c r="FC30" i="2537"/>
  <c r="FB30" i="2537"/>
  <c r="EZ30" i="2537"/>
  <c r="EY30" i="2537"/>
  <c r="EX30" i="2537"/>
  <c r="EW30" i="2537"/>
  <c r="EV30" i="2537"/>
  <c r="EU30" i="2537"/>
  <c r="ET30" i="2537"/>
  <c r="ES30" i="2537"/>
  <c r="ER30" i="2537"/>
  <c r="EQ30" i="2537"/>
  <c r="EP30" i="2537"/>
  <c r="EO30" i="2537"/>
  <c r="EM30" i="2537"/>
  <c r="EL30" i="2537"/>
  <c r="EK30" i="2537"/>
  <c r="EJ30" i="2537"/>
  <c r="EI30" i="2537"/>
  <c r="EH30" i="2537"/>
  <c r="EG30" i="2537"/>
  <c r="EF30" i="2537"/>
  <c r="EE30" i="2537"/>
  <c r="ED30" i="2537"/>
  <c r="EC30" i="2537"/>
  <c r="EB30" i="2537"/>
  <c r="DZ30" i="2537"/>
  <c r="DY30" i="2537"/>
  <c r="DX30" i="2537"/>
  <c r="DW30" i="2537"/>
  <c r="DV30" i="2537"/>
  <c r="DU30" i="2537"/>
  <c r="DT30" i="2537"/>
  <c r="DS30" i="2537"/>
  <c r="DR30" i="2537"/>
  <c r="DQ30" i="2537"/>
  <c r="DP30" i="2537"/>
  <c r="DO30" i="2537"/>
  <c r="DM30" i="2537"/>
  <c r="DL30" i="2537"/>
  <c r="DK30" i="2537"/>
  <c r="DJ30" i="2537"/>
  <c r="DI30" i="2537"/>
  <c r="DH30" i="2537"/>
  <c r="DG30" i="2537"/>
  <c r="DF30" i="2537"/>
  <c r="DE30" i="2537"/>
  <c r="DD30" i="2537"/>
  <c r="DC30" i="2537"/>
  <c r="DB30" i="2537"/>
  <c r="CZ30" i="2537"/>
  <c r="CY30" i="2537"/>
  <c r="CX30" i="2537"/>
  <c r="CW30" i="2537"/>
  <c r="CV30" i="2537"/>
  <c r="CU30" i="2537"/>
  <c r="CT30" i="2537"/>
  <c r="CS30" i="2537"/>
  <c r="CR30" i="2537"/>
  <c r="CQ30" i="2537"/>
  <c r="CP30" i="2537"/>
  <c r="CO30" i="2537"/>
  <c r="CM30" i="2537"/>
  <c r="CL30" i="2537"/>
  <c r="CK30" i="2537"/>
  <c r="CJ30" i="2537"/>
  <c r="CI30" i="2537"/>
  <c r="CH30" i="2537"/>
  <c r="CG30" i="2537"/>
  <c r="CF30" i="2537"/>
  <c r="CE30" i="2537"/>
  <c r="CD30" i="2537"/>
  <c r="CC30" i="2537"/>
  <c r="CB30" i="2537"/>
  <c r="BY30" i="2537"/>
  <c r="BX30" i="2537"/>
  <c r="BW30" i="2537"/>
  <c r="BV30" i="2537"/>
  <c r="BU30" i="2537"/>
  <c r="BT30" i="2537"/>
  <c r="BS30" i="2537"/>
  <c r="BR30" i="2537"/>
  <c r="BQ30" i="2537"/>
  <c r="BP30" i="2537"/>
  <c r="BO30" i="2537"/>
  <c r="BM30" i="2537"/>
  <c r="BL30" i="2537"/>
  <c r="BK30" i="2537"/>
  <c r="BJ30" i="2537"/>
  <c r="BI30" i="2537"/>
  <c r="BH30" i="2537"/>
  <c r="BG30" i="2537"/>
  <c r="BF30" i="2537"/>
  <c r="BE30" i="2537"/>
  <c r="BD30" i="2537"/>
  <c r="BC30" i="2537"/>
  <c r="BB30" i="2537"/>
  <c r="AZ30" i="2537"/>
  <c r="AY30" i="2537"/>
  <c r="AX30" i="2537"/>
  <c r="AW30" i="2537"/>
  <c r="AV30" i="2537"/>
  <c r="AU30" i="2537"/>
  <c r="AT30" i="2537"/>
  <c r="AS30" i="2537"/>
  <c r="AR30" i="2537"/>
  <c r="AQ30" i="2537"/>
  <c r="AP30" i="2537"/>
  <c r="AO30" i="2537"/>
  <c r="AM30" i="2537"/>
  <c r="AL30" i="2537"/>
  <c r="AK30" i="2537"/>
  <c r="AJ30" i="2537"/>
  <c r="AI30" i="2537"/>
  <c r="AH30" i="2537"/>
  <c r="AG30" i="2537"/>
  <c r="AF30" i="2537"/>
  <c r="AE30" i="2537"/>
  <c r="AD30" i="2537"/>
  <c r="AC30" i="2537"/>
  <c r="AB30" i="2537"/>
  <c r="Z30" i="2537"/>
  <c r="Y30" i="2537"/>
  <c r="X30" i="2537"/>
  <c r="W30" i="2537"/>
  <c r="V30" i="2537"/>
  <c r="U30" i="2537"/>
  <c r="T30" i="2537"/>
  <c r="S30" i="2537"/>
  <c r="R30" i="2537"/>
  <c r="Q30" i="2537"/>
  <c r="P30" i="2537"/>
  <c r="O30" i="2537"/>
  <c r="M30" i="2537"/>
  <c r="L30" i="2537"/>
  <c r="K30" i="2537"/>
  <c r="J30" i="2537"/>
  <c r="I30" i="2537"/>
  <c r="H30" i="2537"/>
  <c r="G30" i="2537"/>
  <c r="F30" i="2537"/>
  <c r="E30" i="2537"/>
  <c r="D30" i="2537"/>
  <c r="C30" i="2537"/>
  <c r="B30" i="2537"/>
  <c r="HN28" i="2537"/>
  <c r="HA28" i="2537"/>
  <c r="GN28" i="2537"/>
  <c r="GA28" i="2537"/>
  <c r="FN28" i="2537"/>
  <c r="FA28" i="2537"/>
  <c r="EN28" i="2537"/>
  <c r="EA28" i="2537"/>
  <c r="DN28" i="2537"/>
  <c r="DA28" i="2537"/>
  <c r="CN28" i="2537"/>
  <c r="CA28" i="2537"/>
  <c r="BN28" i="2537"/>
  <c r="BA28" i="2537"/>
  <c r="AN28" i="2537"/>
  <c r="AA28" i="2537"/>
  <c r="N28" i="2537"/>
  <c r="HN27" i="2537"/>
  <c r="HA27" i="2537"/>
  <c r="GN27" i="2537"/>
  <c r="GA27" i="2537"/>
  <c r="FN27" i="2537"/>
  <c r="FA27" i="2537"/>
  <c r="EN27" i="2537"/>
  <c r="EA27" i="2537"/>
  <c r="DN27" i="2537"/>
  <c r="DA27" i="2537"/>
  <c r="CN27" i="2537"/>
  <c r="CA27" i="2537"/>
  <c r="BA27" i="2537"/>
  <c r="AN27" i="2537"/>
  <c r="AA27" i="2537"/>
  <c r="N27" i="2537"/>
  <c r="HN26" i="2537"/>
  <c r="HA26" i="2537"/>
  <c r="GN26" i="2537"/>
  <c r="GA26" i="2537"/>
  <c r="FN26" i="2537"/>
  <c r="FA26" i="2537"/>
  <c r="EN26" i="2537"/>
  <c r="EA26" i="2537"/>
  <c r="DN26" i="2537"/>
  <c r="DA26" i="2537"/>
  <c r="CN26" i="2537"/>
  <c r="CA26" i="2537"/>
  <c r="BN26" i="2537"/>
  <c r="BA26" i="2537"/>
  <c r="AA26" i="2537"/>
  <c r="N26" i="2537"/>
  <c r="HN25" i="2537"/>
  <c r="HA25" i="2537"/>
  <c r="GN25" i="2537"/>
  <c r="GA25" i="2537"/>
  <c r="FN25" i="2537"/>
  <c r="FA25" i="2537"/>
  <c r="EN25" i="2537"/>
  <c r="EA25" i="2537"/>
  <c r="DN25" i="2537"/>
  <c r="DA25" i="2537"/>
  <c r="CN25" i="2537"/>
  <c r="CA25" i="2537"/>
  <c r="BN25" i="2537"/>
  <c r="BA25" i="2537"/>
  <c r="AN25" i="2537"/>
  <c r="AA25" i="2537"/>
  <c r="N25" i="2537"/>
  <c r="HN24" i="2537"/>
  <c r="HA24" i="2537"/>
  <c r="GN24" i="2537"/>
  <c r="GA24" i="2537"/>
  <c r="FN24" i="2537"/>
  <c r="FA24" i="2537"/>
  <c r="EN24" i="2537"/>
  <c r="EA24" i="2537"/>
  <c r="DN24" i="2537"/>
  <c r="DA24" i="2537"/>
  <c r="CN24" i="2537"/>
  <c r="CA24" i="2537"/>
  <c r="BN24" i="2537"/>
  <c r="BA24" i="2537"/>
  <c r="AN24" i="2537"/>
  <c r="AA24" i="2537"/>
  <c r="N24" i="2537"/>
  <c r="HN23" i="2537"/>
  <c r="HA23" i="2537"/>
  <c r="GN23" i="2537"/>
  <c r="GA23" i="2537"/>
  <c r="FN23" i="2537"/>
  <c r="FA23" i="2537"/>
  <c r="EN23" i="2537"/>
  <c r="EA23" i="2537"/>
  <c r="DN23" i="2537"/>
  <c r="DA23" i="2537"/>
  <c r="CN23" i="2537"/>
  <c r="CA23" i="2537"/>
  <c r="BN23" i="2537"/>
  <c r="BA23" i="2537"/>
  <c r="AN23" i="2537"/>
  <c r="AA23" i="2537"/>
  <c r="N23" i="2537"/>
  <c r="HN22" i="2537"/>
  <c r="HA22" i="2537"/>
  <c r="GN22" i="2537"/>
  <c r="GA22" i="2537"/>
  <c r="FN22" i="2537"/>
  <c r="FA22" i="2537"/>
  <c r="EN22" i="2537"/>
  <c r="EA22" i="2537"/>
  <c r="DN22" i="2537"/>
  <c r="DA22" i="2537"/>
  <c r="CN22" i="2537"/>
  <c r="CA22" i="2537"/>
  <c r="BN22" i="2537"/>
  <c r="BA22" i="2537"/>
  <c r="AN22" i="2537"/>
  <c r="AA22" i="2537"/>
  <c r="N22" i="2537"/>
  <c r="HN21" i="2537"/>
  <c r="HA21" i="2537"/>
  <c r="GN21" i="2537"/>
  <c r="GA21" i="2537"/>
  <c r="FN21" i="2537"/>
  <c r="FA21" i="2537"/>
  <c r="EN21" i="2537"/>
  <c r="EA21" i="2537"/>
  <c r="DN21" i="2537"/>
  <c r="DA21" i="2537"/>
  <c r="CN21" i="2537"/>
  <c r="CA21" i="2537"/>
  <c r="BN21" i="2537"/>
  <c r="BA21" i="2537"/>
  <c r="AN21" i="2537"/>
  <c r="AA21" i="2537"/>
  <c r="N21" i="2537"/>
  <c r="HN20" i="2537"/>
  <c r="HA20" i="2537"/>
  <c r="GN20" i="2537"/>
  <c r="GA20" i="2537"/>
  <c r="FN20" i="2537"/>
  <c r="FA20" i="2537"/>
  <c r="EN20" i="2537"/>
  <c r="EA20" i="2537"/>
  <c r="DN20" i="2537"/>
  <c r="DA20" i="2537"/>
  <c r="CN20" i="2537"/>
  <c r="CA20" i="2537"/>
  <c r="BN20" i="2537"/>
  <c r="BA20" i="2537"/>
  <c r="AN20" i="2537"/>
  <c r="AA20" i="2537"/>
  <c r="N20" i="2537"/>
  <c r="HN19" i="2537"/>
  <c r="HA19" i="2537"/>
  <c r="GN19" i="2537"/>
  <c r="GA19" i="2537"/>
  <c r="FN19" i="2537"/>
  <c r="FA19" i="2537"/>
  <c r="EN19" i="2537"/>
  <c r="EA19" i="2537"/>
  <c r="DN19" i="2537"/>
  <c r="DA19" i="2537"/>
  <c r="CN19" i="2537"/>
  <c r="CA19" i="2537"/>
  <c r="BN19" i="2537"/>
  <c r="BA19" i="2537"/>
  <c r="AN19" i="2537"/>
  <c r="AA19" i="2537"/>
  <c r="N19" i="2537"/>
  <c r="HN18" i="2537"/>
  <c r="HA18" i="2537"/>
  <c r="GN18" i="2537"/>
  <c r="GA18" i="2537"/>
  <c r="FN18" i="2537"/>
  <c r="FA18" i="2537"/>
  <c r="EN18" i="2537"/>
  <c r="EA18" i="2537"/>
  <c r="DN18" i="2537"/>
  <c r="DA18" i="2537"/>
  <c r="CN18" i="2537"/>
  <c r="CA18" i="2537"/>
  <c r="BN18" i="2537"/>
  <c r="BA18" i="2537"/>
  <c r="AN18" i="2537"/>
  <c r="AA18" i="2537"/>
  <c r="N18" i="2537"/>
  <c r="HN17" i="2537"/>
  <c r="HA17" i="2537"/>
  <c r="GN17" i="2537"/>
  <c r="GA17" i="2537"/>
  <c r="FN17" i="2537"/>
  <c r="HN16" i="2537"/>
  <c r="HA16" i="2537"/>
  <c r="GN16" i="2537"/>
  <c r="GA16" i="2537"/>
  <c r="FN16" i="2537"/>
  <c r="FA16" i="2537"/>
  <c r="EN16" i="2537"/>
  <c r="EA16" i="2537"/>
  <c r="DN16" i="2537"/>
  <c r="DA16" i="2537"/>
  <c r="CN16" i="2537"/>
  <c r="CA16" i="2537"/>
  <c r="BN16" i="2537"/>
  <c r="BA16" i="2537"/>
  <c r="AN16" i="2537"/>
  <c r="AA16" i="2537"/>
  <c r="N16" i="2537"/>
  <c r="HN15" i="2537"/>
  <c r="HA15" i="2537"/>
  <c r="GN15" i="2537"/>
  <c r="GA15" i="2537"/>
  <c r="FN15" i="2537"/>
  <c r="FA15" i="2537"/>
  <c r="EN15" i="2537"/>
  <c r="EA15" i="2537"/>
  <c r="DN15" i="2537"/>
  <c r="DA15" i="2537"/>
  <c r="CN15" i="2537"/>
  <c r="CA15" i="2537"/>
  <c r="BN15" i="2537"/>
  <c r="BA15" i="2537"/>
  <c r="AN15" i="2537"/>
  <c r="AA15" i="2537"/>
  <c r="N15" i="2537"/>
  <c r="HN14" i="2537"/>
  <c r="HA14" i="2537"/>
  <c r="GN14" i="2537"/>
  <c r="GA14" i="2537"/>
  <c r="FN14" i="2537"/>
  <c r="FA14" i="2537"/>
  <c r="EN14" i="2537"/>
  <c r="EA14" i="2537"/>
  <c r="DN14" i="2537"/>
  <c r="DA14" i="2537"/>
  <c r="CN14" i="2537"/>
  <c r="CA14" i="2537"/>
  <c r="BN14" i="2537"/>
  <c r="BA14" i="2537"/>
  <c r="AN14" i="2537"/>
  <c r="AA14" i="2537"/>
  <c r="N14" i="2537"/>
  <c r="HN13" i="2537"/>
  <c r="HA13" i="2537"/>
  <c r="GN13" i="2537"/>
  <c r="GA13" i="2537"/>
  <c r="FN13" i="2537"/>
  <c r="FA13" i="2537"/>
  <c r="EN13" i="2537"/>
  <c r="EA13" i="2537"/>
  <c r="DN13" i="2537"/>
  <c r="DA13" i="2537"/>
  <c r="CN13" i="2537"/>
  <c r="CA13" i="2537"/>
  <c r="BN13" i="2537"/>
  <c r="BA13" i="2537"/>
  <c r="AN13" i="2537"/>
  <c r="AA13" i="2537"/>
  <c r="N13" i="2537"/>
  <c r="HN12" i="2537"/>
  <c r="HA12" i="2537"/>
  <c r="GN12" i="2537"/>
  <c r="GA12" i="2537"/>
  <c r="FN12" i="2537"/>
  <c r="FA12" i="2537"/>
  <c r="EN12" i="2537"/>
  <c r="EA12" i="2537"/>
  <c r="DN12" i="2537"/>
  <c r="DA12" i="2537"/>
  <c r="CN12" i="2537"/>
  <c r="CA12" i="2537"/>
  <c r="BN12" i="2537"/>
  <c r="BA12" i="2537"/>
  <c r="AN12" i="2537"/>
  <c r="AA12" i="2537"/>
  <c r="N12" i="2537"/>
  <c r="HN11" i="2537"/>
  <c r="HA11" i="2537"/>
  <c r="GN11" i="2537"/>
  <c r="GA11" i="2537"/>
  <c r="FN11" i="2537"/>
  <c r="FA11" i="2537"/>
  <c r="EN11" i="2537"/>
  <c r="EA11" i="2537"/>
  <c r="DN11" i="2537"/>
  <c r="DA11" i="2537"/>
  <c r="CN11" i="2537"/>
  <c r="CA11" i="2537"/>
  <c r="BN11" i="2537"/>
  <c r="BA11" i="2537"/>
  <c r="AN11" i="2537"/>
  <c r="AA11" i="2537"/>
  <c r="N11" i="2537"/>
  <c r="HN10" i="2537"/>
  <c r="HA10" i="2537"/>
  <c r="GN10" i="2537"/>
  <c r="GA10" i="2537"/>
  <c r="FN10" i="2537"/>
  <c r="FA10" i="2537"/>
  <c r="EN10" i="2537"/>
  <c r="EA10" i="2537"/>
  <c r="DN10" i="2537"/>
  <c r="DA10" i="2537"/>
  <c r="CN10" i="2537"/>
  <c r="CA10" i="2537"/>
  <c r="BN10" i="2537"/>
  <c r="BA10" i="2537"/>
  <c r="AN10" i="2537"/>
  <c r="AA10" i="2537"/>
  <c r="N10" i="2537"/>
  <c r="HN9" i="2537"/>
  <c r="HA9" i="2537"/>
  <c r="GN9" i="2537"/>
  <c r="GA9" i="2537"/>
  <c r="FN9" i="2537"/>
  <c r="FA9" i="2537"/>
  <c r="EN9" i="2537"/>
  <c r="EA9" i="2537"/>
  <c r="DN9" i="2537"/>
  <c r="DA9" i="2537"/>
  <c r="CN9" i="2537"/>
  <c r="CA9" i="2537"/>
  <c r="BN9" i="2537"/>
  <c r="BA9" i="2537"/>
  <c r="AN9" i="2537"/>
  <c r="AA9" i="2537"/>
  <c r="N9" i="2537"/>
  <c r="HN8" i="2537"/>
  <c r="HA8" i="2537"/>
  <c r="GN8" i="2537"/>
  <c r="GA8" i="2537"/>
  <c r="FN8" i="2537"/>
  <c r="FA8" i="2537"/>
  <c r="EN8" i="2537"/>
  <c r="EA8" i="2537"/>
  <c r="DN8" i="2537"/>
  <c r="DA8" i="2537"/>
  <c r="CN8" i="2537"/>
  <c r="CA8" i="2537"/>
  <c r="BN8" i="2537"/>
  <c r="BA8" i="2537"/>
  <c r="AN8" i="2537"/>
  <c r="AA8" i="2537"/>
  <c r="N8" i="2537"/>
  <c r="HM7" i="2537"/>
  <c r="HL7" i="2537"/>
  <c r="HK7" i="2537"/>
  <c r="HJ7" i="2537"/>
  <c r="HI7" i="2537"/>
  <c r="HH7" i="2537"/>
  <c r="HG7" i="2537"/>
  <c r="HF7" i="2537"/>
  <c r="HE7" i="2537"/>
  <c r="HD7" i="2537"/>
  <c r="HC7" i="2537"/>
  <c r="HB7" i="2537"/>
  <c r="GZ7" i="2537"/>
  <c r="GY7" i="2537"/>
  <c r="GX7" i="2537"/>
  <c r="GW7" i="2537"/>
  <c r="GV7" i="2537"/>
  <c r="GU7" i="2537"/>
  <c r="GT7" i="2537"/>
  <c r="GS7" i="2537"/>
  <c r="GR7" i="2537"/>
  <c r="GQ7" i="2537"/>
  <c r="GP7" i="2537"/>
  <c r="GO7" i="2537"/>
  <c r="GM7" i="2537"/>
  <c r="GL7" i="2537"/>
  <c r="GK7" i="2537"/>
  <c r="GJ7" i="2537"/>
  <c r="GI7" i="2537"/>
  <c r="GH7" i="2537"/>
  <c r="GG7" i="2537"/>
  <c r="GF7" i="2537"/>
  <c r="GE7" i="2537"/>
  <c r="GD7" i="2537"/>
  <c r="GC7" i="2537"/>
  <c r="GB7" i="2537"/>
  <c r="FZ7" i="2537"/>
  <c r="FY7" i="2537"/>
  <c r="FX7" i="2537"/>
  <c r="FW7" i="2537"/>
  <c r="FV7" i="2537"/>
  <c r="FU7" i="2537"/>
  <c r="FT7" i="2537"/>
  <c r="FS7" i="2537"/>
  <c r="FR7" i="2537"/>
  <c r="FQ7" i="2537"/>
  <c r="FP7" i="2537"/>
  <c r="FO7" i="2537"/>
  <c r="FM7" i="2537"/>
  <c r="FL7" i="2537"/>
  <c r="FK7" i="2537"/>
  <c r="FJ7" i="2537"/>
  <c r="FI7" i="2537"/>
  <c r="FH7" i="2537"/>
  <c r="FG7" i="2537"/>
  <c r="FF7" i="2537"/>
  <c r="FE7" i="2537"/>
  <c r="FD7" i="2537"/>
  <c r="FC7" i="2537"/>
  <c r="FB7" i="2537"/>
  <c r="EZ7" i="2537"/>
  <c r="EY7" i="2537"/>
  <c r="EX7" i="2537"/>
  <c r="EW7" i="2537"/>
  <c r="EV7" i="2537"/>
  <c r="EU7" i="2537"/>
  <c r="ET7" i="2537"/>
  <c r="ES7" i="2537"/>
  <c r="ER7" i="2537"/>
  <c r="EQ7" i="2537"/>
  <c r="EP7" i="2537"/>
  <c r="EO7" i="2537"/>
  <c r="EM7" i="2537"/>
  <c r="EL7" i="2537"/>
  <c r="EK7" i="2537"/>
  <c r="EJ7" i="2537"/>
  <c r="EI7" i="2537"/>
  <c r="EH7" i="2537"/>
  <c r="EG7" i="2537"/>
  <c r="EF7" i="2537"/>
  <c r="EE7" i="2537"/>
  <c r="ED7" i="2537"/>
  <c r="EC7" i="2537"/>
  <c r="EB7" i="2537"/>
  <c r="DZ7" i="2537"/>
  <c r="DY7" i="2537"/>
  <c r="DX7" i="2537"/>
  <c r="DW7" i="2537"/>
  <c r="DV7" i="2537"/>
  <c r="DU7" i="2537"/>
  <c r="DT7" i="2537"/>
  <c r="DS7" i="2537"/>
  <c r="DR7" i="2537"/>
  <c r="DQ7" i="2537"/>
  <c r="DP7" i="2537"/>
  <c r="DO7" i="2537"/>
  <c r="DM7" i="2537"/>
  <c r="DL7" i="2537"/>
  <c r="DK7" i="2537"/>
  <c r="DJ7" i="2537"/>
  <c r="DI7" i="2537"/>
  <c r="DH7" i="2537"/>
  <c r="DG7" i="2537"/>
  <c r="DF7" i="2537"/>
  <c r="DE7" i="2537"/>
  <c r="DD7" i="2537"/>
  <c r="DC7" i="2537"/>
  <c r="DB7" i="2537"/>
  <c r="CZ7" i="2537"/>
  <c r="CY7" i="2537"/>
  <c r="CX7" i="2537"/>
  <c r="CW7" i="2537"/>
  <c r="CV7" i="2537"/>
  <c r="CU7" i="2537"/>
  <c r="CT7" i="2537"/>
  <c r="CS7" i="2537"/>
  <c r="CR7" i="2537"/>
  <c r="CQ7" i="2537"/>
  <c r="CP7" i="2537"/>
  <c r="CO7" i="2537"/>
  <c r="CM7" i="2537"/>
  <c r="CL7" i="2537"/>
  <c r="CK7" i="2537"/>
  <c r="CJ7" i="2537"/>
  <c r="CI7" i="2537"/>
  <c r="CH7" i="2537"/>
  <c r="CG7" i="2537"/>
  <c r="CF7" i="2537"/>
  <c r="CE7" i="2537"/>
  <c r="CD7" i="2537"/>
  <c r="CC7" i="2537"/>
  <c r="CB7" i="2537"/>
  <c r="BZ7" i="2537"/>
  <c r="BY7" i="2537"/>
  <c r="BX7" i="2537"/>
  <c r="BW7" i="2537"/>
  <c r="BV7" i="2537"/>
  <c r="BU7" i="2537"/>
  <c r="BT7" i="2537"/>
  <c r="BS7" i="2537"/>
  <c r="BR7" i="2537"/>
  <c r="BQ7" i="2537"/>
  <c r="BP7" i="2537"/>
  <c r="BO7" i="2537"/>
  <c r="BM7" i="2537"/>
  <c r="BL7" i="2537"/>
  <c r="BK7" i="2537"/>
  <c r="BJ7" i="2537"/>
  <c r="BI7" i="2537"/>
  <c r="BH7" i="2537"/>
  <c r="BG7" i="2537"/>
  <c r="BF7" i="2537"/>
  <c r="BE7" i="2537"/>
  <c r="BD7" i="2537"/>
  <c r="BC7" i="2537"/>
  <c r="BB7" i="2537"/>
  <c r="AZ7" i="2537"/>
  <c r="AY7" i="2537"/>
  <c r="AX7" i="2537"/>
  <c r="AW7" i="2537"/>
  <c r="AV7" i="2537"/>
  <c r="AU7" i="2537"/>
  <c r="AT7" i="2537"/>
  <c r="AS7" i="2537"/>
  <c r="AR7" i="2537"/>
  <c r="AQ7" i="2537"/>
  <c r="AP7" i="2537"/>
  <c r="AO7" i="2537"/>
  <c r="AM7" i="2537"/>
  <c r="AL7" i="2537"/>
  <c r="AK7" i="2537"/>
  <c r="AJ7" i="2537"/>
  <c r="AI7" i="2537"/>
  <c r="AH7" i="2537"/>
  <c r="AG7" i="2537"/>
  <c r="AG39" i="2537" s="1"/>
  <c r="AF7" i="2537"/>
  <c r="AE7" i="2537"/>
  <c r="AD7" i="2537"/>
  <c r="AC7" i="2537"/>
  <c r="AB7" i="2537"/>
  <c r="Z7" i="2537"/>
  <c r="Y7" i="2537"/>
  <c r="X7" i="2537"/>
  <c r="W7" i="2537"/>
  <c r="V7" i="2537"/>
  <c r="U7" i="2537"/>
  <c r="T7" i="2537"/>
  <c r="S7" i="2537"/>
  <c r="R7" i="2537"/>
  <c r="Q7" i="2537"/>
  <c r="P7" i="2537"/>
  <c r="O7" i="2537"/>
  <c r="M7" i="2537"/>
  <c r="L7" i="2537"/>
  <c r="K7" i="2537"/>
  <c r="J7" i="2537"/>
  <c r="I7" i="2537"/>
  <c r="H7" i="2537"/>
  <c r="G7" i="2537"/>
  <c r="F7" i="2537"/>
  <c r="E7" i="2537"/>
  <c r="D7" i="2537"/>
  <c r="C7" i="2537"/>
  <c r="B7" i="2537"/>
  <c r="HN5" i="2537"/>
  <c r="HA5" i="2537"/>
  <c r="GN5" i="2537"/>
  <c r="GA5" i="2537"/>
  <c r="FN5" i="2537"/>
  <c r="FA5" i="2537"/>
  <c r="EN5" i="2537"/>
  <c r="EA5" i="2537"/>
  <c r="DN5" i="2537"/>
  <c r="DA5" i="2537"/>
  <c r="CN5" i="2537"/>
  <c r="CA5" i="2537"/>
  <c r="BN5" i="2537"/>
  <c r="BA5" i="2537"/>
  <c r="AN5" i="2537"/>
  <c r="AA5" i="2537"/>
  <c r="N5" i="2537"/>
  <c r="HB4" i="2537"/>
  <c r="GO4" i="2537"/>
  <c r="GB4" i="2537"/>
  <c r="FO4" i="2537"/>
  <c r="FB4" i="2537"/>
  <c r="EO4" i="2537"/>
  <c r="EB4" i="2537"/>
  <c r="DO4" i="2537"/>
  <c r="DB4" i="2537"/>
  <c r="CO4" i="2537"/>
  <c r="CB4" i="2537"/>
  <c r="BO4" i="2537"/>
  <c r="BB4" i="2537"/>
  <c r="AO4" i="2537"/>
  <c r="AB4" i="2537"/>
  <c r="O4" i="2537"/>
  <c r="B4" i="2537"/>
  <c r="HM70" i="2536"/>
  <c r="HL70" i="2536"/>
  <c r="HK70" i="2536"/>
  <c r="HJ70" i="2536"/>
  <c r="HI70" i="2536"/>
  <c r="HH70" i="2536"/>
  <c r="HG70" i="2536"/>
  <c r="HF70" i="2536"/>
  <c r="HE70" i="2536"/>
  <c r="HD70" i="2536"/>
  <c r="HC70" i="2536"/>
  <c r="HB70" i="2536"/>
  <c r="GZ70" i="2536"/>
  <c r="GY70" i="2536"/>
  <c r="GX70" i="2536"/>
  <c r="GW70" i="2536"/>
  <c r="GV70" i="2536"/>
  <c r="GU70" i="2536"/>
  <c r="GT70" i="2536"/>
  <c r="GS70" i="2536"/>
  <c r="GR70" i="2536"/>
  <c r="GQ70" i="2536"/>
  <c r="GP70" i="2536"/>
  <c r="GO70" i="2536"/>
  <c r="GM70" i="2536"/>
  <c r="GL70" i="2536"/>
  <c r="GK70" i="2536"/>
  <c r="GJ70" i="2536"/>
  <c r="GI70" i="2536"/>
  <c r="GH70" i="2536"/>
  <c r="GG70" i="2536"/>
  <c r="GF70" i="2536"/>
  <c r="GE70" i="2536"/>
  <c r="GD70" i="2536"/>
  <c r="GC70" i="2536"/>
  <c r="GB70" i="2536"/>
  <c r="FZ70" i="2536"/>
  <c r="FY70" i="2536"/>
  <c r="FX70" i="2536"/>
  <c r="FW70" i="2536"/>
  <c r="FV70" i="2536"/>
  <c r="FU70" i="2536"/>
  <c r="FT70" i="2536"/>
  <c r="FS70" i="2536"/>
  <c r="FR70" i="2536"/>
  <c r="FQ70" i="2536"/>
  <c r="FP70" i="2536"/>
  <c r="FO70" i="2536"/>
  <c r="FM70" i="2536"/>
  <c r="FL70" i="2536"/>
  <c r="FK70" i="2536"/>
  <c r="FJ70" i="2536"/>
  <c r="FI70" i="2536"/>
  <c r="FH70" i="2536"/>
  <c r="FG70" i="2536"/>
  <c r="FF70" i="2536"/>
  <c r="FE70" i="2536"/>
  <c r="FD70" i="2536"/>
  <c r="FC70" i="2536"/>
  <c r="FB70" i="2536"/>
  <c r="EZ70" i="2536"/>
  <c r="EY70" i="2536"/>
  <c r="EX70" i="2536"/>
  <c r="EW70" i="2536"/>
  <c r="EV70" i="2536"/>
  <c r="EU70" i="2536"/>
  <c r="ET70" i="2536"/>
  <c r="ES70" i="2536"/>
  <c r="ER70" i="2536"/>
  <c r="EQ70" i="2536"/>
  <c r="EP70" i="2536"/>
  <c r="EO70" i="2536"/>
  <c r="EM70" i="2536"/>
  <c r="EL70" i="2536"/>
  <c r="EK70" i="2536"/>
  <c r="EJ70" i="2536"/>
  <c r="EI70" i="2536"/>
  <c r="EH70" i="2536"/>
  <c r="EG70" i="2536"/>
  <c r="EF70" i="2536"/>
  <c r="EE70" i="2536"/>
  <c r="ED70" i="2536"/>
  <c r="EC70" i="2536"/>
  <c r="EB70" i="2536"/>
  <c r="DZ70" i="2536"/>
  <c r="DY70" i="2536"/>
  <c r="DX70" i="2536"/>
  <c r="DW70" i="2536"/>
  <c r="DV70" i="2536"/>
  <c r="DU70" i="2536"/>
  <c r="DT70" i="2536"/>
  <c r="DS70" i="2536"/>
  <c r="DR70" i="2536"/>
  <c r="DQ70" i="2536"/>
  <c r="DP70" i="2536"/>
  <c r="DO70" i="2536"/>
  <c r="DM70" i="2536"/>
  <c r="DL70" i="2536"/>
  <c r="DK70" i="2536"/>
  <c r="DJ70" i="2536"/>
  <c r="DI70" i="2536"/>
  <c r="DH70" i="2536"/>
  <c r="DG70" i="2536"/>
  <c r="DF70" i="2536"/>
  <c r="DE70" i="2536"/>
  <c r="DD70" i="2536"/>
  <c r="DC70" i="2536"/>
  <c r="DB70" i="2536"/>
  <c r="CZ70" i="2536"/>
  <c r="CY70" i="2536"/>
  <c r="CX70" i="2536"/>
  <c r="CW70" i="2536"/>
  <c r="CV70" i="2536"/>
  <c r="CU70" i="2536"/>
  <c r="CT70" i="2536"/>
  <c r="CS70" i="2536"/>
  <c r="CR70" i="2536"/>
  <c r="CQ70" i="2536"/>
  <c r="CP70" i="2536"/>
  <c r="CO70" i="2536"/>
  <c r="CM70" i="2536"/>
  <c r="CL70" i="2536"/>
  <c r="CK70" i="2536"/>
  <c r="CJ70" i="2536"/>
  <c r="CI70" i="2536"/>
  <c r="CH70" i="2536"/>
  <c r="CG70" i="2536"/>
  <c r="CF70" i="2536"/>
  <c r="CE70" i="2536"/>
  <c r="CD70" i="2536"/>
  <c r="CC70" i="2536"/>
  <c r="CB70" i="2536"/>
  <c r="BZ70" i="2536"/>
  <c r="BY70" i="2536"/>
  <c r="BX70" i="2536"/>
  <c r="BW70" i="2536"/>
  <c r="BV70" i="2536"/>
  <c r="BU70" i="2536"/>
  <c r="BT70" i="2536"/>
  <c r="BS70" i="2536"/>
  <c r="BR70" i="2536"/>
  <c r="BQ70" i="2536"/>
  <c r="BP70" i="2536"/>
  <c r="BO70" i="2536"/>
  <c r="BM70" i="2536"/>
  <c r="BL70" i="2536"/>
  <c r="BK70" i="2536"/>
  <c r="BJ70" i="2536"/>
  <c r="BI70" i="2536"/>
  <c r="BH70" i="2536"/>
  <c r="BG70" i="2536"/>
  <c r="BF70" i="2536"/>
  <c r="BE70" i="2536"/>
  <c r="BD70" i="2536"/>
  <c r="BC70" i="2536"/>
  <c r="BB70" i="2536"/>
  <c r="AZ70" i="2536"/>
  <c r="AY70" i="2536"/>
  <c r="AX70" i="2536"/>
  <c r="AW70" i="2536"/>
  <c r="AV70" i="2536"/>
  <c r="AU70" i="2536"/>
  <c r="AT70" i="2536"/>
  <c r="AS70" i="2536"/>
  <c r="AR70" i="2536"/>
  <c r="AQ70" i="2536"/>
  <c r="AP70" i="2536"/>
  <c r="AO70" i="2536"/>
  <c r="AM70" i="2536"/>
  <c r="AL70" i="2536"/>
  <c r="AK70" i="2536"/>
  <c r="AJ70" i="2536"/>
  <c r="AI70" i="2536"/>
  <c r="AH70" i="2536"/>
  <c r="AG70" i="2536"/>
  <c r="AF70" i="2536"/>
  <c r="AE70" i="2536"/>
  <c r="AD70" i="2536"/>
  <c r="AC70" i="2536"/>
  <c r="AB70" i="2536"/>
  <c r="Z70" i="2536"/>
  <c r="Y70" i="2536"/>
  <c r="X70" i="2536"/>
  <c r="W70" i="2536"/>
  <c r="V70" i="2536"/>
  <c r="U70" i="2536"/>
  <c r="T70" i="2536"/>
  <c r="S70" i="2536"/>
  <c r="R70" i="2536"/>
  <c r="Q70" i="2536"/>
  <c r="P70" i="2536"/>
  <c r="O70" i="2536"/>
  <c r="M70" i="2536"/>
  <c r="L70" i="2536"/>
  <c r="K70" i="2536"/>
  <c r="J70" i="2536"/>
  <c r="I70" i="2536"/>
  <c r="H70" i="2536"/>
  <c r="G70" i="2536"/>
  <c r="F70" i="2536"/>
  <c r="E70" i="2536"/>
  <c r="D70" i="2536"/>
  <c r="C70" i="2536"/>
  <c r="B70" i="2536"/>
  <c r="HM68" i="2536"/>
  <c r="HL68" i="2536"/>
  <c r="HK68" i="2536"/>
  <c r="HJ68" i="2536"/>
  <c r="HI68" i="2536"/>
  <c r="HH68" i="2536"/>
  <c r="HG68" i="2536"/>
  <c r="HF68" i="2536"/>
  <c r="HE68" i="2536"/>
  <c r="HD68" i="2536"/>
  <c r="HC68" i="2536"/>
  <c r="HB68" i="2536"/>
  <c r="GZ68" i="2536"/>
  <c r="GY68" i="2536"/>
  <c r="GX68" i="2536"/>
  <c r="GW68" i="2536"/>
  <c r="GV68" i="2536"/>
  <c r="GU68" i="2536"/>
  <c r="GT68" i="2536"/>
  <c r="GS68" i="2536"/>
  <c r="GR68" i="2536"/>
  <c r="GQ68" i="2536"/>
  <c r="GP68" i="2536"/>
  <c r="GO68" i="2536"/>
  <c r="GM68" i="2536"/>
  <c r="GL68" i="2536"/>
  <c r="GK68" i="2536"/>
  <c r="GJ68" i="2536"/>
  <c r="GI68" i="2536"/>
  <c r="GH68" i="2536"/>
  <c r="GG68" i="2536"/>
  <c r="GF68" i="2536"/>
  <c r="GE68" i="2536"/>
  <c r="GD68" i="2536"/>
  <c r="GC68" i="2536"/>
  <c r="GB68" i="2536"/>
  <c r="FZ68" i="2536"/>
  <c r="FY68" i="2536"/>
  <c r="FX68" i="2536"/>
  <c r="FW68" i="2536"/>
  <c r="FV68" i="2536"/>
  <c r="FU68" i="2536"/>
  <c r="FT68" i="2536"/>
  <c r="FS68" i="2536"/>
  <c r="FR68" i="2536"/>
  <c r="FQ68" i="2536"/>
  <c r="FP68" i="2536"/>
  <c r="FO68" i="2536"/>
  <c r="FM68" i="2536"/>
  <c r="FL68" i="2536"/>
  <c r="FK68" i="2536"/>
  <c r="FJ68" i="2536"/>
  <c r="FI68" i="2536"/>
  <c r="FH68" i="2536"/>
  <c r="FG68" i="2536"/>
  <c r="FF68" i="2536"/>
  <c r="FE68" i="2536"/>
  <c r="FD68" i="2536"/>
  <c r="FC68" i="2536"/>
  <c r="FB68" i="2536"/>
  <c r="EZ68" i="2536"/>
  <c r="EY68" i="2536"/>
  <c r="EX68" i="2536"/>
  <c r="EW68" i="2536"/>
  <c r="EV68" i="2536"/>
  <c r="EU68" i="2536"/>
  <c r="ET68" i="2536"/>
  <c r="ES68" i="2536"/>
  <c r="ER68" i="2536"/>
  <c r="EQ68" i="2536"/>
  <c r="EP68" i="2536"/>
  <c r="EO68" i="2536"/>
  <c r="EM68" i="2536"/>
  <c r="EL68" i="2536"/>
  <c r="EK68" i="2536"/>
  <c r="EJ68" i="2536"/>
  <c r="EI68" i="2536"/>
  <c r="EH68" i="2536"/>
  <c r="EG68" i="2536"/>
  <c r="EF68" i="2536"/>
  <c r="EE68" i="2536"/>
  <c r="ED68" i="2536"/>
  <c r="EC68" i="2536"/>
  <c r="EB68" i="2536"/>
  <c r="DZ68" i="2536"/>
  <c r="DY68" i="2536"/>
  <c r="DX68" i="2536"/>
  <c r="DW68" i="2536"/>
  <c r="DV68" i="2536"/>
  <c r="DU68" i="2536"/>
  <c r="DT68" i="2536"/>
  <c r="DS68" i="2536"/>
  <c r="DR68" i="2536"/>
  <c r="DQ68" i="2536"/>
  <c r="DP68" i="2536"/>
  <c r="DO68" i="2536"/>
  <c r="DM68" i="2536"/>
  <c r="DL68" i="2536"/>
  <c r="DK68" i="2536"/>
  <c r="DJ68" i="2536"/>
  <c r="DI68" i="2536"/>
  <c r="DH68" i="2536"/>
  <c r="DG68" i="2536"/>
  <c r="DF68" i="2536"/>
  <c r="DE68" i="2536"/>
  <c r="DD68" i="2536"/>
  <c r="DC68" i="2536"/>
  <c r="DB68" i="2536"/>
  <c r="CZ68" i="2536"/>
  <c r="CY68" i="2536"/>
  <c r="CX68" i="2536"/>
  <c r="CW68" i="2536"/>
  <c r="CV68" i="2536"/>
  <c r="CU68" i="2536"/>
  <c r="CT68" i="2536"/>
  <c r="CS68" i="2536"/>
  <c r="CR68" i="2536"/>
  <c r="CQ68" i="2536"/>
  <c r="CP68" i="2536"/>
  <c r="CO68" i="2536"/>
  <c r="CM68" i="2536"/>
  <c r="CL68" i="2536"/>
  <c r="CK68" i="2536"/>
  <c r="CJ68" i="2536"/>
  <c r="CI68" i="2536"/>
  <c r="CH68" i="2536"/>
  <c r="CG68" i="2536"/>
  <c r="CF68" i="2536"/>
  <c r="CE68" i="2536"/>
  <c r="CD68" i="2536"/>
  <c r="CC68" i="2536"/>
  <c r="CB68" i="2536"/>
  <c r="HE64" i="2536"/>
  <c r="GZ64" i="2536"/>
  <c r="GY64" i="2536"/>
  <c r="GX64" i="2536"/>
  <c r="AQ64" i="2536"/>
  <c r="AP64" i="2536"/>
  <c r="AO64" i="2536"/>
  <c r="AM64" i="2536"/>
  <c r="AL64" i="2536"/>
  <c r="AK64" i="2536"/>
  <c r="AJ64" i="2536"/>
  <c r="AI64" i="2536"/>
  <c r="AH64" i="2536"/>
  <c r="AG64" i="2536"/>
  <c r="AF64" i="2536"/>
  <c r="AE64" i="2536"/>
  <c r="AD64" i="2536"/>
  <c r="AC64" i="2536"/>
  <c r="AB64" i="2536"/>
  <c r="HE63" i="2536"/>
  <c r="HN63" i="2536" s="1"/>
  <c r="GZ63" i="2536"/>
  <c r="GY63" i="2536"/>
  <c r="GX63" i="2536"/>
  <c r="AQ63" i="2536"/>
  <c r="AP63" i="2536"/>
  <c r="AO63" i="2536"/>
  <c r="AM63" i="2536"/>
  <c r="AL63" i="2536"/>
  <c r="AK63" i="2536"/>
  <c r="AJ63" i="2536"/>
  <c r="AI63" i="2536"/>
  <c r="AH63" i="2536"/>
  <c r="AG63" i="2536"/>
  <c r="AF63" i="2536"/>
  <c r="AE63" i="2536"/>
  <c r="AD63" i="2536"/>
  <c r="AC63" i="2536"/>
  <c r="AB63" i="2536"/>
  <c r="HM62" i="2536"/>
  <c r="HL62" i="2536"/>
  <c r="HK62" i="2536"/>
  <c r="HJ62" i="2536"/>
  <c r="HI62" i="2536"/>
  <c r="HH62" i="2536"/>
  <c r="HG62" i="2536"/>
  <c r="HF62" i="2536"/>
  <c r="HE62" i="2536"/>
  <c r="HD62" i="2536"/>
  <c r="HC62" i="2536"/>
  <c r="HB62" i="2536"/>
  <c r="GZ62" i="2536"/>
  <c r="GY62" i="2536"/>
  <c r="GX62" i="2536"/>
  <c r="GW62" i="2536"/>
  <c r="GV62" i="2536"/>
  <c r="GU62" i="2536"/>
  <c r="GT62" i="2536"/>
  <c r="GS62" i="2536"/>
  <c r="GR62" i="2536"/>
  <c r="GQ62" i="2536"/>
  <c r="GP62" i="2536"/>
  <c r="GO62" i="2536"/>
  <c r="GM62" i="2536"/>
  <c r="GL62" i="2536"/>
  <c r="GK62" i="2536"/>
  <c r="GJ62" i="2536"/>
  <c r="GI62" i="2536"/>
  <c r="GH62" i="2536"/>
  <c r="GG62" i="2536"/>
  <c r="GF62" i="2536"/>
  <c r="GE62" i="2536"/>
  <c r="GD62" i="2536"/>
  <c r="GC62" i="2536"/>
  <c r="GB62" i="2536"/>
  <c r="FZ62" i="2536"/>
  <c r="FY62" i="2536"/>
  <c r="FX62" i="2536"/>
  <c r="FW62" i="2536"/>
  <c r="FV62" i="2536"/>
  <c r="FU62" i="2536"/>
  <c r="FT62" i="2536"/>
  <c r="FS62" i="2536"/>
  <c r="FR62" i="2536"/>
  <c r="FQ62" i="2536"/>
  <c r="FP62" i="2536"/>
  <c r="FO62" i="2536"/>
  <c r="FM62" i="2536"/>
  <c r="FL62" i="2536"/>
  <c r="FK62" i="2536"/>
  <c r="FJ62" i="2536"/>
  <c r="FI62" i="2536"/>
  <c r="FH62" i="2536"/>
  <c r="FG62" i="2536"/>
  <c r="FF62" i="2536"/>
  <c r="FE62" i="2536"/>
  <c r="FD62" i="2536"/>
  <c r="FC62" i="2536"/>
  <c r="FB62" i="2536"/>
  <c r="EZ62" i="2536"/>
  <c r="EY62" i="2536"/>
  <c r="EX62" i="2536"/>
  <c r="EW62" i="2536"/>
  <c r="EV62" i="2536"/>
  <c r="EU62" i="2536"/>
  <c r="ET62" i="2536"/>
  <c r="ES62" i="2536"/>
  <c r="ER62" i="2536"/>
  <c r="EQ62" i="2536"/>
  <c r="EP62" i="2536"/>
  <c r="EO62" i="2536"/>
  <c r="EM62" i="2536"/>
  <c r="EL62" i="2536"/>
  <c r="EK62" i="2536"/>
  <c r="EJ62" i="2536"/>
  <c r="EI62" i="2536"/>
  <c r="EH62" i="2536"/>
  <c r="EG62" i="2536"/>
  <c r="EF62" i="2536"/>
  <c r="EE62" i="2536"/>
  <c r="ED62" i="2536"/>
  <c r="EC62" i="2536"/>
  <c r="EB62" i="2536"/>
  <c r="DZ62" i="2536"/>
  <c r="DY62" i="2536"/>
  <c r="DX62" i="2536"/>
  <c r="DW62" i="2536"/>
  <c r="DV62" i="2536"/>
  <c r="DU62" i="2536"/>
  <c r="DT62" i="2536"/>
  <c r="DS62" i="2536"/>
  <c r="DR62" i="2536"/>
  <c r="DQ62" i="2536"/>
  <c r="DP62" i="2536"/>
  <c r="DO62" i="2536"/>
  <c r="DM62" i="2536"/>
  <c r="DL62" i="2536"/>
  <c r="DK62" i="2536"/>
  <c r="DJ62" i="2536"/>
  <c r="DI62" i="2536"/>
  <c r="DH62" i="2536"/>
  <c r="DG62" i="2536"/>
  <c r="DF62" i="2536"/>
  <c r="DE62" i="2536"/>
  <c r="DD62" i="2536"/>
  <c r="DC62" i="2536"/>
  <c r="DB62" i="2536"/>
  <c r="CZ62" i="2536"/>
  <c r="CY62" i="2536"/>
  <c r="CX62" i="2536"/>
  <c r="CW62" i="2536"/>
  <c r="CV62" i="2536"/>
  <c r="CU62" i="2536"/>
  <c r="CT62" i="2536"/>
  <c r="CS62" i="2536"/>
  <c r="CR62" i="2536"/>
  <c r="CQ62" i="2536"/>
  <c r="CP62" i="2536"/>
  <c r="CO62" i="2536"/>
  <c r="CM62" i="2536"/>
  <c r="CL62" i="2536"/>
  <c r="CK62" i="2536"/>
  <c r="CJ62" i="2536"/>
  <c r="CI62" i="2536"/>
  <c r="CH62" i="2536"/>
  <c r="CG62" i="2536"/>
  <c r="CF62" i="2536"/>
  <c r="CE62" i="2536"/>
  <c r="CD62" i="2536"/>
  <c r="CC62" i="2536"/>
  <c r="CB62" i="2536"/>
  <c r="BZ62" i="2536"/>
  <c r="BY62" i="2536"/>
  <c r="BX62" i="2536"/>
  <c r="BW62" i="2536"/>
  <c r="BV62" i="2536"/>
  <c r="BU62" i="2536"/>
  <c r="BT62" i="2536"/>
  <c r="BS62" i="2536"/>
  <c r="BR62" i="2536"/>
  <c r="BQ62" i="2536"/>
  <c r="BP62" i="2536"/>
  <c r="BO62" i="2536"/>
  <c r="BM62" i="2536"/>
  <c r="BL62" i="2536"/>
  <c r="BK62" i="2536"/>
  <c r="BJ62" i="2536"/>
  <c r="BI62" i="2536"/>
  <c r="BH62" i="2536"/>
  <c r="BG62" i="2536"/>
  <c r="BF62" i="2536"/>
  <c r="BE62" i="2536"/>
  <c r="BD62" i="2536"/>
  <c r="BC62" i="2536"/>
  <c r="BB62" i="2536"/>
  <c r="AZ62" i="2536"/>
  <c r="AY62" i="2536"/>
  <c r="AX62" i="2536"/>
  <c r="AW62" i="2536"/>
  <c r="AV62" i="2536"/>
  <c r="AU62" i="2536"/>
  <c r="AT62" i="2536"/>
  <c r="AS62" i="2536"/>
  <c r="AR62" i="2536"/>
  <c r="AQ62" i="2536"/>
  <c r="AP62" i="2536"/>
  <c r="AO62" i="2536"/>
  <c r="AM62" i="2536"/>
  <c r="AL62" i="2536"/>
  <c r="AK62" i="2536"/>
  <c r="AJ62" i="2536"/>
  <c r="AI62" i="2536"/>
  <c r="AH62" i="2536"/>
  <c r="AG62" i="2536"/>
  <c r="AF62" i="2536"/>
  <c r="AE62" i="2536"/>
  <c r="AD62" i="2536"/>
  <c r="AC62" i="2536"/>
  <c r="AB62" i="2536"/>
  <c r="Z62" i="2536"/>
  <c r="Y62" i="2536"/>
  <c r="X62" i="2536"/>
  <c r="W62" i="2536"/>
  <c r="V62" i="2536"/>
  <c r="U62" i="2536"/>
  <c r="T62" i="2536"/>
  <c r="S62" i="2536"/>
  <c r="R62" i="2536"/>
  <c r="Q62" i="2536"/>
  <c r="P62" i="2536"/>
  <c r="O62" i="2536"/>
  <c r="M62" i="2536"/>
  <c r="L62" i="2536"/>
  <c r="K62" i="2536"/>
  <c r="J62" i="2536"/>
  <c r="I62" i="2536"/>
  <c r="H62" i="2536"/>
  <c r="G62" i="2536"/>
  <c r="F62" i="2536"/>
  <c r="E62" i="2536"/>
  <c r="D62" i="2536"/>
  <c r="C62" i="2536"/>
  <c r="B62" i="2536"/>
  <c r="HM61" i="2536"/>
  <c r="HL61" i="2536"/>
  <c r="HK61" i="2536"/>
  <c r="HJ61" i="2536"/>
  <c r="HI61" i="2536"/>
  <c r="HH61" i="2536"/>
  <c r="HG61" i="2536"/>
  <c r="HF61" i="2536"/>
  <c r="HE61" i="2536"/>
  <c r="HD61" i="2536"/>
  <c r="HC61" i="2536"/>
  <c r="HB61" i="2536"/>
  <c r="GZ61" i="2536"/>
  <c r="GY61" i="2536"/>
  <c r="GX61" i="2536"/>
  <c r="GW61" i="2536"/>
  <c r="GV61" i="2536"/>
  <c r="GU61" i="2536"/>
  <c r="GT61" i="2536"/>
  <c r="GS61" i="2536"/>
  <c r="GR61" i="2536"/>
  <c r="GQ61" i="2536"/>
  <c r="GP61" i="2536"/>
  <c r="GO61" i="2536"/>
  <c r="GM61" i="2536"/>
  <c r="GL61" i="2536"/>
  <c r="GK61" i="2536"/>
  <c r="GJ61" i="2536"/>
  <c r="GI61" i="2536"/>
  <c r="GH61" i="2536"/>
  <c r="GG61" i="2536"/>
  <c r="GF61" i="2536"/>
  <c r="GE61" i="2536"/>
  <c r="GD61" i="2536"/>
  <c r="GC61" i="2536"/>
  <c r="GB61" i="2536"/>
  <c r="FZ61" i="2536"/>
  <c r="FY61" i="2536"/>
  <c r="FX61" i="2536"/>
  <c r="FW61" i="2536"/>
  <c r="FV61" i="2536"/>
  <c r="FU61" i="2536"/>
  <c r="FT61" i="2536"/>
  <c r="FS61" i="2536"/>
  <c r="FR61" i="2536"/>
  <c r="FQ61" i="2536"/>
  <c r="FP61" i="2536"/>
  <c r="FO61" i="2536"/>
  <c r="FM61" i="2536"/>
  <c r="FL61" i="2536"/>
  <c r="FK61" i="2536"/>
  <c r="FJ61" i="2536"/>
  <c r="FI61" i="2536"/>
  <c r="FH61" i="2536"/>
  <c r="FG61" i="2536"/>
  <c r="FF61" i="2536"/>
  <c r="FE61" i="2536"/>
  <c r="FD61" i="2536"/>
  <c r="FC61" i="2536"/>
  <c r="FB61" i="2536"/>
  <c r="EZ61" i="2536"/>
  <c r="EY61" i="2536"/>
  <c r="EX61" i="2536"/>
  <c r="EW61" i="2536"/>
  <c r="EV61" i="2536"/>
  <c r="EU61" i="2536"/>
  <c r="ET61" i="2536"/>
  <c r="ES61" i="2536"/>
  <c r="ER61" i="2536"/>
  <c r="EQ61" i="2536"/>
  <c r="EP61" i="2536"/>
  <c r="EO61" i="2536"/>
  <c r="EM61" i="2536"/>
  <c r="EL61" i="2536"/>
  <c r="EK61" i="2536"/>
  <c r="EJ61" i="2536"/>
  <c r="EI61" i="2536"/>
  <c r="EH61" i="2536"/>
  <c r="EG61" i="2536"/>
  <c r="EF61" i="2536"/>
  <c r="EE61" i="2536"/>
  <c r="ED61" i="2536"/>
  <c r="EC61" i="2536"/>
  <c r="EB61" i="2536"/>
  <c r="DZ61" i="2536"/>
  <c r="DY61" i="2536"/>
  <c r="DX61" i="2536"/>
  <c r="DW61" i="2536"/>
  <c r="DV61" i="2536"/>
  <c r="DU61" i="2536"/>
  <c r="DT61" i="2536"/>
  <c r="DS61" i="2536"/>
  <c r="DR61" i="2536"/>
  <c r="DQ61" i="2536"/>
  <c r="DP61" i="2536"/>
  <c r="DO61" i="2536"/>
  <c r="DM61" i="2536"/>
  <c r="DL61" i="2536"/>
  <c r="DK61" i="2536"/>
  <c r="DJ61" i="2536"/>
  <c r="DI61" i="2536"/>
  <c r="DH61" i="2536"/>
  <c r="DG61" i="2536"/>
  <c r="DF61" i="2536"/>
  <c r="DE61" i="2536"/>
  <c r="DD61" i="2536"/>
  <c r="DC61" i="2536"/>
  <c r="DB61" i="2536"/>
  <c r="CZ61" i="2536"/>
  <c r="CY61" i="2536"/>
  <c r="CX61" i="2536"/>
  <c r="CW61" i="2536"/>
  <c r="CV61" i="2536"/>
  <c r="CU61" i="2536"/>
  <c r="CT61" i="2536"/>
  <c r="CS61" i="2536"/>
  <c r="CR61" i="2536"/>
  <c r="CQ61" i="2536"/>
  <c r="CP61" i="2536"/>
  <c r="CO61" i="2536"/>
  <c r="CM61" i="2536"/>
  <c r="CL61" i="2536"/>
  <c r="CK61" i="2536"/>
  <c r="CJ61" i="2536"/>
  <c r="CI61" i="2536"/>
  <c r="CH61" i="2536"/>
  <c r="CG61" i="2536"/>
  <c r="CF61" i="2536"/>
  <c r="CE61" i="2536"/>
  <c r="CD61" i="2536"/>
  <c r="CC61" i="2536"/>
  <c r="CB61" i="2536"/>
  <c r="BZ61" i="2536"/>
  <c r="BY61" i="2536"/>
  <c r="BX61" i="2536"/>
  <c r="BW61" i="2536"/>
  <c r="BV61" i="2536"/>
  <c r="BU61" i="2536"/>
  <c r="BT61" i="2536"/>
  <c r="BS61" i="2536"/>
  <c r="BR61" i="2536"/>
  <c r="BQ61" i="2536"/>
  <c r="BP61" i="2536"/>
  <c r="BO61" i="2536"/>
  <c r="BM61" i="2536"/>
  <c r="BL61" i="2536"/>
  <c r="BK61" i="2536"/>
  <c r="BJ61" i="2536"/>
  <c r="BI61" i="2536"/>
  <c r="BH61" i="2536"/>
  <c r="BG61" i="2536"/>
  <c r="BF61" i="2536"/>
  <c r="BE61" i="2536"/>
  <c r="BD61" i="2536"/>
  <c r="BC61" i="2536"/>
  <c r="BB61" i="2536"/>
  <c r="AZ61" i="2536"/>
  <c r="AY61" i="2536"/>
  <c r="AX61" i="2536"/>
  <c r="AW61" i="2536"/>
  <c r="AV61" i="2536"/>
  <c r="AU61" i="2536"/>
  <c r="AT61" i="2536"/>
  <c r="AS61" i="2536"/>
  <c r="AR61" i="2536"/>
  <c r="AQ61" i="2536"/>
  <c r="AP61" i="2536"/>
  <c r="AO61" i="2536"/>
  <c r="AM61" i="2536"/>
  <c r="AL61" i="2536"/>
  <c r="AK61" i="2536"/>
  <c r="AJ61" i="2536"/>
  <c r="AI61" i="2536"/>
  <c r="AH61" i="2536"/>
  <c r="AG61" i="2536"/>
  <c r="AF61" i="2536"/>
  <c r="AE61" i="2536"/>
  <c r="AD61" i="2536"/>
  <c r="AC61" i="2536"/>
  <c r="AB61" i="2536"/>
  <c r="Z61" i="2536"/>
  <c r="Y61" i="2536"/>
  <c r="X61" i="2536"/>
  <c r="W61" i="2536"/>
  <c r="V61" i="2536"/>
  <c r="U61" i="2536"/>
  <c r="T61" i="2536"/>
  <c r="S61" i="2536"/>
  <c r="R61" i="2536"/>
  <c r="Q61" i="2536"/>
  <c r="P61" i="2536"/>
  <c r="O61" i="2536"/>
  <c r="M61" i="2536"/>
  <c r="L61" i="2536"/>
  <c r="K61" i="2536"/>
  <c r="J61" i="2536"/>
  <c r="I61" i="2536"/>
  <c r="H61" i="2536"/>
  <c r="G61" i="2536"/>
  <c r="F61" i="2536"/>
  <c r="E61" i="2536"/>
  <c r="D61" i="2536"/>
  <c r="C61" i="2536"/>
  <c r="B61" i="2536"/>
  <c r="HM60" i="2536"/>
  <c r="HL60" i="2536"/>
  <c r="HK60" i="2536"/>
  <c r="HJ60" i="2536"/>
  <c r="HI60" i="2536"/>
  <c r="HH60" i="2536"/>
  <c r="HG60" i="2536"/>
  <c r="HF60" i="2536"/>
  <c r="HE60" i="2536"/>
  <c r="HD60" i="2536"/>
  <c r="HC60" i="2536"/>
  <c r="HB60" i="2536"/>
  <c r="GZ60" i="2536"/>
  <c r="GY60" i="2536"/>
  <c r="GX60" i="2536"/>
  <c r="GW60" i="2536"/>
  <c r="GV60" i="2536"/>
  <c r="GU60" i="2536"/>
  <c r="GT60" i="2536"/>
  <c r="GS60" i="2536"/>
  <c r="GR60" i="2536"/>
  <c r="GQ60" i="2536"/>
  <c r="GP60" i="2536"/>
  <c r="GO60" i="2536"/>
  <c r="GM60" i="2536"/>
  <c r="GL60" i="2536"/>
  <c r="GK60" i="2536"/>
  <c r="GJ60" i="2536"/>
  <c r="GI60" i="2536"/>
  <c r="GH60" i="2536"/>
  <c r="GG60" i="2536"/>
  <c r="GF60" i="2536"/>
  <c r="GE60" i="2536"/>
  <c r="GD60" i="2536"/>
  <c r="GC60" i="2536"/>
  <c r="GB60" i="2536"/>
  <c r="FZ60" i="2536"/>
  <c r="FY60" i="2536"/>
  <c r="FX60" i="2536"/>
  <c r="FW60" i="2536"/>
  <c r="FV60" i="2536"/>
  <c r="FU60" i="2536"/>
  <c r="FT60" i="2536"/>
  <c r="FS60" i="2536"/>
  <c r="FR60" i="2536"/>
  <c r="FQ60" i="2536"/>
  <c r="FP60" i="2536"/>
  <c r="FO60" i="2536"/>
  <c r="FM60" i="2536"/>
  <c r="FL60" i="2536"/>
  <c r="FK60" i="2536"/>
  <c r="FJ60" i="2536"/>
  <c r="FI60" i="2536"/>
  <c r="FH60" i="2536"/>
  <c r="FG60" i="2536"/>
  <c r="FF60" i="2536"/>
  <c r="FE60" i="2536"/>
  <c r="FD60" i="2536"/>
  <c r="FC60" i="2536"/>
  <c r="FB60" i="2536"/>
  <c r="EZ60" i="2536"/>
  <c r="EY60" i="2536"/>
  <c r="EX60" i="2536"/>
  <c r="EW60" i="2536"/>
  <c r="EV60" i="2536"/>
  <c r="EU60" i="2536"/>
  <c r="ET60" i="2536"/>
  <c r="ES60" i="2536"/>
  <c r="ER60" i="2536"/>
  <c r="EQ60" i="2536"/>
  <c r="EP60" i="2536"/>
  <c r="EO60" i="2536"/>
  <c r="EM60" i="2536"/>
  <c r="EL60" i="2536"/>
  <c r="EK60" i="2536"/>
  <c r="EJ60" i="2536"/>
  <c r="EI60" i="2536"/>
  <c r="EH60" i="2536"/>
  <c r="EG60" i="2536"/>
  <c r="EF60" i="2536"/>
  <c r="EE60" i="2536"/>
  <c r="ED60" i="2536"/>
  <c r="EC60" i="2536"/>
  <c r="EB60" i="2536"/>
  <c r="DZ60" i="2536"/>
  <c r="DY60" i="2536"/>
  <c r="DX60" i="2536"/>
  <c r="DW60" i="2536"/>
  <c r="DV60" i="2536"/>
  <c r="DU60" i="2536"/>
  <c r="DT60" i="2536"/>
  <c r="DS60" i="2536"/>
  <c r="DR60" i="2536"/>
  <c r="DQ60" i="2536"/>
  <c r="DP60" i="2536"/>
  <c r="DO60" i="2536"/>
  <c r="DM60" i="2536"/>
  <c r="DL60" i="2536"/>
  <c r="DK60" i="2536"/>
  <c r="DJ60" i="2536"/>
  <c r="DI60" i="2536"/>
  <c r="DH60" i="2536"/>
  <c r="DG60" i="2536"/>
  <c r="DF60" i="2536"/>
  <c r="DE60" i="2536"/>
  <c r="DD60" i="2536"/>
  <c r="DC60" i="2536"/>
  <c r="DB60" i="2536"/>
  <c r="CZ60" i="2536"/>
  <c r="CY60" i="2536"/>
  <c r="CX60" i="2536"/>
  <c r="CW60" i="2536"/>
  <c r="CV60" i="2536"/>
  <c r="CU60" i="2536"/>
  <c r="CT60" i="2536"/>
  <c r="CS60" i="2536"/>
  <c r="CR60" i="2536"/>
  <c r="CQ60" i="2536"/>
  <c r="CP60" i="2536"/>
  <c r="CO60" i="2536"/>
  <c r="CM60" i="2536"/>
  <c r="CL60" i="2536"/>
  <c r="CK60" i="2536"/>
  <c r="CJ60" i="2536"/>
  <c r="CI60" i="2536"/>
  <c r="CH60" i="2536"/>
  <c r="CG60" i="2536"/>
  <c r="CF60" i="2536"/>
  <c r="CE60" i="2536"/>
  <c r="CD60" i="2536"/>
  <c r="CC60" i="2536"/>
  <c r="CB60" i="2536"/>
  <c r="BZ60" i="2536"/>
  <c r="BY60" i="2536"/>
  <c r="BX60" i="2536"/>
  <c r="BW60" i="2536"/>
  <c r="BV60" i="2536"/>
  <c r="BU60" i="2536"/>
  <c r="BT60" i="2536"/>
  <c r="BS60" i="2536"/>
  <c r="BR60" i="2536"/>
  <c r="BQ60" i="2536"/>
  <c r="BP60" i="2536"/>
  <c r="BO60" i="2536"/>
  <c r="BM60" i="2536"/>
  <c r="BL60" i="2536"/>
  <c r="BK60" i="2536"/>
  <c r="BJ60" i="2536"/>
  <c r="BI60" i="2536"/>
  <c r="BH60" i="2536"/>
  <c r="BG60" i="2536"/>
  <c r="BF60" i="2536"/>
  <c r="BE60" i="2536"/>
  <c r="BD60" i="2536"/>
  <c r="BC60" i="2536"/>
  <c r="BB60" i="2536"/>
  <c r="AZ60" i="2536"/>
  <c r="AY60" i="2536"/>
  <c r="AX60" i="2536"/>
  <c r="AW60" i="2536"/>
  <c r="AV60" i="2536"/>
  <c r="AU60" i="2536"/>
  <c r="AT60" i="2536"/>
  <c r="AS60" i="2536"/>
  <c r="AR60" i="2536"/>
  <c r="AQ60" i="2536"/>
  <c r="AP60" i="2536"/>
  <c r="AO60" i="2536"/>
  <c r="AM60" i="2536"/>
  <c r="AL60" i="2536"/>
  <c r="AK60" i="2536"/>
  <c r="AJ60" i="2536"/>
  <c r="AI60" i="2536"/>
  <c r="AH60" i="2536"/>
  <c r="AG60" i="2536"/>
  <c r="AF60" i="2536"/>
  <c r="AE60" i="2536"/>
  <c r="AD60" i="2536"/>
  <c r="AC60" i="2536"/>
  <c r="AB60" i="2536"/>
  <c r="Z60" i="2536"/>
  <c r="Y60" i="2536"/>
  <c r="X60" i="2536"/>
  <c r="W60" i="2536"/>
  <c r="V60" i="2536"/>
  <c r="U60" i="2536"/>
  <c r="T60" i="2536"/>
  <c r="S60" i="2536"/>
  <c r="R60" i="2536"/>
  <c r="Q60" i="2536"/>
  <c r="P60" i="2536"/>
  <c r="O60" i="2536"/>
  <c r="M60" i="2536"/>
  <c r="L60" i="2536"/>
  <c r="K60" i="2536"/>
  <c r="J60" i="2536"/>
  <c r="I60" i="2536"/>
  <c r="H60" i="2536"/>
  <c r="G60" i="2536"/>
  <c r="F60" i="2536"/>
  <c r="E60" i="2536"/>
  <c r="D60" i="2536"/>
  <c r="C60" i="2536"/>
  <c r="B60" i="2536"/>
  <c r="HM59" i="2536"/>
  <c r="HL59" i="2536"/>
  <c r="HK59" i="2536"/>
  <c r="HJ59" i="2536"/>
  <c r="HI59" i="2536"/>
  <c r="HH59" i="2536"/>
  <c r="HG59" i="2536"/>
  <c r="HF59" i="2536"/>
  <c r="HE59" i="2536"/>
  <c r="HD59" i="2536"/>
  <c r="HC59" i="2536"/>
  <c r="HB59" i="2536"/>
  <c r="GZ59" i="2536"/>
  <c r="GY59" i="2536"/>
  <c r="GX59" i="2536"/>
  <c r="GW59" i="2536"/>
  <c r="GV59" i="2536"/>
  <c r="GU59" i="2536"/>
  <c r="GT59" i="2536"/>
  <c r="GS59" i="2536"/>
  <c r="GR59" i="2536"/>
  <c r="GQ59" i="2536"/>
  <c r="GP59" i="2536"/>
  <c r="GO59" i="2536"/>
  <c r="GM59" i="2536"/>
  <c r="GL59" i="2536"/>
  <c r="GK59" i="2536"/>
  <c r="GJ59" i="2536"/>
  <c r="GI59" i="2536"/>
  <c r="GH59" i="2536"/>
  <c r="GG59" i="2536"/>
  <c r="GF59" i="2536"/>
  <c r="GE59" i="2536"/>
  <c r="GD59" i="2536"/>
  <c r="GC59" i="2536"/>
  <c r="GB59" i="2536"/>
  <c r="FZ59" i="2536"/>
  <c r="FY59" i="2536"/>
  <c r="FX59" i="2536"/>
  <c r="FW59" i="2536"/>
  <c r="FV59" i="2536"/>
  <c r="FU59" i="2536"/>
  <c r="FT59" i="2536"/>
  <c r="FS59" i="2536"/>
  <c r="FR59" i="2536"/>
  <c r="FQ59" i="2536"/>
  <c r="FP59" i="2536"/>
  <c r="FO59" i="2536"/>
  <c r="FM59" i="2536"/>
  <c r="FL59" i="2536"/>
  <c r="FK59" i="2536"/>
  <c r="FJ59" i="2536"/>
  <c r="FI59" i="2536"/>
  <c r="FH59" i="2536"/>
  <c r="FG59" i="2536"/>
  <c r="FF59" i="2536"/>
  <c r="FE59" i="2536"/>
  <c r="FD59" i="2536"/>
  <c r="FC59" i="2536"/>
  <c r="FB59" i="2536"/>
  <c r="EZ59" i="2536"/>
  <c r="EY59" i="2536"/>
  <c r="EX59" i="2536"/>
  <c r="EW59" i="2536"/>
  <c r="EV59" i="2536"/>
  <c r="EU59" i="2536"/>
  <c r="ET59" i="2536"/>
  <c r="ES59" i="2536"/>
  <c r="ER59" i="2536"/>
  <c r="EQ59" i="2536"/>
  <c r="EP59" i="2536"/>
  <c r="EO59" i="2536"/>
  <c r="EM59" i="2536"/>
  <c r="EL59" i="2536"/>
  <c r="EK59" i="2536"/>
  <c r="EJ59" i="2536"/>
  <c r="EI59" i="2536"/>
  <c r="EH59" i="2536"/>
  <c r="EG59" i="2536"/>
  <c r="EF59" i="2536"/>
  <c r="EE59" i="2536"/>
  <c r="ED59" i="2536"/>
  <c r="EC59" i="2536"/>
  <c r="EB59" i="2536"/>
  <c r="DZ59" i="2536"/>
  <c r="DY59" i="2536"/>
  <c r="DX59" i="2536"/>
  <c r="DW59" i="2536"/>
  <c r="DV59" i="2536"/>
  <c r="DU59" i="2536"/>
  <c r="DT59" i="2536"/>
  <c r="DS59" i="2536"/>
  <c r="DR59" i="2536"/>
  <c r="DQ59" i="2536"/>
  <c r="DP59" i="2536"/>
  <c r="DO59" i="2536"/>
  <c r="DM59" i="2536"/>
  <c r="DL59" i="2536"/>
  <c r="DK59" i="2536"/>
  <c r="DJ59" i="2536"/>
  <c r="DI59" i="2536"/>
  <c r="DH59" i="2536"/>
  <c r="DG59" i="2536"/>
  <c r="DF59" i="2536"/>
  <c r="DE59" i="2536"/>
  <c r="DD59" i="2536"/>
  <c r="DC59" i="2536"/>
  <c r="DB59" i="2536"/>
  <c r="CZ59" i="2536"/>
  <c r="CY59" i="2536"/>
  <c r="CX59" i="2536"/>
  <c r="CW59" i="2536"/>
  <c r="CV59" i="2536"/>
  <c r="CU59" i="2536"/>
  <c r="CT59" i="2536"/>
  <c r="CS59" i="2536"/>
  <c r="CR59" i="2536"/>
  <c r="CQ59" i="2536"/>
  <c r="CP59" i="2536"/>
  <c r="CO59" i="2536"/>
  <c r="CM59" i="2536"/>
  <c r="CL59" i="2536"/>
  <c r="CK59" i="2536"/>
  <c r="CJ59" i="2536"/>
  <c r="CI59" i="2536"/>
  <c r="CH59" i="2536"/>
  <c r="CG59" i="2536"/>
  <c r="CF59" i="2536"/>
  <c r="CE59" i="2536"/>
  <c r="CD59" i="2536"/>
  <c r="CC59" i="2536"/>
  <c r="CB59" i="2536"/>
  <c r="BZ59" i="2536"/>
  <c r="BY59" i="2536"/>
  <c r="BX59" i="2536"/>
  <c r="BW59" i="2536"/>
  <c r="BV59" i="2536"/>
  <c r="BU59" i="2536"/>
  <c r="BT59" i="2536"/>
  <c r="BS59" i="2536"/>
  <c r="BR59" i="2536"/>
  <c r="BQ59" i="2536"/>
  <c r="BP59" i="2536"/>
  <c r="BO59" i="2536"/>
  <c r="BM59" i="2536"/>
  <c r="BL59" i="2536"/>
  <c r="BK59" i="2536"/>
  <c r="BJ59" i="2536"/>
  <c r="BI59" i="2536"/>
  <c r="BH59" i="2536"/>
  <c r="BG59" i="2536"/>
  <c r="BF59" i="2536"/>
  <c r="BE59" i="2536"/>
  <c r="BD59" i="2536"/>
  <c r="BC59" i="2536"/>
  <c r="BB59" i="2536"/>
  <c r="AZ59" i="2536"/>
  <c r="AY59" i="2536"/>
  <c r="AX59" i="2536"/>
  <c r="AW59" i="2536"/>
  <c r="AV59" i="2536"/>
  <c r="AU59" i="2536"/>
  <c r="AT59" i="2536"/>
  <c r="AS59" i="2536"/>
  <c r="AR59" i="2536"/>
  <c r="AQ59" i="2536"/>
  <c r="AP59" i="2536"/>
  <c r="AO59" i="2536"/>
  <c r="AM59" i="2536"/>
  <c r="AL59" i="2536"/>
  <c r="AK59" i="2536"/>
  <c r="AJ59" i="2536"/>
  <c r="AI59" i="2536"/>
  <c r="AH59" i="2536"/>
  <c r="AG59" i="2536"/>
  <c r="AF59" i="2536"/>
  <c r="AE59" i="2536"/>
  <c r="AD59" i="2536"/>
  <c r="AC59" i="2536"/>
  <c r="AB59" i="2536"/>
  <c r="Z59" i="2536"/>
  <c r="Y59" i="2536"/>
  <c r="X59" i="2536"/>
  <c r="W59" i="2536"/>
  <c r="V59" i="2536"/>
  <c r="U59" i="2536"/>
  <c r="T59" i="2536"/>
  <c r="S59" i="2536"/>
  <c r="R59" i="2536"/>
  <c r="Q59" i="2536"/>
  <c r="P59" i="2536"/>
  <c r="O59" i="2536"/>
  <c r="M59" i="2536"/>
  <c r="L59" i="2536"/>
  <c r="K59" i="2536"/>
  <c r="J59" i="2536"/>
  <c r="I59" i="2536"/>
  <c r="H59" i="2536"/>
  <c r="G59" i="2536"/>
  <c r="F59" i="2536"/>
  <c r="E59" i="2536"/>
  <c r="D59" i="2536"/>
  <c r="C59" i="2536"/>
  <c r="B59" i="2536"/>
  <c r="HM58" i="2536"/>
  <c r="HL58" i="2536"/>
  <c r="HK58" i="2536"/>
  <c r="HJ58" i="2536"/>
  <c r="HI58" i="2536"/>
  <c r="HH58" i="2536"/>
  <c r="HG58" i="2536"/>
  <c r="HF58" i="2536"/>
  <c r="HE58" i="2536"/>
  <c r="HD58" i="2536"/>
  <c r="HC58" i="2536"/>
  <c r="HB58" i="2536"/>
  <c r="GZ58" i="2536"/>
  <c r="GY58" i="2536"/>
  <c r="GX58" i="2536"/>
  <c r="GW58" i="2536"/>
  <c r="GV58" i="2536"/>
  <c r="GU58" i="2536"/>
  <c r="GT58" i="2536"/>
  <c r="GS58" i="2536"/>
  <c r="GR58" i="2536"/>
  <c r="GQ58" i="2536"/>
  <c r="GP58" i="2536"/>
  <c r="GO58" i="2536"/>
  <c r="GM58" i="2536"/>
  <c r="GL58" i="2536"/>
  <c r="GK58" i="2536"/>
  <c r="GJ58" i="2536"/>
  <c r="GI58" i="2536"/>
  <c r="GH58" i="2536"/>
  <c r="GG58" i="2536"/>
  <c r="GF58" i="2536"/>
  <c r="GE58" i="2536"/>
  <c r="GD58" i="2536"/>
  <c r="GC58" i="2536"/>
  <c r="GB58" i="2536"/>
  <c r="FZ58" i="2536"/>
  <c r="FY58" i="2536"/>
  <c r="FX58" i="2536"/>
  <c r="FW58" i="2536"/>
  <c r="FV58" i="2536"/>
  <c r="FU58" i="2536"/>
  <c r="FT58" i="2536"/>
  <c r="FS58" i="2536"/>
  <c r="FR58" i="2536"/>
  <c r="FQ58" i="2536"/>
  <c r="FP58" i="2536"/>
  <c r="FO58" i="2536"/>
  <c r="FM58" i="2536"/>
  <c r="FL58" i="2536"/>
  <c r="FK58" i="2536"/>
  <c r="FJ58" i="2536"/>
  <c r="FI58" i="2536"/>
  <c r="FH58" i="2536"/>
  <c r="FG58" i="2536"/>
  <c r="FF58" i="2536"/>
  <c r="FE58" i="2536"/>
  <c r="FD58" i="2536"/>
  <c r="FC58" i="2536"/>
  <c r="FB58" i="2536"/>
  <c r="EZ58" i="2536"/>
  <c r="EY58" i="2536"/>
  <c r="EX58" i="2536"/>
  <c r="EW58" i="2536"/>
  <c r="EV58" i="2536"/>
  <c r="EU58" i="2536"/>
  <c r="ET58" i="2536"/>
  <c r="ES58" i="2536"/>
  <c r="ER58" i="2536"/>
  <c r="EQ58" i="2536"/>
  <c r="EP58" i="2536"/>
  <c r="EO58" i="2536"/>
  <c r="EM58" i="2536"/>
  <c r="EL58" i="2536"/>
  <c r="EK58" i="2536"/>
  <c r="EJ58" i="2536"/>
  <c r="EI58" i="2536"/>
  <c r="EH58" i="2536"/>
  <c r="EG58" i="2536"/>
  <c r="EF58" i="2536"/>
  <c r="EE58" i="2536"/>
  <c r="ED58" i="2536"/>
  <c r="EC58" i="2536"/>
  <c r="EB58" i="2536"/>
  <c r="DZ58" i="2536"/>
  <c r="DY58" i="2536"/>
  <c r="DX58" i="2536"/>
  <c r="DW58" i="2536"/>
  <c r="DV58" i="2536"/>
  <c r="DU58" i="2536"/>
  <c r="DT58" i="2536"/>
  <c r="DS58" i="2536"/>
  <c r="DR58" i="2536"/>
  <c r="DQ58" i="2536"/>
  <c r="DP58" i="2536"/>
  <c r="DO58" i="2536"/>
  <c r="DM58" i="2536"/>
  <c r="DL58" i="2536"/>
  <c r="DK58" i="2536"/>
  <c r="DJ58" i="2536"/>
  <c r="DI58" i="2536"/>
  <c r="DH58" i="2536"/>
  <c r="DG58" i="2536"/>
  <c r="DF58" i="2536"/>
  <c r="DE58" i="2536"/>
  <c r="DD58" i="2536"/>
  <c r="DC58" i="2536"/>
  <c r="DB58" i="2536"/>
  <c r="CZ58" i="2536"/>
  <c r="CY58" i="2536"/>
  <c r="CX58" i="2536"/>
  <c r="CW58" i="2536"/>
  <c r="CV58" i="2536"/>
  <c r="CU58" i="2536"/>
  <c r="CT58" i="2536"/>
  <c r="CS58" i="2536"/>
  <c r="CR58" i="2536"/>
  <c r="CQ58" i="2536"/>
  <c r="CP58" i="2536"/>
  <c r="CO58" i="2536"/>
  <c r="CM58" i="2536"/>
  <c r="CL58" i="2536"/>
  <c r="CK58" i="2536"/>
  <c r="CJ58" i="2536"/>
  <c r="CI58" i="2536"/>
  <c r="CH58" i="2536"/>
  <c r="CG58" i="2536"/>
  <c r="CF58" i="2536"/>
  <c r="CE58" i="2536"/>
  <c r="CD58" i="2536"/>
  <c r="CC58" i="2536"/>
  <c r="CB58" i="2536"/>
  <c r="BZ58" i="2536"/>
  <c r="BY58" i="2536"/>
  <c r="BX58" i="2536"/>
  <c r="BW58" i="2536"/>
  <c r="BV58" i="2536"/>
  <c r="BU58" i="2536"/>
  <c r="BT58" i="2536"/>
  <c r="BS58" i="2536"/>
  <c r="BR58" i="2536"/>
  <c r="BQ58" i="2536"/>
  <c r="BP58" i="2536"/>
  <c r="BO58" i="2536"/>
  <c r="BM58" i="2536"/>
  <c r="BL58" i="2536"/>
  <c r="BK58" i="2536"/>
  <c r="BJ58" i="2536"/>
  <c r="BI58" i="2536"/>
  <c r="BH58" i="2536"/>
  <c r="BG58" i="2536"/>
  <c r="BF58" i="2536"/>
  <c r="BE58" i="2536"/>
  <c r="BD58" i="2536"/>
  <c r="BC58" i="2536"/>
  <c r="BB58" i="2536"/>
  <c r="AZ58" i="2536"/>
  <c r="AY58" i="2536"/>
  <c r="AX58" i="2536"/>
  <c r="AW58" i="2536"/>
  <c r="AV58" i="2536"/>
  <c r="AU58" i="2536"/>
  <c r="AT58" i="2536"/>
  <c r="AS58" i="2536"/>
  <c r="AR58" i="2536"/>
  <c r="AQ58" i="2536"/>
  <c r="AP58" i="2536"/>
  <c r="AO58" i="2536"/>
  <c r="AM58" i="2536"/>
  <c r="AL58" i="2536"/>
  <c r="AK58" i="2536"/>
  <c r="AJ58" i="2536"/>
  <c r="AI58" i="2536"/>
  <c r="AH58" i="2536"/>
  <c r="AG58" i="2536"/>
  <c r="AF58" i="2536"/>
  <c r="AE58" i="2536"/>
  <c r="AD58" i="2536"/>
  <c r="AC58" i="2536"/>
  <c r="AB58" i="2536"/>
  <c r="Z58" i="2536"/>
  <c r="Y58" i="2536"/>
  <c r="X58" i="2536"/>
  <c r="W58" i="2536"/>
  <c r="V58" i="2536"/>
  <c r="U58" i="2536"/>
  <c r="T58" i="2536"/>
  <c r="S58" i="2536"/>
  <c r="R58" i="2536"/>
  <c r="Q58" i="2536"/>
  <c r="P58" i="2536"/>
  <c r="O58" i="2536"/>
  <c r="M58" i="2536"/>
  <c r="L58" i="2536"/>
  <c r="K58" i="2536"/>
  <c r="J58" i="2536"/>
  <c r="I58" i="2536"/>
  <c r="H58" i="2536"/>
  <c r="G58" i="2536"/>
  <c r="F58" i="2536"/>
  <c r="E58" i="2536"/>
  <c r="D58" i="2536"/>
  <c r="C58" i="2536"/>
  <c r="B58" i="2536"/>
  <c r="HM55" i="2536"/>
  <c r="HL55" i="2536"/>
  <c r="HK55" i="2536"/>
  <c r="HJ55" i="2536"/>
  <c r="HI55" i="2536"/>
  <c r="HH55" i="2536"/>
  <c r="HG55" i="2536"/>
  <c r="HF55" i="2536"/>
  <c r="HE55" i="2536"/>
  <c r="HD55" i="2536"/>
  <c r="HC55" i="2536"/>
  <c r="HB55" i="2536"/>
  <c r="GZ55" i="2536"/>
  <c r="GY55" i="2536"/>
  <c r="GX55" i="2536"/>
  <c r="GW55" i="2536"/>
  <c r="GV55" i="2536"/>
  <c r="GU55" i="2536"/>
  <c r="GT55" i="2536"/>
  <c r="GS55" i="2536"/>
  <c r="GR55" i="2536"/>
  <c r="GQ55" i="2536"/>
  <c r="GP55" i="2536"/>
  <c r="GO55" i="2536"/>
  <c r="GM55" i="2536"/>
  <c r="GL55" i="2536"/>
  <c r="GK55" i="2536"/>
  <c r="GJ55" i="2536"/>
  <c r="GI55" i="2536"/>
  <c r="GH55" i="2536"/>
  <c r="GG55" i="2536"/>
  <c r="GF55" i="2536"/>
  <c r="GE55" i="2536"/>
  <c r="GD55" i="2536"/>
  <c r="GC55" i="2536"/>
  <c r="GB55" i="2536"/>
  <c r="FZ55" i="2536"/>
  <c r="FY55" i="2536"/>
  <c r="FX55" i="2536"/>
  <c r="FW55" i="2536"/>
  <c r="FV55" i="2536"/>
  <c r="FU55" i="2536"/>
  <c r="FT55" i="2536"/>
  <c r="FS55" i="2536"/>
  <c r="FR55" i="2536"/>
  <c r="FQ55" i="2536"/>
  <c r="FP55" i="2536"/>
  <c r="FO55" i="2536"/>
  <c r="FM55" i="2536"/>
  <c r="FL55" i="2536"/>
  <c r="FK55" i="2536"/>
  <c r="FJ55" i="2536"/>
  <c r="FI55" i="2536"/>
  <c r="FH55" i="2536"/>
  <c r="FG55" i="2536"/>
  <c r="FF55" i="2536"/>
  <c r="FE55" i="2536"/>
  <c r="FD55" i="2536"/>
  <c r="FC55" i="2536"/>
  <c r="FB55" i="2536"/>
  <c r="EZ55" i="2536"/>
  <c r="EY55" i="2536"/>
  <c r="EX55" i="2536"/>
  <c r="EW55" i="2536"/>
  <c r="EV55" i="2536"/>
  <c r="EU55" i="2536"/>
  <c r="ET55" i="2536"/>
  <c r="ES55" i="2536"/>
  <c r="ER55" i="2536"/>
  <c r="EQ55" i="2536"/>
  <c r="EP55" i="2536"/>
  <c r="EO55" i="2536"/>
  <c r="EM55" i="2536"/>
  <c r="EL55" i="2536"/>
  <c r="EK55" i="2536"/>
  <c r="EJ55" i="2536"/>
  <c r="EI55" i="2536"/>
  <c r="EH55" i="2536"/>
  <c r="EG55" i="2536"/>
  <c r="EF55" i="2536"/>
  <c r="EE55" i="2536"/>
  <c r="ED55" i="2536"/>
  <c r="EC55" i="2536"/>
  <c r="EB55" i="2536"/>
  <c r="DZ55" i="2536"/>
  <c r="DY55" i="2536"/>
  <c r="DX55" i="2536"/>
  <c r="DW55" i="2536"/>
  <c r="DV55" i="2536"/>
  <c r="DU55" i="2536"/>
  <c r="DT55" i="2536"/>
  <c r="DS55" i="2536"/>
  <c r="DR55" i="2536"/>
  <c r="DQ55" i="2536"/>
  <c r="DP55" i="2536"/>
  <c r="DO55" i="2536"/>
  <c r="DM55" i="2536"/>
  <c r="DL55" i="2536"/>
  <c r="DK55" i="2536"/>
  <c r="DJ55" i="2536"/>
  <c r="DI55" i="2536"/>
  <c r="DH55" i="2536"/>
  <c r="DG55" i="2536"/>
  <c r="DF55" i="2536"/>
  <c r="DE55" i="2536"/>
  <c r="DD55" i="2536"/>
  <c r="DC55" i="2536"/>
  <c r="DB55" i="2536"/>
  <c r="CZ55" i="2536"/>
  <c r="CY55" i="2536"/>
  <c r="CX55" i="2536"/>
  <c r="CW55" i="2536"/>
  <c r="CV55" i="2536"/>
  <c r="CU55" i="2536"/>
  <c r="CT55" i="2536"/>
  <c r="CS55" i="2536"/>
  <c r="CR55" i="2536"/>
  <c r="CQ55" i="2536"/>
  <c r="CP55" i="2536"/>
  <c r="CO55" i="2536"/>
  <c r="CM55" i="2536"/>
  <c r="CL55" i="2536"/>
  <c r="CK55" i="2536"/>
  <c r="CJ55" i="2536"/>
  <c r="CI55" i="2536"/>
  <c r="CH55" i="2536"/>
  <c r="CG55" i="2536"/>
  <c r="CF55" i="2536"/>
  <c r="CE55" i="2536"/>
  <c r="CD55" i="2536"/>
  <c r="CC55" i="2536"/>
  <c r="CB55" i="2536"/>
  <c r="BZ55" i="2536"/>
  <c r="BY55" i="2536"/>
  <c r="BX55" i="2536"/>
  <c r="BW55" i="2536"/>
  <c r="BV55" i="2536"/>
  <c r="BU55" i="2536"/>
  <c r="BT55" i="2536"/>
  <c r="BS55" i="2536"/>
  <c r="BR55" i="2536"/>
  <c r="BQ55" i="2536"/>
  <c r="BP55" i="2536"/>
  <c r="BO55" i="2536"/>
  <c r="BM55" i="2536"/>
  <c r="BL55" i="2536"/>
  <c r="BK55" i="2536"/>
  <c r="BJ55" i="2536"/>
  <c r="BI55" i="2536"/>
  <c r="BH55" i="2536"/>
  <c r="BG55" i="2536"/>
  <c r="BF55" i="2536"/>
  <c r="BE55" i="2536"/>
  <c r="BD55" i="2536"/>
  <c r="BC55" i="2536"/>
  <c r="BB55" i="2536"/>
  <c r="AZ55" i="2536"/>
  <c r="AY55" i="2536"/>
  <c r="AX55" i="2536"/>
  <c r="AW55" i="2536"/>
  <c r="AV55" i="2536"/>
  <c r="AU55" i="2536"/>
  <c r="AT55" i="2536"/>
  <c r="AS55" i="2536"/>
  <c r="AR55" i="2536"/>
  <c r="AQ55" i="2536"/>
  <c r="AP55" i="2536"/>
  <c r="AO55" i="2536"/>
  <c r="AM55" i="2536"/>
  <c r="AL55" i="2536"/>
  <c r="AK55" i="2536"/>
  <c r="AJ55" i="2536"/>
  <c r="AI55" i="2536"/>
  <c r="AH55" i="2536"/>
  <c r="AG55" i="2536"/>
  <c r="AF55" i="2536"/>
  <c r="AE55" i="2536"/>
  <c r="AD55" i="2536"/>
  <c r="AC55" i="2536"/>
  <c r="AB55" i="2536"/>
  <c r="Z55" i="2536"/>
  <c r="Y55" i="2536"/>
  <c r="X55" i="2536"/>
  <c r="W55" i="2536"/>
  <c r="V55" i="2536"/>
  <c r="U55" i="2536"/>
  <c r="T55" i="2536"/>
  <c r="S55" i="2536"/>
  <c r="R55" i="2536"/>
  <c r="Q55" i="2536"/>
  <c r="P55" i="2536"/>
  <c r="O55" i="2536"/>
  <c r="M55" i="2536"/>
  <c r="L55" i="2536"/>
  <c r="K55" i="2536"/>
  <c r="J55" i="2536"/>
  <c r="I55" i="2536"/>
  <c r="H55" i="2536"/>
  <c r="G55" i="2536"/>
  <c r="F55" i="2536"/>
  <c r="E55" i="2536"/>
  <c r="D55" i="2536"/>
  <c r="C55" i="2536"/>
  <c r="B55" i="2536"/>
  <c r="HM54" i="2536"/>
  <c r="HL54" i="2536"/>
  <c r="HK54" i="2536"/>
  <c r="HJ54" i="2536"/>
  <c r="HI54" i="2536"/>
  <c r="HH54" i="2536"/>
  <c r="HG54" i="2536"/>
  <c r="HF54" i="2536"/>
  <c r="HE54" i="2536"/>
  <c r="HD54" i="2536"/>
  <c r="HC54" i="2536"/>
  <c r="HB54" i="2536"/>
  <c r="GZ54" i="2536"/>
  <c r="GY54" i="2536"/>
  <c r="GX54" i="2536"/>
  <c r="GW54" i="2536"/>
  <c r="GV54" i="2536"/>
  <c r="GU54" i="2536"/>
  <c r="GT54" i="2536"/>
  <c r="GS54" i="2536"/>
  <c r="GR54" i="2536"/>
  <c r="GQ54" i="2536"/>
  <c r="GP54" i="2536"/>
  <c r="GO54" i="2536"/>
  <c r="GM54" i="2536"/>
  <c r="GL54" i="2536"/>
  <c r="GK54" i="2536"/>
  <c r="GJ54" i="2536"/>
  <c r="GI54" i="2536"/>
  <c r="GH54" i="2536"/>
  <c r="GG54" i="2536"/>
  <c r="GF54" i="2536"/>
  <c r="GE54" i="2536"/>
  <c r="GD54" i="2536"/>
  <c r="GC54" i="2536"/>
  <c r="GB54" i="2536"/>
  <c r="FZ54" i="2536"/>
  <c r="FY54" i="2536"/>
  <c r="FX54" i="2536"/>
  <c r="FW54" i="2536"/>
  <c r="FV54" i="2536"/>
  <c r="FU54" i="2536"/>
  <c r="FT54" i="2536"/>
  <c r="FS54" i="2536"/>
  <c r="FR54" i="2536"/>
  <c r="FQ54" i="2536"/>
  <c r="FP54" i="2536"/>
  <c r="FO54" i="2536"/>
  <c r="FM54" i="2536"/>
  <c r="FL54" i="2536"/>
  <c r="FK54" i="2536"/>
  <c r="FJ54" i="2536"/>
  <c r="FI54" i="2536"/>
  <c r="FH54" i="2536"/>
  <c r="FG54" i="2536"/>
  <c r="FF54" i="2536"/>
  <c r="FE54" i="2536"/>
  <c r="FD54" i="2536"/>
  <c r="FC54" i="2536"/>
  <c r="FB54" i="2536"/>
  <c r="EZ54" i="2536"/>
  <c r="EY54" i="2536"/>
  <c r="EX54" i="2536"/>
  <c r="EW54" i="2536"/>
  <c r="EV54" i="2536"/>
  <c r="EU54" i="2536"/>
  <c r="ET54" i="2536"/>
  <c r="ES54" i="2536"/>
  <c r="ER54" i="2536"/>
  <c r="EQ54" i="2536"/>
  <c r="EP54" i="2536"/>
  <c r="EO54" i="2536"/>
  <c r="EM54" i="2536"/>
  <c r="EL54" i="2536"/>
  <c r="EK54" i="2536"/>
  <c r="EJ54" i="2536"/>
  <c r="EI54" i="2536"/>
  <c r="EH54" i="2536"/>
  <c r="EG54" i="2536"/>
  <c r="EF54" i="2536"/>
  <c r="EE54" i="2536"/>
  <c r="ED54" i="2536"/>
  <c r="EC54" i="2536"/>
  <c r="EB54" i="2536"/>
  <c r="DZ54" i="2536"/>
  <c r="DY54" i="2536"/>
  <c r="DX54" i="2536"/>
  <c r="DW54" i="2536"/>
  <c r="DV54" i="2536"/>
  <c r="DU54" i="2536"/>
  <c r="DT54" i="2536"/>
  <c r="DS54" i="2536"/>
  <c r="DR54" i="2536"/>
  <c r="DQ54" i="2536"/>
  <c r="DP54" i="2536"/>
  <c r="DO54" i="2536"/>
  <c r="DM54" i="2536"/>
  <c r="DL54" i="2536"/>
  <c r="DK54" i="2536"/>
  <c r="DJ54" i="2536"/>
  <c r="DI54" i="2536"/>
  <c r="DH54" i="2536"/>
  <c r="DG54" i="2536"/>
  <c r="DF54" i="2536"/>
  <c r="DE54" i="2536"/>
  <c r="DD54" i="2536"/>
  <c r="DC54" i="2536"/>
  <c r="DB54" i="2536"/>
  <c r="CZ54" i="2536"/>
  <c r="CY54" i="2536"/>
  <c r="CX54" i="2536"/>
  <c r="CW54" i="2536"/>
  <c r="CV54" i="2536"/>
  <c r="CU54" i="2536"/>
  <c r="CT54" i="2536"/>
  <c r="CS54" i="2536"/>
  <c r="CR54" i="2536"/>
  <c r="CQ54" i="2536"/>
  <c r="CP54" i="2536"/>
  <c r="CO54" i="2536"/>
  <c r="CM54" i="2536"/>
  <c r="CL54" i="2536"/>
  <c r="CK54" i="2536"/>
  <c r="CJ54" i="2536"/>
  <c r="CI54" i="2536"/>
  <c r="CH54" i="2536"/>
  <c r="CG54" i="2536"/>
  <c r="CF54" i="2536"/>
  <c r="CE54" i="2536"/>
  <c r="CD54" i="2536"/>
  <c r="CC54" i="2536"/>
  <c r="CB54" i="2536"/>
  <c r="BZ54" i="2536"/>
  <c r="BY54" i="2536"/>
  <c r="BX54" i="2536"/>
  <c r="BW54" i="2536"/>
  <c r="BV54" i="2536"/>
  <c r="BU54" i="2536"/>
  <c r="BT54" i="2536"/>
  <c r="BS54" i="2536"/>
  <c r="BR54" i="2536"/>
  <c r="BQ54" i="2536"/>
  <c r="BP54" i="2536"/>
  <c r="BO54" i="2536"/>
  <c r="BM54" i="2536"/>
  <c r="BL54" i="2536"/>
  <c r="BK54" i="2536"/>
  <c r="BJ54" i="2536"/>
  <c r="BI54" i="2536"/>
  <c r="BH54" i="2536"/>
  <c r="BG54" i="2536"/>
  <c r="BF54" i="2536"/>
  <c r="BE54" i="2536"/>
  <c r="BD54" i="2536"/>
  <c r="BC54" i="2536"/>
  <c r="BB54" i="2536"/>
  <c r="AZ54" i="2536"/>
  <c r="AY54" i="2536"/>
  <c r="AX54" i="2536"/>
  <c r="AW54" i="2536"/>
  <c r="AV54" i="2536"/>
  <c r="AU54" i="2536"/>
  <c r="AT54" i="2536"/>
  <c r="AS54" i="2536"/>
  <c r="AR54" i="2536"/>
  <c r="AQ54" i="2536"/>
  <c r="AP54" i="2536"/>
  <c r="AO54" i="2536"/>
  <c r="AM54" i="2536"/>
  <c r="AL54" i="2536"/>
  <c r="AK54" i="2536"/>
  <c r="AJ54" i="2536"/>
  <c r="AI54" i="2536"/>
  <c r="AH54" i="2536"/>
  <c r="AG54" i="2536"/>
  <c r="AF54" i="2536"/>
  <c r="AE54" i="2536"/>
  <c r="AD54" i="2536"/>
  <c r="AC54" i="2536"/>
  <c r="AB54" i="2536"/>
  <c r="Z54" i="2536"/>
  <c r="Y54" i="2536"/>
  <c r="X54" i="2536"/>
  <c r="W54" i="2536"/>
  <c r="V54" i="2536"/>
  <c r="U54" i="2536"/>
  <c r="T54" i="2536"/>
  <c r="S54" i="2536"/>
  <c r="R54" i="2536"/>
  <c r="Q54" i="2536"/>
  <c r="P54" i="2536"/>
  <c r="O54" i="2536"/>
  <c r="M54" i="2536"/>
  <c r="L54" i="2536"/>
  <c r="K54" i="2536"/>
  <c r="J54" i="2536"/>
  <c r="I54" i="2536"/>
  <c r="H54" i="2536"/>
  <c r="G54" i="2536"/>
  <c r="F54" i="2536"/>
  <c r="E54" i="2536"/>
  <c r="D54" i="2536"/>
  <c r="C54" i="2536"/>
  <c r="B54" i="2536"/>
  <c r="HM53" i="2536"/>
  <c r="HL53" i="2536"/>
  <c r="HK53" i="2536"/>
  <c r="HJ53" i="2536"/>
  <c r="HI53" i="2536"/>
  <c r="HH53" i="2536"/>
  <c r="HG53" i="2536"/>
  <c r="HF53" i="2536"/>
  <c r="HE53" i="2536"/>
  <c r="HD53" i="2536"/>
  <c r="HC53" i="2536"/>
  <c r="HB53" i="2536"/>
  <c r="GZ53" i="2536"/>
  <c r="GY53" i="2536"/>
  <c r="GX53" i="2536"/>
  <c r="GW53" i="2536"/>
  <c r="GV53" i="2536"/>
  <c r="GU53" i="2536"/>
  <c r="GT53" i="2536"/>
  <c r="GS53" i="2536"/>
  <c r="GR53" i="2536"/>
  <c r="GQ53" i="2536"/>
  <c r="GP53" i="2536"/>
  <c r="GO53" i="2536"/>
  <c r="GM53" i="2536"/>
  <c r="GL53" i="2536"/>
  <c r="GK53" i="2536"/>
  <c r="GJ53" i="2536"/>
  <c r="GI53" i="2536"/>
  <c r="GH53" i="2536"/>
  <c r="GG53" i="2536"/>
  <c r="GF53" i="2536"/>
  <c r="GE53" i="2536"/>
  <c r="GD53" i="2536"/>
  <c r="GC53" i="2536"/>
  <c r="GB53" i="2536"/>
  <c r="FZ53" i="2536"/>
  <c r="FY53" i="2536"/>
  <c r="FX53" i="2536"/>
  <c r="FW53" i="2536"/>
  <c r="FV53" i="2536"/>
  <c r="FU53" i="2536"/>
  <c r="FT53" i="2536"/>
  <c r="FS53" i="2536"/>
  <c r="FR53" i="2536"/>
  <c r="FQ53" i="2536"/>
  <c r="FO53" i="2536"/>
  <c r="FM53" i="2536"/>
  <c r="FL53" i="2536"/>
  <c r="FK53" i="2536"/>
  <c r="FJ53" i="2536"/>
  <c r="FI53" i="2536"/>
  <c r="FH53" i="2536"/>
  <c r="FG53" i="2536"/>
  <c r="FF53" i="2536"/>
  <c r="FE53" i="2536"/>
  <c r="FD53" i="2536"/>
  <c r="FZ52" i="2536"/>
  <c r="FY52" i="2536"/>
  <c r="FX52" i="2536"/>
  <c r="FW52" i="2536"/>
  <c r="FV52" i="2536"/>
  <c r="FU52" i="2536"/>
  <c r="FT52" i="2536"/>
  <c r="FS52" i="2536"/>
  <c r="FR52" i="2536"/>
  <c r="FQ52" i="2536"/>
  <c r="FP52" i="2536"/>
  <c r="FO52" i="2536"/>
  <c r="FM52" i="2536"/>
  <c r="FL52" i="2536"/>
  <c r="FK52" i="2536"/>
  <c r="FJ52" i="2536"/>
  <c r="FI52" i="2536"/>
  <c r="FH52" i="2536"/>
  <c r="FG52" i="2536"/>
  <c r="FF52" i="2536"/>
  <c r="FE52" i="2536"/>
  <c r="FD52" i="2536"/>
  <c r="FC52" i="2536"/>
  <c r="FB52" i="2536"/>
  <c r="EZ52" i="2536"/>
  <c r="EY52" i="2536"/>
  <c r="EX52" i="2536"/>
  <c r="EW52" i="2536"/>
  <c r="EV52" i="2536"/>
  <c r="EU52" i="2536"/>
  <c r="ET52" i="2536"/>
  <c r="ES52" i="2536"/>
  <c r="ER52" i="2536"/>
  <c r="EQ52" i="2536"/>
  <c r="EP52" i="2536"/>
  <c r="EO52" i="2536"/>
  <c r="EM52" i="2536"/>
  <c r="EL52" i="2536"/>
  <c r="EK52" i="2536"/>
  <c r="EJ52" i="2536"/>
  <c r="EI52" i="2536"/>
  <c r="EH52" i="2536"/>
  <c r="EG52" i="2536"/>
  <c r="EF52" i="2536"/>
  <c r="EE52" i="2536"/>
  <c r="ED52" i="2536"/>
  <c r="EC52" i="2536"/>
  <c r="EB52" i="2536"/>
  <c r="DZ52" i="2536"/>
  <c r="DY52" i="2536"/>
  <c r="DX52" i="2536"/>
  <c r="DW52" i="2536"/>
  <c r="DV52" i="2536"/>
  <c r="DU52" i="2536"/>
  <c r="DT52" i="2536"/>
  <c r="DS52" i="2536"/>
  <c r="DR52" i="2536"/>
  <c r="DQ52" i="2536"/>
  <c r="DP52" i="2536"/>
  <c r="DO52" i="2536"/>
  <c r="DM52" i="2536"/>
  <c r="DL52" i="2536"/>
  <c r="DK52" i="2536"/>
  <c r="DJ52" i="2536"/>
  <c r="DI52" i="2536"/>
  <c r="DH52" i="2536"/>
  <c r="DG52" i="2536"/>
  <c r="DF52" i="2536"/>
  <c r="DE52" i="2536"/>
  <c r="DD52" i="2536"/>
  <c r="DC52" i="2536"/>
  <c r="DB52" i="2536"/>
  <c r="CZ52" i="2536"/>
  <c r="CY52" i="2536"/>
  <c r="CX52" i="2536"/>
  <c r="CW52" i="2536"/>
  <c r="CV52" i="2536"/>
  <c r="CU52" i="2536"/>
  <c r="CT52" i="2536"/>
  <c r="CS52" i="2536"/>
  <c r="CR52" i="2536"/>
  <c r="CQ52" i="2536"/>
  <c r="CP52" i="2536"/>
  <c r="CO52" i="2536"/>
  <c r="CM52" i="2536"/>
  <c r="CL52" i="2536"/>
  <c r="CK52" i="2536"/>
  <c r="CJ52" i="2536"/>
  <c r="CI52" i="2536"/>
  <c r="CH52" i="2536"/>
  <c r="CG52" i="2536"/>
  <c r="CF52" i="2536"/>
  <c r="CE52" i="2536"/>
  <c r="CD52" i="2536"/>
  <c r="CC52" i="2536"/>
  <c r="CB52" i="2536"/>
  <c r="BZ52" i="2536"/>
  <c r="BY52" i="2536"/>
  <c r="BX52" i="2536"/>
  <c r="BW52" i="2536"/>
  <c r="BV52" i="2536"/>
  <c r="BU52" i="2536"/>
  <c r="BT52" i="2536"/>
  <c r="BS52" i="2536"/>
  <c r="BR52" i="2536"/>
  <c r="BQ52" i="2536"/>
  <c r="BP52" i="2536"/>
  <c r="BO52" i="2536"/>
  <c r="BM52" i="2536"/>
  <c r="BL52" i="2536"/>
  <c r="BK52" i="2536"/>
  <c r="BJ52" i="2536"/>
  <c r="BI52" i="2536"/>
  <c r="BH52" i="2536"/>
  <c r="BG52" i="2536"/>
  <c r="BF52" i="2536"/>
  <c r="BE52" i="2536"/>
  <c r="BD52" i="2536"/>
  <c r="BC52" i="2536"/>
  <c r="BB52" i="2536"/>
  <c r="AZ52" i="2536"/>
  <c r="AY52" i="2536"/>
  <c r="AX52" i="2536"/>
  <c r="AW52" i="2536"/>
  <c r="AV52" i="2536"/>
  <c r="AU52" i="2536"/>
  <c r="AT52" i="2536"/>
  <c r="AS52" i="2536"/>
  <c r="AR52" i="2536"/>
  <c r="AQ52" i="2536"/>
  <c r="AP52" i="2536"/>
  <c r="AO52" i="2536"/>
  <c r="AM52" i="2536"/>
  <c r="AL52" i="2536"/>
  <c r="AK52" i="2536"/>
  <c r="AJ52" i="2536"/>
  <c r="AI52" i="2536"/>
  <c r="AH52" i="2536"/>
  <c r="AG52" i="2536"/>
  <c r="AF52" i="2536"/>
  <c r="AE52" i="2536"/>
  <c r="AD52" i="2536"/>
  <c r="AC52" i="2536"/>
  <c r="AB52" i="2536"/>
  <c r="Z52" i="2536"/>
  <c r="Y52" i="2536"/>
  <c r="X52" i="2536"/>
  <c r="W52" i="2536"/>
  <c r="V52" i="2536"/>
  <c r="U52" i="2536"/>
  <c r="T52" i="2536"/>
  <c r="S52" i="2536"/>
  <c r="R52" i="2536"/>
  <c r="Q52" i="2536"/>
  <c r="P52" i="2536"/>
  <c r="O52" i="2536"/>
  <c r="M52" i="2536"/>
  <c r="L52" i="2536"/>
  <c r="K52" i="2536"/>
  <c r="J52" i="2536"/>
  <c r="I52" i="2536"/>
  <c r="H52" i="2536"/>
  <c r="G52" i="2536"/>
  <c r="F52" i="2536"/>
  <c r="E52" i="2536"/>
  <c r="D52" i="2536"/>
  <c r="C52" i="2536"/>
  <c r="B52" i="2536"/>
  <c r="FZ51" i="2536"/>
  <c r="FY51" i="2536"/>
  <c r="FX51" i="2536"/>
  <c r="FW51" i="2536"/>
  <c r="FV51" i="2536"/>
  <c r="FU51" i="2536"/>
  <c r="FT51" i="2536"/>
  <c r="FS51" i="2536"/>
  <c r="FR51" i="2536"/>
  <c r="FQ51" i="2536"/>
  <c r="FP51" i="2536"/>
  <c r="FO51" i="2536"/>
  <c r="FM51" i="2536"/>
  <c r="FL51" i="2536"/>
  <c r="FK51" i="2536"/>
  <c r="FJ51" i="2536"/>
  <c r="FI51" i="2536"/>
  <c r="FH51" i="2536"/>
  <c r="FG51" i="2536"/>
  <c r="FF51" i="2536"/>
  <c r="FE51" i="2536"/>
  <c r="FD51" i="2536"/>
  <c r="FC51" i="2536"/>
  <c r="FB51" i="2536"/>
  <c r="EZ51" i="2536"/>
  <c r="EY51" i="2536"/>
  <c r="EX51" i="2536"/>
  <c r="EW51" i="2536"/>
  <c r="EV51" i="2536"/>
  <c r="EU51" i="2536"/>
  <c r="ET51" i="2536"/>
  <c r="ES51" i="2536"/>
  <c r="ER51" i="2536"/>
  <c r="EQ51" i="2536"/>
  <c r="EP51" i="2536"/>
  <c r="EO51" i="2536"/>
  <c r="EM51" i="2536"/>
  <c r="EL51" i="2536"/>
  <c r="EK51" i="2536"/>
  <c r="EJ51" i="2536"/>
  <c r="EI51" i="2536"/>
  <c r="EH51" i="2536"/>
  <c r="EG51" i="2536"/>
  <c r="EF51" i="2536"/>
  <c r="EE51" i="2536"/>
  <c r="ED51" i="2536"/>
  <c r="EC51" i="2536"/>
  <c r="EB51" i="2536"/>
  <c r="DZ51" i="2536"/>
  <c r="DY51" i="2536"/>
  <c r="DX51" i="2536"/>
  <c r="DW51" i="2536"/>
  <c r="DV51" i="2536"/>
  <c r="DU51" i="2536"/>
  <c r="DT51" i="2536"/>
  <c r="DS51" i="2536"/>
  <c r="DR51" i="2536"/>
  <c r="DQ51" i="2536"/>
  <c r="DP51" i="2536"/>
  <c r="DO51" i="2536"/>
  <c r="DM51" i="2536"/>
  <c r="DL51" i="2536"/>
  <c r="DK51" i="2536"/>
  <c r="DJ51" i="2536"/>
  <c r="DI51" i="2536"/>
  <c r="DH51" i="2536"/>
  <c r="DG51" i="2536"/>
  <c r="DF51" i="2536"/>
  <c r="DE51" i="2536"/>
  <c r="DD51" i="2536"/>
  <c r="DC51" i="2536"/>
  <c r="DB51" i="2536"/>
  <c r="CZ51" i="2536"/>
  <c r="CY51" i="2536"/>
  <c r="CX51" i="2536"/>
  <c r="CW51" i="2536"/>
  <c r="CV51" i="2536"/>
  <c r="CU51" i="2536"/>
  <c r="CT51" i="2536"/>
  <c r="CS51" i="2536"/>
  <c r="CR51" i="2536"/>
  <c r="CQ51" i="2536"/>
  <c r="CP51" i="2536"/>
  <c r="CO51" i="2536"/>
  <c r="CM51" i="2536"/>
  <c r="CL51" i="2536"/>
  <c r="CK51" i="2536"/>
  <c r="CJ51" i="2536"/>
  <c r="CI51" i="2536"/>
  <c r="CH51" i="2536"/>
  <c r="CG51" i="2536"/>
  <c r="CF51" i="2536"/>
  <c r="CE51" i="2536"/>
  <c r="CD51" i="2536"/>
  <c r="CC51" i="2536"/>
  <c r="CB51" i="2536"/>
  <c r="BZ51" i="2536"/>
  <c r="BY51" i="2536"/>
  <c r="BX51" i="2536"/>
  <c r="BW51" i="2536"/>
  <c r="BV51" i="2536"/>
  <c r="BU51" i="2536"/>
  <c r="BT51" i="2536"/>
  <c r="BS51" i="2536"/>
  <c r="BR51" i="2536"/>
  <c r="BQ51" i="2536"/>
  <c r="BP51" i="2536"/>
  <c r="BO51" i="2536"/>
  <c r="BM51" i="2536"/>
  <c r="BL51" i="2536"/>
  <c r="BK51" i="2536"/>
  <c r="BJ51" i="2536"/>
  <c r="BI51" i="2536"/>
  <c r="BH51" i="2536"/>
  <c r="BG51" i="2536"/>
  <c r="BF51" i="2536"/>
  <c r="BE51" i="2536"/>
  <c r="BD51" i="2536"/>
  <c r="BC51" i="2536"/>
  <c r="BB51" i="2536"/>
  <c r="AZ51" i="2536"/>
  <c r="AY51" i="2536"/>
  <c r="AX51" i="2536"/>
  <c r="AW51" i="2536"/>
  <c r="AV51" i="2536"/>
  <c r="AU51" i="2536"/>
  <c r="AT51" i="2536"/>
  <c r="AS51" i="2536"/>
  <c r="AR51" i="2536"/>
  <c r="AQ51" i="2536"/>
  <c r="AP51" i="2536"/>
  <c r="AO51" i="2536"/>
  <c r="AM51" i="2536"/>
  <c r="AL51" i="2536"/>
  <c r="AK51" i="2536"/>
  <c r="AJ51" i="2536"/>
  <c r="AI51" i="2536"/>
  <c r="AH51" i="2536"/>
  <c r="AG51" i="2536"/>
  <c r="AF51" i="2536"/>
  <c r="AE51" i="2536"/>
  <c r="AD51" i="2536"/>
  <c r="AC51" i="2536"/>
  <c r="AB51" i="2536"/>
  <c r="Z51" i="2536"/>
  <c r="Y51" i="2536"/>
  <c r="X51" i="2536"/>
  <c r="W51" i="2536"/>
  <c r="V51" i="2536"/>
  <c r="U51" i="2536"/>
  <c r="T51" i="2536"/>
  <c r="S51" i="2536"/>
  <c r="R51" i="2536"/>
  <c r="Q51" i="2536"/>
  <c r="P51" i="2536"/>
  <c r="O51" i="2536"/>
  <c r="M51" i="2536"/>
  <c r="L51" i="2536"/>
  <c r="K51" i="2536"/>
  <c r="J51" i="2536"/>
  <c r="I51" i="2536"/>
  <c r="H51" i="2536"/>
  <c r="G51" i="2536"/>
  <c r="F51" i="2536"/>
  <c r="E51" i="2536"/>
  <c r="D51" i="2536"/>
  <c r="C51" i="2536"/>
  <c r="B51" i="2536"/>
  <c r="FZ50" i="2536"/>
  <c r="FY50" i="2536"/>
  <c r="FX50" i="2536"/>
  <c r="FW50" i="2536"/>
  <c r="FV50" i="2536"/>
  <c r="FU50" i="2536"/>
  <c r="FT50" i="2536"/>
  <c r="FS50" i="2536"/>
  <c r="FR50" i="2536"/>
  <c r="FQ50" i="2536"/>
  <c r="FP50" i="2536"/>
  <c r="FO50" i="2536"/>
  <c r="FM50" i="2536"/>
  <c r="FL50" i="2536"/>
  <c r="FK50" i="2536"/>
  <c r="FJ50" i="2536"/>
  <c r="FI50" i="2536"/>
  <c r="FH50" i="2536"/>
  <c r="FG50" i="2536"/>
  <c r="FF50" i="2536"/>
  <c r="FE50" i="2536"/>
  <c r="FD50" i="2536"/>
  <c r="FC50" i="2536"/>
  <c r="FB50" i="2536"/>
  <c r="EZ50" i="2536"/>
  <c r="EY50" i="2536"/>
  <c r="EX50" i="2536"/>
  <c r="EW50" i="2536"/>
  <c r="EV50" i="2536"/>
  <c r="EU50" i="2536"/>
  <c r="ET50" i="2536"/>
  <c r="ES50" i="2536"/>
  <c r="ER50" i="2536"/>
  <c r="EQ50" i="2536"/>
  <c r="EP50" i="2536"/>
  <c r="EO50" i="2536"/>
  <c r="EM50" i="2536"/>
  <c r="EL50" i="2536"/>
  <c r="EK50" i="2536"/>
  <c r="EJ50" i="2536"/>
  <c r="EI50" i="2536"/>
  <c r="EH50" i="2536"/>
  <c r="EG50" i="2536"/>
  <c r="EF50" i="2536"/>
  <c r="EE50" i="2536"/>
  <c r="ED50" i="2536"/>
  <c r="EC50" i="2536"/>
  <c r="EB50" i="2536"/>
  <c r="DZ50" i="2536"/>
  <c r="DY50" i="2536"/>
  <c r="DX50" i="2536"/>
  <c r="DW50" i="2536"/>
  <c r="DV50" i="2536"/>
  <c r="DU50" i="2536"/>
  <c r="DT50" i="2536"/>
  <c r="DS50" i="2536"/>
  <c r="DR50" i="2536"/>
  <c r="DQ50" i="2536"/>
  <c r="DP50" i="2536"/>
  <c r="DO50" i="2536"/>
  <c r="DM50" i="2536"/>
  <c r="DL50" i="2536"/>
  <c r="DK50" i="2536"/>
  <c r="DJ50" i="2536"/>
  <c r="DI50" i="2536"/>
  <c r="DH50" i="2536"/>
  <c r="DG50" i="2536"/>
  <c r="DF50" i="2536"/>
  <c r="DE50" i="2536"/>
  <c r="DD50" i="2536"/>
  <c r="DC50" i="2536"/>
  <c r="DB50" i="2536"/>
  <c r="CZ50" i="2536"/>
  <c r="CY50" i="2536"/>
  <c r="CX50" i="2536"/>
  <c r="CW50" i="2536"/>
  <c r="CV50" i="2536"/>
  <c r="CU50" i="2536"/>
  <c r="CT50" i="2536"/>
  <c r="CS50" i="2536"/>
  <c r="CR50" i="2536"/>
  <c r="CQ50" i="2536"/>
  <c r="CP50" i="2536"/>
  <c r="CO50" i="2536"/>
  <c r="CM50" i="2536"/>
  <c r="CL50" i="2536"/>
  <c r="CK50" i="2536"/>
  <c r="CJ50" i="2536"/>
  <c r="CI50" i="2536"/>
  <c r="CH50" i="2536"/>
  <c r="CG50" i="2536"/>
  <c r="CF50" i="2536"/>
  <c r="CE50" i="2536"/>
  <c r="CD50" i="2536"/>
  <c r="CC50" i="2536"/>
  <c r="CB50" i="2536"/>
  <c r="BZ50" i="2536"/>
  <c r="BY50" i="2536"/>
  <c r="BX50" i="2536"/>
  <c r="BW50" i="2536"/>
  <c r="BV50" i="2536"/>
  <c r="BU50" i="2536"/>
  <c r="BT50" i="2536"/>
  <c r="BS50" i="2536"/>
  <c r="BR50" i="2536"/>
  <c r="BQ50" i="2536"/>
  <c r="BP50" i="2536"/>
  <c r="BO50" i="2536"/>
  <c r="BM50" i="2536"/>
  <c r="BL50" i="2536"/>
  <c r="BK50" i="2536"/>
  <c r="BJ50" i="2536"/>
  <c r="BI50" i="2536"/>
  <c r="BH50" i="2536"/>
  <c r="BG50" i="2536"/>
  <c r="BF50" i="2536"/>
  <c r="BE50" i="2536"/>
  <c r="BD50" i="2536"/>
  <c r="BC50" i="2536"/>
  <c r="BB50" i="2536"/>
  <c r="AZ50" i="2536"/>
  <c r="AY50" i="2536"/>
  <c r="AX50" i="2536"/>
  <c r="AW50" i="2536"/>
  <c r="AV50" i="2536"/>
  <c r="AU50" i="2536"/>
  <c r="AT50" i="2536"/>
  <c r="AS50" i="2536"/>
  <c r="AR50" i="2536"/>
  <c r="AQ50" i="2536"/>
  <c r="AP50" i="2536"/>
  <c r="AO50" i="2536"/>
  <c r="AM50" i="2536"/>
  <c r="AL50" i="2536"/>
  <c r="AK50" i="2536"/>
  <c r="AJ50" i="2536"/>
  <c r="AI50" i="2536"/>
  <c r="AH50" i="2536"/>
  <c r="AG50" i="2536"/>
  <c r="AF50" i="2536"/>
  <c r="AE50" i="2536"/>
  <c r="AD50" i="2536"/>
  <c r="AC50" i="2536"/>
  <c r="AB50" i="2536"/>
  <c r="Z50" i="2536"/>
  <c r="Y50" i="2536"/>
  <c r="X50" i="2536"/>
  <c r="W50" i="2536"/>
  <c r="V50" i="2536"/>
  <c r="U50" i="2536"/>
  <c r="T50" i="2536"/>
  <c r="S50" i="2536"/>
  <c r="R50" i="2536"/>
  <c r="Q50" i="2536"/>
  <c r="P50" i="2536"/>
  <c r="O50" i="2536"/>
  <c r="M50" i="2536"/>
  <c r="L50" i="2536"/>
  <c r="K50" i="2536"/>
  <c r="J50" i="2536"/>
  <c r="I50" i="2536"/>
  <c r="H50" i="2536"/>
  <c r="G50" i="2536"/>
  <c r="F50" i="2536"/>
  <c r="E50" i="2536"/>
  <c r="D50" i="2536"/>
  <c r="C50" i="2536"/>
  <c r="B50" i="2536"/>
  <c r="FZ49" i="2536"/>
  <c r="FY49" i="2536"/>
  <c r="FX49" i="2536"/>
  <c r="FW49" i="2536"/>
  <c r="FV49" i="2536"/>
  <c r="FU49" i="2536"/>
  <c r="FT49" i="2536"/>
  <c r="FS49" i="2536"/>
  <c r="FR49" i="2536"/>
  <c r="FQ49" i="2536"/>
  <c r="FP49" i="2536"/>
  <c r="FO49" i="2536"/>
  <c r="FM49" i="2536"/>
  <c r="FL49" i="2536"/>
  <c r="FK49" i="2536"/>
  <c r="FJ49" i="2536"/>
  <c r="FI49" i="2536"/>
  <c r="FH49" i="2536"/>
  <c r="FG49" i="2536"/>
  <c r="FF49" i="2536"/>
  <c r="FE49" i="2536"/>
  <c r="FD49" i="2536"/>
  <c r="FC49" i="2536"/>
  <c r="FB49" i="2536"/>
  <c r="EZ49" i="2536"/>
  <c r="EY49" i="2536"/>
  <c r="EX49" i="2536"/>
  <c r="EW49" i="2536"/>
  <c r="EV49" i="2536"/>
  <c r="EU49" i="2536"/>
  <c r="ET49" i="2536"/>
  <c r="ES49" i="2536"/>
  <c r="ER49" i="2536"/>
  <c r="EQ49" i="2536"/>
  <c r="EP49" i="2536"/>
  <c r="EO49" i="2536"/>
  <c r="EM49" i="2536"/>
  <c r="EL49" i="2536"/>
  <c r="EK49" i="2536"/>
  <c r="EJ49" i="2536"/>
  <c r="EI49" i="2536"/>
  <c r="EH49" i="2536"/>
  <c r="EG49" i="2536"/>
  <c r="EF49" i="2536"/>
  <c r="EE49" i="2536"/>
  <c r="ED49" i="2536"/>
  <c r="EC49" i="2536"/>
  <c r="EB49" i="2536"/>
  <c r="DZ49" i="2536"/>
  <c r="DY49" i="2536"/>
  <c r="DX49" i="2536"/>
  <c r="DW49" i="2536"/>
  <c r="DV49" i="2536"/>
  <c r="DU49" i="2536"/>
  <c r="DT49" i="2536"/>
  <c r="DS49" i="2536"/>
  <c r="DR49" i="2536"/>
  <c r="DQ49" i="2536"/>
  <c r="DP49" i="2536"/>
  <c r="DO49" i="2536"/>
  <c r="DM49" i="2536"/>
  <c r="DL49" i="2536"/>
  <c r="DK49" i="2536"/>
  <c r="DJ49" i="2536"/>
  <c r="DI49" i="2536"/>
  <c r="DH49" i="2536"/>
  <c r="DG49" i="2536"/>
  <c r="DF49" i="2536"/>
  <c r="DE49" i="2536"/>
  <c r="DD49" i="2536"/>
  <c r="DC49" i="2536"/>
  <c r="DB49" i="2536"/>
  <c r="CZ49" i="2536"/>
  <c r="CY49" i="2536"/>
  <c r="CX49" i="2536"/>
  <c r="CW49" i="2536"/>
  <c r="CV49" i="2536"/>
  <c r="CU49" i="2536"/>
  <c r="CT49" i="2536"/>
  <c r="CS49" i="2536"/>
  <c r="CR49" i="2536"/>
  <c r="CQ49" i="2536"/>
  <c r="CP49" i="2536"/>
  <c r="CO49" i="2536"/>
  <c r="CM49" i="2536"/>
  <c r="CL49" i="2536"/>
  <c r="CK49" i="2536"/>
  <c r="CJ49" i="2536"/>
  <c r="CI49" i="2536"/>
  <c r="CH49" i="2536"/>
  <c r="CG49" i="2536"/>
  <c r="CF49" i="2536"/>
  <c r="CE49" i="2536"/>
  <c r="CD49" i="2536"/>
  <c r="CC49" i="2536"/>
  <c r="CB49" i="2536"/>
  <c r="BZ49" i="2536"/>
  <c r="BY49" i="2536"/>
  <c r="BX49" i="2536"/>
  <c r="BW49" i="2536"/>
  <c r="BV49" i="2536"/>
  <c r="BU49" i="2536"/>
  <c r="BT49" i="2536"/>
  <c r="BS49" i="2536"/>
  <c r="BR49" i="2536"/>
  <c r="BQ49" i="2536"/>
  <c r="BP49" i="2536"/>
  <c r="BO49" i="2536"/>
  <c r="BM49" i="2536"/>
  <c r="BL49" i="2536"/>
  <c r="BK49" i="2536"/>
  <c r="BJ49" i="2536"/>
  <c r="BI49" i="2536"/>
  <c r="BH49" i="2536"/>
  <c r="BG49" i="2536"/>
  <c r="BF49" i="2536"/>
  <c r="BE49" i="2536"/>
  <c r="BD49" i="2536"/>
  <c r="BC49" i="2536"/>
  <c r="BB49" i="2536"/>
  <c r="AZ49" i="2536"/>
  <c r="AY49" i="2536"/>
  <c r="AX49" i="2536"/>
  <c r="AW49" i="2536"/>
  <c r="AV49" i="2536"/>
  <c r="AU49" i="2536"/>
  <c r="AT49" i="2536"/>
  <c r="AS49" i="2536"/>
  <c r="AR49" i="2536"/>
  <c r="AQ49" i="2536"/>
  <c r="AP49" i="2536"/>
  <c r="AO49" i="2536"/>
  <c r="AM49" i="2536"/>
  <c r="AL49" i="2536"/>
  <c r="AK49" i="2536"/>
  <c r="AJ49" i="2536"/>
  <c r="AI49" i="2536"/>
  <c r="AH49" i="2536"/>
  <c r="AG49" i="2536"/>
  <c r="AF49" i="2536"/>
  <c r="AE49" i="2536"/>
  <c r="AD49" i="2536"/>
  <c r="AC49" i="2536"/>
  <c r="AB49" i="2536"/>
  <c r="Z49" i="2536"/>
  <c r="Y49" i="2536"/>
  <c r="X49" i="2536"/>
  <c r="W49" i="2536"/>
  <c r="V49" i="2536"/>
  <c r="U49" i="2536"/>
  <c r="T49" i="2536"/>
  <c r="S49" i="2536"/>
  <c r="R49" i="2536"/>
  <c r="Q49" i="2536"/>
  <c r="P49" i="2536"/>
  <c r="O49" i="2536"/>
  <c r="M49" i="2536"/>
  <c r="L49" i="2536"/>
  <c r="K49" i="2536"/>
  <c r="J49" i="2536"/>
  <c r="I49" i="2536"/>
  <c r="H49" i="2536"/>
  <c r="G49" i="2536"/>
  <c r="F49" i="2536"/>
  <c r="E49" i="2536"/>
  <c r="D49" i="2536"/>
  <c r="C49" i="2536"/>
  <c r="B49" i="2536"/>
  <c r="HL47" i="2536"/>
  <c r="HK47" i="2536"/>
  <c r="HI47" i="2536"/>
  <c r="HH47" i="2536"/>
  <c r="HG47" i="2536"/>
  <c r="HF47" i="2536"/>
  <c r="HE47" i="2536"/>
  <c r="HD47" i="2536"/>
  <c r="HC47" i="2536"/>
  <c r="GZ47" i="2536"/>
  <c r="GY47" i="2536"/>
  <c r="GX47" i="2536"/>
  <c r="GW47" i="2536"/>
  <c r="GV47" i="2536"/>
  <c r="GU47" i="2536"/>
  <c r="GT47" i="2536"/>
  <c r="GS47" i="2536"/>
  <c r="GR47" i="2536"/>
  <c r="GQ47" i="2536"/>
  <c r="GP47" i="2536"/>
  <c r="GM47" i="2536"/>
  <c r="GL47" i="2536"/>
  <c r="GK47" i="2536"/>
  <c r="GJ47" i="2536"/>
  <c r="GI47" i="2536"/>
  <c r="GH47" i="2536"/>
  <c r="GG47" i="2536"/>
  <c r="GF47" i="2536"/>
  <c r="GE47" i="2536"/>
  <c r="GD47" i="2536"/>
  <c r="GC47" i="2536"/>
  <c r="FZ47" i="2536"/>
  <c r="FY47" i="2536"/>
  <c r="FX47" i="2536"/>
  <c r="FW47" i="2536"/>
  <c r="FV47" i="2536"/>
  <c r="FU47" i="2536"/>
  <c r="FT47" i="2536"/>
  <c r="FS47" i="2536"/>
  <c r="FR47" i="2536"/>
  <c r="FQ47" i="2536"/>
  <c r="FP47" i="2536"/>
  <c r="FM47" i="2536"/>
  <c r="FL47" i="2536"/>
  <c r="FK47" i="2536"/>
  <c r="FJ47" i="2536"/>
  <c r="FI47" i="2536"/>
  <c r="FH47" i="2536"/>
  <c r="FG47" i="2536"/>
  <c r="FF47" i="2536"/>
  <c r="FE47" i="2536"/>
  <c r="FD47" i="2536"/>
  <c r="FC47" i="2536"/>
  <c r="EZ47" i="2536"/>
  <c r="EY47" i="2536"/>
  <c r="EX47" i="2536"/>
  <c r="EW47" i="2536"/>
  <c r="EV47" i="2536"/>
  <c r="EU47" i="2536"/>
  <c r="ET47" i="2536"/>
  <c r="ES47" i="2536"/>
  <c r="ER47" i="2536"/>
  <c r="EQ47" i="2536"/>
  <c r="EP47" i="2536"/>
  <c r="EO47" i="2536"/>
  <c r="EM47" i="2536"/>
  <c r="EL47" i="2536"/>
  <c r="EK47" i="2536"/>
  <c r="EJ47" i="2536"/>
  <c r="EI47" i="2536"/>
  <c r="EH47" i="2536"/>
  <c r="EG47" i="2536"/>
  <c r="EF47" i="2536"/>
  <c r="EE47" i="2536"/>
  <c r="ED47" i="2536"/>
  <c r="EC47" i="2536"/>
  <c r="DZ47" i="2536"/>
  <c r="DY47" i="2536"/>
  <c r="DX47" i="2536"/>
  <c r="DW47" i="2536"/>
  <c r="DV47" i="2536"/>
  <c r="DU47" i="2536"/>
  <c r="DT47" i="2536"/>
  <c r="DS47" i="2536"/>
  <c r="DR47" i="2536"/>
  <c r="DQ47" i="2536"/>
  <c r="DP47" i="2536"/>
  <c r="DM47" i="2536"/>
  <c r="DL47" i="2536"/>
  <c r="DK47" i="2536"/>
  <c r="DJ47" i="2536"/>
  <c r="DI47" i="2536"/>
  <c r="DH47" i="2536"/>
  <c r="DG47" i="2536"/>
  <c r="DF47" i="2536"/>
  <c r="DE47" i="2536"/>
  <c r="DD47" i="2536"/>
  <c r="DC47" i="2536"/>
  <c r="DB47" i="2536"/>
  <c r="CZ47" i="2536"/>
  <c r="CY47" i="2536"/>
  <c r="CX47" i="2536"/>
  <c r="CW47" i="2536"/>
  <c r="CV47" i="2536"/>
  <c r="CU47" i="2536"/>
  <c r="CT47" i="2536"/>
  <c r="CS47" i="2536"/>
  <c r="CR47" i="2536"/>
  <c r="CQ47" i="2536"/>
  <c r="CP47" i="2536"/>
  <c r="CM47" i="2536"/>
  <c r="CL47" i="2536"/>
  <c r="CK47" i="2536"/>
  <c r="CJ47" i="2536"/>
  <c r="CI47" i="2536"/>
  <c r="CH47" i="2536"/>
  <c r="CG47" i="2536"/>
  <c r="CF47" i="2536"/>
  <c r="CE47" i="2536"/>
  <c r="CD47" i="2536"/>
  <c r="CC47" i="2536"/>
  <c r="BZ47" i="2536"/>
  <c r="BY47" i="2536"/>
  <c r="BX47" i="2536"/>
  <c r="BW47" i="2536"/>
  <c r="BV47" i="2536"/>
  <c r="BU47" i="2536"/>
  <c r="BT47" i="2536"/>
  <c r="BS47" i="2536"/>
  <c r="BR47" i="2536"/>
  <c r="BQ47" i="2536"/>
  <c r="BP47" i="2536"/>
  <c r="BO47" i="2536"/>
  <c r="BM47" i="2536"/>
  <c r="BL47" i="2536"/>
  <c r="BK47" i="2536"/>
  <c r="BJ47" i="2536"/>
  <c r="BI47" i="2536"/>
  <c r="BH47" i="2536"/>
  <c r="BG47" i="2536"/>
  <c r="BF47" i="2536"/>
  <c r="BE47" i="2536"/>
  <c r="BD47" i="2536"/>
  <c r="BC47" i="2536"/>
  <c r="BB47" i="2536"/>
  <c r="AZ47" i="2536"/>
  <c r="AY47" i="2536"/>
  <c r="AX47" i="2536"/>
  <c r="AW47" i="2536"/>
  <c r="AV47" i="2536"/>
  <c r="AU47" i="2536"/>
  <c r="AT47" i="2536"/>
  <c r="AS47" i="2536"/>
  <c r="AR47" i="2536"/>
  <c r="AQ47" i="2536"/>
  <c r="AP47" i="2536"/>
  <c r="AO47" i="2536"/>
  <c r="AM47" i="2536"/>
  <c r="AL47" i="2536"/>
  <c r="AK47" i="2536"/>
  <c r="AJ47" i="2536"/>
  <c r="AI47" i="2536"/>
  <c r="AH47" i="2536"/>
  <c r="AG47" i="2536"/>
  <c r="AF47" i="2536"/>
  <c r="AE47" i="2536"/>
  <c r="AD47" i="2536"/>
  <c r="AC47" i="2536"/>
  <c r="AB47" i="2536"/>
  <c r="Z47" i="2536"/>
  <c r="Y47" i="2536"/>
  <c r="X47" i="2536"/>
  <c r="W47" i="2536"/>
  <c r="V47" i="2536"/>
  <c r="U47" i="2536"/>
  <c r="T47" i="2536"/>
  <c r="S47" i="2536"/>
  <c r="R47" i="2536"/>
  <c r="Q47" i="2536"/>
  <c r="P47" i="2536"/>
  <c r="O47" i="2536"/>
  <c r="M47" i="2536"/>
  <c r="L47" i="2536"/>
  <c r="K47" i="2536"/>
  <c r="J47" i="2536"/>
  <c r="I47" i="2536"/>
  <c r="H47" i="2536"/>
  <c r="G47" i="2536"/>
  <c r="F47" i="2536"/>
  <c r="E47" i="2536"/>
  <c r="D47" i="2536"/>
  <c r="C47" i="2536"/>
  <c r="HM46" i="2536"/>
  <c r="HL46" i="2536"/>
  <c r="HK46" i="2536"/>
  <c r="HJ46" i="2536"/>
  <c r="HI46" i="2536"/>
  <c r="HH46" i="2536"/>
  <c r="HG46" i="2536"/>
  <c r="HF46" i="2536"/>
  <c r="HE46" i="2536"/>
  <c r="HD46" i="2536"/>
  <c r="HC46" i="2536"/>
  <c r="HB46" i="2536"/>
  <c r="GZ46" i="2536"/>
  <c r="GY46" i="2536"/>
  <c r="GX46" i="2536"/>
  <c r="GW46" i="2536"/>
  <c r="GV46" i="2536"/>
  <c r="GU46" i="2536"/>
  <c r="GT46" i="2536"/>
  <c r="GS46" i="2536"/>
  <c r="GR46" i="2536"/>
  <c r="GQ46" i="2536"/>
  <c r="GP46" i="2536"/>
  <c r="GO46" i="2536"/>
  <c r="GM46" i="2536"/>
  <c r="GL46" i="2536"/>
  <c r="GK46" i="2536"/>
  <c r="GJ46" i="2536"/>
  <c r="GI46" i="2536"/>
  <c r="GH46" i="2536"/>
  <c r="GG46" i="2536"/>
  <c r="GF46" i="2536"/>
  <c r="GE46" i="2536"/>
  <c r="GD46" i="2536"/>
  <c r="GC46" i="2536"/>
  <c r="GB46" i="2536"/>
  <c r="FZ46" i="2536"/>
  <c r="FY46" i="2536"/>
  <c r="FX46" i="2536"/>
  <c r="FW46" i="2536"/>
  <c r="FV46" i="2536"/>
  <c r="FU46" i="2536"/>
  <c r="FT46" i="2536"/>
  <c r="FS46" i="2536"/>
  <c r="FR46" i="2536"/>
  <c r="FQ46" i="2536"/>
  <c r="FP46" i="2536"/>
  <c r="FO46" i="2536"/>
  <c r="FM46" i="2536"/>
  <c r="FL46" i="2536"/>
  <c r="FK46" i="2536"/>
  <c r="FJ46" i="2536"/>
  <c r="FI46" i="2536"/>
  <c r="FH46" i="2536"/>
  <c r="FG46" i="2536"/>
  <c r="FF46" i="2536"/>
  <c r="FE46" i="2536"/>
  <c r="FD46" i="2536"/>
  <c r="FC46" i="2536"/>
  <c r="FB46" i="2536"/>
  <c r="EZ46" i="2536"/>
  <c r="EY46" i="2536"/>
  <c r="EX46" i="2536"/>
  <c r="EW46" i="2536"/>
  <c r="EV46" i="2536"/>
  <c r="EU46" i="2536"/>
  <c r="ET46" i="2536"/>
  <c r="ES46" i="2536"/>
  <c r="ER46" i="2536"/>
  <c r="EQ46" i="2536"/>
  <c r="EP46" i="2536"/>
  <c r="EO46" i="2536"/>
  <c r="EM46" i="2536"/>
  <c r="EL46" i="2536"/>
  <c r="EK46" i="2536"/>
  <c r="EJ46" i="2536"/>
  <c r="EI46" i="2536"/>
  <c r="EH46" i="2536"/>
  <c r="EG46" i="2536"/>
  <c r="EF46" i="2536"/>
  <c r="EE46" i="2536"/>
  <c r="ED46" i="2536"/>
  <c r="EC46" i="2536"/>
  <c r="EB46" i="2536"/>
  <c r="DZ46" i="2536"/>
  <c r="DY46" i="2536"/>
  <c r="DX46" i="2536"/>
  <c r="DW46" i="2536"/>
  <c r="DV46" i="2536"/>
  <c r="DU46" i="2536"/>
  <c r="DT46" i="2536"/>
  <c r="DS46" i="2536"/>
  <c r="DR46" i="2536"/>
  <c r="DQ46" i="2536"/>
  <c r="DP46" i="2536"/>
  <c r="DO46" i="2536"/>
  <c r="DM46" i="2536"/>
  <c r="DL46" i="2536"/>
  <c r="DK46" i="2536"/>
  <c r="DJ46" i="2536"/>
  <c r="DI46" i="2536"/>
  <c r="DH46" i="2536"/>
  <c r="DG46" i="2536"/>
  <c r="DF46" i="2536"/>
  <c r="DE46" i="2536"/>
  <c r="DD46" i="2536"/>
  <c r="DC46" i="2536"/>
  <c r="DB46" i="2536"/>
  <c r="CZ46" i="2536"/>
  <c r="CY46" i="2536"/>
  <c r="CX46" i="2536"/>
  <c r="CW46" i="2536"/>
  <c r="CV46" i="2536"/>
  <c r="CU46" i="2536"/>
  <c r="CT46" i="2536"/>
  <c r="CS46" i="2536"/>
  <c r="CR46" i="2536"/>
  <c r="CQ46" i="2536"/>
  <c r="CP46" i="2536"/>
  <c r="CO46" i="2536"/>
  <c r="CM46" i="2536"/>
  <c r="CL46" i="2536"/>
  <c r="CK46" i="2536"/>
  <c r="CJ46" i="2536"/>
  <c r="CI46" i="2536"/>
  <c r="CH46" i="2536"/>
  <c r="CG46" i="2536"/>
  <c r="CF46" i="2536"/>
  <c r="CE46" i="2536"/>
  <c r="CD46" i="2536"/>
  <c r="CC46" i="2536"/>
  <c r="CB46" i="2536"/>
  <c r="BZ46" i="2536"/>
  <c r="BY46" i="2536"/>
  <c r="BX46" i="2536"/>
  <c r="BW46" i="2536"/>
  <c r="BV46" i="2536"/>
  <c r="BU46" i="2536"/>
  <c r="BT46" i="2536"/>
  <c r="BS46" i="2536"/>
  <c r="BR46" i="2536"/>
  <c r="BQ46" i="2536"/>
  <c r="BP46" i="2536"/>
  <c r="BO46" i="2536"/>
  <c r="BM46" i="2536"/>
  <c r="BL46" i="2536"/>
  <c r="BK46" i="2536"/>
  <c r="BJ46" i="2536"/>
  <c r="BI46" i="2536"/>
  <c r="BH46" i="2536"/>
  <c r="BG46" i="2536"/>
  <c r="BF46" i="2536"/>
  <c r="BE46" i="2536"/>
  <c r="BD46" i="2536"/>
  <c r="BC46" i="2536"/>
  <c r="BB46" i="2536"/>
  <c r="AZ46" i="2536"/>
  <c r="AY46" i="2536"/>
  <c r="AX46" i="2536"/>
  <c r="AW46" i="2536"/>
  <c r="AV46" i="2536"/>
  <c r="AU46" i="2536"/>
  <c r="AT46" i="2536"/>
  <c r="AS46" i="2536"/>
  <c r="AR46" i="2536"/>
  <c r="AQ46" i="2536"/>
  <c r="AP46" i="2536"/>
  <c r="AO46" i="2536"/>
  <c r="AM46" i="2536"/>
  <c r="AL46" i="2536"/>
  <c r="AK46" i="2536"/>
  <c r="AJ46" i="2536"/>
  <c r="AI46" i="2536"/>
  <c r="AH46" i="2536"/>
  <c r="AG46" i="2536"/>
  <c r="AF46" i="2536"/>
  <c r="AE46" i="2536"/>
  <c r="AD46" i="2536"/>
  <c r="AC46" i="2536"/>
  <c r="AB46" i="2536"/>
  <c r="Z46" i="2536"/>
  <c r="Y46" i="2536"/>
  <c r="X46" i="2536"/>
  <c r="W46" i="2536"/>
  <c r="V46" i="2536"/>
  <c r="U46" i="2536"/>
  <c r="T46" i="2536"/>
  <c r="S46" i="2536"/>
  <c r="R46" i="2536"/>
  <c r="Q46" i="2536"/>
  <c r="P46" i="2536"/>
  <c r="O46" i="2536"/>
  <c r="M46" i="2536"/>
  <c r="L46" i="2536"/>
  <c r="K46" i="2536"/>
  <c r="J46" i="2536"/>
  <c r="I46" i="2536"/>
  <c r="H46" i="2536"/>
  <c r="G46" i="2536"/>
  <c r="F46" i="2536"/>
  <c r="E46" i="2536"/>
  <c r="D46" i="2536"/>
  <c r="C46" i="2536"/>
  <c r="HM45" i="2536"/>
  <c r="HL45" i="2536"/>
  <c r="HK45" i="2536"/>
  <c r="HJ45" i="2536"/>
  <c r="HI45" i="2536"/>
  <c r="HH45" i="2536"/>
  <c r="HG45" i="2536"/>
  <c r="HF45" i="2536"/>
  <c r="HE45" i="2536"/>
  <c r="HD45" i="2536"/>
  <c r="HC45" i="2536"/>
  <c r="HB45" i="2536"/>
  <c r="GZ45" i="2536"/>
  <c r="GY45" i="2536"/>
  <c r="GX45" i="2536"/>
  <c r="GW45" i="2536"/>
  <c r="GV45" i="2536"/>
  <c r="GU45" i="2536"/>
  <c r="GT45" i="2536"/>
  <c r="GS45" i="2536"/>
  <c r="GR45" i="2536"/>
  <c r="GQ45" i="2536"/>
  <c r="GP45" i="2536"/>
  <c r="GO45" i="2536"/>
  <c r="GM45" i="2536"/>
  <c r="GL45" i="2536"/>
  <c r="GK45" i="2536"/>
  <c r="GJ45" i="2536"/>
  <c r="GI45" i="2536"/>
  <c r="GH45" i="2536"/>
  <c r="GG45" i="2536"/>
  <c r="GF45" i="2536"/>
  <c r="GE45" i="2536"/>
  <c r="GD45" i="2536"/>
  <c r="GC45" i="2536"/>
  <c r="GB45" i="2536"/>
  <c r="FZ45" i="2536"/>
  <c r="FY45" i="2536"/>
  <c r="FX45" i="2536"/>
  <c r="FW45" i="2536"/>
  <c r="FV45" i="2536"/>
  <c r="FU45" i="2536"/>
  <c r="FT45" i="2536"/>
  <c r="FS45" i="2536"/>
  <c r="FR45" i="2536"/>
  <c r="FQ45" i="2536"/>
  <c r="FP45" i="2536"/>
  <c r="FO45" i="2536"/>
  <c r="FM45" i="2536"/>
  <c r="FL45" i="2536"/>
  <c r="FK45" i="2536"/>
  <c r="FJ45" i="2536"/>
  <c r="FI45" i="2536"/>
  <c r="FH45" i="2536"/>
  <c r="FG45" i="2536"/>
  <c r="FF45" i="2536"/>
  <c r="FE45" i="2536"/>
  <c r="FD45" i="2536"/>
  <c r="FC45" i="2536"/>
  <c r="FB45" i="2536"/>
  <c r="EZ45" i="2536"/>
  <c r="EY45" i="2536"/>
  <c r="EX45" i="2536"/>
  <c r="EW45" i="2536"/>
  <c r="EV45" i="2536"/>
  <c r="EU45" i="2536"/>
  <c r="ET45" i="2536"/>
  <c r="ES45" i="2536"/>
  <c r="ER45" i="2536"/>
  <c r="EQ45" i="2536"/>
  <c r="EP45" i="2536"/>
  <c r="EO45" i="2536"/>
  <c r="EM45" i="2536"/>
  <c r="EL45" i="2536"/>
  <c r="EK45" i="2536"/>
  <c r="EJ45" i="2536"/>
  <c r="EI45" i="2536"/>
  <c r="EH45" i="2536"/>
  <c r="EG45" i="2536"/>
  <c r="EF45" i="2536"/>
  <c r="EE45" i="2536"/>
  <c r="ED45" i="2536"/>
  <c r="EC45" i="2536"/>
  <c r="EB45" i="2536"/>
  <c r="DZ45" i="2536"/>
  <c r="DY45" i="2536"/>
  <c r="DX45" i="2536"/>
  <c r="DW45" i="2536"/>
  <c r="DV45" i="2536"/>
  <c r="DU45" i="2536"/>
  <c r="DT45" i="2536"/>
  <c r="DS45" i="2536"/>
  <c r="DR45" i="2536"/>
  <c r="DQ45" i="2536"/>
  <c r="DP45" i="2536"/>
  <c r="DO45" i="2536"/>
  <c r="DM45" i="2536"/>
  <c r="DL45" i="2536"/>
  <c r="DK45" i="2536"/>
  <c r="DJ45" i="2536"/>
  <c r="DI45" i="2536"/>
  <c r="DH45" i="2536"/>
  <c r="DG45" i="2536"/>
  <c r="DF45" i="2536"/>
  <c r="DE45" i="2536"/>
  <c r="DD45" i="2536"/>
  <c r="DC45" i="2536"/>
  <c r="DB45" i="2536"/>
  <c r="CZ45" i="2536"/>
  <c r="CY45" i="2536"/>
  <c r="CX45" i="2536"/>
  <c r="CW45" i="2536"/>
  <c r="CV45" i="2536"/>
  <c r="CU45" i="2536"/>
  <c r="CT45" i="2536"/>
  <c r="CS45" i="2536"/>
  <c r="CR45" i="2536"/>
  <c r="CQ45" i="2536"/>
  <c r="CP45" i="2536"/>
  <c r="CO45" i="2536"/>
  <c r="CM45" i="2536"/>
  <c r="CL45" i="2536"/>
  <c r="CK45" i="2536"/>
  <c r="CJ45" i="2536"/>
  <c r="CI45" i="2536"/>
  <c r="CH45" i="2536"/>
  <c r="CG45" i="2536"/>
  <c r="CF45" i="2536"/>
  <c r="CE45" i="2536"/>
  <c r="CD45" i="2536"/>
  <c r="CC45" i="2536"/>
  <c r="CB45" i="2536"/>
  <c r="BZ45" i="2536"/>
  <c r="BY45" i="2536"/>
  <c r="BX45" i="2536"/>
  <c r="BW45" i="2536"/>
  <c r="BV45" i="2536"/>
  <c r="BU45" i="2536"/>
  <c r="BT45" i="2536"/>
  <c r="BS45" i="2536"/>
  <c r="BR45" i="2536"/>
  <c r="BQ45" i="2536"/>
  <c r="BP45" i="2536"/>
  <c r="BO45" i="2536"/>
  <c r="BM45" i="2536"/>
  <c r="BL45" i="2536"/>
  <c r="BK45" i="2536"/>
  <c r="BJ45" i="2536"/>
  <c r="BI45" i="2536"/>
  <c r="BH45" i="2536"/>
  <c r="BG45" i="2536"/>
  <c r="BF45" i="2536"/>
  <c r="BE45" i="2536"/>
  <c r="BD45" i="2536"/>
  <c r="BC45" i="2536"/>
  <c r="BB45" i="2536"/>
  <c r="AZ45" i="2536"/>
  <c r="AY45" i="2536"/>
  <c r="AX45" i="2536"/>
  <c r="AW45" i="2536"/>
  <c r="AV45" i="2536"/>
  <c r="AU45" i="2536"/>
  <c r="AT45" i="2536"/>
  <c r="AS45" i="2536"/>
  <c r="AR45" i="2536"/>
  <c r="AQ45" i="2536"/>
  <c r="AP45" i="2536"/>
  <c r="AO45" i="2536"/>
  <c r="AM45" i="2536"/>
  <c r="AL45" i="2536"/>
  <c r="AK45" i="2536"/>
  <c r="AJ45" i="2536"/>
  <c r="AI45" i="2536"/>
  <c r="AH45" i="2536"/>
  <c r="AG45" i="2536"/>
  <c r="AF45" i="2536"/>
  <c r="AE45" i="2536"/>
  <c r="AD45" i="2536"/>
  <c r="AC45" i="2536"/>
  <c r="AB45" i="2536"/>
  <c r="Z45" i="2536"/>
  <c r="Y45" i="2536"/>
  <c r="X45" i="2536"/>
  <c r="W45" i="2536"/>
  <c r="V45" i="2536"/>
  <c r="U45" i="2536"/>
  <c r="T45" i="2536"/>
  <c r="S45" i="2536"/>
  <c r="R45" i="2536"/>
  <c r="Q45" i="2536"/>
  <c r="P45" i="2536"/>
  <c r="O45" i="2536"/>
  <c r="M45" i="2536"/>
  <c r="L45" i="2536"/>
  <c r="K45" i="2536"/>
  <c r="J45" i="2536"/>
  <c r="I45" i="2536"/>
  <c r="H45" i="2536"/>
  <c r="G45" i="2536"/>
  <c r="F45" i="2536"/>
  <c r="E45" i="2536"/>
  <c r="D45" i="2536"/>
  <c r="C45" i="2536"/>
  <c r="B45" i="2536"/>
  <c r="HM44" i="2536"/>
  <c r="HL44" i="2536"/>
  <c r="HK44" i="2536"/>
  <c r="HJ44" i="2536"/>
  <c r="HI44" i="2536"/>
  <c r="HH44" i="2536"/>
  <c r="HG44" i="2536"/>
  <c r="HF44" i="2536"/>
  <c r="HE44" i="2536"/>
  <c r="HD44" i="2536"/>
  <c r="HC44" i="2536"/>
  <c r="HB44" i="2536"/>
  <c r="GZ44" i="2536"/>
  <c r="GY44" i="2536"/>
  <c r="GX44" i="2536"/>
  <c r="GW44" i="2536"/>
  <c r="GV44" i="2536"/>
  <c r="GU44" i="2536"/>
  <c r="GT44" i="2536"/>
  <c r="GS44" i="2536"/>
  <c r="GR44" i="2536"/>
  <c r="GQ44" i="2536"/>
  <c r="GP44" i="2536"/>
  <c r="GO44" i="2536"/>
  <c r="GM44" i="2536"/>
  <c r="GL44" i="2536"/>
  <c r="GK44" i="2536"/>
  <c r="GJ44" i="2536"/>
  <c r="GI44" i="2536"/>
  <c r="GH44" i="2536"/>
  <c r="GG44" i="2536"/>
  <c r="GF44" i="2536"/>
  <c r="GE44" i="2536"/>
  <c r="GD44" i="2536"/>
  <c r="GC44" i="2536"/>
  <c r="GB44" i="2536"/>
  <c r="FZ44" i="2536"/>
  <c r="FY44" i="2536"/>
  <c r="FX44" i="2536"/>
  <c r="FW44" i="2536"/>
  <c r="FV44" i="2536"/>
  <c r="FU44" i="2536"/>
  <c r="FT44" i="2536"/>
  <c r="FS44" i="2536"/>
  <c r="FR44" i="2536"/>
  <c r="FQ44" i="2536"/>
  <c r="FP44" i="2536"/>
  <c r="FO44" i="2536"/>
  <c r="FM44" i="2536"/>
  <c r="FL44" i="2536"/>
  <c r="FK44" i="2536"/>
  <c r="FJ44" i="2536"/>
  <c r="FI44" i="2536"/>
  <c r="FH44" i="2536"/>
  <c r="FG44" i="2536"/>
  <c r="FF44" i="2536"/>
  <c r="FE44" i="2536"/>
  <c r="FD44" i="2536"/>
  <c r="FC44" i="2536"/>
  <c r="FB44" i="2536"/>
  <c r="EZ44" i="2536"/>
  <c r="EY44" i="2536"/>
  <c r="EX44" i="2536"/>
  <c r="EW44" i="2536"/>
  <c r="EV44" i="2536"/>
  <c r="EU44" i="2536"/>
  <c r="ET44" i="2536"/>
  <c r="ES44" i="2536"/>
  <c r="ER44" i="2536"/>
  <c r="EQ44" i="2536"/>
  <c r="EP44" i="2536"/>
  <c r="EO44" i="2536"/>
  <c r="EM44" i="2536"/>
  <c r="EL44" i="2536"/>
  <c r="EK44" i="2536"/>
  <c r="EJ44" i="2536"/>
  <c r="EI44" i="2536"/>
  <c r="EH44" i="2536"/>
  <c r="EG44" i="2536"/>
  <c r="EF44" i="2536"/>
  <c r="EE44" i="2536"/>
  <c r="ED44" i="2536"/>
  <c r="EC44" i="2536"/>
  <c r="EB44" i="2536"/>
  <c r="DZ44" i="2536"/>
  <c r="DY44" i="2536"/>
  <c r="DX44" i="2536"/>
  <c r="DW44" i="2536"/>
  <c r="DV44" i="2536"/>
  <c r="DU44" i="2536"/>
  <c r="DT44" i="2536"/>
  <c r="DS44" i="2536"/>
  <c r="DR44" i="2536"/>
  <c r="DQ44" i="2536"/>
  <c r="DP44" i="2536"/>
  <c r="DO44" i="2536"/>
  <c r="DM44" i="2536"/>
  <c r="DL44" i="2536"/>
  <c r="DK44" i="2536"/>
  <c r="DJ44" i="2536"/>
  <c r="DI44" i="2536"/>
  <c r="DH44" i="2536"/>
  <c r="DG44" i="2536"/>
  <c r="DF44" i="2536"/>
  <c r="DE44" i="2536"/>
  <c r="DD44" i="2536"/>
  <c r="DC44" i="2536"/>
  <c r="DB44" i="2536"/>
  <c r="CZ44" i="2536"/>
  <c r="CY44" i="2536"/>
  <c r="CX44" i="2536"/>
  <c r="CW44" i="2536"/>
  <c r="CV44" i="2536"/>
  <c r="CU44" i="2536"/>
  <c r="CT44" i="2536"/>
  <c r="CS44" i="2536"/>
  <c r="CR44" i="2536"/>
  <c r="CQ44" i="2536"/>
  <c r="CP44" i="2536"/>
  <c r="CO44" i="2536"/>
  <c r="CM44" i="2536"/>
  <c r="CL44" i="2536"/>
  <c r="CK44" i="2536"/>
  <c r="CJ44" i="2536"/>
  <c r="CI44" i="2536"/>
  <c r="CH44" i="2536"/>
  <c r="CG44" i="2536"/>
  <c r="CF44" i="2536"/>
  <c r="CE44" i="2536"/>
  <c r="CD44" i="2536"/>
  <c r="CC44" i="2536"/>
  <c r="CB44" i="2536"/>
  <c r="BZ44" i="2536"/>
  <c r="BY44" i="2536"/>
  <c r="BX44" i="2536"/>
  <c r="BW44" i="2536"/>
  <c r="BV44" i="2536"/>
  <c r="BU44" i="2536"/>
  <c r="BT44" i="2536"/>
  <c r="BS44" i="2536"/>
  <c r="BR44" i="2536"/>
  <c r="BQ44" i="2536"/>
  <c r="BP44" i="2536"/>
  <c r="BO44" i="2536"/>
  <c r="BM44" i="2536"/>
  <c r="BL44" i="2536"/>
  <c r="BK44" i="2536"/>
  <c r="BJ44" i="2536"/>
  <c r="BI44" i="2536"/>
  <c r="BH44" i="2536"/>
  <c r="BG44" i="2536"/>
  <c r="BF44" i="2536"/>
  <c r="BE44" i="2536"/>
  <c r="BD44" i="2536"/>
  <c r="BC44" i="2536"/>
  <c r="BB44" i="2536"/>
  <c r="AZ44" i="2536"/>
  <c r="AY44" i="2536"/>
  <c r="AX44" i="2536"/>
  <c r="AW44" i="2536"/>
  <c r="AV44" i="2536"/>
  <c r="AU44" i="2536"/>
  <c r="AT44" i="2536"/>
  <c r="AS44" i="2536"/>
  <c r="AR44" i="2536"/>
  <c r="AQ44" i="2536"/>
  <c r="AP44" i="2536"/>
  <c r="AO44" i="2536"/>
  <c r="AM44" i="2536"/>
  <c r="AL44" i="2536"/>
  <c r="AK44" i="2536"/>
  <c r="AJ44" i="2536"/>
  <c r="AI44" i="2536"/>
  <c r="AH44" i="2536"/>
  <c r="AG44" i="2536"/>
  <c r="AF44" i="2536"/>
  <c r="AE44" i="2536"/>
  <c r="AD44" i="2536"/>
  <c r="AC44" i="2536"/>
  <c r="AB44" i="2536"/>
  <c r="Z44" i="2536"/>
  <c r="Y44" i="2536"/>
  <c r="X44" i="2536"/>
  <c r="W44" i="2536"/>
  <c r="V44" i="2536"/>
  <c r="U44" i="2536"/>
  <c r="T44" i="2536"/>
  <c r="S44" i="2536"/>
  <c r="R44" i="2536"/>
  <c r="Q44" i="2536"/>
  <c r="P44" i="2536"/>
  <c r="O44" i="2536"/>
  <c r="M44" i="2536"/>
  <c r="L44" i="2536"/>
  <c r="K44" i="2536"/>
  <c r="J44" i="2536"/>
  <c r="I44" i="2536"/>
  <c r="H44" i="2536"/>
  <c r="G44" i="2536"/>
  <c r="F44" i="2536"/>
  <c r="E44" i="2536"/>
  <c r="D44" i="2536"/>
  <c r="C44" i="2536"/>
  <c r="B44" i="2536"/>
  <c r="HM43" i="2536"/>
  <c r="HL43" i="2536"/>
  <c r="HK43" i="2536"/>
  <c r="HJ43" i="2536"/>
  <c r="HI43" i="2536"/>
  <c r="HH43" i="2536"/>
  <c r="HG43" i="2536"/>
  <c r="HF43" i="2536"/>
  <c r="HE43" i="2536"/>
  <c r="HD43" i="2536"/>
  <c r="HC43" i="2536"/>
  <c r="HB43" i="2536"/>
  <c r="GZ43" i="2536"/>
  <c r="GY43" i="2536"/>
  <c r="GX43" i="2536"/>
  <c r="GW43" i="2536"/>
  <c r="GV43" i="2536"/>
  <c r="GU43" i="2536"/>
  <c r="GT43" i="2536"/>
  <c r="GS43" i="2536"/>
  <c r="GR43" i="2536"/>
  <c r="GQ43" i="2536"/>
  <c r="GP43" i="2536"/>
  <c r="GO43" i="2536"/>
  <c r="GM43" i="2536"/>
  <c r="GL43" i="2536"/>
  <c r="GK43" i="2536"/>
  <c r="GJ43" i="2536"/>
  <c r="GI43" i="2536"/>
  <c r="GH43" i="2536"/>
  <c r="GG43" i="2536"/>
  <c r="GF43" i="2536"/>
  <c r="GE43" i="2536"/>
  <c r="GD43" i="2536"/>
  <c r="GC43" i="2536"/>
  <c r="GB43" i="2536"/>
  <c r="FZ43" i="2536"/>
  <c r="FY43" i="2536"/>
  <c r="FX43" i="2536"/>
  <c r="FW43" i="2536"/>
  <c r="FV43" i="2536"/>
  <c r="FU43" i="2536"/>
  <c r="FT43" i="2536"/>
  <c r="FS43" i="2536"/>
  <c r="FR43" i="2536"/>
  <c r="FQ43" i="2536"/>
  <c r="FP43" i="2536"/>
  <c r="FO43" i="2536"/>
  <c r="FM43" i="2536"/>
  <c r="FL43" i="2536"/>
  <c r="FK43" i="2536"/>
  <c r="FJ43" i="2536"/>
  <c r="FI43" i="2536"/>
  <c r="FH43" i="2536"/>
  <c r="FG43" i="2536"/>
  <c r="FF43" i="2536"/>
  <c r="FE43" i="2536"/>
  <c r="FD43" i="2536"/>
  <c r="FC43" i="2536"/>
  <c r="FB43" i="2536"/>
  <c r="EZ43" i="2536"/>
  <c r="EY43" i="2536"/>
  <c r="EX43" i="2536"/>
  <c r="EW43" i="2536"/>
  <c r="EV43" i="2536"/>
  <c r="EU43" i="2536"/>
  <c r="ET43" i="2536"/>
  <c r="ES43" i="2536"/>
  <c r="ER43" i="2536"/>
  <c r="EQ43" i="2536"/>
  <c r="EP43" i="2536"/>
  <c r="EO43" i="2536"/>
  <c r="EM43" i="2536"/>
  <c r="EL43" i="2536"/>
  <c r="EK43" i="2536"/>
  <c r="EJ43" i="2536"/>
  <c r="EI43" i="2536"/>
  <c r="EH43" i="2536"/>
  <c r="EG43" i="2536"/>
  <c r="EF43" i="2536"/>
  <c r="EE43" i="2536"/>
  <c r="ED43" i="2536"/>
  <c r="EC43" i="2536"/>
  <c r="EB43" i="2536"/>
  <c r="DZ43" i="2536"/>
  <c r="DY43" i="2536"/>
  <c r="DX43" i="2536"/>
  <c r="DW43" i="2536"/>
  <c r="DV43" i="2536"/>
  <c r="DU43" i="2536"/>
  <c r="DT43" i="2536"/>
  <c r="DS43" i="2536"/>
  <c r="DR43" i="2536"/>
  <c r="DQ43" i="2536"/>
  <c r="DP43" i="2536"/>
  <c r="DO43" i="2536"/>
  <c r="DM43" i="2536"/>
  <c r="DL43" i="2536"/>
  <c r="DK43" i="2536"/>
  <c r="DJ43" i="2536"/>
  <c r="DI43" i="2536"/>
  <c r="DH43" i="2536"/>
  <c r="DG43" i="2536"/>
  <c r="DF43" i="2536"/>
  <c r="DE43" i="2536"/>
  <c r="DD43" i="2536"/>
  <c r="DC43" i="2536"/>
  <c r="DB43" i="2536"/>
  <c r="CZ43" i="2536"/>
  <c r="CY43" i="2536"/>
  <c r="CX43" i="2536"/>
  <c r="CW43" i="2536"/>
  <c r="CV43" i="2536"/>
  <c r="CU43" i="2536"/>
  <c r="CT43" i="2536"/>
  <c r="CS43" i="2536"/>
  <c r="CR43" i="2536"/>
  <c r="CQ43" i="2536"/>
  <c r="CP43" i="2536"/>
  <c r="CO43" i="2536"/>
  <c r="CM43" i="2536"/>
  <c r="CL43" i="2536"/>
  <c r="CK43" i="2536"/>
  <c r="CJ43" i="2536"/>
  <c r="CI43" i="2536"/>
  <c r="CH43" i="2536"/>
  <c r="CG43" i="2536"/>
  <c r="CF43" i="2536"/>
  <c r="CE43" i="2536"/>
  <c r="CD43" i="2536"/>
  <c r="CC43" i="2536"/>
  <c r="CB43" i="2536"/>
  <c r="BZ43" i="2536"/>
  <c r="BY43" i="2536"/>
  <c r="BX43" i="2536"/>
  <c r="BW43" i="2536"/>
  <c r="BV43" i="2536"/>
  <c r="BU43" i="2536"/>
  <c r="BT43" i="2536"/>
  <c r="BS43" i="2536"/>
  <c r="BR43" i="2536"/>
  <c r="BQ43" i="2536"/>
  <c r="BP43" i="2536"/>
  <c r="BO43" i="2536"/>
  <c r="BM43" i="2536"/>
  <c r="BL43" i="2536"/>
  <c r="BK43" i="2536"/>
  <c r="BJ43" i="2536"/>
  <c r="BI43" i="2536"/>
  <c r="BH43" i="2536"/>
  <c r="BG43" i="2536"/>
  <c r="BF43" i="2536"/>
  <c r="BE43" i="2536"/>
  <c r="BD43" i="2536"/>
  <c r="BC43" i="2536"/>
  <c r="BB43" i="2536"/>
  <c r="AZ43" i="2536"/>
  <c r="AY43" i="2536"/>
  <c r="AX43" i="2536"/>
  <c r="AW43" i="2536"/>
  <c r="AV43" i="2536"/>
  <c r="AU43" i="2536"/>
  <c r="AT43" i="2536"/>
  <c r="AS43" i="2536"/>
  <c r="AR43" i="2536"/>
  <c r="AQ43" i="2536"/>
  <c r="AP43" i="2536"/>
  <c r="AO43" i="2536"/>
  <c r="AM43" i="2536"/>
  <c r="AL43" i="2536"/>
  <c r="AK43" i="2536"/>
  <c r="AJ43" i="2536"/>
  <c r="AI43" i="2536"/>
  <c r="AH43" i="2536"/>
  <c r="AG43" i="2536"/>
  <c r="AF43" i="2536"/>
  <c r="AE43" i="2536"/>
  <c r="AD43" i="2536"/>
  <c r="AC43" i="2536"/>
  <c r="AB43" i="2536"/>
  <c r="Z43" i="2536"/>
  <c r="Y43" i="2536"/>
  <c r="X43" i="2536"/>
  <c r="W43" i="2536"/>
  <c r="V43" i="2536"/>
  <c r="U43" i="2536"/>
  <c r="T43" i="2536"/>
  <c r="S43" i="2536"/>
  <c r="R43" i="2536"/>
  <c r="Q43" i="2536"/>
  <c r="P43" i="2536"/>
  <c r="O43" i="2536"/>
  <c r="M43" i="2536"/>
  <c r="L43" i="2536"/>
  <c r="K43" i="2536"/>
  <c r="J43" i="2536"/>
  <c r="I43" i="2536"/>
  <c r="H43" i="2536"/>
  <c r="G43" i="2536"/>
  <c r="F43" i="2536"/>
  <c r="E43" i="2536"/>
  <c r="D43" i="2536"/>
  <c r="C43" i="2536"/>
  <c r="B43" i="2536"/>
  <c r="HN39" i="2536"/>
  <c r="HA39" i="2536"/>
  <c r="GN39" i="2536"/>
  <c r="GA39" i="2536"/>
  <c r="FN39" i="2536"/>
  <c r="FA39" i="2536"/>
  <c r="EN39" i="2536"/>
  <c r="EA39" i="2536"/>
  <c r="DN39" i="2536"/>
  <c r="DA39" i="2536"/>
  <c r="CN39" i="2536"/>
  <c r="CA39" i="2536"/>
  <c r="BN39" i="2536"/>
  <c r="BA39" i="2536"/>
  <c r="AN39" i="2536"/>
  <c r="AA39" i="2536"/>
  <c r="N39" i="2536"/>
  <c r="HB38" i="2536"/>
  <c r="GO38" i="2536"/>
  <c r="GB38" i="2536"/>
  <c r="FO38" i="2536"/>
  <c r="FB38" i="2536"/>
  <c r="EO38" i="2536"/>
  <c r="EB38" i="2536"/>
  <c r="DO38" i="2536"/>
  <c r="DB38" i="2536"/>
  <c r="CO38" i="2536"/>
  <c r="CB38" i="2536"/>
  <c r="BO38" i="2536"/>
  <c r="BB38" i="2536"/>
  <c r="AO38" i="2536"/>
  <c r="AB38" i="2536"/>
  <c r="O38" i="2536"/>
  <c r="B38" i="2536"/>
  <c r="HM36" i="2536"/>
  <c r="HL36" i="2536"/>
  <c r="HK36" i="2536"/>
  <c r="HJ36" i="2536"/>
  <c r="HI36" i="2536"/>
  <c r="HH36" i="2536"/>
  <c r="HG36" i="2536"/>
  <c r="HF36" i="2536"/>
  <c r="HE36" i="2536"/>
  <c r="HD36" i="2536"/>
  <c r="HC36" i="2536"/>
  <c r="HB36" i="2536"/>
  <c r="GZ36" i="2536"/>
  <c r="GY36" i="2536"/>
  <c r="GX36" i="2536"/>
  <c r="GW36" i="2536"/>
  <c r="GV36" i="2536"/>
  <c r="GU36" i="2536"/>
  <c r="GT36" i="2536"/>
  <c r="GS36" i="2536"/>
  <c r="GR36" i="2536"/>
  <c r="GQ36" i="2536"/>
  <c r="GP36" i="2536"/>
  <c r="GO36" i="2536"/>
  <c r="GM36" i="2536"/>
  <c r="GL36" i="2536"/>
  <c r="GK36" i="2536"/>
  <c r="GJ36" i="2536"/>
  <c r="GI36" i="2536"/>
  <c r="GH36" i="2536"/>
  <c r="GG36" i="2536"/>
  <c r="GF36" i="2536"/>
  <c r="GE36" i="2536"/>
  <c r="GD36" i="2536"/>
  <c r="GC36" i="2536"/>
  <c r="GB36" i="2536"/>
  <c r="FZ36" i="2536"/>
  <c r="FY36" i="2536"/>
  <c r="FX36" i="2536"/>
  <c r="FW36" i="2536"/>
  <c r="FV36" i="2536"/>
  <c r="FU36" i="2536"/>
  <c r="FT36" i="2536"/>
  <c r="FS36" i="2536"/>
  <c r="FR36" i="2536"/>
  <c r="FQ36" i="2536"/>
  <c r="FP36" i="2536"/>
  <c r="FO36" i="2536"/>
  <c r="FM36" i="2536"/>
  <c r="FL36" i="2536"/>
  <c r="FK36" i="2536"/>
  <c r="FJ36" i="2536"/>
  <c r="FI36" i="2536"/>
  <c r="FH36" i="2536"/>
  <c r="FG36" i="2536"/>
  <c r="FF36" i="2536"/>
  <c r="FE36" i="2536"/>
  <c r="FD36" i="2536"/>
  <c r="FC36" i="2536"/>
  <c r="FB36" i="2536"/>
  <c r="EZ36" i="2536"/>
  <c r="EY36" i="2536"/>
  <c r="EX36" i="2536"/>
  <c r="EW36" i="2536"/>
  <c r="EV36" i="2536"/>
  <c r="EU36" i="2536"/>
  <c r="ET36" i="2536"/>
  <c r="ES36" i="2536"/>
  <c r="ER36" i="2536"/>
  <c r="EQ36" i="2536"/>
  <c r="EP36" i="2536"/>
  <c r="EO36" i="2536"/>
  <c r="EM36" i="2536"/>
  <c r="EL36" i="2536"/>
  <c r="EK36" i="2536"/>
  <c r="EJ36" i="2536"/>
  <c r="EI36" i="2536"/>
  <c r="EH36" i="2536"/>
  <c r="EG36" i="2536"/>
  <c r="EF36" i="2536"/>
  <c r="EE36" i="2536"/>
  <c r="ED36" i="2536"/>
  <c r="EC36" i="2536"/>
  <c r="EB36" i="2536"/>
  <c r="DZ36" i="2536"/>
  <c r="DY36" i="2536"/>
  <c r="DX36" i="2536"/>
  <c r="DW36" i="2536"/>
  <c r="DV36" i="2536"/>
  <c r="DU36" i="2536"/>
  <c r="DT36" i="2536"/>
  <c r="DS36" i="2536"/>
  <c r="DR36" i="2536"/>
  <c r="DQ36" i="2536"/>
  <c r="DP36" i="2536"/>
  <c r="DO36" i="2536"/>
  <c r="HN29" i="2536"/>
  <c r="BN29" i="2536"/>
  <c r="BA29" i="2536"/>
  <c r="AN29" i="2536"/>
  <c r="HN28" i="2536"/>
  <c r="HA28" i="2536"/>
  <c r="GN28" i="2536"/>
  <c r="GA28" i="2536"/>
  <c r="FN28" i="2536"/>
  <c r="FA28" i="2536"/>
  <c r="EN28" i="2536"/>
  <c r="EA28" i="2536"/>
  <c r="DN28" i="2536"/>
  <c r="DA28" i="2536"/>
  <c r="CN28" i="2536"/>
  <c r="CA28" i="2536"/>
  <c r="BN28" i="2536"/>
  <c r="BA28" i="2536"/>
  <c r="AN28" i="2536"/>
  <c r="AA28" i="2536"/>
  <c r="N28" i="2536"/>
  <c r="HN27" i="2536"/>
  <c r="HA27" i="2536"/>
  <c r="GN27" i="2536"/>
  <c r="GA27" i="2536"/>
  <c r="FN27" i="2536"/>
  <c r="FA27" i="2536"/>
  <c r="EN27" i="2536"/>
  <c r="EA27" i="2536"/>
  <c r="DN27" i="2536"/>
  <c r="DA27" i="2536"/>
  <c r="CN27" i="2536"/>
  <c r="CA27" i="2536"/>
  <c r="BN27" i="2536"/>
  <c r="BA27" i="2536"/>
  <c r="AN27" i="2536"/>
  <c r="AA27" i="2536"/>
  <c r="N27" i="2536"/>
  <c r="HN26" i="2536"/>
  <c r="HA26" i="2536"/>
  <c r="GN26" i="2536"/>
  <c r="GA26" i="2536"/>
  <c r="FN26" i="2536"/>
  <c r="FA26" i="2536"/>
  <c r="EN26" i="2536"/>
  <c r="EA26" i="2536"/>
  <c r="DN26" i="2536"/>
  <c r="DA26" i="2536"/>
  <c r="CN26" i="2536"/>
  <c r="CA26" i="2536"/>
  <c r="BN26" i="2536"/>
  <c r="BA26" i="2536"/>
  <c r="AN26" i="2536"/>
  <c r="AA26" i="2536"/>
  <c r="N26" i="2536"/>
  <c r="HN25" i="2536"/>
  <c r="HA25" i="2536"/>
  <c r="GN25" i="2536"/>
  <c r="GA25" i="2536"/>
  <c r="FN25" i="2536"/>
  <c r="FA25" i="2536"/>
  <c r="EN25" i="2536"/>
  <c r="EA25" i="2536"/>
  <c r="DN25" i="2536"/>
  <c r="DA25" i="2536"/>
  <c r="CN25" i="2536"/>
  <c r="CA25" i="2536"/>
  <c r="BN25" i="2536"/>
  <c r="BA25" i="2536"/>
  <c r="AN25" i="2536"/>
  <c r="AA25" i="2536"/>
  <c r="N25" i="2536"/>
  <c r="HN24" i="2536"/>
  <c r="HA24" i="2536"/>
  <c r="GN24" i="2536"/>
  <c r="GA24" i="2536"/>
  <c r="FN24" i="2536"/>
  <c r="FA24" i="2536"/>
  <c r="EN24" i="2536"/>
  <c r="EA24" i="2536"/>
  <c r="DN24" i="2536"/>
  <c r="DA24" i="2536"/>
  <c r="CN24" i="2536"/>
  <c r="CA24" i="2536"/>
  <c r="BN24" i="2536"/>
  <c r="BA24" i="2536"/>
  <c r="AN24" i="2536"/>
  <c r="AA24" i="2536"/>
  <c r="N24" i="2536"/>
  <c r="HM23" i="2536"/>
  <c r="HM57" i="2536" s="1"/>
  <c r="HL23" i="2536"/>
  <c r="HL57" i="2536" s="1"/>
  <c r="HK23" i="2536"/>
  <c r="HK57" i="2536" s="1"/>
  <c r="HJ23" i="2536"/>
  <c r="HJ57" i="2536" s="1"/>
  <c r="HI23" i="2536"/>
  <c r="HI57" i="2536" s="1"/>
  <c r="HH23" i="2536"/>
  <c r="HH57" i="2536" s="1"/>
  <c r="HG23" i="2536"/>
  <c r="HG57" i="2536" s="1"/>
  <c r="HF23" i="2536"/>
  <c r="HF57" i="2536" s="1"/>
  <c r="HE23" i="2536"/>
  <c r="HE57" i="2536" s="1"/>
  <c r="HD23" i="2536"/>
  <c r="HD57" i="2536" s="1"/>
  <c r="HC23" i="2536"/>
  <c r="HC57" i="2536" s="1"/>
  <c r="HB23" i="2536"/>
  <c r="HB57" i="2536" s="1"/>
  <c r="GZ23" i="2536"/>
  <c r="GZ57" i="2536" s="1"/>
  <c r="GY23" i="2536"/>
  <c r="GY57" i="2536" s="1"/>
  <c r="GX23" i="2536"/>
  <c r="GX57" i="2536" s="1"/>
  <c r="GW23" i="2536"/>
  <c r="GW57" i="2536" s="1"/>
  <c r="GV23" i="2536"/>
  <c r="GV57" i="2536" s="1"/>
  <c r="GU23" i="2536"/>
  <c r="GU57" i="2536" s="1"/>
  <c r="GT23" i="2536"/>
  <c r="GT57" i="2536" s="1"/>
  <c r="GS23" i="2536"/>
  <c r="GS57" i="2536" s="1"/>
  <c r="GR23" i="2536"/>
  <c r="GR57" i="2536" s="1"/>
  <c r="GQ23" i="2536"/>
  <c r="GQ57" i="2536" s="1"/>
  <c r="GP23" i="2536"/>
  <c r="GP57" i="2536" s="1"/>
  <c r="GO23" i="2536"/>
  <c r="GO57" i="2536" s="1"/>
  <c r="GM23" i="2536"/>
  <c r="GM57" i="2536" s="1"/>
  <c r="GL23" i="2536"/>
  <c r="GL57" i="2536" s="1"/>
  <c r="GK23" i="2536"/>
  <c r="GK57" i="2536" s="1"/>
  <c r="GJ23" i="2536"/>
  <c r="GJ57" i="2536" s="1"/>
  <c r="GI23" i="2536"/>
  <c r="GI57" i="2536" s="1"/>
  <c r="GH23" i="2536"/>
  <c r="GH57" i="2536" s="1"/>
  <c r="GG23" i="2536"/>
  <c r="GG57" i="2536" s="1"/>
  <c r="GF23" i="2536"/>
  <c r="GF57" i="2536" s="1"/>
  <c r="GE23" i="2536"/>
  <c r="GE57" i="2536" s="1"/>
  <c r="GD23" i="2536"/>
  <c r="GD57" i="2536" s="1"/>
  <c r="GC23" i="2536"/>
  <c r="GC57" i="2536" s="1"/>
  <c r="GB23" i="2536"/>
  <c r="GB57" i="2536" s="1"/>
  <c r="FZ23" i="2536"/>
  <c r="FZ57" i="2536" s="1"/>
  <c r="FY23" i="2536"/>
  <c r="FY57" i="2536" s="1"/>
  <c r="FX23" i="2536"/>
  <c r="FX57" i="2536" s="1"/>
  <c r="FW23" i="2536"/>
  <c r="FW57" i="2536" s="1"/>
  <c r="FV23" i="2536"/>
  <c r="FV57" i="2536" s="1"/>
  <c r="FU23" i="2536"/>
  <c r="FU57" i="2536" s="1"/>
  <c r="FT23" i="2536"/>
  <c r="FT57" i="2536" s="1"/>
  <c r="FS23" i="2536"/>
  <c r="FS57" i="2536" s="1"/>
  <c r="FR23" i="2536"/>
  <c r="FR57" i="2536" s="1"/>
  <c r="FQ23" i="2536"/>
  <c r="FQ57" i="2536" s="1"/>
  <c r="FP23" i="2536"/>
  <c r="FP57" i="2536" s="1"/>
  <c r="FO23" i="2536"/>
  <c r="FO57" i="2536" s="1"/>
  <c r="FM23" i="2536"/>
  <c r="FM57" i="2536" s="1"/>
  <c r="FL23" i="2536"/>
  <c r="FL57" i="2536" s="1"/>
  <c r="FK23" i="2536"/>
  <c r="FK57" i="2536" s="1"/>
  <c r="FJ23" i="2536"/>
  <c r="FJ57" i="2536" s="1"/>
  <c r="FI23" i="2536"/>
  <c r="FI57" i="2536" s="1"/>
  <c r="FH23" i="2536"/>
  <c r="FH57" i="2536" s="1"/>
  <c r="FG23" i="2536"/>
  <c r="FG57" i="2536" s="1"/>
  <c r="FF23" i="2536"/>
  <c r="FF57" i="2536" s="1"/>
  <c r="FE23" i="2536"/>
  <c r="FE57" i="2536" s="1"/>
  <c r="FD23" i="2536"/>
  <c r="FD57" i="2536" s="1"/>
  <c r="FC23" i="2536"/>
  <c r="FC57" i="2536" s="1"/>
  <c r="FB23" i="2536"/>
  <c r="FB57" i="2536" s="1"/>
  <c r="EZ23" i="2536"/>
  <c r="EZ57" i="2536" s="1"/>
  <c r="EY23" i="2536"/>
  <c r="EY57" i="2536" s="1"/>
  <c r="EX23" i="2536"/>
  <c r="EX57" i="2536" s="1"/>
  <c r="EW23" i="2536"/>
  <c r="EW57" i="2536" s="1"/>
  <c r="EV23" i="2536"/>
  <c r="EV57" i="2536" s="1"/>
  <c r="EU23" i="2536"/>
  <c r="EU57" i="2536" s="1"/>
  <c r="ET23" i="2536"/>
  <c r="ET57" i="2536" s="1"/>
  <c r="ES23" i="2536"/>
  <c r="ES57" i="2536" s="1"/>
  <c r="ER23" i="2536"/>
  <c r="ER57" i="2536" s="1"/>
  <c r="EQ23" i="2536"/>
  <c r="EQ57" i="2536" s="1"/>
  <c r="EP23" i="2536"/>
  <c r="EP57" i="2536" s="1"/>
  <c r="EO23" i="2536"/>
  <c r="EO57" i="2536" s="1"/>
  <c r="EM23" i="2536"/>
  <c r="EM57" i="2536" s="1"/>
  <c r="EL23" i="2536"/>
  <c r="EL57" i="2536" s="1"/>
  <c r="EK23" i="2536"/>
  <c r="EK57" i="2536" s="1"/>
  <c r="EJ23" i="2536"/>
  <c r="EJ57" i="2536" s="1"/>
  <c r="EI23" i="2536"/>
  <c r="EI57" i="2536" s="1"/>
  <c r="EH23" i="2536"/>
  <c r="EH57" i="2536" s="1"/>
  <c r="EG23" i="2536"/>
  <c r="EG57" i="2536" s="1"/>
  <c r="EF23" i="2536"/>
  <c r="EF57" i="2536" s="1"/>
  <c r="EE23" i="2536"/>
  <c r="EE57" i="2536" s="1"/>
  <c r="ED23" i="2536"/>
  <c r="ED57" i="2536" s="1"/>
  <c r="EC23" i="2536"/>
  <c r="EC57" i="2536" s="1"/>
  <c r="EB23" i="2536"/>
  <c r="EB57" i="2536" s="1"/>
  <c r="DZ23" i="2536"/>
  <c r="DZ57" i="2536" s="1"/>
  <c r="DY23" i="2536"/>
  <c r="DY57" i="2536" s="1"/>
  <c r="DX23" i="2536"/>
  <c r="DX57" i="2536" s="1"/>
  <c r="DW23" i="2536"/>
  <c r="DW57" i="2536" s="1"/>
  <c r="DV23" i="2536"/>
  <c r="DV57" i="2536" s="1"/>
  <c r="DU23" i="2536"/>
  <c r="DU57" i="2536" s="1"/>
  <c r="DT23" i="2536"/>
  <c r="DT57" i="2536" s="1"/>
  <c r="DS23" i="2536"/>
  <c r="DS57" i="2536" s="1"/>
  <c r="DR23" i="2536"/>
  <c r="DR57" i="2536" s="1"/>
  <c r="DQ23" i="2536"/>
  <c r="DQ57" i="2536" s="1"/>
  <c r="DP23" i="2536"/>
  <c r="DP57" i="2536" s="1"/>
  <c r="DO23" i="2536"/>
  <c r="DO57" i="2536" s="1"/>
  <c r="DM23" i="2536"/>
  <c r="DM57" i="2536" s="1"/>
  <c r="DL23" i="2536"/>
  <c r="DL57" i="2536" s="1"/>
  <c r="DK23" i="2536"/>
  <c r="DK57" i="2536" s="1"/>
  <c r="DJ23" i="2536"/>
  <c r="DJ57" i="2536" s="1"/>
  <c r="DI23" i="2536"/>
  <c r="DI57" i="2536" s="1"/>
  <c r="DH23" i="2536"/>
  <c r="DH57" i="2536" s="1"/>
  <c r="DG23" i="2536"/>
  <c r="DG57" i="2536" s="1"/>
  <c r="DF23" i="2536"/>
  <c r="DF57" i="2536" s="1"/>
  <c r="DE23" i="2536"/>
  <c r="DE57" i="2536" s="1"/>
  <c r="DD23" i="2536"/>
  <c r="DD57" i="2536" s="1"/>
  <c r="DC23" i="2536"/>
  <c r="DC57" i="2536" s="1"/>
  <c r="DB23" i="2536"/>
  <c r="DB57" i="2536" s="1"/>
  <c r="CZ23" i="2536"/>
  <c r="CZ57" i="2536" s="1"/>
  <c r="CY23" i="2536"/>
  <c r="CY57" i="2536" s="1"/>
  <c r="CX23" i="2536"/>
  <c r="CX57" i="2536" s="1"/>
  <c r="CW23" i="2536"/>
  <c r="CW57" i="2536" s="1"/>
  <c r="CV23" i="2536"/>
  <c r="CV57" i="2536" s="1"/>
  <c r="CU23" i="2536"/>
  <c r="CU57" i="2536" s="1"/>
  <c r="CT23" i="2536"/>
  <c r="CT57" i="2536" s="1"/>
  <c r="CS23" i="2536"/>
  <c r="CS57" i="2536" s="1"/>
  <c r="CR23" i="2536"/>
  <c r="CR57" i="2536" s="1"/>
  <c r="CQ23" i="2536"/>
  <c r="CQ57" i="2536" s="1"/>
  <c r="CP23" i="2536"/>
  <c r="CP57" i="2536" s="1"/>
  <c r="CO23" i="2536"/>
  <c r="CO57" i="2536" s="1"/>
  <c r="CM23" i="2536"/>
  <c r="CM57" i="2536" s="1"/>
  <c r="CL23" i="2536"/>
  <c r="CL57" i="2536" s="1"/>
  <c r="CK23" i="2536"/>
  <c r="CK57" i="2536" s="1"/>
  <c r="CJ23" i="2536"/>
  <c r="CJ57" i="2536" s="1"/>
  <c r="CI23" i="2536"/>
  <c r="CI57" i="2536" s="1"/>
  <c r="CH23" i="2536"/>
  <c r="CH57" i="2536" s="1"/>
  <c r="CG23" i="2536"/>
  <c r="CG57" i="2536" s="1"/>
  <c r="CF23" i="2536"/>
  <c r="CF57" i="2536" s="1"/>
  <c r="CE23" i="2536"/>
  <c r="CE57" i="2536" s="1"/>
  <c r="CD23" i="2536"/>
  <c r="CD57" i="2536" s="1"/>
  <c r="CC23" i="2536"/>
  <c r="CC57" i="2536" s="1"/>
  <c r="CB23" i="2536"/>
  <c r="BZ23" i="2536"/>
  <c r="BZ57" i="2536" s="1"/>
  <c r="BY23" i="2536"/>
  <c r="BY57" i="2536" s="1"/>
  <c r="BX23" i="2536"/>
  <c r="BX57" i="2536" s="1"/>
  <c r="BW23" i="2536"/>
  <c r="BW57" i="2536" s="1"/>
  <c r="BV23" i="2536"/>
  <c r="BV57" i="2536" s="1"/>
  <c r="BU23" i="2536"/>
  <c r="BU57" i="2536" s="1"/>
  <c r="BT23" i="2536"/>
  <c r="BT57" i="2536" s="1"/>
  <c r="BS23" i="2536"/>
  <c r="BS57" i="2536" s="1"/>
  <c r="BR23" i="2536"/>
  <c r="BR57" i="2536" s="1"/>
  <c r="BQ23" i="2536"/>
  <c r="BQ57" i="2536" s="1"/>
  <c r="BP23" i="2536"/>
  <c r="BP57" i="2536" s="1"/>
  <c r="BO23" i="2536"/>
  <c r="BO57" i="2536" s="1"/>
  <c r="BM23" i="2536"/>
  <c r="BM57" i="2536" s="1"/>
  <c r="BL23" i="2536"/>
  <c r="BL57" i="2536" s="1"/>
  <c r="BK23" i="2536"/>
  <c r="BK57" i="2536" s="1"/>
  <c r="BJ23" i="2536"/>
  <c r="BJ57" i="2536" s="1"/>
  <c r="BI23" i="2536"/>
  <c r="BI57" i="2536" s="1"/>
  <c r="BH23" i="2536"/>
  <c r="BH57" i="2536" s="1"/>
  <c r="BG23" i="2536"/>
  <c r="BG57" i="2536" s="1"/>
  <c r="BF23" i="2536"/>
  <c r="BF57" i="2536" s="1"/>
  <c r="BE23" i="2536"/>
  <c r="BE57" i="2536" s="1"/>
  <c r="BD23" i="2536"/>
  <c r="BD57" i="2536" s="1"/>
  <c r="BC23" i="2536"/>
  <c r="BC57" i="2536" s="1"/>
  <c r="BB23" i="2536"/>
  <c r="BB57" i="2536" s="1"/>
  <c r="AZ23" i="2536"/>
  <c r="AZ57" i="2536" s="1"/>
  <c r="AY23" i="2536"/>
  <c r="AY57" i="2536" s="1"/>
  <c r="AX23" i="2536"/>
  <c r="AX57" i="2536" s="1"/>
  <c r="AW23" i="2536"/>
  <c r="AW57" i="2536" s="1"/>
  <c r="AV23" i="2536"/>
  <c r="AV57" i="2536" s="1"/>
  <c r="AU23" i="2536"/>
  <c r="AU57" i="2536" s="1"/>
  <c r="AT23" i="2536"/>
  <c r="AT57" i="2536" s="1"/>
  <c r="AS23" i="2536"/>
  <c r="AS57" i="2536" s="1"/>
  <c r="AR23" i="2536"/>
  <c r="AR57" i="2536" s="1"/>
  <c r="AQ23" i="2536"/>
  <c r="AQ57" i="2536" s="1"/>
  <c r="AP23" i="2536"/>
  <c r="AP57" i="2536" s="1"/>
  <c r="AO23" i="2536"/>
  <c r="AO57" i="2536" s="1"/>
  <c r="AM23" i="2536"/>
  <c r="AM57" i="2536" s="1"/>
  <c r="AL23" i="2536"/>
  <c r="AL57" i="2536" s="1"/>
  <c r="AK23" i="2536"/>
  <c r="AK57" i="2536" s="1"/>
  <c r="AJ23" i="2536"/>
  <c r="AI23" i="2536"/>
  <c r="AH23" i="2536"/>
  <c r="AH57" i="2536" s="1"/>
  <c r="AG23" i="2536"/>
  <c r="AF23" i="2536"/>
  <c r="AF57" i="2536" s="1"/>
  <c r="AE23" i="2536"/>
  <c r="AE57" i="2536" s="1"/>
  <c r="AD23" i="2536"/>
  <c r="AD57" i="2536" s="1"/>
  <c r="AC23" i="2536"/>
  <c r="AB23" i="2536"/>
  <c r="AB57" i="2536" s="1"/>
  <c r="Z23" i="2536"/>
  <c r="Z57" i="2536" s="1"/>
  <c r="Y23" i="2536"/>
  <c r="Y57" i="2536" s="1"/>
  <c r="X23" i="2536"/>
  <c r="W23" i="2536"/>
  <c r="V23" i="2536"/>
  <c r="U23" i="2536"/>
  <c r="T23" i="2536"/>
  <c r="T57" i="2536" s="1"/>
  <c r="S23" i="2536"/>
  <c r="S57" i="2536" s="1"/>
  <c r="R23" i="2536"/>
  <c r="R57" i="2536" s="1"/>
  <c r="Q23" i="2536"/>
  <c r="P23" i="2536"/>
  <c r="O23" i="2536"/>
  <c r="O57" i="2536" s="1"/>
  <c r="M23" i="2536"/>
  <c r="M57" i="2536" s="1"/>
  <c r="L23" i="2536"/>
  <c r="K23" i="2536"/>
  <c r="J23" i="2536"/>
  <c r="J57" i="2536" s="1"/>
  <c r="I23" i="2536"/>
  <c r="I57" i="2536" s="1"/>
  <c r="H23" i="2536"/>
  <c r="G23" i="2536"/>
  <c r="F23" i="2536"/>
  <c r="F57" i="2536" s="1"/>
  <c r="E23" i="2536"/>
  <c r="D23" i="2536"/>
  <c r="C23" i="2536"/>
  <c r="C57" i="2536" s="1"/>
  <c r="B23" i="2536"/>
  <c r="B57" i="2536" s="1"/>
  <c r="HN21" i="2536"/>
  <c r="HA21" i="2536"/>
  <c r="GN21" i="2536"/>
  <c r="GA21" i="2536"/>
  <c r="FN21" i="2536"/>
  <c r="FA21" i="2536"/>
  <c r="EN21" i="2536"/>
  <c r="EA21" i="2536"/>
  <c r="DN21" i="2536"/>
  <c r="DA21" i="2536"/>
  <c r="CN21" i="2536"/>
  <c r="CA21" i="2536"/>
  <c r="BN21" i="2536"/>
  <c r="BA21" i="2536"/>
  <c r="AN21" i="2536"/>
  <c r="AA21" i="2536"/>
  <c r="N21" i="2536"/>
  <c r="HN20" i="2536"/>
  <c r="HA20" i="2536"/>
  <c r="GN20" i="2536"/>
  <c r="GA20" i="2536"/>
  <c r="FN20" i="2536"/>
  <c r="FA20" i="2536"/>
  <c r="EN20" i="2536"/>
  <c r="EA20" i="2536"/>
  <c r="DN20" i="2536"/>
  <c r="DA20" i="2536"/>
  <c r="CN20" i="2536"/>
  <c r="CA20" i="2536"/>
  <c r="BN20" i="2536"/>
  <c r="BA20" i="2536"/>
  <c r="AN20" i="2536"/>
  <c r="AA20" i="2536"/>
  <c r="N20" i="2536"/>
  <c r="HN19" i="2536"/>
  <c r="HA19" i="2536"/>
  <c r="GN19" i="2536"/>
  <c r="FP19" i="2536"/>
  <c r="FC19" i="2536"/>
  <c r="FC53" i="2536" s="1"/>
  <c r="FB19" i="2536"/>
  <c r="EZ19" i="2536"/>
  <c r="EZ53" i="2536" s="1"/>
  <c r="EY19" i="2536"/>
  <c r="EY53" i="2536" s="1"/>
  <c r="EX19" i="2536"/>
  <c r="EX53" i="2536" s="1"/>
  <c r="EW19" i="2536"/>
  <c r="EW53" i="2536" s="1"/>
  <c r="EV19" i="2536"/>
  <c r="EV53" i="2536" s="1"/>
  <c r="EU19" i="2536"/>
  <c r="EU53" i="2536" s="1"/>
  <c r="ET19" i="2536"/>
  <c r="ET53" i="2536" s="1"/>
  <c r="ES19" i="2536"/>
  <c r="ES53" i="2536" s="1"/>
  <c r="ER19" i="2536"/>
  <c r="ER53" i="2536" s="1"/>
  <c r="EQ19" i="2536"/>
  <c r="EQ53" i="2536" s="1"/>
  <c r="EP19" i="2536"/>
  <c r="EP53" i="2536" s="1"/>
  <c r="EO19" i="2536"/>
  <c r="EO53" i="2536" s="1"/>
  <c r="EM19" i="2536"/>
  <c r="EM53" i="2536" s="1"/>
  <c r="EL19" i="2536"/>
  <c r="EL53" i="2536" s="1"/>
  <c r="EK19" i="2536"/>
  <c r="EK53" i="2536" s="1"/>
  <c r="EJ19" i="2536"/>
  <c r="EJ53" i="2536" s="1"/>
  <c r="EI19" i="2536"/>
  <c r="EI53" i="2536" s="1"/>
  <c r="EH19" i="2536"/>
  <c r="EH53" i="2536" s="1"/>
  <c r="EG19" i="2536"/>
  <c r="EG53" i="2536" s="1"/>
  <c r="EF19" i="2536"/>
  <c r="EF53" i="2536" s="1"/>
  <c r="EE19" i="2536"/>
  <c r="EE53" i="2536" s="1"/>
  <c r="ED19" i="2536"/>
  <c r="ED53" i="2536" s="1"/>
  <c r="EC19" i="2536"/>
  <c r="EC53" i="2536" s="1"/>
  <c r="EB19" i="2536"/>
  <c r="EB53" i="2536" s="1"/>
  <c r="DZ19" i="2536"/>
  <c r="DZ53" i="2536" s="1"/>
  <c r="DY19" i="2536"/>
  <c r="DY53" i="2536" s="1"/>
  <c r="DX19" i="2536"/>
  <c r="DX53" i="2536" s="1"/>
  <c r="DW19" i="2536"/>
  <c r="DV19" i="2536"/>
  <c r="DV53" i="2536" s="1"/>
  <c r="DU19" i="2536"/>
  <c r="DU53" i="2536" s="1"/>
  <c r="DT19" i="2536"/>
  <c r="DT53" i="2536" s="1"/>
  <c r="DS19" i="2536"/>
  <c r="DS53" i="2536" s="1"/>
  <c r="DR19" i="2536"/>
  <c r="DR53" i="2536" s="1"/>
  <c r="DQ19" i="2536"/>
  <c r="DQ53" i="2536" s="1"/>
  <c r="DP19" i="2536"/>
  <c r="DP53" i="2536" s="1"/>
  <c r="DO19" i="2536"/>
  <c r="DO53" i="2536" s="1"/>
  <c r="DM19" i="2536"/>
  <c r="DM53" i="2536" s="1"/>
  <c r="DL19" i="2536"/>
  <c r="DL53" i="2536" s="1"/>
  <c r="DK19" i="2536"/>
  <c r="DK53" i="2536" s="1"/>
  <c r="DJ19" i="2536"/>
  <c r="DJ53" i="2536" s="1"/>
  <c r="DI19" i="2536"/>
  <c r="DI53" i="2536" s="1"/>
  <c r="DH19" i="2536"/>
  <c r="DH53" i="2536" s="1"/>
  <c r="DG19" i="2536"/>
  <c r="DG53" i="2536" s="1"/>
  <c r="DF19" i="2536"/>
  <c r="DF53" i="2536" s="1"/>
  <c r="DE19" i="2536"/>
  <c r="DE53" i="2536" s="1"/>
  <c r="DD19" i="2536"/>
  <c r="DD53" i="2536" s="1"/>
  <c r="DC19" i="2536"/>
  <c r="DC53" i="2536" s="1"/>
  <c r="DB19" i="2536"/>
  <c r="DB53" i="2536" s="1"/>
  <c r="CZ19" i="2536"/>
  <c r="CZ53" i="2536" s="1"/>
  <c r="CY19" i="2536"/>
  <c r="CY53" i="2536" s="1"/>
  <c r="CX19" i="2536"/>
  <c r="CW19" i="2536"/>
  <c r="CW53" i="2536" s="1"/>
  <c r="CV19" i="2536"/>
  <c r="CV53" i="2536" s="1"/>
  <c r="CU19" i="2536"/>
  <c r="CU53" i="2536" s="1"/>
  <c r="CT19" i="2536"/>
  <c r="CS19" i="2536"/>
  <c r="CS53" i="2536" s="1"/>
  <c r="CR19" i="2536"/>
  <c r="CR53" i="2536" s="1"/>
  <c r="CQ19" i="2536"/>
  <c r="CQ53" i="2536" s="1"/>
  <c r="CP19" i="2536"/>
  <c r="CP53" i="2536" s="1"/>
  <c r="CO19" i="2536"/>
  <c r="CO53" i="2536" s="1"/>
  <c r="CM19" i="2536"/>
  <c r="CM53" i="2536" s="1"/>
  <c r="CL19" i="2536"/>
  <c r="CK19" i="2536"/>
  <c r="CK53" i="2536" s="1"/>
  <c r="CJ19" i="2536"/>
  <c r="CJ53" i="2536" s="1"/>
  <c r="CI19" i="2536"/>
  <c r="CI53" i="2536" s="1"/>
  <c r="CH19" i="2536"/>
  <c r="CH53" i="2536" s="1"/>
  <c r="CG19" i="2536"/>
  <c r="CG53" i="2536" s="1"/>
  <c r="CF19" i="2536"/>
  <c r="CF53" i="2536" s="1"/>
  <c r="CE19" i="2536"/>
  <c r="CE53" i="2536" s="1"/>
  <c r="CD19" i="2536"/>
  <c r="CD53" i="2536" s="1"/>
  <c r="CC19" i="2536"/>
  <c r="CC53" i="2536" s="1"/>
  <c r="CB19" i="2536"/>
  <c r="CB53" i="2536" s="1"/>
  <c r="BZ19" i="2536"/>
  <c r="BY19" i="2536"/>
  <c r="BY53" i="2536" s="1"/>
  <c r="BX19" i="2536"/>
  <c r="BX53" i="2536" s="1"/>
  <c r="BW19" i="2536"/>
  <c r="BW53" i="2536" s="1"/>
  <c r="BV19" i="2536"/>
  <c r="BV53" i="2536" s="1"/>
  <c r="BU19" i="2536"/>
  <c r="BU53" i="2536" s="1"/>
  <c r="BT19" i="2536"/>
  <c r="BT53" i="2536" s="1"/>
  <c r="BS19" i="2536"/>
  <c r="BS53" i="2536" s="1"/>
  <c r="BR19" i="2536"/>
  <c r="BR53" i="2536" s="1"/>
  <c r="BQ19" i="2536"/>
  <c r="BQ53" i="2536" s="1"/>
  <c r="BP19" i="2536"/>
  <c r="BP53" i="2536" s="1"/>
  <c r="BO19" i="2536"/>
  <c r="BM19" i="2536"/>
  <c r="BM53" i="2536" s="1"/>
  <c r="BL19" i="2536"/>
  <c r="BL53" i="2536" s="1"/>
  <c r="BK19" i="2536"/>
  <c r="BK53" i="2536" s="1"/>
  <c r="BJ19" i="2536"/>
  <c r="BJ53" i="2536" s="1"/>
  <c r="BI19" i="2536"/>
  <c r="BI53" i="2536" s="1"/>
  <c r="BH19" i="2536"/>
  <c r="BH53" i="2536" s="1"/>
  <c r="BG19" i="2536"/>
  <c r="BG53" i="2536" s="1"/>
  <c r="BF19" i="2536"/>
  <c r="BF53" i="2536" s="1"/>
  <c r="BE19" i="2536"/>
  <c r="BE53" i="2536" s="1"/>
  <c r="BD19" i="2536"/>
  <c r="BD53" i="2536" s="1"/>
  <c r="BC19" i="2536"/>
  <c r="BC53" i="2536" s="1"/>
  <c r="BB19" i="2536"/>
  <c r="AZ19" i="2536"/>
  <c r="AY19" i="2536"/>
  <c r="AY53" i="2536" s="1"/>
  <c r="AX19" i="2536"/>
  <c r="AX53" i="2536" s="1"/>
  <c r="AW19" i="2536"/>
  <c r="AW53" i="2536" s="1"/>
  <c r="AV19" i="2536"/>
  <c r="AV53" i="2536" s="1"/>
  <c r="AU19" i="2536"/>
  <c r="AU53" i="2536" s="1"/>
  <c r="AT19" i="2536"/>
  <c r="AT53" i="2536" s="1"/>
  <c r="AS19" i="2536"/>
  <c r="AS53" i="2536" s="1"/>
  <c r="AR19" i="2536"/>
  <c r="AR53" i="2536" s="1"/>
  <c r="AQ19" i="2536"/>
  <c r="AQ53" i="2536" s="1"/>
  <c r="AP19" i="2536"/>
  <c r="AP53" i="2536" s="1"/>
  <c r="AO19" i="2536"/>
  <c r="AO53" i="2536" s="1"/>
  <c r="AM19" i="2536"/>
  <c r="AM53" i="2536" s="1"/>
  <c r="AL19" i="2536"/>
  <c r="AL53" i="2536" s="1"/>
  <c r="AK19" i="2536"/>
  <c r="AK53" i="2536" s="1"/>
  <c r="AJ19" i="2536"/>
  <c r="AJ53" i="2536" s="1"/>
  <c r="AI19" i="2536"/>
  <c r="AI53" i="2536" s="1"/>
  <c r="AH19" i="2536"/>
  <c r="AH53" i="2536" s="1"/>
  <c r="AG19" i="2536"/>
  <c r="AG53" i="2536" s="1"/>
  <c r="AF19" i="2536"/>
  <c r="AF53" i="2536" s="1"/>
  <c r="AE19" i="2536"/>
  <c r="AE53" i="2536" s="1"/>
  <c r="AD19" i="2536"/>
  <c r="AD53" i="2536" s="1"/>
  <c r="AC19" i="2536"/>
  <c r="AB19" i="2536"/>
  <c r="AB53" i="2536" s="1"/>
  <c r="Z19" i="2536"/>
  <c r="Z53" i="2536" s="1"/>
  <c r="Y19" i="2536"/>
  <c r="Y53" i="2536" s="1"/>
  <c r="X19" i="2536"/>
  <c r="W19" i="2536"/>
  <c r="W53" i="2536" s="1"/>
  <c r="V19" i="2536"/>
  <c r="V53" i="2536" s="1"/>
  <c r="U19" i="2536"/>
  <c r="U53" i="2536" s="1"/>
  <c r="T19" i="2536"/>
  <c r="T53" i="2536" s="1"/>
  <c r="S19" i="2536"/>
  <c r="S53" i="2536" s="1"/>
  <c r="R19" i="2536"/>
  <c r="R53" i="2536" s="1"/>
  <c r="Q19" i="2536"/>
  <c r="Q53" i="2536" s="1"/>
  <c r="P19" i="2536"/>
  <c r="P53" i="2536" s="1"/>
  <c r="O19" i="2536"/>
  <c r="O53" i="2536" s="1"/>
  <c r="M19" i="2536"/>
  <c r="M53" i="2536" s="1"/>
  <c r="L19" i="2536"/>
  <c r="K19" i="2536"/>
  <c r="K53" i="2536" s="1"/>
  <c r="J19" i="2536"/>
  <c r="J53" i="2536" s="1"/>
  <c r="I19" i="2536"/>
  <c r="I53" i="2536" s="1"/>
  <c r="H19" i="2536"/>
  <c r="H53" i="2536" s="1"/>
  <c r="G19" i="2536"/>
  <c r="G53" i="2536" s="1"/>
  <c r="F19" i="2536"/>
  <c r="F53" i="2536" s="1"/>
  <c r="E19" i="2536"/>
  <c r="E53" i="2536" s="1"/>
  <c r="D19" i="2536"/>
  <c r="D53" i="2536" s="1"/>
  <c r="C19" i="2536"/>
  <c r="C53" i="2536" s="1"/>
  <c r="B19" i="2536"/>
  <c r="B53" i="2536" s="1"/>
  <c r="HN15" i="2536"/>
  <c r="HA15" i="2536"/>
  <c r="GN15" i="2536"/>
  <c r="GA15" i="2536"/>
  <c r="FN15" i="2536"/>
  <c r="FA15" i="2536"/>
  <c r="EN15" i="2536"/>
  <c r="EA15" i="2536"/>
  <c r="DN15" i="2536"/>
  <c r="DA15" i="2536"/>
  <c r="CN15" i="2536"/>
  <c r="CA15" i="2536"/>
  <c r="BN15" i="2536"/>
  <c r="BA15" i="2536"/>
  <c r="AA15" i="2536"/>
  <c r="N15" i="2536"/>
  <c r="HN18" i="2536"/>
  <c r="HA18" i="2536"/>
  <c r="GN18" i="2536"/>
  <c r="GA18" i="2536"/>
  <c r="FN18" i="2536"/>
  <c r="FA18" i="2536"/>
  <c r="EN18" i="2536"/>
  <c r="EA18" i="2536"/>
  <c r="DN18" i="2536"/>
  <c r="DA18" i="2536"/>
  <c r="CN18" i="2536"/>
  <c r="CA18" i="2536"/>
  <c r="BN18" i="2536"/>
  <c r="BA18" i="2536"/>
  <c r="AN18" i="2536"/>
  <c r="AA18" i="2536"/>
  <c r="N18" i="2536"/>
  <c r="HN17" i="2536"/>
  <c r="HA17" i="2536"/>
  <c r="GN17" i="2536"/>
  <c r="GA17" i="2536"/>
  <c r="FN17" i="2536"/>
  <c r="FA17" i="2536"/>
  <c r="EN17" i="2536"/>
  <c r="EA17" i="2536"/>
  <c r="DN17" i="2536"/>
  <c r="DA17" i="2536"/>
  <c r="CN17" i="2536"/>
  <c r="CA17" i="2536"/>
  <c r="BN17" i="2536"/>
  <c r="BA17" i="2536"/>
  <c r="AN17" i="2536"/>
  <c r="AA17" i="2536"/>
  <c r="N17" i="2536"/>
  <c r="HN16" i="2536"/>
  <c r="HA16" i="2536"/>
  <c r="GN16" i="2536"/>
  <c r="GA16" i="2536"/>
  <c r="FN16" i="2536"/>
  <c r="FA16" i="2536"/>
  <c r="EN16" i="2536"/>
  <c r="EA16" i="2536"/>
  <c r="DN16" i="2536"/>
  <c r="DA16" i="2536"/>
  <c r="CN16" i="2536"/>
  <c r="CA16" i="2536"/>
  <c r="BN16" i="2536"/>
  <c r="BA16" i="2536"/>
  <c r="AN16" i="2536"/>
  <c r="AA16" i="2536"/>
  <c r="N16" i="2536"/>
  <c r="HM14" i="2536"/>
  <c r="HL14" i="2536"/>
  <c r="HL48" i="2536" s="1"/>
  <c r="HK14" i="2536"/>
  <c r="HK48" i="2536" s="1"/>
  <c r="HJ14" i="2536"/>
  <c r="HJ48" i="2536" s="1"/>
  <c r="HI14" i="2536"/>
  <c r="HI48" i="2536" s="1"/>
  <c r="HH14" i="2536"/>
  <c r="HG14" i="2536"/>
  <c r="HG48" i="2536" s="1"/>
  <c r="HF14" i="2536"/>
  <c r="HF48" i="2536" s="1"/>
  <c r="HE14" i="2536"/>
  <c r="HE48" i="2536" s="1"/>
  <c r="HD14" i="2536"/>
  <c r="HD48" i="2536" s="1"/>
  <c r="HC14" i="2536"/>
  <c r="HC48" i="2536" s="1"/>
  <c r="HB14" i="2536"/>
  <c r="HB48" i="2536" s="1"/>
  <c r="GZ14" i="2536"/>
  <c r="GY14" i="2536"/>
  <c r="GY48" i="2536" s="1"/>
  <c r="GX14" i="2536"/>
  <c r="GX48" i="2536" s="1"/>
  <c r="GW14" i="2536"/>
  <c r="GW48" i="2536" s="1"/>
  <c r="GV14" i="2536"/>
  <c r="GV48" i="2536" s="1"/>
  <c r="GU14" i="2536"/>
  <c r="GU48" i="2536" s="1"/>
  <c r="GT14" i="2536"/>
  <c r="GT48" i="2536" s="1"/>
  <c r="GS14" i="2536"/>
  <c r="GS48" i="2536" s="1"/>
  <c r="GR14" i="2536"/>
  <c r="GR48" i="2536" s="1"/>
  <c r="GQ14" i="2536"/>
  <c r="GQ48" i="2536" s="1"/>
  <c r="GP14" i="2536"/>
  <c r="GP48" i="2536" s="1"/>
  <c r="GO14" i="2536"/>
  <c r="GM14" i="2536"/>
  <c r="GL14" i="2536"/>
  <c r="GK14" i="2536"/>
  <c r="GK48" i="2536" s="1"/>
  <c r="GJ14" i="2536"/>
  <c r="GJ48" i="2536" s="1"/>
  <c r="GI14" i="2536"/>
  <c r="GI48" i="2536" s="1"/>
  <c r="GH14" i="2536"/>
  <c r="GH48" i="2536" s="1"/>
  <c r="GG14" i="2536"/>
  <c r="GG48" i="2536" s="1"/>
  <c r="GF14" i="2536"/>
  <c r="GF48" i="2536" s="1"/>
  <c r="GE14" i="2536"/>
  <c r="GE48" i="2536" s="1"/>
  <c r="GD14" i="2536"/>
  <c r="GD48" i="2536" s="1"/>
  <c r="GC14" i="2536"/>
  <c r="GC48" i="2536" s="1"/>
  <c r="GB14" i="2536"/>
  <c r="GB48" i="2536" s="1"/>
  <c r="FZ14" i="2536"/>
  <c r="FY14" i="2536"/>
  <c r="FX14" i="2536"/>
  <c r="FX48" i="2536" s="1"/>
  <c r="FW14" i="2536"/>
  <c r="FW48" i="2536" s="1"/>
  <c r="FV14" i="2536"/>
  <c r="FV48" i="2536" s="1"/>
  <c r="FU14" i="2536"/>
  <c r="FU48" i="2536" s="1"/>
  <c r="FT14" i="2536"/>
  <c r="FT48" i="2536" s="1"/>
  <c r="FS14" i="2536"/>
  <c r="FS48" i="2536" s="1"/>
  <c r="FR14" i="2536"/>
  <c r="FR48" i="2536" s="1"/>
  <c r="FQ14" i="2536"/>
  <c r="FQ48" i="2536" s="1"/>
  <c r="FP14" i="2536"/>
  <c r="FP48" i="2536" s="1"/>
  <c r="FO14" i="2536"/>
  <c r="FO48" i="2536" s="1"/>
  <c r="FM14" i="2536"/>
  <c r="FM48" i="2536" s="1"/>
  <c r="FL14" i="2536"/>
  <c r="FL48" i="2536" s="1"/>
  <c r="FK14" i="2536"/>
  <c r="FK48" i="2536" s="1"/>
  <c r="FJ14" i="2536"/>
  <c r="FI14" i="2536"/>
  <c r="FI48" i="2536" s="1"/>
  <c r="FH14" i="2536"/>
  <c r="FH48" i="2536" s="1"/>
  <c r="FG14" i="2536"/>
  <c r="FG48" i="2536" s="1"/>
  <c r="FF14" i="2536"/>
  <c r="FF48" i="2536" s="1"/>
  <c r="FE14" i="2536"/>
  <c r="FE48" i="2536" s="1"/>
  <c r="FD14" i="2536"/>
  <c r="FD48" i="2536" s="1"/>
  <c r="FC14" i="2536"/>
  <c r="FC48" i="2536" s="1"/>
  <c r="FB14" i="2536"/>
  <c r="EZ14" i="2536"/>
  <c r="EY14" i="2536"/>
  <c r="EY48" i="2536" s="1"/>
  <c r="EX14" i="2536"/>
  <c r="EW14" i="2536"/>
  <c r="EW48" i="2536" s="1"/>
  <c r="EV14" i="2536"/>
  <c r="EV48" i="2536" s="1"/>
  <c r="EU14" i="2536"/>
  <c r="EU48" i="2536" s="1"/>
  <c r="ET14" i="2536"/>
  <c r="ET48" i="2536" s="1"/>
  <c r="ES14" i="2536"/>
  <c r="ES48" i="2536" s="1"/>
  <c r="ER14" i="2536"/>
  <c r="ER48" i="2536" s="1"/>
  <c r="EQ14" i="2536"/>
  <c r="EQ48" i="2536" s="1"/>
  <c r="EP14" i="2536"/>
  <c r="EP48" i="2536" s="1"/>
  <c r="EO14" i="2536"/>
  <c r="EM14" i="2536"/>
  <c r="EM48" i="2536" s="1"/>
  <c r="EL14" i="2536"/>
  <c r="EL48" i="2536" s="1"/>
  <c r="EK14" i="2536"/>
  <c r="EK48" i="2536" s="1"/>
  <c r="EJ14" i="2536"/>
  <c r="EJ48" i="2536" s="1"/>
  <c r="EI14" i="2536"/>
  <c r="EI48" i="2536" s="1"/>
  <c r="EH14" i="2536"/>
  <c r="EH48" i="2536" s="1"/>
  <c r="EG14" i="2536"/>
  <c r="EG48" i="2536" s="1"/>
  <c r="EF14" i="2536"/>
  <c r="EF48" i="2536" s="1"/>
  <c r="EE14" i="2536"/>
  <c r="EE48" i="2536" s="1"/>
  <c r="ED14" i="2536"/>
  <c r="EC14" i="2536"/>
  <c r="EB14" i="2536"/>
  <c r="EB48" i="2536" s="1"/>
  <c r="DZ14" i="2536"/>
  <c r="DY14" i="2536"/>
  <c r="DY48" i="2536" s="1"/>
  <c r="DX14" i="2536"/>
  <c r="DX48" i="2536" s="1"/>
  <c r="DW14" i="2536"/>
  <c r="DW48" i="2536" s="1"/>
  <c r="DV14" i="2536"/>
  <c r="DV48" i="2536" s="1"/>
  <c r="DU14" i="2536"/>
  <c r="DU48" i="2536" s="1"/>
  <c r="DT14" i="2536"/>
  <c r="DT48" i="2536" s="1"/>
  <c r="DS14" i="2536"/>
  <c r="DS48" i="2536" s="1"/>
  <c r="DR14" i="2536"/>
  <c r="DR48" i="2536" s="1"/>
  <c r="DQ14" i="2536"/>
  <c r="DP14" i="2536"/>
  <c r="DP48" i="2536" s="1"/>
  <c r="DO14" i="2536"/>
  <c r="DM14" i="2536"/>
  <c r="DL14" i="2536"/>
  <c r="DL48" i="2536" s="1"/>
  <c r="DK14" i="2536"/>
  <c r="DK48" i="2536" s="1"/>
  <c r="DJ14" i="2536"/>
  <c r="DJ48" i="2536" s="1"/>
  <c r="DI14" i="2536"/>
  <c r="DI48" i="2536" s="1"/>
  <c r="DH14" i="2536"/>
  <c r="DH48" i="2536" s="1"/>
  <c r="DG14" i="2536"/>
  <c r="DG48" i="2536" s="1"/>
  <c r="DF14" i="2536"/>
  <c r="DF48" i="2536" s="1"/>
  <c r="DE14" i="2536"/>
  <c r="DD14" i="2536"/>
  <c r="DD48" i="2536" s="1"/>
  <c r="DC14" i="2536"/>
  <c r="DC48" i="2536" s="1"/>
  <c r="DB14" i="2536"/>
  <c r="CZ14" i="2536"/>
  <c r="CY14" i="2536"/>
  <c r="CY48" i="2536" s="1"/>
  <c r="CX14" i="2536"/>
  <c r="CX48" i="2536" s="1"/>
  <c r="CW14" i="2536"/>
  <c r="CW48" i="2536" s="1"/>
  <c r="CV14" i="2536"/>
  <c r="CV48" i="2536" s="1"/>
  <c r="CU14" i="2536"/>
  <c r="CU48" i="2536" s="1"/>
  <c r="CT14" i="2536"/>
  <c r="CT48" i="2536" s="1"/>
  <c r="CS14" i="2536"/>
  <c r="CR14" i="2536"/>
  <c r="CQ14" i="2536"/>
  <c r="CQ48" i="2536" s="1"/>
  <c r="CP14" i="2536"/>
  <c r="CP48" i="2536" s="1"/>
  <c r="CO14" i="2536"/>
  <c r="CM14" i="2536"/>
  <c r="CM48" i="2536" s="1"/>
  <c r="CL14" i="2536"/>
  <c r="CL48" i="2536" s="1"/>
  <c r="CK14" i="2536"/>
  <c r="CK48" i="2536" s="1"/>
  <c r="CJ14" i="2536"/>
  <c r="CJ48" i="2536" s="1"/>
  <c r="CI14" i="2536"/>
  <c r="CI48" i="2536" s="1"/>
  <c r="CH14" i="2536"/>
  <c r="CH48" i="2536" s="1"/>
  <c r="CG14" i="2536"/>
  <c r="CG48" i="2536" s="1"/>
  <c r="CF14" i="2536"/>
  <c r="CE14" i="2536"/>
  <c r="CE48" i="2536" s="1"/>
  <c r="CD14" i="2536"/>
  <c r="CD48" i="2536" s="1"/>
  <c r="CC14" i="2536"/>
  <c r="CC48" i="2536" s="1"/>
  <c r="CB14" i="2536"/>
  <c r="CB48" i="2536" s="1"/>
  <c r="BZ14" i="2536"/>
  <c r="BZ48" i="2536" s="1"/>
  <c r="BY14" i="2536"/>
  <c r="BY48" i="2536" s="1"/>
  <c r="BX14" i="2536"/>
  <c r="BX48" i="2536" s="1"/>
  <c r="BW14" i="2536"/>
  <c r="BW48" i="2536" s="1"/>
  <c r="BV14" i="2536"/>
  <c r="BV48" i="2536" s="1"/>
  <c r="BU14" i="2536"/>
  <c r="BU48" i="2536" s="1"/>
  <c r="BT14" i="2536"/>
  <c r="BS14" i="2536"/>
  <c r="BS48" i="2536" s="1"/>
  <c r="BR14" i="2536"/>
  <c r="BR48" i="2536" s="1"/>
  <c r="BQ14" i="2536"/>
  <c r="BQ48" i="2536" s="1"/>
  <c r="BP14" i="2536"/>
  <c r="BP48" i="2536" s="1"/>
  <c r="BO14" i="2536"/>
  <c r="BO48" i="2536" s="1"/>
  <c r="BM14" i="2536"/>
  <c r="BM48" i="2536" s="1"/>
  <c r="BL14" i="2536"/>
  <c r="BL48" i="2536" s="1"/>
  <c r="BK14" i="2536"/>
  <c r="BK48" i="2536" s="1"/>
  <c r="BJ14" i="2536"/>
  <c r="BJ48" i="2536" s="1"/>
  <c r="BI14" i="2536"/>
  <c r="BI48" i="2536" s="1"/>
  <c r="BH14" i="2536"/>
  <c r="BH48" i="2536" s="1"/>
  <c r="BG14" i="2536"/>
  <c r="BG48" i="2536" s="1"/>
  <c r="BF14" i="2536"/>
  <c r="BF48" i="2536" s="1"/>
  <c r="BE14" i="2536"/>
  <c r="BE48" i="2536" s="1"/>
  <c r="BD14" i="2536"/>
  <c r="BD48" i="2536" s="1"/>
  <c r="BC14" i="2536"/>
  <c r="BC48" i="2536" s="1"/>
  <c r="BB14" i="2536"/>
  <c r="BB48" i="2536" s="1"/>
  <c r="AZ14" i="2536"/>
  <c r="AZ48" i="2536" s="1"/>
  <c r="AY14" i="2536"/>
  <c r="AY48" i="2536" s="1"/>
  <c r="AX14" i="2536"/>
  <c r="AX48" i="2536" s="1"/>
  <c r="AW14" i="2536"/>
  <c r="AW48" i="2536" s="1"/>
  <c r="AV14" i="2536"/>
  <c r="AV48" i="2536" s="1"/>
  <c r="AU14" i="2536"/>
  <c r="AU48" i="2536" s="1"/>
  <c r="AT14" i="2536"/>
  <c r="AT48" i="2536" s="1"/>
  <c r="AS14" i="2536"/>
  <c r="AS48" i="2536" s="1"/>
  <c r="AR14" i="2536"/>
  <c r="AQ14" i="2536"/>
  <c r="AQ48" i="2536" s="1"/>
  <c r="AP14" i="2536"/>
  <c r="AP48" i="2536" s="1"/>
  <c r="AO14" i="2536"/>
  <c r="AO48" i="2536" s="1"/>
  <c r="AM14" i="2536"/>
  <c r="AM48" i="2536" s="1"/>
  <c r="AL14" i="2536"/>
  <c r="AL48" i="2536" s="1"/>
  <c r="AK14" i="2536"/>
  <c r="AK48" i="2536" s="1"/>
  <c r="AJ14" i="2536"/>
  <c r="AJ48" i="2536" s="1"/>
  <c r="AI14" i="2536"/>
  <c r="AI48" i="2536" s="1"/>
  <c r="AH14" i="2536"/>
  <c r="AH48" i="2536" s="1"/>
  <c r="AG14" i="2536"/>
  <c r="AG48" i="2536" s="1"/>
  <c r="AF14" i="2536"/>
  <c r="AE14" i="2536"/>
  <c r="AE48" i="2536" s="1"/>
  <c r="AD14" i="2536"/>
  <c r="AD48" i="2536" s="1"/>
  <c r="AC14" i="2536"/>
  <c r="AC48" i="2536" s="1"/>
  <c r="AB14" i="2536"/>
  <c r="AB48" i="2536" s="1"/>
  <c r="Z14" i="2536"/>
  <c r="Z48" i="2536" s="1"/>
  <c r="Y14" i="2536"/>
  <c r="Y48" i="2536" s="1"/>
  <c r="X14" i="2536"/>
  <c r="X48" i="2536" s="1"/>
  <c r="W14" i="2536"/>
  <c r="W48" i="2536" s="1"/>
  <c r="V14" i="2536"/>
  <c r="V48" i="2536" s="1"/>
  <c r="U14" i="2536"/>
  <c r="U48" i="2536" s="1"/>
  <c r="T14" i="2536"/>
  <c r="T48" i="2536" s="1"/>
  <c r="S14" i="2536"/>
  <c r="S48" i="2536" s="1"/>
  <c r="R14" i="2536"/>
  <c r="R48" i="2536" s="1"/>
  <c r="Q14" i="2536"/>
  <c r="Q48" i="2536" s="1"/>
  <c r="P14" i="2536"/>
  <c r="P48" i="2536" s="1"/>
  <c r="O14" i="2536"/>
  <c r="M14" i="2536"/>
  <c r="M48" i="2536" s="1"/>
  <c r="L14" i="2536"/>
  <c r="L48" i="2536" s="1"/>
  <c r="K14" i="2536"/>
  <c r="J14" i="2536"/>
  <c r="J48" i="2536" s="1"/>
  <c r="I14" i="2536"/>
  <c r="I48" i="2536" s="1"/>
  <c r="H14" i="2536"/>
  <c r="H48" i="2536" s="1"/>
  <c r="G14" i="2536"/>
  <c r="G48" i="2536" s="1"/>
  <c r="F14" i="2536"/>
  <c r="F48" i="2536" s="1"/>
  <c r="E14" i="2536"/>
  <c r="E48" i="2536" s="1"/>
  <c r="D14" i="2536"/>
  <c r="C14" i="2536"/>
  <c r="C48" i="2536" s="1"/>
  <c r="B14" i="2536"/>
  <c r="B48" i="2536" s="1"/>
  <c r="HN12" i="2536"/>
  <c r="HA12" i="2536"/>
  <c r="GN12" i="2536"/>
  <c r="GA12" i="2536"/>
  <c r="FN12" i="2536"/>
  <c r="FA12" i="2536"/>
  <c r="EN12" i="2536"/>
  <c r="EA12" i="2536"/>
  <c r="DN12" i="2536"/>
  <c r="DA12" i="2536"/>
  <c r="CN12" i="2536"/>
  <c r="CA12" i="2536"/>
  <c r="BN12" i="2536"/>
  <c r="BA12" i="2536"/>
  <c r="AN12" i="2536"/>
  <c r="AA12" i="2536"/>
  <c r="N12" i="2536"/>
  <c r="HN13" i="2536"/>
  <c r="HA13" i="2536"/>
  <c r="GN13" i="2536"/>
  <c r="GA13" i="2536"/>
  <c r="FN13" i="2536"/>
  <c r="FA13" i="2536"/>
  <c r="EN13" i="2536"/>
  <c r="EA13" i="2536"/>
  <c r="DN13" i="2536"/>
  <c r="DA13" i="2536"/>
  <c r="CN13" i="2536"/>
  <c r="CA13" i="2536"/>
  <c r="BN13" i="2536"/>
  <c r="BA13" i="2536"/>
  <c r="AN13" i="2536"/>
  <c r="AA13" i="2536"/>
  <c r="N13" i="2536"/>
  <c r="HN11" i="2536"/>
  <c r="HA11" i="2536"/>
  <c r="GN11" i="2536"/>
  <c r="GA11" i="2536"/>
  <c r="FN11" i="2536"/>
  <c r="FA11" i="2536"/>
  <c r="EN11" i="2536"/>
  <c r="EA11" i="2536"/>
  <c r="DN11" i="2536"/>
  <c r="DA11" i="2536"/>
  <c r="CN11" i="2536"/>
  <c r="CA11" i="2536"/>
  <c r="BN11" i="2536"/>
  <c r="BA11" i="2536"/>
  <c r="AN11" i="2536"/>
  <c r="AA11" i="2536"/>
  <c r="N11" i="2536"/>
  <c r="HN10" i="2536"/>
  <c r="HA10" i="2536"/>
  <c r="GN10" i="2536"/>
  <c r="GA10" i="2536"/>
  <c r="FN10" i="2536"/>
  <c r="FA10" i="2536"/>
  <c r="EN10" i="2536"/>
  <c r="EA10" i="2536"/>
  <c r="DN10" i="2536"/>
  <c r="DA10" i="2536"/>
  <c r="CN10" i="2536"/>
  <c r="CA10" i="2536"/>
  <c r="BN10" i="2536"/>
  <c r="BA10" i="2536"/>
  <c r="AN10" i="2536"/>
  <c r="AA10" i="2536"/>
  <c r="N10" i="2536"/>
  <c r="HN9" i="2536"/>
  <c r="HA9" i="2536"/>
  <c r="GN9" i="2536"/>
  <c r="GA9" i="2536"/>
  <c r="FN9" i="2536"/>
  <c r="FA9" i="2536"/>
  <c r="EN9" i="2536"/>
  <c r="EA9" i="2536"/>
  <c r="DN9" i="2536"/>
  <c r="DA9" i="2536"/>
  <c r="CN9" i="2536"/>
  <c r="CA9" i="2536"/>
  <c r="BN9" i="2536"/>
  <c r="BA9" i="2536"/>
  <c r="AN9" i="2536"/>
  <c r="AA9" i="2536"/>
  <c r="N9" i="2536"/>
  <c r="HM8" i="2536"/>
  <c r="HM42" i="2536" s="1"/>
  <c r="HL8" i="2536"/>
  <c r="HL42" i="2536" s="1"/>
  <c r="HK8" i="2536"/>
  <c r="HK42" i="2536" s="1"/>
  <c r="HJ8" i="2536"/>
  <c r="HJ42" i="2536" s="1"/>
  <c r="HI8" i="2536"/>
  <c r="HH8" i="2536"/>
  <c r="HH42" i="2536" s="1"/>
  <c r="HG8" i="2536"/>
  <c r="HF8" i="2536"/>
  <c r="HF42" i="2536" s="1"/>
  <c r="HE8" i="2536"/>
  <c r="HE42" i="2536" s="1"/>
  <c r="HD8" i="2536"/>
  <c r="HD42" i="2536" s="1"/>
  <c r="HC8" i="2536"/>
  <c r="HB8" i="2536"/>
  <c r="GZ8" i="2536"/>
  <c r="GZ42" i="2536" s="1"/>
  <c r="GY8" i="2536"/>
  <c r="GY42" i="2536" s="1"/>
  <c r="GX8" i="2536"/>
  <c r="GX42" i="2536" s="1"/>
  <c r="GW8" i="2536"/>
  <c r="GW42" i="2536" s="1"/>
  <c r="GV8" i="2536"/>
  <c r="GV42" i="2536" s="1"/>
  <c r="GU8" i="2536"/>
  <c r="GT8" i="2536"/>
  <c r="GT42" i="2536" s="1"/>
  <c r="GS8" i="2536"/>
  <c r="GR8" i="2536"/>
  <c r="GR42" i="2536" s="1"/>
  <c r="GQ8" i="2536"/>
  <c r="GQ42" i="2536" s="1"/>
  <c r="GP8" i="2536"/>
  <c r="GO8" i="2536"/>
  <c r="GM8" i="2536"/>
  <c r="GM42" i="2536" s="1"/>
  <c r="GL8" i="2536"/>
  <c r="GL42" i="2536" s="1"/>
  <c r="GK8" i="2536"/>
  <c r="GK42" i="2536" s="1"/>
  <c r="GJ8" i="2536"/>
  <c r="GJ42" i="2536" s="1"/>
  <c r="GI8" i="2536"/>
  <c r="GH8" i="2536"/>
  <c r="GH42" i="2536" s="1"/>
  <c r="GG8" i="2536"/>
  <c r="GF8" i="2536"/>
  <c r="GE8" i="2536"/>
  <c r="GE42" i="2536" s="1"/>
  <c r="GD8" i="2536"/>
  <c r="GD42" i="2536" s="1"/>
  <c r="GC8" i="2536"/>
  <c r="GC42" i="2536" s="1"/>
  <c r="GB8" i="2536"/>
  <c r="GB42" i="2536" s="1"/>
  <c r="FZ8" i="2536"/>
  <c r="FZ42" i="2536" s="1"/>
  <c r="FY8" i="2536"/>
  <c r="FY42" i="2536" s="1"/>
  <c r="FX8" i="2536"/>
  <c r="FX42" i="2536" s="1"/>
  <c r="FW8" i="2536"/>
  <c r="FV8" i="2536"/>
  <c r="FU8" i="2536"/>
  <c r="FU42" i="2536" s="1"/>
  <c r="FT8" i="2536"/>
  <c r="FS8" i="2536"/>
  <c r="FS42" i="2536" s="1"/>
  <c r="FR8" i="2536"/>
  <c r="FR42" i="2536" s="1"/>
  <c r="FQ8" i="2536"/>
  <c r="FQ42" i="2536" s="1"/>
  <c r="FP8" i="2536"/>
  <c r="FP42" i="2536" s="1"/>
  <c r="FO8" i="2536"/>
  <c r="FM8" i="2536"/>
  <c r="FM42" i="2536" s="1"/>
  <c r="FL8" i="2536"/>
  <c r="FL42" i="2536" s="1"/>
  <c r="FK8" i="2536"/>
  <c r="FJ8" i="2536"/>
  <c r="FJ42" i="2536" s="1"/>
  <c r="FI8" i="2536"/>
  <c r="FH8" i="2536"/>
  <c r="FH42" i="2536" s="1"/>
  <c r="FG8" i="2536"/>
  <c r="FG42" i="2536" s="1"/>
  <c r="FF8" i="2536"/>
  <c r="FF42" i="2536" s="1"/>
  <c r="FE8" i="2536"/>
  <c r="FE42" i="2536" s="1"/>
  <c r="FD8" i="2536"/>
  <c r="FD42" i="2536" s="1"/>
  <c r="FC8" i="2536"/>
  <c r="FC42" i="2536" s="1"/>
  <c r="FB8" i="2536"/>
  <c r="FB42" i="2536" s="1"/>
  <c r="EZ8" i="2536"/>
  <c r="EZ42" i="2536" s="1"/>
  <c r="EY8" i="2536"/>
  <c r="EX8" i="2536"/>
  <c r="EX42" i="2536" s="1"/>
  <c r="EW8" i="2536"/>
  <c r="EV8" i="2536"/>
  <c r="EU8" i="2536"/>
  <c r="EU42" i="2536" s="1"/>
  <c r="ET8" i="2536"/>
  <c r="ET42" i="2536" s="1"/>
  <c r="ES8" i="2536"/>
  <c r="ES42" i="2536" s="1"/>
  <c r="ER8" i="2536"/>
  <c r="ER42" i="2536" s="1"/>
  <c r="EQ8" i="2536"/>
  <c r="EQ42" i="2536" s="1"/>
  <c r="EP8" i="2536"/>
  <c r="EP42" i="2536" s="1"/>
  <c r="EO8" i="2536"/>
  <c r="EO42" i="2536" s="1"/>
  <c r="EM8" i="2536"/>
  <c r="EL8" i="2536"/>
  <c r="EL42" i="2536" s="1"/>
  <c r="EK8" i="2536"/>
  <c r="EK42" i="2536" s="1"/>
  <c r="EJ8" i="2536"/>
  <c r="EI8" i="2536"/>
  <c r="EH8" i="2536"/>
  <c r="EH42" i="2536" s="1"/>
  <c r="EG8" i="2536"/>
  <c r="EG42" i="2536" s="1"/>
  <c r="EF8" i="2536"/>
  <c r="EF42" i="2536" s="1"/>
  <c r="EE8" i="2536"/>
  <c r="EE42" i="2536" s="1"/>
  <c r="ED8" i="2536"/>
  <c r="ED42" i="2536" s="1"/>
  <c r="EC8" i="2536"/>
  <c r="EC42" i="2536" s="1"/>
  <c r="EB8" i="2536"/>
  <c r="EB42" i="2536" s="1"/>
  <c r="DZ8" i="2536"/>
  <c r="DZ42" i="2536" s="1"/>
  <c r="DY8" i="2536"/>
  <c r="DY42" i="2536" s="1"/>
  <c r="DX8" i="2536"/>
  <c r="DW8" i="2536"/>
  <c r="DW42" i="2536" s="1"/>
  <c r="DV8" i="2536"/>
  <c r="DU8" i="2536"/>
  <c r="DU42" i="2536" s="1"/>
  <c r="DT8" i="2536"/>
  <c r="DT42" i="2536" s="1"/>
  <c r="DS8" i="2536"/>
  <c r="DS42" i="2536" s="1"/>
  <c r="DR8" i="2536"/>
  <c r="DR42" i="2536" s="1"/>
  <c r="DQ8" i="2536"/>
  <c r="DQ42" i="2536" s="1"/>
  <c r="DP8" i="2536"/>
  <c r="DP42" i="2536" s="1"/>
  <c r="DO8" i="2536"/>
  <c r="DM8" i="2536"/>
  <c r="DM42" i="2536" s="1"/>
  <c r="DL8" i="2536"/>
  <c r="DL42" i="2536" s="1"/>
  <c r="DK8" i="2536"/>
  <c r="DJ8" i="2536"/>
  <c r="DJ42" i="2536" s="1"/>
  <c r="DI8" i="2536"/>
  <c r="DH8" i="2536"/>
  <c r="DH42" i="2536" s="1"/>
  <c r="DG8" i="2536"/>
  <c r="DF8" i="2536"/>
  <c r="DE8" i="2536"/>
  <c r="DE42" i="2536" s="1"/>
  <c r="DD8" i="2536"/>
  <c r="DD42" i="2536" s="1"/>
  <c r="DC8" i="2536"/>
  <c r="DB8" i="2536"/>
  <c r="DB42" i="2536" s="1"/>
  <c r="CZ8" i="2536"/>
  <c r="CZ42" i="2536" s="1"/>
  <c r="CY8" i="2536"/>
  <c r="CY42" i="2536" s="1"/>
  <c r="CX8" i="2536"/>
  <c r="CX42" i="2536" s="1"/>
  <c r="CW8" i="2536"/>
  <c r="CW42" i="2536" s="1"/>
  <c r="CV8" i="2536"/>
  <c r="CV42" i="2536" s="1"/>
  <c r="CU8" i="2536"/>
  <c r="CU42" i="2536" s="1"/>
  <c r="CT8" i="2536"/>
  <c r="CT42" i="2536" s="1"/>
  <c r="CS8" i="2536"/>
  <c r="CS42" i="2536" s="1"/>
  <c r="CR8" i="2536"/>
  <c r="CR42" i="2536" s="1"/>
  <c r="CQ8" i="2536"/>
  <c r="CP8" i="2536"/>
  <c r="CP42" i="2536" s="1"/>
  <c r="CO8" i="2536"/>
  <c r="CM8" i="2536"/>
  <c r="CL8" i="2536"/>
  <c r="CL42" i="2536" s="1"/>
  <c r="CK8" i="2536"/>
  <c r="CK42" i="2536" s="1"/>
  <c r="CJ8" i="2536"/>
  <c r="CI8" i="2536"/>
  <c r="CH8" i="2536"/>
  <c r="CH42" i="2536" s="1"/>
  <c r="CG8" i="2536"/>
  <c r="CG42" i="2536" s="1"/>
  <c r="CF8" i="2536"/>
  <c r="CF42" i="2536" s="1"/>
  <c r="CE8" i="2536"/>
  <c r="CD8" i="2536"/>
  <c r="CD42" i="2536" s="1"/>
  <c r="CC8" i="2536"/>
  <c r="CC42" i="2536" s="1"/>
  <c r="CB8" i="2536"/>
  <c r="CB42" i="2536" s="1"/>
  <c r="BZ8" i="2536"/>
  <c r="BZ42" i="2536" s="1"/>
  <c r="BY8" i="2536"/>
  <c r="BY42" i="2536" s="1"/>
  <c r="BX8" i="2536"/>
  <c r="BW8" i="2536"/>
  <c r="BV8" i="2536"/>
  <c r="BU8" i="2536"/>
  <c r="BU42" i="2536" s="1"/>
  <c r="BT8" i="2536"/>
  <c r="BT42" i="2536" s="1"/>
  <c r="BS8" i="2536"/>
  <c r="BR8" i="2536"/>
  <c r="BR42" i="2536" s="1"/>
  <c r="BQ8" i="2536"/>
  <c r="BQ42" i="2536" s="1"/>
  <c r="BP8" i="2536"/>
  <c r="BP42" i="2536" s="1"/>
  <c r="BO8" i="2536"/>
  <c r="BM8" i="2536"/>
  <c r="BM42" i="2536" s="1"/>
  <c r="BL8" i="2536"/>
  <c r="BL42" i="2536" s="1"/>
  <c r="BK8" i="2536"/>
  <c r="BJ8" i="2536"/>
  <c r="BI8" i="2536"/>
  <c r="BI42" i="2536" s="1"/>
  <c r="BH8" i="2536"/>
  <c r="BH42" i="2536" s="1"/>
  <c r="BG8" i="2536"/>
  <c r="BF8" i="2536"/>
  <c r="BE8" i="2536"/>
  <c r="BE42" i="2536" s="1"/>
  <c r="BD8" i="2536"/>
  <c r="BD42" i="2536" s="1"/>
  <c r="BC8" i="2536"/>
  <c r="BB8" i="2536"/>
  <c r="AZ8" i="2536"/>
  <c r="AZ42" i="2536" s="1"/>
  <c r="AY8" i="2536"/>
  <c r="AY42" i="2536" s="1"/>
  <c r="AX8" i="2536"/>
  <c r="AW8" i="2536"/>
  <c r="AW42" i="2536" s="1"/>
  <c r="AV8" i="2536"/>
  <c r="AU8" i="2536"/>
  <c r="AT8" i="2536"/>
  <c r="AT42" i="2536" s="1"/>
  <c r="AS8" i="2536"/>
  <c r="AR8" i="2536"/>
  <c r="AR42" i="2536" s="1"/>
  <c r="AQ8" i="2536"/>
  <c r="AQ42" i="2536" s="1"/>
  <c r="AP8" i="2536"/>
  <c r="AO8" i="2536"/>
  <c r="AM8" i="2536"/>
  <c r="AL8" i="2536"/>
  <c r="AL42" i="2536" s="1"/>
  <c r="AK8" i="2536"/>
  <c r="AJ8" i="2536"/>
  <c r="AJ42" i="2536" s="1"/>
  <c r="AI8" i="2536"/>
  <c r="AH8" i="2536"/>
  <c r="AH42" i="2536" s="1"/>
  <c r="AG8" i="2536"/>
  <c r="AG42" i="2536" s="1"/>
  <c r="AF8" i="2536"/>
  <c r="AF42" i="2536" s="1"/>
  <c r="AE8" i="2536"/>
  <c r="AE42" i="2536" s="1"/>
  <c r="AD8" i="2536"/>
  <c r="AC8" i="2536"/>
  <c r="AC42" i="2536" s="1"/>
  <c r="AB8" i="2536"/>
  <c r="AB42" i="2536" s="1"/>
  <c r="Z8" i="2536"/>
  <c r="Y8" i="2536"/>
  <c r="X8" i="2536"/>
  <c r="X42" i="2536" s="1"/>
  <c r="W8" i="2536"/>
  <c r="W42" i="2536" s="1"/>
  <c r="V8" i="2536"/>
  <c r="U8" i="2536"/>
  <c r="U42" i="2536" s="1"/>
  <c r="T8" i="2536"/>
  <c r="T42" i="2536" s="1"/>
  <c r="S8" i="2536"/>
  <c r="R8" i="2536"/>
  <c r="Q8" i="2536"/>
  <c r="Q42" i="2536" s="1"/>
  <c r="P8" i="2536"/>
  <c r="P42" i="2536" s="1"/>
  <c r="O8" i="2536"/>
  <c r="M8" i="2536"/>
  <c r="M42" i="2536" s="1"/>
  <c r="L8" i="2536"/>
  <c r="L42" i="2536" s="1"/>
  <c r="K8" i="2536"/>
  <c r="K42" i="2536" s="1"/>
  <c r="J8" i="2536"/>
  <c r="J42" i="2536" s="1"/>
  <c r="I8" i="2536"/>
  <c r="H8" i="2536"/>
  <c r="H42" i="2536" s="1"/>
  <c r="G8" i="2536"/>
  <c r="G42" i="2536" s="1"/>
  <c r="F8" i="2536"/>
  <c r="E8" i="2536"/>
  <c r="E42" i="2536" s="1"/>
  <c r="D8" i="2536"/>
  <c r="D42" i="2536" s="1"/>
  <c r="C8" i="2536"/>
  <c r="B8" i="2536"/>
  <c r="B42" i="2536" s="1"/>
  <c r="HN5" i="2536"/>
  <c r="HA5" i="2536"/>
  <c r="GN5" i="2536"/>
  <c r="GA5" i="2536"/>
  <c r="FN5" i="2536"/>
  <c r="FA5" i="2536"/>
  <c r="EN5" i="2536"/>
  <c r="EA5" i="2536"/>
  <c r="DN5" i="2536"/>
  <c r="DA5" i="2536"/>
  <c r="CN5" i="2536"/>
  <c r="CA5" i="2536"/>
  <c r="BN5" i="2536"/>
  <c r="BA5" i="2536"/>
  <c r="AN5" i="2536"/>
  <c r="AA5" i="2536"/>
  <c r="N5" i="2536"/>
  <c r="HB4" i="2536"/>
  <c r="GO4" i="2536"/>
  <c r="GB4" i="2536"/>
  <c r="FO4" i="2536"/>
  <c r="FB4" i="2536"/>
  <c r="EO4" i="2536"/>
  <c r="EB4" i="2536"/>
  <c r="DO4" i="2536"/>
  <c r="DB4" i="2536"/>
  <c r="CO4" i="2536"/>
  <c r="CB4" i="2536"/>
  <c r="BO4" i="2536"/>
  <c r="BB4" i="2536"/>
  <c r="AO4" i="2536"/>
  <c r="AB4" i="2536"/>
  <c r="O4" i="2536"/>
  <c r="B4" i="2536"/>
  <c r="JZ42" i="2535"/>
  <c r="JY42" i="2535"/>
  <c r="JX42" i="2535"/>
  <c r="JW42" i="2535"/>
  <c r="JV42" i="2535"/>
  <c r="JU42" i="2535"/>
  <c r="JT42" i="2535"/>
  <c r="JS42" i="2535"/>
  <c r="JR42" i="2535"/>
  <c r="JQ42" i="2535"/>
  <c r="JP42" i="2535"/>
  <c r="JO42" i="2535"/>
  <c r="JM42" i="2535"/>
  <c r="JL42" i="2535"/>
  <c r="JK42" i="2535"/>
  <c r="JJ42" i="2535"/>
  <c r="JI42" i="2535"/>
  <c r="JH42" i="2535"/>
  <c r="JG42" i="2535"/>
  <c r="JF42" i="2535"/>
  <c r="JE42" i="2535"/>
  <c r="JD42" i="2535"/>
  <c r="JC42" i="2535"/>
  <c r="JB42" i="2535"/>
  <c r="IZ42" i="2535"/>
  <c r="IY42" i="2535"/>
  <c r="IX42" i="2535"/>
  <c r="IW42" i="2535"/>
  <c r="IV42" i="2535"/>
  <c r="IU42" i="2535"/>
  <c r="IT42" i="2535"/>
  <c r="IS42" i="2535"/>
  <c r="IR42" i="2535"/>
  <c r="IQ42" i="2535"/>
  <c r="IP42" i="2535"/>
  <c r="IO42" i="2535"/>
  <c r="IM42" i="2535"/>
  <c r="IL42" i="2535"/>
  <c r="IK42" i="2535"/>
  <c r="IJ42" i="2535"/>
  <c r="II42" i="2535"/>
  <c r="IH42" i="2535"/>
  <c r="IG42" i="2535"/>
  <c r="IF42" i="2535"/>
  <c r="IE42" i="2535"/>
  <c r="ID42" i="2535"/>
  <c r="IC42" i="2535"/>
  <c r="IB42" i="2535"/>
  <c r="HZ42" i="2535"/>
  <c r="HY42" i="2535"/>
  <c r="HX42" i="2535"/>
  <c r="HW42" i="2535"/>
  <c r="HV42" i="2535"/>
  <c r="HU42" i="2535"/>
  <c r="HT42" i="2535"/>
  <c r="HS42" i="2535"/>
  <c r="HR42" i="2535"/>
  <c r="HQ42" i="2535"/>
  <c r="HP42" i="2535"/>
  <c r="HO42" i="2535"/>
  <c r="HM42" i="2535"/>
  <c r="HL42" i="2535"/>
  <c r="HK42" i="2535"/>
  <c r="HJ42" i="2535"/>
  <c r="HI42" i="2535"/>
  <c r="HH42" i="2535"/>
  <c r="HG42" i="2535"/>
  <c r="HF42" i="2535"/>
  <c r="HE42" i="2535"/>
  <c r="HD42" i="2535"/>
  <c r="HC42" i="2535"/>
  <c r="HB42" i="2535"/>
  <c r="GZ42" i="2535"/>
  <c r="GY42" i="2535"/>
  <c r="GX42" i="2535"/>
  <c r="GW42" i="2535"/>
  <c r="GV42" i="2535"/>
  <c r="GU42" i="2535"/>
  <c r="GT42" i="2535"/>
  <c r="GS42" i="2535"/>
  <c r="GR42" i="2535"/>
  <c r="GQ42" i="2535"/>
  <c r="GP42" i="2535"/>
  <c r="GO42" i="2535"/>
  <c r="GM42" i="2535"/>
  <c r="GL42" i="2535"/>
  <c r="GK42" i="2535"/>
  <c r="GJ42" i="2535"/>
  <c r="GI42" i="2535"/>
  <c r="GH42" i="2535"/>
  <c r="GG42" i="2535"/>
  <c r="GF42" i="2535"/>
  <c r="GE42" i="2535"/>
  <c r="GD42" i="2535"/>
  <c r="GC42" i="2535"/>
  <c r="GB42" i="2535"/>
  <c r="FZ42" i="2535"/>
  <c r="FY42" i="2535"/>
  <c r="FX42" i="2535"/>
  <c r="FW42" i="2535"/>
  <c r="FV42" i="2535"/>
  <c r="FU42" i="2535"/>
  <c r="FT42" i="2535"/>
  <c r="FS42" i="2535"/>
  <c r="FR42" i="2535"/>
  <c r="FQ42" i="2535"/>
  <c r="FP42" i="2535"/>
  <c r="FO42" i="2535"/>
  <c r="FM42" i="2535"/>
  <c r="FL42" i="2535"/>
  <c r="FK42" i="2535"/>
  <c r="FJ42" i="2535"/>
  <c r="FI42" i="2535"/>
  <c r="FH42" i="2535"/>
  <c r="FG42" i="2535"/>
  <c r="FF42" i="2535"/>
  <c r="FE42" i="2535"/>
  <c r="FD42" i="2535"/>
  <c r="FC42" i="2535"/>
  <c r="FB42" i="2535"/>
  <c r="EZ42" i="2535"/>
  <c r="EY42" i="2535"/>
  <c r="EX42" i="2535"/>
  <c r="EW42" i="2535"/>
  <c r="EV42" i="2535"/>
  <c r="EU42" i="2535"/>
  <c r="ET42" i="2535"/>
  <c r="ES42" i="2535"/>
  <c r="ER42" i="2535"/>
  <c r="EQ42" i="2535"/>
  <c r="EP42" i="2535"/>
  <c r="EO42" i="2535"/>
  <c r="EM42" i="2535"/>
  <c r="EL42" i="2535"/>
  <c r="EK42" i="2535"/>
  <c r="EJ42" i="2535"/>
  <c r="EI42" i="2535"/>
  <c r="EH42" i="2535"/>
  <c r="EG42" i="2535"/>
  <c r="EF42" i="2535"/>
  <c r="EE42" i="2535"/>
  <c r="ED42" i="2535"/>
  <c r="EC42" i="2535"/>
  <c r="EB42" i="2535"/>
  <c r="DZ42" i="2535"/>
  <c r="DY42" i="2535"/>
  <c r="DX42" i="2535"/>
  <c r="DW42" i="2535"/>
  <c r="DV42" i="2535"/>
  <c r="DU42" i="2535"/>
  <c r="DT42" i="2535"/>
  <c r="DS42" i="2535"/>
  <c r="DR42" i="2535"/>
  <c r="DQ42" i="2535"/>
  <c r="DP42" i="2535"/>
  <c r="DO42" i="2535"/>
  <c r="DM42" i="2535"/>
  <c r="DL42" i="2535"/>
  <c r="DK42" i="2535"/>
  <c r="DJ42" i="2535"/>
  <c r="DI42" i="2535"/>
  <c r="DH42" i="2535"/>
  <c r="DG42" i="2535"/>
  <c r="DF42" i="2535"/>
  <c r="DE42" i="2535"/>
  <c r="DD42" i="2535"/>
  <c r="DC42" i="2535"/>
  <c r="DB42" i="2535"/>
  <c r="CZ42" i="2535"/>
  <c r="CY42" i="2535"/>
  <c r="CX42" i="2535"/>
  <c r="CW42" i="2535"/>
  <c r="CV42" i="2535"/>
  <c r="CU42" i="2535"/>
  <c r="CT42" i="2535"/>
  <c r="CS42" i="2535"/>
  <c r="CR42" i="2535"/>
  <c r="CQ42" i="2535"/>
  <c r="CP42" i="2535"/>
  <c r="CO42" i="2535"/>
  <c r="CM42" i="2535"/>
  <c r="CL42" i="2535"/>
  <c r="CK42" i="2535"/>
  <c r="CJ42" i="2535"/>
  <c r="CI42" i="2535"/>
  <c r="CH42" i="2535"/>
  <c r="CG42" i="2535"/>
  <c r="CF42" i="2535"/>
  <c r="CE42" i="2535"/>
  <c r="CD42" i="2535"/>
  <c r="CC42" i="2535"/>
  <c r="CB42" i="2535"/>
  <c r="BZ42" i="2535"/>
  <c r="BY42" i="2535"/>
  <c r="BX42" i="2535"/>
  <c r="BW42" i="2535"/>
  <c r="BV42" i="2535"/>
  <c r="BU42" i="2535"/>
  <c r="BT42" i="2535"/>
  <c r="BS42" i="2535"/>
  <c r="BR42" i="2535"/>
  <c r="BQ42" i="2535"/>
  <c r="BP42" i="2535"/>
  <c r="BO42" i="2535"/>
  <c r="BM42" i="2535"/>
  <c r="BL42" i="2535"/>
  <c r="BK42" i="2535"/>
  <c r="BJ42" i="2535"/>
  <c r="BI42" i="2535"/>
  <c r="BH42" i="2535"/>
  <c r="BG42" i="2535"/>
  <c r="BF42" i="2535"/>
  <c r="BE42" i="2535"/>
  <c r="BD42" i="2535"/>
  <c r="BC42" i="2535"/>
  <c r="BB42" i="2535"/>
  <c r="AZ42" i="2535"/>
  <c r="AY42" i="2535"/>
  <c r="AX42" i="2535"/>
  <c r="AW42" i="2535"/>
  <c r="AV42" i="2535"/>
  <c r="AU42" i="2535"/>
  <c r="AT42" i="2535"/>
  <c r="AS42" i="2535"/>
  <c r="AR42" i="2535"/>
  <c r="AQ42" i="2535"/>
  <c r="AP42" i="2535"/>
  <c r="AO42" i="2535"/>
  <c r="AM42" i="2535"/>
  <c r="AL42" i="2535"/>
  <c r="AK42" i="2535"/>
  <c r="AJ42" i="2535"/>
  <c r="AI42" i="2535"/>
  <c r="AH42" i="2535"/>
  <c r="AG42" i="2535"/>
  <c r="AF42" i="2535"/>
  <c r="AE42" i="2535"/>
  <c r="AD42" i="2535"/>
  <c r="AC42" i="2535"/>
  <c r="AB42" i="2535"/>
  <c r="Z42" i="2535"/>
  <c r="Y42" i="2535"/>
  <c r="X42" i="2535"/>
  <c r="W42" i="2535"/>
  <c r="V42" i="2535"/>
  <c r="U42" i="2535"/>
  <c r="T42" i="2535"/>
  <c r="S42" i="2535"/>
  <c r="R42" i="2535"/>
  <c r="Q42" i="2535"/>
  <c r="P42" i="2535"/>
  <c r="O42" i="2535"/>
  <c r="N42" i="2535"/>
  <c r="JZ41" i="2535"/>
  <c r="JY41" i="2535"/>
  <c r="JX41" i="2535"/>
  <c r="JW41" i="2535"/>
  <c r="JV41" i="2535"/>
  <c r="JU41" i="2535"/>
  <c r="JT41" i="2535"/>
  <c r="JS41" i="2535"/>
  <c r="JM41" i="2535"/>
  <c r="JL41" i="2535"/>
  <c r="JK41" i="2535"/>
  <c r="JJ41" i="2535"/>
  <c r="JI41" i="2535"/>
  <c r="JH41" i="2535"/>
  <c r="JG41" i="2535"/>
  <c r="JF41" i="2535"/>
  <c r="JE41" i="2535"/>
  <c r="JD41" i="2535"/>
  <c r="JC41" i="2535"/>
  <c r="JB41" i="2535"/>
  <c r="IZ41" i="2535"/>
  <c r="IY41" i="2535"/>
  <c r="IX41" i="2535"/>
  <c r="IW41" i="2535"/>
  <c r="IV41" i="2535"/>
  <c r="IU41" i="2535"/>
  <c r="IT41" i="2535"/>
  <c r="IS41" i="2535"/>
  <c r="IR41" i="2535"/>
  <c r="IQ41" i="2535"/>
  <c r="IP41" i="2535"/>
  <c r="IO41" i="2535"/>
  <c r="IM41" i="2535"/>
  <c r="IL41" i="2535"/>
  <c r="IK41" i="2535"/>
  <c r="IJ41" i="2535"/>
  <c r="II41" i="2535"/>
  <c r="IH41" i="2535"/>
  <c r="IG41" i="2535"/>
  <c r="IF41" i="2535"/>
  <c r="IE41" i="2535"/>
  <c r="ID41" i="2535"/>
  <c r="IC41" i="2535"/>
  <c r="IB41" i="2535"/>
  <c r="HZ41" i="2535"/>
  <c r="HY41" i="2535"/>
  <c r="HX41" i="2535"/>
  <c r="HW41" i="2535"/>
  <c r="HV41" i="2535"/>
  <c r="HU41" i="2535"/>
  <c r="HT41" i="2535"/>
  <c r="HS41" i="2535"/>
  <c r="HR41" i="2535"/>
  <c r="HQ41" i="2535"/>
  <c r="HP41" i="2535"/>
  <c r="HO41" i="2535"/>
  <c r="HM41" i="2535"/>
  <c r="HL41" i="2535"/>
  <c r="HK41" i="2535"/>
  <c r="HJ41" i="2535"/>
  <c r="HI41" i="2535"/>
  <c r="HH41" i="2535"/>
  <c r="HG41" i="2535"/>
  <c r="HF41" i="2535"/>
  <c r="HE41" i="2535"/>
  <c r="HD41" i="2535"/>
  <c r="HC41" i="2535"/>
  <c r="HB41" i="2535"/>
  <c r="GZ41" i="2535"/>
  <c r="GY41" i="2535"/>
  <c r="GX41" i="2535"/>
  <c r="GW41" i="2535"/>
  <c r="GV41" i="2535"/>
  <c r="GU41" i="2535"/>
  <c r="GT41" i="2535"/>
  <c r="GS41" i="2535"/>
  <c r="GR41" i="2535"/>
  <c r="GQ41" i="2535"/>
  <c r="GP41" i="2535"/>
  <c r="GO41" i="2535"/>
  <c r="GM41" i="2535"/>
  <c r="GL41" i="2535"/>
  <c r="GK41" i="2535"/>
  <c r="GJ41" i="2535"/>
  <c r="GI41" i="2535"/>
  <c r="GH41" i="2535"/>
  <c r="GG41" i="2535"/>
  <c r="GF41" i="2535"/>
  <c r="GE41" i="2535"/>
  <c r="GD41" i="2535"/>
  <c r="GC41" i="2535"/>
  <c r="GB41" i="2535"/>
  <c r="FZ41" i="2535"/>
  <c r="FY41" i="2535"/>
  <c r="FX41" i="2535"/>
  <c r="FW41" i="2535"/>
  <c r="FV41" i="2535"/>
  <c r="FU41" i="2535"/>
  <c r="FT41" i="2535"/>
  <c r="FS41" i="2535"/>
  <c r="FR41" i="2535"/>
  <c r="FQ41" i="2535"/>
  <c r="FP41" i="2535"/>
  <c r="FO41" i="2535"/>
  <c r="FM41" i="2535"/>
  <c r="FL41" i="2535"/>
  <c r="FK41" i="2535"/>
  <c r="FJ41" i="2535"/>
  <c r="FI41" i="2535"/>
  <c r="FH41" i="2535"/>
  <c r="FG41" i="2535"/>
  <c r="FF41" i="2535"/>
  <c r="FE41" i="2535"/>
  <c r="FD41" i="2535"/>
  <c r="FC41" i="2535"/>
  <c r="FB41" i="2535"/>
  <c r="EZ41" i="2535"/>
  <c r="EY41" i="2535"/>
  <c r="EX41" i="2535"/>
  <c r="EW41" i="2535"/>
  <c r="EV41" i="2535"/>
  <c r="EU41" i="2535"/>
  <c r="ET41" i="2535"/>
  <c r="ES41" i="2535"/>
  <c r="ER41" i="2535"/>
  <c r="EQ41" i="2535"/>
  <c r="EP41" i="2535"/>
  <c r="EO41" i="2535"/>
  <c r="EM41" i="2535"/>
  <c r="EL41" i="2535"/>
  <c r="EK41" i="2535"/>
  <c r="EJ41" i="2535"/>
  <c r="EI41" i="2535"/>
  <c r="EH41" i="2535"/>
  <c r="EG41" i="2535"/>
  <c r="EF41" i="2535"/>
  <c r="EE41" i="2535"/>
  <c r="ED41" i="2535"/>
  <c r="EC41" i="2535"/>
  <c r="EB41" i="2535"/>
  <c r="DZ41" i="2535"/>
  <c r="DY41" i="2535"/>
  <c r="DX41" i="2535"/>
  <c r="DW41" i="2535"/>
  <c r="DV41" i="2535"/>
  <c r="DU41" i="2535"/>
  <c r="DT41" i="2535"/>
  <c r="DS41" i="2535"/>
  <c r="DR41" i="2535"/>
  <c r="DQ41" i="2535"/>
  <c r="DP41" i="2535"/>
  <c r="DO41" i="2535"/>
  <c r="DM41" i="2535"/>
  <c r="DL41" i="2535"/>
  <c r="DK41" i="2535"/>
  <c r="DJ41" i="2535"/>
  <c r="DI41" i="2535"/>
  <c r="DH41" i="2535"/>
  <c r="DG41" i="2535"/>
  <c r="DF41" i="2535"/>
  <c r="DE41" i="2535"/>
  <c r="DD41" i="2535"/>
  <c r="DC41" i="2535"/>
  <c r="DB41" i="2535"/>
  <c r="CZ41" i="2535"/>
  <c r="CY41" i="2535"/>
  <c r="CX41" i="2535"/>
  <c r="CW41" i="2535"/>
  <c r="CV41" i="2535"/>
  <c r="CU41" i="2535"/>
  <c r="CT41" i="2535"/>
  <c r="CS41" i="2535"/>
  <c r="CR41" i="2535"/>
  <c r="CQ41" i="2535"/>
  <c r="CP41" i="2535"/>
  <c r="CO41" i="2535"/>
  <c r="CM41" i="2535"/>
  <c r="CL41" i="2535"/>
  <c r="CK41" i="2535"/>
  <c r="CJ41" i="2535"/>
  <c r="CI41" i="2535"/>
  <c r="CH41" i="2535"/>
  <c r="CG41" i="2535"/>
  <c r="CF41" i="2535"/>
  <c r="CE41" i="2535"/>
  <c r="CD41" i="2535"/>
  <c r="CC41" i="2535"/>
  <c r="CB41" i="2535"/>
  <c r="BZ41" i="2535"/>
  <c r="BY41" i="2535"/>
  <c r="BX41" i="2535"/>
  <c r="BW41" i="2535"/>
  <c r="BV41" i="2535"/>
  <c r="BU41" i="2535"/>
  <c r="BT41" i="2535"/>
  <c r="BS41" i="2535"/>
  <c r="BR41" i="2535"/>
  <c r="BQ41" i="2535"/>
  <c r="BP41" i="2535"/>
  <c r="BO41" i="2535"/>
  <c r="BM41" i="2535"/>
  <c r="BL41" i="2535"/>
  <c r="BK41" i="2535"/>
  <c r="BJ41" i="2535"/>
  <c r="BI41" i="2535"/>
  <c r="BH41" i="2535"/>
  <c r="BG41" i="2535"/>
  <c r="BE41" i="2535"/>
  <c r="BD41" i="2535"/>
  <c r="BC41" i="2535"/>
  <c r="BB41" i="2535"/>
  <c r="AZ41" i="2535"/>
  <c r="AY41" i="2535"/>
  <c r="AX41" i="2535"/>
  <c r="AW41" i="2535"/>
  <c r="AV41" i="2535"/>
  <c r="AU41" i="2535"/>
  <c r="AT41" i="2535"/>
  <c r="AS41" i="2535"/>
  <c r="AR41" i="2535"/>
  <c r="AQ41" i="2535"/>
  <c r="AP41" i="2535"/>
  <c r="AO41" i="2535"/>
  <c r="AM41" i="2535"/>
  <c r="AL41" i="2535"/>
  <c r="AK41" i="2535"/>
  <c r="AJ41" i="2535"/>
  <c r="AI41" i="2535"/>
  <c r="AH41" i="2535"/>
  <c r="AG41" i="2535"/>
  <c r="AF41" i="2535"/>
  <c r="AE41" i="2535"/>
  <c r="AD41" i="2535"/>
  <c r="AC41" i="2535"/>
  <c r="AB41" i="2535"/>
  <c r="Z41" i="2535"/>
  <c r="Y41" i="2535"/>
  <c r="X41" i="2535"/>
  <c r="W41" i="2535"/>
  <c r="V41" i="2535"/>
  <c r="U41" i="2535"/>
  <c r="T41" i="2535"/>
  <c r="S41" i="2535"/>
  <c r="R41" i="2535"/>
  <c r="Q41" i="2535"/>
  <c r="P41" i="2535"/>
  <c r="O41" i="2535"/>
  <c r="N41" i="2535"/>
  <c r="JZ40" i="2535"/>
  <c r="JY40" i="2535"/>
  <c r="JX40" i="2535"/>
  <c r="JW40" i="2535"/>
  <c r="JV40" i="2535"/>
  <c r="JU40" i="2535"/>
  <c r="JT40" i="2535"/>
  <c r="JS40" i="2535"/>
  <c r="JM40" i="2535"/>
  <c r="JL40" i="2535"/>
  <c r="JK40" i="2535"/>
  <c r="JJ40" i="2535"/>
  <c r="JI40" i="2535"/>
  <c r="JH40" i="2535"/>
  <c r="JG40" i="2535"/>
  <c r="JF40" i="2535"/>
  <c r="JE40" i="2535"/>
  <c r="JD40" i="2535"/>
  <c r="JC40" i="2535"/>
  <c r="JB40" i="2535"/>
  <c r="IZ40" i="2535"/>
  <c r="IY40" i="2535"/>
  <c r="IX40" i="2535"/>
  <c r="IW40" i="2535"/>
  <c r="IV40" i="2535"/>
  <c r="IU40" i="2535"/>
  <c r="IT40" i="2535"/>
  <c r="IS40" i="2535"/>
  <c r="IR40" i="2535"/>
  <c r="IQ40" i="2535"/>
  <c r="IP40" i="2535"/>
  <c r="IO40" i="2535"/>
  <c r="IM40" i="2535"/>
  <c r="IL40" i="2535"/>
  <c r="IK40" i="2535"/>
  <c r="IJ40" i="2535"/>
  <c r="II40" i="2535"/>
  <c r="IH40" i="2535"/>
  <c r="IG40" i="2535"/>
  <c r="IF40" i="2535"/>
  <c r="IE40" i="2535"/>
  <c r="ID40" i="2535"/>
  <c r="IC40" i="2535"/>
  <c r="IB40" i="2535"/>
  <c r="HZ40" i="2535"/>
  <c r="HY40" i="2535"/>
  <c r="HX40" i="2535"/>
  <c r="HW40" i="2535"/>
  <c r="HV40" i="2535"/>
  <c r="HU40" i="2535"/>
  <c r="HT40" i="2535"/>
  <c r="HS40" i="2535"/>
  <c r="HR40" i="2535"/>
  <c r="HQ40" i="2535"/>
  <c r="HP40" i="2535"/>
  <c r="HO40" i="2535"/>
  <c r="HM40" i="2535"/>
  <c r="HL40" i="2535"/>
  <c r="HK40" i="2535"/>
  <c r="HJ40" i="2535"/>
  <c r="HI40" i="2535"/>
  <c r="HH40" i="2535"/>
  <c r="HG40" i="2535"/>
  <c r="HF40" i="2535"/>
  <c r="HE40" i="2535"/>
  <c r="HD40" i="2535"/>
  <c r="HC40" i="2535"/>
  <c r="HB40" i="2535"/>
  <c r="GZ40" i="2535"/>
  <c r="GY40" i="2535"/>
  <c r="GX40" i="2535"/>
  <c r="GW40" i="2535"/>
  <c r="GV40" i="2535"/>
  <c r="GU40" i="2535"/>
  <c r="GT40" i="2535"/>
  <c r="GS40" i="2535"/>
  <c r="GR40" i="2535"/>
  <c r="GQ40" i="2535"/>
  <c r="GP40" i="2535"/>
  <c r="GO40" i="2535"/>
  <c r="GM40" i="2535"/>
  <c r="GL40" i="2535"/>
  <c r="GK40" i="2535"/>
  <c r="GJ40" i="2535"/>
  <c r="GI40" i="2535"/>
  <c r="GH40" i="2535"/>
  <c r="GG40" i="2535"/>
  <c r="GF40" i="2535"/>
  <c r="GE40" i="2535"/>
  <c r="GD40" i="2535"/>
  <c r="GC40" i="2535"/>
  <c r="GB40" i="2535"/>
  <c r="FZ40" i="2535"/>
  <c r="FY40" i="2535"/>
  <c r="FX40" i="2535"/>
  <c r="FW40" i="2535"/>
  <c r="FV40" i="2535"/>
  <c r="FU40" i="2535"/>
  <c r="FT40" i="2535"/>
  <c r="FS40" i="2535"/>
  <c r="FR40" i="2535"/>
  <c r="FQ40" i="2535"/>
  <c r="FP40" i="2535"/>
  <c r="FO40" i="2535"/>
  <c r="FM40" i="2535"/>
  <c r="FL40" i="2535"/>
  <c r="FK40" i="2535"/>
  <c r="FJ40" i="2535"/>
  <c r="FI40" i="2535"/>
  <c r="FH40" i="2535"/>
  <c r="FG40" i="2535"/>
  <c r="FF40" i="2535"/>
  <c r="FE40" i="2535"/>
  <c r="FD40" i="2535"/>
  <c r="FC40" i="2535"/>
  <c r="FB40" i="2535"/>
  <c r="EZ40" i="2535"/>
  <c r="EY40" i="2535"/>
  <c r="EX40" i="2535"/>
  <c r="EW40" i="2535"/>
  <c r="EV40" i="2535"/>
  <c r="EU40" i="2535"/>
  <c r="ET40" i="2535"/>
  <c r="ES40" i="2535"/>
  <c r="ER40" i="2535"/>
  <c r="EQ40" i="2535"/>
  <c r="EP40" i="2535"/>
  <c r="EO40" i="2535"/>
  <c r="EM40" i="2535"/>
  <c r="EL40" i="2535"/>
  <c r="EK40" i="2535"/>
  <c r="EJ40" i="2535"/>
  <c r="EI40" i="2535"/>
  <c r="EH40" i="2535"/>
  <c r="EG40" i="2535"/>
  <c r="EF40" i="2535"/>
  <c r="EE40" i="2535"/>
  <c r="ED40" i="2535"/>
  <c r="EC40" i="2535"/>
  <c r="EB40" i="2535"/>
  <c r="DZ40" i="2535"/>
  <c r="DY40" i="2535"/>
  <c r="DX40" i="2535"/>
  <c r="DW40" i="2535"/>
  <c r="DV40" i="2535"/>
  <c r="DU40" i="2535"/>
  <c r="DT40" i="2535"/>
  <c r="DS40" i="2535"/>
  <c r="DR40" i="2535"/>
  <c r="DQ40" i="2535"/>
  <c r="DP40" i="2535"/>
  <c r="DO40" i="2535"/>
  <c r="DM40" i="2535"/>
  <c r="DL40" i="2535"/>
  <c r="DK40" i="2535"/>
  <c r="DJ40" i="2535"/>
  <c r="DI40" i="2535"/>
  <c r="DH40" i="2535"/>
  <c r="DG40" i="2535"/>
  <c r="DF40" i="2535"/>
  <c r="DE40" i="2535"/>
  <c r="DD40" i="2535"/>
  <c r="DC40" i="2535"/>
  <c r="DB40" i="2535"/>
  <c r="CZ40" i="2535"/>
  <c r="CY40" i="2535"/>
  <c r="CX40" i="2535"/>
  <c r="CW40" i="2535"/>
  <c r="CV40" i="2535"/>
  <c r="CU40" i="2535"/>
  <c r="CT40" i="2535"/>
  <c r="CS40" i="2535"/>
  <c r="CR40" i="2535"/>
  <c r="CQ40" i="2535"/>
  <c r="CP40" i="2535"/>
  <c r="CO40" i="2535"/>
  <c r="CM40" i="2535"/>
  <c r="CL40" i="2535"/>
  <c r="CK40" i="2535"/>
  <c r="CJ40" i="2535"/>
  <c r="CI40" i="2535"/>
  <c r="CH40" i="2535"/>
  <c r="CG40" i="2535"/>
  <c r="CF40" i="2535"/>
  <c r="CE40" i="2535"/>
  <c r="CD40" i="2535"/>
  <c r="CC40" i="2535"/>
  <c r="CB40" i="2535"/>
  <c r="BZ40" i="2535"/>
  <c r="BY40" i="2535"/>
  <c r="BX40" i="2535"/>
  <c r="BW40" i="2535"/>
  <c r="BV40" i="2535"/>
  <c r="BU40" i="2535"/>
  <c r="BT40" i="2535"/>
  <c r="BS40" i="2535"/>
  <c r="BR40" i="2535"/>
  <c r="BQ40" i="2535"/>
  <c r="BP40" i="2535"/>
  <c r="BO40" i="2535"/>
  <c r="BM40" i="2535"/>
  <c r="BL40" i="2535"/>
  <c r="BK40" i="2535"/>
  <c r="BJ40" i="2535"/>
  <c r="BI40" i="2535"/>
  <c r="BH40" i="2535"/>
  <c r="BG40" i="2535"/>
  <c r="BF40" i="2535"/>
  <c r="BE40" i="2535"/>
  <c r="BD40" i="2535"/>
  <c r="BC40" i="2535"/>
  <c r="BB40" i="2535"/>
  <c r="AZ40" i="2535"/>
  <c r="AY40" i="2535"/>
  <c r="AX40" i="2535"/>
  <c r="AW40" i="2535"/>
  <c r="AV40" i="2535"/>
  <c r="AU40" i="2535"/>
  <c r="AT40" i="2535"/>
  <c r="AS40" i="2535"/>
  <c r="AR40" i="2535"/>
  <c r="AQ40" i="2535"/>
  <c r="AP40" i="2535"/>
  <c r="AO40" i="2535"/>
  <c r="AM40" i="2535"/>
  <c r="AL40" i="2535"/>
  <c r="AK40" i="2535"/>
  <c r="AJ40" i="2535"/>
  <c r="AI40" i="2535"/>
  <c r="AH40" i="2535"/>
  <c r="AG40" i="2535"/>
  <c r="AF40" i="2535"/>
  <c r="AE40" i="2535"/>
  <c r="AD40" i="2535"/>
  <c r="AC40" i="2535"/>
  <c r="AB40" i="2535"/>
  <c r="Z40" i="2535"/>
  <c r="Y40" i="2535"/>
  <c r="X40" i="2535"/>
  <c r="W40" i="2535"/>
  <c r="V40" i="2535"/>
  <c r="U40" i="2535"/>
  <c r="T40" i="2535"/>
  <c r="S40" i="2535"/>
  <c r="R40" i="2535"/>
  <c r="Q40" i="2535"/>
  <c r="P40" i="2535"/>
  <c r="O40" i="2535"/>
  <c r="N40" i="2535"/>
  <c r="JZ39" i="2535"/>
  <c r="JY39" i="2535"/>
  <c r="JX39" i="2535"/>
  <c r="JW39" i="2535"/>
  <c r="JV39" i="2535"/>
  <c r="JU39" i="2535"/>
  <c r="JT39" i="2535"/>
  <c r="JS39" i="2535"/>
  <c r="JM39" i="2535"/>
  <c r="JL39" i="2535"/>
  <c r="JK39" i="2535"/>
  <c r="JJ39" i="2535"/>
  <c r="JI39" i="2535"/>
  <c r="JH39" i="2535"/>
  <c r="JG39" i="2535"/>
  <c r="JF39" i="2535"/>
  <c r="JE39" i="2535"/>
  <c r="JD39" i="2535"/>
  <c r="JC39" i="2535"/>
  <c r="JB39" i="2535"/>
  <c r="IZ39" i="2535"/>
  <c r="IY39" i="2535"/>
  <c r="IX39" i="2535"/>
  <c r="IW39" i="2535"/>
  <c r="IV39" i="2535"/>
  <c r="IU39" i="2535"/>
  <c r="IT39" i="2535"/>
  <c r="IS39" i="2535"/>
  <c r="IR39" i="2535"/>
  <c r="IQ39" i="2535"/>
  <c r="IP39" i="2535"/>
  <c r="IO39" i="2535"/>
  <c r="IM39" i="2535"/>
  <c r="IL39" i="2535"/>
  <c r="IK39" i="2535"/>
  <c r="IJ39" i="2535"/>
  <c r="II39" i="2535"/>
  <c r="IH39" i="2535"/>
  <c r="IG39" i="2535"/>
  <c r="IF39" i="2535"/>
  <c r="IE39" i="2535"/>
  <c r="ID39" i="2535"/>
  <c r="IC39" i="2535"/>
  <c r="IB39" i="2535"/>
  <c r="HZ39" i="2535"/>
  <c r="HY39" i="2535"/>
  <c r="HX39" i="2535"/>
  <c r="HW39" i="2535"/>
  <c r="HV39" i="2535"/>
  <c r="HU39" i="2535"/>
  <c r="HT39" i="2535"/>
  <c r="HS39" i="2535"/>
  <c r="HR39" i="2535"/>
  <c r="HQ39" i="2535"/>
  <c r="HP39" i="2535"/>
  <c r="HO39" i="2535"/>
  <c r="HM39" i="2535"/>
  <c r="HL39" i="2535"/>
  <c r="HK39" i="2535"/>
  <c r="HJ39" i="2535"/>
  <c r="HI39" i="2535"/>
  <c r="HH39" i="2535"/>
  <c r="HG39" i="2535"/>
  <c r="HF39" i="2535"/>
  <c r="HE39" i="2535"/>
  <c r="HD39" i="2535"/>
  <c r="HC39" i="2535"/>
  <c r="HB39" i="2535"/>
  <c r="GZ39" i="2535"/>
  <c r="GY39" i="2535"/>
  <c r="GX39" i="2535"/>
  <c r="GW39" i="2535"/>
  <c r="GV39" i="2535"/>
  <c r="GU39" i="2535"/>
  <c r="GT39" i="2535"/>
  <c r="GS39" i="2535"/>
  <c r="GR39" i="2535"/>
  <c r="GQ39" i="2535"/>
  <c r="GP39" i="2535"/>
  <c r="GO39" i="2535"/>
  <c r="GM39" i="2535"/>
  <c r="GL39" i="2535"/>
  <c r="GK39" i="2535"/>
  <c r="GJ39" i="2535"/>
  <c r="GI39" i="2535"/>
  <c r="GH39" i="2535"/>
  <c r="GG39" i="2535"/>
  <c r="GF39" i="2535"/>
  <c r="GE39" i="2535"/>
  <c r="GD39" i="2535"/>
  <c r="GC39" i="2535"/>
  <c r="GB39" i="2535"/>
  <c r="FZ39" i="2535"/>
  <c r="FY39" i="2535"/>
  <c r="FX39" i="2535"/>
  <c r="FW39" i="2535"/>
  <c r="FV39" i="2535"/>
  <c r="FU39" i="2535"/>
  <c r="FT39" i="2535"/>
  <c r="FS39" i="2535"/>
  <c r="FR39" i="2535"/>
  <c r="FQ39" i="2535"/>
  <c r="FP39" i="2535"/>
  <c r="FO39" i="2535"/>
  <c r="FM39" i="2535"/>
  <c r="FL39" i="2535"/>
  <c r="FK39" i="2535"/>
  <c r="FJ39" i="2535"/>
  <c r="FI39" i="2535"/>
  <c r="FH39" i="2535"/>
  <c r="FG39" i="2535"/>
  <c r="FF39" i="2535"/>
  <c r="FE39" i="2535"/>
  <c r="FD39" i="2535"/>
  <c r="FC39" i="2535"/>
  <c r="FB39" i="2535"/>
  <c r="EZ39" i="2535"/>
  <c r="EY39" i="2535"/>
  <c r="EX39" i="2535"/>
  <c r="EW39" i="2535"/>
  <c r="EV39" i="2535"/>
  <c r="EU39" i="2535"/>
  <c r="ET39" i="2535"/>
  <c r="ES39" i="2535"/>
  <c r="ER39" i="2535"/>
  <c r="EQ39" i="2535"/>
  <c r="EP39" i="2535"/>
  <c r="EO39" i="2535"/>
  <c r="EM39" i="2535"/>
  <c r="EL39" i="2535"/>
  <c r="EK39" i="2535"/>
  <c r="EJ39" i="2535"/>
  <c r="EI39" i="2535"/>
  <c r="EH39" i="2535"/>
  <c r="EG39" i="2535"/>
  <c r="EF39" i="2535"/>
  <c r="EE39" i="2535"/>
  <c r="ED39" i="2535"/>
  <c r="EC39" i="2535"/>
  <c r="EB39" i="2535"/>
  <c r="DZ39" i="2535"/>
  <c r="DY39" i="2535"/>
  <c r="DX39" i="2535"/>
  <c r="DW39" i="2535"/>
  <c r="DV39" i="2535"/>
  <c r="DU39" i="2535"/>
  <c r="DT39" i="2535"/>
  <c r="DS39" i="2535"/>
  <c r="DR39" i="2535"/>
  <c r="DQ39" i="2535"/>
  <c r="DP39" i="2535"/>
  <c r="DO39" i="2535"/>
  <c r="DM39" i="2535"/>
  <c r="DL39" i="2535"/>
  <c r="DK39" i="2535"/>
  <c r="DJ39" i="2535"/>
  <c r="DI39" i="2535"/>
  <c r="DH39" i="2535"/>
  <c r="DG39" i="2535"/>
  <c r="DF39" i="2535"/>
  <c r="DE39" i="2535"/>
  <c r="DD39" i="2535"/>
  <c r="DC39" i="2535"/>
  <c r="DB39" i="2535"/>
  <c r="CZ39" i="2535"/>
  <c r="CY39" i="2535"/>
  <c r="CX39" i="2535"/>
  <c r="CW39" i="2535"/>
  <c r="CV39" i="2535"/>
  <c r="CU39" i="2535"/>
  <c r="CT39" i="2535"/>
  <c r="CS39" i="2535"/>
  <c r="CR39" i="2535"/>
  <c r="CQ39" i="2535"/>
  <c r="CP39" i="2535"/>
  <c r="CO39" i="2535"/>
  <c r="CM39" i="2535"/>
  <c r="CL39" i="2535"/>
  <c r="CK39" i="2535"/>
  <c r="CJ39" i="2535"/>
  <c r="CI39" i="2535"/>
  <c r="CH39" i="2535"/>
  <c r="CG39" i="2535"/>
  <c r="CF39" i="2535"/>
  <c r="CE39" i="2535"/>
  <c r="CD39" i="2535"/>
  <c r="CC39" i="2535"/>
  <c r="CB39" i="2535"/>
  <c r="BZ39" i="2535"/>
  <c r="BY39" i="2535"/>
  <c r="BX39" i="2535"/>
  <c r="BW39" i="2535"/>
  <c r="BV39" i="2535"/>
  <c r="BU39" i="2535"/>
  <c r="BT39" i="2535"/>
  <c r="BS39" i="2535"/>
  <c r="BR39" i="2535"/>
  <c r="BQ39" i="2535"/>
  <c r="BP39" i="2535"/>
  <c r="BO39" i="2535"/>
  <c r="BM39" i="2535"/>
  <c r="BL39" i="2535"/>
  <c r="BK39" i="2535"/>
  <c r="BJ39" i="2535"/>
  <c r="BI39" i="2535"/>
  <c r="BH39" i="2535"/>
  <c r="BG39" i="2535"/>
  <c r="BF39" i="2535"/>
  <c r="BE39" i="2535"/>
  <c r="BD39" i="2535"/>
  <c r="BC39" i="2535"/>
  <c r="BB39" i="2535"/>
  <c r="AZ39" i="2535"/>
  <c r="AY39" i="2535"/>
  <c r="AX39" i="2535"/>
  <c r="AW39" i="2535"/>
  <c r="AV39" i="2535"/>
  <c r="AU39" i="2535"/>
  <c r="AT39" i="2535"/>
  <c r="AS39" i="2535"/>
  <c r="AR39" i="2535"/>
  <c r="AQ39" i="2535"/>
  <c r="AP39" i="2535"/>
  <c r="AO39" i="2535"/>
  <c r="AM39" i="2535"/>
  <c r="AL39" i="2535"/>
  <c r="AK39" i="2535"/>
  <c r="AJ39" i="2535"/>
  <c r="AI39" i="2535"/>
  <c r="AH39" i="2535"/>
  <c r="AG39" i="2535"/>
  <c r="AF39" i="2535"/>
  <c r="AE39" i="2535"/>
  <c r="AD39" i="2535"/>
  <c r="AC39" i="2535"/>
  <c r="AB39" i="2535"/>
  <c r="Z39" i="2535"/>
  <c r="Y39" i="2535"/>
  <c r="X39" i="2535"/>
  <c r="W39" i="2535"/>
  <c r="V39" i="2535"/>
  <c r="U39" i="2535"/>
  <c r="T39" i="2535"/>
  <c r="S39" i="2535"/>
  <c r="R39" i="2535"/>
  <c r="Q39" i="2535"/>
  <c r="P39" i="2535"/>
  <c r="O39" i="2535"/>
  <c r="N39" i="2535"/>
  <c r="JZ38" i="2535"/>
  <c r="JY38" i="2535"/>
  <c r="JX38" i="2535"/>
  <c r="JW38" i="2535"/>
  <c r="JV38" i="2535"/>
  <c r="JU38" i="2535"/>
  <c r="JT38" i="2535"/>
  <c r="JS38" i="2535"/>
  <c r="JM38" i="2535"/>
  <c r="JL38" i="2535"/>
  <c r="JK38" i="2535"/>
  <c r="JJ38" i="2535"/>
  <c r="JI38" i="2535"/>
  <c r="JH38" i="2535"/>
  <c r="JG38" i="2535"/>
  <c r="JF38" i="2535"/>
  <c r="JE38" i="2535"/>
  <c r="JD38" i="2535"/>
  <c r="JC38" i="2535"/>
  <c r="JB38" i="2535"/>
  <c r="IZ38" i="2535"/>
  <c r="IY38" i="2535"/>
  <c r="IX38" i="2535"/>
  <c r="IW38" i="2535"/>
  <c r="IV38" i="2535"/>
  <c r="IU38" i="2535"/>
  <c r="IT38" i="2535"/>
  <c r="IS38" i="2535"/>
  <c r="IR38" i="2535"/>
  <c r="IQ38" i="2535"/>
  <c r="IP38" i="2535"/>
  <c r="IO38" i="2535"/>
  <c r="IM38" i="2535"/>
  <c r="IL38" i="2535"/>
  <c r="IK38" i="2535"/>
  <c r="IJ38" i="2535"/>
  <c r="II38" i="2535"/>
  <c r="IH38" i="2535"/>
  <c r="IG38" i="2535"/>
  <c r="IF38" i="2535"/>
  <c r="IE38" i="2535"/>
  <c r="ID38" i="2535"/>
  <c r="IC38" i="2535"/>
  <c r="IB38" i="2535"/>
  <c r="HZ38" i="2535"/>
  <c r="HY38" i="2535"/>
  <c r="HX38" i="2535"/>
  <c r="HW38" i="2535"/>
  <c r="HV38" i="2535"/>
  <c r="HU38" i="2535"/>
  <c r="HT38" i="2535"/>
  <c r="HS38" i="2535"/>
  <c r="HR38" i="2535"/>
  <c r="HQ38" i="2535"/>
  <c r="HP38" i="2535"/>
  <c r="HO38" i="2535"/>
  <c r="HM38" i="2535"/>
  <c r="HL38" i="2535"/>
  <c r="HK38" i="2535"/>
  <c r="HJ38" i="2535"/>
  <c r="HI38" i="2535"/>
  <c r="HH38" i="2535"/>
  <c r="HG38" i="2535"/>
  <c r="HF38" i="2535"/>
  <c r="HE38" i="2535"/>
  <c r="HD38" i="2535"/>
  <c r="HC38" i="2535"/>
  <c r="HB38" i="2535"/>
  <c r="GZ38" i="2535"/>
  <c r="GY38" i="2535"/>
  <c r="GX38" i="2535"/>
  <c r="GW38" i="2535"/>
  <c r="GV38" i="2535"/>
  <c r="GU38" i="2535"/>
  <c r="GT38" i="2535"/>
  <c r="GS38" i="2535"/>
  <c r="GR38" i="2535"/>
  <c r="GQ38" i="2535"/>
  <c r="GP38" i="2535"/>
  <c r="GO38" i="2535"/>
  <c r="GM38" i="2535"/>
  <c r="GL38" i="2535"/>
  <c r="GK38" i="2535"/>
  <c r="GJ38" i="2535"/>
  <c r="GI38" i="2535"/>
  <c r="GH38" i="2535"/>
  <c r="GG38" i="2535"/>
  <c r="GF38" i="2535"/>
  <c r="GE38" i="2535"/>
  <c r="GD38" i="2535"/>
  <c r="GC38" i="2535"/>
  <c r="GB38" i="2535"/>
  <c r="FZ38" i="2535"/>
  <c r="FY38" i="2535"/>
  <c r="FX38" i="2535"/>
  <c r="FW38" i="2535"/>
  <c r="FV38" i="2535"/>
  <c r="FU38" i="2535"/>
  <c r="FT38" i="2535"/>
  <c r="FS38" i="2535"/>
  <c r="FR38" i="2535"/>
  <c r="FQ38" i="2535"/>
  <c r="FP38" i="2535"/>
  <c r="FO38" i="2535"/>
  <c r="FM38" i="2535"/>
  <c r="FL38" i="2535"/>
  <c r="FK38" i="2535"/>
  <c r="FJ38" i="2535"/>
  <c r="FI38" i="2535"/>
  <c r="FH38" i="2535"/>
  <c r="FG38" i="2535"/>
  <c r="FF38" i="2535"/>
  <c r="FE38" i="2535"/>
  <c r="FD38" i="2535"/>
  <c r="FC38" i="2535"/>
  <c r="FB38" i="2535"/>
  <c r="EZ38" i="2535"/>
  <c r="EY38" i="2535"/>
  <c r="EX38" i="2535"/>
  <c r="EW38" i="2535"/>
  <c r="EV38" i="2535"/>
  <c r="EU38" i="2535"/>
  <c r="ET38" i="2535"/>
  <c r="ES38" i="2535"/>
  <c r="ER38" i="2535"/>
  <c r="EQ38" i="2535"/>
  <c r="EP38" i="2535"/>
  <c r="EO38" i="2535"/>
  <c r="EM38" i="2535"/>
  <c r="EL38" i="2535"/>
  <c r="EK38" i="2535"/>
  <c r="EJ38" i="2535"/>
  <c r="EI38" i="2535"/>
  <c r="EH38" i="2535"/>
  <c r="EG38" i="2535"/>
  <c r="EF38" i="2535"/>
  <c r="EE38" i="2535"/>
  <c r="ED38" i="2535"/>
  <c r="EC38" i="2535"/>
  <c r="EB38" i="2535"/>
  <c r="DZ38" i="2535"/>
  <c r="DY38" i="2535"/>
  <c r="DX38" i="2535"/>
  <c r="DW38" i="2535"/>
  <c r="DV38" i="2535"/>
  <c r="DU38" i="2535"/>
  <c r="DT38" i="2535"/>
  <c r="DS38" i="2535"/>
  <c r="DR38" i="2535"/>
  <c r="DQ38" i="2535"/>
  <c r="DP38" i="2535"/>
  <c r="DO38" i="2535"/>
  <c r="DM38" i="2535"/>
  <c r="DL38" i="2535"/>
  <c r="DK38" i="2535"/>
  <c r="DJ38" i="2535"/>
  <c r="DI38" i="2535"/>
  <c r="DH38" i="2535"/>
  <c r="DG38" i="2535"/>
  <c r="DF38" i="2535"/>
  <c r="DE38" i="2535"/>
  <c r="DD38" i="2535"/>
  <c r="DC38" i="2535"/>
  <c r="DB38" i="2535"/>
  <c r="CZ38" i="2535"/>
  <c r="CY38" i="2535"/>
  <c r="CX38" i="2535"/>
  <c r="CW38" i="2535"/>
  <c r="CV38" i="2535"/>
  <c r="CU38" i="2535"/>
  <c r="CT38" i="2535"/>
  <c r="CS38" i="2535"/>
  <c r="CR38" i="2535"/>
  <c r="CQ38" i="2535"/>
  <c r="CP38" i="2535"/>
  <c r="CO38" i="2535"/>
  <c r="CM38" i="2535"/>
  <c r="CL38" i="2535"/>
  <c r="CK38" i="2535"/>
  <c r="CJ38" i="2535"/>
  <c r="CI38" i="2535"/>
  <c r="CH38" i="2535"/>
  <c r="CG38" i="2535"/>
  <c r="CF38" i="2535"/>
  <c r="CE38" i="2535"/>
  <c r="CD38" i="2535"/>
  <c r="CC38" i="2535"/>
  <c r="CB38" i="2535"/>
  <c r="BZ38" i="2535"/>
  <c r="BY38" i="2535"/>
  <c r="BX38" i="2535"/>
  <c r="BW38" i="2535"/>
  <c r="BV38" i="2535"/>
  <c r="BU38" i="2535"/>
  <c r="BT38" i="2535"/>
  <c r="BS38" i="2535"/>
  <c r="BR38" i="2535"/>
  <c r="BQ38" i="2535"/>
  <c r="BP38" i="2535"/>
  <c r="BO38" i="2535"/>
  <c r="BM38" i="2535"/>
  <c r="BL38" i="2535"/>
  <c r="BK38" i="2535"/>
  <c r="BJ38" i="2535"/>
  <c r="BI38" i="2535"/>
  <c r="BH38" i="2535"/>
  <c r="BG38" i="2535"/>
  <c r="BF38" i="2535"/>
  <c r="BE38" i="2535"/>
  <c r="BD38" i="2535"/>
  <c r="BC38" i="2535"/>
  <c r="BB38" i="2535"/>
  <c r="AZ38" i="2535"/>
  <c r="AY38" i="2535"/>
  <c r="AX38" i="2535"/>
  <c r="AW38" i="2535"/>
  <c r="AV38" i="2535"/>
  <c r="AU38" i="2535"/>
  <c r="AT38" i="2535"/>
  <c r="AS38" i="2535"/>
  <c r="AR38" i="2535"/>
  <c r="AQ38" i="2535"/>
  <c r="AP38" i="2535"/>
  <c r="AO38" i="2535"/>
  <c r="AM38" i="2535"/>
  <c r="AL38" i="2535"/>
  <c r="AK38" i="2535"/>
  <c r="AJ38" i="2535"/>
  <c r="AI38" i="2535"/>
  <c r="AH38" i="2535"/>
  <c r="AG38" i="2535"/>
  <c r="AF38" i="2535"/>
  <c r="AE38" i="2535"/>
  <c r="AD38" i="2535"/>
  <c r="AC38" i="2535"/>
  <c r="AB38" i="2535"/>
  <c r="Z38" i="2535"/>
  <c r="Y38" i="2535"/>
  <c r="X38" i="2535"/>
  <c r="W38" i="2535"/>
  <c r="V38" i="2535"/>
  <c r="U38" i="2535"/>
  <c r="T38" i="2535"/>
  <c r="S38" i="2535"/>
  <c r="R38" i="2535"/>
  <c r="Q38" i="2535"/>
  <c r="P38" i="2535"/>
  <c r="O38" i="2535"/>
  <c r="N38" i="2535"/>
  <c r="JZ37" i="2535"/>
  <c r="JY37" i="2535"/>
  <c r="JX37" i="2535"/>
  <c r="JW37" i="2535"/>
  <c r="JV37" i="2535"/>
  <c r="JU37" i="2535"/>
  <c r="JT37" i="2535"/>
  <c r="JS37" i="2535"/>
  <c r="JM37" i="2535"/>
  <c r="JL37" i="2535"/>
  <c r="JK37" i="2535"/>
  <c r="JJ37" i="2535"/>
  <c r="JI37" i="2535"/>
  <c r="JH37" i="2535"/>
  <c r="JG37" i="2535"/>
  <c r="JF37" i="2535"/>
  <c r="JE37" i="2535"/>
  <c r="JD37" i="2535"/>
  <c r="JC37" i="2535"/>
  <c r="JB37" i="2535"/>
  <c r="IZ37" i="2535"/>
  <c r="IY37" i="2535"/>
  <c r="IX37" i="2535"/>
  <c r="IW37" i="2535"/>
  <c r="IV37" i="2535"/>
  <c r="IU37" i="2535"/>
  <c r="IT37" i="2535"/>
  <c r="IS37" i="2535"/>
  <c r="BC37" i="2535"/>
  <c r="JZ36" i="2535"/>
  <c r="JY36" i="2535"/>
  <c r="JX36" i="2535"/>
  <c r="JW36" i="2535"/>
  <c r="JV36" i="2535"/>
  <c r="JU36" i="2535"/>
  <c r="JT36" i="2535"/>
  <c r="JS36" i="2535"/>
  <c r="JM36" i="2535"/>
  <c r="JL36" i="2535"/>
  <c r="JK36" i="2535"/>
  <c r="JJ36" i="2535"/>
  <c r="JI36" i="2535"/>
  <c r="JH36" i="2535"/>
  <c r="JG36" i="2535"/>
  <c r="JF36" i="2535"/>
  <c r="JE36" i="2535"/>
  <c r="JD36" i="2535"/>
  <c r="JC36" i="2535"/>
  <c r="JB36" i="2535"/>
  <c r="IZ36" i="2535"/>
  <c r="IY36" i="2535"/>
  <c r="IX36" i="2535"/>
  <c r="IW36" i="2535"/>
  <c r="IV36" i="2535"/>
  <c r="IU36" i="2535"/>
  <c r="IT36" i="2535"/>
  <c r="IS36" i="2535"/>
  <c r="IR36" i="2535"/>
  <c r="IQ36" i="2535"/>
  <c r="IP36" i="2535"/>
  <c r="IO36" i="2535"/>
  <c r="IM36" i="2535"/>
  <c r="IL36" i="2535"/>
  <c r="IK36" i="2535"/>
  <c r="IJ36" i="2535"/>
  <c r="II36" i="2535"/>
  <c r="IH36" i="2535"/>
  <c r="IG36" i="2535"/>
  <c r="IF36" i="2535"/>
  <c r="IE36" i="2535"/>
  <c r="ID36" i="2535"/>
  <c r="IC36" i="2535"/>
  <c r="IB36" i="2535"/>
  <c r="HZ36" i="2535"/>
  <c r="HY36" i="2535"/>
  <c r="HX36" i="2535"/>
  <c r="HW36" i="2535"/>
  <c r="HV36" i="2535"/>
  <c r="HU36" i="2535"/>
  <c r="HT36" i="2535"/>
  <c r="HS36" i="2535"/>
  <c r="HR36" i="2535"/>
  <c r="HQ36" i="2535"/>
  <c r="HP36" i="2535"/>
  <c r="HO36" i="2535"/>
  <c r="HM36" i="2535"/>
  <c r="HL36" i="2535"/>
  <c r="HK36" i="2535"/>
  <c r="HJ36" i="2535"/>
  <c r="HI36" i="2535"/>
  <c r="HH36" i="2535"/>
  <c r="HG36" i="2535"/>
  <c r="HF36" i="2535"/>
  <c r="HE36" i="2535"/>
  <c r="HD36" i="2535"/>
  <c r="HC36" i="2535"/>
  <c r="HB36" i="2535"/>
  <c r="GZ36" i="2535"/>
  <c r="GY36" i="2535"/>
  <c r="GX36" i="2535"/>
  <c r="GW36" i="2535"/>
  <c r="GV36" i="2535"/>
  <c r="GU36" i="2535"/>
  <c r="GT36" i="2535"/>
  <c r="GS36" i="2535"/>
  <c r="GR36" i="2535"/>
  <c r="GQ36" i="2535"/>
  <c r="GP36" i="2535"/>
  <c r="GO36" i="2535"/>
  <c r="GM36" i="2535"/>
  <c r="GL36" i="2535"/>
  <c r="GK36" i="2535"/>
  <c r="GJ36" i="2535"/>
  <c r="GI36" i="2535"/>
  <c r="GH36" i="2535"/>
  <c r="GG36" i="2535"/>
  <c r="GF36" i="2535"/>
  <c r="GE36" i="2535"/>
  <c r="GD36" i="2535"/>
  <c r="GC36" i="2535"/>
  <c r="GB36" i="2535"/>
  <c r="FZ36" i="2535"/>
  <c r="FY36" i="2535"/>
  <c r="FX36" i="2535"/>
  <c r="FW36" i="2535"/>
  <c r="FV36" i="2535"/>
  <c r="FU36" i="2535"/>
  <c r="FT36" i="2535"/>
  <c r="FS36" i="2535"/>
  <c r="FR36" i="2535"/>
  <c r="FQ36" i="2535"/>
  <c r="FP36" i="2535"/>
  <c r="FO36" i="2535"/>
  <c r="FM36" i="2535"/>
  <c r="FL36" i="2535"/>
  <c r="FK36" i="2535"/>
  <c r="FJ36" i="2535"/>
  <c r="FI36" i="2535"/>
  <c r="FH36" i="2535"/>
  <c r="FG36" i="2535"/>
  <c r="FF36" i="2535"/>
  <c r="FE36" i="2535"/>
  <c r="FD36" i="2535"/>
  <c r="FC36" i="2535"/>
  <c r="FB36" i="2535"/>
  <c r="EZ36" i="2535"/>
  <c r="EY36" i="2535"/>
  <c r="EX36" i="2535"/>
  <c r="EW36" i="2535"/>
  <c r="EV36" i="2535"/>
  <c r="EU36" i="2535"/>
  <c r="ET36" i="2535"/>
  <c r="ES36" i="2535"/>
  <c r="ER36" i="2535"/>
  <c r="EQ36" i="2535"/>
  <c r="EP36" i="2535"/>
  <c r="EO36" i="2535"/>
  <c r="EM36" i="2535"/>
  <c r="EL36" i="2535"/>
  <c r="EK36" i="2535"/>
  <c r="EJ36" i="2535"/>
  <c r="EI36" i="2535"/>
  <c r="EH36" i="2535"/>
  <c r="EG36" i="2535"/>
  <c r="EF36" i="2535"/>
  <c r="EE36" i="2535"/>
  <c r="ED36" i="2535"/>
  <c r="EC36" i="2535"/>
  <c r="EB36" i="2535"/>
  <c r="DZ36" i="2535"/>
  <c r="DY36" i="2535"/>
  <c r="DX36" i="2535"/>
  <c r="DW36" i="2535"/>
  <c r="DV36" i="2535"/>
  <c r="DU36" i="2535"/>
  <c r="DT36" i="2535"/>
  <c r="DS36" i="2535"/>
  <c r="DR36" i="2535"/>
  <c r="DQ36" i="2535"/>
  <c r="DP36" i="2535"/>
  <c r="DO36" i="2535"/>
  <c r="DM36" i="2535"/>
  <c r="DL36" i="2535"/>
  <c r="DK36" i="2535"/>
  <c r="DJ36" i="2535"/>
  <c r="DI36" i="2535"/>
  <c r="DH36" i="2535"/>
  <c r="DG36" i="2535"/>
  <c r="DF36" i="2535"/>
  <c r="DE36" i="2535"/>
  <c r="DD36" i="2535"/>
  <c r="DC36" i="2535"/>
  <c r="DB36" i="2535"/>
  <c r="CZ36" i="2535"/>
  <c r="CY36" i="2535"/>
  <c r="CX36" i="2535"/>
  <c r="CW36" i="2535"/>
  <c r="CV36" i="2535"/>
  <c r="CU36" i="2535"/>
  <c r="CT36" i="2535"/>
  <c r="CS36" i="2535"/>
  <c r="CR36" i="2535"/>
  <c r="CQ36" i="2535"/>
  <c r="CP36" i="2535"/>
  <c r="CO36" i="2535"/>
  <c r="CM36" i="2535"/>
  <c r="CL36" i="2535"/>
  <c r="CK36" i="2535"/>
  <c r="CJ36" i="2535"/>
  <c r="CI36" i="2535"/>
  <c r="CH36" i="2535"/>
  <c r="CG36" i="2535"/>
  <c r="CF36" i="2535"/>
  <c r="CE36" i="2535"/>
  <c r="CD36" i="2535"/>
  <c r="CC36" i="2535"/>
  <c r="CB36" i="2535"/>
  <c r="BZ36" i="2535"/>
  <c r="BY36" i="2535"/>
  <c r="BX36" i="2535"/>
  <c r="BW36" i="2535"/>
  <c r="BV36" i="2535"/>
  <c r="BU36" i="2535"/>
  <c r="BT36" i="2535"/>
  <c r="BS36" i="2535"/>
  <c r="BR36" i="2535"/>
  <c r="BQ36" i="2535"/>
  <c r="BP36" i="2535"/>
  <c r="BO36" i="2535"/>
  <c r="BM36" i="2535"/>
  <c r="BL36" i="2535"/>
  <c r="BK36" i="2535"/>
  <c r="BJ36" i="2535"/>
  <c r="BI36" i="2535"/>
  <c r="BH36" i="2535"/>
  <c r="BG36" i="2535"/>
  <c r="BF36" i="2535"/>
  <c r="BE36" i="2535"/>
  <c r="BD36" i="2535"/>
  <c r="BC36" i="2535"/>
  <c r="BB36" i="2535"/>
  <c r="AZ36" i="2535"/>
  <c r="AY36" i="2535"/>
  <c r="AX36" i="2535"/>
  <c r="AW36" i="2535"/>
  <c r="AV36" i="2535"/>
  <c r="AU36" i="2535"/>
  <c r="AT36" i="2535"/>
  <c r="AS36" i="2535"/>
  <c r="AR36" i="2535"/>
  <c r="AQ36" i="2535"/>
  <c r="AP36" i="2535"/>
  <c r="AO36" i="2535"/>
  <c r="AM36" i="2535"/>
  <c r="AL36" i="2535"/>
  <c r="AK36" i="2535"/>
  <c r="AJ36" i="2535"/>
  <c r="AI36" i="2535"/>
  <c r="AH36" i="2535"/>
  <c r="AG36" i="2535"/>
  <c r="AF36" i="2535"/>
  <c r="AE36" i="2535"/>
  <c r="AD36" i="2535"/>
  <c r="AC36" i="2535"/>
  <c r="AB36" i="2535"/>
  <c r="Z36" i="2535"/>
  <c r="Y36" i="2535"/>
  <c r="X36" i="2535"/>
  <c r="W36" i="2535"/>
  <c r="V36" i="2535"/>
  <c r="U36" i="2535"/>
  <c r="T36" i="2535"/>
  <c r="S36" i="2535"/>
  <c r="R36" i="2535"/>
  <c r="Q36" i="2535"/>
  <c r="P36" i="2535"/>
  <c r="O36" i="2535"/>
  <c r="N36" i="2535"/>
  <c r="JZ35" i="2535"/>
  <c r="JY35" i="2535"/>
  <c r="JX35" i="2535"/>
  <c r="JW35" i="2535"/>
  <c r="JV35" i="2535"/>
  <c r="JU35" i="2535"/>
  <c r="JT35" i="2535"/>
  <c r="JS35" i="2535"/>
  <c r="JM35" i="2535"/>
  <c r="JL35" i="2535"/>
  <c r="JK35" i="2535"/>
  <c r="JJ35" i="2535"/>
  <c r="JI35" i="2535"/>
  <c r="JH35" i="2535"/>
  <c r="JG35" i="2535"/>
  <c r="JF35" i="2535"/>
  <c r="JE35" i="2535"/>
  <c r="JD35" i="2535"/>
  <c r="JC35" i="2535"/>
  <c r="JB35" i="2535"/>
  <c r="IZ35" i="2535"/>
  <c r="IY35" i="2535"/>
  <c r="IX35" i="2535"/>
  <c r="IW35" i="2535"/>
  <c r="IV35" i="2535"/>
  <c r="IU35" i="2535"/>
  <c r="IT35" i="2535"/>
  <c r="IS35" i="2535"/>
  <c r="IR35" i="2535"/>
  <c r="IQ35" i="2535"/>
  <c r="IP35" i="2535"/>
  <c r="IO35" i="2535"/>
  <c r="IM35" i="2535"/>
  <c r="IL35" i="2535"/>
  <c r="IK35" i="2535"/>
  <c r="IJ35" i="2535"/>
  <c r="II35" i="2535"/>
  <c r="IH35" i="2535"/>
  <c r="IG35" i="2535"/>
  <c r="IF35" i="2535"/>
  <c r="IE35" i="2535"/>
  <c r="ID35" i="2535"/>
  <c r="IC35" i="2535"/>
  <c r="IB35" i="2535"/>
  <c r="HZ35" i="2535"/>
  <c r="HY35" i="2535"/>
  <c r="HX35" i="2535"/>
  <c r="HW35" i="2535"/>
  <c r="HV35" i="2535"/>
  <c r="HU35" i="2535"/>
  <c r="HT35" i="2535"/>
  <c r="HS35" i="2535"/>
  <c r="HR35" i="2535"/>
  <c r="HQ35" i="2535"/>
  <c r="HP35" i="2535"/>
  <c r="HO35" i="2535"/>
  <c r="HM35" i="2535"/>
  <c r="HL35" i="2535"/>
  <c r="HK35" i="2535"/>
  <c r="HJ35" i="2535"/>
  <c r="HI35" i="2535"/>
  <c r="HH35" i="2535"/>
  <c r="HG35" i="2535"/>
  <c r="HF35" i="2535"/>
  <c r="HE35" i="2535"/>
  <c r="HD35" i="2535"/>
  <c r="HC35" i="2535"/>
  <c r="HB35" i="2535"/>
  <c r="GZ35" i="2535"/>
  <c r="GY35" i="2535"/>
  <c r="GX35" i="2535"/>
  <c r="GW35" i="2535"/>
  <c r="GV35" i="2535"/>
  <c r="GU35" i="2535"/>
  <c r="GT35" i="2535"/>
  <c r="GS35" i="2535"/>
  <c r="GR35" i="2535"/>
  <c r="GQ35" i="2535"/>
  <c r="GP35" i="2535"/>
  <c r="GO35" i="2535"/>
  <c r="GM35" i="2535"/>
  <c r="GL35" i="2535"/>
  <c r="GK35" i="2535"/>
  <c r="GJ35" i="2535"/>
  <c r="GI35" i="2535"/>
  <c r="GH35" i="2535"/>
  <c r="GG35" i="2535"/>
  <c r="GF35" i="2535"/>
  <c r="GE35" i="2535"/>
  <c r="GD35" i="2535"/>
  <c r="GC35" i="2535"/>
  <c r="GB35" i="2535"/>
  <c r="FZ35" i="2535"/>
  <c r="FY35" i="2535"/>
  <c r="FX35" i="2535"/>
  <c r="FW35" i="2535"/>
  <c r="FV35" i="2535"/>
  <c r="FU35" i="2535"/>
  <c r="FT35" i="2535"/>
  <c r="FS35" i="2535"/>
  <c r="FR35" i="2535"/>
  <c r="FQ35" i="2535"/>
  <c r="FP35" i="2535"/>
  <c r="FO35" i="2535"/>
  <c r="FM35" i="2535"/>
  <c r="FL35" i="2535"/>
  <c r="FK35" i="2535"/>
  <c r="FJ35" i="2535"/>
  <c r="FI35" i="2535"/>
  <c r="FH35" i="2535"/>
  <c r="FG35" i="2535"/>
  <c r="FF35" i="2535"/>
  <c r="FE35" i="2535"/>
  <c r="FD35" i="2535"/>
  <c r="FC35" i="2535"/>
  <c r="FB35" i="2535"/>
  <c r="EZ35" i="2535"/>
  <c r="EY35" i="2535"/>
  <c r="EX35" i="2535"/>
  <c r="EW35" i="2535"/>
  <c r="EV35" i="2535"/>
  <c r="EU35" i="2535"/>
  <c r="ET35" i="2535"/>
  <c r="ES35" i="2535"/>
  <c r="ER35" i="2535"/>
  <c r="EQ35" i="2535"/>
  <c r="EP35" i="2535"/>
  <c r="EO35" i="2535"/>
  <c r="EM35" i="2535"/>
  <c r="EL35" i="2535"/>
  <c r="EK35" i="2535"/>
  <c r="EJ35" i="2535"/>
  <c r="EI35" i="2535"/>
  <c r="EH35" i="2535"/>
  <c r="EG35" i="2535"/>
  <c r="EF35" i="2535"/>
  <c r="EE35" i="2535"/>
  <c r="ED35" i="2535"/>
  <c r="EC35" i="2535"/>
  <c r="EB35" i="2535"/>
  <c r="DZ35" i="2535"/>
  <c r="DY35" i="2535"/>
  <c r="DX35" i="2535"/>
  <c r="DW35" i="2535"/>
  <c r="DV35" i="2535"/>
  <c r="DU35" i="2535"/>
  <c r="DT35" i="2535"/>
  <c r="DS35" i="2535"/>
  <c r="DR35" i="2535"/>
  <c r="DQ35" i="2535"/>
  <c r="DP35" i="2535"/>
  <c r="DO35" i="2535"/>
  <c r="DM35" i="2535"/>
  <c r="DL35" i="2535"/>
  <c r="DK35" i="2535"/>
  <c r="DJ35" i="2535"/>
  <c r="DI35" i="2535"/>
  <c r="DH35" i="2535"/>
  <c r="DG35" i="2535"/>
  <c r="DF35" i="2535"/>
  <c r="DE35" i="2535"/>
  <c r="DD35" i="2535"/>
  <c r="DC35" i="2535"/>
  <c r="DB35" i="2535"/>
  <c r="CZ35" i="2535"/>
  <c r="CY35" i="2535"/>
  <c r="CX35" i="2535"/>
  <c r="CW35" i="2535"/>
  <c r="CV35" i="2535"/>
  <c r="CU35" i="2535"/>
  <c r="CT35" i="2535"/>
  <c r="CS35" i="2535"/>
  <c r="CR35" i="2535"/>
  <c r="CQ35" i="2535"/>
  <c r="CP35" i="2535"/>
  <c r="CO35" i="2535"/>
  <c r="CM35" i="2535"/>
  <c r="CL35" i="2535"/>
  <c r="CK35" i="2535"/>
  <c r="CJ35" i="2535"/>
  <c r="CI35" i="2535"/>
  <c r="CH35" i="2535"/>
  <c r="CG35" i="2535"/>
  <c r="CF35" i="2535"/>
  <c r="CE35" i="2535"/>
  <c r="CD35" i="2535"/>
  <c r="CC35" i="2535"/>
  <c r="CB35" i="2535"/>
  <c r="BZ35" i="2535"/>
  <c r="BY35" i="2535"/>
  <c r="BX35" i="2535"/>
  <c r="BW35" i="2535"/>
  <c r="BV35" i="2535"/>
  <c r="BU35" i="2535"/>
  <c r="BT35" i="2535"/>
  <c r="BS35" i="2535"/>
  <c r="BR35" i="2535"/>
  <c r="BQ35" i="2535"/>
  <c r="BP35" i="2535"/>
  <c r="BO35" i="2535"/>
  <c r="BM35" i="2535"/>
  <c r="BL35" i="2535"/>
  <c r="BK35" i="2535"/>
  <c r="BJ35" i="2535"/>
  <c r="BI35" i="2535"/>
  <c r="BH35" i="2535"/>
  <c r="BG35" i="2535"/>
  <c r="BF35" i="2535"/>
  <c r="BE35" i="2535"/>
  <c r="BD35" i="2535"/>
  <c r="BC35" i="2535"/>
  <c r="BB35" i="2535"/>
  <c r="AZ35" i="2535"/>
  <c r="AY35" i="2535"/>
  <c r="AX35" i="2535"/>
  <c r="AW35" i="2535"/>
  <c r="AV35" i="2535"/>
  <c r="AU35" i="2535"/>
  <c r="AT35" i="2535"/>
  <c r="AS35" i="2535"/>
  <c r="AR35" i="2535"/>
  <c r="AQ35" i="2535"/>
  <c r="AP35" i="2535"/>
  <c r="AO35" i="2535"/>
  <c r="AM35" i="2535"/>
  <c r="AL35" i="2535"/>
  <c r="AK35" i="2535"/>
  <c r="AJ35" i="2535"/>
  <c r="AI35" i="2535"/>
  <c r="AH35" i="2535"/>
  <c r="AG35" i="2535"/>
  <c r="AF35" i="2535"/>
  <c r="AE35" i="2535"/>
  <c r="AD35" i="2535"/>
  <c r="AC35" i="2535"/>
  <c r="AB35" i="2535"/>
  <c r="Z35" i="2535"/>
  <c r="Y35" i="2535"/>
  <c r="X35" i="2535"/>
  <c r="W35" i="2535"/>
  <c r="V35" i="2535"/>
  <c r="U35" i="2535"/>
  <c r="T35" i="2535"/>
  <c r="S35" i="2535"/>
  <c r="R35" i="2535"/>
  <c r="Q35" i="2535"/>
  <c r="P35" i="2535"/>
  <c r="O35" i="2535"/>
  <c r="JZ34" i="2535"/>
  <c r="JY34" i="2535"/>
  <c r="JX34" i="2535"/>
  <c r="JW34" i="2535"/>
  <c r="JV34" i="2535"/>
  <c r="JU34" i="2535"/>
  <c r="JT34" i="2535"/>
  <c r="JS34" i="2535"/>
  <c r="JM34" i="2535"/>
  <c r="JL34" i="2535"/>
  <c r="JK34" i="2535"/>
  <c r="JJ34" i="2535"/>
  <c r="JI34" i="2535"/>
  <c r="JH34" i="2535"/>
  <c r="JG34" i="2535"/>
  <c r="JF34" i="2535"/>
  <c r="JE34" i="2535"/>
  <c r="JD34" i="2535"/>
  <c r="JC34" i="2535"/>
  <c r="JB34" i="2535"/>
  <c r="IZ34" i="2535"/>
  <c r="IY34" i="2535"/>
  <c r="IX34" i="2535"/>
  <c r="IW34" i="2535"/>
  <c r="IV34" i="2535"/>
  <c r="IU34" i="2535"/>
  <c r="IT34" i="2535"/>
  <c r="IS34" i="2535"/>
  <c r="IR34" i="2535"/>
  <c r="IQ34" i="2535"/>
  <c r="IP34" i="2535"/>
  <c r="IO34" i="2535"/>
  <c r="IM34" i="2535"/>
  <c r="IL34" i="2535"/>
  <c r="IK34" i="2535"/>
  <c r="IJ34" i="2535"/>
  <c r="II34" i="2535"/>
  <c r="IH34" i="2535"/>
  <c r="IG34" i="2535"/>
  <c r="IF34" i="2535"/>
  <c r="IE34" i="2535"/>
  <c r="ID34" i="2535"/>
  <c r="IC34" i="2535"/>
  <c r="IB34" i="2535"/>
  <c r="HZ34" i="2535"/>
  <c r="HY34" i="2535"/>
  <c r="HX34" i="2535"/>
  <c r="HW34" i="2535"/>
  <c r="HV34" i="2535"/>
  <c r="HU34" i="2535"/>
  <c r="HT34" i="2535"/>
  <c r="HS34" i="2535"/>
  <c r="HR34" i="2535"/>
  <c r="HQ34" i="2535"/>
  <c r="HP34" i="2535"/>
  <c r="HO34" i="2535"/>
  <c r="HM34" i="2535"/>
  <c r="HL34" i="2535"/>
  <c r="HK34" i="2535"/>
  <c r="HJ34" i="2535"/>
  <c r="HI34" i="2535"/>
  <c r="HH34" i="2535"/>
  <c r="HG34" i="2535"/>
  <c r="HF34" i="2535"/>
  <c r="HE34" i="2535"/>
  <c r="HD34" i="2535"/>
  <c r="HC34" i="2535"/>
  <c r="HB34" i="2535"/>
  <c r="GZ34" i="2535"/>
  <c r="GY34" i="2535"/>
  <c r="GX34" i="2535"/>
  <c r="GW34" i="2535"/>
  <c r="GV34" i="2535"/>
  <c r="GU34" i="2535"/>
  <c r="GT34" i="2535"/>
  <c r="GS34" i="2535"/>
  <c r="GR34" i="2535"/>
  <c r="GQ34" i="2535"/>
  <c r="GP34" i="2535"/>
  <c r="GO34" i="2535"/>
  <c r="GM34" i="2535"/>
  <c r="GL34" i="2535"/>
  <c r="GK34" i="2535"/>
  <c r="GJ34" i="2535"/>
  <c r="GI34" i="2535"/>
  <c r="GH34" i="2535"/>
  <c r="GG34" i="2535"/>
  <c r="GF34" i="2535"/>
  <c r="GE34" i="2535"/>
  <c r="GD34" i="2535"/>
  <c r="GC34" i="2535"/>
  <c r="GB34" i="2535"/>
  <c r="FZ34" i="2535"/>
  <c r="FY34" i="2535"/>
  <c r="FX34" i="2535"/>
  <c r="FW34" i="2535"/>
  <c r="FV34" i="2535"/>
  <c r="FU34" i="2535"/>
  <c r="FT34" i="2535"/>
  <c r="FS34" i="2535"/>
  <c r="FR34" i="2535"/>
  <c r="FQ34" i="2535"/>
  <c r="FP34" i="2535"/>
  <c r="FO34" i="2535"/>
  <c r="FM34" i="2535"/>
  <c r="FL34" i="2535"/>
  <c r="FK34" i="2535"/>
  <c r="FJ34" i="2535"/>
  <c r="FI34" i="2535"/>
  <c r="FH34" i="2535"/>
  <c r="FG34" i="2535"/>
  <c r="FF34" i="2535"/>
  <c r="FE34" i="2535"/>
  <c r="FD34" i="2535"/>
  <c r="FC34" i="2535"/>
  <c r="FB34" i="2535"/>
  <c r="EZ34" i="2535"/>
  <c r="EY34" i="2535"/>
  <c r="EX34" i="2535"/>
  <c r="EW34" i="2535"/>
  <c r="EV34" i="2535"/>
  <c r="EU34" i="2535"/>
  <c r="ET34" i="2535"/>
  <c r="ES34" i="2535"/>
  <c r="ER34" i="2535"/>
  <c r="EQ34" i="2535"/>
  <c r="EP34" i="2535"/>
  <c r="EO34" i="2535"/>
  <c r="EM34" i="2535"/>
  <c r="EL34" i="2535"/>
  <c r="EK34" i="2535"/>
  <c r="EJ34" i="2535"/>
  <c r="EI34" i="2535"/>
  <c r="EH34" i="2535"/>
  <c r="EG34" i="2535"/>
  <c r="EF34" i="2535"/>
  <c r="EE34" i="2535"/>
  <c r="ED34" i="2535"/>
  <c r="EC34" i="2535"/>
  <c r="EB34" i="2535"/>
  <c r="DZ34" i="2535"/>
  <c r="DY34" i="2535"/>
  <c r="DX34" i="2535"/>
  <c r="DW34" i="2535"/>
  <c r="DV34" i="2535"/>
  <c r="DU34" i="2535"/>
  <c r="DT34" i="2535"/>
  <c r="DS34" i="2535"/>
  <c r="DR34" i="2535"/>
  <c r="DQ34" i="2535"/>
  <c r="DP34" i="2535"/>
  <c r="DO34" i="2535"/>
  <c r="DM34" i="2535"/>
  <c r="DL34" i="2535"/>
  <c r="DK34" i="2535"/>
  <c r="DJ34" i="2535"/>
  <c r="DI34" i="2535"/>
  <c r="DH34" i="2535"/>
  <c r="DG34" i="2535"/>
  <c r="DF34" i="2535"/>
  <c r="DE34" i="2535"/>
  <c r="DD34" i="2535"/>
  <c r="DC34" i="2535"/>
  <c r="DB34" i="2535"/>
  <c r="CZ34" i="2535"/>
  <c r="CY34" i="2535"/>
  <c r="CX34" i="2535"/>
  <c r="CW34" i="2535"/>
  <c r="CV34" i="2535"/>
  <c r="CU34" i="2535"/>
  <c r="CT34" i="2535"/>
  <c r="CS34" i="2535"/>
  <c r="CR34" i="2535"/>
  <c r="CQ34" i="2535"/>
  <c r="CP34" i="2535"/>
  <c r="CO34" i="2535"/>
  <c r="CM34" i="2535"/>
  <c r="CL34" i="2535"/>
  <c r="CK34" i="2535"/>
  <c r="CJ34" i="2535"/>
  <c r="CI34" i="2535"/>
  <c r="CH34" i="2535"/>
  <c r="CG34" i="2535"/>
  <c r="CF34" i="2535"/>
  <c r="CE34" i="2535"/>
  <c r="CD34" i="2535"/>
  <c r="CC34" i="2535"/>
  <c r="CB34" i="2535"/>
  <c r="BZ34" i="2535"/>
  <c r="BY34" i="2535"/>
  <c r="BX34" i="2535"/>
  <c r="BW34" i="2535"/>
  <c r="BV34" i="2535"/>
  <c r="BU34" i="2535"/>
  <c r="BT34" i="2535"/>
  <c r="BS34" i="2535"/>
  <c r="BR34" i="2535"/>
  <c r="BQ34" i="2535"/>
  <c r="BP34" i="2535"/>
  <c r="BO34" i="2535"/>
  <c r="BM34" i="2535"/>
  <c r="BL34" i="2535"/>
  <c r="BK34" i="2535"/>
  <c r="BJ34" i="2535"/>
  <c r="BI34" i="2535"/>
  <c r="BH34" i="2535"/>
  <c r="BG34" i="2535"/>
  <c r="BF34" i="2535"/>
  <c r="BE34" i="2535"/>
  <c r="BD34" i="2535"/>
  <c r="BC34" i="2535"/>
  <c r="BB34" i="2535"/>
  <c r="AZ34" i="2535"/>
  <c r="AY34" i="2535"/>
  <c r="AX34" i="2535"/>
  <c r="AW34" i="2535"/>
  <c r="AV34" i="2535"/>
  <c r="AU34" i="2535"/>
  <c r="AT34" i="2535"/>
  <c r="AS34" i="2535"/>
  <c r="AR34" i="2535"/>
  <c r="AQ34" i="2535"/>
  <c r="AP34" i="2535"/>
  <c r="AO34" i="2535"/>
  <c r="AM34" i="2535"/>
  <c r="AL34" i="2535"/>
  <c r="AK34" i="2535"/>
  <c r="AJ34" i="2535"/>
  <c r="AI34" i="2535"/>
  <c r="AH34" i="2535"/>
  <c r="AG34" i="2535"/>
  <c r="AF34" i="2535"/>
  <c r="AE34" i="2535"/>
  <c r="AD34" i="2535"/>
  <c r="AC34" i="2535"/>
  <c r="AB34" i="2535"/>
  <c r="Z34" i="2535"/>
  <c r="Y34" i="2535"/>
  <c r="X34" i="2535"/>
  <c r="W34" i="2535"/>
  <c r="V34" i="2535"/>
  <c r="U34" i="2535"/>
  <c r="T34" i="2535"/>
  <c r="S34" i="2535"/>
  <c r="R34" i="2535"/>
  <c r="Q34" i="2535"/>
  <c r="P34" i="2535"/>
  <c r="O34" i="2535"/>
  <c r="JZ33" i="2535"/>
  <c r="JY33" i="2535"/>
  <c r="JX33" i="2535"/>
  <c r="JW33" i="2535"/>
  <c r="JV33" i="2535"/>
  <c r="JU33" i="2535"/>
  <c r="JT33" i="2535"/>
  <c r="JS33" i="2535"/>
  <c r="JM33" i="2535"/>
  <c r="JL33" i="2535"/>
  <c r="JK33" i="2535"/>
  <c r="JJ33" i="2535"/>
  <c r="JI33" i="2535"/>
  <c r="JH33" i="2535"/>
  <c r="JG33" i="2535"/>
  <c r="JF33" i="2535"/>
  <c r="JE33" i="2535"/>
  <c r="JD33" i="2535"/>
  <c r="JC33" i="2535"/>
  <c r="JB33" i="2535"/>
  <c r="IZ33" i="2535"/>
  <c r="IY33" i="2535"/>
  <c r="IX33" i="2535"/>
  <c r="IW33" i="2535"/>
  <c r="IV33" i="2535"/>
  <c r="IU33" i="2535"/>
  <c r="IT33" i="2535"/>
  <c r="IS33" i="2535"/>
  <c r="IR33" i="2535"/>
  <c r="IQ33" i="2535"/>
  <c r="IP33" i="2535"/>
  <c r="IO33" i="2535"/>
  <c r="IM33" i="2535"/>
  <c r="IL33" i="2535"/>
  <c r="IK33" i="2535"/>
  <c r="IJ33" i="2535"/>
  <c r="II33" i="2535"/>
  <c r="IH33" i="2535"/>
  <c r="IG33" i="2535"/>
  <c r="IF33" i="2535"/>
  <c r="IE33" i="2535"/>
  <c r="ID33" i="2535"/>
  <c r="IC33" i="2535"/>
  <c r="IB33" i="2535"/>
  <c r="HZ33" i="2535"/>
  <c r="HY33" i="2535"/>
  <c r="HX33" i="2535"/>
  <c r="HW33" i="2535"/>
  <c r="HV33" i="2535"/>
  <c r="HU33" i="2535"/>
  <c r="HT33" i="2535"/>
  <c r="HS33" i="2535"/>
  <c r="HR33" i="2535"/>
  <c r="HQ33" i="2535"/>
  <c r="HP33" i="2535"/>
  <c r="HO33" i="2535"/>
  <c r="HM33" i="2535"/>
  <c r="HL33" i="2535"/>
  <c r="HK33" i="2535"/>
  <c r="HJ33" i="2535"/>
  <c r="HI33" i="2535"/>
  <c r="HH33" i="2535"/>
  <c r="HG33" i="2535"/>
  <c r="HF33" i="2535"/>
  <c r="HE33" i="2535"/>
  <c r="HD33" i="2535"/>
  <c r="HC33" i="2535"/>
  <c r="HB33" i="2535"/>
  <c r="GZ33" i="2535"/>
  <c r="GY33" i="2535"/>
  <c r="GX33" i="2535"/>
  <c r="GW33" i="2535"/>
  <c r="GV33" i="2535"/>
  <c r="GU33" i="2535"/>
  <c r="GT33" i="2535"/>
  <c r="GS33" i="2535"/>
  <c r="GR33" i="2535"/>
  <c r="GQ33" i="2535"/>
  <c r="GP33" i="2535"/>
  <c r="GO33" i="2535"/>
  <c r="GM33" i="2535"/>
  <c r="GL33" i="2535"/>
  <c r="GK33" i="2535"/>
  <c r="GJ33" i="2535"/>
  <c r="GI33" i="2535"/>
  <c r="GH33" i="2535"/>
  <c r="GG33" i="2535"/>
  <c r="GF33" i="2535"/>
  <c r="GE33" i="2535"/>
  <c r="GD33" i="2535"/>
  <c r="GC33" i="2535"/>
  <c r="GB33" i="2535"/>
  <c r="FZ33" i="2535"/>
  <c r="FY33" i="2535"/>
  <c r="FX33" i="2535"/>
  <c r="FW33" i="2535"/>
  <c r="FV33" i="2535"/>
  <c r="FU33" i="2535"/>
  <c r="FT33" i="2535"/>
  <c r="FS33" i="2535"/>
  <c r="FR33" i="2535"/>
  <c r="FQ33" i="2535"/>
  <c r="FP33" i="2535"/>
  <c r="FO33" i="2535"/>
  <c r="FM33" i="2535"/>
  <c r="FL33" i="2535"/>
  <c r="FK33" i="2535"/>
  <c r="FJ33" i="2535"/>
  <c r="FI33" i="2535"/>
  <c r="FH33" i="2535"/>
  <c r="FG33" i="2535"/>
  <c r="FF33" i="2535"/>
  <c r="FE33" i="2535"/>
  <c r="FD33" i="2535"/>
  <c r="FC33" i="2535"/>
  <c r="FB33" i="2535"/>
  <c r="EZ33" i="2535"/>
  <c r="EY33" i="2535"/>
  <c r="EX33" i="2535"/>
  <c r="EW33" i="2535"/>
  <c r="EV33" i="2535"/>
  <c r="EU33" i="2535"/>
  <c r="ET33" i="2535"/>
  <c r="ES33" i="2535"/>
  <c r="ER33" i="2535"/>
  <c r="EQ33" i="2535"/>
  <c r="EP33" i="2535"/>
  <c r="EO33" i="2535"/>
  <c r="EM33" i="2535"/>
  <c r="EL33" i="2535"/>
  <c r="EK33" i="2535"/>
  <c r="EJ33" i="2535"/>
  <c r="EI33" i="2535"/>
  <c r="EH33" i="2535"/>
  <c r="EG33" i="2535"/>
  <c r="EF33" i="2535"/>
  <c r="EE33" i="2535"/>
  <c r="ED33" i="2535"/>
  <c r="EC33" i="2535"/>
  <c r="EB33" i="2535"/>
  <c r="DZ33" i="2535"/>
  <c r="DY33" i="2535"/>
  <c r="DX33" i="2535"/>
  <c r="DW33" i="2535"/>
  <c r="DV33" i="2535"/>
  <c r="DU33" i="2535"/>
  <c r="DT33" i="2535"/>
  <c r="DS33" i="2535"/>
  <c r="DR33" i="2535"/>
  <c r="DQ33" i="2535"/>
  <c r="DP33" i="2535"/>
  <c r="DO33" i="2535"/>
  <c r="DM33" i="2535"/>
  <c r="DL33" i="2535"/>
  <c r="DK33" i="2535"/>
  <c r="DJ33" i="2535"/>
  <c r="DI33" i="2535"/>
  <c r="DH33" i="2535"/>
  <c r="DG33" i="2535"/>
  <c r="DF33" i="2535"/>
  <c r="DE33" i="2535"/>
  <c r="DD33" i="2535"/>
  <c r="DC33" i="2535"/>
  <c r="DB33" i="2535"/>
  <c r="CZ33" i="2535"/>
  <c r="CY33" i="2535"/>
  <c r="CX33" i="2535"/>
  <c r="CW33" i="2535"/>
  <c r="CV33" i="2535"/>
  <c r="CU33" i="2535"/>
  <c r="CT33" i="2535"/>
  <c r="CS33" i="2535"/>
  <c r="CR33" i="2535"/>
  <c r="CQ33" i="2535"/>
  <c r="CP33" i="2535"/>
  <c r="CO33" i="2535"/>
  <c r="CM33" i="2535"/>
  <c r="CL33" i="2535"/>
  <c r="CK33" i="2535"/>
  <c r="CJ33" i="2535"/>
  <c r="CI33" i="2535"/>
  <c r="CH33" i="2535"/>
  <c r="CG33" i="2535"/>
  <c r="CF33" i="2535"/>
  <c r="CE33" i="2535"/>
  <c r="CD33" i="2535"/>
  <c r="CC33" i="2535"/>
  <c r="CB33" i="2535"/>
  <c r="BZ33" i="2535"/>
  <c r="BY33" i="2535"/>
  <c r="BX33" i="2535"/>
  <c r="BW33" i="2535"/>
  <c r="BV33" i="2535"/>
  <c r="BU33" i="2535"/>
  <c r="BT33" i="2535"/>
  <c r="BS33" i="2535"/>
  <c r="BR33" i="2535"/>
  <c r="BQ33" i="2535"/>
  <c r="BP33" i="2535"/>
  <c r="BO33" i="2535"/>
  <c r="BM33" i="2535"/>
  <c r="BL33" i="2535"/>
  <c r="BK33" i="2535"/>
  <c r="BJ33" i="2535"/>
  <c r="BI33" i="2535"/>
  <c r="BH33" i="2535"/>
  <c r="BG33" i="2535"/>
  <c r="BF33" i="2535"/>
  <c r="BE33" i="2535"/>
  <c r="BD33" i="2535"/>
  <c r="BC33" i="2535"/>
  <c r="BB33" i="2535"/>
  <c r="AZ33" i="2535"/>
  <c r="AY33" i="2535"/>
  <c r="AX33" i="2535"/>
  <c r="AW33" i="2535"/>
  <c r="AV33" i="2535"/>
  <c r="AU33" i="2535"/>
  <c r="AT33" i="2535"/>
  <c r="AS33" i="2535"/>
  <c r="AR33" i="2535"/>
  <c r="AQ33" i="2535"/>
  <c r="AP33" i="2535"/>
  <c r="AO33" i="2535"/>
  <c r="AM33" i="2535"/>
  <c r="AL33" i="2535"/>
  <c r="AK33" i="2535"/>
  <c r="AJ33" i="2535"/>
  <c r="AI33" i="2535"/>
  <c r="AH33" i="2535"/>
  <c r="AG33" i="2535"/>
  <c r="AF33" i="2535"/>
  <c r="AE33" i="2535"/>
  <c r="AD33" i="2535"/>
  <c r="AC33" i="2535"/>
  <c r="AB33" i="2535"/>
  <c r="Z33" i="2535"/>
  <c r="Y33" i="2535"/>
  <c r="X33" i="2535"/>
  <c r="W33" i="2535"/>
  <c r="V33" i="2535"/>
  <c r="U33" i="2535"/>
  <c r="T33" i="2535"/>
  <c r="S33" i="2535"/>
  <c r="R33" i="2535"/>
  <c r="Q33" i="2535"/>
  <c r="P33" i="2535"/>
  <c r="O33" i="2535"/>
  <c r="JZ32" i="2535"/>
  <c r="JY32" i="2535"/>
  <c r="JX32" i="2535"/>
  <c r="JW32" i="2535"/>
  <c r="JV32" i="2535"/>
  <c r="JU32" i="2535"/>
  <c r="JT32" i="2535"/>
  <c r="JS32" i="2535"/>
  <c r="JM32" i="2535"/>
  <c r="JL32" i="2535"/>
  <c r="JK32" i="2535"/>
  <c r="JJ32" i="2535"/>
  <c r="JI32" i="2535"/>
  <c r="JH32" i="2535"/>
  <c r="JG32" i="2535"/>
  <c r="JF32" i="2535"/>
  <c r="JE32" i="2535"/>
  <c r="JD32" i="2535"/>
  <c r="JC32" i="2535"/>
  <c r="JB32" i="2535"/>
  <c r="IZ32" i="2535"/>
  <c r="IY32" i="2535"/>
  <c r="IX32" i="2535"/>
  <c r="IW32" i="2535"/>
  <c r="IV32" i="2535"/>
  <c r="IU32" i="2535"/>
  <c r="IT32" i="2535"/>
  <c r="IS32" i="2535"/>
  <c r="EQ32" i="2535"/>
  <c r="CG32" i="2535"/>
  <c r="N32" i="2535"/>
  <c r="JZ31" i="2535"/>
  <c r="JY31" i="2535"/>
  <c r="JX31" i="2535"/>
  <c r="JW31" i="2535"/>
  <c r="JV31" i="2535"/>
  <c r="JU31" i="2535"/>
  <c r="JT31" i="2535"/>
  <c r="JS31" i="2535"/>
  <c r="JR31" i="2535"/>
  <c r="JQ31" i="2535"/>
  <c r="JP31" i="2535"/>
  <c r="JO31" i="2535"/>
  <c r="JM31" i="2535"/>
  <c r="JL31" i="2535"/>
  <c r="JK31" i="2535"/>
  <c r="JJ31" i="2535"/>
  <c r="JI31" i="2535"/>
  <c r="JH31" i="2535"/>
  <c r="JG31" i="2535"/>
  <c r="JF31" i="2535"/>
  <c r="JE31" i="2535"/>
  <c r="JD31" i="2535"/>
  <c r="JC31" i="2535"/>
  <c r="JB31" i="2535"/>
  <c r="IZ31" i="2535"/>
  <c r="IY31" i="2535"/>
  <c r="IX31" i="2535"/>
  <c r="IW31" i="2535"/>
  <c r="JZ30" i="2535"/>
  <c r="JY30" i="2535"/>
  <c r="JX30" i="2535"/>
  <c r="JW30" i="2535"/>
  <c r="JV30" i="2535"/>
  <c r="JU30" i="2535"/>
  <c r="JT30" i="2535"/>
  <c r="JS30" i="2535"/>
  <c r="JR30" i="2535"/>
  <c r="JQ30" i="2535"/>
  <c r="JP30" i="2535"/>
  <c r="JO30" i="2535"/>
  <c r="JM30" i="2535"/>
  <c r="JL30" i="2535"/>
  <c r="JK30" i="2535"/>
  <c r="JJ30" i="2535"/>
  <c r="JI30" i="2535"/>
  <c r="JH30" i="2535"/>
  <c r="JG30" i="2535"/>
  <c r="JF30" i="2535"/>
  <c r="JE30" i="2535"/>
  <c r="JD30" i="2535"/>
  <c r="JC30" i="2535"/>
  <c r="JB30" i="2535"/>
  <c r="IZ30" i="2535"/>
  <c r="IY30" i="2535"/>
  <c r="IX30" i="2535"/>
  <c r="KA28" i="2535"/>
  <c r="JN28" i="2535"/>
  <c r="JA28" i="2535"/>
  <c r="IN28" i="2535"/>
  <c r="IA28" i="2535"/>
  <c r="HN28" i="2535"/>
  <c r="HA28" i="2535"/>
  <c r="GN28" i="2535"/>
  <c r="GA28" i="2535"/>
  <c r="FN28" i="2535"/>
  <c r="FA28" i="2535"/>
  <c r="EN28" i="2535"/>
  <c r="EA28" i="2535"/>
  <c r="DN28" i="2535"/>
  <c r="DA28" i="2535"/>
  <c r="CN28" i="2535"/>
  <c r="CA28" i="2535"/>
  <c r="BN28" i="2535"/>
  <c r="BA28" i="2535"/>
  <c r="AN28" i="2535"/>
  <c r="AA28" i="2535"/>
  <c r="N28" i="2535"/>
  <c r="JO27" i="2535"/>
  <c r="JB27" i="2535"/>
  <c r="IO27" i="2535"/>
  <c r="IB27" i="2535"/>
  <c r="HO27" i="2535"/>
  <c r="HB27" i="2535"/>
  <c r="GO27" i="2535"/>
  <c r="GB27" i="2535"/>
  <c r="FO27" i="2535"/>
  <c r="FB27" i="2535"/>
  <c r="EO27" i="2535"/>
  <c r="EB27" i="2535"/>
  <c r="DO27" i="2535"/>
  <c r="DB27" i="2535"/>
  <c r="CO27" i="2535"/>
  <c r="CB27" i="2535"/>
  <c r="BO27" i="2535"/>
  <c r="BB27" i="2535"/>
  <c r="AO27" i="2535"/>
  <c r="AB27" i="2535"/>
  <c r="O27" i="2535"/>
  <c r="B27" i="2535"/>
  <c r="KA19" i="2535"/>
  <c r="JN19" i="2535"/>
  <c r="JA19" i="2535"/>
  <c r="IN19" i="2535"/>
  <c r="IA19" i="2535"/>
  <c r="HN19" i="2535"/>
  <c r="HA19" i="2535"/>
  <c r="GN19" i="2535"/>
  <c r="GA19" i="2535"/>
  <c r="FN19" i="2535"/>
  <c r="FA19" i="2535"/>
  <c r="EN19" i="2535"/>
  <c r="EA19" i="2535"/>
  <c r="DN19" i="2535"/>
  <c r="DA19" i="2535"/>
  <c r="CN19" i="2535"/>
  <c r="CA19" i="2535"/>
  <c r="BN19" i="2535"/>
  <c r="BA19" i="2535"/>
  <c r="AN19" i="2535"/>
  <c r="AA19" i="2535"/>
  <c r="N19" i="2535"/>
  <c r="KA18" i="2535"/>
  <c r="JN18" i="2535"/>
  <c r="JA18" i="2535"/>
  <c r="IN18" i="2535"/>
  <c r="IA18" i="2535"/>
  <c r="HN18" i="2535"/>
  <c r="HA18" i="2535"/>
  <c r="GN18" i="2535"/>
  <c r="GA18" i="2535"/>
  <c r="FN18" i="2535"/>
  <c r="FA18" i="2535"/>
  <c r="EN18" i="2535"/>
  <c r="EA18" i="2535"/>
  <c r="DN18" i="2535"/>
  <c r="DA18" i="2535"/>
  <c r="CN18" i="2535"/>
  <c r="CA18" i="2535"/>
  <c r="BF18" i="2535"/>
  <c r="BN18" i="2535" s="1"/>
  <c r="BA18" i="2535"/>
  <c r="AN18" i="2535"/>
  <c r="AA18" i="2535"/>
  <c r="N18" i="2535"/>
  <c r="KA17" i="2535"/>
  <c r="JN17" i="2535"/>
  <c r="JA17" i="2535"/>
  <c r="IN17" i="2535"/>
  <c r="IA17" i="2535"/>
  <c r="HN17" i="2535"/>
  <c r="HA17" i="2535"/>
  <c r="GN17" i="2535"/>
  <c r="GA17" i="2535"/>
  <c r="FN17" i="2535"/>
  <c r="FA17" i="2535"/>
  <c r="EN17" i="2535"/>
  <c r="EA17" i="2535"/>
  <c r="DN17" i="2535"/>
  <c r="DA17" i="2535"/>
  <c r="CN17" i="2535"/>
  <c r="CA17" i="2535"/>
  <c r="BN17" i="2535"/>
  <c r="BA17" i="2535"/>
  <c r="AN17" i="2535"/>
  <c r="AA17" i="2535"/>
  <c r="N17" i="2535"/>
  <c r="KA16" i="2535"/>
  <c r="JN16" i="2535"/>
  <c r="JA16" i="2535"/>
  <c r="IN16" i="2535"/>
  <c r="IA16" i="2535"/>
  <c r="HN16" i="2535"/>
  <c r="HA16" i="2535"/>
  <c r="GN16" i="2535"/>
  <c r="GA16" i="2535"/>
  <c r="FN16" i="2535"/>
  <c r="FA16" i="2535"/>
  <c r="EN16" i="2535"/>
  <c r="EA16" i="2535"/>
  <c r="DN16" i="2535"/>
  <c r="DA16" i="2535"/>
  <c r="CN16" i="2535"/>
  <c r="CA16" i="2535"/>
  <c r="BN16" i="2535"/>
  <c r="BA16" i="2535"/>
  <c r="AN16" i="2535"/>
  <c r="AA16" i="2535"/>
  <c r="N16" i="2535"/>
  <c r="KA15" i="2535"/>
  <c r="JN15" i="2535"/>
  <c r="JA15" i="2535"/>
  <c r="IN15" i="2535"/>
  <c r="IA15" i="2535"/>
  <c r="HN15" i="2535"/>
  <c r="HA15" i="2535"/>
  <c r="GN15" i="2535"/>
  <c r="GA15" i="2535"/>
  <c r="FN15" i="2535"/>
  <c r="FA15" i="2535"/>
  <c r="EN15" i="2535"/>
  <c r="EA15" i="2535"/>
  <c r="DN15" i="2535"/>
  <c r="DA15" i="2535"/>
  <c r="CN15" i="2535"/>
  <c r="CA15" i="2535"/>
  <c r="BN15" i="2535"/>
  <c r="BA15" i="2535"/>
  <c r="AN15" i="2535"/>
  <c r="AA15" i="2535"/>
  <c r="N15" i="2535"/>
  <c r="KA14" i="2535"/>
  <c r="JN14" i="2535"/>
  <c r="IR14" i="2535"/>
  <c r="IR37" i="2535" s="1"/>
  <c r="IQ14" i="2535"/>
  <c r="IQ37" i="2535" s="1"/>
  <c r="IP14" i="2535"/>
  <c r="IP37" i="2535" s="1"/>
  <c r="IO14" i="2535"/>
  <c r="IO37" i="2535" s="1"/>
  <c r="IM14" i="2535"/>
  <c r="IM37" i="2535" s="1"/>
  <c r="IL14" i="2535"/>
  <c r="IL37" i="2535" s="1"/>
  <c r="IK14" i="2535"/>
  <c r="IK37" i="2535" s="1"/>
  <c r="IJ14" i="2535"/>
  <c r="IJ37" i="2535" s="1"/>
  <c r="II14" i="2535"/>
  <c r="II37" i="2535" s="1"/>
  <c r="IH14" i="2535"/>
  <c r="IH37" i="2535" s="1"/>
  <c r="IG14" i="2535"/>
  <c r="IG37" i="2535" s="1"/>
  <c r="IF14" i="2535"/>
  <c r="IF37" i="2535" s="1"/>
  <c r="IE14" i="2535"/>
  <c r="IE37" i="2535" s="1"/>
  <c r="ID14" i="2535"/>
  <c r="ID37" i="2535" s="1"/>
  <c r="IC14" i="2535"/>
  <c r="IC37" i="2535" s="1"/>
  <c r="IB14" i="2535"/>
  <c r="IB37" i="2535" s="1"/>
  <c r="HZ14" i="2535"/>
  <c r="HZ37" i="2535" s="1"/>
  <c r="HY14" i="2535"/>
  <c r="HY37" i="2535" s="1"/>
  <c r="HX14" i="2535"/>
  <c r="HX37" i="2535" s="1"/>
  <c r="HW14" i="2535"/>
  <c r="HW37" i="2535" s="1"/>
  <c r="HV14" i="2535"/>
  <c r="HV37" i="2535" s="1"/>
  <c r="HU14" i="2535"/>
  <c r="HU37" i="2535" s="1"/>
  <c r="HT14" i="2535"/>
  <c r="HT37" i="2535" s="1"/>
  <c r="HS14" i="2535"/>
  <c r="HS37" i="2535" s="1"/>
  <c r="HR14" i="2535"/>
  <c r="HR37" i="2535" s="1"/>
  <c r="HQ14" i="2535"/>
  <c r="HQ37" i="2535" s="1"/>
  <c r="HP14" i="2535"/>
  <c r="HP37" i="2535" s="1"/>
  <c r="HO14" i="2535"/>
  <c r="HO37" i="2535" s="1"/>
  <c r="HM14" i="2535"/>
  <c r="HM37" i="2535" s="1"/>
  <c r="HL14" i="2535"/>
  <c r="HL37" i="2535" s="1"/>
  <c r="HK14" i="2535"/>
  <c r="HK37" i="2535" s="1"/>
  <c r="HJ14" i="2535"/>
  <c r="HJ37" i="2535" s="1"/>
  <c r="HI14" i="2535"/>
  <c r="HI37" i="2535" s="1"/>
  <c r="HH14" i="2535"/>
  <c r="HH37" i="2535" s="1"/>
  <c r="HG14" i="2535"/>
  <c r="HG37" i="2535" s="1"/>
  <c r="HF14" i="2535"/>
  <c r="HF37" i="2535" s="1"/>
  <c r="HE14" i="2535"/>
  <c r="HE37" i="2535" s="1"/>
  <c r="HD14" i="2535"/>
  <c r="HD37" i="2535" s="1"/>
  <c r="HC14" i="2535"/>
  <c r="HC37" i="2535" s="1"/>
  <c r="HB14" i="2535"/>
  <c r="HB37" i="2535" s="1"/>
  <c r="GZ14" i="2535"/>
  <c r="GZ37" i="2535" s="1"/>
  <c r="GY14" i="2535"/>
  <c r="GY37" i="2535" s="1"/>
  <c r="GX14" i="2535"/>
  <c r="GX37" i="2535" s="1"/>
  <c r="GW14" i="2535"/>
  <c r="GW37" i="2535" s="1"/>
  <c r="GV14" i="2535"/>
  <c r="GV37" i="2535" s="1"/>
  <c r="GU14" i="2535"/>
  <c r="GU37" i="2535" s="1"/>
  <c r="GT14" i="2535"/>
  <c r="GT37" i="2535" s="1"/>
  <c r="GS14" i="2535"/>
  <c r="GS37" i="2535" s="1"/>
  <c r="GR14" i="2535"/>
  <c r="GR37" i="2535" s="1"/>
  <c r="GQ14" i="2535"/>
  <c r="GQ37" i="2535" s="1"/>
  <c r="GP14" i="2535"/>
  <c r="GP37" i="2535" s="1"/>
  <c r="GO14" i="2535"/>
  <c r="GO37" i="2535" s="1"/>
  <c r="GM14" i="2535"/>
  <c r="GM37" i="2535" s="1"/>
  <c r="GL14" i="2535"/>
  <c r="GL37" i="2535" s="1"/>
  <c r="GK14" i="2535"/>
  <c r="GK37" i="2535" s="1"/>
  <c r="GJ14" i="2535"/>
  <c r="GJ37" i="2535" s="1"/>
  <c r="GI14" i="2535"/>
  <c r="GI37" i="2535" s="1"/>
  <c r="GH14" i="2535"/>
  <c r="GH37" i="2535" s="1"/>
  <c r="GG14" i="2535"/>
  <c r="GG37" i="2535" s="1"/>
  <c r="GF14" i="2535"/>
  <c r="GF37" i="2535" s="1"/>
  <c r="GE14" i="2535"/>
  <c r="GE37" i="2535" s="1"/>
  <c r="GD14" i="2535"/>
  <c r="GD37" i="2535" s="1"/>
  <c r="GC14" i="2535"/>
  <c r="GC37" i="2535" s="1"/>
  <c r="GB14" i="2535"/>
  <c r="GB37" i="2535" s="1"/>
  <c r="FZ14" i="2535"/>
  <c r="FZ37" i="2535" s="1"/>
  <c r="FY14" i="2535"/>
  <c r="FY37" i="2535" s="1"/>
  <c r="FX14" i="2535"/>
  <c r="FX37" i="2535" s="1"/>
  <c r="FW14" i="2535"/>
  <c r="FW37" i="2535" s="1"/>
  <c r="FV14" i="2535"/>
  <c r="FV37" i="2535" s="1"/>
  <c r="FU14" i="2535"/>
  <c r="FU37" i="2535" s="1"/>
  <c r="FT14" i="2535"/>
  <c r="FT37" i="2535" s="1"/>
  <c r="FS14" i="2535"/>
  <c r="FS37" i="2535" s="1"/>
  <c r="FR14" i="2535"/>
  <c r="FR37" i="2535" s="1"/>
  <c r="FQ14" i="2535"/>
  <c r="FQ37" i="2535" s="1"/>
  <c r="FP14" i="2535"/>
  <c r="FP37" i="2535" s="1"/>
  <c r="FO14" i="2535"/>
  <c r="FO37" i="2535" s="1"/>
  <c r="FM14" i="2535"/>
  <c r="FM37" i="2535" s="1"/>
  <c r="FL14" i="2535"/>
  <c r="FL37" i="2535" s="1"/>
  <c r="FK14" i="2535"/>
  <c r="FK37" i="2535" s="1"/>
  <c r="FJ14" i="2535"/>
  <c r="FJ37" i="2535" s="1"/>
  <c r="FI14" i="2535"/>
  <c r="FI37" i="2535" s="1"/>
  <c r="FH14" i="2535"/>
  <c r="FH37" i="2535" s="1"/>
  <c r="FG14" i="2535"/>
  <c r="FG37" i="2535" s="1"/>
  <c r="FF14" i="2535"/>
  <c r="FF37" i="2535" s="1"/>
  <c r="FE14" i="2535"/>
  <c r="FE37" i="2535" s="1"/>
  <c r="FD14" i="2535"/>
  <c r="FD37" i="2535" s="1"/>
  <c r="FC14" i="2535"/>
  <c r="FC37" i="2535" s="1"/>
  <c r="FB14" i="2535"/>
  <c r="FB37" i="2535" s="1"/>
  <c r="EZ14" i="2535"/>
  <c r="EZ37" i="2535" s="1"/>
  <c r="EY14" i="2535"/>
  <c r="EY37" i="2535" s="1"/>
  <c r="EX14" i="2535"/>
  <c r="EX37" i="2535" s="1"/>
  <c r="EW14" i="2535"/>
  <c r="EW37" i="2535" s="1"/>
  <c r="EV14" i="2535"/>
  <c r="EV37" i="2535" s="1"/>
  <c r="EU14" i="2535"/>
  <c r="EU37" i="2535" s="1"/>
  <c r="ET14" i="2535"/>
  <c r="ET37" i="2535" s="1"/>
  <c r="ES14" i="2535"/>
  <c r="ES37" i="2535" s="1"/>
  <c r="ER14" i="2535"/>
  <c r="ER37" i="2535" s="1"/>
  <c r="EQ14" i="2535"/>
  <c r="EQ37" i="2535" s="1"/>
  <c r="EP14" i="2535"/>
  <c r="EP37" i="2535" s="1"/>
  <c r="EO14" i="2535"/>
  <c r="EO37" i="2535" s="1"/>
  <c r="EM14" i="2535"/>
  <c r="EM37" i="2535" s="1"/>
  <c r="EL14" i="2535"/>
  <c r="EK14" i="2535"/>
  <c r="EK37" i="2535" s="1"/>
  <c r="EJ14" i="2535"/>
  <c r="EJ37" i="2535" s="1"/>
  <c r="EI14" i="2535"/>
  <c r="EI37" i="2535" s="1"/>
  <c r="EH14" i="2535"/>
  <c r="EH37" i="2535" s="1"/>
  <c r="EG14" i="2535"/>
  <c r="EG37" i="2535" s="1"/>
  <c r="EF14" i="2535"/>
  <c r="EF37" i="2535" s="1"/>
  <c r="EE14" i="2535"/>
  <c r="EE37" i="2535" s="1"/>
  <c r="ED14" i="2535"/>
  <c r="ED37" i="2535" s="1"/>
  <c r="EC14" i="2535"/>
  <c r="EC37" i="2535" s="1"/>
  <c r="EB14" i="2535"/>
  <c r="EB37" i="2535" s="1"/>
  <c r="DZ14" i="2535"/>
  <c r="DY14" i="2535"/>
  <c r="DY37" i="2535" s="1"/>
  <c r="DX14" i="2535"/>
  <c r="DX37" i="2535" s="1"/>
  <c r="DW14" i="2535"/>
  <c r="DW37" i="2535" s="1"/>
  <c r="DV14" i="2535"/>
  <c r="DV37" i="2535" s="1"/>
  <c r="DU14" i="2535"/>
  <c r="DU37" i="2535" s="1"/>
  <c r="DT14" i="2535"/>
  <c r="DT37" i="2535" s="1"/>
  <c r="DS14" i="2535"/>
  <c r="DS37" i="2535" s="1"/>
  <c r="DR14" i="2535"/>
  <c r="DR37" i="2535" s="1"/>
  <c r="DQ14" i="2535"/>
  <c r="DQ37" i="2535" s="1"/>
  <c r="DP14" i="2535"/>
  <c r="DP37" i="2535" s="1"/>
  <c r="DO14" i="2535"/>
  <c r="DO37" i="2535" s="1"/>
  <c r="DM14" i="2535"/>
  <c r="DM37" i="2535" s="1"/>
  <c r="DL14" i="2535"/>
  <c r="DL37" i="2535" s="1"/>
  <c r="DK14" i="2535"/>
  <c r="DK37" i="2535" s="1"/>
  <c r="DJ14" i="2535"/>
  <c r="DJ37" i="2535" s="1"/>
  <c r="DI14" i="2535"/>
  <c r="DI37" i="2535" s="1"/>
  <c r="DH14" i="2535"/>
  <c r="DH37" i="2535" s="1"/>
  <c r="DG14" i="2535"/>
  <c r="DG37" i="2535" s="1"/>
  <c r="DF14" i="2535"/>
  <c r="DF37" i="2535" s="1"/>
  <c r="DE14" i="2535"/>
  <c r="DE37" i="2535" s="1"/>
  <c r="DD14" i="2535"/>
  <c r="DD37" i="2535" s="1"/>
  <c r="DC14" i="2535"/>
  <c r="DC37" i="2535" s="1"/>
  <c r="DB14" i="2535"/>
  <c r="DB37" i="2535" s="1"/>
  <c r="CZ14" i="2535"/>
  <c r="CZ37" i="2535" s="1"/>
  <c r="CY14" i="2535"/>
  <c r="CY37" i="2535" s="1"/>
  <c r="CX14" i="2535"/>
  <c r="CX37" i="2535" s="1"/>
  <c r="CW14" i="2535"/>
  <c r="CW37" i="2535" s="1"/>
  <c r="CV14" i="2535"/>
  <c r="CV37" i="2535" s="1"/>
  <c r="CU14" i="2535"/>
  <c r="CU37" i="2535" s="1"/>
  <c r="CT14" i="2535"/>
  <c r="CT37" i="2535" s="1"/>
  <c r="CS14" i="2535"/>
  <c r="CS37" i="2535" s="1"/>
  <c r="CR14" i="2535"/>
  <c r="CR37" i="2535" s="1"/>
  <c r="CQ14" i="2535"/>
  <c r="CQ37" i="2535" s="1"/>
  <c r="CP14" i="2535"/>
  <c r="CO14" i="2535"/>
  <c r="CM14" i="2535"/>
  <c r="CM37" i="2535" s="1"/>
  <c r="CL14" i="2535"/>
  <c r="CL37" i="2535" s="1"/>
  <c r="CK14" i="2535"/>
  <c r="CK37" i="2535" s="1"/>
  <c r="CJ14" i="2535"/>
  <c r="CJ37" i="2535" s="1"/>
  <c r="CI14" i="2535"/>
  <c r="CI37" i="2535" s="1"/>
  <c r="CH14" i="2535"/>
  <c r="CH37" i="2535" s="1"/>
  <c r="CG14" i="2535"/>
  <c r="CG37" i="2535" s="1"/>
  <c r="CF14" i="2535"/>
  <c r="CF37" i="2535" s="1"/>
  <c r="CE14" i="2535"/>
  <c r="CE37" i="2535" s="1"/>
  <c r="CD14" i="2535"/>
  <c r="CD37" i="2535" s="1"/>
  <c r="CC14" i="2535"/>
  <c r="CC37" i="2535" s="1"/>
  <c r="CB14" i="2535"/>
  <c r="CB37" i="2535" s="1"/>
  <c r="BZ14" i="2535"/>
  <c r="BZ37" i="2535" s="1"/>
  <c r="BY14" i="2535"/>
  <c r="BY37" i="2535" s="1"/>
  <c r="BX14" i="2535"/>
  <c r="BX37" i="2535" s="1"/>
  <c r="BW14" i="2535"/>
  <c r="BW37" i="2535" s="1"/>
  <c r="BV14" i="2535"/>
  <c r="BV37" i="2535" s="1"/>
  <c r="BU14" i="2535"/>
  <c r="BU37" i="2535" s="1"/>
  <c r="BT14" i="2535"/>
  <c r="BT37" i="2535" s="1"/>
  <c r="BS14" i="2535"/>
  <c r="BS37" i="2535" s="1"/>
  <c r="BR14" i="2535"/>
  <c r="BR37" i="2535" s="1"/>
  <c r="BQ14" i="2535"/>
  <c r="BQ37" i="2535" s="1"/>
  <c r="BP14" i="2535"/>
  <c r="BP37" i="2535" s="1"/>
  <c r="BO14" i="2535"/>
  <c r="BO37" i="2535" s="1"/>
  <c r="BM14" i="2535"/>
  <c r="BM37" i="2535" s="1"/>
  <c r="BL14" i="2535"/>
  <c r="BL37" i="2535" s="1"/>
  <c r="BK14" i="2535"/>
  <c r="BK37" i="2535" s="1"/>
  <c r="BJ14" i="2535"/>
  <c r="BJ37" i="2535" s="1"/>
  <c r="BI14" i="2535"/>
  <c r="BI37" i="2535" s="1"/>
  <c r="BH14" i="2535"/>
  <c r="BH37" i="2535" s="1"/>
  <c r="BG14" i="2535"/>
  <c r="BG37" i="2535" s="1"/>
  <c r="BF14" i="2535"/>
  <c r="BF37" i="2535" s="1"/>
  <c r="BE14" i="2535"/>
  <c r="BE37" i="2535" s="1"/>
  <c r="BD14" i="2535"/>
  <c r="BD37" i="2535" s="1"/>
  <c r="BB14" i="2535"/>
  <c r="BB37" i="2535" s="1"/>
  <c r="AZ14" i="2535"/>
  <c r="AZ37" i="2535" s="1"/>
  <c r="AY14" i="2535"/>
  <c r="AY37" i="2535" s="1"/>
  <c r="AX14" i="2535"/>
  <c r="AX37" i="2535" s="1"/>
  <c r="AW14" i="2535"/>
  <c r="AW37" i="2535" s="1"/>
  <c r="AV14" i="2535"/>
  <c r="AV37" i="2535" s="1"/>
  <c r="AU14" i="2535"/>
  <c r="AU37" i="2535" s="1"/>
  <c r="AT14" i="2535"/>
  <c r="AT37" i="2535" s="1"/>
  <c r="AS14" i="2535"/>
  <c r="AS37" i="2535" s="1"/>
  <c r="AR14" i="2535"/>
  <c r="AR37" i="2535" s="1"/>
  <c r="AQ14" i="2535"/>
  <c r="AQ37" i="2535" s="1"/>
  <c r="AP14" i="2535"/>
  <c r="AP37" i="2535" s="1"/>
  <c r="AO14" i="2535"/>
  <c r="AO37" i="2535" s="1"/>
  <c r="AM14" i="2535"/>
  <c r="AM37" i="2535" s="1"/>
  <c r="AL14" i="2535"/>
  <c r="AL37" i="2535" s="1"/>
  <c r="AK14" i="2535"/>
  <c r="AK37" i="2535" s="1"/>
  <c r="AJ14" i="2535"/>
  <c r="AJ37" i="2535" s="1"/>
  <c r="AI14" i="2535"/>
  <c r="AI37" i="2535" s="1"/>
  <c r="AH14" i="2535"/>
  <c r="AH37" i="2535" s="1"/>
  <c r="AG14" i="2535"/>
  <c r="AG37" i="2535" s="1"/>
  <c r="AF14" i="2535"/>
  <c r="AF37" i="2535" s="1"/>
  <c r="AE14" i="2535"/>
  <c r="AE37" i="2535" s="1"/>
  <c r="AD14" i="2535"/>
  <c r="AD37" i="2535" s="1"/>
  <c r="AC14" i="2535"/>
  <c r="AC37" i="2535" s="1"/>
  <c r="AB14" i="2535"/>
  <c r="AB37" i="2535" s="1"/>
  <c r="Z14" i="2535"/>
  <c r="Z37" i="2535" s="1"/>
  <c r="Y14" i="2535"/>
  <c r="Y37" i="2535" s="1"/>
  <c r="X14" i="2535"/>
  <c r="X37" i="2535" s="1"/>
  <c r="W14" i="2535"/>
  <c r="W37" i="2535" s="1"/>
  <c r="V14" i="2535"/>
  <c r="V37" i="2535" s="1"/>
  <c r="U14" i="2535"/>
  <c r="U37" i="2535" s="1"/>
  <c r="T14" i="2535"/>
  <c r="T37" i="2535" s="1"/>
  <c r="S14" i="2535"/>
  <c r="S37" i="2535" s="1"/>
  <c r="R14" i="2535"/>
  <c r="R37" i="2535" s="1"/>
  <c r="Q14" i="2535"/>
  <c r="Q37" i="2535" s="1"/>
  <c r="P14" i="2535"/>
  <c r="P37" i="2535" s="1"/>
  <c r="O14" i="2535"/>
  <c r="O37" i="2535" s="1"/>
  <c r="N14" i="2535"/>
  <c r="KA13" i="2535"/>
  <c r="JN13" i="2535"/>
  <c r="JA13" i="2535"/>
  <c r="IN13" i="2535"/>
  <c r="IA13" i="2535"/>
  <c r="HN13" i="2535"/>
  <c r="HA13" i="2535"/>
  <c r="GN13" i="2535"/>
  <c r="GA13" i="2535"/>
  <c r="FN13" i="2535"/>
  <c r="FA13" i="2535"/>
  <c r="EN13" i="2535"/>
  <c r="EA13" i="2535"/>
  <c r="DN13" i="2535"/>
  <c r="DA13" i="2535"/>
  <c r="CN13" i="2535"/>
  <c r="CA13" i="2535"/>
  <c r="BN13" i="2535"/>
  <c r="BA13" i="2535"/>
  <c r="AN13" i="2535"/>
  <c r="AA13" i="2535"/>
  <c r="N13" i="2535"/>
  <c r="KA12" i="2535"/>
  <c r="JN12" i="2535"/>
  <c r="JA12" i="2535"/>
  <c r="IN12" i="2535"/>
  <c r="IA12" i="2535"/>
  <c r="HN12" i="2535"/>
  <c r="HA12" i="2535"/>
  <c r="GN12" i="2535"/>
  <c r="GA12" i="2535"/>
  <c r="FN12" i="2535"/>
  <c r="FA12" i="2535"/>
  <c r="EN12" i="2535"/>
  <c r="EA12" i="2535"/>
  <c r="DN12" i="2535"/>
  <c r="DA12" i="2535"/>
  <c r="CN12" i="2535"/>
  <c r="CA12" i="2535"/>
  <c r="BN12" i="2535"/>
  <c r="BA12" i="2535"/>
  <c r="AN12" i="2535"/>
  <c r="AA12" i="2535"/>
  <c r="N12" i="2535"/>
  <c r="KA11" i="2535"/>
  <c r="JN11" i="2535"/>
  <c r="JA11" i="2535"/>
  <c r="IN11" i="2535"/>
  <c r="IA11" i="2535"/>
  <c r="HN11" i="2535"/>
  <c r="HA11" i="2535"/>
  <c r="GN11" i="2535"/>
  <c r="GA11" i="2535"/>
  <c r="FN11" i="2535"/>
  <c r="FA11" i="2535"/>
  <c r="EN11" i="2535"/>
  <c r="EA11" i="2535"/>
  <c r="DN11" i="2535"/>
  <c r="DA11" i="2535"/>
  <c r="CN11" i="2535"/>
  <c r="CA11" i="2535"/>
  <c r="BN11" i="2535"/>
  <c r="BA11" i="2535"/>
  <c r="AN11" i="2535"/>
  <c r="AA11" i="2535"/>
  <c r="N11" i="2535"/>
  <c r="KA10" i="2535"/>
  <c r="JN10" i="2535"/>
  <c r="JA10" i="2535"/>
  <c r="IN10" i="2535"/>
  <c r="IA10" i="2535"/>
  <c r="HN10" i="2535"/>
  <c r="HA10" i="2535"/>
  <c r="GN10" i="2535"/>
  <c r="GA10" i="2535"/>
  <c r="FN10" i="2535"/>
  <c r="FA10" i="2535"/>
  <c r="EN10" i="2535"/>
  <c r="EA10" i="2535"/>
  <c r="DN10" i="2535"/>
  <c r="DA10" i="2535"/>
  <c r="CN10" i="2535"/>
  <c r="CA10" i="2535"/>
  <c r="BN10" i="2535"/>
  <c r="BA10" i="2535"/>
  <c r="AN10" i="2535"/>
  <c r="AA10" i="2535"/>
  <c r="N10" i="2535"/>
  <c r="KA9" i="2535"/>
  <c r="JN9" i="2535"/>
  <c r="IR9" i="2535"/>
  <c r="IQ9" i="2535"/>
  <c r="IQ32" i="2535" s="1"/>
  <c r="IP9" i="2535"/>
  <c r="IP32" i="2535" s="1"/>
  <c r="IO9" i="2535"/>
  <c r="IM9" i="2535"/>
  <c r="IM32" i="2535" s="1"/>
  <c r="IL9" i="2535"/>
  <c r="IL32" i="2535" s="1"/>
  <c r="IK9" i="2535"/>
  <c r="IK32" i="2535" s="1"/>
  <c r="IJ9" i="2535"/>
  <c r="IJ32" i="2535" s="1"/>
  <c r="II9" i="2535"/>
  <c r="II32" i="2535" s="1"/>
  <c r="IH9" i="2535"/>
  <c r="IH32" i="2535" s="1"/>
  <c r="IG9" i="2535"/>
  <c r="IG32" i="2535" s="1"/>
  <c r="IF9" i="2535"/>
  <c r="IF32" i="2535" s="1"/>
  <c r="IE9" i="2535"/>
  <c r="IE32" i="2535" s="1"/>
  <c r="ID9" i="2535"/>
  <c r="ID32" i="2535" s="1"/>
  <c r="IC9" i="2535"/>
  <c r="IC32" i="2535" s="1"/>
  <c r="IB9" i="2535"/>
  <c r="IB32" i="2535" s="1"/>
  <c r="HZ9" i="2535"/>
  <c r="HZ32" i="2535" s="1"/>
  <c r="HY9" i="2535"/>
  <c r="HX9" i="2535"/>
  <c r="HX32" i="2535" s="1"/>
  <c r="HW9" i="2535"/>
  <c r="HW32" i="2535" s="1"/>
  <c r="HV9" i="2535"/>
  <c r="HV32" i="2535" s="1"/>
  <c r="HU9" i="2535"/>
  <c r="HU32" i="2535" s="1"/>
  <c r="HT9" i="2535"/>
  <c r="HT32" i="2535" s="1"/>
  <c r="HS9" i="2535"/>
  <c r="HR9" i="2535"/>
  <c r="HR32" i="2535" s="1"/>
  <c r="HQ9" i="2535"/>
  <c r="HQ32" i="2535" s="1"/>
  <c r="HP9" i="2535"/>
  <c r="HP32" i="2535" s="1"/>
  <c r="HO9" i="2535"/>
  <c r="HO32" i="2535" s="1"/>
  <c r="HM9" i="2535"/>
  <c r="HM32" i="2535" s="1"/>
  <c r="HL9" i="2535"/>
  <c r="HL32" i="2535" s="1"/>
  <c r="HK9" i="2535"/>
  <c r="HK32" i="2535" s="1"/>
  <c r="HJ9" i="2535"/>
  <c r="HJ32" i="2535" s="1"/>
  <c r="HI9" i="2535"/>
  <c r="HH9" i="2535"/>
  <c r="HH32" i="2535" s="1"/>
  <c r="HG9" i="2535"/>
  <c r="HG32" i="2535" s="1"/>
  <c r="HF9" i="2535"/>
  <c r="HF32" i="2535" s="1"/>
  <c r="HE9" i="2535"/>
  <c r="HD9" i="2535"/>
  <c r="HD32" i="2535" s="1"/>
  <c r="HC9" i="2535"/>
  <c r="HC32" i="2535" s="1"/>
  <c r="HB9" i="2535"/>
  <c r="GZ9" i="2535"/>
  <c r="GZ32" i="2535" s="1"/>
  <c r="GY9" i="2535"/>
  <c r="GY32" i="2535" s="1"/>
  <c r="GX9" i="2535"/>
  <c r="GX32" i="2535" s="1"/>
  <c r="GW9" i="2535"/>
  <c r="GW32" i="2535" s="1"/>
  <c r="GV9" i="2535"/>
  <c r="GV32" i="2535" s="1"/>
  <c r="GU9" i="2535"/>
  <c r="GU32" i="2535" s="1"/>
  <c r="GT9" i="2535"/>
  <c r="GT32" i="2535" s="1"/>
  <c r="GS9" i="2535"/>
  <c r="GS32" i="2535" s="1"/>
  <c r="GR9" i="2535"/>
  <c r="GR32" i="2535" s="1"/>
  <c r="GQ9" i="2535"/>
  <c r="GQ32" i="2535" s="1"/>
  <c r="GP9" i="2535"/>
  <c r="GP32" i="2535" s="1"/>
  <c r="GO9" i="2535"/>
  <c r="GO32" i="2535" s="1"/>
  <c r="GM9" i="2535"/>
  <c r="GM32" i="2535" s="1"/>
  <c r="GL9" i="2535"/>
  <c r="GL32" i="2535" s="1"/>
  <c r="GK9" i="2535"/>
  <c r="GK32" i="2535" s="1"/>
  <c r="GJ9" i="2535"/>
  <c r="GJ32" i="2535" s="1"/>
  <c r="GI9" i="2535"/>
  <c r="GI32" i="2535" s="1"/>
  <c r="GH9" i="2535"/>
  <c r="GH32" i="2535" s="1"/>
  <c r="GG9" i="2535"/>
  <c r="GG32" i="2535" s="1"/>
  <c r="GF9" i="2535"/>
  <c r="GF32" i="2535" s="1"/>
  <c r="GE9" i="2535"/>
  <c r="GE32" i="2535" s="1"/>
  <c r="GD9" i="2535"/>
  <c r="GD32" i="2535" s="1"/>
  <c r="GC9" i="2535"/>
  <c r="GC32" i="2535" s="1"/>
  <c r="GB9" i="2535"/>
  <c r="GB32" i="2535" s="1"/>
  <c r="FZ9" i="2535"/>
  <c r="FZ32" i="2535" s="1"/>
  <c r="FY9" i="2535"/>
  <c r="FY32" i="2535" s="1"/>
  <c r="FX9" i="2535"/>
  <c r="FX32" i="2535" s="1"/>
  <c r="FW9" i="2535"/>
  <c r="FW32" i="2535" s="1"/>
  <c r="FV9" i="2535"/>
  <c r="FV32" i="2535" s="1"/>
  <c r="FU9" i="2535"/>
  <c r="FT9" i="2535"/>
  <c r="FT32" i="2535" s="1"/>
  <c r="FS9" i="2535"/>
  <c r="FS32" i="2535" s="1"/>
  <c r="FR9" i="2535"/>
  <c r="FR32" i="2535" s="1"/>
  <c r="FQ9" i="2535"/>
  <c r="FQ32" i="2535" s="1"/>
  <c r="FP9" i="2535"/>
  <c r="FP32" i="2535" s="1"/>
  <c r="FO9" i="2535"/>
  <c r="FO32" i="2535" s="1"/>
  <c r="FM9" i="2535"/>
  <c r="FM32" i="2535" s="1"/>
  <c r="FL9" i="2535"/>
  <c r="FL32" i="2535" s="1"/>
  <c r="FK9" i="2535"/>
  <c r="FK32" i="2535" s="1"/>
  <c r="FJ9" i="2535"/>
  <c r="FJ32" i="2535" s="1"/>
  <c r="FI9" i="2535"/>
  <c r="FI32" i="2535" s="1"/>
  <c r="FH9" i="2535"/>
  <c r="FH32" i="2535" s="1"/>
  <c r="FG9" i="2535"/>
  <c r="FG32" i="2535" s="1"/>
  <c r="FF9" i="2535"/>
  <c r="FF32" i="2535" s="1"/>
  <c r="FE9" i="2535"/>
  <c r="FE32" i="2535" s="1"/>
  <c r="FD9" i="2535"/>
  <c r="FD32" i="2535" s="1"/>
  <c r="FC9" i="2535"/>
  <c r="FC32" i="2535" s="1"/>
  <c r="FB9" i="2535"/>
  <c r="FB32" i="2535" s="1"/>
  <c r="EZ9" i="2535"/>
  <c r="EZ32" i="2535" s="1"/>
  <c r="EY9" i="2535"/>
  <c r="EY32" i="2535" s="1"/>
  <c r="EX9" i="2535"/>
  <c r="EW9" i="2535"/>
  <c r="EV9" i="2535"/>
  <c r="EV32" i="2535" s="1"/>
  <c r="EU9" i="2535"/>
  <c r="EU32" i="2535" s="1"/>
  <c r="ET9" i="2535"/>
  <c r="ET32" i="2535" s="1"/>
  <c r="ES9" i="2535"/>
  <c r="ER9" i="2535"/>
  <c r="ER32" i="2535" s="1"/>
  <c r="EP9" i="2535"/>
  <c r="EP32" i="2535" s="1"/>
  <c r="EO9" i="2535"/>
  <c r="EO32" i="2535" s="1"/>
  <c r="EM9" i="2535"/>
  <c r="EM32" i="2535" s="1"/>
  <c r="EL9" i="2535"/>
  <c r="EL32" i="2535" s="1"/>
  <c r="EK9" i="2535"/>
  <c r="EK32" i="2535" s="1"/>
  <c r="EJ9" i="2535"/>
  <c r="EJ32" i="2535" s="1"/>
  <c r="EI9" i="2535"/>
  <c r="EI32" i="2535" s="1"/>
  <c r="EH9" i="2535"/>
  <c r="EG9" i="2535"/>
  <c r="EG32" i="2535" s="1"/>
  <c r="EF9" i="2535"/>
  <c r="EF32" i="2535" s="1"/>
  <c r="EE9" i="2535"/>
  <c r="EE32" i="2535" s="1"/>
  <c r="ED9" i="2535"/>
  <c r="ED32" i="2535" s="1"/>
  <c r="EC9" i="2535"/>
  <c r="EC32" i="2535" s="1"/>
  <c r="EB9" i="2535"/>
  <c r="DZ9" i="2535"/>
  <c r="DZ32" i="2535" s="1"/>
  <c r="DY9" i="2535"/>
  <c r="DX9" i="2535"/>
  <c r="DX32" i="2535" s="1"/>
  <c r="DW9" i="2535"/>
  <c r="DW32" i="2535" s="1"/>
  <c r="DV9" i="2535"/>
  <c r="DU9" i="2535"/>
  <c r="DT9" i="2535"/>
  <c r="DT32" i="2535" s="1"/>
  <c r="DS9" i="2535"/>
  <c r="DS32" i="2535" s="1"/>
  <c r="DR9" i="2535"/>
  <c r="DR32" i="2535" s="1"/>
  <c r="DQ9" i="2535"/>
  <c r="DQ32" i="2535" s="1"/>
  <c r="DP9" i="2535"/>
  <c r="DP32" i="2535" s="1"/>
  <c r="DO9" i="2535"/>
  <c r="DO32" i="2535" s="1"/>
  <c r="DM9" i="2535"/>
  <c r="DL9" i="2535"/>
  <c r="DL32" i="2535" s="1"/>
  <c r="DK9" i="2535"/>
  <c r="DK32" i="2535" s="1"/>
  <c r="DJ9" i="2535"/>
  <c r="DJ32" i="2535" s="1"/>
  <c r="DI9" i="2535"/>
  <c r="DI32" i="2535" s="1"/>
  <c r="DH9" i="2535"/>
  <c r="DH32" i="2535" s="1"/>
  <c r="DG9" i="2535"/>
  <c r="DG32" i="2535" s="1"/>
  <c r="DF9" i="2535"/>
  <c r="DF32" i="2535" s="1"/>
  <c r="DE9" i="2535"/>
  <c r="DD9" i="2535"/>
  <c r="DD32" i="2535" s="1"/>
  <c r="DC9" i="2535"/>
  <c r="DC32" i="2535" s="1"/>
  <c r="DB9" i="2535"/>
  <c r="DB32" i="2535" s="1"/>
  <c r="CZ9" i="2535"/>
  <c r="CZ32" i="2535" s="1"/>
  <c r="CY9" i="2535"/>
  <c r="CY32" i="2535" s="1"/>
  <c r="CX9" i="2535"/>
  <c r="CX32" i="2535" s="1"/>
  <c r="CW9" i="2535"/>
  <c r="CW32" i="2535" s="1"/>
  <c r="CV9" i="2535"/>
  <c r="CV32" i="2535" s="1"/>
  <c r="CU9" i="2535"/>
  <c r="CU32" i="2535" s="1"/>
  <c r="CT9" i="2535"/>
  <c r="CT32" i="2535" s="1"/>
  <c r="CS9" i="2535"/>
  <c r="CS32" i="2535" s="1"/>
  <c r="CR9" i="2535"/>
  <c r="CQ9" i="2535"/>
  <c r="CQ32" i="2535" s="1"/>
  <c r="CP9" i="2535"/>
  <c r="CP32" i="2535" s="1"/>
  <c r="CO9" i="2535"/>
  <c r="CM9" i="2535"/>
  <c r="CM32" i="2535" s="1"/>
  <c r="CL9" i="2535"/>
  <c r="CL32" i="2535" s="1"/>
  <c r="CK9" i="2535"/>
  <c r="CK32" i="2535" s="1"/>
  <c r="CJ9" i="2535"/>
  <c r="CJ32" i="2535" s="1"/>
  <c r="CI9" i="2535"/>
  <c r="CI32" i="2535" s="1"/>
  <c r="CH9" i="2535"/>
  <c r="CH32" i="2535" s="1"/>
  <c r="CF9" i="2535"/>
  <c r="CF32" i="2535" s="1"/>
  <c r="CE9" i="2535"/>
  <c r="CE32" i="2535" s="1"/>
  <c r="CD9" i="2535"/>
  <c r="CD32" i="2535" s="1"/>
  <c r="CC9" i="2535"/>
  <c r="CC32" i="2535" s="1"/>
  <c r="CB9" i="2535"/>
  <c r="CB32" i="2535" s="1"/>
  <c r="BZ9" i="2535"/>
  <c r="BZ32" i="2535" s="1"/>
  <c r="BY9" i="2535"/>
  <c r="BY32" i="2535" s="1"/>
  <c r="BX9" i="2535"/>
  <c r="BX32" i="2535" s="1"/>
  <c r="BW9" i="2535"/>
  <c r="BW32" i="2535" s="1"/>
  <c r="BV9" i="2535"/>
  <c r="BV32" i="2535" s="1"/>
  <c r="BU9" i="2535"/>
  <c r="BU32" i="2535" s="1"/>
  <c r="BT9" i="2535"/>
  <c r="BS9" i="2535"/>
  <c r="BS32" i="2535" s="1"/>
  <c r="BR9" i="2535"/>
  <c r="BQ9" i="2535"/>
  <c r="BP9" i="2535"/>
  <c r="BP32" i="2535" s="1"/>
  <c r="BO9" i="2535"/>
  <c r="BO32" i="2535" s="1"/>
  <c r="BM9" i="2535"/>
  <c r="BM32" i="2535" s="1"/>
  <c r="BL9" i="2535"/>
  <c r="BL32" i="2535" s="1"/>
  <c r="BK9" i="2535"/>
  <c r="BK32" i="2535" s="1"/>
  <c r="BJ9" i="2535"/>
  <c r="BJ32" i="2535" s="1"/>
  <c r="BI9" i="2535"/>
  <c r="BI32" i="2535" s="1"/>
  <c r="BH9" i="2535"/>
  <c r="BH32" i="2535" s="1"/>
  <c r="BG9" i="2535"/>
  <c r="BG32" i="2535" s="1"/>
  <c r="BF9" i="2535"/>
  <c r="BE9" i="2535"/>
  <c r="BD9" i="2535"/>
  <c r="BD32" i="2535" s="1"/>
  <c r="BC9" i="2535"/>
  <c r="BC32" i="2535" s="1"/>
  <c r="BB9" i="2535"/>
  <c r="BB32" i="2535" s="1"/>
  <c r="AZ9" i="2535"/>
  <c r="AZ32" i="2535" s="1"/>
  <c r="AY9" i="2535"/>
  <c r="AY32" i="2535" s="1"/>
  <c r="AX9" i="2535"/>
  <c r="AX32" i="2535" s="1"/>
  <c r="AW9" i="2535"/>
  <c r="AW32" i="2535" s="1"/>
  <c r="AV9" i="2535"/>
  <c r="AV32" i="2535" s="1"/>
  <c r="AU9" i="2535"/>
  <c r="AU32" i="2535" s="1"/>
  <c r="AT9" i="2535"/>
  <c r="AS9" i="2535"/>
  <c r="AS32" i="2535" s="1"/>
  <c r="AR9" i="2535"/>
  <c r="AR32" i="2535" s="1"/>
  <c r="AQ9" i="2535"/>
  <c r="AQ32" i="2535" s="1"/>
  <c r="AP9" i="2535"/>
  <c r="AP32" i="2535" s="1"/>
  <c r="AO9" i="2535"/>
  <c r="AO32" i="2535" s="1"/>
  <c r="AM9" i="2535"/>
  <c r="AM32" i="2535" s="1"/>
  <c r="AL9" i="2535"/>
  <c r="AL32" i="2535" s="1"/>
  <c r="AK9" i="2535"/>
  <c r="AK32" i="2535" s="1"/>
  <c r="AJ9" i="2535"/>
  <c r="AJ32" i="2535" s="1"/>
  <c r="AI9" i="2535"/>
  <c r="AI32" i="2535" s="1"/>
  <c r="AH9" i="2535"/>
  <c r="AG9" i="2535"/>
  <c r="AG32" i="2535" s="1"/>
  <c r="AF9" i="2535"/>
  <c r="AF32" i="2535" s="1"/>
  <c r="AE9" i="2535"/>
  <c r="AE32" i="2535" s="1"/>
  <c r="AD9" i="2535"/>
  <c r="AC9" i="2535"/>
  <c r="AC32" i="2535" s="1"/>
  <c r="AB9" i="2535"/>
  <c r="AB32" i="2535" s="1"/>
  <c r="Z9" i="2535"/>
  <c r="Z32" i="2535" s="1"/>
  <c r="Y9" i="2535"/>
  <c r="Y32" i="2535" s="1"/>
  <c r="X9" i="2535"/>
  <c r="X32" i="2535" s="1"/>
  <c r="W9" i="2535"/>
  <c r="W32" i="2535" s="1"/>
  <c r="V9" i="2535"/>
  <c r="V32" i="2535" s="1"/>
  <c r="U9" i="2535"/>
  <c r="U32" i="2535" s="1"/>
  <c r="T9" i="2535"/>
  <c r="T32" i="2535" s="1"/>
  <c r="S9" i="2535"/>
  <c r="S32" i="2535" s="1"/>
  <c r="R9" i="2535"/>
  <c r="R32" i="2535" s="1"/>
  <c r="Q9" i="2535"/>
  <c r="P9" i="2535"/>
  <c r="P32" i="2535" s="1"/>
  <c r="O9" i="2535"/>
  <c r="O32" i="2535" s="1"/>
  <c r="N9" i="2535"/>
  <c r="KA8" i="2535"/>
  <c r="JN8" i="2535"/>
  <c r="IV8" i="2535"/>
  <c r="IV31" i="2535" s="1"/>
  <c r="IU8" i="2535"/>
  <c r="IU31" i="2535" s="1"/>
  <c r="IT8" i="2535"/>
  <c r="IT31" i="2535" s="1"/>
  <c r="IS8" i="2535"/>
  <c r="IS31" i="2535" s="1"/>
  <c r="GK8" i="2535"/>
  <c r="GK31" i="2535" s="1"/>
  <c r="M8" i="2535"/>
  <c r="M31" i="2535" s="1"/>
  <c r="M30" i="2535" s="1"/>
  <c r="L8" i="2535"/>
  <c r="L31" i="2535" s="1"/>
  <c r="L30" i="2535" s="1"/>
  <c r="K8" i="2535"/>
  <c r="K31" i="2535" s="1"/>
  <c r="K30" i="2535" s="1"/>
  <c r="J8" i="2535"/>
  <c r="J31" i="2535" s="1"/>
  <c r="J30" i="2535" s="1"/>
  <c r="I8" i="2535"/>
  <c r="I31" i="2535" s="1"/>
  <c r="I30" i="2535" s="1"/>
  <c r="H8" i="2535"/>
  <c r="H31" i="2535" s="1"/>
  <c r="H30" i="2535" s="1"/>
  <c r="G8" i="2535"/>
  <c r="G31" i="2535" s="1"/>
  <c r="G30" i="2535" s="1"/>
  <c r="F8" i="2535"/>
  <c r="F31" i="2535" s="1"/>
  <c r="F30" i="2535" s="1"/>
  <c r="E8" i="2535"/>
  <c r="E31" i="2535" s="1"/>
  <c r="E30" i="2535" s="1"/>
  <c r="D8" i="2535"/>
  <c r="D31" i="2535" s="1"/>
  <c r="D30" i="2535" s="1"/>
  <c r="C8" i="2535"/>
  <c r="C31" i="2535" s="1"/>
  <c r="C30" i="2535" s="1"/>
  <c r="B8" i="2535"/>
  <c r="B7" i="2535" s="1"/>
  <c r="KA7" i="2535"/>
  <c r="JN7" i="2535"/>
  <c r="IW7" i="2535"/>
  <c r="IW30" i="2535" s="1"/>
  <c r="KA5" i="2535"/>
  <c r="JN5" i="2535"/>
  <c r="JA5" i="2535"/>
  <c r="IN5" i="2535"/>
  <c r="IA5" i="2535"/>
  <c r="HN5" i="2535"/>
  <c r="HA5" i="2535"/>
  <c r="GN5" i="2535"/>
  <c r="GA5" i="2535"/>
  <c r="FN5" i="2535"/>
  <c r="FA5" i="2535"/>
  <c r="EN5" i="2535"/>
  <c r="EA5" i="2535"/>
  <c r="DN5" i="2535"/>
  <c r="DA5" i="2535"/>
  <c r="CN5" i="2535"/>
  <c r="CA5" i="2535"/>
  <c r="BN5" i="2535"/>
  <c r="BA5" i="2535"/>
  <c r="AN5" i="2535"/>
  <c r="AA5" i="2535"/>
  <c r="N5" i="2535"/>
  <c r="JO4" i="2535"/>
  <c r="JB4" i="2535"/>
  <c r="IO4" i="2535"/>
  <c r="IB4" i="2535"/>
  <c r="HO4" i="2535"/>
  <c r="HB4" i="2535"/>
  <c r="GO4" i="2535"/>
  <c r="GB4" i="2535"/>
  <c r="FO4" i="2535"/>
  <c r="FB4" i="2535"/>
  <c r="EO4" i="2535"/>
  <c r="EB4" i="2535"/>
  <c r="DO4" i="2535"/>
  <c r="DB4" i="2535"/>
  <c r="CO4" i="2535"/>
  <c r="CB4" i="2535"/>
  <c r="BO4" i="2535"/>
  <c r="BB4" i="2535"/>
  <c r="AO4" i="2535"/>
  <c r="AB4" i="2535"/>
  <c r="O4" i="2535"/>
  <c r="B4" i="2535"/>
  <c r="BL74" i="2539" l="1"/>
  <c r="GO7" i="2536"/>
  <c r="GO41" i="2536" s="1"/>
  <c r="BG74" i="2539"/>
  <c r="BH74" i="2539"/>
  <c r="BI74" i="2539"/>
  <c r="DB75" i="2539"/>
  <c r="BV75" i="2539"/>
  <c r="BV74" i="2539" s="1"/>
  <c r="HB81" i="2539"/>
  <c r="FP81" i="2539"/>
  <c r="ET100" i="2539"/>
  <c r="ET114" i="2539" s="1"/>
  <c r="FG81" i="2539"/>
  <c r="HC7" i="2538"/>
  <c r="HC34" i="2538" s="1"/>
  <c r="HP7" i="2538"/>
  <c r="HP34" i="2538" s="1"/>
  <c r="IC7" i="2538"/>
  <c r="IC34" i="2538" s="1"/>
  <c r="BW75" i="2539"/>
  <c r="BW74" i="2539" s="1"/>
  <c r="DJ94" i="2539"/>
  <c r="DJ113" i="2539" s="1"/>
  <c r="EW94" i="2539"/>
  <c r="EW113" i="2539" s="1"/>
  <c r="HV43" i="2538"/>
  <c r="HV42" i="2538" s="1"/>
  <c r="HV40" i="2538" s="1"/>
  <c r="HV38" i="2538" s="1"/>
  <c r="HV35" i="2538" s="1"/>
  <c r="II43" i="2538"/>
  <c r="EK47" i="2541"/>
  <c r="AE62" i="2541"/>
  <c r="BE62" i="2541"/>
  <c r="CE62" i="2541"/>
  <c r="BM47" i="2541"/>
  <c r="CM47" i="2541"/>
  <c r="EM47" i="2541"/>
  <c r="EM43" i="2541" s="1"/>
  <c r="EM40" i="2541" s="1"/>
  <c r="EM38" i="2541" s="1"/>
  <c r="EZ47" i="2541"/>
  <c r="FZ47" i="2541"/>
  <c r="FZ43" i="2541" s="1"/>
  <c r="FZ40" i="2541" s="1"/>
  <c r="FZ38" i="2541" s="1"/>
  <c r="EU62" i="2541"/>
  <c r="EU53" i="2541" s="1"/>
  <c r="EU52" i="2541" s="1"/>
  <c r="FH62" i="2541"/>
  <c r="FU62" i="2541"/>
  <c r="HO7" i="2538"/>
  <c r="GM23" i="2539"/>
  <c r="GM57" i="2539" s="1"/>
  <c r="BF74" i="2539"/>
  <c r="EC7" i="2541"/>
  <c r="FP7" i="2541"/>
  <c r="EO47" i="2541"/>
  <c r="FB47" i="2541"/>
  <c r="FO47" i="2541"/>
  <c r="FO43" i="2541" s="1"/>
  <c r="FO40" i="2541" s="1"/>
  <c r="FO38" i="2541" s="1"/>
  <c r="AG62" i="2541"/>
  <c r="AT62" i="2541"/>
  <c r="BG62" i="2541"/>
  <c r="BT62" i="2541"/>
  <c r="CG62" i="2541"/>
  <c r="CT62" i="2541"/>
  <c r="DG62" i="2541"/>
  <c r="DT62" i="2541"/>
  <c r="AF8" i="2538"/>
  <c r="AF7" i="2538" s="1"/>
  <c r="C7" i="2541"/>
  <c r="BC7" i="2541"/>
  <c r="CC7" i="2541"/>
  <c r="CC34" i="2541" s="1"/>
  <c r="DQ7" i="2541"/>
  <c r="AQ7" i="2541"/>
  <c r="BD7" i="2541"/>
  <c r="CA42" i="2541"/>
  <c r="J7" i="2538"/>
  <c r="W7" i="2538"/>
  <c r="EX62" i="2541"/>
  <c r="CM62" i="2541"/>
  <c r="CM53" i="2541" s="1"/>
  <c r="CM52" i="2541" s="1"/>
  <c r="CM87" i="2541" s="1"/>
  <c r="CZ62" i="2541"/>
  <c r="CZ53" i="2541" s="1"/>
  <c r="CZ52" i="2541" s="1"/>
  <c r="CZ87" i="2541" s="1"/>
  <c r="AW7" i="2538"/>
  <c r="AW35" i="2538" s="1"/>
  <c r="BJ7" i="2538"/>
  <c r="BW7" i="2538"/>
  <c r="CW7" i="2538"/>
  <c r="DJ7" i="2538"/>
  <c r="DW7" i="2538"/>
  <c r="EJ7" i="2538"/>
  <c r="EJ34" i="2538" s="1"/>
  <c r="EW7" i="2538"/>
  <c r="EW34" i="2538" s="1"/>
  <c r="FJ7" i="2538"/>
  <c r="FJ34" i="2538" s="1"/>
  <c r="FW7" i="2538"/>
  <c r="FW34" i="2538" s="1"/>
  <c r="DV42" i="2538"/>
  <c r="DV40" i="2538" s="1"/>
  <c r="DV38" i="2538" s="1"/>
  <c r="BR47" i="2541"/>
  <c r="CE47" i="2541"/>
  <c r="DE47" i="2541"/>
  <c r="EE47" i="2541"/>
  <c r="IB7" i="2538"/>
  <c r="HB8" i="2535"/>
  <c r="HB31" i="2535" s="1"/>
  <c r="I39" i="2537"/>
  <c r="DK8" i="2535"/>
  <c r="DK31" i="2535" s="1"/>
  <c r="EI8" i="2535"/>
  <c r="EI31" i="2535" s="1"/>
  <c r="CR43" i="2538"/>
  <c r="DR43" i="2538"/>
  <c r="EE43" i="2538"/>
  <c r="ER43" i="2538"/>
  <c r="FE43" i="2538"/>
  <c r="FR43" i="2538"/>
  <c r="GE43" i="2538"/>
  <c r="CT47" i="2541"/>
  <c r="DG47" i="2541"/>
  <c r="BL62" i="2541"/>
  <c r="BY62" i="2541"/>
  <c r="BY53" i="2541" s="1"/>
  <c r="BY52" i="2541" s="1"/>
  <c r="BY87" i="2541" s="1"/>
  <c r="CL62" i="2541"/>
  <c r="CL53" i="2541" s="1"/>
  <c r="CL52" i="2541" s="1"/>
  <c r="CL87" i="2541" s="1"/>
  <c r="CY62" i="2541"/>
  <c r="DL62" i="2541"/>
  <c r="DY62" i="2541"/>
  <c r="IE7" i="2538"/>
  <c r="IE34" i="2538" s="1"/>
  <c r="EG75" i="2539"/>
  <c r="EG74" i="2539" s="1"/>
  <c r="D7" i="2541"/>
  <c r="GO8" i="2535"/>
  <c r="GO31" i="2535" s="1"/>
  <c r="GG7" i="2536"/>
  <c r="GG41" i="2536" s="1"/>
  <c r="DG106" i="2539"/>
  <c r="DG115" i="2539" s="1"/>
  <c r="B7" i="2536"/>
  <c r="B41" i="2536" s="1"/>
  <c r="FU8" i="2535"/>
  <c r="FU31" i="2535" s="1"/>
  <c r="AB7" i="2536"/>
  <c r="AB32" i="2536" s="1"/>
  <c r="IH43" i="2538"/>
  <c r="CG7" i="2541"/>
  <c r="CG34" i="2541" s="1"/>
  <c r="AT8" i="2535"/>
  <c r="CC7" i="2536"/>
  <c r="CC41" i="2536" s="1"/>
  <c r="DY54" i="2538"/>
  <c r="HY43" i="2538"/>
  <c r="IL43" i="2538"/>
  <c r="IL42" i="2538" s="1"/>
  <c r="IL40" i="2538" s="1"/>
  <c r="IL38" i="2538" s="1"/>
  <c r="GB7" i="2536"/>
  <c r="GB41" i="2536" s="1"/>
  <c r="GJ7" i="2536"/>
  <c r="GJ41" i="2536" s="1"/>
  <c r="AL39" i="2537"/>
  <c r="DW54" i="2538"/>
  <c r="DW53" i="2538" s="1"/>
  <c r="HB54" i="2538"/>
  <c r="HH62" i="2538"/>
  <c r="HU54" i="2538"/>
  <c r="IH54" i="2538"/>
  <c r="IH53" i="2538" s="1"/>
  <c r="GO43" i="2538"/>
  <c r="HY8" i="2535"/>
  <c r="HY31" i="2535" s="1"/>
  <c r="HW40" i="2538"/>
  <c r="HW38" i="2538" s="1"/>
  <c r="HW35" i="2538" s="1"/>
  <c r="GT94" i="2539"/>
  <c r="DT106" i="2539"/>
  <c r="DT115" i="2539" s="1"/>
  <c r="FQ8" i="2535"/>
  <c r="FQ31" i="2535" s="1"/>
  <c r="BJ7" i="2536"/>
  <c r="BJ41" i="2536" s="1"/>
  <c r="CJ7" i="2536"/>
  <c r="CJ41" i="2536" s="1"/>
  <c r="EW7" i="2536"/>
  <c r="EW41" i="2536" s="1"/>
  <c r="CO7" i="2541"/>
  <c r="BL47" i="2541"/>
  <c r="BL43" i="2541" s="1"/>
  <c r="BL40" i="2541" s="1"/>
  <c r="BL38" i="2541" s="1"/>
  <c r="GD8" i="2535"/>
  <c r="GD31" i="2535" s="1"/>
  <c r="GR7" i="2536"/>
  <c r="GR41" i="2536" s="1"/>
  <c r="AM62" i="2541"/>
  <c r="AZ62" i="2541"/>
  <c r="BM62" i="2541"/>
  <c r="BZ62" i="2541"/>
  <c r="DM62" i="2541"/>
  <c r="DZ62" i="2541"/>
  <c r="DZ53" i="2541" s="1"/>
  <c r="DZ52" i="2541" s="1"/>
  <c r="EP47" i="2541"/>
  <c r="EP43" i="2541" s="1"/>
  <c r="EP40" i="2541" s="1"/>
  <c r="EP38" i="2541" s="1"/>
  <c r="AJ8" i="2538"/>
  <c r="AJ7" i="2538" s="1"/>
  <c r="FB43" i="2538"/>
  <c r="CM7" i="2541"/>
  <c r="CM34" i="2541" s="1"/>
  <c r="BQ47" i="2541"/>
  <c r="FO75" i="2539"/>
  <c r="IQ8" i="2535"/>
  <c r="C7" i="2538"/>
  <c r="GO62" i="2538"/>
  <c r="DX94" i="2539"/>
  <c r="EK94" i="2539"/>
  <c r="EK113" i="2539" s="1"/>
  <c r="AP7" i="2538"/>
  <c r="CC7" i="2538"/>
  <c r="CP7" i="2538"/>
  <c r="DC7" i="2538"/>
  <c r="DP7" i="2538"/>
  <c r="EC7" i="2538"/>
  <c r="EC34" i="2538" s="1"/>
  <c r="EP7" i="2538"/>
  <c r="EP34" i="2538" s="1"/>
  <c r="FC7" i="2538"/>
  <c r="FC34" i="2538" s="1"/>
  <c r="FP7" i="2538"/>
  <c r="FP34" i="2538" s="1"/>
  <c r="GC7" i="2538"/>
  <c r="GC34" i="2538" s="1"/>
  <c r="EI47" i="2541"/>
  <c r="EI43" i="2541" s="1"/>
  <c r="EI40" i="2541" s="1"/>
  <c r="EI38" i="2541" s="1"/>
  <c r="BB106" i="2539"/>
  <c r="CD7" i="2538"/>
  <c r="AB8" i="2538"/>
  <c r="DS62" i="2541"/>
  <c r="EF7" i="2538"/>
  <c r="EF34" i="2538" s="1"/>
  <c r="AE8" i="2538"/>
  <c r="DO7" i="2538"/>
  <c r="GB7" i="2538"/>
  <c r="GB34" i="2538" s="1"/>
  <c r="GG7" i="2538"/>
  <c r="GG34" i="2538" s="1"/>
  <c r="HG7" i="2538"/>
  <c r="HG34" i="2538" s="1"/>
  <c r="HS62" i="2538"/>
  <c r="BJ74" i="2539"/>
  <c r="HE54" i="2538"/>
  <c r="HE53" i="2538" s="1"/>
  <c r="BT7" i="2538"/>
  <c r="GT7" i="2538"/>
  <c r="GT34" i="2538" s="1"/>
  <c r="IG7" i="2538"/>
  <c r="IG34" i="2538" s="1"/>
  <c r="FS54" i="2538"/>
  <c r="FS53" i="2538" s="1"/>
  <c r="FS81" i="2538" s="1"/>
  <c r="EZ54" i="2538"/>
  <c r="FZ54" i="2538"/>
  <c r="K7" i="2541"/>
  <c r="X7" i="2541"/>
  <c r="AX7" i="2541"/>
  <c r="BX7" i="2541"/>
  <c r="BX34" i="2541" s="1"/>
  <c r="CK7" i="2541"/>
  <c r="CK34" i="2541" s="1"/>
  <c r="CY47" i="2541"/>
  <c r="CW7" i="2536"/>
  <c r="CW41" i="2536" s="1"/>
  <c r="GO7" i="2538"/>
  <c r="GO34" i="2538" s="1"/>
  <c r="FW54" i="2538"/>
  <c r="FW53" i="2538" s="1"/>
  <c r="FW81" i="2538" s="1"/>
  <c r="GW54" i="2538"/>
  <c r="GW53" i="2538" s="1"/>
  <c r="CP43" i="2538"/>
  <c r="DC43" i="2538"/>
  <c r="EC43" i="2538"/>
  <c r="EP43" i="2538"/>
  <c r="HC42" i="2538"/>
  <c r="IC42" i="2538"/>
  <c r="IC40" i="2538" s="1"/>
  <c r="IC38" i="2538" s="1"/>
  <c r="IC35" i="2538" s="1"/>
  <c r="EB7" i="2541"/>
  <c r="EO7" i="2541"/>
  <c r="FB7" i="2541"/>
  <c r="FO7" i="2541"/>
  <c r="AO8" i="2535"/>
  <c r="AO31" i="2535" s="1"/>
  <c r="DD42" i="2538"/>
  <c r="HQ54" i="2538"/>
  <c r="HQ53" i="2538" s="1"/>
  <c r="ID54" i="2538"/>
  <c r="GL54" i="2538"/>
  <c r="GL53" i="2538" s="1"/>
  <c r="HL62" i="2538"/>
  <c r="B7" i="2541"/>
  <c r="AB7" i="2541"/>
  <c r="BB7" i="2541"/>
  <c r="BO7" i="2541"/>
  <c r="BO34" i="2541" s="1"/>
  <c r="CB7" i="2541"/>
  <c r="CB34" i="2541" s="1"/>
  <c r="DP47" i="2541"/>
  <c r="G7" i="2535"/>
  <c r="BY8" i="2535"/>
  <c r="BY31" i="2535" s="1"/>
  <c r="GQ8" i="2535"/>
  <c r="GQ31" i="2535" s="1"/>
  <c r="EV7" i="2536"/>
  <c r="EV41" i="2536" s="1"/>
  <c r="AI8" i="2538"/>
  <c r="AI7" i="2538" s="1"/>
  <c r="FT42" i="2538"/>
  <c r="FT40" i="2538" s="1"/>
  <c r="FT38" i="2538" s="1"/>
  <c r="DE53" i="2538"/>
  <c r="EK54" i="2538"/>
  <c r="EK53" i="2538" s="1"/>
  <c r="EK81" i="2538" s="1"/>
  <c r="EK43" i="2541"/>
  <c r="EK40" i="2541" s="1"/>
  <c r="EK38" i="2541" s="1"/>
  <c r="AJ62" i="2541"/>
  <c r="BW62" i="2541"/>
  <c r="CJ62" i="2541"/>
  <c r="CJ53" i="2541" s="1"/>
  <c r="DJ62" i="2541"/>
  <c r="CO62" i="2541"/>
  <c r="DL54" i="2538"/>
  <c r="DL53" i="2538" s="1"/>
  <c r="AP8" i="2535"/>
  <c r="AP31" i="2535" s="1"/>
  <c r="CG8" i="2535"/>
  <c r="CG31" i="2535" s="1"/>
  <c r="O7" i="2538"/>
  <c r="DP43" i="2538"/>
  <c r="DP42" i="2538" s="1"/>
  <c r="DP40" i="2538" s="1"/>
  <c r="DP38" i="2538" s="1"/>
  <c r="HS43" i="2538"/>
  <c r="HS42" i="2538" s="1"/>
  <c r="HS40" i="2538" s="1"/>
  <c r="HS38" i="2538" s="1"/>
  <c r="BB74" i="2539"/>
  <c r="BU75" i="2539"/>
  <c r="BU74" i="2539" s="1"/>
  <c r="AE47" i="2541"/>
  <c r="AE43" i="2541" s="1"/>
  <c r="AE40" i="2541" s="1"/>
  <c r="AE38" i="2541" s="1"/>
  <c r="EZ62" i="2541"/>
  <c r="EZ53" i="2541" s="1"/>
  <c r="EZ52" i="2541" s="1"/>
  <c r="FM62" i="2541"/>
  <c r="FM53" i="2541" s="1"/>
  <c r="FM52" i="2541" s="1"/>
  <c r="FZ62" i="2541"/>
  <c r="IS7" i="2535"/>
  <c r="IS30" i="2535" s="1"/>
  <c r="DD8" i="2535"/>
  <c r="DD31" i="2535" s="1"/>
  <c r="HJ7" i="2536"/>
  <c r="HJ41" i="2536" s="1"/>
  <c r="DU42" i="2538"/>
  <c r="CE7" i="2539"/>
  <c r="CE41" i="2539" s="1"/>
  <c r="I7" i="2541"/>
  <c r="AN24" i="2541"/>
  <c r="BA24" i="2541"/>
  <c r="BN24" i="2541"/>
  <c r="CN24" i="2541"/>
  <c r="DN24" i="2541"/>
  <c r="AO7" i="2538"/>
  <c r="BO7" i="2538"/>
  <c r="CO7" i="2538"/>
  <c r="FO7" i="2538"/>
  <c r="DY43" i="2538"/>
  <c r="DB74" i="2539"/>
  <c r="Z39" i="2537"/>
  <c r="GA41" i="2538"/>
  <c r="EI42" i="2538"/>
  <c r="DC54" i="2538"/>
  <c r="DC53" i="2538" s="1"/>
  <c r="EB8" i="2535"/>
  <c r="EB31" i="2535" s="1"/>
  <c r="AB7" i="2538"/>
  <c r="DU94" i="2539"/>
  <c r="DU113" i="2539" s="1"/>
  <c r="DP8" i="2535"/>
  <c r="DP31" i="2535" s="1"/>
  <c r="EC8" i="2535"/>
  <c r="EC31" i="2535" s="1"/>
  <c r="AD8" i="2538"/>
  <c r="AD7" i="2538" s="1"/>
  <c r="CF7" i="2538"/>
  <c r="ES7" i="2538"/>
  <c r="ES34" i="2538" s="1"/>
  <c r="GS7" i="2538"/>
  <c r="GS34" i="2538" s="1"/>
  <c r="HF7" i="2538"/>
  <c r="HF34" i="2538" s="1"/>
  <c r="HS7" i="2538"/>
  <c r="HS34" i="2538" s="1"/>
  <c r="CO43" i="2538"/>
  <c r="CO42" i="2538" s="1"/>
  <c r="CO40" i="2538" s="1"/>
  <c r="CO38" i="2538" s="1"/>
  <c r="HG75" i="2539"/>
  <c r="CP7" i="2536"/>
  <c r="CP41" i="2536" s="1"/>
  <c r="GW7" i="2536"/>
  <c r="GW41" i="2536" s="1"/>
  <c r="BF7" i="2538"/>
  <c r="BF35" i="2538" s="1"/>
  <c r="CS7" i="2538"/>
  <c r="DF7" i="2538"/>
  <c r="DS7" i="2538"/>
  <c r="FF7" i="2538"/>
  <c r="FF34" i="2538" s="1"/>
  <c r="FS7" i="2538"/>
  <c r="FS34" i="2538" s="1"/>
  <c r="GK43" i="2538"/>
  <c r="HK43" i="2538"/>
  <c r="HK42" i="2538" s="1"/>
  <c r="HK40" i="2538" s="1"/>
  <c r="HK38" i="2538" s="1"/>
  <c r="CP42" i="2538"/>
  <c r="DB43" i="2538"/>
  <c r="DB42" i="2538" s="1"/>
  <c r="DB40" i="2538" s="1"/>
  <c r="DB38" i="2538" s="1"/>
  <c r="DO54" i="2538"/>
  <c r="DO53" i="2538" s="1"/>
  <c r="EB54" i="2538"/>
  <c r="EB53" i="2538" s="1"/>
  <c r="EB81" i="2538" s="1"/>
  <c r="FN63" i="2539"/>
  <c r="BR75" i="2539"/>
  <c r="BR74" i="2539" s="1"/>
  <c r="DD7" i="2536"/>
  <c r="DD41" i="2536" s="1"/>
  <c r="HK7" i="2536"/>
  <c r="HK41" i="2536" s="1"/>
  <c r="DX43" i="2538"/>
  <c r="DX42" i="2538" s="1"/>
  <c r="HD54" i="2538"/>
  <c r="HD53" i="2538" s="1"/>
  <c r="BS75" i="2539"/>
  <c r="BS74" i="2539" s="1"/>
  <c r="BR62" i="2541"/>
  <c r="IK8" i="2535"/>
  <c r="DJ7" i="2536"/>
  <c r="DJ41" i="2536" s="1"/>
  <c r="M7" i="2538"/>
  <c r="Z7" i="2538"/>
  <c r="DY53" i="2538"/>
  <c r="DN45" i="2538"/>
  <c r="IE43" i="2538"/>
  <c r="IE42" i="2538" s="1"/>
  <c r="IE40" i="2538" s="1"/>
  <c r="IE38" i="2538" s="1"/>
  <c r="IE35" i="2538" s="1"/>
  <c r="HO62" i="2538"/>
  <c r="HO54" i="2538" s="1"/>
  <c r="HO53" i="2538" s="1"/>
  <c r="HG100" i="2539"/>
  <c r="HG114" i="2539" s="1"/>
  <c r="EB7" i="2536"/>
  <c r="EB41" i="2536" s="1"/>
  <c r="Y7" i="2536"/>
  <c r="Y41" i="2536" s="1"/>
  <c r="DN41" i="2538"/>
  <c r="EB43" i="2538"/>
  <c r="FK43" i="2538"/>
  <c r="HQ43" i="2538"/>
  <c r="HQ42" i="2538" s="1"/>
  <c r="HQ40" i="2538" s="1"/>
  <c r="HQ38" i="2538" s="1"/>
  <c r="HQ35" i="2538" s="1"/>
  <c r="BK47" i="2541"/>
  <c r="HZ54" i="2538"/>
  <c r="HE8" i="2535"/>
  <c r="IR8" i="2535"/>
  <c r="FC7" i="2536"/>
  <c r="FC41" i="2536" s="1"/>
  <c r="CA31" i="2537"/>
  <c r="HR43" i="2538"/>
  <c r="HR42" i="2538" s="1"/>
  <c r="HR40" i="2538" s="1"/>
  <c r="HR38" i="2538" s="1"/>
  <c r="J7" i="2535"/>
  <c r="FE7" i="2536"/>
  <c r="FE41" i="2536" s="1"/>
  <c r="AO7" i="2536"/>
  <c r="AO41" i="2536" s="1"/>
  <c r="AO66" i="2536" s="1"/>
  <c r="CO7" i="2536"/>
  <c r="CO41" i="2536" s="1"/>
  <c r="FO7" i="2536"/>
  <c r="FO41" i="2536" s="1"/>
  <c r="Q7" i="2538"/>
  <c r="EP54" i="2538"/>
  <c r="EP53" i="2538" s="1"/>
  <c r="EP81" i="2538" s="1"/>
  <c r="DX75" i="2539"/>
  <c r="DX74" i="2539" s="1"/>
  <c r="FM54" i="2538"/>
  <c r="FM53" i="2538" s="1"/>
  <c r="FM81" i="2538" s="1"/>
  <c r="AO7" i="2535"/>
  <c r="AO30" i="2535" s="1"/>
  <c r="FK8" i="2535"/>
  <c r="FK31" i="2535" s="1"/>
  <c r="BR8" i="2535"/>
  <c r="BR31" i="2535" s="1"/>
  <c r="FX7" i="2536"/>
  <c r="FX41" i="2536" s="1"/>
  <c r="AM7" i="2538"/>
  <c r="AZ7" i="2538"/>
  <c r="BM7" i="2538"/>
  <c r="BM35" i="2538" s="1"/>
  <c r="BZ7" i="2538"/>
  <c r="BZ35" i="2538" s="1"/>
  <c r="CM7" i="2538"/>
  <c r="DZ7" i="2538"/>
  <c r="EM7" i="2538"/>
  <c r="EM34" i="2538" s="1"/>
  <c r="FM7" i="2538"/>
  <c r="FM34" i="2538" s="1"/>
  <c r="FZ7" i="2538"/>
  <c r="FZ34" i="2538" s="1"/>
  <c r="EV54" i="2538"/>
  <c r="EV53" i="2538" s="1"/>
  <c r="EV81" i="2538" s="1"/>
  <c r="EB75" i="2539"/>
  <c r="EB74" i="2539" s="1"/>
  <c r="GO92" i="2539"/>
  <c r="GO111" i="2539" s="1"/>
  <c r="B39" i="2537"/>
  <c r="F7" i="2538"/>
  <c r="HD43" i="2538"/>
  <c r="HD42" i="2538" s="1"/>
  <c r="HD40" i="2538" s="1"/>
  <c r="HD38" i="2538" s="1"/>
  <c r="HD35" i="2538" s="1"/>
  <c r="DB47" i="2541"/>
  <c r="DB43" i="2541" s="1"/>
  <c r="DB40" i="2541" s="1"/>
  <c r="EB47" i="2541"/>
  <c r="EB43" i="2541" s="1"/>
  <c r="CT53" i="2541"/>
  <c r="GK7" i="2535"/>
  <c r="GK30" i="2535" s="1"/>
  <c r="FR8" i="2535"/>
  <c r="FR31" i="2535" s="1"/>
  <c r="T7" i="2536"/>
  <c r="T32" i="2536" s="1"/>
  <c r="EK43" i="2538"/>
  <c r="FX43" i="2538"/>
  <c r="FX42" i="2538" s="1"/>
  <c r="FX40" i="2538" s="1"/>
  <c r="FX38" i="2538" s="1"/>
  <c r="HZ43" i="2538"/>
  <c r="HZ42" i="2538" s="1"/>
  <c r="HZ40" i="2538" s="1"/>
  <c r="HZ38" i="2538" s="1"/>
  <c r="HZ35" i="2538" s="1"/>
  <c r="EK75" i="2539"/>
  <c r="GQ7" i="2535"/>
  <c r="GQ30" i="2535" s="1"/>
  <c r="AQ7" i="2538"/>
  <c r="BD7" i="2538"/>
  <c r="BD35" i="2538" s="1"/>
  <c r="BQ7" i="2538"/>
  <c r="BQ35" i="2538" s="1"/>
  <c r="DD7" i="2538"/>
  <c r="DQ7" i="2538"/>
  <c r="ED7" i="2538"/>
  <c r="ED34" i="2538" s="1"/>
  <c r="EQ7" i="2538"/>
  <c r="EQ34" i="2538" s="1"/>
  <c r="FD7" i="2538"/>
  <c r="FD34" i="2538" s="1"/>
  <c r="FQ7" i="2538"/>
  <c r="FQ34" i="2538" s="1"/>
  <c r="DO43" i="2538"/>
  <c r="EO43" i="2538"/>
  <c r="FY42" i="2538"/>
  <c r="CY54" i="2538"/>
  <c r="CY53" i="2538" s="1"/>
  <c r="EY54" i="2538"/>
  <c r="EY53" i="2538" s="1"/>
  <c r="EY81" i="2538" s="1"/>
  <c r="GY54" i="2538"/>
  <c r="GY53" i="2538" s="1"/>
  <c r="BT7" i="2539"/>
  <c r="BT41" i="2539" s="1"/>
  <c r="BK74" i="2539"/>
  <c r="EO75" i="2539"/>
  <c r="BR94" i="2539"/>
  <c r="BR113" i="2539" s="1"/>
  <c r="DD47" i="2541"/>
  <c r="U7" i="2536"/>
  <c r="U41" i="2536" s="1"/>
  <c r="HD7" i="2536"/>
  <c r="HD41" i="2536" s="1"/>
  <c r="GR7" i="2539"/>
  <c r="GR41" i="2539" s="1"/>
  <c r="FH19" i="2539"/>
  <c r="FH53" i="2539" s="1"/>
  <c r="C7" i="2535"/>
  <c r="EH7" i="2536"/>
  <c r="EH41" i="2536" s="1"/>
  <c r="BL7" i="2538"/>
  <c r="HE7" i="2538"/>
  <c r="HE34" i="2538" s="1"/>
  <c r="HR7" i="2538"/>
  <c r="HR34" i="2538" s="1"/>
  <c r="EJ42" i="2538"/>
  <c r="EJ40" i="2538" s="1"/>
  <c r="EJ38" i="2538" s="1"/>
  <c r="EJ35" i="2538" s="1"/>
  <c r="HU8" i="2535"/>
  <c r="HU31" i="2535" s="1"/>
  <c r="IO8" i="2535"/>
  <c r="BH7" i="2536"/>
  <c r="BH41" i="2536" s="1"/>
  <c r="FL54" i="2538"/>
  <c r="FL53" i="2538" s="1"/>
  <c r="FL81" i="2538" s="1"/>
  <c r="DF7" i="2541"/>
  <c r="ES7" i="2541"/>
  <c r="FE47" i="2541"/>
  <c r="FE43" i="2541" s="1"/>
  <c r="FE40" i="2541" s="1"/>
  <c r="FE38" i="2541" s="1"/>
  <c r="AC62" i="2541"/>
  <c r="AC53" i="2541" s="1"/>
  <c r="AC52" i="2541" s="1"/>
  <c r="AP62" i="2541"/>
  <c r="AP53" i="2541" s="1"/>
  <c r="AP52" i="2541" s="1"/>
  <c r="BC62" i="2541"/>
  <c r="BC53" i="2541" s="1"/>
  <c r="BC52" i="2541" s="1"/>
  <c r="BP62" i="2541"/>
  <c r="CC62" i="2541"/>
  <c r="CC53" i="2541" s="1"/>
  <c r="CC52" i="2541" s="1"/>
  <c r="CC87" i="2541" s="1"/>
  <c r="CP62" i="2541"/>
  <c r="DC62" i="2541"/>
  <c r="ER62" i="2541"/>
  <c r="ER53" i="2541" s="1"/>
  <c r="ER52" i="2541" s="1"/>
  <c r="FJ47" i="2541"/>
  <c r="EG8" i="2535"/>
  <c r="EG31" i="2535" s="1"/>
  <c r="BU7" i="2536"/>
  <c r="BU41" i="2536" s="1"/>
  <c r="FU7" i="2536"/>
  <c r="FU41" i="2536" s="1"/>
  <c r="CV7" i="2541"/>
  <c r="S7" i="2541"/>
  <c r="AF7" i="2541"/>
  <c r="AS7" i="2541"/>
  <c r="BF7" i="2541"/>
  <c r="AN42" i="2541"/>
  <c r="J7" i="2541"/>
  <c r="GL23" i="2539"/>
  <c r="GL57" i="2539" s="1"/>
  <c r="DI7" i="2541"/>
  <c r="AR62" i="2541"/>
  <c r="CR62" i="2541"/>
  <c r="CR53" i="2541" s="1"/>
  <c r="CR52" i="2541" s="1"/>
  <c r="CR87" i="2541" s="1"/>
  <c r="DE62" i="2541"/>
  <c r="DR62" i="2541"/>
  <c r="EE62" i="2541"/>
  <c r="EE53" i="2541" s="1"/>
  <c r="EE52" i="2541" s="1"/>
  <c r="FQ7" i="2535"/>
  <c r="FQ30" i="2535" s="1"/>
  <c r="EU8" i="2535"/>
  <c r="EU31" i="2535" s="1"/>
  <c r="CH7" i="2536"/>
  <c r="CH41" i="2536" s="1"/>
  <c r="EI7" i="2541"/>
  <c r="EV7" i="2541"/>
  <c r="FI7" i="2541"/>
  <c r="GH7" i="2536"/>
  <c r="GH41" i="2536" s="1"/>
  <c r="AG8" i="2538"/>
  <c r="AG7" i="2538" s="1"/>
  <c r="FA45" i="2538"/>
  <c r="V7" i="2541"/>
  <c r="AI7" i="2541"/>
  <c r="BI7" i="2541"/>
  <c r="BV7" i="2541"/>
  <c r="BV34" i="2541" s="1"/>
  <c r="AK47" i="2541"/>
  <c r="AK43" i="2541" s="1"/>
  <c r="AK40" i="2541" s="1"/>
  <c r="AK38" i="2541" s="1"/>
  <c r="BX47" i="2541"/>
  <c r="BX43" i="2541" s="1"/>
  <c r="BX40" i="2541" s="1"/>
  <c r="BX38" i="2541" s="1"/>
  <c r="BX35" i="2541" s="1"/>
  <c r="CK62" i="2541"/>
  <c r="CX62" i="2541"/>
  <c r="CX53" i="2541" s="1"/>
  <c r="CX52" i="2541" s="1"/>
  <c r="CX87" i="2541" s="1"/>
  <c r="DK62" i="2541"/>
  <c r="DK53" i="2541" s="1"/>
  <c r="DK52" i="2541" s="1"/>
  <c r="DK87" i="2541" s="1"/>
  <c r="DX62" i="2541"/>
  <c r="FE87" i="2539"/>
  <c r="EZ43" i="2541"/>
  <c r="EZ40" i="2541" s="1"/>
  <c r="EZ38" i="2541" s="1"/>
  <c r="GX54" i="2538"/>
  <c r="GX53" i="2538" s="1"/>
  <c r="AK8" i="2538"/>
  <c r="DJ54" i="2538"/>
  <c r="DJ53" i="2538" s="1"/>
  <c r="EY7" i="2539"/>
  <c r="EY41" i="2539" s="1"/>
  <c r="EM53" i="2541"/>
  <c r="EM52" i="2541" s="1"/>
  <c r="DU7" i="2536"/>
  <c r="DU41" i="2536" s="1"/>
  <c r="EZ43" i="2538"/>
  <c r="EZ42" i="2538" s="1"/>
  <c r="EZ40" i="2538" s="1"/>
  <c r="EZ38" i="2538" s="1"/>
  <c r="FZ43" i="2538"/>
  <c r="FZ42" i="2538" s="1"/>
  <c r="FR7" i="2539"/>
  <c r="FR41" i="2539" s="1"/>
  <c r="GU19" i="2539"/>
  <c r="GU53" i="2539" s="1"/>
  <c r="ES47" i="2541"/>
  <c r="GO88" i="2539"/>
  <c r="GO107" i="2539" s="1"/>
  <c r="BB8" i="2535"/>
  <c r="BB7" i="2535" s="1"/>
  <c r="BB30" i="2535" s="1"/>
  <c r="FY8" i="2535"/>
  <c r="FY31" i="2535" s="1"/>
  <c r="IE8" i="2535"/>
  <c r="IE31" i="2535" s="1"/>
  <c r="DY8" i="2535"/>
  <c r="AH7" i="2536"/>
  <c r="AH41" i="2536" s="1"/>
  <c r="AH66" i="2536" s="1"/>
  <c r="GC7" i="2536"/>
  <c r="GC41" i="2536" s="1"/>
  <c r="GE7" i="2538"/>
  <c r="GE34" i="2538" s="1"/>
  <c r="EY75" i="2539"/>
  <c r="HL87" i="2539"/>
  <c r="FW53" i="2541"/>
  <c r="FW52" i="2541" s="1"/>
  <c r="GO89" i="2539"/>
  <c r="GO108" i="2539" s="1"/>
  <c r="EL42" i="2538"/>
  <c r="EL40" i="2538" s="1"/>
  <c r="EL38" i="2538" s="1"/>
  <c r="BH8" i="2535"/>
  <c r="DQ8" i="2535"/>
  <c r="GC8" i="2535"/>
  <c r="DP7" i="2536"/>
  <c r="DP41" i="2536" s="1"/>
  <c r="GE7" i="2536"/>
  <c r="GE41" i="2536" s="1"/>
  <c r="GN17" i="2538"/>
  <c r="FL42" i="2538"/>
  <c r="FL40" i="2538" s="1"/>
  <c r="FL38" i="2538" s="1"/>
  <c r="CG7" i="2539"/>
  <c r="CG41" i="2539" s="1"/>
  <c r="AQ47" i="2541"/>
  <c r="AQ43" i="2541" s="1"/>
  <c r="AQ40" i="2541" s="1"/>
  <c r="AQ38" i="2541" s="1"/>
  <c r="AY47" i="2541"/>
  <c r="BY47" i="2541"/>
  <c r="DA40" i="2535"/>
  <c r="DN40" i="2535"/>
  <c r="FA40" i="2535"/>
  <c r="FN40" i="2535"/>
  <c r="GA40" i="2535"/>
  <c r="GN40" i="2535"/>
  <c r="JA40" i="2535"/>
  <c r="JN40" i="2535"/>
  <c r="KA40" i="2535"/>
  <c r="BE7" i="2536"/>
  <c r="BE41" i="2536" s="1"/>
  <c r="D7" i="2536"/>
  <c r="D41" i="2536" s="1"/>
  <c r="AH39" i="2537"/>
  <c r="EI54" i="2538"/>
  <c r="EI53" i="2538" s="1"/>
  <c r="EI81" i="2538" s="1"/>
  <c r="FZ71" i="2538"/>
  <c r="DO7" i="2539"/>
  <c r="DO41" i="2539" s="1"/>
  <c r="BC74" i="2539"/>
  <c r="GI75" i="2539"/>
  <c r="GQ92" i="2539"/>
  <c r="GQ111" i="2539" s="1"/>
  <c r="EO43" i="2541"/>
  <c r="EO40" i="2541" s="1"/>
  <c r="AE53" i="2541"/>
  <c r="AE52" i="2541" s="1"/>
  <c r="AB62" i="2541"/>
  <c r="AO62" i="2541"/>
  <c r="AO53" i="2541" s="1"/>
  <c r="AO52" i="2541" s="1"/>
  <c r="BB62" i="2541"/>
  <c r="BO62" i="2541"/>
  <c r="BO53" i="2541" s="1"/>
  <c r="BO52" i="2541" s="1"/>
  <c r="BO87" i="2541" s="1"/>
  <c r="D7" i="2535"/>
  <c r="GD7" i="2535"/>
  <c r="GD30" i="2535" s="1"/>
  <c r="CC8" i="2535"/>
  <c r="GE8" i="2535"/>
  <c r="D48" i="2536"/>
  <c r="FI7" i="2538"/>
  <c r="FI34" i="2538" s="1"/>
  <c r="FV7" i="2538"/>
  <c r="FV34" i="2538" s="1"/>
  <c r="GI7" i="2538"/>
  <c r="GI34" i="2538" s="1"/>
  <c r="HM62" i="2538"/>
  <c r="HM54" i="2538" s="1"/>
  <c r="HM53" i="2538" s="1"/>
  <c r="EO7" i="2539"/>
  <c r="EO41" i="2539" s="1"/>
  <c r="GY75" i="2539"/>
  <c r="AO47" i="2541"/>
  <c r="BO47" i="2541"/>
  <c r="BO43" i="2541" s="1"/>
  <c r="BO40" i="2541" s="1"/>
  <c r="BO38" i="2541" s="1"/>
  <c r="CO47" i="2541"/>
  <c r="CO43" i="2541" s="1"/>
  <c r="CO40" i="2541" s="1"/>
  <c r="F7" i="2535"/>
  <c r="CF8" i="2535"/>
  <c r="CF31" i="2535" s="1"/>
  <c r="BR7" i="2536"/>
  <c r="BR41" i="2536" s="1"/>
  <c r="AJ39" i="2537"/>
  <c r="E7" i="2538"/>
  <c r="BE7" i="2538"/>
  <c r="BE35" i="2538" s="1"/>
  <c r="BR7" i="2538"/>
  <c r="BR35" i="2538" s="1"/>
  <c r="IK54" i="2538"/>
  <c r="IK53" i="2538" s="1"/>
  <c r="BE74" i="2539"/>
  <c r="FF75" i="2539"/>
  <c r="ER7" i="2536"/>
  <c r="ER41" i="2536" s="1"/>
  <c r="X39" i="2537"/>
  <c r="FY54" i="2538"/>
  <c r="FY53" i="2538" s="1"/>
  <c r="FY81" i="2538" s="1"/>
  <c r="HI75" i="2539"/>
  <c r="FI94" i="2539"/>
  <c r="FI113" i="2539" s="1"/>
  <c r="BA7" i="2540"/>
  <c r="CK8" i="2535"/>
  <c r="GP8" i="2535"/>
  <c r="DZ8" i="2535"/>
  <c r="DZ7" i="2535" s="1"/>
  <c r="DZ30" i="2535" s="1"/>
  <c r="AE7" i="2538"/>
  <c r="BY7" i="2538"/>
  <c r="BY35" i="2538" s="1"/>
  <c r="DY7" i="2538"/>
  <c r="EL7" i="2538"/>
  <c r="EL34" i="2538" s="1"/>
  <c r="EY7" i="2538"/>
  <c r="EY34" i="2538" s="1"/>
  <c r="HL7" i="2538"/>
  <c r="HL34" i="2538" s="1"/>
  <c r="GS54" i="2538"/>
  <c r="HF54" i="2538"/>
  <c r="HF53" i="2538" s="1"/>
  <c r="HS54" i="2538"/>
  <c r="HS53" i="2538" s="1"/>
  <c r="IF54" i="2538"/>
  <c r="DA45" i="2538"/>
  <c r="GI7" i="2539"/>
  <c r="GI41" i="2539" s="1"/>
  <c r="DL75" i="2539"/>
  <c r="DL74" i="2539" s="1"/>
  <c r="EJ94" i="2539"/>
  <c r="EJ113" i="2539" s="1"/>
  <c r="IL8" i="2535"/>
  <c r="IL31" i="2535" s="1"/>
  <c r="I7" i="2535"/>
  <c r="DK7" i="2535"/>
  <c r="DK30" i="2535" s="1"/>
  <c r="CL8" i="2535"/>
  <c r="CL31" i="2535" s="1"/>
  <c r="EY8" i="2535"/>
  <c r="E7" i="2536"/>
  <c r="E41" i="2536" s="1"/>
  <c r="AU7" i="2538"/>
  <c r="BH7" i="2538"/>
  <c r="V7" i="2539"/>
  <c r="V33" i="2539" s="1"/>
  <c r="BJ106" i="2539"/>
  <c r="BJ115" i="2539" s="1"/>
  <c r="R8" i="2535"/>
  <c r="L7" i="2535"/>
  <c r="HB7" i="2535"/>
  <c r="HB30" i="2535" s="1"/>
  <c r="U8" i="2535"/>
  <c r="CY8" i="2535"/>
  <c r="CY31" i="2535" s="1"/>
  <c r="FE8" i="2535"/>
  <c r="GU8" i="2535"/>
  <c r="GU31" i="2535" s="1"/>
  <c r="CN35" i="2535"/>
  <c r="DA35" i="2535"/>
  <c r="EN35" i="2535"/>
  <c r="FA35" i="2535"/>
  <c r="FN35" i="2535"/>
  <c r="GA35" i="2535"/>
  <c r="GN35" i="2535"/>
  <c r="HA35" i="2535"/>
  <c r="HN35" i="2535"/>
  <c r="IA35" i="2535"/>
  <c r="IN35" i="2535"/>
  <c r="CN36" i="2535"/>
  <c r="DA36" i="2535"/>
  <c r="P7" i="2536"/>
  <c r="P41" i="2536" s="1"/>
  <c r="CK7" i="2536"/>
  <c r="CK41" i="2536" s="1"/>
  <c r="FR7" i="2536"/>
  <c r="FR41" i="2536" s="1"/>
  <c r="HE7" i="2536"/>
  <c r="HE41" i="2536" s="1"/>
  <c r="AS7" i="2536"/>
  <c r="AS41" i="2536" s="1"/>
  <c r="AS66" i="2536" s="1"/>
  <c r="BF7" i="2536"/>
  <c r="BF41" i="2536" s="1"/>
  <c r="DF7" i="2536"/>
  <c r="DF41" i="2536" s="1"/>
  <c r="GS7" i="2536"/>
  <c r="GS41" i="2536" s="1"/>
  <c r="CO42" i="2536"/>
  <c r="T7" i="2539"/>
  <c r="T41" i="2539" s="1"/>
  <c r="GV7" i="2539"/>
  <c r="GV41" i="2539" s="1"/>
  <c r="CL94" i="2539"/>
  <c r="CL113" i="2539" s="1"/>
  <c r="DL94" i="2539"/>
  <c r="DL113" i="2539" s="1"/>
  <c r="FY75" i="2539"/>
  <c r="GL75" i="2539"/>
  <c r="DK47" i="2541"/>
  <c r="BW53" i="2541"/>
  <c r="BW52" i="2541" s="1"/>
  <c r="BW87" i="2541" s="1"/>
  <c r="FK62" i="2541"/>
  <c r="FK53" i="2541" s="1"/>
  <c r="FK52" i="2541" s="1"/>
  <c r="AJ8" i="2535"/>
  <c r="AH8" i="2535"/>
  <c r="AH7" i="2535" s="1"/>
  <c r="AH30" i="2535" s="1"/>
  <c r="DV8" i="2535"/>
  <c r="DV31" i="2535" s="1"/>
  <c r="ES43" i="2538"/>
  <c r="ES42" i="2538" s="1"/>
  <c r="ES40" i="2538" s="1"/>
  <c r="ES38" i="2538" s="1"/>
  <c r="AE7" i="2539"/>
  <c r="AE41" i="2539" s="1"/>
  <c r="HB7" i="2539"/>
  <c r="HB41" i="2539" s="1"/>
  <c r="FR81" i="2539"/>
  <c r="FP87" i="2539"/>
  <c r="M7" i="2535"/>
  <c r="DI8" i="2535"/>
  <c r="DI31" i="2535" s="1"/>
  <c r="HC8" i="2535"/>
  <c r="HC31" i="2535" s="1"/>
  <c r="EX8" i="2535"/>
  <c r="CR42" i="2538"/>
  <c r="CR40" i="2538" s="1"/>
  <c r="CR38" i="2538" s="1"/>
  <c r="AT7" i="2539"/>
  <c r="AT41" i="2539" s="1"/>
  <c r="GB81" i="2539"/>
  <c r="FR100" i="2539"/>
  <c r="FR114" i="2539" s="1"/>
  <c r="HF100" i="2539"/>
  <c r="HF114" i="2539" s="1"/>
  <c r="ER87" i="2539"/>
  <c r="BM53" i="2541"/>
  <c r="BM52" i="2541" s="1"/>
  <c r="BV42" i="2536"/>
  <c r="BV7" i="2536"/>
  <c r="BV41" i="2536" s="1"/>
  <c r="FV42" i="2536"/>
  <c r="FV7" i="2536"/>
  <c r="FV41" i="2536" s="1"/>
  <c r="HM48" i="2536"/>
  <c r="HM7" i="2536"/>
  <c r="HM41" i="2536" s="1"/>
  <c r="I42" i="2536"/>
  <c r="I7" i="2536"/>
  <c r="I41" i="2536" s="1"/>
  <c r="FI42" i="2536"/>
  <c r="FI7" i="2536"/>
  <c r="FI41" i="2536" s="1"/>
  <c r="FZ48" i="2536"/>
  <c r="FZ7" i="2536"/>
  <c r="FZ41" i="2536" s="1"/>
  <c r="Q32" i="2535"/>
  <c r="AA32" i="2535" s="1"/>
  <c r="Q8" i="2535"/>
  <c r="Q31" i="2535" s="1"/>
  <c r="HS32" i="2535"/>
  <c r="HS8" i="2535"/>
  <c r="BI7" i="2536"/>
  <c r="BI41" i="2536" s="1"/>
  <c r="DV42" i="2536"/>
  <c r="DV7" i="2536"/>
  <c r="DV41" i="2536" s="1"/>
  <c r="BQ32" i="2535"/>
  <c r="BQ8" i="2535"/>
  <c r="BE32" i="2535"/>
  <c r="BE8" i="2535"/>
  <c r="AG8" i="2535"/>
  <c r="AG31" i="2535" s="1"/>
  <c r="AV42" i="2536"/>
  <c r="AV7" i="2536"/>
  <c r="AV41" i="2536" s="1"/>
  <c r="AV66" i="2536" s="1"/>
  <c r="HI42" i="2536"/>
  <c r="HI7" i="2536"/>
  <c r="HI41" i="2536" s="1"/>
  <c r="DM48" i="2536"/>
  <c r="DM7" i="2536"/>
  <c r="DM41" i="2536" s="1"/>
  <c r="AD32" i="2535"/>
  <c r="AD8" i="2535"/>
  <c r="CR32" i="2535"/>
  <c r="CR8" i="2535"/>
  <c r="HI32" i="2535"/>
  <c r="HI8" i="2535"/>
  <c r="GV7" i="2536"/>
  <c r="GV41" i="2536" s="1"/>
  <c r="BT32" i="2535"/>
  <c r="BT8" i="2535"/>
  <c r="DU32" i="2535"/>
  <c r="DU8" i="2535"/>
  <c r="IU7" i="2535"/>
  <c r="IU30" i="2535" s="1"/>
  <c r="CI42" i="2536"/>
  <c r="CI7" i="2536"/>
  <c r="CI41" i="2536" s="1"/>
  <c r="GM48" i="2536"/>
  <c r="GM7" i="2536"/>
  <c r="GM41" i="2536" s="1"/>
  <c r="DE32" i="2535"/>
  <c r="DE8" i="2535"/>
  <c r="IT7" i="2535"/>
  <c r="IT30" i="2535" s="1"/>
  <c r="E7" i="2535"/>
  <c r="AI42" i="2536"/>
  <c r="AI7" i="2536"/>
  <c r="AI41" i="2536" s="1"/>
  <c r="ES32" i="2535"/>
  <c r="ES8" i="2535"/>
  <c r="FF8" i="2535"/>
  <c r="EB7" i="2535"/>
  <c r="EB30" i="2535" s="1"/>
  <c r="DI42" i="2536"/>
  <c r="DI7" i="2536"/>
  <c r="DI41" i="2536" s="1"/>
  <c r="EZ48" i="2536"/>
  <c r="EZ7" i="2536"/>
  <c r="EZ41" i="2536" s="1"/>
  <c r="EH32" i="2535"/>
  <c r="EH8" i="2535"/>
  <c r="V42" i="2536"/>
  <c r="V7" i="2536"/>
  <c r="V41" i="2536" s="1"/>
  <c r="EI42" i="2536"/>
  <c r="EI7" i="2536"/>
  <c r="EI41" i="2536" s="1"/>
  <c r="GZ48" i="2536"/>
  <c r="GZ7" i="2536"/>
  <c r="GZ41" i="2536" s="1"/>
  <c r="AD7" i="2536"/>
  <c r="AD41" i="2536" s="1"/>
  <c r="AD66" i="2536" s="1"/>
  <c r="AN58" i="2536"/>
  <c r="BA58" i="2536"/>
  <c r="DN58" i="2536"/>
  <c r="GA58" i="2536"/>
  <c r="HA63" i="2536"/>
  <c r="AR7" i="2538"/>
  <c r="DE7" i="2538"/>
  <c r="DR7" i="2538"/>
  <c r="EE7" i="2538"/>
  <c r="EE34" i="2538" s="1"/>
  <c r="FR7" i="2538"/>
  <c r="FR34" i="2538" s="1"/>
  <c r="DX40" i="2538"/>
  <c r="DX38" i="2538" s="1"/>
  <c r="DI42" i="2538"/>
  <c r="DI40" i="2538" s="1"/>
  <c r="DI38" i="2538" s="1"/>
  <c r="II42" i="2538"/>
  <c r="IL54" i="2538"/>
  <c r="IL53" i="2538" s="1"/>
  <c r="DU54" i="2538"/>
  <c r="DU53" i="2538" s="1"/>
  <c r="FI54" i="2538"/>
  <c r="FI53" i="2538" s="1"/>
  <c r="FI81" i="2538" s="1"/>
  <c r="AR7" i="2539"/>
  <c r="AR41" i="2539" s="1"/>
  <c r="BR7" i="2539"/>
  <c r="BR41" i="2539" s="1"/>
  <c r="DY106" i="2539"/>
  <c r="DY115" i="2539" s="1"/>
  <c r="EL106" i="2539"/>
  <c r="EL115" i="2539" s="1"/>
  <c r="CN42" i="2541"/>
  <c r="CB62" i="2541"/>
  <c r="DB62" i="2541"/>
  <c r="FE62" i="2541"/>
  <c r="FE53" i="2541" s="1"/>
  <c r="FE52" i="2541" s="1"/>
  <c r="HA32" i="2535"/>
  <c r="AT7" i="2536"/>
  <c r="AT41" i="2536" s="1"/>
  <c r="AT66" i="2536" s="1"/>
  <c r="FQ7" i="2536"/>
  <c r="FQ41" i="2536" s="1"/>
  <c r="U39" i="2537"/>
  <c r="ER7" i="2538"/>
  <c r="ER34" i="2538" s="1"/>
  <c r="Y7" i="2538"/>
  <c r="AZ35" i="2538"/>
  <c r="GA45" i="2538"/>
  <c r="CS54" i="2538"/>
  <c r="CS53" i="2538" s="1"/>
  <c r="EW54" i="2538"/>
  <c r="EW53" i="2538" s="1"/>
  <c r="EW81" i="2538" s="1"/>
  <c r="GK54" i="2538"/>
  <c r="GK53" i="2538" s="1"/>
  <c r="BP7" i="2539"/>
  <c r="BP41" i="2539" s="1"/>
  <c r="AA52" i="2539"/>
  <c r="AN52" i="2539"/>
  <c r="BN52" i="2539"/>
  <c r="DA52" i="2539"/>
  <c r="DN52" i="2539"/>
  <c r="EA52" i="2539"/>
  <c r="EN52" i="2539"/>
  <c r="FA52" i="2539"/>
  <c r="GN52" i="2539"/>
  <c r="CQ75" i="2539"/>
  <c r="CQ74" i="2539" s="1"/>
  <c r="FD75" i="2539"/>
  <c r="ES87" i="2539"/>
  <c r="BF100" i="2539"/>
  <c r="BF114" i="2539" s="1"/>
  <c r="DF100" i="2539"/>
  <c r="DF114" i="2539" s="1"/>
  <c r="DN107" i="2539"/>
  <c r="FP107" i="2539"/>
  <c r="FP106" i="2539" s="1"/>
  <c r="FP115" i="2539" s="1"/>
  <c r="DM106" i="2539"/>
  <c r="DM115" i="2539" s="1"/>
  <c r="DZ106" i="2539"/>
  <c r="DZ115" i="2539" s="1"/>
  <c r="BL106" i="2539"/>
  <c r="BL115" i="2539" s="1"/>
  <c r="AX62" i="2541"/>
  <c r="BK62" i="2541"/>
  <c r="BX62" i="2541"/>
  <c r="CC47" i="2541"/>
  <c r="ET8" i="2535"/>
  <c r="ET31" i="2535" s="1"/>
  <c r="EG7" i="2536"/>
  <c r="EG41" i="2536" s="1"/>
  <c r="AZ7" i="2536"/>
  <c r="AZ41" i="2536" s="1"/>
  <c r="AZ66" i="2536" s="1"/>
  <c r="AE39" i="2537"/>
  <c r="ID53" i="2538"/>
  <c r="CG100" i="2539"/>
  <c r="CG114" i="2539" s="1"/>
  <c r="AY53" i="2541"/>
  <c r="AY52" i="2541" s="1"/>
  <c r="BL53" i="2541"/>
  <c r="BL52" i="2541" s="1"/>
  <c r="CY53" i="2541"/>
  <c r="CY52" i="2541" s="1"/>
  <c r="CY87" i="2541" s="1"/>
  <c r="EO62" i="2541"/>
  <c r="EO53" i="2541" s="1"/>
  <c r="FB62" i="2541"/>
  <c r="FB53" i="2541" s="1"/>
  <c r="FB52" i="2541" s="1"/>
  <c r="BC47" i="2541"/>
  <c r="BC43" i="2541" s="1"/>
  <c r="BC40" i="2541" s="1"/>
  <c r="BC38" i="2541" s="1"/>
  <c r="GQ7" i="2536"/>
  <c r="GQ41" i="2536" s="1"/>
  <c r="K7" i="2536"/>
  <c r="K41" i="2536" s="1"/>
  <c r="BN19" i="2536"/>
  <c r="S39" i="2537"/>
  <c r="CR7" i="2538"/>
  <c r="BU7" i="2538"/>
  <c r="BU35" i="2538" s="1"/>
  <c r="CH7" i="2538"/>
  <c r="CU7" i="2538"/>
  <c r="EH7" i="2538"/>
  <c r="EH34" i="2538" s="1"/>
  <c r="EU7" i="2538"/>
  <c r="EU34" i="2538" s="1"/>
  <c r="FH7" i="2538"/>
  <c r="FH34" i="2538" s="1"/>
  <c r="FH35" i="2538" s="1"/>
  <c r="ID43" i="2538"/>
  <c r="ID42" i="2538" s="1"/>
  <c r="ID40" i="2538" s="1"/>
  <c r="ID38" i="2538" s="1"/>
  <c r="ID35" i="2538" s="1"/>
  <c r="EU42" i="2538"/>
  <c r="EU40" i="2538" s="1"/>
  <c r="EU38" i="2538" s="1"/>
  <c r="BF94" i="2539"/>
  <c r="BF113" i="2539" s="1"/>
  <c r="BU100" i="2539"/>
  <c r="BU114" i="2539" s="1"/>
  <c r="CH100" i="2539"/>
  <c r="CH114" i="2539" s="1"/>
  <c r="CP106" i="2539"/>
  <c r="CP115" i="2539" s="1"/>
  <c r="CC106" i="2539"/>
  <c r="CC115" i="2539" s="1"/>
  <c r="DP106" i="2539"/>
  <c r="DP115" i="2539" s="1"/>
  <c r="AT47" i="2541"/>
  <c r="BT47" i="2541"/>
  <c r="EG47" i="2541"/>
  <c r="EG43" i="2541" s="1"/>
  <c r="EG40" i="2541" s="1"/>
  <c r="EG38" i="2541" s="1"/>
  <c r="BN30" i="2543"/>
  <c r="CA30" i="2543"/>
  <c r="DA30" i="2543"/>
  <c r="EA30" i="2543"/>
  <c r="FA30" i="2543"/>
  <c r="Q7" i="2536"/>
  <c r="Q41" i="2536" s="1"/>
  <c r="AS42" i="2536"/>
  <c r="G39" i="2537"/>
  <c r="BI7" i="2538"/>
  <c r="BV7" i="2538"/>
  <c r="BV35" i="2538" s="1"/>
  <c r="CI7" i="2538"/>
  <c r="DI7" i="2538"/>
  <c r="DV7" i="2538"/>
  <c r="EI7" i="2538"/>
  <c r="EI34" i="2538" s="1"/>
  <c r="EV7" i="2538"/>
  <c r="EV34" i="2538" s="1"/>
  <c r="HV7" i="2538"/>
  <c r="HV34" i="2538" s="1"/>
  <c r="II7" i="2538"/>
  <c r="II34" i="2538" s="1"/>
  <c r="HA17" i="2538"/>
  <c r="HZ53" i="2538"/>
  <c r="CR106" i="2539"/>
  <c r="CR115" i="2539" s="1"/>
  <c r="DE106" i="2539"/>
  <c r="DE115" i="2539" s="1"/>
  <c r="DR106" i="2539"/>
  <c r="DR115" i="2539" s="1"/>
  <c r="EE106" i="2539"/>
  <c r="EE115" i="2539" s="1"/>
  <c r="BQ106" i="2539"/>
  <c r="BQ115" i="2539" s="1"/>
  <c r="CY43" i="2541"/>
  <c r="DK43" i="2541"/>
  <c r="DK40" i="2541" s="1"/>
  <c r="DK38" i="2541" s="1"/>
  <c r="FJ53" i="2541"/>
  <c r="FJ52" i="2541" s="1"/>
  <c r="AS47" i="2541"/>
  <c r="CF47" i="2541"/>
  <c r="CF43" i="2541" s="1"/>
  <c r="CF40" i="2541" s="1"/>
  <c r="CS47" i="2541"/>
  <c r="CS43" i="2541" s="1"/>
  <c r="CS40" i="2541" s="1"/>
  <c r="CS38" i="2541" s="1"/>
  <c r="DS47" i="2541"/>
  <c r="DS43" i="2541" s="1"/>
  <c r="DS40" i="2541" s="1"/>
  <c r="DS38" i="2541" s="1"/>
  <c r="EV62" i="2541"/>
  <c r="EV53" i="2541" s="1"/>
  <c r="EV52" i="2541" s="1"/>
  <c r="FV62" i="2541"/>
  <c r="DE43" i="2538"/>
  <c r="FH40" i="2538"/>
  <c r="FH38" i="2538" s="1"/>
  <c r="GU42" i="2538"/>
  <c r="GU40" i="2538" s="1"/>
  <c r="GU38" i="2538" s="1"/>
  <c r="GU35" i="2538" s="1"/>
  <c r="IH42" i="2538"/>
  <c r="IH40" i="2538" s="1"/>
  <c r="DM54" i="2538"/>
  <c r="DZ54" i="2538"/>
  <c r="DZ53" i="2538" s="1"/>
  <c r="IC54" i="2538"/>
  <c r="IC53" i="2538" s="1"/>
  <c r="HJ62" i="2538"/>
  <c r="HJ54" i="2538" s="1"/>
  <c r="HJ53" i="2538" s="1"/>
  <c r="HA20" i="2539"/>
  <c r="EK100" i="2539"/>
  <c r="EK114" i="2539" s="1"/>
  <c r="BJ100" i="2539"/>
  <c r="BJ114" i="2539" s="1"/>
  <c r="ED43" i="2541"/>
  <c r="ED40" i="2541" s="1"/>
  <c r="ED38" i="2541" s="1"/>
  <c r="CX47" i="2541"/>
  <c r="CX43" i="2541" s="1"/>
  <c r="CX40" i="2541" s="1"/>
  <c r="CX38" i="2541" s="1"/>
  <c r="EK53" i="2541"/>
  <c r="EK52" i="2541" s="1"/>
  <c r="DY47" i="2541"/>
  <c r="DY43" i="2541" s="1"/>
  <c r="DY40" i="2541" s="1"/>
  <c r="DY38" i="2541" s="1"/>
  <c r="AI47" i="2541"/>
  <c r="AI43" i="2541" s="1"/>
  <c r="AI40" i="2541" s="1"/>
  <c r="AI38" i="2541" s="1"/>
  <c r="AV47" i="2541"/>
  <c r="AV43" i="2541" s="1"/>
  <c r="AV40" i="2541" s="1"/>
  <c r="AV38" i="2541" s="1"/>
  <c r="DI47" i="2541"/>
  <c r="FV47" i="2541"/>
  <c r="FV43" i="2541" s="1"/>
  <c r="FV40" i="2541" s="1"/>
  <c r="FV38" i="2541" s="1"/>
  <c r="BQ7" i="2536"/>
  <c r="BQ41" i="2536" s="1"/>
  <c r="ET7" i="2536"/>
  <c r="ET41" i="2536" s="1"/>
  <c r="V39" i="2537"/>
  <c r="DH7" i="2538"/>
  <c r="FE7" i="2538"/>
  <c r="FE34" i="2538" s="1"/>
  <c r="R7" i="2538"/>
  <c r="GE54" i="2538"/>
  <c r="GE53" i="2538" s="1"/>
  <c r="CJ75" i="2539"/>
  <c r="CJ74" i="2539" s="1"/>
  <c r="BY100" i="2539"/>
  <c r="BY114" i="2539" s="1"/>
  <c r="EL100" i="2539"/>
  <c r="EL114" i="2539" s="1"/>
  <c r="FD52" i="2541"/>
  <c r="CU53" i="2541"/>
  <c r="CU52" i="2541" s="1"/>
  <c r="CU87" i="2541" s="1"/>
  <c r="AD53" i="2541"/>
  <c r="AD52" i="2541" s="1"/>
  <c r="AQ53" i="2541"/>
  <c r="AQ52" i="2541" s="1"/>
  <c r="CQ53" i="2541"/>
  <c r="CQ52" i="2541" s="1"/>
  <c r="CQ87" i="2541" s="1"/>
  <c r="DQ53" i="2541"/>
  <c r="DQ52" i="2541" s="1"/>
  <c r="AU62" i="2541"/>
  <c r="CH47" i="2541"/>
  <c r="DU62" i="2541"/>
  <c r="DU53" i="2541" s="1"/>
  <c r="DU52" i="2541" s="1"/>
  <c r="EX47" i="2541"/>
  <c r="AJ47" i="2541"/>
  <c r="AJ43" i="2541" s="1"/>
  <c r="AJ40" i="2541" s="1"/>
  <c r="AJ38" i="2541" s="1"/>
  <c r="AW47" i="2541"/>
  <c r="AW43" i="2541" s="1"/>
  <c r="AW40" i="2541" s="1"/>
  <c r="AW38" i="2541" s="1"/>
  <c r="BJ47" i="2541"/>
  <c r="BJ43" i="2541" s="1"/>
  <c r="BJ40" i="2541" s="1"/>
  <c r="BJ38" i="2541" s="1"/>
  <c r="CW47" i="2541"/>
  <c r="CW43" i="2541" s="1"/>
  <c r="EW47" i="2541"/>
  <c r="EW43" i="2541" s="1"/>
  <c r="EW40" i="2541" s="1"/>
  <c r="EW38" i="2541" s="1"/>
  <c r="J39" i="2537"/>
  <c r="W39" i="2537"/>
  <c r="AY7" i="2538"/>
  <c r="CL7" i="2538"/>
  <c r="CY7" i="2538"/>
  <c r="DL7" i="2538"/>
  <c r="GL7" i="2538"/>
  <c r="GL34" i="2538" s="1"/>
  <c r="GY7" i="2538"/>
  <c r="GY34" i="2538" s="1"/>
  <c r="IL7" i="2538"/>
  <c r="IL34" i="2538" s="1"/>
  <c r="AT7" i="2538"/>
  <c r="BG7" i="2538"/>
  <c r="BG35" i="2538" s="1"/>
  <c r="K7" i="2538"/>
  <c r="CK7" i="2538"/>
  <c r="EK7" i="2538"/>
  <c r="EK34" i="2538" s="1"/>
  <c r="EX7" i="2538"/>
  <c r="EX34" i="2538" s="1"/>
  <c r="FK7" i="2538"/>
  <c r="FK34" i="2538" s="1"/>
  <c r="FX7" i="2538"/>
  <c r="FX34" i="2538" s="1"/>
  <c r="HX7" i="2538"/>
  <c r="HX34" i="2538" s="1"/>
  <c r="IK7" i="2538"/>
  <c r="IK34" i="2538" s="1"/>
  <c r="DL42" i="2538"/>
  <c r="DL40" i="2538" s="1"/>
  <c r="DL38" i="2538" s="1"/>
  <c r="IK42" i="2538"/>
  <c r="IK40" i="2538" s="1"/>
  <c r="IK38" i="2538" s="1"/>
  <c r="CP40" i="2538"/>
  <c r="CP38" i="2538" s="1"/>
  <c r="CY42" i="2538"/>
  <c r="CY40" i="2538" s="1"/>
  <c r="CY38" i="2538" s="1"/>
  <c r="CQ54" i="2538"/>
  <c r="CQ53" i="2538" s="1"/>
  <c r="ED54" i="2538"/>
  <c r="EQ54" i="2538"/>
  <c r="F7" i="2539"/>
  <c r="F41" i="2539" s="1"/>
  <c r="CV75" i="2539"/>
  <c r="CV74" i="2539" s="1"/>
  <c r="FV75" i="2539"/>
  <c r="AM47" i="2541"/>
  <c r="AM43" i="2541" s="1"/>
  <c r="AM40" i="2541" s="1"/>
  <c r="AM38" i="2541" s="1"/>
  <c r="DM53" i="2541"/>
  <c r="DM52" i="2541" s="1"/>
  <c r="DM87" i="2541" s="1"/>
  <c r="ET62" i="2541"/>
  <c r="AI62" i="2541"/>
  <c r="AI53" i="2541" s="1"/>
  <c r="AI52" i="2541" s="1"/>
  <c r="DI62" i="2541"/>
  <c r="DI53" i="2541" s="1"/>
  <c r="DI52" i="2541" s="1"/>
  <c r="DI87" i="2541" s="1"/>
  <c r="DV62" i="2541"/>
  <c r="DV53" i="2541" s="1"/>
  <c r="DV52" i="2541" s="1"/>
  <c r="EY62" i="2541"/>
  <c r="FY47" i="2541"/>
  <c r="GO91" i="2539"/>
  <c r="GO110" i="2539" s="1"/>
  <c r="HA110" i="2539" s="1"/>
  <c r="CA43" i="2536"/>
  <c r="DA55" i="2536"/>
  <c r="DN55" i="2536"/>
  <c r="EA55" i="2536"/>
  <c r="CX75" i="2539"/>
  <c r="CX74" i="2539" s="1"/>
  <c r="FX75" i="2539"/>
  <c r="ES81" i="2539"/>
  <c r="CH106" i="2539"/>
  <c r="CH115" i="2539" s="1"/>
  <c r="FR7" i="2541"/>
  <c r="DS53" i="2541"/>
  <c r="DS52" i="2541" s="1"/>
  <c r="EW8" i="2535"/>
  <c r="AG7" i="2536"/>
  <c r="AG41" i="2536" s="1"/>
  <c r="FD7" i="2536"/>
  <c r="FD41" i="2536" s="1"/>
  <c r="GD7" i="2536"/>
  <c r="GD41" i="2536" s="1"/>
  <c r="L39" i="2537"/>
  <c r="HM44" i="2538"/>
  <c r="CR54" i="2538"/>
  <c r="CR53" i="2538" s="1"/>
  <c r="FF54" i="2538"/>
  <c r="FF53" i="2538" s="1"/>
  <c r="FF81" i="2538" s="1"/>
  <c r="GG54" i="2538"/>
  <c r="GT54" i="2538"/>
  <c r="GT53" i="2538" s="1"/>
  <c r="HG54" i="2538"/>
  <c r="HG53" i="2538" s="1"/>
  <c r="HT54" i="2538"/>
  <c r="IG54" i="2538"/>
  <c r="CI106" i="2539"/>
  <c r="CI115" i="2539" s="1"/>
  <c r="CV106" i="2539"/>
  <c r="CV115" i="2539" s="1"/>
  <c r="DT7" i="2536"/>
  <c r="DT41" i="2536" s="1"/>
  <c r="AA50" i="2536"/>
  <c r="AN50" i="2536"/>
  <c r="CA50" i="2536"/>
  <c r="CN50" i="2536"/>
  <c r="DA50" i="2536"/>
  <c r="DN50" i="2536"/>
  <c r="EA50" i="2536"/>
  <c r="FN50" i="2536"/>
  <c r="FU7" i="2538"/>
  <c r="FU34" i="2538" s="1"/>
  <c r="V7" i="2538"/>
  <c r="GP7" i="2538"/>
  <c r="GP34" i="2538" s="1"/>
  <c r="FN41" i="2538"/>
  <c r="GH54" i="2538"/>
  <c r="GH53" i="2538" s="1"/>
  <c r="FU54" i="2538"/>
  <c r="FU53" i="2538" s="1"/>
  <c r="FU81" i="2538" s="1"/>
  <c r="GU54" i="2538"/>
  <c r="GU53" i="2538" s="1"/>
  <c r="HH54" i="2538"/>
  <c r="HH53" i="2538" s="1"/>
  <c r="AF7" i="2539"/>
  <c r="AF41" i="2539" s="1"/>
  <c r="AF65" i="2539" s="1"/>
  <c r="GK7" i="2539"/>
  <c r="GK41" i="2539" s="1"/>
  <c r="DJ75" i="2539"/>
  <c r="DJ74" i="2539" s="1"/>
  <c r="GJ75" i="2539"/>
  <c r="BA42" i="2541"/>
  <c r="AT7" i="2541"/>
  <c r="BT7" i="2541"/>
  <c r="BT34" i="2541" s="1"/>
  <c r="EG7" i="2541"/>
  <c r="CD7" i="2536"/>
  <c r="CD41" i="2536" s="1"/>
  <c r="FG7" i="2536"/>
  <c r="FG41" i="2536" s="1"/>
  <c r="BN57" i="2536"/>
  <c r="DU40" i="2538"/>
  <c r="DU38" i="2538" s="1"/>
  <c r="HE43" i="2538"/>
  <c r="HE42" i="2538" s="1"/>
  <c r="HE40" i="2538" s="1"/>
  <c r="HE38" i="2538" s="1"/>
  <c r="HE35" i="2538" s="1"/>
  <c r="DF42" i="2538"/>
  <c r="DF40" i="2538" s="1"/>
  <c r="DF38" i="2538" s="1"/>
  <c r="DP54" i="2538"/>
  <c r="DP53" i="2538" s="1"/>
  <c r="AG7" i="2539"/>
  <c r="AG41" i="2539" s="1"/>
  <c r="GT75" i="2539"/>
  <c r="FW81" i="2539"/>
  <c r="EA81" i="2539"/>
  <c r="FK100" i="2539"/>
  <c r="FK114" i="2539" s="1"/>
  <c r="BX106" i="2539"/>
  <c r="BX115" i="2539" s="1"/>
  <c r="EL7" i="2541"/>
  <c r="AH7" i="2541"/>
  <c r="DH7" i="2541"/>
  <c r="DU7" i="2541"/>
  <c r="CT43" i="2541"/>
  <c r="CT40" i="2541" s="1"/>
  <c r="CT38" i="2541" s="1"/>
  <c r="BR43" i="2541"/>
  <c r="BR40" i="2541" s="1"/>
  <c r="BR38" i="2541" s="1"/>
  <c r="BR35" i="2541" s="1"/>
  <c r="AC47" i="2541"/>
  <c r="AC43" i="2541" s="1"/>
  <c r="AC40" i="2541" s="1"/>
  <c r="AC38" i="2541" s="1"/>
  <c r="DC47" i="2541"/>
  <c r="DC43" i="2541" s="1"/>
  <c r="DC40" i="2541" s="1"/>
  <c r="DC38" i="2541" s="1"/>
  <c r="FC47" i="2541"/>
  <c r="FC43" i="2541" s="1"/>
  <c r="FC40" i="2541" s="1"/>
  <c r="FP47" i="2541"/>
  <c r="GJ54" i="2538"/>
  <c r="GJ53" i="2538" s="1"/>
  <c r="DD54" i="2538"/>
  <c r="DD53" i="2538" s="1"/>
  <c r="AS8" i="2535"/>
  <c r="DJ8" i="2535"/>
  <c r="EO8" i="2535"/>
  <c r="FS8" i="2535"/>
  <c r="GW8" i="2535"/>
  <c r="IG8" i="2535"/>
  <c r="DA14" i="2535"/>
  <c r="FA14" i="2535"/>
  <c r="BN33" i="2535"/>
  <c r="CA33" i="2535"/>
  <c r="DN33" i="2535"/>
  <c r="EA33" i="2535"/>
  <c r="EN33" i="2535"/>
  <c r="FA33" i="2535"/>
  <c r="HN33" i="2535"/>
  <c r="IA33" i="2535"/>
  <c r="JA33" i="2535"/>
  <c r="JN33" i="2535"/>
  <c r="EN36" i="2535"/>
  <c r="IN36" i="2535"/>
  <c r="JA36" i="2535"/>
  <c r="KA36" i="2535"/>
  <c r="CA41" i="2535"/>
  <c r="CN41" i="2535"/>
  <c r="DA41" i="2535"/>
  <c r="DN41" i="2535"/>
  <c r="FA41" i="2535"/>
  <c r="JA41" i="2535"/>
  <c r="JN41" i="2535"/>
  <c r="H7" i="2536"/>
  <c r="H41" i="2536" s="1"/>
  <c r="BL7" i="2536"/>
  <c r="BL41" i="2536" s="1"/>
  <c r="GT7" i="2536"/>
  <c r="GT41" i="2536" s="1"/>
  <c r="HL7" i="2536"/>
  <c r="HL41" i="2536" s="1"/>
  <c r="Z7" i="2536"/>
  <c r="Z32" i="2536" s="1"/>
  <c r="EA46" i="2536"/>
  <c r="EN46" i="2536"/>
  <c r="GA46" i="2536"/>
  <c r="GN46" i="2536"/>
  <c r="FL7" i="2538"/>
  <c r="FL34" i="2538" s="1"/>
  <c r="DO42" i="2538"/>
  <c r="DO40" i="2538" s="1"/>
  <c r="GK42" i="2538"/>
  <c r="GK40" i="2538" s="1"/>
  <c r="GK38" i="2538" s="1"/>
  <c r="GK35" i="2538" s="1"/>
  <c r="DJ42" i="2538"/>
  <c r="DW42" i="2538"/>
  <c r="DW40" i="2538" s="1"/>
  <c r="DW38" i="2538" s="1"/>
  <c r="IJ54" i="2538"/>
  <c r="IJ53" i="2538" s="1"/>
  <c r="GP62" i="2538"/>
  <c r="GP54" i="2538" s="1"/>
  <c r="DA75" i="2538"/>
  <c r="CO71" i="2538"/>
  <c r="CO53" i="2538" s="1"/>
  <c r="S7" i="2539"/>
  <c r="S41" i="2539" s="1"/>
  <c r="S42" i="2539"/>
  <c r="AS42" i="2539"/>
  <c r="AS7" i="2539"/>
  <c r="AS41" i="2539" s="1"/>
  <c r="CS42" i="2539"/>
  <c r="DA42" i="2539" s="1"/>
  <c r="CS7" i="2539"/>
  <c r="CS41" i="2539" s="1"/>
  <c r="CP75" i="2539"/>
  <c r="CP74" i="2539" s="1"/>
  <c r="FA37" i="2535"/>
  <c r="CL7" i="2536"/>
  <c r="CL41" i="2536" s="1"/>
  <c r="FO62" i="2538"/>
  <c r="GA63" i="2538"/>
  <c r="AV8" i="2535"/>
  <c r="FW8" i="2535"/>
  <c r="CP8" i="2535"/>
  <c r="CP31" i="2535" s="1"/>
  <c r="CA34" i="2535"/>
  <c r="CN34" i="2535"/>
  <c r="DA34" i="2535"/>
  <c r="EA34" i="2535"/>
  <c r="IA34" i="2535"/>
  <c r="IN34" i="2535"/>
  <c r="KA34" i="2535"/>
  <c r="BA41" i="2535"/>
  <c r="AL7" i="2536"/>
  <c r="AL32" i="2536" s="1"/>
  <c r="BM7" i="2536"/>
  <c r="BM41" i="2536" s="1"/>
  <c r="DY7" i="2536"/>
  <c r="DY41" i="2536" s="1"/>
  <c r="DZ7" i="2536"/>
  <c r="DZ41" i="2536" s="1"/>
  <c r="DN53" i="2536"/>
  <c r="GG42" i="2536"/>
  <c r="K48" i="2536"/>
  <c r="AA51" i="2536"/>
  <c r="BN51" i="2536"/>
  <c r="EN51" i="2536"/>
  <c r="FA51" i="2536"/>
  <c r="HN51" i="2536"/>
  <c r="CN59" i="2536"/>
  <c r="DN59" i="2536"/>
  <c r="GA59" i="2536"/>
  <c r="HA59" i="2536"/>
  <c r="BA64" i="2536"/>
  <c r="AF39" i="2537"/>
  <c r="AL8" i="2538"/>
  <c r="AL7" i="2538" s="1"/>
  <c r="AV7" i="2538"/>
  <c r="AV35" i="2538" s="1"/>
  <c r="CV7" i="2538"/>
  <c r="DM7" i="2538"/>
  <c r="EZ7" i="2538"/>
  <c r="EZ34" i="2538" s="1"/>
  <c r="BT35" i="2538"/>
  <c r="II40" i="2538"/>
  <c r="II38" i="2538" s="1"/>
  <c r="II35" i="2538" s="1"/>
  <c r="FK42" i="2538"/>
  <c r="FK40" i="2538" s="1"/>
  <c r="FK38" i="2538" s="1"/>
  <c r="GL42" i="2538"/>
  <c r="GL40" i="2538" s="1"/>
  <c r="GL38" i="2538" s="1"/>
  <c r="GL35" i="2538" s="1"/>
  <c r="HH42" i="2538"/>
  <c r="HH40" i="2538" s="1"/>
  <c r="HH38" i="2538" s="1"/>
  <c r="HF42" i="2538"/>
  <c r="HF40" i="2538" s="1"/>
  <c r="HF38" i="2538" s="1"/>
  <c r="HF35" i="2538" s="1"/>
  <c r="EN45" i="2538"/>
  <c r="DX54" i="2538"/>
  <c r="DX53" i="2538" s="1"/>
  <c r="HX54" i="2538"/>
  <c r="HX53" i="2538" s="1"/>
  <c r="IE54" i="2538"/>
  <c r="IE53" i="2538" s="1"/>
  <c r="N8" i="2535"/>
  <c r="N31" i="2535" s="1"/>
  <c r="JN31" i="2535"/>
  <c r="HY32" i="2535"/>
  <c r="DA42" i="2535"/>
  <c r="DN42" i="2535"/>
  <c r="EA42" i="2535"/>
  <c r="EN42" i="2535"/>
  <c r="FA42" i="2535"/>
  <c r="GA42" i="2535"/>
  <c r="GN42" i="2535"/>
  <c r="HA42" i="2535"/>
  <c r="HN42" i="2535"/>
  <c r="IA42" i="2535"/>
  <c r="IN42" i="2535"/>
  <c r="JA42" i="2535"/>
  <c r="JN42" i="2535"/>
  <c r="FF7" i="2536"/>
  <c r="FF41" i="2536" s="1"/>
  <c r="DA14" i="2536"/>
  <c r="DB7" i="2536"/>
  <c r="DB41" i="2536" s="1"/>
  <c r="FB7" i="2536"/>
  <c r="FB41" i="2536" s="1"/>
  <c r="EW42" i="2536"/>
  <c r="N52" i="2536"/>
  <c r="BA52" i="2536"/>
  <c r="BN52" i="2536"/>
  <c r="CA52" i="2536"/>
  <c r="EN52" i="2536"/>
  <c r="FN52" i="2536"/>
  <c r="HA52" i="2536"/>
  <c r="N70" i="2536"/>
  <c r="CA70" i="2536"/>
  <c r="DA70" i="2536"/>
  <c r="DN70" i="2536"/>
  <c r="EA70" i="2536"/>
  <c r="EN70" i="2536"/>
  <c r="FN70" i="2536"/>
  <c r="GN70" i="2536"/>
  <c r="HA70" i="2536"/>
  <c r="T39" i="2537"/>
  <c r="EG7" i="2538"/>
  <c r="EG34" i="2538" s="1"/>
  <c r="CJ7" i="2538"/>
  <c r="BA20" i="2538"/>
  <c r="BN20" i="2538"/>
  <c r="CA20" i="2538"/>
  <c r="DA20" i="2538"/>
  <c r="EB7" i="2538"/>
  <c r="EB34" i="2538" s="1"/>
  <c r="FA20" i="2538"/>
  <c r="AN24" i="2538"/>
  <c r="CQ42" i="2538"/>
  <c r="CQ40" i="2538" s="1"/>
  <c r="CQ38" i="2538" s="1"/>
  <c r="DQ42" i="2538"/>
  <c r="DQ40" i="2538" s="1"/>
  <c r="DQ38" i="2538" s="1"/>
  <c r="GM43" i="2538"/>
  <c r="GM42" i="2538" s="1"/>
  <c r="GM40" i="2538" s="1"/>
  <c r="GM38" i="2538" s="1"/>
  <c r="GM35" i="2538" s="1"/>
  <c r="HI43" i="2538"/>
  <c r="HI42" i="2538" s="1"/>
  <c r="HI40" i="2538" s="1"/>
  <c r="HI38" i="2538" s="1"/>
  <c r="HX42" i="2538"/>
  <c r="HX40" i="2538" s="1"/>
  <c r="HX38" i="2538" s="1"/>
  <c r="HX35" i="2538" s="1"/>
  <c r="FV42" i="2538"/>
  <c r="FV40" i="2538" s="1"/>
  <c r="FV38" i="2538" s="1"/>
  <c r="FV35" i="2538" s="1"/>
  <c r="GH42" i="2538"/>
  <c r="GH40" i="2538" s="1"/>
  <c r="GH38" i="2538" s="1"/>
  <c r="GH35" i="2538" s="1"/>
  <c r="HG42" i="2538"/>
  <c r="HG40" i="2538" s="1"/>
  <c r="HG38" i="2538" s="1"/>
  <c r="CV47" i="2538"/>
  <c r="FQ54" i="2538"/>
  <c r="FQ53" i="2538" s="1"/>
  <c r="FQ81" i="2538" s="1"/>
  <c r="GV54" i="2538"/>
  <c r="GV53" i="2538" s="1"/>
  <c r="HL54" i="2538"/>
  <c r="HL53" i="2538" s="1"/>
  <c r="EZ71" i="2538"/>
  <c r="FA71" i="2538" s="1"/>
  <c r="EL54" i="2539"/>
  <c r="EL19" i="2539"/>
  <c r="EL7" i="2539" s="1"/>
  <c r="EL41" i="2539" s="1"/>
  <c r="CA57" i="2536"/>
  <c r="CM8" i="2535"/>
  <c r="HG8" i="2535"/>
  <c r="IM8" i="2535"/>
  <c r="CN9" i="2535"/>
  <c r="DM8" i="2535"/>
  <c r="DM31" i="2535" s="1"/>
  <c r="HA9" i="2535"/>
  <c r="HN9" i="2535"/>
  <c r="B31" i="2535"/>
  <c r="B30" i="2535" s="1"/>
  <c r="N30" i="2535" s="1"/>
  <c r="DV32" i="2535"/>
  <c r="CY7" i="2536"/>
  <c r="CY41" i="2536" s="1"/>
  <c r="EF7" i="2536"/>
  <c r="EF41" i="2536" s="1"/>
  <c r="GX7" i="2536"/>
  <c r="GX41" i="2536" s="1"/>
  <c r="BF42" i="2536"/>
  <c r="DF42" i="2536"/>
  <c r="N43" i="2536"/>
  <c r="AA43" i="2536"/>
  <c r="BA43" i="2536"/>
  <c r="BN43" i="2536"/>
  <c r="H39" i="2537"/>
  <c r="CG7" i="2538"/>
  <c r="CT7" i="2538"/>
  <c r="DG7" i="2538"/>
  <c r="ET7" i="2538"/>
  <c r="ET34" i="2538" s="1"/>
  <c r="FG7" i="2538"/>
  <c r="FG34" i="2538" s="1"/>
  <c r="FT7" i="2538"/>
  <c r="FT34" i="2538" s="1"/>
  <c r="AN10" i="2538"/>
  <c r="X7" i="2538"/>
  <c r="BX7" i="2538"/>
  <c r="BX35" i="2538" s="1"/>
  <c r="ER42" i="2538"/>
  <c r="ER40" i="2538" s="1"/>
  <c r="ER38" i="2538" s="1"/>
  <c r="ER35" i="2538" s="1"/>
  <c r="FM43" i="2538"/>
  <c r="FM42" i="2538" s="1"/>
  <c r="FM40" i="2538" s="1"/>
  <c r="FM38" i="2538" s="1"/>
  <c r="FM35" i="2538" s="1"/>
  <c r="HJ42" i="2538"/>
  <c r="HJ40" i="2538" s="1"/>
  <c r="HJ38" i="2538" s="1"/>
  <c r="HJ35" i="2538" s="1"/>
  <c r="DZ43" i="2538"/>
  <c r="DZ42" i="2538" s="1"/>
  <c r="DZ40" i="2538" s="1"/>
  <c r="DZ38" i="2538" s="1"/>
  <c r="EM43" i="2538"/>
  <c r="EM42" i="2538" s="1"/>
  <c r="EM40" i="2538" s="1"/>
  <c r="EM38" i="2538" s="1"/>
  <c r="EM35" i="2538" s="1"/>
  <c r="IM42" i="2538"/>
  <c r="BM113" i="2539"/>
  <c r="DN57" i="2536"/>
  <c r="FN62" i="2538"/>
  <c r="BA9" i="2535"/>
  <c r="DA9" i="2535"/>
  <c r="EN9" i="2535"/>
  <c r="EB32" i="2535"/>
  <c r="GY7" i="2536"/>
  <c r="GY41" i="2536" s="1"/>
  <c r="ED7" i="2536"/>
  <c r="ED41" i="2536" s="1"/>
  <c r="BJ42" i="2536"/>
  <c r="GS42" i="2536"/>
  <c r="CN43" i="2536"/>
  <c r="FA43" i="2536"/>
  <c r="GA43" i="2536"/>
  <c r="AZ53" i="2536"/>
  <c r="BA53" i="2536" s="1"/>
  <c r="N60" i="2536"/>
  <c r="AA60" i="2536"/>
  <c r="BA60" i="2536"/>
  <c r="CN60" i="2536"/>
  <c r="DA60" i="2536"/>
  <c r="EA60" i="2536"/>
  <c r="EN60" i="2536"/>
  <c r="HA60" i="2536"/>
  <c r="HN60" i="2536"/>
  <c r="AI39" i="2537"/>
  <c r="AC8" i="2538"/>
  <c r="AC7" i="2538" s="1"/>
  <c r="L7" i="2538"/>
  <c r="D7" i="2538"/>
  <c r="CS42" i="2538"/>
  <c r="CS40" i="2538" s="1"/>
  <c r="CS38" i="2538" s="1"/>
  <c r="EB42" i="2538"/>
  <c r="EB40" i="2538" s="1"/>
  <c r="EB38" i="2538" s="1"/>
  <c r="GJ42" i="2538"/>
  <c r="GJ40" i="2538" s="1"/>
  <c r="GJ38" i="2538" s="1"/>
  <c r="FI42" i="2538"/>
  <c r="FI40" i="2538" s="1"/>
  <c r="FI38" i="2538" s="1"/>
  <c r="FI35" i="2538" s="1"/>
  <c r="IA57" i="2538"/>
  <c r="K53" i="2539"/>
  <c r="N53" i="2539" s="1"/>
  <c r="K7" i="2539"/>
  <c r="K41" i="2539" s="1"/>
  <c r="CE95" i="2539"/>
  <c r="CE94" i="2539" s="1"/>
  <c r="CE113" i="2539" s="1"/>
  <c r="CE75" i="2539"/>
  <c r="CE74" i="2539" s="1"/>
  <c r="DE75" i="2539"/>
  <c r="DE74" i="2539" s="1"/>
  <c r="DE95" i="2539"/>
  <c r="DE94" i="2539" s="1"/>
  <c r="DE113" i="2539" s="1"/>
  <c r="FR95" i="2539"/>
  <c r="FR94" i="2539" s="1"/>
  <c r="FR75" i="2539"/>
  <c r="DP96" i="2539"/>
  <c r="DP94" i="2539" s="1"/>
  <c r="DP75" i="2539"/>
  <c r="DP74" i="2539" s="1"/>
  <c r="GC96" i="2539"/>
  <c r="GC75" i="2539"/>
  <c r="BZ97" i="2539"/>
  <c r="BZ94" i="2539" s="1"/>
  <c r="BZ75" i="2539"/>
  <c r="BZ74" i="2539" s="1"/>
  <c r="DZ97" i="2539"/>
  <c r="DZ94" i="2539" s="1"/>
  <c r="DZ75" i="2539"/>
  <c r="DZ74" i="2539" s="1"/>
  <c r="FM97" i="2539"/>
  <c r="FM94" i="2539" s="1"/>
  <c r="FM113" i="2539" s="1"/>
  <c r="FM75" i="2539"/>
  <c r="FK107" i="2539"/>
  <c r="FK106" i="2539" s="1"/>
  <c r="FK115" i="2539" s="1"/>
  <c r="FK87" i="2539"/>
  <c r="FD108" i="2539"/>
  <c r="FD106" i="2539" s="1"/>
  <c r="FD115" i="2539" s="1"/>
  <c r="FD87" i="2539"/>
  <c r="FQ108" i="2539"/>
  <c r="FQ106" i="2539" s="1"/>
  <c r="FQ115" i="2539" s="1"/>
  <c r="FQ87" i="2539"/>
  <c r="BB93" i="2539"/>
  <c r="X8" i="2535"/>
  <c r="BM8" i="2535"/>
  <c r="CS8" i="2535"/>
  <c r="HM8" i="2535"/>
  <c r="BR32" i="2535"/>
  <c r="CO37" i="2535"/>
  <c r="JN37" i="2535"/>
  <c r="FL7" i="2536"/>
  <c r="FL41" i="2536" s="1"/>
  <c r="DR7" i="2536"/>
  <c r="DR41" i="2536" s="1"/>
  <c r="H57" i="2536"/>
  <c r="AN26" i="2538"/>
  <c r="DY42" i="2538"/>
  <c r="DY40" i="2538" s="1"/>
  <c r="DY38" i="2538" s="1"/>
  <c r="FU42" i="2538"/>
  <c r="FU40" i="2538" s="1"/>
  <c r="FU38" i="2538" s="1"/>
  <c r="EK42" i="2538"/>
  <c r="EK40" i="2538" s="1"/>
  <c r="EK38" i="2538" s="1"/>
  <c r="EK35" i="2538" s="1"/>
  <c r="EM54" i="2538"/>
  <c r="EM53" i="2538" s="1"/>
  <c r="EM81" i="2538" s="1"/>
  <c r="FV54" i="2538"/>
  <c r="FV53" i="2538" s="1"/>
  <c r="FV81" i="2538" s="1"/>
  <c r="HI62" i="2538"/>
  <c r="HI54" i="2538" s="1"/>
  <c r="HI53" i="2538" s="1"/>
  <c r="EA57" i="2536"/>
  <c r="H7" i="2535"/>
  <c r="IV7" i="2535"/>
  <c r="IV30" i="2535" s="1"/>
  <c r="AC8" i="2535"/>
  <c r="CW8" i="2535"/>
  <c r="DW8" i="2535"/>
  <c r="GI8" i="2535"/>
  <c r="HO8" i="2535"/>
  <c r="AY7" i="2536"/>
  <c r="AY41" i="2536" s="1"/>
  <c r="AY66" i="2536" s="1"/>
  <c r="BY7" i="2536"/>
  <c r="BY41" i="2536" s="1"/>
  <c r="CS7" i="2536"/>
  <c r="CS41" i="2536" s="1"/>
  <c r="AN47" i="2536"/>
  <c r="GN47" i="2536"/>
  <c r="HA47" i="2536"/>
  <c r="HN47" i="2536"/>
  <c r="N49" i="2536"/>
  <c r="AA49" i="2536"/>
  <c r="GN49" i="2536"/>
  <c r="HA49" i="2536"/>
  <c r="AN54" i="2536"/>
  <c r="EA54" i="2536"/>
  <c r="GN54" i="2536"/>
  <c r="HA54" i="2536"/>
  <c r="HN54" i="2536"/>
  <c r="DN61" i="2536"/>
  <c r="HA61" i="2536"/>
  <c r="HN61" i="2536"/>
  <c r="K39" i="2537"/>
  <c r="AK39" i="2537"/>
  <c r="N17" i="2538"/>
  <c r="AN17" i="2538"/>
  <c r="CN17" i="2538"/>
  <c r="GA17" i="2538"/>
  <c r="GA47" i="2538" s="1"/>
  <c r="AS7" i="2538"/>
  <c r="IF7" i="2538"/>
  <c r="IF34" i="2538" s="1"/>
  <c r="BL35" i="2538"/>
  <c r="CZ43" i="2538"/>
  <c r="CZ42" i="2538" s="1"/>
  <c r="CZ40" i="2538" s="1"/>
  <c r="CZ38" i="2538" s="1"/>
  <c r="EV43" i="2538"/>
  <c r="EV42" i="2538" s="1"/>
  <c r="EV40" i="2538" s="1"/>
  <c r="EV38" i="2538" s="1"/>
  <c r="FW42" i="2538"/>
  <c r="FW40" i="2538" s="1"/>
  <c r="FW38" i="2538" s="1"/>
  <c r="HM43" i="2538"/>
  <c r="FQ42" i="2538"/>
  <c r="FQ40" i="2538" s="1"/>
  <c r="FD101" i="2539"/>
  <c r="FD100" i="2539" s="1"/>
  <c r="FD114" i="2539" s="1"/>
  <c r="FD81" i="2539"/>
  <c r="GU103" i="2539"/>
  <c r="GU100" i="2539" s="1"/>
  <c r="GU114" i="2539" s="1"/>
  <c r="GU81" i="2539"/>
  <c r="BM74" i="2539"/>
  <c r="CX8" i="2535"/>
  <c r="FG8" i="2535"/>
  <c r="KA33" i="2535"/>
  <c r="DA38" i="2535"/>
  <c r="DN38" i="2535"/>
  <c r="FA38" i="2535"/>
  <c r="FN38" i="2535"/>
  <c r="JA38" i="2535"/>
  <c r="JN38" i="2535"/>
  <c r="DL7" i="2536"/>
  <c r="DL41" i="2536" s="1"/>
  <c r="GK7" i="2536"/>
  <c r="GK41" i="2536" s="1"/>
  <c r="BT7" i="2536"/>
  <c r="BT41" i="2536" s="1"/>
  <c r="CG7" i="2536"/>
  <c r="CG41" i="2536" s="1"/>
  <c r="AX7" i="2538"/>
  <c r="AX35" i="2538" s="1"/>
  <c r="BK7" i="2538"/>
  <c r="BK35" i="2538" s="1"/>
  <c r="CX7" i="2538"/>
  <c r="DK7" i="2538"/>
  <c r="DX7" i="2538"/>
  <c r="GK7" i="2538"/>
  <c r="GK34" i="2538" s="1"/>
  <c r="GX7" i="2538"/>
  <c r="GX34" i="2538" s="1"/>
  <c r="HK7" i="2538"/>
  <c r="HK34" i="2538" s="1"/>
  <c r="DT7" i="2538"/>
  <c r="HT7" i="2538"/>
  <c r="HT34" i="2538" s="1"/>
  <c r="DC42" i="2538"/>
  <c r="DC40" i="2538" s="1"/>
  <c r="DC38" i="2538" s="1"/>
  <c r="EA45" i="2538"/>
  <c r="DR42" i="2538"/>
  <c r="DR40" i="2538" s="1"/>
  <c r="DR38" i="2538" s="1"/>
  <c r="EE54" i="2538"/>
  <c r="EE53" i="2538" s="1"/>
  <c r="EE81" i="2538" s="1"/>
  <c r="ER54" i="2538"/>
  <c r="ER53" i="2538" s="1"/>
  <c r="ER81" i="2538" s="1"/>
  <c r="FE42" i="2538"/>
  <c r="FE40" i="2538" s="1"/>
  <c r="FE38" i="2538" s="1"/>
  <c r="FR42" i="2538"/>
  <c r="FR40" i="2538" s="1"/>
  <c r="FR38" i="2538" s="1"/>
  <c r="GR54" i="2538"/>
  <c r="FJ54" i="2538"/>
  <c r="FJ53" i="2538" s="1"/>
  <c r="FJ81" i="2538" s="1"/>
  <c r="FX54" i="2538"/>
  <c r="FX53" i="2538" s="1"/>
  <c r="FX81" i="2538" s="1"/>
  <c r="HK62" i="2538"/>
  <c r="HK54" i="2538" s="1"/>
  <c r="HK53" i="2538" s="1"/>
  <c r="BE93" i="2539"/>
  <c r="BE113" i="2539"/>
  <c r="BE112" i="2539" s="1"/>
  <c r="FJ49" i="2541"/>
  <c r="FJ7" i="2541"/>
  <c r="FW49" i="2541"/>
  <c r="FW7" i="2541"/>
  <c r="BF8" i="2535"/>
  <c r="BF7" i="2535" s="1"/>
  <c r="BF30" i="2535" s="1"/>
  <c r="DZ37" i="2535"/>
  <c r="EA37" i="2535" s="1"/>
  <c r="W7" i="2536"/>
  <c r="W41" i="2536" s="1"/>
  <c r="ES7" i="2536"/>
  <c r="ES41" i="2536" s="1"/>
  <c r="FS7" i="2536"/>
  <c r="FS41" i="2536" s="1"/>
  <c r="HF7" i="2536"/>
  <c r="HF41" i="2536" s="1"/>
  <c r="Y42" i="2536"/>
  <c r="AA44" i="2536"/>
  <c r="AN44" i="2536"/>
  <c r="BA44" i="2536"/>
  <c r="FA44" i="2536"/>
  <c r="FN44" i="2536"/>
  <c r="GN44" i="2536"/>
  <c r="CO48" i="2536"/>
  <c r="AA62" i="2536"/>
  <c r="DN62" i="2536"/>
  <c r="GA62" i="2536"/>
  <c r="HA62" i="2536"/>
  <c r="HN62" i="2536"/>
  <c r="AM39" i="2537"/>
  <c r="AK7" i="2538"/>
  <c r="U7" i="2538"/>
  <c r="HH7" i="2538"/>
  <c r="HH34" i="2538" s="1"/>
  <c r="HH35" i="2538" s="1"/>
  <c r="BA24" i="2538"/>
  <c r="BN24" i="2538"/>
  <c r="BO35" i="2538"/>
  <c r="EN24" i="2538"/>
  <c r="FA24" i="2538"/>
  <c r="FN24" i="2538"/>
  <c r="DD40" i="2538"/>
  <c r="DD38" i="2538" s="1"/>
  <c r="ED42" i="2538"/>
  <c r="ED40" i="2538" s="1"/>
  <c r="ED38" i="2538" s="1"/>
  <c r="ED35" i="2538" s="1"/>
  <c r="EY42" i="2538"/>
  <c r="EY40" i="2538" s="1"/>
  <c r="EY38" i="2538" s="1"/>
  <c r="GZ42" i="2538"/>
  <c r="GZ40" i="2538" s="1"/>
  <c r="GZ38" i="2538" s="1"/>
  <c r="GZ35" i="2538" s="1"/>
  <c r="GN44" i="2538"/>
  <c r="DF54" i="2538"/>
  <c r="DF53" i="2538" s="1"/>
  <c r="DS54" i="2538"/>
  <c r="DS53" i="2538" s="1"/>
  <c r="FF42" i="2538"/>
  <c r="FF40" i="2538" s="1"/>
  <c r="FF38" i="2538" s="1"/>
  <c r="FF35" i="2538" s="1"/>
  <c r="GF54" i="2538"/>
  <c r="EX54" i="2538"/>
  <c r="EX53" i="2538" s="1"/>
  <c r="EX81" i="2538" s="1"/>
  <c r="FK54" i="2538"/>
  <c r="FK53" i="2538" s="1"/>
  <c r="FK81" i="2538" s="1"/>
  <c r="HN71" i="2538"/>
  <c r="DB106" i="2539"/>
  <c r="DB115" i="2539" s="1"/>
  <c r="K7" i="2535"/>
  <c r="AP7" i="2535"/>
  <c r="AP30" i="2535" s="1"/>
  <c r="CF7" i="2535"/>
  <c r="CF30" i="2535" s="1"/>
  <c r="FR7" i="2535"/>
  <c r="FR30" i="2535" s="1"/>
  <c r="BZ8" i="2535"/>
  <c r="FM8" i="2535"/>
  <c r="JN30" i="2535"/>
  <c r="AA39" i="2535"/>
  <c r="AN39" i="2535"/>
  <c r="BA39" i="2535"/>
  <c r="BN39" i="2535"/>
  <c r="CA39" i="2535"/>
  <c r="CN39" i="2535"/>
  <c r="DA39" i="2535"/>
  <c r="DN39" i="2535"/>
  <c r="FA39" i="2535"/>
  <c r="JA39" i="2535"/>
  <c r="JN39" i="2535"/>
  <c r="KA39" i="2535"/>
  <c r="AD42" i="2536"/>
  <c r="AA45" i="2536"/>
  <c r="AN45" i="2536"/>
  <c r="BA45" i="2536"/>
  <c r="BN45" i="2536"/>
  <c r="EA45" i="2536"/>
  <c r="FA45" i="2536"/>
  <c r="HN45" i="2536"/>
  <c r="BA7" i="2537"/>
  <c r="BN7" i="2537"/>
  <c r="CA7" i="2537"/>
  <c r="CN7" i="2537"/>
  <c r="DA7" i="2537"/>
  <c r="DN7" i="2537"/>
  <c r="EA7" i="2537"/>
  <c r="FA7" i="2537"/>
  <c r="GN7" i="2537"/>
  <c r="O39" i="2537"/>
  <c r="AB39" i="2537"/>
  <c r="BA30" i="2537"/>
  <c r="BN30" i="2537"/>
  <c r="FA30" i="2537"/>
  <c r="HA30" i="2537"/>
  <c r="HN30" i="2537"/>
  <c r="T7" i="2538"/>
  <c r="AH8" i="2538"/>
  <c r="AH7" i="2538" s="1"/>
  <c r="CE7" i="2538"/>
  <c r="I7" i="2538"/>
  <c r="GV7" i="2538"/>
  <c r="GV34" i="2538" s="1"/>
  <c r="DE42" i="2538"/>
  <c r="DE40" i="2538" s="1"/>
  <c r="DE38" i="2538" s="1"/>
  <c r="EE42" i="2538"/>
  <c r="EE40" i="2538" s="1"/>
  <c r="EE38" i="2538" s="1"/>
  <c r="GI54" i="2538"/>
  <c r="GI53" i="2538" s="1"/>
  <c r="FG42" i="2538"/>
  <c r="FG40" i="2538" s="1"/>
  <c r="FG38" i="2538" s="1"/>
  <c r="FT54" i="2538"/>
  <c r="FT53" i="2538" s="1"/>
  <c r="FT81" i="2538" s="1"/>
  <c r="HV54" i="2538"/>
  <c r="HV53" i="2538" s="1"/>
  <c r="AJ48" i="2539"/>
  <c r="AJ7" i="2539"/>
  <c r="AJ41" i="2539" s="1"/>
  <c r="AJ65" i="2539" s="1"/>
  <c r="DN81" i="2539"/>
  <c r="HZ8" i="2535"/>
  <c r="EL8" i="2535"/>
  <c r="EL7" i="2535" s="1"/>
  <c r="EL30" i="2535" s="1"/>
  <c r="JA35" i="2535"/>
  <c r="AK7" i="2536"/>
  <c r="AK41" i="2536" s="1"/>
  <c r="AK66" i="2536" s="1"/>
  <c r="EK7" i="2536"/>
  <c r="EK41" i="2536" s="1"/>
  <c r="BA63" i="2536"/>
  <c r="C39" i="2537"/>
  <c r="EN8" i="2538"/>
  <c r="HA8" i="2538"/>
  <c r="BS7" i="2538"/>
  <c r="BS35" i="2538" s="1"/>
  <c r="GJ7" i="2538"/>
  <c r="GJ34" i="2538" s="1"/>
  <c r="EF42" i="2538"/>
  <c r="EF40" i="2538" s="1"/>
  <c r="EF38" i="2538" s="1"/>
  <c r="FB42" i="2538"/>
  <c r="FB40" i="2538" s="1"/>
  <c r="FB38" i="2538" s="1"/>
  <c r="IJ42" i="2538"/>
  <c r="IJ40" i="2538" s="1"/>
  <c r="IJ38" i="2538" s="1"/>
  <c r="IJ35" i="2538" s="1"/>
  <c r="HN47" i="2538"/>
  <c r="DV54" i="2538"/>
  <c r="DV53" i="2538" s="1"/>
  <c r="FE54" i="2538"/>
  <c r="FE53" i="2538" s="1"/>
  <c r="FE81" i="2538" s="1"/>
  <c r="FN45" i="2538"/>
  <c r="EU54" i="2538"/>
  <c r="EU53" i="2538" s="1"/>
  <c r="EU81" i="2538" s="1"/>
  <c r="HA63" i="2538"/>
  <c r="IN63" i="2538"/>
  <c r="IB62" i="2538"/>
  <c r="IB54" i="2538" s="1"/>
  <c r="HR62" i="2538"/>
  <c r="HR54" i="2538" s="1"/>
  <c r="HR53" i="2538" s="1"/>
  <c r="BT100" i="2539"/>
  <c r="BT114" i="2539" s="1"/>
  <c r="I7" i="2539"/>
  <c r="I41" i="2539" s="1"/>
  <c r="AV7" i="2539"/>
  <c r="AV41" i="2539" s="1"/>
  <c r="DQ7" i="2539"/>
  <c r="DQ41" i="2539" s="1"/>
  <c r="HC7" i="2539"/>
  <c r="HC41" i="2539" s="1"/>
  <c r="V42" i="2539"/>
  <c r="AN47" i="2539"/>
  <c r="BA47" i="2539"/>
  <c r="CN47" i="2539"/>
  <c r="DA47" i="2539"/>
  <c r="EA47" i="2539"/>
  <c r="EN47" i="2539"/>
  <c r="FA47" i="2539"/>
  <c r="N54" i="2539"/>
  <c r="AN54" i="2539"/>
  <c r="BA54" i="2539"/>
  <c r="BN54" i="2539"/>
  <c r="CA54" i="2539"/>
  <c r="CN54" i="2539"/>
  <c r="DA54" i="2539"/>
  <c r="BN75" i="2539"/>
  <c r="BQ75" i="2539"/>
  <c r="BQ74" i="2539" s="1"/>
  <c r="CU75" i="2539"/>
  <c r="CU74" i="2539" s="1"/>
  <c r="HH75" i="2539"/>
  <c r="GF94" i="2539"/>
  <c r="GF113" i="2539" s="1"/>
  <c r="BQ94" i="2539"/>
  <c r="BQ113" i="2539" s="1"/>
  <c r="HN99" i="2539"/>
  <c r="BN81" i="2539"/>
  <c r="DA87" i="2539"/>
  <c r="EN87" i="2539"/>
  <c r="GZ87" i="2539"/>
  <c r="HL106" i="2539"/>
  <c r="HL115" i="2539" s="1"/>
  <c r="FD97" i="2539"/>
  <c r="FD94" i="2539" s="1"/>
  <c r="BO100" i="2539"/>
  <c r="BO114" i="2539" s="1"/>
  <c r="CB100" i="2539"/>
  <c r="CB114" i="2539" s="1"/>
  <c r="BP106" i="2539"/>
  <c r="BP115" i="2539" s="1"/>
  <c r="EC106" i="2539"/>
  <c r="EC115" i="2539" s="1"/>
  <c r="CA108" i="2539"/>
  <c r="CN108" i="2539"/>
  <c r="CO106" i="2539"/>
  <c r="CO115" i="2539" s="1"/>
  <c r="EN108" i="2539"/>
  <c r="EH7" i="2541"/>
  <c r="FK47" i="2541"/>
  <c r="FK43" i="2541" s="1"/>
  <c r="FK40" i="2541" s="1"/>
  <c r="FK38" i="2541" s="1"/>
  <c r="J7" i="2539"/>
  <c r="J41" i="2539" s="1"/>
  <c r="BI7" i="2539"/>
  <c r="BI41" i="2539" s="1"/>
  <c r="EC7" i="2539"/>
  <c r="EC41" i="2539" s="1"/>
  <c r="AN19" i="2539"/>
  <c r="BN23" i="2539"/>
  <c r="BA59" i="2539"/>
  <c r="BN59" i="2539"/>
  <c r="CA59" i="2539"/>
  <c r="CN59" i="2539"/>
  <c r="DA59" i="2539"/>
  <c r="EA59" i="2539"/>
  <c r="EN59" i="2539"/>
  <c r="FA59" i="2539"/>
  <c r="FN59" i="2539"/>
  <c r="HA59" i="2539"/>
  <c r="HN59" i="2539"/>
  <c r="AN63" i="2539"/>
  <c r="BA63" i="2539"/>
  <c r="BN63" i="2539"/>
  <c r="DA63" i="2539"/>
  <c r="HG87" i="2539"/>
  <c r="BP100" i="2539"/>
  <c r="BP114" i="2539" s="1"/>
  <c r="BV100" i="2539"/>
  <c r="BV114" i="2539" s="1"/>
  <c r="DQ106" i="2539"/>
  <c r="DQ115" i="2539" s="1"/>
  <c r="ED106" i="2539"/>
  <c r="ED115" i="2539" s="1"/>
  <c r="EA109" i="2539"/>
  <c r="AL49" i="2541"/>
  <c r="AL7" i="2541"/>
  <c r="BL49" i="2541"/>
  <c r="BL7" i="2541"/>
  <c r="EY7" i="2541"/>
  <c r="EY49" i="2541"/>
  <c r="FY49" i="2541"/>
  <c r="GA49" i="2541" s="1"/>
  <c r="FY7" i="2541"/>
  <c r="EL49" i="2541"/>
  <c r="EN49" i="2541" s="1"/>
  <c r="BI47" i="2541"/>
  <c r="BI43" i="2541" s="1"/>
  <c r="BI40" i="2541" s="1"/>
  <c r="BI38" i="2541" s="1"/>
  <c r="BV47" i="2541"/>
  <c r="BV43" i="2541" s="1"/>
  <c r="BV40" i="2541" s="1"/>
  <c r="BV38" i="2541" s="1"/>
  <c r="CI47" i="2541"/>
  <c r="CI43" i="2541" s="1"/>
  <c r="AA53" i="2539"/>
  <c r="BR48" i="2539"/>
  <c r="GH94" i="2539"/>
  <c r="GH113" i="2539" s="1"/>
  <c r="FF96" i="2539"/>
  <c r="FF94" i="2539" s="1"/>
  <c r="CA102" i="2539"/>
  <c r="CN102" i="2539"/>
  <c r="DA102" i="2539"/>
  <c r="DN102" i="2539"/>
  <c r="CA110" i="2539"/>
  <c r="DA110" i="2539"/>
  <c r="DN110" i="2539"/>
  <c r="EA110" i="2539"/>
  <c r="AN51" i="2539"/>
  <c r="EK74" i="2539"/>
  <c r="FV94" i="2539"/>
  <c r="FV113" i="2539" s="1"/>
  <c r="DT75" i="2539"/>
  <c r="DT74" i="2539" s="1"/>
  <c r="ET81" i="2539"/>
  <c r="GF81" i="2539"/>
  <c r="HM87" i="2539"/>
  <c r="CY42" i="2541"/>
  <c r="CY40" i="2541" s="1"/>
  <c r="CY38" i="2541" s="1"/>
  <c r="CY8" i="2541"/>
  <c r="CY7" i="2541" s="1"/>
  <c r="CR47" i="2541"/>
  <c r="CR43" i="2541" s="1"/>
  <c r="CR40" i="2541" s="1"/>
  <c r="CR38" i="2541" s="1"/>
  <c r="DR47" i="2541"/>
  <c r="DR43" i="2541" s="1"/>
  <c r="DR40" i="2541" s="1"/>
  <c r="DR38" i="2541" s="1"/>
  <c r="DR53" i="2541"/>
  <c r="DR52" i="2541" s="1"/>
  <c r="CP54" i="2538"/>
  <c r="CP53" i="2538" s="1"/>
  <c r="AD7" i="2539"/>
  <c r="AD41" i="2539" s="1"/>
  <c r="CC7" i="2539"/>
  <c r="CC41" i="2539" s="1"/>
  <c r="FM7" i="2539"/>
  <c r="FM41" i="2539" s="1"/>
  <c r="BN43" i="2539"/>
  <c r="CA43" i="2539"/>
  <c r="CN43" i="2539"/>
  <c r="DA43" i="2539"/>
  <c r="HN43" i="2539"/>
  <c r="BB57" i="2539"/>
  <c r="AN60" i="2539"/>
  <c r="BA60" i="2539"/>
  <c r="BN60" i="2539"/>
  <c r="DA60" i="2539"/>
  <c r="HA60" i="2539"/>
  <c r="HN60" i="2539"/>
  <c r="N64" i="2539"/>
  <c r="AA64" i="2539"/>
  <c r="AN64" i="2539"/>
  <c r="BN64" i="2539"/>
  <c r="CA64" i="2539"/>
  <c r="CN64" i="2539"/>
  <c r="DA64" i="2539"/>
  <c r="EN64" i="2539"/>
  <c r="FA64" i="2539"/>
  <c r="FN64" i="2539"/>
  <c r="BN70" i="2539"/>
  <c r="CA70" i="2539"/>
  <c r="DN70" i="2539"/>
  <c r="HN70" i="2539"/>
  <c r="DC75" i="2539"/>
  <c r="DC74" i="2539" s="1"/>
  <c r="EM75" i="2539"/>
  <c r="EM74" i="2539" s="1"/>
  <c r="GF75" i="2539"/>
  <c r="GW94" i="2539"/>
  <c r="GW113" i="2539" s="1"/>
  <c r="EV81" i="2539"/>
  <c r="GH81" i="2539"/>
  <c r="CN81" i="2539"/>
  <c r="GI100" i="2539"/>
  <c r="GI114" i="2539" s="1"/>
  <c r="BD94" i="2539"/>
  <c r="BD113" i="2539" s="1"/>
  <c r="BD112" i="2539" s="1"/>
  <c r="DS100" i="2539"/>
  <c r="DS114" i="2539" s="1"/>
  <c r="EF100" i="2539"/>
  <c r="EF114" i="2539" s="1"/>
  <c r="CG106" i="2539"/>
  <c r="CG115" i="2539" s="1"/>
  <c r="CT106" i="2539"/>
  <c r="CT115" i="2539" s="1"/>
  <c r="CD106" i="2539"/>
  <c r="CD115" i="2539" s="1"/>
  <c r="CN111" i="2539"/>
  <c r="DA111" i="2539"/>
  <c r="DN111" i="2539"/>
  <c r="EA111" i="2539"/>
  <c r="AF62" i="2541"/>
  <c r="AS62" i="2541"/>
  <c r="BF62" i="2541"/>
  <c r="BF53" i="2541" s="1"/>
  <c r="BF52" i="2541" s="1"/>
  <c r="BS62" i="2541"/>
  <c r="EH62" i="2541"/>
  <c r="EH53" i="2541" s="1"/>
  <c r="EH52" i="2541" s="1"/>
  <c r="DH75" i="2539"/>
  <c r="DH74" i="2539" s="1"/>
  <c r="CX94" i="2539"/>
  <c r="CX113" i="2539" s="1"/>
  <c r="FX94" i="2539"/>
  <c r="FX113" i="2539" s="1"/>
  <c r="GK75" i="2539"/>
  <c r="GX75" i="2539"/>
  <c r="HK94" i="2539"/>
  <c r="HK113" i="2539" s="1"/>
  <c r="EX81" i="2539"/>
  <c r="GI81" i="2539"/>
  <c r="FW100" i="2539"/>
  <c r="FW114" i="2539" s="1"/>
  <c r="FA103" i="2539"/>
  <c r="ER106" i="2539"/>
  <c r="ER115" i="2539" s="1"/>
  <c r="GW87" i="2539"/>
  <c r="FY95" i="2539"/>
  <c r="FY94" i="2539" s="1"/>
  <c r="FY113" i="2539" s="1"/>
  <c r="CT100" i="2539"/>
  <c r="CT114" i="2539" s="1"/>
  <c r="DG100" i="2539"/>
  <c r="DG114" i="2539" s="1"/>
  <c r="DT100" i="2539"/>
  <c r="DT114" i="2539" s="1"/>
  <c r="EG100" i="2539"/>
  <c r="EG114" i="2539" s="1"/>
  <c r="BU106" i="2539"/>
  <c r="BU115" i="2539" s="1"/>
  <c r="DH106" i="2539"/>
  <c r="DH115" i="2539" s="1"/>
  <c r="BR106" i="2539"/>
  <c r="BR115" i="2539" s="1"/>
  <c r="CZ7" i="2541"/>
  <c r="DM7" i="2541"/>
  <c r="DZ7" i="2541"/>
  <c r="EM7" i="2541"/>
  <c r="EZ7" i="2541"/>
  <c r="FM7" i="2541"/>
  <c r="FZ7" i="2541"/>
  <c r="BG47" i="2541"/>
  <c r="BG43" i="2541" s="1"/>
  <c r="ET47" i="2541"/>
  <c r="ET43" i="2541" s="1"/>
  <c r="ET40" i="2541" s="1"/>
  <c r="ET38" i="2541" s="1"/>
  <c r="ET53" i="2541"/>
  <c r="ET52" i="2541" s="1"/>
  <c r="BT53" i="2541"/>
  <c r="BT52" i="2541" s="1"/>
  <c r="BT87" i="2541" s="1"/>
  <c r="CG53" i="2541"/>
  <c r="CG52" i="2541" s="1"/>
  <c r="CG87" i="2541" s="1"/>
  <c r="EI62" i="2541"/>
  <c r="EI53" i="2541" s="1"/>
  <c r="EI52" i="2541" s="1"/>
  <c r="FI62" i="2541"/>
  <c r="N44" i="2539"/>
  <c r="AA44" i="2539"/>
  <c r="AN44" i="2539"/>
  <c r="BA44" i="2539"/>
  <c r="GA44" i="2539"/>
  <c r="HA44" i="2539"/>
  <c r="HN44" i="2539"/>
  <c r="AR48" i="2539"/>
  <c r="HN54" i="2539"/>
  <c r="ES75" i="2539"/>
  <c r="GY94" i="2539"/>
  <c r="GY113" i="2539" s="1"/>
  <c r="EY81" i="2539"/>
  <c r="GM81" i="2539"/>
  <c r="EX100" i="2539"/>
  <c r="EX114" i="2539" s="1"/>
  <c r="GL95" i="2539"/>
  <c r="GL94" i="2539" s="1"/>
  <c r="GL113" i="2539" s="1"/>
  <c r="CU100" i="2539"/>
  <c r="CU114" i="2539" s="1"/>
  <c r="DH100" i="2539"/>
  <c r="DH114" i="2539" s="1"/>
  <c r="DU100" i="2539"/>
  <c r="DU114" i="2539" s="1"/>
  <c r="EH100" i="2539"/>
  <c r="EH114" i="2539" s="1"/>
  <c r="EN103" i="2539"/>
  <c r="BI106" i="2539"/>
  <c r="BI115" i="2539" s="1"/>
  <c r="BV106" i="2539"/>
  <c r="BV115" i="2539" s="1"/>
  <c r="BT106" i="2539"/>
  <c r="BT115" i="2539" s="1"/>
  <c r="M7" i="2541"/>
  <c r="Z7" i="2541"/>
  <c r="AM7" i="2541"/>
  <c r="BZ7" i="2541"/>
  <c r="BZ34" i="2541" s="1"/>
  <c r="DG53" i="2541"/>
  <c r="DG52" i="2541" s="1"/>
  <c r="DG87" i="2541" s="1"/>
  <c r="AH47" i="2541"/>
  <c r="AH43" i="2541" s="1"/>
  <c r="AH40" i="2541" s="1"/>
  <c r="AH38" i="2541" s="1"/>
  <c r="BH47" i="2541"/>
  <c r="BH43" i="2541" s="1"/>
  <c r="BH40" i="2541" s="1"/>
  <c r="BH38" i="2541" s="1"/>
  <c r="BU47" i="2541"/>
  <c r="BU43" i="2541" s="1"/>
  <c r="BU40" i="2541" s="1"/>
  <c r="BU38" i="2541" s="1"/>
  <c r="CU47" i="2541"/>
  <c r="CU43" i="2541" s="1"/>
  <c r="CU40" i="2541" s="1"/>
  <c r="CU38" i="2541" s="1"/>
  <c r="DU47" i="2541"/>
  <c r="FU47" i="2541"/>
  <c r="FU43" i="2541" s="1"/>
  <c r="FU40" i="2541" s="1"/>
  <c r="FU38" i="2541" s="1"/>
  <c r="CR7" i="2539"/>
  <c r="CR41" i="2539" s="1"/>
  <c r="DS7" i="2539"/>
  <c r="DS41" i="2539" s="1"/>
  <c r="AN45" i="2539"/>
  <c r="BA45" i="2539"/>
  <c r="CA45" i="2539"/>
  <c r="CN45" i="2539"/>
  <c r="GN45" i="2539"/>
  <c r="EN49" i="2539"/>
  <c r="GA49" i="2539"/>
  <c r="HN49" i="2539"/>
  <c r="BA51" i="2539"/>
  <c r="BN51" i="2539"/>
  <c r="CA51" i="2539"/>
  <c r="DN51" i="2539"/>
  <c r="EA51" i="2539"/>
  <c r="EN51" i="2539"/>
  <c r="FA51" i="2539"/>
  <c r="FN51" i="2539"/>
  <c r="HN51" i="2539"/>
  <c r="N61" i="2539"/>
  <c r="AA61" i="2539"/>
  <c r="BN61" i="2539"/>
  <c r="DA61" i="2539"/>
  <c r="GA61" i="2539"/>
  <c r="HA61" i="2539"/>
  <c r="HN61" i="2539"/>
  <c r="CF75" i="2539"/>
  <c r="CF74" i="2539" s="1"/>
  <c r="CZ94" i="2539"/>
  <c r="CZ113" i="2539" s="1"/>
  <c r="DM94" i="2539"/>
  <c r="DM113" i="2539" s="1"/>
  <c r="EZ94" i="2539"/>
  <c r="EZ113" i="2539" s="1"/>
  <c r="FZ94" i="2539"/>
  <c r="FZ113" i="2539" s="1"/>
  <c r="HM94" i="2539"/>
  <c r="HM113" i="2539" s="1"/>
  <c r="EY100" i="2539"/>
  <c r="EY114" i="2539" s="1"/>
  <c r="GB87" i="2539"/>
  <c r="GS87" i="2539"/>
  <c r="CQ97" i="2539"/>
  <c r="CQ94" i="2539" s="1"/>
  <c r="CV100" i="2539"/>
  <c r="CV114" i="2539" s="1"/>
  <c r="DI100" i="2539"/>
  <c r="DI114" i="2539" s="1"/>
  <c r="DV100" i="2539"/>
  <c r="DV114" i="2539" s="1"/>
  <c r="EI100" i="2539"/>
  <c r="EI114" i="2539" s="1"/>
  <c r="EC100" i="2539"/>
  <c r="EC114" i="2539" s="1"/>
  <c r="BN105" i="2539"/>
  <c r="CN105" i="2539"/>
  <c r="DN105" i="2539"/>
  <c r="EA105" i="2539"/>
  <c r="EB100" i="2539"/>
  <c r="EB114" i="2539" s="1"/>
  <c r="AA8" i="2541"/>
  <c r="O7" i="2541"/>
  <c r="BA8" i="2541"/>
  <c r="AO7" i="2541"/>
  <c r="CJ52" i="2541"/>
  <c r="CJ87" i="2541" s="1"/>
  <c r="CT7" i="2539"/>
  <c r="CT41" i="2539" s="1"/>
  <c r="CI75" i="2539"/>
  <c r="CI74" i="2539" s="1"/>
  <c r="DM75" i="2539"/>
  <c r="DM74" i="2539" s="1"/>
  <c r="EZ75" i="2539"/>
  <c r="GU75" i="2539"/>
  <c r="FF81" i="2539"/>
  <c r="HD81" i="2539"/>
  <c r="EN81" i="2539"/>
  <c r="GM100" i="2539"/>
  <c r="GM114" i="2539" s="1"/>
  <c r="GC87" i="2539"/>
  <c r="CA87" i="2539"/>
  <c r="BG94" i="2539"/>
  <c r="CJ100" i="2539"/>
  <c r="CJ114" i="2539" s="1"/>
  <c r="DD100" i="2539"/>
  <c r="DD114" i="2539" s="1"/>
  <c r="DQ100" i="2539"/>
  <c r="DQ114" i="2539" s="1"/>
  <c r="AO43" i="2541"/>
  <c r="AO40" i="2541" s="1"/>
  <c r="AO38" i="2541" s="1"/>
  <c r="CZ7" i="2539"/>
  <c r="CZ41" i="2539" s="1"/>
  <c r="DH7" i="2539"/>
  <c r="DH41" i="2539" s="1"/>
  <c r="GN46" i="2539"/>
  <c r="HA46" i="2539"/>
  <c r="BA50" i="2539"/>
  <c r="BN50" i="2539"/>
  <c r="DA50" i="2539"/>
  <c r="EA50" i="2539"/>
  <c r="EN50" i="2539"/>
  <c r="FN50" i="2539"/>
  <c r="HN50" i="2539"/>
  <c r="BN55" i="2539"/>
  <c r="CN55" i="2539"/>
  <c r="DA55" i="2539"/>
  <c r="CP94" i="2539"/>
  <c r="CP113" i="2539" s="1"/>
  <c r="EC75" i="2539"/>
  <c r="EC74" i="2539" s="1"/>
  <c r="FK81" i="2539"/>
  <c r="HG81" i="2539"/>
  <c r="GG87" i="2539"/>
  <c r="BK100" i="2539"/>
  <c r="BK114" i="2539" s="1"/>
  <c r="BX100" i="2539"/>
  <c r="BX114" i="2539" s="1"/>
  <c r="CK100" i="2539"/>
  <c r="CK114" i="2539" s="1"/>
  <c r="CX100" i="2539"/>
  <c r="CX114" i="2539" s="1"/>
  <c r="DK100" i="2539"/>
  <c r="DK114" i="2539" s="1"/>
  <c r="DX100" i="2539"/>
  <c r="DX114" i="2539" s="1"/>
  <c r="CR100" i="2539"/>
  <c r="CR114" i="2539" s="1"/>
  <c r="BY106" i="2539"/>
  <c r="BY115" i="2539" s="1"/>
  <c r="EK106" i="2539"/>
  <c r="EK115" i="2539" s="1"/>
  <c r="CJ106" i="2539"/>
  <c r="CJ115" i="2539" s="1"/>
  <c r="BG106" i="2539"/>
  <c r="BG115" i="2539" s="1"/>
  <c r="FA46" i="2541"/>
  <c r="GA46" i="2541"/>
  <c r="DE7" i="2539"/>
  <c r="DE41" i="2539" s="1"/>
  <c r="GW7" i="2539"/>
  <c r="GW41" i="2539" s="1"/>
  <c r="DS48" i="2539"/>
  <c r="N58" i="2539"/>
  <c r="AA58" i="2539"/>
  <c r="BA58" i="2539"/>
  <c r="BN58" i="2539"/>
  <c r="DA58" i="2539"/>
  <c r="GA58" i="2539"/>
  <c r="HA58" i="2539"/>
  <c r="HN58" i="2539"/>
  <c r="BA62" i="2539"/>
  <c r="BN62" i="2539"/>
  <c r="CA62" i="2539"/>
  <c r="CN62" i="2539"/>
  <c r="DA62" i="2539"/>
  <c r="EA62" i="2539"/>
  <c r="EN62" i="2539"/>
  <c r="FA62" i="2539"/>
  <c r="FN62" i="2539"/>
  <c r="HA62" i="2539"/>
  <c r="HN62" i="2539"/>
  <c r="CL75" i="2539"/>
  <c r="CL74" i="2539" s="1"/>
  <c r="DQ75" i="2539"/>
  <c r="DQ74" i="2539" s="1"/>
  <c r="HF75" i="2539"/>
  <c r="CD94" i="2539"/>
  <c r="CD113" i="2539" s="1"/>
  <c r="DD94" i="2539"/>
  <c r="DD113" i="2539" s="1"/>
  <c r="DQ94" i="2539"/>
  <c r="DQ113" i="2539" s="1"/>
  <c r="ED94" i="2539"/>
  <c r="ED113" i="2539" s="1"/>
  <c r="FO81" i="2539"/>
  <c r="FC100" i="2539"/>
  <c r="FC114" i="2539" s="1"/>
  <c r="GJ87" i="2539"/>
  <c r="BJ94" i="2539"/>
  <c r="BL100" i="2539"/>
  <c r="BL114" i="2539" s="1"/>
  <c r="CL100" i="2539"/>
  <c r="CL114" i="2539" s="1"/>
  <c r="CY100" i="2539"/>
  <c r="CY114" i="2539" s="1"/>
  <c r="DL100" i="2539"/>
  <c r="DL114" i="2539" s="1"/>
  <c r="CF100" i="2539"/>
  <c r="CF114" i="2539" s="1"/>
  <c r="BM106" i="2539"/>
  <c r="BM115" i="2539" s="1"/>
  <c r="BM112" i="2539" s="1"/>
  <c r="CZ106" i="2539"/>
  <c r="CZ115" i="2539" s="1"/>
  <c r="DI43" i="2541"/>
  <c r="DI40" i="2541" s="1"/>
  <c r="DI38" i="2541" s="1"/>
  <c r="FY43" i="2541"/>
  <c r="FY40" i="2541" s="1"/>
  <c r="AA17" i="2541"/>
  <c r="CA17" i="2541"/>
  <c r="CA49" i="2541" s="1"/>
  <c r="DA17" i="2541"/>
  <c r="DA49" i="2541" s="1"/>
  <c r="DN17" i="2541"/>
  <c r="DN49" i="2541" s="1"/>
  <c r="FV7" i="2541"/>
  <c r="FB43" i="2541"/>
  <c r="FB40" i="2541" s="1"/>
  <c r="FB38" i="2541" s="1"/>
  <c r="GA45" i="2541"/>
  <c r="FM47" i="2541"/>
  <c r="FM43" i="2541" s="1"/>
  <c r="FM40" i="2541" s="1"/>
  <c r="FM38" i="2541" s="1"/>
  <c r="DV47" i="2541"/>
  <c r="DV43" i="2541" s="1"/>
  <c r="DV40" i="2541" s="1"/>
  <c r="DV38" i="2541" s="1"/>
  <c r="AH62" i="2541"/>
  <c r="AH53" i="2541" s="1"/>
  <c r="AH52" i="2541" s="1"/>
  <c r="DH62" i="2541"/>
  <c r="DH53" i="2541" s="1"/>
  <c r="DH52" i="2541" s="1"/>
  <c r="DH87" i="2541" s="1"/>
  <c r="BW47" i="2541"/>
  <c r="BW43" i="2541" s="1"/>
  <c r="BW40" i="2541" s="1"/>
  <c r="CW62" i="2541"/>
  <c r="CW53" i="2541" s="1"/>
  <c r="CW52" i="2541" s="1"/>
  <c r="CW87" i="2541" s="1"/>
  <c r="EJ62" i="2541"/>
  <c r="EJ53" i="2541" s="1"/>
  <c r="EJ52" i="2541" s="1"/>
  <c r="BN77" i="2541"/>
  <c r="BQ7" i="2541"/>
  <c r="BQ34" i="2541" s="1"/>
  <c r="AT43" i="2541"/>
  <c r="AT40" i="2541" s="1"/>
  <c r="AT38" i="2541" s="1"/>
  <c r="CE43" i="2541"/>
  <c r="CE40" i="2541" s="1"/>
  <c r="CE38" i="2541" s="1"/>
  <c r="DP43" i="2541"/>
  <c r="DP40" i="2541" s="1"/>
  <c r="DM47" i="2541"/>
  <c r="DM43" i="2541" s="1"/>
  <c r="DM40" i="2541" s="1"/>
  <c r="DM38" i="2541" s="1"/>
  <c r="CO49" i="2541"/>
  <c r="CJ47" i="2541"/>
  <c r="CJ43" i="2541" s="1"/>
  <c r="CJ40" i="2541" s="1"/>
  <c r="EW53" i="2541"/>
  <c r="EW52" i="2541" s="1"/>
  <c r="FW47" i="2541"/>
  <c r="FW43" i="2541" s="1"/>
  <c r="FW40" i="2541" s="1"/>
  <c r="AV62" i="2541"/>
  <c r="AV53" i="2541" s="1"/>
  <c r="AV52" i="2541" s="1"/>
  <c r="BI62" i="2541"/>
  <c r="BI53" i="2541" s="1"/>
  <c r="BI52" i="2541" s="1"/>
  <c r="BV62" i="2541"/>
  <c r="BV53" i="2541" s="1"/>
  <c r="BV52" i="2541" s="1"/>
  <c r="BV87" i="2541" s="1"/>
  <c r="CI62" i="2541"/>
  <c r="CI53" i="2541" s="1"/>
  <c r="CI52" i="2541" s="1"/>
  <c r="CI87" i="2541" s="1"/>
  <c r="CV62" i="2541"/>
  <c r="FX62" i="2541"/>
  <c r="AX47" i="2541"/>
  <c r="AX43" i="2541" s="1"/>
  <c r="AX40" i="2541" s="1"/>
  <c r="AX38" i="2541" s="1"/>
  <c r="CK47" i="2541"/>
  <c r="CK43" i="2541" s="1"/>
  <c r="CK40" i="2541" s="1"/>
  <c r="CK38" i="2541" s="1"/>
  <c r="CK35" i="2541" s="1"/>
  <c r="DE7" i="2541"/>
  <c r="AK7" i="2541"/>
  <c r="CQ43" i="2541"/>
  <c r="CQ40" i="2541" s="1"/>
  <c r="CQ38" i="2541" s="1"/>
  <c r="BT43" i="2541"/>
  <c r="BT40" i="2541" s="1"/>
  <c r="BT38" i="2541" s="1"/>
  <c r="DD43" i="2541"/>
  <c r="DD40" i="2541" s="1"/>
  <c r="DD38" i="2541" s="1"/>
  <c r="EG53" i="2541"/>
  <c r="EG52" i="2541" s="1"/>
  <c r="AJ53" i="2541"/>
  <c r="AJ52" i="2541" s="1"/>
  <c r="FL62" i="2541"/>
  <c r="FL53" i="2541" s="1"/>
  <c r="FL52" i="2541" s="1"/>
  <c r="FY62" i="2541"/>
  <c r="FY53" i="2541" s="1"/>
  <c r="FY52" i="2541" s="1"/>
  <c r="AL47" i="2541"/>
  <c r="AL43" i="2541" s="1"/>
  <c r="AL40" i="2541" s="1"/>
  <c r="L7" i="2541"/>
  <c r="Y7" i="2541"/>
  <c r="BY7" i="2541"/>
  <c r="BY34" i="2541" s="1"/>
  <c r="DL7" i="2541"/>
  <c r="EE43" i="2541"/>
  <c r="DY53" i="2541"/>
  <c r="DY52" i="2541" s="1"/>
  <c r="CE53" i="2541"/>
  <c r="CE52" i="2541" s="1"/>
  <c r="CE87" i="2541" s="1"/>
  <c r="AX53" i="2541"/>
  <c r="AX52" i="2541" s="1"/>
  <c r="BK53" i="2541"/>
  <c r="BK52" i="2541" s="1"/>
  <c r="FZ53" i="2541"/>
  <c r="FZ52" i="2541" s="1"/>
  <c r="EA80" i="2541"/>
  <c r="GO90" i="2539"/>
  <c r="HA90" i="2539" s="1"/>
  <c r="BA31" i="2540"/>
  <c r="BN31" i="2540"/>
  <c r="DA31" i="2540"/>
  <c r="DN31" i="2540"/>
  <c r="EN31" i="2540"/>
  <c r="FA31" i="2540"/>
  <c r="FN31" i="2540"/>
  <c r="HA31" i="2540"/>
  <c r="G7" i="2541"/>
  <c r="T7" i="2541"/>
  <c r="CT7" i="2541"/>
  <c r="DG7" i="2541"/>
  <c r="FT7" i="2541"/>
  <c r="F7" i="2541"/>
  <c r="FF7" i="2541"/>
  <c r="AZ7" i="2541"/>
  <c r="CH43" i="2541"/>
  <c r="CH40" i="2541" s="1"/>
  <c r="CH38" i="2541" s="1"/>
  <c r="ES43" i="2541"/>
  <c r="ES40" i="2541" s="1"/>
  <c r="ES38" i="2541" s="1"/>
  <c r="DB49" i="2541"/>
  <c r="GA63" i="2541"/>
  <c r="CA7" i="2543"/>
  <c r="CN7" i="2543"/>
  <c r="DA7" i="2543"/>
  <c r="DN7" i="2543"/>
  <c r="GA7" i="2543"/>
  <c r="GN7" i="2543"/>
  <c r="H7" i="2541"/>
  <c r="BU7" i="2541"/>
  <c r="BU34" i="2541" s="1"/>
  <c r="CH7" i="2541"/>
  <c r="CH34" i="2541" s="1"/>
  <c r="FH7" i="2541"/>
  <c r="FU7" i="2541"/>
  <c r="BA20" i="2541"/>
  <c r="DB7" i="2541"/>
  <c r="EA20" i="2541"/>
  <c r="CW40" i="2541"/>
  <c r="BA56" i="2541"/>
  <c r="CO53" i="2541"/>
  <c r="CO52" i="2541" s="1"/>
  <c r="DB53" i="2541"/>
  <c r="DB52" i="2541" s="1"/>
  <c r="DB87" i="2541" s="1"/>
  <c r="CK53" i="2541"/>
  <c r="CK52" i="2541" s="1"/>
  <c r="CK87" i="2541" s="1"/>
  <c r="FO62" i="2541"/>
  <c r="AM53" i="2541"/>
  <c r="AM52" i="2541" s="1"/>
  <c r="EP62" i="2541"/>
  <c r="EP53" i="2541" s="1"/>
  <c r="EP52" i="2541" s="1"/>
  <c r="FC62" i="2541"/>
  <c r="FC53" i="2541" s="1"/>
  <c r="EC47" i="2541"/>
  <c r="EC43" i="2541" s="1"/>
  <c r="EC40" i="2541" s="1"/>
  <c r="EC38" i="2541" s="1"/>
  <c r="ES62" i="2541"/>
  <c r="ES53" i="2541" s="1"/>
  <c r="ES52" i="2541" s="1"/>
  <c r="FF62" i="2541"/>
  <c r="FF53" i="2541" s="1"/>
  <c r="FF52" i="2541" s="1"/>
  <c r="FS62" i="2541"/>
  <c r="FS53" i="2541" s="1"/>
  <c r="FS52" i="2541" s="1"/>
  <c r="EQ47" i="2541"/>
  <c r="EQ43" i="2541" s="1"/>
  <c r="EQ40" i="2541" s="1"/>
  <c r="BN42" i="2541"/>
  <c r="P7" i="2541"/>
  <c r="BP7" i="2541"/>
  <c r="BP34" i="2541" s="1"/>
  <c r="CP7" i="2541"/>
  <c r="BM43" i="2541"/>
  <c r="BM40" i="2541" s="1"/>
  <c r="BM38" i="2541" s="1"/>
  <c r="FP53" i="2541"/>
  <c r="FP52" i="2541" s="1"/>
  <c r="DN63" i="2541"/>
  <c r="DO62" i="2541"/>
  <c r="EB62" i="2541"/>
  <c r="EB53" i="2541" s="1"/>
  <c r="FG62" i="2541"/>
  <c r="BS47" i="2541"/>
  <c r="BS43" i="2541" s="1"/>
  <c r="BS40" i="2541" s="1"/>
  <c r="BS38" i="2541" s="1"/>
  <c r="AW7" i="2541"/>
  <c r="BJ7" i="2541"/>
  <c r="DJ7" i="2541"/>
  <c r="DW7" i="2541"/>
  <c r="EJ7" i="2541"/>
  <c r="EW7" i="2541"/>
  <c r="Q7" i="2541"/>
  <c r="CD7" i="2541"/>
  <c r="CD34" i="2541" s="1"/>
  <c r="AS43" i="2541"/>
  <c r="AS40" i="2541" s="1"/>
  <c r="AS38" i="2541" s="1"/>
  <c r="GA44" i="2541"/>
  <c r="AD47" i="2541"/>
  <c r="FD47" i="2541"/>
  <c r="FQ47" i="2541"/>
  <c r="FQ43" i="2541" s="1"/>
  <c r="FQ40" i="2541" s="1"/>
  <c r="FQ38" i="2541" s="1"/>
  <c r="EQ53" i="2541"/>
  <c r="EQ52" i="2541" s="1"/>
  <c r="EN63" i="2541"/>
  <c r="FR62" i="2541"/>
  <c r="FR53" i="2541" s="1"/>
  <c r="FR52" i="2541" s="1"/>
  <c r="BF47" i="2541"/>
  <c r="BF43" i="2541" s="1"/>
  <c r="BF40" i="2541" s="1"/>
  <c r="BF38" i="2541" s="1"/>
  <c r="EN77" i="2541"/>
  <c r="CG47" i="2541"/>
  <c r="CG43" i="2541" s="1"/>
  <c r="CG40" i="2541" s="1"/>
  <c r="CG38" i="2541" s="1"/>
  <c r="CG35" i="2541" s="1"/>
  <c r="AN31" i="2540"/>
  <c r="CL7" i="2541"/>
  <c r="CL34" i="2541" s="1"/>
  <c r="DY7" i="2541"/>
  <c r="FN41" i="2541"/>
  <c r="AY43" i="2541"/>
  <c r="EU43" i="2541"/>
  <c r="EU40" i="2541" s="1"/>
  <c r="EU38" i="2541" s="1"/>
  <c r="CM43" i="2541"/>
  <c r="CM40" i="2541" s="1"/>
  <c r="CM38" i="2541" s="1"/>
  <c r="CM35" i="2541" s="1"/>
  <c r="EF47" i="2541"/>
  <c r="EF43" i="2541" s="1"/>
  <c r="EF40" i="2541" s="1"/>
  <c r="EF38" i="2541" s="1"/>
  <c r="DE53" i="2541"/>
  <c r="DE52" i="2541" s="1"/>
  <c r="DE87" i="2541" s="1"/>
  <c r="AT7" i="2535"/>
  <c r="AT30" i="2535" s="1"/>
  <c r="AT31" i="2535"/>
  <c r="EX7" i="2535"/>
  <c r="EX30" i="2535" s="1"/>
  <c r="EX31" i="2535"/>
  <c r="DN37" i="2535"/>
  <c r="JA37" i="2535"/>
  <c r="DY31" i="2535"/>
  <c r="DY7" i="2535"/>
  <c r="DY30" i="2535" s="1"/>
  <c r="IO31" i="2535"/>
  <c r="IO7" i="2535"/>
  <c r="EW31" i="2535"/>
  <c r="EW7" i="2535"/>
  <c r="EW30" i="2535" s="1"/>
  <c r="HE31" i="2535"/>
  <c r="HE7" i="2535"/>
  <c r="HE30" i="2535" s="1"/>
  <c r="IR31" i="2535"/>
  <c r="IR7" i="2535"/>
  <c r="IR30" i="2535" s="1"/>
  <c r="EW32" i="2535"/>
  <c r="GL7" i="2536"/>
  <c r="GL41" i="2536" s="1"/>
  <c r="GL48" i="2536"/>
  <c r="BZ7" i="2536"/>
  <c r="BZ41" i="2536" s="1"/>
  <c r="BZ53" i="2536"/>
  <c r="BC8" i="2535"/>
  <c r="CN32" i="2535"/>
  <c r="EK8" i="2535"/>
  <c r="HQ8" i="2535"/>
  <c r="FL8" i="2535"/>
  <c r="HH8" i="2535"/>
  <c r="BI8" i="2535"/>
  <c r="KA31" i="2535"/>
  <c r="BF32" i="2535"/>
  <c r="EN34" i="2535"/>
  <c r="FA34" i="2535"/>
  <c r="FN34" i="2535"/>
  <c r="GA34" i="2535"/>
  <c r="GN34" i="2535"/>
  <c r="HA34" i="2535"/>
  <c r="HN34" i="2535"/>
  <c r="JN36" i="2535"/>
  <c r="BF41" i="2535"/>
  <c r="BN41" i="2535" s="1"/>
  <c r="AP7" i="2536"/>
  <c r="AP41" i="2536" s="1"/>
  <c r="BC42" i="2536"/>
  <c r="BC7" i="2536"/>
  <c r="BC41" i="2536" s="1"/>
  <c r="DA8" i="2536"/>
  <c r="FN8" i="2536"/>
  <c r="GN8" i="2536"/>
  <c r="HA8" i="2536"/>
  <c r="HB7" i="2536"/>
  <c r="HB42" i="2536"/>
  <c r="HN8" i="2536"/>
  <c r="N46" i="2536"/>
  <c r="AA46" i="2536"/>
  <c r="AN46" i="2536"/>
  <c r="BA46" i="2536"/>
  <c r="BN46" i="2536"/>
  <c r="DA46" i="2536"/>
  <c r="DN46" i="2536"/>
  <c r="AC57" i="2536"/>
  <c r="GN14" i="2535"/>
  <c r="DY32" i="2535"/>
  <c r="EA9" i="2535"/>
  <c r="BA37" i="2535"/>
  <c r="EZ8" i="2535"/>
  <c r="IF8" i="2535"/>
  <c r="Y8" i="2535"/>
  <c r="BU8" i="2535"/>
  <c r="GN32" i="2535"/>
  <c r="DN14" i="2535"/>
  <c r="Z8" i="2535"/>
  <c r="AL8" i="2535"/>
  <c r="AX8" i="2535"/>
  <c r="BJ8" i="2535"/>
  <c r="BV8" i="2535"/>
  <c r="CH8" i="2535"/>
  <c r="CT8" i="2535"/>
  <c r="DF8" i="2535"/>
  <c r="DR8" i="2535"/>
  <c r="ED8" i="2535"/>
  <c r="EP8" i="2535"/>
  <c r="FB8" i="2535"/>
  <c r="FZ8" i="2535"/>
  <c r="GL8" i="2535"/>
  <c r="GX8" i="2535"/>
  <c r="HJ8" i="2535"/>
  <c r="HV8" i="2535"/>
  <c r="IH8" i="2535"/>
  <c r="AA9" i="2535"/>
  <c r="EA14" i="2535"/>
  <c r="DM32" i="2535"/>
  <c r="HB32" i="2535"/>
  <c r="JN32" i="2535"/>
  <c r="KA32" i="2535"/>
  <c r="AA33" i="2535"/>
  <c r="AN33" i="2535"/>
  <c r="BA33" i="2535"/>
  <c r="EA38" i="2535"/>
  <c r="EN38" i="2535"/>
  <c r="AA40" i="2535"/>
  <c r="AN40" i="2535"/>
  <c r="BA40" i="2535"/>
  <c r="BN40" i="2535"/>
  <c r="CA40" i="2535"/>
  <c r="CN40" i="2535"/>
  <c r="KA41" i="2535"/>
  <c r="FM7" i="2536"/>
  <c r="FM41" i="2536" s="1"/>
  <c r="F42" i="2536"/>
  <c r="F7" i="2536"/>
  <c r="F41" i="2536" s="1"/>
  <c r="R7" i="2536"/>
  <c r="R42" i="2536"/>
  <c r="BD7" i="2536"/>
  <c r="BD41" i="2536" s="1"/>
  <c r="GP42" i="2536"/>
  <c r="GP7" i="2536"/>
  <c r="HC42" i="2536"/>
  <c r="HC7" i="2536"/>
  <c r="HC41" i="2536" s="1"/>
  <c r="HH7" i="2536"/>
  <c r="HH41" i="2536" s="1"/>
  <c r="HH48" i="2536"/>
  <c r="EV42" i="2536"/>
  <c r="N44" i="2536"/>
  <c r="BA49" i="2536"/>
  <c r="CN49" i="2536"/>
  <c r="DA49" i="2536"/>
  <c r="DN49" i="2536"/>
  <c r="EA49" i="2536"/>
  <c r="FN49" i="2536"/>
  <c r="GA49" i="2536"/>
  <c r="N51" i="2536"/>
  <c r="GF7" i="2538"/>
  <c r="GF34" i="2538" s="1"/>
  <c r="IN20" i="2538"/>
  <c r="FT42" i="2536"/>
  <c r="FT7" i="2536"/>
  <c r="FT41" i="2536" s="1"/>
  <c r="FY48" i="2536"/>
  <c r="FY7" i="2536"/>
  <c r="FY41" i="2536" s="1"/>
  <c r="CX53" i="2539"/>
  <c r="CX7" i="2539"/>
  <c r="CX41" i="2539" s="1"/>
  <c r="EX32" i="2535"/>
  <c r="CO8" i="2535"/>
  <c r="FI8" i="2535"/>
  <c r="IC8" i="2535"/>
  <c r="BN14" i="2535"/>
  <c r="HN37" i="2535"/>
  <c r="FX8" i="2535"/>
  <c r="HT8" i="2535"/>
  <c r="GA9" i="2535"/>
  <c r="AK8" i="2535"/>
  <c r="GN9" i="2535"/>
  <c r="O8" i="2535"/>
  <c r="AM8" i="2535"/>
  <c r="AY8" i="2535"/>
  <c r="BK8" i="2535"/>
  <c r="BW8" i="2535"/>
  <c r="CI8" i="2535"/>
  <c r="CU8" i="2535"/>
  <c r="DG8" i="2535"/>
  <c r="DS8" i="2535"/>
  <c r="EE8" i="2535"/>
  <c r="EQ8" i="2535"/>
  <c r="FC8" i="2535"/>
  <c r="FO8" i="2535"/>
  <c r="GM8" i="2535"/>
  <c r="GY8" i="2535"/>
  <c r="HK8" i="2535"/>
  <c r="HW8" i="2535"/>
  <c r="II8" i="2535"/>
  <c r="AN9" i="2535"/>
  <c r="EN14" i="2535"/>
  <c r="KA30" i="2535"/>
  <c r="AH32" i="2535"/>
  <c r="AN32" i="2535" s="1"/>
  <c r="FU32" i="2535"/>
  <c r="GA32" i="2535" s="1"/>
  <c r="HE32" i="2535"/>
  <c r="IO32" i="2535"/>
  <c r="JA34" i="2535"/>
  <c r="JN34" i="2535"/>
  <c r="AA35" i="2535"/>
  <c r="AN35" i="2535"/>
  <c r="BA35" i="2535"/>
  <c r="BN35" i="2535"/>
  <c r="CA35" i="2535"/>
  <c r="GA38" i="2535"/>
  <c r="GN38" i="2535"/>
  <c r="HA38" i="2535"/>
  <c r="HN38" i="2535"/>
  <c r="IA38" i="2535"/>
  <c r="IN38" i="2535"/>
  <c r="CU7" i="2536"/>
  <c r="CU41" i="2536" s="1"/>
  <c r="EU7" i="2536"/>
  <c r="EU41" i="2536" s="1"/>
  <c r="S7" i="2536"/>
  <c r="S41" i="2536" s="1"/>
  <c r="X53" i="2536"/>
  <c r="AA53" i="2536" s="1"/>
  <c r="X7" i="2536"/>
  <c r="X41" i="2536" s="1"/>
  <c r="DW53" i="2536"/>
  <c r="EA53" i="2536" s="1"/>
  <c r="DW7" i="2536"/>
  <c r="DW41" i="2536" s="1"/>
  <c r="BN44" i="2536"/>
  <c r="CA44" i="2536"/>
  <c r="CN44" i="2536"/>
  <c r="EA44" i="2536"/>
  <c r="EN44" i="2536"/>
  <c r="FN46" i="2536"/>
  <c r="AN51" i="2536"/>
  <c r="BA51" i="2536"/>
  <c r="EK53" i="2539"/>
  <c r="EK7" i="2539"/>
  <c r="EK41" i="2539" s="1"/>
  <c r="S8" i="2535"/>
  <c r="GG8" i="2535"/>
  <c r="KA42" i="2535"/>
  <c r="GJ8" i="2535"/>
  <c r="AW8" i="2535"/>
  <c r="P8" i="2535"/>
  <c r="AB8" i="2535"/>
  <c r="AZ8" i="2535"/>
  <c r="BL8" i="2535"/>
  <c r="BX8" i="2535"/>
  <c r="CJ8" i="2535"/>
  <c r="CV8" i="2535"/>
  <c r="DH8" i="2535"/>
  <c r="DT8" i="2535"/>
  <c r="EF8" i="2535"/>
  <c r="ER8" i="2535"/>
  <c r="FD8" i="2535"/>
  <c r="FP8" i="2535"/>
  <c r="GB8" i="2535"/>
  <c r="GZ8" i="2535"/>
  <c r="HL8" i="2535"/>
  <c r="HX8" i="2535"/>
  <c r="IJ8" i="2535"/>
  <c r="IA32" i="2535"/>
  <c r="IA9" i="2535"/>
  <c r="JA14" i="2535"/>
  <c r="CO32" i="2535"/>
  <c r="IR32" i="2535"/>
  <c r="CN33" i="2535"/>
  <c r="DA33" i="2535"/>
  <c r="EA40" i="2535"/>
  <c r="EN40" i="2535"/>
  <c r="AA42" i="2535"/>
  <c r="AN42" i="2535"/>
  <c r="BA42" i="2535"/>
  <c r="BN42" i="2535"/>
  <c r="CA42" i="2535"/>
  <c r="CN42" i="2535"/>
  <c r="CV7" i="2536"/>
  <c r="CV41" i="2536" s="1"/>
  <c r="EX48" i="2536"/>
  <c r="EX7" i="2536"/>
  <c r="EX41" i="2536" s="1"/>
  <c r="FJ48" i="2536"/>
  <c r="FJ7" i="2536"/>
  <c r="FJ41" i="2536" s="1"/>
  <c r="L53" i="2536"/>
  <c r="N53" i="2536" s="1"/>
  <c r="L7" i="2536"/>
  <c r="L41" i="2536" s="1"/>
  <c r="CX53" i="2536"/>
  <c r="CX7" i="2536"/>
  <c r="CX41" i="2536" s="1"/>
  <c r="Z42" i="2536"/>
  <c r="GA44" i="2536"/>
  <c r="HA46" i="2536"/>
  <c r="HN46" i="2536"/>
  <c r="DA51" i="2536"/>
  <c r="EA51" i="2536"/>
  <c r="BN54" i="2536"/>
  <c r="DN54" i="2536"/>
  <c r="DA58" i="2536"/>
  <c r="CA9" i="2535"/>
  <c r="GA37" i="2535"/>
  <c r="BN9" i="2535"/>
  <c r="IN32" i="2535"/>
  <c r="IN9" i="2535"/>
  <c r="FN37" i="2535"/>
  <c r="FN14" i="2535"/>
  <c r="FN33" i="2535"/>
  <c r="GA33" i="2535"/>
  <c r="GN33" i="2535"/>
  <c r="HA33" i="2535"/>
  <c r="DN35" i="2535"/>
  <c r="EA35" i="2535"/>
  <c r="KA38" i="2535"/>
  <c r="HA40" i="2535"/>
  <c r="HN40" i="2535"/>
  <c r="IA40" i="2535"/>
  <c r="IN40" i="2535"/>
  <c r="GF42" i="2536"/>
  <c r="GF7" i="2536"/>
  <c r="BN48" i="2536"/>
  <c r="CN14" i="2536"/>
  <c r="CZ48" i="2536"/>
  <c r="CZ7" i="2536"/>
  <c r="CZ41" i="2536" s="1"/>
  <c r="BA23" i="2536"/>
  <c r="HA44" i="2536"/>
  <c r="HN44" i="2536"/>
  <c r="DZ48" i="2536"/>
  <c r="CA23" i="2536"/>
  <c r="DX53" i="2539"/>
  <c r="DX7" i="2539"/>
  <c r="DX41" i="2539" s="1"/>
  <c r="GN37" i="2535"/>
  <c r="FN42" i="2535"/>
  <c r="EA14" i="2536"/>
  <c r="EO48" i="2536"/>
  <c r="EO7" i="2536"/>
  <c r="FA14" i="2536"/>
  <c r="AC53" i="2536"/>
  <c r="AN53" i="2536" s="1"/>
  <c r="AC7" i="2536"/>
  <c r="AC41" i="2536" s="1"/>
  <c r="CA19" i="2536"/>
  <c r="D57" i="2536"/>
  <c r="Q57" i="2536"/>
  <c r="CN23" i="2536"/>
  <c r="EA23" i="2536"/>
  <c r="CY53" i="2539"/>
  <c r="CY7" i="2539"/>
  <c r="CY41" i="2539" s="1"/>
  <c r="BB53" i="2536"/>
  <c r="BN53" i="2536" s="1"/>
  <c r="BB7" i="2536"/>
  <c r="EX53" i="2539"/>
  <c r="EX7" i="2539"/>
  <c r="EX41" i="2539" s="1"/>
  <c r="AE8" i="2535"/>
  <c r="T8" i="2535"/>
  <c r="AF8" i="2535"/>
  <c r="AR8" i="2535"/>
  <c r="BD8" i="2535"/>
  <c r="BP8" i="2535"/>
  <c r="CB8" i="2535"/>
  <c r="CZ8" i="2535"/>
  <c r="DL8" i="2535"/>
  <c r="DX8" i="2535"/>
  <c r="EJ8" i="2535"/>
  <c r="EV8" i="2535"/>
  <c r="FH8" i="2535"/>
  <c r="FT8" i="2535"/>
  <c r="GF8" i="2535"/>
  <c r="GR8" i="2535"/>
  <c r="HD8" i="2535"/>
  <c r="HP8" i="2535"/>
  <c r="IB8" i="2535"/>
  <c r="DN9" i="2535"/>
  <c r="AN37" i="2535"/>
  <c r="AN14" i="2535"/>
  <c r="HA37" i="2535"/>
  <c r="HA14" i="2535"/>
  <c r="AT32" i="2535"/>
  <c r="BA32" i="2535" s="1"/>
  <c r="JN35" i="2535"/>
  <c r="KA35" i="2535"/>
  <c r="AA36" i="2535"/>
  <c r="AN36" i="2535"/>
  <c r="BA36" i="2535"/>
  <c r="BN36" i="2535"/>
  <c r="CA36" i="2535"/>
  <c r="CP37" i="2535"/>
  <c r="EL37" i="2535"/>
  <c r="EN37" i="2535" s="1"/>
  <c r="DH7" i="2536"/>
  <c r="DH41" i="2536" s="1"/>
  <c r="BW42" i="2536"/>
  <c r="BW7" i="2536"/>
  <c r="BW41" i="2536" s="1"/>
  <c r="AR48" i="2536"/>
  <c r="BA48" i="2536" s="1"/>
  <c r="AR7" i="2536"/>
  <c r="AR41" i="2536" s="1"/>
  <c r="AR66" i="2536" s="1"/>
  <c r="EC48" i="2536"/>
  <c r="EC7" i="2536"/>
  <c r="HA14" i="2536"/>
  <c r="DA57" i="2536"/>
  <c r="HA23" i="2536"/>
  <c r="AP42" i="2536"/>
  <c r="CJ42" i="2536"/>
  <c r="DN52" i="2536"/>
  <c r="EA52" i="2536"/>
  <c r="DN14" i="2536"/>
  <c r="BO8" i="2535"/>
  <c r="GS8" i="2535"/>
  <c r="EA39" i="2535"/>
  <c r="AX7" i="2536"/>
  <c r="AX41" i="2536" s="1"/>
  <c r="AX66" i="2536" s="1"/>
  <c r="AX42" i="2536"/>
  <c r="BX42" i="2536"/>
  <c r="BX7" i="2536"/>
  <c r="BX41" i="2536" s="1"/>
  <c r="AF48" i="2536"/>
  <c r="AN48" i="2536" s="1"/>
  <c r="AF7" i="2536"/>
  <c r="CF48" i="2536"/>
  <c r="CN48" i="2536" s="1"/>
  <c r="CF7" i="2536"/>
  <c r="CF41" i="2536" s="1"/>
  <c r="CR48" i="2536"/>
  <c r="CR7" i="2536"/>
  <c r="CR41" i="2536" s="1"/>
  <c r="DE48" i="2536"/>
  <c r="DE7" i="2536"/>
  <c r="DE41" i="2536" s="1"/>
  <c r="DQ48" i="2536"/>
  <c r="DQ7" i="2536"/>
  <c r="DQ41" i="2536" s="1"/>
  <c r="FP53" i="2536"/>
  <c r="GA53" i="2536" s="1"/>
  <c r="GA19" i="2536"/>
  <c r="FP7" i="2536"/>
  <c r="FP41" i="2536" s="1"/>
  <c r="DA43" i="2536"/>
  <c r="EN43" i="2536"/>
  <c r="CA45" i="2536"/>
  <c r="DN45" i="2536"/>
  <c r="GN41" i="2538"/>
  <c r="DG42" i="2536"/>
  <c r="DG7" i="2536"/>
  <c r="DG41" i="2536" s="1"/>
  <c r="AA37" i="2535"/>
  <c r="IN33" i="2535"/>
  <c r="EN39" i="2535"/>
  <c r="AN41" i="2535"/>
  <c r="BK42" i="2536"/>
  <c r="BK7" i="2536"/>
  <c r="BK41" i="2536" s="1"/>
  <c r="V8" i="2535"/>
  <c r="CD8" i="2535"/>
  <c r="DB8" i="2535"/>
  <c r="FJ8" i="2535"/>
  <c r="FV8" i="2535"/>
  <c r="GH8" i="2535"/>
  <c r="GT8" i="2535"/>
  <c r="HF8" i="2535"/>
  <c r="HR8" i="2535"/>
  <c r="ID8" i="2535"/>
  <c r="IP8" i="2535"/>
  <c r="JA8" i="2535" s="1"/>
  <c r="FA9" i="2535"/>
  <c r="JA9" i="2535"/>
  <c r="BN37" i="2535"/>
  <c r="CA37" i="2535"/>
  <c r="CA14" i="2535"/>
  <c r="IA37" i="2535"/>
  <c r="IA14" i="2535"/>
  <c r="AA34" i="2535"/>
  <c r="AN34" i="2535"/>
  <c r="BA34" i="2535"/>
  <c r="BN34" i="2535"/>
  <c r="DN36" i="2535"/>
  <c r="EA36" i="2535"/>
  <c r="KA37" i="2535"/>
  <c r="FN39" i="2535"/>
  <c r="GA39" i="2535"/>
  <c r="GN39" i="2535"/>
  <c r="HA39" i="2535"/>
  <c r="HN39" i="2535"/>
  <c r="IA39" i="2535"/>
  <c r="IN39" i="2535"/>
  <c r="N8" i="2536"/>
  <c r="DK7" i="2536"/>
  <c r="DK41" i="2536" s="1"/>
  <c r="DK42" i="2536"/>
  <c r="DX42" i="2536"/>
  <c r="DX7" i="2536"/>
  <c r="DX41" i="2536" s="1"/>
  <c r="G57" i="2536"/>
  <c r="AG57" i="2536"/>
  <c r="GA57" i="2536"/>
  <c r="FN43" i="2536"/>
  <c r="HA43" i="2536"/>
  <c r="HN43" i="2536"/>
  <c r="EN45" i="2536"/>
  <c r="GA45" i="2536"/>
  <c r="GN45" i="2536"/>
  <c r="HA45" i="2536"/>
  <c r="N47" i="2536"/>
  <c r="AA47" i="2536"/>
  <c r="CL53" i="2536"/>
  <c r="CN53" i="2536" s="1"/>
  <c r="HA57" i="2536"/>
  <c r="GA14" i="2535"/>
  <c r="P57" i="2536"/>
  <c r="BA14" i="2535"/>
  <c r="AA41" i="2535"/>
  <c r="EJ42" i="2536"/>
  <c r="EJ7" i="2536"/>
  <c r="EJ41" i="2536" s="1"/>
  <c r="W8" i="2535"/>
  <c r="AI8" i="2535"/>
  <c r="AU8" i="2535"/>
  <c r="BG8" i="2535"/>
  <c r="BS8" i="2535"/>
  <c r="CE8" i="2535"/>
  <c r="CQ8" i="2535"/>
  <c r="DC8" i="2535"/>
  <c r="DO8" i="2535"/>
  <c r="EM8" i="2535"/>
  <c r="FN32" i="2535"/>
  <c r="FN9" i="2535"/>
  <c r="CN37" i="2535"/>
  <c r="CN14" i="2535"/>
  <c r="IN37" i="2535"/>
  <c r="IN14" i="2535"/>
  <c r="FA36" i="2535"/>
  <c r="FN36" i="2535"/>
  <c r="GA36" i="2535"/>
  <c r="GN36" i="2535"/>
  <c r="HA36" i="2535"/>
  <c r="HN36" i="2535"/>
  <c r="IA36" i="2535"/>
  <c r="EA41" i="2535"/>
  <c r="EN41" i="2535"/>
  <c r="J7" i="2536"/>
  <c r="J41" i="2536" s="1"/>
  <c r="EL7" i="2536"/>
  <c r="EL41" i="2536" s="1"/>
  <c r="FH7" i="2536"/>
  <c r="FH41" i="2536" s="1"/>
  <c r="C7" i="2536"/>
  <c r="C42" i="2536"/>
  <c r="O42" i="2536"/>
  <c r="O7" i="2536"/>
  <c r="AA8" i="2536"/>
  <c r="AM7" i="2536"/>
  <c r="AM42" i="2536"/>
  <c r="BA47" i="2536"/>
  <c r="CN47" i="2536"/>
  <c r="DN47" i="2536"/>
  <c r="EA47" i="2536"/>
  <c r="EN47" i="2536"/>
  <c r="FN47" i="2536"/>
  <c r="GA47" i="2536"/>
  <c r="DB48" i="2536"/>
  <c r="EN50" i="2536"/>
  <c r="FA50" i="2536"/>
  <c r="AN55" i="2536"/>
  <c r="HN55" i="2536"/>
  <c r="BA57" i="2536"/>
  <c r="GA60" i="2536"/>
  <c r="DJ42" i="2539"/>
  <c r="DJ7" i="2539"/>
  <c r="DJ41" i="2539" s="1"/>
  <c r="DW7" i="2539"/>
  <c r="DW41" i="2539" s="1"/>
  <c r="DW42" i="2539"/>
  <c r="EJ42" i="2539"/>
  <c r="EN42" i="2539" s="1"/>
  <c r="EJ7" i="2539"/>
  <c r="EJ41" i="2539" s="1"/>
  <c r="GB7" i="2539"/>
  <c r="GB48" i="2539"/>
  <c r="GN14" i="2539"/>
  <c r="GZ48" i="2539"/>
  <c r="AQ8" i="2535"/>
  <c r="AA14" i="2535"/>
  <c r="HN14" i="2535"/>
  <c r="GV8" i="2535"/>
  <c r="DN34" i="2535"/>
  <c r="AA38" i="2535"/>
  <c r="AN38" i="2535"/>
  <c r="BA38" i="2535"/>
  <c r="BN38" i="2535"/>
  <c r="CA38" i="2535"/>
  <c r="CN38" i="2535"/>
  <c r="FN41" i="2535"/>
  <c r="GA41" i="2535"/>
  <c r="GN41" i="2535"/>
  <c r="HA41" i="2535"/>
  <c r="HN41" i="2535"/>
  <c r="IA41" i="2535"/>
  <c r="IN41" i="2535"/>
  <c r="BN8" i="2536"/>
  <c r="BO42" i="2536"/>
  <c r="BO7" i="2536"/>
  <c r="CA8" i="2536"/>
  <c r="CM7" i="2536"/>
  <c r="CM41" i="2536" s="1"/>
  <c r="CM42" i="2536"/>
  <c r="CT53" i="2536"/>
  <c r="CT7" i="2536"/>
  <c r="CT41" i="2536" s="1"/>
  <c r="BT48" i="2536"/>
  <c r="CA48" i="2536" s="1"/>
  <c r="HN53" i="2536"/>
  <c r="CB7" i="2536"/>
  <c r="EP7" i="2536"/>
  <c r="EP41" i="2536" s="1"/>
  <c r="DN8" i="2536"/>
  <c r="DO42" i="2536"/>
  <c r="DO7" i="2536"/>
  <c r="EA8" i="2536"/>
  <c r="EM42" i="2536"/>
  <c r="EM7" i="2536"/>
  <c r="EM41" i="2536" s="1"/>
  <c r="EY42" i="2536"/>
  <c r="EY7" i="2536"/>
  <c r="EY41" i="2536" s="1"/>
  <c r="FK42" i="2536"/>
  <c r="FK7" i="2536"/>
  <c r="FK41" i="2536" s="1"/>
  <c r="FW42" i="2536"/>
  <c r="FW7" i="2536"/>
  <c r="FW41" i="2536" s="1"/>
  <c r="GI42" i="2536"/>
  <c r="GI7" i="2536"/>
  <c r="GI41" i="2536" s="1"/>
  <c r="HN14" i="2536"/>
  <c r="DA19" i="2536"/>
  <c r="DN19" i="2536"/>
  <c r="W57" i="2536"/>
  <c r="AJ57" i="2536"/>
  <c r="FN57" i="2536"/>
  <c r="FN23" i="2536"/>
  <c r="GN43" i="2536"/>
  <c r="FN45" i="2536"/>
  <c r="DA47" i="2536"/>
  <c r="CS48" i="2536"/>
  <c r="ED48" i="2536"/>
  <c r="N55" i="2536"/>
  <c r="AA55" i="2536"/>
  <c r="CT43" i="2538"/>
  <c r="CT42" i="2538" s="1"/>
  <c r="CT40" i="2538" s="1"/>
  <c r="CT38" i="2538" s="1"/>
  <c r="CT54" i="2538"/>
  <c r="CT53" i="2538" s="1"/>
  <c r="DG54" i="2538"/>
  <c r="DG53" i="2538" s="1"/>
  <c r="DG43" i="2538"/>
  <c r="DG42" i="2538" s="1"/>
  <c r="DG40" i="2538" s="1"/>
  <c r="DG38" i="2538" s="1"/>
  <c r="DT54" i="2538"/>
  <c r="DT53" i="2538" s="1"/>
  <c r="DT43" i="2538"/>
  <c r="DT42" i="2538" s="1"/>
  <c r="DT40" i="2538" s="1"/>
  <c r="DT38" i="2538" s="1"/>
  <c r="EG54" i="2538"/>
  <c r="EG53" i="2538" s="1"/>
  <c r="EG81" i="2538" s="1"/>
  <c r="EG43" i="2538"/>
  <c r="EG42" i="2538" s="1"/>
  <c r="EG40" i="2538" s="1"/>
  <c r="EG38" i="2538" s="1"/>
  <c r="ET43" i="2538"/>
  <c r="ET42" i="2538" s="1"/>
  <c r="ET40" i="2538" s="1"/>
  <c r="ET38" i="2538" s="1"/>
  <c r="ET54" i="2538"/>
  <c r="ET53" i="2538" s="1"/>
  <c r="ET81" i="2538" s="1"/>
  <c r="BP7" i="2536"/>
  <c r="BP41" i="2536" s="1"/>
  <c r="EQ7" i="2536"/>
  <c r="EQ41" i="2536" s="1"/>
  <c r="BG42" i="2536"/>
  <c r="BG7" i="2536"/>
  <c r="BG41" i="2536" s="1"/>
  <c r="BS42" i="2536"/>
  <c r="BS7" i="2536"/>
  <c r="BS41" i="2536" s="1"/>
  <c r="CE42" i="2536"/>
  <c r="CE7" i="2536"/>
  <c r="CE41" i="2536" s="1"/>
  <c r="CQ42" i="2536"/>
  <c r="CQ7" i="2536"/>
  <c r="CQ41" i="2536" s="1"/>
  <c r="DC42" i="2536"/>
  <c r="DC7" i="2536"/>
  <c r="DC41" i="2536" s="1"/>
  <c r="EN8" i="2536"/>
  <c r="N14" i="2536"/>
  <c r="EA19" i="2536"/>
  <c r="K57" i="2536"/>
  <c r="X57" i="2536"/>
  <c r="GA23" i="2536"/>
  <c r="S42" i="2536"/>
  <c r="N50" i="2536"/>
  <c r="BN55" i="2536"/>
  <c r="U57" i="2536"/>
  <c r="AA59" i="2536"/>
  <c r="BA59" i="2536"/>
  <c r="BN59" i="2536"/>
  <c r="CA59" i="2536"/>
  <c r="AN63" i="2536"/>
  <c r="FG54" i="2538"/>
  <c r="FG53" i="2538" s="1"/>
  <c r="FG81" i="2538" s="1"/>
  <c r="G7" i="2536"/>
  <c r="G41" i="2536" s="1"/>
  <c r="AE7" i="2536"/>
  <c r="AQ7" i="2536"/>
  <c r="AQ41" i="2536" s="1"/>
  <c r="AQ66" i="2536" s="1"/>
  <c r="EE7" i="2536"/>
  <c r="EE41" i="2536" s="1"/>
  <c r="AU42" i="2536"/>
  <c r="AU7" i="2536"/>
  <c r="AU41" i="2536" s="1"/>
  <c r="AU66" i="2536" s="1"/>
  <c r="FA8" i="2536"/>
  <c r="AA14" i="2536"/>
  <c r="AN14" i="2536"/>
  <c r="BA14" i="2536"/>
  <c r="EN53" i="2536"/>
  <c r="EN19" i="2536"/>
  <c r="L57" i="2536"/>
  <c r="HN57" i="2536"/>
  <c r="HN23" i="2536"/>
  <c r="AK42" i="2536"/>
  <c r="DA44" i="2536"/>
  <c r="DN44" i="2536"/>
  <c r="DO48" i="2536"/>
  <c r="N54" i="2536"/>
  <c r="AA54" i="2536"/>
  <c r="V57" i="2536"/>
  <c r="DA59" i="2536"/>
  <c r="DS7" i="2536"/>
  <c r="DS41" i="2536" s="1"/>
  <c r="BN14" i="2536"/>
  <c r="FA53" i="2536"/>
  <c r="FA19" i="2536"/>
  <c r="BB42" i="2536"/>
  <c r="AN43" i="2536"/>
  <c r="N45" i="2536"/>
  <c r="CA46" i="2536"/>
  <c r="CN46" i="2536"/>
  <c r="FA47" i="2536"/>
  <c r="FB48" i="2536"/>
  <c r="GO48" i="2536"/>
  <c r="EN49" i="2536"/>
  <c r="FA49" i="2536"/>
  <c r="BA50" i="2536"/>
  <c r="BN50" i="2536"/>
  <c r="BA54" i="2536"/>
  <c r="GN55" i="2536"/>
  <c r="HA55" i="2536"/>
  <c r="EA59" i="2536"/>
  <c r="EN59" i="2536"/>
  <c r="FA59" i="2536"/>
  <c r="FN59" i="2536"/>
  <c r="AA61" i="2536"/>
  <c r="AN61" i="2536"/>
  <c r="BA61" i="2536"/>
  <c r="CN61" i="2536"/>
  <c r="DA61" i="2536"/>
  <c r="GA8" i="2536"/>
  <c r="HB101" i="2539"/>
  <c r="HN82" i="2539"/>
  <c r="HB102" i="2539"/>
  <c r="HN83" i="2539"/>
  <c r="HB105" i="2539"/>
  <c r="HN105" i="2539" s="1"/>
  <c r="HN86" i="2539"/>
  <c r="HB104" i="2539"/>
  <c r="HN85" i="2539"/>
  <c r="CA14" i="2536"/>
  <c r="FB53" i="2536"/>
  <c r="FN53" i="2536" s="1"/>
  <c r="FN19" i="2536"/>
  <c r="AA23" i="2536"/>
  <c r="AN23" i="2536"/>
  <c r="AA52" i="2536"/>
  <c r="AN52" i="2536"/>
  <c r="CA54" i="2536"/>
  <c r="DA54" i="2536"/>
  <c r="CB57" i="2536"/>
  <c r="CN57" i="2536" s="1"/>
  <c r="GN59" i="2536"/>
  <c r="GA61" i="2536"/>
  <c r="GN61" i="2536"/>
  <c r="GO42" i="2538"/>
  <c r="GO40" i="2538" s="1"/>
  <c r="AJ7" i="2536"/>
  <c r="AJ41" i="2536" s="1"/>
  <c r="AW7" i="2536"/>
  <c r="AW41" i="2536" s="1"/>
  <c r="AW66" i="2536" s="1"/>
  <c r="AN8" i="2536"/>
  <c r="N19" i="2536"/>
  <c r="E57" i="2536"/>
  <c r="FO42" i="2536"/>
  <c r="FA46" i="2536"/>
  <c r="CA51" i="2536"/>
  <c r="CN51" i="2536"/>
  <c r="CN52" i="2536"/>
  <c r="DA52" i="2536"/>
  <c r="BO53" i="2536"/>
  <c r="AA58" i="2536"/>
  <c r="AN7" i="2537"/>
  <c r="BN19" i="2539"/>
  <c r="M7" i="2536"/>
  <c r="M41" i="2536" s="1"/>
  <c r="BA8" i="2536"/>
  <c r="AO42" i="2536"/>
  <c r="EN14" i="2536"/>
  <c r="AN19" i="2536"/>
  <c r="BA19" i="2536"/>
  <c r="DA23" i="2536"/>
  <c r="DN23" i="2536"/>
  <c r="DN43" i="2536"/>
  <c r="EA43" i="2536"/>
  <c r="CN45" i="2536"/>
  <c r="DA45" i="2536"/>
  <c r="DN51" i="2536"/>
  <c r="GN53" i="2536"/>
  <c r="HA53" i="2536"/>
  <c r="CN58" i="2536"/>
  <c r="BA62" i="2536"/>
  <c r="CN62" i="2536"/>
  <c r="DA62" i="2536"/>
  <c r="EA62" i="2536"/>
  <c r="EN62" i="2536"/>
  <c r="FA62" i="2536"/>
  <c r="FN62" i="2536"/>
  <c r="HL7" i="2539"/>
  <c r="HL41" i="2539" s="1"/>
  <c r="HL48" i="2539"/>
  <c r="CN8" i="2536"/>
  <c r="HG42" i="2536"/>
  <c r="HG7" i="2536"/>
  <c r="HG41" i="2536" s="1"/>
  <c r="FN14" i="2536"/>
  <c r="EN57" i="2536"/>
  <c r="EN23" i="2536"/>
  <c r="AN49" i="2536"/>
  <c r="GA50" i="2536"/>
  <c r="GN50" i="2536"/>
  <c r="HA50" i="2536"/>
  <c r="HN50" i="2536"/>
  <c r="GA52" i="2536"/>
  <c r="GN52" i="2536"/>
  <c r="EA58" i="2536"/>
  <c r="EN58" i="2536"/>
  <c r="FA58" i="2536"/>
  <c r="FN58" i="2536"/>
  <c r="DN60" i="2536"/>
  <c r="FA60" i="2536"/>
  <c r="FN60" i="2536"/>
  <c r="FA70" i="2536"/>
  <c r="HA7" i="2537"/>
  <c r="HN7" i="2537"/>
  <c r="GN30" i="2537"/>
  <c r="GU42" i="2536"/>
  <c r="GU7" i="2536"/>
  <c r="GU41" i="2536" s="1"/>
  <c r="GA14" i="2536"/>
  <c r="GN14" i="2536"/>
  <c r="CN19" i="2536"/>
  <c r="AI57" i="2536"/>
  <c r="FA57" i="2536"/>
  <c r="FA23" i="2536"/>
  <c r="BN47" i="2536"/>
  <c r="CA47" i="2536"/>
  <c r="BN49" i="2536"/>
  <c r="CA49" i="2536"/>
  <c r="GA51" i="2536"/>
  <c r="GN51" i="2536"/>
  <c r="HA51" i="2536"/>
  <c r="HN52" i="2536"/>
  <c r="HA58" i="2536"/>
  <c r="HN58" i="2536"/>
  <c r="GN60" i="2536"/>
  <c r="GA70" i="2536"/>
  <c r="HN70" i="2536"/>
  <c r="BN62" i="2536"/>
  <c r="CA62" i="2536"/>
  <c r="N30" i="2537"/>
  <c r="AN30" i="2537"/>
  <c r="DA8" i="2538"/>
  <c r="DN8" i="2538"/>
  <c r="EA8" i="2538"/>
  <c r="FA8" i="2538"/>
  <c r="FN8" i="2538"/>
  <c r="FO34" i="2538"/>
  <c r="GA8" i="2538"/>
  <c r="CN20" i="2538"/>
  <c r="GA24" i="2538"/>
  <c r="GN24" i="2538"/>
  <c r="IA24" i="2538"/>
  <c r="AE57" i="2539"/>
  <c r="N59" i="2536"/>
  <c r="AN60" i="2536"/>
  <c r="BN61" i="2536"/>
  <c r="CA61" i="2536"/>
  <c r="AA70" i="2536"/>
  <c r="AN70" i="2536"/>
  <c r="BA70" i="2536"/>
  <c r="BN70" i="2536"/>
  <c r="P39" i="2537"/>
  <c r="AC39" i="2537"/>
  <c r="GN8" i="2538"/>
  <c r="HN8" i="2538"/>
  <c r="HO34" i="2538"/>
  <c r="IA8" i="2538"/>
  <c r="AA17" i="2538"/>
  <c r="CA17" i="2538"/>
  <c r="DN20" i="2538"/>
  <c r="EA20" i="2538"/>
  <c r="EN20" i="2538"/>
  <c r="HB53" i="2538"/>
  <c r="HC54" i="2538"/>
  <c r="HC53" i="2538" s="1"/>
  <c r="EN54" i="2536"/>
  <c r="FA54" i="2536"/>
  <c r="FN54" i="2536"/>
  <c r="GA54" i="2536"/>
  <c r="EN55" i="2536"/>
  <c r="FA55" i="2536"/>
  <c r="FN55" i="2536"/>
  <c r="GA55" i="2536"/>
  <c r="N58" i="2536"/>
  <c r="AN59" i="2536"/>
  <c r="BN60" i="2536"/>
  <c r="CA60" i="2536"/>
  <c r="CN70" i="2536"/>
  <c r="D39" i="2537"/>
  <c r="Q39" i="2537"/>
  <c r="AD39" i="2537"/>
  <c r="IB34" i="2538"/>
  <c r="IN7" i="2538"/>
  <c r="IN8" i="2538"/>
  <c r="DN17" i="2538"/>
  <c r="DN47" i="2538" s="1"/>
  <c r="GA20" i="2538"/>
  <c r="GN20" i="2538"/>
  <c r="HA20" i="2538"/>
  <c r="HN20" i="2538"/>
  <c r="IA20" i="2538"/>
  <c r="EN62" i="2538"/>
  <c r="EC54" i="2538"/>
  <c r="E39" i="2537"/>
  <c r="R39" i="2537"/>
  <c r="CA30" i="2537"/>
  <c r="CN30" i="2537"/>
  <c r="DA30" i="2537"/>
  <c r="DN30" i="2537"/>
  <c r="EA30" i="2537"/>
  <c r="EN30" i="2537"/>
  <c r="N8" i="2538"/>
  <c r="AA8" i="2538"/>
  <c r="EA17" i="2538"/>
  <c r="EA47" i="2538" s="1"/>
  <c r="GO42" i="2536"/>
  <c r="O48" i="2536"/>
  <c r="AA48" i="2536" s="1"/>
  <c r="HN49" i="2536"/>
  <c r="FN51" i="2536"/>
  <c r="BN58" i="2536"/>
  <c r="CA58" i="2536"/>
  <c r="EA61" i="2536"/>
  <c r="EN61" i="2536"/>
  <c r="FA61" i="2536"/>
  <c r="FN61" i="2536"/>
  <c r="GN62" i="2536"/>
  <c r="AA7" i="2537"/>
  <c r="F39" i="2537"/>
  <c r="FN30" i="2537"/>
  <c r="GA30" i="2537"/>
  <c r="GR7" i="2538"/>
  <c r="GR34" i="2538" s="1"/>
  <c r="BI35" i="2538"/>
  <c r="EW53" i="2539"/>
  <c r="EW7" i="2539"/>
  <c r="EW41" i="2539" s="1"/>
  <c r="FJ53" i="2539"/>
  <c r="FJ7" i="2539"/>
  <c r="FJ41" i="2539" s="1"/>
  <c r="GJ53" i="2539"/>
  <c r="GJ7" i="2539"/>
  <c r="GJ41" i="2539" s="1"/>
  <c r="S7" i="2538"/>
  <c r="GR71" i="2538"/>
  <c r="GR43" i="2538"/>
  <c r="GR42" i="2538" s="1"/>
  <c r="GR40" i="2538" s="1"/>
  <c r="GR38" i="2538" s="1"/>
  <c r="HU71" i="2538"/>
  <c r="HU53" i="2538" s="1"/>
  <c r="HU43" i="2538"/>
  <c r="HU42" i="2538" s="1"/>
  <c r="HU40" i="2538" s="1"/>
  <c r="HU38" i="2538" s="1"/>
  <c r="HU35" i="2538" s="1"/>
  <c r="DP48" i="2539"/>
  <c r="DP7" i="2539"/>
  <c r="DP41" i="2539" s="1"/>
  <c r="FP7" i="2539"/>
  <c r="FP41" i="2539" s="1"/>
  <c r="FP48" i="2539"/>
  <c r="GC48" i="2539"/>
  <c r="GC7" i="2539"/>
  <c r="GC41" i="2539" s="1"/>
  <c r="GO48" i="2539"/>
  <c r="GO7" i="2539"/>
  <c r="HA14" i="2539"/>
  <c r="HM48" i="2539"/>
  <c r="HM7" i="2539"/>
  <c r="HM41" i="2539" s="1"/>
  <c r="AA19" i="2539"/>
  <c r="BO53" i="2539"/>
  <c r="BO7" i="2539"/>
  <c r="CA19" i="2539"/>
  <c r="FA52" i="2536"/>
  <c r="GN58" i="2536"/>
  <c r="HN59" i="2536"/>
  <c r="EN7" i="2537"/>
  <c r="G7" i="2538"/>
  <c r="HI7" i="2538"/>
  <c r="HI34" i="2538" s="1"/>
  <c r="GF71" i="2538"/>
  <c r="GF43" i="2538"/>
  <c r="GF42" i="2538" s="1"/>
  <c r="GF40" i="2538" s="1"/>
  <c r="GF38" i="2538" s="1"/>
  <c r="CD48" i="2539"/>
  <c r="CD7" i="2539"/>
  <c r="CD41" i="2539" s="1"/>
  <c r="CQ48" i="2539"/>
  <c r="CQ7" i="2539"/>
  <c r="CQ41" i="2539" s="1"/>
  <c r="DD48" i="2539"/>
  <c r="DD7" i="2539"/>
  <c r="DD41" i="2539" s="1"/>
  <c r="CN53" i="2539"/>
  <c r="FN7" i="2537"/>
  <c r="GA7" i="2537"/>
  <c r="H7" i="2538"/>
  <c r="AN14" i="2538"/>
  <c r="CA24" i="2538"/>
  <c r="AA19" i="2536"/>
  <c r="N23" i="2536"/>
  <c r="BA55" i="2536"/>
  <c r="N62" i="2536"/>
  <c r="Y39" i="2537"/>
  <c r="DB7" i="2538"/>
  <c r="BA8" i="2538"/>
  <c r="BN8" i="2538"/>
  <c r="CA8" i="2538"/>
  <c r="FY7" i="2538"/>
  <c r="FY34" i="2538" s="1"/>
  <c r="GJ35" i="2538"/>
  <c r="N24" i="2538"/>
  <c r="AA24" i="2538"/>
  <c r="CN24" i="2538"/>
  <c r="DN24" i="2538"/>
  <c r="EA24" i="2538"/>
  <c r="EW42" i="2538"/>
  <c r="EW40" i="2538" s="1"/>
  <c r="EW38" i="2538" s="1"/>
  <c r="EW35" i="2538" s="1"/>
  <c r="CX43" i="2538"/>
  <c r="CX42" i="2538" s="1"/>
  <c r="CX40" i="2538" s="1"/>
  <c r="CX38" i="2538" s="1"/>
  <c r="CX54" i="2538"/>
  <c r="CX53" i="2538" s="1"/>
  <c r="DK43" i="2538"/>
  <c r="DK42" i="2538" s="1"/>
  <c r="DK40" i="2538" s="1"/>
  <c r="DK38" i="2538" s="1"/>
  <c r="DK54" i="2538"/>
  <c r="DK53" i="2538" s="1"/>
  <c r="GA71" i="2538"/>
  <c r="GN57" i="2536"/>
  <c r="GN23" i="2536"/>
  <c r="CN54" i="2536"/>
  <c r="CA55" i="2536"/>
  <c r="CN55" i="2536"/>
  <c r="N61" i="2536"/>
  <c r="AN62" i="2536"/>
  <c r="AN64" i="2536"/>
  <c r="M39" i="2537"/>
  <c r="BC7" i="2538"/>
  <c r="BC35" i="2538" s="1"/>
  <c r="BP7" i="2538"/>
  <c r="BP35" i="2538" s="1"/>
  <c r="CB7" i="2538"/>
  <c r="CN8" i="2538"/>
  <c r="CZ7" i="2538"/>
  <c r="AA20" i="2538"/>
  <c r="AN20" i="2538"/>
  <c r="IH38" i="2538"/>
  <c r="IH35" i="2538" s="1"/>
  <c r="HN44" i="2538"/>
  <c r="FD57" i="2539"/>
  <c r="N7" i="2537"/>
  <c r="BB7" i="2538"/>
  <c r="HB7" i="2538"/>
  <c r="IN44" i="2538"/>
  <c r="CU54" i="2538"/>
  <c r="CU53" i="2538" s="1"/>
  <c r="CU43" i="2538"/>
  <c r="CU42" i="2538" s="1"/>
  <c r="CU40" i="2538" s="1"/>
  <c r="CU38" i="2538" s="1"/>
  <c r="DH54" i="2538"/>
  <c r="DH53" i="2538" s="1"/>
  <c r="DH43" i="2538"/>
  <c r="DH42" i="2538" s="1"/>
  <c r="DH40" i="2538" s="1"/>
  <c r="DH38" i="2538" s="1"/>
  <c r="EH43" i="2538"/>
  <c r="EH42" i="2538" s="1"/>
  <c r="EH40" i="2538" s="1"/>
  <c r="EH38" i="2538" s="1"/>
  <c r="EH35" i="2538" s="1"/>
  <c r="EH54" i="2538"/>
  <c r="EH53" i="2538" s="1"/>
  <c r="EH81" i="2538" s="1"/>
  <c r="FH54" i="2538"/>
  <c r="FH53" i="2538" s="1"/>
  <c r="FH81" i="2538" s="1"/>
  <c r="GG71" i="2538"/>
  <c r="GG43" i="2538"/>
  <c r="GG42" i="2538" s="1"/>
  <c r="GG40" i="2538" s="1"/>
  <c r="GG38" i="2538" s="1"/>
  <c r="GS71" i="2538"/>
  <c r="GS53" i="2538" s="1"/>
  <c r="GS43" i="2538"/>
  <c r="GS42" i="2538" s="1"/>
  <c r="GS40" i="2538" s="1"/>
  <c r="GS38" i="2538" s="1"/>
  <c r="GS35" i="2538" s="1"/>
  <c r="GS36" i="2538" s="1"/>
  <c r="EH7" i="2539"/>
  <c r="EH41" i="2539" s="1"/>
  <c r="O7" i="2539"/>
  <c r="O33" i="2539" s="1"/>
  <c r="O48" i="2539"/>
  <c r="AA14" i="2539"/>
  <c r="AM7" i="2539"/>
  <c r="AM41" i="2539" s="1"/>
  <c r="AM48" i="2539"/>
  <c r="AY7" i="2539"/>
  <c r="AY41" i="2539" s="1"/>
  <c r="AY48" i="2539"/>
  <c r="BL48" i="2539"/>
  <c r="BL7" i="2539"/>
  <c r="BL41" i="2539" s="1"/>
  <c r="BY48" i="2539"/>
  <c r="BY7" i="2539"/>
  <c r="BY41" i="2539" s="1"/>
  <c r="FX48" i="2539"/>
  <c r="FX7" i="2539"/>
  <c r="FX41" i="2539" s="1"/>
  <c r="AA30" i="2537"/>
  <c r="DA24" i="2538"/>
  <c r="FQ38" i="2538"/>
  <c r="FQ35" i="2538" s="1"/>
  <c r="FY40" i="2538"/>
  <c r="FY38" i="2538" s="1"/>
  <c r="EC42" i="2538"/>
  <c r="EC40" i="2538" s="1"/>
  <c r="EC38" i="2538" s="1"/>
  <c r="EC35" i="2538" s="1"/>
  <c r="DO47" i="2538"/>
  <c r="FO47" i="2538"/>
  <c r="DR54" i="2538"/>
  <c r="DR53" i="2538" s="1"/>
  <c r="CV54" i="2538"/>
  <c r="CV53" i="2538" s="1"/>
  <c r="CV43" i="2538"/>
  <c r="CV42" i="2538" s="1"/>
  <c r="CV40" i="2538" s="1"/>
  <c r="H7" i="2539"/>
  <c r="H41" i="2539" s="1"/>
  <c r="EI7" i="2539"/>
  <c r="EI41" i="2539" s="1"/>
  <c r="L42" i="2539"/>
  <c r="L7" i="2539"/>
  <c r="L41" i="2539" s="1"/>
  <c r="Y42" i="2539"/>
  <c r="Y7" i="2539"/>
  <c r="Y41" i="2539" s="1"/>
  <c r="C7" i="2539"/>
  <c r="C41" i="2539" s="1"/>
  <c r="C48" i="2539"/>
  <c r="P7" i="2539"/>
  <c r="P41" i="2539" s="1"/>
  <c r="P48" i="2539"/>
  <c r="AB7" i="2539"/>
  <c r="AB33" i="2539" s="1"/>
  <c r="AB48" i="2539"/>
  <c r="AN14" i="2539"/>
  <c r="AZ7" i="2539"/>
  <c r="AZ41" i="2539" s="1"/>
  <c r="AZ48" i="2539"/>
  <c r="BA17" i="2538"/>
  <c r="BN17" i="2538"/>
  <c r="FZ40" i="2538"/>
  <c r="FZ38" i="2538" s="1"/>
  <c r="CW54" i="2538"/>
  <c r="CW53" i="2538" s="1"/>
  <c r="CW43" i="2538"/>
  <c r="CW42" i="2538" s="1"/>
  <c r="CW40" i="2538" s="1"/>
  <c r="CW38" i="2538" s="1"/>
  <c r="M42" i="2539"/>
  <c r="M7" i="2539"/>
  <c r="M41" i="2539" s="1"/>
  <c r="D7" i="2539"/>
  <c r="D41" i="2539" s="1"/>
  <c r="D48" i="2539"/>
  <c r="EN14" i="2539"/>
  <c r="CQ7" i="2538"/>
  <c r="BH35" i="2538"/>
  <c r="HA41" i="2538"/>
  <c r="HY42" i="2538"/>
  <c r="HY40" i="2538" s="1"/>
  <c r="HY38" i="2538" s="1"/>
  <c r="HY35" i="2538" s="1"/>
  <c r="FR54" i="2538"/>
  <c r="FR53" i="2538" s="1"/>
  <c r="FR81" i="2538" s="1"/>
  <c r="DQ54" i="2538"/>
  <c r="EA62" i="2538"/>
  <c r="IN75" i="2538"/>
  <c r="EZ7" i="2539"/>
  <c r="EZ41" i="2539" s="1"/>
  <c r="GD42" i="2539"/>
  <c r="GD7" i="2539"/>
  <c r="GD41" i="2539" s="1"/>
  <c r="GQ7" i="2539"/>
  <c r="GQ41" i="2539" s="1"/>
  <c r="GQ42" i="2539"/>
  <c r="HD42" i="2539"/>
  <c r="HD7" i="2539"/>
  <c r="HD41" i="2539" s="1"/>
  <c r="FD7" i="2539"/>
  <c r="FD41" i="2539" s="1"/>
  <c r="FD48" i="2539"/>
  <c r="FQ48" i="2539"/>
  <c r="FQ7" i="2539"/>
  <c r="FQ41" i="2539" s="1"/>
  <c r="AN53" i="2539"/>
  <c r="AO53" i="2539"/>
  <c r="BA53" i="2539" s="1"/>
  <c r="BA19" i="2539"/>
  <c r="CN19" i="2539"/>
  <c r="EN17" i="2538"/>
  <c r="EN47" i="2538" s="1"/>
  <c r="FN20" i="2538"/>
  <c r="HN41" i="2538"/>
  <c r="GW42" i="2538"/>
  <c r="GW40" i="2538" s="1"/>
  <c r="GW38" i="2538" s="1"/>
  <c r="GW35" i="2538" s="1"/>
  <c r="GB47" i="2538"/>
  <c r="GN47" i="2538" s="1"/>
  <c r="EA57" i="2538"/>
  <c r="FN57" i="2538"/>
  <c r="FO54" i="2538"/>
  <c r="FO43" i="2538"/>
  <c r="FO42" i="2538" s="1"/>
  <c r="FO40" i="2538" s="1"/>
  <c r="GA57" i="2538"/>
  <c r="GM54" i="2538"/>
  <c r="GM53" i="2538" s="1"/>
  <c r="DA62" i="2538"/>
  <c r="FN71" i="2538"/>
  <c r="DM71" i="2538"/>
  <c r="DM43" i="2538"/>
  <c r="DM42" i="2538" s="1"/>
  <c r="DM40" i="2538" s="1"/>
  <c r="DM38" i="2538" s="1"/>
  <c r="GE42" i="2539"/>
  <c r="GE7" i="2539"/>
  <c r="GE41" i="2539" s="1"/>
  <c r="HE42" i="2539"/>
  <c r="HE7" i="2539"/>
  <c r="HE41" i="2539" s="1"/>
  <c r="EF48" i="2539"/>
  <c r="EF7" i="2539"/>
  <c r="EF41" i="2539" s="1"/>
  <c r="ER7" i="2539"/>
  <c r="ER41" i="2539" s="1"/>
  <c r="ER48" i="2539"/>
  <c r="FE48" i="2539"/>
  <c r="FE7" i="2539"/>
  <c r="FE41" i="2539" s="1"/>
  <c r="BQ53" i="2539"/>
  <c r="BQ7" i="2539"/>
  <c r="BQ41" i="2539" s="1"/>
  <c r="DA19" i="2539"/>
  <c r="DM53" i="2539"/>
  <c r="DM7" i="2539"/>
  <c r="DM41" i="2539" s="1"/>
  <c r="EO7" i="2538"/>
  <c r="FA17" i="2538"/>
  <c r="FA47" i="2538" s="1"/>
  <c r="BJ35" i="2538"/>
  <c r="BW35" i="2538"/>
  <c r="HC40" i="2538"/>
  <c r="HC38" i="2538" s="1"/>
  <c r="HC35" i="2538" s="1"/>
  <c r="HO40" i="2538"/>
  <c r="IA41" i="2538"/>
  <c r="IM40" i="2538"/>
  <c r="IM38" i="2538" s="1"/>
  <c r="IM35" i="2538" s="1"/>
  <c r="DS43" i="2538"/>
  <c r="DS42" i="2538" s="1"/>
  <c r="DS40" i="2538" s="1"/>
  <c r="DS38" i="2538" s="1"/>
  <c r="GX42" i="2538"/>
  <c r="GX40" i="2538" s="1"/>
  <c r="GX38" i="2538" s="1"/>
  <c r="HL42" i="2538"/>
  <c r="HL40" i="2538" s="1"/>
  <c r="HL38" i="2538" s="1"/>
  <c r="HL35" i="2538" s="1"/>
  <c r="GO47" i="2538"/>
  <c r="HA47" i="2538" s="1"/>
  <c r="EP42" i="2538"/>
  <c r="EP40" i="2538" s="1"/>
  <c r="EP38" i="2538" s="1"/>
  <c r="FC54" i="2538"/>
  <c r="FC53" i="2538" s="1"/>
  <c r="FC81" i="2538" s="1"/>
  <c r="FC43" i="2538"/>
  <c r="FC42" i="2538" s="1"/>
  <c r="FC40" i="2538" s="1"/>
  <c r="FC38" i="2538" s="1"/>
  <c r="FP54" i="2538"/>
  <c r="FP53" i="2538" s="1"/>
  <c r="FP81" i="2538" s="1"/>
  <c r="FP43" i="2538"/>
  <c r="FP42" i="2538" s="1"/>
  <c r="FP40" i="2538" s="1"/>
  <c r="FP38" i="2538" s="1"/>
  <c r="GB54" i="2538"/>
  <c r="GB43" i="2538"/>
  <c r="GN57" i="2538"/>
  <c r="GZ54" i="2538"/>
  <c r="GZ53" i="2538" s="1"/>
  <c r="HY54" i="2538"/>
  <c r="HY53" i="2538" s="1"/>
  <c r="DN75" i="2538"/>
  <c r="FN75" i="2538"/>
  <c r="GA75" i="2538"/>
  <c r="GN75" i="2538"/>
  <c r="FL7" i="2539"/>
  <c r="FL41" i="2539" s="1"/>
  <c r="CF42" i="2539"/>
  <c r="CF7" i="2539"/>
  <c r="CF41" i="2539" s="1"/>
  <c r="FF42" i="2539"/>
  <c r="FF7" i="2539"/>
  <c r="FF41" i="2539" s="1"/>
  <c r="GF42" i="2539"/>
  <c r="GF7" i="2539"/>
  <c r="GF41" i="2539" s="1"/>
  <c r="GS42" i="2539"/>
  <c r="GS7" i="2539"/>
  <c r="GS41" i="2539" s="1"/>
  <c r="HF7" i="2539"/>
  <c r="HF41" i="2539" s="1"/>
  <c r="HF42" i="2539"/>
  <c r="B7" i="2538"/>
  <c r="FB7" i="2538"/>
  <c r="DA41" i="2538"/>
  <c r="AN15" i="2538"/>
  <c r="FN17" i="2538"/>
  <c r="FN47" i="2538" s="1"/>
  <c r="HA24" i="2538"/>
  <c r="HN24" i="2538"/>
  <c r="GY43" i="2538"/>
  <c r="GY42" i="2538" s="1"/>
  <c r="GY40" i="2538" s="1"/>
  <c r="GY38" i="2538" s="1"/>
  <c r="IB43" i="2538"/>
  <c r="GT42" i="2538"/>
  <c r="GT40" i="2538" s="1"/>
  <c r="GT38" i="2538" s="1"/>
  <c r="GT35" i="2538" s="1"/>
  <c r="HA45" i="2538"/>
  <c r="HN45" i="2538"/>
  <c r="IA45" i="2538"/>
  <c r="IN45" i="2538"/>
  <c r="DI54" i="2538"/>
  <c r="DI53" i="2538" s="1"/>
  <c r="FB54" i="2538"/>
  <c r="ED53" i="2538"/>
  <c r="ED81" i="2538" s="1"/>
  <c r="EQ53" i="2538"/>
  <c r="EQ81" i="2538" s="1"/>
  <c r="FD54" i="2538"/>
  <c r="FD53" i="2538" s="1"/>
  <c r="FD81" i="2538" s="1"/>
  <c r="FD43" i="2538"/>
  <c r="FD42" i="2538" s="1"/>
  <c r="FD40" i="2538" s="1"/>
  <c r="FD38" i="2538" s="1"/>
  <c r="GC43" i="2538"/>
  <c r="GC42" i="2538" s="1"/>
  <c r="GC40" i="2538" s="1"/>
  <c r="GC38" i="2538" s="1"/>
  <c r="GC35" i="2538" s="1"/>
  <c r="GC54" i="2538"/>
  <c r="GC53" i="2538" s="1"/>
  <c r="GC81" i="2538" s="1"/>
  <c r="HA57" i="2538"/>
  <c r="DA63" i="2538"/>
  <c r="EN71" i="2538"/>
  <c r="IA75" i="2538"/>
  <c r="CB7" i="2539"/>
  <c r="ET42" i="2539"/>
  <c r="ET7" i="2539"/>
  <c r="ET41" i="2539" s="1"/>
  <c r="FG7" i="2539"/>
  <c r="FG41" i="2539" s="1"/>
  <c r="FG42" i="2539"/>
  <c r="FT42" i="2539"/>
  <c r="FT7" i="2539"/>
  <c r="FT41" i="2539" s="1"/>
  <c r="GG42" i="2539"/>
  <c r="GG7" i="2539"/>
  <c r="GG41" i="2539" s="1"/>
  <c r="GT7" i="2539"/>
  <c r="GT41" i="2539" s="1"/>
  <c r="GT42" i="2539"/>
  <c r="HG42" i="2539"/>
  <c r="HG7" i="2539"/>
  <c r="HG41" i="2539" s="1"/>
  <c r="CN57" i="2539"/>
  <c r="CN23" i="2539"/>
  <c r="HA23" i="2539"/>
  <c r="HN57" i="2539"/>
  <c r="HN23" i="2539"/>
  <c r="N20" i="2538"/>
  <c r="AY35" i="2538"/>
  <c r="IN24" i="2538"/>
  <c r="DJ40" i="2538"/>
  <c r="DJ38" i="2538" s="1"/>
  <c r="GI42" i="2538"/>
  <c r="GI40" i="2538" s="1"/>
  <c r="GI38" i="2538" s="1"/>
  <c r="GI35" i="2538" s="1"/>
  <c r="GD43" i="2538"/>
  <c r="GD42" i="2538" s="1"/>
  <c r="GD40" i="2538" s="1"/>
  <c r="GD38" i="2538" s="1"/>
  <c r="GD35" i="2538" s="1"/>
  <c r="GD54" i="2538"/>
  <c r="GD53" i="2538" s="1"/>
  <c r="GP43" i="2538"/>
  <c r="HN57" i="2538"/>
  <c r="HB43" i="2538"/>
  <c r="IM54" i="2538"/>
  <c r="IM53" i="2538" s="1"/>
  <c r="DN62" i="2538"/>
  <c r="DN63" i="2538"/>
  <c r="FN63" i="2538"/>
  <c r="DA71" i="2538"/>
  <c r="IF71" i="2538"/>
  <c r="IF53" i="2538" s="1"/>
  <c r="IF43" i="2538"/>
  <c r="IF42" i="2538" s="1"/>
  <c r="IF40" i="2538" s="1"/>
  <c r="IF38" i="2538" s="1"/>
  <c r="IF35" i="2538" s="1"/>
  <c r="U42" i="2539"/>
  <c r="U7" i="2539"/>
  <c r="U41" i="2539" s="1"/>
  <c r="AH7" i="2539"/>
  <c r="AH42" i="2539"/>
  <c r="AU42" i="2539"/>
  <c r="AU7" i="2539"/>
  <c r="AU41" i="2539" s="1"/>
  <c r="BH42" i="2539"/>
  <c r="BH7" i="2539"/>
  <c r="BH41" i="2539" s="1"/>
  <c r="EU42" i="2539"/>
  <c r="EU7" i="2539"/>
  <c r="EU41" i="2539" s="1"/>
  <c r="FU42" i="2539"/>
  <c r="FU7" i="2539"/>
  <c r="FU41" i="2539" s="1"/>
  <c r="GH42" i="2539"/>
  <c r="GH7" i="2539"/>
  <c r="GH41" i="2539" s="1"/>
  <c r="GU42" i="2539"/>
  <c r="GU7" i="2539"/>
  <c r="GU41" i="2539" s="1"/>
  <c r="HH42" i="2539"/>
  <c r="HH7" i="2539"/>
  <c r="HH41" i="2539" s="1"/>
  <c r="EF35" i="2538"/>
  <c r="EA41" i="2538"/>
  <c r="EQ43" i="2538"/>
  <c r="EQ42" i="2538" s="1"/>
  <c r="EQ40" i="2538" s="1"/>
  <c r="EQ38" i="2538" s="1"/>
  <c r="EQ35" i="2538" s="1"/>
  <c r="GV42" i="2538"/>
  <c r="GV40" i="2538" s="1"/>
  <c r="GV38" i="2538" s="1"/>
  <c r="GV35" i="2538" s="1"/>
  <c r="EF54" i="2538"/>
  <c r="EF53" i="2538" s="1"/>
  <c r="EF81" i="2538" s="1"/>
  <c r="FS42" i="2538"/>
  <c r="FS40" i="2538" s="1"/>
  <c r="FS38" i="2538" s="1"/>
  <c r="FS35" i="2538" s="1"/>
  <c r="GE42" i="2538"/>
  <c r="GE40" i="2538" s="1"/>
  <c r="GE38" i="2538" s="1"/>
  <c r="GE35" i="2538" s="1"/>
  <c r="GQ43" i="2538"/>
  <c r="GQ42" i="2538" s="1"/>
  <c r="GQ40" i="2538" s="1"/>
  <c r="GQ38" i="2538" s="1"/>
  <c r="GQ35" i="2538" s="1"/>
  <c r="GQ54" i="2538"/>
  <c r="GQ53" i="2538" s="1"/>
  <c r="IN57" i="2538"/>
  <c r="EA63" i="2538"/>
  <c r="EN63" i="2538"/>
  <c r="FA63" i="2538"/>
  <c r="EO62" i="2538"/>
  <c r="GN63" i="2538"/>
  <c r="IA63" i="2538"/>
  <c r="HP62" i="2538"/>
  <c r="HP54" i="2538" s="1"/>
  <c r="IA70" i="2538"/>
  <c r="HP44" i="2538"/>
  <c r="HP42" i="2538" s="1"/>
  <c r="HP40" i="2538" s="1"/>
  <c r="HP38" i="2538" s="1"/>
  <c r="HP35" i="2538" s="1"/>
  <c r="HT71" i="2538"/>
  <c r="HT43" i="2538"/>
  <c r="HT42" i="2538" s="1"/>
  <c r="HT40" i="2538" s="1"/>
  <c r="HT38" i="2538" s="1"/>
  <c r="IG71" i="2538"/>
  <c r="IG43" i="2538"/>
  <c r="IG42" i="2538" s="1"/>
  <c r="IG40" i="2538" s="1"/>
  <c r="IG38" i="2538" s="1"/>
  <c r="IG35" i="2538" s="1"/>
  <c r="EB7" i="2539"/>
  <c r="FS7" i="2539"/>
  <c r="FS41" i="2539" s="1"/>
  <c r="DV42" i="2539"/>
  <c r="DV7" i="2539"/>
  <c r="DV41" i="2539" s="1"/>
  <c r="EV42" i="2539"/>
  <c r="EV7" i="2539"/>
  <c r="EV41" i="2539" s="1"/>
  <c r="FV7" i="2539"/>
  <c r="FV41" i="2539" s="1"/>
  <c r="GM54" i="2539"/>
  <c r="GN54" i="2539" s="1"/>
  <c r="GM19" i="2539"/>
  <c r="GM53" i="2539" s="1"/>
  <c r="GN20" i="2539"/>
  <c r="HA45" i="2539"/>
  <c r="HN45" i="2539"/>
  <c r="GN45" i="2538"/>
  <c r="DA57" i="2538"/>
  <c r="DA43" i="2538" s="1"/>
  <c r="DA42" i="2538" s="1"/>
  <c r="DN57" i="2538"/>
  <c r="AQ7" i="2539"/>
  <c r="AQ41" i="2539" s="1"/>
  <c r="AQ42" i="2539"/>
  <c r="CN8" i="2539"/>
  <c r="FY42" i="2539"/>
  <c r="FY7" i="2539"/>
  <c r="FY41" i="2539" s="1"/>
  <c r="BV7" i="2539"/>
  <c r="BV41" i="2539" s="1"/>
  <c r="BV48" i="2539"/>
  <c r="CI7" i="2539"/>
  <c r="CI41" i="2539" s="1"/>
  <c r="CI48" i="2539"/>
  <c r="CV7" i="2539"/>
  <c r="CV41" i="2539" s="1"/>
  <c r="CV48" i="2539"/>
  <c r="DI48" i="2539"/>
  <c r="DI7" i="2539"/>
  <c r="DI41" i="2539" s="1"/>
  <c r="EO42" i="2538"/>
  <c r="EO40" i="2538" s="1"/>
  <c r="EO38" i="2538" s="1"/>
  <c r="HA70" i="2538"/>
  <c r="HN75" i="2538"/>
  <c r="X7" i="2539"/>
  <c r="BD7" i="2539"/>
  <c r="BD41" i="2539" s="1"/>
  <c r="BE7" i="2539"/>
  <c r="BE41" i="2539" s="1"/>
  <c r="DA8" i="2539"/>
  <c r="DN8" i="2539"/>
  <c r="EN8" i="2539"/>
  <c r="AK48" i="2539"/>
  <c r="AK7" i="2539"/>
  <c r="AW48" i="2539"/>
  <c r="AW7" i="2539"/>
  <c r="AW41" i="2539" s="1"/>
  <c r="BJ48" i="2539"/>
  <c r="BJ7" i="2539"/>
  <c r="BJ41" i="2539" s="1"/>
  <c r="BW7" i="2539"/>
  <c r="BW41" i="2539" s="1"/>
  <c r="BW48" i="2539"/>
  <c r="CJ7" i="2539"/>
  <c r="CJ41" i="2539" s="1"/>
  <c r="CJ48" i="2539"/>
  <c r="CW48" i="2539"/>
  <c r="CW7" i="2539"/>
  <c r="CW41" i="2539" s="1"/>
  <c r="N57" i="2539"/>
  <c r="N23" i="2539"/>
  <c r="AL57" i="2539"/>
  <c r="DA17" i="2538"/>
  <c r="DA47" i="2538" s="1"/>
  <c r="DB54" i="2538"/>
  <c r="EN57" i="2538"/>
  <c r="FA57" i="2538"/>
  <c r="HW54" i="2538"/>
  <c r="HW53" i="2538" s="1"/>
  <c r="II54" i="2538"/>
  <c r="II53" i="2538" s="1"/>
  <c r="GN62" i="2538"/>
  <c r="B7" i="2539"/>
  <c r="B48" i="2539"/>
  <c r="N14" i="2539"/>
  <c r="Z7" i="2539"/>
  <c r="Z41" i="2539" s="1"/>
  <c r="Z48" i="2539"/>
  <c r="AL7" i="2539"/>
  <c r="AL41" i="2539" s="1"/>
  <c r="AL48" i="2539"/>
  <c r="AX48" i="2539"/>
  <c r="AX7" i="2539"/>
  <c r="AX41" i="2539" s="1"/>
  <c r="BK48" i="2539"/>
  <c r="BK7" i="2539"/>
  <c r="BK41" i="2539" s="1"/>
  <c r="BX7" i="2539"/>
  <c r="BX41" i="2539" s="1"/>
  <c r="BX48" i="2539"/>
  <c r="CK48" i="2539"/>
  <c r="CK7" i="2539"/>
  <c r="CK41" i="2539" s="1"/>
  <c r="O57" i="2539"/>
  <c r="AA57" i="2539" s="1"/>
  <c r="AA23" i="2539"/>
  <c r="AM57" i="2539"/>
  <c r="GI110" i="2539"/>
  <c r="GN110" i="2539" s="1"/>
  <c r="GI87" i="2539"/>
  <c r="BN44" i="2539"/>
  <c r="CN44" i="2539"/>
  <c r="EI40" i="2538"/>
  <c r="EI38" i="2538" s="1"/>
  <c r="IN41" i="2538"/>
  <c r="IA47" i="2538"/>
  <c r="IN47" i="2538"/>
  <c r="EJ54" i="2538"/>
  <c r="EJ53" i="2538" s="1"/>
  <c r="EJ81" i="2538" s="1"/>
  <c r="FJ43" i="2538"/>
  <c r="FJ42" i="2538" s="1"/>
  <c r="FJ40" i="2538" s="1"/>
  <c r="FJ38" i="2538" s="1"/>
  <c r="FJ35" i="2538" s="1"/>
  <c r="EA71" i="2538"/>
  <c r="DL7" i="2539"/>
  <c r="DL41" i="2539" s="1"/>
  <c r="N8" i="2539"/>
  <c r="AA8" i="2539"/>
  <c r="AN8" i="2539"/>
  <c r="BA8" i="2539"/>
  <c r="BB42" i="2539"/>
  <c r="BB7" i="2539"/>
  <c r="BN8" i="2539"/>
  <c r="BZ42" i="2539"/>
  <c r="CA42" i="2539" s="1"/>
  <c r="BZ7" i="2539"/>
  <c r="BZ41" i="2539" s="1"/>
  <c r="CL42" i="2539"/>
  <c r="CL7" i="2539"/>
  <c r="CL41" i="2539" s="1"/>
  <c r="DK7" i="2539"/>
  <c r="DK41" i="2539" s="1"/>
  <c r="DK42" i="2539"/>
  <c r="DT7" i="2539"/>
  <c r="DT41" i="2539" s="1"/>
  <c r="DT48" i="2539"/>
  <c r="EG48" i="2539"/>
  <c r="EG7" i="2539"/>
  <c r="EG41" i="2539" s="1"/>
  <c r="ES48" i="2539"/>
  <c r="ES7" i="2539"/>
  <c r="ES41" i="2539" s="1"/>
  <c r="BF53" i="2539"/>
  <c r="BN53" i="2539" s="1"/>
  <c r="BF7" i="2539"/>
  <c r="BF41" i="2539" s="1"/>
  <c r="CP53" i="2539"/>
  <c r="CP7" i="2539"/>
  <c r="CP41" i="2539" s="1"/>
  <c r="DB53" i="2539"/>
  <c r="DB7" i="2539"/>
  <c r="DN19" i="2539"/>
  <c r="DZ53" i="2539"/>
  <c r="DZ7" i="2539"/>
  <c r="DZ41" i="2539" s="1"/>
  <c r="BN57" i="2539"/>
  <c r="GP44" i="2538"/>
  <c r="HA44" i="2538" s="1"/>
  <c r="CZ54" i="2538"/>
  <c r="CZ53" i="2538" s="1"/>
  <c r="EX43" i="2538"/>
  <c r="EX42" i="2538" s="1"/>
  <c r="EX40" i="2538" s="1"/>
  <c r="EX38" i="2538" s="1"/>
  <c r="AP42" i="2539"/>
  <c r="AP7" i="2539"/>
  <c r="AP41" i="2539" s="1"/>
  <c r="BC7" i="2539"/>
  <c r="BC41" i="2539" s="1"/>
  <c r="CA8" i="2539"/>
  <c r="CM7" i="2539"/>
  <c r="CM41" i="2539" s="1"/>
  <c r="BU48" i="2539"/>
  <c r="BU7" i="2539"/>
  <c r="BU41" i="2539" s="1"/>
  <c r="CH7" i="2539"/>
  <c r="CH41" i="2539" s="1"/>
  <c r="CH48" i="2539"/>
  <c r="CU7" i="2539"/>
  <c r="CU41" i="2539" s="1"/>
  <c r="CU48" i="2539"/>
  <c r="DU48" i="2539"/>
  <c r="DU7" i="2539"/>
  <c r="DU41" i="2539" s="1"/>
  <c r="GP53" i="2539"/>
  <c r="GP7" i="2539"/>
  <c r="GP41" i="2539" s="1"/>
  <c r="N50" i="2539"/>
  <c r="GA62" i="2538"/>
  <c r="HA75" i="2538"/>
  <c r="CO7" i="2539"/>
  <c r="DY7" i="2539"/>
  <c r="DY41" i="2539" s="1"/>
  <c r="FI7" i="2539"/>
  <c r="FI41" i="2539" s="1"/>
  <c r="HI7" i="2539"/>
  <c r="HI41" i="2539" s="1"/>
  <c r="FA8" i="2539"/>
  <c r="FA14" i="2539"/>
  <c r="DA23" i="2539"/>
  <c r="FA57" i="2539"/>
  <c r="FA23" i="2539"/>
  <c r="DN43" i="2539"/>
  <c r="EA43" i="2539"/>
  <c r="EN43" i="2539"/>
  <c r="FA43" i="2539"/>
  <c r="FN43" i="2539"/>
  <c r="GA43" i="2539"/>
  <c r="GN43" i="2539"/>
  <c r="HA43" i="2539"/>
  <c r="BN45" i="2539"/>
  <c r="DN47" i="2539"/>
  <c r="FN47" i="2539"/>
  <c r="GA47" i="2539"/>
  <c r="GN47" i="2539"/>
  <c r="HA47" i="2539"/>
  <c r="HN47" i="2539"/>
  <c r="N49" i="2539"/>
  <c r="AA49" i="2539"/>
  <c r="BN49" i="2539"/>
  <c r="CA49" i="2539"/>
  <c r="CN49" i="2539"/>
  <c r="DA49" i="2539"/>
  <c r="DN49" i="2539"/>
  <c r="EA49" i="2539"/>
  <c r="FN8" i="2539"/>
  <c r="GA8" i="2539"/>
  <c r="GN8" i="2539"/>
  <c r="HA8" i="2539"/>
  <c r="HN8" i="2539"/>
  <c r="DF7" i="2539"/>
  <c r="DF41" i="2539" s="1"/>
  <c r="DF48" i="2539"/>
  <c r="DR48" i="2539"/>
  <c r="DR7" i="2539"/>
  <c r="DR41" i="2539" s="1"/>
  <c r="ED48" i="2539"/>
  <c r="ED7" i="2539"/>
  <c r="ED41" i="2539" s="1"/>
  <c r="EP7" i="2539"/>
  <c r="EP48" i="2539"/>
  <c r="FB7" i="2539"/>
  <c r="FB48" i="2539"/>
  <c r="FN14" i="2539"/>
  <c r="FZ7" i="2539"/>
  <c r="FZ41" i="2539" s="1"/>
  <c r="FZ48" i="2539"/>
  <c r="GL48" i="2539"/>
  <c r="GL7" i="2539"/>
  <c r="GL41" i="2539" s="1"/>
  <c r="GX48" i="2539"/>
  <c r="GX7" i="2539"/>
  <c r="GX41" i="2539" s="1"/>
  <c r="HJ7" i="2539"/>
  <c r="HJ41" i="2539" s="1"/>
  <c r="HJ48" i="2539"/>
  <c r="AG65" i="2539"/>
  <c r="GA57" i="2539"/>
  <c r="GA23" i="2539"/>
  <c r="DA45" i="2539"/>
  <c r="DN45" i="2539"/>
  <c r="EA45" i="2539"/>
  <c r="EN45" i="2539"/>
  <c r="FA45" i="2539"/>
  <c r="FN45" i="2539"/>
  <c r="GA45" i="2539"/>
  <c r="FA49" i="2539"/>
  <c r="FN49" i="2539"/>
  <c r="HC101" i="2539"/>
  <c r="HC100" i="2539" s="1"/>
  <c r="HC114" i="2539" s="1"/>
  <c r="HC81" i="2539"/>
  <c r="HN63" i="2538"/>
  <c r="DB71" i="2538"/>
  <c r="G7" i="2539"/>
  <c r="G41" i="2539" s="1"/>
  <c r="W7" i="2539"/>
  <c r="BG7" i="2539"/>
  <c r="BG41" i="2539" s="1"/>
  <c r="FK7" i="2539"/>
  <c r="FK41" i="2539" s="1"/>
  <c r="DG7" i="2539"/>
  <c r="DG41" i="2539" s="1"/>
  <c r="DG48" i="2539"/>
  <c r="EE48" i="2539"/>
  <c r="EE7" i="2539"/>
  <c r="EE41" i="2539" s="1"/>
  <c r="EQ7" i="2539"/>
  <c r="EQ41" i="2539" s="1"/>
  <c r="EQ48" i="2539"/>
  <c r="FC7" i="2539"/>
  <c r="FC41" i="2539" s="1"/>
  <c r="FC48" i="2539"/>
  <c r="FO7" i="2539"/>
  <c r="FO48" i="2539"/>
  <c r="GA14" i="2539"/>
  <c r="GY48" i="2539"/>
  <c r="GY7" i="2539"/>
  <c r="GY41" i="2539" s="1"/>
  <c r="HK7" i="2539"/>
  <c r="HK41" i="2539" s="1"/>
  <c r="HK48" i="2539"/>
  <c r="EN20" i="2539"/>
  <c r="EK54" i="2539"/>
  <c r="GN57" i="2539"/>
  <c r="GN23" i="2539"/>
  <c r="BA61" i="2539"/>
  <c r="CA50" i="2539"/>
  <c r="CN50" i="2539"/>
  <c r="FA50" i="2539"/>
  <c r="HA50" i="2539"/>
  <c r="GN51" i="2539"/>
  <c r="HA51" i="2539"/>
  <c r="GR99" i="2539"/>
  <c r="GR94" i="2539" s="1"/>
  <c r="GR75" i="2539"/>
  <c r="CA44" i="2539"/>
  <c r="GA46" i="2539"/>
  <c r="DA57" i="2539"/>
  <c r="HA86" i="2539"/>
  <c r="DA44" i="2539"/>
  <c r="DN44" i="2539"/>
  <c r="EA44" i="2539"/>
  <c r="EN44" i="2539"/>
  <c r="FA44" i="2539"/>
  <c r="FN44" i="2539"/>
  <c r="GN44" i="2539"/>
  <c r="HN46" i="2539"/>
  <c r="EI75" i="2539"/>
  <c r="EI74" i="2539" s="1"/>
  <c r="EI95" i="2539"/>
  <c r="EI94" i="2539" s="1"/>
  <c r="ET75" i="2539"/>
  <c r="ET96" i="2539"/>
  <c r="ET94" i="2539" s="1"/>
  <c r="GG96" i="2539"/>
  <c r="GG94" i="2539" s="1"/>
  <c r="GG75" i="2539"/>
  <c r="E48" i="2539"/>
  <c r="E7" i="2539"/>
  <c r="E41" i="2539" s="1"/>
  <c r="Q48" i="2539"/>
  <c r="Q7" i="2539"/>
  <c r="Q41" i="2539" s="1"/>
  <c r="AC48" i="2539"/>
  <c r="AC7" i="2539"/>
  <c r="AC41" i="2539" s="1"/>
  <c r="AO48" i="2539"/>
  <c r="AO7" i="2539"/>
  <c r="BA14" i="2539"/>
  <c r="BM48" i="2539"/>
  <c r="BM7" i="2539"/>
  <c r="BM41" i="2539" s="1"/>
  <c r="EA19" i="2539"/>
  <c r="AB57" i="2539"/>
  <c r="AN23" i="2539"/>
  <c r="EN55" i="2539"/>
  <c r="HN70" i="2538"/>
  <c r="GO71" i="2538"/>
  <c r="EA75" i="2538"/>
  <c r="EN75" i="2538"/>
  <c r="FA75" i="2538"/>
  <c r="R7" i="2539"/>
  <c r="R41" i="2539" s="1"/>
  <c r="CA14" i="2539"/>
  <c r="DA14" i="2539"/>
  <c r="DN14" i="2539"/>
  <c r="HN53" i="2539"/>
  <c r="HN19" i="2539"/>
  <c r="BA57" i="2539"/>
  <c r="N43" i="2539"/>
  <c r="AA43" i="2539"/>
  <c r="AN43" i="2539"/>
  <c r="BA43" i="2539"/>
  <c r="GR105" i="2539"/>
  <c r="HA105" i="2539" s="1"/>
  <c r="GR81" i="2539"/>
  <c r="AI7" i="2539"/>
  <c r="BS7" i="2539"/>
  <c r="BS41" i="2539" s="1"/>
  <c r="DC7" i="2539"/>
  <c r="DC41" i="2539" s="1"/>
  <c r="EM7" i="2539"/>
  <c r="EM41" i="2539" s="1"/>
  <c r="FW7" i="2539"/>
  <c r="FW41" i="2539" s="1"/>
  <c r="EA8" i="2539"/>
  <c r="EA14" i="2539"/>
  <c r="FA19" i="2539"/>
  <c r="AD57" i="2539"/>
  <c r="CA57" i="2539"/>
  <c r="CA23" i="2539"/>
  <c r="N45" i="2539"/>
  <c r="AA45" i="2539"/>
  <c r="N47" i="2539"/>
  <c r="AA47" i="2539"/>
  <c r="N52" i="2539"/>
  <c r="AA54" i="2539"/>
  <c r="DY95" i="2539"/>
  <c r="DY94" i="2539" s="1"/>
  <c r="DY75" i="2539"/>
  <c r="DY74" i="2539" s="1"/>
  <c r="EL95" i="2539"/>
  <c r="EL94" i="2539" s="1"/>
  <c r="EL75" i="2539"/>
  <c r="EL74" i="2539" s="1"/>
  <c r="HL104" i="2539"/>
  <c r="HL100" i="2539" s="1"/>
  <c r="HL114" i="2539" s="1"/>
  <c r="HL81" i="2539"/>
  <c r="GA51" i="2539"/>
  <c r="BA52" i="2539"/>
  <c r="CA52" i="2539"/>
  <c r="CN52" i="2539"/>
  <c r="DN59" i="2539"/>
  <c r="GA59" i="2539"/>
  <c r="GN59" i="2539"/>
  <c r="DN62" i="2539"/>
  <c r="GA62" i="2539"/>
  <c r="GN62" i="2539"/>
  <c r="BA64" i="2539"/>
  <c r="DN64" i="2539"/>
  <c r="EA64" i="2539"/>
  <c r="FJ95" i="2539"/>
  <c r="FJ94" i="2539" s="1"/>
  <c r="FJ75" i="2539"/>
  <c r="EH96" i="2539"/>
  <c r="EN96" i="2539" s="1"/>
  <c r="EH75" i="2539"/>
  <c r="EH74" i="2539" s="1"/>
  <c r="CS99" i="2539"/>
  <c r="CS94" i="2539" s="1"/>
  <c r="CS75" i="2539"/>
  <c r="CS74" i="2539" s="1"/>
  <c r="DS99" i="2539"/>
  <c r="EA99" i="2539" s="1"/>
  <c r="DS75" i="2539"/>
  <c r="DS74" i="2539" s="1"/>
  <c r="BN47" i="2539"/>
  <c r="CA47" i="2539"/>
  <c r="AA50" i="2539"/>
  <c r="AN50" i="2539"/>
  <c r="GO57" i="2539"/>
  <c r="HA57" i="2539" s="1"/>
  <c r="AN58" i="2539"/>
  <c r="AN61" i="2539"/>
  <c r="EX95" i="2539"/>
  <c r="EX94" i="2539" s="1"/>
  <c r="EX75" i="2539"/>
  <c r="DV96" i="2539"/>
  <c r="DV94" i="2539" s="1"/>
  <c r="DV75" i="2539"/>
  <c r="DV74" i="2539" s="1"/>
  <c r="EQ101" i="2539"/>
  <c r="EQ100" i="2539" s="1"/>
  <c r="EQ114" i="2539" s="1"/>
  <c r="EQ81" i="2539"/>
  <c r="GD103" i="2539"/>
  <c r="GN103" i="2539" s="1"/>
  <c r="GD81" i="2539"/>
  <c r="EA87" i="2539"/>
  <c r="BA23" i="2539"/>
  <c r="GN49" i="2539"/>
  <c r="HA49" i="2539"/>
  <c r="FN52" i="2539"/>
  <c r="GA52" i="2539"/>
  <c r="HA54" i="2539"/>
  <c r="CA58" i="2539"/>
  <c r="CN58" i="2539"/>
  <c r="CA61" i="2539"/>
  <c r="CN61" i="2539"/>
  <c r="CO95" i="2539"/>
  <c r="CO75" i="2539"/>
  <c r="CO74" i="2539" s="1"/>
  <c r="DA76" i="2539"/>
  <c r="HH87" i="2539"/>
  <c r="HA52" i="2539"/>
  <c r="HN52" i="2539"/>
  <c r="DN54" i="2539"/>
  <c r="EA54" i="2539"/>
  <c r="FA54" i="2539"/>
  <c r="FN54" i="2539"/>
  <c r="GA54" i="2539"/>
  <c r="N55" i="2539"/>
  <c r="AA55" i="2539"/>
  <c r="AN55" i="2539"/>
  <c r="BA55" i="2539"/>
  <c r="CA55" i="2539"/>
  <c r="DN58" i="2539"/>
  <c r="EA58" i="2539"/>
  <c r="EN58" i="2539"/>
  <c r="FA58" i="2539"/>
  <c r="FN58" i="2539"/>
  <c r="GN58" i="2539"/>
  <c r="DN61" i="2539"/>
  <c r="EA61" i="2539"/>
  <c r="EN61" i="2539"/>
  <c r="FA61" i="2539"/>
  <c r="FN61" i="2539"/>
  <c r="GN61" i="2539"/>
  <c r="CC95" i="2539"/>
  <c r="CC94" i="2539" s="1"/>
  <c r="CC75" i="2539"/>
  <c r="CC74" i="2539" s="1"/>
  <c r="BY96" i="2539"/>
  <c r="BY94" i="2539" s="1"/>
  <c r="BY75" i="2539"/>
  <c r="BY74" i="2539" s="1"/>
  <c r="EO102" i="2539"/>
  <c r="FA102" i="2539" s="1"/>
  <c r="EO81" i="2539"/>
  <c r="FA83" i="2539"/>
  <c r="FM102" i="2539"/>
  <c r="FN102" i="2539" s="1"/>
  <c r="FM81" i="2539"/>
  <c r="FN85" i="2539"/>
  <c r="AN49" i="2539"/>
  <c r="BA49" i="2539"/>
  <c r="N60" i="2539"/>
  <c r="AA60" i="2539"/>
  <c r="N63" i="2539"/>
  <c r="AA63" i="2539"/>
  <c r="HC75" i="2539"/>
  <c r="HC95" i="2539"/>
  <c r="HC94" i="2539" s="1"/>
  <c r="BH115" i="2539"/>
  <c r="BH112" i="2539" s="1"/>
  <c r="BH93" i="2539"/>
  <c r="B42" i="2539"/>
  <c r="FB42" i="2539"/>
  <c r="DN50" i="2539"/>
  <c r="DN55" i="2539"/>
  <c r="EA55" i="2539"/>
  <c r="N70" i="2539"/>
  <c r="AA70" i="2539"/>
  <c r="AN70" i="2539"/>
  <c r="BA70" i="2539"/>
  <c r="GQ75" i="2539"/>
  <c r="GQ95" i="2539"/>
  <c r="GQ94" i="2539" s="1"/>
  <c r="HB96" i="2539"/>
  <c r="HB75" i="2539"/>
  <c r="HN77" i="2539"/>
  <c r="GC102" i="2539"/>
  <c r="GC81" i="2539"/>
  <c r="BN14" i="2539"/>
  <c r="HN14" i="2539"/>
  <c r="FN29" i="2539"/>
  <c r="O42" i="2539"/>
  <c r="FO42" i="2539"/>
  <c r="CN51" i="2539"/>
  <c r="DA51" i="2539"/>
  <c r="FA55" i="2539"/>
  <c r="FN55" i="2539"/>
  <c r="GA55" i="2539"/>
  <c r="GN55" i="2539"/>
  <c r="HA55" i="2539"/>
  <c r="HN55" i="2539"/>
  <c r="AC57" i="2539"/>
  <c r="CA60" i="2539"/>
  <c r="CN60" i="2539"/>
  <c r="CA63" i="2539"/>
  <c r="CN63" i="2539"/>
  <c r="GE75" i="2539"/>
  <c r="GE95" i="2539"/>
  <c r="GE94" i="2539" s="1"/>
  <c r="GP96" i="2539"/>
  <c r="GP94" i="2539" s="1"/>
  <c r="GP75" i="2539"/>
  <c r="FQ102" i="2539"/>
  <c r="FQ81" i="2539"/>
  <c r="ER104" i="2539"/>
  <c r="ER100" i="2539" s="1"/>
  <c r="ER114" i="2539" s="1"/>
  <c r="ER81" i="2539"/>
  <c r="FE104" i="2539"/>
  <c r="FN104" i="2539" s="1"/>
  <c r="FE81" i="2539"/>
  <c r="GA53" i="2539"/>
  <c r="GA19" i="2539"/>
  <c r="DN57" i="2539"/>
  <c r="DN23" i="2539"/>
  <c r="FJ23" i="2539"/>
  <c r="FJ57" i="2539" s="1"/>
  <c r="AB42" i="2539"/>
  <c r="GB42" i="2539"/>
  <c r="DN60" i="2539"/>
  <c r="EA60" i="2539"/>
  <c r="EN60" i="2539"/>
  <c r="FA60" i="2539"/>
  <c r="FN60" i="2539"/>
  <c r="GA60" i="2539"/>
  <c r="GN60" i="2539"/>
  <c r="DN63" i="2539"/>
  <c r="EA63" i="2539"/>
  <c r="EN63" i="2539"/>
  <c r="FA63" i="2539"/>
  <c r="CN70" i="2539"/>
  <c r="DA70" i="2539"/>
  <c r="DI75" i="2539"/>
  <c r="DI74" i="2539" s="1"/>
  <c r="CG94" i="2539"/>
  <c r="DF94" i="2539"/>
  <c r="FS75" i="2539"/>
  <c r="FS95" i="2539"/>
  <c r="FS94" i="2539" s="1"/>
  <c r="HF94" i="2539"/>
  <c r="FQ96" i="2539"/>
  <c r="FQ94" i="2539" s="1"/>
  <c r="FQ75" i="2539"/>
  <c r="GD96" i="2539"/>
  <c r="GD75" i="2539"/>
  <c r="HL97" i="2539"/>
  <c r="HL94" i="2539" s="1"/>
  <c r="HL75" i="2539"/>
  <c r="FA99" i="2539"/>
  <c r="HA80" i="2539"/>
  <c r="GX101" i="2539"/>
  <c r="GX100" i="2539" s="1"/>
  <c r="GX114" i="2539" s="1"/>
  <c r="GX81" i="2539"/>
  <c r="GF87" i="2539"/>
  <c r="GF107" i="2539"/>
  <c r="GF106" i="2539" s="1"/>
  <c r="GF115" i="2539" s="1"/>
  <c r="CN14" i="2539"/>
  <c r="GZ19" i="2539"/>
  <c r="GZ53" i="2539" s="1"/>
  <c r="EA57" i="2539"/>
  <c r="EA23" i="2539"/>
  <c r="AO42" i="2539"/>
  <c r="GO42" i="2539"/>
  <c r="CO48" i="2539"/>
  <c r="N59" i="2539"/>
  <c r="AA59" i="2539"/>
  <c r="AN59" i="2539"/>
  <c r="N62" i="2539"/>
  <c r="AA62" i="2539"/>
  <c r="AN62" i="2539"/>
  <c r="EA70" i="2539"/>
  <c r="EN70" i="2539"/>
  <c r="FA70" i="2539"/>
  <c r="FN70" i="2539"/>
  <c r="GA70" i="2539"/>
  <c r="GN70" i="2539"/>
  <c r="HA70" i="2539"/>
  <c r="FG75" i="2539"/>
  <c r="FG95" i="2539"/>
  <c r="FG94" i="2539" s="1"/>
  <c r="GT113" i="2539"/>
  <c r="HE96" i="2539"/>
  <c r="HE94" i="2539" s="1"/>
  <c r="HE75" i="2539"/>
  <c r="GA97" i="2539"/>
  <c r="GB97" i="2539"/>
  <c r="GN97" i="2539" s="1"/>
  <c r="GB75" i="2539"/>
  <c r="GN78" i="2539"/>
  <c r="GZ75" i="2539"/>
  <c r="GZ97" i="2539"/>
  <c r="HA97" i="2539" s="1"/>
  <c r="FH98" i="2539"/>
  <c r="FH94" i="2539" s="1"/>
  <c r="FH75" i="2539"/>
  <c r="FT107" i="2539"/>
  <c r="FT106" i="2539" s="1"/>
  <c r="FT115" i="2539" s="1"/>
  <c r="FT87" i="2539"/>
  <c r="N19" i="2539"/>
  <c r="FN20" i="2539"/>
  <c r="EN57" i="2539"/>
  <c r="EN23" i="2539"/>
  <c r="GA50" i="2539"/>
  <c r="GN50" i="2539"/>
  <c r="EU75" i="2539"/>
  <c r="EU95" i="2539"/>
  <c r="EU94" i="2539" s="1"/>
  <c r="FU94" i="2539"/>
  <c r="BS94" i="2539"/>
  <c r="GS96" i="2539"/>
  <c r="GS94" i="2539" s="1"/>
  <c r="GS75" i="2539"/>
  <c r="EZ101" i="2539"/>
  <c r="EZ100" i="2539" s="1"/>
  <c r="EZ114" i="2539" s="1"/>
  <c r="EZ81" i="2539"/>
  <c r="FA84" i="2539"/>
  <c r="EU107" i="2539"/>
  <c r="EU106" i="2539" s="1"/>
  <c r="EU115" i="2539" s="1"/>
  <c r="EU87" i="2539"/>
  <c r="FH87" i="2539"/>
  <c r="FH107" i="2539"/>
  <c r="FH106" i="2539" s="1"/>
  <c r="FH115" i="2539" s="1"/>
  <c r="CK94" i="2539"/>
  <c r="CW94" i="2539"/>
  <c r="DI94" i="2539"/>
  <c r="HN76" i="2539"/>
  <c r="HA77" i="2539"/>
  <c r="FN78" i="2539"/>
  <c r="HA79" i="2539"/>
  <c r="HN79" i="2539"/>
  <c r="GA99" i="2539"/>
  <c r="GA80" i="2539"/>
  <c r="FL101" i="2539"/>
  <c r="FL100" i="2539" s="1"/>
  <c r="FL114" i="2539" s="1"/>
  <c r="FL81" i="2539"/>
  <c r="FX101" i="2539"/>
  <c r="FX100" i="2539" s="1"/>
  <c r="FX114" i="2539" s="1"/>
  <c r="FX81" i="2539"/>
  <c r="GJ101" i="2539"/>
  <c r="GJ100" i="2539" s="1"/>
  <c r="GJ114" i="2539" s="1"/>
  <c r="GJ81" i="2539"/>
  <c r="HK100" i="2539"/>
  <c r="HK114" i="2539" s="1"/>
  <c r="FY102" i="2539"/>
  <c r="FY100" i="2539" s="1"/>
  <c r="FY114" i="2539" s="1"/>
  <c r="FY81" i="2539"/>
  <c r="GK102" i="2539"/>
  <c r="GK100" i="2539" s="1"/>
  <c r="GK114" i="2539" s="1"/>
  <c r="GK81" i="2539"/>
  <c r="FA105" i="2539"/>
  <c r="FA86" i="2539"/>
  <c r="EZ87" i="2539"/>
  <c r="FG107" i="2539"/>
  <c r="FG106" i="2539" s="1"/>
  <c r="FG115" i="2539" s="1"/>
  <c r="FG87" i="2539"/>
  <c r="FS107" i="2539"/>
  <c r="FS106" i="2539" s="1"/>
  <c r="FS115" i="2539" s="1"/>
  <c r="FS87" i="2539"/>
  <c r="GE107" i="2539"/>
  <c r="GE106" i="2539" s="1"/>
  <c r="GE115" i="2539" s="1"/>
  <c r="GE87" i="2539"/>
  <c r="GR107" i="2539"/>
  <c r="GR106" i="2539" s="1"/>
  <c r="GR115" i="2539" s="1"/>
  <c r="GR87" i="2539"/>
  <c r="CT94" i="2539"/>
  <c r="BT94" i="2539"/>
  <c r="HH100" i="2539"/>
  <c r="HH114" i="2539" s="1"/>
  <c r="CG75" i="2539"/>
  <c r="CG74" i="2539" s="1"/>
  <c r="FP75" i="2539"/>
  <c r="CA75" i="2539"/>
  <c r="CM75" i="2539"/>
  <c r="CM74" i="2539" s="1"/>
  <c r="CM95" i="2539"/>
  <c r="CM94" i="2539" s="1"/>
  <c r="CY75" i="2539"/>
  <c r="CY74" i="2539" s="1"/>
  <c r="CY95" i="2539"/>
  <c r="CY94" i="2539" s="1"/>
  <c r="DK75" i="2539"/>
  <c r="DK74" i="2539" s="1"/>
  <c r="DK95" i="2539"/>
  <c r="DK94" i="2539" s="1"/>
  <c r="DW75" i="2539"/>
  <c r="DW74" i="2539" s="1"/>
  <c r="DW95" i="2539"/>
  <c r="DW94" i="2539" s="1"/>
  <c r="EV94" i="2539"/>
  <c r="FT94" i="2539"/>
  <c r="HD94" i="2539"/>
  <c r="HA78" i="2539"/>
  <c r="FB101" i="2539"/>
  <c r="FB81" i="2539"/>
  <c r="FN82" i="2539"/>
  <c r="FZ101" i="2539"/>
  <c r="FZ100" i="2539" s="1"/>
  <c r="FZ114" i="2539" s="1"/>
  <c r="FZ81" i="2539"/>
  <c r="GL101" i="2539"/>
  <c r="GL100" i="2539" s="1"/>
  <c r="GL114" i="2539" s="1"/>
  <c r="GL81" i="2539"/>
  <c r="GY100" i="2539"/>
  <c r="GY114" i="2539" s="1"/>
  <c r="GA83" i="2539"/>
  <c r="HA84" i="2539"/>
  <c r="GN104" i="2539"/>
  <c r="GN85" i="2539"/>
  <c r="CN87" i="2539"/>
  <c r="EV107" i="2539"/>
  <c r="EV106" i="2539" s="1"/>
  <c r="EV115" i="2539" s="1"/>
  <c r="EV87" i="2539"/>
  <c r="HI108" i="2539"/>
  <c r="HI106" i="2539" s="1"/>
  <c r="HI115" i="2539" s="1"/>
  <c r="HI87" i="2539"/>
  <c r="BG113" i="2539"/>
  <c r="BG112" i="2539" s="1"/>
  <c r="BT75" i="2539"/>
  <c r="BT74" i="2539" s="1"/>
  <c r="CW75" i="2539"/>
  <c r="CW74" i="2539" s="1"/>
  <c r="FC75" i="2539"/>
  <c r="CB94" i="2539"/>
  <c r="CN76" i="2539"/>
  <c r="DX113" i="2539"/>
  <c r="BX94" i="2539"/>
  <c r="HN78" i="2539"/>
  <c r="HF81" i="2539"/>
  <c r="EP101" i="2539"/>
  <c r="EP100" i="2539" s="1"/>
  <c r="EP114" i="2539" s="1"/>
  <c r="EP81" i="2539"/>
  <c r="FO100" i="2539"/>
  <c r="GA82" i="2539"/>
  <c r="HA83" i="2539"/>
  <c r="HA104" i="2539"/>
  <c r="HA85" i="2539"/>
  <c r="FI87" i="2539"/>
  <c r="HH106" i="2539"/>
  <c r="HH115" i="2539" s="1"/>
  <c r="BU94" i="2539"/>
  <c r="GK95" i="2539"/>
  <c r="GK94" i="2539" s="1"/>
  <c r="GV106" i="2539"/>
  <c r="GV115" i="2539" s="1"/>
  <c r="GK108" i="2539"/>
  <c r="GK106" i="2539" s="1"/>
  <c r="GK115" i="2539" s="1"/>
  <c r="GK87" i="2539"/>
  <c r="BI113" i="2539"/>
  <c r="DR94" i="2539"/>
  <c r="CK75" i="2539"/>
  <c r="CK74" i="2539" s="1"/>
  <c r="CZ75" i="2539"/>
  <c r="CZ74" i="2539" s="1"/>
  <c r="EQ75" i="2539"/>
  <c r="FE75" i="2539"/>
  <c r="FT75" i="2539"/>
  <c r="GH75" i="2539"/>
  <c r="GV75" i="2539"/>
  <c r="HK75" i="2539"/>
  <c r="DN76" i="2539"/>
  <c r="EM94" i="2539"/>
  <c r="EY94" i="2539"/>
  <c r="FK94" i="2539"/>
  <c r="FW94" i="2539"/>
  <c r="GI94" i="2539"/>
  <c r="GU94" i="2539"/>
  <c r="HG94" i="2539"/>
  <c r="FT81" i="2539"/>
  <c r="GO81" i="2539"/>
  <c r="HK81" i="2539"/>
  <c r="HD100" i="2539"/>
  <c r="HD114" i="2539" s="1"/>
  <c r="BN87" i="2539"/>
  <c r="FL87" i="2539"/>
  <c r="FL106" i="2539"/>
  <c r="FL115" i="2539" s="1"/>
  <c r="FX106" i="2539"/>
  <c r="FX115" i="2539" s="1"/>
  <c r="GJ106" i="2539"/>
  <c r="GJ115" i="2539" s="1"/>
  <c r="HJ107" i="2539"/>
  <c r="HJ106" i="2539" s="1"/>
  <c r="HJ115" i="2539" s="1"/>
  <c r="HJ87" i="2539"/>
  <c r="FY108" i="2539"/>
  <c r="FY87" i="2539"/>
  <c r="FA90" i="2539"/>
  <c r="BW94" i="2539"/>
  <c r="EC95" i="2539"/>
  <c r="EC94" i="2539" s="1"/>
  <c r="GX95" i="2539"/>
  <c r="GX94" i="2539" s="1"/>
  <c r="HN98" i="2539"/>
  <c r="GW108" i="2539"/>
  <c r="BX75" i="2539"/>
  <c r="BX74" i="2539" s="1"/>
  <c r="DO75" i="2539"/>
  <c r="DO74" i="2539" s="1"/>
  <c r="ER75" i="2539"/>
  <c r="FU75" i="2539"/>
  <c r="GW75" i="2539"/>
  <c r="DC94" i="2539"/>
  <c r="EA76" i="2539"/>
  <c r="EB94" i="2539"/>
  <c r="EN76" i="2539"/>
  <c r="FL94" i="2539"/>
  <c r="GJ94" i="2539"/>
  <c r="GV94" i="2539"/>
  <c r="HH94" i="2539"/>
  <c r="BO75" i="2539"/>
  <c r="BO74" i="2539" s="1"/>
  <c r="BO96" i="2539"/>
  <c r="BO94" i="2539" s="1"/>
  <c r="FC81" i="2539"/>
  <c r="FV81" i="2539"/>
  <c r="GP81" i="2539"/>
  <c r="GQ101" i="2539"/>
  <c r="GQ100" i="2539" s="1"/>
  <c r="GQ114" i="2539" s="1"/>
  <c r="GQ81" i="2539"/>
  <c r="HE101" i="2539"/>
  <c r="HE100" i="2539" s="1"/>
  <c r="HE114" i="2539" s="1"/>
  <c r="HE81" i="2539"/>
  <c r="DN87" i="2539"/>
  <c r="EZ106" i="2539"/>
  <c r="EZ115" i="2539" s="1"/>
  <c r="GX107" i="2539"/>
  <c r="GX106" i="2539" s="1"/>
  <c r="GX115" i="2539" s="1"/>
  <c r="GX87" i="2539"/>
  <c r="HK107" i="2539"/>
  <c r="HK106" i="2539" s="1"/>
  <c r="HK115" i="2539" s="1"/>
  <c r="HK87" i="2539"/>
  <c r="EO108" i="2539"/>
  <c r="FA108" i="2539" s="1"/>
  <c r="EO87" i="2539"/>
  <c r="FA89" i="2539"/>
  <c r="FM108" i="2539"/>
  <c r="FM87" i="2539"/>
  <c r="FN90" i="2539"/>
  <c r="BK113" i="2539"/>
  <c r="EE75" i="2539"/>
  <c r="EE74" i="2539" s="1"/>
  <c r="HM75" i="2539"/>
  <c r="CF94" i="2539"/>
  <c r="CR94" i="2539"/>
  <c r="FA76" i="2539"/>
  <c r="HI94" i="2539"/>
  <c r="CN96" i="2539"/>
  <c r="CN97" i="2539"/>
  <c r="HM81" i="2539"/>
  <c r="FS101" i="2539"/>
  <c r="FS100" i="2539" s="1"/>
  <c r="FS114" i="2539" s="1"/>
  <c r="FS81" i="2539"/>
  <c r="GE101" i="2539"/>
  <c r="GE100" i="2539" s="1"/>
  <c r="GE114" i="2539" s="1"/>
  <c r="GE81" i="2539"/>
  <c r="GU87" i="2539"/>
  <c r="FB107" i="2539"/>
  <c r="FB87" i="2539"/>
  <c r="FN88" i="2539"/>
  <c r="FZ107" i="2539"/>
  <c r="FZ106" i="2539" s="1"/>
  <c r="FZ115" i="2539" s="1"/>
  <c r="FZ87" i="2539"/>
  <c r="GL107" i="2539"/>
  <c r="GL106" i="2539" s="1"/>
  <c r="GL115" i="2539" s="1"/>
  <c r="GL87" i="2539"/>
  <c r="GY107" i="2539"/>
  <c r="GY106" i="2539" s="1"/>
  <c r="GY115" i="2539" s="1"/>
  <c r="GY87" i="2539"/>
  <c r="GP109" i="2539"/>
  <c r="GP106" i="2539" s="1"/>
  <c r="GP115" i="2539" s="1"/>
  <c r="GP87" i="2539"/>
  <c r="HB109" i="2539"/>
  <c r="HN109" i="2539" s="1"/>
  <c r="HB87" i="2539"/>
  <c r="HN90" i="2539"/>
  <c r="HN110" i="2539"/>
  <c r="HN91" i="2539"/>
  <c r="EF75" i="2539"/>
  <c r="EF74" i="2539" s="1"/>
  <c r="FI75" i="2539"/>
  <c r="FW75" i="2539"/>
  <c r="ED75" i="2539"/>
  <c r="ED74" i="2539" s="1"/>
  <c r="EP75" i="2539"/>
  <c r="FB75" i="2539"/>
  <c r="FN76" i="2539"/>
  <c r="FZ75" i="2539"/>
  <c r="HJ95" i="2539"/>
  <c r="HJ94" i="2539" s="1"/>
  <c r="HJ75" i="2539"/>
  <c r="DA96" i="2539"/>
  <c r="DN97" i="2539"/>
  <c r="CN99" i="2539"/>
  <c r="CN80" i="2539"/>
  <c r="GT81" i="2539"/>
  <c r="CA81" i="2539"/>
  <c r="EU101" i="2539"/>
  <c r="EU100" i="2539" s="1"/>
  <c r="EU114" i="2539" s="1"/>
  <c r="EU81" i="2539"/>
  <c r="FH100" i="2539"/>
  <c r="FH114" i="2539" s="1"/>
  <c r="FT100" i="2539"/>
  <c r="FT114" i="2539" s="1"/>
  <c r="GF100" i="2539"/>
  <c r="GF114" i="2539" s="1"/>
  <c r="GS101" i="2539"/>
  <c r="GS100" i="2539" s="1"/>
  <c r="GS114" i="2539" s="1"/>
  <c r="GS81" i="2539"/>
  <c r="FU87" i="2539"/>
  <c r="GV87" i="2539"/>
  <c r="EP107" i="2539"/>
  <c r="EP106" i="2539" s="1"/>
  <c r="EP115" i="2539" s="1"/>
  <c r="EP87" i="2539"/>
  <c r="FC107" i="2539"/>
  <c r="FC106" i="2539" s="1"/>
  <c r="FC115" i="2539" s="1"/>
  <c r="FC87" i="2539"/>
  <c r="FO107" i="2539"/>
  <c r="FO87" i="2539"/>
  <c r="GA88" i="2539"/>
  <c r="GM107" i="2539"/>
  <c r="GM106" i="2539" s="1"/>
  <c r="GM115" i="2539" s="1"/>
  <c r="GM87" i="2539"/>
  <c r="GD109" i="2539"/>
  <c r="GD106" i="2539" s="1"/>
  <c r="GD115" i="2539" s="1"/>
  <c r="GD87" i="2539"/>
  <c r="EP95" i="2539"/>
  <c r="EP94" i="2539" s="1"/>
  <c r="DT96" i="2539"/>
  <c r="DT94" i="2539" s="1"/>
  <c r="CB75" i="2539"/>
  <c r="CB74" i="2539" s="1"/>
  <c r="DD75" i="2539"/>
  <c r="DD74" i="2539" s="1"/>
  <c r="EV75" i="2539"/>
  <c r="GM75" i="2539"/>
  <c r="CH75" i="2539"/>
  <c r="CH74" i="2539" s="1"/>
  <c r="CT75" i="2539"/>
  <c r="CT74" i="2539" s="1"/>
  <c r="DF75" i="2539"/>
  <c r="DF74" i="2539" s="1"/>
  <c r="DR75" i="2539"/>
  <c r="DR74" i="2539" s="1"/>
  <c r="EE94" i="2539"/>
  <c r="EQ94" i="2539"/>
  <c r="FC94" i="2539"/>
  <c r="GA76" i="2539"/>
  <c r="GM94" i="2539"/>
  <c r="DN96" i="2539"/>
  <c r="FA98" i="2539"/>
  <c r="FA79" i="2539"/>
  <c r="DA80" i="2539"/>
  <c r="DN80" i="2539"/>
  <c r="EA80" i="2539"/>
  <c r="EN99" i="2539"/>
  <c r="EN80" i="2539"/>
  <c r="EV100" i="2539"/>
  <c r="EV114" i="2539" s="1"/>
  <c r="FI101" i="2539"/>
  <c r="FI100" i="2539" s="1"/>
  <c r="FI114" i="2539" s="1"/>
  <c r="FI81" i="2539"/>
  <c r="FU101" i="2539"/>
  <c r="FU100" i="2539" s="1"/>
  <c r="FU114" i="2539" s="1"/>
  <c r="FU81" i="2539"/>
  <c r="GG101" i="2539"/>
  <c r="GG100" i="2539" s="1"/>
  <c r="GG114" i="2539" s="1"/>
  <c r="GG81" i="2539"/>
  <c r="GT100" i="2539"/>
  <c r="GT114" i="2539" s="1"/>
  <c r="HH81" i="2539"/>
  <c r="FW87" i="2539"/>
  <c r="EQ107" i="2539"/>
  <c r="EQ106" i="2539" s="1"/>
  <c r="EQ115" i="2539" s="1"/>
  <c r="EQ87" i="2539"/>
  <c r="FR109" i="2539"/>
  <c r="GA109" i="2539" s="1"/>
  <c r="FR87" i="2539"/>
  <c r="FN111" i="2539"/>
  <c r="FN92" i="2539"/>
  <c r="BB113" i="2539"/>
  <c r="BN99" i="2539"/>
  <c r="CA99" i="2539"/>
  <c r="EW75" i="2539"/>
  <c r="FK75" i="2539"/>
  <c r="CI94" i="2539"/>
  <c r="CU94" i="2539"/>
  <c r="DG94" i="2539"/>
  <c r="EF94" i="2539"/>
  <c r="ER94" i="2539"/>
  <c r="FP94" i="2539"/>
  <c r="GN76" i="2539"/>
  <c r="EN97" i="2539"/>
  <c r="FN79" i="2539"/>
  <c r="GA98" i="2539"/>
  <c r="GA79" i="2539"/>
  <c r="FA80" i="2539"/>
  <c r="FH81" i="2539"/>
  <c r="GY81" i="2539"/>
  <c r="DA81" i="2539"/>
  <c r="EW101" i="2539"/>
  <c r="EW100" i="2539" s="1"/>
  <c r="EW114" i="2539" s="1"/>
  <c r="EW81" i="2539"/>
  <c r="FJ100" i="2539"/>
  <c r="FJ114" i="2539" s="1"/>
  <c r="FV100" i="2539"/>
  <c r="FV114" i="2539" s="1"/>
  <c r="GH100" i="2539"/>
  <c r="GH114" i="2539" s="1"/>
  <c r="HI102" i="2539"/>
  <c r="HI100" i="2539" s="1"/>
  <c r="HI114" i="2539" s="1"/>
  <c r="HI81" i="2539"/>
  <c r="EW87" i="2539"/>
  <c r="FX87" i="2539"/>
  <c r="HC107" i="2539"/>
  <c r="HC106" i="2539" s="1"/>
  <c r="HC115" i="2539" s="1"/>
  <c r="HC87" i="2539"/>
  <c r="ET109" i="2539"/>
  <c r="FA109" i="2539" s="1"/>
  <c r="ET87" i="2539"/>
  <c r="FF109" i="2539"/>
  <c r="FF106" i="2539" s="1"/>
  <c r="FF115" i="2539" s="1"/>
  <c r="FF87" i="2539"/>
  <c r="GA111" i="2539"/>
  <c r="GA92" i="2539"/>
  <c r="BC113" i="2539"/>
  <c r="BC112" i="2539" s="1"/>
  <c r="BC93" i="2539"/>
  <c r="BP94" i="2539"/>
  <c r="CH95" i="2539"/>
  <c r="CH94" i="2539" s="1"/>
  <c r="FB95" i="2539"/>
  <c r="FG101" i="2539"/>
  <c r="FG100" i="2539" s="1"/>
  <c r="FG114" i="2539" s="1"/>
  <c r="EN105" i="2539"/>
  <c r="BP75" i="2539"/>
  <c r="BP74" i="2539" s="1"/>
  <c r="CD75" i="2539"/>
  <c r="CD74" i="2539" s="1"/>
  <c r="CR75" i="2539"/>
  <c r="CR74" i="2539" s="1"/>
  <c r="DG75" i="2539"/>
  <c r="DG74" i="2539" s="1"/>
  <c r="DU75" i="2539"/>
  <c r="DU74" i="2539" s="1"/>
  <c r="EJ75" i="2539"/>
  <c r="EJ74" i="2539" s="1"/>
  <c r="FL75" i="2539"/>
  <c r="GO75" i="2539"/>
  <c r="HD75" i="2539"/>
  <c r="CJ94" i="2539"/>
  <c r="CV94" i="2539"/>
  <c r="DH94" i="2539"/>
  <c r="EG94" i="2539"/>
  <c r="ES94" i="2539"/>
  <c r="FE94" i="2539"/>
  <c r="GC94" i="2539"/>
  <c r="HA76" i="2539"/>
  <c r="FA77" i="2539"/>
  <c r="EO96" i="2539"/>
  <c r="FN77" i="2539"/>
  <c r="GA77" i="2539"/>
  <c r="GN77" i="2539"/>
  <c r="FA97" i="2539"/>
  <c r="FA78" i="2539"/>
  <c r="GN98" i="2539"/>
  <c r="GN79" i="2539"/>
  <c r="FN99" i="2539"/>
  <c r="FN80" i="2539"/>
  <c r="FJ81" i="2539"/>
  <c r="GZ81" i="2539"/>
  <c r="GV101" i="2539"/>
  <c r="GV100" i="2539" s="1"/>
  <c r="GV114" i="2539" s="1"/>
  <c r="GV81" i="2539"/>
  <c r="HJ101" i="2539"/>
  <c r="HJ100" i="2539" s="1"/>
  <c r="HJ114" i="2539" s="1"/>
  <c r="HJ81" i="2539"/>
  <c r="GW102" i="2539"/>
  <c r="GW100" i="2539" s="1"/>
  <c r="GW81" i="2539"/>
  <c r="EY87" i="2539"/>
  <c r="HE87" i="2539"/>
  <c r="GQ107" i="2539"/>
  <c r="HD107" i="2539"/>
  <c r="HD106" i="2539" s="1"/>
  <c r="HD115" i="2539" s="1"/>
  <c r="HD87" i="2539"/>
  <c r="FN83" i="2539"/>
  <c r="FN105" i="2539"/>
  <c r="FN86" i="2539"/>
  <c r="EW106" i="2539"/>
  <c r="EW115" i="2539" s="1"/>
  <c r="FI106" i="2539"/>
  <c r="FI115" i="2539" s="1"/>
  <c r="FU106" i="2539"/>
  <c r="FU115" i="2539" s="1"/>
  <c r="GG106" i="2539"/>
  <c r="GG115" i="2539" s="1"/>
  <c r="GS106" i="2539"/>
  <c r="GS115" i="2539" s="1"/>
  <c r="HE106" i="2539"/>
  <c r="HE115" i="2539" s="1"/>
  <c r="FN89" i="2539"/>
  <c r="GN111" i="2539"/>
  <c r="GN92" i="2539"/>
  <c r="GA105" i="2539"/>
  <c r="GA86" i="2539"/>
  <c r="EX106" i="2539"/>
  <c r="EX115" i="2539" s="1"/>
  <c r="FJ106" i="2539"/>
  <c r="FJ115" i="2539" s="1"/>
  <c r="FV106" i="2539"/>
  <c r="FV115" i="2539" s="1"/>
  <c r="GH106" i="2539"/>
  <c r="GH115" i="2539" s="1"/>
  <c r="GT106" i="2539"/>
  <c r="GT115" i="2539" s="1"/>
  <c r="HF106" i="2539"/>
  <c r="HF115" i="2539" s="1"/>
  <c r="GA89" i="2539"/>
  <c r="FA110" i="2539"/>
  <c r="FA91" i="2539"/>
  <c r="HB95" i="2539"/>
  <c r="BV96" i="2539"/>
  <c r="BV94" i="2539" s="1"/>
  <c r="HB97" i="2539"/>
  <c r="EN98" i="2539"/>
  <c r="GO98" i="2539"/>
  <c r="HA98" i="2539" s="1"/>
  <c r="CI100" i="2539"/>
  <c r="CI114" i="2539" s="1"/>
  <c r="EF106" i="2539"/>
  <c r="EF115" i="2539" s="1"/>
  <c r="EL53" i="2541"/>
  <c r="EL52" i="2541" s="1"/>
  <c r="EL47" i="2541"/>
  <c r="EL43" i="2541" s="1"/>
  <c r="EL40" i="2541" s="1"/>
  <c r="EY53" i="2541"/>
  <c r="EY52" i="2541" s="1"/>
  <c r="EY47" i="2541"/>
  <c r="EY43" i="2541" s="1"/>
  <c r="EY40" i="2541" s="1"/>
  <c r="FL47" i="2541"/>
  <c r="FL43" i="2541" s="1"/>
  <c r="FL40" i="2541" s="1"/>
  <c r="FL38" i="2541" s="1"/>
  <c r="GN99" i="2539"/>
  <c r="GN80" i="2539"/>
  <c r="GN83" i="2539"/>
  <c r="FA85" i="2539"/>
  <c r="GN105" i="2539"/>
  <c r="GN86" i="2539"/>
  <c r="EY106" i="2539"/>
  <c r="EY115" i="2539" s="1"/>
  <c r="FW106" i="2539"/>
  <c r="FW115" i="2539" s="1"/>
  <c r="GU106" i="2539"/>
  <c r="GU115" i="2539" s="1"/>
  <c r="HG106" i="2539"/>
  <c r="HG115" i="2539" s="1"/>
  <c r="GN89" i="2539"/>
  <c r="FN110" i="2539"/>
  <c r="FN91" i="2539"/>
  <c r="HN111" i="2539"/>
  <c r="HN92" i="2539"/>
  <c r="DB99" i="2539"/>
  <c r="DN99" i="2539" s="1"/>
  <c r="CW100" i="2539"/>
  <c r="CW114" i="2539" s="1"/>
  <c r="DJ100" i="2539"/>
  <c r="DW100" i="2539"/>
  <c r="DW114" i="2539" s="1"/>
  <c r="EJ100" i="2539"/>
  <c r="EJ114" i="2539" s="1"/>
  <c r="EN109" i="2539"/>
  <c r="GA110" i="2539"/>
  <c r="GA91" i="2539"/>
  <c r="BN95" i="2539"/>
  <c r="CN103" i="2539"/>
  <c r="DA103" i="2539"/>
  <c r="EA103" i="2539"/>
  <c r="CA104" i="2539"/>
  <c r="CN104" i="2539"/>
  <c r="FB109" i="2539"/>
  <c r="GA78" i="2539"/>
  <c r="HN80" i="2539"/>
  <c r="FA82" i="2539"/>
  <c r="GA104" i="2539"/>
  <c r="GA85" i="2539"/>
  <c r="EX87" i="2539"/>
  <c r="FJ87" i="2539"/>
  <c r="FV87" i="2539"/>
  <c r="GH87" i="2539"/>
  <c r="GT87" i="2539"/>
  <c r="HF87" i="2539"/>
  <c r="FA88" i="2539"/>
  <c r="HN89" i="2539"/>
  <c r="GN91" i="2539"/>
  <c r="CA95" i="2539"/>
  <c r="CO99" i="2539"/>
  <c r="DA108" i="2539"/>
  <c r="FB96" i="2539"/>
  <c r="FO96" i="2539"/>
  <c r="FO94" i="2539" s="1"/>
  <c r="BB114" i="2539"/>
  <c r="DN101" i="2539"/>
  <c r="EA101" i="2539"/>
  <c r="EN101" i="2539"/>
  <c r="EA102" i="2539"/>
  <c r="EN102" i="2539"/>
  <c r="FP100" i="2539"/>
  <c r="FP114" i="2539" s="1"/>
  <c r="GB100" i="2539"/>
  <c r="GN82" i="2539"/>
  <c r="GZ100" i="2539"/>
  <c r="GZ114" i="2539" s="1"/>
  <c r="FN103" i="2539"/>
  <c r="FN84" i="2539"/>
  <c r="GB106" i="2539"/>
  <c r="GN88" i="2539"/>
  <c r="GZ106" i="2539"/>
  <c r="GZ115" i="2539" s="1"/>
  <c r="ES100" i="2539"/>
  <c r="ES114" i="2539" s="1"/>
  <c r="GO100" i="2539"/>
  <c r="HA82" i="2539"/>
  <c r="HM100" i="2539"/>
  <c r="HM114" i="2539" s="1"/>
  <c r="GA103" i="2539"/>
  <c r="GA84" i="2539"/>
  <c r="ES106" i="2539"/>
  <c r="ES115" i="2539" s="1"/>
  <c r="FE106" i="2539"/>
  <c r="FE115" i="2539" s="1"/>
  <c r="GC106" i="2539"/>
  <c r="GC115" i="2539" s="1"/>
  <c r="HM106" i="2539"/>
  <c r="HM115" i="2539" s="1"/>
  <c r="GA90" i="2539"/>
  <c r="DO95" i="2539"/>
  <c r="CB115" i="2539"/>
  <c r="CN107" i="2539"/>
  <c r="FF100" i="2539"/>
  <c r="FF114" i="2539" s="1"/>
  <c r="GP100" i="2539"/>
  <c r="GP114" i="2539" s="1"/>
  <c r="GN84" i="2539"/>
  <c r="HN88" i="2539"/>
  <c r="GN90" i="2539"/>
  <c r="FA111" i="2539"/>
  <c r="FA92" i="2539"/>
  <c r="EB115" i="2539"/>
  <c r="DA107" i="2539"/>
  <c r="EA107" i="2539"/>
  <c r="EN107" i="2539"/>
  <c r="EN110" i="2539"/>
  <c r="BN111" i="2539"/>
  <c r="CA111" i="2539"/>
  <c r="AN25" i="2540"/>
  <c r="AF7" i="2540"/>
  <c r="FA44" i="2541"/>
  <c r="BN101" i="2539"/>
  <c r="DN108" i="2539"/>
  <c r="DO106" i="2539"/>
  <c r="EA108" i="2539"/>
  <c r="EM106" i="2539"/>
  <c r="EM115" i="2539" s="1"/>
  <c r="EN111" i="2539"/>
  <c r="CA101" i="2539"/>
  <c r="CQ106" i="2539"/>
  <c r="CQ115" i="2539" s="1"/>
  <c r="DC106" i="2539"/>
  <c r="DC115" i="2539" s="1"/>
  <c r="GA41" i="2541"/>
  <c r="EO52" i="2541"/>
  <c r="CN101" i="2539"/>
  <c r="EG106" i="2539"/>
  <c r="EG115" i="2539" s="1"/>
  <c r="BS106" i="2539"/>
  <c r="BS115" i="2539" s="1"/>
  <c r="CE106" i="2539"/>
  <c r="CE115" i="2539" s="1"/>
  <c r="DA101" i="2539"/>
  <c r="DA104" i="2539"/>
  <c r="DN104" i="2539"/>
  <c r="EA104" i="2539"/>
  <c r="EN104" i="2539"/>
  <c r="DU106" i="2539"/>
  <c r="DU115" i="2539" s="1"/>
  <c r="EH106" i="2539"/>
  <c r="EH115" i="2539" s="1"/>
  <c r="CA109" i="2539"/>
  <c r="CN109" i="2539"/>
  <c r="DA109" i="2539"/>
  <c r="DN109" i="2539"/>
  <c r="CO114" i="2539"/>
  <c r="CA103" i="2539"/>
  <c r="DI106" i="2539"/>
  <c r="DI115" i="2539" s="1"/>
  <c r="DV106" i="2539"/>
  <c r="DV115" i="2539" s="1"/>
  <c r="EI106" i="2539"/>
  <c r="EI115" i="2539" s="1"/>
  <c r="BN7" i="2540"/>
  <c r="DA7" i="2540"/>
  <c r="EN7" i="2540"/>
  <c r="FA7" i="2540"/>
  <c r="HA7" i="2540"/>
  <c r="HN7" i="2540"/>
  <c r="CA105" i="2539"/>
  <c r="CK106" i="2539"/>
  <c r="CK115" i="2539" s="1"/>
  <c r="CW106" i="2539"/>
  <c r="CW115" i="2539" s="1"/>
  <c r="DJ106" i="2539"/>
  <c r="DJ115" i="2539" s="1"/>
  <c r="DW106" i="2539"/>
  <c r="DW115" i="2539" s="1"/>
  <c r="EJ106" i="2539"/>
  <c r="EJ115" i="2539" s="1"/>
  <c r="BN8" i="2541"/>
  <c r="GA8" i="2541"/>
  <c r="EA24" i="2541"/>
  <c r="DN103" i="2539"/>
  <c r="DA105" i="2539"/>
  <c r="BB115" i="2539"/>
  <c r="BN107" i="2539"/>
  <c r="BZ106" i="2539"/>
  <c r="BZ115" i="2539" s="1"/>
  <c r="CL106" i="2539"/>
  <c r="CL115" i="2539" s="1"/>
  <c r="CX106" i="2539"/>
  <c r="CX115" i="2539" s="1"/>
  <c r="DK106" i="2539"/>
  <c r="DK115" i="2539" s="1"/>
  <c r="DX106" i="2539"/>
  <c r="DX115" i="2539" s="1"/>
  <c r="CN110" i="2539"/>
  <c r="FC7" i="2541"/>
  <c r="EA17" i="2541"/>
  <c r="BO106" i="2539"/>
  <c r="CA107" i="2539"/>
  <c r="CM106" i="2539"/>
  <c r="CM115" i="2539" s="1"/>
  <c r="CY106" i="2539"/>
  <c r="CY115" i="2539" s="1"/>
  <c r="DL106" i="2539"/>
  <c r="DL115" i="2539" s="1"/>
  <c r="BN17" i="2541"/>
  <c r="BN49" i="2541" s="1"/>
  <c r="EN41" i="2541"/>
  <c r="FA41" i="2541"/>
  <c r="W7" i="2541"/>
  <c r="AD49" i="2541"/>
  <c r="AD7" i="2541"/>
  <c r="FA17" i="2541"/>
  <c r="GA17" i="2541"/>
  <c r="EA44" i="2541"/>
  <c r="BB47" i="2541"/>
  <c r="BB43" i="2541" s="1"/>
  <c r="BB40" i="2541" s="1"/>
  <c r="BB38" i="2541" s="1"/>
  <c r="BB53" i="2541"/>
  <c r="BN56" i="2541"/>
  <c r="BZ47" i="2541"/>
  <c r="BZ43" i="2541" s="1"/>
  <c r="BZ40" i="2541" s="1"/>
  <c r="BZ38" i="2541" s="1"/>
  <c r="BZ53" i="2541"/>
  <c r="BZ52" i="2541" s="1"/>
  <c r="BZ87" i="2541" s="1"/>
  <c r="N7" i="2540"/>
  <c r="AA7" i="2540"/>
  <c r="CA31" i="2540"/>
  <c r="CN31" i="2540"/>
  <c r="CX7" i="2541"/>
  <c r="N24" i="2541"/>
  <c r="AA24" i="2541"/>
  <c r="DA77" i="2541"/>
  <c r="CA7" i="2540"/>
  <c r="CN7" i="2540"/>
  <c r="EA31" i="2540"/>
  <c r="CF49" i="2541"/>
  <c r="CF38" i="2541" s="1"/>
  <c r="CF7" i="2541"/>
  <c r="CF34" i="2541" s="1"/>
  <c r="DN7" i="2540"/>
  <c r="EA7" i="2540"/>
  <c r="N8" i="2541"/>
  <c r="AN8" i="2541"/>
  <c r="DA24" i="2541"/>
  <c r="EN44" i="2541"/>
  <c r="EN45" i="2541"/>
  <c r="GA31" i="2540"/>
  <c r="GN31" i="2540"/>
  <c r="AP7" i="2541"/>
  <c r="CA8" i="2541"/>
  <c r="CN8" i="2541"/>
  <c r="DN8" i="2541"/>
  <c r="DO7" i="2541"/>
  <c r="EA8" i="2541"/>
  <c r="EN24" i="2541"/>
  <c r="FA24" i="2541"/>
  <c r="FN7" i="2540"/>
  <c r="GA7" i="2540"/>
  <c r="GN7" i="2540"/>
  <c r="HN31" i="2540"/>
  <c r="FA8" i="2541"/>
  <c r="FN8" i="2541"/>
  <c r="N20" i="2541"/>
  <c r="AA20" i="2541"/>
  <c r="AN20" i="2541"/>
  <c r="EA42" i="2541"/>
  <c r="FA42" i="2541"/>
  <c r="GA42" i="2541"/>
  <c r="CC43" i="2541"/>
  <c r="CC40" i="2541" s="1"/>
  <c r="CC38" i="2541" s="1"/>
  <c r="CC35" i="2541" s="1"/>
  <c r="DT53" i="2541"/>
  <c r="DT52" i="2541" s="1"/>
  <c r="DT47" i="2541"/>
  <c r="DT43" i="2541" s="1"/>
  <c r="DT40" i="2541" s="1"/>
  <c r="DT38" i="2541" s="1"/>
  <c r="BW49" i="2541"/>
  <c r="BW7" i="2541"/>
  <c r="BW34" i="2541" s="1"/>
  <c r="CJ49" i="2541"/>
  <c r="CJ7" i="2541"/>
  <c r="CJ34" i="2541" s="1"/>
  <c r="CW49" i="2541"/>
  <c r="CW7" i="2541"/>
  <c r="BN20" i="2541"/>
  <c r="CN20" i="2541"/>
  <c r="DE43" i="2541"/>
  <c r="DE40" i="2541" s="1"/>
  <c r="DE38" i="2541" s="1"/>
  <c r="DH47" i="2541"/>
  <c r="DH43" i="2541" s="1"/>
  <c r="DH40" i="2541" s="1"/>
  <c r="DH38" i="2541" s="1"/>
  <c r="EH47" i="2541"/>
  <c r="EH43" i="2541" s="1"/>
  <c r="EH40" i="2541" s="1"/>
  <c r="EH38" i="2541" s="1"/>
  <c r="BK7" i="2541"/>
  <c r="DR7" i="2541"/>
  <c r="ED7" i="2541"/>
  <c r="EQ7" i="2541"/>
  <c r="FD7" i="2541"/>
  <c r="FQ7" i="2541"/>
  <c r="AY49" i="2541"/>
  <c r="AY7" i="2541"/>
  <c r="FN20" i="2541"/>
  <c r="GA20" i="2541"/>
  <c r="CV53" i="2541"/>
  <c r="CV52" i="2541" s="1"/>
  <c r="CV87" i="2541" s="1"/>
  <c r="CV47" i="2541"/>
  <c r="CV43" i="2541" s="1"/>
  <c r="CV40" i="2541" s="1"/>
  <c r="CV38" i="2541" s="1"/>
  <c r="CS7" i="2541"/>
  <c r="DS7" i="2541"/>
  <c r="EE7" i="2541"/>
  <c r="ER7" i="2541"/>
  <c r="N17" i="2541"/>
  <c r="BK43" i="2541"/>
  <c r="BK40" i="2541" s="1"/>
  <c r="BK38" i="2541" s="1"/>
  <c r="DG43" i="2541"/>
  <c r="DG40" i="2541" s="1"/>
  <c r="DG38" i="2541" s="1"/>
  <c r="DT7" i="2541"/>
  <c r="DA20" i="2541"/>
  <c r="DN20" i="2541"/>
  <c r="FN24" i="2541"/>
  <c r="GA24" i="2541"/>
  <c r="AY40" i="2541"/>
  <c r="EA45" i="2541"/>
  <c r="EO49" i="2541"/>
  <c r="FQ53" i="2541"/>
  <c r="FQ52" i="2541" s="1"/>
  <c r="AF53" i="2541"/>
  <c r="AF52" i="2541" s="1"/>
  <c r="AF47" i="2541"/>
  <c r="AF43" i="2541" s="1"/>
  <c r="AF40" i="2541" s="1"/>
  <c r="AF38" i="2541" s="1"/>
  <c r="AR53" i="2541"/>
  <c r="AR52" i="2541" s="1"/>
  <c r="AR47" i="2541"/>
  <c r="AR43" i="2541" s="1"/>
  <c r="AR40" i="2541" s="1"/>
  <c r="AR38" i="2541" s="1"/>
  <c r="BE53" i="2541"/>
  <c r="BE52" i="2541" s="1"/>
  <c r="BE47" i="2541"/>
  <c r="BE43" i="2541" s="1"/>
  <c r="BE40" i="2541" s="1"/>
  <c r="BE38" i="2541" s="1"/>
  <c r="BQ53" i="2541"/>
  <c r="BQ52" i="2541" s="1"/>
  <c r="BQ87" i="2541" s="1"/>
  <c r="CD53" i="2541"/>
  <c r="CD52" i="2541" s="1"/>
  <c r="CD87" i="2541" s="1"/>
  <c r="CD47" i="2541"/>
  <c r="CD43" i="2541" s="1"/>
  <c r="CD40" i="2541" s="1"/>
  <c r="CD38" i="2541" s="1"/>
  <c r="CD35" i="2541" s="1"/>
  <c r="FC52" i="2541"/>
  <c r="BA77" i="2541"/>
  <c r="AC7" i="2541"/>
  <c r="DV7" i="2541"/>
  <c r="BG7" i="2541"/>
  <c r="BS7" i="2541"/>
  <c r="BS34" i="2541" s="1"/>
  <c r="CE7" i="2541"/>
  <c r="CE34" i="2541" s="1"/>
  <c r="CQ7" i="2541"/>
  <c r="DC7" i="2541"/>
  <c r="EN8" i="2541"/>
  <c r="AN17" i="2541"/>
  <c r="AN49" i="2541" s="1"/>
  <c r="EN20" i="2541"/>
  <c r="FA20" i="2541"/>
  <c r="FA45" i="2541"/>
  <c r="EA46" i="2541"/>
  <c r="EN46" i="2541"/>
  <c r="EF53" i="2541"/>
  <c r="EF52" i="2541" s="1"/>
  <c r="EA77" i="2541"/>
  <c r="DO47" i="2541"/>
  <c r="AN80" i="2541"/>
  <c r="BA80" i="2541"/>
  <c r="DA80" i="2541"/>
  <c r="AU7" i="2541"/>
  <c r="BA17" i="2541"/>
  <c r="BA49" i="2541" s="1"/>
  <c r="EA41" i="2541"/>
  <c r="EN42" i="2541"/>
  <c r="FN46" i="2541"/>
  <c r="AU47" i="2541"/>
  <c r="AU43" i="2541" s="1"/>
  <c r="AU40" i="2541" s="1"/>
  <c r="AU38" i="2541" s="1"/>
  <c r="AU53" i="2541"/>
  <c r="AU52" i="2541" s="1"/>
  <c r="AG7" i="2541"/>
  <c r="BH7" i="2541"/>
  <c r="CI7" i="2541"/>
  <c r="CI34" i="2541" s="1"/>
  <c r="ET7" i="2541"/>
  <c r="FE7" i="2541"/>
  <c r="DP49" i="2541"/>
  <c r="DP7" i="2541"/>
  <c r="EN17" i="2541"/>
  <c r="CA24" i="2541"/>
  <c r="EE40" i="2541"/>
  <c r="EE38" i="2541" s="1"/>
  <c r="FF49" i="2541"/>
  <c r="FN49" i="2541" s="1"/>
  <c r="DJ53" i="2541"/>
  <c r="DJ52" i="2541" s="1"/>
  <c r="DJ87" i="2541" s="1"/>
  <c r="DJ47" i="2541"/>
  <c r="DJ43" i="2541" s="1"/>
  <c r="DJ40" i="2541" s="1"/>
  <c r="DJ38" i="2541" s="1"/>
  <c r="EV47" i="2541"/>
  <c r="EV43" i="2541" s="1"/>
  <c r="EV40" i="2541" s="1"/>
  <c r="EV38" i="2541" s="1"/>
  <c r="FI53" i="2541"/>
  <c r="FI52" i="2541" s="1"/>
  <c r="FI47" i="2541"/>
  <c r="FI43" i="2541" s="1"/>
  <c r="FI40" i="2541" s="1"/>
  <c r="FI38" i="2541" s="1"/>
  <c r="FV53" i="2541"/>
  <c r="FV52" i="2541" s="1"/>
  <c r="DF47" i="2541"/>
  <c r="DF43" i="2541" s="1"/>
  <c r="DF40" i="2541" s="1"/>
  <c r="DF38" i="2541" s="1"/>
  <c r="AV7" i="2541"/>
  <c r="BG40" i="2541"/>
  <c r="BG38" i="2541" s="1"/>
  <c r="FP43" i="2541"/>
  <c r="FP40" i="2541" s="1"/>
  <c r="FP38" i="2541" s="1"/>
  <c r="AG47" i="2541"/>
  <c r="AG43" i="2541" s="1"/>
  <c r="AG40" i="2541" s="1"/>
  <c r="AG38" i="2541" s="1"/>
  <c r="AN77" i="2541"/>
  <c r="AJ7" i="2541"/>
  <c r="EF7" i="2541"/>
  <c r="DN42" i="2541"/>
  <c r="FN17" i="2541"/>
  <c r="DQ43" i="2541"/>
  <c r="DQ40" i="2541" s="1"/>
  <c r="DQ38" i="2541" s="1"/>
  <c r="EX43" i="2541"/>
  <c r="EX40" i="2541" s="1"/>
  <c r="EX38" i="2541" s="1"/>
  <c r="AB53" i="2541"/>
  <c r="AB47" i="2541"/>
  <c r="AB43" i="2541" s="1"/>
  <c r="AB40" i="2541" s="1"/>
  <c r="AB38" i="2541" s="1"/>
  <c r="AN56" i="2541"/>
  <c r="AZ53" i="2541"/>
  <c r="AZ52" i="2541" s="1"/>
  <c r="AZ47" i="2541"/>
  <c r="AZ43" i="2541" s="1"/>
  <c r="AZ40" i="2541" s="1"/>
  <c r="AZ38" i="2541" s="1"/>
  <c r="CL47" i="2541"/>
  <c r="CL43" i="2541" s="1"/>
  <c r="CL40" i="2541" s="1"/>
  <c r="CL38" i="2541" s="1"/>
  <c r="CL35" i="2541" s="1"/>
  <c r="CN77" i="2541"/>
  <c r="BQ43" i="2541"/>
  <c r="BQ40" i="2541" s="1"/>
  <c r="BQ38" i="2541" s="1"/>
  <c r="BY43" i="2541"/>
  <c r="BY40" i="2541" s="1"/>
  <c r="BY38" i="2541" s="1"/>
  <c r="BY35" i="2541" s="1"/>
  <c r="DN56" i="2541"/>
  <c r="DZ47" i="2541"/>
  <c r="DZ43" i="2541" s="1"/>
  <c r="DZ40" i="2541" s="1"/>
  <c r="DZ38" i="2541" s="1"/>
  <c r="BM7" i="2541"/>
  <c r="DD7" i="2541"/>
  <c r="DA16" i="2541"/>
  <c r="DA42" i="2541" s="1"/>
  <c r="CA20" i="2541"/>
  <c r="DU43" i="2541"/>
  <c r="DU40" i="2541" s="1"/>
  <c r="DU38" i="2541" s="1"/>
  <c r="FD43" i="2541"/>
  <c r="FD40" i="2541" s="1"/>
  <c r="FD38" i="2541" s="1"/>
  <c r="FJ43" i="2541"/>
  <c r="FJ40" i="2541" s="1"/>
  <c r="FJ38" i="2541" s="1"/>
  <c r="CP53" i="2541"/>
  <c r="CP52" i="2541" s="1"/>
  <c r="CP87" i="2541" s="1"/>
  <c r="CP47" i="2541"/>
  <c r="CP43" i="2541" s="1"/>
  <c r="CP40" i="2541" s="1"/>
  <c r="CP38" i="2541" s="1"/>
  <c r="FR47" i="2541"/>
  <c r="FR43" i="2541" s="1"/>
  <c r="FR40" i="2541" s="1"/>
  <c r="FR38" i="2541" s="1"/>
  <c r="AL62" i="2541"/>
  <c r="AL53" i="2541" s="1"/>
  <c r="AL52" i="2541" s="1"/>
  <c r="FS47" i="2541"/>
  <c r="FS43" i="2541" s="1"/>
  <c r="GA77" i="2541"/>
  <c r="CI40" i="2541"/>
  <c r="CI38" i="2541" s="1"/>
  <c r="BX53" i="2541"/>
  <c r="BX52" i="2541" s="1"/>
  <c r="BX87" i="2541" s="1"/>
  <c r="FG53" i="2541"/>
  <c r="FG52" i="2541" s="1"/>
  <c r="FG47" i="2541"/>
  <c r="FT53" i="2541"/>
  <c r="FT52" i="2541" s="1"/>
  <c r="FT47" i="2541"/>
  <c r="FT43" i="2541" s="1"/>
  <c r="FT40" i="2541" s="1"/>
  <c r="FT38" i="2541" s="1"/>
  <c r="AN63" i="2541"/>
  <c r="CN63" i="2541"/>
  <c r="DA63" i="2541"/>
  <c r="DW62" i="2541"/>
  <c r="DW53" i="2541" s="1"/>
  <c r="DW52" i="2541" s="1"/>
  <c r="DW47" i="2541"/>
  <c r="DW43" i="2541" s="1"/>
  <c r="DW40" i="2541" s="1"/>
  <c r="DW38" i="2541" s="1"/>
  <c r="EA63" i="2541"/>
  <c r="FA63" i="2541"/>
  <c r="GA73" i="2541"/>
  <c r="FN42" i="2541"/>
  <c r="AP47" i="2541"/>
  <c r="AP43" i="2541" s="1"/>
  <c r="AP40" i="2541" s="1"/>
  <c r="AP38" i="2541" s="1"/>
  <c r="CB53" i="2541"/>
  <c r="CB47" i="2541"/>
  <c r="CB43" i="2541" s="1"/>
  <c r="CB40" i="2541" s="1"/>
  <c r="CB38" i="2541" s="1"/>
  <c r="CN56" i="2541"/>
  <c r="CZ47" i="2541"/>
  <c r="CZ43" i="2541" s="1"/>
  <c r="CZ40" i="2541" s="1"/>
  <c r="CZ38" i="2541" s="1"/>
  <c r="DL53" i="2541"/>
  <c r="DL52" i="2541" s="1"/>
  <c r="DL87" i="2541" s="1"/>
  <c r="DL47" i="2541"/>
  <c r="DL43" i="2541" s="1"/>
  <c r="DL40" i="2541" s="1"/>
  <c r="DL38" i="2541" s="1"/>
  <c r="DX53" i="2541"/>
  <c r="DX52" i="2541" s="1"/>
  <c r="DX47" i="2541"/>
  <c r="DX43" i="2541" s="1"/>
  <c r="DX40" i="2541" s="1"/>
  <c r="DX38" i="2541" s="1"/>
  <c r="EJ47" i="2541"/>
  <c r="EC62" i="2541"/>
  <c r="EC53" i="2541" s="1"/>
  <c r="EC52" i="2541" s="1"/>
  <c r="AD43" i="2541"/>
  <c r="AD40" i="2541" s="1"/>
  <c r="FN44" i="2541"/>
  <c r="FN45" i="2541"/>
  <c r="CT52" i="2541"/>
  <c r="CT87" i="2541" s="1"/>
  <c r="BD53" i="2541"/>
  <c r="BD52" i="2541" s="1"/>
  <c r="BD47" i="2541"/>
  <c r="BD43" i="2541" s="1"/>
  <c r="BD40" i="2541" s="1"/>
  <c r="BD38" i="2541" s="1"/>
  <c r="BP53" i="2541"/>
  <c r="BP47" i="2541"/>
  <c r="BP43" i="2541" s="1"/>
  <c r="BP40" i="2541" s="1"/>
  <c r="BP38" i="2541" s="1"/>
  <c r="BP35" i="2541" s="1"/>
  <c r="DA56" i="2541"/>
  <c r="EX53" i="2541"/>
  <c r="EX52" i="2541" s="1"/>
  <c r="FX53" i="2541"/>
  <c r="FX52" i="2541" s="1"/>
  <c r="CS62" i="2541"/>
  <c r="AN73" i="2541"/>
  <c r="AG53" i="2541"/>
  <c r="AG52" i="2541" s="1"/>
  <c r="AS53" i="2541"/>
  <c r="AS52" i="2541" s="1"/>
  <c r="BR53" i="2541"/>
  <c r="BR52" i="2541" s="1"/>
  <c r="BR87" i="2541" s="1"/>
  <c r="DC53" i="2541"/>
  <c r="DC52" i="2541" s="1"/>
  <c r="DC87" i="2541" s="1"/>
  <c r="DO53" i="2541"/>
  <c r="EA56" i="2541"/>
  <c r="EU7" i="2541"/>
  <c r="FG7" i="2541"/>
  <c r="FS7" i="2541"/>
  <c r="CN17" i="2541"/>
  <c r="CN49" i="2541" s="1"/>
  <c r="ER47" i="2541"/>
  <c r="FX47" i="2541"/>
  <c r="FX43" i="2541" s="1"/>
  <c r="FX40" i="2541" s="1"/>
  <c r="FX38" i="2541" s="1"/>
  <c r="AT53" i="2541"/>
  <c r="AT52" i="2541" s="1"/>
  <c r="BG53" i="2541"/>
  <c r="BG52" i="2541" s="1"/>
  <c r="BS53" i="2541"/>
  <c r="BS52" i="2541" s="1"/>
  <c r="BS87" i="2541" s="1"/>
  <c r="EN56" i="2541"/>
  <c r="CF62" i="2541"/>
  <c r="CF53" i="2541" s="1"/>
  <c r="CF52" i="2541" s="1"/>
  <c r="CF87" i="2541" s="1"/>
  <c r="DD62" i="2541"/>
  <c r="DD53" i="2541" s="1"/>
  <c r="DD52" i="2541" s="1"/>
  <c r="DD87" i="2541" s="1"/>
  <c r="DP62" i="2541"/>
  <c r="DP53" i="2541" s="1"/>
  <c r="DP52" i="2541" s="1"/>
  <c r="DP87" i="2541" s="1"/>
  <c r="FN63" i="2541"/>
  <c r="CA56" i="2541"/>
  <c r="FH53" i="2541"/>
  <c r="FH52" i="2541" s="1"/>
  <c r="FU53" i="2541"/>
  <c r="FU52" i="2541" s="1"/>
  <c r="BH62" i="2541"/>
  <c r="BH53" i="2541" s="1"/>
  <c r="BH52" i="2541" s="1"/>
  <c r="BU62" i="2541"/>
  <c r="BU53" i="2541" s="1"/>
  <c r="BU52" i="2541" s="1"/>
  <c r="BU87" i="2541" s="1"/>
  <c r="CH62" i="2541"/>
  <c r="CH53" i="2541" s="1"/>
  <c r="CH52" i="2541" s="1"/>
  <c r="CH87" i="2541" s="1"/>
  <c r="DF62" i="2541"/>
  <c r="DF53" i="2541" s="1"/>
  <c r="DF52" i="2541" s="1"/>
  <c r="DF87" i="2541" s="1"/>
  <c r="ED62" i="2541"/>
  <c r="ED53" i="2541" s="1"/>
  <c r="ED52" i="2541" s="1"/>
  <c r="EN80" i="2541"/>
  <c r="CA77" i="2541"/>
  <c r="FA77" i="2541"/>
  <c r="FA80" i="2541"/>
  <c r="AK62" i="2541"/>
  <c r="AK53" i="2541" s="1"/>
  <c r="AK52" i="2541" s="1"/>
  <c r="AW62" i="2541"/>
  <c r="AW53" i="2541" s="1"/>
  <c r="AW52" i="2541" s="1"/>
  <c r="BJ62" i="2541"/>
  <c r="BJ53" i="2541" s="1"/>
  <c r="BJ52" i="2541" s="1"/>
  <c r="FN77" i="2541"/>
  <c r="FN80" i="2541"/>
  <c r="FF47" i="2541"/>
  <c r="FF43" i="2541" s="1"/>
  <c r="FA56" i="2541"/>
  <c r="FN56" i="2541"/>
  <c r="GA56" i="2541"/>
  <c r="BA63" i="2541"/>
  <c r="BN63" i="2541"/>
  <c r="CA63" i="2541"/>
  <c r="FH47" i="2541"/>
  <c r="FH43" i="2541" s="1"/>
  <c r="FH40" i="2541" s="1"/>
  <c r="FH38" i="2541" s="1"/>
  <c r="BA73" i="2541"/>
  <c r="CA73" i="2541"/>
  <c r="CN73" i="2541"/>
  <c r="DA73" i="2541"/>
  <c r="DN73" i="2541"/>
  <c r="EA73" i="2541"/>
  <c r="EN73" i="2541"/>
  <c r="FA73" i="2541"/>
  <c r="FN73" i="2541"/>
  <c r="BN73" i="2541"/>
  <c r="BN80" i="2541"/>
  <c r="CA80" i="2541"/>
  <c r="CN80" i="2541"/>
  <c r="DN77" i="2541"/>
  <c r="DN80" i="2541"/>
  <c r="GA80" i="2541"/>
  <c r="GA30" i="2543"/>
  <c r="N30" i="2543"/>
  <c r="N7" i="2543"/>
  <c r="AN7" i="2543"/>
  <c r="BA7" i="2543"/>
  <c r="BN7" i="2543"/>
  <c r="DN30" i="2543"/>
  <c r="AA7" i="2543"/>
  <c r="EN7" i="2543"/>
  <c r="FN7" i="2543"/>
  <c r="BA30" i="2543"/>
  <c r="EN30" i="2543"/>
  <c r="FN30" i="2543"/>
  <c r="HN30" i="2543"/>
  <c r="HA7" i="2543"/>
  <c r="HN7" i="2543"/>
  <c r="AA30" i="2543"/>
  <c r="CN30" i="2543"/>
  <c r="EA7" i="2543"/>
  <c r="GN30" i="2543"/>
  <c r="HA30" i="2543"/>
  <c r="FA7" i="2543"/>
  <c r="AN30" i="2543"/>
  <c r="HA89" i="2539" l="1"/>
  <c r="AB41" i="2536"/>
  <c r="FN108" i="2539"/>
  <c r="HA111" i="2539"/>
  <c r="HN84" i="2539"/>
  <c r="HB103" i="2539"/>
  <c r="HN103" i="2539" s="1"/>
  <c r="BI93" i="2539"/>
  <c r="CP112" i="2539"/>
  <c r="BI112" i="2539"/>
  <c r="HA99" i="2539"/>
  <c r="HA88" i="2539"/>
  <c r="FN97" i="2539"/>
  <c r="ED93" i="2539"/>
  <c r="AE33" i="2539"/>
  <c r="AE65" i="2539"/>
  <c r="AG33" i="2539"/>
  <c r="V41" i="2539"/>
  <c r="EA97" i="2539"/>
  <c r="FR74" i="2539"/>
  <c r="AI32" i="2536"/>
  <c r="T41" i="2536"/>
  <c r="B32" i="2536"/>
  <c r="I32" i="2536"/>
  <c r="AI66" i="2536"/>
  <c r="U32" i="2536"/>
  <c r="D32" i="2536"/>
  <c r="V32" i="2536"/>
  <c r="P32" i="2536"/>
  <c r="K32" i="2536"/>
  <c r="W32" i="2536"/>
  <c r="HA103" i="2539"/>
  <c r="HG74" i="2539"/>
  <c r="DA42" i="2536"/>
  <c r="Q32" i="2536"/>
  <c r="Y32" i="2536"/>
  <c r="GA48" i="2536"/>
  <c r="E32" i="2536"/>
  <c r="AH31" i="2535"/>
  <c r="CH35" i="2541"/>
  <c r="BJ93" i="2539"/>
  <c r="CZ112" i="2539"/>
  <c r="EG7" i="2535"/>
  <c r="EG30" i="2535" s="1"/>
  <c r="CV38" i="2538"/>
  <c r="GO7" i="2535"/>
  <c r="GO30" i="2535" s="1"/>
  <c r="HA108" i="2539"/>
  <c r="FK7" i="2535"/>
  <c r="FK30" i="2535" s="1"/>
  <c r="FY38" i="2541"/>
  <c r="EC7" i="2535"/>
  <c r="EC30" i="2535" s="1"/>
  <c r="HY7" i="2535"/>
  <c r="HY30" i="2535" s="1"/>
  <c r="FG35" i="2538"/>
  <c r="BY7" i="2535"/>
  <c r="BY30" i="2535" s="1"/>
  <c r="EU7" i="2535"/>
  <c r="EU30" i="2535" s="1"/>
  <c r="FC35" i="2538"/>
  <c r="AG32" i="2536"/>
  <c r="GG35" i="2538"/>
  <c r="AG66" i="2536"/>
  <c r="EP35" i="2538"/>
  <c r="HA48" i="2536"/>
  <c r="DA37" i="2535"/>
  <c r="DD112" i="2539"/>
  <c r="AD65" i="2539"/>
  <c r="EI7" i="2535"/>
  <c r="EI30" i="2535" s="1"/>
  <c r="HM42" i="2538"/>
  <c r="HM40" i="2538" s="1"/>
  <c r="HM38" i="2538" s="1"/>
  <c r="HM35" i="2538" s="1"/>
  <c r="EL35" i="2538"/>
  <c r="BZ35" i="2541"/>
  <c r="GA108" i="2539"/>
  <c r="AD33" i="2539"/>
  <c r="HT35" i="2538"/>
  <c r="GY35" i="2538"/>
  <c r="FW35" i="2538"/>
  <c r="BL93" i="2539"/>
  <c r="BD93" i="2539"/>
  <c r="DD93" i="2539"/>
  <c r="FU7" i="2535"/>
  <c r="FU30" i="2535" s="1"/>
  <c r="FY7" i="2535"/>
  <c r="FY30" i="2535" s="1"/>
  <c r="BN74" i="2539"/>
  <c r="HA62" i="2538"/>
  <c r="HA92" i="2539"/>
  <c r="DE93" i="2539"/>
  <c r="GQ87" i="2539"/>
  <c r="GQ74" i="2539" s="1"/>
  <c r="DE112" i="2539"/>
  <c r="EI35" i="2538"/>
  <c r="GQ106" i="2539"/>
  <c r="GQ115" i="2539" s="1"/>
  <c r="IN62" i="2538"/>
  <c r="FN57" i="2539"/>
  <c r="EU35" i="2538"/>
  <c r="CO38" i="2541"/>
  <c r="CW38" i="2541"/>
  <c r="Z41" i="2536"/>
  <c r="FZ53" i="2538"/>
  <c r="FZ81" i="2538" s="1"/>
  <c r="FP35" i="2538"/>
  <c r="EL53" i="2539"/>
  <c r="BB31" i="2535"/>
  <c r="CP7" i="2535"/>
  <c r="CP30" i="2535" s="1"/>
  <c r="HC7" i="2535"/>
  <c r="HC30" i="2535" s="1"/>
  <c r="HR35" i="2538"/>
  <c r="HL74" i="2539"/>
  <c r="DZ31" i="2535"/>
  <c r="EA114" i="2539"/>
  <c r="IQ31" i="2535"/>
  <c r="IQ7" i="2535"/>
  <c r="IQ30" i="2535" s="1"/>
  <c r="FN19" i="2539"/>
  <c r="BV35" i="2541"/>
  <c r="GO54" i="2538"/>
  <c r="DP7" i="2535"/>
  <c r="DP30" i="2535" s="1"/>
  <c r="DD7" i="2535"/>
  <c r="DD30" i="2535" s="1"/>
  <c r="FH7" i="2539"/>
  <c r="FH41" i="2539" s="1"/>
  <c r="IA7" i="2538"/>
  <c r="FE35" i="2538"/>
  <c r="CL7" i="2535"/>
  <c r="CL30" i="2535" s="1"/>
  <c r="CG7" i="2535"/>
  <c r="CG30" i="2535" s="1"/>
  <c r="FT35" i="2538"/>
  <c r="IG53" i="2538"/>
  <c r="FM74" i="2539"/>
  <c r="HG35" i="2538"/>
  <c r="DU112" i="2539"/>
  <c r="BU35" i="2541"/>
  <c r="FZ35" i="2538"/>
  <c r="BR7" i="2535"/>
  <c r="BR30" i="2535" s="1"/>
  <c r="HS35" i="2538"/>
  <c r="BF93" i="2539"/>
  <c r="FN53" i="2539"/>
  <c r="EL38" i="2541"/>
  <c r="BF112" i="2539"/>
  <c r="DN32" i="2535"/>
  <c r="DO38" i="2538"/>
  <c r="EV35" i="2538"/>
  <c r="BF31" i="2535"/>
  <c r="FU35" i="2538"/>
  <c r="FA104" i="2539"/>
  <c r="HH74" i="2539"/>
  <c r="HN48" i="2536"/>
  <c r="BL112" i="2539"/>
  <c r="FN42" i="2536"/>
  <c r="CB35" i="2541"/>
  <c r="AF33" i="2539"/>
  <c r="GR53" i="2538"/>
  <c r="IL7" i="2535"/>
  <c r="IL30" i="2535" s="1"/>
  <c r="ES35" i="2538"/>
  <c r="FX35" i="2538"/>
  <c r="ES74" i="2539"/>
  <c r="IE7" i="2535"/>
  <c r="IE30" i="2535" s="1"/>
  <c r="BA7" i="2538"/>
  <c r="FP74" i="2539"/>
  <c r="GF74" i="2539"/>
  <c r="BQ112" i="2539"/>
  <c r="EG35" i="2538"/>
  <c r="N48" i="2536"/>
  <c r="ET7" i="2535"/>
  <c r="ET30" i="2535" s="1"/>
  <c r="BQ93" i="2539"/>
  <c r="AJ33" i="2539"/>
  <c r="DM53" i="2538"/>
  <c r="EN54" i="2539"/>
  <c r="ED112" i="2539"/>
  <c r="DI7" i="2535"/>
  <c r="DI30" i="2535" s="1"/>
  <c r="EN32" i="2535"/>
  <c r="DP113" i="2539"/>
  <c r="DP112" i="2539" s="1"/>
  <c r="DP93" i="2539"/>
  <c r="AD32" i="2536"/>
  <c r="AH32" i="2536"/>
  <c r="GN48" i="2536"/>
  <c r="BW38" i="2541"/>
  <c r="GU7" i="2535"/>
  <c r="GU30" i="2535" s="1"/>
  <c r="EA7" i="2538"/>
  <c r="EZ35" i="2538"/>
  <c r="EX35" i="2538"/>
  <c r="BO35" i="2541"/>
  <c r="GG53" i="2538"/>
  <c r="EN42" i="2536"/>
  <c r="AL38" i="2541"/>
  <c r="CA32" i="2535"/>
  <c r="DV7" i="2535"/>
  <c r="DV30" i="2535" s="1"/>
  <c r="EA32" i="2535"/>
  <c r="EE35" i="2538"/>
  <c r="CA97" i="2539"/>
  <c r="GX35" i="2538"/>
  <c r="N7" i="2541"/>
  <c r="FW38" i="2541"/>
  <c r="IK31" i="2535"/>
  <c r="IK7" i="2535"/>
  <c r="IK30" i="2535" s="1"/>
  <c r="FA62" i="2541"/>
  <c r="EY74" i="2539"/>
  <c r="GA62" i="2541"/>
  <c r="AG7" i="2535"/>
  <c r="AG30" i="2535" s="1"/>
  <c r="FF74" i="2539"/>
  <c r="HN108" i="2539"/>
  <c r="EA53" i="2539"/>
  <c r="AA39" i="2537"/>
  <c r="CN7" i="2538"/>
  <c r="EY35" i="2538"/>
  <c r="ET106" i="2539"/>
  <c r="ET115" i="2539" s="1"/>
  <c r="DM112" i="2539"/>
  <c r="DM93" i="2539"/>
  <c r="AY38" i="2541"/>
  <c r="EN19" i="2539"/>
  <c r="FD35" i="2538"/>
  <c r="FR35" i="2538"/>
  <c r="DZ93" i="2539"/>
  <c r="DZ113" i="2539"/>
  <c r="DZ112" i="2539" s="1"/>
  <c r="FA7" i="2541"/>
  <c r="AK32" i="2536"/>
  <c r="BQ35" i="2541"/>
  <c r="BK112" i="2539"/>
  <c r="DA97" i="2539"/>
  <c r="FO53" i="2541"/>
  <c r="FE74" i="2539"/>
  <c r="S32" i="2536"/>
  <c r="FA49" i="2541"/>
  <c r="FK74" i="2539"/>
  <c r="CE93" i="2539"/>
  <c r="BR93" i="2539"/>
  <c r="BN94" i="2539"/>
  <c r="HU7" i="2535"/>
  <c r="HU30" i="2535" s="1"/>
  <c r="DN100" i="2539"/>
  <c r="EY38" i="2541"/>
  <c r="GU74" i="2539"/>
  <c r="BR112" i="2539"/>
  <c r="BN100" i="2539"/>
  <c r="FM100" i="2539"/>
  <c r="FM114" i="2539" s="1"/>
  <c r="DQ93" i="2539"/>
  <c r="GN53" i="2539"/>
  <c r="AA7" i="2538"/>
  <c r="CA53" i="2536"/>
  <c r="BT35" i="2541"/>
  <c r="DA8" i="2541"/>
  <c r="FN7" i="2541"/>
  <c r="BK93" i="2539"/>
  <c r="BN114" i="2539"/>
  <c r="GB94" i="2539"/>
  <c r="GB113" i="2539" s="1"/>
  <c r="CY7" i="2535"/>
  <c r="CY30" i="2535" s="1"/>
  <c r="GD100" i="2539"/>
  <c r="GD114" i="2539" s="1"/>
  <c r="GA102" i="2539"/>
  <c r="N42" i="2539"/>
  <c r="HA7" i="2538"/>
  <c r="EA42" i="2539"/>
  <c r="AN7" i="2538"/>
  <c r="AN7" i="2541"/>
  <c r="DM7" i="2535"/>
  <c r="DM30" i="2535" s="1"/>
  <c r="DN42" i="2539"/>
  <c r="AD38" i="2541"/>
  <c r="GN96" i="2539"/>
  <c r="CP93" i="2539"/>
  <c r="IL35" i="2538"/>
  <c r="EB35" i="2538"/>
  <c r="CK31" i="2535"/>
  <c r="CK7" i="2535"/>
  <c r="CK30" i="2535" s="1"/>
  <c r="BJ113" i="2539"/>
  <c r="BJ112" i="2539" s="1"/>
  <c r="DS94" i="2539"/>
  <c r="DS93" i="2539" s="1"/>
  <c r="GO53" i="2538"/>
  <c r="DN48" i="2539"/>
  <c r="CA7" i="2541"/>
  <c r="CA100" i="2539"/>
  <c r="EZ93" i="2539"/>
  <c r="FA48" i="2539"/>
  <c r="IA8" i="2535"/>
  <c r="H32" i="2536"/>
  <c r="GE31" i="2535"/>
  <c r="GE7" i="2535"/>
  <c r="GE30" i="2535" s="1"/>
  <c r="GC31" i="2535"/>
  <c r="GC7" i="2535"/>
  <c r="GC30" i="2535" s="1"/>
  <c r="CA114" i="2539"/>
  <c r="HN62" i="2538"/>
  <c r="FE31" i="2535"/>
  <c r="FE7" i="2535"/>
  <c r="FE30" i="2535" s="1"/>
  <c r="CC31" i="2535"/>
  <c r="CC7" i="2535"/>
  <c r="CC30" i="2535" s="1"/>
  <c r="DQ31" i="2535"/>
  <c r="DQ7" i="2535"/>
  <c r="DQ30" i="2535" s="1"/>
  <c r="FR106" i="2539"/>
  <c r="FR115" i="2539" s="1"/>
  <c r="AN8" i="2538"/>
  <c r="BH31" i="2535"/>
  <c r="BH7" i="2535"/>
  <c r="BH30" i="2535" s="1"/>
  <c r="FA42" i="2539"/>
  <c r="AJ31" i="2535"/>
  <c r="AJ7" i="2535"/>
  <c r="AJ30" i="2535" s="1"/>
  <c r="U31" i="2535"/>
  <c r="U7" i="2535"/>
  <c r="U30" i="2535" s="1"/>
  <c r="EY31" i="2535"/>
  <c r="EY7" i="2535"/>
  <c r="EY30" i="2535" s="1"/>
  <c r="CF35" i="2541"/>
  <c r="CZ93" i="2539"/>
  <c r="Q7" i="2535"/>
  <c r="Q30" i="2535" s="1"/>
  <c r="FN96" i="2539"/>
  <c r="FE100" i="2539"/>
  <c r="FE114" i="2539" s="1"/>
  <c r="FX74" i="2539"/>
  <c r="DA53" i="2539"/>
  <c r="DA7" i="2541"/>
  <c r="GM74" i="2539"/>
  <c r="CN75" i="2539"/>
  <c r="HN104" i="2539"/>
  <c r="R31" i="2535"/>
  <c r="R7" i="2535"/>
  <c r="R30" i="2535" s="1"/>
  <c r="EN8" i="2535"/>
  <c r="FA47" i="2541"/>
  <c r="DA48" i="2536"/>
  <c r="GP31" i="2535"/>
  <c r="GP7" i="2535"/>
  <c r="GP30" i="2535" s="1"/>
  <c r="FN47" i="2541"/>
  <c r="FQ100" i="2539"/>
  <c r="FQ114" i="2539" s="1"/>
  <c r="AN7" i="2536"/>
  <c r="AN32" i="2536" s="1"/>
  <c r="HK35" i="2538"/>
  <c r="DU31" i="2535"/>
  <c r="DU7" i="2535"/>
  <c r="DU30" i="2535" s="1"/>
  <c r="AD31" i="2535"/>
  <c r="AD7" i="2535"/>
  <c r="AD30" i="2535" s="1"/>
  <c r="BQ31" i="2535"/>
  <c r="BQ7" i="2535"/>
  <c r="BQ30" i="2535" s="1"/>
  <c r="GW106" i="2539"/>
  <c r="GW115" i="2539" s="1"/>
  <c r="DN7" i="2538"/>
  <c r="AJ32" i="2536"/>
  <c r="N7" i="2535"/>
  <c r="DN75" i="2539"/>
  <c r="EK93" i="2539"/>
  <c r="HN48" i="2539"/>
  <c r="ET35" i="2538"/>
  <c r="FK35" i="2538"/>
  <c r="BT31" i="2535"/>
  <c r="BT7" i="2535"/>
  <c r="BT30" i="2535" s="1"/>
  <c r="HA91" i="2539"/>
  <c r="FH74" i="2539"/>
  <c r="GT93" i="2539"/>
  <c r="GN19" i="2539"/>
  <c r="EK112" i="2539"/>
  <c r="X32" i="2536"/>
  <c r="BN32" i="2535"/>
  <c r="EH31" i="2535"/>
  <c r="EH7" i="2535"/>
  <c r="EH30" i="2535" s="1"/>
  <c r="AN7" i="2540"/>
  <c r="DA106" i="2539"/>
  <c r="GS74" i="2539"/>
  <c r="GR74" i="2539"/>
  <c r="HA53" i="2539"/>
  <c r="FN43" i="2538"/>
  <c r="FN42" i="2538" s="1"/>
  <c r="FN40" i="2538" s="1"/>
  <c r="FN38" i="2538" s="1"/>
  <c r="DA7" i="2538"/>
  <c r="FA53" i="2539"/>
  <c r="BA35" i="2538"/>
  <c r="JA32" i="2535"/>
  <c r="AL41" i="2536"/>
  <c r="AL66" i="2536" s="1"/>
  <c r="FY106" i="2539"/>
  <c r="FY115" i="2539" s="1"/>
  <c r="FY112" i="2539" s="1"/>
  <c r="EN62" i="2541"/>
  <c r="EV74" i="2539"/>
  <c r="GJ74" i="2539"/>
  <c r="FQ74" i="2539"/>
  <c r="GI74" i="2539"/>
  <c r="IA71" i="2538"/>
  <c r="EA43" i="2538"/>
  <c r="EA42" i="2538" s="1"/>
  <c r="EA40" i="2538" s="1"/>
  <c r="EA38" i="2538" s="1"/>
  <c r="FN48" i="2536"/>
  <c r="DA32" i="2535"/>
  <c r="DE31" i="2535"/>
  <c r="DE7" i="2535"/>
  <c r="DE30" i="2535" s="1"/>
  <c r="HS31" i="2535"/>
  <c r="HS7" i="2535"/>
  <c r="HS30" i="2535" s="1"/>
  <c r="BN7" i="2541"/>
  <c r="CN42" i="2539"/>
  <c r="BN8" i="2535"/>
  <c r="CA47" i="2541"/>
  <c r="CA43" i="2541" s="1"/>
  <c r="CA40" i="2541" s="1"/>
  <c r="CA38" i="2541" s="1"/>
  <c r="BN47" i="2541"/>
  <c r="BN43" i="2541" s="1"/>
  <c r="BN40" i="2541" s="1"/>
  <c r="BN38" i="2541" s="1"/>
  <c r="HI74" i="2539"/>
  <c r="GY93" i="2539"/>
  <c r="EN7" i="2538"/>
  <c r="GA95" i="2539"/>
  <c r="CE112" i="2539"/>
  <c r="HA19" i="2539"/>
  <c r="IK35" i="2538"/>
  <c r="HI31" i="2535"/>
  <c r="HI7" i="2535"/>
  <c r="HI30" i="2535" s="1"/>
  <c r="ES31" i="2535"/>
  <c r="ES7" i="2535"/>
  <c r="ES30" i="2535" s="1"/>
  <c r="CJ38" i="2541"/>
  <c r="CJ35" i="2541" s="1"/>
  <c r="CN62" i="2541"/>
  <c r="EZ74" i="2539"/>
  <c r="AA42" i="2536"/>
  <c r="EN53" i="2539"/>
  <c r="CD112" i="2539"/>
  <c r="FD74" i="2539"/>
  <c r="FY74" i="2539"/>
  <c r="N42" i="2536"/>
  <c r="HF74" i="2539"/>
  <c r="FF31" i="2535"/>
  <c r="FF7" i="2535"/>
  <c r="FF30" i="2535" s="1"/>
  <c r="CR31" i="2535"/>
  <c r="CR7" i="2535"/>
  <c r="CR30" i="2535" s="1"/>
  <c r="BE31" i="2535"/>
  <c r="BE7" i="2535"/>
  <c r="BE30" i="2535" s="1"/>
  <c r="IB53" i="2538"/>
  <c r="IN53" i="2538" s="1"/>
  <c r="IN54" i="2538"/>
  <c r="BZ31" i="2535"/>
  <c r="BZ7" i="2535"/>
  <c r="BZ30" i="2535" s="1"/>
  <c r="HO31" i="2535"/>
  <c r="HO7" i="2535"/>
  <c r="HO30" i="2535" s="1"/>
  <c r="FW31" i="2535"/>
  <c r="FW7" i="2535"/>
  <c r="FW30" i="2535" s="1"/>
  <c r="IG31" i="2535"/>
  <c r="IG7" i="2535"/>
  <c r="IG30" i="2535" s="1"/>
  <c r="ER43" i="2541"/>
  <c r="ER40" i="2541" s="1"/>
  <c r="ER38" i="2541" s="1"/>
  <c r="DU93" i="2539"/>
  <c r="EJ93" i="2539"/>
  <c r="N57" i="2536"/>
  <c r="GI31" i="2535"/>
  <c r="GI7" i="2535"/>
  <c r="GI30" i="2535" s="1"/>
  <c r="HM31" i="2535"/>
  <c r="HM7" i="2535"/>
  <c r="HM30" i="2535" s="1"/>
  <c r="AV31" i="2535"/>
  <c r="AV7" i="2535"/>
  <c r="AV30" i="2535" s="1"/>
  <c r="GW31" i="2535"/>
  <c r="GW7" i="2535"/>
  <c r="GW30" i="2535" s="1"/>
  <c r="CN100" i="2539"/>
  <c r="HM74" i="2539"/>
  <c r="GY112" i="2539"/>
  <c r="GO109" i="2539"/>
  <c r="GO87" i="2539"/>
  <c r="GO74" i="2539" s="1"/>
  <c r="FG31" i="2535"/>
  <c r="FG7" i="2535"/>
  <c r="FG30" i="2535" s="1"/>
  <c r="DW31" i="2535"/>
  <c r="DW7" i="2535"/>
  <c r="DW30" i="2535" s="1"/>
  <c r="CS31" i="2535"/>
  <c r="CS7" i="2535"/>
  <c r="CS30" i="2535" s="1"/>
  <c r="FS31" i="2535"/>
  <c r="FS7" i="2535"/>
  <c r="FS30" i="2535" s="1"/>
  <c r="HN87" i="2539"/>
  <c r="DL112" i="2539"/>
  <c r="EJ112" i="2539"/>
  <c r="CA48" i="2539"/>
  <c r="CN47" i="2541"/>
  <c r="CN43" i="2541" s="1"/>
  <c r="CN40" i="2541" s="1"/>
  <c r="CN38" i="2541" s="1"/>
  <c r="FN62" i="2541"/>
  <c r="DA115" i="2539"/>
  <c r="FM106" i="2539"/>
  <c r="FM115" i="2539" s="1"/>
  <c r="FA96" i="2539"/>
  <c r="GY74" i="2539"/>
  <c r="GN107" i="2539"/>
  <c r="EA96" i="2539"/>
  <c r="FB74" i="2539"/>
  <c r="FU74" i="2539"/>
  <c r="GL74" i="2539"/>
  <c r="GZ74" i="2539"/>
  <c r="GE74" i="2539"/>
  <c r="FJ74" i="2539"/>
  <c r="EA7" i="2539"/>
  <c r="IN71" i="2538"/>
  <c r="GN71" i="2538"/>
  <c r="EL31" i="2535"/>
  <c r="HZ31" i="2535"/>
  <c r="HZ7" i="2535"/>
  <c r="HZ30" i="2535" s="1"/>
  <c r="CX31" i="2535"/>
  <c r="CX7" i="2535"/>
  <c r="CX30" i="2535" s="1"/>
  <c r="CW31" i="2535"/>
  <c r="CW7" i="2535"/>
  <c r="CW30" i="2535" s="1"/>
  <c r="BM31" i="2535"/>
  <c r="BM7" i="2535"/>
  <c r="BM30" i="2535" s="1"/>
  <c r="FL35" i="2538"/>
  <c r="EO31" i="2535"/>
  <c r="EO7" i="2535"/>
  <c r="EO30" i="2535" s="1"/>
  <c r="CA42" i="2536"/>
  <c r="BA8" i="2535"/>
  <c r="AA57" i="2536"/>
  <c r="FA42" i="2536"/>
  <c r="AC31" i="2535"/>
  <c r="AC7" i="2535"/>
  <c r="AC30" i="2535" s="1"/>
  <c r="X31" i="2535"/>
  <c r="X7" i="2535"/>
  <c r="X30" i="2535" s="1"/>
  <c r="DJ31" i="2535"/>
  <c r="DJ7" i="2535"/>
  <c r="DJ30" i="2535" s="1"/>
  <c r="FG74" i="2539"/>
  <c r="FN52" i="2541"/>
  <c r="DB38" i="2541"/>
  <c r="IM31" i="2535"/>
  <c r="IM7" i="2535"/>
  <c r="IM30" i="2535" s="1"/>
  <c r="AS7" i="2535"/>
  <c r="AS30" i="2535" s="1"/>
  <c r="AS31" i="2535"/>
  <c r="EZ53" i="2538"/>
  <c r="EZ81" i="2538" s="1"/>
  <c r="EN74" i="2539"/>
  <c r="EW93" i="2539"/>
  <c r="BS35" i="2541"/>
  <c r="BA7" i="2541"/>
  <c r="FN109" i="2539"/>
  <c r="EZ112" i="2539"/>
  <c r="CN95" i="2539"/>
  <c r="DA48" i="2539"/>
  <c r="EW112" i="2539"/>
  <c r="EA48" i="2539"/>
  <c r="HG31" i="2535"/>
  <c r="HG7" i="2535"/>
  <c r="HG30" i="2535" s="1"/>
  <c r="HN53" i="2538"/>
  <c r="BN48" i="2539"/>
  <c r="BN115" i="2539"/>
  <c r="DN106" i="2539"/>
  <c r="DN115" i="2539"/>
  <c r="HA107" i="2539"/>
  <c r="FI74" i="2539"/>
  <c r="GR100" i="2539"/>
  <c r="GR114" i="2539" s="1"/>
  <c r="HA102" i="2539"/>
  <c r="GN102" i="2539"/>
  <c r="DQ112" i="2539"/>
  <c r="HC74" i="2539"/>
  <c r="CL93" i="2539"/>
  <c r="HN41" i="2539"/>
  <c r="HA42" i="2536"/>
  <c r="N39" i="2537"/>
  <c r="EN48" i="2536"/>
  <c r="CM31" i="2535"/>
  <c r="CM7" i="2535"/>
  <c r="CM30" i="2535" s="1"/>
  <c r="DN53" i="2539"/>
  <c r="EA41" i="2539"/>
  <c r="GA47" i="2541"/>
  <c r="BA47" i="2541"/>
  <c r="BA43" i="2541" s="1"/>
  <c r="BA40" i="2541" s="1"/>
  <c r="BA38" i="2541" s="1"/>
  <c r="GA7" i="2541"/>
  <c r="AA7" i="2541"/>
  <c r="BN106" i="2539"/>
  <c r="GN109" i="2539"/>
  <c r="CN115" i="2539"/>
  <c r="CD93" i="2539"/>
  <c r="CL112" i="2539"/>
  <c r="EN48" i="2539"/>
  <c r="DA53" i="2538"/>
  <c r="CN42" i="2536"/>
  <c r="FA48" i="2536"/>
  <c r="EN47" i="2541"/>
  <c r="DN71" i="2538"/>
  <c r="CE35" i="2541"/>
  <c r="DB94" i="2539"/>
  <c r="DN94" i="2539" s="1"/>
  <c r="EA75" i="2539"/>
  <c r="EH94" i="2539"/>
  <c r="EH113" i="2539" s="1"/>
  <c r="EH112" i="2539" s="1"/>
  <c r="CN48" i="2539"/>
  <c r="GA43" i="2538"/>
  <c r="GA42" i="2538" s="1"/>
  <c r="GA40" i="2538" s="1"/>
  <c r="GA38" i="2538" s="1"/>
  <c r="IA42" i="2538"/>
  <c r="EA42" i="2536"/>
  <c r="G32" i="2536"/>
  <c r="HA8" i="2535"/>
  <c r="FA32" i="2535"/>
  <c r="DN47" i="2541"/>
  <c r="DN43" i="2541" s="1"/>
  <c r="DN40" i="2541" s="1"/>
  <c r="DN38" i="2541" s="1"/>
  <c r="DP38" i="2541"/>
  <c r="EA49" i="2541"/>
  <c r="DA114" i="2539"/>
  <c r="GA81" i="2539"/>
  <c r="DN95" i="2539"/>
  <c r="EO100" i="2539"/>
  <c r="EO114" i="2539" s="1"/>
  <c r="FA114" i="2539" s="1"/>
  <c r="FO38" i="2538"/>
  <c r="FO35" i="2538" s="1"/>
  <c r="HA48" i="2539"/>
  <c r="GA7" i="2538"/>
  <c r="GN42" i="2536"/>
  <c r="BA7" i="2536"/>
  <c r="DA99" i="2539"/>
  <c r="EN7" i="2541"/>
  <c r="FN98" i="2539"/>
  <c r="BG93" i="2539"/>
  <c r="DA75" i="2539"/>
  <c r="GM7" i="2539"/>
  <c r="GM41" i="2539" s="1"/>
  <c r="HN42" i="2539"/>
  <c r="BA42" i="2536"/>
  <c r="DA53" i="2536"/>
  <c r="BA41" i="2536"/>
  <c r="FM31" i="2535"/>
  <c r="FM7" i="2535"/>
  <c r="FM30" i="2535" s="1"/>
  <c r="BM93" i="2539"/>
  <c r="DV113" i="2539"/>
  <c r="DV112" i="2539" s="1"/>
  <c r="DV93" i="2539"/>
  <c r="FQ113" i="2539"/>
  <c r="EQ38" i="2541"/>
  <c r="FS40" i="2541"/>
  <c r="GA43" i="2541"/>
  <c r="FO113" i="2539"/>
  <c r="GA94" i="2539"/>
  <c r="BV113" i="2539"/>
  <c r="BV112" i="2539" s="1"/>
  <c r="BV93" i="2539"/>
  <c r="HP53" i="2538"/>
  <c r="IA54" i="2538"/>
  <c r="FF40" i="2541"/>
  <c r="FF38" i="2541" s="1"/>
  <c r="GW114" i="2539"/>
  <c r="HE113" i="2539"/>
  <c r="HE112" i="2539" s="1"/>
  <c r="HE93" i="2539"/>
  <c r="HL113" i="2539"/>
  <c r="HL112" i="2539" s="1"/>
  <c r="HL93" i="2539"/>
  <c r="GP113" i="2539"/>
  <c r="GP112" i="2539" s="1"/>
  <c r="GP93" i="2539"/>
  <c r="GX113" i="2539"/>
  <c r="GX112" i="2539" s="1"/>
  <c r="GX93" i="2539"/>
  <c r="ET113" i="2539"/>
  <c r="EU113" i="2539"/>
  <c r="EU112" i="2539" s="1"/>
  <c r="EU93" i="2539"/>
  <c r="GG113" i="2539"/>
  <c r="GG112" i="2539" s="1"/>
  <c r="GG93" i="2539"/>
  <c r="GN81" i="2539"/>
  <c r="FI93" i="2539"/>
  <c r="N7" i="2539"/>
  <c r="B41" i="2539"/>
  <c r="N41" i="2539" s="1"/>
  <c r="HB34" i="2538"/>
  <c r="HN7" i="2538"/>
  <c r="GO41" i="2539"/>
  <c r="HN81" i="2539"/>
  <c r="CN7" i="2536"/>
  <c r="CB41" i="2536"/>
  <c r="CN41" i="2536" s="1"/>
  <c r="DC31" i="2535"/>
  <c r="DC7" i="2535"/>
  <c r="DC30" i="2535" s="1"/>
  <c r="GT7" i="2535"/>
  <c r="GT30" i="2535" s="1"/>
  <c r="GT31" i="2535"/>
  <c r="GS7" i="2535"/>
  <c r="GS30" i="2535" s="1"/>
  <c r="GS31" i="2535"/>
  <c r="FT31" i="2535"/>
  <c r="FT7" i="2535"/>
  <c r="FT30" i="2535" s="1"/>
  <c r="T31" i="2535"/>
  <c r="T7" i="2535"/>
  <c r="T30" i="2535" s="1"/>
  <c r="EO41" i="2536"/>
  <c r="FA41" i="2536" s="1"/>
  <c r="FA7" i="2536"/>
  <c r="DH31" i="2535"/>
  <c r="DH7" i="2535"/>
  <c r="DH30" i="2535" s="1"/>
  <c r="S31" i="2535"/>
  <c r="S7" i="2535"/>
  <c r="S30" i="2535" s="1"/>
  <c r="GY31" i="2535"/>
  <c r="GY7" i="2535"/>
  <c r="GY30" i="2535" s="1"/>
  <c r="AY31" i="2535"/>
  <c r="AY7" i="2535"/>
  <c r="AY30" i="2535" s="1"/>
  <c r="FI31" i="2535"/>
  <c r="FI7" i="2535"/>
  <c r="FI30" i="2535" s="1"/>
  <c r="GF35" i="2538"/>
  <c r="DR31" i="2535"/>
  <c r="DR7" i="2535"/>
  <c r="DR30" i="2535" s="1"/>
  <c r="BU7" i="2535"/>
  <c r="BU30" i="2535" s="1"/>
  <c r="BU31" i="2535"/>
  <c r="FN75" i="2539"/>
  <c r="CF113" i="2539"/>
  <c r="CF112" i="2539" s="1"/>
  <c r="CF93" i="2539"/>
  <c r="EA47" i="2541"/>
  <c r="DO43" i="2541"/>
  <c r="FI112" i="2539"/>
  <c r="GV31" i="2535"/>
  <c r="GV7" i="2535"/>
  <c r="GV30" i="2535" s="1"/>
  <c r="AM31" i="2535"/>
  <c r="AM7" i="2535"/>
  <c r="AM30" i="2535" s="1"/>
  <c r="DF7" i="2535"/>
  <c r="DF30" i="2535" s="1"/>
  <c r="DF31" i="2535"/>
  <c r="EJ43" i="2541"/>
  <c r="EJ40" i="2541" s="1"/>
  <c r="EJ38" i="2541" s="1"/>
  <c r="EB40" i="2541"/>
  <c r="FG43" i="2541"/>
  <c r="FG40" i="2541" s="1"/>
  <c r="FG38" i="2541" s="1"/>
  <c r="CN114" i="2539"/>
  <c r="DN74" i="2539"/>
  <c r="FN87" i="2539"/>
  <c r="FO114" i="2539"/>
  <c r="DW113" i="2539"/>
  <c r="DW112" i="2539" s="1"/>
  <c r="DW93" i="2539"/>
  <c r="EI113" i="2539"/>
  <c r="EI112" i="2539" s="1"/>
  <c r="EI93" i="2539"/>
  <c r="IA62" i="2538"/>
  <c r="AH33" i="2539"/>
  <c r="AH41" i="2539"/>
  <c r="AH65" i="2539" s="1"/>
  <c r="GB42" i="2538"/>
  <c r="GN43" i="2538"/>
  <c r="CE31" i="2535"/>
  <c r="CE7" i="2535"/>
  <c r="CE30" i="2535" s="1"/>
  <c r="FV7" i="2535"/>
  <c r="FV30" i="2535" s="1"/>
  <c r="FV31" i="2535"/>
  <c r="AE31" i="2535"/>
  <c r="AE7" i="2535"/>
  <c r="AE30" i="2535" s="1"/>
  <c r="IJ7" i="2535"/>
  <c r="IJ30" i="2535" s="1"/>
  <c r="IJ31" i="2535"/>
  <c r="FO31" i="2535"/>
  <c r="GA8" i="2535"/>
  <c r="FO7" i="2535"/>
  <c r="O31" i="2535"/>
  <c r="O7" i="2535"/>
  <c r="AA8" i="2535"/>
  <c r="CT31" i="2535"/>
  <c r="CT7" i="2535"/>
  <c r="CT30" i="2535" s="1"/>
  <c r="IF31" i="2535"/>
  <c r="IF7" i="2535"/>
  <c r="IF30" i="2535" s="1"/>
  <c r="IO30" i="2535"/>
  <c r="EA53" i="2541"/>
  <c r="DO52" i="2541"/>
  <c r="CS53" i="2541"/>
  <c r="DA62" i="2541"/>
  <c r="DN53" i="2541"/>
  <c r="EA62" i="2541"/>
  <c r="BA53" i="2541"/>
  <c r="EN106" i="2539"/>
  <c r="CN106" i="2539"/>
  <c r="GC100" i="2539"/>
  <c r="GC114" i="2539" s="1"/>
  <c r="CJ113" i="2539"/>
  <c r="CJ112" i="2539" s="1"/>
  <c r="CJ93" i="2539"/>
  <c r="EN100" i="2539"/>
  <c r="CI113" i="2539"/>
  <c r="CI112" i="2539" s="1"/>
  <c r="CI93" i="2539"/>
  <c r="CN74" i="2539"/>
  <c r="GT74" i="2539"/>
  <c r="FB106" i="2539"/>
  <c r="FN107" i="2539"/>
  <c r="HI113" i="2539"/>
  <c r="HI112" i="2539" s="1"/>
  <c r="HI93" i="2539"/>
  <c r="FX112" i="2539"/>
  <c r="GW74" i="2539"/>
  <c r="HK74" i="2539"/>
  <c r="GA101" i="2539"/>
  <c r="CB113" i="2539"/>
  <c r="CN94" i="2539"/>
  <c r="CB93" i="2539"/>
  <c r="BT113" i="2539"/>
  <c r="BT112" i="2539" s="1"/>
  <c r="BT93" i="2539"/>
  <c r="HA96" i="2539"/>
  <c r="DI113" i="2539"/>
  <c r="DI112" i="2539" s="1"/>
  <c r="DI93" i="2539"/>
  <c r="GB74" i="2539"/>
  <c r="GN75" i="2539"/>
  <c r="AA42" i="2539"/>
  <c r="FA95" i="2539"/>
  <c r="DA74" i="2539"/>
  <c r="CX93" i="2539"/>
  <c r="AM33" i="2539"/>
  <c r="AL33" i="2539"/>
  <c r="EB41" i="2539"/>
  <c r="EN41" i="2539" s="1"/>
  <c r="EN7" i="2539"/>
  <c r="CB41" i="2539"/>
  <c r="CN41" i="2539" s="1"/>
  <c r="CN7" i="2539"/>
  <c r="DA40" i="2538"/>
  <c r="DA38" i="2538" s="1"/>
  <c r="GN54" i="2538"/>
  <c r="GB53" i="2538"/>
  <c r="DQ53" i="2538"/>
  <c r="EA53" i="2538" s="1"/>
  <c r="EA54" i="2538"/>
  <c r="AA48" i="2539"/>
  <c r="AN42" i="2536"/>
  <c r="DN42" i="2536"/>
  <c r="AJ66" i="2536"/>
  <c r="BS31" i="2535"/>
  <c r="BS7" i="2535"/>
  <c r="BS30" i="2535" s="1"/>
  <c r="FJ7" i="2535"/>
  <c r="FJ30" i="2535" s="1"/>
  <c r="FJ31" i="2535"/>
  <c r="EJ31" i="2535"/>
  <c r="EJ7" i="2535"/>
  <c r="EJ30" i="2535" s="1"/>
  <c r="HX31" i="2535"/>
  <c r="HX7" i="2535"/>
  <c r="HX30" i="2535" s="1"/>
  <c r="BX31" i="2535"/>
  <c r="BX7" i="2535"/>
  <c r="BX30" i="2535" s="1"/>
  <c r="FC31" i="2535"/>
  <c r="FC7" i="2535"/>
  <c r="FC30" i="2535" s="1"/>
  <c r="IH31" i="2535"/>
  <c r="IH7" i="2535"/>
  <c r="IH30" i="2535" s="1"/>
  <c r="CH31" i="2535"/>
  <c r="CH7" i="2535"/>
  <c r="CH30" i="2535" s="1"/>
  <c r="EZ31" i="2535"/>
  <c r="EZ7" i="2535"/>
  <c r="EZ30" i="2535" s="1"/>
  <c r="HN42" i="2536"/>
  <c r="DA7" i="2536"/>
  <c r="BB112" i="2539"/>
  <c r="EU74" i="2539"/>
  <c r="GH7" i="2535"/>
  <c r="GH30" i="2535" s="1"/>
  <c r="GH31" i="2535"/>
  <c r="CO31" i="2535"/>
  <c r="CO7" i="2535"/>
  <c r="DA8" i="2535"/>
  <c r="R41" i="2536"/>
  <c r="R32" i="2536"/>
  <c r="Y31" i="2535"/>
  <c r="Y7" i="2535"/>
  <c r="Y30" i="2535" s="1"/>
  <c r="HB106" i="2539"/>
  <c r="HA101" i="2539"/>
  <c r="GN108" i="2539"/>
  <c r="CV113" i="2539"/>
  <c r="CV112" i="2539" s="1"/>
  <c r="CV93" i="2539"/>
  <c r="CU113" i="2539"/>
  <c r="CU112" i="2539" s="1"/>
  <c r="CU93" i="2539"/>
  <c r="EP74" i="2539"/>
  <c r="FX93" i="2539"/>
  <c r="BW113" i="2539"/>
  <c r="BW112" i="2539" s="1"/>
  <c r="BW93" i="2539"/>
  <c r="GA42" i="2539"/>
  <c r="FN42" i="2539"/>
  <c r="HN43" i="2538"/>
  <c r="HB42" i="2538"/>
  <c r="HN54" i="2538"/>
  <c r="HN101" i="2539"/>
  <c r="C32" i="2536"/>
  <c r="C41" i="2536"/>
  <c r="N41" i="2536" s="1"/>
  <c r="EV31" i="2535"/>
  <c r="EV7" i="2535"/>
  <c r="EV30" i="2535" s="1"/>
  <c r="CJ31" i="2535"/>
  <c r="CJ7" i="2535"/>
  <c r="CJ30" i="2535" s="1"/>
  <c r="BA52" i="2541"/>
  <c r="EN115" i="2539"/>
  <c r="EA95" i="2539"/>
  <c r="DO94" i="2539"/>
  <c r="HN97" i="2539"/>
  <c r="EN114" i="2539"/>
  <c r="GZ94" i="2539"/>
  <c r="EA100" i="2539"/>
  <c r="FW74" i="2539"/>
  <c r="FV74" i="2539"/>
  <c r="FL113" i="2539"/>
  <c r="FL112" i="2539" s="1"/>
  <c r="FL93" i="2539"/>
  <c r="GV74" i="2539"/>
  <c r="GL93" i="2539"/>
  <c r="FC74" i="2539"/>
  <c r="FN81" i="2539"/>
  <c r="DK113" i="2539"/>
  <c r="DK112" i="2539" s="1"/>
  <c r="DK93" i="2539"/>
  <c r="CT113" i="2539"/>
  <c r="CT112" i="2539" s="1"/>
  <c r="CT93" i="2539"/>
  <c r="GK74" i="2539"/>
  <c r="CW113" i="2539"/>
  <c r="CW112" i="2539" s="1"/>
  <c r="CW93" i="2539"/>
  <c r="GX74" i="2539"/>
  <c r="GE113" i="2539"/>
  <c r="GE112" i="2539" s="1"/>
  <c r="GE93" i="2539"/>
  <c r="EO94" i="2539"/>
  <c r="HM93" i="2539"/>
  <c r="DA95" i="2539"/>
  <c r="CO94" i="2539"/>
  <c r="CX112" i="2539"/>
  <c r="EL113" i="2539"/>
  <c r="EL112" i="2539" s="1"/>
  <c r="EL93" i="2539"/>
  <c r="AN57" i="2539"/>
  <c r="BB41" i="2539"/>
  <c r="BN41" i="2539" s="1"/>
  <c r="BN7" i="2539"/>
  <c r="AM65" i="2539"/>
  <c r="AL65" i="2539"/>
  <c r="X33" i="2539"/>
  <c r="X41" i="2539"/>
  <c r="EO54" i="2538"/>
  <c r="FA62" i="2538"/>
  <c r="GP53" i="2538"/>
  <c r="HA54" i="2538"/>
  <c r="IB42" i="2538"/>
  <c r="IN43" i="2538"/>
  <c r="FB34" i="2538"/>
  <c r="FB35" i="2538" s="1"/>
  <c r="FN7" i="2538"/>
  <c r="AA7" i="2539"/>
  <c r="O41" i="2539"/>
  <c r="FY35" i="2538"/>
  <c r="HT53" i="2538"/>
  <c r="DA41" i="2536"/>
  <c r="CA7" i="2536"/>
  <c r="BO41" i="2536"/>
  <c r="CA41" i="2536" s="1"/>
  <c r="BG7" i="2535"/>
  <c r="BG30" i="2535" s="1"/>
  <c r="BG31" i="2535"/>
  <c r="DB7" i="2535"/>
  <c r="DN8" i="2535"/>
  <c r="DB31" i="2535"/>
  <c r="FN41" i="2536"/>
  <c r="DX31" i="2535"/>
  <c r="DX7" i="2535"/>
  <c r="DX30" i="2535" s="1"/>
  <c r="HL7" i="2535"/>
  <c r="HL30" i="2535" s="1"/>
  <c r="HL31" i="2535"/>
  <c r="BL7" i="2535"/>
  <c r="BL30" i="2535" s="1"/>
  <c r="BL31" i="2535"/>
  <c r="EQ31" i="2535"/>
  <c r="EQ7" i="2535"/>
  <c r="EQ30" i="2535" s="1"/>
  <c r="AK31" i="2535"/>
  <c r="AK7" i="2535"/>
  <c r="AK30" i="2535" s="1"/>
  <c r="HV7" i="2535"/>
  <c r="HV30" i="2535" s="1"/>
  <c r="HV31" i="2535"/>
  <c r="BV31" i="2535"/>
  <c r="BV7" i="2535"/>
  <c r="BV30" i="2535" s="1"/>
  <c r="HB41" i="2536"/>
  <c r="HN41" i="2536" s="1"/>
  <c r="HN7" i="2536"/>
  <c r="DT113" i="2539"/>
  <c r="DT112" i="2539" s="1"/>
  <c r="DT93" i="2539"/>
  <c r="CQ113" i="2539"/>
  <c r="CQ112" i="2539" s="1"/>
  <c r="CQ93" i="2539"/>
  <c r="DH113" i="2539"/>
  <c r="DH112" i="2539" s="1"/>
  <c r="DH93" i="2539"/>
  <c r="GM113" i="2539"/>
  <c r="GM112" i="2539" s="1"/>
  <c r="GM93" i="2539"/>
  <c r="BB35" i="2538"/>
  <c r="BN7" i="2538"/>
  <c r="BN35" i="2538" s="1"/>
  <c r="CV31" i="2535"/>
  <c r="CV7" i="2535"/>
  <c r="CV30" i="2535" s="1"/>
  <c r="GM31" i="2535"/>
  <c r="GM7" i="2535"/>
  <c r="GM30" i="2535" s="1"/>
  <c r="DJ114" i="2539"/>
  <c r="DJ93" i="2539"/>
  <c r="HD74" i="2539"/>
  <c r="GL112" i="2539"/>
  <c r="AK41" i="2539"/>
  <c r="AK65" i="2539" s="1"/>
  <c r="AK33" i="2539"/>
  <c r="GN7" i="2538"/>
  <c r="GP42" i="2538"/>
  <c r="GP40" i="2538" s="1"/>
  <c r="GP38" i="2538" s="1"/>
  <c r="GP35" i="2538" s="1"/>
  <c r="N7" i="2538"/>
  <c r="AU7" i="2535"/>
  <c r="AU30" i="2535" s="1"/>
  <c r="AU31" i="2535"/>
  <c r="CD7" i="2535"/>
  <c r="CD30" i="2535" s="1"/>
  <c r="CD31" i="2535"/>
  <c r="BB41" i="2536"/>
  <c r="BN41" i="2536" s="1"/>
  <c r="BN7" i="2536"/>
  <c r="DA47" i="2541"/>
  <c r="DA43" i="2541" s="1"/>
  <c r="DA40" i="2541" s="1"/>
  <c r="DA38" i="2541" s="1"/>
  <c r="CI35" i="2541"/>
  <c r="AN62" i="2541"/>
  <c r="EA7" i="2541"/>
  <c r="GN101" i="2539"/>
  <c r="GI106" i="2539"/>
  <c r="GI115" i="2539" s="1"/>
  <c r="HB94" i="2539"/>
  <c r="HN95" i="2539"/>
  <c r="GO94" i="2539"/>
  <c r="HA75" i="2539"/>
  <c r="EW74" i="2539"/>
  <c r="EQ113" i="2539"/>
  <c r="EQ112" i="2539" s="1"/>
  <c r="EQ93" i="2539"/>
  <c r="DA100" i="2539"/>
  <c r="FA75" i="2539"/>
  <c r="ER74" i="2539"/>
  <c r="GU113" i="2539"/>
  <c r="GU112" i="2539" s="1"/>
  <c r="GU93" i="2539"/>
  <c r="FT74" i="2539"/>
  <c r="DR113" i="2539"/>
  <c r="DR112" i="2539" s="1"/>
  <c r="DR93" i="2539"/>
  <c r="BU113" i="2539"/>
  <c r="BU112" i="2539" s="1"/>
  <c r="BU93" i="2539"/>
  <c r="FN101" i="2539"/>
  <c r="FB100" i="2539"/>
  <c r="GR113" i="2539"/>
  <c r="CY113" i="2539"/>
  <c r="CY112" i="2539" s="1"/>
  <c r="CY93" i="2539"/>
  <c r="GS113" i="2539"/>
  <c r="GS112" i="2539" s="1"/>
  <c r="GS93" i="2539"/>
  <c r="HA42" i="2539"/>
  <c r="HF113" i="2539"/>
  <c r="HF112" i="2539" s="1"/>
  <c r="HF93" i="2539"/>
  <c r="GN42" i="2539"/>
  <c r="CS113" i="2539"/>
  <c r="CS112" i="2539" s="1"/>
  <c r="CS93" i="2539"/>
  <c r="HN96" i="2539"/>
  <c r="EO74" i="2539"/>
  <c r="FZ93" i="2539"/>
  <c r="HK93" i="2539"/>
  <c r="DY113" i="2539"/>
  <c r="DY112" i="2539" s="1"/>
  <c r="DY93" i="2539"/>
  <c r="GG74" i="2539"/>
  <c r="DN43" i="2538"/>
  <c r="DN42" i="2538" s="1"/>
  <c r="DN40" i="2538" s="1"/>
  <c r="DN38" i="2538" s="1"/>
  <c r="IA40" i="2538"/>
  <c r="HO38" i="2538"/>
  <c r="IA38" i="2538" s="1"/>
  <c r="EO34" i="2538"/>
  <c r="EO35" i="2538" s="1"/>
  <c r="FA7" i="2538"/>
  <c r="FN23" i="2539"/>
  <c r="IA43" i="2538"/>
  <c r="CA7" i="2538"/>
  <c r="CA35" i="2538" s="1"/>
  <c r="HI35" i="2538"/>
  <c r="BO41" i="2539"/>
  <c r="CA41" i="2539" s="1"/>
  <c r="CA7" i="2539"/>
  <c r="M32" i="2536"/>
  <c r="F32" i="2536"/>
  <c r="GZ7" i="2539"/>
  <c r="GZ41" i="2539" s="1"/>
  <c r="AI31" i="2535"/>
  <c r="AI7" i="2535"/>
  <c r="AI30" i="2535" s="1"/>
  <c r="V7" i="2535"/>
  <c r="V30" i="2535" s="1"/>
  <c r="V31" i="2535"/>
  <c r="EC41" i="2536"/>
  <c r="EN41" i="2536" s="1"/>
  <c r="EN7" i="2536"/>
  <c r="CZ31" i="2535"/>
  <c r="CZ7" i="2535"/>
  <c r="CZ30" i="2535" s="1"/>
  <c r="GB31" i="2535"/>
  <c r="GN8" i="2535"/>
  <c r="GB7" i="2535"/>
  <c r="AN8" i="2535"/>
  <c r="AB7" i="2535"/>
  <c r="AB31" i="2535"/>
  <c r="DS31" i="2535"/>
  <c r="DS7" i="2535"/>
  <c r="DS30" i="2535" s="1"/>
  <c r="HT31" i="2535"/>
  <c r="HT7" i="2535"/>
  <c r="HT30" i="2535" s="1"/>
  <c r="GX31" i="2535"/>
  <c r="GX7" i="2535"/>
  <c r="GX30" i="2535" s="1"/>
  <c r="AX31" i="2535"/>
  <c r="AX7" i="2535"/>
  <c r="AX30" i="2535" s="1"/>
  <c r="HH31" i="2535"/>
  <c r="HH7" i="2535"/>
  <c r="HH30" i="2535" s="1"/>
  <c r="GV113" i="2539"/>
  <c r="GV112" i="2539" s="1"/>
  <c r="GV93" i="2539"/>
  <c r="GO114" i="2539"/>
  <c r="DG113" i="2539"/>
  <c r="DG112" i="2539" s="1"/>
  <c r="DG93" i="2539"/>
  <c r="GJ113" i="2539"/>
  <c r="GJ112" i="2539" s="1"/>
  <c r="GJ93" i="2539"/>
  <c r="FG113" i="2539"/>
  <c r="FG112" i="2539" s="1"/>
  <c r="FG93" i="2539"/>
  <c r="EP41" i="2539"/>
  <c r="FA41" i="2539" s="1"/>
  <c r="FA7" i="2539"/>
  <c r="AN47" i="2541"/>
  <c r="AN43" i="2541" s="1"/>
  <c r="AN40" i="2541" s="1"/>
  <c r="AN38" i="2541" s="1"/>
  <c r="HA95" i="2539"/>
  <c r="GH74" i="2539"/>
  <c r="HN75" i="2539"/>
  <c r="HB74" i="2539"/>
  <c r="BN42" i="2539"/>
  <c r="EC53" i="2538"/>
  <c r="EN54" i="2538"/>
  <c r="GF53" i="2538"/>
  <c r="AQ31" i="2535"/>
  <c r="AQ7" i="2535"/>
  <c r="DL31" i="2535"/>
  <c r="DL7" i="2535"/>
  <c r="DL30" i="2535" s="1"/>
  <c r="GZ31" i="2535"/>
  <c r="GZ7" i="2535"/>
  <c r="GZ30" i="2535" s="1"/>
  <c r="AZ7" i="2535"/>
  <c r="AZ30" i="2535" s="1"/>
  <c r="AZ31" i="2535"/>
  <c r="EE31" i="2535"/>
  <c r="EE7" i="2535"/>
  <c r="EE30" i="2535" s="1"/>
  <c r="HJ31" i="2535"/>
  <c r="HJ7" i="2535"/>
  <c r="HJ30" i="2535" s="1"/>
  <c r="BJ31" i="2535"/>
  <c r="BJ7" i="2535"/>
  <c r="BJ30" i="2535" s="1"/>
  <c r="BI7" i="2535"/>
  <c r="BI30" i="2535" s="1"/>
  <c r="BI31" i="2535"/>
  <c r="EB52" i="2541"/>
  <c r="EN52" i="2541" s="1"/>
  <c r="EN53" i="2541"/>
  <c r="BW35" i="2541"/>
  <c r="AB52" i="2541"/>
  <c r="AN52" i="2541" s="1"/>
  <c r="AN53" i="2541"/>
  <c r="BA62" i="2541"/>
  <c r="BB52" i="2541"/>
  <c r="BN52" i="2541" s="1"/>
  <c r="BN53" i="2541"/>
  <c r="EO38" i="2541"/>
  <c r="GA96" i="2539"/>
  <c r="FA81" i="2539"/>
  <c r="GC113" i="2539"/>
  <c r="FL74" i="2539"/>
  <c r="FB94" i="2539"/>
  <c r="FN95" i="2539"/>
  <c r="GN95" i="2539"/>
  <c r="EE113" i="2539"/>
  <c r="EE112" i="2539" s="1"/>
  <c r="EE93" i="2539"/>
  <c r="EN75" i="2539"/>
  <c r="EA74" i="2539"/>
  <c r="GI113" i="2539"/>
  <c r="DX93" i="2539"/>
  <c r="GF93" i="2539"/>
  <c r="BA42" i="2539"/>
  <c r="FS113" i="2539"/>
  <c r="FS112" i="2539" s="1"/>
  <c r="FS93" i="2539"/>
  <c r="AN42" i="2539"/>
  <c r="FZ112" i="2539"/>
  <c r="HK112" i="2539"/>
  <c r="AI33" i="2539"/>
  <c r="AI41" i="2539"/>
  <c r="AI65" i="2539" s="1"/>
  <c r="AN48" i="2539"/>
  <c r="CA53" i="2539"/>
  <c r="W7" i="2535"/>
  <c r="W30" i="2535" s="1"/>
  <c r="W31" i="2535"/>
  <c r="AF32" i="2536"/>
  <c r="AF41" i="2536"/>
  <c r="AF66" i="2536" s="1"/>
  <c r="GA41" i="2536"/>
  <c r="IB31" i="2535"/>
  <c r="IN8" i="2535"/>
  <c r="IB7" i="2535"/>
  <c r="CB31" i="2535"/>
  <c r="CN8" i="2535"/>
  <c r="CB7" i="2535"/>
  <c r="FP31" i="2535"/>
  <c r="FP7" i="2535"/>
  <c r="FP30" i="2535" s="1"/>
  <c r="P31" i="2535"/>
  <c r="P7" i="2535"/>
  <c r="P30" i="2535" s="1"/>
  <c r="DG31" i="2535"/>
  <c r="DG7" i="2535"/>
  <c r="DG30" i="2535" s="1"/>
  <c r="FX31" i="2535"/>
  <c r="FX7" i="2535"/>
  <c r="FX30" i="2535" s="1"/>
  <c r="GL31" i="2535"/>
  <c r="GL7" i="2535"/>
  <c r="GL30" i="2535" s="1"/>
  <c r="AL31" i="2535"/>
  <c r="AL7" i="2535"/>
  <c r="AL30" i="2535" s="1"/>
  <c r="GA7" i="2536"/>
  <c r="FL31" i="2535"/>
  <c r="FL7" i="2535"/>
  <c r="FL30" i="2535" s="1"/>
  <c r="N7" i="2536"/>
  <c r="FO52" i="2541"/>
  <c r="GA52" i="2541" s="1"/>
  <c r="GA53" i="2541"/>
  <c r="HN107" i="2539"/>
  <c r="GN87" i="2539"/>
  <c r="CN53" i="2541"/>
  <c r="CB52" i="2541"/>
  <c r="DN52" i="2541"/>
  <c r="FA107" i="2539"/>
  <c r="FA101" i="2539"/>
  <c r="CH113" i="2539"/>
  <c r="CH112" i="2539" s="1"/>
  <c r="CH93" i="2539"/>
  <c r="FP113" i="2539"/>
  <c r="FP112" i="2539" s="1"/>
  <c r="FP93" i="2539"/>
  <c r="CA96" i="2539"/>
  <c r="EB113" i="2539"/>
  <c r="EB93" i="2539"/>
  <c r="FW113" i="2539"/>
  <c r="FW112" i="2539" s="1"/>
  <c r="FW93" i="2539"/>
  <c r="EQ74" i="2539"/>
  <c r="DX112" i="2539"/>
  <c r="GF112" i="2539"/>
  <c r="CM113" i="2539"/>
  <c r="CM112" i="2539" s="1"/>
  <c r="CM93" i="2539"/>
  <c r="BS113" i="2539"/>
  <c r="BS112" i="2539" s="1"/>
  <c r="BS93" i="2539"/>
  <c r="HE74" i="2539"/>
  <c r="FS74" i="2539"/>
  <c r="GQ113" i="2539"/>
  <c r="CC113" i="2539"/>
  <c r="CC112" i="2539" s="1"/>
  <c r="CC93" i="2539"/>
  <c r="EX74" i="2539"/>
  <c r="AC33" i="2539"/>
  <c r="FA43" i="2538"/>
  <c r="FA42" i="2538" s="1"/>
  <c r="FA40" i="2538" s="1"/>
  <c r="FA38" i="2538" s="1"/>
  <c r="DA54" i="2538"/>
  <c r="IA44" i="2538"/>
  <c r="AN7" i="2539"/>
  <c r="AN33" i="2539" s="1"/>
  <c r="AB41" i="2539"/>
  <c r="L32" i="2536"/>
  <c r="EA7" i="2536"/>
  <c r="DO41" i="2536"/>
  <c r="EA41" i="2536" s="1"/>
  <c r="IP7" i="2535"/>
  <c r="IP30" i="2535" s="1"/>
  <c r="IP31" i="2535"/>
  <c r="JA31" i="2535" s="1"/>
  <c r="DN41" i="2536"/>
  <c r="HP31" i="2535"/>
  <c r="HP7" i="2535"/>
  <c r="BP31" i="2535"/>
  <c r="BP7" i="2535"/>
  <c r="BP30" i="2535" s="1"/>
  <c r="GN7" i="2536"/>
  <c r="GF41" i="2536"/>
  <c r="GN41" i="2536" s="1"/>
  <c r="FD31" i="2535"/>
  <c r="FD7" i="2535"/>
  <c r="FD30" i="2535" s="1"/>
  <c r="AW31" i="2535"/>
  <c r="AW7" i="2535"/>
  <c r="AW30" i="2535" s="1"/>
  <c r="CU31" i="2535"/>
  <c r="CU7" i="2535"/>
  <c r="CU30" i="2535" s="1"/>
  <c r="HN32" i="2535"/>
  <c r="FZ31" i="2535"/>
  <c r="FZ7" i="2535"/>
  <c r="FZ30" i="2535" s="1"/>
  <c r="Z31" i="2535"/>
  <c r="Z7" i="2535"/>
  <c r="Z30" i="2535" s="1"/>
  <c r="AC66" i="2536"/>
  <c r="HQ31" i="2535"/>
  <c r="HQ7" i="2535"/>
  <c r="HQ30" i="2535" s="1"/>
  <c r="BN62" i="2541"/>
  <c r="FA87" i="2539"/>
  <c r="EC113" i="2539"/>
  <c r="EC112" i="2539" s="1"/>
  <c r="EC93" i="2539"/>
  <c r="AC65" i="2539"/>
  <c r="HC113" i="2539"/>
  <c r="HC112" i="2539" s="1"/>
  <c r="HC93" i="2539"/>
  <c r="GO38" i="2538"/>
  <c r="CQ31" i="2535"/>
  <c r="CQ7" i="2535"/>
  <c r="CQ30" i="2535" s="1"/>
  <c r="BO31" i="2535"/>
  <c r="CA8" i="2535"/>
  <c r="BO7" i="2535"/>
  <c r="FH31" i="2535"/>
  <c r="FH7" i="2535"/>
  <c r="FH30" i="2535" s="1"/>
  <c r="DN7" i="2541"/>
  <c r="CO87" i="2541"/>
  <c r="FC38" i="2541"/>
  <c r="GB114" i="2539"/>
  <c r="FC113" i="2539"/>
  <c r="FC112" i="2539" s="1"/>
  <c r="FC93" i="2539"/>
  <c r="HG113" i="2539"/>
  <c r="HG112" i="2539" s="1"/>
  <c r="HG93" i="2539"/>
  <c r="GK113" i="2539"/>
  <c r="GK112" i="2539" s="1"/>
  <c r="GK93" i="2539"/>
  <c r="BX113" i="2539"/>
  <c r="BX112" i="2539" s="1"/>
  <c r="BX93" i="2539"/>
  <c r="HD113" i="2539"/>
  <c r="HD112" i="2539" s="1"/>
  <c r="HD93" i="2539"/>
  <c r="CK113" i="2539"/>
  <c r="CK112" i="2539" s="1"/>
  <c r="CK93" i="2539"/>
  <c r="HM112" i="2539"/>
  <c r="BN42" i="2536"/>
  <c r="FN7" i="2536"/>
  <c r="BP52" i="2541"/>
  <c r="CA53" i="2541"/>
  <c r="CA62" i="2541"/>
  <c r="CN7" i="2541"/>
  <c r="CA106" i="2539"/>
  <c r="BO115" i="2539"/>
  <c r="CA115" i="2539" s="1"/>
  <c r="FA53" i="2541"/>
  <c r="GB115" i="2539"/>
  <c r="EO106" i="2539"/>
  <c r="FE113" i="2539"/>
  <c r="BP113" i="2539"/>
  <c r="BP112" i="2539" s="1"/>
  <c r="BP93" i="2539"/>
  <c r="FD113" i="2539"/>
  <c r="FD112" i="2539" s="1"/>
  <c r="FD93" i="2539"/>
  <c r="GA87" i="2539"/>
  <c r="HJ74" i="2539"/>
  <c r="CA74" i="2539"/>
  <c r="EN95" i="2539"/>
  <c r="FK113" i="2539"/>
  <c r="FK112" i="2539" s="1"/>
  <c r="FK93" i="2539"/>
  <c r="DL93" i="2539"/>
  <c r="FT113" i="2539"/>
  <c r="FT112" i="2539" s="1"/>
  <c r="FT93" i="2539"/>
  <c r="GD94" i="2539"/>
  <c r="GH93" i="2539"/>
  <c r="DF113" i="2539"/>
  <c r="DF112" i="2539" s="1"/>
  <c r="DF93" i="2539"/>
  <c r="BY113" i="2539"/>
  <c r="BY112" i="2539" s="1"/>
  <c r="BY93" i="2539"/>
  <c r="FO74" i="2539"/>
  <c r="EX113" i="2539"/>
  <c r="EX112" i="2539" s="1"/>
  <c r="EX93" i="2539"/>
  <c r="ET74" i="2539"/>
  <c r="GA48" i="2539"/>
  <c r="DB41" i="2539"/>
  <c r="DN41" i="2539" s="1"/>
  <c r="DN7" i="2539"/>
  <c r="EN43" i="2538"/>
  <c r="EN42" i="2538" s="1"/>
  <c r="EN40" i="2538" s="1"/>
  <c r="EN38" i="2538" s="1"/>
  <c r="FN54" i="2538"/>
  <c r="FB53" i="2538"/>
  <c r="HN7" i="2539"/>
  <c r="GA42" i="2536"/>
  <c r="GN48" i="2539"/>
  <c r="AM32" i="2536"/>
  <c r="AM41" i="2536"/>
  <c r="AM66" i="2536" s="1"/>
  <c r="ID7" i="2535"/>
  <c r="ID30" i="2535" s="1"/>
  <c r="ID31" i="2535"/>
  <c r="HD31" i="2535"/>
  <c r="HD7" i="2535"/>
  <c r="BD31" i="2535"/>
  <c r="BD7" i="2535"/>
  <c r="BD30" i="2535" s="1"/>
  <c r="ER31" i="2535"/>
  <c r="ER7" i="2535"/>
  <c r="ER30" i="2535" s="1"/>
  <c r="GJ31" i="2535"/>
  <c r="GJ7" i="2535"/>
  <c r="GJ30" i="2535" s="1"/>
  <c r="II31" i="2535"/>
  <c r="II7" i="2535"/>
  <c r="II30" i="2535" s="1"/>
  <c r="CI31" i="2535"/>
  <c r="CI7" i="2535"/>
  <c r="CI30" i="2535" s="1"/>
  <c r="GP41" i="2536"/>
  <c r="HA41" i="2536" s="1"/>
  <c r="HA7" i="2536"/>
  <c r="FB31" i="2535"/>
  <c r="FN8" i="2535"/>
  <c r="FB7" i="2535"/>
  <c r="AC32" i="2536"/>
  <c r="EK31" i="2535"/>
  <c r="EK7" i="2535"/>
  <c r="EK30" i="2535" s="1"/>
  <c r="AP66" i="2536"/>
  <c r="HA81" i="2539"/>
  <c r="EP113" i="2539"/>
  <c r="EP112" i="2539" s="1"/>
  <c r="EP93" i="2539"/>
  <c r="EY113" i="2539"/>
  <c r="EY112" i="2539" s="1"/>
  <c r="EY93" i="2539"/>
  <c r="FR113" i="2539"/>
  <c r="GH112" i="2539"/>
  <c r="GA75" i="2539"/>
  <c r="BA7" i="2539"/>
  <c r="AO41" i="2539"/>
  <c r="BA41" i="2539" s="1"/>
  <c r="FN48" i="2539"/>
  <c r="DB53" i="2538"/>
  <c r="DN54" i="2538"/>
  <c r="GA54" i="2538"/>
  <c r="FO53" i="2538"/>
  <c r="HA43" i="2538"/>
  <c r="AN57" i="2536"/>
  <c r="AE32" i="2536"/>
  <c r="AE41" i="2536"/>
  <c r="AE66" i="2536" s="1"/>
  <c r="GB41" i="2539"/>
  <c r="EM31" i="2535"/>
  <c r="EM7" i="2535"/>
  <c r="EM30" i="2535" s="1"/>
  <c r="HR7" i="2535"/>
  <c r="HR30" i="2535" s="1"/>
  <c r="HR31" i="2535"/>
  <c r="GR31" i="2535"/>
  <c r="GR7" i="2535"/>
  <c r="AR31" i="2535"/>
  <c r="AR7" i="2535"/>
  <c r="AR30" i="2535" s="1"/>
  <c r="EF31" i="2535"/>
  <c r="EF7" i="2535"/>
  <c r="EF30" i="2535" s="1"/>
  <c r="HW31" i="2535"/>
  <c r="HW7" i="2535"/>
  <c r="HW30" i="2535" s="1"/>
  <c r="BW7" i="2535"/>
  <c r="BW30" i="2535" s="1"/>
  <c r="BW31" i="2535"/>
  <c r="EP31" i="2535"/>
  <c r="EP7" i="2535"/>
  <c r="DN7" i="2536"/>
  <c r="FA52" i="2541"/>
  <c r="ES113" i="2539"/>
  <c r="ES112" i="2539" s="1"/>
  <c r="ES93" i="2539"/>
  <c r="ER113" i="2539"/>
  <c r="ER112" i="2539" s="1"/>
  <c r="ER93" i="2539"/>
  <c r="GA107" i="2539"/>
  <c r="FO106" i="2539"/>
  <c r="FO93" i="2539" s="1"/>
  <c r="HJ113" i="2539"/>
  <c r="HJ112" i="2539" s="1"/>
  <c r="HJ93" i="2539"/>
  <c r="FH113" i="2539"/>
  <c r="FH112" i="2539" s="1"/>
  <c r="FH93" i="2539"/>
  <c r="CG113" i="2539"/>
  <c r="CG112" i="2539" s="1"/>
  <c r="CG93" i="2539"/>
  <c r="FV93" i="2539"/>
  <c r="GA7" i="2539"/>
  <c r="FO41" i="2539"/>
  <c r="GA41" i="2539" s="1"/>
  <c r="CO41" i="2539"/>
  <c r="DA41" i="2539" s="1"/>
  <c r="DA7" i="2539"/>
  <c r="FN53" i="2541"/>
  <c r="DN62" i="2541"/>
  <c r="DO115" i="2539"/>
  <c r="EA115" i="2539" s="1"/>
  <c r="EA106" i="2539"/>
  <c r="EG113" i="2539"/>
  <c r="EG112" i="2539" s="1"/>
  <c r="EG93" i="2539"/>
  <c r="EF113" i="2539"/>
  <c r="EF112" i="2539" s="1"/>
  <c r="EF93" i="2539"/>
  <c r="BO113" i="2539"/>
  <c r="CA94" i="2539"/>
  <c r="BO93" i="2539"/>
  <c r="BZ113" i="2539"/>
  <c r="BZ112" i="2539" s="1"/>
  <c r="BZ93" i="2539"/>
  <c r="FZ74" i="2539"/>
  <c r="CR113" i="2539"/>
  <c r="CR112" i="2539" s="1"/>
  <c r="CR93" i="2539"/>
  <c r="HH113" i="2539"/>
  <c r="HH112" i="2539" s="1"/>
  <c r="HH93" i="2539"/>
  <c r="DC113" i="2539"/>
  <c r="DC112" i="2539" s="1"/>
  <c r="DC93" i="2539"/>
  <c r="EM113" i="2539"/>
  <c r="EM112" i="2539" s="1"/>
  <c r="EM93" i="2539"/>
  <c r="EV113" i="2539"/>
  <c r="EV112" i="2539" s="1"/>
  <c r="EV93" i="2539"/>
  <c r="FF113" i="2539"/>
  <c r="FF112" i="2539" s="1"/>
  <c r="FF93" i="2539"/>
  <c r="FU113" i="2539"/>
  <c r="FU112" i="2539" s="1"/>
  <c r="FU93" i="2539"/>
  <c r="GT112" i="2539"/>
  <c r="GD74" i="2539"/>
  <c r="GC74" i="2539"/>
  <c r="GP74" i="2539"/>
  <c r="FJ113" i="2539"/>
  <c r="FJ112" i="2539" s="1"/>
  <c r="FJ93" i="2539"/>
  <c r="HA71" i="2538"/>
  <c r="BA48" i="2539"/>
  <c r="FV112" i="2539"/>
  <c r="W33" i="2539"/>
  <c r="W41" i="2539"/>
  <c r="FB41" i="2539"/>
  <c r="N48" i="2539"/>
  <c r="AN39" i="2537"/>
  <c r="J32" i="2536"/>
  <c r="HN102" i="2539"/>
  <c r="EA48" i="2536"/>
  <c r="DN48" i="2536"/>
  <c r="O32" i="2536"/>
  <c r="AA7" i="2536"/>
  <c r="AA32" i="2536" s="1"/>
  <c r="O41" i="2536"/>
  <c r="DO31" i="2535"/>
  <c r="EA8" i="2535"/>
  <c r="DO7" i="2535"/>
  <c r="HF31" i="2535"/>
  <c r="HF7" i="2535"/>
  <c r="HF30" i="2535" s="1"/>
  <c r="GF31" i="2535"/>
  <c r="GF7" i="2535"/>
  <c r="GF30" i="2535" s="1"/>
  <c r="AF31" i="2535"/>
  <c r="AF7" i="2535"/>
  <c r="AF30" i="2535" s="1"/>
  <c r="HN8" i="2535"/>
  <c r="DT31" i="2535"/>
  <c r="DT7" i="2535"/>
  <c r="DT30" i="2535" s="1"/>
  <c r="GG31" i="2535"/>
  <c r="GG7" i="2535"/>
  <c r="GG30" i="2535" s="1"/>
  <c r="HK31" i="2535"/>
  <c r="HK7" i="2535"/>
  <c r="HK30" i="2535" s="1"/>
  <c r="BK31" i="2535"/>
  <c r="BK7" i="2535"/>
  <c r="BK30" i="2535" s="1"/>
  <c r="IC7" i="2535"/>
  <c r="IC30" i="2535" s="1"/>
  <c r="IC31" i="2535"/>
  <c r="ED31" i="2535"/>
  <c r="ED7" i="2535"/>
  <c r="FA8" i="2535"/>
  <c r="BC31" i="2535"/>
  <c r="BC7" i="2535"/>
  <c r="HB100" i="2539" l="1"/>
  <c r="HB114" i="2539" s="1"/>
  <c r="HN114" i="2539" s="1"/>
  <c r="FN41" i="2539"/>
  <c r="FN7" i="2539"/>
  <c r="GQ93" i="2539"/>
  <c r="FR112" i="2539"/>
  <c r="FY93" i="2539"/>
  <c r="GW93" i="2539"/>
  <c r="GQ112" i="2539"/>
  <c r="EN94" i="2539"/>
  <c r="GW112" i="2539"/>
  <c r="GN94" i="2539"/>
  <c r="EH93" i="2539"/>
  <c r="EN93" i="2539" s="1"/>
  <c r="N32" i="2536"/>
  <c r="FQ112" i="2539"/>
  <c r="FA100" i="2539"/>
  <c r="HA100" i="2539"/>
  <c r="GC112" i="2539"/>
  <c r="DB93" i="2539"/>
  <c r="DN93" i="2539" s="1"/>
  <c r="HA87" i="2539"/>
  <c r="FR93" i="2539"/>
  <c r="FE93" i="2539"/>
  <c r="DB113" i="2539"/>
  <c r="DN113" i="2539" s="1"/>
  <c r="BN113" i="2539"/>
  <c r="GB93" i="2539"/>
  <c r="FM112" i="2539"/>
  <c r="DN53" i="2538"/>
  <c r="FA40" i="2541"/>
  <c r="BN112" i="2539"/>
  <c r="ET93" i="2539"/>
  <c r="ET112" i="2539"/>
  <c r="GN115" i="2539"/>
  <c r="GI93" i="2539"/>
  <c r="GN41" i="2539"/>
  <c r="GA100" i="2539"/>
  <c r="GN7" i="2539"/>
  <c r="GA114" i="2539"/>
  <c r="FQ93" i="2539"/>
  <c r="FN38" i="2541"/>
  <c r="HO35" i="2538"/>
  <c r="HA114" i="2539"/>
  <c r="GR93" i="2539"/>
  <c r="FA38" i="2541"/>
  <c r="GR112" i="2539"/>
  <c r="HA53" i="2538"/>
  <c r="IA53" i="2538"/>
  <c r="DS113" i="2539"/>
  <c r="DS112" i="2539" s="1"/>
  <c r="FE112" i="2539"/>
  <c r="GN114" i="2539"/>
  <c r="FN74" i="2539"/>
  <c r="BN93" i="2539"/>
  <c r="BN31" i="2535"/>
  <c r="GN106" i="2539"/>
  <c r="FA43" i="2541"/>
  <c r="CN93" i="2539"/>
  <c r="EA31" i="2535"/>
  <c r="HA31" i="2535"/>
  <c r="HA41" i="2539"/>
  <c r="FN43" i="2541"/>
  <c r="HA7" i="2539"/>
  <c r="CN31" i="2535"/>
  <c r="GC93" i="2539"/>
  <c r="HA40" i="2538"/>
  <c r="HA109" i="2539"/>
  <c r="GO106" i="2539"/>
  <c r="GO93" i="2539" s="1"/>
  <c r="HA42" i="2538"/>
  <c r="GI112" i="2539"/>
  <c r="GN100" i="2539"/>
  <c r="GA31" i="2535"/>
  <c r="FM93" i="2539"/>
  <c r="GN31" i="2535"/>
  <c r="AA41" i="2536"/>
  <c r="BO112" i="2539"/>
  <c r="CA112" i="2539" s="1"/>
  <c r="CA113" i="2539"/>
  <c r="GR30" i="2535"/>
  <c r="HA30" i="2535" s="1"/>
  <c r="HA7" i="2535"/>
  <c r="GD113" i="2539"/>
  <c r="GD112" i="2539" s="1"/>
  <c r="GD93" i="2539"/>
  <c r="EN113" i="2539"/>
  <c r="EB112" i="2539"/>
  <c r="EN112" i="2539" s="1"/>
  <c r="FB113" i="2539"/>
  <c r="FB93" i="2539"/>
  <c r="FN94" i="2539"/>
  <c r="BA31" i="2535"/>
  <c r="GN7" i="2535"/>
  <c r="GB30" i="2535"/>
  <c r="GN30" i="2535" s="1"/>
  <c r="IN42" i="2538"/>
  <c r="IB40" i="2538"/>
  <c r="FB115" i="2539"/>
  <c r="FN115" i="2539" s="1"/>
  <c r="FN106" i="2539"/>
  <c r="EN43" i="2541"/>
  <c r="EP30" i="2535"/>
  <c r="FA30" i="2535" s="1"/>
  <c r="FA7" i="2535"/>
  <c r="GZ113" i="2539"/>
  <c r="GZ112" i="2539" s="1"/>
  <c r="GZ93" i="2539"/>
  <c r="FB30" i="2535"/>
  <c r="FN30" i="2535" s="1"/>
  <c r="FN7" i="2535"/>
  <c r="EN53" i="2538"/>
  <c r="EC81" i="2538"/>
  <c r="CB112" i="2539"/>
  <c r="CN112" i="2539" s="1"/>
  <c r="CN113" i="2539"/>
  <c r="JA30" i="2535"/>
  <c r="BP87" i="2541"/>
  <c r="CA52" i="2541"/>
  <c r="GA74" i="2539"/>
  <c r="IN31" i="2535"/>
  <c r="GB112" i="2539"/>
  <c r="CO113" i="2539"/>
  <c r="CO93" i="2539"/>
  <c r="DA93" i="2539" s="1"/>
  <c r="DA94" i="2539"/>
  <c r="CO30" i="2535"/>
  <c r="DA30" i="2535" s="1"/>
  <c r="DA7" i="2535"/>
  <c r="FS38" i="2541"/>
  <c r="GA38" i="2541" s="1"/>
  <c r="GA40" i="2541"/>
  <c r="FN31" i="2535"/>
  <c r="FN40" i="2541"/>
  <c r="BO30" i="2535"/>
  <c r="CA30" i="2535" s="1"/>
  <c r="CA7" i="2535"/>
  <c r="HN74" i="2539"/>
  <c r="EO53" i="2538"/>
  <c r="FA54" i="2538"/>
  <c r="DO113" i="2539"/>
  <c r="DO93" i="2539"/>
  <c r="EA93" i="2539" s="1"/>
  <c r="EA94" i="2539"/>
  <c r="DA31" i="2535"/>
  <c r="GB81" i="2538"/>
  <c r="GN53" i="2538"/>
  <c r="GA113" i="2539"/>
  <c r="FO115" i="2539"/>
  <c r="GA115" i="2539" s="1"/>
  <c r="GA106" i="2539"/>
  <c r="AN41" i="2536"/>
  <c r="AN66" i="2536" s="1"/>
  <c r="CB87" i="2541"/>
  <c r="CN52" i="2541"/>
  <c r="FA74" i="2539"/>
  <c r="CS52" i="2541"/>
  <c r="DA53" i="2541"/>
  <c r="FO81" i="2538"/>
  <c r="GA53" i="2538"/>
  <c r="HN31" i="2535"/>
  <c r="CA31" i="2535"/>
  <c r="HA74" i="2539"/>
  <c r="AA41" i="2539"/>
  <c r="EO113" i="2539"/>
  <c r="EO93" i="2539"/>
  <c r="FA94" i="2539"/>
  <c r="GN74" i="2539"/>
  <c r="EA52" i="2541"/>
  <c r="DO87" i="2541"/>
  <c r="GN42" i="2538"/>
  <c r="GB40" i="2538"/>
  <c r="FA31" i="2535"/>
  <c r="DJ112" i="2539"/>
  <c r="DN114" i="2539"/>
  <c r="DN31" i="2535"/>
  <c r="JA7" i="2535"/>
  <c r="HD30" i="2535"/>
  <c r="HN30" i="2535" s="1"/>
  <c r="HN7" i="2535"/>
  <c r="ED30" i="2535"/>
  <c r="EN30" i="2535" s="1"/>
  <c r="EN7" i="2535"/>
  <c r="EA7" i="2535"/>
  <c r="DO30" i="2535"/>
  <c r="EA30" i="2535" s="1"/>
  <c r="HP30" i="2535"/>
  <c r="IA30" i="2535" s="1"/>
  <c r="IA7" i="2535"/>
  <c r="AN41" i="2539"/>
  <c r="AN65" i="2539" s="1"/>
  <c r="AN31" i="2535"/>
  <c r="GO113" i="2539"/>
  <c r="HA94" i="2539"/>
  <c r="O30" i="2535"/>
  <c r="AA30" i="2535" s="1"/>
  <c r="AA7" i="2535"/>
  <c r="EA43" i="2541"/>
  <c r="DO40" i="2541"/>
  <c r="IN7" i="2535"/>
  <c r="IB30" i="2535"/>
  <c r="IN30" i="2535" s="1"/>
  <c r="BC30" i="2535"/>
  <c r="BN30" i="2535" s="1"/>
  <c r="BN7" i="2535"/>
  <c r="EN31" i="2535"/>
  <c r="CA93" i="2539"/>
  <c r="EO115" i="2539"/>
  <c r="FA115" i="2539" s="1"/>
  <c r="FA106" i="2539"/>
  <c r="IA31" i="2535"/>
  <c r="AN7" i="2535"/>
  <c r="AB30" i="2535"/>
  <c r="AN30" i="2535" s="1"/>
  <c r="DN7" i="2535"/>
  <c r="DB30" i="2535"/>
  <c r="DN30" i="2535" s="1"/>
  <c r="HN106" i="2539"/>
  <c r="HB115" i="2539"/>
  <c r="HN115" i="2539" s="1"/>
  <c r="AA31" i="2535"/>
  <c r="HN42" i="2538"/>
  <c r="HB40" i="2538"/>
  <c r="FB81" i="2538"/>
  <c r="FN53" i="2538"/>
  <c r="HA38" i="2538"/>
  <c r="GO35" i="2538"/>
  <c r="CN7" i="2535"/>
  <c r="CB30" i="2535"/>
  <c r="CN30" i="2535" s="1"/>
  <c r="AQ30" i="2535"/>
  <c r="BA30" i="2535" s="1"/>
  <c r="BA7" i="2535"/>
  <c r="FB114" i="2539"/>
  <c r="FN114" i="2539" s="1"/>
  <c r="FN100" i="2539"/>
  <c r="HB113" i="2539"/>
  <c r="HN94" i="2539"/>
  <c r="HB93" i="2539"/>
  <c r="HN93" i="2539" s="1"/>
  <c r="FO30" i="2535"/>
  <c r="GA30" i="2535" s="1"/>
  <c r="GA7" i="2535"/>
  <c r="EB38" i="2541"/>
  <c r="EN38" i="2541" s="1"/>
  <c r="EN40" i="2541"/>
  <c r="HN100" i="2539" l="1"/>
  <c r="FA93" i="2539"/>
  <c r="DB112" i="2539"/>
  <c r="GA93" i="2539"/>
  <c r="FN93" i="2539"/>
  <c r="GN93" i="2539"/>
  <c r="HA93" i="2539"/>
  <c r="FO112" i="2539"/>
  <c r="GA112" i="2539" s="1"/>
  <c r="GN112" i="2539"/>
  <c r="GO115" i="2539"/>
  <c r="HA115" i="2539" s="1"/>
  <c r="HA106" i="2539"/>
  <c r="CS87" i="2541"/>
  <c r="DA52" i="2541"/>
  <c r="DO38" i="2541"/>
  <c r="EA38" i="2541" s="1"/>
  <c r="EA40" i="2541"/>
  <c r="CO112" i="2539"/>
  <c r="DA112" i="2539" s="1"/>
  <c r="DA113" i="2539"/>
  <c r="GN40" i="2538"/>
  <c r="GB38" i="2538"/>
  <c r="GN113" i="2539"/>
  <c r="DO112" i="2539"/>
  <c r="EA112" i="2539" s="1"/>
  <c r="EA113" i="2539"/>
  <c r="IB38" i="2538"/>
  <c r="IN40" i="2538"/>
  <c r="FA113" i="2539"/>
  <c r="EO112" i="2539"/>
  <c r="FA112" i="2539" s="1"/>
  <c r="EO81" i="2538"/>
  <c r="FA53" i="2538"/>
  <c r="HB112" i="2539"/>
  <c r="HN112" i="2539" s="1"/>
  <c r="HN113" i="2539"/>
  <c r="HA113" i="2539"/>
  <c r="HN40" i="2538"/>
  <c r="HB38" i="2538"/>
  <c r="DN112" i="2539"/>
  <c r="FN113" i="2539"/>
  <c r="FB112" i="2539"/>
  <c r="FN112" i="2539" s="1"/>
  <c r="GO112" i="2539" l="1"/>
  <c r="HA112" i="2539" s="1"/>
  <c r="HN38" i="2538"/>
  <c r="HB35" i="2538"/>
  <c r="IN38" i="2538"/>
  <c r="IB35" i="2538"/>
  <c r="GN38" i="2538"/>
  <c r="GB35" i="2538"/>
  <c r="KZ39" i="1974" l="1"/>
  <c r="KZ39" i="1973"/>
  <c r="JA24" i="1619" l="1"/>
  <c r="IY18" i="1619"/>
  <c r="IY16" i="1619" s="1"/>
  <c r="IX18" i="1619"/>
  <c r="IW18" i="1619"/>
  <c r="IW16" i="1619" s="1"/>
  <c r="IV18" i="1619"/>
  <c r="JS18" i="1619" s="1"/>
  <c r="JA22" i="1619"/>
  <c r="IX21" i="1619"/>
  <c r="JA19" i="1619"/>
  <c r="JA20" i="1619"/>
  <c r="JA23" i="1619"/>
  <c r="IZ16" i="1619"/>
  <c r="IU16" i="1619"/>
  <c r="IT16" i="1619"/>
  <c r="IS16" i="1619"/>
  <c r="IR16" i="1619"/>
  <c r="IQ16" i="1619"/>
  <c r="IP16" i="1619"/>
  <c r="IO16" i="1619"/>
  <c r="IY14" i="1619"/>
  <c r="IY12" i="1619" s="1"/>
  <c r="IX14" i="1619"/>
  <c r="IX12" i="1619" s="1"/>
  <c r="IW14" i="1619"/>
  <c r="IW12" i="1619" s="1"/>
  <c r="IV14" i="1619"/>
  <c r="JA13" i="1619"/>
  <c r="IZ12" i="1619"/>
  <c r="IU12" i="1619"/>
  <c r="IT12" i="1619"/>
  <c r="IS12" i="1619"/>
  <c r="IR12" i="1619"/>
  <c r="IQ12" i="1619"/>
  <c r="IP12" i="1619"/>
  <c r="IO12" i="1619"/>
  <c r="JA11" i="1619"/>
  <c r="IX10" i="1619"/>
  <c r="IZ9" i="1619"/>
  <c r="IY9" i="1619"/>
  <c r="IW9" i="1619"/>
  <c r="IV9" i="1619"/>
  <c r="IU9" i="1619"/>
  <c r="IU7" i="1619" s="1"/>
  <c r="IT9" i="1619"/>
  <c r="IS9" i="1619"/>
  <c r="IR9" i="1619"/>
  <c r="IR7" i="1619" s="1"/>
  <c r="IQ9" i="1619"/>
  <c r="IP9" i="1619"/>
  <c r="IO9" i="1619"/>
  <c r="IV12" i="1619" l="1"/>
  <c r="JS14" i="1619"/>
  <c r="IX9" i="1619"/>
  <c r="JS10" i="1619"/>
  <c r="JQ10" i="1619" s="1"/>
  <c r="IO7" i="1619"/>
  <c r="JS9" i="1619"/>
  <c r="JS12" i="1619"/>
  <c r="IX16" i="1619"/>
  <c r="JS21" i="1619"/>
  <c r="JQ21" i="1619" s="1"/>
  <c r="JS16" i="1619"/>
  <c r="IV7" i="1619"/>
  <c r="JA18" i="1619"/>
  <c r="IQ7" i="1619"/>
  <c r="IS7" i="1619"/>
  <c r="IP7" i="1619"/>
  <c r="IX7" i="1619"/>
  <c r="IY7" i="1619"/>
  <c r="IT7" i="1619"/>
  <c r="IV16" i="1619"/>
  <c r="JA16" i="1619"/>
  <c r="IW7" i="1619"/>
  <c r="JA12" i="1619"/>
  <c r="IZ7" i="1619"/>
  <c r="JA9" i="1619"/>
  <c r="JA10" i="1619"/>
  <c r="JA21" i="1619"/>
  <c r="JA14" i="1619"/>
  <c r="JS7" i="1619" l="1"/>
  <c r="JA7" i="1619"/>
  <c r="N20" i="2522"/>
  <c r="N18" i="2522"/>
  <c r="N17" i="2522"/>
  <c r="N16" i="2522"/>
  <c r="N15" i="2522"/>
  <c r="N14" i="2522"/>
  <c r="N13" i="2522"/>
  <c r="N12" i="2522"/>
  <c r="N11" i="2522"/>
  <c r="N10" i="2522"/>
  <c r="N8" i="2522"/>
  <c r="N5" i="2522"/>
  <c r="AA20" i="2522"/>
  <c r="AA42" i="2522" s="1"/>
  <c r="AA18" i="2522"/>
  <c r="AA40" i="2522" s="1"/>
  <c r="AA17" i="2522"/>
  <c r="AA16" i="2522"/>
  <c r="AA15" i="2522"/>
  <c r="AA14" i="2522"/>
  <c r="AA13" i="2522"/>
  <c r="AA12" i="2522"/>
  <c r="AA11" i="2522"/>
  <c r="AA10" i="2522"/>
  <c r="AA8" i="2522"/>
  <c r="AA30" i="2522" s="1"/>
  <c r="AA5" i="2522"/>
  <c r="AN20" i="2522"/>
  <c r="AN42" i="2522" s="1"/>
  <c r="AN18" i="2522"/>
  <c r="AN17" i="2522"/>
  <c r="AN16" i="2522"/>
  <c r="AN15" i="2522"/>
  <c r="AN14" i="2522"/>
  <c r="AN36" i="2522" s="1"/>
  <c r="AN13" i="2522"/>
  <c r="AN12" i="2522"/>
  <c r="AN11" i="2522"/>
  <c r="AN10" i="2522"/>
  <c r="AN8" i="2522"/>
  <c r="AN5" i="2522"/>
  <c r="BA20" i="2522"/>
  <c r="BA18" i="2522"/>
  <c r="BA17" i="2522"/>
  <c r="BA16" i="2522"/>
  <c r="BA15" i="2522"/>
  <c r="BA37" i="2522" s="1"/>
  <c r="BA14" i="2522"/>
  <c r="BA13" i="2522"/>
  <c r="BA12" i="2522"/>
  <c r="BA11" i="2522"/>
  <c r="BA10" i="2522"/>
  <c r="BN32" i="2522" s="1"/>
  <c r="BA8" i="2522"/>
  <c r="BA29" i="2522"/>
  <c r="BA5" i="2522"/>
  <c r="BN20" i="2522"/>
  <c r="BN18" i="2522"/>
  <c r="BN17" i="2522"/>
  <c r="BN16" i="2522"/>
  <c r="BN15" i="2522"/>
  <c r="BN14" i="2522"/>
  <c r="BN13" i="2522"/>
  <c r="BN12" i="2522"/>
  <c r="BN11" i="2522"/>
  <c r="BN10" i="2522"/>
  <c r="BN8" i="2522"/>
  <c r="BN5" i="2522"/>
  <c r="CA20" i="2522"/>
  <c r="CA18" i="2522"/>
  <c r="CA17" i="2522"/>
  <c r="CA39" i="2522" s="1"/>
  <c r="CA16" i="2522"/>
  <c r="CA15" i="2522"/>
  <c r="CA14" i="2522"/>
  <c r="CA13" i="2522"/>
  <c r="CA12" i="2522"/>
  <c r="CA11" i="2522"/>
  <c r="CA10" i="2522"/>
  <c r="CA32" i="2522" s="1"/>
  <c r="CA8" i="2522"/>
  <c r="CA5" i="2522"/>
  <c r="CN20" i="2522"/>
  <c r="CN18" i="2522"/>
  <c r="CN40" i="2522" s="1"/>
  <c r="CN17" i="2522"/>
  <c r="CN16" i="2522"/>
  <c r="CN15" i="2522"/>
  <c r="CN14" i="2522"/>
  <c r="CN36" i="2522" s="1"/>
  <c r="CN13" i="2522"/>
  <c r="CN12" i="2522"/>
  <c r="CN34" i="2522" s="1"/>
  <c r="CN11" i="2522"/>
  <c r="CN10" i="2522"/>
  <c r="CN8" i="2522"/>
  <c r="CN5" i="2522"/>
  <c r="DA20" i="2522"/>
  <c r="DA18" i="2522"/>
  <c r="DA17" i="2522"/>
  <c r="DA16" i="2522"/>
  <c r="DA15" i="2522"/>
  <c r="DA14" i="2522"/>
  <c r="DA13" i="2522"/>
  <c r="DA35" i="2522" s="1"/>
  <c r="DA12" i="2522"/>
  <c r="DA34" i="2522" s="1"/>
  <c r="DA11" i="2522"/>
  <c r="DA10" i="2522"/>
  <c r="DA8" i="2522"/>
  <c r="DA5" i="2522"/>
  <c r="DN20" i="2522"/>
  <c r="DN18" i="2522"/>
  <c r="DN17" i="2522"/>
  <c r="DN16" i="2522"/>
  <c r="DN15" i="2522"/>
  <c r="DN14" i="2522"/>
  <c r="DN13" i="2522"/>
  <c r="DN35" i="2522" s="1"/>
  <c r="DN12" i="2522"/>
  <c r="DN11" i="2522"/>
  <c r="DN10" i="2522"/>
  <c r="DN8" i="2522"/>
  <c r="DN5" i="2522"/>
  <c r="EA20" i="2522"/>
  <c r="EA18" i="2522"/>
  <c r="EA17" i="2522"/>
  <c r="EA16" i="2522"/>
  <c r="EA15" i="2522"/>
  <c r="EA37" i="2522" s="1"/>
  <c r="EA14" i="2522"/>
  <c r="EA36" i="2522" s="1"/>
  <c r="EA13" i="2522"/>
  <c r="EA12" i="2522"/>
  <c r="EA11" i="2522"/>
  <c r="EA10" i="2522"/>
  <c r="EA8" i="2522"/>
  <c r="EA30" i="2522" s="1"/>
  <c r="EA5" i="2522"/>
  <c r="EN20" i="2522"/>
  <c r="EN18" i="2522"/>
  <c r="EN17" i="2522"/>
  <c r="EN16" i="2522"/>
  <c r="EN38" i="2522" s="1"/>
  <c r="EN15" i="2522"/>
  <c r="EN37" i="2522" s="1"/>
  <c r="EN14" i="2522"/>
  <c r="EN13" i="2522"/>
  <c r="EN12" i="2522"/>
  <c r="EN11" i="2522"/>
  <c r="EN10" i="2522"/>
  <c r="EN32" i="2522" s="1"/>
  <c r="EN8" i="2522"/>
  <c r="EN5" i="2522"/>
  <c r="FA20" i="2522"/>
  <c r="FA42" i="2522" s="1"/>
  <c r="FA18" i="2522"/>
  <c r="FA17" i="2522"/>
  <c r="FA39" i="2522" s="1"/>
  <c r="FA16" i="2522"/>
  <c r="FA38" i="2522" s="1"/>
  <c r="FA15" i="2522"/>
  <c r="FA14" i="2522"/>
  <c r="FA13" i="2522"/>
  <c r="FA12" i="2522"/>
  <c r="FA11" i="2522"/>
  <c r="FA33" i="2522" s="1"/>
  <c r="FA10" i="2522"/>
  <c r="FA8" i="2522"/>
  <c r="FA5" i="2522"/>
  <c r="FN20" i="2522"/>
  <c r="FN18" i="2522"/>
  <c r="FN40" i="2522" s="1"/>
  <c r="FN17" i="2522"/>
  <c r="FN39" i="2522" s="1"/>
  <c r="FN16" i="2522"/>
  <c r="FN38" i="2522" s="1"/>
  <c r="FN15" i="2522"/>
  <c r="FN14" i="2522"/>
  <c r="FN36" i="2522" s="1"/>
  <c r="FN13" i="2522"/>
  <c r="FN35" i="2522" s="1"/>
  <c r="FN12" i="2522"/>
  <c r="FN34" i="2522" s="1"/>
  <c r="FN11" i="2522"/>
  <c r="FN33" i="2522" s="1"/>
  <c r="FN10" i="2522"/>
  <c r="FN32" i="2522" s="1"/>
  <c r="FN8" i="2522"/>
  <c r="FN5" i="2522"/>
  <c r="GA20" i="2522"/>
  <c r="GA18" i="2522"/>
  <c r="GA40" i="2522" s="1"/>
  <c r="GA17" i="2522"/>
  <c r="GA39" i="2522" s="1"/>
  <c r="GA16" i="2522"/>
  <c r="GA15" i="2522"/>
  <c r="GA14" i="2522"/>
  <c r="GA13" i="2522"/>
  <c r="GA12" i="2522"/>
  <c r="GA34" i="2522" s="1"/>
  <c r="GA11" i="2522"/>
  <c r="GA10" i="2522"/>
  <c r="GA8" i="2522"/>
  <c r="GA5" i="2522"/>
  <c r="GN20" i="2522"/>
  <c r="GN42" i="2522" s="1"/>
  <c r="GN18" i="2522"/>
  <c r="GN40" i="2522" s="1"/>
  <c r="GN17" i="2522"/>
  <c r="GN16" i="2522"/>
  <c r="GN15" i="2522"/>
  <c r="GN14" i="2522"/>
  <c r="GN13" i="2522"/>
  <c r="GN35" i="2522" s="1"/>
  <c r="GN12" i="2522"/>
  <c r="GN11" i="2522"/>
  <c r="GN10" i="2522"/>
  <c r="GN8" i="2522"/>
  <c r="GN5" i="2522"/>
  <c r="HA20" i="2522"/>
  <c r="HA42" i="2522" s="1"/>
  <c r="HA18" i="2522"/>
  <c r="HA17" i="2522"/>
  <c r="HA16" i="2522"/>
  <c r="HA15" i="2522"/>
  <c r="HA14" i="2522"/>
  <c r="HA36" i="2522" s="1"/>
  <c r="HA13" i="2522"/>
  <c r="HA12" i="2522"/>
  <c r="HA11" i="2522"/>
  <c r="HA10" i="2522"/>
  <c r="HA8" i="2522"/>
  <c r="HA29" i="2522"/>
  <c r="HA5" i="2522"/>
  <c r="HN20" i="2522"/>
  <c r="HN18" i="2522"/>
  <c r="HN17" i="2522"/>
  <c r="HN16" i="2522"/>
  <c r="HN15" i="2522"/>
  <c r="HN14" i="2522"/>
  <c r="HN13" i="2522"/>
  <c r="HN12" i="2522"/>
  <c r="HN11" i="2522"/>
  <c r="HN10" i="2522"/>
  <c r="HN8" i="2522"/>
  <c r="HN30" i="2522" s="1"/>
  <c r="HN5" i="2522"/>
  <c r="IA20" i="2522"/>
  <c r="IA18" i="2522"/>
  <c r="IA17" i="2522"/>
  <c r="IA16" i="2522"/>
  <c r="IA15" i="2522"/>
  <c r="IA14" i="2522"/>
  <c r="IA13" i="2522"/>
  <c r="IA12" i="2522"/>
  <c r="IA11" i="2522"/>
  <c r="IA10" i="2522"/>
  <c r="IA8" i="2522"/>
  <c r="IA5" i="2522"/>
  <c r="IN20" i="2522"/>
  <c r="IN18" i="2522"/>
  <c r="IN17" i="2522"/>
  <c r="IN16" i="2522"/>
  <c r="IN15" i="2522"/>
  <c r="IN14" i="2522"/>
  <c r="IN13" i="2522"/>
  <c r="IN12" i="2522"/>
  <c r="IN11" i="2522"/>
  <c r="IN10" i="2522"/>
  <c r="IN8" i="2522"/>
  <c r="IN5" i="2522"/>
  <c r="JA20" i="2522"/>
  <c r="JA18" i="2522"/>
  <c r="JN40" i="2522" s="1"/>
  <c r="JA17" i="2522"/>
  <c r="JA16" i="2522"/>
  <c r="JN38" i="2522" s="1"/>
  <c r="JA15" i="2522"/>
  <c r="JA14" i="2522"/>
  <c r="JN36" i="2522" s="1"/>
  <c r="JA13" i="2522"/>
  <c r="JN35" i="2522" s="1"/>
  <c r="JA12" i="2522"/>
  <c r="JN34" i="2522" s="1"/>
  <c r="JA11" i="2522"/>
  <c r="JA33" i="2522" s="1"/>
  <c r="JA10" i="2522"/>
  <c r="JA8" i="2522"/>
  <c r="JA5" i="2522"/>
  <c r="JN5" i="2522"/>
  <c r="JM42" i="2522"/>
  <c r="JL42" i="2522"/>
  <c r="JK42" i="2522"/>
  <c r="JJ42" i="2522"/>
  <c r="JI42" i="2522"/>
  <c r="JH42" i="2522"/>
  <c r="JG42" i="2522"/>
  <c r="JF42" i="2522"/>
  <c r="JE42" i="2522"/>
  <c r="JD42" i="2522"/>
  <c r="JC42" i="2522"/>
  <c r="JB42" i="2522"/>
  <c r="IZ42" i="2522"/>
  <c r="IY42" i="2522"/>
  <c r="IX42" i="2522"/>
  <c r="IW42" i="2522"/>
  <c r="IV42" i="2522"/>
  <c r="IU42" i="2522"/>
  <c r="IT42" i="2522"/>
  <c r="IS42" i="2522"/>
  <c r="IR42" i="2522"/>
  <c r="IQ42" i="2522"/>
  <c r="IP42" i="2522"/>
  <c r="IO42" i="2522"/>
  <c r="IM42" i="2522"/>
  <c r="IL42" i="2522"/>
  <c r="IK42" i="2522"/>
  <c r="IJ42" i="2522"/>
  <c r="II42" i="2522"/>
  <c r="IH42" i="2522"/>
  <c r="IG42" i="2522"/>
  <c r="IF42" i="2522"/>
  <c r="IE42" i="2522"/>
  <c r="ID42" i="2522"/>
  <c r="IC42" i="2522"/>
  <c r="IB42" i="2522"/>
  <c r="HZ42" i="2522"/>
  <c r="HY42" i="2522"/>
  <c r="HX42" i="2522"/>
  <c r="HW42" i="2522"/>
  <c r="HV42" i="2522"/>
  <c r="HU42" i="2522"/>
  <c r="HT42" i="2522"/>
  <c r="HS42" i="2522"/>
  <c r="HR42" i="2522"/>
  <c r="HQ42" i="2522"/>
  <c r="HP42" i="2522"/>
  <c r="HO42" i="2522"/>
  <c r="HM42" i="2522"/>
  <c r="HL42" i="2522"/>
  <c r="HK42" i="2522"/>
  <c r="HJ42" i="2522"/>
  <c r="HI42" i="2522"/>
  <c r="HH42" i="2522"/>
  <c r="HG42" i="2522"/>
  <c r="HF42" i="2522"/>
  <c r="HE42" i="2522"/>
  <c r="HD42" i="2522"/>
  <c r="HC42" i="2522"/>
  <c r="HB42" i="2522"/>
  <c r="GZ42" i="2522"/>
  <c r="GY42" i="2522"/>
  <c r="GX42" i="2522"/>
  <c r="GW42" i="2522"/>
  <c r="GV42" i="2522"/>
  <c r="GU42" i="2522"/>
  <c r="GT42" i="2522"/>
  <c r="GS42" i="2522"/>
  <c r="GR42" i="2522"/>
  <c r="GQ42" i="2522"/>
  <c r="GP42" i="2522"/>
  <c r="GO42" i="2522"/>
  <c r="GM42" i="2522"/>
  <c r="GL42" i="2522"/>
  <c r="GK42" i="2522"/>
  <c r="GJ42" i="2522"/>
  <c r="GI42" i="2522"/>
  <c r="GH42" i="2522"/>
  <c r="GG42" i="2522"/>
  <c r="GF42" i="2522"/>
  <c r="GE42" i="2522"/>
  <c r="GD42" i="2522"/>
  <c r="GC42" i="2522"/>
  <c r="GB42" i="2522"/>
  <c r="FZ42" i="2522"/>
  <c r="FY42" i="2522"/>
  <c r="FX42" i="2522"/>
  <c r="FW42" i="2522"/>
  <c r="FV42" i="2522"/>
  <c r="FU42" i="2522"/>
  <c r="FT42" i="2522"/>
  <c r="FS42" i="2522"/>
  <c r="FR42" i="2522"/>
  <c r="FQ42" i="2522"/>
  <c r="FP42" i="2522"/>
  <c r="FO42" i="2522"/>
  <c r="FM42" i="2522"/>
  <c r="FL42" i="2522"/>
  <c r="FK42" i="2522"/>
  <c r="FJ42" i="2522"/>
  <c r="FI42" i="2522"/>
  <c r="FH42" i="2522"/>
  <c r="FG42" i="2522"/>
  <c r="FF42" i="2522"/>
  <c r="FE42" i="2522"/>
  <c r="FD42" i="2522"/>
  <c r="FC42" i="2522"/>
  <c r="FB42" i="2522"/>
  <c r="EZ42" i="2522"/>
  <c r="EY42" i="2522"/>
  <c r="EX42" i="2522"/>
  <c r="EW42" i="2522"/>
  <c r="EV42" i="2522"/>
  <c r="EU42" i="2522"/>
  <c r="ET42" i="2522"/>
  <c r="ES42" i="2522"/>
  <c r="ER42" i="2522"/>
  <c r="EQ42" i="2522"/>
  <c r="EP42" i="2522"/>
  <c r="EO42" i="2522"/>
  <c r="EM42" i="2522"/>
  <c r="EL42" i="2522"/>
  <c r="EK42" i="2522"/>
  <c r="EJ42" i="2522"/>
  <c r="EI42" i="2522"/>
  <c r="EH42" i="2522"/>
  <c r="EG42" i="2522"/>
  <c r="EF42" i="2522"/>
  <c r="EE42" i="2522"/>
  <c r="ED42" i="2522"/>
  <c r="EC42" i="2522"/>
  <c r="EB42" i="2522"/>
  <c r="DZ42" i="2522"/>
  <c r="DY42" i="2522"/>
  <c r="DX42" i="2522"/>
  <c r="DW42" i="2522"/>
  <c r="DV42" i="2522"/>
  <c r="DU42" i="2522"/>
  <c r="DT42" i="2522"/>
  <c r="DS42" i="2522"/>
  <c r="DR42" i="2522"/>
  <c r="DQ42" i="2522"/>
  <c r="DP42" i="2522"/>
  <c r="DO42" i="2522"/>
  <c r="DM42" i="2522"/>
  <c r="DL42" i="2522"/>
  <c r="DK42" i="2522"/>
  <c r="DJ42" i="2522"/>
  <c r="DI42" i="2522"/>
  <c r="DH42" i="2522"/>
  <c r="DG42" i="2522"/>
  <c r="DF42" i="2522"/>
  <c r="DE42" i="2522"/>
  <c r="DD42" i="2522"/>
  <c r="DC42" i="2522"/>
  <c r="DB42" i="2522"/>
  <c r="CZ42" i="2522"/>
  <c r="CY42" i="2522"/>
  <c r="CX42" i="2522"/>
  <c r="CW42" i="2522"/>
  <c r="CV42" i="2522"/>
  <c r="CU42" i="2522"/>
  <c r="CT42" i="2522"/>
  <c r="CS42" i="2522"/>
  <c r="CR42" i="2522"/>
  <c r="CQ42" i="2522"/>
  <c r="CP42" i="2522"/>
  <c r="CO42" i="2522"/>
  <c r="CM42" i="2522"/>
  <c r="CL42" i="2522"/>
  <c r="CK42" i="2522"/>
  <c r="CJ42" i="2522"/>
  <c r="CI42" i="2522"/>
  <c r="CH42" i="2522"/>
  <c r="CG42" i="2522"/>
  <c r="CF42" i="2522"/>
  <c r="CE42" i="2522"/>
  <c r="CD42" i="2522"/>
  <c r="CC42" i="2522"/>
  <c r="CB42" i="2522"/>
  <c r="BZ42" i="2522"/>
  <c r="BY42" i="2522"/>
  <c r="BX42" i="2522"/>
  <c r="BW42" i="2522"/>
  <c r="BV42" i="2522"/>
  <c r="BU42" i="2522"/>
  <c r="BT42" i="2522"/>
  <c r="BS42" i="2522"/>
  <c r="BR42" i="2522"/>
  <c r="BQ42" i="2522"/>
  <c r="BP42" i="2522"/>
  <c r="BO42" i="2522"/>
  <c r="BM42" i="2522"/>
  <c r="BL42" i="2522"/>
  <c r="BK42" i="2522"/>
  <c r="BJ42" i="2522"/>
  <c r="BI42" i="2522"/>
  <c r="BH42" i="2522"/>
  <c r="BG42" i="2522"/>
  <c r="BF42" i="2522"/>
  <c r="BE42" i="2522"/>
  <c r="BD42" i="2522"/>
  <c r="BC42" i="2522"/>
  <c r="BB42" i="2522"/>
  <c r="AZ42" i="2522"/>
  <c r="AY42" i="2522"/>
  <c r="AX42" i="2522"/>
  <c r="AW42" i="2522"/>
  <c r="AV42" i="2522"/>
  <c r="AU42" i="2522"/>
  <c r="AT42" i="2522"/>
  <c r="AS42" i="2522"/>
  <c r="AR42" i="2522"/>
  <c r="AQ42" i="2522"/>
  <c r="AP42" i="2522"/>
  <c r="AO42" i="2522"/>
  <c r="AM42" i="2522"/>
  <c r="AL42" i="2522"/>
  <c r="AK42" i="2522"/>
  <c r="AJ42" i="2522"/>
  <c r="AI42" i="2522"/>
  <c r="AH42" i="2522"/>
  <c r="AG42" i="2522"/>
  <c r="AF42" i="2522"/>
  <c r="AE42" i="2522"/>
  <c r="AD42" i="2522"/>
  <c r="AC42" i="2522"/>
  <c r="AB42" i="2522"/>
  <c r="Z42" i="2522"/>
  <c r="Y42" i="2522"/>
  <c r="X42" i="2522"/>
  <c r="W42" i="2522"/>
  <c r="V42" i="2522"/>
  <c r="U42" i="2522"/>
  <c r="T42" i="2522"/>
  <c r="S42" i="2522"/>
  <c r="R42" i="2522"/>
  <c r="Q42" i="2522"/>
  <c r="P42" i="2522"/>
  <c r="O42" i="2522"/>
  <c r="JM40" i="2522"/>
  <c r="JL40" i="2522"/>
  <c r="JK40" i="2522"/>
  <c r="JJ40" i="2522"/>
  <c r="JI40" i="2522"/>
  <c r="JH40" i="2522"/>
  <c r="JG40" i="2522"/>
  <c r="JF40" i="2522"/>
  <c r="JE40" i="2522"/>
  <c r="JD40" i="2522"/>
  <c r="JC40" i="2522"/>
  <c r="JB40" i="2522"/>
  <c r="IZ40" i="2522"/>
  <c r="IY40" i="2522"/>
  <c r="IX40" i="2522"/>
  <c r="IW40" i="2522"/>
  <c r="IV40" i="2522"/>
  <c r="IU40" i="2522"/>
  <c r="IT40" i="2522"/>
  <c r="IS40" i="2522"/>
  <c r="IR40" i="2522"/>
  <c r="IQ40" i="2522"/>
  <c r="IP40" i="2522"/>
  <c r="IO40" i="2522"/>
  <c r="IM40" i="2522"/>
  <c r="IL40" i="2522"/>
  <c r="IK40" i="2522"/>
  <c r="IJ40" i="2522"/>
  <c r="II40" i="2522"/>
  <c r="IH40" i="2522"/>
  <c r="IG40" i="2522"/>
  <c r="IF40" i="2522"/>
  <c r="IE40" i="2522"/>
  <c r="ID40" i="2522"/>
  <c r="IC40" i="2522"/>
  <c r="IB40" i="2522"/>
  <c r="HZ40" i="2522"/>
  <c r="HY40" i="2522"/>
  <c r="HX40" i="2522"/>
  <c r="HW40" i="2522"/>
  <c r="HV40" i="2522"/>
  <c r="HU40" i="2522"/>
  <c r="HT40" i="2522"/>
  <c r="HS40" i="2522"/>
  <c r="HR40" i="2522"/>
  <c r="HQ40" i="2522"/>
  <c r="HP40" i="2522"/>
  <c r="HO40" i="2522"/>
  <c r="HM40" i="2522"/>
  <c r="HL40" i="2522"/>
  <c r="HK40" i="2522"/>
  <c r="HJ40" i="2522"/>
  <c r="HI40" i="2522"/>
  <c r="HH40" i="2522"/>
  <c r="HG40" i="2522"/>
  <c r="HF40" i="2522"/>
  <c r="HE40" i="2522"/>
  <c r="HD40" i="2522"/>
  <c r="HC40" i="2522"/>
  <c r="HB40" i="2522"/>
  <c r="GZ40" i="2522"/>
  <c r="GY40" i="2522"/>
  <c r="GX40" i="2522"/>
  <c r="GW40" i="2522"/>
  <c r="GV40" i="2522"/>
  <c r="GU40" i="2522"/>
  <c r="GT40" i="2522"/>
  <c r="GS40" i="2522"/>
  <c r="GR40" i="2522"/>
  <c r="GQ40" i="2522"/>
  <c r="GP40" i="2522"/>
  <c r="GO40" i="2522"/>
  <c r="GM40" i="2522"/>
  <c r="GL40" i="2522"/>
  <c r="GK40" i="2522"/>
  <c r="GJ40" i="2522"/>
  <c r="GI40" i="2522"/>
  <c r="GH40" i="2522"/>
  <c r="GG40" i="2522"/>
  <c r="GF40" i="2522"/>
  <c r="GE40" i="2522"/>
  <c r="GD40" i="2522"/>
  <c r="GC40" i="2522"/>
  <c r="GB40" i="2522"/>
  <c r="FZ40" i="2522"/>
  <c r="FY40" i="2522"/>
  <c r="FX40" i="2522"/>
  <c r="FW40" i="2522"/>
  <c r="FV40" i="2522"/>
  <c r="FU40" i="2522"/>
  <c r="FT40" i="2522"/>
  <c r="FS40" i="2522"/>
  <c r="FR40" i="2522"/>
  <c r="FQ40" i="2522"/>
  <c r="FP40" i="2522"/>
  <c r="FO40" i="2522"/>
  <c r="FM40" i="2522"/>
  <c r="FL40" i="2522"/>
  <c r="FK40" i="2522"/>
  <c r="FJ40" i="2522"/>
  <c r="FI40" i="2522"/>
  <c r="FH40" i="2522"/>
  <c r="FG40" i="2522"/>
  <c r="FF40" i="2522"/>
  <c r="FE40" i="2522"/>
  <c r="FD40" i="2522"/>
  <c r="FC40" i="2522"/>
  <c r="FB40" i="2522"/>
  <c r="EZ40" i="2522"/>
  <c r="EY40" i="2522"/>
  <c r="EX40" i="2522"/>
  <c r="EW40" i="2522"/>
  <c r="EV40" i="2522"/>
  <c r="EU40" i="2522"/>
  <c r="ET40" i="2522"/>
  <c r="ES40" i="2522"/>
  <c r="ER40" i="2522"/>
  <c r="EQ40" i="2522"/>
  <c r="EP40" i="2522"/>
  <c r="EO40" i="2522"/>
  <c r="EM40" i="2522"/>
  <c r="EL40" i="2522"/>
  <c r="EK40" i="2522"/>
  <c r="EJ40" i="2522"/>
  <c r="EI40" i="2522"/>
  <c r="EH40" i="2522"/>
  <c r="EG40" i="2522"/>
  <c r="EF40" i="2522"/>
  <c r="EE40" i="2522"/>
  <c r="ED40" i="2522"/>
  <c r="EC40" i="2522"/>
  <c r="EB40" i="2522"/>
  <c r="DZ40" i="2522"/>
  <c r="DY40" i="2522"/>
  <c r="DX40" i="2522"/>
  <c r="DW40" i="2522"/>
  <c r="DV40" i="2522"/>
  <c r="DU40" i="2522"/>
  <c r="DT40" i="2522"/>
  <c r="DS40" i="2522"/>
  <c r="DR40" i="2522"/>
  <c r="DQ40" i="2522"/>
  <c r="DP40" i="2522"/>
  <c r="DO40" i="2522"/>
  <c r="DM40" i="2522"/>
  <c r="DL40" i="2522"/>
  <c r="DK40" i="2522"/>
  <c r="DJ40" i="2522"/>
  <c r="DI40" i="2522"/>
  <c r="DH40" i="2522"/>
  <c r="DG40" i="2522"/>
  <c r="DF40" i="2522"/>
  <c r="DE40" i="2522"/>
  <c r="DD40" i="2522"/>
  <c r="DC40" i="2522"/>
  <c r="DB40" i="2522"/>
  <c r="CZ40" i="2522"/>
  <c r="CY40" i="2522"/>
  <c r="CX40" i="2522"/>
  <c r="CW40" i="2522"/>
  <c r="CV40" i="2522"/>
  <c r="CU40" i="2522"/>
  <c r="CT40" i="2522"/>
  <c r="CS40" i="2522"/>
  <c r="CR40" i="2522"/>
  <c r="CQ40" i="2522"/>
  <c r="CP40" i="2522"/>
  <c r="CO40" i="2522"/>
  <c r="CM40" i="2522"/>
  <c r="CL40" i="2522"/>
  <c r="CK40" i="2522"/>
  <c r="CJ40" i="2522"/>
  <c r="CI40" i="2522"/>
  <c r="CH40" i="2522"/>
  <c r="CG40" i="2522"/>
  <c r="CF40" i="2522"/>
  <c r="CE40" i="2522"/>
  <c r="CD40" i="2522"/>
  <c r="CC40" i="2522"/>
  <c r="CB40" i="2522"/>
  <c r="BZ40" i="2522"/>
  <c r="BY40" i="2522"/>
  <c r="BX40" i="2522"/>
  <c r="BW40" i="2522"/>
  <c r="BV40" i="2522"/>
  <c r="BU40" i="2522"/>
  <c r="BT40" i="2522"/>
  <c r="BS40" i="2522"/>
  <c r="BR40" i="2522"/>
  <c r="BQ40" i="2522"/>
  <c r="BP40" i="2522"/>
  <c r="BO40" i="2522"/>
  <c r="BM40" i="2522"/>
  <c r="BL40" i="2522"/>
  <c r="BK40" i="2522"/>
  <c r="BJ40" i="2522"/>
  <c r="BI40" i="2522"/>
  <c r="BH40" i="2522"/>
  <c r="BG40" i="2522"/>
  <c r="BF40" i="2522"/>
  <c r="BE40" i="2522"/>
  <c r="BD40" i="2522"/>
  <c r="BC40" i="2522"/>
  <c r="BB40" i="2522"/>
  <c r="AZ40" i="2522"/>
  <c r="AY40" i="2522"/>
  <c r="AX40" i="2522"/>
  <c r="AW40" i="2522"/>
  <c r="AV40" i="2522"/>
  <c r="AU40" i="2522"/>
  <c r="AT40" i="2522"/>
  <c r="AS40" i="2522"/>
  <c r="AR40" i="2522"/>
  <c r="AQ40" i="2522"/>
  <c r="AP40" i="2522"/>
  <c r="AO40" i="2522"/>
  <c r="AM40" i="2522"/>
  <c r="AL40" i="2522"/>
  <c r="AK40" i="2522"/>
  <c r="AJ40" i="2522"/>
  <c r="AI40" i="2522"/>
  <c r="AH40" i="2522"/>
  <c r="AG40" i="2522"/>
  <c r="AF40" i="2522"/>
  <c r="AE40" i="2522"/>
  <c r="AD40" i="2522"/>
  <c r="AC40" i="2522"/>
  <c r="AB40" i="2522"/>
  <c r="Z40" i="2522"/>
  <c r="Y40" i="2522"/>
  <c r="X40" i="2522"/>
  <c r="W40" i="2522"/>
  <c r="V40" i="2522"/>
  <c r="U40" i="2522"/>
  <c r="T40" i="2522"/>
  <c r="S40" i="2522"/>
  <c r="R40" i="2522"/>
  <c r="Q40" i="2522"/>
  <c r="P40" i="2522"/>
  <c r="O40" i="2522"/>
  <c r="JM39" i="2522"/>
  <c r="JL39" i="2522"/>
  <c r="JK39" i="2522"/>
  <c r="JJ39" i="2522"/>
  <c r="JI39" i="2522"/>
  <c r="JH39" i="2522"/>
  <c r="JG39" i="2522"/>
  <c r="JF39" i="2522"/>
  <c r="JE39" i="2522"/>
  <c r="JD39" i="2522"/>
  <c r="JC39" i="2522"/>
  <c r="JB39" i="2522"/>
  <c r="IZ39" i="2522"/>
  <c r="IY39" i="2522"/>
  <c r="IX39" i="2522"/>
  <c r="IW39" i="2522"/>
  <c r="IV39" i="2522"/>
  <c r="IU39" i="2522"/>
  <c r="IT39" i="2522"/>
  <c r="IS39" i="2522"/>
  <c r="IR39" i="2522"/>
  <c r="IQ39" i="2522"/>
  <c r="IP39" i="2522"/>
  <c r="IO39" i="2522"/>
  <c r="IM39" i="2522"/>
  <c r="IL39" i="2522"/>
  <c r="IK39" i="2522"/>
  <c r="IJ39" i="2522"/>
  <c r="II39" i="2522"/>
  <c r="IH39" i="2522"/>
  <c r="IG39" i="2522"/>
  <c r="IF39" i="2522"/>
  <c r="IE39" i="2522"/>
  <c r="ID39" i="2522"/>
  <c r="IC39" i="2522"/>
  <c r="IB39" i="2522"/>
  <c r="HZ39" i="2522"/>
  <c r="HY39" i="2522"/>
  <c r="HX39" i="2522"/>
  <c r="HW39" i="2522"/>
  <c r="HV39" i="2522"/>
  <c r="HU39" i="2522"/>
  <c r="HT39" i="2522"/>
  <c r="HS39" i="2522"/>
  <c r="HR39" i="2522"/>
  <c r="HQ39" i="2522"/>
  <c r="HP39" i="2522"/>
  <c r="HO39" i="2522"/>
  <c r="HM39" i="2522"/>
  <c r="HL39" i="2522"/>
  <c r="HK39" i="2522"/>
  <c r="HJ39" i="2522"/>
  <c r="HI39" i="2522"/>
  <c r="HH39" i="2522"/>
  <c r="HG39" i="2522"/>
  <c r="HF39" i="2522"/>
  <c r="HE39" i="2522"/>
  <c r="HD39" i="2522"/>
  <c r="HC39" i="2522"/>
  <c r="HB39" i="2522"/>
  <c r="GZ39" i="2522"/>
  <c r="GY39" i="2522"/>
  <c r="GX39" i="2522"/>
  <c r="GW39" i="2522"/>
  <c r="GV39" i="2522"/>
  <c r="GU39" i="2522"/>
  <c r="GT39" i="2522"/>
  <c r="GS39" i="2522"/>
  <c r="GR39" i="2522"/>
  <c r="GQ39" i="2522"/>
  <c r="GP39" i="2522"/>
  <c r="GO39" i="2522"/>
  <c r="GM39" i="2522"/>
  <c r="GL39" i="2522"/>
  <c r="GK39" i="2522"/>
  <c r="GJ39" i="2522"/>
  <c r="GI39" i="2522"/>
  <c r="GH39" i="2522"/>
  <c r="GG39" i="2522"/>
  <c r="GF39" i="2522"/>
  <c r="GE39" i="2522"/>
  <c r="GD39" i="2522"/>
  <c r="GC39" i="2522"/>
  <c r="GB39" i="2522"/>
  <c r="FZ39" i="2522"/>
  <c r="FY39" i="2522"/>
  <c r="FX39" i="2522"/>
  <c r="FW39" i="2522"/>
  <c r="FV39" i="2522"/>
  <c r="FU39" i="2522"/>
  <c r="FT39" i="2522"/>
  <c r="FS39" i="2522"/>
  <c r="FR39" i="2522"/>
  <c r="FQ39" i="2522"/>
  <c r="FP39" i="2522"/>
  <c r="FO39" i="2522"/>
  <c r="FM39" i="2522"/>
  <c r="FL39" i="2522"/>
  <c r="FK39" i="2522"/>
  <c r="FJ39" i="2522"/>
  <c r="FI39" i="2522"/>
  <c r="FH39" i="2522"/>
  <c r="FG39" i="2522"/>
  <c r="FF39" i="2522"/>
  <c r="FE39" i="2522"/>
  <c r="FD39" i="2522"/>
  <c r="FC39" i="2522"/>
  <c r="FB39" i="2522"/>
  <c r="EZ39" i="2522"/>
  <c r="EY39" i="2522"/>
  <c r="EX39" i="2522"/>
  <c r="EW39" i="2522"/>
  <c r="EV39" i="2522"/>
  <c r="EU39" i="2522"/>
  <c r="ET39" i="2522"/>
  <c r="ES39" i="2522"/>
  <c r="ER39" i="2522"/>
  <c r="EQ39" i="2522"/>
  <c r="EP39" i="2522"/>
  <c r="EO39" i="2522"/>
  <c r="EM39" i="2522"/>
  <c r="EL39" i="2522"/>
  <c r="EK39" i="2522"/>
  <c r="EJ39" i="2522"/>
  <c r="EI39" i="2522"/>
  <c r="EH39" i="2522"/>
  <c r="EG39" i="2522"/>
  <c r="EF39" i="2522"/>
  <c r="EE39" i="2522"/>
  <c r="ED39" i="2522"/>
  <c r="EC39" i="2522"/>
  <c r="EB39" i="2522"/>
  <c r="DZ39" i="2522"/>
  <c r="DY39" i="2522"/>
  <c r="DX39" i="2522"/>
  <c r="DW39" i="2522"/>
  <c r="DV39" i="2522"/>
  <c r="DU39" i="2522"/>
  <c r="DT39" i="2522"/>
  <c r="DS39" i="2522"/>
  <c r="DR39" i="2522"/>
  <c r="DQ39" i="2522"/>
  <c r="DP39" i="2522"/>
  <c r="DO39" i="2522"/>
  <c r="DM39" i="2522"/>
  <c r="DL39" i="2522"/>
  <c r="DK39" i="2522"/>
  <c r="DJ39" i="2522"/>
  <c r="DI39" i="2522"/>
  <c r="DH39" i="2522"/>
  <c r="DG39" i="2522"/>
  <c r="DF39" i="2522"/>
  <c r="DE39" i="2522"/>
  <c r="DD39" i="2522"/>
  <c r="DC39" i="2522"/>
  <c r="DB39" i="2522"/>
  <c r="CZ39" i="2522"/>
  <c r="CY39" i="2522"/>
  <c r="CX39" i="2522"/>
  <c r="CW39" i="2522"/>
  <c r="CV39" i="2522"/>
  <c r="CU39" i="2522"/>
  <c r="CT39" i="2522"/>
  <c r="CS39" i="2522"/>
  <c r="CR39" i="2522"/>
  <c r="CQ39" i="2522"/>
  <c r="CP39" i="2522"/>
  <c r="CO39" i="2522"/>
  <c r="CM39" i="2522"/>
  <c r="CL39" i="2522"/>
  <c r="CK39" i="2522"/>
  <c r="CJ39" i="2522"/>
  <c r="CI39" i="2522"/>
  <c r="CH39" i="2522"/>
  <c r="CG39" i="2522"/>
  <c r="CF39" i="2522"/>
  <c r="CE39" i="2522"/>
  <c r="CD39" i="2522"/>
  <c r="CC39" i="2522"/>
  <c r="CB39" i="2522"/>
  <c r="BZ39" i="2522"/>
  <c r="BY39" i="2522"/>
  <c r="BX39" i="2522"/>
  <c r="BW39" i="2522"/>
  <c r="BV39" i="2522"/>
  <c r="BU39" i="2522"/>
  <c r="BT39" i="2522"/>
  <c r="BS39" i="2522"/>
  <c r="BR39" i="2522"/>
  <c r="BQ39" i="2522"/>
  <c r="BP39" i="2522"/>
  <c r="BO39" i="2522"/>
  <c r="BM39" i="2522"/>
  <c r="BL39" i="2522"/>
  <c r="BK39" i="2522"/>
  <c r="BJ39" i="2522"/>
  <c r="BI39" i="2522"/>
  <c r="BH39" i="2522"/>
  <c r="BG39" i="2522"/>
  <c r="BF39" i="2522"/>
  <c r="BE39" i="2522"/>
  <c r="BD39" i="2522"/>
  <c r="BC39" i="2522"/>
  <c r="BB39" i="2522"/>
  <c r="AZ39" i="2522"/>
  <c r="AY39" i="2522"/>
  <c r="AX39" i="2522"/>
  <c r="AW39" i="2522"/>
  <c r="AV39" i="2522"/>
  <c r="AU39" i="2522"/>
  <c r="AT39" i="2522"/>
  <c r="AS39" i="2522"/>
  <c r="AR39" i="2522"/>
  <c r="AQ39" i="2522"/>
  <c r="AP39" i="2522"/>
  <c r="AO39" i="2522"/>
  <c r="AM39" i="2522"/>
  <c r="AL39" i="2522"/>
  <c r="AK39" i="2522"/>
  <c r="AJ39" i="2522"/>
  <c r="AI39" i="2522"/>
  <c r="AH39" i="2522"/>
  <c r="AG39" i="2522"/>
  <c r="AF39" i="2522"/>
  <c r="AE39" i="2522"/>
  <c r="AD39" i="2522"/>
  <c r="AC39" i="2522"/>
  <c r="AB39" i="2522"/>
  <c r="Z39" i="2522"/>
  <c r="Y39" i="2522"/>
  <c r="X39" i="2522"/>
  <c r="W39" i="2522"/>
  <c r="V39" i="2522"/>
  <c r="U39" i="2522"/>
  <c r="T39" i="2522"/>
  <c r="S39" i="2522"/>
  <c r="R39" i="2522"/>
  <c r="Q39" i="2522"/>
  <c r="P39" i="2522"/>
  <c r="O39" i="2522"/>
  <c r="JM38" i="2522"/>
  <c r="JL38" i="2522"/>
  <c r="JK38" i="2522"/>
  <c r="JJ38" i="2522"/>
  <c r="JI38" i="2522"/>
  <c r="JH38" i="2522"/>
  <c r="JG38" i="2522"/>
  <c r="JF38" i="2522"/>
  <c r="JE38" i="2522"/>
  <c r="JD38" i="2522"/>
  <c r="JC38" i="2522"/>
  <c r="JB38" i="2522"/>
  <c r="IZ38" i="2522"/>
  <c r="IY38" i="2522"/>
  <c r="IX38" i="2522"/>
  <c r="IW38" i="2522"/>
  <c r="IV38" i="2522"/>
  <c r="IU38" i="2522"/>
  <c r="IT38" i="2522"/>
  <c r="IS38" i="2522"/>
  <c r="IR38" i="2522"/>
  <c r="IQ38" i="2522"/>
  <c r="IP38" i="2522"/>
  <c r="IO38" i="2522"/>
  <c r="IM38" i="2522"/>
  <c r="IL38" i="2522"/>
  <c r="IK38" i="2522"/>
  <c r="IJ38" i="2522"/>
  <c r="II38" i="2522"/>
  <c r="IH38" i="2522"/>
  <c r="IG38" i="2522"/>
  <c r="IF38" i="2522"/>
  <c r="IE38" i="2522"/>
  <c r="ID38" i="2522"/>
  <c r="IC38" i="2522"/>
  <c r="IB38" i="2522"/>
  <c r="HZ38" i="2522"/>
  <c r="HY38" i="2522"/>
  <c r="HX38" i="2522"/>
  <c r="HW38" i="2522"/>
  <c r="HV38" i="2522"/>
  <c r="HU38" i="2522"/>
  <c r="HT38" i="2522"/>
  <c r="HS38" i="2522"/>
  <c r="HR38" i="2522"/>
  <c r="HQ38" i="2522"/>
  <c r="HP38" i="2522"/>
  <c r="HO38" i="2522"/>
  <c r="HM38" i="2522"/>
  <c r="HL38" i="2522"/>
  <c r="HK38" i="2522"/>
  <c r="HJ38" i="2522"/>
  <c r="HI38" i="2522"/>
  <c r="HH38" i="2522"/>
  <c r="HG38" i="2522"/>
  <c r="HF38" i="2522"/>
  <c r="HE38" i="2522"/>
  <c r="HD38" i="2522"/>
  <c r="HC38" i="2522"/>
  <c r="HB38" i="2522"/>
  <c r="GZ38" i="2522"/>
  <c r="GY38" i="2522"/>
  <c r="GX38" i="2522"/>
  <c r="GW38" i="2522"/>
  <c r="GV38" i="2522"/>
  <c r="GU38" i="2522"/>
  <c r="GT38" i="2522"/>
  <c r="GS38" i="2522"/>
  <c r="GR38" i="2522"/>
  <c r="GQ38" i="2522"/>
  <c r="GP38" i="2522"/>
  <c r="GO38" i="2522"/>
  <c r="GM38" i="2522"/>
  <c r="GL38" i="2522"/>
  <c r="GK38" i="2522"/>
  <c r="GJ38" i="2522"/>
  <c r="GI38" i="2522"/>
  <c r="GH38" i="2522"/>
  <c r="GG38" i="2522"/>
  <c r="GF38" i="2522"/>
  <c r="GE38" i="2522"/>
  <c r="GD38" i="2522"/>
  <c r="GC38" i="2522"/>
  <c r="GB38" i="2522"/>
  <c r="FZ38" i="2522"/>
  <c r="FY38" i="2522"/>
  <c r="FX38" i="2522"/>
  <c r="FW38" i="2522"/>
  <c r="FV38" i="2522"/>
  <c r="FU38" i="2522"/>
  <c r="FT38" i="2522"/>
  <c r="FS38" i="2522"/>
  <c r="FR38" i="2522"/>
  <c r="FQ38" i="2522"/>
  <c r="FP38" i="2522"/>
  <c r="FO38" i="2522"/>
  <c r="FM38" i="2522"/>
  <c r="FL38" i="2522"/>
  <c r="FK38" i="2522"/>
  <c r="FJ38" i="2522"/>
  <c r="FI38" i="2522"/>
  <c r="FH38" i="2522"/>
  <c r="FG38" i="2522"/>
  <c r="FF38" i="2522"/>
  <c r="FE38" i="2522"/>
  <c r="FD38" i="2522"/>
  <c r="FC38" i="2522"/>
  <c r="FB38" i="2522"/>
  <c r="EZ38" i="2522"/>
  <c r="EY38" i="2522"/>
  <c r="EX38" i="2522"/>
  <c r="EW38" i="2522"/>
  <c r="EV38" i="2522"/>
  <c r="EU38" i="2522"/>
  <c r="ET38" i="2522"/>
  <c r="ES38" i="2522"/>
  <c r="ER38" i="2522"/>
  <c r="EQ38" i="2522"/>
  <c r="EP38" i="2522"/>
  <c r="EO38" i="2522"/>
  <c r="EM38" i="2522"/>
  <c r="EL38" i="2522"/>
  <c r="EK38" i="2522"/>
  <c r="EJ38" i="2522"/>
  <c r="EI38" i="2522"/>
  <c r="EH38" i="2522"/>
  <c r="EG38" i="2522"/>
  <c r="EF38" i="2522"/>
  <c r="EE38" i="2522"/>
  <c r="ED38" i="2522"/>
  <c r="EC38" i="2522"/>
  <c r="EB38" i="2522"/>
  <c r="DZ38" i="2522"/>
  <c r="DY38" i="2522"/>
  <c r="DX38" i="2522"/>
  <c r="DW38" i="2522"/>
  <c r="DV38" i="2522"/>
  <c r="DU38" i="2522"/>
  <c r="DT38" i="2522"/>
  <c r="DS38" i="2522"/>
  <c r="DR38" i="2522"/>
  <c r="DQ38" i="2522"/>
  <c r="DP38" i="2522"/>
  <c r="DO38" i="2522"/>
  <c r="DM38" i="2522"/>
  <c r="DL38" i="2522"/>
  <c r="DK38" i="2522"/>
  <c r="DJ38" i="2522"/>
  <c r="DI38" i="2522"/>
  <c r="DH38" i="2522"/>
  <c r="DG38" i="2522"/>
  <c r="DF38" i="2522"/>
  <c r="DE38" i="2522"/>
  <c r="DD38" i="2522"/>
  <c r="DC38" i="2522"/>
  <c r="DB38" i="2522"/>
  <c r="CZ38" i="2522"/>
  <c r="CY38" i="2522"/>
  <c r="CX38" i="2522"/>
  <c r="CW38" i="2522"/>
  <c r="CV38" i="2522"/>
  <c r="CU38" i="2522"/>
  <c r="CT38" i="2522"/>
  <c r="CS38" i="2522"/>
  <c r="CR38" i="2522"/>
  <c r="CQ38" i="2522"/>
  <c r="CP38" i="2522"/>
  <c r="CO38" i="2522"/>
  <c r="CM38" i="2522"/>
  <c r="CL38" i="2522"/>
  <c r="CK38" i="2522"/>
  <c r="CJ38" i="2522"/>
  <c r="CI38" i="2522"/>
  <c r="CH38" i="2522"/>
  <c r="CG38" i="2522"/>
  <c r="CF38" i="2522"/>
  <c r="CE38" i="2522"/>
  <c r="CD38" i="2522"/>
  <c r="CC38" i="2522"/>
  <c r="CB38" i="2522"/>
  <c r="BZ38" i="2522"/>
  <c r="BY38" i="2522"/>
  <c r="BX38" i="2522"/>
  <c r="BW38" i="2522"/>
  <c r="BV38" i="2522"/>
  <c r="BU38" i="2522"/>
  <c r="BT38" i="2522"/>
  <c r="BS38" i="2522"/>
  <c r="BR38" i="2522"/>
  <c r="BQ38" i="2522"/>
  <c r="BP38" i="2522"/>
  <c r="BO38" i="2522"/>
  <c r="BM38" i="2522"/>
  <c r="BL38" i="2522"/>
  <c r="BK38" i="2522"/>
  <c r="BJ38" i="2522"/>
  <c r="BI38" i="2522"/>
  <c r="BH38" i="2522"/>
  <c r="BG38" i="2522"/>
  <c r="BF38" i="2522"/>
  <c r="BE38" i="2522"/>
  <c r="BD38" i="2522"/>
  <c r="BC38" i="2522"/>
  <c r="BB38" i="2522"/>
  <c r="AZ38" i="2522"/>
  <c r="AY38" i="2522"/>
  <c r="AX38" i="2522"/>
  <c r="AW38" i="2522"/>
  <c r="AV38" i="2522"/>
  <c r="AU38" i="2522"/>
  <c r="AT38" i="2522"/>
  <c r="AS38" i="2522"/>
  <c r="AR38" i="2522"/>
  <c r="AQ38" i="2522"/>
  <c r="AP38" i="2522"/>
  <c r="AO38" i="2522"/>
  <c r="AM38" i="2522"/>
  <c r="AL38" i="2522"/>
  <c r="AK38" i="2522"/>
  <c r="AJ38" i="2522"/>
  <c r="AI38" i="2522"/>
  <c r="AH38" i="2522"/>
  <c r="AG38" i="2522"/>
  <c r="AF38" i="2522"/>
  <c r="AE38" i="2522"/>
  <c r="AD38" i="2522"/>
  <c r="AC38" i="2522"/>
  <c r="AB38" i="2522"/>
  <c r="Z38" i="2522"/>
  <c r="Y38" i="2522"/>
  <c r="X38" i="2522"/>
  <c r="W38" i="2522"/>
  <c r="V38" i="2522"/>
  <c r="U38" i="2522"/>
  <c r="T38" i="2522"/>
  <c r="S38" i="2522"/>
  <c r="R38" i="2522"/>
  <c r="Q38" i="2522"/>
  <c r="P38" i="2522"/>
  <c r="O38" i="2522"/>
  <c r="JM37" i="2522"/>
  <c r="JL37" i="2522"/>
  <c r="JK37" i="2522"/>
  <c r="JJ37" i="2522"/>
  <c r="JI37" i="2522"/>
  <c r="JH37" i="2522"/>
  <c r="JG37" i="2522"/>
  <c r="JF37" i="2522"/>
  <c r="JE37" i="2522"/>
  <c r="JD37" i="2522"/>
  <c r="JC37" i="2522"/>
  <c r="JB37" i="2522"/>
  <c r="IZ37" i="2522"/>
  <c r="IY37" i="2522"/>
  <c r="IX37" i="2522"/>
  <c r="IW37" i="2522"/>
  <c r="IV37" i="2522"/>
  <c r="IU37" i="2522"/>
  <c r="IT37" i="2522"/>
  <c r="IS37" i="2522"/>
  <c r="IR37" i="2522"/>
  <c r="IQ37" i="2522"/>
  <c r="IP37" i="2522"/>
  <c r="IO37" i="2522"/>
  <c r="IM37" i="2522"/>
  <c r="IL37" i="2522"/>
  <c r="IK37" i="2522"/>
  <c r="IJ37" i="2522"/>
  <c r="II37" i="2522"/>
  <c r="IH37" i="2522"/>
  <c r="IG37" i="2522"/>
  <c r="IF37" i="2522"/>
  <c r="IE37" i="2522"/>
  <c r="ID37" i="2522"/>
  <c r="IC37" i="2522"/>
  <c r="IB37" i="2522"/>
  <c r="HZ37" i="2522"/>
  <c r="HY37" i="2522"/>
  <c r="HX37" i="2522"/>
  <c r="HW37" i="2522"/>
  <c r="HV37" i="2522"/>
  <c r="HU37" i="2522"/>
  <c r="HT37" i="2522"/>
  <c r="HS37" i="2522"/>
  <c r="HR37" i="2522"/>
  <c r="HQ37" i="2522"/>
  <c r="HP37" i="2522"/>
  <c r="HO37" i="2522"/>
  <c r="HM37" i="2522"/>
  <c r="HL37" i="2522"/>
  <c r="HK37" i="2522"/>
  <c r="HJ37" i="2522"/>
  <c r="HI37" i="2522"/>
  <c r="HH37" i="2522"/>
  <c r="HG37" i="2522"/>
  <c r="HF37" i="2522"/>
  <c r="HE37" i="2522"/>
  <c r="HD37" i="2522"/>
  <c r="HC37" i="2522"/>
  <c r="HB37" i="2522"/>
  <c r="GZ37" i="2522"/>
  <c r="GY37" i="2522"/>
  <c r="GX37" i="2522"/>
  <c r="GW37" i="2522"/>
  <c r="GV37" i="2522"/>
  <c r="GU37" i="2522"/>
  <c r="GT37" i="2522"/>
  <c r="GS37" i="2522"/>
  <c r="GR37" i="2522"/>
  <c r="GQ37" i="2522"/>
  <c r="GP37" i="2522"/>
  <c r="GO37" i="2522"/>
  <c r="GM37" i="2522"/>
  <c r="GL37" i="2522"/>
  <c r="GK37" i="2522"/>
  <c r="GJ37" i="2522"/>
  <c r="GI37" i="2522"/>
  <c r="GH37" i="2522"/>
  <c r="GG37" i="2522"/>
  <c r="GF37" i="2522"/>
  <c r="GE37" i="2522"/>
  <c r="GD37" i="2522"/>
  <c r="GC37" i="2522"/>
  <c r="GB37" i="2522"/>
  <c r="FZ37" i="2522"/>
  <c r="FY37" i="2522"/>
  <c r="FX37" i="2522"/>
  <c r="FW37" i="2522"/>
  <c r="FV37" i="2522"/>
  <c r="FU37" i="2522"/>
  <c r="FT37" i="2522"/>
  <c r="FS37" i="2522"/>
  <c r="FR37" i="2522"/>
  <c r="FQ37" i="2522"/>
  <c r="FP37" i="2522"/>
  <c r="FO37" i="2522"/>
  <c r="FM37" i="2522"/>
  <c r="FL37" i="2522"/>
  <c r="FK37" i="2522"/>
  <c r="FJ37" i="2522"/>
  <c r="FI37" i="2522"/>
  <c r="FH37" i="2522"/>
  <c r="FG37" i="2522"/>
  <c r="FF37" i="2522"/>
  <c r="FE37" i="2522"/>
  <c r="FD37" i="2522"/>
  <c r="FC37" i="2522"/>
  <c r="FB37" i="2522"/>
  <c r="EZ37" i="2522"/>
  <c r="EY37" i="2522"/>
  <c r="EX37" i="2522"/>
  <c r="EW37" i="2522"/>
  <c r="EV37" i="2522"/>
  <c r="EU37" i="2522"/>
  <c r="ET37" i="2522"/>
  <c r="ES37" i="2522"/>
  <c r="ER37" i="2522"/>
  <c r="EQ37" i="2522"/>
  <c r="EP37" i="2522"/>
  <c r="EO37" i="2522"/>
  <c r="EM37" i="2522"/>
  <c r="EL37" i="2522"/>
  <c r="EK37" i="2522"/>
  <c r="EJ37" i="2522"/>
  <c r="EI37" i="2522"/>
  <c r="EH37" i="2522"/>
  <c r="EG37" i="2522"/>
  <c r="EF37" i="2522"/>
  <c r="EE37" i="2522"/>
  <c r="ED37" i="2522"/>
  <c r="EC37" i="2522"/>
  <c r="EB37" i="2522"/>
  <c r="DZ37" i="2522"/>
  <c r="DY37" i="2522"/>
  <c r="DX37" i="2522"/>
  <c r="DW37" i="2522"/>
  <c r="DV37" i="2522"/>
  <c r="DU37" i="2522"/>
  <c r="DT37" i="2522"/>
  <c r="DS37" i="2522"/>
  <c r="DR37" i="2522"/>
  <c r="DQ37" i="2522"/>
  <c r="DP37" i="2522"/>
  <c r="DO37" i="2522"/>
  <c r="DM37" i="2522"/>
  <c r="DL37" i="2522"/>
  <c r="DK37" i="2522"/>
  <c r="DJ37" i="2522"/>
  <c r="DI37" i="2522"/>
  <c r="DH37" i="2522"/>
  <c r="DG37" i="2522"/>
  <c r="DF37" i="2522"/>
  <c r="DE37" i="2522"/>
  <c r="DD37" i="2522"/>
  <c r="DC37" i="2522"/>
  <c r="DB37" i="2522"/>
  <c r="CZ37" i="2522"/>
  <c r="CY37" i="2522"/>
  <c r="CX37" i="2522"/>
  <c r="CW37" i="2522"/>
  <c r="CV37" i="2522"/>
  <c r="CU37" i="2522"/>
  <c r="CT37" i="2522"/>
  <c r="CS37" i="2522"/>
  <c r="CR37" i="2522"/>
  <c r="CQ37" i="2522"/>
  <c r="CP37" i="2522"/>
  <c r="CO37" i="2522"/>
  <c r="CM37" i="2522"/>
  <c r="CL37" i="2522"/>
  <c r="CK37" i="2522"/>
  <c r="CJ37" i="2522"/>
  <c r="CI37" i="2522"/>
  <c r="CH37" i="2522"/>
  <c r="CG37" i="2522"/>
  <c r="CF37" i="2522"/>
  <c r="CE37" i="2522"/>
  <c r="CD37" i="2522"/>
  <c r="CC37" i="2522"/>
  <c r="CB37" i="2522"/>
  <c r="BZ37" i="2522"/>
  <c r="BY37" i="2522"/>
  <c r="BX37" i="2522"/>
  <c r="BW37" i="2522"/>
  <c r="BV37" i="2522"/>
  <c r="BU37" i="2522"/>
  <c r="BT37" i="2522"/>
  <c r="BS37" i="2522"/>
  <c r="BR37" i="2522"/>
  <c r="BQ37" i="2522"/>
  <c r="BP37" i="2522"/>
  <c r="BO37" i="2522"/>
  <c r="BM37" i="2522"/>
  <c r="BL37" i="2522"/>
  <c r="BK37" i="2522"/>
  <c r="BJ37" i="2522"/>
  <c r="BI37" i="2522"/>
  <c r="BH37" i="2522"/>
  <c r="BG37" i="2522"/>
  <c r="BF37" i="2522"/>
  <c r="BE37" i="2522"/>
  <c r="BD37" i="2522"/>
  <c r="BC37" i="2522"/>
  <c r="BB37" i="2522"/>
  <c r="AZ37" i="2522"/>
  <c r="AY37" i="2522"/>
  <c r="AX37" i="2522"/>
  <c r="AW37" i="2522"/>
  <c r="AV37" i="2522"/>
  <c r="AU37" i="2522"/>
  <c r="AT37" i="2522"/>
  <c r="AS37" i="2522"/>
  <c r="AR37" i="2522"/>
  <c r="AQ37" i="2522"/>
  <c r="AP37" i="2522"/>
  <c r="AO37" i="2522"/>
  <c r="AM37" i="2522"/>
  <c r="AL37" i="2522"/>
  <c r="AK37" i="2522"/>
  <c r="AJ37" i="2522"/>
  <c r="AI37" i="2522"/>
  <c r="AH37" i="2522"/>
  <c r="AG37" i="2522"/>
  <c r="AF37" i="2522"/>
  <c r="AE37" i="2522"/>
  <c r="AD37" i="2522"/>
  <c r="AC37" i="2522"/>
  <c r="AB37" i="2522"/>
  <c r="Z37" i="2522"/>
  <c r="Y37" i="2522"/>
  <c r="X37" i="2522"/>
  <c r="W37" i="2522"/>
  <c r="V37" i="2522"/>
  <c r="U37" i="2522"/>
  <c r="T37" i="2522"/>
  <c r="S37" i="2522"/>
  <c r="R37" i="2522"/>
  <c r="Q37" i="2522"/>
  <c r="P37" i="2522"/>
  <c r="O37" i="2522"/>
  <c r="JM36" i="2522"/>
  <c r="JL36" i="2522"/>
  <c r="JK36" i="2522"/>
  <c r="JJ36" i="2522"/>
  <c r="JI36" i="2522"/>
  <c r="JH36" i="2522"/>
  <c r="JG36" i="2522"/>
  <c r="JF36" i="2522"/>
  <c r="JE36" i="2522"/>
  <c r="JD36" i="2522"/>
  <c r="JC36" i="2522"/>
  <c r="JB36" i="2522"/>
  <c r="IZ36" i="2522"/>
  <c r="IY36" i="2522"/>
  <c r="IX36" i="2522"/>
  <c r="IW36" i="2522"/>
  <c r="IV36" i="2522"/>
  <c r="IU36" i="2522"/>
  <c r="IT36" i="2522"/>
  <c r="IS36" i="2522"/>
  <c r="IR36" i="2522"/>
  <c r="IQ36" i="2522"/>
  <c r="IP36" i="2522"/>
  <c r="IO36" i="2522"/>
  <c r="IM36" i="2522"/>
  <c r="IL36" i="2522"/>
  <c r="IK36" i="2522"/>
  <c r="IJ36" i="2522"/>
  <c r="II36" i="2522"/>
  <c r="IH36" i="2522"/>
  <c r="IG36" i="2522"/>
  <c r="IF36" i="2522"/>
  <c r="IE36" i="2522"/>
  <c r="ID36" i="2522"/>
  <c r="IC36" i="2522"/>
  <c r="IB36" i="2522"/>
  <c r="HZ36" i="2522"/>
  <c r="HY36" i="2522"/>
  <c r="HX36" i="2522"/>
  <c r="HW36" i="2522"/>
  <c r="HV36" i="2522"/>
  <c r="HU36" i="2522"/>
  <c r="HT36" i="2522"/>
  <c r="HS36" i="2522"/>
  <c r="HR36" i="2522"/>
  <c r="HQ36" i="2522"/>
  <c r="HP36" i="2522"/>
  <c r="HO36" i="2522"/>
  <c r="HM36" i="2522"/>
  <c r="HL36" i="2522"/>
  <c r="HK36" i="2522"/>
  <c r="HJ36" i="2522"/>
  <c r="HI36" i="2522"/>
  <c r="HH36" i="2522"/>
  <c r="HG36" i="2522"/>
  <c r="HF36" i="2522"/>
  <c r="HE36" i="2522"/>
  <c r="HD36" i="2522"/>
  <c r="HC36" i="2522"/>
  <c r="HB36" i="2522"/>
  <c r="GZ36" i="2522"/>
  <c r="GY36" i="2522"/>
  <c r="GX36" i="2522"/>
  <c r="GW36" i="2522"/>
  <c r="GV36" i="2522"/>
  <c r="GU36" i="2522"/>
  <c r="GT36" i="2522"/>
  <c r="GS36" i="2522"/>
  <c r="GR36" i="2522"/>
  <c r="GQ36" i="2522"/>
  <c r="GP36" i="2522"/>
  <c r="GO36" i="2522"/>
  <c r="GM36" i="2522"/>
  <c r="GL36" i="2522"/>
  <c r="GK36" i="2522"/>
  <c r="GJ36" i="2522"/>
  <c r="GI36" i="2522"/>
  <c r="GH36" i="2522"/>
  <c r="GG36" i="2522"/>
  <c r="GF36" i="2522"/>
  <c r="GE36" i="2522"/>
  <c r="GD36" i="2522"/>
  <c r="GC36" i="2522"/>
  <c r="GB36" i="2522"/>
  <c r="FZ36" i="2522"/>
  <c r="FY36" i="2522"/>
  <c r="FX36" i="2522"/>
  <c r="FW36" i="2522"/>
  <c r="FV36" i="2522"/>
  <c r="FU36" i="2522"/>
  <c r="FT36" i="2522"/>
  <c r="FS36" i="2522"/>
  <c r="FR36" i="2522"/>
  <c r="FQ36" i="2522"/>
  <c r="FP36" i="2522"/>
  <c r="FO36" i="2522"/>
  <c r="FM36" i="2522"/>
  <c r="FL36" i="2522"/>
  <c r="FK36" i="2522"/>
  <c r="FJ36" i="2522"/>
  <c r="FI36" i="2522"/>
  <c r="FH36" i="2522"/>
  <c r="FG36" i="2522"/>
  <c r="FF36" i="2522"/>
  <c r="FE36" i="2522"/>
  <c r="FD36" i="2522"/>
  <c r="FC36" i="2522"/>
  <c r="FB36" i="2522"/>
  <c r="EZ36" i="2522"/>
  <c r="EY36" i="2522"/>
  <c r="EX36" i="2522"/>
  <c r="EW36" i="2522"/>
  <c r="EV36" i="2522"/>
  <c r="EU36" i="2522"/>
  <c r="ET36" i="2522"/>
  <c r="ES36" i="2522"/>
  <c r="ER36" i="2522"/>
  <c r="EQ36" i="2522"/>
  <c r="EP36" i="2522"/>
  <c r="EO36" i="2522"/>
  <c r="EM36" i="2522"/>
  <c r="EL36" i="2522"/>
  <c r="EK36" i="2522"/>
  <c r="EJ36" i="2522"/>
  <c r="EI36" i="2522"/>
  <c r="EH36" i="2522"/>
  <c r="EG36" i="2522"/>
  <c r="EF36" i="2522"/>
  <c r="EE36" i="2522"/>
  <c r="ED36" i="2522"/>
  <c r="EC36" i="2522"/>
  <c r="EB36" i="2522"/>
  <c r="DZ36" i="2522"/>
  <c r="DY36" i="2522"/>
  <c r="DX36" i="2522"/>
  <c r="DW36" i="2522"/>
  <c r="DV36" i="2522"/>
  <c r="DU36" i="2522"/>
  <c r="DT36" i="2522"/>
  <c r="DS36" i="2522"/>
  <c r="DR36" i="2522"/>
  <c r="DQ36" i="2522"/>
  <c r="DP36" i="2522"/>
  <c r="DO36" i="2522"/>
  <c r="DM36" i="2522"/>
  <c r="DL36" i="2522"/>
  <c r="DK36" i="2522"/>
  <c r="DJ36" i="2522"/>
  <c r="DI36" i="2522"/>
  <c r="DH36" i="2522"/>
  <c r="DG36" i="2522"/>
  <c r="DF36" i="2522"/>
  <c r="DE36" i="2522"/>
  <c r="DD36" i="2522"/>
  <c r="DC36" i="2522"/>
  <c r="DB36" i="2522"/>
  <c r="CZ36" i="2522"/>
  <c r="CY36" i="2522"/>
  <c r="CX36" i="2522"/>
  <c r="CW36" i="2522"/>
  <c r="CV36" i="2522"/>
  <c r="CU36" i="2522"/>
  <c r="CT36" i="2522"/>
  <c r="CS36" i="2522"/>
  <c r="CR36" i="2522"/>
  <c r="CQ36" i="2522"/>
  <c r="CP36" i="2522"/>
  <c r="CO36" i="2522"/>
  <c r="CM36" i="2522"/>
  <c r="CL36" i="2522"/>
  <c r="CK36" i="2522"/>
  <c r="CJ36" i="2522"/>
  <c r="CI36" i="2522"/>
  <c r="CH36" i="2522"/>
  <c r="CG36" i="2522"/>
  <c r="CF36" i="2522"/>
  <c r="CE36" i="2522"/>
  <c r="CD36" i="2522"/>
  <c r="CC36" i="2522"/>
  <c r="CB36" i="2522"/>
  <c r="BZ36" i="2522"/>
  <c r="BY36" i="2522"/>
  <c r="BX36" i="2522"/>
  <c r="BW36" i="2522"/>
  <c r="BV36" i="2522"/>
  <c r="BU36" i="2522"/>
  <c r="BT36" i="2522"/>
  <c r="BS36" i="2522"/>
  <c r="BR36" i="2522"/>
  <c r="BQ36" i="2522"/>
  <c r="BP36" i="2522"/>
  <c r="BO36" i="2522"/>
  <c r="BM36" i="2522"/>
  <c r="BL36" i="2522"/>
  <c r="BK36" i="2522"/>
  <c r="BJ36" i="2522"/>
  <c r="BI36" i="2522"/>
  <c r="BH36" i="2522"/>
  <c r="BG36" i="2522"/>
  <c r="BF36" i="2522"/>
  <c r="BE36" i="2522"/>
  <c r="BD36" i="2522"/>
  <c r="BC36" i="2522"/>
  <c r="BB36" i="2522"/>
  <c r="AZ36" i="2522"/>
  <c r="AY36" i="2522"/>
  <c r="AX36" i="2522"/>
  <c r="AW36" i="2522"/>
  <c r="AV36" i="2522"/>
  <c r="AU36" i="2522"/>
  <c r="AT36" i="2522"/>
  <c r="AS36" i="2522"/>
  <c r="AR36" i="2522"/>
  <c r="AQ36" i="2522"/>
  <c r="AP36" i="2522"/>
  <c r="AO36" i="2522"/>
  <c r="AM36" i="2522"/>
  <c r="AL36" i="2522"/>
  <c r="AK36" i="2522"/>
  <c r="AJ36" i="2522"/>
  <c r="AI36" i="2522"/>
  <c r="AH36" i="2522"/>
  <c r="AG36" i="2522"/>
  <c r="AF36" i="2522"/>
  <c r="AE36" i="2522"/>
  <c r="AD36" i="2522"/>
  <c r="AC36" i="2522"/>
  <c r="AB36" i="2522"/>
  <c r="Z36" i="2522"/>
  <c r="Y36" i="2522"/>
  <c r="X36" i="2522"/>
  <c r="W36" i="2522"/>
  <c r="V36" i="2522"/>
  <c r="U36" i="2522"/>
  <c r="T36" i="2522"/>
  <c r="S36" i="2522"/>
  <c r="R36" i="2522"/>
  <c r="Q36" i="2522"/>
  <c r="P36" i="2522"/>
  <c r="O36" i="2522"/>
  <c r="JM35" i="2522"/>
  <c r="JL35" i="2522"/>
  <c r="JK35" i="2522"/>
  <c r="JJ35" i="2522"/>
  <c r="JI35" i="2522"/>
  <c r="JH35" i="2522"/>
  <c r="JG35" i="2522"/>
  <c r="JF35" i="2522"/>
  <c r="JE35" i="2522"/>
  <c r="JD35" i="2522"/>
  <c r="JC35" i="2522"/>
  <c r="JB35" i="2522"/>
  <c r="IZ35" i="2522"/>
  <c r="IY35" i="2522"/>
  <c r="IX35" i="2522"/>
  <c r="IW35" i="2522"/>
  <c r="IV35" i="2522"/>
  <c r="IU35" i="2522"/>
  <c r="IT35" i="2522"/>
  <c r="IS35" i="2522"/>
  <c r="IR35" i="2522"/>
  <c r="IQ35" i="2522"/>
  <c r="IP35" i="2522"/>
  <c r="IO35" i="2522"/>
  <c r="IM35" i="2522"/>
  <c r="IL35" i="2522"/>
  <c r="IK35" i="2522"/>
  <c r="IJ35" i="2522"/>
  <c r="II35" i="2522"/>
  <c r="IH35" i="2522"/>
  <c r="IG35" i="2522"/>
  <c r="IF35" i="2522"/>
  <c r="IE35" i="2522"/>
  <c r="ID35" i="2522"/>
  <c r="IC35" i="2522"/>
  <c r="IB35" i="2522"/>
  <c r="HZ35" i="2522"/>
  <c r="HY35" i="2522"/>
  <c r="HX35" i="2522"/>
  <c r="HW35" i="2522"/>
  <c r="HV35" i="2522"/>
  <c r="HU35" i="2522"/>
  <c r="HT35" i="2522"/>
  <c r="HS35" i="2522"/>
  <c r="HR35" i="2522"/>
  <c r="HQ35" i="2522"/>
  <c r="HP35" i="2522"/>
  <c r="HO35" i="2522"/>
  <c r="HM35" i="2522"/>
  <c r="HL35" i="2522"/>
  <c r="HK35" i="2522"/>
  <c r="HJ35" i="2522"/>
  <c r="HI35" i="2522"/>
  <c r="HH35" i="2522"/>
  <c r="HG35" i="2522"/>
  <c r="HF35" i="2522"/>
  <c r="HE35" i="2522"/>
  <c r="HD35" i="2522"/>
  <c r="HC35" i="2522"/>
  <c r="HB35" i="2522"/>
  <c r="GZ35" i="2522"/>
  <c r="GY35" i="2522"/>
  <c r="GX35" i="2522"/>
  <c r="GW35" i="2522"/>
  <c r="GV35" i="2522"/>
  <c r="GU35" i="2522"/>
  <c r="GT35" i="2522"/>
  <c r="GS35" i="2522"/>
  <c r="GR35" i="2522"/>
  <c r="GQ35" i="2522"/>
  <c r="GP35" i="2522"/>
  <c r="GO35" i="2522"/>
  <c r="GM35" i="2522"/>
  <c r="GL35" i="2522"/>
  <c r="GK35" i="2522"/>
  <c r="GJ35" i="2522"/>
  <c r="GI35" i="2522"/>
  <c r="GH35" i="2522"/>
  <c r="GG35" i="2522"/>
  <c r="GF35" i="2522"/>
  <c r="GE35" i="2522"/>
  <c r="GD35" i="2522"/>
  <c r="GC35" i="2522"/>
  <c r="GB35" i="2522"/>
  <c r="FZ35" i="2522"/>
  <c r="FY35" i="2522"/>
  <c r="FX35" i="2522"/>
  <c r="FW35" i="2522"/>
  <c r="FV35" i="2522"/>
  <c r="FU35" i="2522"/>
  <c r="FT35" i="2522"/>
  <c r="FS35" i="2522"/>
  <c r="FR35" i="2522"/>
  <c r="FQ35" i="2522"/>
  <c r="FP35" i="2522"/>
  <c r="FO35" i="2522"/>
  <c r="FM35" i="2522"/>
  <c r="FL35" i="2522"/>
  <c r="FK35" i="2522"/>
  <c r="FJ35" i="2522"/>
  <c r="FI35" i="2522"/>
  <c r="FH35" i="2522"/>
  <c r="FG35" i="2522"/>
  <c r="FF35" i="2522"/>
  <c r="FE35" i="2522"/>
  <c r="FD35" i="2522"/>
  <c r="FC35" i="2522"/>
  <c r="FB35" i="2522"/>
  <c r="EZ35" i="2522"/>
  <c r="EY35" i="2522"/>
  <c r="EX35" i="2522"/>
  <c r="EW35" i="2522"/>
  <c r="EV35" i="2522"/>
  <c r="EU35" i="2522"/>
  <c r="ET35" i="2522"/>
  <c r="ES35" i="2522"/>
  <c r="ER35" i="2522"/>
  <c r="EQ35" i="2522"/>
  <c r="EP35" i="2522"/>
  <c r="EO35" i="2522"/>
  <c r="EM35" i="2522"/>
  <c r="EL35" i="2522"/>
  <c r="EK35" i="2522"/>
  <c r="EJ35" i="2522"/>
  <c r="EI35" i="2522"/>
  <c r="EH35" i="2522"/>
  <c r="EG35" i="2522"/>
  <c r="EF35" i="2522"/>
  <c r="EE35" i="2522"/>
  <c r="ED35" i="2522"/>
  <c r="EC35" i="2522"/>
  <c r="EB35" i="2522"/>
  <c r="DZ35" i="2522"/>
  <c r="DY35" i="2522"/>
  <c r="DX35" i="2522"/>
  <c r="DW35" i="2522"/>
  <c r="DV35" i="2522"/>
  <c r="DU35" i="2522"/>
  <c r="DT35" i="2522"/>
  <c r="DS35" i="2522"/>
  <c r="DR35" i="2522"/>
  <c r="DQ35" i="2522"/>
  <c r="DP35" i="2522"/>
  <c r="DO35" i="2522"/>
  <c r="DM35" i="2522"/>
  <c r="DL35" i="2522"/>
  <c r="DK35" i="2522"/>
  <c r="DJ35" i="2522"/>
  <c r="DI35" i="2522"/>
  <c r="DH35" i="2522"/>
  <c r="DG35" i="2522"/>
  <c r="DF35" i="2522"/>
  <c r="DE35" i="2522"/>
  <c r="DD35" i="2522"/>
  <c r="DC35" i="2522"/>
  <c r="DB35" i="2522"/>
  <c r="CZ35" i="2522"/>
  <c r="CY35" i="2522"/>
  <c r="CX35" i="2522"/>
  <c r="CW35" i="2522"/>
  <c r="CV35" i="2522"/>
  <c r="CU35" i="2522"/>
  <c r="CT35" i="2522"/>
  <c r="CS35" i="2522"/>
  <c r="CR35" i="2522"/>
  <c r="CQ35" i="2522"/>
  <c r="CP35" i="2522"/>
  <c r="CO35" i="2522"/>
  <c r="CM35" i="2522"/>
  <c r="CL35" i="2522"/>
  <c r="CK35" i="2522"/>
  <c r="CJ35" i="2522"/>
  <c r="CI35" i="2522"/>
  <c r="CH35" i="2522"/>
  <c r="CG35" i="2522"/>
  <c r="CF35" i="2522"/>
  <c r="CE35" i="2522"/>
  <c r="CD35" i="2522"/>
  <c r="CC35" i="2522"/>
  <c r="CB35" i="2522"/>
  <c r="BZ35" i="2522"/>
  <c r="BY35" i="2522"/>
  <c r="BX35" i="2522"/>
  <c r="BW35" i="2522"/>
  <c r="BV35" i="2522"/>
  <c r="BU35" i="2522"/>
  <c r="BT35" i="2522"/>
  <c r="BS35" i="2522"/>
  <c r="BR35" i="2522"/>
  <c r="BQ35" i="2522"/>
  <c r="BP35" i="2522"/>
  <c r="BO35" i="2522"/>
  <c r="BM35" i="2522"/>
  <c r="BL35" i="2522"/>
  <c r="BK35" i="2522"/>
  <c r="BJ35" i="2522"/>
  <c r="BI35" i="2522"/>
  <c r="BH35" i="2522"/>
  <c r="BG35" i="2522"/>
  <c r="BF35" i="2522"/>
  <c r="BE35" i="2522"/>
  <c r="BD35" i="2522"/>
  <c r="BC35" i="2522"/>
  <c r="BB35" i="2522"/>
  <c r="AZ35" i="2522"/>
  <c r="AY35" i="2522"/>
  <c r="AX35" i="2522"/>
  <c r="AW35" i="2522"/>
  <c r="AV35" i="2522"/>
  <c r="AU35" i="2522"/>
  <c r="AT35" i="2522"/>
  <c r="AS35" i="2522"/>
  <c r="AR35" i="2522"/>
  <c r="AQ35" i="2522"/>
  <c r="AP35" i="2522"/>
  <c r="AO35" i="2522"/>
  <c r="AM35" i="2522"/>
  <c r="AL35" i="2522"/>
  <c r="AK35" i="2522"/>
  <c r="AJ35" i="2522"/>
  <c r="AI35" i="2522"/>
  <c r="AH35" i="2522"/>
  <c r="AG35" i="2522"/>
  <c r="AF35" i="2522"/>
  <c r="AE35" i="2522"/>
  <c r="AD35" i="2522"/>
  <c r="AC35" i="2522"/>
  <c r="AB35" i="2522"/>
  <c r="Z35" i="2522"/>
  <c r="Y35" i="2522"/>
  <c r="X35" i="2522"/>
  <c r="W35" i="2522"/>
  <c r="V35" i="2522"/>
  <c r="U35" i="2522"/>
  <c r="T35" i="2522"/>
  <c r="S35" i="2522"/>
  <c r="R35" i="2522"/>
  <c r="Q35" i="2522"/>
  <c r="P35" i="2522"/>
  <c r="O35" i="2522"/>
  <c r="JM34" i="2522"/>
  <c r="JL34" i="2522"/>
  <c r="JK34" i="2522"/>
  <c r="JJ34" i="2522"/>
  <c r="JI34" i="2522"/>
  <c r="JH34" i="2522"/>
  <c r="JG34" i="2522"/>
  <c r="JF34" i="2522"/>
  <c r="JE34" i="2522"/>
  <c r="JD34" i="2522"/>
  <c r="JC34" i="2522"/>
  <c r="JB34" i="2522"/>
  <c r="IZ34" i="2522"/>
  <c r="IY34" i="2522"/>
  <c r="IX34" i="2522"/>
  <c r="IW34" i="2522"/>
  <c r="IV34" i="2522"/>
  <c r="IU34" i="2522"/>
  <c r="IT34" i="2522"/>
  <c r="IS34" i="2522"/>
  <c r="IR34" i="2522"/>
  <c r="IQ34" i="2522"/>
  <c r="IP34" i="2522"/>
  <c r="IO34" i="2522"/>
  <c r="IM34" i="2522"/>
  <c r="IL34" i="2522"/>
  <c r="IK34" i="2522"/>
  <c r="IJ34" i="2522"/>
  <c r="II34" i="2522"/>
  <c r="IH34" i="2522"/>
  <c r="IG34" i="2522"/>
  <c r="IF34" i="2522"/>
  <c r="IE34" i="2522"/>
  <c r="ID34" i="2522"/>
  <c r="IC34" i="2522"/>
  <c r="IB34" i="2522"/>
  <c r="HZ34" i="2522"/>
  <c r="HY34" i="2522"/>
  <c r="HX34" i="2522"/>
  <c r="HW34" i="2522"/>
  <c r="HV34" i="2522"/>
  <c r="HU34" i="2522"/>
  <c r="HT34" i="2522"/>
  <c r="HS34" i="2522"/>
  <c r="HR34" i="2522"/>
  <c r="HQ34" i="2522"/>
  <c r="HP34" i="2522"/>
  <c r="HO34" i="2522"/>
  <c r="HM34" i="2522"/>
  <c r="HL34" i="2522"/>
  <c r="HK34" i="2522"/>
  <c r="HJ34" i="2522"/>
  <c r="HI34" i="2522"/>
  <c r="HH34" i="2522"/>
  <c r="HG34" i="2522"/>
  <c r="HF34" i="2522"/>
  <c r="HE34" i="2522"/>
  <c r="HD34" i="2522"/>
  <c r="HC34" i="2522"/>
  <c r="HB34" i="2522"/>
  <c r="GZ34" i="2522"/>
  <c r="GY34" i="2522"/>
  <c r="GX34" i="2522"/>
  <c r="GW34" i="2522"/>
  <c r="GV34" i="2522"/>
  <c r="GU34" i="2522"/>
  <c r="GT34" i="2522"/>
  <c r="GS34" i="2522"/>
  <c r="GR34" i="2522"/>
  <c r="GQ34" i="2522"/>
  <c r="GP34" i="2522"/>
  <c r="GO34" i="2522"/>
  <c r="GM34" i="2522"/>
  <c r="GL34" i="2522"/>
  <c r="GK34" i="2522"/>
  <c r="GJ34" i="2522"/>
  <c r="GI34" i="2522"/>
  <c r="GH34" i="2522"/>
  <c r="GG34" i="2522"/>
  <c r="GF34" i="2522"/>
  <c r="GE34" i="2522"/>
  <c r="GD34" i="2522"/>
  <c r="GC34" i="2522"/>
  <c r="GB34" i="2522"/>
  <c r="FZ34" i="2522"/>
  <c r="FY34" i="2522"/>
  <c r="FX34" i="2522"/>
  <c r="FW34" i="2522"/>
  <c r="FV34" i="2522"/>
  <c r="FU34" i="2522"/>
  <c r="FT34" i="2522"/>
  <c r="FS34" i="2522"/>
  <c r="FR34" i="2522"/>
  <c r="FQ34" i="2522"/>
  <c r="FP34" i="2522"/>
  <c r="FO34" i="2522"/>
  <c r="FM34" i="2522"/>
  <c r="FL34" i="2522"/>
  <c r="FK34" i="2522"/>
  <c r="FJ34" i="2522"/>
  <c r="FI34" i="2522"/>
  <c r="FH34" i="2522"/>
  <c r="FG34" i="2522"/>
  <c r="FF34" i="2522"/>
  <c r="FE34" i="2522"/>
  <c r="FD34" i="2522"/>
  <c r="FC34" i="2522"/>
  <c r="FB34" i="2522"/>
  <c r="EZ34" i="2522"/>
  <c r="EY34" i="2522"/>
  <c r="EX34" i="2522"/>
  <c r="EW34" i="2522"/>
  <c r="EV34" i="2522"/>
  <c r="EU34" i="2522"/>
  <c r="ET34" i="2522"/>
  <c r="ES34" i="2522"/>
  <c r="ER34" i="2522"/>
  <c r="EQ34" i="2522"/>
  <c r="EP34" i="2522"/>
  <c r="EO34" i="2522"/>
  <c r="EM34" i="2522"/>
  <c r="EL34" i="2522"/>
  <c r="EK34" i="2522"/>
  <c r="EJ34" i="2522"/>
  <c r="EI34" i="2522"/>
  <c r="EH34" i="2522"/>
  <c r="EG34" i="2522"/>
  <c r="EF34" i="2522"/>
  <c r="EE34" i="2522"/>
  <c r="ED34" i="2522"/>
  <c r="EC34" i="2522"/>
  <c r="EB34" i="2522"/>
  <c r="DZ34" i="2522"/>
  <c r="DY34" i="2522"/>
  <c r="DX34" i="2522"/>
  <c r="DW34" i="2522"/>
  <c r="DV34" i="2522"/>
  <c r="DU34" i="2522"/>
  <c r="DT34" i="2522"/>
  <c r="DS34" i="2522"/>
  <c r="DR34" i="2522"/>
  <c r="DQ34" i="2522"/>
  <c r="DP34" i="2522"/>
  <c r="DO34" i="2522"/>
  <c r="DM34" i="2522"/>
  <c r="DL34" i="2522"/>
  <c r="DK34" i="2522"/>
  <c r="DJ34" i="2522"/>
  <c r="DI34" i="2522"/>
  <c r="DH34" i="2522"/>
  <c r="DG34" i="2522"/>
  <c r="DF34" i="2522"/>
  <c r="DE34" i="2522"/>
  <c r="DD34" i="2522"/>
  <c r="DC34" i="2522"/>
  <c r="DB34" i="2522"/>
  <c r="CZ34" i="2522"/>
  <c r="CY34" i="2522"/>
  <c r="CX34" i="2522"/>
  <c r="CW34" i="2522"/>
  <c r="CV34" i="2522"/>
  <c r="CU34" i="2522"/>
  <c r="CT34" i="2522"/>
  <c r="CS34" i="2522"/>
  <c r="CR34" i="2522"/>
  <c r="CQ34" i="2522"/>
  <c r="CP34" i="2522"/>
  <c r="CO34" i="2522"/>
  <c r="CM34" i="2522"/>
  <c r="CL34" i="2522"/>
  <c r="CK34" i="2522"/>
  <c r="CJ34" i="2522"/>
  <c r="CI34" i="2522"/>
  <c r="CH34" i="2522"/>
  <c r="CG34" i="2522"/>
  <c r="CF34" i="2522"/>
  <c r="CE34" i="2522"/>
  <c r="CD34" i="2522"/>
  <c r="CC34" i="2522"/>
  <c r="CB34" i="2522"/>
  <c r="BZ34" i="2522"/>
  <c r="BY34" i="2522"/>
  <c r="BX34" i="2522"/>
  <c r="BW34" i="2522"/>
  <c r="BV34" i="2522"/>
  <c r="BU34" i="2522"/>
  <c r="BT34" i="2522"/>
  <c r="BS34" i="2522"/>
  <c r="BR34" i="2522"/>
  <c r="BQ34" i="2522"/>
  <c r="BP34" i="2522"/>
  <c r="BO34" i="2522"/>
  <c r="BM34" i="2522"/>
  <c r="BL34" i="2522"/>
  <c r="BK34" i="2522"/>
  <c r="BJ34" i="2522"/>
  <c r="BI34" i="2522"/>
  <c r="BH34" i="2522"/>
  <c r="BG34" i="2522"/>
  <c r="BF34" i="2522"/>
  <c r="BE34" i="2522"/>
  <c r="BD34" i="2522"/>
  <c r="BC34" i="2522"/>
  <c r="BB34" i="2522"/>
  <c r="AZ34" i="2522"/>
  <c r="AY34" i="2522"/>
  <c r="AX34" i="2522"/>
  <c r="AW34" i="2522"/>
  <c r="AV34" i="2522"/>
  <c r="AU34" i="2522"/>
  <c r="AT34" i="2522"/>
  <c r="AS34" i="2522"/>
  <c r="AR34" i="2522"/>
  <c r="AQ34" i="2522"/>
  <c r="AP34" i="2522"/>
  <c r="AO34" i="2522"/>
  <c r="AM34" i="2522"/>
  <c r="AL34" i="2522"/>
  <c r="AK34" i="2522"/>
  <c r="AJ34" i="2522"/>
  <c r="AI34" i="2522"/>
  <c r="AH34" i="2522"/>
  <c r="AG34" i="2522"/>
  <c r="AF34" i="2522"/>
  <c r="AE34" i="2522"/>
  <c r="AD34" i="2522"/>
  <c r="AC34" i="2522"/>
  <c r="AB34" i="2522"/>
  <c r="Z34" i="2522"/>
  <c r="Y34" i="2522"/>
  <c r="X34" i="2522"/>
  <c r="W34" i="2522"/>
  <c r="V34" i="2522"/>
  <c r="U34" i="2522"/>
  <c r="T34" i="2522"/>
  <c r="S34" i="2522"/>
  <c r="R34" i="2522"/>
  <c r="Q34" i="2522"/>
  <c r="P34" i="2522"/>
  <c r="O34" i="2522"/>
  <c r="JM33" i="2522"/>
  <c r="JL33" i="2522"/>
  <c r="JK33" i="2522"/>
  <c r="JJ33" i="2522"/>
  <c r="JI33" i="2522"/>
  <c r="JH33" i="2522"/>
  <c r="JG33" i="2522"/>
  <c r="JF33" i="2522"/>
  <c r="JE33" i="2522"/>
  <c r="JD33" i="2522"/>
  <c r="JC33" i="2522"/>
  <c r="JB33" i="2522"/>
  <c r="IZ33" i="2522"/>
  <c r="IY33" i="2522"/>
  <c r="IX33" i="2522"/>
  <c r="IW33" i="2522"/>
  <c r="IV33" i="2522"/>
  <c r="IU33" i="2522"/>
  <c r="IT33" i="2522"/>
  <c r="IS33" i="2522"/>
  <c r="IR33" i="2522"/>
  <c r="IQ33" i="2522"/>
  <c r="IP33" i="2522"/>
  <c r="IO33" i="2522"/>
  <c r="IM33" i="2522"/>
  <c r="IL33" i="2522"/>
  <c r="IK33" i="2522"/>
  <c r="IJ33" i="2522"/>
  <c r="II33" i="2522"/>
  <c r="IH33" i="2522"/>
  <c r="IG33" i="2522"/>
  <c r="IF33" i="2522"/>
  <c r="IE33" i="2522"/>
  <c r="ID33" i="2522"/>
  <c r="IC33" i="2522"/>
  <c r="IB33" i="2522"/>
  <c r="HZ33" i="2522"/>
  <c r="HY33" i="2522"/>
  <c r="HX33" i="2522"/>
  <c r="HW33" i="2522"/>
  <c r="HV33" i="2522"/>
  <c r="HU33" i="2522"/>
  <c r="HT33" i="2522"/>
  <c r="HS33" i="2522"/>
  <c r="HR33" i="2522"/>
  <c r="HQ33" i="2522"/>
  <c r="HP33" i="2522"/>
  <c r="HO33" i="2522"/>
  <c r="HM33" i="2522"/>
  <c r="HL33" i="2522"/>
  <c r="HK33" i="2522"/>
  <c r="HJ33" i="2522"/>
  <c r="HI33" i="2522"/>
  <c r="HH33" i="2522"/>
  <c r="HG33" i="2522"/>
  <c r="HF33" i="2522"/>
  <c r="HE33" i="2522"/>
  <c r="HD33" i="2522"/>
  <c r="HC33" i="2522"/>
  <c r="HB33" i="2522"/>
  <c r="GZ33" i="2522"/>
  <c r="GY33" i="2522"/>
  <c r="GX33" i="2522"/>
  <c r="GW33" i="2522"/>
  <c r="GV33" i="2522"/>
  <c r="GU33" i="2522"/>
  <c r="GT33" i="2522"/>
  <c r="GS33" i="2522"/>
  <c r="GR33" i="2522"/>
  <c r="GQ33" i="2522"/>
  <c r="GP33" i="2522"/>
  <c r="GO33" i="2522"/>
  <c r="GM33" i="2522"/>
  <c r="GL33" i="2522"/>
  <c r="GK33" i="2522"/>
  <c r="GJ33" i="2522"/>
  <c r="GI33" i="2522"/>
  <c r="GH33" i="2522"/>
  <c r="GG33" i="2522"/>
  <c r="GF33" i="2522"/>
  <c r="GE33" i="2522"/>
  <c r="GD33" i="2522"/>
  <c r="GC33" i="2522"/>
  <c r="GB33" i="2522"/>
  <c r="FZ33" i="2522"/>
  <c r="FY33" i="2522"/>
  <c r="FX33" i="2522"/>
  <c r="FW33" i="2522"/>
  <c r="FV33" i="2522"/>
  <c r="FU33" i="2522"/>
  <c r="FT33" i="2522"/>
  <c r="FS33" i="2522"/>
  <c r="FR33" i="2522"/>
  <c r="FQ33" i="2522"/>
  <c r="FP33" i="2522"/>
  <c r="FO33" i="2522"/>
  <c r="FM33" i="2522"/>
  <c r="FL33" i="2522"/>
  <c r="FK33" i="2522"/>
  <c r="FJ33" i="2522"/>
  <c r="FI33" i="2522"/>
  <c r="FH33" i="2522"/>
  <c r="FG33" i="2522"/>
  <c r="FF33" i="2522"/>
  <c r="FE33" i="2522"/>
  <c r="FD33" i="2522"/>
  <c r="FC33" i="2522"/>
  <c r="FB33" i="2522"/>
  <c r="EZ33" i="2522"/>
  <c r="EY33" i="2522"/>
  <c r="EX33" i="2522"/>
  <c r="EW33" i="2522"/>
  <c r="EV33" i="2522"/>
  <c r="EU33" i="2522"/>
  <c r="ET33" i="2522"/>
  <c r="ES33" i="2522"/>
  <c r="ER33" i="2522"/>
  <c r="EQ33" i="2522"/>
  <c r="EP33" i="2522"/>
  <c r="EO33" i="2522"/>
  <c r="EM33" i="2522"/>
  <c r="EL33" i="2522"/>
  <c r="EK33" i="2522"/>
  <c r="EJ33" i="2522"/>
  <c r="EI33" i="2522"/>
  <c r="EH33" i="2522"/>
  <c r="EG33" i="2522"/>
  <c r="EF33" i="2522"/>
  <c r="EE33" i="2522"/>
  <c r="ED33" i="2522"/>
  <c r="EC33" i="2522"/>
  <c r="EB33" i="2522"/>
  <c r="DZ33" i="2522"/>
  <c r="DY33" i="2522"/>
  <c r="DX33" i="2522"/>
  <c r="DW33" i="2522"/>
  <c r="DV33" i="2522"/>
  <c r="DU33" i="2522"/>
  <c r="DT33" i="2522"/>
  <c r="DS33" i="2522"/>
  <c r="DR33" i="2522"/>
  <c r="DQ33" i="2522"/>
  <c r="DP33" i="2522"/>
  <c r="DO33" i="2522"/>
  <c r="DM33" i="2522"/>
  <c r="DL33" i="2522"/>
  <c r="DK33" i="2522"/>
  <c r="DJ33" i="2522"/>
  <c r="DI33" i="2522"/>
  <c r="DH33" i="2522"/>
  <c r="DG33" i="2522"/>
  <c r="DF33" i="2522"/>
  <c r="DE33" i="2522"/>
  <c r="DD33" i="2522"/>
  <c r="DC33" i="2522"/>
  <c r="DB33" i="2522"/>
  <c r="CZ33" i="2522"/>
  <c r="CY33" i="2522"/>
  <c r="CX33" i="2522"/>
  <c r="CW33" i="2522"/>
  <c r="CV33" i="2522"/>
  <c r="CU33" i="2522"/>
  <c r="CT33" i="2522"/>
  <c r="CS33" i="2522"/>
  <c r="CR33" i="2522"/>
  <c r="CQ33" i="2522"/>
  <c r="CP33" i="2522"/>
  <c r="CO33" i="2522"/>
  <c r="CM33" i="2522"/>
  <c r="CL33" i="2522"/>
  <c r="CK33" i="2522"/>
  <c r="CJ33" i="2522"/>
  <c r="CI33" i="2522"/>
  <c r="CH33" i="2522"/>
  <c r="CG33" i="2522"/>
  <c r="CF33" i="2522"/>
  <c r="CE33" i="2522"/>
  <c r="CD33" i="2522"/>
  <c r="CC33" i="2522"/>
  <c r="CB33" i="2522"/>
  <c r="BZ33" i="2522"/>
  <c r="BY33" i="2522"/>
  <c r="BX33" i="2522"/>
  <c r="BW33" i="2522"/>
  <c r="BV33" i="2522"/>
  <c r="BU33" i="2522"/>
  <c r="BT33" i="2522"/>
  <c r="BS33" i="2522"/>
  <c r="BR33" i="2522"/>
  <c r="BQ33" i="2522"/>
  <c r="BP33" i="2522"/>
  <c r="BO33" i="2522"/>
  <c r="BM33" i="2522"/>
  <c r="BL33" i="2522"/>
  <c r="BK33" i="2522"/>
  <c r="BJ33" i="2522"/>
  <c r="BI33" i="2522"/>
  <c r="BH33" i="2522"/>
  <c r="BG33" i="2522"/>
  <c r="BF33" i="2522"/>
  <c r="BE33" i="2522"/>
  <c r="BD33" i="2522"/>
  <c r="BC33" i="2522"/>
  <c r="BB33" i="2522"/>
  <c r="AZ33" i="2522"/>
  <c r="AY33" i="2522"/>
  <c r="AX33" i="2522"/>
  <c r="AW33" i="2522"/>
  <c r="AV33" i="2522"/>
  <c r="AU33" i="2522"/>
  <c r="AT33" i="2522"/>
  <c r="AS33" i="2522"/>
  <c r="AR33" i="2522"/>
  <c r="AQ33" i="2522"/>
  <c r="AP33" i="2522"/>
  <c r="AO33" i="2522"/>
  <c r="AM33" i="2522"/>
  <c r="AL33" i="2522"/>
  <c r="AK33" i="2522"/>
  <c r="AJ33" i="2522"/>
  <c r="AI33" i="2522"/>
  <c r="AH33" i="2522"/>
  <c r="AG33" i="2522"/>
  <c r="AF33" i="2522"/>
  <c r="AE33" i="2522"/>
  <c r="AD33" i="2522"/>
  <c r="AC33" i="2522"/>
  <c r="AB33" i="2522"/>
  <c r="Z33" i="2522"/>
  <c r="Y33" i="2522"/>
  <c r="X33" i="2522"/>
  <c r="W33" i="2522"/>
  <c r="V33" i="2522"/>
  <c r="U33" i="2522"/>
  <c r="T33" i="2522"/>
  <c r="S33" i="2522"/>
  <c r="R33" i="2522"/>
  <c r="Q33" i="2522"/>
  <c r="P33" i="2522"/>
  <c r="O33" i="2522"/>
  <c r="JM32" i="2522"/>
  <c r="JL32" i="2522"/>
  <c r="JK32" i="2522"/>
  <c r="JJ32" i="2522"/>
  <c r="JI32" i="2522"/>
  <c r="JH32" i="2522"/>
  <c r="JG32" i="2522"/>
  <c r="JF32" i="2522"/>
  <c r="JE32" i="2522"/>
  <c r="JD32" i="2522"/>
  <c r="JC32" i="2522"/>
  <c r="JB32" i="2522"/>
  <c r="IZ32" i="2522"/>
  <c r="IY32" i="2522"/>
  <c r="IX32" i="2522"/>
  <c r="IW32" i="2522"/>
  <c r="IV32" i="2522"/>
  <c r="IU32" i="2522"/>
  <c r="IT32" i="2522"/>
  <c r="IS32" i="2522"/>
  <c r="IR32" i="2522"/>
  <c r="IQ32" i="2522"/>
  <c r="IP32" i="2522"/>
  <c r="IO32" i="2522"/>
  <c r="IM32" i="2522"/>
  <c r="IL32" i="2522"/>
  <c r="IK32" i="2522"/>
  <c r="IJ32" i="2522"/>
  <c r="II32" i="2522"/>
  <c r="IH32" i="2522"/>
  <c r="IG32" i="2522"/>
  <c r="IF32" i="2522"/>
  <c r="IE32" i="2522"/>
  <c r="ID32" i="2522"/>
  <c r="IC32" i="2522"/>
  <c r="IB32" i="2522"/>
  <c r="HZ32" i="2522"/>
  <c r="HY32" i="2522"/>
  <c r="HX32" i="2522"/>
  <c r="HW32" i="2522"/>
  <c r="HV32" i="2522"/>
  <c r="HU32" i="2522"/>
  <c r="HT32" i="2522"/>
  <c r="HS32" i="2522"/>
  <c r="HR32" i="2522"/>
  <c r="HQ32" i="2522"/>
  <c r="HP32" i="2522"/>
  <c r="HO32" i="2522"/>
  <c r="HM32" i="2522"/>
  <c r="HL32" i="2522"/>
  <c r="HK32" i="2522"/>
  <c r="HJ32" i="2522"/>
  <c r="HI32" i="2522"/>
  <c r="HH32" i="2522"/>
  <c r="HG32" i="2522"/>
  <c r="HF32" i="2522"/>
  <c r="HE32" i="2522"/>
  <c r="HD32" i="2522"/>
  <c r="HC32" i="2522"/>
  <c r="HB32" i="2522"/>
  <c r="GZ32" i="2522"/>
  <c r="GY32" i="2522"/>
  <c r="GX32" i="2522"/>
  <c r="GW32" i="2522"/>
  <c r="GV32" i="2522"/>
  <c r="GU32" i="2522"/>
  <c r="GT32" i="2522"/>
  <c r="GS32" i="2522"/>
  <c r="GR32" i="2522"/>
  <c r="GQ32" i="2522"/>
  <c r="GP32" i="2522"/>
  <c r="GO32" i="2522"/>
  <c r="GM32" i="2522"/>
  <c r="GL32" i="2522"/>
  <c r="GK32" i="2522"/>
  <c r="GJ32" i="2522"/>
  <c r="GI32" i="2522"/>
  <c r="GH32" i="2522"/>
  <c r="GG32" i="2522"/>
  <c r="GF32" i="2522"/>
  <c r="GE32" i="2522"/>
  <c r="GD32" i="2522"/>
  <c r="GC32" i="2522"/>
  <c r="GB32" i="2522"/>
  <c r="FZ32" i="2522"/>
  <c r="FY32" i="2522"/>
  <c r="FX32" i="2522"/>
  <c r="FW32" i="2522"/>
  <c r="FV32" i="2522"/>
  <c r="FU32" i="2522"/>
  <c r="FT32" i="2522"/>
  <c r="FS32" i="2522"/>
  <c r="FR32" i="2522"/>
  <c r="FQ32" i="2522"/>
  <c r="FP32" i="2522"/>
  <c r="FO32" i="2522"/>
  <c r="FM32" i="2522"/>
  <c r="FL32" i="2522"/>
  <c r="FK32" i="2522"/>
  <c r="FJ32" i="2522"/>
  <c r="FI32" i="2522"/>
  <c r="FH32" i="2522"/>
  <c r="FG32" i="2522"/>
  <c r="FF32" i="2522"/>
  <c r="FE32" i="2522"/>
  <c r="FD32" i="2522"/>
  <c r="FC32" i="2522"/>
  <c r="FB32" i="2522"/>
  <c r="EZ32" i="2522"/>
  <c r="EY32" i="2522"/>
  <c r="EX32" i="2522"/>
  <c r="EW32" i="2522"/>
  <c r="EV32" i="2522"/>
  <c r="EU32" i="2522"/>
  <c r="ET32" i="2522"/>
  <c r="ES32" i="2522"/>
  <c r="ER32" i="2522"/>
  <c r="EQ32" i="2522"/>
  <c r="EP32" i="2522"/>
  <c r="EO32" i="2522"/>
  <c r="EM32" i="2522"/>
  <c r="EL32" i="2522"/>
  <c r="EK32" i="2522"/>
  <c r="EJ32" i="2522"/>
  <c r="EI32" i="2522"/>
  <c r="EH32" i="2522"/>
  <c r="EG32" i="2522"/>
  <c r="EF32" i="2522"/>
  <c r="EE32" i="2522"/>
  <c r="ED32" i="2522"/>
  <c r="EC32" i="2522"/>
  <c r="EB32" i="2522"/>
  <c r="DZ32" i="2522"/>
  <c r="DY32" i="2522"/>
  <c r="DX32" i="2522"/>
  <c r="DW32" i="2522"/>
  <c r="DV32" i="2522"/>
  <c r="DU32" i="2522"/>
  <c r="DT32" i="2522"/>
  <c r="DS32" i="2522"/>
  <c r="DR32" i="2522"/>
  <c r="DQ32" i="2522"/>
  <c r="DP32" i="2522"/>
  <c r="DO32" i="2522"/>
  <c r="DM32" i="2522"/>
  <c r="DL32" i="2522"/>
  <c r="DK32" i="2522"/>
  <c r="DJ32" i="2522"/>
  <c r="DI32" i="2522"/>
  <c r="DH32" i="2522"/>
  <c r="DG32" i="2522"/>
  <c r="DF32" i="2522"/>
  <c r="DE32" i="2522"/>
  <c r="DD32" i="2522"/>
  <c r="DC32" i="2522"/>
  <c r="DB32" i="2522"/>
  <c r="CZ32" i="2522"/>
  <c r="CY32" i="2522"/>
  <c r="CX32" i="2522"/>
  <c r="CW32" i="2522"/>
  <c r="CV32" i="2522"/>
  <c r="CU32" i="2522"/>
  <c r="CT32" i="2522"/>
  <c r="CS32" i="2522"/>
  <c r="CR32" i="2522"/>
  <c r="CQ32" i="2522"/>
  <c r="CP32" i="2522"/>
  <c r="CO32" i="2522"/>
  <c r="CM32" i="2522"/>
  <c r="CL32" i="2522"/>
  <c r="CK32" i="2522"/>
  <c r="CJ32" i="2522"/>
  <c r="CI32" i="2522"/>
  <c r="CH32" i="2522"/>
  <c r="CG32" i="2522"/>
  <c r="CF32" i="2522"/>
  <c r="CE32" i="2522"/>
  <c r="CD32" i="2522"/>
  <c r="CC32" i="2522"/>
  <c r="CB32" i="2522"/>
  <c r="BZ32" i="2522"/>
  <c r="BY32" i="2522"/>
  <c r="BX32" i="2522"/>
  <c r="BW32" i="2522"/>
  <c r="BV32" i="2522"/>
  <c r="BU32" i="2522"/>
  <c r="BT32" i="2522"/>
  <c r="BS32" i="2522"/>
  <c r="BR32" i="2522"/>
  <c r="BQ32" i="2522"/>
  <c r="BP32" i="2522"/>
  <c r="BO32" i="2522"/>
  <c r="BM32" i="2522"/>
  <c r="BL32" i="2522"/>
  <c r="BK32" i="2522"/>
  <c r="BJ32" i="2522"/>
  <c r="BI32" i="2522"/>
  <c r="BH32" i="2522"/>
  <c r="BG32" i="2522"/>
  <c r="BF32" i="2522"/>
  <c r="BE32" i="2522"/>
  <c r="BD32" i="2522"/>
  <c r="BC32" i="2522"/>
  <c r="BB32" i="2522"/>
  <c r="AZ32" i="2522"/>
  <c r="AY32" i="2522"/>
  <c r="AX32" i="2522"/>
  <c r="AW32" i="2522"/>
  <c r="AV32" i="2522"/>
  <c r="AU32" i="2522"/>
  <c r="AT32" i="2522"/>
  <c r="AS32" i="2522"/>
  <c r="AR32" i="2522"/>
  <c r="AQ32" i="2522"/>
  <c r="AP32" i="2522"/>
  <c r="AO32" i="2522"/>
  <c r="AM32" i="2522"/>
  <c r="AL32" i="2522"/>
  <c r="AK32" i="2522"/>
  <c r="AJ32" i="2522"/>
  <c r="AI32" i="2522"/>
  <c r="AH32" i="2522"/>
  <c r="AG32" i="2522"/>
  <c r="AF32" i="2522"/>
  <c r="AE32" i="2522"/>
  <c r="AD32" i="2522"/>
  <c r="AC32" i="2522"/>
  <c r="AB32" i="2522"/>
  <c r="Z32" i="2522"/>
  <c r="Y32" i="2522"/>
  <c r="X32" i="2522"/>
  <c r="W32" i="2522"/>
  <c r="V32" i="2522"/>
  <c r="U32" i="2522"/>
  <c r="T32" i="2522"/>
  <c r="S32" i="2522"/>
  <c r="R32" i="2522"/>
  <c r="Q32" i="2522"/>
  <c r="P32" i="2522"/>
  <c r="O32" i="2522"/>
  <c r="JM30" i="2522"/>
  <c r="JL30" i="2522"/>
  <c r="JK30" i="2522"/>
  <c r="JJ30" i="2522"/>
  <c r="JI30" i="2522"/>
  <c r="JH30" i="2522"/>
  <c r="JG30" i="2522"/>
  <c r="JF30" i="2522"/>
  <c r="JE30" i="2522"/>
  <c r="JD30" i="2522"/>
  <c r="JC30" i="2522"/>
  <c r="JB30" i="2522"/>
  <c r="IZ30" i="2522"/>
  <c r="IY30" i="2522"/>
  <c r="IX30" i="2522"/>
  <c r="IW30" i="2522"/>
  <c r="IV30" i="2522"/>
  <c r="IU30" i="2522"/>
  <c r="IT30" i="2522"/>
  <c r="IS30" i="2522"/>
  <c r="IR30" i="2522"/>
  <c r="IQ30" i="2522"/>
  <c r="IP30" i="2522"/>
  <c r="IO30" i="2522"/>
  <c r="IM30" i="2522"/>
  <c r="IL30" i="2522"/>
  <c r="IK30" i="2522"/>
  <c r="IJ30" i="2522"/>
  <c r="II30" i="2522"/>
  <c r="IH30" i="2522"/>
  <c r="IG30" i="2522"/>
  <c r="IF30" i="2522"/>
  <c r="IE30" i="2522"/>
  <c r="ID30" i="2522"/>
  <c r="IC30" i="2522"/>
  <c r="IB30" i="2522"/>
  <c r="HZ30" i="2522"/>
  <c r="HY30" i="2522"/>
  <c r="HX30" i="2522"/>
  <c r="HW30" i="2522"/>
  <c r="HV30" i="2522"/>
  <c r="HU30" i="2522"/>
  <c r="HT30" i="2522"/>
  <c r="HS30" i="2522"/>
  <c r="HR30" i="2522"/>
  <c r="HQ30" i="2522"/>
  <c r="HP30" i="2522"/>
  <c r="HO30" i="2522"/>
  <c r="HM30" i="2522"/>
  <c r="HL30" i="2522"/>
  <c r="HK30" i="2522"/>
  <c r="HJ30" i="2522"/>
  <c r="HI30" i="2522"/>
  <c r="HH30" i="2522"/>
  <c r="HG30" i="2522"/>
  <c r="HF30" i="2522"/>
  <c r="HE30" i="2522"/>
  <c r="HD30" i="2522"/>
  <c r="HC30" i="2522"/>
  <c r="HB30" i="2522"/>
  <c r="GZ30" i="2522"/>
  <c r="GY30" i="2522"/>
  <c r="GX30" i="2522"/>
  <c r="GW30" i="2522"/>
  <c r="GV30" i="2522"/>
  <c r="GU30" i="2522"/>
  <c r="GT30" i="2522"/>
  <c r="GS30" i="2522"/>
  <c r="GR30" i="2522"/>
  <c r="GQ30" i="2522"/>
  <c r="GP30" i="2522"/>
  <c r="GO30" i="2522"/>
  <c r="GM30" i="2522"/>
  <c r="GL30" i="2522"/>
  <c r="GK30" i="2522"/>
  <c r="GJ30" i="2522"/>
  <c r="GI30" i="2522"/>
  <c r="GH30" i="2522"/>
  <c r="GG30" i="2522"/>
  <c r="GF30" i="2522"/>
  <c r="GE30" i="2522"/>
  <c r="GD30" i="2522"/>
  <c r="GC30" i="2522"/>
  <c r="GB30" i="2522"/>
  <c r="FZ30" i="2522"/>
  <c r="FY30" i="2522"/>
  <c r="FX30" i="2522"/>
  <c r="FW30" i="2522"/>
  <c r="FV30" i="2522"/>
  <c r="FU30" i="2522"/>
  <c r="FT30" i="2522"/>
  <c r="FS30" i="2522"/>
  <c r="FR30" i="2522"/>
  <c r="FQ30" i="2522"/>
  <c r="FP30" i="2522"/>
  <c r="FO30" i="2522"/>
  <c r="FM30" i="2522"/>
  <c r="FL30" i="2522"/>
  <c r="FK30" i="2522"/>
  <c r="FJ30" i="2522"/>
  <c r="FI30" i="2522"/>
  <c r="FH30" i="2522"/>
  <c r="FG30" i="2522"/>
  <c r="FF30" i="2522"/>
  <c r="FE30" i="2522"/>
  <c r="FD30" i="2522"/>
  <c r="FC30" i="2522"/>
  <c r="FB30" i="2522"/>
  <c r="EZ30" i="2522"/>
  <c r="EY30" i="2522"/>
  <c r="EX30" i="2522"/>
  <c r="EW30" i="2522"/>
  <c r="EV30" i="2522"/>
  <c r="EU30" i="2522"/>
  <c r="ET30" i="2522"/>
  <c r="ES30" i="2522"/>
  <c r="ER30" i="2522"/>
  <c r="EQ30" i="2522"/>
  <c r="EP30" i="2522"/>
  <c r="EO30" i="2522"/>
  <c r="EM30" i="2522"/>
  <c r="EL30" i="2522"/>
  <c r="EK30" i="2522"/>
  <c r="EJ30" i="2522"/>
  <c r="EI30" i="2522"/>
  <c r="EH30" i="2522"/>
  <c r="EG30" i="2522"/>
  <c r="EF30" i="2522"/>
  <c r="EE30" i="2522"/>
  <c r="ED30" i="2522"/>
  <c r="EC30" i="2522"/>
  <c r="EB30" i="2522"/>
  <c r="DZ30" i="2522"/>
  <c r="DY30" i="2522"/>
  <c r="DX30" i="2522"/>
  <c r="DW30" i="2522"/>
  <c r="DV30" i="2522"/>
  <c r="DU30" i="2522"/>
  <c r="DT30" i="2522"/>
  <c r="DS30" i="2522"/>
  <c r="DR30" i="2522"/>
  <c r="DQ30" i="2522"/>
  <c r="DP30" i="2522"/>
  <c r="DO30" i="2522"/>
  <c r="DM30" i="2522"/>
  <c r="DL30" i="2522"/>
  <c r="DK30" i="2522"/>
  <c r="DJ30" i="2522"/>
  <c r="DI30" i="2522"/>
  <c r="DH30" i="2522"/>
  <c r="DG30" i="2522"/>
  <c r="DF30" i="2522"/>
  <c r="DE30" i="2522"/>
  <c r="DD30" i="2522"/>
  <c r="DC30" i="2522"/>
  <c r="DB30" i="2522"/>
  <c r="CZ30" i="2522"/>
  <c r="CY30" i="2522"/>
  <c r="CX30" i="2522"/>
  <c r="CW30" i="2522"/>
  <c r="CV30" i="2522"/>
  <c r="CU30" i="2522"/>
  <c r="CT30" i="2522"/>
  <c r="CS30" i="2522"/>
  <c r="CR30" i="2522"/>
  <c r="CQ30" i="2522"/>
  <c r="CP30" i="2522"/>
  <c r="CO30" i="2522"/>
  <c r="CM30" i="2522"/>
  <c r="CL30" i="2522"/>
  <c r="CK30" i="2522"/>
  <c r="CJ30" i="2522"/>
  <c r="CI30" i="2522"/>
  <c r="CH30" i="2522"/>
  <c r="CG30" i="2522"/>
  <c r="CF30" i="2522"/>
  <c r="CE30" i="2522"/>
  <c r="CD30" i="2522"/>
  <c r="CC30" i="2522"/>
  <c r="CB30" i="2522"/>
  <c r="BZ30" i="2522"/>
  <c r="BY30" i="2522"/>
  <c r="BX30" i="2522"/>
  <c r="BW30" i="2522"/>
  <c r="BV30" i="2522"/>
  <c r="BU30" i="2522"/>
  <c r="BT30" i="2522"/>
  <c r="BS30" i="2522"/>
  <c r="BR30" i="2522"/>
  <c r="BQ30" i="2522"/>
  <c r="BP30" i="2522"/>
  <c r="BO30" i="2522"/>
  <c r="BM30" i="2522"/>
  <c r="BL30" i="2522"/>
  <c r="BK30" i="2522"/>
  <c r="BJ30" i="2522"/>
  <c r="BI30" i="2522"/>
  <c r="BH30" i="2522"/>
  <c r="BG30" i="2522"/>
  <c r="BF30" i="2522"/>
  <c r="BE30" i="2522"/>
  <c r="BD30" i="2522"/>
  <c r="BC30" i="2522"/>
  <c r="BB30" i="2522"/>
  <c r="AZ30" i="2522"/>
  <c r="AY30" i="2522"/>
  <c r="AX30" i="2522"/>
  <c r="AW30" i="2522"/>
  <c r="AV30" i="2522"/>
  <c r="AU30" i="2522"/>
  <c r="AT30" i="2522"/>
  <c r="AS30" i="2522"/>
  <c r="AR30" i="2522"/>
  <c r="AQ30" i="2522"/>
  <c r="AP30" i="2522"/>
  <c r="AO30" i="2522"/>
  <c r="AM30" i="2522"/>
  <c r="AL30" i="2522"/>
  <c r="AK30" i="2522"/>
  <c r="AJ30" i="2522"/>
  <c r="AI30" i="2522"/>
  <c r="AH30" i="2522"/>
  <c r="AG30" i="2522"/>
  <c r="AF30" i="2522"/>
  <c r="AE30" i="2522"/>
  <c r="AD30" i="2522"/>
  <c r="AC30" i="2522"/>
  <c r="AB30" i="2522"/>
  <c r="Z30" i="2522"/>
  <c r="Y30" i="2522"/>
  <c r="X30" i="2522"/>
  <c r="W30" i="2522"/>
  <c r="V30" i="2522"/>
  <c r="U30" i="2522"/>
  <c r="T30" i="2522"/>
  <c r="S30" i="2522"/>
  <c r="R30" i="2522"/>
  <c r="Q30" i="2522"/>
  <c r="P30" i="2522"/>
  <c r="O30" i="2522"/>
  <c r="JM29" i="2522"/>
  <c r="JL29" i="2522"/>
  <c r="JK29" i="2522"/>
  <c r="JJ29" i="2522"/>
  <c r="JI29" i="2522"/>
  <c r="JH29" i="2522"/>
  <c r="JG29" i="2522"/>
  <c r="JF29" i="2522"/>
  <c r="JE29" i="2522"/>
  <c r="JD29" i="2522"/>
  <c r="JC29" i="2522"/>
  <c r="JB29" i="2522"/>
  <c r="IZ29" i="2522"/>
  <c r="IY29" i="2522"/>
  <c r="IX29" i="2522"/>
  <c r="IW29" i="2522"/>
  <c r="IV29" i="2522"/>
  <c r="IU29" i="2522"/>
  <c r="IT29" i="2522"/>
  <c r="IS29" i="2522"/>
  <c r="IR29" i="2522"/>
  <c r="IQ29" i="2522"/>
  <c r="IP29" i="2522"/>
  <c r="IO29" i="2522"/>
  <c r="IM29" i="2522"/>
  <c r="IL29" i="2522"/>
  <c r="IK29" i="2522"/>
  <c r="IJ29" i="2522"/>
  <c r="II29" i="2522"/>
  <c r="IH29" i="2522"/>
  <c r="IG29" i="2522"/>
  <c r="IF29" i="2522"/>
  <c r="IE29" i="2522"/>
  <c r="ID29" i="2522"/>
  <c r="IC29" i="2522"/>
  <c r="IB29" i="2522"/>
  <c r="HZ29" i="2522"/>
  <c r="HY29" i="2522"/>
  <c r="HX29" i="2522"/>
  <c r="HW29" i="2522"/>
  <c r="HV29" i="2522"/>
  <c r="HU29" i="2522"/>
  <c r="HT29" i="2522"/>
  <c r="HS29" i="2522"/>
  <c r="HR29" i="2522"/>
  <c r="HQ29" i="2522"/>
  <c r="HP29" i="2522"/>
  <c r="HO29" i="2522"/>
  <c r="HM29" i="2522"/>
  <c r="HL29" i="2522"/>
  <c r="HK29" i="2522"/>
  <c r="HJ29" i="2522"/>
  <c r="HI29" i="2522"/>
  <c r="HH29" i="2522"/>
  <c r="HG29" i="2522"/>
  <c r="HF29" i="2522"/>
  <c r="HE29" i="2522"/>
  <c r="HD29" i="2522"/>
  <c r="HC29" i="2522"/>
  <c r="HB29" i="2522"/>
  <c r="GZ29" i="2522"/>
  <c r="GY29" i="2522"/>
  <c r="GX29" i="2522"/>
  <c r="GW29" i="2522"/>
  <c r="GV29" i="2522"/>
  <c r="GU29" i="2522"/>
  <c r="GT29" i="2522"/>
  <c r="GS29" i="2522"/>
  <c r="GR29" i="2522"/>
  <c r="GQ29" i="2522"/>
  <c r="GP29" i="2522"/>
  <c r="GO29" i="2522"/>
  <c r="GM29" i="2522"/>
  <c r="GL29" i="2522"/>
  <c r="GK29" i="2522"/>
  <c r="GJ29" i="2522"/>
  <c r="GI29" i="2522"/>
  <c r="GH29" i="2522"/>
  <c r="GG29" i="2522"/>
  <c r="GF29" i="2522"/>
  <c r="GE29" i="2522"/>
  <c r="GD29" i="2522"/>
  <c r="GC29" i="2522"/>
  <c r="GB29" i="2522"/>
  <c r="FZ29" i="2522"/>
  <c r="FY29" i="2522"/>
  <c r="FX29" i="2522"/>
  <c r="FW29" i="2522"/>
  <c r="FV29" i="2522"/>
  <c r="FU29" i="2522"/>
  <c r="FT29" i="2522"/>
  <c r="FS29" i="2522"/>
  <c r="FR29" i="2522"/>
  <c r="FQ29" i="2522"/>
  <c r="FP29" i="2522"/>
  <c r="FO29" i="2522"/>
  <c r="FB29" i="2522"/>
  <c r="EO29" i="2522"/>
  <c r="EM29" i="2522"/>
  <c r="EL29" i="2522"/>
  <c r="EK29" i="2522"/>
  <c r="EJ29" i="2522"/>
  <c r="EI29" i="2522"/>
  <c r="EH29" i="2522"/>
  <c r="EG29" i="2522"/>
  <c r="EF29" i="2522"/>
  <c r="EE29" i="2522"/>
  <c r="ED29" i="2522"/>
  <c r="EC29" i="2522"/>
  <c r="EB29" i="2522"/>
  <c r="DZ29" i="2522"/>
  <c r="DY29" i="2522"/>
  <c r="DX29" i="2522"/>
  <c r="DW29" i="2522"/>
  <c r="DV29" i="2522"/>
  <c r="DU29" i="2522"/>
  <c r="DT29" i="2522"/>
  <c r="DS29" i="2522"/>
  <c r="DR29" i="2522"/>
  <c r="DQ29" i="2522"/>
  <c r="DP29" i="2522"/>
  <c r="DO29" i="2522"/>
  <c r="DM29" i="2522"/>
  <c r="DL29" i="2522"/>
  <c r="DK29" i="2522"/>
  <c r="DJ29" i="2522"/>
  <c r="DI29" i="2522"/>
  <c r="DH29" i="2522"/>
  <c r="DG29" i="2522"/>
  <c r="DF29" i="2522"/>
  <c r="DE29" i="2522"/>
  <c r="DD29" i="2522"/>
  <c r="DC29" i="2522"/>
  <c r="DB29" i="2522"/>
  <c r="CZ29" i="2522"/>
  <c r="CY29" i="2522"/>
  <c r="CX29" i="2522"/>
  <c r="CW29" i="2522"/>
  <c r="CV29" i="2522"/>
  <c r="CU29" i="2522"/>
  <c r="CT29" i="2522"/>
  <c r="CS29" i="2522"/>
  <c r="CR29" i="2522"/>
  <c r="CQ29" i="2522"/>
  <c r="CP29" i="2522"/>
  <c r="CO29" i="2522"/>
  <c r="CM29" i="2522"/>
  <c r="CL29" i="2522"/>
  <c r="CK29" i="2522"/>
  <c r="CJ29" i="2522"/>
  <c r="CI29" i="2522"/>
  <c r="CH29" i="2522"/>
  <c r="CG29" i="2522"/>
  <c r="CF29" i="2522"/>
  <c r="CE29" i="2522"/>
  <c r="CD29" i="2522"/>
  <c r="CC29" i="2522"/>
  <c r="CB29" i="2522"/>
  <c r="BZ29" i="2522"/>
  <c r="BY29" i="2522"/>
  <c r="BX29" i="2522"/>
  <c r="BW29" i="2522"/>
  <c r="BV29" i="2522"/>
  <c r="BU29" i="2522"/>
  <c r="BT29" i="2522"/>
  <c r="BS29" i="2522"/>
  <c r="BR29" i="2522"/>
  <c r="BQ29" i="2522"/>
  <c r="BP29" i="2522"/>
  <c r="BO29" i="2522"/>
  <c r="BM29" i="2522"/>
  <c r="BL29" i="2522"/>
  <c r="BK29" i="2522"/>
  <c r="BJ29" i="2522"/>
  <c r="BI29" i="2522"/>
  <c r="BH29" i="2522"/>
  <c r="BG29" i="2522"/>
  <c r="BF29" i="2522"/>
  <c r="BE29" i="2522"/>
  <c r="BD29" i="2522"/>
  <c r="BC29" i="2522"/>
  <c r="BB29" i="2522"/>
  <c r="AZ29" i="2522"/>
  <c r="AY29" i="2522"/>
  <c r="AX29" i="2522"/>
  <c r="AW29" i="2522"/>
  <c r="AV29" i="2522"/>
  <c r="AU29" i="2522"/>
  <c r="AT29" i="2522"/>
  <c r="AS29" i="2522"/>
  <c r="AR29" i="2522"/>
  <c r="AQ29" i="2522"/>
  <c r="AP29" i="2522"/>
  <c r="AO29" i="2522"/>
  <c r="AM29" i="2522"/>
  <c r="AL29" i="2522"/>
  <c r="AK29" i="2522"/>
  <c r="AJ29" i="2522"/>
  <c r="AI29" i="2522"/>
  <c r="AH29" i="2522"/>
  <c r="AG29" i="2522"/>
  <c r="AF29" i="2522"/>
  <c r="AE29" i="2522"/>
  <c r="AD29" i="2522"/>
  <c r="AC29" i="2522"/>
  <c r="AB29" i="2522"/>
  <c r="Z29" i="2522"/>
  <c r="Y29" i="2522"/>
  <c r="X29" i="2522"/>
  <c r="W29" i="2522"/>
  <c r="V29" i="2522"/>
  <c r="U29" i="2522"/>
  <c r="T29" i="2522"/>
  <c r="S29" i="2522"/>
  <c r="R29" i="2522"/>
  <c r="Q29" i="2522"/>
  <c r="P29" i="2522"/>
  <c r="O29" i="2522"/>
  <c r="LQ5" i="1973" l="1"/>
  <c r="LR5" i="1973" s="1"/>
  <c r="LS4" i="1973"/>
  <c r="CN33" i="2522"/>
  <c r="CA33" i="2522"/>
  <c r="DN36" i="2522"/>
  <c r="IN39" i="2522"/>
  <c r="JA34" i="2522"/>
  <c r="BN38" i="2522"/>
  <c r="AN32" i="2522"/>
  <c r="DA33" i="2522"/>
  <c r="JA42" i="2522"/>
  <c r="IN40" i="2522"/>
  <c r="IA39" i="2522"/>
  <c r="HA37" i="2522"/>
  <c r="GN36" i="2522"/>
  <c r="GA35" i="2522"/>
  <c r="FA34" i="2522"/>
  <c r="EN33" i="2522"/>
  <c r="EA32" i="2522"/>
  <c r="DN30" i="2522"/>
  <c r="CN42" i="2522"/>
  <c r="CA40" i="2522"/>
  <c r="BN39" i="2522"/>
  <c r="BA38" i="2522"/>
  <c r="AN37" i="2522"/>
  <c r="AA36" i="2522"/>
  <c r="CN30" i="2522"/>
  <c r="HN40" i="2522"/>
  <c r="FA36" i="2522"/>
  <c r="EN35" i="2522"/>
  <c r="EA34" i="2522"/>
  <c r="CA29" i="2522"/>
  <c r="BN42" i="2522"/>
  <c r="AN39" i="2522"/>
  <c r="AA35" i="2522"/>
  <c r="GN37" i="2522"/>
  <c r="DN32" i="2522"/>
  <c r="DA30" i="2522"/>
  <c r="BN40" i="2522"/>
  <c r="AA37" i="2522"/>
  <c r="JA32" i="2522"/>
  <c r="HN42" i="2522"/>
  <c r="HA40" i="2522"/>
  <c r="EN36" i="2522"/>
  <c r="EA35" i="2522"/>
  <c r="DN34" i="2522"/>
  <c r="CA30" i="2522"/>
  <c r="BA42" i="2522"/>
  <c r="AA39" i="2522"/>
  <c r="DA42" i="2522"/>
  <c r="JA35" i="2522"/>
  <c r="IN34" i="2522"/>
  <c r="GN29" i="2522"/>
  <c r="GA42" i="2522"/>
  <c r="FA40" i="2522"/>
  <c r="EN39" i="2522"/>
  <c r="EA38" i="2522"/>
  <c r="DN37" i="2522"/>
  <c r="CN35" i="2522"/>
  <c r="CA34" i="2522"/>
  <c r="BN33" i="2522"/>
  <c r="IA40" i="2522"/>
  <c r="IN42" i="2522"/>
  <c r="HN39" i="2522"/>
  <c r="HA38" i="2522"/>
  <c r="GA36" i="2522"/>
  <c r="FA35" i="2522"/>
  <c r="EN34" i="2522"/>
  <c r="EA33" i="2522"/>
  <c r="CA42" i="2522"/>
  <c r="BA39" i="2522"/>
  <c r="AN38" i="2522"/>
  <c r="HA39" i="2522"/>
  <c r="GN38" i="2522"/>
  <c r="GA37" i="2522"/>
  <c r="DN33" i="2522"/>
  <c r="DA32" i="2522"/>
  <c r="BA40" i="2522"/>
  <c r="AA38" i="2522"/>
  <c r="GN39" i="2522"/>
  <c r="AN40" i="2522"/>
  <c r="JA40" i="2522"/>
  <c r="HN35" i="2522"/>
  <c r="DA38" i="2522"/>
  <c r="BA34" i="2522"/>
  <c r="AN33" i="2522"/>
  <c r="JA39" i="2522"/>
  <c r="IN38" i="2522"/>
  <c r="HN36" i="2522"/>
  <c r="HA35" i="2522"/>
  <c r="GN34" i="2522"/>
  <c r="GA33" i="2522"/>
  <c r="EN30" i="2522"/>
  <c r="DN42" i="2522"/>
  <c r="DA40" i="2522"/>
  <c r="CN39" i="2522"/>
  <c r="CA38" i="2522"/>
  <c r="BA36" i="2522"/>
  <c r="AN35" i="2522"/>
  <c r="AA34" i="2522"/>
  <c r="IA42" i="2522"/>
  <c r="GA38" i="2522"/>
  <c r="CN32" i="2522"/>
  <c r="FN37" i="2522"/>
  <c r="CA37" i="2522"/>
  <c r="FN30" i="2522"/>
  <c r="HA34" i="2522"/>
  <c r="GN33" i="2522"/>
  <c r="FA30" i="2522"/>
  <c r="CN38" i="2522"/>
  <c r="AN34" i="2522"/>
  <c r="AA33" i="2522"/>
  <c r="JN39" i="2522"/>
  <c r="BN37" i="2522"/>
  <c r="GN32" i="2522"/>
  <c r="EN42" i="2522"/>
  <c r="EA40" i="2522"/>
  <c r="DN39" i="2522"/>
  <c r="CN37" i="2522"/>
  <c r="CA36" i="2522"/>
  <c r="BN35" i="2522"/>
  <c r="HN38" i="2522"/>
  <c r="JA30" i="2522"/>
  <c r="JA36" i="2522"/>
  <c r="IN35" i="2522"/>
  <c r="HA33" i="2522"/>
  <c r="BA35" i="2522"/>
  <c r="DA39" i="2522"/>
  <c r="EA42" i="2522"/>
  <c r="JN42" i="2522"/>
  <c r="GA32" i="2522"/>
  <c r="BN36" i="2522"/>
  <c r="DN40" i="2522"/>
  <c r="IN36" i="2522"/>
  <c r="JA37" i="2522"/>
  <c r="GN30" i="2522"/>
  <c r="GA29" i="2522"/>
  <c r="AA32" i="2522"/>
  <c r="DA36" i="2522"/>
  <c r="FN42" i="2522"/>
  <c r="DN38" i="2522"/>
  <c r="HN32" i="2522"/>
  <c r="HA30" i="2522"/>
  <c r="GA30" i="2522"/>
  <c r="CA35" i="2522"/>
  <c r="IA35" i="2522"/>
  <c r="IN37" i="2522"/>
  <c r="EN40" i="2522"/>
  <c r="BA33" i="2522"/>
  <c r="HN37" i="2522"/>
  <c r="FA32" i="2522"/>
  <c r="DA37" i="2522"/>
  <c r="EA39" i="2522"/>
  <c r="IN29" i="2522"/>
  <c r="IA30" i="2522"/>
  <c r="BN34" i="2522"/>
  <c r="JA38" i="2522"/>
  <c r="IN32" i="2522"/>
  <c r="FA37" i="2522"/>
  <c r="JN30" i="2522"/>
  <c r="HN33" i="2522"/>
  <c r="HA32" i="2522"/>
  <c r="AN30" i="2522"/>
  <c r="JN32" i="2522"/>
  <c r="JN33" i="2522"/>
  <c r="AA29" i="2522"/>
  <c r="AN29" i="2522"/>
  <c r="BA32" i="2522"/>
  <c r="BA30" i="2522"/>
  <c r="BN30" i="2522"/>
  <c r="BN29" i="2522"/>
  <c r="CN29" i="2522"/>
  <c r="DA29" i="2522"/>
  <c r="DN29" i="2522"/>
  <c r="EA29" i="2522"/>
  <c r="EN29" i="2522"/>
  <c r="HN29" i="2522"/>
  <c r="IA36" i="2522"/>
  <c r="IN30" i="2522"/>
  <c r="IA34" i="2522"/>
  <c r="IN33" i="2522"/>
  <c r="IA32" i="2522"/>
  <c r="HN34" i="2522"/>
  <c r="IA37" i="2522"/>
  <c r="IA38" i="2522"/>
  <c r="IA33" i="2522"/>
  <c r="IA29" i="2522"/>
  <c r="JA29" i="2522"/>
  <c r="JN29" i="2522"/>
  <c r="JN37" i="2522"/>
  <c r="LS5" i="1973" l="1"/>
  <c r="N38" i="1974"/>
  <c r="N37" i="1974"/>
  <c r="N36" i="1974"/>
  <c r="N35" i="1974"/>
  <c r="N34" i="1974"/>
  <c r="N33" i="1974"/>
  <c r="N32" i="1974"/>
  <c r="N31" i="1974"/>
  <c r="N30" i="1974"/>
  <c r="N29" i="1974"/>
  <c r="N28" i="1974"/>
  <c r="N27" i="1974"/>
  <c r="N26" i="1974"/>
  <c r="N25" i="1974"/>
  <c r="N24" i="1974"/>
  <c r="N23" i="1974"/>
  <c r="N22" i="1974"/>
  <c r="N21" i="1974"/>
  <c r="N20" i="1974"/>
  <c r="N19" i="1974"/>
  <c r="N18" i="1974"/>
  <c r="N17" i="1974"/>
  <c r="N16" i="1974"/>
  <c r="N15" i="1974"/>
  <c r="N14" i="1974"/>
  <c r="N13" i="1974"/>
  <c r="N12" i="1974"/>
  <c r="N11" i="1974"/>
  <c r="N10" i="1974"/>
  <c r="N9" i="1974"/>
  <c r="N5" i="1974"/>
  <c r="AA39" i="1974"/>
  <c r="AA38" i="1974"/>
  <c r="AA37" i="1974"/>
  <c r="AA36" i="1974"/>
  <c r="AA35" i="1974"/>
  <c r="AA34" i="1974"/>
  <c r="AA33" i="1974"/>
  <c r="AA32" i="1974"/>
  <c r="AA31" i="1974"/>
  <c r="AA30" i="1974"/>
  <c r="AA29" i="1974"/>
  <c r="AA28" i="1974"/>
  <c r="AA27" i="1974"/>
  <c r="AA26" i="1974"/>
  <c r="AA25" i="1974"/>
  <c r="AA24" i="1974"/>
  <c r="AA23" i="1974"/>
  <c r="AA22" i="1974"/>
  <c r="AA21" i="1974"/>
  <c r="AA20" i="1974"/>
  <c r="AA19" i="1974"/>
  <c r="AA18" i="1974"/>
  <c r="AA17" i="1974"/>
  <c r="AA16" i="1974"/>
  <c r="AA15" i="1974"/>
  <c r="AA14" i="1974"/>
  <c r="AA13" i="1974"/>
  <c r="AA12" i="1974"/>
  <c r="AA11" i="1974"/>
  <c r="AA10" i="1974"/>
  <c r="AA9" i="1974"/>
  <c r="AA5" i="1974"/>
  <c r="AN38" i="1974"/>
  <c r="AN37" i="1974"/>
  <c r="AN36" i="1974"/>
  <c r="AN35" i="1974"/>
  <c r="AN34" i="1974"/>
  <c r="AN33" i="1974"/>
  <c r="AN32" i="1974"/>
  <c r="AN31" i="1974"/>
  <c r="AN30" i="1974"/>
  <c r="AN29" i="1974"/>
  <c r="AN28" i="1974"/>
  <c r="AN27" i="1974"/>
  <c r="AN26" i="1974"/>
  <c r="AN25" i="1974"/>
  <c r="AN24" i="1974"/>
  <c r="AN23" i="1974"/>
  <c r="AN22" i="1974"/>
  <c r="AN21" i="1974"/>
  <c r="AN20" i="1974"/>
  <c r="AN19" i="1974"/>
  <c r="AN18" i="1974"/>
  <c r="AN17" i="1974"/>
  <c r="AN16" i="1974"/>
  <c r="AN15" i="1974"/>
  <c r="AN14" i="1974"/>
  <c r="AN13" i="1974"/>
  <c r="AN12" i="1974"/>
  <c r="AN11" i="1974"/>
  <c r="AN10" i="1974"/>
  <c r="AN9" i="1974"/>
  <c r="AN5" i="1974"/>
  <c r="BA38" i="1974"/>
  <c r="BA37" i="1974"/>
  <c r="BA36" i="1974"/>
  <c r="BA35" i="1974"/>
  <c r="BA34" i="1974"/>
  <c r="BA33" i="1974"/>
  <c r="BA32" i="1974"/>
  <c r="BA31" i="1974"/>
  <c r="BA30" i="1974"/>
  <c r="BA29" i="1974"/>
  <c r="BA28" i="1974"/>
  <c r="BA27" i="1974"/>
  <c r="BA26" i="1974"/>
  <c r="BA25" i="1974"/>
  <c r="BA24" i="1974"/>
  <c r="BA23" i="1974"/>
  <c r="BA22" i="1974"/>
  <c r="BA21" i="1974"/>
  <c r="BA20" i="1974"/>
  <c r="BA19" i="1974"/>
  <c r="BA18" i="1974"/>
  <c r="BA17" i="1974"/>
  <c r="BA16" i="1974"/>
  <c r="BA15" i="1974"/>
  <c r="BA14" i="1974"/>
  <c r="BA13" i="1974"/>
  <c r="BA12" i="1974"/>
  <c r="BA11" i="1974"/>
  <c r="BA10" i="1974"/>
  <c r="BA9" i="1974"/>
  <c r="BA5" i="1974"/>
  <c r="BN38" i="1974"/>
  <c r="BN37" i="1974"/>
  <c r="BN36" i="1974"/>
  <c r="BN35" i="1974"/>
  <c r="BN34" i="1974"/>
  <c r="BN33" i="1974"/>
  <c r="BN32" i="1974"/>
  <c r="BN31" i="1974"/>
  <c r="BN30" i="1974"/>
  <c r="BN29" i="1974"/>
  <c r="BN28" i="1974"/>
  <c r="BN27" i="1974"/>
  <c r="BN26" i="1974"/>
  <c r="BN25" i="1974"/>
  <c r="BN24" i="1974"/>
  <c r="BN23" i="1974"/>
  <c r="BN22" i="1974"/>
  <c r="BN21" i="1974"/>
  <c r="BN20" i="1974"/>
  <c r="BN19" i="1974"/>
  <c r="BN18" i="1974"/>
  <c r="BN17" i="1974"/>
  <c r="BN16" i="1974"/>
  <c r="BN15" i="1974"/>
  <c r="BN14" i="1974"/>
  <c r="BN13" i="1974"/>
  <c r="BN12" i="1974"/>
  <c r="BN11" i="1974"/>
  <c r="BN10" i="1974"/>
  <c r="BN9" i="1974"/>
  <c r="BN5" i="1974"/>
  <c r="CA38" i="1974"/>
  <c r="CA37" i="1974"/>
  <c r="CA36" i="1974"/>
  <c r="CA35" i="1974"/>
  <c r="CA34" i="1974"/>
  <c r="CA33" i="1974"/>
  <c r="CA32" i="1974"/>
  <c r="CA31" i="1974"/>
  <c r="CA30" i="1974"/>
  <c r="CA29" i="1974"/>
  <c r="CA28" i="1974"/>
  <c r="CA27" i="1974"/>
  <c r="CA26" i="1974"/>
  <c r="CA25" i="1974"/>
  <c r="CA24" i="1974"/>
  <c r="CA23" i="1974"/>
  <c r="CA22" i="1974"/>
  <c r="CA21" i="1974"/>
  <c r="CA20" i="1974"/>
  <c r="CA19" i="1974"/>
  <c r="CA18" i="1974"/>
  <c r="CA17" i="1974"/>
  <c r="CA16" i="1974"/>
  <c r="CA15" i="1974"/>
  <c r="CA14" i="1974"/>
  <c r="CA13" i="1974"/>
  <c r="CA12" i="1974"/>
  <c r="CA11" i="1974"/>
  <c r="CA10" i="1974"/>
  <c r="CA9" i="1974"/>
  <c r="CA5" i="1974"/>
  <c r="CN39" i="1974"/>
  <c r="CN38" i="1974"/>
  <c r="CN37" i="1974"/>
  <c r="CN36" i="1974"/>
  <c r="CN35" i="1974"/>
  <c r="CN34" i="1974"/>
  <c r="CN33" i="1974"/>
  <c r="CN32" i="1974"/>
  <c r="CN31" i="1974"/>
  <c r="CN30" i="1974"/>
  <c r="CN29" i="1974"/>
  <c r="CN28" i="1974"/>
  <c r="CN27" i="1974"/>
  <c r="CN26" i="1974"/>
  <c r="CN25" i="1974"/>
  <c r="CN24" i="1974"/>
  <c r="CN23" i="1974"/>
  <c r="CN22" i="1974"/>
  <c r="CN21" i="1974"/>
  <c r="CN20" i="1974"/>
  <c r="CN19" i="1974"/>
  <c r="CN18" i="1974"/>
  <c r="CN17" i="1974"/>
  <c r="CN16" i="1974"/>
  <c r="CN15" i="1974"/>
  <c r="CN14" i="1974"/>
  <c r="CN13" i="1974"/>
  <c r="CN12" i="1974"/>
  <c r="CN11" i="1974"/>
  <c r="CN10" i="1974"/>
  <c r="CN9" i="1974"/>
  <c r="CN5" i="1974"/>
  <c r="DA39" i="1974"/>
  <c r="DA38" i="1974"/>
  <c r="DA37" i="1974"/>
  <c r="DA36" i="1974"/>
  <c r="DA35" i="1974"/>
  <c r="DA34" i="1974"/>
  <c r="DA33" i="1974"/>
  <c r="DA32" i="1974"/>
  <c r="DA31" i="1974"/>
  <c r="DA30" i="1974"/>
  <c r="DA29" i="1974"/>
  <c r="DA28" i="1974"/>
  <c r="DA27" i="1974"/>
  <c r="DA26" i="1974"/>
  <c r="DA25" i="1974"/>
  <c r="DA24" i="1974"/>
  <c r="DA23" i="1974"/>
  <c r="DA22" i="1974"/>
  <c r="DA21" i="1974"/>
  <c r="DA20" i="1974"/>
  <c r="DA19" i="1974"/>
  <c r="DA18" i="1974"/>
  <c r="DA17" i="1974"/>
  <c r="DA16" i="1974"/>
  <c r="DA15" i="1974"/>
  <c r="DA14" i="1974"/>
  <c r="DA13" i="1974"/>
  <c r="DA12" i="1974"/>
  <c r="DA11" i="1974"/>
  <c r="DA10" i="1974"/>
  <c r="DA9" i="1974"/>
  <c r="DA5" i="1974"/>
  <c r="DN39" i="1974"/>
  <c r="DN38" i="1974"/>
  <c r="DN37" i="1974"/>
  <c r="DN36" i="1974"/>
  <c r="DN35" i="1974"/>
  <c r="DN33" i="1974"/>
  <c r="DN32" i="1974"/>
  <c r="DN31" i="1974"/>
  <c r="DN30" i="1974"/>
  <c r="DN29" i="1974"/>
  <c r="DN28" i="1974"/>
  <c r="DN27" i="1974"/>
  <c r="DN26" i="1974"/>
  <c r="DN25" i="1974"/>
  <c r="DN24" i="1974"/>
  <c r="DN23" i="1974"/>
  <c r="DN22" i="1974"/>
  <c r="DN21" i="1974"/>
  <c r="DN20" i="1974"/>
  <c r="DN19" i="1974"/>
  <c r="DN18" i="1974"/>
  <c r="DN17" i="1974"/>
  <c r="DN16" i="1974"/>
  <c r="DN15" i="1974"/>
  <c r="DN14" i="1974"/>
  <c r="DN13" i="1974"/>
  <c r="DN12" i="1974"/>
  <c r="DN11" i="1974"/>
  <c r="DN10" i="1974"/>
  <c r="DN9" i="1974"/>
  <c r="DN5" i="1974"/>
  <c r="EA39" i="1974"/>
  <c r="EA38" i="1974"/>
  <c r="EA37" i="1974"/>
  <c r="EA36" i="1974"/>
  <c r="EA35" i="1974"/>
  <c r="EA34" i="1974"/>
  <c r="EA33" i="1974"/>
  <c r="EA32" i="1974"/>
  <c r="EA31" i="1974"/>
  <c r="EA30" i="1974"/>
  <c r="EA29" i="1974"/>
  <c r="EA28" i="1974"/>
  <c r="EA27" i="1974"/>
  <c r="EA26" i="1974"/>
  <c r="EA25" i="1974"/>
  <c r="EA24" i="1974"/>
  <c r="EA23" i="1974"/>
  <c r="EA22" i="1974"/>
  <c r="EA21" i="1974"/>
  <c r="EA20" i="1974"/>
  <c r="EA19" i="1974"/>
  <c r="EA18" i="1974"/>
  <c r="EA17" i="1974"/>
  <c r="EA16" i="1974"/>
  <c r="EA15" i="1974"/>
  <c r="EA14" i="1974"/>
  <c r="EA13" i="1974"/>
  <c r="EA12" i="1974"/>
  <c r="EA11" i="1974"/>
  <c r="EA10" i="1974"/>
  <c r="EA9" i="1974"/>
  <c r="EA5" i="1974"/>
  <c r="EN39" i="1974"/>
  <c r="EN38" i="1974"/>
  <c r="EN37" i="1974"/>
  <c r="EN36" i="1974"/>
  <c r="EN35" i="1974"/>
  <c r="EN34" i="1974"/>
  <c r="EN33" i="1974"/>
  <c r="EN32" i="1974"/>
  <c r="EN31" i="1974"/>
  <c r="EN30" i="1974"/>
  <c r="EN29" i="1974"/>
  <c r="EN28" i="1974"/>
  <c r="EN27" i="1974"/>
  <c r="EN26" i="1974"/>
  <c r="EN25" i="1974"/>
  <c r="EN24" i="1974"/>
  <c r="EN23" i="1974"/>
  <c r="EN22" i="1974"/>
  <c r="EN21" i="1974"/>
  <c r="EN20" i="1974"/>
  <c r="EN19" i="1974"/>
  <c r="EN18" i="1974"/>
  <c r="EN17" i="1974"/>
  <c r="EN16" i="1974"/>
  <c r="EN15" i="1974"/>
  <c r="EN14" i="1974"/>
  <c r="EN13" i="1974"/>
  <c r="EN12" i="1974"/>
  <c r="EN11" i="1974"/>
  <c r="EN10" i="1974"/>
  <c r="EN9" i="1974"/>
  <c r="EN5" i="1974"/>
  <c r="FA38" i="1974"/>
  <c r="FA37" i="1974"/>
  <c r="FA36" i="1974"/>
  <c r="FA35" i="1974"/>
  <c r="FA34" i="1974"/>
  <c r="FA33" i="1974"/>
  <c r="FA32" i="1974"/>
  <c r="FA31" i="1974"/>
  <c r="FA30" i="1974"/>
  <c r="FA29" i="1974"/>
  <c r="FA28" i="1974"/>
  <c r="FA27" i="1974"/>
  <c r="FA26" i="1974"/>
  <c r="FA25" i="1974"/>
  <c r="FA24" i="1974"/>
  <c r="FA23" i="1974"/>
  <c r="FA22" i="1974"/>
  <c r="FA21" i="1974"/>
  <c r="FA20" i="1974"/>
  <c r="FA19" i="1974"/>
  <c r="FA18" i="1974"/>
  <c r="FA17" i="1974"/>
  <c r="FA16" i="1974"/>
  <c r="FA15" i="1974"/>
  <c r="FA14" i="1974"/>
  <c r="FA13" i="1974"/>
  <c r="FA12" i="1974"/>
  <c r="FA11" i="1974"/>
  <c r="FA10" i="1974"/>
  <c r="FA9" i="1974"/>
  <c r="FA5" i="1974"/>
  <c r="FN38" i="1974"/>
  <c r="FN37" i="1974"/>
  <c r="FN36" i="1974"/>
  <c r="FN35" i="1974"/>
  <c r="FN34" i="1974"/>
  <c r="FN33" i="1974"/>
  <c r="FN32" i="1974"/>
  <c r="FN31" i="1974"/>
  <c r="FN30" i="1974"/>
  <c r="FN29" i="1974"/>
  <c r="FN28" i="1974"/>
  <c r="FN27" i="1974"/>
  <c r="FN26" i="1974"/>
  <c r="FN25" i="1974"/>
  <c r="FN24" i="1974"/>
  <c r="FN23" i="1974"/>
  <c r="FN22" i="1974"/>
  <c r="FN21" i="1974"/>
  <c r="FN20" i="1974"/>
  <c r="FN19" i="1974"/>
  <c r="FN18" i="1974"/>
  <c r="FN17" i="1974"/>
  <c r="FN16" i="1974"/>
  <c r="FN15" i="1974"/>
  <c r="FN14" i="1974"/>
  <c r="FN13" i="1974"/>
  <c r="FN12" i="1974"/>
  <c r="FN11" i="1974"/>
  <c r="FN10" i="1974"/>
  <c r="FN9" i="1974"/>
  <c r="FN5" i="1974"/>
  <c r="GA38" i="1974"/>
  <c r="GA37" i="1974"/>
  <c r="GA36" i="1974"/>
  <c r="GA35" i="1974"/>
  <c r="GA34" i="1974"/>
  <c r="GA33" i="1974"/>
  <c r="GA32" i="1974"/>
  <c r="GA31" i="1974"/>
  <c r="GA30" i="1974"/>
  <c r="GA29" i="1974"/>
  <c r="GA28" i="1974"/>
  <c r="GA27" i="1974"/>
  <c r="GA26" i="1974"/>
  <c r="GA25" i="1974"/>
  <c r="GA24" i="1974"/>
  <c r="GA23" i="1974"/>
  <c r="GA22" i="1974"/>
  <c r="GA21" i="1974"/>
  <c r="GA20" i="1974"/>
  <c r="GA19" i="1974"/>
  <c r="GA18" i="1974"/>
  <c r="GA17" i="1974"/>
  <c r="GA16" i="1974"/>
  <c r="GA15" i="1974"/>
  <c r="GA14" i="1974"/>
  <c r="GA13" i="1974"/>
  <c r="GA12" i="1974"/>
  <c r="GA11" i="1974"/>
  <c r="GA10" i="1974"/>
  <c r="GA9" i="1974"/>
  <c r="GA5" i="1974"/>
  <c r="GN38" i="1974"/>
  <c r="GN37" i="1974"/>
  <c r="GN36" i="1974"/>
  <c r="GN35" i="1974"/>
  <c r="GN34" i="1974"/>
  <c r="GN33" i="1974"/>
  <c r="GN32" i="1974"/>
  <c r="GN31" i="1974"/>
  <c r="GN30" i="1974"/>
  <c r="GN29" i="1974"/>
  <c r="GN28" i="1974"/>
  <c r="GN27" i="1974"/>
  <c r="GN26" i="1974"/>
  <c r="GN25" i="1974"/>
  <c r="GN24" i="1974"/>
  <c r="GN23" i="1974"/>
  <c r="GN22" i="1974"/>
  <c r="GN21" i="1974"/>
  <c r="GN20" i="1974"/>
  <c r="GN19" i="1974"/>
  <c r="GN18" i="1974"/>
  <c r="GN17" i="1974"/>
  <c r="GN16" i="1974"/>
  <c r="GN15" i="1974"/>
  <c r="GN14" i="1974"/>
  <c r="GN13" i="1974"/>
  <c r="GN12" i="1974"/>
  <c r="GN11" i="1974"/>
  <c r="GN10" i="1974"/>
  <c r="GN9" i="1974"/>
  <c r="GN5" i="1974"/>
  <c r="HA38" i="1974"/>
  <c r="HA36" i="1974"/>
  <c r="HA35" i="1974"/>
  <c r="HA34" i="1974"/>
  <c r="HA33" i="1974"/>
  <c r="HA32" i="1974"/>
  <c r="HA31" i="1974"/>
  <c r="HA29" i="1974"/>
  <c r="HA28" i="1974"/>
  <c r="HA27" i="1974"/>
  <c r="HA26" i="1974"/>
  <c r="HA25" i="1974"/>
  <c r="HA24" i="1974"/>
  <c r="HA23" i="1974"/>
  <c r="HA22" i="1974"/>
  <c r="HA21" i="1974"/>
  <c r="HA20" i="1974"/>
  <c r="HA19" i="1974"/>
  <c r="HA18" i="1974"/>
  <c r="HA17" i="1974"/>
  <c r="HA16" i="1974"/>
  <c r="HA15" i="1974"/>
  <c r="HA14" i="1974"/>
  <c r="HA13" i="1974"/>
  <c r="HA12" i="1974"/>
  <c r="HA11" i="1974"/>
  <c r="HA10" i="1974"/>
  <c r="HA9" i="1974"/>
  <c r="HA5" i="1974"/>
  <c r="HN38" i="1974"/>
  <c r="HN35" i="1974"/>
  <c r="HN34" i="1974"/>
  <c r="HN33" i="1974"/>
  <c r="HN32" i="1974"/>
  <c r="HN31" i="1974"/>
  <c r="HN29" i="1974"/>
  <c r="HN27" i="1974"/>
  <c r="HN26" i="1974"/>
  <c r="HN25" i="1974"/>
  <c r="HN24" i="1974"/>
  <c r="HN23" i="1974"/>
  <c r="HN22" i="1974"/>
  <c r="HN21" i="1974"/>
  <c r="HN20" i="1974"/>
  <c r="HN19" i="1974"/>
  <c r="HN18" i="1974"/>
  <c r="HN16" i="1974"/>
  <c r="HN15" i="1974"/>
  <c r="HN14" i="1974"/>
  <c r="HN13" i="1974"/>
  <c r="HN11" i="1974"/>
  <c r="HN10" i="1974"/>
  <c r="HN9" i="1974"/>
  <c r="HN5" i="1974"/>
  <c r="IA38" i="1974"/>
  <c r="IA37" i="1974"/>
  <c r="IA36" i="1974"/>
  <c r="IA35" i="1974"/>
  <c r="IA34" i="1974"/>
  <c r="IA33" i="1974"/>
  <c r="IA32" i="1974"/>
  <c r="IA29" i="1974"/>
  <c r="IA27" i="1974"/>
  <c r="IA26" i="1974"/>
  <c r="IA25" i="1974"/>
  <c r="IA24" i="1974"/>
  <c r="IA23" i="1974"/>
  <c r="IA22" i="1974"/>
  <c r="IA21" i="1974"/>
  <c r="IA20" i="1974"/>
  <c r="IA19" i="1974"/>
  <c r="IA18" i="1974"/>
  <c r="IA16" i="1974"/>
  <c r="IA15" i="1974"/>
  <c r="IA14" i="1974"/>
  <c r="IA13" i="1974"/>
  <c r="IA12" i="1974"/>
  <c r="IA11" i="1974"/>
  <c r="IA10" i="1974"/>
  <c r="IA9" i="1974"/>
  <c r="IA5" i="1974"/>
  <c r="IN38" i="1974"/>
  <c r="IN37" i="1974"/>
  <c r="IN36" i="1974"/>
  <c r="IN35" i="1974"/>
  <c r="IN34" i="1974"/>
  <c r="IN33" i="1974"/>
  <c r="IN32" i="1974"/>
  <c r="IN31" i="1974"/>
  <c r="IN30" i="1974"/>
  <c r="IN29" i="1974"/>
  <c r="IN28" i="1974"/>
  <c r="IN27" i="1974"/>
  <c r="IN26" i="1974"/>
  <c r="IN25" i="1974"/>
  <c r="IN24" i="1974"/>
  <c r="IN23" i="1974"/>
  <c r="IN22" i="1974"/>
  <c r="IN21" i="1974"/>
  <c r="IN20" i="1974"/>
  <c r="IN19" i="1974"/>
  <c r="IN17" i="1974"/>
  <c r="IN16" i="1974"/>
  <c r="IN15" i="1974"/>
  <c r="IN14" i="1974"/>
  <c r="IN13" i="1974"/>
  <c r="IN12" i="1974"/>
  <c r="IN11" i="1974"/>
  <c r="IN10" i="1974"/>
  <c r="IN9" i="1974"/>
  <c r="IN5" i="1974"/>
  <c r="JA38" i="1974"/>
  <c r="JA37" i="1974"/>
  <c r="JA36" i="1974"/>
  <c r="JA35" i="1974"/>
  <c r="JA34" i="1974"/>
  <c r="JA33" i="1974"/>
  <c r="JA31" i="1974"/>
  <c r="JA29" i="1974"/>
  <c r="JA28" i="1974"/>
  <c r="JA27" i="1974"/>
  <c r="JA26" i="1974"/>
  <c r="JA25" i="1974"/>
  <c r="JA24" i="1974"/>
  <c r="JA23" i="1974"/>
  <c r="JA22" i="1974"/>
  <c r="JA21" i="1974"/>
  <c r="JA20" i="1974"/>
  <c r="JA19" i="1974"/>
  <c r="JA18" i="1974"/>
  <c r="JA17" i="1974"/>
  <c r="JA16" i="1974"/>
  <c r="JA15" i="1974"/>
  <c r="JA14" i="1974"/>
  <c r="JA13" i="1974"/>
  <c r="JA12" i="1974"/>
  <c r="JA11" i="1974"/>
  <c r="JA10" i="1974"/>
  <c r="JA9" i="1974"/>
  <c r="JA5" i="1974"/>
  <c r="JN38" i="1974"/>
  <c r="JN37" i="1974"/>
  <c r="JN36" i="1974"/>
  <c r="JN35" i="1974"/>
  <c r="JN34" i="1974"/>
  <c r="JN33" i="1974"/>
  <c r="JN32" i="1974"/>
  <c r="JN31" i="1974"/>
  <c r="JN30" i="1974"/>
  <c r="JN29" i="1974"/>
  <c r="JN28" i="1974"/>
  <c r="JN27" i="1974"/>
  <c r="JN26" i="1974"/>
  <c r="JN25" i="1974"/>
  <c r="JN24" i="1974"/>
  <c r="JN23" i="1974"/>
  <c r="JN22" i="1974"/>
  <c r="JN21" i="1974"/>
  <c r="JN20" i="1974"/>
  <c r="JN19" i="1974"/>
  <c r="JN18" i="1974"/>
  <c r="JN17" i="1974"/>
  <c r="JN16" i="1974"/>
  <c r="JN15" i="1974"/>
  <c r="JN14" i="1974"/>
  <c r="JN13" i="1974"/>
  <c r="JN12" i="1974"/>
  <c r="JN11" i="1974"/>
  <c r="JN10" i="1974"/>
  <c r="JN9" i="1974"/>
  <c r="JN5" i="1974"/>
  <c r="KA38" i="1974"/>
  <c r="KA37" i="1974"/>
  <c r="KA36" i="1974"/>
  <c r="KA35" i="1974"/>
  <c r="KA34" i="1974"/>
  <c r="KA33" i="1974"/>
  <c r="KA32" i="1974"/>
  <c r="KA31" i="1974"/>
  <c r="KA29" i="1974"/>
  <c r="KA28" i="1974"/>
  <c r="KA27" i="1974"/>
  <c r="KA26" i="1974"/>
  <c r="KA25" i="1974"/>
  <c r="KA24" i="1974"/>
  <c r="KA23" i="1974"/>
  <c r="KA22" i="1974"/>
  <c r="KA21" i="1974"/>
  <c r="KA20" i="1974"/>
  <c r="KA19" i="1974"/>
  <c r="KA18" i="1974"/>
  <c r="KA17" i="1974"/>
  <c r="KA16" i="1974"/>
  <c r="KA15" i="1974"/>
  <c r="KA14" i="1974"/>
  <c r="KA13" i="1974"/>
  <c r="KA12" i="1974"/>
  <c r="KA11" i="1974"/>
  <c r="KA10" i="1974"/>
  <c r="KA9" i="1974"/>
  <c r="KA5" i="1974"/>
  <c r="KN37" i="1974"/>
  <c r="KN36" i="1974"/>
  <c r="KN35" i="1974"/>
  <c r="KN34" i="1974"/>
  <c r="KN33" i="1974"/>
  <c r="KN32" i="1974"/>
  <c r="KN31" i="1974"/>
  <c r="KN29" i="1974"/>
  <c r="KN28" i="1974"/>
  <c r="KN26" i="1974"/>
  <c r="KN25" i="1974"/>
  <c r="KN24" i="1974"/>
  <c r="KN22" i="1974"/>
  <c r="KN21" i="1974"/>
  <c r="KN20" i="1974"/>
  <c r="KN19" i="1974"/>
  <c r="KN18" i="1974"/>
  <c r="KN16" i="1974"/>
  <c r="KN15" i="1974"/>
  <c r="KN14" i="1974"/>
  <c r="KN13" i="1974"/>
  <c r="KN12" i="1974"/>
  <c r="KN11" i="1974"/>
  <c r="KN10" i="1974"/>
  <c r="KN9" i="1974"/>
  <c r="KN5" i="1974"/>
  <c r="LA38" i="1974"/>
  <c r="LA37" i="1974"/>
  <c r="LA36" i="1974"/>
  <c r="LA35" i="1974"/>
  <c r="LA34" i="1974"/>
  <c r="LA33" i="1974"/>
  <c r="LA32" i="1974"/>
  <c r="LA31" i="1974"/>
  <c r="LA30" i="1974"/>
  <c r="LA29" i="1974"/>
  <c r="LA28" i="1974"/>
  <c r="LA27" i="1974"/>
  <c r="LA26" i="1974"/>
  <c r="LA25" i="1974"/>
  <c r="LA24" i="1974"/>
  <c r="LA23" i="1974"/>
  <c r="LA22" i="1974"/>
  <c r="LA21" i="1974"/>
  <c r="LA20" i="1974"/>
  <c r="LA19" i="1974"/>
  <c r="LA18" i="1974"/>
  <c r="LA17" i="1974"/>
  <c r="LA16" i="1974"/>
  <c r="LA15" i="1974"/>
  <c r="LA14" i="1974"/>
  <c r="LA13" i="1974"/>
  <c r="LA12" i="1974"/>
  <c r="LA11" i="1974"/>
  <c r="LA10" i="1974"/>
  <c r="LA9" i="1974"/>
  <c r="LA5" i="1974"/>
  <c r="LN39" i="1974"/>
  <c r="LN38" i="1974"/>
  <c r="LN37" i="1974"/>
  <c r="LN36" i="1974"/>
  <c r="LN35" i="1974"/>
  <c r="LN34" i="1974"/>
  <c r="LN33" i="1974"/>
  <c r="LN32" i="1974"/>
  <c r="LN31" i="1974"/>
  <c r="LN30" i="1974"/>
  <c r="LN29" i="1974"/>
  <c r="LN28" i="1974"/>
  <c r="LN27" i="1974"/>
  <c r="LN26" i="1974"/>
  <c r="LN25" i="1974"/>
  <c r="LN24" i="1974"/>
  <c r="LN23" i="1974"/>
  <c r="LN22" i="1974"/>
  <c r="LN21" i="1974"/>
  <c r="LN20" i="1974"/>
  <c r="LN19" i="1974"/>
  <c r="LN18" i="1974"/>
  <c r="LN17" i="1974"/>
  <c r="LN16" i="1974"/>
  <c r="LN15" i="1974"/>
  <c r="LN14" i="1974"/>
  <c r="LN13" i="1974"/>
  <c r="LN12" i="1974"/>
  <c r="LN11" i="1974"/>
  <c r="LN10" i="1974"/>
  <c r="LN9" i="1974"/>
  <c r="LX10" i="1974" l="1"/>
  <c r="LX11" i="1974"/>
  <c r="LX12" i="1974"/>
  <c r="LX13" i="1974"/>
  <c r="LX14" i="1974"/>
  <c r="LX15" i="1974"/>
  <c r="LX16" i="1974"/>
  <c r="LX17" i="1974"/>
  <c r="LX18" i="1974"/>
  <c r="LX19" i="1974"/>
  <c r="LX20" i="1974"/>
  <c r="LX21" i="1974"/>
  <c r="LX22" i="1974"/>
  <c r="LX23" i="1974"/>
  <c r="LX24" i="1974"/>
  <c r="LX25" i="1974"/>
  <c r="LX26" i="1974"/>
  <c r="LX27" i="1974"/>
  <c r="LX28" i="1974"/>
  <c r="LX29" i="1974"/>
  <c r="LX30" i="1974"/>
  <c r="LX31" i="1974"/>
  <c r="LX32" i="1974"/>
  <c r="LX33" i="1974"/>
  <c r="LX34" i="1974"/>
  <c r="LX35" i="1974"/>
  <c r="LX36" i="1974"/>
  <c r="LX37" i="1974"/>
  <c r="LX38" i="1974"/>
  <c r="LV19" i="1974"/>
  <c r="LV24" i="1974"/>
  <c r="LX9" i="1974"/>
  <c r="LN5" i="1974"/>
  <c r="KY39" i="1974"/>
  <c r="KY7" i="1974" s="1"/>
  <c r="KX39" i="1974"/>
  <c r="KX7" i="1974" s="1"/>
  <c r="KW39" i="1974"/>
  <c r="KW7" i="1974" s="1"/>
  <c r="KV39" i="1974"/>
  <c r="KV7" i="1974" s="1"/>
  <c r="KU39" i="1974"/>
  <c r="KZ7" i="1974"/>
  <c r="KT7" i="1974"/>
  <c r="KS7" i="1974"/>
  <c r="KR7" i="1974"/>
  <c r="KQ7" i="1974"/>
  <c r="KP7" i="1974"/>
  <c r="KO7" i="1974"/>
  <c r="LX10" i="1973"/>
  <c r="LX11" i="1973"/>
  <c r="LX12" i="1973"/>
  <c r="LX13" i="1973"/>
  <c r="LX14" i="1973"/>
  <c r="LX15" i="1973"/>
  <c r="LX16" i="1973"/>
  <c r="LX17" i="1973"/>
  <c r="LX18" i="1973"/>
  <c r="LX19" i="1973"/>
  <c r="LX20" i="1973"/>
  <c r="LX21" i="1973"/>
  <c r="LX22" i="1973"/>
  <c r="LX23" i="1973"/>
  <c r="LX24" i="1973"/>
  <c r="LX25" i="1973"/>
  <c r="LX26" i="1973"/>
  <c r="LX27" i="1973"/>
  <c r="LX28" i="1973"/>
  <c r="LX29" i="1973"/>
  <c r="LX30" i="1973"/>
  <c r="LX31" i="1973"/>
  <c r="LX32" i="1973"/>
  <c r="LX33" i="1973"/>
  <c r="LX34" i="1973"/>
  <c r="LX35" i="1973"/>
  <c r="LX36" i="1973"/>
  <c r="LX38" i="1973"/>
  <c r="LX37" i="1973"/>
  <c r="LX9" i="1973"/>
  <c r="N37" i="1973"/>
  <c r="N38" i="1973"/>
  <c r="N36" i="1973"/>
  <c r="N35" i="1973"/>
  <c r="N34" i="1973"/>
  <c r="N33" i="1973"/>
  <c r="N32" i="1973"/>
  <c r="N31" i="1973"/>
  <c r="N30" i="1973"/>
  <c r="N29" i="1973"/>
  <c r="N28" i="1973"/>
  <c r="N27" i="1973"/>
  <c r="N26" i="1973"/>
  <c r="N25" i="1973"/>
  <c r="N24" i="1973"/>
  <c r="N23" i="1973"/>
  <c r="N22" i="1973"/>
  <c r="N21" i="1973"/>
  <c r="N20" i="1973"/>
  <c r="N19" i="1973"/>
  <c r="N18" i="1973"/>
  <c r="N17" i="1973"/>
  <c r="N16" i="1973"/>
  <c r="N15" i="1973"/>
  <c r="N14" i="1973"/>
  <c r="N13" i="1973"/>
  <c r="N12" i="1973"/>
  <c r="N11" i="1973"/>
  <c r="N10" i="1973"/>
  <c r="N9" i="1973"/>
  <c r="N5" i="1973"/>
  <c r="AA37" i="1973"/>
  <c r="AA38" i="1973"/>
  <c r="AA36" i="1973"/>
  <c r="AA35" i="1973"/>
  <c r="AA34" i="1973"/>
  <c r="AA33" i="1973"/>
  <c r="AA32" i="1973"/>
  <c r="AA31" i="1973"/>
  <c r="AA30" i="1973"/>
  <c r="AA29" i="1973"/>
  <c r="AA28" i="1973"/>
  <c r="AA27" i="1973"/>
  <c r="AA26" i="1973"/>
  <c r="AA25" i="1973"/>
  <c r="AA24" i="1973"/>
  <c r="AA23" i="1973"/>
  <c r="AA22" i="1973"/>
  <c r="AA21" i="1973"/>
  <c r="AA20" i="1973"/>
  <c r="AA19" i="1973"/>
  <c r="AA18" i="1973"/>
  <c r="AA17" i="1973"/>
  <c r="AA16" i="1973"/>
  <c r="AA15" i="1973"/>
  <c r="AA14" i="1973"/>
  <c r="AA13" i="1973"/>
  <c r="AA12" i="1973"/>
  <c r="AA11" i="1973"/>
  <c r="AA10" i="1973"/>
  <c r="AA9" i="1973"/>
  <c r="AA5" i="1973"/>
  <c r="AN39" i="1973"/>
  <c r="AN37" i="1973"/>
  <c r="AN38" i="1973"/>
  <c r="AN36" i="1973"/>
  <c r="AN35" i="1973"/>
  <c r="AN34" i="1973"/>
  <c r="AN33" i="1973"/>
  <c r="AN32" i="1973"/>
  <c r="AN31" i="1973"/>
  <c r="AN30" i="1973"/>
  <c r="AN29" i="1973"/>
  <c r="AN28" i="1973"/>
  <c r="AN27" i="1973"/>
  <c r="AN26" i="1973"/>
  <c r="AN25" i="1973"/>
  <c r="AN24" i="1973"/>
  <c r="AN23" i="1973"/>
  <c r="AN22" i="1973"/>
  <c r="AN21" i="1973"/>
  <c r="AN20" i="1973"/>
  <c r="AN19" i="1973"/>
  <c r="AN18" i="1973"/>
  <c r="AN17" i="1973"/>
  <c r="AN16" i="1973"/>
  <c r="AN15" i="1973"/>
  <c r="AN14" i="1973"/>
  <c r="AN13" i="1973"/>
  <c r="AN12" i="1973"/>
  <c r="AN11" i="1973"/>
  <c r="AN10" i="1973"/>
  <c r="AN9" i="1973"/>
  <c r="AN5" i="1973"/>
  <c r="BA37" i="1973"/>
  <c r="BA38" i="1973"/>
  <c r="BA36" i="1973"/>
  <c r="BA35" i="1973"/>
  <c r="BA34" i="1973"/>
  <c r="BA33" i="1973"/>
  <c r="BA32" i="1973"/>
  <c r="BA31" i="1973"/>
  <c r="BA30" i="1973"/>
  <c r="BA29" i="1973"/>
  <c r="BA28" i="1973"/>
  <c r="BA27" i="1973"/>
  <c r="BA26" i="1973"/>
  <c r="BA25" i="1973"/>
  <c r="BA24" i="1973"/>
  <c r="BA23" i="1973"/>
  <c r="BA22" i="1973"/>
  <c r="BA21" i="1973"/>
  <c r="BA20" i="1973"/>
  <c r="BA19" i="1973"/>
  <c r="BA18" i="1973"/>
  <c r="BA17" i="1973"/>
  <c r="BA16" i="1973"/>
  <c r="BA15" i="1973"/>
  <c r="BA14" i="1973"/>
  <c r="BA13" i="1973"/>
  <c r="BA12" i="1973"/>
  <c r="BA11" i="1973"/>
  <c r="BA10" i="1973"/>
  <c r="BA9" i="1973"/>
  <c r="BA5" i="1973"/>
  <c r="BN37" i="1973"/>
  <c r="BN38" i="1973"/>
  <c r="BN36" i="1973"/>
  <c r="BN35" i="1973"/>
  <c r="BN34" i="1973"/>
  <c r="BN33" i="1973"/>
  <c r="BN32" i="1973"/>
  <c r="BN31" i="1973"/>
  <c r="BN30" i="1973"/>
  <c r="BN29" i="1973"/>
  <c r="BN28" i="1973"/>
  <c r="BN27" i="1973"/>
  <c r="BN26" i="1973"/>
  <c r="BN25" i="1973"/>
  <c r="BN24" i="1973"/>
  <c r="BN23" i="1973"/>
  <c r="BN22" i="1973"/>
  <c r="BN21" i="1973"/>
  <c r="BN20" i="1973"/>
  <c r="BN19" i="1973"/>
  <c r="BN18" i="1973"/>
  <c r="BN17" i="1973"/>
  <c r="BN16" i="1973"/>
  <c r="BN15" i="1973"/>
  <c r="BN14" i="1973"/>
  <c r="BN13" i="1973"/>
  <c r="BN12" i="1973"/>
  <c r="BN11" i="1973"/>
  <c r="BN10" i="1973"/>
  <c r="BN9" i="1973"/>
  <c r="BN5" i="1973"/>
  <c r="CA37" i="1973"/>
  <c r="CA38" i="1973"/>
  <c r="CA36" i="1973"/>
  <c r="CA35" i="1973"/>
  <c r="CA34" i="1973"/>
  <c r="CA33" i="1973"/>
  <c r="CA32" i="1973"/>
  <c r="CA31" i="1973"/>
  <c r="CA30" i="1973"/>
  <c r="CA29" i="1973"/>
  <c r="CA28" i="1973"/>
  <c r="CA27" i="1973"/>
  <c r="CA26" i="1973"/>
  <c r="CA25" i="1973"/>
  <c r="CA24" i="1973"/>
  <c r="CA23" i="1973"/>
  <c r="CA22" i="1973"/>
  <c r="CA21" i="1973"/>
  <c r="CA20" i="1973"/>
  <c r="CA19" i="1973"/>
  <c r="CA18" i="1973"/>
  <c r="CA17" i="1973"/>
  <c r="CA16" i="1973"/>
  <c r="CA15" i="1973"/>
  <c r="CA14" i="1973"/>
  <c r="CA13" i="1973"/>
  <c r="CA12" i="1973"/>
  <c r="CA11" i="1973"/>
  <c r="CA10" i="1973"/>
  <c r="CA9" i="1973"/>
  <c r="CA5" i="1973"/>
  <c r="CN39" i="1973"/>
  <c r="CN37" i="1973"/>
  <c r="CN38" i="1973"/>
  <c r="CN36" i="1973"/>
  <c r="CN35" i="1973"/>
  <c r="CN34" i="1973"/>
  <c r="CN33" i="1973"/>
  <c r="CN32" i="1973"/>
  <c r="CN31" i="1973"/>
  <c r="CN30" i="1973"/>
  <c r="CN29" i="1973"/>
  <c r="CN28" i="1973"/>
  <c r="CN27" i="1973"/>
  <c r="CN26" i="1973"/>
  <c r="CN25" i="1973"/>
  <c r="CN24" i="1973"/>
  <c r="CN23" i="1973"/>
  <c r="CN22" i="1973"/>
  <c r="CN21" i="1973"/>
  <c r="CN20" i="1973"/>
  <c r="CN19" i="1973"/>
  <c r="CN18" i="1973"/>
  <c r="CN17" i="1973"/>
  <c r="CN16" i="1973"/>
  <c r="CN15" i="1973"/>
  <c r="CN14" i="1973"/>
  <c r="CN13" i="1973"/>
  <c r="CN12" i="1973"/>
  <c r="CN11" i="1973"/>
  <c r="CN10" i="1973"/>
  <c r="CN9" i="1973"/>
  <c r="CN5" i="1973"/>
  <c r="DA39" i="1973"/>
  <c r="DA37" i="1973"/>
  <c r="DA38" i="1973"/>
  <c r="DA36" i="1973"/>
  <c r="DA35" i="1973"/>
  <c r="DA34" i="1973"/>
  <c r="DA33" i="1973"/>
  <c r="DA32" i="1973"/>
  <c r="DA31" i="1973"/>
  <c r="DA30" i="1973"/>
  <c r="DA29" i="1973"/>
  <c r="DA28" i="1973"/>
  <c r="DA27" i="1973"/>
  <c r="DA26" i="1973"/>
  <c r="DA25" i="1973"/>
  <c r="DA24" i="1973"/>
  <c r="DA23" i="1973"/>
  <c r="DA22" i="1973"/>
  <c r="DA21" i="1973"/>
  <c r="DA20" i="1973"/>
  <c r="DA19" i="1973"/>
  <c r="DA18" i="1973"/>
  <c r="DA17" i="1973"/>
  <c r="DA16" i="1973"/>
  <c r="DA15" i="1973"/>
  <c r="DA14" i="1973"/>
  <c r="DA13" i="1973"/>
  <c r="DA12" i="1973"/>
  <c r="DA11" i="1973"/>
  <c r="DA10" i="1973"/>
  <c r="DA9" i="1973"/>
  <c r="DA5" i="1973"/>
  <c r="DN39" i="1973"/>
  <c r="DN37" i="1973"/>
  <c r="DN38" i="1973"/>
  <c r="DN36" i="1973"/>
  <c r="DN35" i="1973"/>
  <c r="DN34" i="1973"/>
  <c r="DN33" i="1973"/>
  <c r="DN32" i="1973"/>
  <c r="DN31" i="1973"/>
  <c r="DN30" i="1973"/>
  <c r="DN29" i="1973"/>
  <c r="DN28" i="1973"/>
  <c r="DN27" i="1973"/>
  <c r="DN26" i="1973"/>
  <c r="DN25" i="1973"/>
  <c r="DN24" i="1973"/>
  <c r="DN23" i="1973"/>
  <c r="DN22" i="1973"/>
  <c r="DN21" i="1973"/>
  <c r="DN20" i="1973"/>
  <c r="DN19" i="1973"/>
  <c r="DN18" i="1973"/>
  <c r="DN17" i="1973"/>
  <c r="DN16" i="1973"/>
  <c r="DN15" i="1973"/>
  <c r="DN14" i="1973"/>
  <c r="DN13" i="1973"/>
  <c r="DN12" i="1973"/>
  <c r="DN11" i="1973"/>
  <c r="DN10" i="1973"/>
  <c r="DN9" i="1973"/>
  <c r="DN5" i="1973"/>
  <c r="EA39" i="1973"/>
  <c r="EA37" i="1973"/>
  <c r="EA38" i="1973"/>
  <c r="EA36" i="1973"/>
  <c r="EA35" i="1973"/>
  <c r="EA34" i="1973"/>
  <c r="EA33" i="1973"/>
  <c r="EA32" i="1973"/>
  <c r="EA31" i="1973"/>
  <c r="EA30" i="1973"/>
  <c r="EA29" i="1973"/>
  <c r="EA28" i="1973"/>
  <c r="EA27" i="1973"/>
  <c r="EA26" i="1973"/>
  <c r="EA25" i="1973"/>
  <c r="EA24" i="1973"/>
  <c r="EA23" i="1973"/>
  <c r="EA22" i="1973"/>
  <c r="EA21" i="1973"/>
  <c r="EA20" i="1973"/>
  <c r="EA19" i="1973"/>
  <c r="EA18" i="1973"/>
  <c r="EA17" i="1973"/>
  <c r="EA16" i="1973"/>
  <c r="EA15" i="1973"/>
  <c r="EA14" i="1973"/>
  <c r="EA13" i="1973"/>
  <c r="EA12" i="1973"/>
  <c r="EA11" i="1973"/>
  <c r="EA10" i="1973"/>
  <c r="EA9" i="1973"/>
  <c r="EA5" i="1973"/>
  <c r="EN39" i="1973"/>
  <c r="EN37" i="1973"/>
  <c r="EN38" i="1973"/>
  <c r="EN36" i="1973"/>
  <c r="EN35" i="1973"/>
  <c r="EN34" i="1973"/>
  <c r="EN33" i="1973"/>
  <c r="EN32" i="1973"/>
  <c r="EN31" i="1973"/>
  <c r="EN30" i="1973"/>
  <c r="EN29" i="1973"/>
  <c r="EN28" i="1973"/>
  <c r="EN27" i="1973"/>
  <c r="EN26" i="1973"/>
  <c r="EN25" i="1973"/>
  <c r="EN24" i="1973"/>
  <c r="EN23" i="1973"/>
  <c r="EN22" i="1973"/>
  <c r="EN21" i="1973"/>
  <c r="EN20" i="1973"/>
  <c r="EN19" i="1973"/>
  <c r="EN18" i="1973"/>
  <c r="EN17" i="1973"/>
  <c r="EN16" i="1973"/>
  <c r="EN15" i="1973"/>
  <c r="EN14" i="1973"/>
  <c r="EN13" i="1973"/>
  <c r="EN12" i="1973"/>
  <c r="EN11" i="1973"/>
  <c r="EN10" i="1973"/>
  <c r="EN9" i="1973"/>
  <c r="EN5" i="1973"/>
  <c r="FA39" i="1973"/>
  <c r="FA37" i="1973"/>
  <c r="FA38" i="1973"/>
  <c r="FA36" i="1973"/>
  <c r="FA35" i="1973"/>
  <c r="FA34" i="1973"/>
  <c r="FA33" i="1973"/>
  <c r="FA32" i="1973"/>
  <c r="FA31" i="1973"/>
  <c r="FA30" i="1973"/>
  <c r="FA29" i="1973"/>
  <c r="FA28" i="1973"/>
  <c r="FA27" i="1973"/>
  <c r="FA26" i="1973"/>
  <c r="FA25" i="1973"/>
  <c r="FA24" i="1973"/>
  <c r="FA23" i="1973"/>
  <c r="FA22" i="1973"/>
  <c r="FA21" i="1973"/>
  <c r="FA20" i="1973"/>
  <c r="FA19" i="1973"/>
  <c r="FA18" i="1973"/>
  <c r="FA17" i="1973"/>
  <c r="FA16" i="1973"/>
  <c r="FA15" i="1973"/>
  <c r="FA14" i="1973"/>
  <c r="FA13" i="1973"/>
  <c r="FA12" i="1973"/>
  <c r="FA11" i="1973"/>
  <c r="FA10" i="1973"/>
  <c r="FA9" i="1973"/>
  <c r="FA5" i="1973"/>
  <c r="FN37" i="1973"/>
  <c r="FN38" i="1973"/>
  <c r="FN36" i="1973"/>
  <c r="FN35" i="1973"/>
  <c r="FN34" i="1973"/>
  <c r="FN33" i="1973"/>
  <c r="FN32" i="1973"/>
  <c r="FN31" i="1973"/>
  <c r="FN30" i="1973"/>
  <c r="FN29" i="1973"/>
  <c r="FN28" i="1973"/>
  <c r="FN27" i="1973"/>
  <c r="FN26" i="1973"/>
  <c r="FN25" i="1973"/>
  <c r="FN24" i="1973"/>
  <c r="FN23" i="1973"/>
  <c r="FN22" i="1973"/>
  <c r="FN21" i="1973"/>
  <c r="FN20" i="1973"/>
  <c r="FN19" i="1973"/>
  <c r="FN18" i="1973"/>
  <c r="FN17" i="1973"/>
  <c r="FN16" i="1973"/>
  <c r="FN15" i="1973"/>
  <c r="FN14" i="1973"/>
  <c r="FN13" i="1973"/>
  <c r="FN12" i="1973"/>
  <c r="FN11" i="1973"/>
  <c r="FN10" i="1973"/>
  <c r="FN9" i="1973"/>
  <c r="FN5" i="1973"/>
  <c r="GA37" i="1973"/>
  <c r="GA38" i="1973"/>
  <c r="GA36" i="1973"/>
  <c r="GA35" i="1973"/>
  <c r="GA34" i="1973"/>
  <c r="GA33" i="1973"/>
  <c r="GA32" i="1973"/>
  <c r="GA31" i="1973"/>
  <c r="GA30" i="1973"/>
  <c r="GA29" i="1973"/>
  <c r="GA28" i="1973"/>
  <c r="GA27" i="1973"/>
  <c r="GA26" i="1973"/>
  <c r="GA25" i="1973"/>
  <c r="GA24" i="1973"/>
  <c r="GA23" i="1973"/>
  <c r="GA22" i="1973"/>
  <c r="GA21" i="1973"/>
  <c r="GA20" i="1973"/>
  <c r="GA19" i="1973"/>
  <c r="GA18" i="1973"/>
  <c r="GA17" i="1973"/>
  <c r="GA16" i="1973"/>
  <c r="GA15" i="1973"/>
  <c r="GA14" i="1973"/>
  <c r="GA13" i="1973"/>
  <c r="GA12" i="1973"/>
  <c r="GA11" i="1973"/>
  <c r="GA10" i="1973"/>
  <c r="GA9" i="1973"/>
  <c r="GA5" i="1973"/>
  <c r="GN37" i="1973"/>
  <c r="GN38" i="1973"/>
  <c r="GN36" i="1973"/>
  <c r="GN35" i="1973"/>
  <c r="GN34" i="1973"/>
  <c r="GN33" i="1973"/>
  <c r="GN32" i="1973"/>
  <c r="GN31" i="1973"/>
  <c r="GN30" i="1973"/>
  <c r="GN29" i="1973"/>
  <c r="GN28" i="1973"/>
  <c r="GN27" i="1973"/>
  <c r="GN26" i="1973"/>
  <c r="GN25" i="1973"/>
  <c r="GN24" i="1973"/>
  <c r="GN23" i="1973"/>
  <c r="GN22" i="1973"/>
  <c r="GN21" i="1973"/>
  <c r="GN20" i="1973"/>
  <c r="GN19" i="1973"/>
  <c r="GN18" i="1973"/>
  <c r="GN17" i="1973"/>
  <c r="GN16" i="1973"/>
  <c r="GN15" i="1973"/>
  <c r="GN14" i="1973"/>
  <c r="GN13" i="1973"/>
  <c r="GN12" i="1973"/>
  <c r="GN11" i="1973"/>
  <c r="GN10" i="1973"/>
  <c r="GN9" i="1973"/>
  <c r="GN5" i="1973"/>
  <c r="HA38" i="1973"/>
  <c r="HA36" i="1973"/>
  <c r="HA35" i="1973"/>
  <c r="HA34" i="1973"/>
  <c r="HA33" i="1973"/>
  <c r="HA32" i="1973"/>
  <c r="HA31" i="1973"/>
  <c r="HA29" i="1973"/>
  <c r="HA28" i="1973"/>
  <c r="HA27" i="1973"/>
  <c r="HA26" i="1973"/>
  <c r="HA25" i="1973"/>
  <c r="HA24" i="1973"/>
  <c r="HA23" i="1973"/>
  <c r="HA22" i="1973"/>
  <c r="HA21" i="1973"/>
  <c r="HA20" i="1973"/>
  <c r="HA19" i="1973"/>
  <c r="HA18" i="1973"/>
  <c r="HA17" i="1973"/>
  <c r="HA16" i="1973"/>
  <c r="HA15" i="1973"/>
  <c r="HA14" i="1973"/>
  <c r="HA13" i="1973"/>
  <c r="HA12" i="1973"/>
  <c r="HA11" i="1973"/>
  <c r="HA10" i="1973"/>
  <c r="HA9" i="1973"/>
  <c r="HA5" i="1973"/>
  <c r="HN38" i="1973"/>
  <c r="HN35" i="1973"/>
  <c r="HN34" i="1973"/>
  <c r="HN33" i="1973"/>
  <c r="HN32" i="1973"/>
  <c r="HN29" i="1973"/>
  <c r="HN28" i="1973"/>
  <c r="HN27" i="1973"/>
  <c r="HN26" i="1973"/>
  <c r="HN25" i="1973"/>
  <c r="HN24" i="1973"/>
  <c r="HN23" i="1973"/>
  <c r="HN22" i="1973"/>
  <c r="HN21" i="1973"/>
  <c r="HN19" i="1973"/>
  <c r="HN18" i="1973"/>
  <c r="HN16" i="1973"/>
  <c r="HN15" i="1973"/>
  <c r="HN14" i="1973"/>
  <c r="HN13" i="1973"/>
  <c r="HN12" i="1973"/>
  <c r="HN11" i="1973"/>
  <c r="HN10" i="1973"/>
  <c r="HN9" i="1973"/>
  <c r="HN5" i="1973"/>
  <c r="IA37" i="1973"/>
  <c r="IA38" i="1973"/>
  <c r="IA36" i="1973"/>
  <c r="IA35" i="1973"/>
  <c r="IA34" i="1973"/>
  <c r="IA33" i="1973"/>
  <c r="IA32" i="1973"/>
  <c r="IA31" i="1973"/>
  <c r="IA30" i="1973"/>
  <c r="IA29" i="1973"/>
  <c r="IA28" i="1973"/>
  <c r="IA27" i="1973"/>
  <c r="IA26" i="1973"/>
  <c r="IA25" i="1973"/>
  <c r="IA24" i="1973"/>
  <c r="IA23" i="1973"/>
  <c r="IA22" i="1973"/>
  <c r="IA21" i="1973"/>
  <c r="IA20" i="1973"/>
  <c r="IA19" i="1973"/>
  <c r="IA18" i="1973"/>
  <c r="IA17" i="1973"/>
  <c r="IA16" i="1973"/>
  <c r="IA15" i="1973"/>
  <c r="IA14" i="1973"/>
  <c r="IA13" i="1973"/>
  <c r="IA12" i="1973"/>
  <c r="IA11" i="1973"/>
  <c r="IA10" i="1973"/>
  <c r="IA9" i="1973"/>
  <c r="IA5" i="1973"/>
  <c r="IN39" i="1973"/>
  <c r="IN37" i="1973"/>
  <c r="IN38" i="1973"/>
  <c r="IN36" i="1973"/>
  <c r="IN35" i="1973"/>
  <c r="IN34" i="1973"/>
  <c r="IN33" i="1973"/>
  <c r="IN32" i="1973"/>
  <c r="IN31" i="1973"/>
  <c r="IN30" i="1973"/>
  <c r="IN29" i="1973"/>
  <c r="IN28" i="1973"/>
  <c r="IN27" i="1973"/>
  <c r="IN26" i="1973"/>
  <c r="IN25" i="1973"/>
  <c r="IN24" i="1973"/>
  <c r="IN23" i="1973"/>
  <c r="IN22" i="1973"/>
  <c r="IN21" i="1973"/>
  <c r="IN20" i="1973"/>
  <c r="IN19" i="1973"/>
  <c r="IN18" i="1973"/>
  <c r="IN17" i="1973"/>
  <c r="IN16" i="1973"/>
  <c r="IN15" i="1973"/>
  <c r="IN14" i="1973"/>
  <c r="IN13" i="1973"/>
  <c r="IN12" i="1973"/>
  <c r="IN11" i="1973"/>
  <c r="IN10" i="1973"/>
  <c r="IN9" i="1973"/>
  <c r="IN5" i="1973"/>
  <c r="JA37" i="1973"/>
  <c r="JA38" i="1973"/>
  <c r="JA36" i="1973"/>
  <c r="JA35" i="1973"/>
  <c r="JA34" i="1973"/>
  <c r="JA33" i="1973"/>
  <c r="JA32" i="1973"/>
  <c r="JA31" i="1973"/>
  <c r="JA30" i="1973"/>
  <c r="JA29" i="1973"/>
  <c r="JA28" i="1973"/>
  <c r="JA27" i="1973"/>
  <c r="JA26" i="1973"/>
  <c r="JA25" i="1973"/>
  <c r="JA24" i="1973"/>
  <c r="JA23" i="1973"/>
  <c r="JA22" i="1973"/>
  <c r="JA21" i="1973"/>
  <c r="JA20" i="1973"/>
  <c r="JA19" i="1973"/>
  <c r="JA18" i="1973"/>
  <c r="JA17" i="1973"/>
  <c r="JA16" i="1973"/>
  <c r="JA15" i="1973"/>
  <c r="JA14" i="1973"/>
  <c r="JA13" i="1973"/>
  <c r="JA12" i="1973"/>
  <c r="JA11" i="1973"/>
  <c r="JA10" i="1973"/>
  <c r="JA9" i="1973"/>
  <c r="JA5" i="1973"/>
  <c r="JN37" i="1973"/>
  <c r="JN38" i="1973"/>
  <c r="JN36" i="1973"/>
  <c r="JN35" i="1973"/>
  <c r="JN34" i="1973"/>
  <c r="JN33" i="1973"/>
  <c r="JN32" i="1973"/>
  <c r="JN31" i="1973"/>
  <c r="JN30" i="1973"/>
  <c r="JN29" i="1973"/>
  <c r="JN28" i="1973"/>
  <c r="JN27" i="1973"/>
  <c r="JN26" i="1973"/>
  <c r="JN25" i="1973"/>
  <c r="JN24" i="1973"/>
  <c r="JN23" i="1973"/>
  <c r="JN22" i="1973"/>
  <c r="JN21" i="1973"/>
  <c r="JN20" i="1973"/>
  <c r="JN19" i="1973"/>
  <c r="JN18" i="1973"/>
  <c r="JN17" i="1973"/>
  <c r="JN16" i="1973"/>
  <c r="JN15" i="1973"/>
  <c r="JN14" i="1973"/>
  <c r="JN13" i="1973"/>
  <c r="JN12" i="1973"/>
  <c r="JN11" i="1973"/>
  <c r="JN10" i="1973"/>
  <c r="JN9" i="1973"/>
  <c r="JN5" i="1973"/>
  <c r="KA37" i="1973"/>
  <c r="KA38" i="1973"/>
  <c r="KA36" i="1973"/>
  <c r="KA35" i="1973"/>
  <c r="KA34" i="1973"/>
  <c r="KA33" i="1973"/>
  <c r="KA32" i="1973"/>
  <c r="KA31" i="1973"/>
  <c r="KA30" i="1973"/>
  <c r="KA29" i="1973"/>
  <c r="KA28" i="1973"/>
  <c r="KA27" i="1973"/>
  <c r="KA25" i="1973"/>
  <c r="KA24" i="1973"/>
  <c r="KA23" i="1973"/>
  <c r="KA22" i="1973"/>
  <c r="KA21" i="1973"/>
  <c r="KA20" i="1973"/>
  <c r="KA19" i="1973"/>
  <c r="KA18" i="1973"/>
  <c r="KA17" i="1973"/>
  <c r="KA16" i="1973"/>
  <c r="KA15" i="1973"/>
  <c r="KA14" i="1973"/>
  <c r="KA13" i="1973"/>
  <c r="KA12" i="1973"/>
  <c r="KA11" i="1973"/>
  <c r="KA10" i="1973"/>
  <c r="KA9" i="1973"/>
  <c r="KA5" i="1973"/>
  <c r="KN37" i="1973"/>
  <c r="KN38" i="1973"/>
  <c r="KN36" i="1973"/>
  <c r="KN35" i="1973"/>
  <c r="KN34" i="1973"/>
  <c r="KN33" i="1973"/>
  <c r="KN32" i="1973"/>
  <c r="KN31" i="1973"/>
  <c r="KN29" i="1973"/>
  <c r="KN28" i="1973"/>
  <c r="KN27" i="1973"/>
  <c r="KN26" i="1973"/>
  <c r="KN25" i="1973"/>
  <c r="KN24" i="1973"/>
  <c r="KN23" i="1973"/>
  <c r="KN22" i="1973"/>
  <c r="KN21" i="1973"/>
  <c r="KN20" i="1973"/>
  <c r="KN19" i="1973"/>
  <c r="KN18" i="1973"/>
  <c r="KN16" i="1973"/>
  <c r="KN15" i="1973"/>
  <c r="KN14" i="1973"/>
  <c r="KN13" i="1973"/>
  <c r="KN12" i="1973"/>
  <c r="KN11" i="1973"/>
  <c r="KN10" i="1973"/>
  <c r="KN9" i="1973"/>
  <c r="KN5" i="1973"/>
  <c r="LA37" i="1973"/>
  <c r="LA38" i="1973"/>
  <c r="LA35" i="1973"/>
  <c r="LA34" i="1973"/>
  <c r="LA33" i="1973"/>
  <c r="LA32" i="1973"/>
  <c r="LA31" i="1973"/>
  <c r="LA30" i="1973"/>
  <c r="LA29" i="1973"/>
  <c r="LA28" i="1973"/>
  <c r="LA27" i="1973"/>
  <c r="LA26" i="1973"/>
  <c r="LA25" i="1973"/>
  <c r="LA24" i="1973"/>
  <c r="LA23" i="1973"/>
  <c r="LA22" i="1973"/>
  <c r="LA21" i="1973"/>
  <c r="LA20" i="1973"/>
  <c r="LA19" i="1973"/>
  <c r="LA18" i="1973"/>
  <c r="LA17" i="1973"/>
  <c r="LA16" i="1973"/>
  <c r="LA15" i="1973"/>
  <c r="LA14" i="1973"/>
  <c r="LA13" i="1973"/>
  <c r="LA12" i="1973"/>
  <c r="LA11" i="1973"/>
  <c r="LA10" i="1973"/>
  <c r="LA9" i="1973"/>
  <c r="LA5" i="1973"/>
  <c r="KZ7" i="1973"/>
  <c r="KT7" i="1973"/>
  <c r="KS7" i="1973"/>
  <c r="KR7" i="1973"/>
  <c r="KQ7" i="1973"/>
  <c r="KP7" i="1973"/>
  <c r="KO7" i="1973"/>
  <c r="KM7" i="1973"/>
  <c r="KE7" i="1973"/>
  <c r="KD7" i="1973"/>
  <c r="KC7" i="1973"/>
  <c r="KB7" i="1973"/>
  <c r="JZ7" i="1973"/>
  <c r="JX7" i="1973"/>
  <c r="JW7" i="1973"/>
  <c r="JT7" i="1973"/>
  <c r="JS7" i="1973"/>
  <c r="JR7" i="1973"/>
  <c r="JP7" i="1973"/>
  <c r="JO7" i="1973"/>
  <c r="JL7" i="1973"/>
  <c r="JF7" i="1973"/>
  <c r="JE7" i="1973"/>
  <c r="JC7" i="1973"/>
  <c r="JB7" i="1973"/>
  <c r="IU7" i="1973"/>
  <c r="IT7" i="1973"/>
  <c r="IS7" i="1973"/>
  <c r="IR7" i="1973"/>
  <c r="IQ7" i="1973"/>
  <c r="IM7" i="1973"/>
  <c r="IL7" i="1973"/>
  <c r="IK7" i="1973"/>
  <c r="IJ7" i="1973"/>
  <c r="II7" i="1973"/>
  <c r="IH7" i="1973"/>
  <c r="IG7" i="1973"/>
  <c r="IF7" i="1973"/>
  <c r="IE7" i="1973"/>
  <c r="ID7" i="1973"/>
  <c r="IC7" i="1973"/>
  <c r="IB7" i="1973"/>
  <c r="HZ7" i="1973"/>
  <c r="HR7" i="1973"/>
  <c r="HQ7" i="1973"/>
  <c r="HP7" i="1973"/>
  <c r="HO7" i="1973"/>
  <c r="HK7" i="1973"/>
  <c r="HI7" i="1973"/>
  <c r="HH7" i="1973"/>
  <c r="HF7" i="1973"/>
  <c r="HC7" i="1973"/>
  <c r="GX7" i="1973"/>
  <c r="GW7" i="1973"/>
  <c r="GT7" i="1973"/>
  <c r="GS7" i="1973"/>
  <c r="GR7" i="1973"/>
  <c r="GP7" i="1973"/>
  <c r="GF7" i="1973"/>
  <c r="GE7" i="1973"/>
  <c r="GD7" i="1973"/>
  <c r="FP7" i="1973"/>
  <c r="FO7" i="1973"/>
  <c r="FM7" i="1973"/>
  <c r="FL7" i="1973"/>
  <c r="FK7" i="1973"/>
  <c r="FI7" i="1973"/>
  <c r="FH7" i="1973"/>
  <c r="FE7" i="1973"/>
  <c r="FD7" i="1973"/>
  <c r="FC7" i="1973"/>
  <c r="FB7" i="1973"/>
  <c r="EZ7" i="1973"/>
  <c r="EY7" i="1973"/>
  <c r="EX7" i="1973"/>
  <c r="EW7" i="1973"/>
  <c r="EV7" i="1973"/>
  <c r="EU7" i="1973"/>
  <c r="ET7" i="1973"/>
  <c r="ES7" i="1973"/>
  <c r="ER7" i="1973"/>
  <c r="EQ7" i="1973"/>
  <c r="EP7" i="1973"/>
  <c r="EO7" i="1973"/>
  <c r="EM7" i="1973"/>
  <c r="EL7" i="1973"/>
  <c r="EK7" i="1973"/>
  <c r="EJ7" i="1973"/>
  <c r="EI7" i="1973"/>
  <c r="EH7" i="1973"/>
  <c r="EG7" i="1973"/>
  <c r="EF7" i="1973"/>
  <c r="EE7" i="1973"/>
  <c r="ED7" i="1973"/>
  <c r="EC7" i="1973"/>
  <c r="EB7" i="1973"/>
  <c r="DZ7" i="1973"/>
  <c r="DY7" i="1973"/>
  <c r="DX7" i="1973"/>
  <c r="DW7" i="1973"/>
  <c r="DV7" i="1973"/>
  <c r="DU7" i="1973"/>
  <c r="DT7" i="1973"/>
  <c r="DS7" i="1973"/>
  <c r="DR7" i="1973"/>
  <c r="DQ7" i="1973"/>
  <c r="DP7" i="1973"/>
  <c r="DO7" i="1973"/>
  <c r="DM7" i="1973"/>
  <c r="DL7" i="1973"/>
  <c r="DK7" i="1973"/>
  <c r="DJ7" i="1973"/>
  <c r="DI7" i="1973"/>
  <c r="DH7" i="1973"/>
  <c r="DG7" i="1973"/>
  <c r="DF7" i="1973"/>
  <c r="DE7" i="1973"/>
  <c r="DD7" i="1973"/>
  <c r="DC7" i="1973"/>
  <c r="DB7" i="1973"/>
  <c r="CZ7" i="1973"/>
  <c r="CY7" i="1973"/>
  <c r="CX7" i="1973"/>
  <c r="CW7" i="1973"/>
  <c r="CV7" i="1973"/>
  <c r="CU7" i="1973"/>
  <c r="CT7" i="1973"/>
  <c r="CS7" i="1973"/>
  <c r="CR7" i="1973"/>
  <c r="CQ7" i="1973"/>
  <c r="CP7" i="1973"/>
  <c r="CO7" i="1973"/>
  <c r="CM7" i="1973"/>
  <c r="CL7" i="1973"/>
  <c r="CK7" i="1973"/>
  <c r="CJ7" i="1973"/>
  <c r="CI7" i="1973"/>
  <c r="CH7" i="1973"/>
  <c r="CG7" i="1973"/>
  <c r="CF7" i="1973"/>
  <c r="CE7" i="1973"/>
  <c r="CD7" i="1973"/>
  <c r="CC7" i="1973"/>
  <c r="CB7" i="1973"/>
  <c r="BZ7" i="1973"/>
  <c r="BH7" i="1973"/>
  <c r="BE7" i="1973"/>
  <c r="AV7" i="1973"/>
  <c r="AU7" i="1973"/>
  <c r="AM7" i="1973"/>
  <c r="AL7" i="1973"/>
  <c r="AK7" i="1973"/>
  <c r="AJ7" i="1973"/>
  <c r="AI7" i="1973"/>
  <c r="AH7" i="1973"/>
  <c r="AG7" i="1973"/>
  <c r="AF7" i="1973"/>
  <c r="AE7" i="1973"/>
  <c r="AD7" i="1973"/>
  <c r="AC7" i="1973"/>
  <c r="AB7" i="1973"/>
  <c r="Z7" i="1973"/>
  <c r="Y7" i="1973"/>
  <c r="X7" i="1973"/>
  <c r="W7" i="1973"/>
  <c r="T7" i="1973"/>
  <c r="K7" i="1973"/>
  <c r="LN39" i="1973"/>
  <c r="LN37" i="1973"/>
  <c r="LN38" i="1973"/>
  <c r="LN36" i="1973"/>
  <c r="LN35" i="1973"/>
  <c r="LN34" i="1973"/>
  <c r="LN33" i="1973"/>
  <c r="LN32" i="1973"/>
  <c r="LN31" i="1973"/>
  <c r="LN30" i="1973"/>
  <c r="LN29" i="1973"/>
  <c r="LN28" i="1973"/>
  <c r="LN27" i="1973"/>
  <c r="LN26" i="1973"/>
  <c r="LN25" i="1973"/>
  <c r="LN24" i="1973"/>
  <c r="LN23" i="1973"/>
  <c r="LN22" i="1973"/>
  <c r="LN21" i="1973"/>
  <c r="LN20" i="1973"/>
  <c r="LN19" i="1973"/>
  <c r="LN18" i="1973"/>
  <c r="LN17" i="1973"/>
  <c r="LN16" i="1973"/>
  <c r="LN15" i="1973"/>
  <c r="LN14" i="1973"/>
  <c r="LN13" i="1973"/>
  <c r="LN12" i="1973"/>
  <c r="LN11" i="1973"/>
  <c r="LN10" i="1973"/>
  <c r="LN9" i="1973"/>
  <c r="B4" i="1973"/>
  <c r="O4" i="1973"/>
  <c r="AB4" i="1973"/>
  <c r="AO4" i="1973"/>
  <c r="BB4" i="1973"/>
  <c r="BO4" i="1973"/>
  <c r="CB4" i="1973"/>
  <c r="CO4" i="1973"/>
  <c r="DB4" i="1973"/>
  <c r="DO4" i="1973"/>
  <c r="EB4" i="1973"/>
  <c r="EO4" i="1973"/>
  <c r="FB4" i="1973"/>
  <c r="FO4" i="1973"/>
  <c r="GB4" i="1973"/>
  <c r="GO4" i="1973"/>
  <c r="HB4" i="1973"/>
  <c r="HO4" i="1973"/>
  <c r="IB4" i="1973"/>
  <c r="IO4" i="1973"/>
  <c r="JB4" i="1973"/>
  <c r="JO4" i="1973"/>
  <c r="KB4" i="1973"/>
  <c r="KO4" i="1973"/>
  <c r="LN5" i="1973"/>
  <c r="LB4" i="1973"/>
  <c r="KY39" i="1973"/>
  <c r="KY7" i="1973" s="1"/>
  <c r="KX39" i="1973"/>
  <c r="KW39" i="1973"/>
  <c r="KW7" i="1973" s="1"/>
  <c r="KV39" i="1973"/>
  <c r="KV7" i="1973" s="1"/>
  <c r="KU39" i="1973"/>
  <c r="KU7" i="1973" s="1"/>
  <c r="KX36" i="1973"/>
  <c r="N59" i="1610"/>
  <c r="N58" i="1610"/>
  <c r="N57" i="1610"/>
  <c r="N56" i="1610"/>
  <c r="N55" i="1610"/>
  <c r="N54" i="1610"/>
  <c r="N41" i="1610"/>
  <c r="N40" i="1610"/>
  <c r="N39" i="1610"/>
  <c r="N38" i="1610"/>
  <c r="N37" i="1610"/>
  <c r="N36" i="1610"/>
  <c r="N35" i="1610"/>
  <c r="N34" i="1610"/>
  <c r="N33" i="1610"/>
  <c r="N32" i="1610"/>
  <c r="N31" i="1610"/>
  <c r="N30" i="1610"/>
  <c r="N29" i="1610"/>
  <c r="N28" i="1610"/>
  <c r="N27" i="1610"/>
  <c r="N26" i="1610"/>
  <c r="N25" i="1610"/>
  <c r="N24" i="1610"/>
  <c r="N23" i="1610"/>
  <c r="N22" i="1610"/>
  <c r="N21" i="1610"/>
  <c r="N20" i="1610"/>
  <c r="N19" i="1610"/>
  <c r="N18" i="1610"/>
  <c r="N17" i="1610"/>
  <c r="N16" i="1610"/>
  <c r="N15" i="1610"/>
  <c r="N14" i="1610"/>
  <c r="N13" i="1610"/>
  <c r="N9" i="1610"/>
  <c r="N8" i="1610"/>
  <c r="N5" i="1610"/>
  <c r="AA59" i="1610"/>
  <c r="AA58" i="1610"/>
  <c r="AA57" i="1610"/>
  <c r="AA56" i="1610"/>
  <c r="AA55" i="1610"/>
  <c r="AA54" i="1610"/>
  <c r="AA41" i="1610"/>
  <c r="AA40" i="1610"/>
  <c r="AA39" i="1610"/>
  <c r="AA38" i="1610"/>
  <c r="AA37" i="1610"/>
  <c r="AA36" i="1610"/>
  <c r="AA35" i="1610"/>
  <c r="AA34" i="1610"/>
  <c r="AA33" i="1610"/>
  <c r="AA32" i="1610"/>
  <c r="AA31" i="1610"/>
  <c r="AA30" i="1610"/>
  <c r="AA29" i="1610"/>
  <c r="AA28" i="1610"/>
  <c r="AA27" i="1610"/>
  <c r="AA26" i="1610"/>
  <c r="AA25" i="1610"/>
  <c r="AA24" i="1610"/>
  <c r="AA23" i="1610"/>
  <c r="AA22" i="1610"/>
  <c r="AA21" i="1610"/>
  <c r="AA20" i="1610"/>
  <c r="AA19" i="1610"/>
  <c r="AA18" i="1610"/>
  <c r="AA17" i="1610"/>
  <c r="AA16" i="1610"/>
  <c r="AA15" i="1610"/>
  <c r="AA14" i="1610"/>
  <c r="AA13" i="1610"/>
  <c r="AA9" i="1610"/>
  <c r="AA8" i="1610"/>
  <c r="AA5" i="1610"/>
  <c r="AN59" i="1610"/>
  <c r="AN58" i="1610"/>
  <c r="AN57" i="1610"/>
  <c r="AN56" i="1610"/>
  <c r="AN55" i="1610"/>
  <c r="AN54" i="1610"/>
  <c r="AN41" i="1610"/>
  <c r="AN40" i="1610"/>
  <c r="AN39" i="1610"/>
  <c r="AN38" i="1610"/>
  <c r="AN37" i="1610"/>
  <c r="AN36" i="1610"/>
  <c r="AN35" i="1610"/>
  <c r="AN34" i="1610"/>
  <c r="AN33" i="1610"/>
  <c r="AN32" i="1610"/>
  <c r="AN31" i="1610"/>
  <c r="AN30" i="1610"/>
  <c r="AN29" i="1610"/>
  <c r="AN28" i="1610"/>
  <c r="AN27" i="1610"/>
  <c r="AN26" i="1610"/>
  <c r="AN25" i="1610"/>
  <c r="AN24" i="1610"/>
  <c r="AN23" i="1610"/>
  <c r="AN22" i="1610"/>
  <c r="AN21" i="1610"/>
  <c r="AN20" i="1610"/>
  <c r="AN19" i="1610"/>
  <c r="AN18" i="1610"/>
  <c r="AN17" i="1610"/>
  <c r="AN16" i="1610"/>
  <c r="AN15" i="1610"/>
  <c r="AN14" i="1610"/>
  <c r="AN13" i="1610"/>
  <c r="AN9" i="1610"/>
  <c r="AN8" i="1610"/>
  <c r="AN5" i="1610"/>
  <c r="BA59" i="1610"/>
  <c r="BA58" i="1610"/>
  <c r="BA57" i="1610"/>
  <c r="BA56" i="1610"/>
  <c r="BA55" i="1610"/>
  <c r="BA54" i="1610"/>
  <c r="BA41" i="1610"/>
  <c r="BA40" i="1610"/>
  <c r="BA39" i="1610"/>
  <c r="BA38" i="1610"/>
  <c r="BA37" i="1610"/>
  <c r="BA36" i="1610"/>
  <c r="BA35" i="1610"/>
  <c r="BA34" i="1610"/>
  <c r="BA33" i="1610"/>
  <c r="BA32" i="1610"/>
  <c r="BA31" i="1610"/>
  <c r="BA30" i="1610"/>
  <c r="BA29" i="1610"/>
  <c r="BA28" i="1610"/>
  <c r="BA27" i="1610"/>
  <c r="BA26" i="1610"/>
  <c r="BA25" i="1610"/>
  <c r="BA24" i="1610"/>
  <c r="BA23" i="1610"/>
  <c r="BA22" i="1610"/>
  <c r="BA21" i="1610"/>
  <c r="BA20" i="1610"/>
  <c r="BA19" i="1610"/>
  <c r="BA18" i="1610"/>
  <c r="BA17" i="1610"/>
  <c r="BA16" i="1610"/>
  <c r="BA15" i="1610"/>
  <c r="BA14" i="1610"/>
  <c r="BA13" i="1610"/>
  <c r="BA9" i="1610"/>
  <c r="BA8" i="1610"/>
  <c r="BA5" i="1610"/>
  <c r="BN59" i="1610"/>
  <c r="BN58" i="1610"/>
  <c r="BN57" i="1610"/>
  <c r="BN56" i="1610"/>
  <c r="BN55" i="1610"/>
  <c r="BN54" i="1610"/>
  <c r="BN41" i="1610"/>
  <c r="BN40" i="1610"/>
  <c r="BN39" i="1610"/>
  <c r="BN38" i="1610"/>
  <c r="BN37" i="1610"/>
  <c r="BN36" i="1610"/>
  <c r="BN35" i="1610"/>
  <c r="BN34" i="1610"/>
  <c r="BN33" i="1610"/>
  <c r="BN32" i="1610"/>
  <c r="BN31" i="1610"/>
  <c r="BN30" i="1610"/>
  <c r="BN29" i="1610"/>
  <c r="BN28" i="1610"/>
  <c r="BN27" i="1610"/>
  <c r="BN26" i="1610"/>
  <c r="BN25" i="1610"/>
  <c r="BN24" i="1610"/>
  <c r="BN23" i="1610"/>
  <c r="BN22" i="1610"/>
  <c r="BN21" i="1610"/>
  <c r="BN20" i="1610"/>
  <c r="BN19" i="1610"/>
  <c r="BN18" i="1610"/>
  <c r="BN17" i="1610"/>
  <c r="BN16" i="1610"/>
  <c r="BN15" i="1610"/>
  <c r="BN14" i="1610"/>
  <c r="BN13" i="1610"/>
  <c r="BN9" i="1610"/>
  <c r="BN8" i="1610"/>
  <c r="BN5" i="1610"/>
  <c r="CA59" i="1610"/>
  <c r="CA58" i="1610"/>
  <c r="CA57" i="1610"/>
  <c r="CA56" i="1610"/>
  <c r="CA55" i="1610"/>
  <c r="CA54" i="1610"/>
  <c r="CA41" i="1610"/>
  <c r="CA40" i="1610"/>
  <c r="CA39" i="1610"/>
  <c r="CA38" i="1610"/>
  <c r="CA37" i="1610"/>
  <c r="CA36" i="1610"/>
  <c r="CA35" i="1610"/>
  <c r="CA34" i="1610"/>
  <c r="CA33" i="1610"/>
  <c r="CA32" i="1610"/>
  <c r="CA31" i="1610"/>
  <c r="CA30" i="1610"/>
  <c r="CA29" i="1610"/>
  <c r="CA28" i="1610"/>
  <c r="CA27" i="1610"/>
  <c r="CA26" i="1610"/>
  <c r="CA25" i="1610"/>
  <c r="CA24" i="1610"/>
  <c r="CA23" i="1610"/>
  <c r="CA22" i="1610"/>
  <c r="CA21" i="1610"/>
  <c r="CA20" i="1610"/>
  <c r="CA19" i="1610"/>
  <c r="CA18" i="1610"/>
  <c r="CA17" i="1610"/>
  <c r="CA16" i="1610"/>
  <c r="CA15" i="1610"/>
  <c r="CA14" i="1610"/>
  <c r="CA13" i="1610"/>
  <c r="CA9" i="1610"/>
  <c r="CA8" i="1610"/>
  <c r="CA5" i="1610"/>
  <c r="CN59" i="1610"/>
  <c r="CN58" i="1610"/>
  <c r="CN57" i="1610"/>
  <c r="CN56" i="1610"/>
  <c r="CN55" i="1610"/>
  <c r="CN54" i="1610"/>
  <c r="CN41" i="1610"/>
  <c r="CN40" i="1610"/>
  <c r="CN39" i="1610"/>
  <c r="CN38" i="1610"/>
  <c r="CN37" i="1610"/>
  <c r="CN36" i="1610"/>
  <c r="CN35" i="1610"/>
  <c r="CN34" i="1610"/>
  <c r="CN33" i="1610"/>
  <c r="CN32" i="1610"/>
  <c r="CN31" i="1610"/>
  <c r="CN30" i="1610"/>
  <c r="CN29" i="1610"/>
  <c r="CN28" i="1610"/>
  <c r="CN27" i="1610"/>
  <c r="CN26" i="1610"/>
  <c r="CN25" i="1610"/>
  <c r="CN24" i="1610"/>
  <c r="CN23" i="1610"/>
  <c r="CN22" i="1610"/>
  <c r="CN21" i="1610"/>
  <c r="CN20" i="1610"/>
  <c r="CN19" i="1610"/>
  <c r="CN18" i="1610"/>
  <c r="CN17" i="1610"/>
  <c r="CN16" i="1610"/>
  <c r="CN15" i="1610"/>
  <c r="CN14" i="1610"/>
  <c r="CN13" i="1610"/>
  <c r="CN9" i="1610"/>
  <c r="CN8" i="1610"/>
  <c r="CN5" i="1610"/>
  <c r="DA59" i="1610"/>
  <c r="DA58" i="1610"/>
  <c r="DA57" i="1610"/>
  <c r="DA56" i="1610"/>
  <c r="DA55" i="1610"/>
  <c r="DA54" i="1610"/>
  <c r="DA41" i="1610"/>
  <c r="DA40" i="1610"/>
  <c r="DA39" i="1610"/>
  <c r="DA38" i="1610"/>
  <c r="DA37" i="1610"/>
  <c r="DA36" i="1610"/>
  <c r="DA35" i="1610"/>
  <c r="DA34" i="1610"/>
  <c r="DA33" i="1610"/>
  <c r="DA32" i="1610"/>
  <c r="DA31" i="1610"/>
  <c r="DA30" i="1610"/>
  <c r="DA29" i="1610"/>
  <c r="DA28" i="1610"/>
  <c r="DA27" i="1610"/>
  <c r="DA26" i="1610"/>
  <c r="DA25" i="1610"/>
  <c r="DA24" i="1610"/>
  <c r="DA23" i="1610"/>
  <c r="DA22" i="1610"/>
  <c r="DA21" i="1610"/>
  <c r="DA20" i="1610"/>
  <c r="DA19" i="1610"/>
  <c r="DA18" i="1610"/>
  <c r="DA17" i="1610"/>
  <c r="DA16" i="1610"/>
  <c r="DA15" i="1610"/>
  <c r="DA14" i="1610"/>
  <c r="DA13" i="1610"/>
  <c r="DA9" i="1610"/>
  <c r="DA8" i="1610"/>
  <c r="DA5" i="1610"/>
  <c r="DN59" i="1610"/>
  <c r="DN58" i="1610"/>
  <c r="DN57" i="1610"/>
  <c r="DN56" i="1610"/>
  <c r="DN55" i="1610"/>
  <c r="DN54" i="1610"/>
  <c r="DN41" i="1610"/>
  <c r="DN40" i="1610"/>
  <c r="DN39" i="1610"/>
  <c r="DN38" i="1610"/>
  <c r="DN37" i="1610"/>
  <c r="DN36" i="1610"/>
  <c r="DN35" i="1610"/>
  <c r="DN34" i="1610"/>
  <c r="DN33" i="1610"/>
  <c r="DN32" i="1610"/>
  <c r="DN31" i="1610"/>
  <c r="DN30" i="1610"/>
  <c r="DN29" i="1610"/>
  <c r="DN28" i="1610"/>
  <c r="DN27" i="1610"/>
  <c r="DN26" i="1610"/>
  <c r="DN25" i="1610"/>
  <c r="DN24" i="1610"/>
  <c r="DN23" i="1610"/>
  <c r="DN22" i="1610"/>
  <c r="DN21" i="1610"/>
  <c r="DN20" i="1610"/>
  <c r="DN19" i="1610"/>
  <c r="DN18" i="1610"/>
  <c r="DN17" i="1610"/>
  <c r="DN16" i="1610"/>
  <c r="DN15" i="1610"/>
  <c r="DN14" i="1610"/>
  <c r="DN13" i="1610"/>
  <c r="DN9" i="1610"/>
  <c r="DN8" i="1610"/>
  <c r="DN5" i="1610"/>
  <c r="EA59" i="1610"/>
  <c r="EA58" i="1610"/>
  <c r="EA57" i="1610"/>
  <c r="EA56" i="1610"/>
  <c r="EA55" i="1610"/>
  <c r="EA54" i="1610"/>
  <c r="EA41" i="1610"/>
  <c r="EA40" i="1610"/>
  <c r="EA39" i="1610"/>
  <c r="EA38" i="1610"/>
  <c r="EA37" i="1610"/>
  <c r="EA36" i="1610"/>
  <c r="EA35" i="1610"/>
  <c r="EA34" i="1610"/>
  <c r="EA33" i="1610"/>
  <c r="EA32" i="1610"/>
  <c r="EA31" i="1610"/>
  <c r="EA30" i="1610"/>
  <c r="EA29" i="1610"/>
  <c r="EA28" i="1610"/>
  <c r="EA27" i="1610"/>
  <c r="EA26" i="1610"/>
  <c r="EA25" i="1610"/>
  <c r="EA24" i="1610"/>
  <c r="EA23" i="1610"/>
  <c r="EA22" i="1610"/>
  <c r="EA21" i="1610"/>
  <c r="EA20" i="1610"/>
  <c r="EA19" i="1610"/>
  <c r="EA18" i="1610"/>
  <c r="EA17" i="1610"/>
  <c r="EA16" i="1610"/>
  <c r="EA15" i="1610"/>
  <c r="EA14" i="1610"/>
  <c r="EA13" i="1610"/>
  <c r="EA9" i="1610"/>
  <c r="EA8" i="1610"/>
  <c r="EA5" i="1610"/>
  <c r="EN59" i="1610"/>
  <c r="EN58" i="1610"/>
  <c r="EN57" i="1610"/>
  <c r="EN56" i="1610"/>
  <c r="EN55" i="1610"/>
  <c r="EN54" i="1610"/>
  <c r="EN41" i="1610"/>
  <c r="EN40" i="1610"/>
  <c r="EN39" i="1610"/>
  <c r="EN38" i="1610"/>
  <c r="EN37" i="1610"/>
  <c r="EN36" i="1610"/>
  <c r="EN35" i="1610"/>
  <c r="EN34" i="1610"/>
  <c r="EN33" i="1610"/>
  <c r="EN32" i="1610"/>
  <c r="EN31" i="1610"/>
  <c r="EN30" i="1610"/>
  <c r="EN29" i="1610"/>
  <c r="EN28" i="1610"/>
  <c r="EN27" i="1610"/>
  <c r="EN26" i="1610"/>
  <c r="EN25" i="1610"/>
  <c r="EN24" i="1610"/>
  <c r="EN23" i="1610"/>
  <c r="EN22" i="1610"/>
  <c r="EN21" i="1610"/>
  <c r="EN20" i="1610"/>
  <c r="EN19" i="1610"/>
  <c r="EN18" i="1610"/>
  <c r="EN17" i="1610"/>
  <c r="EN16" i="1610"/>
  <c r="EN15" i="1610"/>
  <c r="EN14" i="1610"/>
  <c r="EN13" i="1610"/>
  <c r="EN9" i="1610"/>
  <c r="EN8" i="1610"/>
  <c r="EN5" i="1610"/>
  <c r="FA59" i="1610"/>
  <c r="FA58" i="1610"/>
  <c r="FA57" i="1610"/>
  <c r="FA56" i="1610"/>
  <c r="FA55" i="1610"/>
  <c r="FA54" i="1610"/>
  <c r="FA41" i="1610"/>
  <c r="FA40" i="1610"/>
  <c r="FA39" i="1610"/>
  <c r="FA38" i="1610"/>
  <c r="FA37" i="1610"/>
  <c r="FA36" i="1610"/>
  <c r="FA35" i="1610"/>
  <c r="FA34" i="1610"/>
  <c r="FA33" i="1610"/>
  <c r="FA32" i="1610"/>
  <c r="FA31" i="1610"/>
  <c r="FA30" i="1610"/>
  <c r="FA29" i="1610"/>
  <c r="FA28" i="1610"/>
  <c r="FA27" i="1610"/>
  <c r="FA26" i="1610"/>
  <c r="FA25" i="1610"/>
  <c r="FA24" i="1610"/>
  <c r="FA23" i="1610"/>
  <c r="FA22" i="1610"/>
  <c r="FA21" i="1610"/>
  <c r="FA20" i="1610"/>
  <c r="FA19" i="1610"/>
  <c r="FA18" i="1610"/>
  <c r="FA17" i="1610"/>
  <c r="FA16" i="1610"/>
  <c r="FA15" i="1610"/>
  <c r="FA14" i="1610"/>
  <c r="FA13" i="1610"/>
  <c r="FA9" i="1610"/>
  <c r="FA8" i="1610"/>
  <c r="FA5" i="1610"/>
  <c r="FN59" i="1610"/>
  <c r="FN58" i="1610"/>
  <c r="FN57" i="1610"/>
  <c r="FN56" i="1610"/>
  <c r="FN55" i="1610"/>
  <c r="FN54" i="1610"/>
  <c r="FN41" i="1610"/>
  <c r="FN40" i="1610"/>
  <c r="FN39" i="1610"/>
  <c r="FN38" i="1610"/>
  <c r="FN37" i="1610"/>
  <c r="FN36" i="1610"/>
  <c r="FN35" i="1610"/>
  <c r="FN34" i="1610"/>
  <c r="FN33" i="1610"/>
  <c r="FN32" i="1610"/>
  <c r="FN31" i="1610"/>
  <c r="FN30" i="1610"/>
  <c r="FN29" i="1610"/>
  <c r="FN28" i="1610"/>
  <c r="FN27" i="1610"/>
  <c r="FN26" i="1610"/>
  <c r="FN25" i="1610"/>
  <c r="FN24" i="1610"/>
  <c r="FN23" i="1610"/>
  <c r="FN22" i="1610"/>
  <c r="FN21" i="1610"/>
  <c r="FN20" i="1610"/>
  <c r="FN19" i="1610"/>
  <c r="FN18" i="1610"/>
  <c r="FN17" i="1610"/>
  <c r="FN16" i="1610"/>
  <c r="FN15" i="1610"/>
  <c r="FN14" i="1610"/>
  <c r="FN13" i="1610"/>
  <c r="FN9" i="1610"/>
  <c r="FN8" i="1610"/>
  <c r="FN5" i="1610"/>
  <c r="GA59" i="1610"/>
  <c r="GA58" i="1610"/>
  <c r="GA57" i="1610"/>
  <c r="GA56" i="1610"/>
  <c r="GA55" i="1610"/>
  <c r="GA54" i="1610"/>
  <c r="GA41" i="1610"/>
  <c r="GA40" i="1610"/>
  <c r="GA39" i="1610"/>
  <c r="GA38" i="1610"/>
  <c r="GA37" i="1610"/>
  <c r="GA36" i="1610"/>
  <c r="GA35" i="1610"/>
  <c r="GA34" i="1610"/>
  <c r="GA33" i="1610"/>
  <c r="GA32" i="1610"/>
  <c r="GA31" i="1610"/>
  <c r="GA30" i="1610"/>
  <c r="GA29" i="1610"/>
  <c r="GA28" i="1610"/>
  <c r="GA27" i="1610"/>
  <c r="GA26" i="1610"/>
  <c r="GA25" i="1610"/>
  <c r="GA24" i="1610"/>
  <c r="GA23" i="1610"/>
  <c r="GA22" i="1610"/>
  <c r="GA21" i="1610"/>
  <c r="GA20" i="1610"/>
  <c r="GA19" i="1610"/>
  <c r="GA18" i="1610"/>
  <c r="GA17" i="1610"/>
  <c r="GA16" i="1610"/>
  <c r="GA15" i="1610"/>
  <c r="GA14" i="1610"/>
  <c r="GA13" i="1610"/>
  <c r="GA9" i="1610"/>
  <c r="GA8" i="1610"/>
  <c r="GA5" i="1610"/>
  <c r="GN59" i="1610"/>
  <c r="GN58" i="1610"/>
  <c r="GN57" i="1610"/>
  <c r="GN56" i="1610"/>
  <c r="GN55" i="1610"/>
  <c r="GN54" i="1610"/>
  <c r="GN41" i="1610"/>
  <c r="GN40" i="1610"/>
  <c r="GN39" i="1610"/>
  <c r="GN38" i="1610"/>
  <c r="GN37" i="1610"/>
  <c r="GN36" i="1610"/>
  <c r="GN35" i="1610"/>
  <c r="GN34" i="1610"/>
  <c r="GN33" i="1610"/>
  <c r="GN32" i="1610"/>
  <c r="GN31" i="1610"/>
  <c r="GN30" i="1610"/>
  <c r="GN29" i="1610"/>
  <c r="GN28" i="1610"/>
  <c r="GN27" i="1610"/>
  <c r="GN26" i="1610"/>
  <c r="GN25" i="1610"/>
  <c r="GN24" i="1610"/>
  <c r="GN23" i="1610"/>
  <c r="GN22" i="1610"/>
  <c r="GN21" i="1610"/>
  <c r="GN20" i="1610"/>
  <c r="GN19" i="1610"/>
  <c r="GN18" i="1610"/>
  <c r="GN17" i="1610"/>
  <c r="GN16" i="1610"/>
  <c r="GN15" i="1610"/>
  <c r="GN14" i="1610"/>
  <c r="GN13" i="1610"/>
  <c r="GN9" i="1610"/>
  <c r="GN8" i="1610"/>
  <c r="GN5" i="1610"/>
  <c r="HA59" i="1610"/>
  <c r="HA58" i="1610"/>
  <c r="HA57" i="1610"/>
  <c r="HA56" i="1610"/>
  <c r="HA55" i="1610"/>
  <c r="HA54" i="1610"/>
  <c r="HA41" i="1610"/>
  <c r="HA40" i="1610"/>
  <c r="HA39" i="1610"/>
  <c r="HA38" i="1610"/>
  <c r="HA37" i="1610"/>
  <c r="HA36" i="1610"/>
  <c r="HA35" i="1610"/>
  <c r="HA34" i="1610"/>
  <c r="HA33" i="1610"/>
  <c r="HA32" i="1610"/>
  <c r="HA31" i="1610"/>
  <c r="HA30" i="1610"/>
  <c r="HA29" i="1610"/>
  <c r="HA28" i="1610"/>
  <c r="HA27" i="1610"/>
  <c r="HA26" i="1610"/>
  <c r="HA25" i="1610"/>
  <c r="HA24" i="1610"/>
  <c r="HA23" i="1610"/>
  <c r="HA22" i="1610"/>
  <c r="HA21" i="1610"/>
  <c r="HA20" i="1610"/>
  <c r="HA19" i="1610"/>
  <c r="HA18" i="1610"/>
  <c r="HA17" i="1610"/>
  <c r="HA16" i="1610"/>
  <c r="HA15" i="1610"/>
  <c r="HA14" i="1610"/>
  <c r="HA13" i="1610"/>
  <c r="HA9" i="1610"/>
  <c r="HA8" i="1610"/>
  <c r="HA5" i="1610"/>
  <c r="HN59" i="1610"/>
  <c r="HN58" i="1610"/>
  <c r="HN57" i="1610"/>
  <c r="HN56" i="1610"/>
  <c r="HN55" i="1610"/>
  <c r="HN54" i="1610"/>
  <c r="HN41" i="1610"/>
  <c r="HN40" i="1610"/>
  <c r="HN39" i="1610"/>
  <c r="HN38" i="1610"/>
  <c r="HN37" i="1610"/>
  <c r="HN36" i="1610"/>
  <c r="HN35" i="1610"/>
  <c r="HN34" i="1610"/>
  <c r="HN33" i="1610"/>
  <c r="HN32" i="1610"/>
  <c r="HN31" i="1610"/>
  <c r="HN30" i="1610"/>
  <c r="HN29" i="1610"/>
  <c r="HN28" i="1610"/>
  <c r="HN27" i="1610"/>
  <c r="HN26" i="1610"/>
  <c r="HN25" i="1610"/>
  <c r="HN24" i="1610"/>
  <c r="HN23" i="1610"/>
  <c r="HN22" i="1610"/>
  <c r="HN21" i="1610"/>
  <c r="HN20" i="1610"/>
  <c r="HN19" i="1610"/>
  <c r="HN18" i="1610"/>
  <c r="HN17" i="1610"/>
  <c r="HN16" i="1610"/>
  <c r="HN15" i="1610"/>
  <c r="HN14" i="1610"/>
  <c r="HN13" i="1610"/>
  <c r="HN9" i="1610"/>
  <c r="HN8" i="1610"/>
  <c r="HN5" i="1610"/>
  <c r="IA59" i="1610"/>
  <c r="IA58" i="1610"/>
  <c r="IA57" i="1610"/>
  <c r="IA56" i="1610"/>
  <c r="IA55" i="1610"/>
  <c r="IA54" i="1610"/>
  <c r="IA41" i="1610"/>
  <c r="IA40" i="1610"/>
  <c r="IA39" i="1610"/>
  <c r="IA38" i="1610"/>
  <c r="IA37" i="1610"/>
  <c r="IA36" i="1610"/>
  <c r="IA35" i="1610"/>
  <c r="IA34" i="1610"/>
  <c r="IA33" i="1610"/>
  <c r="IA32" i="1610"/>
  <c r="IA31" i="1610"/>
  <c r="IA30" i="1610"/>
  <c r="IA29" i="1610"/>
  <c r="IA28" i="1610"/>
  <c r="IA27" i="1610"/>
  <c r="IA26" i="1610"/>
  <c r="IA25" i="1610"/>
  <c r="IA24" i="1610"/>
  <c r="IA23" i="1610"/>
  <c r="IA22" i="1610"/>
  <c r="IA21" i="1610"/>
  <c r="IA20" i="1610"/>
  <c r="IA19" i="1610"/>
  <c r="IA18" i="1610"/>
  <c r="IA17" i="1610"/>
  <c r="IA16" i="1610"/>
  <c r="IA15" i="1610"/>
  <c r="IA14" i="1610"/>
  <c r="IA13" i="1610"/>
  <c r="IA9" i="1610"/>
  <c r="IA8" i="1610"/>
  <c r="IA5" i="1610"/>
  <c r="IN41" i="1610"/>
  <c r="IN5" i="1610"/>
  <c r="JA41" i="1610"/>
  <c r="JA5" i="1610"/>
  <c r="JN59" i="1610"/>
  <c r="JN58" i="1610"/>
  <c r="JN57" i="1610"/>
  <c r="JN56" i="1610"/>
  <c r="JN55" i="1610"/>
  <c r="JN54" i="1610"/>
  <c r="JN41" i="1610"/>
  <c r="JN40" i="1610"/>
  <c r="JN39" i="1610"/>
  <c r="JN38" i="1610"/>
  <c r="JN37" i="1610"/>
  <c r="JN36" i="1610"/>
  <c r="JN35" i="1610"/>
  <c r="JN34" i="1610"/>
  <c r="JN33" i="1610"/>
  <c r="JN32" i="1610"/>
  <c r="JN31" i="1610"/>
  <c r="JN30" i="1610"/>
  <c r="JN29" i="1610"/>
  <c r="JN28" i="1610"/>
  <c r="JN27" i="1610"/>
  <c r="JN26" i="1610"/>
  <c r="JN25" i="1610"/>
  <c r="JN24" i="1610"/>
  <c r="JN23" i="1610"/>
  <c r="JN22" i="1610"/>
  <c r="JN21" i="1610"/>
  <c r="JN20" i="1610"/>
  <c r="JN19" i="1610"/>
  <c r="JN18" i="1610"/>
  <c r="JN17" i="1610"/>
  <c r="JN16" i="1610"/>
  <c r="JN15" i="1610"/>
  <c r="JN14" i="1610"/>
  <c r="JN13" i="1610"/>
  <c r="JN9" i="1610"/>
  <c r="JN8" i="1610"/>
  <c r="JN5" i="1610"/>
  <c r="JM53" i="1610"/>
  <c r="JM51" i="1610" s="1"/>
  <c r="JL53" i="1610"/>
  <c r="JL51" i="1610" s="1"/>
  <c r="JK53" i="1610"/>
  <c r="JK51" i="1610" s="1"/>
  <c r="JJ53" i="1610"/>
  <c r="JJ51" i="1610" s="1"/>
  <c r="JI53" i="1610"/>
  <c r="JI51" i="1610" s="1"/>
  <c r="JH53" i="1610"/>
  <c r="JH51" i="1610" s="1"/>
  <c r="JG53" i="1610"/>
  <c r="JF53" i="1610"/>
  <c r="JF51" i="1610" s="1"/>
  <c r="JE53" i="1610"/>
  <c r="JE51" i="1610" s="1"/>
  <c r="JD53" i="1610"/>
  <c r="JD51" i="1610" s="1"/>
  <c r="JC53" i="1610"/>
  <c r="JC51" i="1610" s="1"/>
  <c r="JB53" i="1610"/>
  <c r="JB51" i="1610" s="1"/>
  <c r="IZ53" i="1610"/>
  <c r="IZ51" i="1610" s="1"/>
  <c r="IY53" i="1610"/>
  <c r="IY51" i="1610" s="1"/>
  <c r="IX53" i="1610"/>
  <c r="IX51" i="1610" s="1"/>
  <c r="IW53" i="1610"/>
  <c r="IW51" i="1610" s="1"/>
  <c r="IV53" i="1610"/>
  <c r="IV51" i="1610" s="1"/>
  <c r="IU53" i="1610"/>
  <c r="IU51" i="1610" s="1"/>
  <c r="IT53" i="1610"/>
  <c r="IS53" i="1610"/>
  <c r="IS51" i="1610" s="1"/>
  <c r="IR53" i="1610"/>
  <c r="IR51" i="1610" s="1"/>
  <c r="IQ53" i="1610"/>
  <c r="IQ51" i="1610" s="1"/>
  <c r="IP53" i="1610"/>
  <c r="IP51" i="1610" s="1"/>
  <c r="IO53" i="1610"/>
  <c r="IO51" i="1610" s="1"/>
  <c r="IM53" i="1610"/>
  <c r="IM51" i="1610" s="1"/>
  <c r="IL53" i="1610"/>
  <c r="IL51" i="1610" s="1"/>
  <c r="IK53" i="1610"/>
  <c r="IK51" i="1610" s="1"/>
  <c r="IJ53" i="1610"/>
  <c r="IJ51" i="1610" s="1"/>
  <c r="II53" i="1610"/>
  <c r="IH53" i="1610"/>
  <c r="IH51" i="1610" s="1"/>
  <c r="IG53" i="1610"/>
  <c r="IG51" i="1610" s="1"/>
  <c r="IF53" i="1610"/>
  <c r="IF51" i="1610" s="1"/>
  <c r="IE53" i="1610"/>
  <c r="IE51" i="1610" s="1"/>
  <c r="ID53" i="1610"/>
  <c r="ID51" i="1610" s="1"/>
  <c r="IC53" i="1610"/>
  <c r="IC51" i="1610" s="1"/>
  <c r="IB53" i="1610"/>
  <c r="IB51" i="1610" s="1"/>
  <c r="HZ53" i="1610"/>
  <c r="HZ51" i="1610" s="1"/>
  <c r="HY53" i="1610"/>
  <c r="HY51" i="1610" s="1"/>
  <c r="HX53" i="1610"/>
  <c r="HX51" i="1610" s="1"/>
  <c r="HW53" i="1610"/>
  <c r="HW51" i="1610" s="1"/>
  <c r="HV53" i="1610"/>
  <c r="HU53" i="1610"/>
  <c r="HU51" i="1610" s="1"/>
  <c r="HT53" i="1610"/>
  <c r="HT51" i="1610" s="1"/>
  <c r="HS53" i="1610"/>
  <c r="HS51" i="1610" s="1"/>
  <c r="HR53" i="1610"/>
  <c r="HR51" i="1610" s="1"/>
  <c r="HQ53" i="1610"/>
  <c r="HQ51" i="1610" s="1"/>
  <c r="HP53" i="1610"/>
  <c r="HO53" i="1610"/>
  <c r="HO51" i="1610" s="1"/>
  <c r="HM53" i="1610"/>
  <c r="HM51" i="1610" s="1"/>
  <c r="HL53" i="1610"/>
  <c r="HL51" i="1610" s="1"/>
  <c r="HK53" i="1610"/>
  <c r="HK51" i="1610" s="1"/>
  <c r="HJ53" i="1610"/>
  <c r="HJ51" i="1610" s="1"/>
  <c r="HI53" i="1610"/>
  <c r="HI51" i="1610" s="1"/>
  <c r="HH53" i="1610"/>
  <c r="HH51" i="1610" s="1"/>
  <c r="HG53" i="1610"/>
  <c r="HF53" i="1610"/>
  <c r="HF51" i="1610" s="1"/>
  <c r="HE53" i="1610"/>
  <c r="HD53" i="1610"/>
  <c r="HD51" i="1610" s="1"/>
  <c r="HC53" i="1610"/>
  <c r="HB53" i="1610"/>
  <c r="HB51" i="1610" s="1"/>
  <c r="GZ53" i="1610"/>
  <c r="GZ51" i="1610" s="1"/>
  <c r="GY53" i="1610"/>
  <c r="GY51" i="1610" s="1"/>
  <c r="GX53" i="1610"/>
  <c r="GX51" i="1610" s="1"/>
  <c r="GW53" i="1610"/>
  <c r="GW51" i="1610" s="1"/>
  <c r="GV53" i="1610"/>
  <c r="GV51" i="1610" s="1"/>
  <c r="GU53" i="1610"/>
  <c r="GU51" i="1610" s="1"/>
  <c r="GT53" i="1610"/>
  <c r="GS53" i="1610"/>
  <c r="GS51" i="1610" s="1"/>
  <c r="GR53" i="1610"/>
  <c r="GR51" i="1610" s="1"/>
  <c r="GQ53" i="1610"/>
  <c r="GQ51" i="1610" s="1"/>
  <c r="GP53" i="1610"/>
  <c r="GO53" i="1610"/>
  <c r="GM53" i="1610"/>
  <c r="GM51" i="1610" s="1"/>
  <c r="GL53" i="1610"/>
  <c r="GL51" i="1610" s="1"/>
  <c r="GK53" i="1610"/>
  <c r="GK51" i="1610" s="1"/>
  <c r="GJ53" i="1610"/>
  <c r="GJ51" i="1610" s="1"/>
  <c r="GI53" i="1610"/>
  <c r="GH53" i="1610"/>
  <c r="GH51" i="1610" s="1"/>
  <c r="GG53" i="1610"/>
  <c r="GF53" i="1610"/>
  <c r="GF51" i="1610" s="1"/>
  <c r="GE53" i="1610"/>
  <c r="GE51" i="1610" s="1"/>
  <c r="GD53" i="1610"/>
  <c r="GD51" i="1610" s="1"/>
  <c r="GC53" i="1610"/>
  <c r="GC51" i="1610" s="1"/>
  <c r="GB53" i="1610"/>
  <c r="GB51" i="1610" s="1"/>
  <c r="FZ53" i="1610"/>
  <c r="FZ51" i="1610" s="1"/>
  <c r="FY53" i="1610"/>
  <c r="FY51" i="1610" s="1"/>
  <c r="FX53" i="1610"/>
  <c r="FX51" i="1610" s="1"/>
  <c r="FW53" i="1610"/>
  <c r="FW51" i="1610" s="1"/>
  <c r="FV53" i="1610"/>
  <c r="FU53" i="1610"/>
  <c r="FT53" i="1610"/>
  <c r="FS53" i="1610"/>
  <c r="FS51" i="1610" s="1"/>
  <c r="FR53" i="1610"/>
  <c r="FR51" i="1610" s="1"/>
  <c r="FQ53" i="1610"/>
  <c r="FQ51" i="1610" s="1"/>
  <c r="FP53" i="1610"/>
  <c r="FO53" i="1610"/>
  <c r="FO51" i="1610" s="1"/>
  <c r="FM53" i="1610"/>
  <c r="FM51" i="1610" s="1"/>
  <c r="FL53" i="1610"/>
  <c r="FL51" i="1610" s="1"/>
  <c r="FK53" i="1610"/>
  <c r="FK51" i="1610" s="1"/>
  <c r="FJ53" i="1610"/>
  <c r="FJ51" i="1610" s="1"/>
  <c r="FI53" i="1610"/>
  <c r="FH53" i="1610"/>
  <c r="FG53" i="1610"/>
  <c r="FF53" i="1610"/>
  <c r="FF51" i="1610" s="1"/>
  <c r="FE53" i="1610"/>
  <c r="FE51" i="1610" s="1"/>
  <c r="FD53" i="1610"/>
  <c r="FC53" i="1610"/>
  <c r="FB53" i="1610"/>
  <c r="FB51" i="1610" s="1"/>
  <c r="EZ53" i="1610"/>
  <c r="EZ51" i="1610" s="1"/>
  <c r="EY53" i="1610"/>
  <c r="EY51" i="1610" s="1"/>
  <c r="EX53" i="1610"/>
  <c r="EX51" i="1610" s="1"/>
  <c r="EW53" i="1610"/>
  <c r="EW51" i="1610" s="1"/>
  <c r="EV53" i="1610"/>
  <c r="EU53" i="1610"/>
  <c r="EU51" i="1610" s="1"/>
  <c r="ET53" i="1610"/>
  <c r="ES53" i="1610"/>
  <c r="ES51" i="1610" s="1"/>
  <c r="ER53" i="1610"/>
  <c r="ER51" i="1610" s="1"/>
  <c r="EQ53" i="1610"/>
  <c r="EQ51" i="1610" s="1"/>
  <c r="EP53" i="1610"/>
  <c r="EP51" i="1610" s="1"/>
  <c r="EO53" i="1610"/>
  <c r="EO51" i="1610" s="1"/>
  <c r="EM53" i="1610"/>
  <c r="EM51" i="1610" s="1"/>
  <c r="EL53" i="1610"/>
  <c r="EL51" i="1610" s="1"/>
  <c r="EK53" i="1610"/>
  <c r="EK51" i="1610" s="1"/>
  <c r="EJ53" i="1610"/>
  <c r="EJ51" i="1610" s="1"/>
  <c r="EI53" i="1610"/>
  <c r="EI51" i="1610" s="1"/>
  <c r="EH53" i="1610"/>
  <c r="EH51" i="1610" s="1"/>
  <c r="EG53" i="1610"/>
  <c r="EG51" i="1610" s="1"/>
  <c r="EF53" i="1610"/>
  <c r="EF51" i="1610" s="1"/>
  <c r="EE53" i="1610"/>
  <c r="ED53" i="1610"/>
  <c r="ED51" i="1610" s="1"/>
  <c r="EC53" i="1610"/>
  <c r="EB53" i="1610"/>
  <c r="DZ53" i="1610"/>
  <c r="DZ51" i="1610" s="1"/>
  <c r="DY53" i="1610"/>
  <c r="DY51" i="1610" s="1"/>
  <c r="DX53" i="1610"/>
  <c r="DX51" i="1610" s="1"/>
  <c r="DW53" i="1610"/>
  <c r="DW51" i="1610" s="1"/>
  <c r="DV53" i="1610"/>
  <c r="DV51" i="1610" s="1"/>
  <c r="DU53" i="1610"/>
  <c r="DU51" i="1610" s="1"/>
  <c r="DT53" i="1610"/>
  <c r="DT51" i="1610" s="1"/>
  <c r="DS53" i="1610"/>
  <c r="DS51" i="1610" s="1"/>
  <c r="DR53" i="1610"/>
  <c r="DR51" i="1610" s="1"/>
  <c r="DQ53" i="1610"/>
  <c r="DQ51" i="1610" s="1"/>
  <c r="DP53" i="1610"/>
  <c r="DP51" i="1610" s="1"/>
  <c r="DO53" i="1610"/>
  <c r="DO51" i="1610" s="1"/>
  <c r="DM53" i="1610"/>
  <c r="DM51" i="1610" s="1"/>
  <c r="DL53" i="1610"/>
  <c r="DL51" i="1610" s="1"/>
  <c r="DK53" i="1610"/>
  <c r="DK51" i="1610" s="1"/>
  <c r="DJ53" i="1610"/>
  <c r="DJ51" i="1610" s="1"/>
  <c r="DI53" i="1610"/>
  <c r="DI51" i="1610" s="1"/>
  <c r="DH53" i="1610"/>
  <c r="DH51" i="1610" s="1"/>
  <c r="DG53" i="1610"/>
  <c r="DG51" i="1610" s="1"/>
  <c r="DF53" i="1610"/>
  <c r="DF51" i="1610" s="1"/>
  <c r="DE53" i="1610"/>
  <c r="DE51" i="1610" s="1"/>
  <c r="DD53" i="1610"/>
  <c r="DD51" i="1610" s="1"/>
  <c r="DC53" i="1610"/>
  <c r="DB53" i="1610"/>
  <c r="DB51" i="1610" s="1"/>
  <c r="CZ53" i="1610"/>
  <c r="CZ51" i="1610" s="1"/>
  <c r="CY53" i="1610"/>
  <c r="CY51" i="1610" s="1"/>
  <c r="CX53" i="1610"/>
  <c r="CX51" i="1610" s="1"/>
  <c r="CW53" i="1610"/>
  <c r="CW51" i="1610" s="1"/>
  <c r="CV53" i="1610"/>
  <c r="CV51" i="1610" s="1"/>
  <c r="CU53" i="1610"/>
  <c r="CU51" i="1610" s="1"/>
  <c r="CT53" i="1610"/>
  <c r="CT51" i="1610" s="1"/>
  <c r="CS53" i="1610"/>
  <c r="CS51" i="1610" s="1"/>
  <c r="CR53" i="1610"/>
  <c r="CR51" i="1610" s="1"/>
  <c r="CQ53" i="1610"/>
  <c r="CQ51" i="1610" s="1"/>
  <c r="CP53" i="1610"/>
  <c r="CP51" i="1610" s="1"/>
  <c r="CO53" i="1610"/>
  <c r="CO51" i="1610" s="1"/>
  <c r="CM53" i="1610"/>
  <c r="CM51" i="1610" s="1"/>
  <c r="CL53" i="1610"/>
  <c r="CL51" i="1610" s="1"/>
  <c r="CK53" i="1610"/>
  <c r="CK51" i="1610" s="1"/>
  <c r="CJ53" i="1610"/>
  <c r="CJ51" i="1610" s="1"/>
  <c r="CI53" i="1610"/>
  <c r="CH53" i="1610"/>
  <c r="CH51" i="1610" s="1"/>
  <c r="CG53" i="1610"/>
  <c r="CG51" i="1610" s="1"/>
  <c r="CF53" i="1610"/>
  <c r="CF51" i="1610" s="1"/>
  <c r="CE53" i="1610"/>
  <c r="CE51" i="1610" s="1"/>
  <c r="CD53" i="1610"/>
  <c r="CD51" i="1610" s="1"/>
  <c r="CC53" i="1610"/>
  <c r="CB53" i="1610"/>
  <c r="CB51" i="1610" s="1"/>
  <c r="BZ53" i="1610"/>
  <c r="BZ51" i="1610" s="1"/>
  <c r="BY53" i="1610"/>
  <c r="BY51" i="1610" s="1"/>
  <c r="BX53" i="1610"/>
  <c r="BX51" i="1610" s="1"/>
  <c r="BW53" i="1610"/>
  <c r="BW51" i="1610" s="1"/>
  <c r="BV53" i="1610"/>
  <c r="BV51" i="1610" s="1"/>
  <c r="BU53" i="1610"/>
  <c r="BU51" i="1610" s="1"/>
  <c r="BT53" i="1610"/>
  <c r="BT51" i="1610" s="1"/>
  <c r="BS53" i="1610"/>
  <c r="BS51" i="1610" s="1"/>
  <c r="BR53" i="1610"/>
  <c r="BR51" i="1610" s="1"/>
  <c r="BQ53" i="1610"/>
  <c r="BQ51" i="1610" s="1"/>
  <c r="BP53" i="1610"/>
  <c r="BO53" i="1610"/>
  <c r="BO51" i="1610" s="1"/>
  <c r="BM53" i="1610"/>
  <c r="BM51" i="1610" s="1"/>
  <c r="BL53" i="1610"/>
  <c r="BL51" i="1610" s="1"/>
  <c r="BK53" i="1610"/>
  <c r="BK51" i="1610" s="1"/>
  <c r="BJ53" i="1610"/>
  <c r="BJ51" i="1610" s="1"/>
  <c r="BI53" i="1610"/>
  <c r="BI51" i="1610" s="1"/>
  <c r="BH53" i="1610"/>
  <c r="BH51" i="1610" s="1"/>
  <c r="BG53" i="1610"/>
  <c r="BF53" i="1610"/>
  <c r="BF51" i="1610" s="1"/>
  <c r="BE53" i="1610"/>
  <c r="BD53" i="1610"/>
  <c r="BD51" i="1610" s="1"/>
  <c r="BC53" i="1610"/>
  <c r="BC51" i="1610" s="1"/>
  <c r="BB53" i="1610"/>
  <c r="BB51" i="1610" s="1"/>
  <c r="AZ53" i="1610"/>
  <c r="AZ51" i="1610" s="1"/>
  <c r="AY53" i="1610"/>
  <c r="AY51" i="1610" s="1"/>
  <c r="AX53" i="1610"/>
  <c r="AX51" i="1610" s="1"/>
  <c r="AW53" i="1610"/>
  <c r="AW51" i="1610" s="1"/>
  <c r="AV53" i="1610"/>
  <c r="AV51" i="1610" s="1"/>
  <c r="AU53" i="1610"/>
  <c r="AU51" i="1610" s="1"/>
  <c r="AT53" i="1610"/>
  <c r="AT51" i="1610" s="1"/>
  <c r="AS53" i="1610"/>
  <c r="AS51" i="1610" s="1"/>
  <c r="AR53" i="1610"/>
  <c r="AR51" i="1610" s="1"/>
  <c r="AQ53" i="1610"/>
  <c r="AQ51" i="1610" s="1"/>
  <c r="AP53" i="1610"/>
  <c r="AP51" i="1610" s="1"/>
  <c r="AO53" i="1610"/>
  <c r="AO51" i="1610" s="1"/>
  <c r="AM53" i="1610"/>
  <c r="AM51" i="1610" s="1"/>
  <c r="AL53" i="1610"/>
  <c r="AL51" i="1610" s="1"/>
  <c r="AK53" i="1610"/>
  <c r="AK51" i="1610" s="1"/>
  <c r="AJ53" i="1610"/>
  <c r="AJ51" i="1610" s="1"/>
  <c r="AI53" i="1610"/>
  <c r="AI51" i="1610" s="1"/>
  <c r="AH53" i="1610"/>
  <c r="AH51" i="1610" s="1"/>
  <c r="AG53" i="1610"/>
  <c r="AG51" i="1610" s="1"/>
  <c r="AF53" i="1610"/>
  <c r="AE53" i="1610"/>
  <c r="AE51" i="1610" s="1"/>
  <c r="AD53" i="1610"/>
  <c r="AD51" i="1610" s="1"/>
  <c r="AC53" i="1610"/>
  <c r="AC51" i="1610" s="1"/>
  <c r="AB53" i="1610"/>
  <c r="Z53" i="1610"/>
  <c r="Z51" i="1610" s="1"/>
  <c r="Y53" i="1610"/>
  <c r="Y51" i="1610" s="1"/>
  <c r="X53" i="1610"/>
  <c r="X51" i="1610" s="1"/>
  <c r="W53" i="1610"/>
  <c r="W51" i="1610" s="1"/>
  <c r="V53" i="1610"/>
  <c r="V51" i="1610" s="1"/>
  <c r="U53" i="1610"/>
  <c r="U51" i="1610" s="1"/>
  <c r="T53" i="1610"/>
  <c r="T51" i="1610" s="1"/>
  <c r="S53" i="1610"/>
  <c r="S51" i="1610" s="1"/>
  <c r="R53" i="1610"/>
  <c r="R51" i="1610" s="1"/>
  <c r="Q53" i="1610"/>
  <c r="Q51" i="1610" s="1"/>
  <c r="P53" i="1610"/>
  <c r="O53" i="1610"/>
  <c r="O51" i="1610" s="1"/>
  <c r="M53" i="1610"/>
  <c r="M51" i="1610" s="1"/>
  <c r="L53" i="1610"/>
  <c r="L51" i="1610" s="1"/>
  <c r="K53" i="1610"/>
  <c r="K51" i="1610" s="1"/>
  <c r="J53" i="1610"/>
  <c r="J51" i="1610" s="1"/>
  <c r="I53" i="1610"/>
  <c r="H53" i="1610"/>
  <c r="G53" i="1610"/>
  <c r="F53" i="1610"/>
  <c r="F51" i="1610" s="1"/>
  <c r="E53" i="1610"/>
  <c r="E51" i="1610" s="1"/>
  <c r="D53" i="1610"/>
  <c r="D51" i="1610" s="1"/>
  <c r="C53" i="1610"/>
  <c r="B53" i="1610"/>
  <c r="B51" i="1610" s="1"/>
  <c r="G51" i="1610"/>
  <c r="I51" i="1610"/>
  <c r="P51" i="1610"/>
  <c r="AF51" i="1610"/>
  <c r="BG51" i="1610"/>
  <c r="EV51" i="1610"/>
  <c r="FI51" i="1610"/>
  <c r="GG51" i="1610"/>
  <c r="GI51" i="1610"/>
  <c r="HV51" i="1610"/>
  <c r="FP51" i="1610"/>
  <c r="N47" i="1611"/>
  <c r="N46" i="1611"/>
  <c r="N45" i="1611"/>
  <c r="N44" i="1611"/>
  <c r="N43" i="1611"/>
  <c r="N42" i="1611"/>
  <c r="N41" i="1611"/>
  <c r="N40" i="1611"/>
  <c r="N39" i="1611"/>
  <c r="N38" i="1611"/>
  <c r="N37" i="1611"/>
  <c r="N36" i="1611"/>
  <c r="N35" i="1611"/>
  <c r="N34" i="1611"/>
  <c r="N33" i="1611"/>
  <c r="N32" i="1611"/>
  <c r="N31" i="1611"/>
  <c r="N30" i="1611"/>
  <c r="N29" i="1611"/>
  <c r="N28" i="1611"/>
  <c r="N27" i="1611"/>
  <c r="N26" i="1611"/>
  <c r="N25" i="1611"/>
  <c r="N24" i="1611"/>
  <c r="N23" i="1611"/>
  <c r="N22" i="1611"/>
  <c r="N21" i="1611"/>
  <c r="N20" i="1611"/>
  <c r="N19" i="1611"/>
  <c r="N18" i="1611"/>
  <c r="N17" i="1611"/>
  <c r="N16" i="1611"/>
  <c r="N15" i="1611"/>
  <c r="N14" i="1611"/>
  <c r="N13" i="1611"/>
  <c r="N12" i="1611"/>
  <c r="N11" i="1611"/>
  <c r="N7" i="1611"/>
  <c r="N5" i="1611"/>
  <c r="AA47" i="1611"/>
  <c r="AA46" i="1611"/>
  <c r="AA45" i="1611"/>
  <c r="AA44" i="1611"/>
  <c r="AA43" i="1611"/>
  <c r="AA42" i="1611"/>
  <c r="AA41" i="1611"/>
  <c r="AA40" i="1611"/>
  <c r="AA39" i="1611"/>
  <c r="AA38" i="1611"/>
  <c r="AA37" i="1611"/>
  <c r="AA36" i="1611"/>
  <c r="AA35" i="1611"/>
  <c r="AA34" i="1611"/>
  <c r="AA33" i="1611"/>
  <c r="AA32" i="1611"/>
  <c r="AA31" i="1611"/>
  <c r="AA30" i="1611"/>
  <c r="AA29" i="1611"/>
  <c r="AA28" i="1611"/>
  <c r="AA27" i="1611"/>
  <c r="AA26" i="1611"/>
  <c r="AA25" i="1611"/>
  <c r="AA24" i="1611"/>
  <c r="AA23" i="1611"/>
  <c r="AA22" i="1611"/>
  <c r="AA21" i="1611"/>
  <c r="AA20" i="1611"/>
  <c r="AA19" i="1611"/>
  <c r="AA18" i="1611"/>
  <c r="AA17" i="1611"/>
  <c r="AA16" i="1611"/>
  <c r="AA15" i="1611"/>
  <c r="AA14" i="1611"/>
  <c r="AA13" i="1611"/>
  <c r="AA12" i="1611"/>
  <c r="AA11" i="1611"/>
  <c r="AA7" i="1611"/>
  <c r="AA5" i="1611"/>
  <c r="AN47" i="1611"/>
  <c r="AN46" i="1611"/>
  <c r="AN45" i="1611"/>
  <c r="AN44" i="1611"/>
  <c r="AN43" i="1611"/>
  <c r="AN42" i="1611"/>
  <c r="AN41" i="1611"/>
  <c r="AN40" i="1611"/>
  <c r="AN39" i="1611"/>
  <c r="AN38" i="1611"/>
  <c r="AN37" i="1611"/>
  <c r="AN36" i="1611"/>
  <c r="AN35" i="1611"/>
  <c r="AN34" i="1611"/>
  <c r="AN33" i="1611"/>
  <c r="AN32" i="1611"/>
  <c r="AN31" i="1611"/>
  <c r="AN30" i="1611"/>
  <c r="AN29" i="1611"/>
  <c r="AN28" i="1611"/>
  <c r="AN27" i="1611"/>
  <c r="AN26" i="1611"/>
  <c r="AN25" i="1611"/>
  <c r="AN24" i="1611"/>
  <c r="AN23" i="1611"/>
  <c r="AN22" i="1611"/>
  <c r="AN21" i="1611"/>
  <c r="AN20" i="1611"/>
  <c r="AN19" i="1611"/>
  <c r="AN18" i="1611"/>
  <c r="AN17" i="1611"/>
  <c r="AN16" i="1611"/>
  <c r="AN15" i="1611"/>
  <c r="AN14" i="1611"/>
  <c r="AN13" i="1611"/>
  <c r="AN12" i="1611"/>
  <c r="AN11" i="1611"/>
  <c r="AN7" i="1611"/>
  <c r="AN5" i="1611"/>
  <c r="BA47" i="1611"/>
  <c r="BA46" i="1611"/>
  <c r="BA45" i="1611"/>
  <c r="BA44" i="1611"/>
  <c r="BA43" i="1611"/>
  <c r="BA42" i="1611"/>
  <c r="BA41" i="1611"/>
  <c r="BA40" i="1611"/>
  <c r="BA39" i="1611"/>
  <c r="BA38" i="1611"/>
  <c r="BA37" i="1611"/>
  <c r="BA36" i="1611"/>
  <c r="BA35" i="1611"/>
  <c r="BA34" i="1611"/>
  <c r="BA33" i="1611"/>
  <c r="BA32" i="1611"/>
  <c r="BA31" i="1611"/>
  <c r="BA30" i="1611"/>
  <c r="BA29" i="1611"/>
  <c r="BA28" i="1611"/>
  <c r="BA27" i="1611"/>
  <c r="BA26" i="1611"/>
  <c r="BA25" i="1611"/>
  <c r="BA24" i="1611"/>
  <c r="BA23" i="1611"/>
  <c r="BA22" i="1611"/>
  <c r="BA21" i="1611"/>
  <c r="BA20" i="1611"/>
  <c r="BA19" i="1611"/>
  <c r="BA18" i="1611"/>
  <c r="BA17" i="1611"/>
  <c r="BA16" i="1611"/>
  <c r="BA15" i="1611"/>
  <c r="BA14" i="1611"/>
  <c r="BA13" i="1611"/>
  <c r="BA12" i="1611"/>
  <c r="BA11" i="1611"/>
  <c r="BA7" i="1611"/>
  <c r="BA5" i="1611"/>
  <c r="BN47" i="1611"/>
  <c r="BN46" i="1611"/>
  <c r="BN45" i="1611"/>
  <c r="BN44" i="1611"/>
  <c r="BN43" i="1611"/>
  <c r="BN42" i="1611"/>
  <c r="BN41" i="1611"/>
  <c r="BN40" i="1611"/>
  <c r="BN39" i="1611"/>
  <c r="BN38" i="1611"/>
  <c r="BN37" i="1611"/>
  <c r="BN36" i="1611"/>
  <c r="BN35" i="1611"/>
  <c r="BN34" i="1611"/>
  <c r="BN33" i="1611"/>
  <c r="BN32" i="1611"/>
  <c r="BN31" i="1611"/>
  <c r="BN30" i="1611"/>
  <c r="BN29" i="1611"/>
  <c r="BN28" i="1611"/>
  <c r="BN27" i="1611"/>
  <c r="BN26" i="1611"/>
  <c r="BN25" i="1611"/>
  <c r="BN24" i="1611"/>
  <c r="BN23" i="1611"/>
  <c r="BN22" i="1611"/>
  <c r="BN21" i="1611"/>
  <c r="BN20" i="1611"/>
  <c r="BN19" i="1611"/>
  <c r="BN18" i="1611"/>
  <c r="BN17" i="1611"/>
  <c r="BN16" i="1611"/>
  <c r="BN15" i="1611"/>
  <c r="BN14" i="1611"/>
  <c r="BN13" i="1611"/>
  <c r="BN12" i="1611"/>
  <c r="BN11" i="1611"/>
  <c r="BN7" i="1611"/>
  <c r="BN5" i="1611"/>
  <c r="CA47" i="1611"/>
  <c r="CA46" i="1611"/>
  <c r="CA45" i="1611"/>
  <c r="CA44" i="1611"/>
  <c r="CA43" i="1611"/>
  <c r="CA42" i="1611"/>
  <c r="CA41" i="1611"/>
  <c r="CA40" i="1611"/>
  <c r="CA39" i="1611"/>
  <c r="CA38" i="1611"/>
  <c r="CA37" i="1611"/>
  <c r="CA36" i="1611"/>
  <c r="CA35" i="1611"/>
  <c r="CA34" i="1611"/>
  <c r="CA33" i="1611"/>
  <c r="CA32" i="1611"/>
  <c r="CA31" i="1611"/>
  <c r="CA30" i="1611"/>
  <c r="CA29" i="1611"/>
  <c r="CA28" i="1611"/>
  <c r="CA27" i="1611"/>
  <c r="CA26" i="1611"/>
  <c r="CA25" i="1611"/>
  <c r="CA24" i="1611"/>
  <c r="CA23" i="1611"/>
  <c r="CA22" i="1611"/>
  <c r="CA21" i="1611"/>
  <c r="CA20" i="1611"/>
  <c r="CA19" i="1611"/>
  <c r="CA18" i="1611"/>
  <c r="CA17" i="1611"/>
  <c r="CA16" i="1611"/>
  <c r="CA15" i="1611"/>
  <c r="CA14" i="1611"/>
  <c r="CA13" i="1611"/>
  <c r="CA12" i="1611"/>
  <c r="CA11" i="1611"/>
  <c r="CA7" i="1611"/>
  <c r="CA5" i="1611"/>
  <c r="CN47" i="1611"/>
  <c r="CN46" i="1611"/>
  <c r="CN45" i="1611"/>
  <c r="CN44" i="1611"/>
  <c r="CN43" i="1611"/>
  <c r="CN42" i="1611"/>
  <c r="CN41" i="1611"/>
  <c r="CN40" i="1611"/>
  <c r="CN39" i="1611"/>
  <c r="CN38" i="1611"/>
  <c r="CN37" i="1611"/>
  <c r="CN36" i="1611"/>
  <c r="CN35" i="1611"/>
  <c r="CN34" i="1611"/>
  <c r="CN33" i="1611"/>
  <c r="CN32" i="1611"/>
  <c r="CN31" i="1611"/>
  <c r="CN30" i="1611"/>
  <c r="CN29" i="1611"/>
  <c r="CN28" i="1611"/>
  <c r="CN27" i="1611"/>
  <c r="CN26" i="1611"/>
  <c r="CN25" i="1611"/>
  <c r="CN24" i="1611"/>
  <c r="CN23" i="1611"/>
  <c r="CN22" i="1611"/>
  <c r="CN21" i="1611"/>
  <c r="CN20" i="1611"/>
  <c r="CN19" i="1611"/>
  <c r="CN18" i="1611"/>
  <c r="CN17" i="1611"/>
  <c r="CN16" i="1611"/>
  <c r="CN15" i="1611"/>
  <c r="CN14" i="1611"/>
  <c r="CN13" i="1611"/>
  <c r="CN12" i="1611"/>
  <c r="CN11" i="1611"/>
  <c r="CN7" i="1611"/>
  <c r="CN5" i="1611"/>
  <c r="DA47" i="1611"/>
  <c r="DA46" i="1611"/>
  <c r="DA45" i="1611"/>
  <c r="DA44" i="1611"/>
  <c r="DA43" i="1611"/>
  <c r="DA42" i="1611"/>
  <c r="DA41" i="1611"/>
  <c r="DA40" i="1611"/>
  <c r="DA39" i="1611"/>
  <c r="DA38" i="1611"/>
  <c r="DA37" i="1611"/>
  <c r="DA36" i="1611"/>
  <c r="DA35" i="1611"/>
  <c r="DA34" i="1611"/>
  <c r="DA33" i="1611"/>
  <c r="DA32" i="1611"/>
  <c r="DA31" i="1611"/>
  <c r="DA30" i="1611"/>
  <c r="DA29" i="1611"/>
  <c r="DA28" i="1611"/>
  <c r="DA27" i="1611"/>
  <c r="DA26" i="1611"/>
  <c r="DA25" i="1611"/>
  <c r="DA24" i="1611"/>
  <c r="DA23" i="1611"/>
  <c r="DA22" i="1611"/>
  <c r="DA21" i="1611"/>
  <c r="DA20" i="1611"/>
  <c r="DA19" i="1611"/>
  <c r="DA18" i="1611"/>
  <c r="DA17" i="1611"/>
  <c r="DA16" i="1611"/>
  <c r="DA15" i="1611"/>
  <c r="DA14" i="1611"/>
  <c r="DA13" i="1611"/>
  <c r="DA12" i="1611"/>
  <c r="DA11" i="1611"/>
  <c r="DA7" i="1611"/>
  <c r="DA5" i="1611"/>
  <c r="DN47" i="1611"/>
  <c r="DN46" i="1611"/>
  <c r="DN45" i="1611"/>
  <c r="DN44" i="1611"/>
  <c r="DN43" i="1611"/>
  <c r="DN42" i="1611"/>
  <c r="DN41" i="1611"/>
  <c r="DN40" i="1611"/>
  <c r="DN39" i="1611"/>
  <c r="DN38" i="1611"/>
  <c r="DN37" i="1611"/>
  <c r="DN36" i="1611"/>
  <c r="DN35" i="1611"/>
  <c r="DN34" i="1611"/>
  <c r="DN33" i="1611"/>
  <c r="DN32" i="1611"/>
  <c r="DN31" i="1611"/>
  <c r="DN30" i="1611"/>
  <c r="DN29" i="1611"/>
  <c r="DN28" i="1611"/>
  <c r="DN27" i="1611"/>
  <c r="DN26" i="1611"/>
  <c r="DN25" i="1611"/>
  <c r="DN24" i="1611"/>
  <c r="DN23" i="1611"/>
  <c r="DN22" i="1611"/>
  <c r="DN21" i="1611"/>
  <c r="DN20" i="1611"/>
  <c r="DN19" i="1611"/>
  <c r="DN18" i="1611"/>
  <c r="DN17" i="1611"/>
  <c r="DN16" i="1611"/>
  <c r="DN15" i="1611"/>
  <c r="DN14" i="1611"/>
  <c r="DN13" i="1611"/>
  <c r="DN12" i="1611"/>
  <c r="DN11" i="1611"/>
  <c r="DN7" i="1611"/>
  <c r="DN5" i="1611"/>
  <c r="EA47" i="1611"/>
  <c r="EA46" i="1611"/>
  <c r="EA45" i="1611"/>
  <c r="EA44" i="1611"/>
  <c r="EA43" i="1611"/>
  <c r="EA42" i="1611"/>
  <c r="EA41" i="1611"/>
  <c r="EA40" i="1611"/>
  <c r="EA39" i="1611"/>
  <c r="EA38" i="1611"/>
  <c r="EA37" i="1611"/>
  <c r="EA36" i="1611"/>
  <c r="EA35" i="1611"/>
  <c r="EA34" i="1611"/>
  <c r="EA33" i="1611"/>
  <c r="EA32" i="1611"/>
  <c r="EA31" i="1611"/>
  <c r="EA30" i="1611"/>
  <c r="EA29" i="1611"/>
  <c r="EA28" i="1611"/>
  <c r="EA27" i="1611"/>
  <c r="EA26" i="1611"/>
  <c r="EA25" i="1611"/>
  <c r="EA24" i="1611"/>
  <c r="EA23" i="1611"/>
  <c r="EA22" i="1611"/>
  <c r="EA21" i="1611"/>
  <c r="EA20" i="1611"/>
  <c r="EA19" i="1611"/>
  <c r="EA18" i="1611"/>
  <c r="EA17" i="1611"/>
  <c r="EA16" i="1611"/>
  <c r="EA15" i="1611"/>
  <c r="EA14" i="1611"/>
  <c r="EA13" i="1611"/>
  <c r="EA12" i="1611"/>
  <c r="EA11" i="1611"/>
  <c r="EA7" i="1611"/>
  <c r="EA5" i="1611"/>
  <c r="EN47" i="1611"/>
  <c r="EN46" i="1611"/>
  <c r="EN45" i="1611"/>
  <c r="EN44" i="1611"/>
  <c r="EN43" i="1611"/>
  <c r="EN42" i="1611"/>
  <c r="EN41" i="1611"/>
  <c r="EN40" i="1611"/>
  <c r="EN39" i="1611"/>
  <c r="EN38" i="1611"/>
  <c r="EN37" i="1611"/>
  <c r="EN36" i="1611"/>
  <c r="EN35" i="1611"/>
  <c r="EN34" i="1611"/>
  <c r="EN33" i="1611"/>
  <c r="EN32" i="1611"/>
  <c r="EN31" i="1611"/>
  <c r="EN30" i="1611"/>
  <c r="EN29" i="1611"/>
  <c r="EN28" i="1611"/>
  <c r="EN27" i="1611"/>
  <c r="EN26" i="1611"/>
  <c r="EN25" i="1611"/>
  <c r="EN24" i="1611"/>
  <c r="EN23" i="1611"/>
  <c r="EN22" i="1611"/>
  <c r="EN21" i="1611"/>
  <c r="EN20" i="1611"/>
  <c r="EN19" i="1611"/>
  <c r="EN18" i="1611"/>
  <c r="EN17" i="1611"/>
  <c r="EN16" i="1611"/>
  <c r="EN15" i="1611"/>
  <c r="EN14" i="1611"/>
  <c r="EN13" i="1611"/>
  <c r="EN12" i="1611"/>
  <c r="EN11" i="1611"/>
  <c r="EN7" i="1611"/>
  <c r="EN5" i="1611"/>
  <c r="FA47" i="1611"/>
  <c r="FA46" i="1611"/>
  <c r="FA45" i="1611"/>
  <c r="FA44" i="1611"/>
  <c r="FA43" i="1611"/>
  <c r="FA42" i="1611"/>
  <c r="FA41" i="1611"/>
  <c r="FA40" i="1611"/>
  <c r="FA39" i="1611"/>
  <c r="FA38" i="1611"/>
  <c r="FA37" i="1611"/>
  <c r="FA36" i="1611"/>
  <c r="FA35" i="1611"/>
  <c r="FA34" i="1611"/>
  <c r="FA33" i="1611"/>
  <c r="FA32" i="1611"/>
  <c r="FA31" i="1611"/>
  <c r="FA30" i="1611"/>
  <c r="FA29" i="1611"/>
  <c r="FA28" i="1611"/>
  <c r="FA27" i="1611"/>
  <c r="FA26" i="1611"/>
  <c r="FA25" i="1611"/>
  <c r="FA24" i="1611"/>
  <c r="FA23" i="1611"/>
  <c r="FA22" i="1611"/>
  <c r="FA21" i="1611"/>
  <c r="FA20" i="1611"/>
  <c r="FA19" i="1611"/>
  <c r="FA18" i="1611"/>
  <c r="FA17" i="1611"/>
  <c r="FA16" i="1611"/>
  <c r="FA15" i="1611"/>
  <c r="FA14" i="1611"/>
  <c r="FA13" i="1611"/>
  <c r="FA12" i="1611"/>
  <c r="FA11" i="1611"/>
  <c r="FA7" i="1611"/>
  <c r="FA5" i="1611"/>
  <c r="FN47" i="1611"/>
  <c r="FN46" i="1611"/>
  <c r="FN45" i="1611"/>
  <c r="FN44" i="1611"/>
  <c r="FN43" i="1611"/>
  <c r="FN42" i="1611"/>
  <c r="FN41" i="1611"/>
  <c r="FN40" i="1611"/>
  <c r="FN39" i="1611"/>
  <c r="FN38" i="1611"/>
  <c r="FN37" i="1611"/>
  <c r="FN36" i="1611"/>
  <c r="FN35" i="1611"/>
  <c r="FN34" i="1611"/>
  <c r="FN33" i="1611"/>
  <c r="FN32" i="1611"/>
  <c r="FN31" i="1611"/>
  <c r="FN30" i="1611"/>
  <c r="FN29" i="1611"/>
  <c r="FN28" i="1611"/>
  <c r="FN27" i="1611"/>
  <c r="FN26" i="1611"/>
  <c r="FN25" i="1611"/>
  <c r="FN24" i="1611"/>
  <c r="FN23" i="1611"/>
  <c r="FN22" i="1611"/>
  <c r="FN21" i="1611"/>
  <c r="FN20" i="1611"/>
  <c r="FN19" i="1611"/>
  <c r="FN18" i="1611"/>
  <c r="FN17" i="1611"/>
  <c r="FN16" i="1611"/>
  <c r="FN15" i="1611"/>
  <c r="FN14" i="1611"/>
  <c r="FN13" i="1611"/>
  <c r="FN12" i="1611"/>
  <c r="FN11" i="1611"/>
  <c r="FN7" i="1611"/>
  <c r="FN5" i="1611"/>
  <c r="GA47" i="1611"/>
  <c r="GA46" i="1611"/>
  <c r="GA45" i="1611"/>
  <c r="GA44" i="1611"/>
  <c r="GA43" i="1611"/>
  <c r="GA42" i="1611"/>
  <c r="GA41" i="1611"/>
  <c r="GA40" i="1611"/>
  <c r="GA39" i="1611"/>
  <c r="GA38" i="1611"/>
  <c r="GA37" i="1611"/>
  <c r="GA36" i="1611"/>
  <c r="GA35" i="1611"/>
  <c r="GA34" i="1611"/>
  <c r="GA33" i="1611"/>
  <c r="GA32" i="1611"/>
  <c r="GA31" i="1611"/>
  <c r="GA30" i="1611"/>
  <c r="GA29" i="1611"/>
  <c r="GA28" i="1611"/>
  <c r="GA27" i="1611"/>
  <c r="GA26" i="1611"/>
  <c r="GA25" i="1611"/>
  <c r="GA24" i="1611"/>
  <c r="GA23" i="1611"/>
  <c r="GA22" i="1611"/>
  <c r="GA21" i="1611"/>
  <c r="GA20" i="1611"/>
  <c r="GA19" i="1611"/>
  <c r="GA18" i="1611"/>
  <c r="GA17" i="1611"/>
  <c r="GA16" i="1611"/>
  <c r="GA15" i="1611"/>
  <c r="GA14" i="1611"/>
  <c r="GA13" i="1611"/>
  <c r="GA12" i="1611"/>
  <c r="GA11" i="1611"/>
  <c r="GA7" i="1611"/>
  <c r="GA5" i="1611"/>
  <c r="GN47" i="1611"/>
  <c r="GN46" i="1611"/>
  <c r="GN45" i="1611"/>
  <c r="GN44" i="1611"/>
  <c r="GN43" i="1611"/>
  <c r="GN42" i="1611"/>
  <c r="GN41" i="1611"/>
  <c r="GN40" i="1611"/>
  <c r="GN39" i="1611"/>
  <c r="GN38" i="1611"/>
  <c r="GN37" i="1611"/>
  <c r="GN36" i="1611"/>
  <c r="GN35" i="1611"/>
  <c r="GN34" i="1611"/>
  <c r="GN33" i="1611"/>
  <c r="GN32" i="1611"/>
  <c r="GN31" i="1611"/>
  <c r="GN30" i="1611"/>
  <c r="GN29" i="1611"/>
  <c r="GN28" i="1611"/>
  <c r="GN27" i="1611"/>
  <c r="GN26" i="1611"/>
  <c r="GN25" i="1611"/>
  <c r="GN24" i="1611"/>
  <c r="GN23" i="1611"/>
  <c r="GN22" i="1611"/>
  <c r="GN21" i="1611"/>
  <c r="GN20" i="1611"/>
  <c r="GN19" i="1611"/>
  <c r="GN18" i="1611"/>
  <c r="GN17" i="1611"/>
  <c r="GN16" i="1611"/>
  <c r="GN15" i="1611"/>
  <c r="GN14" i="1611"/>
  <c r="GN13" i="1611"/>
  <c r="GN12" i="1611"/>
  <c r="GN11" i="1611"/>
  <c r="GN7" i="1611"/>
  <c r="GN5" i="1611"/>
  <c r="HA47" i="1611"/>
  <c r="HA46" i="1611"/>
  <c r="HA45" i="1611"/>
  <c r="HA44" i="1611"/>
  <c r="HA43" i="1611"/>
  <c r="HA42" i="1611"/>
  <c r="HA41" i="1611"/>
  <c r="HA40" i="1611"/>
  <c r="HA39" i="1611"/>
  <c r="HA38" i="1611"/>
  <c r="HA37" i="1611"/>
  <c r="HA36" i="1611"/>
  <c r="HA35" i="1611"/>
  <c r="HA34" i="1611"/>
  <c r="HA33" i="1611"/>
  <c r="HA32" i="1611"/>
  <c r="HA31" i="1611"/>
  <c r="HA30" i="1611"/>
  <c r="HA29" i="1611"/>
  <c r="HA28" i="1611"/>
  <c r="HA27" i="1611"/>
  <c r="HA26" i="1611"/>
  <c r="HA25" i="1611"/>
  <c r="HA24" i="1611"/>
  <c r="HA23" i="1611"/>
  <c r="HA22" i="1611"/>
  <c r="HA21" i="1611"/>
  <c r="HA20" i="1611"/>
  <c r="HA19" i="1611"/>
  <c r="HA18" i="1611"/>
  <c r="HA17" i="1611"/>
  <c r="HA16" i="1611"/>
  <c r="HA15" i="1611"/>
  <c r="HA14" i="1611"/>
  <c r="HA13" i="1611"/>
  <c r="HA12" i="1611"/>
  <c r="HA11" i="1611"/>
  <c r="HA7" i="1611"/>
  <c r="HA5" i="1611"/>
  <c r="HN47" i="1611"/>
  <c r="HN46" i="1611"/>
  <c r="HN45" i="1611"/>
  <c r="HN44" i="1611"/>
  <c r="HN43" i="1611"/>
  <c r="HN42" i="1611"/>
  <c r="HN41" i="1611"/>
  <c r="HN40" i="1611"/>
  <c r="HN39" i="1611"/>
  <c r="HN38" i="1611"/>
  <c r="HN37" i="1611"/>
  <c r="HN36" i="1611"/>
  <c r="HN35" i="1611"/>
  <c r="HN34" i="1611"/>
  <c r="HN33" i="1611"/>
  <c r="HN32" i="1611"/>
  <c r="HN31" i="1611"/>
  <c r="HN30" i="1611"/>
  <c r="HN29" i="1611"/>
  <c r="HN28" i="1611"/>
  <c r="HN27" i="1611"/>
  <c r="HN26" i="1611"/>
  <c r="HN25" i="1611"/>
  <c r="HN24" i="1611"/>
  <c r="HN23" i="1611"/>
  <c r="HN22" i="1611"/>
  <c r="HN21" i="1611"/>
  <c r="HN20" i="1611"/>
  <c r="HN19" i="1611"/>
  <c r="HN18" i="1611"/>
  <c r="HN17" i="1611"/>
  <c r="HN16" i="1611"/>
  <c r="HN15" i="1611"/>
  <c r="HN14" i="1611"/>
  <c r="HN13" i="1611"/>
  <c r="HN12" i="1611"/>
  <c r="HN11" i="1611"/>
  <c r="HN7" i="1611"/>
  <c r="HN5" i="1611"/>
  <c r="IA47" i="1611"/>
  <c r="IA46" i="1611"/>
  <c r="IA45" i="1611"/>
  <c r="IA44" i="1611"/>
  <c r="IA43" i="1611"/>
  <c r="IA42" i="1611"/>
  <c r="IA41" i="1611"/>
  <c r="IA40" i="1611"/>
  <c r="IA39" i="1611"/>
  <c r="IA38" i="1611"/>
  <c r="IA37" i="1611"/>
  <c r="IA36" i="1611"/>
  <c r="IA35" i="1611"/>
  <c r="IA34" i="1611"/>
  <c r="IA33" i="1611"/>
  <c r="IA32" i="1611"/>
  <c r="IA31" i="1611"/>
  <c r="IA30" i="1611"/>
  <c r="IA29" i="1611"/>
  <c r="IA28" i="1611"/>
  <c r="IA27" i="1611"/>
  <c r="IA26" i="1611"/>
  <c r="IA25" i="1611"/>
  <c r="IA24" i="1611"/>
  <c r="IA23" i="1611"/>
  <c r="IA22" i="1611"/>
  <c r="IA21" i="1611"/>
  <c r="IA20" i="1611"/>
  <c r="IA19" i="1611"/>
  <c r="IA18" i="1611"/>
  <c r="IA17" i="1611"/>
  <c r="IA16" i="1611"/>
  <c r="IA15" i="1611"/>
  <c r="IA14" i="1611"/>
  <c r="IA13" i="1611"/>
  <c r="IA12" i="1611"/>
  <c r="IA11" i="1611"/>
  <c r="IA7" i="1611"/>
  <c r="IA5" i="1611"/>
  <c r="IN47" i="1611"/>
  <c r="IN46" i="1611"/>
  <c r="IN45" i="1611"/>
  <c r="IN44" i="1611"/>
  <c r="IN43" i="1611"/>
  <c r="IN42" i="1611"/>
  <c r="IN41" i="1611"/>
  <c r="IN40" i="1611"/>
  <c r="IN5" i="1611"/>
  <c r="JA47" i="1611"/>
  <c r="JA46" i="1611"/>
  <c r="JA45" i="1611"/>
  <c r="JA44" i="1611"/>
  <c r="JA43" i="1611"/>
  <c r="JA42" i="1611"/>
  <c r="JA41" i="1611"/>
  <c r="JA40" i="1611"/>
  <c r="JA5" i="1611"/>
  <c r="JN47" i="1611"/>
  <c r="JN46" i="1611"/>
  <c r="JN45" i="1611"/>
  <c r="JN44" i="1611"/>
  <c r="JN43" i="1611"/>
  <c r="JN42" i="1611"/>
  <c r="JN41" i="1611"/>
  <c r="JN40" i="1611"/>
  <c r="JN39" i="1611"/>
  <c r="JN38" i="1611"/>
  <c r="JN37" i="1611"/>
  <c r="JN36" i="1611"/>
  <c r="JN35" i="1611"/>
  <c r="JN34" i="1611"/>
  <c r="JN33" i="1611"/>
  <c r="JN32" i="1611"/>
  <c r="JN31" i="1611"/>
  <c r="JN30" i="1611"/>
  <c r="JN29" i="1611"/>
  <c r="JN28" i="1611"/>
  <c r="JN27" i="1611"/>
  <c r="JN26" i="1611"/>
  <c r="JN25" i="1611"/>
  <c r="JN24" i="1611"/>
  <c r="JN23" i="1611"/>
  <c r="JN22" i="1611"/>
  <c r="JN21" i="1611"/>
  <c r="JN20" i="1611"/>
  <c r="JN19" i="1611"/>
  <c r="JN18" i="1611"/>
  <c r="JN17" i="1611"/>
  <c r="JN16" i="1611"/>
  <c r="JN15" i="1611"/>
  <c r="JN14" i="1611"/>
  <c r="JN13" i="1611"/>
  <c r="JN12" i="1611"/>
  <c r="JN11" i="1611"/>
  <c r="JN7" i="1611"/>
  <c r="JN5" i="1611"/>
  <c r="JM9" i="1611"/>
  <c r="JL9" i="1611"/>
  <c r="JK9" i="1611"/>
  <c r="JJ9" i="1611"/>
  <c r="JI9" i="1611"/>
  <c r="JH9" i="1611"/>
  <c r="JG9" i="1611"/>
  <c r="JF9" i="1611"/>
  <c r="JE9" i="1611"/>
  <c r="JD9" i="1611"/>
  <c r="JC9" i="1611"/>
  <c r="JB9" i="1611"/>
  <c r="IZ9" i="1611"/>
  <c r="IY9" i="1611"/>
  <c r="IX9" i="1611"/>
  <c r="IW9" i="1611"/>
  <c r="IV9" i="1611"/>
  <c r="IU9" i="1611"/>
  <c r="IT9" i="1611"/>
  <c r="IS9" i="1611"/>
  <c r="IR9" i="1611"/>
  <c r="IQ9" i="1611"/>
  <c r="IP9" i="1611"/>
  <c r="IO9" i="1611"/>
  <c r="IM9" i="1611"/>
  <c r="IL9" i="1611"/>
  <c r="IK9" i="1611"/>
  <c r="IJ9" i="1611"/>
  <c r="II9" i="1611"/>
  <c r="IH9" i="1611"/>
  <c r="IG9" i="1611"/>
  <c r="IF9" i="1611"/>
  <c r="IE9" i="1611"/>
  <c r="ID9" i="1611"/>
  <c r="IC9" i="1611"/>
  <c r="IB9" i="1611"/>
  <c r="HZ9" i="1611"/>
  <c r="HY9" i="1611"/>
  <c r="HX9" i="1611"/>
  <c r="HW9" i="1611"/>
  <c r="HV9" i="1611"/>
  <c r="HU9" i="1611"/>
  <c r="HT9" i="1611"/>
  <c r="HS9" i="1611"/>
  <c r="HR9" i="1611"/>
  <c r="HQ9" i="1611"/>
  <c r="HP9" i="1611"/>
  <c r="HO9" i="1611"/>
  <c r="HM9" i="1611"/>
  <c r="HL9" i="1611"/>
  <c r="HK9" i="1611"/>
  <c r="HJ9" i="1611"/>
  <c r="HI9" i="1611"/>
  <c r="HH9" i="1611"/>
  <c r="HG9" i="1611"/>
  <c r="HF9" i="1611"/>
  <c r="HE9" i="1611"/>
  <c r="HD9" i="1611"/>
  <c r="HC9" i="1611"/>
  <c r="HB9" i="1611"/>
  <c r="GZ9" i="1611"/>
  <c r="GY9" i="1611"/>
  <c r="GX9" i="1611"/>
  <c r="GW9" i="1611"/>
  <c r="GV9" i="1611"/>
  <c r="GU9" i="1611"/>
  <c r="GT9" i="1611"/>
  <c r="GS9" i="1611"/>
  <c r="GR9" i="1611"/>
  <c r="GQ9" i="1611"/>
  <c r="GP9" i="1611"/>
  <c r="GO9" i="1611"/>
  <c r="GM9" i="1611"/>
  <c r="GL9" i="1611"/>
  <c r="GK9" i="1611"/>
  <c r="GJ9" i="1611"/>
  <c r="GI9" i="1611"/>
  <c r="GH9" i="1611"/>
  <c r="GG9" i="1611"/>
  <c r="GF9" i="1611"/>
  <c r="GE9" i="1611"/>
  <c r="GD9" i="1611"/>
  <c r="GC9" i="1611"/>
  <c r="GB9" i="1611"/>
  <c r="FZ9" i="1611"/>
  <c r="FY9" i="1611"/>
  <c r="FX9" i="1611"/>
  <c r="FW9" i="1611"/>
  <c r="FV9" i="1611"/>
  <c r="FU9" i="1611"/>
  <c r="FT9" i="1611"/>
  <c r="FS9" i="1611"/>
  <c r="FR9" i="1611"/>
  <c r="FQ9" i="1611"/>
  <c r="FP9" i="1611"/>
  <c r="FO9" i="1611"/>
  <c r="FM9" i="1611"/>
  <c r="FL9" i="1611"/>
  <c r="FK9" i="1611"/>
  <c r="FJ9" i="1611"/>
  <c r="FI9" i="1611"/>
  <c r="FH9" i="1611"/>
  <c r="FG9" i="1611"/>
  <c r="FF9" i="1611"/>
  <c r="FE9" i="1611"/>
  <c r="FD9" i="1611"/>
  <c r="FC9" i="1611"/>
  <c r="FB9" i="1611"/>
  <c r="EZ9" i="1611"/>
  <c r="EY9" i="1611"/>
  <c r="EX9" i="1611"/>
  <c r="EW9" i="1611"/>
  <c r="EV9" i="1611"/>
  <c r="EU9" i="1611"/>
  <c r="ET9" i="1611"/>
  <c r="ES9" i="1611"/>
  <c r="ER9" i="1611"/>
  <c r="EQ9" i="1611"/>
  <c r="EP9" i="1611"/>
  <c r="EO9" i="1611"/>
  <c r="EM9" i="1611"/>
  <c r="EL9" i="1611"/>
  <c r="EK9" i="1611"/>
  <c r="EJ9" i="1611"/>
  <c r="EI9" i="1611"/>
  <c r="EH9" i="1611"/>
  <c r="EG9" i="1611"/>
  <c r="EF9" i="1611"/>
  <c r="EE9" i="1611"/>
  <c r="ED9" i="1611"/>
  <c r="EC9" i="1611"/>
  <c r="EB9" i="1611"/>
  <c r="DZ9" i="1611"/>
  <c r="DY9" i="1611"/>
  <c r="DX9" i="1611"/>
  <c r="DW9" i="1611"/>
  <c r="DV9" i="1611"/>
  <c r="DU9" i="1611"/>
  <c r="DT9" i="1611"/>
  <c r="DS9" i="1611"/>
  <c r="DR9" i="1611"/>
  <c r="DQ9" i="1611"/>
  <c r="DP9" i="1611"/>
  <c r="DO9" i="1611"/>
  <c r="DM9" i="1611"/>
  <c r="DL9" i="1611"/>
  <c r="DK9" i="1611"/>
  <c r="DJ9" i="1611"/>
  <c r="DI9" i="1611"/>
  <c r="DH9" i="1611"/>
  <c r="DG9" i="1611"/>
  <c r="DF9" i="1611"/>
  <c r="DE9" i="1611"/>
  <c r="DD9" i="1611"/>
  <c r="DC9" i="1611"/>
  <c r="DB9" i="1611"/>
  <c r="CZ9" i="1611"/>
  <c r="CY9" i="1611"/>
  <c r="CX9" i="1611"/>
  <c r="CW9" i="1611"/>
  <c r="CV9" i="1611"/>
  <c r="CU9" i="1611"/>
  <c r="CT9" i="1611"/>
  <c r="CS9" i="1611"/>
  <c r="CR9" i="1611"/>
  <c r="CQ9" i="1611"/>
  <c r="CP9" i="1611"/>
  <c r="CO9" i="1611"/>
  <c r="CM9" i="1611"/>
  <c r="CL9" i="1611"/>
  <c r="CK9" i="1611"/>
  <c r="CJ9" i="1611"/>
  <c r="CI9" i="1611"/>
  <c r="CH9" i="1611"/>
  <c r="CG9" i="1611"/>
  <c r="CF9" i="1611"/>
  <c r="CE9" i="1611"/>
  <c r="CD9" i="1611"/>
  <c r="CC9" i="1611"/>
  <c r="CB9" i="1611"/>
  <c r="BZ9" i="1611"/>
  <c r="BY9" i="1611"/>
  <c r="BX9" i="1611"/>
  <c r="BW9" i="1611"/>
  <c r="BV9" i="1611"/>
  <c r="BU9" i="1611"/>
  <c r="BT9" i="1611"/>
  <c r="BS9" i="1611"/>
  <c r="BR9" i="1611"/>
  <c r="BQ9" i="1611"/>
  <c r="BP9" i="1611"/>
  <c r="BO9" i="1611"/>
  <c r="BM9" i="1611"/>
  <c r="BL9" i="1611"/>
  <c r="BK9" i="1611"/>
  <c r="BJ9" i="1611"/>
  <c r="BI9" i="1611"/>
  <c r="BH9" i="1611"/>
  <c r="BG9" i="1611"/>
  <c r="BF9" i="1611"/>
  <c r="BE9" i="1611"/>
  <c r="BD9" i="1611"/>
  <c r="BC9" i="1611"/>
  <c r="BB9" i="1611"/>
  <c r="AZ9" i="1611"/>
  <c r="AY9" i="1611"/>
  <c r="AX9" i="1611"/>
  <c r="AW9" i="1611"/>
  <c r="AV9" i="1611"/>
  <c r="AU9" i="1611"/>
  <c r="AT9" i="1611"/>
  <c r="AS9" i="1611"/>
  <c r="AR9" i="1611"/>
  <c r="AQ9" i="1611"/>
  <c r="AP9" i="1611"/>
  <c r="AO9" i="1611"/>
  <c r="AM9" i="1611"/>
  <c r="AL9" i="1611"/>
  <c r="AK9" i="1611"/>
  <c r="AJ9" i="1611"/>
  <c r="AI9" i="1611"/>
  <c r="AH9" i="1611"/>
  <c r="AG9" i="1611"/>
  <c r="AF9" i="1611"/>
  <c r="AE9" i="1611"/>
  <c r="AD9" i="1611"/>
  <c r="AC9" i="1611"/>
  <c r="AB9" i="1611"/>
  <c r="Z9" i="1611"/>
  <c r="Y9" i="1611"/>
  <c r="X9" i="1611"/>
  <c r="W9" i="1611"/>
  <c r="V9" i="1611"/>
  <c r="U9" i="1611"/>
  <c r="T9" i="1611"/>
  <c r="S9" i="1611"/>
  <c r="R9" i="1611"/>
  <c r="Q9" i="1611"/>
  <c r="P9" i="1611"/>
  <c r="O9" i="1611"/>
  <c r="M9" i="1611"/>
  <c r="L9" i="1611"/>
  <c r="K9" i="1611"/>
  <c r="J9" i="1611"/>
  <c r="I9" i="1611"/>
  <c r="H9" i="1611"/>
  <c r="G9" i="1611"/>
  <c r="F9" i="1611"/>
  <c r="E9" i="1611"/>
  <c r="D9" i="1611"/>
  <c r="C9" i="1611"/>
  <c r="B9" i="1611"/>
  <c r="JW13" i="2533"/>
  <c r="JG51" i="1610"/>
  <c r="IT51" i="1610"/>
  <c r="II51" i="1610"/>
  <c r="HP51" i="1610"/>
  <c r="HG51" i="1610"/>
  <c r="HE51" i="1610"/>
  <c r="HC51" i="1610"/>
  <c r="GT51" i="1610"/>
  <c r="GP51" i="1610"/>
  <c r="FV51" i="1610"/>
  <c r="FU51" i="1610"/>
  <c r="FT51" i="1610"/>
  <c r="FH51" i="1610"/>
  <c r="FG51" i="1610"/>
  <c r="FC51" i="1610"/>
  <c r="ET51" i="1610"/>
  <c r="EE51" i="1610"/>
  <c r="CI51" i="1610"/>
  <c r="CC51" i="1610"/>
  <c r="BP51" i="1610"/>
  <c r="BE51" i="1610"/>
  <c r="H51" i="1610"/>
  <c r="C51" i="1610"/>
  <c r="N38" i="2533"/>
  <c r="N37" i="2533"/>
  <c r="N36" i="2533"/>
  <c r="N35" i="2533"/>
  <c r="N34" i="2533"/>
  <c r="N33" i="2533"/>
  <c r="N32" i="2533"/>
  <c r="N31" i="2533"/>
  <c r="N30" i="2533"/>
  <c r="N29" i="2533"/>
  <c r="N28" i="2533"/>
  <c r="N27" i="2533"/>
  <c r="N26" i="2533"/>
  <c r="N25" i="2533"/>
  <c r="N24" i="2533"/>
  <c r="N23" i="2533"/>
  <c r="N22" i="2533"/>
  <c r="N21" i="2533"/>
  <c r="N20" i="2533"/>
  <c r="N19" i="2533"/>
  <c r="N18" i="2533"/>
  <c r="N17" i="2533"/>
  <c r="N16" i="2533"/>
  <c r="N15" i="2533"/>
  <c r="N14" i="2533"/>
  <c r="N13" i="2533"/>
  <c r="N12" i="2533"/>
  <c r="N11" i="2533"/>
  <c r="N10" i="2533"/>
  <c r="N9" i="2533"/>
  <c r="N5" i="2533"/>
  <c r="AA38" i="2533"/>
  <c r="AA37" i="2533"/>
  <c r="AA36" i="2533"/>
  <c r="AA35" i="2533"/>
  <c r="AA34" i="2533"/>
  <c r="AA33" i="2533"/>
  <c r="AA32" i="2533"/>
  <c r="AA31" i="2533"/>
  <c r="AA30" i="2533"/>
  <c r="AA29" i="2533"/>
  <c r="AA28" i="2533"/>
  <c r="AA27" i="2533"/>
  <c r="AA26" i="2533"/>
  <c r="AA25" i="2533"/>
  <c r="AA24" i="2533"/>
  <c r="AA23" i="2533"/>
  <c r="AA22" i="2533"/>
  <c r="AA21" i="2533"/>
  <c r="AA20" i="2533"/>
  <c r="AA19" i="2533"/>
  <c r="AA18" i="2533"/>
  <c r="AA17" i="2533"/>
  <c r="AA16" i="2533"/>
  <c r="AA15" i="2533"/>
  <c r="AA14" i="2533"/>
  <c r="AA13" i="2533"/>
  <c r="AA12" i="2533"/>
  <c r="AA11" i="2533"/>
  <c r="AA10" i="2533"/>
  <c r="AA9" i="2533"/>
  <c r="AA5" i="2533"/>
  <c r="AN38" i="2533"/>
  <c r="AN37" i="2533"/>
  <c r="AN36" i="2533"/>
  <c r="AN35" i="2533"/>
  <c r="AN34" i="2533"/>
  <c r="AN33" i="2533"/>
  <c r="AN32" i="2533"/>
  <c r="AN31" i="2533"/>
  <c r="AN30" i="2533"/>
  <c r="AN29" i="2533"/>
  <c r="AN28" i="2533"/>
  <c r="AN27" i="2533"/>
  <c r="AN26" i="2533"/>
  <c r="AN25" i="2533"/>
  <c r="AN24" i="2533"/>
  <c r="AN23" i="2533"/>
  <c r="AN22" i="2533"/>
  <c r="AN21" i="2533"/>
  <c r="AN20" i="2533"/>
  <c r="AN19" i="2533"/>
  <c r="AN18" i="2533"/>
  <c r="AN17" i="2533"/>
  <c r="AN16" i="2533"/>
  <c r="AN15" i="2533"/>
  <c r="AN14" i="2533"/>
  <c r="AN13" i="2533"/>
  <c r="AN12" i="2533"/>
  <c r="AN11" i="2533"/>
  <c r="AN10" i="2533"/>
  <c r="AN9" i="2533"/>
  <c r="AN5" i="2533"/>
  <c r="BA38" i="2533"/>
  <c r="BA37" i="2533"/>
  <c r="BA36" i="2533"/>
  <c r="BA35" i="2533"/>
  <c r="BA34" i="2533"/>
  <c r="BA33" i="2533"/>
  <c r="BA32" i="2533"/>
  <c r="BA31" i="2533"/>
  <c r="BA30" i="2533"/>
  <c r="BA29" i="2533"/>
  <c r="BA28" i="2533"/>
  <c r="BA27" i="2533"/>
  <c r="BA26" i="2533"/>
  <c r="BA25" i="2533"/>
  <c r="BA24" i="2533"/>
  <c r="BA23" i="2533"/>
  <c r="BA22" i="2533"/>
  <c r="BA21" i="2533"/>
  <c r="BA20" i="2533"/>
  <c r="BA19" i="2533"/>
  <c r="BA18" i="2533"/>
  <c r="BA17" i="2533"/>
  <c r="BA16" i="2533"/>
  <c r="BA15" i="2533"/>
  <c r="BA14" i="2533"/>
  <c r="BA13" i="2533"/>
  <c r="BA12" i="2533"/>
  <c r="BA11" i="2533"/>
  <c r="BA10" i="2533"/>
  <c r="BA9" i="2533"/>
  <c r="BA5" i="2533"/>
  <c r="BN38" i="2533"/>
  <c r="BN37" i="2533"/>
  <c r="BN36" i="2533"/>
  <c r="BN35" i="2533"/>
  <c r="BN34" i="2533"/>
  <c r="BN33" i="2533"/>
  <c r="BN32" i="2533"/>
  <c r="BN31" i="2533"/>
  <c r="BN30" i="2533"/>
  <c r="BN29" i="2533"/>
  <c r="BN28" i="2533"/>
  <c r="BN27" i="2533"/>
  <c r="BN26" i="2533"/>
  <c r="BN25" i="2533"/>
  <c r="BN24" i="2533"/>
  <c r="BN23" i="2533"/>
  <c r="BN22" i="2533"/>
  <c r="BN21" i="2533"/>
  <c r="BN20" i="2533"/>
  <c r="BN19" i="2533"/>
  <c r="BN18" i="2533"/>
  <c r="BN17" i="2533"/>
  <c r="BN16" i="2533"/>
  <c r="BN15" i="2533"/>
  <c r="BN14" i="2533"/>
  <c r="BN13" i="2533"/>
  <c r="BN12" i="2533"/>
  <c r="BN11" i="2533"/>
  <c r="BN10" i="2533"/>
  <c r="BN9" i="2533"/>
  <c r="BN5" i="2533"/>
  <c r="CA38" i="2533"/>
  <c r="CA37" i="2533"/>
  <c r="CA36" i="2533"/>
  <c r="CA35" i="2533"/>
  <c r="CA34" i="2533"/>
  <c r="CA33" i="2533"/>
  <c r="CA32" i="2533"/>
  <c r="CA31" i="2533"/>
  <c r="CA30" i="2533"/>
  <c r="CA29" i="2533"/>
  <c r="CA28" i="2533"/>
  <c r="CA27" i="2533"/>
  <c r="CA26" i="2533"/>
  <c r="CA25" i="2533"/>
  <c r="CA24" i="2533"/>
  <c r="CA23" i="2533"/>
  <c r="CA22" i="2533"/>
  <c r="CA21" i="2533"/>
  <c r="CA20" i="2533"/>
  <c r="CA19" i="2533"/>
  <c r="CA18" i="2533"/>
  <c r="CA17" i="2533"/>
  <c r="CA16" i="2533"/>
  <c r="CA15" i="2533"/>
  <c r="CA14" i="2533"/>
  <c r="CA13" i="2533"/>
  <c r="CA12" i="2533"/>
  <c r="CA11" i="2533"/>
  <c r="CA10" i="2533"/>
  <c r="CA9" i="2533"/>
  <c r="CA5" i="2533"/>
  <c r="CN38" i="2533"/>
  <c r="CN37" i="2533"/>
  <c r="CN36" i="2533"/>
  <c r="CN35" i="2533"/>
  <c r="CN34" i="2533"/>
  <c r="CN33" i="2533"/>
  <c r="CN32" i="2533"/>
  <c r="CN31" i="2533"/>
  <c r="CN30" i="2533"/>
  <c r="CN29" i="2533"/>
  <c r="CN28" i="2533"/>
  <c r="CN27" i="2533"/>
  <c r="CN26" i="2533"/>
  <c r="CN25" i="2533"/>
  <c r="CN24" i="2533"/>
  <c r="CN23" i="2533"/>
  <c r="CN22" i="2533"/>
  <c r="CN21" i="2533"/>
  <c r="CN20" i="2533"/>
  <c r="CN19" i="2533"/>
  <c r="CN18" i="2533"/>
  <c r="CN17" i="2533"/>
  <c r="CN16" i="2533"/>
  <c r="CN15" i="2533"/>
  <c r="CN14" i="2533"/>
  <c r="CN13" i="2533"/>
  <c r="CN12" i="2533"/>
  <c r="CN11" i="2533"/>
  <c r="CN10" i="2533"/>
  <c r="CN9" i="2533"/>
  <c r="CN5" i="2533"/>
  <c r="DA38" i="2533"/>
  <c r="DA37" i="2533"/>
  <c r="DA36" i="2533"/>
  <c r="DA35" i="2533"/>
  <c r="DA34" i="2533"/>
  <c r="DA33" i="2533"/>
  <c r="DA32" i="2533"/>
  <c r="DA31" i="2533"/>
  <c r="DA30" i="2533"/>
  <c r="DA29" i="2533"/>
  <c r="DA28" i="2533"/>
  <c r="DA27" i="2533"/>
  <c r="DA26" i="2533"/>
  <c r="DA25" i="2533"/>
  <c r="DA24" i="2533"/>
  <c r="DA23" i="2533"/>
  <c r="DA22" i="2533"/>
  <c r="DA21" i="2533"/>
  <c r="DA20" i="2533"/>
  <c r="DA19" i="2533"/>
  <c r="DA18" i="2533"/>
  <c r="DA17" i="2533"/>
  <c r="DA16" i="2533"/>
  <c r="DA15" i="2533"/>
  <c r="DA14" i="2533"/>
  <c r="DA13" i="2533"/>
  <c r="DA12" i="2533"/>
  <c r="DA11" i="2533"/>
  <c r="DA10" i="2533"/>
  <c r="DA9" i="2533"/>
  <c r="DA5" i="2533"/>
  <c r="DN38" i="2533"/>
  <c r="DN37" i="2533"/>
  <c r="DN36" i="2533"/>
  <c r="DN35" i="2533"/>
  <c r="DN34" i="2533"/>
  <c r="DN33" i="2533"/>
  <c r="DN32" i="2533"/>
  <c r="DN31" i="2533"/>
  <c r="DN30" i="2533"/>
  <c r="DN29" i="2533"/>
  <c r="DN28" i="2533"/>
  <c r="DN27" i="2533"/>
  <c r="DN26" i="2533"/>
  <c r="DN25" i="2533"/>
  <c r="DN24" i="2533"/>
  <c r="DN23" i="2533"/>
  <c r="DN22" i="2533"/>
  <c r="DN21" i="2533"/>
  <c r="DN20" i="2533"/>
  <c r="DN19" i="2533"/>
  <c r="DN18" i="2533"/>
  <c r="DN17" i="2533"/>
  <c r="DN16" i="2533"/>
  <c r="DN15" i="2533"/>
  <c r="DN14" i="2533"/>
  <c r="DN13" i="2533"/>
  <c r="DN12" i="2533"/>
  <c r="DN11" i="2533"/>
  <c r="DN10" i="2533"/>
  <c r="DN9" i="2533"/>
  <c r="DN5" i="2533"/>
  <c r="EA38" i="2533"/>
  <c r="EA37" i="2533"/>
  <c r="EA36" i="2533"/>
  <c r="EA35" i="2533"/>
  <c r="EA34" i="2533"/>
  <c r="EA33" i="2533"/>
  <c r="EA32" i="2533"/>
  <c r="EA31" i="2533"/>
  <c r="EA30" i="2533"/>
  <c r="EA29" i="2533"/>
  <c r="EA28" i="2533"/>
  <c r="EA27" i="2533"/>
  <c r="EA26" i="2533"/>
  <c r="EA25" i="2533"/>
  <c r="EA24" i="2533"/>
  <c r="EA23" i="2533"/>
  <c r="EA22" i="2533"/>
  <c r="EA21" i="2533"/>
  <c r="EA20" i="2533"/>
  <c r="EA19" i="2533"/>
  <c r="EA18" i="2533"/>
  <c r="EA17" i="2533"/>
  <c r="EA16" i="2533"/>
  <c r="EA15" i="2533"/>
  <c r="EA14" i="2533"/>
  <c r="EA13" i="2533"/>
  <c r="EA12" i="2533"/>
  <c r="EA11" i="2533"/>
  <c r="EA10" i="2533"/>
  <c r="EA9" i="2533"/>
  <c r="EA5" i="2533"/>
  <c r="EN38" i="2533"/>
  <c r="EN37" i="2533"/>
  <c r="EN36" i="2533"/>
  <c r="EN35" i="2533"/>
  <c r="EN34" i="2533"/>
  <c r="EN33" i="2533"/>
  <c r="EN32" i="2533"/>
  <c r="EN31" i="2533"/>
  <c r="EN30" i="2533"/>
  <c r="EN29" i="2533"/>
  <c r="EN28" i="2533"/>
  <c r="EN27" i="2533"/>
  <c r="EN26" i="2533"/>
  <c r="EN25" i="2533"/>
  <c r="EN24" i="2533"/>
  <c r="EN23" i="2533"/>
  <c r="EN22" i="2533"/>
  <c r="EN21" i="2533"/>
  <c r="EN20" i="2533"/>
  <c r="EN19" i="2533"/>
  <c r="EN18" i="2533"/>
  <c r="EN17" i="2533"/>
  <c r="EN16" i="2533"/>
  <c r="EN15" i="2533"/>
  <c r="EN14" i="2533"/>
  <c r="EN13" i="2533"/>
  <c r="EN12" i="2533"/>
  <c r="EN11" i="2533"/>
  <c r="EN10" i="2533"/>
  <c r="EN9" i="2533"/>
  <c r="EN5" i="2533"/>
  <c r="FA38" i="2533"/>
  <c r="FA37" i="2533"/>
  <c r="FA36" i="2533"/>
  <c r="FA35" i="2533"/>
  <c r="FA34" i="2533"/>
  <c r="FA33" i="2533"/>
  <c r="FA32" i="2533"/>
  <c r="FA31" i="2533"/>
  <c r="FA30" i="2533"/>
  <c r="FA29" i="2533"/>
  <c r="FA28" i="2533"/>
  <c r="FA27" i="2533"/>
  <c r="FA26" i="2533"/>
  <c r="FA25" i="2533"/>
  <c r="FA24" i="2533"/>
  <c r="FA23" i="2533"/>
  <c r="FA22" i="2533"/>
  <c r="FA21" i="2533"/>
  <c r="FA20" i="2533"/>
  <c r="FA19" i="2533"/>
  <c r="FA18" i="2533"/>
  <c r="FA17" i="2533"/>
  <c r="FA16" i="2533"/>
  <c r="FA15" i="2533"/>
  <c r="FA14" i="2533"/>
  <c r="FA13" i="2533"/>
  <c r="FA12" i="2533"/>
  <c r="FA11" i="2533"/>
  <c r="FA10" i="2533"/>
  <c r="FA9" i="2533"/>
  <c r="FA5" i="2533"/>
  <c r="FN38" i="2533"/>
  <c r="FN37" i="2533"/>
  <c r="FN36" i="2533"/>
  <c r="FN35" i="2533"/>
  <c r="FN34" i="2533"/>
  <c r="FN33" i="2533"/>
  <c r="FN32" i="2533"/>
  <c r="FN31" i="2533"/>
  <c r="FN30" i="2533"/>
  <c r="FN29" i="2533"/>
  <c r="FN28" i="2533"/>
  <c r="FN27" i="2533"/>
  <c r="FN26" i="2533"/>
  <c r="FN25" i="2533"/>
  <c r="FN24" i="2533"/>
  <c r="FN23" i="2533"/>
  <c r="FN22" i="2533"/>
  <c r="FN21" i="2533"/>
  <c r="FN20" i="2533"/>
  <c r="FN19" i="2533"/>
  <c r="FN18" i="2533"/>
  <c r="FN17" i="2533"/>
  <c r="FN16" i="2533"/>
  <c r="FN15" i="2533"/>
  <c r="FN14" i="2533"/>
  <c r="FN13" i="2533"/>
  <c r="FN12" i="2533"/>
  <c r="FN11" i="2533"/>
  <c r="FN10" i="2533"/>
  <c r="FN9" i="2533"/>
  <c r="FN5" i="2533"/>
  <c r="GA38" i="2533"/>
  <c r="GA37" i="2533"/>
  <c r="GA36" i="2533"/>
  <c r="GA35" i="2533"/>
  <c r="GA34" i="2533"/>
  <c r="GA33" i="2533"/>
  <c r="GA32" i="2533"/>
  <c r="GA31" i="2533"/>
  <c r="GA30" i="2533"/>
  <c r="GA29" i="2533"/>
  <c r="GA28" i="2533"/>
  <c r="GA27" i="2533"/>
  <c r="GA26" i="2533"/>
  <c r="GA25" i="2533"/>
  <c r="GA24" i="2533"/>
  <c r="GA23" i="2533"/>
  <c r="GA22" i="2533"/>
  <c r="GA21" i="2533"/>
  <c r="GA20" i="2533"/>
  <c r="GA19" i="2533"/>
  <c r="GA18" i="2533"/>
  <c r="GA17" i="2533"/>
  <c r="GA16" i="2533"/>
  <c r="GA15" i="2533"/>
  <c r="GA14" i="2533"/>
  <c r="GA13" i="2533"/>
  <c r="GA12" i="2533"/>
  <c r="GA11" i="2533"/>
  <c r="GA10" i="2533"/>
  <c r="GA9" i="2533"/>
  <c r="GA5" i="2533"/>
  <c r="GN38" i="2533"/>
  <c r="GN37" i="2533"/>
  <c r="GN36" i="2533"/>
  <c r="GN35" i="2533"/>
  <c r="GN34" i="2533"/>
  <c r="GN33" i="2533"/>
  <c r="GN32" i="2533"/>
  <c r="GN31" i="2533"/>
  <c r="GN30" i="2533"/>
  <c r="GN29" i="2533"/>
  <c r="GN28" i="2533"/>
  <c r="GN27" i="2533"/>
  <c r="GN26" i="2533"/>
  <c r="GN25" i="2533"/>
  <c r="GN24" i="2533"/>
  <c r="GN23" i="2533"/>
  <c r="GN22" i="2533"/>
  <c r="GN21" i="2533"/>
  <c r="GN20" i="2533"/>
  <c r="GN19" i="2533"/>
  <c r="GN18" i="2533"/>
  <c r="GN17" i="2533"/>
  <c r="GN16" i="2533"/>
  <c r="GN15" i="2533"/>
  <c r="GN14" i="2533"/>
  <c r="GN13" i="2533"/>
  <c r="GN12" i="2533"/>
  <c r="GN11" i="2533"/>
  <c r="GN10" i="2533"/>
  <c r="GN9" i="2533"/>
  <c r="GN5" i="2533"/>
  <c r="HA38" i="2533"/>
  <c r="HA37" i="2533"/>
  <c r="HA36" i="2533"/>
  <c r="HA35" i="2533"/>
  <c r="HA34" i="2533"/>
  <c r="HA33" i="2533"/>
  <c r="HA32" i="2533"/>
  <c r="HA31" i="2533"/>
  <c r="HA30" i="2533"/>
  <c r="HA29" i="2533"/>
  <c r="HA28" i="2533"/>
  <c r="HA27" i="2533"/>
  <c r="HA26" i="2533"/>
  <c r="HA25" i="2533"/>
  <c r="HA24" i="2533"/>
  <c r="HA23" i="2533"/>
  <c r="HA22" i="2533"/>
  <c r="HA21" i="2533"/>
  <c r="HA20" i="2533"/>
  <c r="HA19" i="2533"/>
  <c r="HA18" i="2533"/>
  <c r="HA17" i="2533"/>
  <c r="HA16" i="2533"/>
  <c r="HA15" i="2533"/>
  <c r="HA14" i="2533"/>
  <c r="HA13" i="2533"/>
  <c r="HA12" i="2533"/>
  <c r="HA11" i="2533"/>
  <c r="HA10" i="2533"/>
  <c r="HA9" i="2533"/>
  <c r="HA5" i="2533"/>
  <c r="HN38" i="2533"/>
  <c r="HN37" i="2533"/>
  <c r="HN36" i="2533"/>
  <c r="HN35" i="2533"/>
  <c r="HN34" i="2533"/>
  <c r="HN33" i="2533"/>
  <c r="HN32" i="2533"/>
  <c r="HN31" i="2533"/>
  <c r="HN30" i="2533"/>
  <c r="HN29" i="2533"/>
  <c r="HN28" i="2533"/>
  <c r="HN27" i="2533"/>
  <c r="HN26" i="2533"/>
  <c r="HN25" i="2533"/>
  <c r="HN24" i="2533"/>
  <c r="HN23" i="2533"/>
  <c r="HN22" i="2533"/>
  <c r="HN21" i="2533"/>
  <c r="HN20" i="2533"/>
  <c r="HN19" i="2533"/>
  <c r="HN18" i="2533"/>
  <c r="HN17" i="2533"/>
  <c r="HN16" i="2533"/>
  <c r="HN15" i="2533"/>
  <c r="HN14" i="2533"/>
  <c r="HN13" i="2533"/>
  <c r="HN12" i="2533"/>
  <c r="HN11" i="2533"/>
  <c r="HN10" i="2533"/>
  <c r="HN9" i="2533"/>
  <c r="HN5" i="2533"/>
  <c r="IA38" i="2533"/>
  <c r="IA37" i="2533"/>
  <c r="IA36" i="2533"/>
  <c r="IA35" i="2533"/>
  <c r="IA34" i="2533"/>
  <c r="IA33" i="2533"/>
  <c r="IA32" i="2533"/>
  <c r="IA31" i="2533"/>
  <c r="IA30" i="2533"/>
  <c r="IA29" i="2533"/>
  <c r="IA28" i="2533"/>
  <c r="IA27" i="2533"/>
  <c r="IA26" i="2533"/>
  <c r="IA25" i="2533"/>
  <c r="IA24" i="2533"/>
  <c r="IA23" i="2533"/>
  <c r="IA22" i="2533"/>
  <c r="IA21" i="2533"/>
  <c r="IA20" i="2533"/>
  <c r="IA19" i="2533"/>
  <c r="IA18" i="2533"/>
  <c r="IA17" i="2533"/>
  <c r="IA16" i="2533"/>
  <c r="IA15" i="2533"/>
  <c r="IA14" i="2533"/>
  <c r="IA13" i="2533"/>
  <c r="IA12" i="2533"/>
  <c r="IA11" i="2533"/>
  <c r="IA10" i="2533"/>
  <c r="IA9" i="2533"/>
  <c r="IA5" i="2533"/>
  <c r="IN38" i="2533"/>
  <c r="IN37" i="2533"/>
  <c r="IN36" i="2533"/>
  <c r="IN35" i="2533"/>
  <c r="IN34" i="2533"/>
  <c r="IN33" i="2533"/>
  <c r="IN32" i="2533"/>
  <c r="IN31" i="2533"/>
  <c r="IN30" i="2533"/>
  <c r="IN29" i="2533"/>
  <c r="IN28" i="2533"/>
  <c r="IN27" i="2533"/>
  <c r="IN26" i="2533"/>
  <c r="IN25" i="2533"/>
  <c r="IN24" i="2533"/>
  <c r="IN23" i="2533"/>
  <c r="IN22" i="2533"/>
  <c r="IN21" i="2533"/>
  <c r="IN20" i="2533"/>
  <c r="IN19" i="2533"/>
  <c r="IN18" i="2533"/>
  <c r="IN17" i="2533"/>
  <c r="IN16" i="2533"/>
  <c r="IN15" i="2533"/>
  <c r="IN14" i="2533"/>
  <c r="IN13" i="2533"/>
  <c r="IN12" i="2533"/>
  <c r="IN11" i="2533"/>
  <c r="IN10" i="2533"/>
  <c r="IN9" i="2533"/>
  <c r="IN5" i="2533"/>
  <c r="JA38" i="2533"/>
  <c r="JA37" i="2533"/>
  <c r="JA36" i="2533"/>
  <c r="JA35" i="2533"/>
  <c r="JA34" i="2533"/>
  <c r="JA33" i="2533"/>
  <c r="JA32" i="2533"/>
  <c r="JA31" i="2533"/>
  <c r="JA30" i="2533"/>
  <c r="JA29" i="2533"/>
  <c r="JA28" i="2533"/>
  <c r="JA27" i="2533"/>
  <c r="JA26" i="2533"/>
  <c r="JA25" i="2533"/>
  <c r="JA24" i="2533"/>
  <c r="JA23" i="2533"/>
  <c r="JA22" i="2533"/>
  <c r="JA21" i="2533"/>
  <c r="JA20" i="2533"/>
  <c r="JA19" i="2533"/>
  <c r="JA18" i="2533"/>
  <c r="JA17" i="2533"/>
  <c r="JA16" i="2533"/>
  <c r="JA15" i="2533"/>
  <c r="JA14" i="2533"/>
  <c r="JA13" i="2533"/>
  <c r="JA12" i="2533"/>
  <c r="JA11" i="2533"/>
  <c r="JA10" i="2533"/>
  <c r="JA9" i="2533"/>
  <c r="JA5" i="2533"/>
  <c r="JN38" i="2533"/>
  <c r="JN37" i="2533"/>
  <c r="JN36" i="2533"/>
  <c r="JN35" i="2533"/>
  <c r="JN34" i="2533"/>
  <c r="JN33" i="2533"/>
  <c r="JN32" i="2533"/>
  <c r="JN31" i="2533"/>
  <c r="JN30" i="2533"/>
  <c r="JN29" i="2533"/>
  <c r="JN28" i="2533"/>
  <c r="JN27" i="2533"/>
  <c r="JN26" i="2533"/>
  <c r="JN25" i="2533"/>
  <c r="JN24" i="2533"/>
  <c r="JN23" i="2533"/>
  <c r="JN22" i="2533"/>
  <c r="JN21" i="2533"/>
  <c r="JN20" i="2533"/>
  <c r="JN19" i="2533"/>
  <c r="JN18" i="2533"/>
  <c r="JN17" i="2533"/>
  <c r="JN16" i="2533"/>
  <c r="JN15" i="2533"/>
  <c r="JN14" i="2533"/>
  <c r="JN13" i="2533"/>
  <c r="JN12" i="2533"/>
  <c r="JN11" i="2533"/>
  <c r="JN10" i="2533"/>
  <c r="JN9" i="2533"/>
  <c r="JN5" i="2533"/>
  <c r="JM7" i="2533"/>
  <c r="JL7" i="2533"/>
  <c r="JK7" i="2533"/>
  <c r="JJ7" i="2533"/>
  <c r="JI7" i="2533"/>
  <c r="JH7" i="2533"/>
  <c r="JG7" i="2533"/>
  <c r="JF7" i="2533"/>
  <c r="JE7" i="2533"/>
  <c r="JD7" i="2533"/>
  <c r="JC7" i="2533"/>
  <c r="JB7" i="2533"/>
  <c r="IZ7" i="2533"/>
  <c r="IY7" i="2533"/>
  <c r="IX7" i="2533"/>
  <c r="IW7" i="2533"/>
  <c r="IV7" i="2533"/>
  <c r="IU7" i="2533"/>
  <c r="IT7" i="2533"/>
  <c r="IS7" i="2533"/>
  <c r="IR7" i="2533"/>
  <c r="IQ7" i="2533"/>
  <c r="IP7" i="2533"/>
  <c r="IO7" i="2533"/>
  <c r="IM7" i="2533"/>
  <c r="IL7" i="2533"/>
  <c r="IK7" i="2533"/>
  <c r="IJ7" i="2533"/>
  <c r="II7" i="2533"/>
  <c r="IH7" i="2533"/>
  <c r="IG7" i="2533"/>
  <c r="IF7" i="2533"/>
  <c r="IE7" i="2533"/>
  <c r="ID7" i="2533"/>
  <c r="IC7" i="2533"/>
  <c r="IB7" i="2533"/>
  <c r="HZ7" i="2533"/>
  <c r="HY7" i="2533"/>
  <c r="HX7" i="2533"/>
  <c r="HW7" i="2533"/>
  <c r="HV7" i="2533"/>
  <c r="HU7" i="2533"/>
  <c r="HT7" i="2533"/>
  <c r="HS7" i="2533"/>
  <c r="HR7" i="2533"/>
  <c r="HQ7" i="2533"/>
  <c r="HP7" i="2533"/>
  <c r="HO7" i="2533"/>
  <c r="HM7" i="2533"/>
  <c r="HL7" i="2533"/>
  <c r="HK7" i="2533"/>
  <c r="HJ7" i="2533"/>
  <c r="HI7" i="2533"/>
  <c r="HH7" i="2533"/>
  <c r="HG7" i="2533"/>
  <c r="HF7" i="2533"/>
  <c r="HE7" i="2533"/>
  <c r="HD7" i="2533"/>
  <c r="HC7" i="2533"/>
  <c r="HB7" i="2533"/>
  <c r="GZ7" i="2533"/>
  <c r="GY7" i="2533"/>
  <c r="GX7" i="2533"/>
  <c r="GW7" i="2533"/>
  <c r="GV7" i="2533"/>
  <c r="GU7" i="2533"/>
  <c r="GT7" i="2533"/>
  <c r="GS7" i="2533"/>
  <c r="GR7" i="2533"/>
  <c r="GQ7" i="2533"/>
  <c r="GP7" i="2533"/>
  <c r="GO7" i="2533"/>
  <c r="GM7" i="2533"/>
  <c r="GL7" i="2533"/>
  <c r="GK7" i="2533"/>
  <c r="GJ7" i="2533"/>
  <c r="GI7" i="2533"/>
  <c r="GH7" i="2533"/>
  <c r="GG7" i="2533"/>
  <c r="GF7" i="2533"/>
  <c r="GE7" i="2533"/>
  <c r="GD7" i="2533"/>
  <c r="GC7" i="2533"/>
  <c r="GB7" i="2533"/>
  <c r="FZ7" i="2533"/>
  <c r="FY7" i="2533"/>
  <c r="FX7" i="2533"/>
  <c r="FW7" i="2533"/>
  <c r="FV7" i="2533"/>
  <c r="FU7" i="2533"/>
  <c r="FT7" i="2533"/>
  <c r="FS7" i="2533"/>
  <c r="FR7" i="2533"/>
  <c r="FQ7" i="2533"/>
  <c r="FP7" i="2533"/>
  <c r="FO7" i="2533"/>
  <c r="FM7" i="2533"/>
  <c r="FL7" i="2533"/>
  <c r="FK7" i="2533"/>
  <c r="FJ7" i="2533"/>
  <c r="FI7" i="2533"/>
  <c r="FH7" i="2533"/>
  <c r="FG7" i="2533"/>
  <c r="FF7" i="2533"/>
  <c r="FE7" i="2533"/>
  <c r="FD7" i="2533"/>
  <c r="FC7" i="2533"/>
  <c r="FB7" i="2533"/>
  <c r="EZ7" i="2533"/>
  <c r="EY7" i="2533"/>
  <c r="EX7" i="2533"/>
  <c r="EW7" i="2533"/>
  <c r="EV7" i="2533"/>
  <c r="EU7" i="2533"/>
  <c r="ET7" i="2533"/>
  <c r="ES7" i="2533"/>
  <c r="ER7" i="2533"/>
  <c r="EQ7" i="2533"/>
  <c r="EP7" i="2533"/>
  <c r="EO7" i="2533"/>
  <c r="EM7" i="2533"/>
  <c r="EL7" i="2533"/>
  <c r="EK7" i="2533"/>
  <c r="EJ7" i="2533"/>
  <c r="EI7" i="2533"/>
  <c r="EH7" i="2533"/>
  <c r="EG7" i="2533"/>
  <c r="EF7" i="2533"/>
  <c r="EE7" i="2533"/>
  <c r="ED7" i="2533"/>
  <c r="EC7" i="2533"/>
  <c r="EB7" i="2533"/>
  <c r="DZ7" i="2533"/>
  <c r="DY7" i="2533"/>
  <c r="DX7" i="2533"/>
  <c r="DW7" i="2533"/>
  <c r="DV7" i="2533"/>
  <c r="DU7" i="2533"/>
  <c r="DT7" i="2533"/>
  <c r="DS7" i="2533"/>
  <c r="DR7" i="2533"/>
  <c r="DQ7" i="2533"/>
  <c r="DP7" i="2533"/>
  <c r="DO7" i="2533"/>
  <c r="DM7" i="2533"/>
  <c r="DL7" i="2533"/>
  <c r="DK7" i="2533"/>
  <c r="DJ7" i="2533"/>
  <c r="DI7" i="2533"/>
  <c r="DH7" i="2533"/>
  <c r="DG7" i="2533"/>
  <c r="DF7" i="2533"/>
  <c r="DE7" i="2533"/>
  <c r="DD7" i="2533"/>
  <c r="DC7" i="2533"/>
  <c r="DB7" i="2533"/>
  <c r="CZ7" i="2533"/>
  <c r="CY7" i="2533"/>
  <c r="CX7" i="2533"/>
  <c r="CW7" i="2533"/>
  <c r="CV7" i="2533"/>
  <c r="CU7" i="2533"/>
  <c r="CT7" i="2533"/>
  <c r="CS7" i="2533"/>
  <c r="CR7" i="2533"/>
  <c r="CQ7" i="2533"/>
  <c r="CP7" i="2533"/>
  <c r="CO7" i="2533"/>
  <c r="CM7" i="2533"/>
  <c r="CL7" i="2533"/>
  <c r="CK7" i="2533"/>
  <c r="CJ7" i="2533"/>
  <c r="CI7" i="2533"/>
  <c r="CH7" i="2533"/>
  <c r="CG7" i="2533"/>
  <c r="CF7" i="2533"/>
  <c r="CE7" i="2533"/>
  <c r="CD7" i="2533"/>
  <c r="CC7" i="2533"/>
  <c r="CB7" i="2533"/>
  <c r="BZ7" i="2533"/>
  <c r="BY7" i="2533"/>
  <c r="BX7" i="2533"/>
  <c r="BW7" i="2533"/>
  <c r="BV7" i="2533"/>
  <c r="BU7" i="2533"/>
  <c r="BT7" i="2533"/>
  <c r="BS7" i="2533"/>
  <c r="BR7" i="2533"/>
  <c r="BQ7" i="2533"/>
  <c r="BP7" i="2533"/>
  <c r="BO7" i="2533"/>
  <c r="BM7" i="2533"/>
  <c r="BL7" i="2533"/>
  <c r="BK7" i="2533"/>
  <c r="BJ7" i="2533"/>
  <c r="BI7" i="2533"/>
  <c r="BH7" i="2533"/>
  <c r="BG7" i="2533"/>
  <c r="BF7" i="2533"/>
  <c r="BE7" i="2533"/>
  <c r="BD7" i="2533"/>
  <c r="BC7" i="2533"/>
  <c r="BB7" i="2533"/>
  <c r="AZ7" i="2533"/>
  <c r="AY7" i="2533"/>
  <c r="AX7" i="2533"/>
  <c r="AW7" i="2533"/>
  <c r="AV7" i="2533"/>
  <c r="AU7" i="2533"/>
  <c r="AT7" i="2533"/>
  <c r="AS7" i="2533"/>
  <c r="AR7" i="2533"/>
  <c r="AQ7" i="2533"/>
  <c r="AP7" i="2533"/>
  <c r="AO7" i="2533"/>
  <c r="AM7" i="2533"/>
  <c r="AL7" i="2533"/>
  <c r="AK7" i="2533"/>
  <c r="AJ7" i="2533"/>
  <c r="AI7" i="2533"/>
  <c r="AH7" i="2533"/>
  <c r="AG7" i="2533"/>
  <c r="AF7" i="2533"/>
  <c r="AE7" i="2533"/>
  <c r="AD7" i="2533"/>
  <c r="AC7" i="2533"/>
  <c r="AB7" i="2533"/>
  <c r="Z7" i="2533"/>
  <c r="Y7" i="2533"/>
  <c r="X7" i="2533"/>
  <c r="W7" i="2533"/>
  <c r="V7" i="2533"/>
  <c r="U7" i="2533"/>
  <c r="T7" i="2533"/>
  <c r="S7" i="2533"/>
  <c r="R7" i="2533"/>
  <c r="Q7" i="2533"/>
  <c r="P7" i="2533"/>
  <c r="O7" i="2533"/>
  <c r="M7" i="2533"/>
  <c r="L7" i="2533"/>
  <c r="K7" i="2533"/>
  <c r="J7" i="2533"/>
  <c r="I7" i="2533"/>
  <c r="H7" i="2533"/>
  <c r="G7" i="2533"/>
  <c r="F7" i="2533"/>
  <c r="E7" i="2533"/>
  <c r="D7" i="2533"/>
  <c r="C7" i="2533"/>
  <c r="B7" i="2533"/>
  <c r="JP7" i="1615"/>
  <c r="JQ7" i="1615"/>
  <c r="JR7" i="1615"/>
  <c r="JW37" i="2533"/>
  <c r="JW9" i="2533"/>
  <c r="JW31" i="2533"/>
  <c r="JW33" i="2533"/>
  <c r="JW12" i="2533"/>
  <c r="JW11" i="2533"/>
  <c r="JW25" i="2533"/>
  <c r="JW20" i="2533"/>
  <c r="JW14" i="2533"/>
  <c r="JW28" i="2533"/>
  <c r="JW23" i="2533"/>
  <c r="JW35" i="2533"/>
  <c r="JW34" i="2533"/>
  <c r="JW15" i="2533"/>
  <c r="JW26" i="2533"/>
  <c r="JW32" i="2533"/>
  <c r="JW29" i="2533"/>
  <c r="JW22" i="2533"/>
  <c r="JW21" i="2533"/>
  <c r="JW27" i="2533"/>
  <c r="JW24" i="2533"/>
  <c r="JW18" i="2533"/>
  <c r="JW19" i="2533"/>
  <c r="JW36" i="2533"/>
  <c r="JW30" i="2533"/>
  <c r="JW16" i="2533"/>
  <c r="JW17" i="2533"/>
  <c r="JW10" i="2533"/>
  <c r="N45" i="2534"/>
  <c r="N44" i="2534"/>
  <c r="N43" i="2534"/>
  <c r="N42" i="2534"/>
  <c r="N41" i="2534"/>
  <c r="N40" i="2534"/>
  <c r="N39" i="2534"/>
  <c r="N38" i="2534"/>
  <c r="N37" i="2534"/>
  <c r="N36" i="2534"/>
  <c r="N35" i="2534"/>
  <c r="N34" i="2534"/>
  <c r="N33" i="2534"/>
  <c r="N32" i="2534"/>
  <c r="N31" i="2534"/>
  <c r="N30" i="2534"/>
  <c r="N29" i="2534"/>
  <c r="N28" i="2534"/>
  <c r="N27" i="2534"/>
  <c r="N26" i="2534"/>
  <c r="N25" i="2534"/>
  <c r="N24" i="2534"/>
  <c r="N23" i="2534"/>
  <c r="N22" i="2534"/>
  <c r="N21" i="2534"/>
  <c r="N20" i="2534"/>
  <c r="N19" i="2534"/>
  <c r="N18" i="2534"/>
  <c r="N17" i="2534"/>
  <c r="N16" i="2534"/>
  <c r="N15" i="2534"/>
  <c r="N14" i="2534"/>
  <c r="N13" i="2534"/>
  <c r="N12" i="2534"/>
  <c r="N11" i="2534"/>
  <c r="N10" i="2534"/>
  <c r="N9" i="2534"/>
  <c r="N5" i="2534"/>
  <c r="AA45" i="2534"/>
  <c r="AA44" i="2534"/>
  <c r="AA43" i="2534"/>
  <c r="AA42" i="2534"/>
  <c r="AA41" i="2534"/>
  <c r="AA40" i="2534"/>
  <c r="AA39" i="2534"/>
  <c r="AA38" i="2534"/>
  <c r="AA37" i="2534"/>
  <c r="AA36" i="2534"/>
  <c r="AA35" i="2534"/>
  <c r="AA34" i="2534"/>
  <c r="AA33" i="2534"/>
  <c r="AA32" i="2534"/>
  <c r="AA31" i="2534"/>
  <c r="AA30" i="2534"/>
  <c r="AA29" i="2534"/>
  <c r="AA28" i="2534"/>
  <c r="AA27" i="2534"/>
  <c r="AA26" i="2534"/>
  <c r="AA25" i="2534"/>
  <c r="AA24" i="2534"/>
  <c r="AA23" i="2534"/>
  <c r="AA22" i="2534"/>
  <c r="AA21" i="2534"/>
  <c r="AA20" i="2534"/>
  <c r="AA19" i="2534"/>
  <c r="AA18" i="2534"/>
  <c r="AA17" i="2534"/>
  <c r="AA16" i="2534"/>
  <c r="AA15" i="2534"/>
  <c r="AA14" i="2534"/>
  <c r="AA13" i="2534"/>
  <c r="AA12" i="2534"/>
  <c r="AA11" i="2534"/>
  <c r="AA10" i="2534"/>
  <c r="AA9" i="2534"/>
  <c r="AA5" i="2534"/>
  <c r="AN45" i="2534"/>
  <c r="AN44" i="2534"/>
  <c r="AN43" i="2534"/>
  <c r="AN42" i="2534"/>
  <c r="AN41" i="2534"/>
  <c r="AN40" i="2534"/>
  <c r="AN39" i="2534"/>
  <c r="AN38" i="2534"/>
  <c r="AN37" i="2534"/>
  <c r="AN36" i="2534"/>
  <c r="AN35" i="2534"/>
  <c r="AN34" i="2534"/>
  <c r="AN33" i="2534"/>
  <c r="AN32" i="2534"/>
  <c r="AN31" i="2534"/>
  <c r="AN30" i="2534"/>
  <c r="AN29" i="2534"/>
  <c r="AN28" i="2534"/>
  <c r="AN27" i="2534"/>
  <c r="AN26" i="2534"/>
  <c r="AN25" i="2534"/>
  <c r="AN24" i="2534"/>
  <c r="AN23" i="2534"/>
  <c r="AN22" i="2534"/>
  <c r="AN21" i="2534"/>
  <c r="AN20" i="2534"/>
  <c r="AN19" i="2534"/>
  <c r="AN18" i="2534"/>
  <c r="AN17" i="2534"/>
  <c r="AN16" i="2534"/>
  <c r="AN15" i="2534"/>
  <c r="AN14" i="2534"/>
  <c r="AN13" i="2534"/>
  <c r="AN12" i="2534"/>
  <c r="AN11" i="2534"/>
  <c r="AN10" i="2534"/>
  <c r="AN9" i="2534"/>
  <c r="AN5" i="2534"/>
  <c r="BA45" i="2534"/>
  <c r="BA44" i="2534"/>
  <c r="BA43" i="2534"/>
  <c r="BA42" i="2534"/>
  <c r="BA41" i="2534"/>
  <c r="BA40" i="2534"/>
  <c r="BA39" i="2534"/>
  <c r="BA38" i="2534"/>
  <c r="BA37" i="2534"/>
  <c r="BA36" i="2534"/>
  <c r="BA35" i="2534"/>
  <c r="BA34" i="2534"/>
  <c r="BA33" i="2534"/>
  <c r="BA32" i="2534"/>
  <c r="BA31" i="2534"/>
  <c r="BA30" i="2534"/>
  <c r="BA29" i="2534"/>
  <c r="BA28" i="2534"/>
  <c r="BA27" i="2534"/>
  <c r="BA26" i="2534"/>
  <c r="BA25" i="2534"/>
  <c r="BA24" i="2534"/>
  <c r="BA23" i="2534"/>
  <c r="BA22" i="2534"/>
  <c r="BA21" i="2534"/>
  <c r="BA20" i="2534"/>
  <c r="BA19" i="2534"/>
  <c r="BA18" i="2534"/>
  <c r="BA17" i="2534"/>
  <c r="BA16" i="2534"/>
  <c r="BA15" i="2534"/>
  <c r="BA14" i="2534"/>
  <c r="BA13" i="2534"/>
  <c r="BA12" i="2534"/>
  <c r="BA11" i="2534"/>
  <c r="BA10" i="2534"/>
  <c r="BA9" i="2534"/>
  <c r="BA5" i="2534"/>
  <c r="BN45" i="2534"/>
  <c r="BN44" i="2534"/>
  <c r="BN43" i="2534"/>
  <c r="BN42" i="2534"/>
  <c r="BN41" i="2534"/>
  <c r="BN40" i="2534"/>
  <c r="BN39" i="2534"/>
  <c r="BN38" i="2534"/>
  <c r="BN37" i="2534"/>
  <c r="BN36" i="2534"/>
  <c r="BN35" i="2534"/>
  <c r="BN34" i="2534"/>
  <c r="BN33" i="2534"/>
  <c r="BN32" i="2534"/>
  <c r="BN31" i="2534"/>
  <c r="BN30" i="2534"/>
  <c r="BN29" i="2534"/>
  <c r="BN28" i="2534"/>
  <c r="BN27" i="2534"/>
  <c r="BN26" i="2534"/>
  <c r="BN25" i="2534"/>
  <c r="BN24" i="2534"/>
  <c r="BN23" i="2534"/>
  <c r="BN22" i="2534"/>
  <c r="BN21" i="2534"/>
  <c r="BN20" i="2534"/>
  <c r="BN19" i="2534"/>
  <c r="BN18" i="2534"/>
  <c r="BN17" i="2534"/>
  <c r="BN16" i="2534"/>
  <c r="BN15" i="2534"/>
  <c r="BN14" i="2534"/>
  <c r="BN13" i="2534"/>
  <c r="BN12" i="2534"/>
  <c r="BN11" i="2534"/>
  <c r="BN10" i="2534"/>
  <c r="BN9" i="2534"/>
  <c r="BN5" i="2534"/>
  <c r="CA45" i="2534"/>
  <c r="CA44" i="2534"/>
  <c r="CA43" i="2534"/>
  <c r="CA42" i="2534"/>
  <c r="CA41" i="2534"/>
  <c r="CA40" i="2534"/>
  <c r="CA39" i="2534"/>
  <c r="CA38" i="2534"/>
  <c r="CA37" i="2534"/>
  <c r="CA36" i="2534"/>
  <c r="CA35" i="2534"/>
  <c r="CA34" i="2534"/>
  <c r="CA33" i="2534"/>
  <c r="CA32" i="2534"/>
  <c r="CA31" i="2534"/>
  <c r="CA30" i="2534"/>
  <c r="CA29" i="2534"/>
  <c r="CA28" i="2534"/>
  <c r="CA27" i="2534"/>
  <c r="CA26" i="2534"/>
  <c r="CA25" i="2534"/>
  <c r="CA24" i="2534"/>
  <c r="CA23" i="2534"/>
  <c r="CA22" i="2534"/>
  <c r="CA21" i="2534"/>
  <c r="CA20" i="2534"/>
  <c r="CA19" i="2534"/>
  <c r="CA18" i="2534"/>
  <c r="CA17" i="2534"/>
  <c r="CA16" i="2534"/>
  <c r="CA15" i="2534"/>
  <c r="CA14" i="2534"/>
  <c r="CA13" i="2534"/>
  <c r="CA12" i="2534"/>
  <c r="CA11" i="2534"/>
  <c r="CA10" i="2534"/>
  <c r="CA9" i="2534"/>
  <c r="CA5" i="2534"/>
  <c r="CN45" i="2534"/>
  <c r="CN44" i="2534"/>
  <c r="CN43" i="2534"/>
  <c r="CN42" i="2534"/>
  <c r="CN41" i="2534"/>
  <c r="CN40" i="2534"/>
  <c r="CN39" i="2534"/>
  <c r="CN38" i="2534"/>
  <c r="CN37" i="2534"/>
  <c r="CN36" i="2534"/>
  <c r="CN35" i="2534"/>
  <c r="CN34" i="2534"/>
  <c r="CN33" i="2534"/>
  <c r="CN32" i="2534"/>
  <c r="CN31" i="2534"/>
  <c r="CN30" i="2534"/>
  <c r="CN29" i="2534"/>
  <c r="CN28" i="2534"/>
  <c r="CN27" i="2534"/>
  <c r="CN26" i="2534"/>
  <c r="CN25" i="2534"/>
  <c r="CN24" i="2534"/>
  <c r="CN23" i="2534"/>
  <c r="CN22" i="2534"/>
  <c r="CN21" i="2534"/>
  <c r="CN20" i="2534"/>
  <c r="CN19" i="2534"/>
  <c r="CN18" i="2534"/>
  <c r="CN17" i="2534"/>
  <c r="CN16" i="2534"/>
  <c r="CN15" i="2534"/>
  <c r="CN14" i="2534"/>
  <c r="CN13" i="2534"/>
  <c r="CN12" i="2534"/>
  <c r="CN11" i="2534"/>
  <c r="CN10" i="2534"/>
  <c r="CN9" i="2534"/>
  <c r="CN5" i="2534"/>
  <c r="DA45" i="2534"/>
  <c r="DA44" i="2534"/>
  <c r="DA43" i="2534"/>
  <c r="DA42" i="2534"/>
  <c r="DA41" i="2534"/>
  <c r="DA40" i="2534"/>
  <c r="DA39" i="2534"/>
  <c r="DA38" i="2534"/>
  <c r="DA37" i="2534"/>
  <c r="DA36" i="2534"/>
  <c r="DA35" i="2534"/>
  <c r="DA34" i="2534"/>
  <c r="DA33" i="2534"/>
  <c r="DA32" i="2534"/>
  <c r="DA31" i="2534"/>
  <c r="DA30" i="2534"/>
  <c r="DA29" i="2534"/>
  <c r="DA28" i="2534"/>
  <c r="DA27" i="2534"/>
  <c r="DA26" i="2534"/>
  <c r="DA25" i="2534"/>
  <c r="DA24" i="2534"/>
  <c r="DA23" i="2534"/>
  <c r="DA22" i="2534"/>
  <c r="DA21" i="2534"/>
  <c r="DA20" i="2534"/>
  <c r="DA19" i="2534"/>
  <c r="DA18" i="2534"/>
  <c r="DA17" i="2534"/>
  <c r="DA16" i="2534"/>
  <c r="DA15" i="2534"/>
  <c r="DA14" i="2534"/>
  <c r="DA13" i="2534"/>
  <c r="DA12" i="2534"/>
  <c r="DA11" i="2534"/>
  <c r="DA10" i="2534"/>
  <c r="DA9" i="2534"/>
  <c r="DA5" i="2534"/>
  <c r="DN45" i="2534"/>
  <c r="DN44" i="2534"/>
  <c r="DN43" i="2534"/>
  <c r="DN42" i="2534"/>
  <c r="DN41" i="2534"/>
  <c r="DN40" i="2534"/>
  <c r="DN39" i="2534"/>
  <c r="DN38" i="2534"/>
  <c r="DN37" i="2534"/>
  <c r="DN36" i="2534"/>
  <c r="DN35" i="2534"/>
  <c r="DN34" i="2534"/>
  <c r="DN33" i="2534"/>
  <c r="DN32" i="2534"/>
  <c r="DN31" i="2534"/>
  <c r="DN30" i="2534"/>
  <c r="DN29" i="2534"/>
  <c r="DN28" i="2534"/>
  <c r="DN27" i="2534"/>
  <c r="DN26" i="2534"/>
  <c r="DN25" i="2534"/>
  <c r="DN24" i="2534"/>
  <c r="DN23" i="2534"/>
  <c r="DN22" i="2534"/>
  <c r="DN21" i="2534"/>
  <c r="DN20" i="2534"/>
  <c r="DN19" i="2534"/>
  <c r="DN18" i="2534"/>
  <c r="DN17" i="2534"/>
  <c r="DN16" i="2534"/>
  <c r="DN15" i="2534"/>
  <c r="DN14" i="2534"/>
  <c r="DN13" i="2534"/>
  <c r="DN12" i="2534"/>
  <c r="DN11" i="2534"/>
  <c r="DN10" i="2534"/>
  <c r="DN9" i="2534"/>
  <c r="DN5" i="2534"/>
  <c r="EA45" i="2534"/>
  <c r="EA44" i="2534"/>
  <c r="EA43" i="2534"/>
  <c r="EA42" i="2534"/>
  <c r="EA41" i="2534"/>
  <c r="EA40" i="2534"/>
  <c r="EA39" i="2534"/>
  <c r="EA38" i="2534"/>
  <c r="EA37" i="2534"/>
  <c r="EA36" i="2534"/>
  <c r="EA35" i="2534"/>
  <c r="EA34" i="2534"/>
  <c r="EA33" i="2534"/>
  <c r="EA32" i="2534"/>
  <c r="EA31" i="2534"/>
  <c r="EA30" i="2534"/>
  <c r="EA29" i="2534"/>
  <c r="EA28" i="2534"/>
  <c r="EA27" i="2534"/>
  <c r="EA26" i="2534"/>
  <c r="EA25" i="2534"/>
  <c r="EA24" i="2534"/>
  <c r="EA23" i="2534"/>
  <c r="EA22" i="2534"/>
  <c r="EA21" i="2534"/>
  <c r="EA20" i="2534"/>
  <c r="EA19" i="2534"/>
  <c r="EA18" i="2534"/>
  <c r="EA17" i="2534"/>
  <c r="EA16" i="2534"/>
  <c r="EA15" i="2534"/>
  <c r="EA14" i="2534"/>
  <c r="EA13" i="2534"/>
  <c r="EA12" i="2534"/>
  <c r="EA11" i="2534"/>
  <c r="EA10" i="2534"/>
  <c r="EA9" i="2534"/>
  <c r="EA5" i="2534"/>
  <c r="EN45" i="2534"/>
  <c r="EN44" i="2534"/>
  <c r="EN43" i="2534"/>
  <c r="EN42" i="2534"/>
  <c r="EN41" i="2534"/>
  <c r="EN40" i="2534"/>
  <c r="EN39" i="2534"/>
  <c r="EN38" i="2534"/>
  <c r="EN37" i="2534"/>
  <c r="EN36" i="2534"/>
  <c r="EN35" i="2534"/>
  <c r="EN34" i="2534"/>
  <c r="EN33" i="2534"/>
  <c r="EN32" i="2534"/>
  <c r="EN31" i="2534"/>
  <c r="EN30" i="2534"/>
  <c r="EN29" i="2534"/>
  <c r="EN28" i="2534"/>
  <c r="EN27" i="2534"/>
  <c r="EN26" i="2534"/>
  <c r="EN25" i="2534"/>
  <c r="EN24" i="2534"/>
  <c r="EN23" i="2534"/>
  <c r="EN22" i="2534"/>
  <c r="EN21" i="2534"/>
  <c r="EN20" i="2534"/>
  <c r="EN19" i="2534"/>
  <c r="EN18" i="2534"/>
  <c r="EN17" i="2534"/>
  <c r="EN16" i="2534"/>
  <c r="EN15" i="2534"/>
  <c r="EN14" i="2534"/>
  <c r="EN13" i="2534"/>
  <c r="EN12" i="2534"/>
  <c r="EN11" i="2534"/>
  <c r="EN10" i="2534"/>
  <c r="EN9" i="2534"/>
  <c r="EN5" i="2534"/>
  <c r="EB4" i="2534"/>
  <c r="EB7" i="2534"/>
  <c r="FA45" i="2534"/>
  <c r="FA44" i="2534"/>
  <c r="FA43" i="2534"/>
  <c r="FA42" i="2534"/>
  <c r="FA41" i="2534"/>
  <c r="FA40" i="2534"/>
  <c r="FA39" i="2534"/>
  <c r="FA38" i="2534"/>
  <c r="FA37" i="2534"/>
  <c r="FA36" i="2534"/>
  <c r="FA35" i="2534"/>
  <c r="FA34" i="2534"/>
  <c r="FA33" i="2534"/>
  <c r="FA32" i="2534"/>
  <c r="FA31" i="2534"/>
  <c r="FA30" i="2534"/>
  <c r="FA29" i="2534"/>
  <c r="FA28" i="2534"/>
  <c r="FA27" i="2534"/>
  <c r="FA26" i="2534"/>
  <c r="FA25" i="2534"/>
  <c r="FA24" i="2534"/>
  <c r="FA23" i="2534"/>
  <c r="FA22" i="2534"/>
  <c r="FA21" i="2534"/>
  <c r="FA20" i="2534"/>
  <c r="FA19" i="2534"/>
  <c r="FA18" i="2534"/>
  <c r="FA17" i="2534"/>
  <c r="FA16" i="2534"/>
  <c r="FA15" i="2534"/>
  <c r="FA14" i="2534"/>
  <c r="FA13" i="2534"/>
  <c r="FA12" i="2534"/>
  <c r="FA11" i="2534"/>
  <c r="FA10" i="2534"/>
  <c r="FA9" i="2534"/>
  <c r="FA5" i="2534"/>
  <c r="FN45" i="2534"/>
  <c r="FN44" i="2534"/>
  <c r="FN43" i="2534"/>
  <c r="FN42" i="2534"/>
  <c r="FN41" i="2534"/>
  <c r="FN40" i="2534"/>
  <c r="FN39" i="2534"/>
  <c r="FN38" i="2534"/>
  <c r="FN37" i="2534"/>
  <c r="FN36" i="2534"/>
  <c r="FN35" i="2534"/>
  <c r="FN34" i="2534"/>
  <c r="FN33" i="2534"/>
  <c r="FN32" i="2534"/>
  <c r="FN31" i="2534"/>
  <c r="FN30" i="2534"/>
  <c r="FN29" i="2534"/>
  <c r="FN28" i="2534"/>
  <c r="FN27" i="2534"/>
  <c r="FN26" i="2534"/>
  <c r="FN25" i="2534"/>
  <c r="FN24" i="2534"/>
  <c r="FN23" i="2534"/>
  <c r="FN22" i="2534"/>
  <c r="FN21" i="2534"/>
  <c r="FN20" i="2534"/>
  <c r="FN19" i="2534"/>
  <c r="FN18" i="2534"/>
  <c r="FN17" i="2534"/>
  <c r="FN16" i="2534"/>
  <c r="FN15" i="2534"/>
  <c r="FN14" i="2534"/>
  <c r="FN13" i="2534"/>
  <c r="FN12" i="2534"/>
  <c r="FN11" i="2534"/>
  <c r="FN10" i="2534"/>
  <c r="FN9" i="2534"/>
  <c r="FN5" i="2534"/>
  <c r="GA45" i="2534"/>
  <c r="GA44" i="2534"/>
  <c r="GA43" i="2534"/>
  <c r="GA42" i="2534"/>
  <c r="GA41" i="2534"/>
  <c r="GA40" i="2534"/>
  <c r="GA39" i="2534"/>
  <c r="GA38" i="2534"/>
  <c r="GA37" i="2534"/>
  <c r="GA36" i="2534"/>
  <c r="GA35" i="2534"/>
  <c r="GA34" i="2534"/>
  <c r="GA33" i="2534"/>
  <c r="GA32" i="2534"/>
  <c r="GA31" i="2534"/>
  <c r="GA30" i="2534"/>
  <c r="GA29" i="2534"/>
  <c r="GA28" i="2534"/>
  <c r="GA27" i="2534"/>
  <c r="GA26" i="2534"/>
  <c r="GA25" i="2534"/>
  <c r="GA24" i="2534"/>
  <c r="GA23" i="2534"/>
  <c r="GA22" i="2534"/>
  <c r="GA21" i="2534"/>
  <c r="GA20" i="2534"/>
  <c r="GA19" i="2534"/>
  <c r="GA18" i="2534"/>
  <c r="GA17" i="2534"/>
  <c r="GA16" i="2534"/>
  <c r="GA15" i="2534"/>
  <c r="GA14" i="2534"/>
  <c r="GA13" i="2534"/>
  <c r="GA12" i="2534"/>
  <c r="GA11" i="2534"/>
  <c r="GA10" i="2534"/>
  <c r="GA9" i="2534"/>
  <c r="GA5" i="2534"/>
  <c r="GN45" i="2534"/>
  <c r="GN44" i="2534"/>
  <c r="GN43" i="2534"/>
  <c r="GN42" i="2534"/>
  <c r="GN41" i="2534"/>
  <c r="GN40" i="2534"/>
  <c r="GN39" i="2534"/>
  <c r="GN38" i="2534"/>
  <c r="GN37" i="2534"/>
  <c r="GN36" i="2534"/>
  <c r="GN35" i="2534"/>
  <c r="GN34" i="2534"/>
  <c r="GN33" i="2534"/>
  <c r="GN32" i="2534"/>
  <c r="GN31" i="2534"/>
  <c r="GN30" i="2534"/>
  <c r="GN29" i="2534"/>
  <c r="GN28" i="2534"/>
  <c r="GN27" i="2534"/>
  <c r="GN26" i="2534"/>
  <c r="GN25" i="2534"/>
  <c r="GN24" i="2534"/>
  <c r="GN23" i="2534"/>
  <c r="GN22" i="2534"/>
  <c r="GN21" i="2534"/>
  <c r="GN20" i="2534"/>
  <c r="GN19" i="2534"/>
  <c r="GN18" i="2534"/>
  <c r="GN17" i="2534"/>
  <c r="GN16" i="2534"/>
  <c r="GN15" i="2534"/>
  <c r="GN14" i="2534"/>
  <c r="GN13" i="2534"/>
  <c r="GN12" i="2534"/>
  <c r="GN11" i="2534"/>
  <c r="GN10" i="2534"/>
  <c r="GN9" i="2534"/>
  <c r="GN5" i="2534"/>
  <c r="HA45" i="2534"/>
  <c r="HA44" i="2534"/>
  <c r="HA43" i="2534"/>
  <c r="HA42" i="2534"/>
  <c r="HA41" i="2534"/>
  <c r="HA40" i="2534"/>
  <c r="HA39" i="2534"/>
  <c r="HA38" i="2534"/>
  <c r="HA37" i="2534"/>
  <c r="HA36" i="2534"/>
  <c r="HA35" i="2534"/>
  <c r="HA34" i="2534"/>
  <c r="HA33" i="2534"/>
  <c r="HA32" i="2534"/>
  <c r="HA31" i="2534"/>
  <c r="HA30" i="2534"/>
  <c r="HA29" i="2534"/>
  <c r="HA28" i="2534"/>
  <c r="HA27" i="2534"/>
  <c r="HA26" i="2534"/>
  <c r="HA25" i="2534"/>
  <c r="HA24" i="2534"/>
  <c r="HA23" i="2534"/>
  <c r="HA22" i="2534"/>
  <c r="HA21" i="2534"/>
  <c r="HA20" i="2534"/>
  <c r="HA19" i="2534"/>
  <c r="HA18" i="2534"/>
  <c r="HA17" i="2534"/>
  <c r="HA16" i="2534"/>
  <c r="HA15" i="2534"/>
  <c r="HA14" i="2534"/>
  <c r="HA13" i="2534"/>
  <c r="HA12" i="2534"/>
  <c r="HA11" i="2534"/>
  <c r="HA10" i="2534"/>
  <c r="HA9" i="2534"/>
  <c r="HA5" i="2534"/>
  <c r="HN45" i="2534"/>
  <c r="HN44" i="2534"/>
  <c r="HN43" i="2534"/>
  <c r="HN42" i="2534"/>
  <c r="HN41" i="2534"/>
  <c r="HN40" i="2534"/>
  <c r="HN39" i="2534"/>
  <c r="HN38" i="2534"/>
  <c r="HN37" i="2534"/>
  <c r="HN36" i="2534"/>
  <c r="HN35" i="2534"/>
  <c r="HN34" i="2534"/>
  <c r="HN33" i="2534"/>
  <c r="HN32" i="2534"/>
  <c r="HN31" i="2534"/>
  <c r="HN30" i="2534"/>
  <c r="HN29" i="2534"/>
  <c r="HN28" i="2534"/>
  <c r="HN27" i="2534"/>
  <c r="HN26" i="2534"/>
  <c r="HN25" i="2534"/>
  <c r="HN24" i="2534"/>
  <c r="HN23" i="2534"/>
  <c r="HN22" i="2534"/>
  <c r="HN21" i="2534"/>
  <c r="HN20" i="2534"/>
  <c r="HN19" i="2534"/>
  <c r="HN18" i="2534"/>
  <c r="HN17" i="2534"/>
  <c r="HN16" i="2534"/>
  <c r="HN15" i="2534"/>
  <c r="HN14" i="2534"/>
  <c r="HN13" i="2534"/>
  <c r="HN12" i="2534"/>
  <c r="HN11" i="2534"/>
  <c r="HN10" i="2534"/>
  <c r="HN9" i="2534"/>
  <c r="HN5" i="2534"/>
  <c r="IA45" i="2534"/>
  <c r="IA44" i="2534"/>
  <c r="IA43" i="2534"/>
  <c r="IA42" i="2534"/>
  <c r="IA41" i="2534"/>
  <c r="IA40" i="2534"/>
  <c r="IA39" i="2534"/>
  <c r="IA38" i="2534"/>
  <c r="IA37" i="2534"/>
  <c r="IA36" i="2534"/>
  <c r="IA35" i="2534"/>
  <c r="IA34" i="2534"/>
  <c r="IA33" i="2534"/>
  <c r="IA32" i="2534"/>
  <c r="IA31" i="2534"/>
  <c r="IA30" i="2534"/>
  <c r="IA29" i="2534"/>
  <c r="IA28" i="2534"/>
  <c r="IA27" i="2534"/>
  <c r="IA26" i="2534"/>
  <c r="IA25" i="2534"/>
  <c r="IA24" i="2534"/>
  <c r="IA23" i="2534"/>
  <c r="IA22" i="2534"/>
  <c r="IA21" i="2534"/>
  <c r="IA20" i="2534"/>
  <c r="IA19" i="2534"/>
  <c r="IA18" i="2534"/>
  <c r="IA17" i="2534"/>
  <c r="IA16" i="2534"/>
  <c r="IA15" i="2534"/>
  <c r="IA14" i="2534"/>
  <c r="IA13" i="2534"/>
  <c r="IA12" i="2534"/>
  <c r="IA11" i="2534"/>
  <c r="IA10" i="2534"/>
  <c r="IA9" i="2534"/>
  <c r="IA5" i="2534"/>
  <c r="IN45" i="2534"/>
  <c r="IN44" i="2534"/>
  <c r="IN43" i="2534"/>
  <c r="IN42" i="2534"/>
  <c r="IN41" i="2534"/>
  <c r="IN40" i="2534"/>
  <c r="IN39" i="2534"/>
  <c r="IN38" i="2534"/>
  <c r="IN37" i="2534"/>
  <c r="IN36" i="2534"/>
  <c r="IN35" i="2534"/>
  <c r="IN34" i="2534"/>
  <c r="IN33" i="2534"/>
  <c r="IN32" i="2534"/>
  <c r="IN31" i="2534"/>
  <c r="IN30" i="2534"/>
  <c r="IN29" i="2534"/>
  <c r="IN28" i="2534"/>
  <c r="IN27" i="2534"/>
  <c r="IN26" i="2534"/>
  <c r="IN25" i="2534"/>
  <c r="IN24" i="2534"/>
  <c r="IN23" i="2534"/>
  <c r="IN22" i="2534"/>
  <c r="IN21" i="2534"/>
  <c r="IN20" i="2534"/>
  <c r="IN19" i="2534"/>
  <c r="IN18" i="2534"/>
  <c r="IN17" i="2534"/>
  <c r="IN16" i="2534"/>
  <c r="IN15" i="2534"/>
  <c r="IN14" i="2534"/>
  <c r="IN13" i="2534"/>
  <c r="IN12" i="2534"/>
  <c r="IN11" i="2534"/>
  <c r="IN10" i="2534"/>
  <c r="IN9" i="2534"/>
  <c r="IN5" i="2534"/>
  <c r="JA45" i="2534"/>
  <c r="JA44" i="2534"/>
  <c r="JA43" i="2534"/>
  <c r="JA42" i="2534"/>
  <c r="JA41" i="2534"/>
  <c r="JA40" i="2534"/>
  <c r="JA39" i="2534"/>
  <c r="JA38" i="2534"/>
  <c r="JA37" i="2534"/>
  <c r="JA36" i="2534"/>
  <c r="JA35" i="2534"/>
  <c r="JA34" i="2534"/>
  <c r="JA33" i="2534"/>
  <c r="JA32" i="2534"/>
  <c r="JA31" i="2534"/>
  <c r="JA30" i="2534"/>
  <c r="JA29" i="2534"/>
  <c r="JA28" i="2534"/>
  <c r="JA27" i="2534"/>
  <c r="JA26" i="2534"/>
  <c r="JA25" i="2534"/>
  <c r="JA24" i="2534"/>
  <c r="JA23" i="2534"/>
  <c r="JA22" i="2534"/>
  <c r="JA21" i="2534"/>
  <c r="JA20" i="2534"/>
  <c r="JA19" i="2534"/>
  <c r="JA18" i="2534"/>
  <c r="JA17" i="2534"/>
  <c r="JA16" i="2534"/>
  <c r="JA15" i="2534"/>
  <c r="JA14" i="2534"/>
  <c r="JA13" i="2534"/>
  <c r="JA12" i="2534"/>
  <c r="JA11" i="2534"/>
  <c r="JA10" i="2534"/>
  <c r="JA9" i="2534"/>
  <c r="JA7" i="2534"/>
  <c r="JA5" i="2534"/>
  <c r="JN45" i="2534"/>
  <c r="JN44" i="2534"/>
  <c r="JN43" i="2534"/>
  <c r="JN42" i="2534"/>
  <c r="JN41" i="2534"/>
  <c r="JN40" i="2534"/>
  <c r="JN39" i="2534"/>
  <c r="JN38" i="2534"/>
  <c r="JN37" i="2534"/>
  <c r="JN36" i="2534"/>
  <c r="JN35" i="2534"/>
  <c r="JN34" i="2534"/>
  <c r="JN33" i="2534"/>
  <c r="JN32" i="2534"/>
  <c r="JN31" i="2534"/>
  <c r="JN30" i="2534"/>
  <c r="JN29" i="2534"/>
  <c r="JN28" i="2534"/>
  <c r="JN27" i="2534"/>
  <c r="JN26" i="2534"/>
  <c r="JN25" i="2534"/>
  <c r="JN24" i="2534"/>
  <c r="JN23" i="2534"/>
  <c r="JN22" i="2534"/>
  <c r="JN21" i="2534"/>
  <c r="JN20" i="2534"/>
  <c r="JN19" i="2534"/>
  <c r="JN18" i="2534"/>
  <c r="JN17" i="2534"/>
  <c r="JN16" i="2534"/>
  <c r="JN15" i="2534"/>
  <c r="JN14" i="2534"/>
  <c r="JN13" i="2534"/>
  <c r="JN12" i="2534"/>
  <c r="JN11" i="2534"/>
  <c r="JN10" i="2534"/>
  <c r="JN9" i="2534"/>
  <c r="JN5" i="2534"/>
  <c r="N37" i="2478"/>
  <c r="N36" i="2478"/>
  <c r="N35" i="2478"/>
  <c r="N34" i="2478"/>
  <c r="N33" i="2478"/>
  <c r="N32" i="2478"/>
  <c r="N31" i="2478"/>
  <c r="N30" i="2478"/>
  <c r="N29" i="2478"/>
  <c r="N28" i="2478"/>
  <c r="N27" i="2478"/>
  <c r="N26" i="2478"/>
  <c r="N25" i="2478"/>
  <c r="N24" i="2478"/>
  <c r="N23" i="2478"/>
  <c r="N22" i="2478"/>
  <c r="N21" i="2478"/>
  <c r="N20" i="2478"/>
  <c r="N19" i="2478"/>
  <c r="N18" i="2478"/>
  <c r="N17" i="2478"/>
  <c r="N16" i="2478"/>
  <c r="N15" i="2478"/>
  <c r="N14" i="2478"/>
  <c r="N13" i="2478"/>
  <c r="N12" i="2478"/>
  <c r="N11" i="2478"/>
  <c r="N10" i="2478"/>
  <c r="N9" i="2478"/>
  <c r="N5" i="2478"/>
  <c r="AA37" i="2478"/>
  <c r="AA36" i="2478"/>
  <c r="AA35" i="2478"/>
  <c r="AA34" i="2478"/>
  <c r="AA33" i="2478"/>
  <c r="AA32" i="2478"/>
  <c r="AA31" i="2478"/>
  <c r="AA30" i="2478"/>
  <c r="AA29" i="2478"/>
  <c r="AA28" i="2478"/>
  <c r="AA27" i="2478"/>
  <c r="AA26" i="2478"/>
  <c r="AA25" i="2478"/>
  <c r="AA24" i="2478"/>
  <c r="AA23" i="2478"/>
  <c r="AA22" i="2478"/>
  <c r="AA21" i="2478"/>
  <c r="AA20" i="2478"/>
  <c r="AA19" i="2478"/>
  <c r="AA18" i="2478"/>
  <c r="AA17" i="2478"/>
  <c r="AA16" i="2478"/>
  <c r="AA15" i="2478"/>
  <c r="AA14" i="2478"/>
  <c r="AA13" i="2478"/>
  <c r="AA12" i="2478"/>
  <c r="AA11" i="2478"/>
  <c r="AA10" i="2478"/>
  <c r="AA9" i="2478"/>
  <c r="AA5" i="2478"/>
  <c r="AN37" i="2478"/>
  <c r="AN36" i="2478"/>
  <c r="AN35" i="2478"/>
  <c r="AN34" i="2478"/>
  <c r="AN33" i="2478"/>
  <c r="AN32" i="2478"/>
  <c r="AN31" i="2478"/>
  <c r="AN30" i="2478"/>
  <c r="AN29" i="2478"/>
  <c r="AN28" i="2478"/>
  <c r="AN27" i="2478"/>
  <c r="AN26" i="2478"/>
  <c r="AN25" i="2478"/>
  <c r="AN24" i="2478"/>
  <c r="AN23" i="2478"/>
  <c r="AN22" i="2478"/>
  <c r="AN21" i="2478"/>
  <c r="AN20" i="2478"/>
  <c r="AN19" i="2478"/>
  <c r="AN18" i="2478"/>
  <c r="AN17" i="2478"/>
  <c r="AN16" i="2478"/>
  <c r="AN15" i="2478"/>
  <c r="AN14" i="2478"/>
  <c r="AN13" i="2478"/>
  <c r="AN12" i="2478"/>
  <c r="AN11" i="2478"/>
  <c r="AN10" i="2478"/>
  <c r="AN9" i="2478"/>
  <c r="AN5" i="2478"/>
  <c r="BA37" i="2478"/>
  <c r="BA36" i="2478"/>
  <c r="BA35" i="2478"/>
  <c r="BA34" i="2478"/>
  <c r="BA33" i="2478"/>
  <c r="BA32" i="2478"/>
  <c r="BA31" i="2478"/>
  <c r="BA30" i="2478"/>
  <c r="BA29" i="2478"/>
  <c r="BA28" i="2478"/>
  <c r="BA27" i="2478"/>
  <c r="BA26" i="2478"/>
  <c r="BA25" i="2478"/>
  <c r="BA24" i="2478"/>
  <c r="BA23" i="2478"/>
  <c r="BA22" i="2478"/>
  <c r="BA21" i="2478"/>
  <c r="BA20" i="2478"/>
  <c r="BA19" i="2478"/>
  <c r="BA18" i="2478"/>
  <c r="BA17" i="2478"/>
  <c r="BA16" i="2478"/>
  <c r="BA15" i="2478"/>
  <c r="BA14" i="2478"/>
  <c r="BA13" i="2478"/>
  <c r="BA12" i="2478"/>
  <c r="BA11" i="2478"/>
  <c r="BA10" i="2478"/>
  <c r="BA9" i="2478"/>
  <c r="BA5" i="2478"/>
  <c r="BN37" i="2478"/>
  <c r="BN36" i="2478"/>
  <c r="BN35" i="2478"/>
  <c r="BN34" i="2478"/>
  <c r="BN33" i="2478"/>
  <c r="BN32" i="2478"/>
  <c r="BN31" i="2478"/>
  <c r="BN30" i="2478"/>
  <c r="BN29" i="2478"/>
  <c r="BN28" i="2478"/>
  <c r="BN27" i="2478"/>
  <c r="BN26" i="2478"/>
  <c r="BN25" i="2478"/>
  <c r="BN24" i="2478"/>
  <c r="BN23" i="2478"/>
  <c r="BN22" i="2478"/>
  <c r="BN21" i="2478"/>
  <c r="BN20" i="2478"/>
  <c r="BN19" i="2478"/>
  <c r="BN18" i="2478"/>
  <c r="BN17" i="2478"/>
  <c r="BN16" i="2478"/>
  <c r="BN15" i="2478"/>
  <c r="BN14" i="2478"/>
  <c r="BN13" i="2478"/>
  <c r="BN12" i="2478"/>
  <c r="BN11" i="2478"/>
  <c r="BN10" i="2478"/>
  <c r="BN9" i="2478"/>
  <c r="BN5" i="2478"/>
  <c r="CA37" i="2478"/>
  <c r="CA36" i="2478"/>
  <c r="CA35" i="2478"/>
  <c r="CA34" i="2478"/>
  <c r="CA33" i="2478"/>
  <c r="CA32" i="2478"/>
  <c r="CA31" i="2478"/>
  <c r="CA30" i="2478"/>
  <c r="CA29" i="2478"/>
  <c r="CA28" i="2478"/>
  <c r="CA27" i="2478"/>
  <c r="CA26" i="2478"/>
  <c r="CA25" i="2478"/>
  <c r="CA24" i="2478"/>
  <c r="CA23" i="2478"/>
  <c r="CA22" i="2478"/>
  <c r="CA21" i="2478"/>
  <c r="CA20" i="2478"/>
  <c r="CA19" i="2478"/>
  <c r="CA18" i="2478"/>
  <c r="CA17" i="2478"/>
  <c r="CA16" i="2478"/>
  <c r="CA15" i="2478"/>
  <c r="CA14" i="2478"/>
  <c r="CA13" i="2478"/>
  <c r="CA12" i="2478"/>
  <c r="CA11" i="2478"/>
  <c r="CA10" i="2478"/>
  <c r="CA9" i="2478"/>
  <c r="CA5" i="2478"/>
  <c r="CN37" i="2478"/>
  <c r="CN36" i="2478"/>
  <c r="CN35" i="2478"/>
  <c r="CN34" i="2478"/>
  <c r="CN33" i="2478"/>
  <c r="CN32" i="2478"/>
  <c r="CN31" i="2478"/>
  <c r="CN30" i="2478"/>
  <c r="CN29" i="2478"/>
  <c r="CN28" i="2478"/>
  <c r="CN27" i="2478"/>
  <c r="CN26" i="2478"/>
  <c r="CN25" i="2478"/>
  <c r="CN24" i="2478"/>
  <c r="CN23" i="2478"/>
  <c r="CN22" i="2478"/>
  <c r="CN21" i="2478"/>
  <c r="CN20" i="2478"/>
  <c r="CN19" i="2478"/>
  <c r="CN18" i="2478"/>
  <c r="CN17" i="2478"/>
  <c r="CN16" i="2478"/>
  <c r="CN15" i="2478"/>
  <c r="CN14" i="2478"/>
  <c r="CN13" i="2478"/>
  <c r="CN12" i="2478"/>
  <c r="CN11" i="2478"/>
  <c r="CN10" i="2478"/>
  <c r="CN9" i="2478"/>
  <c r="CN5" i="2478"/>
  <c r="DA37" i="2478"/>
  <c r="DA36" i="2478"/>
  <c r="DA35" i="2478"/>
  <c r="DA34" i="2478"/>
  <c r="DA33" i="2478"/>
  <c r="DA32" i="2478"/>
  <c r="DA31" i="2478"/>
  <c r="DA30" i="2478"/>
  <c r="DA29" i="2478"/>
  <c r="DA28" i="2478"/>
  <c r="DA27" i="2478"/>
  <c r="DA26" i="2478"/>
  <c r="DA25" i="2478"/>
  <c r="DA24" i="2478"/>
  <c r="DA23" i="2478"/>
  <c r="DA22" i="2478"/>
  <c r="DA21" i="2478"/>
  <c r="DA20" i="2478"/>
  <c r="DA19" i="2478"/>
  <c r="DA18" i="2478"/>
  <c r="DA17" i="2478"/>
  <c r="DA16" i="2478"/>
  <c r="DA15" i="2478"/>
  <c r="DA14" i="2478"/>
  <c r="DA13" i="2478"/>
  <c r="DA12" i="2478"/>
  <c r="DA11" i="2478"/>
  <c r="DA10" i="2478"/>
  <c r="DA9" i="2478"/>
  <c r="DA5" i="2478"/>
  <c r="DN37" i="2478"/>
  <c r="DN36" i="2478"/>
  <c r="DN35" i="2478"/>
  <c r="DN34" i="2478"/>
  <c r="DN33" i="2478"/>
  <c r="DN32" i="2478"/>
  <c r="DN31" i="2478"/>
  <c r="DN30" i="2478"/>
  <c r="DN29" i="2478"/>
  <c r="DN28" i="2478"/>
  <c r="DN27" i="2478"/>
  <c r="DN26" i="2478"/>
  <c r="DN25" i="2478"/>
  <c r="DN24" i="2478"/>
  <c r="DN23" i="2478"/>
  <c r="DN22" i="2478"/>
  <c r="DN21" i="2478"/>
  <c r="DN20" i="2478"/>
  <c r="DN19" i="2478"/>
  <c r="DN18" i="2478"/>
  <c r="DN17" i="2478"/>
  <c r="DN16" i="2478"/>
  <c r="DN15" i="2478"/>
  <c r="DN14" i="2478"/>
  <c r="DN13" i="2478"/>
  <c r="DN12" i="2478"/>
  <c r="DN11" i="2478"/>
  <c r="DN10" i="2478"/>
  <c r="DN9" i="2478"/>
  <c r="DN5" i="2478"/>
  <c r="EA37" i="2478"/>
  <c r="EA36" i="2478"/>
  <c r="EA35" i="2478"/>
  <c r="EA34" i="2478"/>
  <c r="EA33" i="2478"/>
  <c r="EA32" i="2478"/>
  <c r="EA31" i="2478"/>
  <c r="EA30" i="2478"/>
  <c r="EA29" i="2478"/>
  <c r="EA28" i="2478"/>
  <c r="EA27" i="2478"/>
  <c r="EA26" i="2478"/>
  <c r="EA25" i="2478"/>
  <c r="EA24" i="2478"/>
  <c r="EA23" i="2478"/>
  <c r="EA22" i="2478"/>
  <c r="EA21" i="2478"/>
  <c r="EA20" i="2478"/>
  <c r="EA19" i="2478"/>
  <c r="EA18" i="2478"/>
  <c r="EA17" i="2478"/>
  <c r="EA16" i="2478"/>
  <c r="EA15" i="2478"/>
  <c r="EA14" i="2478"/>
  <c r="EA13" i="2478"/>
  <c r="EA12" i="2478"/>
  <c r="EA11" i="2478"/>
  <c r="EA10" i="2478"/>
  <c r="EA9" i="2478"/>
  <c r="EA7" i="2478"/>
  <c r="EA5" i="2478"/>
  <c r="EN37" i="2478"/>
  <c r="EN36" i="2478"/>
  <c r="EN35" i="2478"/>
  <c r="EN34" i="2478"/>
  <c r="EN33" i="2478"/>
  <c r="EN32" i="2478"/>
  <c r="EN31" i="2478"/>
  <c r="EN30" i="2478"/>
  <c r="EN29" i="2478"/>
  <c r="EN28" i="2478"/>
  <c r="EN27" i="2478"/>
  <c r="EN26" i="2478"/>
  <c r="EN25" i="2478"/>
  <c r="EN24" i="2478"/>
  <c r="EN23" i="2478"/>
  <c r="EN22" i="2478"/>
  <c r="EN21" i="2478"/>
  <c r="EN20" i="2478"/>
  <c r="EN19" i="2478"/>
  <c r="EN18" i="2478"/>
  <c r="EN17" i="2478"/>
  <c r="EN16" i="2478"/>
  <c r="EN15" i="2478"/>
  <c r="EN14" i="2478"/>
  <c r="EN13" i="2478"/>
  <c r="EN12" i="2478"/>
  <c r="EN11" i="2478"/>
  <c r="EN10" i="2478"/>
  <c r="EN9" i="2478"/>
  <c r="EN5" i="2478"/>
  <c r="FA37" i="2478"/>
  <c r="FA36" i="2478"/>
  <c r="FA35" i="2478"/>
  <c r="FA34" i="2478"/>
  <c r="FA33" i="2478"/>
  <c r="FA32" i="2478"/>
  <c r="FA31" i="2478"/>
  <c r="FA30" i="2478"/>
  <c r="FA29" i="2478"/>
  <c r="FA28" i="2478"/>
  <c r="FA27" i="2478"/>
  <c r="FA26" i="2478"/>
  <c r="FA25" i="2478"/>
  <c r="FA24" i="2478"/>
  <c r="FA23" i="2478"/>
  <c r="FA22" i="2478"/>
  <c r="FA21" i="2478"/>
  <c r="FA20" i="2478"/>
  <c r="FA19" i="2478"/>
  <c r="FA18" i="2478"/>
  <c r="FA17" i="2478"/>
  <c r="FA16" i="2478"/>
  <c r="FA15" i="2478"/>
  <c r="FA14" i="2478"/>
  <c r="FA13" i="2478"/>
  <c r="FA12" i="2478"/>
  <c r="FA11" i="2478"/>
  <c r="FA10" i="2478"/>
  <c r="FA9" i="2478"/>
  <c r="FA5" i="2478"/>
  <c r="FN37" i="2478"/>
  <c r="FN36" i="2478"/>
  <c r="FN35" i="2478"/>
  <c r="FN34" i="2478"/>
  <c r="FN33" i="2478"/>
  <c r="FN32" i="2478"/>
  <c r="FN31" i="2478"/>
  <c r="FN30" i="2478"/>
  <c r="FN29" i="2478"/>
  <c r="FN28" i="2478"/>
  <c r="FN27" i="2478"/>
  <c r="FN26" i="2478"/>
  <c r="FN25" i="2478"/>
  <c r="FN24" i="2478"/>
  <c r="FN23" i="2478"/>
  <c r="FN22" i="2478"/>
  <c r="FN21" i="2478"/>
  <c r="FN20" i="2478"/>
  <c r="FN19" i="2478"/>
  <c r="FN18" i="2478"/>
  <c r="FN17" i="2478"/>
  <c r="FN16" i="2478"/>
  <c r="FN15" i="2478"/>
  <c r="FN14" i="2478"/>
  <c r="FN13" i="2478"/>
  <c r="FN12" i="2478"/>
  <c r="FN11" i="2478"/>
  <c r="FN10" i="2478"/>
  <c r="FN9" i="2478"/>
  <c r="FN5" i="2478"/>
  <c r="GA37" i="2478"/>
  <c r="GA36" i="2478"/>
  <c r="GA35" i="2478"/>
  <c r="GA34" i="2478"/>
  <c r="GA33" i="2478"/>
  <c r="GA32" i="2478"/>
  <c r="GA31" i="2478"/>
  <c r="GA30" i="2478"/>
  <c r="GA29" i="2478"/>
  <c r="GA28" i="2478"/>
  <c r="GA27" i="2478"/>
  <c r="GA26" i="2478"/>
  <c r="GA25" i="2478"/>
  <c r="GA24" i="2478"/>
  <c r="GA23" i="2478"/>
  <c r="GA22" i="2478"/>
  <c r="GA21" i="2478"/>
  <c r="GA20" i="2478"/>
  <c r="GA19" i="2478"/>
  <c r="GA18" i="2478"/>
  <c r="GA17" i="2478"/>
  <c r="GA16" i="2478"/>
  <c r="GA15" i="2478"/>
  <c r="GA14" i="2478"/>
  <c r="GA13" i="2478"/>
  <c r="GA12" i="2478"/>
  <c r="GA11" i="2478"/>
  <c r="GA10" i="2478"/>
  <c r="GA9" i="2478"/>
  <c r="GA5" i="2478"/>
  <c r="GN37" i="2478"/>
  <c r="GN36" i="2478"/>
  <c r="GN35" i="2478"/>
  <c r="GN34" i="2478"/>
  <c r="GN33" i="2478"/>
  <c r="GN32" i="2478"/>
  <c r="GN31" i="2478"/>
  <c r="GN30" i="2478"/>
  <c r="GN29" i="2478"/>
  <c r="GN28" i="2478"/>
  <c r="GN27" i="2478"/>
  <c r="GN26" i="2478"/>
  <c r="GN25" i="2478"/>
  <c r="GN24" i="2478"/>
  <c r="GN23" i="2478"/>
  <c r="GN22" i="2478"/>
  <c r="GN21" i="2478"/>
  <c r="GN20" i="2478"/>
  <c r="GN19" i="2478"/>
  <c r="GN18" i="2478"/>
  <c r="GN17" i="2478"/>
  <c r="GN16" i="2478"/>
  <c r="GN15" i="2478"/>
  <c r="GN14" i="2478"/>
  <c r="GN13" i="2478"/>
  <c r="GN12" i="2478"/>
  <c r="GN11" i="2478"/>
  <c r="GN10" i="2478"/>
  <c r="GN9" i="2478"/>
  <c r="GN5" i="2478"/>
  <c r="HA37" i="2478"/>
  <c r="HA36" i="2478"/>
  <c r="HA35" i="2478"/>
  <c r="HA34" i="2478"/>
  <c r="HA33" i="2478"/>
  <c r="HA32" i="2478"/>
  <c r="HA31" i="2478"/>
  <c r="HA30" i="2478"/>
  <c r="HA29" i="2478"/>
  <c r="HA28" i="2478"/>
  <c r="HA27" i="2478"/>
  <c r="HA26" i="2478"/>
  <c r="HA25" i="2478"/>
  <c r="HA24" i="2478"/>
  <c r="HA23" i="2478"/>
  <c r="HA22" i="2478"/>
  <c r="HA21" i="2478"/>
  <c r="HA20" i="2478"/>
  <c r="HA19" i="2478"/>
  <c r="HA18" i="2478"/>
  <c r="HA17" i="2478"/>
  <c r="HA16" i="2478"/>
  <c r="HA15" i="2478"/>
  <c r="HA14" i="2478"/>
  <c r="HA13" i="2478"/>
  <c r="HA12" i="2478"/>
  <c r="HA11" i="2478"/>
  <c r="HA10" i="2478"/>
  <c r="HA9" i="2478"/>
  <c r="HA5" i="2478"/>
  <c r="HN37" i="2478"/>
  <c r="HN36" i="2478"/>
  <c r="HN35" i="2478"/>
  <c r="HN34" i="2478"/>
  <c r="HN33" i="2478"/>
  <c r="HN32" i="2478"/>
  <c r="HN31" i="2478"/>
  <c r="HN30" i="2478"/>
  <c r="HN29" i="2478"/>
  <c r="HN28" i="2478"/>
  <c r="HN27" i="2478"/>
  <c r="HN26" i="2478"/>
  <c r="HN25" i="2478"/>
  <c r="HN24" i="2478"/>
  <c r="HN23" i="2478"/>
  <c r="HN22" i="2478"/>
  <c r="HN21" i="2478"/>
  <c r="HN20" i="2478"/>
  <c r="HN19" i="2478"/>
  <c r="HN18" i="2478"/>
  <c r="HN17" i="2478"/>
  <c r="HN16" i="2478"/>
  <c r="HN15" i="2478"/>
  <c r="HN14" i="2478"/>
  <c r="HN13" i="2478"/>
  <c r="HN12" i="2478"/>
  <c r="HN11" i="2478"/>
  <c r="HN10" i="2478"/>
  <c r="HN9" i="2478"/>
  <c r="HN5" i="2478"/>
  <c r="IA37" i="2478"/>
  <c r="IA36" i="2478"/>
  <c r="IA35" i="2478"/>
  <c r="IA34" i="2478"/>
  <c r="IA33" i="2478"/>
  <c r="IA32" i="2478"/>
  <c r="IA31" i="2478"/>
  <c r="IA30" i="2478"/>
  <c r="IA29" i="2478"/>
  <c r="IA28" i="2478"/>
  <c r="IA27" i="2478"/>
  <c r="IA26" i="2478"/>
  <c r="IA25" i="2478"/>
  <c r="IA24" i="2478"/>
  <c r="IA23" i="2478"/>
  <c r="IA22" i="2478"/>
  <c r="IA21" i="2478"/>
  <c r="IA20" i="2478"/>
  <c r="IA19" i="2478"/>
  <c r="IA18" i="2478"/>
  <c r="IA17" i="2478"/>
  <c r="IA16" i="2478"/>
  <c r="IA15" i="2478"/>
  <c r="IA14" i="2478"/>
  <c r="IA13" i="2478"/>
  <c r="IA12" i="2478"/>
  <c r="IA11" i="2478"/>
  <c r="IA10" i="2478"/>
  <c r="IA9" i="2478"/>
  <c r="IA5" i="2478"/>
  <c r="IN37" i="2478"/>
  <c r="IN36" i="2478"/>
  <c r="IN35" i="2478"/>
  <c r="IN34" i="2478"/>
  <c r="IN33" i="2478"/>
  <c r="IN32" i="2478"/>
  <c r="IN31" i="2478"/>
  <c r="IN30" i="2478"/>
  <c r="IN29" i="2478"/>
  <c r="IN28" i="2478"/>
  <c r="IN27" i="2478"/>
  <c r="IN26" i="2478"/>
  <c r="IN25" i="2478"/>
  <c r="IN24" i="2478"/>
  <c r="IN23" i="2478"/>
  <c r="IN22" i="2478"/>
  <c r="IN21" i="2478"/>
  <c r="IN20" i="2478"/>
  <c r="IN19" i="2478"/>
  <c r="IN18" i="2478"/>
  <c r="IN17" i="2478"/>
  <c r="IN16" i="2478"/>
  <c r="IN15" i="2478"/>
  <c r="IN14" i="2478"/>
  <c r="IN13" i="2478"/>
  <c r="IN12" i="2478"/>
  <c r="IN11" i="2478"/>
  <c r="IN10" i="2478"/>
  <c r="IN9" i="2478"/>
  <c r="IN5" i="2478"/>
  <c r="JA37" i="2478"/>
  <c r="JA36" i="2478"/>
  <c r="JA35" i="2478"/>
  <c r="JA34" i="2478"/>
  <c r="JA33" i="2478"/>
  <c r="JA32" i="2478"/>
  <c r="JA31" i="2478"/>
  <c r="JA30" i="2478"/>
  <c r="JA29" i="2478"/>
  <c r="JA28" i="2478"/>
  <c r="JA27" i="2478"/>
  <c r="JA26" i="2478"/>
  <c r="JA25" i="2478"/>
  <c r="JA24" i="2478"/>
  <c r="JA23" i="2478"/>
  <c r="JA22" i="2478"/>
  <c r="JA21" i="2478"/>
  <c r="JA20" i="2478"/>
  <c r="JA19" i="2478"/>
  <c r="JA18" i="2478"/>
  <c r="JA17" i="2478"/>
  <c r="JA16" i="2478"/>
  <c r="JA15" i="2478"/>
  <c r="JA14" i="2478"/>
  <c r="JA13" i="2478"/>
  <c r="JA12" i="2478"/>
  <c r="JA11" i="2478"/>
  <c r="JA10" i="2478"/>
  <c r="JA9" i="2478"/>
  <c r="JA7" i="2478"/>
  <c r="JA5" i="2478"/>
  <c r="JN37" i="2478"/>
  <c r="JN36" i="2478"/>
  <c r="JN35" i="2478"/>
  <c r="JN34" i="2478"/>
  <c r="JN33" i="2478"/>
  <c r="JN32" i="2478"/>
  <c r="JN31" i="2478"/>
  <c r="JN30" i="2478"/>
  <c r="JN29" i="2478"/>
  <c r="JN28" i="2478"/>
  <c r="JN27" i="2478"/>
  <c r="JN26" i="2478"/>
  <c r="JN25" i="2478"/>
  <c r="JN24" i="2478"/>
  <c r="JN23" i="2478"/>
  <c r="JN22" i="2478"/>
  <c r="JN21" i="2478"/>
  <c r="JN20" i="2478"/>
  <c r="JN19" i="2478"/>
  <c r="JN18" i="2478"/>
  <c r="JN17" i="2478"/>
  <c r="JN16" i="2478"/>
  <c r="JN15" i="2478"/>
  <c r="JN14" i="2478"/>
  <c r="JN13" i="2478"/>
  <c r="JN12" i="2478"/>
  <c r="JN11" i="2478"/>
  <c r="JN10" i="2478"/>
  <c r="JN9" i="2478"/>
  <c r="JN5" i="2478"/>
  <c r="KA37" i="2478"/>
  <c r="KA36" i="2478"/>
  <c r="KA35" i="2478"/>
  <c r="KA34" i="2478"/>
  <c r="KA33" i="2478"/>
  <c r="KA32" i="2478"/>
  <c r="KA31" i="2478"/>
  <c r="KA30" i="2478"/>
  <c r="KA29" i="2478"/>
  <c r="KA28" i="2478"/>
  <c r="KA27" i="2478"/>
  <c r="KA26" i="2478"/>
  <c r="KA25" i="2478"/>
  <c r="KA24" i="2478"/>
  <c r="KA23" i="2478"/>
  <c r="KA22" i="2478"/>
  <c r="KA21" i="2478"/>
  <c r="KA20" i="2478"/>
  <c r="KA19" i="2478"/>
  <c r="KA18" i="2478"/>
  <c r="KA17" i="2478"/>
  <c r="KA16" i="2478"/>
  <c r="KA15" i="2478"/>
  <c r="KA14" i="2478"/>
  <c r="KA13" i="2478"/>
  <c r="KA12" i="2478"/>
  <c r="KA11" i="2478"/>
  <c r="KA10" i="2478"/>
  <c r="KA9" i="2478"/>
  <c r="N45" i="1615"/>
  <c r="N44" i="1615"/>
  <c r="N43" i="1615"/>
  <c r="N42" i="1615"/>
  <c r="N41" i="1615"/>
  <c r="N40" i="1615"/>
  <c r="N39" i="1615"/>
  <c r="N38" i="1615"/>
  <c r="N37" i="1615"/>
  <c r="N36" i="1615"/>
  <c r="N35" i="1615"/>
  <c r="N34" i="1615"/>
  <c r="N33" i="1615"/>
  <c r="N32" i="1615"/>
  <c r="N31" i="1615"/>
  <c r="N30" i="1615"/>
  <c r="N29" i="1615"/>
  <c r="N28" i="1615"/>
  <c r="N27" i="1615"/>
  <c r="N26" i="1615"/>
  <c r="N25" i="1615"/>
  <c r="N24" i="1615"/>
  <c r="N23" i="1615"/>
  <c r="N22" i="1615"/>
  <c r="N21" i="1615"/>
  <c r="N20" i="1615"/>
  <c r="N19" i="1615"/>
  <c r="N18" i="1615"/>
  <c r="N17" i="1615"/>
  <c r="N16" i="1615"/>
  <c r="N15" i="1615"/>
  <c r="N14" i="1615"/>
  <c r="N13" i="1615"/>
  <c r="N12" i="1615"/>
  <c r="N11" i="1615"/>
  <c r="N10" i="1615"/>
  <c r="N9" i="1615"/>
  <c r="N5" i="1615"/>
  <c r="AA45" i="1615"/>
  <c r="AA44" i="1615"/>
  <c r="AA43" i="1615"/>
  <c r="AA42" i="1615"/>
  <c r="AA41" i="1615"/>
  <c r="AA40" i="1615"/>
  <c r="AA39" i="1615"/>
  <c r="AA38" i="1615"/>
  <c r="AA37" i="1615"/>
  <c r="AA36" i="1615"/>
  <c r="AA35" i="1615"/>
  <c r="AA34" i="1615"/>
  <c r="AA33" i="1615"/>
  <c r="AA32" i="1615"/>
  <c r="AA31" i="1615"/>
  <c r="AA30" i="1615"/>
  <c r="AA29" i="1615"/>
  <c r="AA28" i="1615"/>
  <c r="AA27" i="1615"/>
  <c r="AA26" i="1615"/>
  <c r="AA25" i="1615"/>
  <c r="AA24" i="1615"/>
  <c r="AA23" i="1615"/>
  <c r="AA22" i="1615"/>
  <c r="AA21" i="1615"/>
  <c r="AA20" i="1615"/>
  <c r="AA19" i="1615"/>
  <c r="AA18" i="1615"/>
  <c r="AA17" i="1615"/>
  <c r="AA16" i="1615"/>
  <c r="AA15" i="1615"/>
  <c r="AA14" i="1615"/>
  <c r="AA13" i="1615"/>
  <c r="AA12" i="1615"/>
  <c r="AA11" i="1615"/>
  <c r="AA10" i="1615"/>
  <c r="AA9" i="1615"/>
  <c r="AA5" i="1615"/>
  <c r="AN45" i="1615"/>
  <c r="AN44" i="1615"/>
  <c r="AN43" i="1615"/>
  <c r="AN42" i="1615"/>
  <c r="AN41" i="1615"/>
  <c r="AN40" i="1615"/>
  <c r="AN39" i="1615"/>
  <c r="AN38" i="1615"/>
  <c r="AN37" i="1615"/>
  <c r="AN36" i="1615"/>
  <c r="AN35" i="1615"/>
  <c r="AN34" i="1615"/>
  <c r="AN33" i="1615"/>
  <c r="AN32" i="1615"/>
  <c r="AN31" i="1615"/>
  <c r="AN30" i="1615"/>
  <c r="AN29" i="1615"/>
  <c r="AN28" i="1615"/>
  <c r="AN27" i="1615"/>
  <c r="AN26" i="1615"/>
  <c r="AN25" i="1615"/>
  <c r="AN24" i="1615"/>
  <c r="AN23" i="1615"/>
  <c r="AN22" i="1615"/>
  <c r="AN21" i="1615"/>
  <c r="AN20" i="1615"/>
  <c r="AN19" i="1615"/>
  <c r="AN18" i="1615"/>
  <c r="AN17" i="1615"/>
  <c r="AN16" i="1615"/>
  <c r="AN15" i="1615"/>
  <c r="AN14" i="1615"/>
  <c r="AN13" i="1615"/>
  <c r="AN12" i="1615"/>
  <c r="AN11" i="1615"/>
  <c r="AN10" i="1615"/>
  <c r="AN9" i="1615"/>
  <c r="AN5" i="1615"/>
  <c r="BA45" i="1615"/>
  <c r="BA44" i="1615"/>
  <c r="BA43" i="1615"/>
  <c r="BA42" i="1615"/>
  <c r="BA41" i="1615"/>
  <c r="BA40" i="1615"/>
  <c r="BA39" i="1615"/>
  <c r="BA38" i="1615"/>
  <c r="BA37" i="1615"/>
  <c r="BA36" i="1615"/>
  <c r="BA35" i="1615"/>
  <c r="BA34" i="1615"/>
  <c r="BA33" i="1615"/>
  <c r="BA32" i="1615"/>
  <c r="BA31" i="1615"/>
  <c r="BA30" i="1615"/>
  <c r="BA29" i="1615"/>
  <c r="BA28" i="1615"/>
  <c r="BA27" i="1615"/>
  <c r="BA26" i="1615"/>
  <c r="BA25" i="1615"/>
  <c r="BA24" i="1615"/>
  <c r="BA23" i="1615"/>
  <c r="BA22" i="1615"/>
  <c r="BA21" i="1615"/>
  <c r="BA20" i="1615"/>
  <c r="BA19" i="1615"/>
  <c r="BA18" i="1615"/>
  <c r="BA17" i="1615"/>
  <c r="BA16" i="1615"/>
  <c r="BA15" i="1615"/>
  <c r="BA14" i="1615"/>
  <c r="BA13" i="1615"/>
  <c r="BA12" i="1615"/>
  <c r="BA11" i="1615"/>
  <c r="BA10" i="1615"/>
  <c r="BA9" i="1615"/>
  <c r="BA5" i="1615"/>
  <c r="BN45" i="1615"/>
  <c r="BN44" i="1615"/>
  <c r="BN43" i="1615"/>
  <c r="BN42" i="1615"/>
  <c r="BN41" i="1615"/>
  <c r="BN40" i="1615"/>
  <c r="BN39" i="1615"/>
  <c r="BN38" i="1615"/>
  <c r="BN37" i="1615"/>
  <c r="BN36" i="1615"/>
  <c r="BN35" i="1615"/>
  <c r="BN34" i="1615"/>
  <c r="BN33" i="1615"/>
  <c r="BN32" i="1615"/>
  <c r="BN31" i="1615"/>
  <c r="BN30" i="1615"/>
  <c r="BN29" i="1615"/>
  <c r="BN28" i="1615"/>
  <c r="BN27" i="1615"/>
  <c r="BN26" i="1615"/>
  <c r="BN25" i="1615"/>
  <c r="BN24" i="1615"/>
  <c r="BN23" i="1615"/>
  <c r="BN22" i="1615"/>
  <c r="BN21" i="1615"/>
  <c r="BN20" i="1615"/>
  <c r="BN19" i="1615"/>
  <c r="BN18" i="1615"/>
  <c r="BN17" i="1615"/>
  <c r="BN16" i="1615"/>
  <c r="BN15" i="1615"/>
  <c r="BN14" i="1615"/>
  <c r="BN13" i="1615"/>
  <c r="BN12" i="1615"/>
  <c r="BN11" i="1615"/>
  <c r="BN10" i="1615"/>
  <c r="BN9" i="1615"/>
  <c r="BN5" i="1615"/>
  <c r="CA45" i="1615"/>
  <c r="CA44" i="1615"/>
  <c r="CA43" i="1615"/>
  <c r="CA42" i="1615"/>
  <c r="CA41" i="1615"/>
  <c r="CA40" i="1615"/>
  <c r="CA39" i="1615"/>
  <c r="CA38" i="1615"/>
  <c r="CA37" i="1615"/>
  <c r="CA36" i="1615"/>
  <c r="CA35" i="1615"/>
  <c r="CA34" i="1615"/>
  <c r="CA33" i="1615"/>
  <c r="CA32" i="1615"/>
  <c r="CA31" i="1615"/>
  <c r="CA30" i="1615"/>
  <c r="CA29" i="1615"/>
  <c r="CA28" i="1615"/>
  <c r="CA27" i="1615"/>
  <c r="CA26" i="1615"/>
  <c r="CA25" i="1615"/>
  <c r="CA24" i="1615"/>
  <c r="CA23" i="1615"/>
  <c r="CA22" i="1615"/>
  <c r="CA21" i="1615"/>
  <c r="CA20" i="1615"/>
  <c r="CA19" i="1615"/>
  <c r="CA18" i="1615"/>
  <c r="CA17" i="1615"/>
  <c r="CA16" i="1615"/>
  <c r="CA15" i="1615"/>
  <c r="CA14" i="1615"/>
  <c r="CA13" i="1615"/>
  <c r="CA12" i="1615"/>
  <c r="CA11" i="1615"/>
  <c r="CA10" i="1615"/>
  <c r="CA9" i="1615"/>
  <c r="CA5" i="1615"/>
  <c r="CN45" i="1615"/>
  <c r="CN44" i="1615"/>
  <c r="CN43" i="1615"/>
  <c r="CN42" i="1615"/>
  <c r="CN41" i="1615"/>
  <c r="CN40" i="1615"/>
  <c r="CN39" i="1615"/>
  <c r="CN38" i="1615"/>
  <c r="CN37" i="1615"/>
  <c r="CN36" i="1615"/>
  <c r="CN35" i="1615"/>
  <c r="CN34" i="1615"/>
  <c r="CN33" i="1615"/>
  <c r="CN32" i="1615"/>
  <c r="CN31" i="1615"/>
  <c r="CN30" i="1615"/>
  <c r="CN29" i="1615"/>
  <c r="CN28" i="1615"/>
  <c r="CN27" i="1615"/>
  <c r="CN26" i="1615"/>
  <c r="CN25" i="1615"/>
  <c r="CN24" i="1615"/>
  <c r="CN23" i="1615"/>
  <c r="CN22" i="1615"/>
  <c r="CN21" i="1615"/>
  <c r="CN20" i="1615"/>
  <c r="CN19" i="1615"/>
  <c r="CN18" i="1615"/>
  <c r="CN17" i="1615"/>
  <c r="CN16" i="1615"/>
  <c r="CN15" i="1615"/>
  <c r="CN14" i="1615"/>
  <c r="CN13" i="1615"/>
  <c r="CN12" i="1615"/>
  <c r="CN11" i="1615"/>
  <c r="CN10" i="1615"/>
  <c r="CN9" i="1615"/>
  <c r="CN5" i="1615"/>
  <c r="DA45" i="1615"/>
  <c r="DA44" i="1615"/>
  <c r="DA43" i="1615"/>
  <c r="DA42" i="1615"/>
  <c r="DA41" i="1615"/>
  <c r="DA40" i="1615"/>
  <c r="DA39" i="1615"/>
  <c r="DA38" i="1615"/>
  <c r="DA37" i="1615"/>
  <c r="DA36" i="1615"/>
  <c r="DA35" i="1615"/>
  <c r="DA34" i="1615"/>
  <c r="DA33" i="1615"/>
  <c r="DA32" i="1615"/>
  <c r="DA31" i="1615"/>
  <c r="DA30" i="1615"/>
  <c r="DA29" i="1615"/>
  <c r="DA28" i="1615"/>
  <c r="DA27" i="1615"/>
  <c r="DA26" i="1615"/>
  <c r="DA25" i="1615"/>
  <c r="DA24" i="1615"/>
  <c r="DA23" i="1615"/>
  <c r="DA22" i="1615"/>
  <c r="DA21" i="1615"/>
  <c r="DA20" i="1615"/>
  <c r="DA19" i="1615"/>
  <c r="DA18" i="1615"/>
  <c r="DA17" i="1615"/>
  <c r="DA16" i="1615"/>
  <c r="DA15" i="1615"/>
  <c r="DA14" i="1615"/>
  <c r="DA13" i="1615"/>
  <c r="DA12" i="1615"/>
  <c r="DA11" i="1615"/>
  <c r="DA10" i="1615"/>
  <c r="DA9" i="1615"/>
  <c r="DA5" i="1615"/>
  <c r="DN45" i="1615"/>
  <c r="DN44" i="1615"/>
  <c r="DN43" i="1615"/>
  <c r="DN42" i="1615"/>
  <c r="DN41" i="1615"/>
  <c r="DN40" i="1615"/>
  <c r="DN39" i="1615"/>
  <c r="DN38" i="1615"/>
  <c r="DN37" i="1615"/>
  <c r="DN36" i="1615"/>
  <c r="DN35" i="1615"/>
  <c r="DN34" i="1615"/>
  <c r="DN33" i="1615"/>
  <c r="DN32" i="1615"/>
  <c r="DN31" i="1615"/>
  <c r="DN30" i="1615"/>
  <c r="DN29" i="1615"/>
  <c r="DN28" i="1615"/>
  <c r="DN27" i="1615"/>
  <c r="DN26" i="1615"/>
  <c r="DN25" i="1615"/>
  <c r="DN24" i="1615"/>
  <c r="DN23" i="1615"/>
  <c r="DN22" i="1615"/>
  <c r="DN21" i="1615"/>
  <c r="DN20" i="1615"/>
  <c r="DN19" i="1615"/>
  <c r="DN18" i="1615"/>
  <c r="DN17" i="1615"/>
  <c r="DN16" i="1615"/>
  <c r="DN15" i="1615"/>
  <c r="DN14" i="1615"/>
  <c r="DN13" i="1615"/>
  <c r="DN12" i="1615"/>
  <c r="DN11" i="1615"/>
  <c r="DN10" i="1615"/>
  <c r="DN9" i="1615"/>
  <c r="DN5" i="1615"/>
  <c r="EA45" i="1615"/>
  <c r="EA44" i="1615"/>
  <c r="EA43" i="1615"/>
  <c r="EA42" i="1615"/>
  <c r="EA41" i="1615"/>
  <c r="EA40" i="1615"/>
  <c r="EA39" i="1615"/>
  <c r="EA38" i="1615"/>
  <c r="EA37" i="1615"/>
  <c r="EA36" i="1615"/>
  <c r="EA35" i="1615"/>
  <c r="EA34" i="1615"/>
  <c r="EA33" i="1615"/>
  <c r="EA32" i="1615"/>
  <c r="EA31" i="1615"/>
  <c r="EA30" i="1615"/>
  <c r="EA29" i="1615"/>
  <c r="EA28" i="1615"/>
  <c r="EA27" i="1615"/>
  <c r="EA26" i="1615"/>
  <c r="EA25" i="1615"/>
  <c r="EA24" i="1615"/>
  <c r="EA23" i="1615"/>
  <c r="EA22" i="1615"/>
  <c r="EA21" i="1615"/>
  <c r="EA20" i="1615"/>
  <c r="EA19" i="1615"/>
  <c r="EA18" i="1615"/>
  <c r="EA17" i="1615"/>
  <c r="EA16" i="1615"/>
  <c r="EA15" i="1615"/>
  <c r="EA14" i="1615"/>
  <c r="EA13" i="1615"/>
  <c r="EA12" i="1615"/>
  <c r="EA11" i="1615"/>
  <c r="EA10" i="1615"/>
  <c r="EA9" i="1615"/>
  <c r="EA5" i="1615"/>
  <c r="EN45" i="1615"/>
  <c r="EN44" i="1615"/>
  <c r="EN43" i="1615"/>
  <c r="EN42" i="1615"/>
  <c r="EN41" i="1615"/>
  <c r="EN40" i="1615"/>
  <c r="EN39" i="1615"/>
  <c r="EN38" i="1615"/>
  <c r="EN37" i="1615"/>
  <c r="EN36" i="1615"/>
  <c r="EN35" i="1615"/>
  <c r="EN34" i="1615"/>
  <c r="EN33" i="1615"/>
  <c r="EN32" i="1615"/>
  <c r="EN31" i="1615"/>
  <c r="EN30" i="1615"/>
  <c r="EN29" i="1615"/>
  <c r="EN28" i="1615"/>
  <c r="EN27" i="1615"/>
  <c r="EN26" i="1615"/>
  <c r="EN25" i="1615"/>
  <c r="EN24" i="1615"/>
  <c r="EN23" i="1615"/>
  <c r="EN22" i="1615"/>
  <c r="EN21" i="1615"/>
  <c r="EN20" i="1615"/>
  <c r="EN19" i="1615"/>
  <c r="EN18" i="1615"/>
  <c r="EN17" i="1615"/>
  <c r="EN16" i="1615"/>
  <c r="EN15" i="1615"/>
  <c r="EN14" i="1615"/>
  <c r="EN13" i="1615"/>
  <c r="EN12" i="1615"/>
  <c r="EN11" i="1615"/>
  <c r="EN10" i="1615"/>
  <c r="EN9" i="1615"/>
  <c r="EN5" i="1615"/>
  <c r="FA45" i="1615"/>
  <c r="FA44" i="1615"/>
  <c r="FA43" i="1615"/>
  <c r="FA42" i="1615"/>
  <c r="FA41" i="1615"/>
  <c r="FA40" i="1615"/>
  <c r="FA39" i="1615"/>
  <c r="FA38" i="1615"/>
  <c r="FA37" i="1615"/>
  <c r="FA36" i="1615"/>
  <c r="FA35" i="1615"/>
  <c r="FA34" i="1615"/>
  <c r="FA33" i="1615"/>
  <c r="FA32" i="1615"/>
  <c r="FA31" i="1615"/>
  <c r="FA30" i="1615"/>
  <c r="FA29" i="1615"/>
  <c r="FA28" i="1615"/>
  <c r="FA27" i="1615"/>
  <c r="FA26" i="1615"/>
  <c r="FA25" i="1615"/>
  <c r="FA24" i="1615"/>
  <c r="FA23" i="1615"/>
  <c r="FA22" i="1615"/>
  <c r="FA21" i="1615"/>
  <c r="FA20" i="1615"/>
  <c r="FA19" i="1615"/>
  <c r="FA18" i="1615"/>
  <c r="FA17" i="1615"/>
  <c r="FA16" i="1615"/>
  <c r="FA15" i="1615"/>
  <c r="FA14" i="1615"/>
  <c r="FA13" i="1615"/>
  <c r="FA12" i="1615"/>
  <c r="FA11" i="1615"/>
  <c r="FA10" i="1615"/>
  <c r="FA9" i="1615"/>
  <c r="FA5" i="1615"/>
  <c r="FN45" i="1615"/>
  <c r="FN44" i="1615"/>
  <c r="FN43" i="1615"/>
  <c r="FN42" i="1615"/>
  <c r="FN41" i="1615"/>
  <c r="FN40" i="1615"/>
  <c r="FN39" i="1615"/>
  <c r="FN38" i="1615"/>
  <c r="FN37" i="1615"/>
  <c r="FN36" i="1615"/>
  <c r="FN35" i="1615"/>
  <c r="FN34" i="1615"/>
  <c r="FN33" i="1615"/>
  <c r="FN32" i="1615"/>
  <c r="FN31" i="1615"/>
  <c r="FN30" i="1615"/>
  <c r="FN29" i="1615"/>
  <c r="FN28" i="1615"/>
  <c r="FN27" i="1615"/>
  <c r="FN26" i="1615"/>
  <c r="FN25" i="1615"/>
  <c r="FN24" i="1615"/>
  <c r="FN23" i="1615"/>
  <c r="FN22" i="1615"/>
  <c r="FN21" i="1615"/>
  <c r="FN20" i="1615"/>
  <c r="FN19" i="1615"/>
  <c r="FN18" i="1615"/>
  <c r="FN17" i="1615"/>
  <c r="FN16" i="1615"/>
  <c r="FN15" i="1615"/>
  <c r="FN14" i="1615"/>
  <c r="FN13" i="1615"/>
  <c r="FN12" i="1615"/>
  <c r="FN11" i="1615"/>
  <c r="FN10" i="1615"/>
  <c r="FN9" i="1615"/>
  <c r="FN5" i="1615"/>
  <c r="GA45" i="1615"/>
  <c r="GA44" i="1615"/>
  <c r="GA43" i="1615"/>
  <c r="GA42" i="1615"/>
  <c r="GA41" i="1615"/>
  <c r="GA40" i="1615"/>
  <c r="GA39" i="1615"/>
  <c r="GA38" i="1615"/>
  <c r="GA37" i="1615"/>
  <c r="GA36" i="1615"/>
  <c r="GA35" i="1615"/>
  <c r="GA34" i="1615"/>
  <c r="GA33" i="1615"/>
  <c r="GA32" i="1615"/>
  <c r="GA31" i="1615"/>
  <c r="GA30" i="1615"/>
  <c r="GA29" i="1615"/>
  <c r="GA28" i="1615"/>
  <c r="GA27" i="1615"/>
  <c r="GA26" i="1615"/>
  <c r="GA25" i="1615"/>
  <c r="GA24" i="1615"/>
  <c r="GA23" i="1615"/>
  <c r="GA22" i="1615"/>
  <c r="GA21" i="1615"/>
  <c r="GA20" i="1615"/>
  <c r="GA19" i="1615"/>
  <c r="GA18" i="1615"/>
  <c r="GA17" i="1615"/>
  <c r="GA16" i="1615"/>
  <c r="GA15" i="1615"/>
  <c r="GA14" i="1615"/>
  <c r="GA13" i="1615"/>
  <c r="GA12" i="1615"/>
  <c r="GA11" i="1615"/>
  <c r="GA10" i="1615"/>
  <c r="GA9" i="1615"/>
  <c r="GA5" i="1615"/>
  <c r="GN45" i="1615"/>
  <c r="GN44" i="1615"/>
  <c r="GN43" i="1615"/>
  <c r="GN42" i="1615"/>
  <c r="GN41" i="1615"/>
  <c r="GN40" i="1615"/>
  <c r="GN39" i="1615"/>
  <c r="GN38" i="1615"/>
  <c r="GN37" i="1615"/>
  <c r="GN36" i="1615"/>
  <c r="GN35" i="1615"/>
  <c r="GN34" i="1615"/>
  <c r="GN33" i="1615"/>
  <c r="GN32" i="1615"/>
  <c r="GN31" i="1615"/>
  <c r="GN30" i="1615"/>
  <c r="GN29" i="1615"/>
  <c r="GN28" i="1615"/>
  <c r="GN27" i="1615"/>
  <c r="GN26" i="1615"/>
  <c r="GN25" i="1615"/>
  <c r="GN24" i="1615"/>
  <c r="GN23" i="1615"/>
  <c r="GN22" i="1615"/>
  <c r="GN21" i="1615"/>
  <c r="GN20" i="1615"/>
  <c r="GN19" i="1615"/>
  <c r="GN18" i="1615"/>
  <c r="GN17" i="1615"/>
  <c r="GN16" i="1615"/>
  <c r="GN15" i="1615"/>
  <c r="GN14" i="1615"/>
  <c r="GN13" i="1615"/>
  <c r="GN12" i="1615"/>
  <c r="GN11" i="1615"/>
  <c r="GN10" i="1615"/>
  <c r="GN9" i="1615"/>
  <c r="GN5" i="1615"/>
  <c r="HA45" i="1615"/>
  <c r="HA44" i="1615"/>
  <c r="HA43" i="1615"/>
  <c r="HA42" i="1615"/>
  <c r="HA41" i="1615"/>
  <c r="HA40" i="1615"/>
  <c r="HA39" i="1615"/>
  <c r="HA38" i="1615"/>
  <c r="HA37" i="1615"/>
  <c r="HA36" i="1615"/>
  <c r="HA35" i="1615"/>
  <c r="HA34" i="1615"/>
  <c r="HA33" i="1615"/>
  <c r="HA32" i="1615"/>
  <c r="HA31" i="1615"/>
  <c r="HA30" i="1615"/>
  <c r="HA29" i="1615"/>
  <c r="HA28" i="1615"/>
  <c r="HA27" i="1615"/>
  <c r="HA26" i="1615"/>
  <c r="HA25" i="1615"/>
  <c r="HA24" i="1615"/>
  <c r="HA23" i="1615"/>
  <c r="HA22" i="1615"/>
  <c r="HA21" i="1615"/>
  <c r="HA20" i="1615"/>
  <c r="HA19" i="1615"/>
  <c r="HA18" i="1615"/>
  <c r="HA17" i="1615"/>
  <c r="HA16" i="1615"/>
  <c r="HA15" i="1615"/>
  <c r="HA14" i="1615"/>
  <c r="HA13" i="1615"/>
  <c r="HA12" i="1615"/>
  <c r="HA11" i="1615"/>
  <c r="HA10" i="1615"/>
  <c r="HA9" i="1615"/>
  <c r="HA5" i="1615"/>
  <c r="HN45" i="1615"/>
  <c r="HN44" i="1615"/>
  <c r="HN43" i="1615"/>
  <c r="HN42" i="1615"/>
  <c r="HN41" i="1615"/>
  <c r="HN40" i="1615"/>
  <c r="HN39" i="1615"/>
  <c r="HN38" i="1615"/>
  <c r="HN37" i="1615"/>
  <c r="HN36" i="1615"/>
  <c r="HN35" i="1615"/>
  <c r="HN34" i="1615"/>
  <c r="HN33" i="1615"/>
  <c r="HN32" i="1615"/>
  <c r="HN31" i="1615"/>
  <c r="HN30" i="1615"/>
  <c r="HN29" i="1615"/>
  <c r="HN28" i="1615"/>
  <c r="HN27" i="1615"/>
  <c r="HN26" i="1615"/>
  <c r="HN25" i="1615"/>
  <c r="HN24" i="1615"/>
  <c r="HN23" i="1615"/>
  <c r="HN22" i="1615"/>
  <c r="HN21" i="1615"/>
  <c r="HN20" i="1615"/>
  <c r="HN19" i="1615"/>
  <c r="HN18" i="1615"/>
  <c r="HN17" i="1615"/>
  <c r="HN16" i="1615"/>
  <c r="HN15" i="1615"/>
  <c r="HN14" i="1615"/>
  <c r="HN13" i="1615"/>
  <c r="HN12" i="1615"/>
  <c r="HN11" i="1615"/>
  <c r="HN10" i="1615"/>
  <c r="HN9" i="1615"/>
  <c r="HN5" i="1615"/>
  <c r="IA45" i="1615"/>
  <c r="IA44" i="1615"/>
  <c r="IA43" i="1615"/>
  <c r="IA42" i="1615"/>
  <c r="IA41" i="1615"/>
  <c r="IA40" i="1615"/>
  <c r="IA39" i="1615"/>
  <c r="IA38" i="1615"/>
  <c r="IA37" i="1615"/>
  <c r="IA36" i="1615"/>
  <c r="IA35" i="1615"/>
  <c r="IA34" i="1615"/>
  <c r="IA33" i="1615"/>
  <c r="IA32" i="1615"/>
  <c r="IA31" i="1615"/>
  <c r="IA30" i="1615"/>
  <c r="IA29" i="1615"/>
  <c r="IA28" i="1615"/>
  <c r="IA27" i="1615"/>
  <c r="IA26" i="1615"/>
  <c r="IA25" i="1615"/>
  <c r="IA24" i="1615"/>
  <c r="IA23" i="1615"/>
  <c r="IA22" i="1615"/>
  <c r="IA21" i="1615"/>
  <c r="IA20" i="1615"/>
  <c r="IA19" i="1615"/>
  <c r="IA18" i="1615"/>
  <c r="IA17" i="1615"/>
  <c r="IA16" i="1615"/>
  <c r="IA15" i="1615"/>
  <c r="IA14" i="1615"/>
  <c r="IA13" i="1615"/>
  <c r="IA12" i="1615"/>
  <c r="IA11" i="1615"/>
  <c r="IA10" i="1615"/>
  <c r="IA9" i="1615"/>
  <c r="IA5" i="1615"/>
  <c r="IN45" i="1615"/>
  <c r="IN44" i="1615"/>
  <c r="IN43" i="1615"/>
  <c r="IN42" i="1615"/>
  <c r="IN41" i="1615"/>
  <c r="IN40" i="1615"/>
  <c r="IN39" i="1615"/>
  <c r="IN38" i="1615"/>
  <c r="IN37" i="1615"/>
  <c r="IN36" i="1615"/>
  <c r="IN35" i="1615"/>
  <c r="IN34" i="1615"/>
  <c r="IN33" i="1615"/>
  <c r="IN32" i="1615"/>
  <c r="IN31" i="1615"/>
  <c r="IN30" i="1615"/>
  <c r="IN29" i="1615"/>
  <c r="IN28" i="1615"/>
  <c r="IN27" i="1615"/>
  <c r="IN26" i="1615"/>
  <c r="IN25" i="1615"/>
  <c r="IN24" i="1615"/>
  <c r="IN23" i="1615"/>
  <c r="IN22" i="1615"/>
  <c r="IN21" i="1615"/>
  <c r="IN20" i="1615"/>
  <c r="IN19" i="1615"/>
  <c r="IN18" i="1615"/>
  <c r="IN17" i="1615"/>
  <c r="IN16" i="1615"/>
  <c r="IN15" i="1615"/>
  <c r="IN14" i="1615"/>
  <c r="IN13" i="1615"/>
  <c r="IN12" i="1615"/>
  <c r="IN11" i="1615"/>
  <c r="IN10" i="1615"/>
  <c r="IN9" i="1615"/>
  <c r="IN5" i="1615"/>
  <c r="JA45" i="1615"/>
  <c r="JA44" i="1615"/>
  <c r="JA43" i="1615"/>
  <c r="JA42" i="1615"/>
  <c r="JA41" i="1615"/>
  <c r="JA40" i="1615"/>
  <c r="JA39" i="1615"/>
  <c r="JA38" i="1615"/>
  <c r="JA37" i="1615"/>
  <c r="JA36" i="1615"/>
  <c r="JA35" i="1615"/>
  <c r="JA34" i="1615"/>
  <c r="JA33" i="1615"/>
  <c r="JA32" i="1615"/>
  <c r="JA31" i="1615"/>
  <c r="JA30" i="1615"/>
  <c r="JA29" i="1615"/>
  <c r="JA28" i="1615"/>
  <c r="JA27" i="1615"/>
  <c r="JA26" i="1615"/>
  <c r="JA25" i="1615"/>
  <c r="JA24" i="1615"/>
  <c r="JA23" i="1615"/>
  <c r="JA22" i="1615"/>
  <c r="JA21" i="1615"/>
  <c r="JA20" i="1615"/>
  <c r="JA19" i="1615"/>
  <c r="JA18" i="1615"/>
  <c r="JA17" i="1615"/>
  <c r="JA16" i="1615"/>
  <c r="JA15" i="1615"/>
  <c r="JA14" i="1615"/>
  <c r="JA13" i="1615"/>
  <c r="JA12" i="1615"/>
  <c r="JA11" i="1615"/>
  <c r="JA10" i="1615"/>
  <c r="JA9" i="1615"/>
  <c r="JA7" i="1615"/>
  <c r="JA5" i="1615"/>
  <c r="JN45" i="1615"/>
  <c r="JN44" i="1615"/>
  <c r="JN43" i="1615"/>
  <c r="JN42" i="1615"/>
  <c r="JN41" i="1615"/>
  <c r="JN40" i="1615"/>
  <c r="JN39" i="1615"/>
  <c r="JN38" i="1615"/>
  <c r="JN37" i="1615"/>
  <c r="JN36" i="1615"/>
  <c r="JN35" i="1615"/>
  <c r="JN34" i="1615"/>
  <c r="JN33" i="1615"/>
  <c r="JN32" i="1615"/>
  <c r="JN31" i="1615"/>
  <c r="JN30" i="1615"/>
  <c r="JN29" i="1615"/>
  <c r="JN28" i="1615"/>
  <c r="JN27" i="1615"/>
  <c r="JN26" i="1615"/>
  <c r="JN25" i="1615"/>
  <c r="JN24" i="1615"/>
  <c r="JN23" i="1615"/>
  <c r="JN22" i="1615"/>
  <c r="JN21" i="1615"/>
  <c r="JN20" i="1615"/>
  <c r="JN19" i="1615"/>
  <c r="JN18" i="1615"/>
  <c r="JN17" i="1615"/>
  <c r="JN16" i="1615"/>
  <c r="JN15" i="1615"/>
  <c r="JN14" i="1615"/>
  <c r="JN13" i="1615"/>
  <c r="JN12" i="1615"/>
  <c r="JN11" i="1615"/>
  <c r="JN10" i="1615"/>
  <c r="JN9" i="1615"/>
  <c r="JN5" i="1615"/>
  <c r="KA10" i="1615"/>
  <c r="KA11" i="1615"/>
  <c r="KA12" i="1615"/>
  <c r="KA13" i="1615"/>
  <c r="KA14" i="1615"/>
  <c r="KA15" i="1615"/>
  <c r="KA16" i="1615"/>
  <c r="KA17" i="1615"/>
  <c r="KA18" i="1615"/>
  <c r="KA19" i="1615"/>
  <c r="KA20" i="1615"/>
  <c r="KA21" i="1615"/>
  <c r="KA22" i="1615"/>
  <c r="KA23" i="1615"/>
  <c r="KA24" i="1615"/>
  <c r="KA25" i="1615"/>
  <c r="KA26" i="1615"/>
  <c r="KA27" i="1615"/>
  <c r="KA28" i="1615"/>
  <c r="KA29" i="1615"/>
  <c r="KA30" i="1615"/>
  <c r="KA31" i="1615"/>
  <c r="KA32" i="1615"/>
  <c r="KA33" i="1615"/>
  <c r="KA34" i="1615"/>
  <c r="KA35" i="1615"/>
  <c r="KA36" i="1615"/>
  <c r="KA37" i="1615"/>
  <c r="KA38" i="1615"/>
  <c r="KA39" i="1615"/>
  <c r="KA40" i="1615"/>
  <c r="KA41" i="1615"/>
  <c r="KA42" i="1615"/>
  <c r="KA43" i="1615"/>
  <c r="KA44" i="1615"/>
  <c r="KA45" i="1615"/>
  <c r="KA9" i="1615"/>
  <c r="KJ10" i="1615"/>
  <c r="KJ11" i="1615"/>
  <c r="KJ12" i="1615"/>
  <c r="KJ13" i="1615"/>
  <c r="KJ14" i="1615"/>
  <c r="KJ15" i="1615"/>
  <c r="KJ16" i="1615"/>
  <c r="KJ17" i="1615"/>
  <c r="KJ18" i="1615"/>
  <c r="KJ19" i="1615"/>
  <c r="KJ20" i="1615"/>
  <c r="KJ21" i="1615"/>
  <c r="KJ22" i="1615"/>
  <c r="KJ23" i="1615"/>
  <c r="KJ24" i="1615"/>
  <c r="KJ25" i="1615"/>
  <c r="KJ26" i="1615"/>
  <c r="KJ27" i="1615"/>
  <c r="KJ28" i="1615"/>
  <c r="KJ29" i="1615"/>
  <c r="KJ30" i="1615"/>
  <c r="KJ31" i="1615"/>
  <c r="KJ32" i="1615"/>
  <c r="KJ33" i="1615"/>
  <c r="KJ34" i="1615"/>
  <c r="KJ35" i="1615"/>
  <c r="KJ36" i="1615"/>
  <c r="KJ37" i="1615"/>
  <c r="KJ38" i="1615"/>
  <c r="KJ39" i="1615"/>
  <c r="KJ40" i="1615"/>
  <c r="KJ41" i="1615"/>
  <c r="KJ42" i="1615"/>
  <c r="KJ43" i="1615"/>
  <c r="KJ44" i="1615"/>
  <c r="KJ45" i="1615"/>
  <c r="KJ9" i="1615"/>
  <c r="JW34" i="2534"/>
  <c r="JW35" i="2534"/>
  <c r="JW36" i="2534"/>
  <c r="JW37" i="2534"/>
  <c r="JW38" i="2534"/>
  <c r="JW39" i="2534"/>
  <c r="JW40" i="2534"/>
  <c r="JW41" i="2534"/>
  <c r="JW42" i="2534"/>
  <c r="JW43" i="2534"/>
  <c r="JW44" i="2534"/>
  <c r="JW45" i="2534"/>
  <c r="JW33" i="2534"/>
  <c r="JW32" i="2534"/>
  <c r="JW31" i="2534"/>
  <c r="JW30" i="2534"/>
  <c r="JW29" i="2534"/>
  <c r="JW22" i="2534"/>
  <c r="JW28" i="2534"/>
  <c r="JW12" i="2534"/>
  <c r="JW27" i="2534"/>
  <c r="JW26" i="2534"/>
  <c r="JW25" i="2534"/>
  <c r="JW24" i="2534"/>
  <c r="JW23" i="2534"/>
  <c r="JW21" i="2534"/>
  <c r="JW20" i="2534"/>
  <c r="JW19" i="2534"/>
  <c r="JW18" i="2534"/>
  <c r="JW17" i="2534"/>
  <c r="JW16" i="2534"/>
  <c r="JW15" i="2534"/>
  <c r="JW14" i="2534"/>
  <c r="JW13" i="2534"/>
  <c r="JW11" i="2534"/>
  <c r="JW10" i="2534"/>
  <c r="JW9" i="2534"/>
  <c r="KJ9" i="2478"/>
  <c r="KJ10" i="2478"/>
  <c r="KJ11" i="2478"/>
  <c r="KJ12" i="2478"/>
  <c r="KJ13" i="2478"/>
  <c r="KJ14" i="2478"/>
  <c r="KJ15" i="2478"/>
  <c r="KJ16" i="2478"/>
  <c r="KJ17" i="2478"/>
  <c r="KJ18" i="2478"/>
  <c r="KJ19" i="2478"/>
  <c r="KJ20" i="2478"/>
  <c r="KJ21" i="2478"/>
  <c r="KJ22" i="2478"/>
  <c r="KJ23" i="2478"/>
  <c r="KJ24" i="2478"/>
  <c r="KJ25" i="2478"/>
  <c r="KJ26" i="2478"/>
  <c r="KJ27" i="2478"/>
  <c r="KJ28" i="2478"/>
  <c r="KJ29" i="2478"/>
  <c r="KJ30" i="2478"/>
  <c r="KJ31" i="2478"/>
  <c r="KJ32" i="2478"/>
  <c r="KJ33" i="2478"/>
  <c r="KJ34" i="2478"/>
  <c r="KJ35" i="2478"/>
  <c r="KJ36" i="2478"/>
  <c r="KJ37" i="2478"/>
  <c r="JM7" i="2534"/>
  <c r="JL7" i="2534"/>
  <c r="JK7" i="2534"/>
  <c r="JJ7" i="2534"/>
  <c r="JI7" i="2534"/>
  <c r="JH7" i="2534"/>
  <c r="JG7" i="2534"/>
  <c r="JF7" i="2534"/>
  <c r="JE7" i="2534"/>
  <c r="JD7" i="2534"/>
  <c r="JB4" i="2534"/>
  <c r="JP5" i="2533"/>
  <c r="JS4" i="2533" s="1"/>
  <c r="JB4" i="2533"/>
  <c r="JR40" i="1610" l="1"/>
  <c r="JP23" i="1610"/>
  <c r="JP40" i="1610"/>
  <c r="JS35" i="1610"/>
  <c r="JS22" i="1610"/>
  <c r="JR57" i="1610"/>
  <c r="JR35" i="1610"/>
  <c r="JR22" i="1610"/>
  <c r="JS51" i="1610"/>
  <c r="JS30" i="1610"/>
  <c r="JP13" i="1610"/>
  <c r="JS56" i="1610"/>
  <c r="JS34" i="1610"/>
  <c r="JP17" i="1610"/>
  <c r="JS9" i="1610"/>
  <c r="JS38" i="1610"/>
  <c r="JP21" i="1610"/>
  <c r="JR9" i="1610"/>
  <c r="JS33" i="1610"/>
  <c r="JR16" i="1610"/>
  <c r="JR55" i="1610"/>
  <c r="JS8" i="1610"/>
  <c r="JP33" i="1610"/>
  <c r="JS31" i="1610"/>
  <c r="JS18" i="1610"/>
  <c r="JR53" i="1610"/>
  <c r="JP27" i="1610"/>
  <c r="JS13" i="1610"/>
  <c r="JS39" i="1610"/>
  <c r="JS26" i="1610"/>
  <c r="JR13" i="1610"/>
  <c r="JR39" i="1610"/>
  <c r="JR17" i="1610"/>
  <c r="JR51" i="1610"/>
  <c r="JR21" i="1610"/>
  <c r="JS50" i="1610"/>
  <c r="JR25" i="1610"/>
  <c r="JR38" i="1610"/>
  <c r="JP9" i="1610"/>
  <c r="JR33" i="1610"/>
  <c r="JR37" i="1610"/>
  <c r="JR8" i="1610"/>
  <c r="JP36" i="1610"/>
  <c r="JR27" i="1610"/>
  <c r="JR14" i="1610"/>
  <c r="JS57" i="1610"/>
  <c r="JR31" i="1610"/>
  <c r="JR18" i="1610"/>
  <c r="JP53" i="1610"/>
  <c r="JP31" i="1610"/>
  <c r="JS17" i="1610"/>
  <c r="JP35" i="1610"/>
  <c r="JS21" i="1610"/>
  <c r="JP39" i="1610"/>
  <c r="JR30" i="1610"/>
  <c r="JR56" i="1610"/>
  <c r="JS16" i="1610"/>
  <c r="JR29" i="1610"/>
  <c r="JS59" i="1610"/>
  <c r="JR20" i="1610"/>
  <c r="JS41" i="1610"/>
  <c r="JS15" i="1610"/>
  <c r="JP57" i="1610"/>
  <c r="JS25" i="1610"/>
  <c r="JS29" i="1610"/>
  <c r="JS55" i="1610"/>
  <c r="JP25" i="1610"/>
  <c r="JP50" i="1610"/>
  <c r="JP29" i="1610"/>
  <c r="JP16" i="1610"/>
  <c r="JP55" i="1610"/>
  <c r="JS28" i="1610"/>
  <c r="JP20" i="1610"/>
  <c r="JR26" i="1610"/>
  <c r="JR34" i="1610"/>
  <c r="JR50" i="1610"/>
  <c r="JS20" i="1610"/>
  <c r="JS37" i="1610"/>
  <c r="JS24" i="1610"/>
  <c r="JR59" i="1610"/>
  <c r="JR24" i="1610"/>
  <c r="JP56" i="1610"/>
  <c r="JR32" i="1610"/>
  <c r="JR15" i="1610"/>
  <c r="JP8" i="1610"/>
  <c r="JP19" i="1610"/>
  <c r="JP24" i="1610"/>
  <c r="JR28" i="1610"/>
  <c r="JR58" i="1610"/>
  <c r="JP51" i="1610"/>
  <c r="JS23" i="1610"/>
  <c r="JS36" i="1610"/>
  <c r="JS19" i="1610"/>
  <c r="JP14" i="1610"/>
  <c r="JP41" i="1610"/>
  <c r="JP18" i="1610"/>
  <c r="JR54" i="1610"/>
  <c r="JP37" i="1610"/>
  <c r="JP58" i="1610"/>
  <c r="JP34" i="1610"/>
  <c r="JS14" i="1610"/>
  <c r="JR23" i="1610"/>
  <c r="JP54" i="1610"/>
  <c r="JP22" i="1610"/>
  <c r="JP38" i="1610"/>
  <c r="JR19" i="1610"/>
  <c r="JS27" i="1610"/>
  <c r="JP59" i="1610"/>
  <c r="JR36" i="1610"/>
  <c r="JS58" i="1610"/>
  <c r="JS32" i="1610"/>
  <c r="JP26" i="1610"/>
  <c r="JS40" i="1610"/>
  <c r="JS53" i="1610"/>
  <c r="JP30" i="1610"/>
  <c r="JR41" i="1610"/>
  <c r="JS54" i="1610"/>
  <c r="JP32" i="1610"/>
  <c r="JP28" i="1610"/>
  <c r="JP15" i="1610"/>
  <c r="JR37" i="2534"/>
  <c r="JS26" i="2534"/>
  <c r="JR15" i="2534"/>
  <c r="JR44" i="2534"/>
  <c r="JS33" i="2534"/>
  <c r="JS22" i="2534"/>
  <c r="JP15" i="2534"/>
  <c r="JP44" i="2534"/>
  <c r="JR33" i="2534"/>
  <c r="JP26" i="2534"/>
  <c r="JS18" i="2534"/>
  <c r="JS10" i="2534"/>
  <c r="JP33" i="2534"/>
  <c r="JS25" i="2534"/>
  <c r="JR43" i="2534"/>
  <c r="JR25" i="2534"/>
  <c r="JR32" i="2534"/>
  <c r="JP43" i="2534"/>
  <c r="JP25" i="2534"/>
  <c r="JR13" i="2534"/>
  <c r="JS31" i="2534"/>
  <c r="JS38" i="2534"/>
  <c r="JS16" i="2534"/>
  <c r="JS44" i="2534"/>
  <c r="JQ44" i="2534" s="1"/>
  <c r="JP23" i="2534"/>
  <c r="JR29" i="2534"/>
  <c r="JR36" i="2534"/>
  <c r="JP18" i="2534"/>
  <c r="JS28" i="2534"/>
  <c r="JS9" i="2534"/>
  <c r="JP32" i="2534"/>
  <c r="JR17" i="2534"/>
  <c r="JR35" i="2534"/>
  <c r="JR42" i="2534"/>
  <c r="JR24" i="2534"/>
  <c r="JP41" i="2534"/>
  <c r="JP34" i="2534"/>
  <c r="JR30" i="2534"/>
  <c r="JR19" i="2534"/>
  <c r="JR11" i="2534"/>
  <c r="JS40" i="2534"/>
  <c r="JP30" i="2534"/>
  <c r="JR26" i="2534"/>
  <c r="JP19" i="2534"/>
  <c r="JP11" i="2534"/>
  <c r="JR40" i="2534"/>
  <c r="JS29" i="2534"/>
  <c r="JQ29" i="2534" s="1"/>
  <c r="JR22" i="2534"/>
  <c r="JS43" i="2534"/>
  <c r="JQ43" i="2534" s="1"/>
  <c r="JS36" i="2534"/>
  <c r="JQ36" i="2534" s="1"/>
  <c r="JR14" i="2534"/>
  <c r="JS32" i="2534"/>
  <c r="JP14" i="2534"/>
  <c r="JP36" i="2534"/>
  <c r="JS17" i="2534"/>
  <c r="JS35" i="2534"/>
  <c r="JR9" i="2534"/>
  <c r="JP13" i="2534"/>
  <c r="JR31" i="2534"/>
  <c r="JP37" i="2534"/>
  <c r="JS14" i="2534"/>
  <c r="JQ14" i="2534" s="1"/>
  <c r="JR10" i="2534"/>
  <c r="JP40" i="2534"/>
  <c r="JP29" i="2534"/>
  <c r="JP22" i="2534"/>
  <c r="JP10" i="2534"/>
  <c r="JS39" i="2534"/>
  <c r="JS21" i="2534"/>
  <c r="JR39" i="2534"/>
  <c r="JR21" i="2534"/>
  <c r="JP39" i="2534"/>
  <c r="JP17" i="2534"/>
  <c r="JP9" i="2534"/>
  <c r="JP35" i="2534"/>
  <c r="JS20" i="2534"/>
  <c r="JS7" i="2534"/>
  <c r="JR18" i="2534"/>
  <c r="JS13" i="2534"/>
  <c r="JR28" i="2534"/>
  <c r="JS42" i="2534"/>
  <c r="JP21" i="2534"/>
  <c r="JP28" i="2534"/>
  <c r="JS12" i="2534"/>
  <c r="JS24" i="2534"/>
  <c r="JQ24" i="2534" s="1"/>
  <c r="JS45" i="2534"/>
  <c r="JP16" i="2534"/>
  <c r="JR20" i="2534"/>
  <c r="JS27" i="2534"/>
  <c r="JS19" i="2534"/>
  <c r="JR23" i="2534"/>
  <c r="JR38" i="2534"/>
  <c r="JS30" i="2534"/>
  <c r="JQ30" i="2534" s="1"/>
  <c r="JR7" i="2534"/>
  <c r="JP12" i="2534"/>
  <c r="JS11" i="2534"/>
  <c r="JQ11" i="2534" s="1"/>
  <c r="JP20" i="2534"/>
  <c r="JP24" i="2534"/>
  <c r="JS15" i="2534"/>
  <c r="JQ15" i="2534" s="1"/>
  <c r="JS23" i="2534"/>
  <c r="JQ23" i="2534" s="1"/>
  <c r="JR27" i="2534"/>
  <c r="JP31" i="2534"/>
  <c r="JP27" i="2534"/>
  <c r="JP42" i="2534"/>
  <c r="JP38" i="2534"/>
  <c r="JS41" i="2534"/>
  <c r="JR41" i="2534"/>
  <c r="JP45" i="2534"/>
  <c r="JR12" i="2534"/>
  <c r="JS34" i="2534"/>
  <c r="JQ34" i="2534" s="1"/>
  <c r="JR34" i="2534"/>
  <c r="JS37" i="2534"/>
  <c r="JQ37" i="2534" s="1"/>
  <c r="JR45" i="2534"/>
  <c r="JP7" i="2534"/>
  <c r="JR16" i="2534"/>
  <c r="JQ16" i="2534" s="1"/>
  <c r="KC34" i="2478" a="1"/>
  <c r="KC34" i="2478" s="1"/>
  <c r="KC30" i="2478" a="1"/>
  <c r="KC30" i="2478" s="1"/>
  <c r="KC26" i="2478" a="1"/>
  <c r="KC26" i="2478" s="1"/>
  <c r="KC22" i="2478" a="1"/>
  <c r="KC22" i="2478" s="1"/>
  <c r="KC37" i="2478" a="1"/>
  <c r="KC37" i="2478" s="1"/>
  <c r="KC33" i="2478" a="1"/>
  <c r="KC33" i="2478" s="1"/>
  <c r="KC29" i="2478" a="1"/>
  <c r="KC29" i="2478" s="1"/>
  <c r="KC20" i="2478" a="1"/>
  <c r="KC20" i="2478" s="1"/>
  <c r="KC16" i="2478" a="1"/>
  <c r="KC16" i="2478" s="1"/>
  <c r="KC12" i="2478" a="1"/>
  <c r="KC12" i="2478" s="1"/>
  <c r="KC35" i="2478" a="1"/>
  <c r="KC35" i="2478" s="1"/>
  <c r="KC31" i="2478" a="1"/>
  <c r="KC31" i="2478" s="1"/>
  <c r="KC27" i="2478" a="1"/>
  <c r="KC27" i="2478" s="1"/>
  <c r="KC18" i="2478" a="1"/>
  <c r="KC18" i="2478" s="1"/>
  <c r="KC14" i="2478" a="1"/>
  <c r="KC14" i="2478" s="1"/>
  <c r="KC10" i="2478" a="1"/>
  <c r="KC10" i="2478" s="1"/>
  <c r="KC23" i="2478" a="1"/>
  <c r="KC23" i="2478" s="1"/>
  <c r="KC19" i="2478" a="1"/>
  <c r="KC19" i="2478" s="1"/>
  <c r="KC15" i="2478" a="1"/>
  <c r="KC15" i="2478" s="1"/>
  <c r="KC11" i="2478" a="1"/>
  <c r="KC11" i="2478" s="1"/>
  <c r="KC25" i="2478" a="1"/>
  <c r="KC25" i="2478" s="1"/>
  <c r="KC21" i="2478" a="1"/>
  <c r="KC21" i="2478" s="1"/>
  <c r="KC17" i="2478" a="1"/>
  <c r="KC17" i="2478" s="1"/>
  <c r="KC13" i="2478" a="1"/>
  <c r="KC13" i="2478" s="1"/>
  <c r="KC9" i="2478" a="1"/>
  <c r="KC9" i="2478" s="1"/>
  <c r="KC36" i="2478" a="1"/>
  <c r="KC36" i="2478" s="1"/>
  <c r="KC32" i="2478" a="1"/>
  <c r="KC32" i="2478" s="1"/>
  <c r="KC28" i="2478" a="1"/>
  <c r="KC28" i="2478" s="1"/>
  <c r="KC24" i="2478" a="1"/>
  <c r="KC24" i="2478" s="1"/>
  <c r="AA9" i="1611"/>
  <c r="AN9" i="1611"/>
  <c r="BN9" i="1611"/>
  <c r="CA9" i="1611"/>
  <c r="DA9" i="1611"/>
  <c r="DN9" i="1611"/>
  <c r="EN9" i="1611"/>
  <c r="FA9" i="1611"/>
  <c r="GA9" i="1611"/>
  <c r="GN9" i="1611"/>
  <c r="HN9" i="1611"/>
  <c r="IA9" i="1611"/>
  <c r="KH9" i="1615"/>
  <c r="AA51" i="1610"/>
  <c r="JU21" i="2534"/>
  <c r="DA51" i="1610"/>
  <c r="KH45" i="1615"/>
  <c r="CA51" i="1610"/>
  <c r="IA51" i="1610"/>
  <c r="KH32" i="1615"/>
  <c r="N53" i="1610"/>
  <c r="AA53" i="1610"/>
  <c r="AN53" i="1610"/>
  <c r="BA51" i="1610"/>
  <c r="BN53" i="1610"/>
  <c r="CN53" i="1610"/>
  <c r="DA53" i="1610"/>
  <c r="DN53" i="1610"/>
  <c r="EA53" i="1610"/>
  <c r="EN53" i="1610"/>
  <c r="FA51" i="1610"/>
  <c r="FN53" i="1610"/>
  <c r="GA53" i="1610"/>
  <c r="GN53" i="1610"/>
  <c r="HA53" i="1610"/>
  <c r="HN53" i="1610"/>
  <c r="CN51" i="1610"/>
  <c r="GA51" i="1610"/>
  <c r="EA51" i="1610"/>
  <c r="N51" i="1610"/>
  <c r="HN51" i="1610"/>
  <c r="N9" i="1611"/>
  <c r="BA9" i="1611"/>
  <c r="CN9" i="1611"/>
  <c r="EA9" i="1611"/>
  <c r="FN9" i="1611"/>
  <c r="HA9" i="1611"/>
  <c r="BN51" i="1610"/>
  <c r="GN51" i="1610"/>
  <c r="KC18" i="1615"/>
  <c r="JU20" i="2534"/>
  <c r="LP4" i="1973"/>
  <c r="LR4" i="1973"/>
  <c r="JN7" i="2534"/>
  <c r="KH27" i="2478"/>
  <c r="IN9" i="1611"/>
  <c r="JA9" i="1611"/>
  <c r="JN9" i="1611"/>
  <c r="KH44" i="1615"/>
  <c r="KH20" i="1615"/>
  <c r="FA53" i="1610"/>
  <c r="CA53" i="1610"/>
  <c r="KH21" i="1615"/>
  <c r="KC42" i="1615"/>
  <c r="KC33" i="1615"/>
  <c r="KC28" i="1615"/>
  <c r="JN51" i="1610"/>
  <c r="JN53" i="1610"/>
  <c r="KX7" i="1973"/>
  <c r="LA7" i="1973" s="1"/>
  <c r="IA53" i="1610"/>
  <c r="KU7" i="1974"/>
  <c r="LA7" i="1974" s="1"/>
  <c r="LA39" i="1974"/>
  <c r="JU13" i="2533"/>
  <c r="BA53" i="1610"/>
  <c r="N7" i="2533"/>
  <c r="AA7" i="2533"/>
  <c r="AN7" i="2533"/>
  <c r="BA7" i="2533"/>
  <c r="BN7" i="2533"/>
  <c r="CA7" i="2533"/>
  <c r="CN7" i="2533"/>
  <c r="DA7" i="2533"/>
  <c r="DN7" i="2533"/>
  <c r="EA7" i="2533"/>
  <c r="EN7" i="2533"/>
  <c r="FA7" i="2533"/>
  <c r="FN7" i="2533"/>
  <c r="GA7" i="2533"/>
  <c r="GN7" i="2533"/>
  <c r="HA7" i="2533"/>
  <c r="HN7" i="2533"/>
  <c r="IA7" i="2533"/>
  <c r="IN7" i="2533"/>
  <c r="JA7" i="2533"/>
  <c r="KH19" i="1615"/>
  <c r="KH33" i="1615"/>
  <c r="KH16" i="2478"/>
  <c r="KH28" i="2478"/>
  <c r="JU9" i="2534"/>
  <c r="JN7" i="2533"/>
  <c r="JA51" i="1610"/>
  <c r="IN51" i="1610"/>
  <c r="IN53" i="1610"/>
  <c r="JA53" i="1610"/>
  <c r="LV16" i="1974"/>
  <c r="LV15" i="1974"/>
  <c r="LV25" i="1974"/>
  <c r="LV11" i="1974"/>
  <c r="LV26" i="1974"/>
  <c r="LV14" i="1974"/>
  <c r="LV13" i="1974"/>
  <c r="LV35" i="1974"/>
  <c r="LV29" i="1974"/>
  <c r="LV10" i="1974"/>
  <c r="LV22" i="1974"/>
  <c r="LV33" i="1974"/>
  <c r="LV21" i="1974"/>
  <c r="LV20" i="1974"/>
  <c r="LV13" i="1973"/>
  <c r="LV25" i="1973"/>
  <c r="LV15" i="1973"/>
  <c r="LV27" i="1973"/>
  <c r="LV14" i="1973"/>
  <c r="LV11" i="1973"/>
  <c r="LV23" i="1973"/>
  <c r="LV35" i="1973"/>
  <c r="LV16" i="1973"/>
  <c r="LV28" i="1973"/>
  <c r="LV32" i="1973"/>
  <c r="LV12" i="1973"/>
  <c r="LV24" i="1973"/>
  <c r="LV29" i="1973"/>
  <c r="LV19" i="1973"/>
  <c r="LV18" i="1973"/>
  <c r="LV21" i="1973"/>
  <c r="LV33" i="1973"/>
  <c r="LV9" i="1973"/>
  <c r="LV38" i="1973"/>
  <c r="LV10" i="1973"/>
  <c r="LV22" i="1973"/>
  <c r="LV34" i="1973"/>
  <c r="LR4" i="1974"/>
  <c r="LP4" i="1974"/>
  <c r="LQ5" i="1974"/>
  <c r="LP11" i="1973"/>
  <c r="CN7" i="1973"/>
  <c r="DA7" i="1973"/>
  <c r="DN7" i="1973"/>
  <c r="EA7" i="1973"/>
  <c r="EN7" i="1973"/>
  <c r="LS14" i="1973"/>
  <c r="LA39" i="1973"/>
  <c r="LR18" i="1973"/>
  <c r="LP22" i="1973"/>
  <c r="LR25" i="1973"/>
  <c r="LS25" i="1973"/>
  <c r="LP29" i="1973"/>
  <c r="IN7" i="1973"/>
  <c r="LR29" i="1973"/>
  <c r="AN7" i="1973"/>
  <c r="LS32" i="1973"/>
  <c r="FA7" i="1973"/>
  <c r="LR36" i="1973"/>
  <c r="LP38" i="1973"/>
  <c r="LP12" i="1973"/>
  <c r="LS15" i="1973"/>
  <c r="LS22" i="1973"/>
  <c r="LR26" i="1973"/>
  <c r="LP30" i="1973"/>
  <c r="LA36" i="1973"/>
  <c r="LR12" i="1973"/>
  <c r="LP16" i="1973"/>
  <c r="LR19" i="1973"/>
  <c r="LP23" i="1973"/>
  <c r="LS26" i="1973"/>
  <c r="LR38" i="1973"/>
  <c r="LP9" i="1973"/>
  <c r="LS12" i="1973"/>
  <c r="LS19" i="1973"/>
  <c r="LR23" i="1973"/>
  <c r="LP27" i="1973"/>
  <c r="LS30" i="1973"/>
  <c r="LS38" i="1973"/>
  <c r="LS33" i="1973"/>
  <c r="LP34" i="1973"/>
  <c r="LR9" i="1973"/>
  <c r="LP13" i="1973"/>
  <c r="LR16" i="1973"/>
  <c r="LP20" i="1973"/>
  <c r="LS23" i="1973"/>
  <c r="LR27" i="1973"/>
  <c r="LP31" i="1973"/>
  <c r="LR34" i="1973"/>
  <c r="LP37" i="1973"/>
  <c r="LP26" i="1973"/>
  <c r="LP15" i="1973"/>
  <c r="LP33" i="1973"/>
  <c r="LP7" i="1973"/>
  <c r="LR15" i="1973"/>
  <c r="LP19" i="1973"/>
  <c r="LR22" i="1973"/>
  <c r="LR33" i="1973"/>
  <c r="LS16" i="1973"/>
  <c r="LP24" i="1973"/>
  <c r="LS27" i="1973"/>
  <c r="LR37" i="1973"/>
  <c r="LP10" i="1973"/>
  <c r="LS20" i="1973"/>
  <c r="LR31" i="1973"/>
  <c r="LP35" i="1973"/>
  <c r="LR11" i="1973"/>
  <c r="LS18" i="1973"/>
  <c r="LS36" i="1973"/>
  <c r="LS11" i="1973"/>
  <c r="LS29" i="1973"/>
  <c r="LQ29" i="1973" s="1"/>
  <c r="LS9" i="1973"/>
  <c r="LR20" i="1973"/>
  <c r="LS34" i="1973"/>
  <c r="LR13" i="1973"/>
  <c r="LP17" i="1973"/>
  <c r="LR24" i="1973"/>
  <c r="LP28" i="1973"/>
  <c r="LS37" i="1973"/>
  <c r="LS13" i="1973"/>
  <c r="LP21" i="1973"/>
  <c r="LS24" i="1973"/>
  <c r="LS31" i="1973"/>
  <c r="LP39" i="1973"/>
  <c r="LR10" i="1973"/>
  <c r="LP14" i="1973"/>
  <c r="LS17" i="1973"/>
  <c r="LR21" i="1973"/>
  <c r="LP25" i="1973"/>
  <c r="LR28" i="1973"/>
  <c r="LP32" i="1973"/>
  <c r="LS35" i="1973"/>
  <c r="LR35" i="1973"/>
  <c r="LS10" i="1973"/>
  <c r="LR14" i="1973"/>
  <c r="LP18" i="1973"/>
  <c r="LS21" i="1973"/>
  <c r="LS28" i="1973"/>
  <c r="LR32" i="1973"/>
  <c r="LP36" i="1973"/>
  <c r="LS39" i="1973"/>
  <c r="AB51" i="1610"/>
  <c r="AN51" i="1610" s="1"/>
  <c r="GO51" i="1610"/>
  <c r="HA51" i="1610" s="1"/>
  <c r="DC51" i="1610"/>
  <c r="DN51" i="1610" s="1"/>
  <c r="EC51" i="1610"/>
  <c r="FD51" i="1610"/>
  <c r="FN51" i="1610" s="1"/>
  <c r="EB51" i="1610"/>
  <c r="KH15" i="2478"/>
  <c r="JU36" i="2533"/>
  <c r="JU35" i="2533"/>
  <c r="JU30" i="2533"/>
  <c r="JU34" i="2533"/>
  <c r="JU37" i="2533"/>
  <c r="JU17" i="2533"/>
  <c r="JU16" i="2533"/>
  <c r="JU9" i="2533"/>
  <c r="JU15" i="2533"/>
  <c r="JU32" i="2533"/>
  <c r="JU33" i="2533"/>
  <c r="JU21" i="2533"/>
  <c r="JU22" i="2533"/>
  <c r="JU25" i="2533"/>
  <c r="JU10" i="2533"/>
  <c r="JU26" i="2533"/>
  <c r="JU31" i="2533"/>
  <c r="JU27" i="2533"/>
  <c r="JU20" i="2533"/>
  <c r="JU24" i="2533"/>
  <c r="JU11" i="2533"/>
  <c r="JU18" i="2533"/>
  <c r="JU28" i="2533"/>
  <c r="JU14" i="2533"/>
  <c r="JU19" i="2533"/>
  <c r="JU23" i="2533"/>
  <c r="JU29" i="2533"/>
  <c r="JU12" i="2533"/>
  <c r="KC45" i="1615"/>
  <c r="KC44" i="1615"/>
  <c r="KC36" i="1615"/>
  <c r="KC17" i="1615"/>
  <c r="KC9" i="1615"/>
  <c r="KC41" i="1615"/>
  <c r="KC15" i="1615"/>
  <c r="JU44" i="2534"/>
  <c r="JU43" i="2534"/>
  <c r="JU32" i="2534"/>
  <c r="JU45" i="2534"/>
  <c r="JU33" i="2534"/>
  <c r="JU42" i="2534"/>
  <c r="JU19" i="2534"/>
  <c r="JU40" i="2534"/>
  <c r="JU31" i="2534"/>
  <c r="JU29" i="2534"/>
  <c r="JU30" i="2534"/>
  <c r="JU27" i="2534"/>
  <c r="JU11" i="2534"/>
  <c r="JU16" i="2534"/>
  <c r="JU25" i="2534"/>
  <c r="JU14" i="2534"/>
  <c r="JU23" i="2534"/>
  <c r="JU17" i="2534"/>
  <c r="JU41" i="2534"/>
  <c r="JU26" i="2534"/>
  <c r="JU38" i="2534"/>
  <c r="JU35" i="2534"/>
  <c r="JU18" i="2534"/>
  <c r="JU15" i="2534"/>
  <c r="JU39" i="2534"/>
  <c r="JU28" i="2534"/>
  <c r="JU13" i="2534"/>
  <c r="JU37" i="2534"/>
  <c r="JU10" i="2534"/>
  <c r="JU22" i="2534"/>
  <c r="JU34" i="2534"/>
  <c r="JU12" i="2534"/>
  <c r="JU24" i="2534"/>
  <c r="JU36" i="2534"/>
  <c r="KH25" i="2478"/>
  <c r="KH37" i="2478"/>
  <c r="KH26" i="2478"/>
  <c r="KH36" i="2478"/>
  <c r="KH23" i="2478"/>
  <c r="KH22" i="2478"/>
  <c r="KH14" i="2478"/>
  <c r="KH34" i="2478"/>
  <c r="KH31" i="2478"/>
  <c r="KH29" i="2478"/>
  <c r="KH17" i="2478"/>
  <c r="KH11" i="2478"/>
  <c r="KH35" i="2478"/>
  <c r="KH10" i="2478"/>
  <c r="KH20" i="2478"/>
  <c r="KH32" i="2478"/>
  <c r="KH19" i="2478"/>
  <c r="KH13" i="2478"/>
  <c r="KH9" i="2478"/>
  <c r="KH21" i="2478"/>
  <c r="KH33" i="2478"/>
  <c r="KH18" i="2478"/>
  <c r="KH12" i="2478"/>
  <c r="KH24" i="2478"/>
  <c r="KH30" i="2478"/>
  <c r="KC39" i="1615"/>
  <c r="KC16" i="1615"/>
  <c r="KC40" i="1615"/>
  <c r="KC10" i="1615"/>
  <c r="KC24" i="1615"/>
  <c r="KC27" i="1615"/>
  <c r="KC12" i="1615"/>
  <c r="KC23" i="1615"/>
  <c r="KC25" i="1615"/>
  <c r="KC32" i="1615"/>
  <c r="KC11" i="1615"/>
  <c r="KC13" i="1615"/>
  <c r="KC34" i="1615"/>
  <c r="KC43" i="1615"/>
  <c r="KC14" i="1615"/>
  <c r="KC35" i="1615"/>
  <c r="KC22" i="1615"/>
  <c r="KC29" i="1615"/>
  <c r="KC19" i="1615"/>
  <c r="KC30" i="1615"/>
  <c r="KC20" i="1615"/>
  <c r="KC26" i="1615"/>
  <c r="KC31" i="1615"/>
  <c r="KC21" i="1615"/>
  <c r="KC37" i="1615"/>
  <c r="KH38" i="1615"/>
  <c r="KH16" i="1615"/>
  <c r="KH28" i="1615"/>
  <c r="KC38" i="1615"/>
  <c r="KH40" i="1615"/>
  <c r="KH13" i="1615"/>
  <c r="KH25" i="1615"/>
  <c r="KH26" i="1615"/>
  <c r="KH39" i="1615"/>
  <c r="KH27" i="1615"/>
  <c r="KH15" i="1615"/>
  <c r="KH37" i="1615"/>
  <c r="KH14" i="1615"/>
  <c r="KH23" i="1615"/>
  <c r="KH24" i="1615"/>
  <c r="KH42" i="1615"/>
  <c r="KH30" i="1615"/>
  <c r="KH18" i="1615"/>
  <c r="KH10" i="1615"/>
  <c r="KH22" i="1615"/>
  <c r="KH34" i="1615"/>
  <c r="KH41" i="1615"/>
  <c r="KH29" i="1615"/>
  <c r="KH17" i="1615"/>
  <c r="KH11" i="1615"/>
  <c r="KH35" i="1615"/>
  <c r="KH12" i="1615"/>
  <c r="KH36" i="1615"/>
  <c r="KH43" i="1615"/>
  <c r="KH31" i="1615"/>
  <c r="IM7" i="2534"/>
  <c r="IL7" i="2534"/>
  <c r="IK7" i="2534"/>
  <c r="IJ7" i="2534"/>
  <c r="II7" i="2534"/>
  <c r="IH7" i="2534"/>
  <c r="IG7" i="2534"/>
  <c r="IF7" i="2534"/>
  <c r="IE7" i="2534"/>
  <c r="ID7" i="2534"/>
  <c r="IC7" i="2534"/>
  <c r="IB7" i="2534"/>
  <c r="HZ7" i="2534"/>
  <c r="HY7" i="2534"/>
  <c r="HX7" i="2534"/>
  <c r="HW7" i="2534"/>
  <c r="HV7" i="2534"/>
  <c r="HU7" i="2534"/>
  <c r="HT7" i="2534"/>
  <c r="HS7" i="2534"/>
  <c r="HR7" i="2534"/>
  <c r="HQ7" i="2534"/>
  <c r="HP7" i="2534"/>
  <c r="HO7" i="2534"/>
  <c r="HM7" i="2534"/>
  <c r="HL7" i="2534"/>
  <c r="HK7" i="2534"/>
  <c r="HJ7" i="2534"/>
  <c r="HI7" i="2534"/>
  <c r="HH7" i="2534"/>
  <c r="HG7" i="2534"/>
  <c r="HF7" i="2534"/>
  <c r="HE7" i="2534"/>
  <c r="HD7" i="2534"/>
  <c r="HC7" i="2534"/>
  <c r="HB7" i="2534"/>
  <c r="GZ7" i="2534"/>
  <c r="GY7" i="2534"/>
  <c r="GX7" i="2534"/>
  <c r="GW7" i="2534"/>
  <c r="GV7" i="2534"/>
  <c r="GU7" i="2534"/>
  <c r="GT7" i="2534"/>
  <c r="GS7" i="2534"/>
  <c r="GR7" i="2534"/>
  <c r="GQ7" i="2534"/>
  <c r="GP7" i="2534"/>
  <c r="GO7" i="2534"/>
  <c r="GM7" i="2534"/>
  <c r="GL7" i="2534"/>
  <c r="GK7" i="2534"/>
  <c r="GJ7" i="2534"/>
  <c r="GI7" i="2534"/>
  <c r="GH7" i="2534"/>
  <c r="GG7" i="2534"/>
  <c r="GF7" i="2534"/>
  <c r="GE7" i="2534"/>
  <c r="GD7" i="2534"/>
  <c r="GC7" i="2534"/>
  <c r="GB7" i="2534"/>
  <c r="FZ7" i="2534"/>
  <c r="FY7" i="2534"/>
  <c r="FX7" i="2534"/>
  <c r="FW7" i="2534"/>
  <c r="FV7" i="2534"/>
  <c r="FU7" i="2534"/>
  <c r="FT7" i="2534"/>
  <c r="FS7" i="2534"/>
  <c r="FR7" i="2534"/>
  <c r="FQ7" i="2534"/>
  <c r="FP7" i="2534"/>
  <c r="FO7" i="2534"/>
  <c r="FM7" i="2534"/>
  <c r="FL7" i="2534"/>
  <c r="FK7" i="2534"/>
  <c r="FJ7" i="2534"/>
  <c r="FI7" i="2534"/>
  <c r="FH7" i="2534"/>
  <c r="FG7" i="2534"/>
  <c r="FF7" i="2534"/>
  <c r="FE7" i="2534"/>
  <c r="FD7" i="2534"/>
  <c r="FC7" i="2534"/>
  <c r="FB7" i="2534"/>
  <c r="EZ7" i="2534"/>
  <c r="EY7" i="2534"/>
  <c r="EX7" i="2534"/>
  <c r="EW7" i="2534"/>
  <c r="EV7" i="2534"/>
  <c r="EU7" i="2534"/>
  <c r="ET7" i="2534"/>
  <c r="ES7" i="2534"/>
  <c r="ER7" i="2534"/>
  <c r="EQ7" i="2534"/>
  <c r="EP7" i="2534"/>
  <c r="EO7" i="2534"/>
  <c r="EM7" i="2534"/>
  <c r="EL7" i="2534"/>
  <c r="EK7" i="2534"/>
  <c r="EJ7" i="2534"/>
  <c r="EI7" i="2534"/>
  <c r="EH7" i="2534"/>
  <c r="EG7" i="2534"/>
  <c r="EF7" i="2534"/>
  <c r="EE7" i="2534"/>
  <c r="ED7" i="2534"/>
  <c r="EC7" i="2534"/>
  <c r="DY7" i="2534"/>
  <c r="EA7" i="2534" s="1"/>
  <c r="DL7" i="2534"/>
  <c r="DK7" i="2534"/>
  <c r="DJ7" i="2534"/>
  <c r="DI7" i="2534"/>
  <c r="DH7" i="2534"/>
  <c r="DG7" i="2534"/>
  <c r="DF7" i="2534"/>
  <c r="DE7" i="2534"/>
  <c r="DD7" i="2534"/>
  <c r="DC7" i="2534"/>
  <c r="DB7" i="2534"/>
  <c r="CZ7" i="2534"/>
  <c r="CY7" i="2534"/>
  <c r="CX7" i="2534"/>
  <c r="CW7" i="2534"/>
  <c r="CV7" i="2534"/>
  <c r="CU7" i="2534"/>
  <c r="CT7" i="2534"/>
  <c r="CS7" i="2534"/>
  <c r="CR7" i="2534"/>
  <c r="CQ7" i="2534"/>
  <c r="CP7" i="2534"/>
  <c r="CO7" i="2534"/>
  <c r="CM7" i="2534"/>
  <c r="CL7" i="2534"/>
  <c r="CK7" i="2534"/>
  <c r="CJ7" i="2534"/>
  <c r="CI7" i="2534"/>
  <c r="CH7" i="2534"/>
  <c r="CG7" i="2534"/>
  <c r="CF7" i="2534"/>
  <c r="CE7" i="2534"/>
  <c r="CD7" i="2534"/>
  <c r="CC7" i="2534"/>
  <c r="CB7" i="2534"/>
  <c r="BZ7" i="2534"/>
  <c r="BY7" i="2534"/>
  <c r="BX7" i="2534"/>
  <c r="BW7" i="2534"/>
  <c r="BV7" i="2534"/>
  <c r="BU7" i="2534"/>
  <c r="BT7" i="2534"/>
  <c r="BS7" i="2534"/>
  <c r="BR7" i="2534"/>
  <c r="BQ7" i="2534"/>
  <c r="BP7" i="2534"/>
  <c r="BO7" i="2534"/>
  <c r="BM7" i="2534"/>
  <c r="BL7" i="2534"/>
  <c r="BK7" i="2534"/>
  <c r="BJ7" i="2534"/>
  <c r="BI7" i="2534"/>
  <c r="BH7" i="2534"/>
  <c r="BG7" i="2534"/>
  <c r="BF7" i="2534"/>
  <c r="BE7" i="2534"/>
  <c r="BD7" i="2534"/>
  <c r="BC7" i="2534"/>
  <c r="BB7" i="2534"/>
  <c r="AZ7" i="2534"/>
  <c r="AY7" i="2534"/>
  <c r="AX7" i="2534"/>
  <c r="AW7" i="2534"/>
  <c r="AV7" i="2534"/>
  <c r="AU7" i="2534"/>
  <c r="AT7" i="2534"/>
  <c r="AS7" i="2534"/>
  <c r="AR7" i="2534"/>
  <c r="AQ7" i="2534"/>
  <c r="AP7" i="2534"/>
  <c r="AO7" i="2534"/>
  <c r="AM7" i="2534"/>
  <c r="AL7" i="2534"/>
  <c r="AK7" i="2534"/>
  <c r="AJ7" i="2534"/>
  <c r="AI7" i="2534"/>
  <c r="AH7" i="2534"/>
  <c r="AG7" i="2534"/>
  <c r="AF7" i="2534"/>
  <c r="AE7" i="2534"/>
  <c r="AD7" i="2534"/>
  <c r="AC7" i="2534"/>
  <c r="AB7" i="2534"/>
  <c r="Z7" i="2534"/>
  <c r="Y7" i="2534"/>
  <c r="X7" i="2534"/>
  <c r="W7" i="2534"/>
  <c r="V7" i="2534"/>
  <c r="U7" i="2534"/>
  <c r="T7" i="2534"/>
  <c r="S7" i="2534"/>
  <c r="R7" i="2534"/>
  <c r="Q7" i="2534"/>
  <c r="P7" i="2534"/>
  <c r="O7" i="2534"/>
  <c r="M7" i="2534"/>
  <c r="L7" i="2534"/>
  <c r="K7" i="2534"/>
  <c r="J7" i="2534"/>
  <c r="I7" i="2534"/>
  <c r="H7" i="2534"/>
  <c r="G7" i="2534"/>
  <c r="F7" i="2534"/>
  <c r="E7" i="2534"/>
  <c r="D7" i="2534"/>
  <c r="C7" i="2534"/>
  <c r="B7" i="2534"/>
  <c r="IO4" i="2534"/>
  <c r="IB4" i="2534"/>
  <c r="HO4" i="2534"/>
  <c r="HB4" i="2534"/>
  <c r="GO4" i="2534"/>
  <c r="GB4" i="2534"/>
  <c r="FO4" i="2534"/>
  <c r="FB4" i="2534"/>
  <c r="EO4" i="2534"/>
  <c r="DO4" i="2534"/>
  <c r="DB4" i="2534"/>
  <c r="CO4" i="2534"/>
  <c r="CB4" i="2534"/>
  <c r="BO4" i="2534"/>
  <c r="BB4" i="2534"/>
  <c r="AO4" i="2534"/>
  <c r="AB4" i="2534"/>
  <c r="O4" i="2534"/>
  <c r="B4" i="2534"/>
  <c r="DX45" i="2533"/>
  <c r="JQ5" i="2533"/>
  <c r="JS5" i="2533" s="1"/>
  <c r="JR27" i="2533"/>
  <c r="JS31" i="2533"/>
  <c r="IO4" i="2533"/>
  <c r="IB4" i="2533"/>
  <c r="HO4" i="2533"/>
  <c r="HB4" i="2533"/>
  <c r="GO4" i="2533"/>
  <c r="GB4" i="2533"/>
  <c r="FO4" i="2533"/>
  <c r="FB4" i="2533"/>
  <c r="EO4" i="2533"/>
  <c r="EB4" i="2533"/>
  <c r="DO4" i="2533"/>
  <c r="DB4" i="2533"/>
  <c r="CO4" i="2533"/>
  <c r="CB4" i="2533"/>
  <c r="BO4" i="2533"/>
  <c r="BB4" i="2533"/>
  <c r="AO4" i="2533"/>
  <c r="AB4" i="2533"/>
  <c r="O4" i="2533"/>
  <c r="B4" i="2533"/>
  <c r="JQ42" i="2534" l="1"/>
  <c r="JQ21" i="2534"/>
  <c r="JQ35" i="2534"/>
  <c r="JQ13" i="2534"/>
  <c r="JQ39" i="2534"/>
  <c r="JQ32" i="2534"/>
  <c r="JQ12" i="2534"/>
  <c r="JQ18" i="2534"/>
  <c r="JQ38" i="2534"/>
  <c r="JQ41" i="2534"/>
  <c r="JQ31" i="2534"/>
  <c r="JQ17" i="2534"/>
  <c r="JQ9" i="2534"/>
  <c r="JQ22" i="2534"/>
  <c r="JQ40" i="2534"/>
  <c r="JQ28" i="2534"/>
  <c r="JQ33" i="2534"/>
  <c r="JQ27" i="2534"/>
  <c r="JQ7" i="2534"/>
  <c r="JQ20" i="2534"/>
  <c r="JQ19" i="2534"/>
  <c r="JQ10" i="2534"/>
  <c r="JQ25" i="2534"/>
  <c r="JQ26" i="2534"/>
  <c r="JQ45" i="2534"/>
  <c r="EN51" i="1610"/>
  <c r="LS7" i="1973"/>
  <c r="FA7" i="2534"/>
  <c r="FN7" i="2534"/>
  <c r="GA7" i="2534"/>
  <c r="GN7" i="2534"/>
  <c r="HA7" i="2534"/>
  <c r="HN7" i="2534"/>
  <c r="IA7" i="2534"/>
  <c r="IN7" i="2534"/>
  <c r="AA7" i="2534"/>
  <c r="BN7" i="2534"/>
  <c r="DN7" i="2534"/>
  <c r="N7" i="2534"/>
  <c r="BA7" i="2534"/>
  <c r="CA7" i="2534"/>
  <c r="DA7" i="2534"/>
  <c r="AN7" i="2534"/>
  <c r="CN7" i="2534"/>
  <c r="EN7" i="2534"/>
  <c r="LQ9" i="1973"/>
  <c r="LQ10" i="1973"/>
  <c r="LQ25" i="1973"/>
  <c r="LQ18" i="1973"/>
  <c r="LQ38" i="1973"/>
  <c r="LQ21" i="1973"/>
  <c r="LQ34" i="1973"/>
  <c r="LQ35" i="1973"/>
  <c r="LQ32" i="1973"/>
  <c r="LQ14" i="1973"/>
  <c r="LQ31" i="1973"/>
  <c r="LQ24" i="1973"/>
  <c r="LQ36" i="1973"/>
  <c r="LS5" i="1974"/>
  <c r="LR5" i="1974"/>
  <c r="LQ27" i="1973"/>
  <c r="LQ22" i="1973"/>
  <c r="LQ26" i="1973"/>
  <c r="LQ15" i="1973"/>
  <c r="LQ28" i="1973"/>
  <c r="LQ20" i="1973"/>
  <c r="LQ37" i="1973"/>
  <c r="LQ33" i="1973"/>
  <c r="LQ16" i="1973"/>
  <c r="LQ19" i="1973"/>
  <c r="LQ11" i="1973"/>
  <c r="LQ13" i="1973"/>
  <c r="LQ23" i="1973"/>
  <c r="LQ12" i="1973"/>
  <c r="JR25" i="2533"/>
  <c r="JP21" i="2533"/>
  <c r="JS30" i="2533"/>
  <c r="JR23" i="2533"/>
  <c r="JR36" i="2533"/>
  <c r="JS7" i="2533"/>
  <c r="JR26" i="2533"/>
  <c r="JP10" i="2533"/>
  <c r="JP15" i="2533"/>
  <c r="JS38" i="2533"/>
  <c r="JS24" i="2533"/>
  <c r="JR12" i="2533"/>
  <c r="JS11" i="2533"/>
  <c r="JP11" i="2533"/>
  <c r="JR17" i="2533"/>
  <c r="JP29" i="2533"/>
  <c r="JS22" i="2533"/>
  <c r="JR20" i="2533"/>
  <c r="JS12" i="2533"/>
  <c r="JP30" i="2533"/>
  <c r="JP28" i="2533"/>
  <c r="JS16" i="2533"/>
  <c r="JS18" i="2533"/>
  <c r="JR37" i="2533"/>
  <c r="JP25" i="2533"/>
  <c r="JS20" i="2533"/>
  <c r="JP22" i="2533"/>
  <c r="JS32" i="2533"/>
  <c r="JR38" i="2533"/>
  <c r="JR24" i="2533"/>
  <c r="JS35" i="2533"/>
  <c r="JP18" i="2533"/>
  <c r="JR19" i="2533"/>
  <c r="JP19" i="2533"/>
  <c r="JR34" i="2533"/>
  <c r="JS28" i="2533"/>
  <c r="JP7" i="2533"/>
  <c r="JR32" i="2533"/>
  <c r="JS29" i="2533"/>
  <c r="JR29" i="2533"/>
  <c r="JP35" i="2533"/>
  <c r="JS9" i="2533"/>
  <c r="JS36" i="2533"/>
  <c r="JP38" i="2533"/>
  <c r="JP12" i="2533"/>
  <c r="JP23" i="2533"/>
  <c r="JP32" i="2533"/>
  <c r="JP24" i="2533"/>
  <c r="JR16" i="2533"/>
  <c r="JS37" i="2533"/>
  <c r="JP16" i="2533"/>
  <c r="JR35" i="2533"/>
  <c r="JP37" i="2533"/>
  <c r="JP17" i="2533"/>
  <c r="JS34" i="2533"/>
  <c r="JP9" i="2533"/>
  <c r="JS10" i="2533"/>
  <c r="JR10" i="2533"/>
  <c r="JR9" i="2533"/>
  <c r="JS14" i="2533"/>
  <c r="JP14" i="2533"/>
  <c r="JS17" i="2533"/>
  <c r="JP34" i="2533"/>
  <c r="JR21" i="2533"/>
  <c r="JS15" i="2533"/>
  <c r="JS27" i="2533"/>
  <c r="JQ27" i="2533" s="1"/>
  <c r="JP27" i="2533"/>
  <c r="JR31" i="2533"/>
  <c r="JQ31" i="2533" s="1"/>
  <c r="JS25" i="2533"/>
  <c r="JS26" i="2533"/>
  <c r="JR15" i="2533"/>
  <c r="JP36" i="2533"/>
  <c r="JR30" i="2533"/>
  <c r="JP20" i="2533"/>
  <c r="JS33" i="2533"/>
  <c r="JR11" i="2533"/>
  <c r="JR28" i="2533"/>
  <c r="JS21" i="2533"/>
  <c r="JR22" i="2533"/>
  <c r="JR33" i="2533"/>
  <c r="JR7" i="2533"/>
  <c r="JP33" i="2533"/>
  <c r="JP26" i="2533"/>
  <c r="JS23" i="2533"/>
  <c r="JS19" i="2533"/>
  <c r="JR18" i="2533"/>
  <c r="JR14" i="2533"/>
  <c r="JP31" i="2533"/>
  <c r="JR5" i="2533"/>
  <c r="JR4" i="2533"/>
  <c r="JP4" i="2533" s="1"/>
  <c r="JQ26" i="2533" l="1"/>
  <c r="JQ25" i="2533"/>
  <c r="JQ11" i="2533"/>
  <c r="JQ16" i="2533"/>
  <c r="JQ38" i="2533"/>
  <c r="JQ17" i="2533"/>
  <c r="JQ33" i="2533"/>
  <c r="JQ23" i="2533"/>
  <c r="JQ32" i="2533"/>
  <c r="JQ35" i="2533"/>
  <c r="JQ22" i="2533"/>
  <c r="JQ19" i="2533"/>
  <c r="JQ14" i="2533"/>
  <c r="JQ28" i="2533"/>
  <c r="JQ9" i="2533"/>
  <c r="JQ18" i="2533"/>
  <c r="JQ24" i="2533"/>
  <c r="JQ10" i="2533"/>
  <c r="JQ21" i="2533"/>
  <c r="JQ34" i="2533"/>
  <c r="JQ36" i="2533"/>
  <c r="JQ12" i="2533"/>
  <c r="JQ15" i="2533"/>
  <c r="JQ7" i="2533"/>
  <c r="JQ29" i="2533"/>
  <c r="JQ30" i="2533"/>
  <c r="JQ37" i="2533"/>
  <c r="JQ20" i="2533"/>
  <c r="JU45" i="1611"/>
  <c r="JU33" i="1611"/>
  <c r="JU34" i="1611"/>
  <c r="JU22" i="1611"/>
  <c r="JU35" i="1611"/>
  <c r="JU23" i="1611"/>
  <c r="JW41" i="1611"/>
  <c r="JW42" i="1611"/>
  <c r="JW43" i="1611"/>
  <c r="JW44" i="1611"/>
  <c r="JW45" i="1611"/>
  <c r="JW46" i="1611"/>
  <c r="JW47" i="1611"/>
  <c r="JU46" i="1611"/>
  <c r="JU47" i="1611"/>
  <c r="JW12" i="1611"/>
  <c r="JW13" i="1611"/>
  <c r="JW14" i="1611"/>
  <c r="JW15" i="1611"/>
  <c r="JW16" i="1611"/>
  <c r="JW17" i="1611"/>
  <c r="JW18" i="1611"/>
  <c r="JW19" i="1611"/>
  <c r="JW20" i="1611"/>
  <c r="JW21" i="1611"/>
  <c r="JW22" i="1611"/>
  <c r="JW23" i="1611"/>
  <c r="JW24" i="1611"/>
  <c r="JW25" i="1611"/>
  <c r="JW26" i="1611"/>
  <c r="JW27" i="1611"/>
  <c r="JW28" i="1611"/>
  <c r="JW29" i="1611"/>
  <c r="JW30" i="1611"/>
  <c r="JW31" i="1611"/>
  <c r="JW32" i="1611"/>
  <c r="JW33" i="1611"/>
  <c r="JW34" i="1611"/>
  <c r="JW35" i="1611"/>
  <c r="JW36" i="1611"/>
  <c r="JW37" i="1611"/>
  <c r="JW38" i="1611"/>
  <c r="JW39" i="1611"/>
  <c r="JW11" i="1611"/>
  <c r="JU11" i="1611"/>
  <c r="JW40" i="1611"/>
  <c r="JU43" i="1611" l="1"/>
  <c r="JU21" i="1611"/>
  <c r="JU17" i="1611"/>
  <c r="JU29" i="1611"/>
  <c r="JU42" i="1611"/>
  <c r="JU41" i="1611"/>
  <c r="JU20" i="1611"/>
  <c r="JU19" i="1611"/>
  <c r="JU31" i="1611"/>
  <c r="JU32" i="1611"/>
  <c r="JU16" i="1611"/>
  <c r="JU28" i="1611"/>
  <c r="JU27" i="1611"/>
  <c r="JU18" i="1611"/>
  <c r="JU30" i="1611"/>
  <c r="JU44" i="1611"/>
  <c r="JU13" i="1611"/>
  <c r="JU25" i="1611"/>
  <c r="JU37" i="1611"/>
  <c r="JU14" i="1611"/>
  <c r="JU26" i="1611"/>
  <c r="JU15" i="1611"/>
  <c r="JU36" i="1611"/>
  <c r="JU24" i="1611"/>
  <c r="JU38" i="1611"/>
  <c r="JU12" i="1611"/>
  <c r="JU39" i="1611"/>
  <c r="JW17" i="1610" l="1"/>
  <c r="JU17" i="1610"/>
  <c r="JW21" i="1610"/>
  <c r="JW20" i="1610"/>
  <c r="JW34" i="1610"/>
  <c r="JW40" i="1610"/>
  <c r="JW23" i="1610"/>
  <c r="JW22" i="1610"/>
  <c r="JW28" i="1610"/>
  <c r="JW31" i="1610"/>
  <c r="JW25" i="1610"/>
  <c r="JW26" i="1610"/>
  <c r="JW33" i="1610"/>
  <c r="JW36" i="1610"/>
  <c r="JW30" i="1610"/>
  <c r="JW19" i="1610"/>
  <c r="JW38" i="1610"/>
  <c r="JW39" i="1610"/>
  <c r="JW27" i="1610"/>
  <c r="JW32" i="1610"/>
  <c r="JW18" i="1610"/>
  <c r="JW24" i="1610"/>
  <c r="JW29" i="1610"/>
  <c r="JW15" i="1610"/>
  <c r="JW16" i="1610"/>
  <c r="JW37" i="1610"/>
  <c r="JW35" i="1610"/>
  <c r="JW13" i="1610"/>
  <c r="JW41" i="1610"/>
  <c r="IY55" i="1611"/>
  <c r="IX55" i="1611"/>
  <c r="IW55" i="1611"/>
  <c r="IV55" i="1611"/>
  <c r="IU55" i="1611"/>
  <c r="IT55" i="1611"/>
  <c r="IS55" i="1611"/>
  <c r="IR55" i="1611"/>
  <c r="IQ55" i="1611"/>
  <c r="IP55" i="1611"/>
  <c r="IO55" i="1611"/>
  <c r="IZ55" i="1611"/>
  <c r="JM7" i="1610"/>
  <c r="JL7" i="1610"/>
  <c r="JK7" i="1610"/>
  <c r="JJ7" i="1610"/>
  <c r="JI7" i="1610"/>
  <c r="JH7" i="1610"/>
  <c r="JG7" i="1610"/>
  <c r="JF7" i="1610"/>
  <c r="JE7" i="1610"/>
  <c r="JD7" i="1610"/>
  <c r="JC7" i="1610"/>
  <c r="JB7" i="1610"/>
  <c r="IZ7" i="1610"/>
  <c r="IY7" i="1610"/>
  <c r="IX7" i="1610"/>
  <c r="IW7" i="1610"/>
  <c r="IV7" i="1610"/>
  <c r="IU7" i="1610"/>
  <c r="IT7" i="1610"/>
  <c r="IS7" i="1610"/>
  <c r="IR7" i="1610"/>
  <c r="IQ7" i="1610"/>
  <c r="IP7" i="1610"/>
  <c r="IO7" i="1610"/>
  <c r="JR7" i="1610" s="1"/>
  <c r="IM7" i="1610"/>
  <c r="IL7" i="1610"/>
  <c r="IK7" i="1610"/>
  <c r="IJ7" i="1610"/>
  <c r="II7" i="1610"/>
  <c r="IH7" i="1610"/>
  <c r="IG7" i="1610"/>
  <c r="IF7" i="1610"/>
  <c r="IE7" i="1610"/>
  <c r="ID7" i="1610"/>
  <c r="IC7" i="1610"/>
  <c r="IB7" i="1610"/>
  <c r="HZ7" i="1610"/>
  <c r="HY7" i="1610"/>
  <c r="HX7" i="1610"/>
  <c r="HW7" i="1610"/>
  <c r="HV7" i="1610"/>
  <c r="HU7" i="1610"/>
  <c r="HT7" i="1610"/>
  <c r="HS7" i="1610"/>
  <c r="HR7" i="1610"/>
  <c r="HQ7" i="1610"/>
  <c r="HP7" i="1610"/>
  <c r="HO7" i="1610"/>
  <c r="HM7" i="1610"/>
  <c r="HL7" i="1610"/>
  <c r="HK7" i="1610"/>
  <c r="HJ7" i="1610"/>
  <c r="HI7" i="1610"/>
  <c r="HH7" i="1610"/>
  <c r="HG7" i="1610"/>
  <c r="HF7" i="1610"/>
  <c r="HE7" i="1610"/>
  <c r="HD7" i="1610"/>
  <c r="HC7" i="1610"/>
  <c r="HB7" i="1610"/>
  <c r="GZ7" i="1610"/>
  <c r="GY7" i="1610"/>
  <c r="GX7" i="1610"/>
  <c r="GW7" i="1610"/>
  <c r="GV7" i="1610"/>
  <c r="GU7" i="1610"/>
  <c r="GT7" i="1610"/>
  <c r="GS7" i="1610"/>
  <c r="GR7" i="1610"/>
  <c r="GQ7" i="1610"/>
  <c r="GP7" i="1610"/>
  <c r="GO7" i="1610"/>
  <c r="GM7" i="1610"/>
  <c r="GL7" i="1610"/>
  <c r="GK7" i="1610"/>
  <c r="GJ7" i="1610"/>
  <c r="GI7" i="1610"/>
  <c r="GH7" i="1610"/>
  <c r="GG7" i="1610"/>
  <c r="GF7" i="1610"/>
  <c r="GE7" i="1610"/>
  <c r="GD7" i="1610"/>
  <c r="GC7" i="1610"/>
  <c r="GB7" i="1610"/>
  <c r="FZ7" i="1610"/>
  <c r="FY7" i="1610"/>
  <c r="FX7" i="1610"/>
  <c r="FW7" i="1610"/>
  <c r="FV7" i="1610"/>
  <c r="FU7" i="1610"/>
  <c r="FT7" i="1610"/>
  <c r="FS7" i="1610"/>
  <c r="FR7" i="1610"/>
  <c r="FQ7" i="1610"/>
  <c r="FP7" i="1610"/>
  <c r="FO7" i="1610"/>
  <c r="FM7" i="1610"/>
  <c r="FL7" i="1610"/>
  <c r="FK7" i="1610"/>
  <c r="FJ7" i="1610"/>
  <c r="FI7" i="1610"/>
  <c r="FH7" i="1610"/>
  <c r="FG7" i="1610"/>
  <c r="FF7" i="1610"/>
  <c r="FE7" i="1610"/>
  <c r="FD7" i="1610"/>
  <c r="FC7" i="1610"/>
  <c r="FB7" i="1610"/>
  <c r="EZ7" i="1610"/>
  <c r="EY7" i="1610"/>
  <c r="EX7" i="1610"/>
  <c r="EW7" i="1610"/>
  <c r="EV7" i="1610"/>
  <c r="EU7" i="1610"/>
  <c r="ET7" i="1610"/>
  <c r="ES7" i="1610"/>
  <c r="ER7" i="1610"/>
  <c r="EQ7" i="1610"/>
  <c r="EP7" i="1610"/>
  <c r="EO7" i="1610"/>
  <c r="EM7" i="1610"/>
  <c r="EL7" i="1610"/>
  <c r="EK7" i="1610"/>
  <c r="EJ7" i="1610"/>
  <c r="EI7" i="1610"/>
  <c r="EH7" i="1610"/>
  <c r="EG7" i="1610"/>
  <c r="EF7" i="1610"/>
  <c r="EE7" i="1610"/>
  <c r="ED7" i="1610"/>
  <c r="EC7" i="1610"/>
  <c r="EB7" i="1610"/>
  <c r="DZ7" i="1610"/>
  <c r="DY7" i="1610"/>
  <c r="DX7" i="1610"/>
  <c r="DW7" i="1610"/>
  <c r="DV7" i="1610"/>
  <c r="DU7" i="1610"/>
  <c r="DT7" i="1610"/>
  <c r="DS7" i="1610"/>
  <c r="DR7" i="1610"/>
  <c r="DQ7" i="1610"/>
  <c r="DP7" i="1610"/>
  <c r="DO7" i="1610"/>
  <c r="DM7" i="1610"/>
  <c r="DL7" i="1610"/>
  <c r="DK7" i="1610"/>
  <c r="DJ7" i="1610"/>
  <c r="DI7" i="1610"/>
  <c r="DH7" i="1610"/>
  <c r="DG7" i="1610"/>
  <c r="DF7" i="1610"/>
  <c r="DE7" i="1610"/>
  <c r="DD7" i="1610"/>
  <c r="DC7" i="1610"/>
  <c r="DB7" i="1610"/>
  <c r="CZ7" i="1610"/>
  <c r="CY7" i="1610"/>
  <c r="CX7" i="1610"/>
  <c r="CW7" i="1610"/>
  <c r="CV7" i="1610"/>
  <c r="CU7" i="1610"/>
  <c r="CT7" i="1610"/>
  <c r="CS7" i="1610"/>
  <c r="CR7" i="1610"/>
  <c r="CQ7" i="1610"/>
  <c r="CP7" i="1610"/>
  <c r="CO7" i="1610"/>
  <c r="CM7" i="1610"/>
  <c r="CL7" i="1610"/>
  <c r="CK7" i="1610"/>
  <c r="CJ7" i="1610"/>
  <c r="CI7" i="1610"/>
  <c r="CH7" i="1610"/>
  <c r="CG7" i="1610"/>
  <c r="CF7" i="1610"/>
  <c r="CE7" i="1610"/>
  <c r="CD7" i="1610"/>
  <c r="CC7" i="1610"/>
  <c r="CB7" i="1610"/>
  <c r="BZ7" i="1610"/>
  <c r="BY7" i="1610"/>
  <c r="BX7" i="1610"/>
  <c r="BW7" i="1610"/>
  <c r="BV7" i="1610"/>
  <c r="BU7" i="1610"/>
  <c r="BT7" i="1610"/>
  <c r="BS7" i="1610"/>
  <c r="BR7" i="1610"/>
  <c r="BQ7" i="1610"/>
  <c r="BP7" i="1610"/>
  <c r="BO7" i="1610"/>
  <c r="BM7" i="1610"/>
  <c r="BL7" i="1610"/>
  <c r="BK7" i="1610"/>
  <c r="BJ7" i="1610"/>
  <c r="BI7" i="1610"/>
  <c r="BH7" i="1610"/>
  <c r="BG7" i="1610"/>
  <c r="BF7" i="1610"/>
  <c r="BE7" i="1610"/>
  <c r="BD7" i="1610"/>
  <c r="BC7" i="1610"/>
  <c r="BB7" i="1610"/>
  <c r="AZ7" i="1610"/>
  <c r="AY7" i="1610"/>
  <c r="AX7" i="1610"/>
  <c r="AW7" i="1610"/>
  <c r="AV7" i="1610"/>
  <c r="AU7" i="1610"/>
  <c r="AT7" i="1610"/>
  <c r="AS7" i="1610"/>
  <c r="AR7" i="1610"/>
  <c r="AQ7" i="1610"/>
  <c r="AP7" i="1610"/>
  <c r="AO7" i="1610"/>
  <c r="AM7" i="1610"/>
  <c r="AL7" i="1610"/>
  <c r="AK7" i="1610"/>
  <c r="AJ7" i="1610"/>
  <c r="AI7" i="1610"/>
  <c r="AH7" i="1610"/>
  <c r="AG7" i="1610"/>
  <c r="AF7" i="1610"/>
  <c r="AE7" i="1610"/>
  <c r="AD7" i="1610"/>
  <c r="AC7" i="1610"/>
  <c r="AB7" i="1610"/>
  <c r="Z7" i="1610"/>
  <c r="Y7" i="1610"/>
  <c r="X7" i="1610"/>
  <c r="W7" i="1610"/>
  <c r="V7" i="1610"/>
  <c r="U7" i="1610"/>
  <c r="T7" i="1610"/>
  <c r="S7" i="1610"/>
  <c r="R7" i="1610"/>
  <c r="Q7" i="1610"/>
  <c r="P7" i="1610"/>
  <c r="O7" i="1610"/>
  <c r="M7" i="1610"/>
  <c r="L7" i="1610"/>
  <c r="K7" i="1610"/>
  <c r="J7" i="1610"/>
  <c r="I7" i="1610"/>
  <c r="H7" i="1610"/>
  <c r="G7" i="1610"/>
  <c r="F7" i="1610"/>
  <c r="E7" i="1610"/>
  <c r="D7" i="1610"/>
  <c r="C7" i="1610"/>
  <c r="B7" i="1610"/>
  <c r="JP7" i="1610" l="1"/>
  <c r="JS7" i="1610"/>
  <c r="CA7" i="1610"/>
  <c r="FA7" i="1610"/>
  <c r="HA7" i="1610"/>
  <c r="CN7" i="1610"/>
  <c r="GA7" i="1610"/>
  <c r="N7" i="1610"/>
  <c r="DN7" i="1610"/>
  <c r="IA7" i="1610"/>
  <c r="BN7" i="1610"/>
  <c r="GN7" i="1610"/>
  <c r="DA7" i="1610"/>
  <c r="HN7" i="1610"/>
  <c r="BA7" i="1610"/>
  <c r="FN7" i="1610"/>
  <c r="AN7" i="1610"/>
  <c r="EN7" i="1610"/>
  <c r="IN7" i="1610"/>
  <c r="AA7" i="1610"/>
  <c r="EA7" i="1610"/>
  <c r="JA7" i="1610"/>
  <c r="JN7" i="1610"/>
  <c r="JA55" i="1611"/>
  <c r="JW14" i="1610" l="1"/>
  <c r="JQ5" i="1610" l="1"/>
  <c r="JR5" i="1610" l="1"/>
  <c r="JS5" i="1610"/>
  <c r="B4" i="1610" l="1"/>
  <c r="O4" i="1610"/>
  <c r="AB4" i="1610"/>
  <c r="AO4" i="1610"/>
  <c r="BB4" i="1610"/>
  <c r="BO4" i="1610"/>
  <c r="CB4" i="1610"/>
  <c r="CO4" i="1610"/>
  <c r="DB4" i="1610"/>
  <c r="DO4" i="1610"/>
  <c r="EB4" i="1610"/>
  <c r="EO4" i="1610"/>
  <c r="FB4" i="1610"/>
  <c r="FO4" i="1610"/>
  <c r="GB4" i="1610"/>
  <c r="GO4" i="1610"/>
  <c r="HB4" i="1610"/>
  <c r="HO4" i="1610"/>
  <c r="IB4" i="1610"/>
  <c r="IO4" i="1610"/>
  <c r="JB4" i="1610"/>
  <c r="JM7" i="1615" l="1"/>
  <c r="KC7" i="1615" s="1"/>
  <c r="JW7" i="1615"/>
  <c r="JV7" i="1615"/>
  <c r="JU7" i="1615"/>
  <c r="JT7" i="1615"/>
  <c r="JS7" i="1615"/>
  <c r="JO7" i="1615"/>
  <c r="KA5" i="1615"/>
  <c r="JO4" i="1615"/>
  <c r="JB4" i="1615"/>
  <c r="IO4" i="1615"/>
  <c r="IB4" i="1615"/>
  <c r="HO4" i="1615"/>
  <c r="HB4" i="1615"/>
  <c r="GO4" i="1615"/>
  <c r="GB4" i="1615"/>
  <c r="FO4" i="1615"/>
  <c r="FB4" i="1615"/>
  <c r="EO4" i="1615"/>
  <c r="EB4" i="1615"/>
  <c r="DO4" i="1615"/>
  <c r="DB4" i="1615"/>
  <c r="CO4" i="1615"/>
  <c r="CB4" i="1615"/>
  <c r="BO4" i="1615"/>
  <c r="BB4" i="1615"/>
  <c r="AO4" i="1615"/>
  <c r="AB4" i="1615"/>
  <c r="O4" i="1615"/>
  <c r="B4" i="1615"/>
  <c r="JL7" i="1615"/>
  <c r="JK7" i="1615"/>
  <c r="KF9" i="1615" l="1"/>
  <c r="KE44" i="1615"/>
  <c r="KF19" i="1615"/>
  <c r="KF44" i="1615"/>
  <c r="KD44" i="1615" s="1"/>
  <c r="KE19" i="1615"/>
  <c r="KF24" i="1615"/>
  <c r="KE31" i="1615"/>
  <c r="KF10" i="1615"/>
  <c r="KF42" i="1615"/>
  <c r="KE32" i="1615"/>
  <c r="KE15" i="1615"/>
  <c r="KF38" i="1615"/>
  <c r="KE10" i="1615"/>
  <c r="KE39" i="1615"/>
  <c r="KF27" i="1615"/>
  <c r="KE13" i="1615"/>
  <c r="KF26" i="1615"/>
  <c r="KF45" i="1615"/>
  <c r="KE23" i="1615"/>
  <c r="KE28" i="1615"/>
  <c r="KE36" i="1615"/>
  <c r="KF17" i="1615"/>
  <c r="KE25" i="1615"/>
  <c r="KE12" i="1615"/>
  <c r="KE41" i="1615"/>
  <c r="KE7" i="1615"/>
  <c r="KE9" i="1615"/>
  <c r="KF14" i="1615"/>
  <c r="KF39" i="1615"/>
  <c r="KD39" i="1615" s="1"/>
  <c r="KE26" i="1615"/>
  <c r="KF11" i="1615"/>
  <c r="KE40" i="1615"/>
  <c r="KE43" i="1615"/>
  <c r="KF20" i="1615"/>
  <c r="KE29" i="1615"/>
  <c r="KF25" i="1615"/>
  <c r="KD25" i="1615" s="1"/>
  <c r="KF41" i="1615"/>
  <c r="KD41" i="1615" s="1"/>
  <c r="KF18" i="1615"/>
  <c r="KE20" i="1615"/>
  <c r="KE22" i="1615"/>
  <c r="KF30" i="1615"/>
  <c r="KF13" i="1615"/>
  <c r="KD13" i="1615" s="1"/>
  <c r="KF32" i="1615"/>
  <c r="KE35" i="1615"/>
  <c r="KF22" i="1615"/>
  <c r="KE24" i="1615"/>
  <c r="KF15" i="1615"/>
  <c r="KF21" i="1615"/>
  <c r="KD21" i="1615" s="1"/>
  <c r="KF43" i="1615"/>
  <c r="KE21" i="1615"/>
  <c r="KF23" i="1615"/>
  <c r="KE18" i="1615"/>
  <c r="KF28" i="1615"/>
  <c r="KE30" i="1615"/>
  <c r="KD30" i="1615" s="1"/>
  <c r="KE16" i="1615"/>
  <c r="KF12" i="1615"/>
  <c r="KE17" i="1615"/>
  <c r="KE14" i="1615"/>
  <c r="KF16" i="1615"/>
  <c r="KF35" i="1615"/>
  <c r="KD35" i="1615" s="1"/>
  <c r="KF31" i="1615"/>
  <c r="KF29" i="1615"/>
  <c r="KE27" i="1615"/>
  <c r="KE33" i="1615"/>
  <c r="KE34" i="1615"/>
  <c r="KF34" i="1615"/>
  <c r="KF37" i="1615"/>
  <c r="KF33" i="1615"/>
  <c r="KE38" i="1615"/>
  <c r="KE37" i="1615"/>
  <c r="KF40" i="1615"/>
  <c r="KE42" i="1615"/>
  <c r="KE45" i="1615"/>
  <c r="KF36" i="1615"/>
  <c r="KE11" i="1615"/>
  <c r="JN7" i="1615"/>
  <c r="KF7" i="1615"/>
  <c r="KD7" i="1615" s="1"/>
  <c r="JO4" i="2478"/>
  <c r="KA5" i="2478"/>
  <c r="JB4" i="2478"/>
  <c r="KD36" i="1615" l="1"/>
  <c r="KD40" i="1615"/>
  <c r="KD16" i="1615"/>
  <c r="KD22" i="1615"/>
  <c r="KD11" i="1615"/>
  <c r="KD31" i="1615"/>
  <c r="KD15" i="1615"/>
  <c r="KE14" i="2478" a="1"/>
  <c r="KE14" i="2478" s="1"/>
  <c r="KE35" i="2478" a="1"/>
  <c r="KE35" i="2478" s="1"/>
  <c r="KE23" i="2478" a="1"/>
  <c r="KE23" i="2478" s="1"/>
  <c r="KF34" i="2478" a="1"/>
  <c r="KF34" i="2478" s="1"/>
  <c r="KE16" i="2478" a="1"/>
  <c r="KE16" i="2478" s="1"/>
  <c r="KE18" i="2478" a="1"/>
  <c r="KE18" i="2478" s="1"/>
  <c r="KE10" i="2478" a="1"/>
  <c r="KE10" i="2478" s="1"/>
  <c r="KE31" i="2478" a="1"/>
  <c r="KE31" i="2478" s="1"/>
  <c r="KF19" i="2478" a="1"/>
  <c r="KF19" i="2478" s="1"/>
  <c r="KF30" i="2478" a="1"/>
  <c r="KF30" i="2478" s="1"/>
  <c r="KE36" i="2478" a="1"/>
  <c r="KE36" i="2478" s="1"/>
  <c r="KE24" i="2478" a="1"/>
  <c r="KE24" i="2478" s="1"/>
  <c r="KE12" i="2478" a="1"/>
  <c r="KE12" i="2478" s="1"/>
  <c r="KE27" i="2478" a="1"/>
  <c r="KE27" i="2478" s="1"/>
  <c r="KF15" i="2478" a="1"/>
  <c r="KF15" i="2478" s="1"/>
  <c r="KF26" i="2478" a="1"/>
  <c r="KF26" i="2478" s="1"/>
  <c r="KE32" i="2478" a="1"/>
  <c r="KE32" i="2478" s="1"/>
  <c r="KF20" i="2478" a="1"/>
  <c r="KF20" i="2478" s="1"/>
  <c r="KE7" i="2478" a="1"/>
  <c r="KE7" i="2478" s="1"/>
  <c r="KE22" i="2478" a="1"/>
  <c r="KE22" i="2478" s="1"/>
  <c r="KF23" i="2478" a="1"/>
  <c r="KF23" i="2478" s="1"/>
  <c r="KF11" i="2478" a="1"/>
  <c r="KF11" i="2478" s="1"/>
  <c r="KE28" i="2478" a="1"/>
  <c r="KE28" i="2478" s="1"/>
  <c r="KF16" i="2478" a="1"/>
  <c r="KF16" i="2478" s="1"/>
  <c r="KE13" i="2478" a="1"/>
  <c r="KE13" i="2478" s="1"/>
  <c r="KF18" i="2478" a="1"/>
  <c r="KF18" i="2478" s="1"/>
  <c r="KE37" i="2478" a="1"/>
  <c r="KE37" i="2478" s="1"/>
  <c r="KE19" i="2478" a="1"/>
  <c r="KE19" i="2478" s="1"/>
  <c r="KF36" i="2478" a="1"/>
  <c r="KF36" i="2478" s="1"/>
  <c r="KF24" i="2478" a="1"/>
  <c r="KF24" i="2478" s="1"/>
  <c r="KF12" i="2478" a="1"/>
  <c r="KF12" i="2478" s="1"/>
  <c r="KF14" i="2478" a="1"/>
  <c r="KF14" i="2478" s="1"/>
  <c r="KE33" i="2478" a="1"/>
  <c r="KE33" i="2478" s="1"/>
  <c r="KE15" i="2478" a="1"/>
  <c r="KE15" i="2478" s="1"/>
  <c r="KF32" i="2478" a="1"/>
  <c r="KF32" i="2478" s="1"/>
  <c r="KF10" i="2478" a="1"/>
  <c r="KF10" i="2478" s="1"/>
  <c r="KE25" i="2478" a="1"/>
  <c r="KE25" i="2478" s="1"/>
  <c r="KE29" i="2478" a="1"/>
  <c r="KE29" i="2478" s="1"/>
  <c r="KE11" i="2478" a="1"/>
  <c r="KE11" i="2478" s="1"/>
  <c r="KF28" i="2478" a="1"/>
  <c r="KF28" i="2478" s="1"/>
  <c r="KE9" i="2478" a="1"/>
  <c r="KE9" i="2478" s="1"/>
  <c r="KF37" i="2478" a="1"/>
  <c r="KF37" i="2478" s="1"/>
  <c r="KF21" i="2478" a="1"/>
  <c r="KF21" i="2478" s="1"/>
  <c r="KF25" i="2478" a="1"/>
  <c r="KF25" i="2478" s="1"/>
  <c r="KF35" i="2478" a="1"/>
  <c r="KF35" i="2478" s="1"/>
  <c r="KE26" i="2478" a="1"/>
  <c r="KE26" i="2478" s="1"/>
  <c r="KF22" i="2478" a="1"/>
  <c r="KF22" i="2478" s="1"/>
  <c r="KF33" i="2478" a="1"/>
  <c r="KF33" i="2478" s="1"/>
  <c r="KF17" i="2478" a="1"/>
  <c r="KF17" i="2478" s="1"/>
  <c r="KE34" i="2478" a="1"/>
  <c r="KE34" i="2478" s="1"/>
  <c r="KE21" i="2478" a="1"/>
  <c r="KE21" i="2478" s="1"/>
  <c r="KF31" i="2478" a="1"/>
  <c r="KF31" i="2478" s="1"/>
  <c r="KF9" i="2478" a="1"/>
  <c r="KF9" i="2478" s="1"/>
  <c r="KF29" i="2478" a="1"/>
  <c r="KF29" i="2478" s="1"/>
  <c r="KF13" i="2478" a="1"/>
  <c r="KF13" i="2478" s="1"/>
  <c r="KE30" i="2478" a="1"/>
  <c r="KE30" i="2478" s="1"/>
  <c r="KE17" i="2478" a="1"/>
  <c r="KE17" i="2478" s="1"/>
  <c r="KF27" i="2478" a="1"/>
  <c r="KF27" i="2478" s="1"/>
  <c r="KE20" i="2478" a="1"/>
  <c r="KE20" i="2478" s="1"/>
  <c r="KD28" i="1615"/>
  <c r="KD43" i="1615"/>
  <c r="KD33" i="1615"/>
  <c r="KD32" i="1615"/>
  <c r="KD38" i="1615"/>
  <c r="KD12" i="1615"/>
  <c r="KD29" i="1615"/>
  <c r="KD20" i="1615"/>
  <c r="KD17" i="1615"/>
  <c r="KD42" i="1615"/>
  <c r="KD10" i="1615"/>
  <c r="KD37" i="1615"/>
  <c r="KD23" i="1615"/>
  <c r="KD45" i="1615"/>
  <c r="KD24" i="1615"/>
  <c r="KD34" i="1615"/>
  <c r="KD26" i="1615"/>
  <c r="KD14" i="1615"/>
  <c r="KD27" i="1615"/>
  <c r="KD19" i="1615"/>
  <c r="KD18" i="1615"/>
  <c r="KD9" i="1615"/>
  <c r="A74" i="1972"/>
  <c r="A89" i="1972" s="1"/>
  <c r="EU37" i="1972"/>
  <c r="EU36" i="1972"/>
  <c r="EU35" i="1972"/>
  <c r="EU34" i="1972"/>
  <c r="EU33" i="1972"/>
  <c r="EU32" i="1972"/>
  <c r="EU31" i="1972"/>
  <c r="A18" i="1971"/>
  <c r="A29" i="1971" s="1"/>
  <c r="EU39" i="1969"/>
  <c r="EU37" i="1969"/>
  <c r="EU36" i="1969"/>
  <c r="EU35" i="1969"/>
  <c r="EU34" i="1969"/>
  <c r="EU32" i="1969"/>
  <c r="EU31" i="1969"/>
  <c r="EU30" i="1969"/>
  <c r="EU29" i="1969"/>
  <c r="EU28" i="1969"/>
  <c r="EU27" i="1969"/>
  <c r="EU26" i="1969"/>
  <c r="EU22" i="1969"/>
  <c r="EU21" i="1969"/>
  <c r="EU20" i="1969"/>
  <c r="AK19" i="1969"/>
  <c r="AJ19" i="1969"/>
  <c r="AI19" i="1969"/>
  <c r="AH19" i="1969"/>
  <c r="AG19" i="1969"/>
  <c r="AF19" i="1969"/>
  <c r="AE19" i="1969"/>
  <c r="AD19" i="1969"/>
  <c r="AC19" i="1969"/>
  <c r="AB19" i="1969"/>
  <c r="AA19" i="1969"/>
  <c r="Z19" i="1969"/>
  <c r="Y19" i="1969"/>
  <c r="X19" i="1969"/>
  <c r="W19" i="1969"/>
  <c r="V19" i="1969"/>
  <c r="U19" i="1969"/>
  <c r="T19" i="1969"/>
  <c r="S19" i="1969"/>
  <c r="R19" i="1969"/>
  <c r="Q19" i="1969"/>
  <c r="P19" i="1969"/>
  <c r="O19" i="1969"/>
  <c r="N19" i="1969"/>
  <c r="M19" i="1969"/>
  <c r="L19" i="1969"/>
  <c r="K19" i="1969"/>
  <c r="J19" i="1969"/>
  <c r="I19" i="1969"/>
  <c r="H19" i="1969"/>
  <c r="G19" i="1969"/>
  <c r="F19" i="1969"/>
  <c r="E19" i="1969"/>
  <c r="D19" i="1969"/>
  <c r="C19" i="1969"/>
  <c r="B19" i="1969"/>
  <c r="EU17" i="1969"/>
  <c r="EU16" i="1969"/>
  <c r="EU15" i="1969"/>
  <c r="FA14" i="1969"/>
  <c r="EU14" i="1969"/>
  <c r="FA13" i="1969"/>
  <c r="EU13" i="1969"/>
  <c r="EU12" i="1969"/>
  <c r="EU11" i="1969"/>
  <c r="EU10" i="1969"/>
  <c r="EU9" i="1969"/>
  <c r="JM28" i="1976"/>
  <c r="JL28" i="1976"/>
  <c r="JK28" i="1976"/>
  <c r="JJ28" i="1976"/>
  <c r="JI28" i="1976"/>
  <c r="JH28" i="1976"/>
  <c r="JG28" i="1976"/>
  <c r="JF28" i="1976"/>
  <c r="JE28" i="1976"/>
  <c r="JD28" i="1976"/>
  <c r="JC28" i="1976"/>
  <c r="JB28" i="1976"/>
  <c r="IZ28" i="1976"/>
  <c r="IY28" i="1976"/>
  <c r="IX28" i="1976"/>
  <c r="IW28" i="1976"/>
  <c r="IV28" i="1976"/>
  <c r="GD30" i="1709"/>
  <c r="GC30" i="1709"/>
  <c r="GB30" i="1709"/>
  <c r="GD29" i="1709"/>
  <c r="GC29" i="1709"/>
  <c r="GB29" i="1709"/>
  <c r="GD28" i="1709"/>
  <c r="GC28" i="1709"/>
  <c r="GB28" i="1709"/>
  <c r="GD27" i="1709"/>
  <c r="GC27" i="1709"/>
  <c r="GB27" i="1709"/>
  <c r="GD26" i="1709"/>
  <c r="GC26" i="1709"/>
  <c r="GB26" i="1709"/>
  <c r="GD25" i="1709"/>
  <c r="GC25" i="1709"/>
  <c r="GB25" i="1709"/>
  <c r="GD24" i="1709"/>
  <c r="GC24" i="1709"/>
  <c r="GB24" i="1709"/>
  <c r="GD23" i="1709"/>
  <c r="GC23" i="1709"/>
  <c r="GB23" i="1709"/>
  <c r="GD22" i="1709"/>
  <c r="GC22" i="1709"/>
  <c r="GB22" i="1709"/>
  <c r="AM13" i="1975"/>
  <c r="AL13" i="1975"/>
  <c r="AK13" i="1975"/>
  <c r="AJ13" i="1975"/>
  <c r="AI13" i="1975"/>
  <c r="AH13" i="1975"/>
  <c r="AG13" i="1975"/>
  <c r="AF13" i="1975"/>
  <c r="AE13" i="1975"/>
  <c r="AD13" i="1975"/>
  <c r="AC13" i="1975"/>
  <c r="AB13" i="1975"/>
  <c r="Z13" i="1975"/>
  <c r="Y13" i="1975"/>
  <c r="X13" i="1975"/>
  <c r="W13" i="1975"/>
  <c r="V13" i="1975"/>
  <c r="U13" i="1975"/>
  <c r="T13" i="1975"/>
  <c r="S13" i="1975"/>
  <c r="R13" i="1975"/>
  <c r="Q13" i="1975"/>
  <c r="P13" i="1975"/>
  <c r="O13" i="1975"/>
  <c r="M13" i="1975"/>
  <c r="L13" i="1975"/>
  <c r="K13" i="1975"/>
  <c r="J13" i="1975"/>
  <c r="I13" i="1975"/>
  <c r="H13" i="1975"/>
  <c r="G13" i="1975"/>
  <c r="F13" i="1975"/>
  <c r="E13" i="1975"/>
  <c r="D13" i="1975"/>
  <c r="C13" i="1975"/>
  <c r="B13" i="1975"/>
  <c r="AM12" i="1975"/>
  <c r="AL12" i="1975"/>
  <c r="AK12" i="1975"/>
  <c r="AJ12" i="1975"/>
  <c r="AI12" i="1975"/>
  <c r="AH12" i="1975"/>
  <c r="AG12" i="1975"/>
  <c r="AF12" i="1975"/>
  <c r="AE12" i="1975"/>
  <c r="AD12" i="1975"/>
  <c r="AC12" i="1975"/>
  <c r="AB12" i="1975"/>
  <c r="Z12" i="1975"/>
  <c r="Y12" i="1975"/>
  <c r="X12" i="1975"/>
  <c r="W12" i="1975"/>
  <c r="V12" i="1975"/>
  <c r="U12" i="1975"/>
  <c r="T12" i="1975"/>
  <c r="S12" i="1975"/>
  <c r="R12" i="1975"/>
  <c r="Q12" i="1975"/>
  <c r="P12" i="1975"/>
  <c r="O12" i="1975"/>
  <c r="M12" i="1975"/>
  <c r="L12" i="1975"/>
  <c r="K12" i="1975"/>
  <c r="J12" i="1975"/>
  <c r="I12" i="1975"/>
  <c r="H12" i="1975"/>
  <c r="G12" i="1975"/>
  <c r="F12" i="1975"/>
  <c r="E12" i="1975"/>
  <c r="D12" i="1975"/>
  <c r="C12" i="1975"/>
  <c r="B12" i="1975"/>
  <c r="BZ11" i="1975"/>
  <c r="BY11" i="1975"/>
  <c r="BX11" i="1975"/>
  <c r="BW11" i="1975"/>
  <c r="BV11" i="1975"/>
  <c r="BU11" i="1975"/>
  <c r="BT11" i="1975"/>
  <c r="BS11" i="1975"/>
  <c r="BR11" i="1975"/>
  <c r="BQ11" i="1975"/>
  <c r="BP11" i="1975"/>
  <c r="BZ7" i="1975"/>
  <c r="BY7" i="1975"/>
  <c r="BX7" i="1975"/>
  <c r="BW7" i="1975"/>
  <c r="BV7" i="1975"/>
  <c r="BU7" i="1975"/>
  <c r="BT7" i="1975"/>
  <c r="BS7" i="1975"/>
  <c r="BR7" i="1975"/>
  <c r="BQ7" i="1975"/>
  <c r="BP7" i="1975"/>
  <c r="FW12" i="1619"/>
  <c r="FV12" i="1619"/>
  <c r="FU12" i="1619"/>
  <c r="FT12" i="1619"/>
  <c r="FS12" i="1619"/>
  <c r="FR12" i="1619"/>
  <c r="FQ12" i="1619"/>
  <c r="FP12" i="1619"/>
  <c r="KD20" i="2478" l="1"/>
  <c r="KD26" i="2478"/>
  <c r="KD15" i="2478"/>
  <c r="FG29" i="2522"/>
  <c r="ET29" i="2522"/>
  <c r="FJ29" i="2522"/>
  <c r="EW29" i="2522"/>
  <c r="FK29" i="2522"/>
  <c r="EX29" i="2522"/>
  <c r="FL29" i="2522"/>
  <c r="EY29" i="2522"/>
  <c r="FI29" i="2522"/>
  <c r="EV29" i="2522"/>
  <c r="EZ29" i="2522"/>
  <c r="FM29" i="2522"/>
  <c r="FC29" i="2522"/>
  <c r="EP29" i="2522"/>
  <c r="FD29" i="2522"/>
  <c r="EQ29" i="2522"/>
  <c r="KD29" i="2478"/>
  <c r="FH29" i="2522"/>
  <c r="EU29" i="2522"/>
  <c r="FE29" i="2522"/>
  <c r="ER29" i="2522"/>
  <c r="FT43" i="1610" a="1"/>
  <c r="FT43" i="1610" s="1"/>
  <c r="T43" i="1610" a="1"/>
  <c r="T43" i="1610" s="1"/>
  <c r="BS43" i="1610" a="1"/>
  <c r="BS43" i="1610" s="1"/>
  <c r="P43" i="1610" a="1"/>
  <c r="P43" i="1610" s="1"/>
  <c r="DE43" i="1610" a="1"/>
  <c r="DE43" i="1610" s="1"/>
  <c r="EH43" i="1610" a="1"/>
  <c r="EH43" i="1610" s="1"/>
  <c r="BQ43" i="1610" a="1"/>
  <c r="BQ43" i="1610" s="1"/>
  <c r="O44" i="1610" a="1"/>
  <c r="O44" i="1610" s="1"/>
  <c r="DP43" i="1610" a="1"/>
  <c r="DP43" i="1610" s="1"/>
  <c r="GB43" i="1610" a="1"/>
  <c r="GB43" i="1610" s="1"/>
  <c r="DM43" i="1610" a="1"/>
  <c r="DM43" i="1610" s="1"/>
  <c r="G44" i="1610" a="1"/>
  <c r="G44" i="1610" s="1"/>
  <c r="BL43" i="1610" a="1"/>
  <c r="BL43" i="1610" s="1"/>
  <c r="EX43" i="1610" a="1"/>
  <c r="EX43" i="1610" s="1"/>
  <c r="FJ43" i="1610" a="1"/>
  <c r="FJ43" i="1610" s="1"/>
  <c r="JH43" i="1610" a="1"/>
  <c r="JH43" i="1610" s="1"/>
  <c r="JH11" i="1610" s="1"/>
  <c r="AI43" i="1610" a="1"/>
  <c r="AI43" i="1610" s="1"/>
  <c r="BF45" i="1610" a="1"/>
  <c r="BF45" i="1610" s="1"/>
  <c r="AG44" i="1610" a="1"/>
  <c r="AG44" i="1610" s="1"/>
  <c r="H44" i="1610" a="1"/>
  <c r="H44" i="1610" s="1"/>
  <c r="FP44" i="1610" a="1"/>
  <c r="FP44" i="1610" s="1"/>
  <c r="Q46" i="1610" a="1"/>
  <c r="Q46" i="1610" s="1"/>
  <c r="DK44" i="1610" a="1"/>
  <c r="DK44" i="1610" s="1"/>
  <c r="BL45" i="1610" a="1"/>
  <c r="BL45" i="1610" s="1"/>
  <c r="IX43" i="1610" a="1"/>
  <c r="IX43" i="1610" s="1"/>
  <c r="FD44" i="1610" a="1"/>
  <c r="FD44" i="1610" s="1"/>
  <c r="HQ45" i="1610" a="1"/>
  <c r="HQ45" i="1610" s="1"/>
  <c r="AK44" i="1610" a="1"/>
  <c r="AK44" i="1610" s="1"/>
  <c r="HJ44" i="1610" a="1"/>
  <c r="HJ44" i="1610" s="1"/>
  <c r="HM43" i="1610" a="1"/>
  <c r="HM43" i="1610" s="1"/>
  <c r="DB44" i="1610" a="1"/>
  <c r="DB44" i="1610" s="1"/>
  <c r="AL45" i="1610" a="1"/>
  <c r="AL45" i="1610" s="1"/>
  <c r="AY44" i="1610" a="1"/>
  <c r="AY44" i="1610" s="1"/>
  <c r="HM44" i="1610" a="1"/>
  <c r="HM44" i="1610" s="1"/>
  <c r="AZ44" i="1610" a="1"/>
  <c r="AZ44" i="1610" s="1"/>
  <c r="HP44" i="1610" a="1"/>
  <c r="HP44" i="1610" s="1"/>
  <c r="HQ43" i="1610" a="1"/>
  <c r="HQ43" i="1610" s="1"/>
  <c r="DE44" i="1610" a="1"/>
  <c r="DE44" i="1610" s="1"/>
  <c r="AS45" i="1610" a="1"/>
  <c r="AS45" i="1610" s="1"/>
  <c r="D44" i="1610" a="1"/>
  <c r="D44" i="1610" s="1"/>
  <c r="FJ44" i="1610" a="1"/>
  <c r="FJ44" i="1610" s="1"/>
  <c r="JD45" i="1610" a="1"/>
  <c r="JD45" i="1610" s="1"/>
  <c r="IS43" i="1610" a="1"/>
  <c r="IS43" i="1610" s="1"/>
  <c r="EI44" i="1610" a="1"/>
  <c r="EI44" i="1610" s="1"/>
  <c r="ED45" i="1610" a="1"/>
  <c r="ED45" i="1610" s="1"/>
  <c r="S44" i="1610" a="1"/>
  <c r="S44" i="1610" s="1"/>
  <c r="GB44" i="1610" a="1"/>
  <c r="GB44" i="1610" s="1"/>
  <c r="BT48" i="1610" a="1"/>
  <c r="BT48" i="1610" s="1"/>
  <c r="ET47" i="1610" a="1"/>
  <c r="ET47" i="1610" s="1"/>
  <c r="JH46" i="1610" a="1"/>
  <c r="JH46" i="1610" s="1"/>
  <c r="DC46" i="1610" a="1"/>
  <c r="DC46" i="1610" s="1"/>
  <c r="HP45" i="1610" a="1"/>
  <c r="HP45" i="1610" s="1"/>
  <c r="BP45" i="1610" a="1"/>
  <c r="BP45" i="1610" s="1"/>
  <c r="U48" i="1610" a="1"/>
  <c r="U48" i="1610" s="1"/>
  <c r="DS47" i="1610" a="1"/>
  <c r="DS47" i="1610" s="1"/>
  <c r="HW46" i="1610" a="1"/>
  <c r="HW46" i="1610" s="1"/>
  <c r="CB46" i="1610" a="1"/>
  <c r="CB46" i="1610" s="1"/>
  <c r="GO45" i="1610" a="1"/>
  <c r="GO45" i="1610" s="1"/>
  <c r="AO45" i="1610" a="1"/>
  <c r="AO45" i="1610" s="1"/>
  <c r="AQ48" i="1610" a="1"/>
  <c r="AQ48" i="1610" s="1"/>
  <c r="EE47" i="1610" a="1"/>
  <c r="EE47" i="1610" s="1"/>
  <c r="IT46" i="1610" a="1"/>
  <c r="IT46" i="1610" s="1"/>
  <c r="CZ46" i="1610" a="1"/>
  <c r="CZ46" i="1610" s="1"/>
  <c r="HM45" i="1610" a="1"/>
  <c r="HM45" i="1610" s="1"/>
  <c r="BM45" i="1610" a="1"/>
  <c r="BM45" i="1610" s="1"/>
  <c r="B48" i="1610" a="1"/>
  <c r="B48" i="1610" s="1"/>
  <c r="DD47" i="1610" a="1"/>
  <c r="DD47" i="1610" s="1"/>
  <c r="HU46" i="1610" a="1"/>
  <c r="HU46" i="1610" s="1"/>
  <c r="AY46" i="1610" a="1"/>
  <c r="AY46" i="1610" s="1"/>
  <c r="DB48" i="1610" a="1"/>
  <c r="DB48" i="1610" s="1"/>
  <c r="FC47" i="1610" a="1"/>
  <c r="FC47" i="1610" s="1"/>
  <c r="D47" i="1610" a="1"/>
  <c r="D47" i="1610" s="1"/>
  <c r="DK46" i="1610" a="1"/>
  <c r="DK46" i="1610" s="1"/>
  <c r="HX45" i="1610" a="1"/>
  <c r="HX45" i="1610" s="1"/>
  <c r="BX45" i="1610" a="1"/>
  <c r="BX45" i="1610" s="1"/>
  <c r="GK44" i="1610" a="1"/>
  <c r="GK44" i="1610" s="1"/>
  <c r="CY48" i="1610" a="1"/>
  <c r="CY48" i="1610" s="1"/>
  <c r="FB47" i="1610" a="1"/>
  <c r="FB47" i="1610" s="1"/>
  <c r="C47" i="1610" a="1"/>
  <c r="C47" i="1610" s="1"/>
  <c r="DJ46" i="1610" a="1"/>
  <c r="DJ46" i="1610" s="1"/>
  <c r="HW45" i="1610" a="1"/>
  <c r="HW45" i="1610" s="1"/>
  <c r="BW45" i="1610" a="1"/>
  <c r="BW45" i="1610" s="1"/>
  <c r="JK47" i="1610" a="1"/>
  <c r="JK47" i="1610" s="1"/>
  <c r="CZ47" i="1610" a="1"/>
  <c r="CZ47" i="1610" s="1"/>
  <c r="HR46" i="1610" a="1"/>
  <c r="HR46" i="1610" s="1"/>
  <c r="BV46" i="1610" a="1"/>
  <c r="BV46" i="1610" s="1"/>
  <c r="GI45" i="1610" a="1"/>
  <c r="GI45" i="1610" s="1"/>
  <c r="AI45" i="1610" a="1"/>
  <c r="AI45" i="1610" s="1"/>
  <c r="IE47" i="1610" a="1"/>
  <c r="IE47" i="1610" s="1"/>
  <c r="BM47" i="1610" a="1"/>
  <c r="BM47" i="1610" s="1"/>
  <c r="GE46" i="1610" a="1"/>
  <c r="GE46" i="1610" s="1"/>
  <c r="AH46" i="1610" a="1"/>
  <c r="AH46" i="1610" s="1"/>
  <c r="EU45" i="1610" a="1"/>
  <c r="EU45" i="1610" s="1"/>
  <c r="JH44" i="1610" a="1"/>
  <c r="JH44" i="1610" s="1"/>
  <c r="HP47" i="1610" a="1"/>
  <c r="HP47" i="1610" s="1"/>
  <c r="BL47" i="1610" a="1"/>
  <c r="BL47" i="1610" s="1"/>
  <c r="GD46" i="1610" a="1"/>
  <c r="GD46" i="1610" s="1"/>
  <c r="AC48" i="1610" a="1"/>
  <c r="AC48" i="1610" s="1"/>
  <c r="DW47" i="1610" a="1"/>
  <c r="DW47" i="1610" s="1"/>
  <c r="IM46" i="1610" a="1"/>
  <c r="IM46" i="1610" s="1"/>
  <c r="CS46" i="1610" a="1"/>
  <c r="CS46" i="1610" s="1"/>
  <c r="HF45" i="1610" a="1"/>
  <c r="HF45" i="1610" s="1"/>
  <c r="BB48" i="1610" a="1"/>
  <c r="BB48" i="1610" s="1"/>
  <c r="EI47" i="1610" a="1"/>
  <c r="EI47" i="1610" s="1"/>
  <c r="IX46" i="1610" a="1"/>
  <c r="IX46" i="1610" s="1"/>
  <c r="DE46" i="1610" a="1"/>
  <c r="DE46" i="1610" s="1"/>
  <c r="HR45" i="1610" a="1"/>
  <c r="HR45" i="1610" s="1"/>
  <c r="BR45" i="1610" a="1"/>
  <c r="BR45" i="1610" s="1"/>
  <c r="HL47" i="1610" a="1"/>
  <c r="HL47" i="1610" s="1"/>
  <c r="BI47" i="1610" a="1"/>
  <c r="BI47" i="1610" s="1"/>
  <c r="CI49" i="1610" a="1"/>
  <c r="CI49" i="1610" s="1"/>
  <c r="DK48" i="1610" a="1"/>
  <c r="DK48" i="1610" s="1"/>
  <c r="B49" i="1610" a="1"/>
  <c r="B49" i="1610" s="1"/>
  <c r="EO49" i="1610" a="1"/>
  <c r="EO49" i="1610" s="1"/>
  <c r="CZ48" i="1610" a="1"/>
  <c r="CZ48" i="1610" s="1"/>
  <c r="IR48" i="1610" a="1"/>
  <c r="IR48" i="1610" s="1"/>
  <c r="EQ49" i="1610" a="1"/>
  <c r="EQ49" i="1610" s="1"/>
  <c r="FJ48" i="1610" a="1"/>
  <c r="FJ48" i="1610" s="1"/>
  <c r="AZ49" i="1610" a="1"/>
  <c r="AZ49" i="1610" s="1"/>
  <c r="GM49" i="1610" a="1"/>
  <c r="GM49" i="1610" s="1"/>
  <c r="IJ47" i="1610" a="1"/>
  <c r="IJ47" i="1610" s="1"/>
  <c r="EC48" i="1610" a="1"/>
  <c r="EC48" i="1610" s="1"/>
  <c r="S49" i="1610" a="1"/>
  <c r="S49" i="1610" s="1"/>
  <c r="GO49" i="1610" a="1"/>
  <c r="GO49" i="1610" s="1"/>
  <c r="BS48" i="1610" a="1"/>
  <c r="BS48" i="1610" s="1"/>
  <c r="HV48" i="1610" a="1"/>
  <c r="HV48" i="1610" s="1"/>
  <c r="CX49" i="1610" a="1"/>
  <c r="CX49" i="1610" s="1"/>
  <c r="JL49" i="1610" a="1"/>
  <c r="JL49" i="1610" s="1"/>
  <c r="HW48" i="1610" a="1"/>
  <c r="HW48" i="1610" s="1"/>
  <c r="DK49" i="1610" a="1"/>
  <c r="DK49" i="1610" s="1"/>
  <c r="JM49" i="1610" a="1"/>
  <c r="JM49" i="1610" s="1"/>
  <c r="HL48" i="1610" a="1"/>
  <c r="HL48" i="1610" s="1"/>
  <c r="CY49" i="1610" a="1"/>
  <c r="CY49" i="1610" s="1"/>
  <c r="IO49" i="1610" a="1"/>
  <c r="IO49" i="1610" s="1"/>
  <c r="EG48" i="1610" a="1"/>
  <c r="EG48" i="1610" s="1"/>
  <c r="V49" i="1610" a="1"/>
  <c r="V49" i="1610" s="1"/>
  <c r="FI49" i="1610" a="1"/>
  <c r="FI49" i="1610" s="1"/>
  <c r="CI48" i="1610" a="1"/>
  <c r="CI48" i="1610" s="1"/>
  <c r="IL48" i="1610" a="1"/>
  <c r="IL48" i="1610" s="1"/>
  <c r="DY49" i="1610" a="1"/>
  <c r="DY49" i="1610" s="1"/>
  <c r="Y48" i="1610" a="1"/>
  <c r="Y48" i="1610" s="1"/>
  <c r="GQ48" i="1610" a="1"/>
  <c r="GQ48" i="1610" s="1"/>
  <c r="CF49" i="1610" a="1"/>
  <c r="CF49" i="1610" s="1"/>
  <c r="HS49" i="1610" a="1"/>
  <c r="HS49" i="1610" s="1"/>
  <c r="DW48" i="1610" a="1"/>
  <c r="DW48" i="1610" s="1"/>
  <c r="M49" i="1610" a="1"/>
  <c r="M49" i="1610" s="1"/>
  <c r="FL49" i="1610" a="1"/>
  <c r="FL49" i="1610" s="1"/>
  <c r="GV49" i="1610" a="1"/>
  <c r="GV49" i="1610" s="1"/>
  <c r="FG43" i="1610" a="1"/>
  <c r="FG43" i="1610" s="1"/>
  <c r="G43" i="1610" a="1"/>
  <c r="G43" i="1610" s="1"/>
  <c r="BF43" i="1610" a="1"/>
  <c r="BF43" i="1610" s="1"/>
  <c r="CO43" i="1610" a="1"/>
  <c r="CO43" i="1610" s="1"/>
  <c r="CR43" i="1610" a="1"/>
  <c r="CR43" i="1610" s="1"/>
  <c r="BD43" i="1610" a="1"/>
  <c r="BD43" i="1610" s="1"/>
  <c r="JC43" i="1610" a="1"/>
  <c r="JC43" i="1610" s="1"/>
  <c r="JC11" i="1610" s="1"/>
  <c r="DC43" i="1610" a="1"/>
  <c r="DC43" i="1610" s="1"/>
  <c r="FO43" i="1610" a="1"/>
  <c r="FO43" i="1610" s="1"/>
  <c r="CZ43" i="1610" a="1"/>
  <c r="CZ43" i="1610" s="1"/>
  <c r="GH43" i="1610" a="1"/>
  <c r="GH43" i="1610" s="1"/>
  <c r="AY43" i="1610" a="1"/>
  <c r="AY43" i="1610" s="1"/>
  <c r="EK43" i="1610" a="1"/>
  <c r="EK43" i="1610" s="1"/>
  <c r="W43" i="1610" a="1"/>
  <c r="W43" i="1610" s="1"/>
  <c r="EW43" i="1610" a="1"/>
  <c r="EW43" i="1610" s="1"/>
  <c r="FU43" i="1610" a="1"/>
  <c r="FU43" i="1610" s="1"/>
  <c r="V43" i="1610" a="1"/>
  <c r="V43" i="1610" s="1"/>
  <c r="Y45" i="1610" a="1"/>
  <c r="Y45" i="1610" s="1"/>
  <c r="HU43" i="1610" a="1"/>
  <c r="HU43" i="1610" s="1"/>
  <c r="U44" i="1610" a="1"/>
  <c r="U44" i="1610" s="1"/>
  <c r="GD44" i="1610" a="1"/>
  <c r="GD44" i="1610" s="1"/>
  <c r="CQ46" i="1610" a="1"/>
  <c r="CQ46" i="1610" s="1"/>
  <c r="DY44" i="1610" a="1"/>
  <c r="DY44" i="1610" s="1"/>
  <c r="CY45" i="1610" a="1"/>
  <c r="CY45" i="1610" s="1"/>
  <c r="JK43" i="1610" a="1"/>
  <c r="JK43" i="1610" s="1"/>
  <c r="JK11" i="1610" s="1"/>
  <c r="FR44" i="1610" a="1"/>
  <c r="FR44" i="1610" s="1"/>
  <c r="AD46" i="1610" a="1"/>
  <c r="AD46" i="1610" s="1"/>
  <c r="AW44" i="1610" a="1"/>
  <c r="AW44" i="1610" s="1"/>
  <c r="HZ44" i="1610" a="1"/>
  <c r="HZ44" i="1610" s="1"/>
  <c r="HZ43" i="1610" a="1"/>
  <c r="HZ43" i="1610" s="1"/>
  <c r="DP44" i="1610" a="1"/>
  <c r="DP44" i="1610" s="1"/>
  <c r="BT45" i="1610" a="1"/>
  <c r="BT45" i="1610" s="1"/>
  <c r="BL44" i="1610" a="1"/>
  <c r="BL44" i="1610" s="1"/>
  <c r="IE44" i="1610" a="1"/>
  <c r="IE44" i="1610" s="1"/>
  <c r="BM44" i="1610" a="1"/>
  <c r="BM44" i="1610" s="1"/>
  <c r="IF44" i="1610" a="1"/>
  <c r="IF44" i="1610" s="1"/>
  <c r="ID43" i="1610" a="1"/>
  <c r="ID43" i="1610" s="1"/>
  <c r="DS44" i="1610" a="1"/>
  <c r="DS44" i="1610" s="1"/>
  <c r="CF45" i="1610" a="1"/>
  <c r="CF45" i="1610" s="1"/>
  <c r="Q44" i="1610" a="1"/>
  <c r="Q44" i="1610" s="1"/>
  <c r="FX44" i="1610" a="1"/>
  <c r="FX44" i="1610" s="1"/>
  <c r="BQ46" i="1610" a="1"/>
  <c r="BQ46" i="1610" s="1"/>
  <c r="JF43" i="1610" a="1"/>
  <c r="JF43" i="1610" s="1"/>
  <c r="JF11" i="1610" s="1"/>
  <c r="EW44" i="1610" a="1"/>
  <c r="EW44" i="1610" s="1"/>
  <c r="GG45" i="1610" a="1"/>
  <c r="GG45" i="1610" s="1"/>
  <c r="AF44" i="1610" a="1"/>
  <c r="AF44" i="1610" s="1"/>
  <c r="GP44" i="1610" a="1"/>
  <c r="GP44" i="1610" s="1"/>
  <c r="AU48" i="1610" a="1"/>
  <c r="AU48" i="1610" s="1"/>
  <c r="EG47" i="1610" a="1"/>
  <c r="EG47" i="1610" s="1"/>
  <c r="IV46" i="1610" a="1"/>
  <c r="IV46" i="1610" s="1"/>
  <c r="CP46" i="1610" a="1"/>
  <c r="CP46" i="1610" s="1"/>
  <c r="HC45" i="1610" a="1"/>
  <c r="HC45" i="1610" s="1"/>
  <c r="BC45" i="1610" a="1"/>
  <c r="BC45" i="1610" s="1"/>
  <c r="D48" i="1610" a="1"/>
  <c r="D48" i="1610" s="1"/>
  <c r="DF47" i="1610" a="1"/>
  <c r="DF47" i="1610" s="1"/>
  <c r="HJ46" i="1610" a="1"/>
  <c r="HJ46" i="1610" s="1"/>
  <c r="BO46" i="1610" a="1"/>
  <c r="BO46" i="1610" s="1"/>
  <c r="GB45" i="1610" a="1"/>
  <c r="GB45" i="1610" s="1"/>
  <c r="AB45" i="1610" a="1"/>
  <c r="AB45" i="1610" s="1"/>
  <c r="R48" i="1610" a="1"/>
  <c r="R48" i="1610" s="1"/>
  <c r="DR47" i="1610" a="1"/>
  <c r="DR47" i="1610" s="1"/>
  <c r="II46" i="1610" a="1"/>
  <c r="II46" i="1610" s="1"/>
  <c r="CM46" i="1610" a="1"/>
  <c r="CM46" i="1610" s="1"/>
  <c r="GZ45" i="1610" a="1"/>
  <c r="GZ45" i="1610" s="1"/>
  <c r="AZ45" i="1610" a="1"/>
  <c r="AZ45" i="1610" s="1"/>
  <c r="IY47" i="1610" a="1"/>
  <c r="IY47" i="1610" s="1"/>
  <c r="CQ47" i="1610" a="1"/>
  <c r="CQ47" i="1610" s="1"/>
  <c r="HH46" i="1610" a="1"/>
  <c r="HH46" i="1610" s="1"/>
  <c r="AL46" i="1610" a="1"/>
  <c r="AL46" i="1610" s="1"/>
  <c r="BM48" i="1610" a="1"/>
  <c r="BM48" i="1610" s="1"/>
  <c r="EP47" i="1610" a="1"/>
  <c r="EP47" i="1610" s="1"/>
  <c r="JE46" i="1610" a="1"/>
  <c r="JE46" i="1610" s="1"/>
  <c r="CX46" i="1610" a="1"/>
  <c r="CX46" i="1610" s="1"/>
  <c r="HK45" i="1610" a="1"/>
  <c r="HK45" i="1610" s="1"/>
  <c r="BK45" i="1610" a="1"/>
  <c r="BK45" i="1610" s="1"/>
  <c r="FY44" i="1610" a="1"/>
  <c r="FY44" i="1610" s="1"/>
  <c r="BH48" i="1610" a="1"/>
  <c r="BH48" i="1610" s="1"/>
  <c r="EO47" i="1610" a="1"/>
  <c r="EO47" i="1610" s="1"/>
  <c r="JD46" i="1610" a="1"/>
  <c r="JD46" i="1610" s="1"/>
  <c r="CW46" i="1610" a="1"/>
  <c r="CW46" i="1610" s="1"/>
  <c r="HJ45" i="1610" a="1"/>
  <c r="HJ45" i="1610" s="1"/>
  <c r="BJ45" i="1610" a="1"/>
  <c r="BJ45" i="1610" s="1"/>
  <c r="IT47" i="1610" a="1"/>
  <c r="IT47" i="1610" s="1"/>
  <c r="CM47" i="1610" a="1"/>
  <c r="CM47" i="1610" s="1"/>
  <c r="HF46" i="1610" a="1"/>
  <c r="HF46" i="1610" s="1"/>
  <c r="BI46" i="1610" a="1"/>
  <c r="BI46" i="1610" s="1"/>
  <c r="FV45" i="1610" a="1"/>
  <c r="FV45" i="1610" s="1"/>
  <c r="V45" i="1610" a="1"/>
  <c r="V45" i="1610" s="1"/>
  <c r="HQ47" i="1610" a="1"/>
  <c r="HQ47" i="1610" s="1"/>
  <c r="AZ47" i="1610" a="1"/>
  <c r="AZ47" i="1610" s="1"/>
  <c r="FS46" i="1610" a="1"/>
  <c r="FS46" i="1610" s="1"/>
  <c r="U46" i="1610" a="1"/>
  <c r="U46" i="1610" s="1"/>
  <c r="EH45" i="1610" a="1"/>
  <c r="EH45" i="1610" s="1"/>
  <c r="IU44" i="1610" a="1"/>
  <c r="IU44" i="1610" s="1"/>
  <c r="HB47" i="1610" a="1"/>
  <c r="HB47" i="1610" s="1"/>
  <c r="AY47" i="1610" a="1"/>
  <c r="AY47" i="1610" s="1"/>
  <c r="FR46" i="1610" a="1"/>
  <c r="FR46" i="1610" s="1"/>
  <c r="H48" i="1610" a="1"/>
  <c r="H48" i="1610" s="1"/>
  <c r="DJ47" i="1610" a="1"/>
  <c r="DJ47" i="1610" s="1"/>
  <c r="IB46" i="1610" a="1"/>
  <c r="IB46" i="1610" s="1"/>
  <c r="CF46" i="1610" a="1"/>
  <c r="CF46" i="1610" s="1"/>
  <c r="GS45" i="1610" a="1"/>
  <c r="GS45" i="1610" s="1"/>
  <c r="AB48" i="1610" a="1"/>
  <c r="AB48" i="1610" s="1"/>
  <c r="DV47" i="1610" a="1"/>
  <c r="DV47" i="1610" s="1"/>
  <c r="IL46" i="1610" a="1"/>
  <c r="IL46" i="1610" s="1"/>
  <c r="CR46" i="1610" a="1"/>
  <c r="CR46" i="1610" s="1"/>
  <c r="HE45" i="1610" a="1"/>
  <c r="HE45" i="1610" s="1"/>
  <c r="BE45" i="1610" a="1"/>
  <c r="BE45" i="1610" s="1"/>
  <c r="GW47" i="1610" a="1"/>
  <c r="GW47" i="1610" s="1"/>
  <c r="AV47" i="1610" a="1"/>
  <c r="AV47" i="1610" s="1"/>
  <c r="IU49" i="1610" a="1"/>
  <c r="IU49" i="1610" s="1"/>
  <c r="DX48" i="1610" a="1"/>
  <c r="DX48" i="1610" s="1"/>
  <c r="O49" i="1610" a="1"/>
  <c r="O49" i="1610" s="1"/>
  <c r="EZ49" i="1610" a="1"/>
  <c r="EZ49" i="1610" s="1"/>
  <c r="DM48" i="1610" a="1"/>
  <c r="DM48" i="1610" s="1"/>
  <c r="JD48" i="1610" a="1"/>
  <c r="JD48" i="1610" s="1"/>
  <c r="FC49" i="1610" a="1"/>
  <c r="FC49" i="1610" s="1"/>
  <c r="FW48" i="1610" a="1"/>
  <c r="FW48" i="1610" s="1"/>
  <c r="BM49" i="1610" a="1"/>
  <c r="BM49" i="1610" s="1"/>
  <c r="GY49" i="1610" a="1"/>
  <c r="GY49" i="1610" s="1"/>
  <c r="IV47" i="1610" a="1"/>
  <c r="IV47" i="1610" s="1"/>
  <c r="EZ48" i="1610" a="1"/>
  <c r="EZ48" i="1610" s="1"/>
  <c r="AD49" i="1610" a="1"/>
  <c r="AD49" i="1610" s="1"/>
  <c r="HL49" i="1610" a="1"/>
  <c r="HL49" i="1610" s="1"/>
  <c r="CQ48" i="1610" a="1"/>
  <c r="CQ48" i="1610" s="1"/>
  <c r="IH48" i="1610" a="1"/>
  <c r="IH48" i="1610" s="1"/>
  <c r="DJ49" i="1610" a="1"/>
  <c r="DJ49" i="1610" s="1"/>
  <c r="CR48" i="1610" a="1"/>
  <c r="CR48" i="1610" s="1"/>
  <c r="II48" i="1610" a="1"/>
  <c r="II48" i="1610" s="1"/>
  <c r="EH49" i="1610" a="1"/>
  <c r="EH49" i="1610" s="1"/>
  <c r="BU48" i="1610" a="1"/>
  <c r="BU48" i="1610" s="1"/>
  <c r="HX48" i="1610" a="1"/>
  <c r="HX48" i="1610" s="1"/>
  <c r="DL49" i="1610" a="1"/>
  <c r="DL49" i="1610" s="1"/>
  <c r="JB49" i="1610" a="1"/>
  <c r="JB49" i="1610" s="1"/>
  <c r="ER48" i="1610" a="1"/>
  <c r="ER48" i="1610" s="1"/>
  <c r="AH49" i="1610" a="1"/>
  <c r="AH49" i="1610" s="1"/>
  <c r="GF49" i="1610" a="1"/>
  <c r="GF49" i="1610" s="1"/>
  <c r="CU48" i="1610" a="1"/>
  <c r="CU48" i="1610" s="1"/>
  <c r="IY48" i="1610" a="1"/>
  <c r="IY48" i="1610" s="1"/>
  <c r="EK49" i="1610" a="1"/>
  <c r="EK49" i="1610" s="1"/>
  <c r="AL48" i="1610" a="1"/>
  <c r="AL48" i="1610" s="1"/>
  <c r="HD48" i="1610" a="1"/>
  <c r="HD48" i="1610" s="1"/>
  <c r="CR49" i="1610" a="1"/>
  <c r="CR49" i="1610" s="1"/>
  <c r="IE49" i="1610" a="1"/>
  <c r="IE49" i="1610" s="1"/>
  <c r="EI48" i="1610" a="1"/>
  <c r="EI48" i="1610" s="1"/>
  <c r="Y49" i="1610" a="1"/>
  <c r="Y49" i="1610" s="1"/>
  <c r="FW49" i="1610" a="1"/>
  <c r="FW49" i="1610" s="1"/>
  <c r="GI49" i="1610" a="1"/>
  <c r="GI49" i="1610" s="1"/>
  <c r="DJ48" i="1610" a="1"/>
  <c r="DJ48" i="1610" s="1"/>
  <c r="ET43" i="1610" a="1"/>
  <c r="ET43" i="1610" s="1"/>
  <c r="AS43" i="1610" a="1"/>
  <c r="AS43" i="1610" s="1"/>
  <c r="AB43" i="1610" a="1"/>
  <c r="AB43" i="1610" s="1"/>
  <c r="CE43" i="1610" a="1"/>
  <c r="CE43" i="1610" s="1"/>
  <c r="GQ43" i="1610" a="1"/>
  <c r="GQ43" i="1610" s="1"/>
  <c r="AQ43" i="1610" a="1"/>
  <c r="AQ43" i="1610" s="1"/>
  <c r="IP43" i="1610" a="1"/>
  <c r="IP43" i="1610" s="1"/>
  <c r="AC43" i="1610" a="1"/>
  <c r="AC43" i="1610" s="1"/>
  <c r="FB43" i="1610" a="1"/>
  <c r="FB43" i="1610" s="1"/>
  <c r="CM43" i="1610" a="1"/>
  <c r="CM43" i="1610" s="1"/>
  <c r="AU43" i="1610" a="1"/>
  <c r="AU43" i="1610" s="1"/>
  <c r="AL43" i="1610" a="1"/>
  <c r="AL43" i="1610" s="1"/>
  <c r="DX43" i="1610" a="1"/>
  <c r="DX43" i="1610" s="1"/>
  <c r="CU44" i="1610" a="1"/>
  <c r="CU44" i="1610" s="1"/>
  <c r="EJ43" i="1610" a="1"/>
  <c r="EJ43" i="1610" s="1"/>
  <c r="AH43" i="1610" a="1"/>
  <c r="AH43" i="1610" s="1"/>
  <c r="I43" i="1610" a="1"/>
  <c r="I43" i="1610" s="1"/>
  <c r="JF44" i="1610" a="1"/>
  <c r="JF44" i="1610" s="1"/>
  <c r="CU43" i="1610" a="1"/>
  <c r="CU43" i="1610" s="1"/>
  <c r="AH44" i="1610" a="1"/>
  <c r="AH44" i="1610" s="1"/>
  <c r="GR44" i="1610" a="1"/>
  <c r="GR44" i="1610" s="1"/>
  <c r="IW43" i="1610" a="1"/>
  <c r="IW43" i="1610" s="1"/>
  <c r="EO44" i="1610" a="1"/>
  <c r="EO44" i="1610" s="1"/>
  <c r="ET45" i="1610" a="1"/>
  <c r="ET45" i="1610" s="1"/>
  <c r="J44" i="1610" a="1"/>
  <c r="J44" i="1610" s="1"/>
  <c r="GF44" i="1610" a="1"/>
  <c r="GF44" i="1610" s="1"/>
  <c r="DP46" i="1610" a="1"/>
  <c r="DP46" i="1610" s="1"/>
  <c r="BJ44" i="1610" a="1"/>
  <c r="BJ44" i="1610" s="1"/>
  <c r="IS44" i="1610" a="1"/>
  <c r="IS44" i="1610" s="1"/>
  <c r="IM43" i="1610" a="1"/>
  <c r="IM43" i="1610" s="1"/>
  <c r="ED44" i="1610" a="1"/>
  <c r="ED44" i="1610" s="1"/>
  <c r="DG45" i="1610" a="1"/>
  <c r="DG45" i="1610" s="1"/>
  <c r="BY44" i="1610" a="1"/>
  <c r="BY44" i="1610" s="1"/>
  <c r="IV44" i="1610" a="1"/>
  <c r="IV44" i="1610" s="1"/>
  <c r="CB44" i="1610" a="1"/>
  <c r="CB44" i="1610" s="1"/>
  <c r="IW44" i="1610" a="1"/>
  <c r="IW44" i="1610" s="1"/>
  <c r="IQ43" i="1610" a="1"/>
  <c r="IQ43" i="1610" s="1"/>
  <c r="EG44" i="1610" a="1"/>
  <c r="EG44" i="1610" s="1"/>
  <c r="DT45" i="1610" a="1"/>
  <c r="DT45" i="1610" s="1"/>
  <c r="AD44" i="1610" a="1"/>
  <c r="AD44" i="1610" s="1"/>
  <c r="GL44" i="1610" a="1"/>
  <c r="GL44" i="1610" s="1"/>
  <c r="GZ46" i="1610" a="1"/>
  <c r="GZ46" i="1610" s="1"/>
  <c r="E44" i="1610" a="1"/>
  <c r="E44" i="1610" s="1"/>
  <c r="FK44" i="1610" a="1"/>
  <c r="FK44" i="1610" s="1"/>
  <c r="JG45" i="1610" a="1"/>
  <c r="JG45" i="1610" s="1"/>
  <c r="AS44" i="1610" a="1"/>
  <c r="AS44" i="1610" s="1"/>
  <c r="HE44" i="1610" a="1"/>
  <c r="HE44" i="1610" s="1"/>
  <c r="V48" i="1610" a="1"/>
  <c r="V48" i="1610" s="1"/>
  <c r="DT47" i="1610" a="1"/>
  <c r="DT47" i="1610" s="1"/>
  <c r="HX46" i="1610" a="1"/>
  <c r="HX46" i="1610" s="1"/>
  <c r="CC46" i="1610" a="1"/>
  <c r="CC46" i="1610" s="1"/>
  <c r="GP45" i="1610" a="1"/>
  <c r="GP45" i="1610" s="1"/>
  <c r="AP45" i="1610" a="1"/>
  <c r="AP45" i="1610" s="1"/>
  <c r="JB47" i="1610" a="1"/>
  <c r="JB47" i="1610" s="1"/>
  <c r="CS47" i="1610" a="1"/>
  <c r="CS47" i="1610" s="1"/>
  <c r="GX46" i="1610" a="1"/>
  <c r="GX46" i="1610" s="1"/>
  <c r="BB46" i="1610" a="1"/>
  <c r="BB46" i="1610" s="1"/>
  <c r="FO45" i="1610" a="1"/>
  <c r="FO45" i="1610" s="1"/>
  <c r="O45" i="1610" a="1"/>
  <c r="O45" i="1610" s="1"/>
  <c r="C48" i="1610" a="1"/>
  <c r="C48" i="1610" s="1"/>
  <c r="DE47" i="1610" a="1"/>
  <c r="DE47" i="1610" s="1"/>
  <c r="HV46" i="1610" a="1"/>
  <c r="HV46" i="1610" s="1"/>
  <c r="BZ46" i="1610" a="1"/>
  <c r="BZ46" i="1610" s="1"/>
  <c r="GM45" i="1610" a="1"/>
  <c r="GM45" i="1610" s="1"/>
  <c r="AM45" i="1610" a="1"/>
  <c r="AM45" i="1610" s="1"/>
  <c r="II47" i="1610" a="1"/>
  <c r="II47" i="1610" s="1"/>
  <c r="CD47" i="1610" a="1"/>
  <c r="CD47" i="1610" s="1"/>
  <c r="GV46" i="1610" a="1"/>
  <c r="GV46" i="1610" s="1"/>
  <c r="Y46" i="1610" a="1"/>
  <c r="Y46" i="1610" s="1"/>
  <c r="AO48" i="1610" a="1"/>
  <c r="AO48" i="1610" s="1"/>
  <c r="EC47" i="1610" a="1"/>
  <c r="EC47" i="1610" s="1"/>
  <c r="IR46" i="1610" a="1"/>
  <c r="IR46" i="1610" s="1"/>
  <c r="CK46" i="1610" a="1"/>
  <c r="CK46" i="1610" s="1"/>
  <c r="GX45" i="1610" a="1"/>
  <c r="GX45" i="1610" s="1"/>
  <c r="AX45" i="1610" a="1"/>
  <c r="AX45" i="1610" s="1"/>
  <c r="FL44" i="1610" a="1"/>
  <c r="FL44" i="1610" s="1"/>
  <c r="AI48" i="1610" a="1"/>
  <c r="AI48" i="1610" s="1"/>
  <c r="EB47" i="1610" a="1"/>
  <c r="EB47" i="1610" s="1"/>
  <c r="IF46" i="1610" a="1"/>
  <c r="IF46" i="1610" s="1"/>
  <c r="CJ46" i="1610" a="1"/>
  <c r="CJ46" i="1610" s="1"/>
  <c r="GW45" i="1610" a="1"/>
  <c r="GW45" i="1610" s="1"/>
  <c r="AW45" i="1610" a="1"/>
  <c r="AW45" i="1610" s="1"/>
  <c r="IF47" i="1610" a="1"/>
  <c r="IF47" i="1610" s="1"/>
  <c r="BZ47" i="1610" a="1"/>
  <c r="BZ47" i="1610" s="1"/>
  <c r="GS46" i="1610" a="1"/>
  <c r="GS46" i="1610" s="1"/>
  <c r="AV46" i="1610" a="1"/>
  <c r="AV46" i="1610" s="1"/>
  <c r="FI45" i="1610" a="1"/>
  <c r="FI45" i="1610" s="1"/>
  <c r="I45" i="1610" a="1"/>
  <c r="I45" i="1610" s="1"/>
  <c r="HC47" i="1610" a="1"/>
  <c r="HC47" i="1610" s="1"/>
  <c r="AM47" i="1610" a="1"/>
  <c r="AM47" i="1610" s="1"/>
  <c r="FG46" i="1610" a="1"/>
  <c r="FG46" i="1610" s="1"/>
  <c r="H46" i="1610" a="1"/>
  <c r="H46" i="1610" s="1"/>
  <c r="DU45" i="1610" a="1"/>
  <c r="DU45" i="1610" s="1"/>
  <c r="HV49" i="1610" a="1"/>
  <c r="HV49" i="1610" s="1"/>
  <c r="GM47" i="1610" a="1"/>
  <c r="GM47" i="1610" s="1"/>
  <c r="AL47" i="1610" a="1"/>
  <c r="AL47" i="1610" s="1"/>
  <c r="FF46" i="1610" a="1"/>
  <c r="FF46" i="1610" s="1"/>
  <c r="JF47" i="1610" a="1"/>
  <c r="JF47" i="1610" s="1"/>
  <c r="CW47" i="1610" a="1"/>
  <c r="CW47" i="1610" s="1"/>
  <c r="HO46" i="1610" a="1"/>
  <c r="HO46" i="1610" s="1"/>
  <c r="BS46" i="1610" a="1"/>
  <c r="BS46" i="1610" s="1"/>
  <c r="GF45" i="1610" a="1"/>
  <c r="GF45" i="1610" s="1"/>
  <c r="G48" i="1610" a="1"/>
  <c r="G48" i="1610" s="1"/>
  <c r="DI47" i="1610" a="1"/>
  <c r="DI47" i="1610" s="1"/>
  <c r="HZ46" i="1610" a="1"/>
  <c r="HZ46" i="1610" s="1"/>
  <c r="CE46" i="1610" a="1"/>
  <c r="CE46" i="1610" s="1"/>
  <c r="GR45" i="1610" a="1"/>
  <c r="GR45" i="1610" s="1"/>
  <c r="GK49" i="1610" a="1"/>
  <c r="GK49" i="1610" s="1"/>
  <c r="GI47" i="1610" a="1"/>
  <c r="GI47" i="1610" s="1"/>
  <c r="AI47" i="1610" a="1"/>
  <c r="AI47" i="1610" s="1"/>
  <c r="JH49" i="1610" a="1"/>
  <c r="JH49" i="1610" s="1"/>
  <c r="EJ48" i="1610" a="1"/>
  <c r="EJ48" i="1610" s="1"/>
  <c r="Z49" i="1610" a="1"/>
  <c r="Z49" i="1610" s="1"/>
  <c r="FM49" i="1610" a="1"/>
  <c r="FM49" i="1610" s="1"/>
  <c r="DZ48" i="1610" a="1"/>
  <c r="DZ48" i="1610" s="1"/>
  <c r="D49" i="1610" a="1"/>
  <c r="D49" i="1610" s="1"/>
  <c r="FP49" i="1610" a="1"/>
  <c r="FP49" i="1610" s="1"/>
  <c r="GJ48" i="1610" a="1"/>
  <c r="GJ48" i="1610" s="1"/>
  <c r="BY49" i="1610" a="1"/>
  <c r="BY49" i="1610" s="1"/>
  <c r="HK49" i="1610" a="1"/>
  <c r="HK49" i="1610" s="1"/>
  <c r="JI47" i="1610" a="1"/>
  <c r="JI47" i="1610" s="1"/>
  <c r="FK48" i="1610" a="1"/>
  <c r="FK48" i="1610" s="1"/>
  <c r="AQ49" i="1610" a="1"/>
  <c r="AQ49" i="1610" s="1"/>
  <c r="HY49" i="1610" a="1"/>
  <c r="HY49" i="1610" s="1"/>
  <c r="DD48" i="1610" a="1"/>
  <c r="DD48" i="1610" s="1"/>
  <c r="IU48" i="1610" a="1"/>
  <c r="IU48" i="1610" s="1"/>
  <c r="DV49" i="1610" a="1"/>
  <c r="DV49" i="1610" s="1"/>
  <c r="DE48" i="1610" a="1"/>
  <c r="DE48" i="1610" s="1"/>
  <c r="IV48" i="1610" a="1"/>
  <c r="IV48" i="1610" s="1"/>
  <c r="ET49" i="1610" a="1"/>
  <c r="ET49" i="1610" s="1"/>
  <c r="CG48" i="1610" a="1"/>
  <c r="CG48" i="1610" s="1"/>
  <c r="IJ48" i="1610" a="1"/>
  <c r="IJ48" i="1610" s="1"/>
  <c r="DW49" i="1610" a="1"/>
  <c r="DW49" i="1610" s="1"/>
  <c r="L48" i="1610" a="1"/>
  <c r="L48" i="1610" s="1"/>
  <c r="FP48" i="1610" a="1"/>
  <c r="FP48" i="1610" s="1"/>
  <c r="AU49" i="1610" a="1"/>
  <c r="AU49" i="1610" s="1"/>
  <c r="GS49" i="1610" a="1"/>
  <c r="GS49" i="1610" s="1"/>
  <c r="DH48" i="1610" a="1"/>
  <c r="DH48" i="1610" s="1"/>
  <c r="JK48" i="1610" a="1"/>
  <c r="JK48" i="1610" s="1"/>
  <c r="EW49" i="1610" a="1"/>
  <c r="EW49" i="1610" s="1"/>
  <c r="AY48" i="1610" a="1"/>
  <c r="AY48" i="1610" s="1"/>
  <c r="HO48" i="1610" a="1"/>
  <c r="HO48" i="1610" s="1"/>
  <c r="DC49" i="1610" a="1"/>
  <c r="DC49" i="1610" s="1"/>
  <c r="IR49" i="1610" a="1"/>
  <c r="IR49" i="1610" s="1"/>
  <c r="EU48" i="1610" a="1"/>
  <c r="EU48" i="1610" s="1"/>
  <c r="AK49" i="1610" a="1"/>
  <c r="AK49" i="1610" s="1"/>
  <c r="JM48" i="1610" a="1"/>
  <c r="JM48" i="1610" s="1"/>
  <c r="EG43" i="1610" a="1"/>
  <c r="EG43" i="1610" s="1"/>
  <c r="BC43" i="1610" a="1"/>
  <c r="BC43" i="1610" s="1"/>
  <c r="AF43" i="1610" a="1"/>
  <c r="AF43" i="1610" s="1"/>
  <c r="BR43" i="1610" a="1"/>
  <c r="BR43" i="1610" s="1"/>
  <c r="GD43" i="1610" a="1"/>
  <c r="GD43" i="1610" s="1"/>
  <c r="AD43" i="1610" a="1"/>
  <c r="AD43" i="1610" s="1"/>
  <c r="IC43" i="1610" a="1"/>
  <c r="IC43" i="1610" s="1"/>
  <c r="CB43" i="1610" a="1"/>
  <c r="CB43" i="1610" s="1"/>
  <c r="EO43" i="1610" a="1"/>
  <c r="EO43" i="1610" s="1"/>
  <c r="BZ43" i="1610" a="1"/>
  <c r="BZ43" i="1610" s="1"/>
  <c r="FY43" i="1610" a="1"/>
  <c r="FY43" i="1610" s="1"/>
  <c r="Y43" i="1610" a="1"/>
  <c r="Y43" i="1610" s="1"/>
  <c r="DK43" i="1610" a="1"/>
  <c r="DK43" i="1610" s="1"/>
  <c r="T44" i="1610" a="1"/>
  <c r="T44" i="1610" s="1"/>
  <c r="DW43" i="1610" a="1"/>
  <c r="DW43" i="1610" s="1"/>
  <c r="EV43" i="1610" a="1"/>
  <c r="EV43" i="1610" s="1"/>
  <c r="DW44" i="1610" a="1"/>
  <c r="DW44" i="1610" s="1"/>
  <c r="IL44" i="1610" a="1"/>
  <c r="IL44" i="1610" s="1"/>
  <c r="FI43" i="1610" a="1"/>
  <c r="FI43" i="1610" s="1"/>
  <c r="AU44" i="1610" a="1"/>
  <c r="AU44" i="1610" s="1"/>
  <c r="HG44" i="1610" a="1"/>
  <c r="HG44" i="1610" s="1"/>
  <c r="JJ43" i="1610" a="1"/>
  <c r="JJ43" i="1610" s="1"/>
  <c r="JJ11" i="1610" s="1"/>
  <c r="FC44" i="1610" a="1"/>
  <c r="FC44" i="1610" s="1"/>
  <c r="HG45" i="1610" a="1"/>
  <c r="HG45" i="1610" s="1"/>
  <c r="W44" i="1610" a="1"/>
  <c r="W44" i="1610" s="1"/>
  <c r="GT44" i="1610" a="1"/>
  <c r="GT44" i="1610" s="1"/>
  <c r="GL43" i="1610" a="1"/>
  <c r="GL43" i="1610" s="1"/>
  <c r="BW44" i="1610" a="1"/>
  <c r="BW44" i="1610" s="1"/>
  <c r="E45" i="1610" a="1"/>
  <c r="E45" i="1610" s="1"/>
  <c r="IZ43" i="1610" a="1"/>
  <c r="IZ43" i="1610" s="1"/>
  <c r="ER44" i="1610" a="1"/>
  <c r="ER44" i="1610" s="1"/>
  <c r="FG45" i="1610" a="1"/>
  <c r="FG45" i="1610" s="1"/>
  <c r="CO44" i="1610" a="1"/>
  <c r="CO44" i="1610" s="1"/>
  <c r="G45" i="1610" a="1"/>
  <c r="G45" i="1610" s="1"/>
  <c r="CP44" i="1610" a="1"/>
  <c r="CP44" i="1610" s="1"/>
  <c r="L45" i="1610" a="1"/>
  <c r="L45" i="1610" s="1"/>
  <c r="JD43" i="1610" a="1"/>
  <c r="JD43" i="1610" s="1"/>
  <c r="JD11" i="1610" s="1"/>
  <c r="EU44" i="1610" a="1"/>
  <c r="EU44" i="1610" s="1"/>
  <c r="FT45" i="1610" a="1"/>
  <c r="FT45" i="1610" s="1"/>
  <c r="AQ44" i="1610" a="1"/>
  <c r="AQ44" i="1610" s="1"/>
  <c r="HC44" i="1610" a="1"/>
  <c r="HC44" i="1610" s="1"/>
  <c r="EF43" i="1610" a="1"/>
  <c r="EF43" i="1610" s="1"/>
  <c r="R44" i="1610" a="1"/>
  <c r="R44" i="1610" s="1"/>
  <c r="FZ44" i="1610" a="1"/>
  <c r="FZ44" i="1610" s="1"/>
  <c r="BT46" i="1610" a="1"/>
  <c r="BT46" i="1610" s="1"/>
  <c r="BE44" i="1610" a="1"/>
  <c r="BE44" i="1610" s="1"/>
  <c r="HT44" i="1610" a="1"/>
  <c r="HT44" i="1610" s="1"/>
  <c r="E48" i="1610" a="1"/>
  <c r="E48" i="1610" s="1"/>
  <c r="DG47" i="1610" a="1"/>
  <c r="DG47" i="1610" s="1"/>
  <c r="HK46" i="1610" a="1"/>
  <c r="HK46" i="1610" s="1"/>
  <c r="BP46" i="1610" a="1"/>
  <c r="BP46" i="1610" s="1"/>
  <c r="GC45" i="1610" a="1"/>
  <c r="GC45" i="1610" s="1"/>
  <c r="AC45" i="1610" a="1"/>
  <c r="AC45" i="1610" s="1"/>
  <c r="IL47" i="1610" a="1"/>
  <c r="IL47" i="1610" s="1"/>
  <c r="CF47" i="1610" a="1"/>
  <c r="CF47" i="1610" s="1"/>
  <c r="GK46" i="1610" a="1"/>
  <c r="GK46" i="1610" s="1"/>
  <c r="AO46" i="1610" a="1"/>
  <c r="AO46" i="1610" s="1"/>
  <c r="FB45" i="1610" a="1"/>
  <c r="FB45" i="1610" s="1"/>
  <c r="B45" i="1610" a="1"/>
  <c r="B45" i="1610" s="1"/>
  <c r="IZ47" i="1610" a="1"/>
  <c r="IZ47" i="1610" s="1"/>
  <c r="CR47" i="1610" a="1"/>
  <c r="CR47" i="1610" s="1"/>
  <c r="HI46" i="1610" a="1"/>
  <c r="HI46" i="1610" s="1"/>
  <c r="BM46" i="1610" a="1"/>
  <c r="BM46" i="1610" s="1"/>
  <c r="FZ45" i="1610" a="1"/>
  <c r="FZ45" i="1610" s="1"/>
  <c r="Z45" i="1610" a="1"/>
  <c r="Z45" i="1610" s="1"/>
  <c r="HU47" i="1610" a="1"/>
  <c r="HU47" i="1610" s="1"/>
  <c r="BR47" i="1610" a="1"/>
  <c r="BR47" i="1610" s="1"/>
  <c r="GI46" i="1610" a="1"/>
  <c r="GI46" i="1610" s="1"/>
  <c r="L46" i="1610" a="1"/>
  <c r="L46" i="1610" s="1"/>
  <c r="P48" i="1610" a="1"/>
  <c r="P48" i="1610" s="1"/>
  <c r="DP47" i="1610" a="1"/>
  <c r="DP47" i="1610" s="1"/>
  <c r="IG46" i="1610" a="1"/>
  <c r="IG46" i="1610" s="1"/>
  <c r="BX46" i="1610" a="1"/>
  <c r="BX46" i="1610" s="1"/>
  <c r="GK45" i="1610" a="1"/>
  <c r="GK45" i="1610" s="1"/>
  <c r="AK45" i="1610" a="1"/>
  <c r="AK45" i="1610" s="1"/>
  <c r="EZ44" i="1610" a="1"/>
  <c r="EZ44" i="1610" s="1"/>
  <c r="O48" i="1610" a="1"/>
  <c r="O48" i="1610" s="1"/>
  <c r="DO47" i="1610" a="1"/>
  <c r="DO47" i="1610" s="1"/>
  <c r="HS46" i="1610" a="1"/>
  <c r="HS46" i="1610" s="1"/>
  <c r="BW46" i="1610" a="1"/>
  <c r="BW46" i="1610" s="1"/>
  <c r="GJ45" i="1610" a="1"/>
  <c r="GJ45" i="1610" s="1"/>
  <c r="AJ45" i="1610" a="1"/>
  <c r="AJ45" i="1610" s="1"/>
  <c r="HR47" i="1610" a="1"/>
  <c r="HR47" i="1610" s="1"/>
  <c r="BO47" i="1610" a="1"/>
  <c r="BO47" i="1610" s="1"/>
  <c r="GF46" i="1610" a="1"/>
  <c r="GF46" i="1610" s="1"/>
  <c r="AI46" i="1610" a="1"/>
  <c r="AI46" i="1610" s="1"/>
  <c r="EV45" i="1610" a="1"/>
  <c r="EV45" i="1610" s="1"/>
  <c r="JI44" i="1610" a="1"/>
  <c r="JI44" i="1610" s="1"/>
  <c r="GO47" i="1610" a="1"/>
  <c r="GO47" i="1610" s="1"/>
  <c r="Z47" i="1610" a="1"/>
  <c r="Z47" i="1610" s="1"/>
  <c r="ET46" i="1610" a="1"/>
  <c r="ET46" i="1610" s="1"/>
  <c r="JH45" i="1610" a="1"/>
  <c r="JH45" i="1610" s="1"/>
  <c r="DH45" i="1610" a="1"/>
  <c r="DH45" i="1610" s="1"/>
  <c r="BK49" i="1610" a="1"/>
  <c r="BK49" i="1610" s="1"/>
  <c r="FX47" i="1610" a="1"/>
  <c r="FX47" i="1610" s="1"/>
  <c r="Y47" i="1610" a="1"/>
  <c r="Y47" i="1610" s="1"/>
  <c r="ES46" i="1610" a="1"/>
  <c r="ES46" i="1610" s="1"/>
  <c r="IQ47" i="1610" a="1"/>
  <c r="IQ47" i="1610" s="1"/>
  <c r="CJ47" i="1610" a="1"/>
  <c r="CJ47" i="1610" s="1"/>
  <c r="HC46" i="1610" a="1"/>
  <c r="HC46" i="1610" s="1"/>
  <c r="BF46" i="1610" a="1"/>
  <c r="BF46" i="1610" s="1"/>
  <c r="FS45" i="1610" a="1"/>
  <c r="FS45" i="1610" s="1"/>
  <c r="JE47" i="1610" a="1"/>
  <c r="JE47" i="1610" s="1"/>
  <c r="CV47" i="1610" a="1"/>
  <c r="CV47" i="1610" s="1"/>
  <c r="HM46" i="1610" a="1"/>
  <c r="HM46" i="1610" s="1"/>
  <c r="BR46" i="1610" a="1"/>
  <c r="BR46" i="1610" s="1"/>
  <c r="GE45" i="1610" a="1"/>
  <c r="GE45" i="1610" s="1"/>
  <c r="P49" i="1610" a="1"/>
  <c r="P49" i="1610" s="1"/>
  <c r="FU47" i="1610" a="1"/>
  <c r="FU47" i="1610" s="1"/>
  <c r="V47" i="1610" a="1"/>
  <c r="V47" i="1610" s="1"/>
  <c r="HR48" i="1610" a="1"/>
  <c r="HR48" i="1610" s="1"/>
  <c r="EV48" i="1610" a="1"/>
  <c r="EV48" i="1610" s="1"/>
  <c r="AL49" i="1610" a="1"/>
  <c r="AL49" i="1610" s="1"/>
  <c r="FX49" i="1610" a="1"/>
  <c r="FX49" i="1610" s="1"/>
  <c r="EL48" i="1610" a="1"/>
  <c r="EL48" i="1610" s="1"/>
  <c r="Q49" i="1610" a="1"/>
  <c r="Q49" i="1610" s="1"/>
  <c r="FY49" i="1610" a="1"/>
  <c r="FY49" i="1610" s="1"/>
  <c r="GV48" i="1610" a="1"/>
  <c r="GV48" i="1610" s="1"/>
  <c r="CK49" i="1610" a="1"/>
  <c r="CK49" i="1610" s="1"/>
  <c r="HX49" i="1610" a="1"/>
  <c r="HX49" i="1610" s="1"/>
  <c r="I48" i="1610" a="1"/>
  <c r="I48" i="1610" s="1"/>
  <c r="FX48" i="1610" a="1"/>
  <c r="FX48" i="1610" s="1"/>
  <c r="BB49" i="1610" a="1"/>
  <c r="BB49" i="1610" s="1"/>
  <c r="IK49" i="1610" a="1"/>
  <c r="IK49" i="1610" s="1"/>
  <c r="DQ48" i="1610" a="1"/>
  <c r="DQ48" i="1610" s="1"/>
  <c r="JG48" i="1610" a="1"/>
  <c r="JG48" i="1610" s="1"/>
  <c r="ES49" i="1610" a="1"/>
  <c r="ES49" i="1610" s="1"/>
  <c r="DR48" i="1610" a="1"/>
  <c r="DR48" i="1610" s="1"/>
  <c r="JH48" i="1610" a="1"/>
  <c r="JH48" i="1610" s="1"/>
  <c r="FG49" i="1610" a="1"/>
  <c r="FG49" i="1610" s="1"/>
  <c r="CS48" i="1610" a="1"/>
  <c r="CS48" i="1610" s="1"/>
  <c r="IW48" i="1610" a="1"/>
  <c r="IW48" i="1610" s="1"/>
  <c r="EI49" i="1610" a="1"/>
  <c r="EI49" i="1610" s="1"/>
  <c r="W48" i="1610" a="1"/>
  <c r="W48" i="1610" s="1"/>
  <c r="GC48" i="1610" a="1"/>
  <c r="GC48" i="1610" s="1"/>
  <c r="BF49" i="1610" a="1"/>
  <c r="BF49" i="1610" s="1"/>
  <c r="HD49" i="1610" a="1"/>
  <c r="HD49" i="1610" s="1"/>
  <c r="DU48" i="1610" a="1"/>
  <c r="DU48" i="1610" s="1"/>
  <c r="K49" i="1610" a="1"/>
  <c r="K49" i="1610" s="1"/>
  <c r="FJ49" i="1610" a="1"/>
  <c r="FJ49" i="1610" s="1"/>
  <c r="BK48" i="1610" a="1"/>
  <c r="BK48" i="1610" s="1"/>
  <c r="IB48" i="1610" a="1"/>
  <c r="IB48" i="1610" s="1"/>
  <c r="DP49" i="1610" a="1"/>
  <c r="DP49" i="1610" s="1"/>
  <c r="JE49" i="1610" a="1"/>
  <c r="JE49" i="1610" s="1"/>
  <c r="FG48" i="1610" a="1"/>
  <c r="FG48" i="1610" s="1"/>
  <c r="AW49" i="1610" a="1"/>
  <c r="AW49" i="1610" s="1"/>
  <c r="DT43" i="1610" a="1"/>
  <c r="DT43" i="1610" s="1"/>
  <c r="DB43" i="1610" a="1"/>
  <c r="DB43" i="1610" s="1"/>
  <c r="S43" i="1610" a="1"/>
  <c r="S43" i="1610" s="1"/>
  <c r="CH43" i="1610" a="1"/>
  <c r="CH43" i="1610" s="1"/>
  <c r="BE43" i="1610" a="1"/>
  <c r="BE43" i="1610" s="1"/>
  <c r="FQ43" i="1610" a="1"/>
  <c r="FQ43" i="1610" s="1"/>
  <c r="D43" i="1610" a="1"/>
  <c r="D43" i="1610" s="1"/>
  <c r="HP43" i="1610" a="1"/>
  <c r="HP43" i="1610" s="1"/>
  <c r="O43" i="1610" a="1"/>
  <c r="O43" i="1610" s="1"/>
  <c r="EB43" i="1610" a="1"/>
  <c r="EB43" i="1610" s="1"/>
  <c r="BM43" i="1610" a="1"/>
  <c r="BM43" i="1610" s="1"/>
  <c r="FL43" i="1610" a="1"/>
  <c r="FL43" i="1610" s="1"/>
  <c r="L43" i="1610" a="1"/>
  <c r="L43" i="1610" s="1"/>
  <c r="CX43" i="1610" a="1"/>
  <c r="CX43" i="1610" s="1"/>
  <c r="HH43" i="1610" a="1"/>
  <c r="HH43" i="1610" s="1"/>
  <c r="DJ43" i="1610" a="1"/>
  <c r="DJ43" i="1610" s="1"/>
  <c r="EI43" i="1610" a="1"/>
  <c r="EI43" i="1610" s="1"/>
  <c r="AT44" i="1610" a="1"/>
  <c r="AT44" i="1610" s="1"/>
  <c r="HU44" i="1610" a="1"/>
  <c r="HU44" i="1610" s="1"/>
  <c r="FV43" i="1610" a="1"/>
  <c r="FV43" i="1610" s="1"/>
  <c r="BG44" i="1610" a="1"/>
  <c r="BG44" i="1610" s="1"/>
  <c r="HV44" i="1610" a="1"/>
  <c r="HV44" i="1610" s="1"/>
  <c r="I44" i="1610" a="1"/>
  <c r="I44" i="1610" s="1"/>
  <c r="FQ44" i="1610" a="1"/>
  <c r="FQ44" i="1610" s="1"/>
  <c r="T46" i="1610" a="1"/>
  <c r="T46" i="1610" s="1"/>
  <c r="AJ44" i="1610" a="1"/>
  <c r="AJ44" i="1610" s="1"/>
  <c r="HI44" i="1610" a="1"/>
  <c r="HI44" i="1610" s="1"/>
  <c r="GY43" i="1610" a="1"/>
  <c r="GY43" i="1610" s="1"/>
  <c r="CK44" i="1610" a="1"/>
  <c r="CK44" i="1610" s="1"/>
  <c r="AG45" i="1610" a="1"/>
  <c r="AG45" i="1610" s="1"/>
  <c r="JM43" i="1610" a="1"/>
  <c r="JM43" i="1610" s="1"/>
  <c r="JM11" i="1610" s="1"/>
  <c r="FF44" i="1610" a="1"/>
  <c r="FF44" i="1610" s="1"/>
  <c r="ID45" i="1610" a="1"/>
  <c r="ID45" i="1610" s="1"/>
  <c r="DC44" i="1610" a="1"/>
  <c r="DC44" i="1610" s="1"/>
  <c r="AQ45" i="1610" a="1"/>
  <c r="AQ45" i="1610" s="1"/>
  <c r="DD44" i="1610" a="1"/>
  <c r="DD44" i="1610" s="1"/>
  <c r="AR45" i="1610" a="1"/>
  <c r="AR45" i="1610" s="1"/>
  <c r="C44" i="1610" a="1"/>
  <c r="C44" i="1610" s="1"/>
  <c r="FI44" i="1610" a="1"/>
  <c r="FI44" i="1610" s="1"/>
  <c r="IT45" i="1610" a="1"/>
  <c r="IT45" i="1610" s="1"/>
  <c r="BC44" i="1610" a="1"/>
  <c r="BC44" i="1610" s="1"/>
  <c r="HR44" i="1610" a="1"/>
  <c r="HR44" i="1610" s="1"/>
  <c r="ES43" i="1610" a="1"/>
  <c r="ES43" i="1610" s="1"/>
  <c r="AE44" i="1610" a="1"/>
  <c r="AE44" i="1610" s="1"/>
  <c r="GM44" i="1610" a="1"/>
  <c r="GM44" i="1610" s="1"/>
  <c r="HL46" i="1610" a="1"/>
  <c r="HL46" i="1610" s="1"/>
  <c r="BR44" i="1610" a="1"/>
  <c r="BR44" i="1610" s="1"/>
  <c r="IJ44" i="1610" a="1"/>
  <c r="IJ44" i="1610" s="1"/>
  <c r="JC47" i="1610" a="1"/>
  <c r="JC47" i="1610" s="1"/>
  <c r="CT47" i="1610" a="1"/>
  <c r="CT47" i="1610" s="1"/>
  <c r="GY46" i="1610" a="1"/>
  <c r="GY46" i="1610" s="1"/>
  <c r="BC46" i="1610" a="1"/>
  <c r="BC46" i="1610" s="1"/>
  <c r="FP45" i="1610" a="1"/>
  <c r="FP45" i="1610" s="1"/>
  <c r="P45" i="1610" a="1"/>
  <c r="P45" i="1610" s="1"/>
  <c r="HX47" i="1610" a="1"/>
  <c r="HX47" i="1610" s="1"/>
  <c r="BT47" i="1610" a="1"/>
  <c r="BT47" i="1610" s="1"/>
  <c r="FY46" i="1610" a="1"/>
  <c r="FY46" i="1610" s="1"/>
  <c r="AB46" i="1610" a="1"/>
  <c r="AB46" i="1610" s="1"/>
  <c r="EO45" i="1610" a="1"/>
  <c r="EO45" i="1610" s="1"/>
  <c r="JB44" i="1610" a="1"/>
  <c r="JB44" i="1610" s="1"/>
  <c r="IK47" i="1610" a="1"/>
  <c r="IK47" i="1610" s="1"/>
  <c r="CE47" i="1610" a="1"/>
  <c r="CE47" i="1610" s="1"/>
  <c r="GW46" i="1610" a="1"/>
  <c r="GW46" i="1610" s="1"/>
  <c r="AZ46" i="1610" a="1"/>
  <c r="AZ46" i="1610" s="1"/>
  <c r="FM45" i="1610" a="1"/>
  <c r="FM45" i="1610" s="1"/>
  <c r="M45" i="1610" a="1"/>
  <c r="M45" i="1610" s="1"/>
  <c r="HG47" i="1610" a="1"/>
  <c r="HG47" i="1610" s="1"/>
  <c r="BE47" i="1610" a="1"/>
  <c r="BE47" i="1610" s="1"/>
  <c r="FW46" i="1610" a="1"/>
  <c r="FW46" i="1610" s="1"/>
  <c r="JL45" i="1610" a="1"/>
  <c r="JL45" i="1610" s="1"/>
  <c r="JM47" i="1610" a="1"/>
  <c r="JM47" i="1610" s="1"/>
  <c r="DC47" i="1610" a="1"/>
  <c r="DC47" i="1610" s="1"/>
  <c r="HT46" i="1610" a="1"/>
  <c r="HT46" i="1610" s="1"/>
  <c r="BK46" i="1610" a="1"/>
  <c r="BK46" i="1610" s="1"/>
  <c r="FX45" i="1610" a="1"/>
  <c r="FX45" i="1610" s="1"/>
  <c r="X45" i="1610" a="1"/>
  <c r="X45" i="1610" s="1"/>
  <c r="EM44" i="1610" a="1"/>
  <c r="EM44" i="1610" s="1"/>
  <c r="JL47" i="1610" a="1"/>
  <c r="JL47" i="1610" s="1"/>
  <c r="DB47" i="1610" a="1"/>
  <c r="DB47" i="1610" s="1"/>
  <c r="HG46" i="1610" a="1"/>
  <c r="HG46" i="1610" s="1"/>
  <c r="BJ46" i="1610" a="1"/>
  <c r="BJ46" i="1610" s="1"/>
  <c r="FW45" i="1610" a="1"/>
  <c r="FW45" i="1610" s="1"/>
  <c r="W45" i="1610" a="1"/>
  <c r="W45" i="1610" s="1"/>
  <c r="HD47" i="1610" a="1"/>
  <c r="HD47" i="1610" s="1"/>
  <c r="BB47" i="1610" a="1"/>
  <c r="BB47" i="1610" s="1"/>
  <c r="FT46" i="1610" a="1"/>
  <c r="FT46" i="1610" s="1"/>
  <c r="V46" i="1610" a="1"/>
  <c r="V46" i="1610" s="1"/>
  <c r="EI45" i="1610" a="1"/>
  <c r="EI45" i="1610" s="1"/>
  <c r="BW49" i="1610" a="1"/>
  <c r="BW49" i="1610" s="1"/>
  <c r="FZ47" i="1610" a="1"/>
  <c r="FZ47" i="1610" s="1"/>
  <c r="M47" i="1610" a="1"/>
  <c r="M47" i="1610" s="1"/>
  <c r="EG46" i="1610" a="1"/>
  <c r="EG46" i="1610" s="1"/>
  <c r="IU45" i="1610" a="1"/>
  <c r="IU45" i="1610" s="1"/>
  <c r="CU45" i="1610" a="1"/>
  <c r="CU45" i="1610" s="1"/>
  <c r="FU48" i="1610" a="1"/>
  <c r="FU48" i="1610" s="1"/>
  <c r="FK47" i="1610" a="1"/>
  <c r="FK47" i="1610" s="1"/>
  <c r="L47" i="1610" a="1"/>
  <c r="L47" i="1610" s="1"/>
  <c r="EF46" i="1610" a="1"/>
  <c r="EF46" i="1610" s="1"/>
  <c r="IC47" i="1610" a="1"/>
  <c r="IC47" i="1610" s="1"/>
  <c r="BX47" i="1610" a="1"/>
  <c r="BX47" i="1610" s="1"/>
  <c r="GP46" i="1610" a="1"/>
  <c r="GP46" i="1610" s="1"/>
  <c r="AS46" i="1610" a="1"/>
  <c r="AS46" i="1610" s="1"/>
  <c r="FF45" i="1610" a="1"/>
  <c r="FF45" i="1610" s="1"/>
  <c r="IP47" i="1610" a="1"/>
  <c r="IP47" i="1610" s="1"/>
  <c r="CI47" i="1610" a="1"/>
  <c r="CI47" i="1610" s="1"/>
  <c r="HB46" i="1610" a="1"/>
  <c r="HB46" i="1610" s="1"/>
  <c r="BE46" i="1610" a="1"/>
  <c r="BE46" i="1610" s="1"/>
  <c r="FR45" i="1610" a="1"/>
  <c r="FR45" i="1610" s="1"/>
  <c r="EK48" i="1610" a="1"/>
  <c r="EK48" i="1610" s="1"/>
  <c r="FH47" i="1610" a="1"/>
  <c r="FH47" i="1610" s="1"/>
  <c r="I47" i="1610" a="1"/>
  <c r="I47" i="1610" s="1"/>
  <c r="DS49" i="1610" a="1"/>
  <c r="DS49" i="1610" s="1"/>
  <c r="FH48" i="1610" a="1"/>
  <c r="FH48" i="1610" s="1"/>
  <c r="AX49" i="1610" a="1"/>
  <c r="AX49" i="1610" s="1"/>
  <c r="GJ49" i="1610" a="1"/>
  <c r="GJ49" i="1610" s="1"/>
  <c r="EX48" i="1610" a="1"/>
  <c r="EX48" i="1610" s="1"/>
  <c r="AB49" i="1610" a="1"/>
  <c r="AB49" i="1610" s="1"/>
  <c r="GL49" i="1610" a="1"/>
  <c r="GL49" i="1610" s="1"/>
  <c r="HH48" i="1610" a="1"/>
  <c r="HH48" i="1610" s="1"/>
  <c r="CV49" i="1610" a="1"/>
  <c r="CV49" i="1610" s="1"/>
  <c r="IJ49" i="1610" a="1"/>
  <c r="IJ49" i="1610" s="1"/>
  <c r="S48" i="1610" a="1"/>
  <c r="S48" i="1610" s="1"/>
  <c r="GK48" i="1610" a="1"/>
  <c r="GK48" i="1610" s="1"/>
  <c r="BO49" i="1610" a="1"/>
  <c r="BO49" i="1610" s="1"/>
  <c r="IX49" i="1610" a="1"/>
  <c r="IX49" i="1610" s="1"/>
  <c r="ED48" i="1610" a="1"/>
  <c r="ED48" i="1610" s="1"/>
  <c r="G49" i="1610" a="1"/>
  <c r="G49" i="1610" s="1"/>
  <c r="FF49" i="1610" a="1"/>
  <c r="FF49" i="1610" s="1"/>
  <c r="EE48" i="1610" a="1"/>
  <c r="EE48" i="1610" s="1"/>
  <c r="H49" i="1610" a="1"/>
  <c r="H49" i="1610" s="1"/>
  <c r="FS49" i="1610" a="1"/>
  <c r="FS49" i="1610" s="1"/>
  <c r="DF48" i="1610" a="1"/>
  <c r="DF48" i="1610" s="1"/>
  <c r="JI48" i="1610" a="1"/>
  <c r="JI48" i="1610" s="1"/>
  <c r="EU49" i="1610" a="1"/>
  <c r="EU49" i="1610" s="1"/>
  <c r="AJ48" i="1610" a="1"/>
  <c r="AJ48" i="1610" s="1"/>
  <c r="GO48" i="1610" a="1"/>
  <c r="GO48" i="1610" s="1"/>
  <c r="BS49" i="1610" a="1"/>
  <c r="BS49" i="1610" s="1"/>
  <c r="HQ49" i="1610" a="1"/>
  <c r="HQ49" i="1610" s="1"/>
  <c r="EH48" i="1610" a="1"/>
  <c r="EH48" i="1610" s="1"/>
  <c r="W49" i="1610" a="1"/>
  <c r="W49" i="1610" s="1"/>
  <c r="FU49" i="1610" a="1"/>
  <c r="FU49" i="1610" s="1"/>
  <c r="BX48" i="1610" a="1"/>
  <c r="BX48" i="1610" s="1"/>
  <c r="IM48" i="1610" a="1"/>
  <c r="IM48" i="1610" s="1"/>
  <c r="DZ49" i="1610" a="1"/>
  <c r="DZ49" i="1610" s="1"/>
  <c r="Z48" i="1610" a="1"/>
  <c r="Z48" i="1610" s="1"/>
  <c r="FS48" i="1610" a="1"/>
  <c r="FS48" i="1610" s="1"/>
  <c r="BI49" i="1610" a="1"/>
  <c r="BI49" i="1610" s="1"/>
  <c r="HG49" i="1610" a="1"/>
  <c r="HG49" i="1610" s="1"/>
  <c r="CG49" i="1610" a="1"/>
  <c r="CG49" i="1610" s="1"/>
  <c r="EY49" i="1610" a="1"/>
  <c r="EY49" i="1610" s="1"/>
  <c r="DG43" i="1610" a="1"/>
  <c r="DG43" i="1610" s="1"/>
  <c r="BB43" i="1610" a="1"/>
  <c r="BB43" i="1610" s="1"/>
  <c r="F43" i="1610" a="1"/>
  <c r="F43" i="1610" s="1"/>
  <c r="GR43" i="1610" a="1"/>
  <c r="GR43" i="1610" s="1"/>
  <c r="AR43" i="1610" a="1"/>
  <c r="AR43" i="1610" s="1"/>
  <c r="FD43" i="1610" a="1"/>
  <c r="FD43" i="1610" s="1"/>
  <c r="CC43" i="1610" a="1"/>
  <c r="CC43" i="1610" s="1"/>
  <c r="HC43" i="1610" a="1"/>
  <c r="HC43" i="1610" s="1"/>
  <c r="EU43" i="1610" a="1"/>
  <c r="EU43" i="1610" s="1"/>
  <c r="DO43" i="1610" a="1"/>
  <c r="DO43" i="1610" s="1"/>
  <c r="AZ43" i="1610" a="1"/>
  <c r="AZ43" i="1610" s="1"/>
  <c r="EY43" i="1610" a="1"/>
  <c r="EY43" i="1610" s="1"/>
  <c r="CK43" i="1610" a="1"/>
  <c r="CK43" i="1610" s="1"/>
  <c r="BU43" i="1610" a="1"/>
  <c r="BU43" i="1610" s="1"/>
  <c r="CW43" i="1610" a="1"/>
  <c r="CW43" i="1610" s="1"/>
  <c r="DV43" i="1610" a="1"/>
  <c r="DV43" i="1610" s="1"/>
  <c r="IH43" i="1610" a="1"/>
  <c r="IH43" i="1610" s="1"/>
  <c r="HF44" i="1610" a="1"/>
  <c r="HF44" i="1610" s="1"/>
  <c r="GI43" i="1610" a="1"/>
  <c r="GI43" i="1610" s="1"/>
  <c r="BT44" i="1610" a="1"/>
  <c r="BT44" i="1610" s="1"/>
  <c r="IM44" i="1610" a="1"/>
  <c r="IM44" i="1610" s="1"/>
  <c r="V44" i="1610" a="1"/>
  <c r="V44" i="1610" s="1"/>
  <c r="GE44" i="1610" a="1"/>
  <c r="GE44" i="1610" s="1"/>
  <c r="DD46" i="1610" a="1"/>
  <c r="DD46" i="1610" s="1"/>
  <c r="BI44" i="1610" a="1"/>
  <c r="BI44" i="1610" s="1"/>
  <c r="HY44" i="1610" a="1"/>
  <c r="HY44" i="1610" s="1"/>
  <c r="HL43" i="1610" a="1"/>
  <c r="HL43" i="1610" s="1"/>
  <c r="CY44" i="1610" a="1"/>
  <c r="CY44" i="1610" s="1"/>
  <c r="BS45" i="1610" a="1"/>
  <c r="BS45" i="1610" s="1"/>
  <c r="L44" i="1610" a="1"/>
  <c r="L44" i="1610" s="1"/>
  <c r="FT44" i="1610" a="1"/>
  <c r="FT44" i="1610" s="1"/>
  <c r="AQ46" i="1610" a="1"/>
  <c r="AQ46" i="1610" s="1"/>
  <c r="DQ44" i="1610" a="1"/>
  <c r="DQ44" i="1610" s="1"/>
  <c r="BY45" i="1610" a="1"/>
  <c r="BY45" i="1610" s="1"/>
  <c r="DR44" i="1610" a="1"/>
  <c r="DR44" i="1610" s="1"/>
  <c r="CD45" i="1610" a="1"/>
  <c r="CD45" i="1610" s="1"/>
  <c r="P44" i="1610" a="1"/>
  <c r="P44" i="1610" s="1"/>
  <c r="FW44" i="1610" a="1"/>
  <c r="FW44" i="1610" s="1"/>
  <c r="BG46" i="1610" a="1"/>
  <c r="BG46" i="1610" s="1"/>
  <c r="BP44" i="1610" a="1"/>
  <c r="BP44" i="1610" s="1"/>
  <c r="IH44" i="1610" a="1"/>
  <c r="IH44" i="1610" s="1"/>
  <c r="FF43" i="1610" a="1"/>
  <c r="FF43" i="1610" s="1"/>
  <c r="AR44" i="1610" a="1"/>
  <c r="AR44" i="1610" s="1"/>
  <c r="HD44" i="1610" a="1"/>
  <c r="HD44" i="1610" s="1"/>
  <c r="GT43" i="1610" a="1"/>
  <c r="GT43" i="1610" s="1"/>
  <c r="CF44" i="1610" a="1"/>
  <c r="CF44" i="1610" s="1"/>
  <c r="JE44" i="1610" a="1"/>
  <c r="JE44" i="1610" s="1"/>
  <c r="IM47" i="1610" a="1"/>
  <c r="IM47" i="1610" s="1"/>
  <c r="CG47" i="1610" a="1"/>
  <c r="CG47" i="1610" s="1"/>
  <c r="GL46" i="1610" a="1"/>
  <c r="GL46" i="1610" s="1"/>
  <c r="AP46" i="1610" a="1"/>
  <c r="AP46" i="1610" s="1"/>
  <c r="FC45" i="1610" a="1"/>
  <c r="FC45" i="1610" s="1"/>
  <c r="C45" i="1610" a="1"/>
  <c r="C45" i="1610" s="1"/>
  <c r="HI47" i="1610" a="1"/>
  <c r="HI47" i="1610" s="1"/>
  <c r="BG47" i="1610" a="1"/>
  <c r="BG47" i="1610" s="1"/>
  <c r="FL46" i="1610" a="1"/>
  <c r="FL46" i="1610" s="1"/>
  <c r="O46" i="1610" a="1"/>
  <c r="O46" i="1610" s="1"/>
  <c r="EB45" i="1610" a="1"/>
  <c r="EB45" i="1610" s="1"/>
  <c r="IO44" i="1610" a="1"/>
  <c r="IO44" i="1610" s="1"/>
  <c r="HV47" i="1610" a="1"/>
  <c r="HV47" i="1610" s="1"/>
  <c r="BS47" i="1610" a="1"/>
  <c r="BS47" i="1610" s="1"/>
  <c r="GJ46" i="1610" a="1"/>
  <c r="GJ46" i="1610" s="1"/>
  <c r="AM46" i="1610" a="1"/>
  <c r="AM46" i="1610" s="1"/>
  <c r="EZ45" i="1610" a="1"/>
  <c r="EZ45" i="1610" s="1"/>
  <c r="JM44" i="1610" a="1"/>
  <c r="JM44" i="1610" s="1"/>
  <c r="GS47" i="1610" a="1"/>
  <c r="GS47" i="1610" s="1"/>
  <c r="AR47" i="1610" a="1"/>
  <c r="AR47" i="1610" s="1"/>
  <c r="EX46" i="1610" a="1"/>
  <c r="EX46" i="1610" s="1"/>
  <c r="IY45" i="1610" a="1"/>
  <c r="IY45" i="1610" s="1"/>
  <c r="IX47" i="1610" a="1"/>
  <c r="IX47" i="1610" s="1"/>
  <c r="CP47" i="1610" a="1"/>
  <c r="CP47" i="1610" s="1"/>
  <c r="GU46" i="1610" a="1"/>
  <c r="GU46" i="1610" s="1"/>
  <c r="AX46" i="1610" a="1"/>
  <c r="AX46" i="1610" s="1"/>
  <c r="FK45" i="1610" a="1"/>
  <c r="FK45" i="1610" s="1"/>
  <c r="K45" i="1610" a="1"/>
  <c r="K45" i="1610" s="1"/>
  <c r="DZ44" i="1610" a="1"/>
  <c r="DZ44" i="1610" s="1"/>
  <c r="IU47" i="1610" a="1"/>
  <c r="IU47" i="1610" s="1"/>
  <c r="CO47" i="1610" a="1"/>
  <c r="CO47" i="1610" s="1"/>
  <c r="GT46" i="1610" a="1"/>
  <c r="GT46" i="1610" s="1"/>
  <c r="AW46" i="1610" a="1"/>
  <c r="AW46" i="1610" s="1"/>
  <c r="FJ45" i="1610" a="1"/>
  <c r="FJ45" i="1610" s="1"/>
  <c r="J45" i="1610" a="1"/>
  <c r="J45" i="1610" s="1"/>
  <c r="GP47" i="1610" a="1"/>
  <c r="GP47" i="1610" s="1"/>
  <c r="AO47" i="1610" a="1"/>
  <c r="AO47" i="1610" s="1"/>
  <c r="FH46" i="1610" a="1"/>
  <c r="FH46" i="1610" s="1"/>
  <c r="I46" i="1610" a="1"/>
  <c r="I46" i="1610" s="1"/>
  <c r="DV45" i="1610" a="1"/>
  <c r="DV45" i="1610" s="1"/>
  <c r="GH48" i="1610" a="1"/>
  <c r="GH48" i="1610" s="1"/>
  <c r="FL47" i="1610" a="1"/>
  <c r="FL47" i="1610" s="1"/>
  <c r="JM46" i="1610" a="1"/>
  <c r="JM46" i="1610" s="1"/>
  <c r="DT46" i="1610" a="1"/>
  <c r="DT46" i="1610" s="1"/>
  <c r="IH45" i="1610" a="1"/>
  <c r="IH45" i="1610" s="1"/>
  <c r="CH45" i="1610" a="1"/>
  <c r="CH45" i="1610" s="1"/>
  <c r="CF48" i="1610" a="1"/>
  <c r="CF48" i="1610" s="1"/>
  <c r="EX47" i="1610" a="1"/>
  <c r="EX47" i="1610" s="1"/>
  <c r="JL46" i="1610" a="1"/>
  <c r="JL46" i="1610" s="1"/>
  <c r="DS46" i="1610" a="1"/>
  <c r="DS46" i="1610" s="1"/>
  <c r="HO47" i="1610" a="1"/>
  <c r="HO47" i="1610" s="1"/>
  <c r="BK47" i="1610" a="1"/>
  <c r="BK47" i="1610" s="1"/>
  <c r="GC46" i="1610" a="1"/>
  <c r="GC46" i="1610" s="1"/>
  <c r="AF46" i="1610" a="1"/>
  <c r="AF46" i="1610" s="1"/>
  <c r="ES45" i="1610" a="1"/>
  <c r="ES45" i="1610" s="1"/>
  <c r="IB47" i="1610" a="1"/>
  <c r="IB47" i="1610" s="1"/>
  <c r="BW47" i="1610" a="1"/>
  <c r="BW47" i="1610" s="1"/>
  <c r="GO46" i="1610" a="1"/>
  <c r="GO46" i="1610" s="1"/>
  <c r="AR46" i="1610" a="1"/>
  <c r="AR46" i="1610" s="1"/>
  <c r="FE45" i="1610" a="1"/>
  <c r="FE45" i="1610" s="1"/>
  <c r="BZ48" i="1610" a="1"/>
  <c r="BZ48" i="1610" s="1"/>
  <c r="EU47" i="1610" a="1"/>
  <c r="EU47" i="1610" s="1"/>
  <c r="JI46" i="1610" a="1"/>
  <c r="JI46" i="1610" s="1"/>
  <c r="IQ48" i="1610" a="1"/>
  <c r="IQ48" i="1610" s="1"/>
  <c r="FT48" i="1610" a="1"/>
  <c r="FT48" i="1610" s="1"/>
  <c r="BJ49" i="1610" a="1"/>
  <c r="BJ49" i="1610" s="1"/>
  <c r="HH49" i="1610" a="1"/>
  <c r="HH49" i="1610" s="1"/>
  <c r="FI48" i="1610" a="1"/>
  <c r="FI48" i="1610" s="1"/>
  <c r="AO49" i="1610" a="1"/>
  <c r="AO49" i="1610" s="1"/>
  <c r="GX49" i="1610" a="1"/>
  <c r="GX49" i="1610" s="1"/>
  <c r="HT48" i="1610" a="1"/>
  <c r="HT48" i="1610" s="1"/>
  <c r="DH49" i="1610" a="1"/>
  <c r="DH49" i="1610" s="1"/>
  <c r="IW49" i="1610" a="1"/>
  <c r="IW49" i="1610" s="1"/>
  <c r="AF48" i="1610" a="1"/>
  <c r="AF48" i="1610" s="1"/>
  <c r="GW48" i="1610" a="1"/>
  <c r="GW48" i="1610" s="1"/>
  <c r="CL49" i="1610" a="1"/>
  <c r="CL49" i="1610" s="1"/>
  <c r="JK49" i="1610" a="1"/>
  <c r="JK49" i="1610" s="1"/>
  <c r="EO48" i="1610" a="1"/>
  <c r="EO48" i="1610" s="1"/>
  <c r="T49" i="1610" a="1"/>
  <c r="T49" i="1610" s="1"/>
  <c r="FR49" i="1610" a="1"/>
  <c r="FR49" i="1610" s="1"/>
  <c r="EP48" i="1610" a="1"/>
  <c r="EP48" i="1610" s="1"/>
  <c r="U49" i="1610" a="1"/>
  <c r="U49" i="1610" s="1"/>
  <c r="GD49" i="1610" a="1"/>
  <c r="GD49" i="1610" s="1"/>
  <c r="DS48" i="1610" a="1"/>
  <c r="DS48" i="1610" s="1"/>
  <c r="I49" i="1610" a="1"/>
  <c r="I49" i="1610" s="1"/>
  <c r="FH49" i="1610" a="1"/>
  <c r="FH49" i="1610" s="1"/>
  <c r="AW48" i="1610" a="1"/>
  <c r="AW48" i="1610" s="1"/>
  <c r="HB48" i="1610" a="1"/>
  <c r="HB48" i="1610" s="1"/>
  <c r="CD49" i="1610" a="1"/>
  <c r="CD49" i="1610" s="1"/>
  <c r="IC49" i="1610" a="1"/>
  <c r="IC49" i="1610" s="1"/>
  <c r="ES48" i="1610" a="1"/>
  <c r="ES48" i="1610" s="1"/>
  <c r="AI49" i="1610" a="1"/>
  <c r="AI49" i="1610" s="1"/>
  <c r="GG49" i="1610" a="1"/>
  <c r="GG49" i="1610" s="1"/>
  <c r="CV48" i="1610" a="1"/>
  <c r="CV48" i="1610" s="1"/>
  <c r="IZ48" i="1610" a="1"/>
  <c r="IZ48" i="1610" s="1"/>
  <c r="EL49" i="1610" a="1"/>
  <c r="EL49" i="1610" s="1"/>
  <c r="AM48" i="1610" a="1"/>
  <c r="AM48" i="1610" s="1"/>
  <c r="GF48" i="1610" a="1"/>
  <c r="GF48" i="1610" s="1"/>
  <c r="HT49" i="1610" a="1"/>
  <c r="HT49" i="1610" s="1"/>
  <c r="CT43" i="1610" a="1"/>
  <c r="CT43" i="1610" s="1"/>
  <c r="GU43" i="1610" a="1"/>
  <c r="GU43" i="1610" s="1"/>
  <c r="GE43" i="1610" a="1"/>
  <c r="GE43" i="1610" s="1"/>
  <c r="E43" i="1610" a="1"/>
  <c r="E43" i="1610" s="1"/>
  <c r="EQ43" i="1610" a="1"/>
  <c r="EQ43" i="1610" s="1"/>
  <c r="C43" i="1610" a="1"/>
  <c r="C43" i="1610" s="1"/>
  <c r="GP43" i="1610" a="1"/>
  <c r="GP43" i="1610" s="1"/>
  <c r="H43" i="1610" a="1"/>
  <c r="H43" i="1610" s="1"/>
  <c r="GM43" i="1610" a="1"/>
  <c r="GM43" i="1610" s="1"/>
  <c r="AM43" i="1610" a="1"/>
  <c r="AM43" i="1610" s="1"/>
  <c r="EL43" i="1610" a="1"/>
  <c r="EL43" i="1610" s="1"/>
  <c r="AJ43" i="1610" a="1"/>
  <c r="AJ43" i="1610" s="1"/>
  <c r="BX43" i="1610" a="1"/>
  <c r="BX43" i="1610" s="1"/>
  <c r="IJ43" i="1610" a="1"/>
  <c r="IJ43" i="1610" s="1"/>
  <c r="CJ43" i="1610" a="1"/>
  <c r="CJ43" i="1610" s="1"/>
  <c r="DI43" i="1610" a="1"/>
  <c r="DI43" i="1610" s="1"/>
  <c r="DH43" i="1610" a="1"/>
  <c r="DH43" i="1610" s="1"/>
  <c r="GQ44" i="1610" a="1"/>
  <c r="GQ44" i="1610" s="1"/>
  <c r="GV43" i="1610" a="1"/>
  <c r="GV43" i="1610" s="1"/>
  <c r="CH44" i="1610" a="1"/>
  <c r="CH44" i="1610" s="1"/>
  <c r="JG44" i="1610" a="1"/>
  <c r="JG44" i="1610" s="1"/>
  <c r="AI44" i="1610" a="1"/>
  <c r="AI44" i="1610" s="1"/>
  <c r="GS44" i="1610" a="1"/>
  <c r="GS44" i="1610" s="1"/>
  <c r="FX43" i="1610" a="1"/>
  <c r="FX43" i="1610" s="1"/>
  <c r="BV44" i="1610" a="1"/>
  <c r="BV44" i="1610" s="1"/>
  <c r="IR44" i="1610" a="1"/>
  <c r="IR44" i="1610" s="1"/>
  <c r="HY43" i="1610" a="1"/>
  <c r="HY43" i="1610" s="1"/>
  <c r="DO44" i="1610" a="1"/>
  <c r="DO44" i="1610" s="1"/>
  <c r="DF45" i="1610" a="1"/>
  <c r="DF45" i="1610" s="1"/>
  <c r="Y44" i="1610" a="1"/>
  <c r="Y44" i="1610" s="1"/>
  <c r="GG44" i="1610" a="1"/>
  <c r="GG44" i="1610" s="1"/>
  <c r="EP46" i="1610" a="1"/>
  <c r="EP46" i="1610" s="1"/>
  <c r="EE44" i="1610" a="1"/>
  <c r="EE44" i="1610" s="1"/>
  <c r="DL45" i="1610" a="1"/>
  <c r="DL45" i="1610" s="1"/>
  <c r="EF44" i="1610" a="1"/>
  <c r="EF44" i="1610" s="1"/>
  <c r="DQ45" i="1610" a="1"/>
  <c r="DQ45" i="1610" s="1"/>
  <c r="AC44" i="1610" a="1"/>
  <c r="AC44" i="1610" s="1"/>
  <c r="GJ44" i="1610" a="1"/>
  <c r="GJ44" i="1610" s="1"/>
  <c r="GM46" i="1610" a="1"/>
  <c r="GM46" i="1610" s="1"/>
  <c r="CD44" i="1610" a="1"/>
  <c r="CD44" i="1610" s="1"/>
  <c r="IZ44" i="1610" a="1"/>
  <c r="IZ44" i="1610" s="1"/>
  <c r="FS43" i="1610" a="1"/>
  <c r="FS43" i="1610" s="1"/>
  <c r="BD44" i="1610" a="1"/>
  <c r="BD44" i="1610" s="1"/>
  <c r="HS44" i="1610" a="1"/>
  <c r="HS44" i="1610" s="1"/>
  <c r="HG43" i="1610" a="1"/>
  <c r="HG43" i="1610" s="1"/>
  <c r="CT44" i="1610" a="1"/>
  <c r="CT44" i="1610" s="1"/>
  <c r="T45" i="1610" a="1"/>
  <c r="T45" i="1610" s="1"/>
  <c r="HY47" i="1610" a="1"/>
  <c r="HY47" i="1610" s="1"/>
  <c r="BU47" i="1610" a="1"/>
  <c r="BU47" i="1610" s="1"/>
  <c r="FZ46" i="1610" a="1"/>
  <c r="FZ46" i="1610" s="1"/>
  <c r="AC46" i="1610" a="1"/>
  <c r="AC46" i="1610" s="1"/>
  <c r="EP45" i="1610" a="1"/>
  <c r="EP45" i="1610" s="1"/>
  <c r="JC44" i="1610" a="1"/>
  <c r="JC44" i="1610" s="1"/>
  <c r="GU47" i="1610" a="1"/>
  <c r="GU47" i="1610" s="1"/>
  <c r="AT47" i="1610" a="1"/>
  <c r="AT47" i="1610" s="1"/>
  <c r="EZ46" i="1610" a="1"/>
  <c r="EZ46" i="1610" s="1"/>
  <c r="B46" i="1610" a="1"/>
  <c r="B46" i="1610" s="1"/>
  <c r="DO45" i="1610" a="1"/>
  <c r="DO45" i="1610" s="1"/>
  <c r="IB44" i="1610" a="1"/>
  <c r="IB44" i="1610" s="1"/>
  <c r="HH47" i="1610" a="1"/>
  <c r="HH47" i="1610" s="1"/>
  <c r="BF47" i="1610" a="1"/>
  <c r="BF47" i="1610" s="1"/>
  <c r="FX46" i="1610" a="1"/>
  <c r="FX46" i="1610" s="1"/>
  <c r="Z46" i="1610" a="1"/>
  <c r="Z46" i="1610" s="1"/>
  <c r="EM45" i="1610" a="1"/>
  <c r="EM45" i="1610" s="1"/>
  <c r="ED49" i="1610" a="1"/>
  <c r="ED49" i="1610" s="1"/>
  <c r="GE47" i="1610" a="1"/>
  <c r="GE47" i="1610" s="1"/>
  <c r="AE47" i="1610" a="1"/>
  <c r="AE47" i="1610" s="1"/>
  <c r="EK46" i="1610" a="1"/>
  <c r="EK46" i="1610" s="1"/>
  <c r="IL45" i="1610" a="1"/>
  <c r="IL45" i="1610" s="1"/>
  <c r="IH47" i="1610" a="1"/>
  <c r="IH47" i="1610" s="1"/>
  <c r="CC47" i="1610" a="1"/>
  <c r="CC47" i="1610" s="1"/>
  <c r="GH46" i="1610" a="1"/>
  <c r="GH46" i="1610" s="1"/>
  <c r="AK46" i="1610" a="1"/>
  <c r="AK46" i="1610" s="1"/>
  <c r="EX45" i="1610" a="1"/>
  <c r="EX45" i="1610" s="1"/>
  <c r="JK44" i="1610" a="1"/>
  <c r="JK44" i="1610" s="1"/>
  <c r="DM44" i="1610" a="1"/>
  <c r="DM44" i="1610" s="1"/>
  <c r="IG47" i="1610" a="1"/>
  <c r="IG47" i="1610" s="1"/>
  <c r="CB47" i="1610" a="1"/>
  <c r="CB47" i="1610" s="1"/>
  <c r="GG46" i="1610" a="1"/>
  <c r="GG46" i="1610" s="1"/>
  <c r="AJ46" i="1610" a="1"/>
  <c r="AJ46" i="1610" s="1"/>
  <c r="EW45" i="1610" a="1"/>
  <c r="EW45" i="1610" s="1"/>
  <c r="JJ44" i="1610" a="1"/>
  <c r="JJ44" i="1610" s="1"/>
  <c r="GB47" i="1610" a="1"/>
  <c r="GB47" i="1610" s="1"/>
  <c r="AB47" i="1610" a="1"/>
  <c r="AB47" i="1610" s="1"/>
  <c r="EU46" i="1610" a="1"/>
  <c r="EU46" i="1610" s="1"/>
  <c r="JI45" i="1610" a="1"/>
  <c r="JI45" i="1610" s="1"/>
  <c r="DI45" i="1610" a="1"/>
  <c r="DI45" i="1610" s="1"/>
  <c r="CL48" i="1610" a="1"/>
  <c r="CL48" i="1610" s="1"/>
  <c r="EY47" i="1610" a="1"/>
  <c r="EY47" i="1610" s="1"/>
  <c r="JB46" i="1610" a="1"/>
  <c r="JB46" i="1610" s="1"/>
  <c r="DH46" i="1610" a="1"/>
  <c r="DH46" i="1610" s="1"/>
  <c r="HU45" i="1610" a="1"/>
  <c r="HU45" i="1610" s="1"/>
  <c r="BU45" i="1610" a="1"/>
  <c r="BU45" i="1610" s="1"/>
  <c r="BD48" i="1610" a="1"/>
  <c r="BD48" i="1610" s="1"/>
  <c r="EK47" i="1610" a="1"/>
  <c r="EK47" i="1610" s="1"/>
  <c r="IZ46" i="1610" a="1"/>
  <c r="IZ46" i="1610" s="1"/>
  <c r="DG46" i="1610" a="1"/>
  <c r="DG46" i="1610" s="1"/>
  <c r="GZ47" i="1610" a="1"/>
  <c r="GZ47" i="1610" s="1"/>
  <c r="AX47" i="1610" a="1"/>
  <c r="AX47" i="1610" s="1"/>
  <c r="FQ46" i="1610" a="1"/>
  <c r="FQ46" i="1610" s="1"/>
  <c r="S46" i="1610" a="1"/>
  <c r="S46" i="1610" s="1"/>
  <c r="EF45" i="1610" a="1"/>
  <c r="EF45" i="1610" s="1"/>
  <c r="HM47" i="1610" a="1"/>
  <c r="HM47" i="1610" s="1"/>
  <c r="BJ47" i="1610" a="1"/>
  <c r="BJ47" i="1610" s="1"/>
  <c r="GB46" i="1610" a="1"/>
  <c r="GB46" i="1610" s="1"/>
  <c r="AE46" i="1610" a="1"/>
  <c r="AE46" i="1610" s="1"/>
  <c r="ER45" i="1610" a="1"/>
  <c r="ER45" i="1610" s="1"/>
  <c r="AV48" i="1610" a="1"/>
  <c r="AV48" i="1610" s="1"/>
  <c r="EH47" i="1610" a="1"/>
  <c r="EH47" i="1610" s="1"/>
  <c r="IW46" i="1610" a="1"/>
  <c r="IW46" i="1610" s="1"/>
  <c r="EP49" i="1610" a="1"/>
  <c r="EP49" i="1610" s="1"/>
  <c r="GG48" i="1610" a="1"/>
  <c r="GG48" i="1610" s="1"/>
  <c r="BV49" i="1610" a="1"/>
  <c r="BV49" i="1610" s="1"/>
  <c r="HU49" i="1610" a="1"/>
  <c r="HU49" i="1610" s="1"/>
  <c r="FV48" i="1610" a="1"/>
  <c r="FV48" i="1610" s="1"/>
  <c r="BL49" i="1610" a="1"/>
  <c r="BL49" i="1610" s="1"/>
  <c r="HJ49" i="1610" a="1"/>
  <c r="HJ49" i="1610" s="1"/>
  <c r="IS48" i="1610" a="1"/>
  <c r="IS48" i="1610" s="1"/>
  <c r="DT49" i="1610" a="1"/>
  <c r="DT49" i="1610" s="1"/>
  <c r="JJ49" i="1610" a="1"/>
  <c r="JJ49" i="1610" s="1"/>
  <c r="AS48" i="1610" a="1"/>
  <c r="AS48" i="1610" s="1"/>
  <c r="HI48" i="1610" a="1"/>
  <c r="HI48" i="1610" s="1"/>
  <c r="CW49" i="1610" a="1"/>
  <c r="CW49" i="1610" s="1"/>
  <c r="IW47" i="1610" a="1"/>
  <c r="IW47" i="1610" s="1"/>
  <c r="FB48" i="1610" a="1"/>
  <c r="FB48" i="1610" s="1"/>
  <c r="AE49" i="1610" a="1"/>
  <c r="AE49" i="1610" s="1"/>
  <c r="GC49" i="1610" a="1"/>
  <c r="GC49" i="1610" s="1"/>
  <c r="FC48" i="1610" a="1"/>
  <c r="FC48" i="1610" s="1"/>
  <c r="AF49" i="1610" a="1"/>
  <c r="AF49" i="1610" s="1"/>
  <c r="GQ49" i="1610" a="1"/>
  <c r="GQ49" i="1610" s="1"/>
  <c r="EF48" i="1610" a="1"/>
  <c r="EF48" i="1610" s="1"/>
  <c r="AG49" i="1610" a="1"/>
  <c r="AG49" i="1610" s="1"/>
  <c r="FT49" i="1610" a="1"/>
  <c r="FT49" i="1610" s="1"/>
  <c r="BI48" i="1610" a="1"/>
  <c r="BI48" i="1610" s="1"/>
  <c r="HM48" i="1610" a="1"/>
  <c r="HM48" i="1610" s="1"/>
  <c r="CQ49" i="1610" a="1"/>
  <c r="CQ49" i="1610" s="1"/>
  <c r="IP49" i="1610" a="1"/>
  <c r="IP49" i="1610" s="1"/>
  <c r="FE48" i="1610" a="1"/>
  <c r="FE48" i="1610" s="1"/>
  <c r="AV49" i="1610" a="1"/>
  <c r="AV49" i="1610" s="1"/>
  <c r="GT49" i="1610" a="1"/>
  <c r="GT49" i="1610" s="1"/>
  <c r="DI48" i="1610" a="1"/>
  <c r="DI48" i="1610" s="1"/>
  <c r="JL48" i="1610" a="1"/>
  <c r="JL48" i="1610" s="1"/>
  <c r="EX49" i="1610" a="1"/>
  <c r="EX49" i="1610" s="1"/>
  <c r="AZ48" i="1610" a="1"/>
  <c r="AZ48" i="1610" s="1"/>
  <c r="GR48" i="1610" a="1"/>
  <c r="GR48" i="1610" s="1"/>
  <c r="CS49" i="1610" a="1"/>
  <c r="CS49" i="1610" s="1"/>
  <c r="IF49" i="1610" a="1"/>
  <c r="IF49" i="1610" s="1"/>
  <c r="CG43" i="1610" a="1"/>
  <c r="CG43" i="1610" s="1"/>
  <c r="BH43" i="1610" a="1"/>
  <c r="BH43" i="1610" s="1"/>
  <c r="AE43" i="1610" a="1"/>
  <c r="AE43" i="1610" s="1"/>
  <c r="FR43" i="1610" a="1"/>
  <c r="FR43" i="1610" s="1"/>
  <c r="Q43" i="1610" a="1"/>
  <c r="Q43" i="1610" s="1"/>
  <c r="ED43" i="1610" a="1"/>
  <c r="ED43" i="1610" s="1"/>
  <c r="AO43" i="1610" a="1"/>
  <c r="AO43" i="1610" s="1"/>
  <c r="GC43" i="1610" a="1"/>
  <c r="GC43" i="1610" s="1"/>
  <c r="IO43" i="1610" a="1"/>
  <c r="IO43" i="1610" s="1"/>
  <c r="FZ43" i="1610" a="1"/>
  <c r="FZ43" i="1610" s="1"/>
  <c r="Z43" i="1610" a="1"/>
  <c r="Z43" i="1610" s="1"/>
  <c r="DY43" i="1610" a="1"/>
  <c r="DY43" i="1610" s="1"/>
  <c r="BK43" i="1610" a="1"/>
  <c r="BK43" i="1610" s="1"/>
  <c r="HW43" i="1610" a="1"/>
  <c r="HW43" i="1610" s="1"/>
  <c r="BW43" i="1610" a="1"/>
  <c r="BW43" i="1610" s="1"/>
  <c r="CV43" i="1610" a="1"/>
  <c r="CV43" i="1610" s="1"/>
  <c r="CG46" i="1610" a="1"/>
  <c r="CG46" i="1610" s="1"/>
  <c r="GC44" i="1610" a="1"/>
  <c r="GC44" i="1610" s="1"/>
  <c r="HI43" i="1610" a="1"/>
  <c r="HI43" i="1610" s="1"/>
  <c r="CV44" i="1610" a="1"/>
  <c r="CV44" i="1610" s="1"/>
  <c r="AD45" i="1610" a="1"/>
  <c r="AD45" i="1610" s="1"/>
  <c r="AV44" i="1610" a="1"/>
  <c r="AV44" i="1610" s="1"/>
  <c r="HH44" i="1610" a="1"/>
  <c r="HH44" i="1610" s="1"/>
  <c r="GK43" i="1610" a="1"/>
  <c r="GK43" i="1610" s="1"/>
  <c r="CJ44" i="1610" a="1"/>
  <c r="CJ44" i="1610" s="1"/>
  <c r="D45" i="1610" a="1"/>
  <c r="D45" i="1610" s="1"/>
  <c r="IL43" i="1610" a="1"/>
  <c r="IL43" i="1610" s="1"/>
  <c r="EC44" i="1610" a="1"/>
  <c r="EC44" i="1610" s="1"/>
  <c r="FD45" i="1610" a="1"/>
  <c r="FD45" i="1610" s="1"/>
  <c r="AL44" i="1610" a="1"/>
  <c r="AL44" i="1610" s="1"/>
  <c r="GV44" i="1610" a="1"/>
  <c r="GV44" i="1610" s="1"/>
  <c r="JB43" i="1610" a="1"/>
  <c r="JB43" i="1610" s="1"/>
  <c r="ES44" i="1610" a="1"/>
  <c r="ES44" i="1610" s="1"/>
  <c r="FL45" i="1610" a="1"/>
  <c r="FL45" i="1610" s="1"/>
  <c r="ET44" i="1610" a="1"/>
  <c r="ET44" i="1610" s="1"/>
  <c r="FQ45" i="1610" a="1"/>
  <c r="FQ45" i="1610" s="1"/>
  <c r="AP44" i="1610" a="1"/>
  <c r="AP44" i="1610" s="1"/>
  <c r="GZ44" i="1610" a="1"/>
  <c r="GZ44" i="1610" s="1"/>
  <c r="HE43" i="1610" a="1"/>
  <c r="HE43" i="1610" s="1"/>
  <c r="CR44" i="1610" a="1"/>
  <c r="CR44" i="1610" s="1"/>
  <c r="R45" i="1610" a="1"/>
  <c r="R45" i="1610" s="1"/>
  <c r="GF43" i="1610" a="1"/>
  <c r="GF43" i="1610" s="1"/>
  <c r="BQ44" i="1610" a="1"/>
  <c r="BQ44" i="1610" s="1"/>
  <c r="II44" i="1610" a="1"/>
  <c r="II44" i="1610" s="1"/>
  <c r="HT43" i="1610" a="1"/>
  <c r="HT43" i="1610" s="1"/>
  <c r="DH44" i="1610" a="1"/>
  <c r="DH44" i="1610" s="1"/>
  <c r="BD45" i="1610" a="1"/>
  <c r="BD45" i="1610" s="1"/>
  <c r="HJ47" i="1610" a="1"/>
  <c r="HJ47" i="1610" s="1"/>
  <c r="BH47" i="1610" a="1"/>
  <c r="BH47" i="1610" s="1"/>
  <c r="FM46" i="1610" a="1"/>
  <c r="FM46" i="1610" s="1"/>
  <c r="P46" i="1610" a="1"/>
  <c r="P46" i="1610" s="1"/>
  <c r="EC45" i="1610" a="1"/>
  <c r="EC45" i="1610" s="1"/>
  <c r="IP44" i="1610" a="1"/>
  <c r="IP44" i="1610" s="1"/>
  <c r="GG47" i="1610" a="1"/>
  <c r="GG47" i="1610" s="1"/>
  <c r="AG47" i="1610" a="1"/>
  <c r="AG47" i="1610" s="1"/>
  <c r="EM46" i="1610" a="1"/>
  <c r="EM46" i="1610" s="1"/>
  <c r="JB45" i="1610" a="1"/>
  <c r="JB45" i="1610" s="1"/>
  <c r="DB45" i="1610" a="1"/>
  <c r="DB45" i="1610" s="1"/>
  <c r="HO44" i="1610" a="1"/>
  <c r="HO44" i="1610" s="1"/>
  <c r="GT47" i="1610" a="1"/>
  <c r="GT47" i="1610" s="1"/>
  <c r="AS47" i="1610" a="1"/>
  <c r="AS47" i="1610" s="1"/>
  <c r="FK46" i="1610" a="1"/>
  <c r="FK46" i="1610" s="1"/>
  <c r="M46" i="1610" a="1"/>
  <c r="M46" i="1610" s="1"/>
  <c r="DZ45" i="1610" a="1"/>
  <c r="DZ45" i="1610" s="1"/>
  <c r="IE48" i="1610" a="1"/>
  <c r="IE48" i="1610" s="1"/>
  <c r="FQ47" i="1610" a="1"/>
  <c r="FQ47" i="1610" s="1"/>
  <c r="R47" i="1610" a="1"/>
  <c r="R47" i="1610" s="1"/>
  <c r="DX46" i="1610" a="1"/>
  <c r="DX46" i="1610" s="1"/>
  <c r="HY45" i="1610" a="1"/>
  <c r="HY45" i="1610" s="1"/>
  <c r="HT47" i="1610" a="1"/>
  <c r="HT47" i="1610" s="1"/>
  <c r="BQ47" i="1610" a="1"/>
  <c r="BQ47" i="1610" s="1"/>
  <c r="FV46" i="1610" a="1"/>
  <c r="FV46" i="1610" s="1"/>
  <c r="X46" i="1610" a="1"/>
  <c r="X46" i="1610" s="1"/>
  <c r="EK45" i="1610" a="1"/>
  <c r="EK45" i="1610" s="1"/>
  <c r="IX44" i="1610" a="1"/>
  <c r="IX44" i="1610" s="1"/>
  <c r="CZ44" i="1610" a="1"/>
  <c r="CZ44" i="1610" s="1"/>
  <c r="HS47" i="1610" a="1"/>
  <c r="HS47" i="1610" s="1"/>
  <c r="BP47" i="1610" a="1"/>
  <c r="BP47" i="1610" s="1"/>
  <c r="FU46" i="1610" a="1"/>
  <c r="FU46" i="1610" s="1"/>
  <c r="W46" i="1610" a="1"/>
  <c r="W46" i="1610" s="1"/>
  <c r="EJ45" i="1610" a="1"/>
  <c r="EJ45" i="1610" s="1"/>
  <c r="GT48" i="1610" a="1"/>
  <c r="GT48" i="1610" s="1"/>
  <c r="FM47" i="1610" a="1"/>
  <c r="FM47" i="1610" s="1"/>
  <c r="O47" i="1610" a="1"/>
  <c r="O47" i="1610" s="1"/>
  <c r="EH46" i="1610" a="1"/>
  <c r="EH46" i="1610" s="1"/>
  <c r="IV45" i="1610" a="1"/>
  <c r="IV45" i="1610" s="1"/>
  <c r="CV45" i="1610" a="1"/>
  <c r="CV45" i="1610" s="1"/>
  <c r="BE48" i="1610" a="1"/>
  <c r="BE48" i="1610" s="1"/>
  <c r="EL47" i="1610" a="1"/>
  <c r="EL47" i="1610" s="1"/>
  <c r="IP46" i="1610" a="1"/>
  <c r="IP46" i="1610" s="1"/>
  <c r="CU46" i="1610" a="1"/>
  <c r="CU46" i="1610" s="1"/>
  <c r="HH45" i="1610" a="1"/>
  <c r="HH45" i="1610" s="1"/>
  <c r="BH45" i="1610" a="1"/>
  <c r="BH45" i="1610" s="1"/>
  <c r="AD48" i="1610" a="1"/>
  <c r="AD48" i="1610" s="1"/>
  <c r="DX47" i="1610" a="1"/>
  <c r="DX47" i="1610" s="1"/>
  <c r="IO46" i="1610" a="1"/>
  <c r="IO46" i="1610" s="1"/>
  <c r="CT46" i="1610" a="1"/>
  <c r="CT46" i="1610" s="1"/>
  <c r="GL47" i="1610" a="1"/>
  <c r="GL47" i="1610" s="1"/>
  <c r="AK47" i="1610" a="1"/>
  <c r="AK47" i="1610" s="1"/>
  <c r="FE46" i="1610" a="1"/>
  <c r="FE46" i="1610" s="1"/>
  <c r="F46" i="1610" a="1"/>
  <c r="F46" i="1610" s="1"/>
  <c r="DS45" i="1610" a="1"/>
  <c r="DS45" i="1610" s="1"/>
  <c r="GY47" i="1610" a="1"/>
  <c r="GY47" i="1610" s="1"/>
  <c r="AW47" i="1610" a="1"/>
  <c r="AW47" i="1610" s="1"/>
  <c r="FP46" i="1610" a="1"/>
  <c r="FP46" i="1610" s="1"/>
  <c r="R46" i="1610" a="1"/>
  <c r="R46" i="1610" s="1"/>
  <c r="EE45" i="1610" a="1"/>
  <c r="EE45" i="1610" s="1"/>
  <c r="X48" i="1610" a="1"/>
  <c r="X48" i="1610" s="1"/>
  <c r="DU47" i="1610" a="1"/>
  <c r="DU47" i="1610" s="1"/>
  <c r="IK46" i="1610" a="1"/>
  <c r="IK46" i="1610" s="1"/>
  <c r="JC48" i="1610" a="1"/>
  <c r="JC48" i="1610" s="1"/>
  <c r="GS48" i="1610" a="1"/>
  <c r="GS48" i="1610" s="1"/>
  <c r="CH49" i="1610" a="1"/>
  <c r="CH49" i="1610" s="1"/>
  <c r="IG49" i="1610" a="1"/>
  <c r="IG49" i="1610" s="1"/>
  <c r="GI48" i="1610" a="1"/>
  <c r="GI48" i="1610" s="1"/>
  <c r="BX49" i="1610" a="1"/>
  <c r="BX49" i="1610" s="1"/>
  <c r="HW49" i="1610" a="1"/>
  <c r="HW49" i="1610" s="1"/>
  <c r="JE48" i="1610" a="1"/>
  <c r="JE48" i="1610" s="1"/>
  <c r="EF49" i="1610" a="1"/>
  <c r="EF49" i="1610" s="1"/>
  <c r="FY47" i="1610" a="1"/>
  <c r="FY47" i="1610" s="1"/>
  <c r="BR48" i="1610" a="1"/>
  <c r="BR48" i="1610" s="1"/>
  <c r="HU48" i="1610" a="1"/>
  <c r="HU48" i="1610" s="1"/>
  <c r="DI49" i="1610" a="1"/>
  <c r="DI49" i="1610" s="1"/>
  <c r="JJ47" i="1610" a="1"/>
  <c r="JJ47" i="1610" s="1"/>
  <c r="FL48" i="1610" a="1"/>
  <c r="FL48" i="1610" s="1"/>
  <c r="AR49" i="1610" a="1"/>
  <c r="AR49" i="1610" s="1"/>
  <c r="GP49" i="1610" a="1"/>
  <c r="GP49" i="1610" s="1"/>
  <c r="FM48" i="1610" a="1"/>
  <c r="FM48" i="1610" s="1"/>
  <c r="AS49" i="1610" a="1"/>
  <c r="AS49" i="1610" s="1"/>
  <c r="HB49" i="1610" a="1"/>
  <c r="HB49" i="1610" s="1"/>
  <c r="EQ48" i="1610" a="1"/>
  <c r="EQ48" i="1610" s="1"/>
  <c r="AT49" i="1610" a="1"/>
  <c r="AT49" i="1610" s="1"/>
  <c r="GE49" i="1610" a="1"/>
  <c r="GE49" i="1610" s="1"/>
  <c r="BV48" i="1610" a="1"/>
  <c r="BV48" i="1610" s="1"/>
  <c r="HY48" i="1610" a="1"/>
  <c r="HY48" i="1610" s="1"/>
  <c r="CZ49" i="1610" a="1"/>
  <c r="CZ49" i="1610" s="1"/>
  <c r="JC49" i="1610" a="1"/>
  <c r="JC49" i="1610" s="1"/>
  <c r="FQ48" i="1610" a="1"/>
  <c r="FQ48" i="1610" s="1"/>
  <c r="BG49" i="1610" a="1"/>
  <c r="BG49" i="1610" s="1"/>
  <c r="HE49" i="1610" a="1"/>
  <c r="HE49" i="1610" s="1"/>
  <c r="DV48" i="1610" a="1"/>
  <c r="DV48" i="1610" s="1"/>
  <c r="L49" i="1610" a="1"/>
  <c r="L49" i="1610" s="1"/>
  <c r="FK49" i="1610" a="1"/>
  <c r="FK49" i="1610" s="1"/>
  <c r="BL48" i="1610" a="1"/>
  <c r="BL48" i="1610" s="1"/>
  <c r="HP48" i="1610" a="1"/>
  <c r="HP48" i="1610" s="1"/>
  <c r="DD49" i="1610" a="1"/>
  <c r="DD49" i="1610" s="1"/>
  <c r="IS49" i="1610" a="1"/>
  <c r="IS49" i="1610" s="1"/>
  <c r="JD49" i="1610" a="1"/>
  <c r="JD49" i="1610" s="1"/>
  <c r="BT43" i="1610" a="1"/>
  <c r="BT43" i="1610" s="1"/>
  <c r="DS43" i="1610" a="1"/>
  <c r="DS43" i="1610" s="1"/>
  <c r="R43" i="1610" a="1"/>
  <c r="R43" i="1610" s="1"/>
  <c r="FE43" i="1610" a="1"/>
  <c r="FE43" i="1610" s="1"/>
  <c r="CP43" i="1610" a="1"/>
  <c r="CP43" i="1610" s="1"/>
  <c r="DQ43" i="1610" a="1"/>
  <c r="DQ43" i="1610" s="1"/>
  <c r="FH43" i="1610" a="1"/>
  <c r="FH43" i="1610" s="1"/>
  <c r="FP43" i="1610" a="1"/>
  <c r="FP43" i="1610" s="1"/>
  <c r="IB43" i="1610" a="1"/>
  <c r="IB43" i="1610" s="1"/>
  <c r="FM43" i="1610" a="1"/>
  <c r="FM43" i="1610" s="1"/>
  <c r="M43" i="1610" a="1"/>
  <c r="M43" i="1610" s="1"/>
  <c r="DL43" i="1610" a="1"/>
  <c r="DL43" i="1610" s="1"/>
  <c r="BF44" i="1610" a="1"/>
  <c r="BF44" i="1610" s="1"/>
  <c r="AX43" i="1610" a="1"/>
  <c r="AX43" i="1610" s="1"/>
  <c r="HJ43" i="1610" a="1"/>
  <c r="HJ43" i="1610" s="1"/>
  <c r="BJ43" i="1610" a="1"/>
  <c r="BJ43" i="1610" s="1"/>
  <c r="CI43" i="1610" a="1"/>
  <c r="CI43" i="1610" s="1"/>
  <c r="G46" i="1610" a="1"/>
  <c r="G46" i="1610" s="1"/>
  <c r="FO44" i="1610" a="1"/>
  <c r="FO44" i="1610" s="1"/>
  <c r="HV43" i="1610" a="1"/>
  <c r="HV43" i="1610" s="1"/>
  <c r="DJ44" i="1610" a="1"/>
  <c r="DJ44" i="1610" s="1"/>
  <c r="BG45" i="1610" a="1"/>
  <c r="BG45" i="1610" s="1"/>
  <c r="BH44" i="1610" a="1"/>
  <c r="BH44" i="1610" s="1"/>
  <c r="HW44" i="1610" a="1"/>
  <c r="HW44" i="1610" s="1"/>
  <c r="GX43" i="1610" a="1"/>
  <c r="GX43" i="1610" s="1"/>
  <c r="CX44" i="1610" a="1"/>
  <c r="CX44" i="1610" s="1"/>
  <c r="AF45" i="1610" a="1"/>
  <c r="AF45" i="1610" s="1"/>
  <c r="IY43" i="1610" a="1"/>
  <c r="IY43" i="1610" s="1"/>
  <c r="EQ44" i="1610" a="1"/>
  <c r="EQ44" i="1610" s="1"/>
  <c r="HT45" i="1610" a="1"/>
  <c r="HT45" i="1610" s="1"/>
  <c r="AX44" i="1610" a="1"/>
  <c r="AX44" i="1610" s="1"/>
  <c r="HL44" i="1610" a="1"/>
  <c r="HL44" i="1610" s="1"/>
  <c r="B44" i="1610" a="1"/>
  <c r="B44" i="1610" s="1"/>
  <c r="FG44" i="1610" a="1"/>
  <c r="FG44" i="1610" s="1"/>
  <c r="IG45" i="1610" a="1"/>
  <c r="IG45" i="1610" s="1"/>
  <c r="FH44" i="1610" a="1"/>
  <c r="FH44" i="1610" s="1"/>
  <c r="IQ45" i="1610" a="1"/>
  <c r="IQ45" i="1610" s="1"/>
  <c r="BB44" i="1610" a="1"/>
  <c r="BB44" i="1610" s="1"/>
  <c r="HQ44" i="1610" a="1"/>
  <c r="HQ44" i="1610" s="1"/>
  <c r="HR43" i="1610" a="1"/>
  <c r="HR43" i="1610" s="1"/>
  <c r="DF44" i="1610" a="1"/>
  <c r="DF44" i="1610" s="1"/>
  <c r="AT45" i="1610" a="1"/>
  <c r="AT45" i="1610" s="1"/>
  <c r="GS43" i="1610" a="1"/>
  <c r="GS43" i="1610" s="1"/>
  <c r="CE44" i="1610" a="1"/>
  <c r="CE44" i="1610" s="1"/>
  <c r="JD44" i="1610" a="1"/>
  <c r="JD44" i="1610" s="1"/>
  <c r="IG43" i="1610" a="1"/>
  <c r="IG43" i="1610" s="1"/>
  <c r="DV44" i="1610" a="1"/>
  <c r="DV44" i="1610" s="1"/>
  <c r="CQ45" i="1610" a="1"/>
  <c r="CQ45" i="1610" s="1"/>
  <c r="GV47" i="1610" a="1"/>
  <c r="GV47" i="1610" s="1"/>
  <c r="AU47" i="1610" a="1"/>
  <c r="AU47" i="1610" s="1"/>
  <c r="FB46" i="1610" a="1"/>
  <c r="FB46" i="1610" s="1"/>
  <c r="C46" i="1610" a="1"/>
  <c r="C46" i="1610" s="1"/>
  <c r="DP45" i="1610" a="1"/>
  <c r="DP45" i="1610" s="1"/>
  <c r="IC44" i="1610" a="1"/>
  <c r="IC44" i="1610" s="1"/>
  <c r="FS47" i="1610" a="1"/>
  <c r="FS47" i="1610" s="1"/>
  <c r="T47" i="1610" a="1"/>
  <c r="T47" i="1610" s="1"/>
  <c r="DZ46" i="1610" a="1"/>
  <c r="DZ46" i="1610" s="1"/>
  <c r="IO45" i="1610" a="1"/>
  <c r="IO45" i="1610" s="1"/>
  <c r="CO45" i="1610" a="1"/>
  <c r="CO45" i="1610" s="1"/>
  <c r="HB44" i="1610" a="1"/>
  <c r="HB44" i="1610" s="1"/>
  <c r="GF47" i="1610" a="1"/>
  <c r="GF47" i="1610" s="1"/>
  <c r="AF47" i="1610" a="1"/>
  <c r="AF47" i="1610" s="1"/>
  <c r="EY46" i="1610" a="1"/>
  <c r="EY46" i="1610" s="1"/>
  <c r="JM45" i="1610" a="1"/>
  <c r="JM45" i="1610" s="1"/>
  <c r="DM45" i="1610" a="1"/>
  <c r="DM45" i="1610" s="1"/>
  <c r="DL48" i="1610" a="1"/>
  <c r="DL48" i="1610" s="1"/>
  <c r="FD47" i="1610" a="1"/>
  <c r="FD47" i="1610" s="1"/>
  <c r="E47" i="1610" a="1"/>
  <c r="E47" i="1610" s="1"/>
  <c r="CY46" i="1610" a="1"/>
  <c r="CY46" i="1610" s="1"/>
  <c r="HL45" i="1610" a="1"/>
  <c r="HL45" i="1610" s="1"/>
  <c r="HF47" i="1610" a="1"/>
  <c r="HF47" i="1610" s="1"/>
  <c r="BD47" i="1610" a="1"/>
  <c r="BD47" i="1610" s="1"/>
  <c r="FJ46" i="1610" a="1"/>
  <c r="FJ46" i="1610" s="1"/>
  <c r="K46" i="1610" a="1"/>
  <c r="K46" i="1610" s="1"/>
  <c r="DX45" i="1610" a="1"/>
  <c r="DX45" i="1610" s="1"/>
  <c r="IK44" i="1610" a="1"/>
  <c r="IK44" i="1610" s="1"/>
  <c r="CM44" i="1610" a="1"/>
  <c r="CM44" i="1610" s="1"/>
  <c r="HE47" i="1610" a="1"/>
  <c r="HE47" i="1610" s="1"/>
  <c r="BC47" i="1610" a="1"/>
  <c r="BC47" i="1610" s="1"/>
  <c r="FI46" i="1610" a="1"/>
  <c r="FI46" i="1610" s="1"/>
  <c r="J46" i="1610" a="1"/>
  <c r="J46" i="1610" s="1"/>
  <c r="DW45" i="1610" a="1"/>
  <c r="DW45" i="1610" s="1"/>
  <c r="CO48" i="1610" a="1"/>
  <c r="CO48" i="1610" s="1"/>
  <c r="EZ47" i="1610" a="1"/>
  <c r="EZ47" i="1610" s="1"/>
  <c r="B47" i="1610" a="1"/>
  <c r="B47" i="1610" s="1"/>
  <c r="DU46" i="1610" a="1"/>
  <c r="DU46" i="1610" s="1"/>
  <c r="II45" i="1610" a="1"/>
  <c r="II45" i="1610" s="1"/>
  <c r="CI45" i="1610" a="1"/>
  <c r="CI45" i="1610" s="1"/>
  <c r="AE48" i="1610" a="1"/>
  <c r="AE48" i="1610" s="1"/>
  <c r="DY47" i="1610" a="1"/>
  <c r="DY47" i="1610" s="1"/>
  <c r="ID46" i="1610" a="1"/>
  <c r="ID46" i="1610" s="1"/>
  <c r="CH46" i="1610" a="1"/>
  <c r="CH46" i="1610" s="1"/>
  <c r="GU45" i="1610" a="1"/>
  <c r="GU45" i="1610" s="1"/>
  <c r="AU45" i="1610" a="1"/>
  <c r="AU45" i="1610" s="1"/>
  <c r="J48" i="1610" a="1"/>
  <c r="J48" i="1610" s="1"/>
  <c r="DK47" i="1610" a="1"/>
  <c r="DK47" i="1610" s="1"/>
  <c r="IC46" i="1610" a="1"/>
  <c r="IC46" i="1610" s="1"/>
  <c r="AY49" i="1610" a="1"/>
  <c r="AY49" i="1610" s="1"/>
  <c r="FW47" i="1610" a="1"/>
  <c r="FW47" i="1610" s="1"/>
  <c r="X47" i="1610" a="1"/>
  <c r="X47" i="1610" s="1"/>
  <c r="ER46" i="1610" a="1"/>
  <c r="ER46" i="1610" s="1"/>
  <c r="JF45" i="1610" a="1"/>
  <c r="JF45" i="1610" s="1"/>
  <c r="GW49" i="1610" a="1"/>
  <c r="GW49" i="1610" s="1"/>
  <c r="GJ47" i="1610" a="1"/>
  <c r="GJ47" i="1610" s="1"/>
  <c r="AJ47" i="1610" a="1"/>
  <c r="AJ47" i="1610" s="1"/>
  <c r="FD46" i="1610" a="1"/>
  <c r="FD46" i="1610" s="1"/>
  <c r="E46" i="1610" a="1"/>
  <c r="E46" i="1610" s="1"/>
  <c r="DR45" i="1610" a="1"/>
  <c r="DR45" i="1610" s="1"/>
  <c r="F48" i="1610" a="1"/>
  <c r="F48" i="1610" s="1"/>
  <c r="DH47" i="1610" a="1"/>
  <c r="DH47" i="1610" s="1"/>
  <c r="HY46" i="1610" a="1"/>
  <c r="HY46" i="1610" s="1"/>
  <c r="FB49" i="1610" a="1"/>
  <c r="FB49" i="1610" s="1"/>
  <c r="HE48" i="1610" a="1"/>
  <c r="HE48" i="1610" s="1"/>
  <c r="CT49" i="1610" a="1"/>
  <c r="CT49" i="1610" s="1"/>
  <c r="IT49" i="1610" a="1"/>
  <c r="IT49" i="1610" s="1"/>
  <c r="GU48" i="1610" a="1"/>
  <c r="GU48" i="1610" s="1"/>
  <c r="CJ49" i="1610" a="1"/>
  <c r="CJ49" i="1610" s="1"/>
  <c r="II49" i="1610" a="1"/>
  <c r="II49" i="1610" s="1"/>
  <c r="E49" i="1610" a="1"/>
  <c r="E49" i="1610" s="1"/>
  <c r="ER49" i="1610" a="1"/>
  <c r="ER49" i="1610" s="1"/>
  <c r="GK47" i="1610" a="1"/>
  <c r="GK47" i="1610" s="1"/>
  <c r="CE48" i="1610" a="1"/>
  <c r="CE48" i="1610" s="1"/>
  <c r="IG48" i="1610" a="1"/>
  <c r="IG48" i="1610" s="1"/>
  <c r="DU49" i="1610" a="1"/>
  <c r="DU49" i="1610" s="1"/>
  <c r="T48" i="1610" a="1"/>
  <c r="T48" i="1610" s="1"/>
  <c r="FY48" i="1610" a="1"/>
  <c r="FY48" i="1610" s="1"/>
  <c r="BC49" i="1610" a="1"/>
  <c r="BC49" i="1610" s="1"/>
  <c r="GZ49" i="1610" a="1"/>
  <c r="GZ49" i="1610" s="1"/>
  <c r="FZ48" i="1610" a="1"/>
  <c r="FZ48" i="1610" s="1"/>
  <c r="BD49" i="1610" a="1"/>
  <c r="BD49" i="1610" s="1"/>
  <c r="HO49" i="1610" a="1"/>
  <c r="HO49" i="1610" s="1"/>
  <c r="FD48" i="1610" a="1"/>
  <c r="FD48" i="1610" s="1"/>
  <c r="BE49" i="1610" a="1"/>
  <c r="BE49" i="1610" s="1"/>
  <c r="GR49" i="1610" a="1"/>
  <c r="GR49" i="1610" s="1"/>
  <c r="CH48" i="1610" a="1"/>
  <c r="CH48" i="1610" s="1"/>
  <c r="IK48" i="1610" a="1"/>
  <c r="IK48" i="1610" s="1"/>
  <c r="DM49" i="1610" a="1"/>
  <c r="DM49" i="1610" s="1"/>
  <c r="AK48" i="1610" a="1"/>
  <c r="AK48" i="1610" s="1"/>
  <c r="GD48" i="1610" a="1"/>
  <c r="GD48" i="1610" s="1"/>
  <c r="BT49" i="1610" a="1"/>
  <c r="BT49" i="1610" s="1"/>
  <c r="HR49" i="1610" a="1"/>
  <c r="HR49" i="1610" s="1"/>
  <c r="ET48" i="1610" a="1"/>
  <c r="ET48" i="1610" s="1"/>
  <c r="X49" i="1610" a="1"/>
  <c r="X49" i="1610" s="1"/>
  <c r="FV49" i="1610" a="1"/>
  <c r="FV49" i="1610" s="1"/>
  <c r="BY48" i="1610" a="1"/>
  <c r="BY48" i="1610" s="1"/>
  <c r="IC48" i="1610" a="1"/>
  <c r="IC48" i="1610" s="1"/>
  <c r="DQ49" i="1610" a="1"/>
  <c r="DQ49" i="1610" s="1"/>
  <c r="DO49" i="1610" a="1"/>
  <c r="DO49" i="1610" s="1"/>
  <c r="GQ45" i="1610" a="1"/>
  <c r="GQ45" i="1610" s="1"/>
  <c r="BG43" i="1610" a="1"/>
  <c r="BG43" i="1610" s="1"/>
  <c r="DF43" i="1610" a="1"/>
  <c r="DF43" i="1610" s="1"/>
  <c r="ER43" i="1610" a="1"/>
  <c r="ER43" i="1610" s="1"/>
  <c r="AP43" i="1610" a="1"/>
  <c r="AP43" i="1610" s="1"/>
  <c r="DD43" i="1610" a="1"/>
  <c r="DD43" i="1610" s="1"/>
  <c r="U43" i="1610" a="1"/>
  <c r="U43" i="1610" s="1"/>
  <c r="FC43" i="1610" a="1"/>
  <c r="FC43" i="1610" s="1"/>
  <c r="HO43" i="1610" a="1"/>
  <c r="HO43" i="1610" s="1"/>
  <c r="EZ43" i="1610" a="1"/>
  <c r="EZ43" i="1610" s="1"/>
  <c r="CY43" i="1610" a="1"/>
  <c r="CY43" i="1610" s="1"/>
  <c r="IU43" i="1610" a="1"/>
  <c r="IU43" i="1610" s="1"/>
  <c r="AK43" i="1610" a="1"/>
  <c r="AK43" i="1610" s="1"/>
  <c r="GW43" i="1610" a="1"/>
  <c r="GW43" i="1610" s="1"/>
  <c r="AW43" i="1610" a="1"/>
  <c r="AW43" i="1610" s="1"/>
  <c r="BV43" i="1610" a="1"/>
  <c r="BV43" i="1610" s="1"/>
  <c r="GT45" i="1610" a="1"/>
  <c r="GT45" i="1610" s="1"/>
  <c r="EY44" i="1610" a="1"/>
  <c r="EY44" i="1610" s="1"/>
  <c r="II43" i="1610" a="1"/>
  <c r="II43" i="1610" s="1"/>
  <c r="DX44" i="1610" a="1"/>
  <c r="DX44" i="1610" s="1"/>
  <c r="CT45" i="1610" a="1"/>
  <c r="CT45" i="1610" s="1"/>
  <c r="BU44" i="1610" a="1"/>
  <c r="BU44" i="1610" s="1"/>
  <c r="IQ44" i="1610" a="1"/>
  <c r="IQ44" i="1610" s="1"/>
  <c r="HK43" i="1610" a="1"/>
  <c r="HK43" i="1610" s="1"/>
  <c r="DL44" i="1610" a="1"/>
  <c r="DL44" i="1610" s="1"/>
  <c r="BQ45" i="1610" a="1"/>
  <c r="BQ45" i="1610" s="1"/>
  <c r="JL43" i="1610" a="1"/>
  <c r="JL43" i="1610" s="1"/>
  <c r="JL11" i="1610" s="1"/>
  <c r="FE44" i="1610" a="1"/>
  <c r="FE44" i="1610" s="1"/>
  <c r="AG46" i="1610" a="1"/>
  <c r="AG46" i="1610" s="1"/>
  <c r="BK44" i="1610" a="1"/>
  <c r="BK44" i="1610" s="1"/>
  <c r="ID44" i="1610" a="1"/>
  <c r="ID44" i="1610" s="1"/>
  <c r="M44" i="1610" a="1"/>
  <c r="M44" i="1610" s="1"/>
  <c r="FU44" i="1610" a="1"/>
  <c r="FU44" i="1610" s="1"/>
  <c r="AT46" i="1610" a="1"/>
  <c r="AT46" i="1610" s="1"/>
  <c r="FV44" i="1610" a="1"/>
  <c r="FV44" i="1610" s="1"/>
  <c r="BD46" i="1610" a="1"/>
  <c r="BD46" i="1610" s="1"/>
  <c r="BO44" i="1610" a="1"/>
  <c r="BO44" i="1610" s="1"/>
  <c r="IG44" i="1610" a="1"/>
  <c r="IG44" i="1610" s="1"/>
  <c r="IE43" i="1610" a="1"/>
  <c r="IE43" i="1610" s="1"/>
  <c r="DT44" i="1610" a="1"/>
  <c r="DT44" i="1610" s="1"/>
  <c r="CG45" i="1610" a="1"/>
  <c r="CG45" i="1610" s="1"/>
  <c r="HF43" i="1610" a="1"/>
  <c r="HF43" i="1610" s="1"/>
  <c r="CS44" i="1610" a="1"/>
  <c r="CS44" i="1610" s="1"/>
  <c r="S45" i="1610" a="1"/>
  <c r="S45" i="1610" s="1"/>
  <c r="IT43" i="1610" a="1"/>
  <c r="IT43" i="1610" s="1"/>
  <c r="EJ44" i="1610" a="1"/>
  <c r="EJ44" i="1610" s="1"/>
  <c r="EG45" i="1610" a="1"/>
  <c r="EG45" i="1610" s="1"/>
  <c r="GH47" i="1610" a="1"/>
  <c r="GH47" i="1610" s="1"/>
  <c r="AH47" i="1610" a="1"/>
  <c r="AH47" i="1610" s="1"/>
  <c r="EO46" i="1610" a="1"/>
  <c r="EO46" i="1610" s="1"/>
  <c r="JC45" i="1610" a="1"/>
  <c r="JC45" i="1610" s="1"/>
  <c r="DC45" i="1610" a="1"/>
  <c r="DC45" i="1610" s="1"/>
  <c r="DY48" i="1610" a="1"/>
  <c r="DY48" i="1610" s="1"/>
  <c r="FF47" i="1610" a="1"/>
  <c r="FF47" i="1610" s="1"/>
  <c r="G47" i="1610" a="1"/>
  <c r="G47" i="1610" s="1"/>
  <c r="DM46" i="1610" a="1"/>
  <c r="DM46" i="1610" s="1"/>
  <c r="IB45" i="1610" a="1"/>
  <c r="IB45" i="1610" s="1"/>
  <c r="CB45" i="1610" a="1"/>
  <c r="CB45" i="1610" s="1"/>
  <c r="GO44" i="1610" a="1"/>
  <c r="GO44" i="1610" s="1"/>
  <c r="FR47" i="1610" a="1"/>
  <c r="FR47" i="1610" s="1"/>
  <c r="S47" i="1610" a="1"/>
  <c r="S47" i="1610" s="1"/>
  <c r="EL46" i="1610" a="1"/>
  <c r="EL46" i="1610" s="1"/>
  <c r="IZ45" i="1610" a="1"/>
  <c r="IZ45" i="1610" s="1"/>
  <c r="CZ45" i="1610" a="1"/>
  <c r="CZ45" i="1610" s="1"/>
  <c r="BO48" i="1610" a="1"/>
  <c r="BO48" i="1610" s="1"/>
  <c r="EQ47" i="1610" a="1"/>
  <c r="EQ47" i="1610" s="1"/>
  <c r="JF46" i="1610" a="1"/>
  <c r="JF46" i="1610" s="1"/>
  <c r="CL46" i="1610" a="1"/>
  <c r="CL46" i="1610" s="1"/>
  <c r="GY45" i="1610" a="1"/>
  <c r="GY45" i="1610" s="1"/>
  <c r="GR47" i="1610" a="1"/>
  <c r="GR47" i="1610" s="1"/>
  <c r="AQ47" i="1610" a="1"/>
  <c r="AQ47" i="1610" s="1"/>
  <c r="EW46" i="1610" a="1"/>
  <c r="EW46" i="1610" s="1"/>
  <c r="JK45" i="1610" a="1"/>
  <c r="JK45" i="1610" s="1"/>
  <c r="DK45" i="1610" a="1"/>
  <c r="DK45" i="1610" s="1"/>
  <c r="HX44" i="1610" a="1"/>
  <c r="HX44" i="1610" s="1"/>
  <c r="BZ44" i="1610" a="1"/>
  <c r="BZ44" i="1610" s="1"/>
  <c r="GQ47" i="1610" a="1"/>
  <c r="GQ47" i="1610" s="1"/>
  <c r="AP47" i="1610" a="1"/>
  <c r="AP47" i="1610" s="1"/>
  <c r="EV46" i="1610" a="1"/>
  <c r="EV46" i="1610" s="1"/>
  <c r="JJ45" i="1610" a="1"/>
  <c r="JJ45" i="1610" s="1"/>
  <c r="DJ45" i="1610" a="1"/>
  <c r="DJ45" i="1610" s="1"/>
  <c r="BG48" i="1610" a="1"/>
  <c r="BG48" i="1610" s="1"/>
  <c r="EM47" i="1610" a="1"/>
  <c r="EM47" i="1610" s="1"/>
  <c r="JC46" i="1610" a="1"/>
  <c r="JC46" i="1610" s="1"/>
  <c r="DI46" i="1610" a="1"/>
  <c r="DI46" i="1610" s="1"/>
  <c r="HV45" i="1610" a="1"/>
  <c r="HV45" i="1610" s="1"/>
  <c r="BV45" i="1610" a="1"/>
  <c r="BV45" i="1610" s="1"/>
  <c r="K48" i="1610" a="1"/>
  <c r="K48" i="1610" s="1"/>
  <c r="DL47" i="1610" a="1"/>
  <c r="DL47" i="1610" s="1"/>
  <c r="HQ46" i="1610" a="1"/>
  <c r="HQ46" i="1610" s="1"/>
  <c r="BU46" i="1610" a="1"/>
  <c r="BU46" i="1610" s="1"/>
  <c r="GH45" i="1610" a="1"/>
  <c r="GH45" i="1610" s="1"/>
  <c r="AH45" i="1610" a="1"/>
  <c r="AH45" i="1610" s="1"/>
  <c r="JG47" i="1610" a="1"/>
  <c r="JG47" i="1610" s="1"/>
  <c r="CX47" i="1610" a="1"/>
  <c r="CX47" i="1610" s="1"/>
  <c r="HP46" i="1610" a="1"/>
  <c r="HP46" i="1610" s="1"/>
  <c r="EW48" i="1610" a="1"/>
  <c r="EW48" i="1610" s="1"/>
  <c r="FJ47" i="1610" a="1"/>
  <c r="FJ47" i="1610" s="1"/>
  <c r="K47" i="1610" a="1"/>
  <c r="K47" i="1610" s="1"/>
  <c r="EE46" i="1610" a="1"/>
  <c r="EE46" i="1610" s="1"/>
  <c r="IS45" i="1610" a="1"/>
  <c r="IS45" i="1610" s="1"/>
  <c r="AM49" i="1610" a="1"/>
  <c r="AM49" i="1610" s="1"/>
  <c r="FV47" i="1610" a="1"/>
  <c r="FV47" i="1610" s="1"/>
  <c r="W47" i="1610" a="1"/>
  <c r="W47" i="1610" s="1"/>
  <c r="EQ46" i="1610" a="1"/>
  <c r="EQ46" i="1610" s="1"/>
  <c r="JE45" i="1610" a="1"/>
  <c r="JE45" i="1610" s="1"/>
  <c r="DE45" i="1610" a="1"/>
  <c r="DE45" i="1610" s="1"/>
  <c r="JD47" i="1610" a="1"/>
  <c r="JD47" i="1610" s="1"/>
  <c r="CU47" i="1610" a="1"/>
  <c r="CU47" i="1610" s="1"/>
  <c r="JF49" i="1610" a="1"/>
  <c r="JF49" i="1610" s="1"/>
  <c r="C49" i="1610" a="1"/>
  <c r="C49" i="1610" s="1"/>
  <c r="HQ48" i="1610" a="1"/>
  <c r="HQ48" i="1610" s="1"/>
  <c r="DE49" i="1610" a="1"/>
  <c r="DE49" i="1610" s="1"/>
  <c r="JG49" i="1610" a="1"/>
  <c r="JG49" i="1610" s="1"/>
  <c r="HG48" i="1610" a="1"/>
  <c r="HG48" i="1610" s="1"/>
  <c r="CU49" i="1610" a="1"/>
  <c r="CU49" i="1610" s="1"/>
  <c r="IV49" i="1610" a="1"/>
  <c r="IV49" i="1610" s="1"/>
  <c r="R49" i="1610" a="1"/>
  <c r="R49" i="1610" s="1"/>
  <c r="FD49" i="1610" a="1"/>
  <c r="FD49" i="1610" s="1"/>
  <c r="GX47" i="1610" a="1"/>
  <c r="GX47" i="1610" s="1"/>
  <c r="CP48" i="1610" a="1"/>
  <c r="CP48" i="1610" s="1"/>
  <c r="IT48" i="1610" a="1"/>
  <c r="IT48" i="1610" s="1"/>
  <c r="EG49" i="1610" a="1"/>
  <c r="EG49" i="1610" s="1"/>
  <c r="AG48" i="1610" a="1"/>
  <c r="AG48" i="1610" s="1"/>
  <c r="GL48" i="1610" a="1"/>
  <c r="GL48" i="1610" s="1"/>
  <c r="BP49" i="1610" a="1"/>
  <c r="BP49" i="1610" s="1"/>
  <c r="HM49" i="1610" a="1"/>
  <c r="HM49" i="1610" s="1"/>
  <c r="GM48" i="1610" a="1"/>
  <c r="GM48" i="1610" s="1"/>
  <c r="BQ49" i="1610" a="1"/>
  <c r="BQ49" i="1610" s="1"/>
  <c r="HZ49" i="1610" a="1"/>
  <c r="HZ49" i="1610" s="1"/>
  <c r="FO48" i="1610" a="1"/>
  <c r="FO48" i="1610" s="1"/>
  <c r="BR49" i="1610" a="1"/>
  <c r="BR49" i="1610" s="1"/>
  <c r="HC49" i="1610" a="1"/>
  <c r="HC49" i="1610" s="1"/>
  <c r="CT48" i="1610" a="1"/>
  <c r="CT48" i="1610" s="1"/>
  <c r="IX48" i="1610" a="1"/>
  <c r="IX48" i="1610" s="1"/>
  <c r="DX49" i="1610" a="1"/>
  <c r="DX49" i="1610" s="1"/>
  <c r="AX48" i="1610" a="1"/>
  <c r="AX48" i="1610" s="1"/>
  <c r="GP48" i="1610" a="1"/>
  <c r="GP48" i="1610" s="1"/>
  <c r="CE49" i="1610" a="1"/>
  <c r="CE49" i="1610" s="1"/>
  <c r="ID49" i="1610" a="1"/>
  <c r="ID49" i="1610" s="1"/>
  <c r="FF48" i="1610" a="1"/>
  <c r="FF48" i="1610" s="1"/>
  <c r="AJ49" i="1610" a="1"/>
  <c r="AJ49" i="1610" s="1"/>
  <c r="GH49" i="1610" a="1"/>
  <c r="GH49" i="1610" s="1"/>
  <c r="CJ48" i="1610" a="1"/>
  <c r="CJ48" i="1610" s="1"/>
  <c r="IO48" i="1610" a="1"/>
  <c r="IO48" i="1610" s="1"/>
  <c r="EB49" i="1610" a="1"/>
  <c r="EB49" i="1610" s="1"/>
  <c r="GE48" i="1610" a="1"/>
  <c r="GE48" i="1610" s="1"/>
  <c r="CD46" i="1610" a="1"/>
  <c r="CD46" i="1610" s="1"/>
  <c r="AT43" i="1610" a="1"/>
  <c r="AT43" i="1610" s="1"/>
  <c r="CS43" i="1610" a="1"/>
  <c r="CS43" i="1610" s="1"/>
  <c r="EE43" i="1610" a="1"/>
  <c r="EE43" i="1610" s="1"/>
  <c r="BO43" i="1610" a="1"/>
  <c r="BO43" i="1610" s="1"/>
  <c r="CQ43" i="1610" a="1"/>
  <c r="CQ43" i="1610" s="1"/>
  <c r="AO44" i="1610" a="1"/>
  <c r="AO44" i="1610" s="1"/>
  <c r="EP43" i="1610" a="1"/>
  <c r="EP43" i="1610" s="1"/>
  <c r="HB43" i="1610" a="1"/>
  <c r="HB43" i="1610" s="1"/>
  <c r="EM43" i="1610" a="1"/>
  <c r="EM43" i="1610" s="1"/>
  <c r="J43" i="1610" a="1"/>
  <c r="J43" i="1610" s="1"/>
  <c r="CL43" i="1610" a="1"/>
  <c r="CL43" i="1610" s="1"/>
  <c r="DU43" i="1610" a="1"/>
  <c r="DU43" i="1610" s="1"/>
  <c r="X43" i="1610" a="1"/>
  <c r="X43" i="1610" s="1"/>
  <c r="GJ43" i="1610" a="1"/>
  <c r="GJ43" i="1610" s="1"/>
  <c r="BI43" i="1610" a="1"/>
  <c r="BI43" i="1610" s="1"/>
  <c r="EL45" i="1610" a="1"/>
  <c r="EL45" i="1610" s="1"/>
  <c r="EK44" i="1610" a="1"/>
  <c r="EK44" i="1610" s="1"/>
  <c r="IV43" i="1610" a="1"/>
  <c r="IV43" i="1610" s="1"/>
  <c r="EL44" i="1610" a="1"/>
  <c r="EL44" i="1610" s="1"/>
  <c r="EQ45" i="1610" a="1"/>
  <c r="EQ45" i="1610" s="1"/>
  <c r="CI44" i="1610" a="1"/>
  <c r="CI44" i="1610" s="1"/>
  <c r="JL44" i="1610" a="1"/>
  <c r="JL44" i="1610" s="1"/>
  <c r="HX43" i="1610" a="1"/>
  <c r="HX43" i="1610" s="1"/>
  <c r="EB44" i="1610" a="1"/>
  <c r="EB44" i="1610" s="1"/>
  <c r="DD45" i="1610" a="1"/>
  <c r="DD45" i="1610" s="1"/>
  <c r="K44" i="1610" a="1"/>
  <c r="K44" i="1610" s="1"/>
  <c r="FS44" i="1610" a="1"/>
  <c r="FS44" i="1610" s="1"/>
  <c r="EC46" i="1610" a="1"/>
  <c r="EC46" i="1610" s="1"/>
  <c r="BX44" i="1610" a="1"/>
  <c r="BX44" i="1610" s="1"/>
  <c r="IT44" i="1610" a="1"/>
  <c r="IT44" i="1610" s="1"/>
  <c r="Z44" i="1610" a="1"/>
  <c r="Z44" i="1610" s="1"/>
  <c r="GH44" i="1610" a="1"/>
  <c r="GH44" i="1610" s="1"/>
  <c r="FC46" i="1610" a="1"/>
  <c r="FC46" i="1610" s="1"/>
  <c r="GI44" i="1610" a="1"/>
  <c r="GI44" i="1610" s="1"/>
  <c r="FO46" i="1610" a="1"/>
  <c r="FO46" i="1610" s="1"/>
  <c r="CC44" i="1610" a="1"/>
  <c r="CC44" i="1610" s="1"/>
  <c r="IY44" i="1610" a="1"/>
  <c r="IY44" i="1610" s="1"/>
  <c r="IR43" i="1610" a="1"/>
  <c r="IR43" i="1610" s="1"/>
  <c r="EH44" i="1610" a="1"/>
  <c r="EH44" i="1610" s="1"/>
  <c r="DY45" i="1610" a="1"/>
  <c r="DY45" i="1610" s="1"/>
  <c r="HS43" i="1610" a="1"/>
  <c r="HS43" i="1610" s="1"/>
  <c r="DG44" i="1610" a="1"/>
  <c r="DG44" i="1610" s="1"/>
  <c r="AY45" i="1610" a="1"/>
  <c r="AY45" i="1610" s="1"/>
  <c r="JG43" i="1610" a="1"/>
  <c r="JG43" i="1610" s="1"/>
  <c r="JG11" i="1610" s="1"/>
  <c r="EX44" i="1610" a="1"/>
  <c r="EX44" i="1610" s="1"/>
  <c r="D46" i="1610" a="1"/>
  <c r="D46" i="1610" s="1"/>
  <c r="FT47" i="1610" a="1"/>
  <c r="FT47" i="1610" s="1"/>
  <c r="U47" i="1610" a="1"/>
  <c r="U47" i="1610" s="1"/>
  <c r="EB46" i="1610" a="1"/>
  <c r="EB46" i="1610" s="1"/>
  <c r="IP45" i="1610" a="1"/>
  <c r="IP45" i="1610" s="1"/>
  <c r="CP45" i="1610" a="1"/>
  <c r="CP45" i="1610" s="1"/>
  <c r="BQ48" i="1610" a="1"/>
  <c r="BQ48" i="1610" s="1"/>
  <c r="ES47" i="1610" a="1"/>
  <c r="ES47" i="1610" s="1"/>
  <c r="IU46" i="1610" a="1"/>
  <c r="IU46" i="1610" s="1"/>
  <c r="DB46" i="1610" a="1"/>
  <c r="DB46" i="1610" s="1"/>
  <c r="HO45" i="1610" a="1"/>
  <c r="HO45" i="1610" s="1"/>
  <c r="BO45" i="1610" a="1"/>
  <c r="BO45" i="1610" s="1"/>
  <c r="DO48" i="1610" a="1"/>
  <c r="DO48" i="1610" s="1"/>
  <c r="FE47" i="1610" a="1"/>
  <c r="FE47" i="1610" s="1"/>
  <c r="F47" i="1610" a="1"/>
  <c r="F47" i="1610" s="1"/>
  <c r="DY46" i="1610" a="1"/>
  <c r="DY46" i="1610" s="1"/>
  <c r="IM45" i="1610" a="1"/>
  <c r="IM45" i="1610" s="1"/>
  <c r="CM45" i="1610" a="1"/>
  <c r="CM45" i="1610" s="1"/>
  <c r="AP48" i="1610" a="1"/>
  <c r="AP48" i="1610" s="1"/>
  <c r="ED47" i="1610" a="1"/>
  <c r="ED47" i="1610" s="1"/>
  <c r="IS46" i="1610" a="1"/>
  <c r="IS46" i="1610" s="1"/>
  <c r="BY46" i="1610" a="1"/>
  <c r="BY46" i="1610" s="1"/>
  <c r="GL45" i="1610" a="1"/>
  <c r="GL45" i="1610" s="1"/>
  <c r="GD47" i="1610" a="1"/>
  <c r="GD47" i="1610" s="1"/>
  <c r="AD47" i="1610" a="1"/>
  <c r="AD47" i="1610" s="1"/>
  <c r="EJ46" i="1610" a="1"/>
  <c r="EJ46" i="1610" s="1"/>
  <c r="IX45" i="1610" a="1"/>
  <c r="IX45" i="1610" s="1"/>
  <c r="CX45" i="1610" a="1"/>
  <c r="CX45" i="1610" s="1"/>
  <c r="HK44" i="1610" a="1"/>
  <c r="HK44" i="1610" s="1"/>
  <c r="DF49" i="1610" a="1"/>
  <c r="DF49" i="1610" s="1"/>
  <c r="GC47" i="1610" a="1"/>
  <c r="GC47" i="1610" s="1"/>
  <c r="AC47" i="1610" a="1"/>
  <c r="AC47" i="1610" s="1"/>
  <c r="EI46" i="1610" a="1"/>
  <c r="EI46" i="1610" s="1"/>
  <c r="IW45" i="1610" a="1"/>
  <c r="IW45" i="1610" s="1"/>
  <c r="CW45" i="1610" a="1"/>
  <c r="CW45" i="1610" s="1"/>
  <c r="AH48" i="1610" a="1"/>
  <c r="AH48" i="1610" s="1"/>
  <c r="DZ47" i="1610" a="1"/>
  <c r="DZ47" i="1610" s="1"/>
  <c r="IQ46" i="1610" a="1"/>
  <c r="IQ46" i="1610" s="1"/>
  <c r="CV46" i="1610" a="1"/>
  <c r="CV46" i="1610" s="1"/>
  <c r="HI45" i="1610" a="1"/>
  <c r="HI45" i="1610" s="1"/>
  <c r="BI45" i="1610" a="1"/>
  <c r="BI45" i="1610" s="1"/>
  <c r="JH47" i="1610" a="1"/>
  <c r="JH47" i="1610" s="1"/>
  <c r="CY47" i="1610" a="1"/>
  <c r="CY47" i="1610" s="1"/>
  <c r="HE46" i="1610" a="1"/>
  <c r="HE46" i="1610" s="1"/>
  <c r="BH46" i="1610" a="1"/>
  <c r="BH46" i="1610" s="1"/>
  <c r="FU45" i="1610" a="1"/>
  <c r="FU45" i="1610" s="1"/>
  <c r="U45" i="1610" a="1"/>
  <c r="U45" i="1610" s="1"/>
  <c r="IR47" i="1610" a="1"/>
  <c r="IR47" i="1610" s="1"/>
  <c r="CK47" i="1610" a="1"/>
  <c r="CK47" i="1610" s="1"/>
  <c r="HD46" i="1610" a="1"/>
  <c r="HD46" i="1610" s="1"/>
  <c r="CD48" i="1610" a="1"/>
  <c r="CD48" i="1610" s="1"/>
  <c r="EW47" i="1610" a="1"/>
  <c r="EW47" i="1610" s="1"/>
  <c r="JK46" i="1610" a="1"/>
  <c r="JK46" i="1610" s="1"/>
  <c r="DR46" i="1610" a="1"/>
  <c r="DR46" i="1610" s="1"/>
  <c r="IF45" i="1610" a="1"/>
  <c r="IF45" i="1610" s="1"/>
  <c r="EM48" i="1610" a="1"/>
  <c r="EM48" i="1610" s="1"/>
  <c r="FI47" i="1610" a="1"/>
  <c r="FI47" i="1610" s="1"/>
  <c r="J47" i="1610" a="1"/>
  <c r="J47" i="1610" s="1"/>
  <c r="ED46" i="1610" a="1"/>
  <c r="ED46" i="1610" s="1"/>
  <c r="IR45" i="1610" a="1"/>
  <c r="IR45" i="1610" s="1"/>
  <c r="CR45" i="1610" a="1"/>
  <c r="CR45" i="1610" s="1"/>
  <c r="IO47" i="1610" a="1"/>
  <c r="IO47" i="1610" s="1"/>
  <c r="CH47" i="1610" a="1"/>
  <c r="CH47" i="1610" s="1"/>
  <c r="HI49" i="1610" a="1"/>
  <c r="HI49" i="1610" s="1"/>
  <c r="CK48" i="1610" a="1"/>
  <c r="CK48" i="1610" s="1"/>
  <c r="ID48" i="1610" a="1"/>
  <c r="ID48" i="1610" s="1"/>
  <c r="DR49" i="1610" a="1"/>
  <c r="DR49" i="1610" s="1"/>
  <c r="CC48" i="1610" a="1"/>
  <c r="CC48" i="1610" s="1"/>
  <c r="HS48" i="1610" a="1"/>
  <c r="HS48" i="1610" s="1"/>
  <c r="DG49" i="1610" a="1"/>
  <c r="DG49" i="1610" s="1"/>
  <c r="JI49" i="1610" a="1"/>
  <c r="JI49" i="1610" s="1"/>
  <c r="AC49" i="1610" a="1"/>
  <c r="AC49" i="1610" s="1"/>
  <c r="FQ49" i="1610" a="1"/>
  <c r="FQ49" i="1610" s="1"/>
  <c r="HK47" i="1610" a="1"/>
  <c r="HK47" i="1610" s="1"/>
  <c r="DC48" i="1610" a="1"/>
  <c r="DC48" i="1610" s="1"/>
  <c r="JF48" i="1610" a="1"/>
  <c r="JF48" i="1610" s="1"/>
  <c r="FE49" i="1610" a="1"/>
  <c r="FE49" i="1610" s="1"/>
  <c r="AT48" i="1610" a="1"/>
  <c r="AT48" i="1610" s="1"/>
  <c r="GX48" i="1610" a="1"/>
  <c r="GX48" i="1610" s="1"/>
  <c r="BZ49" i="1610" a="1"/>
  <c r="BZ49" i="1610" s="1"/>
  <c r="IL49" i="1610" a="1"/>
  <c r="IL49" i="1610" s="1"/>
  <c r="GY48" i="1610" a="1"/>
  <c r="GY48" i="1610" s="1"/>
  <c r="CB49" i="1610" a="1"/>
  <c r="CB49" i="1610" s="1"/>
  <c r="IM49" i="1610" a="1"/>
  <c r="IM49" i="1610" s="1"/>
  <c r="GB48" i="1610" a="1"/>
  <c r="GB48" i="1610" s="1"/>
  <c r="CC49" i="1610" a="1"/>
  <c r="CC49" i="1610" s="1"/>
  <c r="HP49" i="1610" a="1"/>
  <c r="HP49" i="1610" s="1"/>
  <c r="DG48" i="1610" a="1"/>
  <c r="DG48" i="1610" s="1"/>
  <c r="JJ48" i="1610" a="1"/>
  <c r="JJ48" i="1610" s="1"/>
  <c r="EJ49" i="1610" a="1"/>
  <c r="EJ49" i="1610" s="1"/>
  <c r="BJ48" i="1610" a="1"/>
  <c r="BJ48" i="1610" s="1"/>
  <c r="HC48" i="1610" a="1"/>
  <c r="HC48" i="1610" s="1"/>
  <c r="DB49" i="1610" a="1"/>
  <c r="DB49" i="1610" s="1"/>
  <c r="IQ49" i="1610" a="1"/>
  <c r="IQ49" i="1610" s="1"/>
  <c r="FR48" i="1610" a="1"/>
  <c r="FR48" i="1610" s="1"/>
  <c r="BH49" i="1610" a="1"/>
  <c r="BH49" i="1610" s="1"/>
  <c r="GU49" i="1610" a="1"/>
  <c r="GU49" i="1610" s="1"/>
  <c r="CW48" i="1610" a="1"/>
  <c r="CW48" i="1610" s="1"/>
  <c r="JB48" i="1610" a="1"/>
  <c r="JB48" i="1610" s="1"/>
  <c r="EM49" i="1610" a="1"/>
  <c r="EM49" i="1610" s="1"/>
  <c r="BU49" i="1610" a="1"/>
  <c r="BU49" i="1610" s="1"/>
  <c r="GG43" i="1610" a="1"/>
  <c r="GG43" i="1610" s="1"/>
  <c r="AG43" i="1610" a="1"/>
  <c r="AG43" i="1610" s="1"/>
  <c r="CF43" i="1610" a="1"/>
  <c r="CF43" i="1610" s="1"/>
  <c r="BP43" i="1610" a="1"/>
  <c r="BP43" i="1610" s="1"/>
  <c r="DR43" i="1610" a="1"/>
  <c r="DR43" i="1610" s="1"/>
  <c r="B43" i="1610" a="1"/>
  <c r="B43" i="1610" s="1"/>
  <c r="CD43" i="1610" a="1"/>
  <c r="CD43" i="1610" s="1"/>
  <c r="AB44" i="1610" a="1"/>
  <c r="AB44" i="1610" s="1"/>
  <c r="EC43" i="1610" a="1"/>
  <c r="EC43" i="1610" s="1"/>
  <c r="GO43" i="1610" a="1"/>
  <c r="GO43" i="1610" s="1"/>
  <c r="DZ43" i="1610" a="1"/>
  <c r="DZ43" i="1610" s="1"/>
  <c r="CG44" i="1610" a="1"/>
  <c r="CG44" i="1610" s="1"/>
  <c r="BY43" i="1610" a="1"/>
  <c r="BY43" i="1610" s="1"/>
  <c r="FK43" i="1610" a="1"/>
  <c r="FK43" i="1610" s="1"/>
  <c r="K43" i="1610" a="1"/>
  <c r="K43" i="1610" s="1"/>
  <c r="FW43" i="1610" a="1"/>
  <c r="FW43" i="1610" s="1"/>
  <c r="BS44" i="1610" a="1"/>
  <c r="BS44" i="1610" s="1"/>
  <c r="AV43" i="1610" a="1"/>
  <c r="AV43" i="1610" s="1"/>
  <c r="CS45" i="1610" a="1"/>
  <c r="CS45" i="1610" s="1"/>
  <c r="DI44" i="1610" a="1"/>
  <c r="DI44" i="1610" s="1"/>
  <c r="JI43" i="1610" a="1"/>
  <c r="JI43" i="1610" s="1"/>
  <c r="JI11" i="1610" s="1"/>
  <c r="FB44" i="1610" a="1"/>
  <c r="FB44" i="1610" s="1"/>
  <c r="HD45" i="1610" a="1"/>
  <c r="HD45" i="1610" s="1"/>
  <c r="CW44" i="1610" a="1"/>
  <c r="CW44" i="1610" s="1"/>
  <c r="AE45" i="1610" a="1"/>
  <c r="AE45" i="1610" s="1"/>
  <c r="IK43" i="1610" a="1"/>
  <c r="IK43" i="1610" s="1"/>
  <c r="EP44" i="1610" a="1"/>
  <c r="EP44" i="1610" s="1"/>
  <c r="EY45" i="1610" a="1"/>
  <c r="EY45" i="1610" s="1"/>
  <c r="X44" i="1610" a="1"/>
  <c r="X44" i="1610" s="1"/>
  <c r="GU44" i="1610" a="1"/>
  <c r="GU44" i="1610" s="1"/>
  <c r="GZ43" i="1610" a="1"/>
  <c r="GZ43" i="1610" s="1"/>
  <c r="CL44" i="1610" a="1"/>
  <c r="CL44" i="1610" s="1"/>
  <c r="F45" i="1610" a="1"/>
  <c r="F45" i="1610" s="1"/>
  <c r="AM44" i="1610" a="1"/>
  <c r="AM44" i="1610" s="1"/>
  <c r="GW44" i="1610" a="1"/>
  <c r="GW44" i="1610" s="1"/>
  <c r="FO49" i="1610" a="1"/>
  <c r="FO49" i="1610" s="1"/>
  <c r="GY44" i="1610" a="1"/>
  <c r="GY44" i="1610" s="1"/>
  <c r="HD43" i="1610" a="1"/>
  <c r="HD43" i="1610" s="1"/>
  <c r="CQ44" i="1610" a="1"/>
  <c r="CQ44" i="1610" s="1"/>
  <c r="Q45" i="1610" a="1"/>
  <c r="Q45" i="1610" s="1"/>
  <c r="JE43" i="1610" a="1"/>
  <c r="JE43" i="1610" s="1"/>
  <c r="JE11" i="1610" s="1"/>
  <c r="EV44" i="1610" a="1"/>
  <c r="EV44" i="1610" s="1"/>
  <c r="GD45" i="1610" a="1"/>
  <c r="GD45" i="1610" s="1"/>
  <c r="IF43" i="1610" a="1"/>
  <c r="IF43" i="1610" s="1"/>
  <c r="DU44" i="1610" a="1"/>
  <c r="DU44" i="1610" s="1"/>
  <c r="CL45" i="1610" a="1"/>
  <c r="CL45" i="1610" s="1"/>
  <c r="F44" i="1610" a="1"/>
  <c r="F44" i="1610" s="1"/>
  <c r="FM44" i="1610" a="1"/>
  <c r="FM44" i="1610" s="1"/>
  <c r="EB48" i="1610" a="1"/>
  <c r="EB48" i="1610" s="1"/>
  <c r="FG47" i="1610" a="1"/>
  <c r="FG47" i="1610" s="1"/>
  <c r="H47" i="1610" a="1"/>
  <c r="H47" i="1610" s="1"/>
  <c r="DO46" i="1610" a="1"/>
  <c r="DO46" i="1610" s="1"/>
  <c r="IC45" i="1610" a="1"/>
  <c r="IC45" i="1610" s="1"/>
  <c r="CC45" i="1610" a="1"/>
  <c r="CC45" i="1610" s="1"/>
  <c r="AR48" i="1610" a="1"/>
  <c r="AR48" i="1610" s="1"/>
  <c r="EF47" i="1610" a="1"/>
  <c r="EF47" i="1610" s="1"/>
  <c r="IJ46" i="1610" a="1"/>
  <c r="IJ46" i="1610" s="1"/>
  <c r="CO46" i="1610" a="1"/>
  <c r="CO46" i="1610" s="1"/>
  <c r="HB45" i="1610" a="1"/>
  <c r="HB45" i="1610" s="1"/>
  <c r="BB45" i="1610" a="1"/>
  <c r="BB45" i="1610" s="1"/>
  <c r="BP48" i="1610" a="1"/>
  <c r="BP48" i="1610" s="1"/>
  <c r="ER47" i="1610" a="1"/>
  <c r="ER47" i="1610" s="1"/>
  <c r="JG46" i="1610" a="1"/>
  <c r="JG46" i="1610" s="1"/>
  <c r="DL46" i="1610" a="1"/>
  <c r="DL46" i="1610" s="1"/>
  <c r="HZ45" i="1610" a="1"/>
  <c r="HZ45" i="1610" s="1"/>
  <c r="BZ45" i="1610" a="1"/>
  <c r="BZ45" i="1610" s="1"/>
  <c r="Q48" i="1610" a="1"/>
  <c r="Q48" i="1610" s="1"/>
  <c r="DQ47" i="1610" a="1"/>
  <c r="DQ47" i="1610" s="1"/>
  <c r="IH46" i="1610" a="1"/>
  <c r="IH46" i="1610" s="1"/>
  <c r="BL46" i="1610" a="1"/>
  <c r="BL46" i="1610" s="1"/>
  <c r="FY45" i="1610" a="1"/>
  <c r="FY45" i="1610" s="1"/>
  <c r="FP47" i="1610" a="1"/>
  <c r="FP47" i="1610" s="1"/>
  <c r="Q47" i="1610" a="1"/>
  <c r="Q47" i="1610" s="1"/>
  <c r="DW46" i="1610" a="1"/>
  <c r="DW46" i="1610" s="1"/>
  <c r="IK45" i="1610" a="1"/>
  <c r="IK45" i="1610" s="1"/>
  <c r="CK45" i="1610" a="1"/>
  <c r="CK45" i="1610" s="1"/>
  <c r="GX44" i="1610" a="1"/>
  <c r="GX44" i="1610" s="1"/>
  <c r="HF48" i="1610" a="1"/>
  <c r="HF48" i="1610" s="1"/>
  <c r="FO47" i="1610" a="1"/>
  <c r="FO47" i="1610" s="1"/>
  <c r="P47" i="1610" a="1"/>
  <c r="P47" i="1610" s="1"/>
  <c r="DV46" i="1610" a="1"/>
  <c r="DV46" i="1610" s="1"/>
  <c r="IJ45" i="1610" a="1"/>
  <c r="IJ45" i="1610" s="1"/>
  <c r="CJ45" i="1610" a="1"/>
  <c r="CJ45" i="1610" s="1"/>
  <c r="M48" i="1610" a="1"/>
  <c r="M48" i="1610" s="1"/>
  <c r="DM47" i="1610" a="1"/>
  <c r="DM47" i="1610" s="1"/>
  <c r="IE46" i="1610" a="1"/>
  <c r="IE46" i="1610" s="1"/>
  <c r="CI46" i="1610" a="1"/>
  <c r="CI46" i="1610" s="1"/>
  <c r="GV45" i="1610" a="1"/>
  <c r="GV45" i="1610" s="1"/>
  <c r="AV45" i="1610" a="1"/>
  <c r="AV45" i="1610" s="1"/>
  <c r="IS47" i="1610" a="1"/>
  <c r="IS47" i="1610" s="1"/>
  <c r="CL47" i="1610" a="1"/>
  <c r="CL47" i="1610" s="1"/>
  <c r="GR46" i="1610" a="1"/>
  <c r="GR46" i="1610" s="1"/>
  <c r="AU46" i="1610" a="1"/>
  <c r="AU46" i="1610" s="1"/>
  <c r="FH45" i="1610" a="1"/>
  <c r="FH45" i="1610" s="1"/>
  <c r="H45" i="1610" a="1"/>
  <c r="H45" i="1610" s="1"/>
  <c r="ID47" i="1610" a="1"/>
  <c r="ID47" i="1610" s="1"/>
  <c r="BY47" i="1610" a="1"/>
  <c r="BY47" i="1610" s="1"/>
  <c r="GQ46" i="1610" a="1"/>
  <c r="GQ46" i="1610" s="1"/>
  <c r="BC48" i="1610" a="1"/>
  <c r="BC48" i="1610" s="1"/>
  <c r="EJ47" i="1610" a="1"/>
  <c r="EJ47" i="1610" s="1"/>
  <c r="IY46" i="1610" a="1"/>
  <c r="IY46" i="1610" s="1"/>
  <c r="DF46" i="1610" a="1"/>
  <c r="DF46" i="1610" s="1"/>
  <c r="HS45" i="1610" a="1"/>
  <c r="HS45" i="1610" s="1"/>
  <c r="CB48" i="1610" a="1"/>
  <c r="CB48" i="1610" s="1"/>
  <c r="EV47" i="1610" a="1"/>
  <c r="EV47" i="1610" s="1"/>
  <c r="JJ46" i="1610" a="1"/>
  <c r="JJ46" i="1610" s="1"/>
  <c r="DQ46" i="1610" a="1"/>
  <c r="DQ46" i="1610" s="1"/>
  <c r="IE45" i="1610" a="1"/>
  <c r="IE45" i="1610" s="1"/>
  <c r="CE45" i="1610" a="1"/>
  <c r="CE45" i="1610" s="1"/>
  <c r="HZ47" i="1610" a="1"/>
  <c r="HZ47" i="1610" s="1"/>
  <c r="BV47" i="1610" a="1"/>
  <c r="BV47" i="1610" s="1"/>
  <c r="IH49" i="1610" a="1"/>
  <c r="IH49" i="1610" s="1"/>
  <c r="CX48" i="1610" a="1"/>
  <c r="CX48" i="1610" s="1"/>
  <c r="IP48" i="1610" a="1"/>
  <c r="IP48" i="1610" s="1"/>
  <c r="EC49" i="1610" a="1"/>
  <c r="EC49" i="1610" s="1"/>
  <c r="CM48" i="1610" a="1"/>
  <c r="CM48" i="1610" s="1"/>
  <c r="IF48" i="1610" a="1"/>
  <c r="IF48" i="1610" s="1"/>
  <c r="EE49" i="1610" a="1"/>
  <c r="EE49" i="1610" s="1"/>
  <c r="EY48" i="1610" a="1"/>
  <c r="EY48" i="1610" s="1"/>
  <c r="AP49" i="1610" a="1"/>
  <c r="AP49" i="1610" s="1"/>
  <c r="FZ49" i="1610" a="1"/>
  <c r="FZ49" i="1610" s="1"/>
  <c r="HW47" i="1610" a="1"/>
  <c r="HW47" i="1610" s="1"/>
  <c r="DP48" i="1610" a="1"/>
  <c r="DP48" i="1610" s="1"/>
  <c r="F49" i="1610" a="1"/>
  <c r="F49" i="1610" s="1"/>
  <c r="GB49" i="1610" a="1"/>
  <c r="GB49" i="1610" s="1"/>
  <c r="GN49" i="1610" s="1"/>
  <c r="BF48" i="1610" a="1"/>
  <c r="BF48" i="1610" s="1"/>
  <c r="HJ48" i="1610" a="1"/>
  <c r="HJ48" i="1610" s="1"/>
  <c r="CM49" i="1610" a="1"/>
  <c r="CM49" i="1610" s="1"/>
  <c r="IY49" i="1610" a="1"/>
  <c r="IY49" i="1610" s="1"/>
  <c r="HK48" i="1610" a="1"/>
  <c r="HK48" i="1610" s="1"/>
  <c r="CO49" i="1610" a="1"/>
  <c r="CO49" i="1610" s="1"/>
  <c r="IZ49" i="1610" a="1"/>
  <c r="IZ49" i="1610" s="1"/>
  <c r="GZ48" i="1610" a="1"/>
  <c r="GZ48" i="1610" s="1"/>
  <c r="CP49" i="1610" a="1"/>
  <c r="CP49" i="1610" s="1"/>
  <c r="IB49" i="1610" a="1"/>
  <c r="IB49" i="1610" s="1"/>
  <c r="DT48" i="1610" a="1"/>
  <c r="DT48" i="1610" s="1"/>
  <c r="J49" i="1610" a="1"/>
  <c r="J49" i="1610" s="1"/>
  <c r="EV49" i="1610" a="1"/>
  <c r="EV49" i="1610" s="1"/>
  <c r="BW48" i="1610" a="1"/>
  <c r="BW48" i="1610" s="1"/>
  <c r="HZ48" i="1610" a="1"/>
  <c r="HZ48" i="1610" s="1"/>
  <c r="HF49" i="1610" a="1"/>
  <c r="HF49" i="1610" s="1"/>
  <c r="ES29" i="2522"/>
  <c r="FF29" i="2522"/>
  <c r="KD33" i="2478"/>
  <c r="KD24" i="2478"/>
  <c r="KD37" i="2478"/>
  <c r="KD22" i="2478"/>
  <c r="KD16" i="2478"/>
  <c r="KD35" i="2478"/>
  <c r="KD34" i="2478"/>
  <c r="KD27" i="2478"/>
  <c r="KD31" i="2478"/>
  <c r="KD19" i="2478"/>
  <c r="KD28" i="2478"/>
  <c r="KD21" i="2478"/>
  <c r="KD23" i="2478"/>
  <c r="KD18" i="2478"/>
  <c r="KD13" i="2478"/>
  <c r="KD9" i="2478"/>
  <c r="KD36" i="2478"/>
  <c r="KD32" i="2478"/>
  <c r="KD12" i="2478"/>
  <c r="KD25" i="2478"/>
  <c r="KD11" i="2478"/>
  <c r="KD14" i="2478"/>
  <c r="KD17" i="2478"/>
  <c r="KD10" i="2478"/>
  <c r="KD30" i="2478"/>
  <c r="JR47" i="1610" l="1"/>
  <c r="GA46" i="1610"/>
  <c r="JR48" i="1610"/>
  <c r="JR43" i="1610"/>
  <c r="JR44" i="1610"/>
  <c r="JR45" i="1610"/>
  <c r="JR49" i="1610"/>
  <c r="JR46" i="1610"/>
  <c r="JS45" i="1610"/>
  <c r="JP45" i="1610"/>
  <c r="JS43" i="1610"/>
  <c r="JP43" i="1610"/>
  <c r="JP49" i="1610"/>
  <c r="JS49" i="1610"/>
  <c r="JP46" i="1610"/>
  <c r="JS46" i="1610"/>
  <c r="JS47" i="1610"/>
  <c r="JP47" i="1610"/>
  <c r="JP44" i="1610"/>
  <c r="JS44" i="1610"/>
  <c r="JS48" i="1610"/>
  <c r="JP48" i="1610"/>
  <c r="JR4" i="1610"/>
  <c r="JP4" i="1610"/>
  <c r="BN45" i="1610"/>
  <c r="DA46" i="1610"/>
  <c r="BA44" i="1610"/>
  <c r="GN48" i="1610"/>
  <c r="JN48" i="1610"/>
  <c r="GA47" i="1610"/>
  <c r="EN48" i="1610"/>
  <c r="HN45" i="1610"/>
  <c r="GN46" i="1610"/>
  <c r="DN49" i="1610"/>
  <c r="IN49" i="1610"/>
  <c r="FN44" i="1610"/>
  <c r="HA43" i="1610"/>
  <c r="EN44" i="1610"/>
  <c r="HN44" i="1610"/>
  <c r="JA44" i="1610"/>
  <c r="CN43" i="1610"/>
  <c r="FA47" i="1610"/>
  <c r="BA45" i="1610"/>
  <c r="GN44" i="1610"/>
  <c r="JA47" i="1610"/>
  <c r="CA48" i="1610"/>
  <c r="IA49" i="1610"/>
  <c r="DA48" i="1610"/>
  <c r="DA45" i="1610"/>
  <c r="EN45" i="1610"/>
  <c r="AA45" i="1610"/>
  <c r="CN44" i="1610"/>
  <c r="FA44" i="1610"/>
  <c r="AA49" i="1610"/>
  <c r="DN48" i="1610"/>
  <c r="HA45" i="1610"/>
  <c r="CN48" i="1610"/>
  <c r="AN44" i="1610"/>
  <c r="EA48" i="1610"/>
  <c r="JA45" i="1610"/>
  <c r="JN46" i="1610"/>
  <c r="CN47" i="1610"/>
  <c r="HA46" i="1610"/>
  <c r="AA46" i="1610"/>
  <c r="EA43" i="1610"/>
  <c r="HA48" i="1610"/>
  <c r="CA49" i="1610"/>
  <c r="EA47" i="1610"/>
  <c r="IA48" i="1610"/>
  <c r="BA48" i="1610"/>
  <c r="GA45" i="1610"/>
  <c r="IN46" i="1610"/>
  <c r="CN46" i="1610"/>
  <c r="GN43" i="1610"/>
  <c r="CA45" i="1610"/>
  <c r="N44" i="1610"/>
  <c r="IN43" i="1610"/>
  <c r="FN48" i="1610"/>
  <c r="BA49" i="1610"/>
  <c r="HA47" i="1610"/>
  <c r="AA48" i="1610"/>
  <c r="BN46" i="1610"/>
  <c r="FN43" i="1610"/>
  <c r="DA43" i="1610"/>
  <c r="N43" i="1610"/>
  <c r="CN49" i="1610"/>
  <c r="IA45" i="1610"/>
  <c r="EN49" i="1610"/>
  <c r="FA46" i="1610"/>
  <c r="JA46" i="1610"/>
  <c r="AA47" i="1610"/>
  <c r="EA44" i="1610"/>
  <c r="IN47" i="1610"/>
  <c r="DN43" i="1610"/>
  <c r="JN49" i="1610"/>
  <c r="BN48" i="1610"/>
  <c r="DN44" i="1610"/>
  <c r="AA44" i="1610"/>
  <c r="DN46" i="1610"/>
  <c r="HN43" i="1610"/>
  <c r="JA48" i="1610"/>
  <c r="CA44" i="1610"/>
  <c r="GA44" i="1610"/>
  <c r="IA44" i="1610"/>
  <c r="DA47" i="1610"/>
  <c r="BN47" i="1610"/>
  <c r="BN49" i="1610"/>
  <c r="FA49" i="1610"/>
  <c r="FN47" i="1610"/>
  <c r="N48" i="1610"/>
  <c r="EA46" i="1610"/>
  <c r="HN49" i="1610"/>
  <c r="DN45" i="1610"/>
  <c r="FA48" i="1610"/>
  <c r="JN44" i="1610"/>
  <c r="EN47" i="1610"/>
  <c r="JN47" i="1610"/>
  <c r="N49" i="1610"/>
  <c r="GA48" i="1610"/>
  <c r="HA44" i="1610"/>
  <c r="JN45" i="1610"/>
  <c r="FA45" i="1610"/>
  <c r="HN47" i="1610"/>
  <c r="AN45" i="1610"/>
  <c r="HA49" i="1610"/>
  <c r="CN45" i="1610"/>
  <c r="EA49" i="1610"/>
  <c r="FN49" i="1610"/>
  <c r="JN43" i="1610"/>
  <c r="JB11" i="1610"/>
  <c r="JA43" i="1610"/>
  <c r="AN47" i="1610"/>
  <c r="HN48" i="1610"/>
  <c r="HN46" i="1610"/>
  <c r="AN46" i="1610"/>
  <c r="EN43" i="1610"/>
  <c r="CA47" i="1610"/>
  <c r="IA46" i="1610"/>
  <c r="GN45" i="1610"/>
  <c r="FN29" i="2522"/>
  <c r="FA29" i="2522"/>
  <c r="CA43" i="1610"/>
  <c r="IN45" i="1610"/>
  <c r="FN46" i="1610"/>
  <c r="GN47" i="1610"/>
  <c r="IN44" i="1610"/>
  <c r="IA47" i="1610"/>
  <c r="AN49" i="1610"/>
  <c r="AA43" i="1610"/>
  <c r="N45" i="1610"/>
  <c r="AN43" i="1610"/>
  <c r="CA46" i="1610"/>
  <c r="GA43" i="1610"/>
  <c r="JA49" i="1610"/>
  <c r="GA49" i="1610"/>
  <c r="IA43" i="1610"/>
  <c r="BN44" i="1610"/>
  <c r="BA43" i="1610"/>
  <c r="EA45" i="1610"/>
  <c r="BN43" i="1610"/>
  <c r="IN48" i="1610"/>
  <c r="FN45" i="1610"/>
  <c r="DA49" i="1610"/>
  <c r="EN46" i="1610"/>
  <c r="N47" i="1610"/>
  <c r="N46" i="1610"/>
  <c r="BA47" i="1610"/>
  <c r="DN47" i="1610"/>
  <c r="BA46" i="1610"/>
  <c r="DA44" i="1610"/>
  <c r="FA43" i="1610"/>
  <c r="AN48" i="1610"/>
  <c r="JQ24" i="1610"/>
  <c r="JQ59" i="1610"/>
  <c r="JQ17" i="1610"/>
  <c r="JQ32" i="1610"/>
  <c r="JQ29" i="1610"/>
  <c r="JQ31" i="1610"/>
  <c r="JQ50" i="1610"/>
  <c r="JQ9" i="1610"/>
  <c r="JQ8" i="1610"/>
  <c r="JQ41" i="1610"/>
  <c r="JQ36" i="1610"/>
  <c r="JQ38" i="1610"/>
  <c r="JQ23" i="1610"/>
  <c r="JQ19" i="1610"/>
  <c r="JQ58" i="1610"/>
  <c r="JQ7" i="1610"/>
  <c r="JQ20" i="1610"/>
  <c r="JQ13" i="1610"/>
  <c r="JQ22" i="1610"/>
  <c r="JQ56" i="1610"/>
  <c r="JQ30" i="1610"/>
  <c r="JQ33" i="1610"/>
  <c r="JQ51" i="1610"/>
  <c r="JQ57" i="1610"/>
  <c r="JQ15" i="1610"/>
  <c r="JQ34" i="1610"/>
  <c r="JQ37" i="1610"/>
  <c r="JQ14" i="1610"/>
  <c r="JQ54" i="1610"/>
  <c r="JQ55" i="1610"/>
  <c r="JQ21" i="1610"/>
  <c r="JQ25" i="1610"/>
  <c r="JQ35" i="1610"/>
  <c r="JQ53" i="1610"/>
  <c r="JQ40" i="1610"/>
  <c r="JQ18" i="1610"/>
  <c r="JQ26" i="1610"/>
  <c r="JQ16" i="1610"/>
  <c r="JQ27" i="1610"/>
  <c r="JQ28" i="1610"/>
  <c r="JQ39" i="1610"/>
  <c r="JN11" i="1610" l="1"/>
  <c r="HF13" i="1975"/>
  <c r="HE13" i="1975"/>
  <c r="HC13" i="1975"/>
  <c r="HF12" i="1975"/>
  <c r="HE12" i="1975"/>
  <c r="HC12" i="1975"/>
  <c r="HF9" i="1975"/>
  <c r="HE9" i="1975"/>
  <c r="HC9" i="1975"/>
  <c r="HF8" i="1975"/>
  <c r="HE8" i="1975"/>
  <c r="HC8" i="1975"/>
  <c r="HC5" i="1975"/>
  <c r="JS25" i="1976"/>
  <c r="JR25" i="1976"/>
  <c r="JP25" i="1976"/>
  <c r="JS24" i="1976"/>
  <c r="JR24" i="1976"/>
  <c r="JP24" i="1976"/>
  <c r="JS16" i="1976"/>
  <c r="JR16" i="1976"/>
  <c r="JP16" i="1976"/>
  <c r="JS14" i="1976"/>
  <c r="JR14" i="1976"/>
  <c r="JP14" i="1976"/>
  <c r="JS13" i="1976"/>
  <c r="JR13" i="1976"/>
  <c r="JP13" i="1976"/>
  <c r="JS12" i="1976"/>
  <c r="JR12" i="1976"/>
  <c r="JP12" i="1976"/>
  <c r="JS11" i="1976"/>
  <c r="JR11" i="1976"/>
  <c r="JP11" i="1976"/>
  <c r="JS10" i="1976"/>
  <c r="JR10" i="1976"/>
  <c r="JP10" i="1976"/>
  <c r="JS9" i="1976"/>
  <c r="JR9" i="1976"/>
  <c r="JP9" i="1976"/>
  <c r="JS8" i="1976"/>
  <c r="JR8" i="1976"/>
  <c r="JP8" i="1976"/>
  <c r="JS7" i="1976"/>
  <c r="JR7" i="1976"/>
  <c r="JP7" i="1976"/>
  <c r="JP5" i="1976"/>
  <c r="JP21" i="1976" s="1"/>
  <c r="JQ25" i="1976" l="1"/>
  <c r="JQ9" i="1976"/>
  <c r="HD13" i="1975"/>
  <c r="JQ14" i="1976"/>
  <c r="JQ10" i="1976"/>
  <c r="JQ11" i="1976"/>
  <c r="JQ12" i="1976"/>
  <c r="JQ13" i="1976"/>
  <c r="HD9" i="1975"/>
  <c r="HD12" i="1975"/>
  <c r="JQ16" i="1976"/>
  <c r="HD8" i="1975"/>
  <c r="JQ8" i="1976"/>
  <c r="JQ24" i="1976"/>
  <c r="JM15" i="1976" l="1"/>
  <c r="JM29" i="1976" s="1"/>
  <c r="JL15" i="1976"/>
  <c r="JL29" i="1976" s="1"/>
  <c r="JK15" i="1976"/>
  <c r="JK29" i="1976" s="1"/>
  <c r="JJ15" i="1976"/>
  <c r="JJ29" i="1976" s="1"/>
  <c r="JI15" i="1976"/>
  <c r="JI29" i="1976" s="1"/>
  <c r="JH15" i="1976"/>
  <c r="JH29" i="1976" s="1"/>
  <c r="JG15" i="1976"/>
  <c r="JG29" i="1976" s="1"/>
  <c r="JF15" i="1976"/>
  <c r="JF29" i="1976" s="1"/>
  <c r="JE15" i="1976"/>
  <c r="JE29" i="1976" s="1"/>
  <c r="JD15" i="1976"/>
  <c r="JD29" i="1976" s="1"/>
  <c r="JC15" i="1976"/>
  <c r="JC29" i="1976" s="1"/>
  <c r="JB15" i="1976"/>
  <c r="JB29" i="1976" s="1"/>
  <c r="JG23" i="1976"/>
  <c r="JH23" i="1976"/>
  <c r="JI23" i="1976"/>
  <c r="JJ23" i="1976"/>
  <c r="JK23" i="1976"/>
  <c r="JL23" i="1976"/>
  <c r="JM23" i="1976"/>
  <c r="GT18" i="1975"/>
  <c r="GU18" i="1975"/>
  <c r="GV18" i="1975"/>
  <c r="GW18" i="1975"/>
  <c r="GX18" i="1975"/>
  <c r="GY18" i="1975"/>
  <c r="GZ18" i="1975"/>
  <c r="GT19" i="1975"/>
  <c r="GU19" i="1975"/>
  <c r="GV19" i="1975"/>
  <c r="GW19" i="1975"/>
  <c r="GX19" i="1975"/>
  <c r="GY19" i="1975"/>
  <c r="GZ19" i="1975"/>
  <c r="GT21" i="1975"/>
  <c r="GU21" i="1975"/>
  <c r="GV21" i="1975"/>
  <c r="GW21" i="1975"/>
  <c r="GX21" i="1975"/>
  <c r="GY21" i="1975"/>
  <c r="GZ21" i="1975"/>
  <c r="GT22" i="1975"/>
  <c r="GU22" i="1975"/>
  <c r="GV22" i="1975"/>
  <c r="GW22" i="1975"/>
  <c r="GX22" i="1975"/>
  <c r="GY22" i="1975"/>
  <c r="GZ22" i="1975"/>
  <c r="JG16" i="1619"/>
  <c r="JG27" i="1619" s="1"/>
  <c r="JH16" i="1619"/>
  <c r="JI16" i="1619"/>
  <c r="JJ16" i="1619"/>
  <c r="JK16" i="1619"/>
  <c r="JL16" i="1619"/>
  <c r="JM16" i="1619"/>
  <c r="JM27" i="1619" s="1"/>
  <c r="JG12" i="1619"/>
  <c r="JH12" i="1619"/>
  <c r="JI12" i="1619"/>
  <c r="JJ12" i="1619"/>
  <c r="JK12" i="1619"/>
  <c r="JL12" i="1619"/>
  <c r="JM12" i="1619"/>
  <c r="JG9" i="1619"/>
  <c r="JH9" i="1619"/>
  <c r="JI9" i="1619"/>
  <c r="JJ9" i="1619"/>
  <c r="JK9" i="1619"/>
  <c r="JL9" i="1619"/>
  <c r="JM9" i="1619"/>
  <c r="JM7" i="1619" s="1"/>
  <c r="JL7" i="1619" l="1"/>
  <c r="JJ27" i="1619"/>
  <c r="JK7" i="1619"/>
  <c r="JL27" i="1619"/>
  <c r="JK27" i="1619"/>
  <c r="JI27" i="1619"/>
  <c r="JJ7" i="1619"/>
  <c r="JI7" i="1619"/>
  <c r="JH7" i="1619"/>
  <c r="JG7" i="1619"/>
  <c r="JH27" i="1619"/>
  <c r="JS15" i="1976"/>
  <c r="JX7" i="1615"/>
  <c r="JY7" i="1615"/>
  <c r="JZ7" i="1615"/>
  <c r="B3" i="1429" l="1"/>
  <c r="N3" i="1429"/>
  <c r="Z3" i="1429"/>
  <c r="AL3" i="1429"/>
  <c r="AX3" i="1429"/>
  <c r="BJ3" i="1429"/>
  <c r="ED4" i="1972"/>
  <c r="DR4" i="1972"/>
  <c r="DF4" i="1972"/>
  <c r="CT4" i="1972"/>
  <c r="CH4" i="1972"/>
  <c r="BV4" i="1972"/>
  <c r="BJ4" i="1972"/>
  <c r="AX4" i="1972"/>
  <c r="AL4" i="1972"/>
  <c r="Z4" i="1972"/>
  <c r="N4" i="1972"/>
  <c r="B4" i="1972"/>
  <c r="HJ20" i="1971"/>
  <c r="GX20" i="1971"/>
  <c r="GL20" i="1971"/>
  <c r="FZ20" i="1971"/>
  <c r="FN20" i="1971"/>
  <c r="FB20" i="1971"/>
  <c r="EP20" i="1971"/>
  <c r="ED20" i="1971"/>
  <c r="DR20" i="1971"/>
  <c r="DF20" i="1971"/>
  <c r="CT20" i="1971"/>
  <c r="CH20" i="1971"/>
  <c r="BV20" i="1971"/>
  <c r="BV4" i="1971"/>
  <c r="BJ4" i="1971"/>
  <c r="AX4" i="1971"/>
  <c r="AL4" i="1971"/>
  <c r="Z4" i="1971"/>
  <c r="N4" i="1971"/>
  <c r="B4" i="1971"/>
  <c r="HJ4" i="1971"/>
  <c r="GX4" i="1971"/>
  <c r="GL4" i="1971"/>
  <c r="FZ4" i="1971"/>
  <c r="FN4" i="1971"/>
  <c r="FB4" i="1971"/>
  <c r="EP4" i="1971"/>
  <c r="ED4" i="1971"/>
  <c r="DR4" i="1971"/>
  <c r="DF4" i="1971"/>
  <c r="CT4" i="1971"/>
  <c r="CH4" i="1971"/>
  <c r="ED4" i="1970"/>
  <c r="DR4" i="1970"/>
  <c r="DF4" i="1970"/>
  <c r="CT4" i="1970"/>
  <c r="CH4" i="1970"/>
  <c r="BV4" i="1970"/>
  <c r="BJ4" i="1970"/>
  <c r="AX4" i="1970"/>
  <c r="AL4" i="1970"/>
  <c r="Z4" i="1970"/>
  <c r="N4" i="1970"/>
  <c r="B4" i="1970"/>
  <c r="B4" i="1969"/>
  <c r="N4" i="1969"/>
  <c r="Z4" i="1969"/>
  <c r="AL4" i="1969"/>
  <c r="AX4" i="1969"/>
  <c r="BJ4" i="1969"/>
  <c r="BV4" i="1969"/>
  <c r="CH4" i="1969"/>
  <c r="CT4" i="1969"/>
  <c r="DF4" i="1969"/>
  <c r="DR4" i="1969"/>
  <c r="ED4" i="1969"/>
  <c r="HA25" i="1976" l="1"/>
  <c r="HA24" i="1976"/>
  <c r="GN25" i="1976"/>
  <c r="GN24" i="1976"/>
  <c r="FN25" i="1976"/>
  <c r="FN24" i="1976"/>
  <c r="FA25" i="1976"/>
  <c r="FA24" i="1976"/>
  <c r="N25" i="1976"/>
  <c r="N24" i="1976"/>
  <c r="N23" i="1976"/>
  <c r="AA25" i="1976"/>
  <c r="AA24" i="1976"/>
  <c r="AN25" i="1976"/>
  <c r="AN24" i="1976"/>
  <c r="EN25" i="1976"/>
  <c r="EN24" i="1976"/>
  <c r="GA25" i="1976"/>
  <c r="GA24" i="1976"/>
  <c r="JN21" i="1976"/>
  <c r="JS20" i="1976" s="1"/>
  <c r="JR20" i="1976" s="1"/>
  <c r="JA21" i="1976"/>
  <c r="IN21" i="1976"/>
  <c r="IA21" i="1976"/>
  <c r="HN21" i="1976"/>
  <c r="HA21" i="1976"/>
  <c r="GN21" i="1976"/>
  <c r="GA21" i="1976"/>
  <c r="FN21" i="1976"/>
  <c r="FA21" i="1976"/>
  <c r="EN21" i="1976"/>
  <c r="EA21" i="1976"/>
  <c r="DN21" i="1976"/>
  <c r="DA21" i="1976"/>
  <c r="CN21" i="1976"/>
  <c r="CA21" i="1976"/>
  <c r="BN21" i="1976"/>
  <c r="BA21" i="1976"/>
  <c r="AN21" i="1976"/>
  <c r="AA21" i="1976"/>
  <c r="N21" i="1976"/>
  <c r="JB20" i="1976"/>
  <c r="IO20" i="1976"/>
  <c r="IB20" i="1976"/>
  <c r="HO20" i="1976"/>
  <c r="HB20" i="1976"/>
  <c r="GO20" i="1976"/>
  <c r="GB20" i="1976"/>
  <c r="FO20" i="1976"/>
  <c r="FB20" i="1976"/>
  <c r="EO20" i="1976"/>
  <c r="EB20" i="1976"/>
  <c r="DO20" i="1976"/>
  <c r="DB20" i="1976"/>
  <c r="CO20" i="1976"/>
  <c r="CB20" i="1976"/>
  <c r="BO20" i="1976"/>
  <c r="BB20" i="1976"/>
  <c r="AO20" i="1976"/>
  <c r="AB20" i="1976"/>
  <c r="O20" i="1976"/>
  <c r="B20" i="1976"/>
  <c r="JN25" i="1976"/>
  <c r="JN24" i="1976"/>
  <c r="JQ21" i="1976"/>
  <c r="JQ7" i="1976"/>
  <c r="AA16" i="1976"/>
  <c r="AA14" i="1976"/>
  <c r="AA13" i="1976"/>
  <c r="AA12" i="1976"/>
  <c r="AA11" i="1976"/>
  <c r="AA10" i="1976"/>
  <c r="AA9" i="1976"/>
  <c r="AA8" i="1976"/>
  <c r="AA7" i="1976"/>
  <c r="AN16" i="1976"/>
  <c r="AN14" i="1976"/>
  <c r="AN13" i="1976"/>
  <c r="AN12" i="1976"/>
  <c r="AN11" i="1976"/>
  <c r="AN10" i="1976"/>
  <c r="AN9" i="1976"/>
  <c r="AN8" i="1976"/>
  <c r="AN7" i="1976"/>
  <c r="N7" i="1976"/>
  <c r="BA7" i="1976"/>
  <c r="BN7" i="1976"/>
  <c r="CA7" i="1976"/>
  <c r="CN7" i="1976"/>
  <c r="DA7" i="1976"/>
  <c r="DN7" i="1976"/>
  <c r="EA7" i="1976"/>
  <c r="EN7" i="1976"/>
  <c r="FA7" i="1976"/>
  <c r="FN7" i="1976"/>
  <c r="GA7" i="1976"/>
  <c r="GN7" i="1976"/>
  <c r="HA7" i="1976"/>
  <c r="HN7" i="1976"/>
  <c r="IA7" i="1976"/>
  <c r="IN7" i="1976"/>
  <c r="JA7" i="1976"/>
  <c r="JA28" i="1976" s="1"/>
  <c r="BA8" i="1976"/>
  <c r="CA8" i="1976"/>
  <c r="CN8" i="1976"/>
  <c r="DA8" i="1976"/>
  <c r="DN8" i="1976"/>
  <c r="EA8" i="1976"/>
  <c r="EN8" i="1976"/>
  <c r="FA8" i="1976"/>
  <c r="FN8" i="1976"/>
  <c r="GA8" i="1976"/>
  <c r="GN8" i="1976"/>
  <c r="HA8" i="1976"/>
  <c r="HN8" i="1976"/>
  <c r="IA8" i="1976"/>
  <c r="IN8" i="1976"/>
  <c r="JA8" i="1976"/>
  <c r="N9" i="1976"/>
  <c r="BA9" i="1976"/>
  <c r="BN9" i="1976"/>
  <c r="CA9" i="1976"/>
  <c r="CN9" i="1976"/>
  <c r="DA9" i="1976"/>
  <c r="DN9" i="1976"/>
  <c r="EA9" i="1976"/>
  <c r="EN9" i="1976"/>
  <c r="FA9" i="1976"/>
  <c r="FN9" i="1976"/>
  <c r="GA9" i="1976"/>
  <c r="GN9" i="1976"/>
  <c r="HA9" i="1976"/>
  <c r="HN9" i="1976"/>
  <c r="IA9" i="1976"/>
  <c r="IN9" i="1976"/>
  <c r="JA9" i="1976"/>
  <c r="N10" i="1976"/>
  <c r="BA10" i="1976"/>
  <c r="BN10" i="1976"/>
  <c r="CA10" i="1976"/>
  <c r="CN10" i="1976"/>
  <c r="DA10" i="1976"/>
  <c r="DN10" i="1976"/>
  <c r="EA10" i="1976"/>
  <c r="EN10" i="1976"/>
  <c r="FA10" i="1976"/>
  <c r="FN10" i="1976"/>
  <c r="GA10" i="1976"/>
  <c r="GN10" i="1976"/>
  <c r="HA10" i="1976"/>
  <c r="HN10" i="1976"/>
  <c r="IA10" i="1976"/>
  <c r="IN10" i="1976"/>
  <c r="JA10" i="1976"/>
  <c r="N11" i="1976"/>
  <c r="BA11" i="1976"/>
  <c r="BN11" i="1976"/>
  <c r="CA11" i="1976"/>
  <c r="CN11" i="1976"/>
  <c r="DA11" i="1976"/>
  <c r="DN11" i="1976"/>
  <c r="EA11" i="1976"/>
  <c r="EN11" i="1976"/>
  <c r="FA11" i="1976"/>
  <c r="FN11" i="1976"/>
  <c r="GA11" i="1976"/>
  <c r="GN11" i="1976"/>
  <c r="HA11" i="1976"/>
  <c r="HN11" i="1976"/>
  <c r="IA11" i="1976"/>
  <c r="IN11" i="1976"/>
  <c r="JA11" i="1976"/>
  <c r="N12" i="1976"/>
  <c r="BA12" i="1976"/>
  <c r="BN12" i="1976"/>
  <c r="CA12" i="1976"/>
  <c r="CN12" i="1976"/>
  <c r="DA12" i="1976"/>
  <c r="DN12" i="1976"/>
  <c r="EA12" i="1976"/>
  <c r="EN12" i="1976"/>
  <c r="FA12" i="1976"/>
  <c r="FN12" i="1976"/>
  <c r="GA12" i="1976"/>
  <c r="GN12" i="1976"/>
  <c r="HA12" i="1976"/>
  <c r="HN12" i="1976"/>
  <c r="IA12" i="1976"/>
  <c r="IN12" i="1976"/>
  <c r="JA12" i="1976"/>
  <c r="N13" i="1976"/>
  <c r="BA13" i="1976"/>
  <c r="BN13" i="1976"/>
  <c r="CA13" i="1976"/>
  <c r="CN13" i="1976"/>
  <c r="DA13" i="1976"/>
  <c r="DN13" i="1976"/>
  <c r="EA13" i="1976"/>
  <c r="EN13" i="1976"/>
  <c r="FA13" i="1976"/>
  <c r="FN13" i="1976"/>
  <c r="GA13" i="1976"/>
  <c r="GN13" i="1976"/>
  <c r="HA13" i="1976"/>
  <c r="HN13" i="1976"/>
  <c r="IA13" i="1976"/>
  <c r="IN13" i="1976"/>
  <c r="JA13" i="1976"/>
  <c r="N14" i="1976"/>
  <c r="BA14" i="1976"/>
  <c r="BN14" i="1976"/>
  <c r="CA14" i="1976"/>
  <c r="CN14" i="1976"/>
  <c r="DA14" i="1976"/>
  <c r="DN14" i="1976"/>
  <c r="EA14" i="1976"/>
  <c r="EN14" i="1976"/>
  <c r="FA14" i="1976"/>
  <c r="FN14" i="1976"/>
  <c r="GA14" i="1976"/>
  <c r="GN14" i="1976"/>
  <c r="HA14" i="1976"/>
  <c r="HN14" i="1976"/>
  <c r="IA14" i="1976"/>
  <c r="IN14" i="1976"/>
  <c r="JA14" i="1976"/>
  <c r="B15" i="1976"/>
  <c r="C15" i="1976"/>
  <c r="D15" i="1976"/>
  <c r="E15" i="1976"/>
  <c r="F15" i="1976"/>
  <c r="G15" i="1976"/>
  <c r="H15" i="1976"/>
  <c r="I15" i="1976"/>
  <c r="J15" i="1976"/>
  <c r="K15" i="1976"/>
  <c r="L15" i="1976"/>
  <c r="M15" i="1976"/>
  <c r="O15" i="1976"/>
  <c r="P15" i="1976"/>
  <c r="Q15" i="1976"/>
  <c r="R15" i="1976"/>
  <c r="S15" i="1976"/>
  <c r="T15" i="1976"/>
  <c r="U15" i="1976"/>
  <c r="V15" i="1976"/>
  <c r="W15" i="1976"/>
  <c r="X15" i="1976"/>
  <c r="Y15" i="1976"/>
  <c r="Z15" i="1976"/>
  <c r="AB15" i="1976"/>
  <c r="AC15" i="1976"/>
  <c r="AD15" i="1976"/>
  <c r="AE15" i="1976"/>
  <c r="AF15" i="1976"/>
  <c r="AG15" i="1976"/>
  <c r="AH15" i="1976"/>
  <c r="AI15" i="1976"/>
  <c r="AJ15" i="1976"/>
  <c r="AK15" i="1976"/>
  <c r="AL15" i="1976"/>
  <c r="AM15" i="1976"/>
  <c r="AO15" i="1976"/>
  <c r="AP15" i="1976"/>
  <c r="AQ15" i="1976"/>
  <c r="AR15" i="1976"/>
  <c r="AS15" i="1976"/>
  <c r="AT15" i="1976"/>
  <c r="AU15" i="1976"/>
  <c r="AV15" i="1976"/>
  <c r="AW15" i="1976"/>
  <c r="AX15" i="1976"/>
  <c r="AY15" i="1976"/>
  <c r="AZ15" i="1976"/>
  <c r="BB15" i="1976"/>
  <c r="BC15" i="1976"/>
  <c r="BD15" i="1976"/>
  <c r="BE15" i="1976"/>
  <c r="BF15" i="1976"/>
  <c r="BG15" i="1976"/>
  <c r="BH15" i="1976"/>
  <c r="BI15" i="1976"/>
  <c r="BJ15" i="1976"/>
  <c r="BK15" i="1976"/>
  <c r="BL15" i="1976"/>
  <c r="BM15" i="1976"/>
  <c r="BO15" i="1976"/>
  <c r="BP15" i="1976"/>
  <c r="BQ15" i="1976"/>
  <c r="BR15" i="1976"/>
  <c r="BS15" i="1976"/>
  <c r="BT15" i="1976"/>
  <c r="BU15" i="1976"/>
  <c r="BV15" i="1976"/>
  <c r="BW15" i="1976"/>
  <c r="BX15" i="1976"/>
  <c r="BY15" i="1976"/>
  <c r="BZ15" i="1976"/>
  <c r="CB15" i="1976"/>
  <c r="CC15" i="1976"/>
  <c r="CD15" i="1976"/>
  <c r="CE15" i="1976"/>
  <c r="CF15" i="1976"/>
  <c r="CG15" i="1976"/>
  <c r="CH15" i="1976"/>
  <c r="CI15" i="1976"/>
  <c r="CJ15" i="1976"/>
  <c r="CK15" i="1976"/>
  <c r="CL15" i="1976"/>
  <c r="CM15" i="1976"/>
  <c r="CO15" i="1976"/>
  <c r="CP15" i="1976"/>
  <c r="CQ15" i="1976"/>
  <c r="CR15" i="1976"/>
  <c r="CS15" i="1976"/>
  <c r="CT15" i="1976"/>
  <c r="CU15" i="1976"/>
  <c r="CV15" i="1976"/>
  <c r="CW15" i="1976"/>
  <c r="CX15" i="1976"/>
  <c r="CY15" i="1976"/>
  <c r="CZ15" i="1976"/>
  <c r="DB15" i="1976"/>
  <c r="DC15" i="1976"/>
  <c r="DD15" i="1976"/>
  <c r="DE15" i="1976"/>
  <c r="DF15" i="1976"/>
  <c r="DG15" i="1976"/>
  <c r="DH15" i="1976"/>
  <c r="DI15" i="1976"/>
  <c r="DJ15" i="1976"/>
  <c r="DK15" i="1976"/>
  <c r="DL15" i="1976"/>
  <c r="DM15" i="1976"/>
  <c r="DO15" i="1976"/>
  <c r="DP15" i="1976"/>
  <c r="DQ15" i="1976"/>
  <c r="DR15" i="1976"/>
  <c r="DS15" i="1976"/>
  <c r="DT15" i="1976"/>
  <c r="DU15" i="1976"/>
  <c r="DV15" i="1976"/>
  <c r="DW15" i="1976"/>
  <c r="DX15" i="1976"/>
  <c r="DY15" i="1976"/>
  <c r="DZ15" i="1976"/>
  <c r="EB15" i="1976"/>
  <c r="EC15" i="1976"/>
  <c r="ED15" i="1976"/>
  <c r="EE15" i="1976"/>
  <c r="EF15" i="1976"/>
  <c r="EG15" i="1976"/>
  <c r="EH15" i="1976"/>
  <c r="EI15" i="1976"/>
  <c r="EJ15" i="1976"/>
  <c r="EK15" i="1976"/>
  <c r="EL15" i="1976"/>
  <c r="EM15" i="1976"/>
  <c r="EO15" i="1976"/>
  <c r="EP15" i="1976"/>
  <c r="EQ15" i="1976"/>
  <c r="ER15" i="1976"/>
  <c r="ES15" i="1976"/>
  <c r="ET15" i="1976"/>
  <c r="EU15" i="1976"/>
  <c r="EV15" i="1976"/>
  <c r="EW15" i="1976"/>
  <c r="EX15" i="1976"/>
  <c r="EY15" i="1976"/>
  <c r="EZ15" i="1976"/>
  <c r="FB15" i="1976"/>
  <c r="FC15" i="1976"/>
  <c r="FD15" i="1976"/>
  <c r="FE15" i="1976"/>
  <c r="FF15" i="1976"/>
  <c r="FG15" i="1976"/>
  <c r="FH15" i="1976"/>
  <c r="FI15" i="1976"/>
  <c r="FJ15" i="1976"/>
  <c r="FK15" i="1976"/>
  <c r="FL15" i="1976"/>
  <c r="FM15" i="1976"/>
  <c r="FO15" i="1976"/>
  <c r="FP15" i="1976"/>
  <c r="FQ15" i="1976"/>
  <c r="FR15" i="1976"/>
  <c r="FS15" i="1976"/>
  <c r="FT15" i="1976"/>
  <c r="FU15" i="1976"/>
  <c r="FV15" i="1976"/>
  <c r="FW15" i="1976"/>
  <c r="FX15" i="1976"/>
  <c r="FY15" i="1976"/>
  <c r="FZ15" i="1976"/>
  <c r="GB15" i="1976"/>
  <c r="GC15" i="1976"/>
  <c r="GD15" i="1976"/>
  <c r="GE15" i="1976"/>
  <c r="GF15" i="1976"/>
  <c r="GG15" i="1976"/>
  <c r="GH15" i="1976"/>
  <c r="GI15" i="1976"/>
  <c r="GJ15" i="1976"/>
  <c r="GK15" i="1976"/>
  <c r="GL15" i="1976"/>
  <c r="GM15" i="1976"/>
  <c r="GO15" i="1976"/>
  <c r="GP15" i="1976"/>
  <c r="GQ15" i="1976"/>
  <c r="GR15" i="1976"/>
  <c r="GS15" i="1976"/>
  <c r="GT15" i="1976"/>
  <c r="GU15" i="1976"/>
  <c r="GV15" i="1976"/>
  <c r="GW15" i="1976"/>
  <c r="GX15" i="1976"/>
  <c r="GY15" i="1976"/>
  <c r="GZ15" i="1976"/>
  <c r="HB15" i="1976"/>
  <c r="HC15" i="1976"/>
  <c r="HD15" i="1976"/>
  <c r="HE15" i="1976"/>
  <c r="HF15" i="1976"/>
  <c r="HG15" i="1976"/>
  <c r="HH15" i="1976"/>
  <c r="HI15" i="1976"/>
  <c r="HJ15" i="1976"/>
  <c r="HK15" i="1976"/>
  <c r="HL15" i="1976"/>
  <c r="HM15" i="1976"/>
  <c r="HO15" i="1976"/>
  <c r="HP15" i="1976"/>
  <c r="HQ15" i="1976"/>
  <c r="HR15" i="1976"/>
  <c r="HS15" i="1976"/>
  <c r="HT15" i="1976"/>
  <c r="HU15" i="1976"/>
  <c r="HV15" i="1976"/>
  <c r="HW15" i="1976"/>
  <c r="HX15" i="1976"/>
  <c r="HY15" i="1976"/>
  <c r="HZ15" i="1976"/>
  <c r="IB15" i="1976"/>
  <c r="IC15" i="1976"/>
  <c r="ID15" i="1976"/>
  <c r="IE15" i="1976"/>
  <c r="IF15" i="1976"/>
  <c r="IG15" i="1976"/>
  <c r="IH15" i="1976"/>
  <c r="II15" i="1976"/>
  <c r="IJ15" i="1976"/>
  <c r="IK15" i="1976"/>
  <c r="IL15" i="1976"/>
  <c r="IM15" i="1976"/>
  <c r="IO15" i="1976"/>
  <c r="IP15" i="1976"/>
  <c r="IQ15" i="1976"/>
  <c r="IR15" i="1976"/>
  <c r="IS15" i="1976"/>
  <c r="IT15" i="1976"/>
  <c r="IU15" i="1976"/>
  <c r="IV15" i="1976"/>
  <c r="IV29" i="1976" s="1"/>
  <c r="IW15" i="1976"/>
  <c r="IW29" i="1976" s="1"/>
  <c r="IX15" i="1976"/>
  <c r="IX29" i="1976" s="1"/>
  <c r="IY15" i="1976"/>
  <c r="IY29" i="1976" s="1"/>
  <c r="IZ15" i="1976"/>
  <c r="IZ29" i="1976" s="1"/>
  <c r="CA16" i="1976"/>
  <c r="CN16" i="1976"/>
  <c r="DA16" i="1976"/>
  <c r="DN16" i="1976"/>
  <c r="EA16" i="1976"/>
  <c r="EN16" i="1976"/>
  <c r="FN16" i="1976"/>
  <c r="GA16" i="1976"/>
  <c r="GN16" i="1976"/>
  <c r="HA16" i="1976"/>
  <c r="HN16" i="1976"/>
  <c r="IA16" i="1976"/>
  <c r="IN16" i="1976"/>
  <c r="JA16" i="1976"/>
  <c r="B4" i="1976"/>
  <c r="O4" i="1976"/>
  <c r="AB4" i="1976"/>
  <c r="N5" i="1976"/>
  <c r="AA5" i="1976"/>
  <c r="AN5" i="1976"/>
  <c r="JA5" i="1976"/>
  <c r="IN5" i="1976"/>
  <c r="IA5" i="1976"/>
  <c r="HN5" i="1976"/>
  <c r="HA5" i="1976"/>
  <c r="GN5" i="1976"/>
  <c r="GA5" i="1976"/>
  <c r="FN5" i="1976"/>
  <c r="FA5" i="1976"/>
  <c r="EN5" i="1976"/>
  <c r="EA5" i="1976"/>
  <c r="DN5" i="1976"/>
  <c r="DA5" i="1976"/>
  <c r="CN5" i="1976"/>
  <c r="CA5" i="1976"/>
  <c r="BN5" i="1976"/>
  <c r="BA5" i="1976"/>
  <c r="IO4" i="1976"/>
  <c r="IB4" i="1976"/>
  <c r="HO4" i="1976"/>
  <c r="HB4" i="1976"/>
  <c r="GO4" i="1976"/>
  <c r="GB4" i="1976"/>
  <c r="FO4" i="1976"/>
  <c r="FB4" i="1976"/>
  <c r="EO4" i="1976"/>
  <c r="EB4" i="1976"/>
  <c r="DO4" i="1976"/>
  <c r="DB4" i="1976"/>
  <c r="CO4" i="1976"/>
  <c r="CB4" i="1976"/>
  <c r="BO4" i="1976"/>
  <c r="BB4" i="1976"/>
  <c r="AO4" i="1976"/>
  <c r="JN16" i="1976"/>
  <c r="JN14" i="1976"/>
  <c r="JN13" i="1976"/>
  <c r="JN12" i="1976"/>
  <c r="JN11" i="1976"/>
  <c r="JN10" i="1976"/>
  <c r="JN9" i="1976"/>
  <c r="JN8" i="1976"/>
  <c r="JN7" i="1976"/>
  <c r="JQ5" i="1976"/>
  <c r="JN5" i="1976"/>
  <c r="JS4" i="1976" s="1"/>
  <c r="JB4" i="1976"/>
  <c r="FO4" i="1709"/>
  <c r="GU11" i="1975"/>
  <c r="GV11" i="1975"/>
  <c r="GW11" i="1975"/>
  <c r="GX11" i="1975"/>
  <c r="GY11" i="1975"/>
  <c r="GZ11" i="1975"/>
  <c r="GU7" i="1975"/>
  <c r="GV7" i="1975"/>
  <c r="GW7" i="1975"/>
  <c r="GX7" i="1975"/>
  <c r="GY7" i="1975"/>
  <c r="GZ7" i="1975"/>
  <c r="B7" i="1975"/>
  <c r="C7" i="1975"/>
  <c r="D7" i="1975"/>
  <c r="E7" i="1975"/>
  <c r="F7" i="1975"/>
  <c r="G7" i="1975"/>
  <c r="H7" i="1975"/>
  <c r="I7" i="1975"/>
  <c r="J7" i="1975"/>
  <c r="K7" i="1975"/>
  <c r="L7" i="1975"/>
  <c r="M7" i="1975"/>
  <c r="O7" i="1975"/>
  <c r="P7" i="1975"/>
  <c r="Q7" i="1975"/>
  <c r="R7" i="1975"/>
  <c r="S7" i="1975"/>
  <c r="T7" i="1975"/>
  <c r="U7" i="1975"/>
  <c r="V7" i="1975"/>
  <c r="W7" i="1975"/>
  <c r="X7" i="1975"/>
  <c r="Y7" i="1975"/>
  <c r="Z7" i="1975"/>
  <c r="AB7" i="1975"/>
  <c r="AC7" i="1975"/>
  <c r="AD7" i="1975"/>
  <c r="AE7" i="1975"/>
  <c r="AF7" i="1975"/>
  <c r="AG7" i="1975"/>
  <c r="AH7" i="1975"/>
  <c r="AI7" i="1975"/>
  <c r="AJ7" i="1975"/>
  <c r="AK7" i="1975"/>
  <c r="AL7" i="1975"/>
  <c r="AM7" i="1975"/>
  <c r="AO7" i="1975"/>
  <c r="AP7" i="1975"/>
  <c r="AQ7" i="1975"/>
  <c r="AR7" i="1975"/>
  <c r="AS7" i="1975"/>
  <c r="AT7" i="1975"/>
  <c r="AU7" i="1975"/>
  <c r="AV7" i="1975"/>
  <c r="AW7" i="1975"/>
  <c r="AX7" i="1975"/>
  <c r="AY7" i="1975"/>
  <c r="AZ7" i="1975"/>
  <c r="BB7" i="1975"/>
  <c r="BC7" i="1975"/>
  <c r="BD7" i="1975"/>
  <c r="BE7" i="1975"/>
  <c r="BF7" i="1975"/>
  <c r="BG7" i="1975"/>
  <c r="BH7" i="1975"/>
  <c r="BI7" i="1975"/>
  <c r="BJ7" i="1975"/>
  <c r="BK7" i="1975"/>
  <c r="BL7" i="1975"/>
  <c r="BM7" i="1975"/>
  <c r="BO7" i="1975"/>
  <c r="CB7" i="1975"/>
  <c r="CC7" i="1975"/>
  <c r="CD7" i="1975"/>
  <c r="CE7" i="1975"/>
  <c r="CF7" i="1975"/>
  <c r="CG7" i="1975"/>
  <c r="CH7" i="1975"/>
  <c r="CI7" i="1975"/>
  <c r="CJ7" i="1975"/>
  <c r="CK7" i="1975"/>
  <c r="CL7" i="1975"/>
  <c r="CM7" i="1975"/>
  <c r="CO7" i="1975"/>
  <c r="CP7" i="1975"/>
  <c r="CQ7" i="1975"/>
  <c r="CR7" i="1975"/>
  <c r="CS7" i="1975"/>
  <c r="CT7" i="1975"/>
  <c r="CU7" i="1975"/>
  <c r="CV7" i="1975"/>
  <c r="CW7" i="1975"/>
  <c r="CX7" i="1975"/>
  <c r="CY7" i="1975"/>
  <c r="CZ7" i="1975"/>
  <c r="DB7" i="1975"/>
  <c r="DC7" i="1975"/>
  <c r="DD7" i="1975"/>
  <c r="DE7" i="1975"/>
  <c r="DF7" i="1975"/>
  <c r="DG7" i="1975"/>
  <c r="DH7" i="1975"/>
  <c r="DI7" i="1975"/>
  <c r="DJ7" i="1975"/>
  <c r="DK7" i="1975"/>
  <c r="DL7" i="1975"/>
  <c r="DM7" i="1975"/>
  <c r="DO7" i="1975"/>
  <c r="DP7" i="1975"/>
  <c r="DQ7" i="1975"/>
  <c r="DR7" i="1975"/>
  <c r="DS7" i="1975"/>
  <c r="DT7" i="1975"/>
  <c r="DU7" i="1975"/>
  <c r="DV7" i="1975"/>
  <c r="DW7" i="1975"/>
  <c r="DX7" i="1975"/>
  <c r="DY7" i="1975"/>
  <c r="DZ7" i="1975"/>
  <c r="EB7" i="1975"/>
  <c r="EC7" i="1975"/>
  <c r="ED7" i="1975"/>
  <c r="EE7" i="1975"/>
  <c r="EF7" i="1975"/>
  <c r="EG7" i="1975"/>
  <c r="EH7" i="1975"/>
  <c r="EI7" i="1975"/>
  <c r="EJ7" i="1975"/>
  <c r="EK7" i="1975"/>
  <c r="EL7" i="1975"/>
  <c r="EM7" i="1975"/>
  <c r="EO7" i="1975"/>
  <c r="EP7" i="1975"/>
  <c r="EQ7" i="1975"/>
  <c r="ER7" i="1975"/>
  <c r="ES7" i="1975"/>
  <c r="ET7" i="1975"/>
  <c r="EU7" i="1975"/>
  <c r="EV7" i="1975"/>
  <c r="EW7" i="1975"/>
  <c r="EX7" i="1975"/>
  <c r="EY7" i="1975"/>
  <c r="EZ7" i="1975"/>
  <c r="FB7" i="1975"/>
  <c r="GB17" i="1975" s="1"/>
  <c r="FC7" i="1975"/>
  <c r="GC17" i="1975" s="1"/>
  <c r="FD7" i="1975"/>
  <c r="GD17" i="1975" s="1"/>
  <c r="FE7" i="1975"/>
  <c r="GE17" i="1975" s="1"/>
  <c r="FF7" i="1975"/>
  <c r="GF17" i="1975" s="1"/>
  <c r="FG7" i="1975"/>
  <c r="GG17" i="1975" s="1"/>
  <c r="FH7" i="1975"/>
  <c r="GH17" i="1975" s="1"/>
  <c r="FI7" i="1975"/>
  <c r="GI17" i="1975" s="1"/>
  <c r="FJ7" i="1975"/>
  <c r="GJ17" i="1975" s="1"/>
  <c r="FK7" i="1975"/>
  <c r="GK17" i="1975" s="1"/>
  <c r="FL7" i="1975"/>
  <c r="GL17" i="1975" s="1"/>
  <c r="FM7" i="1975"/>
  <c r="GM17" i="1975" s="1"/>
  <c r="FO7" i="1975"/>
  <c r="FP7" i="1975"/>
  <c r="FQ7" i="1975"/>
  <c r="FR7" i="1975"/>
  <c r="FS7" i="1975"/>
  <c r="FT7" i="1975"/>
  <c r="FU7" i="1975"/>
  <c r="FV7" i="1975"/>
  <c r="FW7" i="1975"/>
  <c r="FX7" i="1975"/>
  <c r="GX17" i="1975" s="1"/>
  <c r="FY7" i="1975"/>
  <c r="FZ7" i="1975"/>
  <c r="N8" i="1975"/>
  <c r="AA8" i="1975"/>
  <c r="AN8" i="1975"/>
  <c r="BA8" i="1975"/>
  <c r="BN8" i="1975"/>
  <c r="CA8" i="1975"/>
  <c r="CN8" i="1975"/>
  <c r="DA8" i="1975"/>
  <c r="DN8" i="1975"/>
  <c r="EA8" i="1975"/>
  <c r="EN8" i="1975"/>
  <c r="FA8" i="1975"/>
  <c r="FN8" i="1975"/>
  <c r="GA8" i="1975"/>
  <c r="N9" i="1975"/>
  <c r="AA9" i="1975"/>
  <c r="AN9" i="1975"/>
  <c r="BA9" i="1975"/>
  <c r="BN9" i="1975"/>
  <c r="CA9" i="1975"/>
  <c r="CN9" i="1975"/>
  <c r="DA9" i="1975"/>
  <c r="DN9" i="1975"/>
  <c r="EA9" i="1975"/>
  <c r="EN9" i="1975"/>
  <c r="FA9" i="1975"/>
  <c r="FN9" i="1975"/>
  <c r="GA9" i="1975"/>
  <c r="M11" i="1975"/>
  <c r="BB11" i="1975"/>
  <c r="BC11" i="1975"/>
  <c r="BD11" i="1975"/>
  <c r="BE11" i="1975"/>
  <c r="BF11" i="1975"/>
  <c r="BG11" i="1975"/>
  <c r="BH11" i="1975"/>
  <c r="BI11" i="1975"/>
  <c r="BJ11" i="1975"/>
  <c r="BK11" i="1975"/>
  <c r="BL11" i="1975"/>
  <c r="BM11" i="1975"/>
  <c r="BO11" i="1975"/>
  <c r="CB11" i="1975"/>
  <c r="CC11" i="1975"/>
  <c r="CD11" i="1975"/>
  <c r="CE11" i="1975"/>
  <c r="CF11" i="1975"/>
  <c r="CG11" i="1975"/>
  <c r="CH11" i="1975"/>
  <c r="CI11" i="1975"/>
  <c r="CJ11" i="1975"/>
  <c r="CK11" i="1975"/>
  <c r="CL11" i="1975"/>
  <c r="CM11" i="1975"/>
  <c r="CO11" i="1975"/>
  <c r="CP11" i="1975"/>
  <c r="CQ11" i="1975"/>
  <c r="CR11" i="1975"/>
  <c r="CS11" i="1975"/>
  <c r="CT11" i="1975"/>
  <c r="CU11" i="1975"/>
  <c r="CV11" i="1975"/>
  <c r="CW11" i="1975"/>
  <c r="CX11" i="1975"/>
  <c r="CY11" i="1975"/>
  <c r="CZ11" i="1975"/>
  <c r="DB11" i="1975"/>
  <c r="DC11" i="1975"/>
  <c r="DD11" i="1975"/>
  <c r="DE11" i="1975"/>
  <c r="DF11" i="1975"/>
  <c r="DG11" i="1975"/>
  <c r="DH11" i="1975"/>
  <c r="DI11" i="1975"/>
  <c r="DJ11" i="1975"/>
  <c r="DK11" i="1975"/>
  <c r="DL11" i="1975"/>
  <c r="DM11" i="1975"/>
  <c r="DO11" i="1975"/>
  <c r="DP11" i="1975"/>
  <c r="DQ11" i="1975"/>
  <c r="DR11" i="1975"/>
  <c r="DS11" i="1975"/>
  <c r="DT11" i="1975"/>
  <c r="DU11" i="1975"/>
  <c r="DV11" i="1975"/>
  <c r="DW11" i="1975"/>
  <c r="DX11" i="1975"/>
  <c r="DY11" i="1975"/>
  <c r="DZ11" i="1975"/>
  <c r="EB11" i="1975"/>
  <c r="EC11" i="1975"/>
  <c r="ED11" i="1975"/>
  <c r="EE11" i="1975"/>
  <c r="EF11" i="1975"/>
  <c r="EG11" i="1975"/>
  <c r="EH11" i="1975"/>
  <c r="EI11" i="1975"/>
  <c r="EJ11" i="1975"/>
  <c r="EK11" i="1975"/>
  <c r="EL11" i="1975"/>
  <c r="EM11" i="1975"/>
  <c r="EO11" i="1975"/>
  <c r="EP11" i="1975"/>
  <c r="EQ11" i="1975"/>
  <c r="ER11" i="1975"/>
  <c r="ES11" i="1975"/>
  <c r="ET11" i="1975"/>
  <c r="EU11" i="1975"/>
  <c r="EV11" i="1975"/>
  <c r="EW11" i="1975"/>
  <c r="EX11" i="1975"/>
  <c r="EY11" i="1975"/>
  <c r="EZ11" i="1975"/>
  <c r="FB11" i="1975"/>
  <c r="GB20" i="1975" s="1"/>
  <c r="FC11" i="1975"/>
  <c r="GC20" i="1975" s="1"/>
  <c r="FD11" i="1975"/>
  <c r="GD20" i="1975" s="1"/>
  <c r="FE11" i="1975"/>
  <c r="GE20" i="1975" s="1"/>
  <c r="FF11" i="1975"/>
  <c r="GF20" i="1975" s="1"/>
  <c r="FG11" i="1975"/>
  <c r="GG20" i="1975" s="1"/>
  <c r="FH11" i="1975"/>
  <c r="GH20" i="1975" s="1"/>
  <c r="FI11" i="1975"/>
  <c r="GI20" i="1975" s="1"/>
  <c r="FJ11" i="1975"/>
  <c r="GJ20" i="1975" s="1"/>
  <c r="FK11" i="1975"/>
  <c r="GK20" i="1975" s="1"/>
  <c r="FL11" i="1975"/>
  <c r="GL20" i="1975" s="1"/>
  <c r="FM11" i="1975"/>
  <c r="GM20" i="1975" s="1"/>
  <c r="FO11" i="1975"/>
  <c r="FP11" i="1975"/>
  <c r="FQ11" i="1975"/>
  <c r="FR11" i="1975"/>
  <c r="FS11" i="1975"/>
  <c r="FT11" i="1975"/>
  <c r="FU11" i="1975"/>
  <c r="FV11" i="1975"/>
  <c r="FW11" i="1975"/>
  <c r="FX11" i="1975"/>
  <c r="FY11" i="1975"/>
  <c r="FZ11" i="1975"/>
  <c r="D11" i="1975"/>
  <c r="E11" i="1975"/>
  <c r="F11" i="1975"/>
  <c r="T11" i="1975"/>
  <c r="U11" i="1975"/>
  <c r="V11" i="1975"/>
  <c r="W11" i="1975"/>
  <c r="AD11" i="1975"/>
  <c r="AL11" i="1975"/>
  <c r="AM11" i="1975"/>
  <c r="AO12" i="1975"/>
  <c r="AP12" i="1975"/>
  <c r="AQ12" i="1975"/>
  <c r="AR12" i="1975"/>
  <c r="AS12" i="1975"/>
  <c r="AT12" i="1975"/>
  <c r="AU12" i="1975"/>
  <c r="AV12" i="1975"/>
  <c r="AW12" i="1975"/>
  <c r="AX12" i="1975"/>
  <c r="AY12" i="1975"/>
  <c r="AZ12" i="1975"/>
  <c r="BN12" i="1975"/>
  <c r="CA12" i="1975"/>
  <c r="CN12" i="1975"/>
  <c r="DA12" i="1975"/>
  <c r="DN12" i="1975"/>
  <c r="EA12" i="1975"/>
  <c r="EN12" i="1975"/>
  <c r="FA12" i="1975"/>
  <c r="FN12" i="1975"/>
  <c r="GA12" i="1975"/>
  <c r="Z11" i="1975"/>
  <c r="AO13" i="1975"/>
  <c r="AP13" i="1975"/>
  <c r="AQ13" i="1975"/>
  <c r="AR13" i="1975"/>
  <c r="AS13" i="1975"/>
  <c r="AT13" i="1975"/>
  <c r="AU13" i="1975"/>
  <c r="AV13" i="1975"/>
  <c r="AW13" i="1975"/>
  <c r="AX13" i="1975"/>
  <c r="AY13" i="1975"/>
  <c r="AZ13" i="1975"/>
  <c r="BN13" i="1975"/>
  <c r="CA13" i="1975"/>
  <c r="CN13" i="1975"/>
  <c r="DA13" i="1975"/>
  <c r="DN13" i="1975"/>
  <c r="EA13" i="1975"/>
  <c r="EN13" i="1975"/>
  <c r="FA13" i="1975"/>
  <c r="FN13" i="1975"/>
  <c r="GA13" i="1975"/>
  <c r="HA13" i="1975"/>
  <c r="HA12" i="1975"/>
  <c r="HA9" i="1975"/>
  <c r="HA8" i="1975"/>
  <c r="N5" i="1975"/>
  <c r="AA5" i="1975"/>
  <c r="AN5" i="1975"/>
  <c r="BA5" i="1975"/>
  <c r="BN5" i="1975"/>
  <c r="CA5" i="1975"/>
  <c r="CN5" i="1975"/>
  <c r="DA5" i="1975"/>
  <c r="DN5" i="1975"/>
  <c r="EA5" i="1975"/>
  <c r="EN5" i="1975"/>
  <c r="FA5" i="1975"/>
  <c r="FN5" i="1975"/>
  <c r="GA5" i="1975"/>
  <c r="HD5" i="1975"/>
  <c r="HF4" i="1975"/>
  <c r="EP5" i="1609"/>
  <c r="EQ5" i="1609"/>
  <c r="AA13" i="1609"/>
  <c r="AA12" i="1609"/>
  <c r="AA9" i="1609"/>
  <c r="AA8" i="1609"/>
  <c r="N13" i="1609"/>
  <c r="N12" i="1609"/>
  <c r="N9" i="1609"/>
  <c r="N8" i="1609"/>
  <c r="N5" i="1609"/>
  <c r="AA5" i="1609"/>
  <c r="EA5" i="1609"/>
  <c r="DN5" i="1609"/>
  <c r="DA5" i="1609"/>
  <c r="CN5" i="1609"/>
  <c r="CA5" i="1609"/>
  <c r="BN5" i="1609"/>
  <c r="BA5" i="1609"/>
  <c r="AN5" i="1609"/>
  <c r="EN13" i="1609"/>
  <c r="EN12" i="1609"/>
  <c r="EN9" i="1609"/>
  <c r="EN8" i="1609"/>
  <c r="EN5" i="1609"/>
  <c r="ES4" i="1609" s="1"/>
  <c r="ER4" i="1609" s="1"/>
  <c r="ES12" i="1609"/>
  <c r="K7" i="1974"/>
  <c r="O7" i="1974"/>
  <c r="P7" i="1974"/>
  <c r="Q7" i="1974"/>
  <c r="R7" i="1974"/>
  <c r="S7" i="1974"/>
  <c r="T7" i="1974"/>
  <c r="U7" i="1974"/>
  <c r="V7" i="1974"/>
  <c r="W7" i="1974"/>
  <c r="X7" i="1974"/>
  <c r="Y7" i="1974"/>
  <c r="Z7" i="1974"/>
  <c r="AB7" i="1974"/>
  <c r="AD7" i="1974"/>
  <c r="AE7" i="1974"/>
  <c r="AF7" i="1974"/>
  <c r="AG7" i="1974"/>
  <c r="AH7" i="1974"/>
  <c r="AI7" i="1974"/>
  <c r="AK7" i="1974"/>
  <c r="AL7" i="1974"/>
  <c r="AM7" i="1974"/>
  <c r="AU7" i="1974"/>
  <c r="AV7" i="1974"/>
  <c r="AW7" i="1974"/>
  <c r="AX7" i="1974"/>
  <c r="AY7" i="1974"/>
  <c r="AZ7" i="1974"/>
  <c r="BB7" i="1974"/>
  <c r="BC7" i="1974"/>
  <c r="BE7" i="1974"/>
  <c r="BG7" i="1974"/>
  <c r="BH7" i="1974"/>
  <c r="BM7" i="1974"/>
  <c r="BZ7" i="1974"/>
  <c r="CB7" i="1974"/>
  <c r="CC7" i="1974"/>
  <c r="CD7" i="1974"/>
  <c r="CE7" i="1974"/>
  <c r="CF7" i="1974"/>
  <c r="CG7" i="1974"/>
  <c r="CH7" i="1974"/>
  <c r="CI7" i="1974"/>
  <c r="CJ7" i="1974"/>
  <c r="CK7" i="1974"/>
  <c r="CL7" i="1974"/>
  <c r="CM7" i="1974"/>
  <c r="CO7" i="1974"/>
  <c r="CP7" i="1974"/>
  <c r="CQ7" i="1974"/>
  <c r="CR7" i="1974"/>
  <c r="CS7" i="1974"/>
  <c r="CT7" i="1974"/>
  <c r="CU7" i="1974"/>
  <c r="CV7" i="1974"/>
  <c r="CW7" i="1974"/>
  <c r="CX7" i="1974"/>
  <c r="CY7" i="1974"/>
  <c r="CZ7" i="1974"/>
  <c r="DB7" i="1974"/>
  <c r="DC7" i="1974"/>
  <c r="DD7" i="1974"/>
  <c r="DE7" i="1974"/>
  <c r="DF7" i="1974"/>
  <c r="DG7" i="1974"/>
  <c r="DH7" i="1974"/>
  <c r="DI7" i="1974"/>
  <c r="DJ7" i="1974"/>
  <c r="DL7" i="1974"/>
  <c r="DM7" i="1974"/>
  <c r="DO7" i="1974"/>
  <c r="DP7" i="1974"/>
  <c r="DQ7" i="1974"/>
  <c r="DR7" i="1974"/>
  <c r="DS7" i="1974"/>
  <c r="DT7" i="1974"/>
  <c r="DU7" i="1974"/>
  <c r="DV7" i="1974"/>
  <c r="DW7" i="1974"/>
  <c r="DX7" i="1974"/>
  <c r="DY7" i="1974"/>
  <c r="DZ7" i="1974"/>
  <c r="EB7" i="1974"/>
  <c r="EC7" i="1974"/>
  <c r="ED7" i="1974"/>
  <c r="EE7" i="1974"/>
  <c r="EF7" i="1974"/>
  <c r="EG7" i="1974"/>
  <c r="EH7" i="1974"/>
  <c r="EI7" i="1974"/>
  <c r="EJ7" i="1974"/>
  <c r="EK7" i="1974"/>
  <c r="EL7" i="1974"/>
  <c r="EM7" i="1974"/>
  <c r="EO7" i="1974"/>
  <c r="EP7" i="1974"/>
  <c r="EQ7" i="1974"/>
  <c r="ER7" i="1974"/>
  <c r="ET7" i="1974"/>
  <c r="EU7" i="1974"/>
  <c r="EV7" i="1974"/>
  <c r="EW7" i="1974"/>
  <c r="EX7" i="1974"/>
  <c r="EY7" i="1974"/>
  <c r="EZ7" i="1974"/>
  <c r="FB7" i="1974"/>
  <c r="FC7" i="1974"/>
  <c r="FD7" i="1974"/>
  <c r="FE7" i="1974"/>
  <c r="FH7" i="1974"/>
  <c r="FI7" i="1974"/>
  <c r="FK7" i="1974"/>
  <c r="FL7" i="1974"/>
  <c r="FM7" i="1974"/>
  <c r="FO7" i="1974"/>
  <c r="FP7" i="1974"/>
  <c r="GD7" i="1974"/>
  <c r="GE7" i="1974"/>
  <c r="GF7" i="1974"/>
  <c r="GQ7" i="1974"/>
  <c r="GU7" i="1974"/>
  <c r="GY7" i="1974"/>
  <c r="HC7" i="1974"/>
  <c r="HE7" i="1974"/>
  <c r="HF7" i="1974"/>
  <c r="HH7" i="1974"/>
  <c r="HI7" i="1974"/>
  <c r="HL7" i="1974"/>
  <c r="HO7" i="1974"/>
  <c r="HR7" i="1974"/>
  <c r="IB7" i="1974"/>
  <c r="IC7" i="1974"/>
  <c r="ID7" i="1974"/>
  <c r="IE7" i="1974"/>
  <c r="IF7" i="1974"/>
  <c r="IG7" i="1974"/>
  <c r="IK7" i="1974"/>
  <c r="IL7" i="1974"/>
  <c r="IM7" i="1974"/>
  <c r="IQ7" i="1974"/>
  <c r="IR7" i="1974"/>
  <c r="IS7" i="1974"/>
  <c r="IT7" i="1974"/>
  <c r="IV7" i="1974"/>
  <c r="JB7" i="1974"/>
  <c r="JE7" i="1974"/>
  <c r="JF7" i="1974"/>
  <c r="JO7" i="1974"/>
  <c r="JP7" i="1974"/>
  <c r="JQ7" i="1974"/>
  <c r="JT7" i="1974"/>
  <c r="JW7" i="1974"/>
  <c r="JY7" i="1974"/>
  <c r="JZ7" i="1974"/>
  <c r="KB7" i="1974"/>
  <c r="KC7" i="1974"/>
  <c r="HB12" i="1974"/>
  <c r="HB17" i="1974"/>
  <c r="HJ17" i="1974"/>
  <c r="HP17" i="1974"/>
  <c r="IA17" i="1974" s="1"/>
  <c r="KF17" i="1974"/>
  <c r="KN17" i="1974" s="1"/>
  <c r="IH18" i="1974"/>
  <c r="II18" i="1974"/>
  <c r="KH23" i="1974"/>
  <c r="KG27" i="1974"/>
  <c r="KH27" i="1974"/>
  <c r="KJ27" i="1974"/>
  <c r="HJ28" i="1974"/>
  <c r="HN28" i="1974" s="1"/>
  <c r="HP28" i="1974"/>
  <c r="HQ28" i="1974"/>
  <c r="GW30" i="1974"/>
  <c r="HA30" i="1974" s="1"/>
  <c r="HG30" i="1974"/>
  <c r="HJ30" i="1974"/>
  <c r="HP30" i="1974"/>
  <c r="HQ30" i="1974"/>
  <c r="IP30" i="1974"/>
  <c r="JA30" i="1974" s="1"/>
  <c r="JX30" i="1974"/>
  <c r="KA30" i="1974" s="1"/>
  <c r="KH30" i="1974"/>
  <c r="KI30" i="1974"/>
  <c r="KJ30" i="1974"/>
  <c r="HP31" i="1974"/>
  <c r="IA31" i="1974" s="1"/>
  <c r="IP32" i="1974"/>
  <c r="DK34" i="1974"/>
  <c r="DN34" i="1974" s="1"/>
  <c r="HJ36" i="1974"/>
  <c r="GV37" i="1974"/>
  <c r="GZ37" i="1974"/>
  <c r="GZ7" i="1974" s="1"/>
  <c r="HD37" i="1974"/>
  <c r="HG37" i="1974"/>
  <c r="KE38" i="1974"/>
  <c r="B39" i="1974"/>
  <c r="C39" i="1974"/>
  <c r="C7" i="1974" s="1"/>
  <c r="D39" i="1974"/>
  <c r="D7" i="1974" s="1"/>
  <c r="E39" i="1974"/>
  <c r="E7" i="1974" s="1"/>
  <c r="F39" i="1974"/>
  <c r="F7" i="1974" s="1"/>
  <c r="G39" i="1974"/>
  <c r="G7" i="1974" s="1"/>
  <c r="H39" i="1974"/>
  <c r="H7" i="1974" s="1"/>
  <c r="I39" i="1974"/>
  <c r="I7" i="1974" s="1"/>
  <c r="J39" i="1974"/>
  <c r="J7" i="1974" s="1"/>
  <c r="L39" i="1974"/>
  <c r="L7" i="1974" s="1"/>
  <c r="M39" i="1974"/>
  <c r="M7" i="1974" s="1"/>
  <c r="AC39" i="1974"/>
  <c r="AJ39" i="1974"/>
  <c r="AJ7" i="1974" s="1"/>
  <c r="AO39" i="1974"/>
  <c r="AP39" i="1974"/>
  <c r="AP7" i="1974" s="1"/>
  <c r="AQ39" i="1974"/>
  <c r="AQ7" i="1974" s="1"/>
  <c r="AR39" i="1974"/>
  <c r="AR7" i="1974" s="1"/>
  <c r="AS39" i="1974"/>
  <c r="AS7" i="1974" s="1"/>
  <c r="AT39" i="1974"/>
  <c r="AT7" i="1974" s="1"/>
  <c r="BD39" i="1974"/>
  <c r="BF39" i="1974"/>
  <c r="BF7" i="1974" s="1"/>
  <c r="BI39" i="1974"/>
  <c r="BI7" i="1974" s="1"/>
  <c r="BJ39" i="1974"/>
  <c r="BJ7" i="1974" s="1"/>
  <c r="BK39" i="1974"/>
  <c r="BK7" i="1974" s="1"/>
  <c r="BL39" i="1974"/>
  <c r="BL7" i="1974" s="1"/>
  <c r="BO39" i="1974"/>
  <c r="BP39" i="1974"/>
  <c r="BP7" i="1974" s="1"/>
  <c r="BQ39" i="1974"/>
  <c r="BQ7" i="1974" s="1"/>
  <c r="BR39" i="1974"/>
  <c r="BR7" i="1974" s="1"/>
  <c r="BS39" i="1974"/>
  <c r="BS7" i="1974" s="1"/>
  <c r="BT39" i="1974"/>
  <c r="BT7" i="1974" s="1"/>
  <c r="BU39" i="1974"/>
  <c r="BU7" i="1974" s="1"/>
  <c r="BV39" i="1974"/>
  <c r="BV7" i="1974" s="1"/>
  <c r="BW39" i="1974"/>
  <c r="BW7" i="1974" s="1"/>
  <c r="BX39" i="1974"/>
  <c r="BX7" i="1974" s="1"/>
  <c r="BY39" i="1974"/>
  <c r="BY7" i="1974" s="1"/>
  <c r="ES39" i="1974"/>
  <c r="FA39" i="1974" s="1"/>
  <c r="FF39" i="1974"/>
  <c r="FG39" i="1974"/>
  <c r="FG7" i="1974" s="1"/>
  <c r="FJ39" i="1974"/>
  <c r="FJ7" i="1974" s="1"/>
  <c r="FQ39" i="1974"/>
  <c r="FR39" i="1974"/>
  <c r="FR7" i="1974" s="1"/>
  <c r="FS39" i="1974"/>
  <c r="FS7" i="1974" s="1"/>
  <c r="FT39" i="1974"/>
  <c r="FU39" i="1974"/>
  <c r="FU7" i="1974" s="1"/>
  <c r="FV39" i="1974"/>
  <c r="FV7" i="1974" s="1"/>
  <c r="FW39" i="1974"/>
  <c r="FW7" i="1974" s="1"/>
  <c r="FX39" i="1974"/>
  <c r="FX7" i="1974" s="1"/>
  <c r="FY39" i="1974"/>
  <c r="FY7" i="1974" s="1"/>
  <c r="FZ39" i="1974"/>
  <c r="FZ7" i="1974" s="1"/>
  <c r="GB39" i="1974"/>
  <c r="GC39" i="1974"/>
  <c r="GC7" i="1974" s="1"/>
  <c r="GG39" i="1974"/>
  <c r="GG7" i="1974" s="1"/>
  <c r="GH39" i="1974"/>
  <c r="GH7" i="1974" s="1"/>
  <c r="GI39" i="1974"/>
  <c r="GI7" i="1974" s="1"/>
  <c r="GJ39" i="1974"/>
  <c r="GJ7" i="1974" s="1"/>
  <c r="GK39" i="1974"/>
  <c r="GK7" i="1974" s="1"/>
  <c r="GL39" i="1974"/>
  <c r="GL7" i="1974" s="1"/>
  <c r="GM39" i="1974"/>
  <c r="GM7" i="1974" s="1"/>
  <c r="GO39" i="1974"/>
  <c r="GP39" i="1974"/>
  <c r="GP7" i="1974" s="1"/>
  <c r="GR39" i="1974"/>
  <c r="GR7" i="1974" s="1"/>
  <c r="GS39" i="1974"/>
  <c r="GS7" i="1974" s="1"/>
  <c r="GT39" i="1974"/>
  <c r="GT7" i="1974" s="1"/>
  <c r="GW39" i="1974"/>
  <c r="GX39" i="1974"/>
  <c r="GX7" i="1974" s="1"/>
  <c r="HJ39" i="1974"/>
  <c r="HK39" i="1974"/>
  <c r="HK7" i="1974" s="1"/>
  <c r="HM39" i="1974"/>
  <c r="HM7" i="1974" s="1"/>
  <c r="HQ39" i="1974"/>
  <c r="HS39" i="1974"/>
  <c r="HS7" i="1974" s="1"/>
  <c r="HT39" i="1974"/>
  <c r="HT7" i="1974" s="1"/>
  <c r="HU39" i="1974"/>
  <c r="HU7" i="1974" s="1"/>
  <c r="HV39" i="1974"/>
  <c r="HV7" i="1974" s="1"/>
  <c r="HW39" i="1974"/>
  <c r="HW7" i="1974" s="1"/>
  <c r="HX39" i="1974"/>
  <c r="HX7" i="1974" s="1"/>
  <c r="HY39" i="1974"/>
  <c r="HY7" i="1974" s="1"/>
  <c r="IH39" i="1974"/>
  <c r="II39" i="1974"/>
  <c r="IJ39" i="1974"/>
  <c r="IJ7" i="1974" s="1"/>
  <c r="IO39" i="1974"/>
  <c r="IP39" i="1974"/>
  <c r="IU39" i="1974"/>
  <c r="IU7" i="1974" s="1"/>
  <c r="IW39" i="1974"/>
  <c r="IW7" i="1974" s="1"/>
  <c r="IX39" i="1974"/>
  <c r="IX7" i="1974" s="1"/>
  <c r="IY39" i="1974"/>
  <c r="IY7" i="1974" s="1"/>
  <c r="IZ39" i="1974"/>
  <c r="IZ7" i="1974" s="1"/>
  <c r="JC39" i="1974"/>
  <c r="JD39" i="1974"/>
  <c r="JD7" i="1974" s="1"/>
  <c r="JG39" i="1974"/>
  <c r="JG7" i="1974" s="1"/>
  <c r="JH39" i="1974"/>
  <c r="JH7" i="1974" s="1"/>
  <c r="JI39" i="1974"/>
  <c r="JI7" i="1974" s="1"/>
  <c r="JJ39" i="1974"/>
  <c r="JJ7" i="1974" s="1"/>
  <c r="JK39" i="1974"/>
  <c r="JK7" i="1974" s="1"/>
  <c r="JL39" i="1974"/>
  <c r="JL7" i="1974" s="1"/>
  <c r="JM39" i="1974"/>
  <c r="JM7" i="1974" s="1"/>
  <c r="JR39" i="1974"/>
  <c r="JS39" i="1974"/>
  <c r="JS7" i="1974" s="1"/>
  <c r="JU39" i="1974"/>
  <c r="JU7" i="1974" s="1"/>
  <c r="JV39" i="1974"/>
  <c r="JV7" i="1974" s="1"/>
  <c r="KD39" i="1974"/>
  <c r="KE39" i="1974"/>
  <c r="KF39" i="1974"/>
  <c r="KG39" i="1974"/>
  <c r="KH39" i="1974"/>
  <c r="KI39" i="1974"/>
  <c r="KJ39" i="1974"/>
  <c r="KK39" i="1974"/>
  <c r="KK7" i="1974" s="1"/>
  <c r="KL39" i="1974"/>
  <c r="KM39" i="1974"/>
  <c r="KM7" i="1974" s="1"/>
  <c r="LJ7" i="1974"/>
  <c r="LK7" i="1974"/>
  <c r="LL7" i="1974"/>
  <c r="LM7" i="1974"/>
  <c r="LJ7" i="1973"/>
  <c r="LK7" i="1973"/>
  <c r="LL7" i="1973"/>
  <c r="LM7" i="1973"/>
  <c r="AA24" i="1619"/>
  <c r="AA18" i="1619"/>
  <c r="AA22" i="1619"/>
  <c r="AA21" i="1619"/>
  <c r="AA19" i="1619"/>
  <c r="AA20" i="1619"/>
  <c r="AA23" i="1619"/>
  <c r="AA14" i="1619"/>
  <c r="AA13" i="1619"/>
  <c r="AA11" i="1619"/>
  <c r="AA10" i="1619"/>
  <c r="N10" i="1619"/>
  <c r="N11" i="1619"/>
  <c r="N13" i="1619"/>
  <c r="N14" i="1619"/>
  <c r="N16" i="1619"/>
  <c r="N23" i="1619"/>
  <c r="N20" i="1619"/>
  <c r="N19" i="1619"/>
  <c r="N21" i="1619"/>
  <c r="N22" i="1619"/>
  <c r="N18" i="1619"/>
  <c r="N24" i="1619"/>
  <c r="B9" i="1619"/>
  <c r="C9" i="1619"/>
  <c r="D9" i="1619"/>
  <c r="E9" i="1619"/>
  <c r="F9" i="1619"/>
  <c r="G9" i="1619"/>
  <c r="H9" i="1619"/>
  <c r="I9" i="1619"/>
  <c r="J9" i="1619"/>
  <c r="K9" i="1619"/>
  <c r="L9" i="1619"/>
  <c r="M9" i="1619"/>
  <c r="U9" i="1619"/>
  <c r="V9" i="1619"/>
  <c r="W9" i="1619"/>
  <c r="X9" i="1619"/>
  <c r="Y9" i="1619"/>
  <c r="Z9" i="1619"/>
  <c r="AB9" i="1619"/>
  <c r="AC9" i="1619"/>
  <c r="AD9" i="1619"/>
  <c r="AE9" i="1619"/>
  <c r="AF9" i="1619"/>
  <c r="AG9" i="1619"/>
  <c r="AH9" i="1619"/>
  <c r="AI9" i="1619"/>
  <c r="AJ9" i="1619"/>
  <c r="AK9" i="1619"/>
  <c r="AL9" i="1619"/>
  <c r="AM9" i="1619"/>
  <c r="AO9" i="1619"/>
  <c r="AP9" i="1619"/>
  <c r="AQ9" i="1619"/>
  <c r="AR9" i="1619"/>
  <c r="AS9" i="1619"/>
  <c r="AT9" i="1619"/>
  <c r="AU9" i="1619"/>
  <c r="AV9" i="1619"/>
  <c r="AW9" i="1619"/>
  <c r="AX9" i="1619"/>
  <c r="AY9" i="1619"/>
  <c r="AZ9" i="1619"/>
  <c r="BB9" i="1619"/>
  <c r="BC9" i="1619"/>
  <c r="BD9" i="1619"/>
  <c r="BE9" i="1619"/>
  <c r="BF9" i="1619"/>
  <c r="BG9" i="1619"/>
  <c r="BH9" i="1619"/>
  <c r="BI9" i="1619"/>
  <c r="BJ9" i="1619"/>
  <c r="BK9" i="1619"/>
  <c r="BL9" i="1619"/>
  <c r="BM9" i="1619"/>
  <c r="BO9" i="1619"/>
  <c r="BP9" i="1619"/>
  <c r="BT9" i="1619"/>
  <c r="CB9" i="1619"/>
  <c r="CC9" i="1619"/>
  <c r="CD9" i="1619"/>
  <c r="CE9" i="1619"/>
  <c r="CF9" i="1619"/>
  <c r="CG9" i="1619"/>
  <c r="CH9" i="1619"/>
  <c r="CI9" i="1619"/>
  <c r="CJ9" i="1619"/>
  <c r="CK9" i="1619"/>
  <c r="CL9" i="1619"/>
  <c r="CM9" i="1619"/>
  <c r="CO9" i="1619"/>
  <c r="CP9" i="1619"/>
  <c r="CQ9" i="1619"/>
  <c r="CR9" i="1619"/>
  <c r="CS9" i="1619"/>
  <c r="CT9" i="1619"/>
  <c r="CU9" i="1619"/>
  <c r="CV9" i="1619"/>
  <c r="CW9" i="1619"/>
  <c r="CX9" i="1619"/>
  <c r="CY9" i="1619"/>
  <c r="CZ9" i="1619"/>
  <c r="DB9" i="1619"/>
  <c r="DC9" i="1619"/>
  <c r="DD9" i="1619"/>
  <c r="DE9" i="1619"/>
  <c r="DF9" i="1619"/>
  <c r="DG9" i="1619"/>
  <c r="DH9" i="1619"/>
  <c r="DI9" i="1619"/>
  <c r="DJ9" i="1619"/>
  <c r="DK9" i="1619"/>
  <c r="DL9" i="1619"/>
  <c r="DM9" i="1619"/>
  <c r="DO9" i="1619"/>
  <c r="DP9" i="1619"/>
  <c r="DQ9" i="1619"/>
  <c r="DR9" i="1619"/>
  <c r="DS9" i="1619"/>
  <c r="DT9" i="1619"/>
  <c r="DU9" i="1619"/>
  <c r="DV9" i="1619"/>
  <c r="DW9" i="1619"/>
  <c r="DX9" i="1619"/>
  <c r="DY9" i="1619"/>
  <c r="DZ9" i="1619"/>
  <c r="EB9" i="1619"/>
  <c r="EC9" i="1619"/>
  <c r="ED9" i="1619"/>
  <c r="EE9" i="1619"/>
  <c r="EF9" i="1619"/>
  <c r="EG9" i="1619"/>
  <c r="EH9" i="1619"/>
  <c r="EL9" i="1619"/>
  <c r="EM9" i="1619"/>
  <c r="EO9" i="1619"/>
  <c r="EP9" i="1619"/>
  <c r="EQ9" i="1619"/>
  <c r="ER9" i="1619"/>
  <c r="ES9" i="1619"/>
  <c r="ET9" i="1619"/>
  <c r="EU9" i="1619"/>
  <c r="EV9" i="1619"/>
  <c r="EW9" i="1619"/>
  <c r="EX9" i="1619"/>
  <c r="EZ9" i="1619"/>
  <c r="FB9" i="1619"/>
  <c r="FC9" i="1619"/>
  <c r="FD9" i="1619"/>
  <c r="FE9" i="1619"/>
  <c r="FF9" i="1619"/>
  <c r="FG9" i="1619"/>
  <c r="FH9" i="1619"/>
  <c r="FI9" i="1619"/>
  <c r="FJ9" i="1619"/>
  <c r="FK9" i="1619"/>
  <c r="FL9" i="1619"/>
  <c r="FM9" i="1619"/>
  <c r="FO9" i="1619"/>
  <c r="FP9" i="1619"/>
  <c r="FP7" i="1619" s="1"/>
  <c r="FQ9" i="1619"/>
  <c r="FQ7" i="1619" s="1"/>
  <c r="FR9" i="1619"/>
  <c r="FR7" i="1619" s="1"/>
  <c r="FS9" i="1619"/>
  <c r="FS7" i="1619" s="1"/>
  <c r="FT9" i="1619"/>
  <c r="FT7" i="1619" s="1"/>
  <c r="FU9" i="1619"/>
  <c r="FU7" i="1619" s="1"/>
  <c r="FV9" i="1619"/>
  <c r="FV7" i="1619" s="1"/>
  <c r="FW9" i="1619"/>
  <c r="FW7" i="1619" s="1"/>
  <c r="FX9" i="1619"/>
  <c r="FY9" i="1619"/>
  <c r="FZ9" i="1619"/>
  <c r="GB9" i="1619"/>
  <c r="GC9" i="1619"/>
  <c r="GD9" i="1619"/>
  <c r="GE9" i="1619"/>
  <c r="GF9" i="1619"/>
  <c r="GG9" i="1619"/>
  <c r="GH9" i="1619"/>
  <c r="GI9" i="1619"/>
  <c r="GJ9" i="1619"/>
  <c r="GK9" i="1619"/>
  <c r="GL9" i="1619"/>
  <c r="GM9" i="1619"/>
  <c r="GO9" i="1619"/>
  <c r="GQ9" i="1619"/>
  <c r="GR9" i="1619"/>
  <c r="GS9" i="1619"/>
  <c r="GT9" i="1619"/>
  <c r="GU9" i="1619"/>
  <c r="GV9" i="1619"/>
  <c r="GX9" i="1619"/>
  <c r="GY9" i="1619"/>
  <c r="GZ9" i="1619"/>
  <c r="HB9" i="1619"/>
  <c r="HC9" i="1619"/>
  <c r="HD9" i="1619"/>
  <c r="HE9" i="1619"/>
  <c r="HF9" i="1619"/>
  <c r="HG9" i="1619"/>
  <c r="HH9" i="1619"/>
  <c r="HI9" i="1619"/>
  <c r="HJ9" i="1619"/>
  <c r="HK9" i="1619"/>
  <c r="HL9" i="1619"/>
  <c r="HM9" i="1619"/>
  <c r="HV9" i="1619"/>
  <c r="HX9" i="1619"/>
  <c r="HZ9" i="1619"/>
  <c r="IB9" i="1619"/>
  <c r="IC9" i="1619"/>
  <c r="ID9" i="1619"/>
  <c r="IE9" i="1619"/>
  <c r="IF9" i="1619"/>
  <c r="IG9" i="1619"/>
  <c r="IH9" i="1619"/>
  <c r="II9" i="1619"/>
  <c r="IJ9" i="1619"/>
  <c r="IK9" i="1619"/>
  <c r="IL9" i="1619"/>
  <c r="IM9" i="1619"/>
  <c r="JP9" i="1619" s="1"/>
  <c r="O9" i="1619"/>
  <c r="P9" i="1619"/>
  <c r="Q9" i="1619"/>
  <c r="R9" i="1619"/>
  <c r="S9" i="1619"/>
  <c r="EY9" i="1619"/>
  <c r="GW9" i="1619"/>
  <c r="HQ9" i="1619"/>
  <c r="HW9" i="1619"/>
  <c r="HY9" i="1619"/>
  <c r="AN10" i="1619"/>
  <c r="BA10" i="1619"/>
  <c r="BN10" i="1619"/>
  <c r="CA10" i="1619"/>
  <c r="CN10" i="1619"/>
  <c r="DA10" i="1619"/>
  <c r="DN10" i="1619"/>
  <c r="EA10" i="1619"/>
  <c r="EN10" i="1619"/>
  <c r="FA10" i="1619"/>
  <c r="FN10" i="1619"/>
  <c r="GA10" i="1619"/>
  <c r="GN10" i="1619"/>
  <c r="HA10" i="1619"/>
  <c r="HN10" i="1619"/>
  <c r="HO10" i="1619"/>
  <c r="HP10" i="1619"/>
  <c r="HR10" i="1619"/>
  <c r="HS10" i="1619"/>
  <c r="HT10" i="1619"/>
  <c r="HU10" i="1619"/>
  <c r="IN10" i="1619"/>
  <c r="AN11" i="1619"/>
  <c r="BA11" i="1619"/>
  <c r="BN11" i="1619"/>
  <c r="CA11" i="1619"/>
  <c r="CN11" i="1619"/>
  <c r="DA11" i="1619"/>
  <c r="DN11" i="1619"/>
  <c r="EA11" i="1619"/>
  <c r="EN11" i="1619"/>
  <c r="FA11" i="1619"/>
  <c r="FN11" i="1619"/>
  <c r="GA11" i="1619"/>
  <c r="GN11" i="1619"/>
  <c r="HA11" i="1619"/>
  <c r="HN11" i="1619"/>
  <c r="HO11" i="1619"/>
  <c r="HP11" i="1619"/>
  <c r="HR11" i="1619"/>
  <c r="HS11" i="1619"/>
  <c r="HT11" i="1619"/>
  <c r="HU11" i="1619"/>
  <c r="IN11" i="1619"/>
  <c r="B12" i="1619"/>
  <c r="C12" i="1619"/>
  <c r="D12" i="1619"/>
  <c r="E12" i="1619"/>
  <c r="F12" i="1619"/>
  <c r="G12" i="1619"/>
  <c r="H12" i="1619"/>
  <c r="I12" i="1619"/>
  <c r="J12" i="1619"/>
  <c r="K12" i="1619"/>
  <c r="L12" i="1619"/>
  <c r="M12" i="1619"/>
  <c r="O12" i="1619"/>
  <c r="P12" i="1619"/>
  <c r="Q12" i="1619"/>
  <c r="R12" i="1619"/>
  <c r="S12" i="1619"/>
  <c r="T12" i="1619"/>
  <c r="T9" i="1619" s="1"/>
  <c r="T7" i="1619" s="1"/>
  <c r="U12" i="1619"/>
  <c r="V12" i="1619"/>
  <c r="W12" i="1619"/>
  <c r="X12" i="1619"/>
  <c r="Y12" i="1619"/>
  <c r="Z12" i="1619"/>
  <c r="AB12" i="1619"/>
  <c r="AC12" i="1619"/>
  <c r="AD12" i="1619"/>
  <c r="AE12" i="1619"/>
  <c r="AF12" i="1619"/>
  <c r="AG12" i="1619"/>
  <c r="AH12" i="1619"/>
  <c r="AI12" i="1619"/>
  <c r="AJ12" i="1619"/>
  <c r="AK12" i="1619"/>
  <c r="AL12" i="1619"/>
  <c r="AM12" i="1619"/>
  <c r="AO12" i="1619"/>
  <c r="AP12" i="1619"/>
  <c r="AQ12" i="1619"/>
  <c r="AR12" i="1619"/>
  <c r="AS12" i="1619"/>
  <c r="AT12" i="1619"/>
  <c r="AU12" i="1619"/>
  <c r="AV12" i="1619"/>
  <c r="AW12" i="1619"/>
  <c r="AX12" i="1619"/>
  <c r="AY12" i="1619"/>
  <c r="AZ12" i="1619"/>
  <c r="BB12" i="1619"/>
  <c r="BC12" i="1619"/>
  <c r="BD12" i="1619"/>
  <c r="BE12" i="1619"/>
  <c r="BF12" i="1619"/>
  <c r="BG12" i="1619"/>
  <c r="BH12" i="1619"/>
  <c r="BI12" i="1619"/>
  <c r="BJ12" i="1619"/>
  <c r="BK12" i="1619"/>
  <c r="BL12" i="1619"/>
  <c r="BM12" i="1619"/>
  <c r="BO12" i="1619"/>
  <c r="BP12" i="1619"/>
  <c r="BQ12" i="1619"/>
  <c r="BR12" i="1619"/>
  <c r="BR9" i="1619" s="1"/>
  <c r="BR7" i="1619" s="1"/>
  <c r="BS12" i="1619"/>
  <c r="BS9" i="1619" s="1"/>
  <c r="BS7" i="1619" s="1"/>
  <c r="BT12" i="1619"/>
  <c r="BU12" i="1619"/>
  <c r="BU9" i="1619" s="1"/>
  <c r="BU7" i="1619" s="1"/>
  <c r="BV12" i="1619"/>
  <c r="BV9" i="1619" s="1"/>
  <c r="BV7" i="1619" s="1"/>
  <c r="BW12" i="1619"/>
  <c r="BW9" i="1619" s="1"/>
  <c r="BW7" i="1619" s="1"/>
  <c r="BX12" i="1619"/>
  <c r="BX9" i="1619" s="1"/>
  <c r="BX7" i="1619" s="1"/>
  <c r="BY12" i="1619"/>
  <c r="BY9" i="1619" s="1"/>
  <c r="BY7" i="1619" s="1"/>
  <c r="BZ12" i="1619"/>
  <c r="BZ9" i="1619" s="1"/>
  <c r="BZ7" i="1619" s="1"/>
  <c r="CB12" i="1619"/>
  <c r="CC12" i="1619"/>
  <c r="CD12" i="1619"/>
  <c r="CE12" i="1619"/>
  <c r="CF12" i="1619"/>
  <c r="CG12" i="1619"/>
  <c r="CH12" i="1619"/>
  <c r="CI12" i="1619"/>
  <c r="CJ12" i="1619"/>
  <c r="CK12" i="1619"/>
  <c r="CL12" i="1619"/>
  <c r="CM12" i="1619"/>
  <c r="CO12" i="1619"/>
  <c r="CP12" i="1619"/>
  <c r="CQ12" i="1619"/>
  <c r="CR12" i="1619"/>
  <c r="CS12" i="1619"/>
  <c r="CT12" i="1619"/>
  <c r="CU12" i="1619"/>
  <c r="CV12" i="1619"/>
  <c r="CW12" i="1619"/>
  <c r="CX12" i="1619"/>
  <c r="CY12" i="1619"/>
  <c r="CZ12" i="1619"/>
  <c r="DB12" i="1619"/>
  <c r="DC12" i="1619"/>
  <c r="DD12" i="1619"/>
  <c r="DE12" i="1619"/>
  <c r="DF12" i="1619"/>
  <c r="DG12" i="1619"/>
  <c r="DH12" i="1619"/>
  <c r="DI12" i="1619"/>
  <c r="DJ12" i="1619"/>
  <c r="DK12" i="1619"/>
  <c r="DL12" i="1619"/>
  <c r="DM12" i="1619"/>
  <c r="DO12" i="1619"/>
  <c r="DP12" i="1619"/>
  <c r="DQ12" i="1619"/>
  <c r="DR12" i="1619"/>
  <c r="DS12" i="1619"/>
  <c r="DT12" i="1619"/>
  <c r="DU12" i="1619"/>
  <c r="DV12" i="1619"/>
  <c r="DW12" i="1619"/>
  <c r="DX12" i="1619"/>
  <c r="DY12" i="1619"/>
  <c r="DZ12" i="1619"/>
  <c r="EB12" i="1619"/>
  <c r="EC12" i="1619"/>
  <c r="ED12" i="1619"/>
  <c r="EE12" i="1619"/>
  <c r="EF12" i="1619"/>
  <c r="EG12" i="1619"/>
  <c r="EH12" i="1619"/>
  <c r="EI12" i="1619"/>
  <c r="EJ12" i="1619"/>
  <c r="EJ9" i="1619" s="1"/>
  <c r="EJ7" i="1619" s="1"/>
  <c r="EK12" i="1619"/>
  <c r="EK9" i="1619" s="1"/>
  <c r="EK7" i="1619" s="1"/>
  <c r="EL12" i="1619"/>
  <c r="EM12" i="1619"/>
  <c r="EO12" i="1619"/>
  <c r="EP12" i="1619"/>
  <c r="EQ12" i="1619"/>
  <c r="ER12" i="1619"/>
  <c r="ES12" i="1619"/>
  <c r="ET12" i="1619"/>
  <c r="EU12" i="1619"/>
  <c r="EV12" i="1619"/>
  <c r="EW12" i="1619"/>
  <c r="EX12" i="1619"/>
  <c r="EY12" i="1619"/>
  <c r="EZ12" i="1619"/>
  <c r="FB12" i="1619"/>
  <c r="FC12" i="1619"/>
  <c r="FD12" i="1619"/>
  <c r="FE12" i="1619"/>
  <c r="FF12" i="1619"/>
  <c r="FG12" i="1619"/>
  <c r="FH12" i="1619"/>
  <c r="FI12" i="1619"/>
  <c r="FJ12" i="1619"/>
  <c r="FK12" i="1619"/>
  <c r="FL12" i="1619"/>
  <c r="FM12" i="1619"/>
  <c r="FO12" i="1619"/>
  <c r="FX12" i="1619"/>
  <c r="FY12" i="1619"/>
  <c r="FZ12" i="1619"/>
  <c r="GB12" i="1619"/>
  <c r="GC12" i="1619"/>
  <c r="GD12" i="1619"/>
  <c r="GE12" i="1619"/>
  <c r="GF12" i="1619"/>
  <c r="GG12" i="1619"/>
  <c r="GH12" i="1619"/>
  <c r="GI12" i="1619"/>
  <c r="GJ12" i="1619"/>
  <c r="GK12" i="1619"/>
  <c r="GL12" i="1619"/>
  <c r="GM12" i="1619"/>
  <c r="GO12" i="1619"/>
  <c r="GP12" i="1619"/>
  <c r="GQ12" i="1619"/>
  <c r="GR12" i="1619"/>
  <c r="GU12" i="1619"/>
  <c r="GY12" i="1619"/>
  <c r="GZ12" i="1619"/>
  <c r="HB12" i="1619"/>
  <c r="HJ12" i="1619"/>
  <c r="HR12" i="1619"/>
  <c r="HU12" i="1619"/>
  <c r="HV12" i="1619"/>
  <c r="HW12" i="1619"/>
  <c r="HX12" i="1619"/>
  <c r="IE12" i="1619"/>
  <c r="IF12" i="1619"/>
  <c r="II12" i="1619"/>
  <c r="IK12" i="1619"/>
  <c r="IL12" i="1619"/>
  <c r="AN13" i="1619"/>
  <c r="BA13" i="1619"/>
  <c r="BN13" i="1619"/>
  <c r="CA13" i="1619"/>
  <c r="CN13" i="1619"/>
  <c r="DA13" i="1619"/>
  <c r="DN13" i="1619"/>
  <c r="EA13" i="1619"/>
  <c r="EN13" i="1619"/>
  <c r="FA13" i="1619"/>
  <c r="FN13" i="1619"/>
  <c r="GA13" i="1619"/>
  <c r="GN13" i="1619"/>
  <c r="HA13" i="1619"/>
  <c r="HN13" i="1619"/>
  <c r="HO13" i="1619"/>
  <c r="HQ13" i="1619"/>
  <c r="IN13" i="1619"/>
  <c r="AN14" i="1619"/>
  <c r="BA14" i="1619"/>
  <c r="BN14" i="1619"/>
  <c r="CA14" i="1619"/>
  <c r="CN14" i="1619"/>
  <c r="DA14" i="1619"/>
  <c r="DN14" i="1619"/>
  <c r="EA14" i="1619"/>
  <c r="EN14" i="1619"/>
  <c r="FA14" i="1619"/>
  <c r="FN14" i="1619"/>
  <c r="GA14" i="1619"/>
  <c r="GN14" i="1619"/>
  <c r="GS14" i="1619"/>
  <c r="GS12" i="1619" s="1"/>
  <c r="GT14" i="1619"/>
  <c r="GT12" i="1619" s="1"/>
  <c r="GV14" i="1619"/>
  <c r="GW14" i="1619"/>
  <c r="GW12" i="1619" s="1"/>
  <c r="GX14" i="1619"/>
  <c r="GX12" i="1619" s="1"/>
  <c r="HC14" i="1619"/>
  <c r="HC12" i="1619" s="1"/>
  <c r="HD14" i="1619"/>
  <c r="HD12" i="1619" s="1"/>
  <c r="HE14" i="1619"/>
  <c r="HE12" i="1619" s="1"/>
  <c r="HF14" i="1619"/>
  <c r="HF12" i="1619" s="1"/>
  <c r="HG14" i="1619"/>
  <c r="HG12" i="1619" s="1"/>
  <c r="HH14" i="1619"/>
  <c r="HH12" i="1619" s="1"/>
  <c r="HI14" i="1619"/>
  <c r="HI12" i="1619" s="1"/>
  <c r="HK14" i="1619"/>
  <c r="HK12" i="1619" s="1"/>
  <c r="HL14" i="1619"/>
  <c r="HL12" i="1619" s="1"/>
  <c r="HM14" i="1619"/>
  <c r="HM12" i="1619" s="1"/>
  <c r="HO14" i="1619"/>
  <c r="HP14" i="1619"/>
  <c r="HP12" i="1619" s="1"/>
  <c r="HQ14" i="1619"/>
  <c r="HS14" i="1619"/>
  <c r="HS12" i="1619" s="1"/>
  <c r="HT14" i="1619"/>
  <c r="HT12" i="1619" s="1"/>
  <c r="HY14" i="1619"/>
  <c r="HY12" i="1619" s="1"/>
  <c r="HZ14" i="1619"/>
  <c r="HZ12" i="1619" s="1"/>
  <c r="IB14" i="1619"/>
  <c r="IC14" i="1619"/>
  <c r="IC12" i="1619" s="1"/>
  <c r="ID14" i="1619"/>
  <c r="ID12" i="1619" s="1"/>
  <c r="IG14" i="1619"/>
  <c r="IG12" i="1619" s="1"/>
  <c r="IH14" i="1619"/>
  <c r="IH12" i="1619" s="1"/>
  <c r="IJ14" i="1619"/>
  <c r="IJ12" i="1619" s="1"/>
  <c r="IM14" i="1619"/>
  <c r="O16" i="1619"/>
  <c r="P16" i="1619"/>
  <c r="Q16" i="1619"/>
  <c r="R16" i="1619"/>
  <c r="S16" i="1619"/>
  <c r="T16" i="1619"/>
  <c r="U16" i="1619"/>
  <c r="V16" i="1619"/>
  <c r="W16" i="1619"/>
  <c r="X16" i="1619"/>
  <c r="Y16" i="1619"/>
  <c r="Z16" i="1619"/>
  <c r="AB16" i="1619"/>
  <c r="AC16" i="1619"/>
  <c r="AD16" i="1619"/>
  <c r="AE16" i="1619"/>
  <c r="AF16" i="1619"/>
  <c r="AG16" i="1619"/>
  <c r="AH16" i="1619"/>
  <c r="AI16" i="1619"/>
  <c r="AJ16" i="1619"/>
  <c r="AK16" i="1619"/>
  <c r="AL16" i="1619"/>
  <c r="AO16" i="1619"/>
  <c r="AP16" i="1619"/>
  <c r="AQ16" i="1619"/>
  <c r="AR16" i="1619"/>
  <c r="AS16" i="1619"/>
  <c r="AT16" i="1619"/>
  <c r="AU16" i="1619"/>
  <c r="AV16" i="1619"/>
  <c r="AW16" i="1619"/>
  <c r="AX16" i="1619"/>
  <c r="AY16" i="1619"/>
  <c r="AZ16" i="1619"/>
  <c r="BB16" i="1619"/>
  <c r="BC16" i="1619"/>
  <c r="BD16" i="1619"/>
  <c r="BE16" i="1619"/>
  <c r="BF16" i="1619"/>
  <c r="BG16" i="1619"/>
  <c r="BH16" i="1619"/>
  <c r="BI16" i="1619"/>
  <c r="BJ16" i="1619"/>
  <c r="BK16" i="1619"/>
  <c r="BL16" i="1619"/>
  <c r="BM16" i="1619"/>
  <c r="BO16" i="1619"/>
  <c r="BP16" i="1619"/>
  <c r="BQ16" i="1619"/>
  <c r="BR16" i="1619"/>
  <c r="BS16" i="1619"/>
  <c r="BT16" i="1619"/>
  <c r="BU16" i="1619"/>
  <c r="BV16" i="1619"/>
  <c r="BW16" i="1619"/>
  <c r="BX16" i="1619"/>
  <c r="BY16" i="1619"/>
  <c r="BZ16" i="1619"/>
  <c r="CB16" i="1619"/>
  <c r="CC16" i="1619"/>
  <c r="CD16" i="1619"/>
  <c r="CE16" i="1619"/>
  <c r="CF16" i="1619"/>
  <c r="CG16" i="1619"/>
  <c r="CH16" i="1619"/>
  <c r="CI16" i="1619"/>
  <c r="CJ16" i="1619"/>
  <c r="CK16" i="1619"/>
  <c r="CL16" i="1619"/>
  <c r="CM16" i="1619"/>
  <c r="CO16" i="1619"/>
  <c r="CP16" i="1619"/>
  <c r="CQ16" i="1619"/>
  <c r="CR16" i="1619"/>
  <c r="CS16" i="1619"/>
  <c r="CT16" i="1619"/>
  <c r="CU16" i="1619"/>
  <c r="CV16" i="1619"/>
  <c r="CW16" i="1619"/>
  <c r="DC16" i="1619"/>
  <c r="DD16" i="1619"/>
  <c r="DE16" i="1619"/>
  <c r="DF16" i="1619"/>
  <c r="DG16" i="1619"/>
  <c r="DH16" i="1619"/>
  <c r="DI16" i="1619"/>
  <c r="DJ16" i="1619"/>
  <c r="DK16" i="1619"/>
  <c r="DL16" i="1619"/>
  <c r="DM16" i="1619"/>
  <c r="DO16" i="1619"/>
  <c r="DP16" i="1619"/>
  <c r="DQ16" i="1619"/>
  <c r="DR16" i="1619"/>
  <c r="DS16" i="1619"/>
  <c r="DT16" i="1619"/>
  <c r="DU16" i="1619"/>
  <c r="DV16" i="1619"/>
  <c r="DW16" i="1619"/>
  <c r="DX16" i="1619"/>
  <c r="DY16" i="1619"/>
  <c r="DZ16" i="1619"/>
  <c r="EB16" i="1619"/>
  <c r="EC16" i="1619"/>
  <c r="ED16" i="1619"/>
  <c r="EE16" i="1619"/>
  <c r="EF16" i="1619"/>
  <c r="EG16" i="1619"/>
  <c r="EH16" i="1619"/>
  <c r="EI16" i="1619"/>
  <c r="EJ16" i="1619"/>
  <c r="EK16" i="1619"/>
  <c r="EL16" i="1619"/>
  <c r="EM16" i="1619"/>
  <c r="EO16" i="1619"/>
  <c r="EP16" i="1619"/>
  <c r="EQ16" i="1619"/>
  <c r="ER16" i="1619"/>
  <c r="ES16" i="1619"/>
  <c r="ET16" i="1619"/>
  <c r="EU16" i="1619"/>
  <c r="EV16" i="1619"/>
  <c r="EW16" i="1619"/>
  <c r="EX16" i="1619"/>
  <c r="EY16" i="1619"/>
  <c r="EZ16" i="1619"/>
  <c r="FB16" i="1619"/>
  <c r="FC16" i="1619"/>
  <c r="FD16" i="1619"/>
  <c r="FE16" i="1619"/>
  <c r="FF16" i="1619"/>
  <c r="FG16" i="1619"/>
  <c r="FH16" i="1619"/>
  <c r="FI16" i="1619"/>
  <c r="FJ16" i="1619"/>
  <c r="FK16" i="1619"/>
  <c r="FL16" i="1619"/>
  <c r="FM16" i="1619"/>
  <c r="FO16" i="1619"/>
  <c r="FP16" i="1619"/>
  <c r="FQ16" i="1619"/>
  <c r="FR16" i="1619"/>
  <c r="FS16" i="1619"/>
  <c r="FT16" i="1619"/>
  <c r="FU16" i="1619"/>
  <c r="FV16" i="1619"/>
  <c r="FW16" i="1619"/>
  <c r="FX16" i="1619"/>
  <c r="FY16" i="1619"/>
  <c r="FZ16" i="1619"/>
  <c r="GB16" i="1619"/>
  <c r="GC16" i="1619"/>
  <c r="GD16" i="1619"/>
  <c r="GE16" i="1619"/>
  <c r="GF16" i="1619"/>
  <c r="GG16" i="1619"/>
  <c r="GH16" i="1619"/>
  <c r="GI16" i="1619"/>
  <c r="GJ16" i="1619"/>
  <c r="GK16" i="1619"/>
  <c r="GL16" i="1619"/>
  <c r="GM16" i="1619"/>
  <c r="GO16" i="1619"/>
  <c r="GP16" i="1619"/>
  <c r="GQ16" i="1619"/>
  <c r="GR16" i="1619"/>
  <c r="GS16" i="1619"/>
  <c r="GW16" i="1619"/>
  <c r="GZ16" i="1619"/>
  <c r="HB16" i="1619"/>
  <c r="HC16" i="1619"/>
  <c r="HD16" i="1619"/>
  <c r="HG16" i="1619"/>
  <c r="HK16" i="1619"/>
  <c r="HU16" i="1619"/>
  <c r="HW16" i="1619"/>
  <c r="HX16" i="1619"/>
  <c r="IC16" i="1619"/>
  <c r="IE16" i="1619"/>
  <c r="IG16" i="1619"/>
  <c r="IH16" i="1619"/>
  <c r="IJ16" i="1619"/>
  <c r="IK16" i="1619"/>
  <c r="AM23" i="1619"/>
  <c r="BA23" i="1619"/>
  <c r="BN23" i="1619"/>
  <c r="CA23" i="1619"/>
  <c r="CN23" i="1619"/>
  <c r="CX23" i="1619"/>
  <c r="CX16" i="1619" s="1"/>
  <c r="CY23" i="1619"/>
  <c r="CY16" i="1619" s="1"/>
  <c r="CZ23" i="1619"/>
  <c r="CZ16" i="1619" s="1"/>
  <c r="DB23" i="1619"/>
  <c r="DB16" i="1619" s="1"/>
  <c r="EA23" i="1619"/>
  <c r="EN23" i="1619"/>
  <c r="FA23" i="1619"/>
  <c r="FN23" i="1619"/>
  <c r="GA23" i="1619"/>
  <c r="GN23" i="1619"/>
  <c r="HA23" i="1619"/>
  <c r="HN23" i="1619"/>
  <c r="HR23" i="1619"/>
  <c r="IA23" i="1619" s="1"/>
  <c r="IN23" i="1619"/>
  <c r="AM20" i="1619"/>
  <c r="AN20" i="1619" s="1"/>
  <c r="BA20" i="1619"/>
  <c r="BN20" i="1619"/>
  <c r="CA20" i="1619"/>
  <c r="CN20" i="1619"/>
  <c r="DA20" i="1619"/>
  <c r="DN20" i="1619"/>
  <c r="EA20" i="1619"/>
  <c r="EN20" i="1619"/>
  <c r="FA20" i="1619"/>
  <c r="FN20" i="1619"/>
  <c r="GA20" i="1619"/>
  <c r="GN20" i="1619"/>
  <c r="HA20" i="1619"/>
  <c r="HN20" i="1619"/>
  <c r="HR20" i="1619"/>
  <c r="IA20" i="1619" s="1"/>
  <c r="IN20" i="1619"/>
  <c r="DA19" i="1619"/>
  <c r="DN19" i="1619"/>
  <c r="EA19" i="1619"/>
  <c r="EN19" i="1619"/>
  <c r="FA19" i="1619"/>
  <c r="FN19" i="1619"/>
  <c r="GA19" i="1619"/>
  <c r="GN19" i="1619"/>
  <c r="HA19" i="1619"/>
  <c r="HN19" i="1619"/>
  <c r="IA19" i="1619"/>
  <c r="IN19" i="1619"/>
  <c r="DA21" i="1619"/>
  <c r="DN21" i="1619"/>
  <c r="EA21" i="1619"/>
  <c r="EN21" i="1619"/>
  <c r="FA21" i="1619"/>
  <c r="FN21" i="1619"/>
  <c r="GA21" i="1619"/>
  <c r="GN21" i="1619"/>
  <c r="HA21" i="1619"/>
  <c r="HN21" i="1619"/>
  <c r="HQ21" i="1619"/>
  <c r="HR21" i="1619"/>
  <c r="IN21" i="1619"/>
  <c r="DA22" i="1619"/>
  <c r="DN22" i="1619"/>
  <c r="EA22" i="1619"/>
  <c r="EN22" i="1619"/>
  <c r="FA22" i="1619"/>
  <c r="FN22" i="1619"/>
  <c r="GA22" i="1619"/>
  <c r="GN22" i="1619"/>
  <c r="HA22" i="1619"/>
  <c r="HN22" i="1619"/>
  <c r="IA22" i="1619"/>
  <c r="IN22" i="1619"/>
  <c r="DA18" i="1619"/>
  <c r="DN18" i="1619"/>
  <c r="EA18" i="1619"/>
  <c r="EN18" i="1619"/>
  <c r="FA18" i="1619"/>
  <c r="FN18" i="1619"/>
  <c r="GA18" i="1619"/>
  <c r="GN18" i="1619"/>
  <c r="GU18" i="1619"/>
  <c r="GU16" i="1619" s="1"/>
  <c r="GV18" i="1619"/>
  <c r="GV16" i="1619" s="1"/>
  <c r="GX18" i="1619"/>
  <c r="GX16" i="1619" s="1"/>
  <c r="GY18" i="1619"/>
  <c r="GY16" i="1619" s="1"/>
  <c r="HE18" i="1619"/>
  <c r="HE16" i="1619" s="1"/>
  <c r="HF18" i="1619"/>
  <c r="HF16" i="1619" s="1"/>
  <c r="HH18" i="1619"/>
  <c r="HH16" i="1619" s="1"/>
  <c r="HI18" i="1619"/>
  <c r="HI16" i="1619" s="1"/>
  <c r="HJ18" i="1619"/>
  <c r="HJ16" i="1619" s="1"/>
  <c r="HL18" i="1619"/>
  <c r="HL16" i="1619" s="1"/>
  <c r="HM18" i="1619"/>
  <c r="HM16" i="1619" s="1"/>
  <c r="HO18" i="1619"/>
  <c r="HO16" i="1619" s="1"/>
  <c r="HP18" i="1619"/>
  <c r="HP16" i="1619" s="1"/>
  <c r="HQ18" i="1619"/>
  <c r="HR18" i="1619"/>
  <c r="HS18" i="1619"/>
  <c r="HS16" i="1619" s="1"/>
  <c r="HT18" i="1619"/>
  <c r="HT16" i="1619" s="1"/>
  <c r="HV18" i="1619"/>
  <c r="HV16" i="1619" s="1"/>
  <c r="HY18" i="1619"/>
  <c r="HY16" i="1619" s="1"/>
  <c r="HZ18" i="1619"/>
  <c r="HZ16" i="1619" s="1"/>
  <c r="IB18" i="1619"/>
  <c r="ID18" i="1619"/>
  <c r="ID16" i="1619" s="1"/>
  <c r="IF18" i="1619"/>
  <c r="IF16" i="1619" s="1"/>
  <c r="II18" i="1619"/>
  <c r="II16" i="1619" s="1"/>
  <c r="IL18" i="1619"/>
  <c r="IM18" i="1619"/>
  <c r="AN24" i="1619"/>
  <c r="BA24" i="1619"/>
  <c r="BN24" i="1619"/>
  <c r="CA24" i="1619"/>
  <c r="CN24" i="1619"/>
  <c r="DA24" i="1619"/>
  <c r="DN24" i="1619"/>
  <c r="EA24" i="1619"/>
  <c r="EN24" i="1619"/>
  <c r="FA24" i="1619"/>
  <c r="FN24" i="1619"/>
  <c r="GA24" i="1619"/>
  <c r="GN24" i="1619"/>
  <c r="GT24" i="1619"/>
  <c r="HA24" i="1619" s="1"/>
  <c r="HN24" i="1619"/>
  <c r="IA24" i="1619"/>
  <c r="IN24" i="1619"/>
  <c r="JN10" i="1619"/>
  <c r="JN11" i="1619"/>
  <c r="JN13" i="1619"/>
  <c r="JN23" i="1619"/>
  <c r="JN20" i="1619"/>
  <c r="JN19" i="1619"/>
  <c r="JN21" i="1619"/>
  <c r="JN22" i="1619"/>
  <c r="JN24" i="1619"/>
  <c r="B7" i="1615"/>
  <c r="C7" i="1615"/>
  <c r="D7" i="1615"/>
  <c r="E7" i="1615"/>
  <c r="F7" i="1615"/>
  <c r="G7" i="1615"/>
  <c r="H7" i="1615"/>
  <c r="I7" i="1615"/>
  <c r="J7" i="1615"/>
  <c r="K7" i="1615"/>
  <c r="L7" i="1615"/>
  <c r="M7" i="1615"/>
  <c r="O7" i="1615"/>
  <c r="P7" i="1615"/>
  <c r="Q7" i="1615"/>
  <c r="R7" i="1615"/>
  <c r="S7" i="1615"/>
  <c r="T7" i="1615"/>
  <c r="U7" i="1615"/>
  <c r="V7" i="1615"/>
  <c r="W7" i="1615"/>
  <c r="X7" i="1615"/>
  <c r="Y7" i="1615"/>
  <c r="Z7" i="1615"/>
  <c r="AB7" i="1615"/>
  <c r="AC7" i="1615"/>
  <c r="AD7" i="1615"/>
  <c r="AE7" i="1615"/>
  <c r="AF7" i="1615"/>
  <c r="AG7" i="1615"/>
  <c r="AH7" i="1615"/>
  <c r="AI7" i="1615"/>
  <c r="AJ7" i="1615"/>
  <c r="AK7" i="1615"/>
  <c r="AL7" i="1615"/>
  <c r="AM7" i="1615"/>
  <c r="AO7" i="1615"/>
  <c r="AP7" i="1615"/>
  <c r="AQ7" i="1615"/>
  <c r="AR7" i="1615"/>
  <c r="AS7" i="1615"/>
  <c r="AT7" i="1615"/>
  <c r="AU7" i="1615"/>
  <c r="AV7" i="1615"/>
  <c r="AW7" i="1615"/>
  <c r="AX7" i="1615"/>
  <c r="AY7" i="1615"/>
  <c r="AZ7" i="1615"/>
  <c r="BB7" i="1615"/>
  <c r="BC7" i="1615"/>
  <c r="BD7" i="1615"/>
  <c r="BE7" i="1615"/>
  <c r="BF7" i="1615"/>
  <c r="BG7" i="1615"/>
  <c r="BH7" i="1615"/>
  <c r="BI7" i="1615"/>
  <c r="BJ7" i="1615"/>
  <c r="BK7" i="1615"/>
  <c r="BL7" i="1615"/>
  <c r="BM7" i="1615"/>
  <c r="BO7" i="1615"/>
  <c r="BP7" i="1615"/>
  <c r="BQ7" i="1615"/>
  <c r="BR7" i="1615"/>
  <c r="BS7" i="1615"/>
  <c r="BT7" i="1615"/>
  <c r="BU7" i="1615"/>
  <c r="BV7" i="1615"/>
  <c r="BW7" i="1615"/>
  <c r="BX7" i="1615"/>
  <c r="BY7" i="1615"/>
  <c r="BZ7" i="1615"/>
  <c r="CB7" i="1615"/>
  <c r="CC7" i="1615"/>
  <c r="CD7" i="1615"/>
  <c r="CE7" i="1615"/>
  <c r="CF7" i="1615"/>
  <c r="CG7" i="1615"/>
  <c r="CH7" i="1615"/>
  <c r="CI7" i="1615"/>
  <c r="CJ7" i="1615"/>
  <c r="CK7" i="1615"/>
  <c r="CL7" i="1615"/>
  <c r="CM7" i="1615"/>
  <c r="CO7" i="1615"/>
  <c r="CP7" i="1615"/>
  <c r="CQ7" i="1615"/>
  <c r="CR7" i="1615"/>
  <c r="CS7" i="1615"/>
  <c r="CT7" i="1615"/>
  <c r="CU7" i="1615"/>
  <c r="CV7" i="1615"/>
  <c r="CW7" i="1615"/>
  <c r="CX7" i="1615"/>
  <c r="CY7" i="1615"/>
  <c r="CZ7" i="1615"/>
  <c r="DB7" i="1615"/>
  <c r="DC7" i="1615"/>
  <c r="DD7" i="1615"/>
  <c r="DE7" i="1615"/>
  <c r="DF7" i="1615"/>
  <c r="DG7" i="1615"/>
  <c r="DH7" i="1615"/>
  <c r="DI7" i="1615"/>
  <c r="DJ7" i="1615"/>
  <c r="DK7" i="1615"/>
  <c r="DL7" i="1615"/>
  <c r="DM7" i="1615"/>
  <c r="DO7" i="1615"/>
  <c r="DP7" i="1615"/>
  <c r="DQ7" i="1615"/>
  <c r="DR7" i="1615"/>
  <c r="DS7" i="1615"/>
  <c r="DT7" i="1615"/>
  <c r="DU7" i="1615"/>
  <c r="DV7" i="1615"/>
  <c r="DW7" i="1615"/>
  <c r="DX7" i="1615"/>
  <c r="DY7" i="1615"/>
  <c r="DZ7" i="1615"/>
  <c r="EB7" i="1615"/>
  <c r="EC7" i="1615"/>
  <c r="ED7" i="1615"/>
  <c r="EE7" i="1615"/>
  <c r="EF7" i="1615"/>
  <c r="EG7" i="1615"/>
  <c r="EH7" i="1615"/>
  <c r="EI7" i="1615"/>
  <c r="EJ7" i="1615"/>
  <c r="EK7" i="1615"/>
  <c r="EL7" i="1615"/>
  <c r="EM7" i="1615"/>
  <c r="EO7" i="1615"/>
  <c r="EP7" i="1615"/>
  <c r="EQ7" i="1615"/>
  <c r="ER7" i="1615"/>
  <c r="ES7" i="1615"/>
  <c r="ET7" i="1615"/>
  <c r="EU7" i="1615"/>
  <c r="EV7" i="1615"/>
  <c r="EY7" i="1615"/>
  <c r="EZ7" i="1615"/>
  <c r="FB7" i="1615"/>
  <c r="FC7" i="1615"/>
  <c r="FD7" i="1615"/>
  <c r="FE7" i="1615"/>
  <c r="FF7" i="1615"/>
  <c r="FG7" i="1615"/>
  <c r="FH7" i="1615"/>
  <c r="FI7" i="1615"/>
  <c r="FJ7" i="1615"/>
  <c r="FK7" i="1615"/>
  <c r="FL7" i="1615"/>
  <c r="FM7" i="1615"/>
  <c r="FO7" i="1615"/>
  <c r="FP7" i="1615"/>
  <c r="FQ7" i="1615"/>
  <c r="FR7" i="1615"/>
  <c r="FS7" i="1615"/>
  <c r="FT7" i="1615"/>
  <c r="FU7" i="1615"/>
  <c r="FV7" i="1615"/>
  <c r="FW7" i="1615"/>
  <c r="FX7" i="1615"/>
  <c r="FY7" i="1615"/>
  <c r="FZ7" i="1615"/>
  <c r="GB7" i="1615"/>
  <c r="GC7" i="1615"/>
  <c r="GD7" i="1615"/>
  <c r="GE7" i="1615"/>
  <c r="GF7" i="1615"/>
  <c r="GG7" i="1615"/>
  <c r="GH7" i="1615"/>
  <c r="GI7" i="1615"/>
  <c r="GJ7" i="1615"/>
  <c r="GK7" i="1615"/>
  <c r="GL7" i="1615"/>
  <c r="GM7" i="1615"/>
  <c r="GO7" i="1615"/>
  <c r="GP7" i="1615"/>
  <c r="GQ7" i="1615"/>
  <c r="GR7" i="1615"/>
  <c r="GS7" i="1615"/>
  <c r="GT7" i="1615"/>
  <c r="GU7" i="1615"/>
  <c r="GV7" i="1615"/>
  <c r="GW7" i="1615"/>
  <c r="GX7" i="1615"/>
  <c r="GY7" i="1615"/>
  <c r="GZ7" i="1615"/>
  <c r="HB7" i="1615"/>
  <c r="HC7" i="1615"/>
  <c r="HD7" i="1615"/>
  <c r="HE7" i="1615"/>
  <c r="HF7" i="1615"/>
  <c r="HG7" i="1615"/>
  <c r="HH7" i="1615"/>
  <c r="HI7" i="1615"/>
  <c r="HJ7" i="1615"/>
  <c r="HK7" i="1615"/>
  <c r="HL7" i="1615"/>
  <c r="HM7" i="1615"/>
  <c r="HO7" i="1615"/>
  <c r="HP7" i="1615"/>
  <c r="HQ7" i="1615"/>
  <c r="HR7" i="1615"/>
  <c r="HS7" i="1615"/>
  <c r="HT7" i="1615"/>
  <c r="HU7" i="1615"/>
  <c r="HV7" i="1615"/>
  <c r="HW7" i="1615"/>
  <c r="HX7" i="1615"/>
  <c r="HY7" i="1615"/>
  <c r="HZ7" i="1615"/>
  <c r="IB7" i="1615"/>
  <c r="IC7" i="1615"/>
  <c r="ID7" i="1615"/>
  <c r="IE7" i="1615"/>
  <c r="IF7" i="1615"/>
  <c r="IG7" i="1615"/>
  <c r="IH7" i="1615"/>
  <c r="II7" i="1615"/>
  <c r="IJ7" i="1615"/>
  <c r="IK7" i="1615"/>
  <c r="IL7" i="1615"/>
  <c r="IM7" i="1615"/>
  <c r="B4" i="2478"/>
  <c r="O4" i="2478"/>
  <c r="AB4" i="2478"/>
  <c r="AO4" i="2478"/>
  <c r="BB4" i="2478"/>
  <c r="BO4" i="2478"/>
  <c r="CB4" i="2478"/>
  <c r="CO4" i="2478"/>
  <c r="DB4" i="2478"/>
  <c r="DO4" i="2478"/>
  <c r="EB4" i="2478"/>
  <c r="EO4" i="2478"/>
  <c r="FB4" i="2478"/>
  <c r="FO4" i="2478"/>
  <c r="GB4" i="2478"/>
  <c r="GO4" i="2478"/>
  <c r="HB4" i="2478"/>
  <c r="HO4" i="2478"/>
  <c r="IB4" i="2478"/>
  <c r="IO4" i="2478"/>
  <c r="GU20" i="1975" l="1"/>
  <c r="DN11" i="1975"/>
  <c r="GY17" i="1975"/>
  <c r="JR9" i="1619"/>
  <c r="JQ9" i="1619" s="1"/>
  <c r="JR14" i="1619"/>
  <c r="JQ14" i="1619" s="1"/>
  <c r="IM16" i="1619"/>
  <c r="JP16" i="1619" s="1"/>
  <c r="JP18" i="1619"/>
  <c r="JR18" i="1619"/>
  <c r="JQ18" i="1619" s="1"/>
  <c r="IM12" i="1619"/>
  <c r="JP12" i="1619" s="1"/>
  <c r="JP14" i="1619"/>
  <c r="HN37" i="1974"/>
  <c r="HN17" i="1974"/>
  <c r="HN30" i="1974"/>
  <c r="II7" i="1619"/>
  <c r="HL7" i="1619"/>
  <c r="GY7" i="1619"/>
  <c r="GJ7" i="1619"/>
  <c r="FJ7" i="1619"/>
  <c r="EV7" i="1619"/>
  <c r="KN39" i="1974"/>
  <c r="GA39" i="1974"/>
  <c r="KN30" i="1974"/>
  <c r="AR11" i="1975"/>
  <c r="GV17" i="1975"/>
  <c r="HD7" i="1619"/>
  <c r="FO7" i="1619"/>
  <c r="FB7" i="1619"/>
  <c r="EM7" i="1619"/>
  <c r="DW7" i="1619"/>
  <c r="DJ7" i="1619"/>
  <c r="JA39" i="1974"/>
  <c r="IA30" i="1974"/>
  <c r="IN18" i="1974"/>
  <c r="HC7" i="1619"/>
  <c r="FM7" i="1619"/>
  <c r="EZ7" i="1619"/>
  <c r="DV7" i="1619"/>
  <c r="DI7" i="1619"/>
  <c r="BN39" i="1974"/>
  <c r="HA37" i="1974"/>
  <c r="IK7" i="1619"/>
  <c r="HB7" i="1619"/>
  <c r="EX7" i="1619"/>
  <c r="HN39" i="1974"/>
  <c r="HN36" i="1974"/>
  <c r="LV36" i="1974" s="1"/>
  <c r="AP11" i="1975"/>
  <c r="HN12" i="1974"/>
  <c r="LV12" i="1974" s="1"/>
  <c r="IJ7" i="1619"/>
  <c r="HM7" i="1619"/>
  <c r="FK7" i="1619"/>
  <c r="EW7" i="1619"/>
  <c r="IN39" i="1974"/>
  <c r="GN39" i="1974"/>
  <c r="AX11" i="1975"/>
  <c r="JA32" i="1974"/>
  <c r="LV32" i="1974" s="1"/>
  <c r="FN39" i="1974"/>
  <c r="CA39" i="1974"/>
  <c r="BA39" i="1974"/>
  <c r="GZ17" i="1975"/>
  <c r="KA39" i="1974"/>
  <c r="N39" i="1974"/>
  <c r="IA28" i="1974"/>
  <c r="EN7" i="1615"/>
  <c r="EA7" i="1615"/>
  <c r="DN7" i="1615"/>
  <c r="DA7" i="1615"/>
  <c r="CN7" i="1615"/>
  <c r="CA7" i="1615"/>
  <c r="BN7" i="1615"/>
  <c r="BA7" i="1615"/>
  <c r="AN7" i="1615"/>
  <c r="AA7" i="1615"/>
  <c r="N7" i="1615"/>
  <c r="HA39" i="1974"/>
  <c r="AN39" i="1974"/>
  <c r="KN38" i="1974"/>
  <c r="LV38" i="1974" s="1"/>
  <c r="KN27" i="1974"/>
  <c r="LV27" i="1974" s="1"/>
  <c r="AT11" i="1975"/>
  <c r="KN23" i="1974"/>
  <c r="LV23" i="1974" s="1"/>
  <c r="JN39" i="1974"/>
  <c r="IN7" i="1615"/>
  <c r="IA7" i="1615"/>
  <c r="HN7" i="1615"/>
  <c r="HA7" i="1615"/>
  <c r="GN7" i="1615"/>
  <c r="GA7" i="1615"/>
  <c r="FN7" i="1615"/>
  <c r="IA39" i="1974"/>
  <c r="HZ7" i="1619"/>
  <c r="GO7" i="1619"/>
  <c r="GB7" i="1619"/>
  <c r="HX7" i="1619"/>
  <c r="GM7" i="1619"/>
  <c r="FZ7" i="1619"/>
  <c r="EL7" i="1619"/>
  <c r="HY7" i="1619"/>
  <c r="HV7" i="1619"/>
  <c r="GL7" i="1619"/>
  <c r="FY7" i="1619"/>
  <c r="FL7" i="1619"/>
  <c r="EH7" i="1619"/>
  <c r="DU7" i="1619"/>
  <c r="DH7" i="1619"/>
  <c r="HW7" i="1619"/>
  <c r="GZ7" i="1619"/>
  <c r="GK7" i="1619"/>
  <c r="FX7" i="1619"/>
  <c r="EG7" i="1619"/>
  <c r="DT7" i="1619"/>
  <c r="DG7" i="1619"/>
  <c r="EF7" i="1619"/>
  <c r="DS7" i="1619"/>
  <c r="DF7" i="1619"/>
  <c r="GW7" i="1619"/>
  <c r="IH7" i="1619"/>
  <c r="HK7" i="1619"/>
  <c r="GX7" i="1619"/>
  <c r="GI7" i="1619"/>
  <c r="FI7" i="1619"/>
  <c r="EU7" i="1619"/>
  <c r="EE7" i="1619"/>
  <c r="DR7" i="1619"/>
  <c r="DE7" i="1619"/>
  <c r="EY7" i="1619"/>
  <c r="IG7" i="1619"/>
  <c r="HJ7" i="1619"/>
  <c r="GH7" i="1619"/>
  <c r="FH7" i="1619"/>
  <c r="ET7" i="1619"/>
  <c r="ED7" i="1619"/>
  <c r="DQ7" i="1619"/>
  <c r="DD7" i="1619"/>
  <c r="IF7" i="1619"/>
  <c r="HI7" i="1619"/>
  <c r="GU7" i="1619"/>
  <c r="GG7" i="1619"/>
  <c r="FG7" i="1619"/>
  <c r="ES7" i="1619"/>
  <c r="EC7" i="1619"/>
  <c r="DP7" i="1619"/>
  <c r="DC7" i="1619"/>
  <c r="IE7" i="1619"/>
  <c r="HH7" i="1619"/>
  <c r="GT7" i="1619"/>
  <c r="GF7" i="1619"/>
  <c r="FF7" i="1619"/>
  <c r="ER7" i="1619"/>
  <c r="EB7" i="1619"/>
  <c r="DO7" i="1619"/>
  <c r="DB7" i="1619"/>
  <c r="ID7" i="1619"/>
  <c r="HG7" i="1619"/>
  <c r="GS7" i="1619"/>
  <c r="GE7" i="1619"/>
  <c r="FE7" i="1619"/>
  <c r="EQ7" i="1619"/>
  <c r="DZ7" i="1619"/>
  <c r="DM7" i="1619"/>
  <c r="IC7" i="1619"/>
  <c r="HF7" i="1619"/>
  <c r="GR7" i="1619"/>
  <c r="GD7" i="1619"/>
  <c r="FD7" i="1619"/>
  <c r="EP7" i="1619"/>
  <c r="DY7" i="1619"/>
  <c r="DL7" i="1619"/>
  <c r="HE7" i="1619"/>
  <c r="GQ7" i="1619"/>
  <c r="GC7" i="1619"/>
  <c r="FC7" i="1619"/>
  <c r="EO7" i="1619"/>
  <c r="DX7" i="1619"/>
  <c r="DK7" i="1619"/>
  <c r="LV31" i="1974"/>
  <c r="EN7" i="1974"/>
  <c r="CN7" i="1974"/>
  <c r="EA7" i="1974"/>
  <c r="AA7" i="1974"/>
  <c r="DA7" i="1974"/>
  <c r="JC7" i="1974"/>
  <c r="JN7" i="1974" s="1"/>
  <c r="LV28" i="1974"/>
  <c r="BO7" i="1974"/>
  <c r="CA7" i="1974" s="1"/>
  <c r="AO7" i="1974"/>
  <c r="BA7" i="1974" s="1"/>
  <c r="JR7" i="1974"/>
  <c r="ES7" i="1974"/>
  <c r="FA7" i="1974" s="1"/>
  <c r="GB7" i="1974"/>
  <c r="GN7" i="1974" s="1"/>
  <c r="FF7" i="1974"/>
  <c r="FN7" i="1974" s="1"/>
  <c r="DK7" i="1974"/>
  <c r="DN7" i="1974" s="1"/>
  <c r="LV34" i="1974"/>
  <c r="LV17" i="1974"/>
  <c r="BD7" i="1974"/>
  <c r="BN7" i="1974" s="1"/>
  <c r="GV7" i="1974"/>
  <c r="LV18" i="1974"/>
  <c r="FQ7" i="1974"/>
  <c r="HD7" i="1974"/>
  <c r="LV9" i="1974"/>
  <c r="B7" i="1974"/>
  <c r="N7" i="1974" s="1"/>
  <c r="LS39" i="1974"/>
  <c r="LS34" i="1974"/>
  <c r="LR14" i="1974"/>
  <c r="LS17" i="1974"/>
  <c r="LP18" i="1974"/>
  <c r="LR12" i="1974"/>
  <c r="LS12" i="1974"/>
  <c r="LP21" i="1974"/>
  <c r="LR30" i="1974"/>
  <c r="LR9" i="1974"/>
  <c r="LP10" i="1974"/>
  <c r="LR17" i="1974"/>
  <c r="LS21" i="1974"/>
  <c r="LP23" i="1974"/>
  <c r="LR15" i="1974"/>
  <c r="LS15" i="1974"/>
  <c r="LR16" i="1974"/>
  <c r="LS30" i="1974"/>
  <c r="LP15" i="1974"/>
  <c r="LP25" i="1974"/>
  <c r="LP11" i="1974"/>
  <c r="LP16" i="1974"/>
  <c r="LR21" i="1974"/>
  <c r="LS26" i="1974"/>
  <c r="LP27" i="1974"/>
  <c r="LR18" i="1974"/>
  <c r="LS18" i="1974"/>
  <c r="LP28" i="1974"/>
  <c r="LP36" i="1974"/>
  <c r="LP31" i="1974"/>
  <c r="LP14" i="1974"/>
  <c r="LP22" i="1974"/>
  <c r="LR26" i="1974"/>
  <c r="LS29" i="1974"/>
  <c r="LP30" i="1974"/>
  <c r="LR23" i="1974"/>
  <c r="LS23" i="1974"/>
  <c r="LR32" i="1974"/>
  <c r="LS20" i="1974"/>
  <c r="LP34" i="1974"/>
  <c r="LP17" i="1974"/>
  <c r="LR10" i="1974"/>
  <c r="LR29" i="1974"/>
  <c r="LS32" i="1974"/>
  <c r="LP33" i="1974"/>
  <c r="LR27" i="1974"/>
  <c r="LS27" i="1974"/>
  <c r="LS35" i="1974"/>
  <c r="LS9" i="1974"/>
  <c r="LP20" i="1974"/>
  <c r="LP26" i="1974"/>
  <c r="LR22" i="1974"/>
  <c r="LR35" i="1974"/>
  <c r="LS37" i="1974"/>
  <c r="LP38" i="1974"/>
  <c r="LR33" i="1974"/>
  <c r="LS33" i="1974"/>
  <c r="LP37" i="1974"/>
  <c r="LS31" i="1974"/>
  <c r="LR11" i="1974"/>
  <c r="LP13" i="1974"/>
  <c r="LP29" i="1974"/>
  <c r="LS10" i="1974"/>
  <c r="LR37" i="1974"/>
  <c r="LR28" i="1974"/>
  <c r="LR31" i="1974"/>
  <c r="LR36" i="1974"/>
  <c r="LS36" i="1974"/>
  <c r="LR34" i="1974"/>
  <c r="LP39" i="1974"/>
  <c r="LP32" i="1974"/>
  <c r="LS13" i="1974"/>
  <c r="LS16" i="1974"/>
  <c r="LS25" i="1974"/>
  <c r="LS28" i="1974"/>
  <c r="LR38" i="1974"/>
  <c r="LS38" i="1974"/>
  <c r="LR13" i="1974"/>
  <c r="LP12" i="1974"/>
  <c r="LR39" i="1974"/>
  <c r="LP35" i="1974"/>
  <c r="LS22" i="1974"/>
  <c r="LP9" i="1974"/>
  <c r="LR20" i="1974"/>
  <c r="LR25" i="1974"/>
  <c r="LS11" i="1974"/>
  <c r="LS14" i="1974"/>
  <c r="AN15" i="1976"/>
  <c r="AA15" i="1976"/>
  <c r="IF11" i="1610"/>
  <c r="HS11" i="1610"/>
  <c r="HF11" i="1610"/>
  <c r="GS11" i="1610"/>
  <c r="GF11" i="1610"/>
  <c r="FS11" i="1610"/>
  <c r="FF11" i="1610"/>
  <c r="ES11" i="1610"/>
  <c r="EF11" i="1610"/>
  <c r="DT11" i="1610"/>
  <c r="DG11" i="1610"/>
  <c r="CT11" i="1610"/>
  <c r="CG11" i="1610"/>
  <c r="BT11" i="1610"/>
  <c r="BG11" i="1610"/>
  <c r="AT11" i="1610"/>
  <c r="AG11" i="1610"/>
  <c r="T11" i="1610"/>
  <c r="IT11" i="1610"/>
  <c r="IE11" i="1610"/>
  <c r="HR11" i="1610"/>
  <c r="HE11" i="1610"/>
  <c r="GR11" i="1610"/>
  <c r="GE11" i="1610"/>
  <c r="FR11" i="1610"/>
  <c r="FE11" i="1610"/>
  <c r="ER11" i="1610"/>
  <c r="EE11" i="1610"/>
  <c r="DS11" i="1610"/>
  <c r="DF11" i="1610"/>
  <c r="CS11" i="1610"/>
  <c r="CF11" i="1610"/>
  <c r="BS11" i="1610"/>
  <c r="BF11" i="1610"/>
  <c r="AS11" i="1610"/>
  <c r="AF11" i="1610"/>
  <c r="S11" i="1610"/>
  <c r="ID11" i="1610"/>
  <c r="HQ11" i="1610"/>
  <c r="HD11" i="1610"/>
  <c r="GQ11" i="1610"/>
  <c r="GD11" i="1610"/>
  <c r="FQ11" i="1610"/>
  <c r="FD11" i="1610"/>
  <c r="EQ11" i="1610"/>
  <c r="ED11" i="1610"/>
  <c r="DR11" i="1610"/>
  <c r="DE11" i="1610"/>
  <c r="CR11" i="1610"/>
  <c r="CE11" i="1610"/>
  <c r="BR11" i="1610"/>
  <c r="BE11" i="1610"/>
  <c r="AR11" i="1610"/>
  <c r="AE11" i="1610"/>
  <c r="R11" i="1610"/>
  <c r="IC11" i="1610"/>
  <c r="HP11" i="1610"/>
  <c r="HC11" i="1610"/>
  <c r="GP11" i="1610"/>
  <c r="DP11" i="1610"/>
  <c r="DC11" i="1610"/>
  <c r="CP11" i="1610"/>
  <c r="CC11" i="1610"/>
  <c r="BP11" i="1610"/>
  <c r="BC11" i="1610"/>
  <c r="AP11" i="1610"/>
  <c r="AC11" i="1610"/>
  <c r="P11" i="1610"/>
  <c r="IP11" i="1610"/>
  <c r="IM11" i="1610"/>
  <c r="HZ11" i="1610"/>
  <c r="HM11" i="1610"/>
  <c r="GZ11" i="1610"/>
  <c r="GM11" i="1610"/>
  <c r="FZ11" i="1610"/>
  <c r="FM11" i="1610"/>
  <c r="EZ11" i="1610"/>
  <c r="EM11" i="1610"/>
  <c r="DZ11" i="1610"/>
  <c r="IL11" i="1610"/>
  <c r="HY11" i="1610"/>
  <c r="HL11" i="1610"/>
  <c r="GY11" i="1610"/>
  <c r="GL11" i="1610"/>
  <c r="FY11" i="1610"/>
  <c r="FL11" i="1610"/>
  <c r="EY11" i="1610"/>
  <c r="EL11" i="1610"/>
  <c r="DY11" i="1610"/>
  <c r="DM11" i="1610"/>
  <c r="CZ11" i="1610"/>
  <c r="CM11" i="1610"/>
  <c r="BZ11" i="1610"/>
  <c r="BM11" i="1610"/>
  <c r="AZ11" i="1610"/>
  <c r="AM11" i="1610"/>
  <c r="Z11" i="1610"/>
  <c r="IK11" i="1610"/>
  <c r="HX11" i="1610"/>
  <c r="HK11" i="1610"/>
  <c r="GX11" i="1610"/>
  <c r="GK11" i="1610"/>
  <c r="FX11" i="1610"/>
  <c r="FK11" i="1610"/>
  <c r="EX11" i="1610"/>
  <c r="EK11" i="1610"/>
  <c r="DX11" i="1610"/>
  <c r="DL11" i="1610"/>
  <c r="CY11" i="1610"/>
  <c r="CL11" i="1610"/>
  <c r="BY11" i="1610"/>
  <c r="BL11" i="1610"/>
  <c r="AY11" i="1610"/>
  <c r="AL11" i="1610"/>
  <c r="Y11" i="1610"/>
  <c r="IJ11" i="1610"/>
  <c r="HW11" i="1610"/>
  <c r="HJ11" i="1610"/>
  <c r="GW11" i="1610"/>
  <c r="GJ11" i="1610"/>
  <c r="FW11" i="1610"/>
  <c r="FJ11" i="1610"/>
  <c r="EW11" i="1610"/>
  <c r="EJ11" i="1610"/>
  <c r="DW11" i="1610"/>
  <c r="DK11" i="1610"/>
  <c r="CX11" i="1610"/>
  <c r="CK11" i="1610"/>
  <c r="BX11" i="1610"/>
  <c r="BK11" i="1610"/>
  <c r="AX11" i="1610"/>
  <c r="AK11" i="1610"/>
  <c r="X11" i="1610"/>
  <c r="II11" i="1610"/>
  <c r="IH11" i="1610"/>
  <c r="HU11" i="1610"/>
  <c r="HH11" i="1610"/>
  <c r="GU11" i="1610"/>
  <c r="GH11" i="1610"/>
  <c r="FU11" i="1610"/>
  <c r="FH11" i="1610"/>
  <c r="EU11" i="1610"/>
  <c r="EH11" i="1610"/>
  <c r="DU11" i="1610"/>
  <c r="DI11" i="1610"/>
  <c r="CV11" i="1610"/>
  <c r="CI11" i="1610"/>
  <c r="BV11" i="1610"/>
  <c r="BI11" i="1610"/>
  <c r="AV11" i="1610"/>
  <c r="AI11" i="1610"/>
  <c r="V11" i="1610"/>
  <c r="IG11" i="1610"/>
  <c r="HT11" i="1610"/>
  <c r="HG11" i="1610"/>
  <c r="GT11" i="1610"/>
  <c r="GG11" i="1610"/>
  <c r="FT11" i="1610"/>
  <c r="FG11" i="1610"/>
  <c r="ET11" i="1610"/>
  <c r="EG11" i="1610"/>
  <c r="DH11" i="1610"/>
  <c r="CU11" i="1610"/>
  <c r="CH11" i="1610"/>
  <c r="BU11" i="1610"/>
  <c r="BH11" i="1610"/>
  <c r="AU11" i="1610"/>
  <c r="AH11" i="1610"/>
  <c r="U11" i="1610"/>
  <c r="FV11" i="1610"/>
  <c r="CW11" i="1610"/>
  <c r="W11" i="1610"/>
  <c r="IR11" i="1610"/>
  <c r="JR36" i="1611"/>
  <c r="JS45" i="1611"/>
  <c r="JR24" i="1611"/>
  <c r="JP27" i="1611"/>
  <c r="JS30" i="1611"/>
  <c r="JR18" i="1611"/>
  <c r="JP14" i="1611"/>
  <c r="JS9" i="1611"/>
  <c r="JS35" i="1611"/>
  <c r="JR45" i="1611"/>
  <c r="JP24" i="1611"/>
  <c r="JS26" i="1611"/>
  <c r="JR30" i="1611"/>
  <c r="JP18" i="1611"/>
  <c r="JS13" i="1611"/>
  <c r="JR9" i="1611"/>
  <c r="IS11" i="1610"/>
  <c r="FP11" i="1610"/>
  <c r="CQ11" i="1610"/>
  <c r="Q11" i="1610"/>
  <c r="IQ11" i="1610"/>
  <c r="FI11" i="1610"/>
  <c r="CJ11" i="1610"/>
  <c r="JS39" i="1611"/>
  <c r="JR35" i="1611"/>
  <c r="JP45" i="1611"/>
  <c r="JS43" i="1611"/>
  <c r="JR26" i="1611"/>
  <c r="JP30" i="1611"/>
  <c r="JS17" i="1611"/>
  <c r="JR13" i="1611"/>
  <c r="JP9" i="1611"/>
  <c r="IX11" i="1610"/>
  <c r="JS18" i="1611"/>
  <c r="FC11" i="1610"/>
  <c r="CD11" i="1610"/>
  <c r="JS38" i="1611"/>
  <c r="JP32" i="1611"/>
  <c r="JP21" i="1611"/>
  <c r="JR12" i="1611"/>
  <c r="JR38" i="1611"/>
  <c r="JS31" i="1611"/>
  <c r="JP25" i="1611"/>
  <c r="JS11" i="1611"/>
  <c r="JP38" i="1611"/>
  <c r="JR31" i="1611"/>
  <c r="JS15" i="1611"/>
  <c r="JS37" i="1611"/>
  <c r="JS28" i="1611"/>
  <c r="JS19" i="1611"/>
  <c r="JP34" i="1611"/>
  <c r="JS44" i="1611"/>
  <c r="JS22" i="1611"/>
  <c r="JP15" i="1611"/>
  <c r="JP37" i="1611"/>
  <c r="JR44" i="1611"/>
  <c r="JP19" i="1611"/>
  <c r="JS14" i="1611"/>
  <c r="DD11" i="1610"/>
  <c r="EV11" i="1610"/>
  <c r="BW11" i="1610"/>
  <c r="JR46" i="1611"/>
  <c r="JS29" i="1611"/>
  <c r="JR25" i="1611"/>
  <c r="JS16" i="1611"/>
  <c r="JP46" i="1611"/>
  <c r="JR29" i="1611"/>
  <c r="JS20" i="1611"/>
  <c r="JS34" i="1611"/>
  <c r="JP29" i="1611"/>
  <c r="JR20" i="1611"/>
  <c r="JR11" i="1611"/>
  <c r="JP31" i="1611"/>
  <c r="JR23" i="1611"/>
  <c r="JP11" i="1611"/>
  <c r="IV11" i="1610"/>
  <c r="EP11" i="1610"/>
  <c r="BQ11" i="1610"/>
  <c r="JR16" i="1611"/>
  <c r="JS23" i="1611"/>
  <c r="JR34" i="1611"/>
  <c r="JR15" i="1611"/>
  <c r="JR37" i="1611"/>
  <c r="JR28" i="1611"/>
  <c r="JR19" i="1611"/>
  <c r="JS40" i="1611"/>
  <c r="JS33" i="1611"/>
  <c r="JS27" i="1611"/>
  <c r="JR22" i="1611"/>
  <c r="JR40" i="1611"/>
  <c r="AD11" i="1610"/>
  <c r="EI11" i="1610"/>
  <c r="BJ11" i="1610"/>
  <c r="IY11" i="1610"/>
  <c r="HV11" i="1610"/>
  <c r="EC11" i="1610"/>
  <c r="BD11" i="1610"/>
  <c r="GC11" i="1610"/>
  <c r="HI11" i="1610"/>
  <c r="DV11" i="1610"/>
  <c r="AW11" i="1610"/>
  <c r="IW11" i="1610"/>
  <c r="GV11" i="1610"/>
  <c r="DQ11" i="1610"/>
  <c r="AQ11" i="1610"/>
  <c r="JS36" i="1611"/>
  <c r="JR33" i="1611"/>
  <c r="JS24" i="1611"/>
  <c r="JR27" i="1611"/>
  <c r="JP22" i="1611"/>
  <c r="JR14" i="1611"/>
  <c r="JP40" i="1611"/>
  <c r="GI11" i="1610"/>
  <c r="DJ11" i="1610"/>
  <c r="AJ11" i="1610"/>
  <c r="IU11" i="1610"/>
  <c r="JP7" i="1611"/>
  <c r="JR17" i="1611"/>
  <c r="JR7" i="1611"/>
  <c r="JS21" i="1611"/>
  <c r="JS12" i="1611"/>
  <c r="JP26" i="1611"/>
  <c r="JP17" i="1611"/>
  <c r="JR43" i="1611"/>
  <c r="JP20" i="1611"/>
  <c r="JP36" i="1611"/>
  <c r="JR21" i="1611"/>
  <c r="JS32" i="1611"/>
  <c r="JP39" i="1611"/>
  <c r="JP33" i="1611"/>
  <c r="JS25" i="1611"/>
  <c r="JP35" i="1611"/>
  <c r="JP44" i="1611"/>
  <c r="JP43" i="1611"/>
  <c r="JR39" i="1611"/>
  <c r="JS46" i="1611"/>
  <c r="JP28" i="1611"/>
  <c r="JR32" i="1611"/>
  <c r="JP23" i="1611"/>
  <c r="JP16" i="1611"/>
  <c r="JS7" i="1611"/>
  <c r="JP12" i="1611"/>
  <c r="JP13" i="1611"/>
  <c r="JU40" i="1611"/>
  <c r="JU16" i="1610"/>
  <c r="JU33" i="1610"/>
  <c r="JU26" i="1610"/>
  <c r="JU24" i="1610"/>
  <c r="JU31" i="1610"/>
  <c r="JU18" i="1610"/>
  <c r="JU28" i="1610"/>
  <c r="JU15" i="1610"/>
  <c r="JU29" i="1610"/>
  <c r="JU25" i="1610"/>
  <c r="JU32" i="1610"/>
  <c r="JU22" i="1610"/>
  <c r="JU41" i="1610"/>
  <c r="JU27" i="1610"/>
  <c r="JU39" i="1610"/>
  <c r="JU13" i="1610"/>
  <c r="JU19" i="1610"/>
  <c r="JU20" i="1610"/>
  <c r="JU23" i="1610"/>
  <c r="JU40" i="1610"/>
  <c r="JU38" i="1610"/>
  <c r="JU35" i="1610"/>
  <c r="JU30" i="1610"/>
  <c r="JU21" i="1610"/>
  <c r="JU34" i="1610"/>
  <c r="JU37" i="1610"/>
  <c r="JU36" i="1610"/>
  <c r="IL7" i="1619"/>
  <c r="JU14" i="1610"/>
  <c r="EX7" i="1615"/>
  <c r="KD7" i="1974"/>
  <c r="AU11" i="1975"/>
  <c r="AH11" i="1975"/>
  <c r="AS11" i="1975"/>
  <c r="S11" i="1975"/>
  <c r="BA15" i="1976"/>
  <c r="IB16" i="1619"/>
  <c r="JR16" i="1619" s="1"/>
  <c r="JQ16" i="1619" s="1"/>
  <c r="AE11" i="1975"/>
  <c r="R11" i="1975"/>
  <c r="AC11" i="1975"/>
  <c r="C11" i="1975"/>
  <c r="HC11" i="1975"/>
  <c r="JP15" i="1976"/>
  <c r="CN15" i="1976"/>
  <c r="JA15" i="1976"/>
  <c r="JA29" i="1976" s="1"/>
  <c r="JR15" i="1976"/>
  <c r="JQ15" i="1976" s="1"/>
  <c r="KL7" i="1974"/>
  <c r="AB11" i="1975"/>
  <c r="O11" i="1975"/>
  <c r="HE11" i="1975"/>
  <c r="FA15" i="1976"/>
  <c r="AZ11" i="1975"/>
  <c r="GZ20" i="1975"/>
  <c r="AA13" i="1975"/>
  <c r="L11" i="1975"/>
  <c r="GY20" i="1975"/>
  <c r="HE7" i="1975"/>
  <c r="DA7" i="1975"/>
  <c r="AK11" i="1975"/>
  <c r="K11" i="1975"/>
  <c r="IL16" i="1619"/>
  <c r="EP4" i="1609"/>
  <c r="AJ11" i="1975"/>
  <c r="AI11" i="1975"/>
  <c r="HC7" i="1975"/>
  <c r="GX20" i="1975"/>
  <c r="GW17" i="1975"/>
  <c r="GU17" i="1975"/>
  <c r="GW20" i="1975"/>
  <c r="GV20" i="1975"/>
  <c r="GA11" i="1975"/>
  <c r="HQ7" i="1974"/>
  <c r="KE7" i="1974"/>
  <c r="HP7" i="1974"/>
  <c r="IH7" i="1974"/>
  <c r="KJ7" i="1974"/>
  <c r="HJ7" i="1974"/>
  <c r="JX7" i="1974"/>
  <c r="GW7" i="1974"/>
  <c r="II7" i="1974"/>
  <c r="JR21" i="1976"/>
  <c r="JS21" i="1976"/>
  <c r="JP20" i="1976"/>
  <c r="GA15" i="1976"/>
  <c r="CA15" i="1976"/>
  <c r="FN15" i="1976"/>
  <c r="IA15" i="1976"/>
  <c r="GN15" i="1976"/>
  <c r="BN15" i="1976"/>
  <c r="DN15" i="1976"/>
  <c r="HA15" i="1976"/>
  <c r="DA15" i="1976"/>
  <c r="N15" i="1976"/>
  <c r="IN15" i="1976"/>
  <c r="HN15" i="1976"/>
  <c r="EA15" i="1976"/>
  <c r="EN15" i="1976"/>
  <c r="JR4" i="1976"/>
  <c r="JP4" i="1976"/>
  <c r="JS5" i="1976"/>
  <c r="JR5" i="1976"/>
  <c r="AN12" i="1975"/>
  <c r="X11" i="1975"/>
  <c r="P11" i="1975"/>
  <c r="N12" i="1975"/>
  <c r="AN13" i="1975"/>
  <c r="FA11" i="1975"/>
  <c r="EN7" i="1975"/>
  <c r="BA13" i="1975"/>
  <c r="I11" i="1975"/>
  <c r="FN11" i="1975"/>
  <c r="EN11" i="1975"/>
  <c r="CA11" i="1975"/>
  <c r="BN11" i="1975"/>
  <c r="FA7" i="1975"/>
  <c r="EA7" i="1975"/>
  <c r="AN7" i="1975"/>
  <c r="AY11" i="1975"/>
  <c r="Y11" i="1975"/>
  <c r="Q11" i="1975"/>
  <c r="AW11" i="1975"/>
  <c r="AO11" i="1975"/>
  <c r="AF11" i="1975"/>
  <c r="AA12" i="1975"/>
  <c r="CN11" i="1975"/>
  <c r="GA7" i="1975"/>
  <c r="N7" i="1975"/>
  <c r="BA7" i="1975"/>
  <c r="AV11" i="1975"/>
  <c r="EA11" i="1975"/>
  <c r="DA11" i="1975"/>
  <c r="DN7" i="1975"/>
  <c r="FN7" i="1975"/>
  <c r="CA7" i="1975"/>
  <c r="AQ11" i="1975"/>
  <c r="H11" i="1975"/>
  <c r="AA7" i="1975"/>
  <c r="J11" i="1975"/>
  <c r="B11" i="1975"/>
  <c r="G11" i="1975"/>
  <c r="CN7" i="1975"/>
  <c r="BN7" i="1975"/>
  <c r="BA12" i="1975"/>
  <c r="AG11" i="1975"/>
  <c r="N13" i="1975"/>
  <c r="HE4" i="1975"/>
  <c r="HC4" i="1975"/>
  <c r="HF5" i="1975"/>
  <c r="HE5" i="1975"/>
  <c r="ES5" i="1609"/>
  <c r="ER5" i="1609"/>
  <c r="IP7" i="1974"/>
  <c r="KI7" i="1974"/>
  <c r="AC7" i="1974"/>
  <c r="AN7" i="1974" s="1"/>
  <c r="FT7" i="1974"/>
  <c r="KG7" i="1974"/>
  <c r="KF7" i="1974"/>
  <c r="HB7" i="1974"/>
  <c r="IO7" i="1974"/>
  <c r="GO7" i="1974"/>
  <c r="HG7" i="1974"/>
  <c r="KH7" i="1974"/>
  <c r="IA21" i="1619"/>
  <c r="H7" i="1619"/>
  <c r="IA10" i="1619"/>
  <c r="HT9" i="1619"/>
  <c r="HT7" i="1619" s="1"/>
  <c r="AA12" i="1619"/>
  <c r="G7" i="1619"/>
  <c r="AA16" i="1619"/>
  <c r="IA11" i="1619"/>
  <c r="AA9" i="1619"/>
  <c r="CL7" i="1619"/>
  <c r="CD7" i="1619"/>
  <c r="N12" i="1619"/>
  <c r="CT7" i="1619"/>
  <c r="CK7" i="1619"/>
  <c r="CC7" i="1619"/>
  <c r="BE7" i="1619"/>
  <c r="HQ12" i="1619"/>
  <c r="HQ7" i="1619" s="1"/>
  <c r="HU9" i="1619"/>
  <c r="HU7" i="1619" s="1"/>
  <c r="BM7" i="1619"/>
  <c r="AH7" i="1619"/>
  <c r="Y7" i="1619"/>
  <c r="N9" i="1619"/>
  <c r="IN14" i="1619"/>
  <c r="HR16" i="1619"/>
  <c r="HN14" i="1619"/>
  <c r="DN23" i="1619"/>
  <c r="EA12" i="1619"/>
  <c r="HS9" i="1619"/>
  <c r="HS7" i="1619" s="1"/>
  <c r="CS7" i="1619"/>
  <c r="HA14" i="1619"/>
  <c r="HP9" i="1619"/>
  <c r="HP7" i="1619" s="1"/>
  <c r="AX7" i="1619"/>
  <c r="AP7" i="1619"/>
  <c r="AG7" i="1619"/>
  <c r="X7" i="1619"/>
  <c r="HO9" i="1619"/>
  <c r="IA14" i="1619"/>
  <c r="HO12" i="1619"/>
  <c r="DN16" i="1619"/>
  <c r="AM16" i="1619"/>
  <c r="HR9" i="1619"/>
  <c r="HR7" i="1619" s="1"/>
  <c r="EN16" i="1619"/>
  <c r="IA13" i="1619"/>
  <c r="BF7" i="1619"/>
  <c r="AW7" i="1619"/>
  <c r="AO7" i="1619"/>
  <c r="GA16" i="1619"/>
  <c r="FA16" i="1619"/>
  <c r="BN16" i="1619"/>
  <c r="AN12" i="1619"/>
  <c r="GN12" i="1619"/>
  <c r="DN12" i="1619"/>
  <c r="DN9" i="1619"/>
  <c r="CJ7" i="1619"/>
  <c r="CB7" i="1619"/>
  <c r="BI7" i="1619"/>
  <c r="BA9" i="1619"/>
  <c r="AS7" i="1619"/>
  <c r="AJ7" i="1619"/>
  <c r="AB7" i="1619"/>
  <c r="M7" i="1619"/>
  <c r="E7" i="1619"/>
  <c r="CN12" i="1619"/>
  <c r="CZ7" i="1619"/>
  <c r="CR7" i="1619"/>
  <c r="CI7" i="1619"/>
  <c r="BT7" i="1619"/>
  <c r="BH7" i="1619"/>
  <c r="AZ7" i="1619"/>
  <c r="AR7" i="1619"/>
  <c r="AI7" i="1619"/>
  <c r="Z7" i="1619"/>
  <c r="L7" i="1619"/>
  <c r="D7" i="1619"/>
  <c r="FN9" i="1619"/>
  <c r="CY7" i="1619"/>
  <c r="CQ7" i="1619"/>
  <c r="CH7" i="1619"/>
  <c r="BP7" i="1619"/>
  <c r="BG7" i="1619"/>
  <c r="AY7" i="1619"/>
  <c r="AQ7" i="1619"/>
  <c r="K7" i="1619"/>
  <c r="C7" i="1619"/>
  <c r="GN16" i="1619"/>
  <c r="FN12" i="1619"/>
  <c r="FA12" i="1619"/>
  <c r="CX7" i="1619"/>
  <c r="CP7" i="1619"/>
  <c r="CG7" i="1619"/>
  <c r="BO7" i="1619"/>
  <c r="J7" i="1619"/>
  <c r="B7" i="1619"/>
  <c r="FN16" i="1619"/>
  <c r="CA16" i="1619"/>
  <c r="BA16" i="1619"/>
  <c r="GA12" i="1619"/>
  <c r="BN12" i="1619"/>
  <c r="BA12" i="1619"/>
  <c r="S7" i="1619"/>
  <c r="CW7" i="1619"/>
  <c r="CO7" i="1619"/>
  <c r="CF7" i="1619"/>
  <c r="AF7" i="1619"/>
  <c r="W7" i="1619"/>
  <c r="I7" i="1619"/>
  <c r="DA12" i="1619"/>
  <c r="CA12" i="1619"/>
  <c r="R7" i="1619"/>
  <c r="HN9" i="1619"/>
  <c r="CV7" i="1619"/>
  <c r="CM7" i="1619"/>
  <c r="CE7" i="1619"/>
  <c r="BL7" i="1619"/>
  <c r="BN9" i="1619"/>
  <c r="AV7" i="1619"/>
  <c r="AM7" i="1619"/>
  <c r="AE7" i="1619"/>
  <c r="V7" i="1619"/>
  <c r="Q7" i="1619"/>
  <c r="CU7" i="1619"/>
  <c r="BK7" i="1619"/>
  <c r="BC7" i="1619"/>
  <c r="AU7" i="1619"/>
  <c r="AL7" i="1619"/>
  <c r="AD7" i="1619"/>
  <c r="U7" i="1619"/>
  <c r="EA16" i="1619"/>
  <c r="CN16" i="1619"/>
  <c r="EN12" i="1619"/>
  <c r="P7" i="1619"/>
  <c r="BJ7" i="1619"/>
  <c r="BB7" i="1619"/>
  <c r="AT7" i="1619"/>
  <c r="AK7" i="1619"/>
  <c r="AC7" i="1619"/>
  <c r="O7" i="1619"/>
  <c r="F7" i="1619"/>
  <c r="DA16" i="1619"/>
  <c r="EI9" i="1619"/>
  <c r="EI7" i="1619" s="1"/>
  <c r="FA9" i="1619"/>
  <c r="HN12" i="1619"/>
  <c r="BQ9" i="1619"/>
  <c r="BQ7" i="1619" s="1"/>
  <c r="HN16" i="1619"/>
  <c r="DA23" i="1619"/>
  <c r="AN23" i="1619"/>
  <c r="AN16" i="1619" s="1"/>
  <c r="GT16" i="1619"/>
  <c r="IB12" i="1619"/>
  <c r="GV12" i="1619"/>
  <c r="GP9" i="1619"/>
  <c r="GP7" i="1619" s="1"/>
  <c r="GN9" i="1619"/>
  <c r="CN9" i="1619"/>
  <c r="IA18" i="1619"/>
  <c r="EA9" i="1619"/>
  <c r="BD7" i="1619"/>
  <c r="IN18" i="1619"/>
  <c r="HN18" i="1619"/>
  <c r="HA18" i="1619"/>
  <c r="DA9" i="1619"/>
  <c r="HQ16" i="1619"/>
  <c r="IN9" i="1619"/>
  <c r="AN9" i="1619"/>
  <c r="GA9" i="1619"/>
  <c r="EW7" i="1615"/>
  <c r="IM7" i="1619" l="1"/>
  <c r="JP7" i="1619" s="1"/>
  <c r="IB7" i="1619"/>
  <c r="JR7" i="1619" s="1"/>
  <c r="JQ7" i="1619" s="1"/>
  <c r="JR12" i="1619"/>
  <c r="JQ12" i="1619" s="1"/>
  <c r="LV30" i="1974"/>
  <c r="FA7" i="1615"/>
  <c r="IN7" i="1974"/>
  <c r="HO7" i="1619"/>
  <c r="GV7" i="1619"/>
  <c r="HA7" i="1619" s="1"/>
  <c r="IN16" i="1619"/>
  <c r="IA16" i="1619"/>
  <c r="HA16" i="1619"/>
  <c r="KA7" i="1974"/>
  <c r="KN7" i="1974"/>
  <c r="HN7" i="1974"/>
  <c r="JA7" i="1974"/>
  <c r="IA7" i="1974"/>
  <c r="GA7" i="1974"/>
  <c r="HA7" i="1974"/>
  <c r="LV37" i="1974"/>
  <c r="LR7" i="1974"/>
  <c r="LQ11" i="1974"/>
  <c r="LQ15" i="1974"/>
  <c r="LQ14" i="1974"/>
  <c r="LQ23" i="1974"/>
  <c r="LQ36" i="1974"/>
  <c r="LQ32" i="1974"/>
  <c r="LQ10" i="1974"/>
  <c r="LQ22" i="1974"/>
  <c r="LQ29" i="1974"/>
  <c r="LQ33" i="1974"/>
  <c r="LQ38" i="1974"/>
  <c r="LQ37" i="1974"/>
  <c r="LQ30" i="1974"/>
  <c r="LQ12" i="1974"/>
  <c r="LQ28" i="1974"/>
  <c r="LQ25" i="1974"/>
  <c r="LQ20" i="1974"/>
  <c r="LQ18" i="1974"/>
  <c r="LQ17" i="1974"/>
  <c r="LQ16" i="1974"/>
  <c r="LQ13" i="1974"/>
  <c r="LQ9" i="1974"/>
  <c r="LQ21" i="1974"/>
  <c r="LQ34" i="1974"/>
  <c r="LQ35" i="1974"/>
  <c r="LQ26" i="1974"/>
  <c r="LQ39" i="1974"/>
  <c r="LQ31" i="1974"/>
  <c r="LQ27" i="1974"/>
  <c r="JQ14" i="1611"/>
  <c r="JQ15" i="1611"/>
  <c r="JQ36" i="1611"/>
  <c r="JQ12" i="1611"/>
  <c r="JQ28" i="1611"/>
  <c r="JQ35" i="1611"/>
  <c r="JQ24" i="1611"/>
  <c r="JQ7" i="1611"/>
  <c r="JQ23" i="1611"/>
  <c r="JQ38" i="1611"/>
  <c r="JQ37" i="1611"/>
  <c r="JQ20" i="1611"/>
  <c r="JQ27" i="1611"/>
  <c r="JQ32" i="1611"/>
  <c r="JQ33" i="1611"/>
  <c r="JQ16" i="1611"/>
  <c r="JQ11" i="1611"/>
  <c r="JQ34" i="1611"/>
  <c r="JQ18" i="1611"/>
  <c r="JQ21" i="1611"/>
  <c r="JQ29" i="1611"/>
  <c r="JQ31" i="1611"/>
  <c r="JQ13" i="1611"/>
  <c r="JQ40" i="1611"/>
  <c r="JQ25" i="1611"/>
  <c r="JQ46" i="1611"/>
  <c r="JQ22" i="1611"/>
  <c r="JQ45" i="1611"/>
  <c r="JQ44" i="1611"/>
  <c r="JQ30" i="1611"/>
  <c r="JQ17" i="1611"/>
  <c r="JQ39" i="1611"/>
  <c r="JQ19" i="1611"/>
  <c r="JQ26" i="1611"/>
  <c r="JQ43" i="1611"/>
  <c r="JQ9" i="1611"/>
  <c r="IZ11" i="1610"/>
  <c r="O11" i="1610"/>
  <c r="AA11" i="1610" s="1"/>
  <c r="AB11" i="1610"/>
  <c r="AN11" i="1610" s="1"/>
  <c r="AO11" i="1610"/>
  <c r="BA11" i="1610" s="1"/>
  <c r="BB11" i="1610"/>
  <c r="BN11" i="1610" s="1"/>
  <c r="BO11" i="1610"/>
  <c r="CA11" i="1610" s="1"/>
  <c r="CB11" i="1610"/>
  <c r="CN11" i="1610" s="1"/>
  <c r="CO11" i="1610"/>
  <c r="DA11" i="1610" s="1"/>
  <c r="DB11" i="1610"/>
  <c r="DN11" i="1610" s="1"/>
  <c r="DO11" i="1610"/>
  <c r="EA11" i="1610" s="1"/>
  <c r="EB11" i="1610"/>
  <c r="EN11" i="1610" s="1"/>
  <c r="EO11" i="1610"/>
  <c r="FA11" i="1610" s="1"/>
  <c r="FB11" i="1610"/>
  <c r="FN11" i="1610" s="1"/>
  <c r="FO11" i="1610"/>
  <c r="GA11" i="1610" s="1"/>
  <c r="GB11" i="1610"/>
  <c r="GN11" i="1610" s="1"/>
  <c r="GO11" i="1610"/>
  <c r="HA11" i="1610" s="1"/>
  <c r="HB11" i="1610"/>
  <c r="HN11" i="1610" s="1"/>
  <c r="HO11" i="1610"/>
  <c r="IA11" i="1610" s="1"/>
  <c r="IB11" i="1610"/>
  <c r="IN11" i="1610" s="1"/>
  <c r="IO11" i="1610"/>
  <c r="JS11" i="1610" s="1"/>
  <c r="D11" i="1610"/>
  <c r="I11" i="1610"/>
  <c r="K11" i="1610"/>
  <c r="G11" i="1610"/>
  <c r="J11" i="1610"/>
  <c r="M11" i="1610"/>
  <c r="H11" i="1610"/>
  <c r="F11" i="1610"/>
  <c r="B11" i="1610"/>
  <c r="E11" i="1610"/>
  <c r="L11" i="1610"/>
  <c r="C11" i="1610"/>
  <c r="IN12" i="1619"/>
  <c r="AA11" i="1975"/>
  <c r="N11" i="1975"/>
  <c r="EN9" i="1619"/>
  <c r="BA11" i="1975"/>
  <c r="AN11" i="1975"/>
  <c r="IA9" i="1619"/>
  <c r="CN7" i="1619"/>
  <c r="DA7" i="1619"/>
  <c r="FA7" i="1619"/>
  <c r="FN7" i="1619"/>
  <c r="DN7" i="1619"/>
  <c r="EA7" i="1619"/>
  <c r="CA7" i="1619"/>
  <c r="AN7" i="1619"/>
  <c r="BA7" i="1619"/>
  <c r="HN7" i="1619"/>
  <c r="AA7" i="1619"/>
  <c r="N7" i="1619"/>
  <c r="EN7" i="1619"/>
  <c r="GA7" i="1619"/>
  <c r="IA12" i="1619"/>
  <c r="GN7" i="1619"/>
  <c r="BN7" i="1619"/>
  <c r="HA9" i="1619"/>
  <c r="CA9" i="1619"/>
  <c r="HA12" i="1619"/>
  <c r="JR11" i="1610" l="1"/>
  <c r="JP11" i="1610"/>
  <c r="IA7" i="1619"/>
  <c r="N11" i="1610"/>
  <c r="JA11" i="1610"/>
  <c r="JQ43" i="1610"/>
  <c r="IN7" i="1619"/>
  <c r="JQ11" i="1610" l="1"/>
  <c r="GR18" i="1975"/>
  <c r="GS18" i="1975"/>
  <c r="GR19" i="1975"/>
  <c r="GS19" i="1975"/>
  <c r="GR21" i="1975"/>
  <c r="GS21" i="1975"/>
  <c r="GR22" i="1975"/>
  <c r="GS22" i="1975"/>
  <c r="GQ11" i="1975"/>
  <c r="GR11" i="1975"/>
  <c r="GS11" i="1975"/>
  <c r="GT11" i="1975"/>
  <c r="GQ7" i="1975"/>
  <c r="GR7" i="1975"/>
  <c r="GS7" i="1975"/>
  <c r="GT7" i="1975"/>
  <c r="JF16" i="1619"/>
  <c r="JF12" i="1619"/>
  <c r="JF9" i="1619"/>
  <c r="JF7" i="1619" l="1"/>
  <c r="JF27" i="1619"/>
  <c r="GT20" i="1975"/>
  <c r="GT17" i="1975"/>
  <c r="JE23" i="1976" l="1"/>
  <c r="JF23" i="1976"/>
  <c r="JE9" i="1619"/>
  <c r="JE16" i="1619" l="1"/>
  <c r="JE12" i="1619"/>
  <c r="JE7" i="1619" s="1"/>
  <c r="JE27" i="1619" l="1"/>
  <c r="LD7" i="1973"/>
  <c r="JD23" i="1976" l="1"/>
  <c r="JC23" i="1976"/>
  <c r="JB23" i="1976"/>
  <c r="JA25" i="1976"/>
  <c r="JA24" i="1976"/>
  <c r="FZ18" i="1975"/>
  <c r="GO18" i="1975"/>
  <c r="GP18" i="1975"/>
  <c r="GQ18" i="1975"/>
  <c r="FZ19" i="1975"/>
  <c r="GO19" i="1975"/>
  <c r="GP19" i="1975"/>
  <c r="GQ19" i="1975"/>
  <c r="FZ21" i="1975"/>
  <c r="GO21" i="1975"/>
  <c r="GP21" i="1975"/>
  <c r="GQ21" i="1975"/>
  <c r="FZ22" i="1975"/>
  <c r="GO22" i="1975"/>
  <c r="GP22" i="1975"/>
  <c r="GQ22" i="1975"/>
  <c r="GP11" i="1975"/>
  <c r="GP7" i="1975"/>
  <c r="LC7" i="1973"/>
  <c r="JD16" i="1619"/>
  <c r="JD12" i="1619"/>
  <c r="JC9" i="1619"/>
  <c r="JC12" i="1619"/>
  <c r="JD9" i="1619"/>
  <c r="JD7" i="1619" s="1"/>
  <c r="JC7" i="1619" l="1"/>
  <c r="JD27" i="1619"/>
  <c r="JS23" i="1976"/>
  <c r="JN23" i="1976"/>
  <c r="JN15" i="1976"/>
  <c r="JN18" i="1619"/>
  <c r="JC16" i="1619"/>
  <c r="JC27" i="1619" s="1"/>
  <c r="FM22" i="1975"/>
  <c r="FO22" i="1975"/>
  <c r="FP22" i="1975"/>
  <c r="FQ22" i="1975"/>
  <c r="FR22" i="1975"/>
  <c r="FS22" i="1975"/>
  <c r="FT22" i="1975"/>
  <c r="FU22" i="1975"/>
  <c r="FV22" i="1975"/>
  <c r="FW22" i="1975"/>
  <c r="FX22" i="1975"/>
  <c r="FY22" i="1975"/>
  <c r="FX18" i="1975" l="1"/>
  <c r="FY18" i="1975"/>
  <c r="FX19" i="1975"/>
  <c r="FY19" i="1975"/>
  <c r="FX21" i="1975"/>
  <c r="FY21" i="1975"/>
  <c r="GO11" i="1975"/>
  <c r="HF11" i="1975" s="1"/>
  <c r="HD11" i="1975" s="1"/>
  <c r="GO7" i="1975"/>
  <c r="HF7" i="1975" s="1"/>
  <c r="LS7" i="1974"/>
  <c r="LQ7" i="1974" s="1"/>
  <c r="LB7" i="1973"/>
  <c r="JB16" i="1619"/>
  <c r="JB9" i="1619"/>
  <c r="LN7" i="1973" l="1"/>
  <c r="HA11" i="1975"/>
  <c r="HA7" i="1975"/>
  <c r="LN7" i="1974"/>
  <c r="JN16" i="1619"/>
  <c r="JN14" i="1619"/>
  <c r="JN9" i="1619"/>
  <c r="KA7" i="1615"/>
  <c r="JB12" i="1619"/>
  <c r="JB7" i="1619" l="1"/>
  <c r="JB27" i="1619"/>
  <c r="BE39" i="2478" a="1"/>
  <c r="BE39" i="2478" s="1"/>
  <c r="BE7" i="2478" s="1"/>
  <c r="AU39" i="2478" a="1"/>
  <c r="AU39" i="2478" s="1"/>
  <c r="AU7" i="2478" s="1"/>
  <c r="AJ39" i="2478" a="1"/>
  <c r="AJ39" i="2478" s="1"/>
  <c r="AJ7" i="2478" s="1"/>
  <c r="AB39" i="2478" a="1"/>
  <c r="AB39" i="2478" s="1"/>
  <c r="R39" i="2478" a="1"/>
  <c r="R39" i="2478" s="1"/>
  <c r="R7" i="2478" s="1"/>
  <c r="F39" i="2478" a="1"/>
  <c r="F39" i="2478" s="1"/>
  <c r="F7" i="2478" s="1"/>
  <c r="JG39" i="2478" a="1"/>
  <c r="JG39" i="2478" s="1"/>
  <c r="IQ39" i="2478" a="1"/>
  <c r="IQ39" i="2478" s="1"/>
  <c r="DV39" i="2478" a="1"/>
  <c r="DV39" i="2478" s="1"/>
  <c r="G39" i="2478" a="1"/>
  <c r="G39" i="2478" s="1"/>
  <c r="G7" i="2478" s="1"/>
  <c r="AH39" i="2478" a="1"/>
  <c r="AH39" i="2478" s="1"/>
  <c r="AH7" i="2478" s="1"/>
  <c r="D39" i="2478" a="1"/>
  <c r="D39" i="2478" s="1"/>
  <c r="D7" i="2478" s="1"/>
  <c r="HF39" i="2478" a="1"/>
  <c r="HF39" i="2478" s="1"/>
  <c r="HF7" i="2478" s="1"/>
  <c r="DC39" i="2478" a="1"/>
  <c r="DC39" i="2478" s="1"/>
  <c r="DC7" i="2478" s="1"/>
  <c r="X39" i="2478" a="1"/>
  <c r="X39" i="2478" s="1"/>
  <c r="X7" i="2478" s="1"/>
  <c r="JD39" i="2478" a="1"/>
  <c r="JD39" i="2478" s="1"/>
  <c r="EY39" i="2478" a="1"/>
  <c r="EY39" i="2478" s="1"/>
  <c r="EY7" i="2478" s="1"/>
  <c r="AV39" i="2478" a="1"/>
  <c r="AV39" i="2478" s="1"/>
  <c r="AV7" i="2478" s="1"/>
  <c r="BB39" i="2478" a="1"/>
  <c r="BB39" i="2478" s="1"/>
  <c r="M39" i="2478" a="1"/>
  <c r="M39" i="2478" s="1"/>
  <c r="M7" i="2478" s="1"/>
  <c r="JP39" i="2478" a="1"/>
  <c r="JP39" i="2478" s="1"/>
  <c r="JP7" i="2478" s="1"/>
  <c r="DL39" i="2478" a="1"/>
  <c r="DL39" i="2478" s="1"/>
  <c r="DL7" i="2478" s="1"/>
  <c r="JH39" i="2478" a="1"/>
  <c r="JH39" i="2478" s="1"/>
  <c r="JM39" i="2478" a="1"/>
  <c r="JM39" i="2478" s="1"/>
  <c r="AC39" i="2478" a="1"/>
  <c r="AC39" i="2478" s="1"/>
  <c r="AC7" i="2478" s="1"/>
  <c r="FI39" i="2478" a="1"/>
  <c r="FI39" i="2478" s="1"/>
  <c r="FI7" i="2478" s="1"/>
  <c r="BO39" i="2478" a="1"/>
  <c r="BO39" i="2478" s="1"/>
  <c r="B39" i="2478" a="1"/>
  <c r="B39" i="2478" s="1"/>
  <c r="AW39" i="2478" a="1"/>
  <c r="AW39" i="2478" s="1"/>
  <c r="AW7" i="2478" s="1"/>
  <c r="JJ39" i="2478" a="1"/>
  <c r="JJ39" i="2478" s="1"/>
  <c r="EO39" i="2478" a="1"/>
  <c r="EO39" i="2478" s="1"/>
  <c r="BF39" i="2478" a="1"/>
  <c r="BF39" i="2478" s="1"/>
  <c r="BF7" i="2478" s="1"/>
  <c r="K39" i="2478" a="1"/>
  <c r="K39" i="2478" s="1"/>
  <c r="K7" i="2478" s="1"/>
  <c r="JK39" i="2478" a="1"/>
  <c r="JK39" i="2478" s="1"/>
  <c r="JK7" i="2478" s="1"/>
  <c r="HX39" i="2478" a="1"/>
  <c r="HX39" i="2478" s="1"/>
  <c r="HX7" i="2478" s="1"/>
  <c r="BY39" i="2478" a="1"/>
  <c r="BY39" i="2478" s="1"/>
  <c r="BY7" i="2478" s="1"/>
  <c r="AD39" i="2478" a="1"/>
  <c r="AD39" i="2478" s="1"/>
  <c r="AD7" i="2478" s="1"/>
  <c r="AK39" i="2478" a="1"/>
  <c r="AK39" i="2478" s="1"/>
  <c r="AK7" i="2478" s="1"/>
  <c r="GU39" i="2478" a="1"/>
  <c r="GU39" i="2478" s="1"/>
  <c r="GU7" i="2478" s="1"/>
  <c r="CR39" i="2478" a="1"/>
  <c r="CR39" i="2478" s="1"/>
  <c r="CR7" i="2478" s="1"/>
  <c r="T39" i="2478" a="1"/>
  <c r="T39" i="2478" s="1"/>
  <c r="T7" i="2478" s="1"/>
  <c r="I39" i="2478" a="1"/>
  <c r="I39" i="2478" s="1"/>
  <c r="I7" i="2478" s="1"/>
  <c r="EF39" i="2478" a="1"/>
  <c r="EF39" i="2478" s="1"/>
  <c r="EF7" i="2478" s="1"/>
  <c r="JI39" i="2478" a="1"/>
  <c r="JI39" i="2478" s="1"/>
  <c r="BG39" i="2478" a="1"/>
  <c r="BG39" i="2478" s="1"/>
  <c r="BG7" i="2478" s="1"/>
  <c r="S39" i="2478" a="1"/>
  <c r="S39" i="2478" s="1"/>
  <c r="S7" i="2478" s="1"/>
  <c r="FR39" i="2478" a="1"/>
  <c r="FR39" i="2478" s="1"/>
  <c r="FR7" i="2478" s="1"/>
  <c r="H39" i="2478" a="1"/>
  <c r="H39" i="2478" s="1"/>
  <c r="H7" i="2478" s="1"/>
  <c r="JZ39" i="2478" a="1"/>
  <c r="JZ39" i="2478" s="1"/>
  <c r="JZ7" i="2478" s="1"/>
  <c r="HY39" i="2478" a="1"/>
  <c r="HY39" i="2478" s="1"/>
  <c r="HY7" i="2478" s="1"/>
  <c r="EZ39" i="2478" a="1"/>
  <c r="EZ39" i="2478" s="1"/>
  <c r="EZ7" i="2478" s="1"/>
  <c r="J39" i="2478" a="1"/>
  <c r="J39" i="2478" s="1"/>
  <c r="J7" i="2478" s="1"/>
  <c r="FB39" i="2478" a="1"/>
  <c r="FB39" i="2478" s="1"/>
  <c r="EI39" i="2478" a="1"/>
  <c r="EI39" i="2478" s="1"/>
  <c r="EI7" i="2478" s="1"/>
  <c r="AE39" i="2478" a="1"/>
  <c r="AE39" i="2478" s="1"/>
  <c r="AE7" i="2478" s="1"/>
  <c r="DG39" i="2478" a="1"/>
  <c r="DG39" i="2478" s="1"/>
  <c r="DG7" i="2478" s="1"/>
  <c r="JU39" i="2478" a="1"/>
  <c r="JU39" i="2478" s="1"/>
  <c r="JU7" i="2478" s="1"/>
  <c r="FD39" i="2478" a="1"/>
  <c r="FD39" i="2478" s="1"/>
  <c r="FD7" i="2478" s="1"/>
  <c r="DH39" i="2478" a="1"/>
  <c r="DH39" i="2478" s="1"/>
  <c r="DH7" i="2478" s="1"/>
  <c r="HT39" i="2478" a="1"/>
  <c r="HT39" i="2478" s="1"/>
  <c r="HT7" i="2478" s="1"/>
  <c r="BV39" i="2478" a="1"/>
  <c r="BV39" i="2478" s="1"/>
  <c r="BV7" i="2478" s="1"/>
  <c r="JW39" i="2478" a="1"/>
  <c r="JW39" i="2478" s="1"/>
  <c r="JW7" i="2478" s="1"/>
  <c r="FF39" i="2478" a="1"/>
  <c r="FF39" i="2478" s="1"/>
  <c r="FF7" i="2478" s="1"/>
  <c r="BD39" i="2478" a="1"/>
  <c r="BD39" i="2478" s="1"/>
  <c r="BD7" i="2478" s="1"/>
  <c r="HD39" i="2478" a="1"/>
  <c r="HD39" i="2478" s="1"/>
  <c r="HD7" i="2478" s="1"/>
  <c r="EX39" i="2478" a="1"/>
  <c r="EX39" i="2478" s="1"/>
  <c r="EX7" i="2478" s="1"/>
  <c r="FH39" i="2478" a="1"/>
  <c r="FH39" i="2478" s="1"/>
  <c r="FH7" i="2478" s="1"/>
  <c r="ID39" i="2478" a="1"/>
  <c r="ID39" i="2478" s="1"/>
  <c r="ID7" i="2478" s="1"/>
  <c r="CQ39" i="2478" a="1"/>
  <c r="CQ39" i="2478" s="1"/>
  <c r="CQ7" i="2478" s="1"/>
  <c r="EL39" i="2478" a="1"/>
  <c r="EL39" i="2478" s="1"/>
  <c r="EL7" i="2478" s="1"/>
  <c r="BP39" i="2478" a="1"/>
  <c r="BP39" i="2478" s="1"/>
  <c r="BP7" i="2478" s="1"/>
  <c r="II39" i="2478" a="1"/>
  <c r="II39" i="2478" s="1"/>
  <c r="II7" i="2478" s="1"/>
  <c r="FJ39" i="2478" a="1"/>
  <c r="FJ39" i="2478" s="1"/>
  <c r="FJ7" i="2478" s="1"/>
  <c r="U39" i="2478" a="1"/>
  <c r="U39" i="2478" s="1"/>
  <c r="U7" i="2478" s="1"/>
  <c r="FT39" i="2478" a="1"/>
  <c r="FT39" i="2478" s="1"/>
  <c r="FT7" i="2478" s="1"/>
  <c r="ES39" i="2478" a="1"/>
  <c r="ES39" i="2478" s="1"/>
  <c r="ES7" i="2478" s="1"/>
  <c r="AY39" i="2478" a="1"/>
  <c r="AY39" i="2478" s="1"/>
  <c r="AY7" i="2478" s="1"/>
  <c r="DP39" i="2478" a="1"/>
  <c r="DP39" i="2478" s="1"/>
  <c r="JC39" i="2478" a="1"/>
  <c r="JC39" i="2478" s="1"/>
  <c r="FL39" i="2478" a="1"/>
  <c r="FL39" i="2478" s="1"/>
  <c r="FL7" i="2478" s="1"/>
  <c r="DR39" i="2478" a="1"/>
  <c r="DR39" i="2478" s="1"/>
  <c r="IE39" i="2478" a="1"/>
  <c r="IE39" i="2478" s="1"/>
  <c r="IE7" i="2478" s="1"/>
  <c r="CF39" i="2478" a="1"/>
  <c r="CF39" i="2478" s="1"/>
  <c r="CF7" i="2478" s="1"/>
  <c r="JF39" i="2478" a="1"/>
  <c r="JF39" i="2478" s="1"/>
  <c r="FO39" i="2478" a="1"/>
  <c r="FO39" i="2478" s="1"/>
  <c r="BM39" i="2478" a="1"/>
  <c r="BM39" i="2478" s="1"/>
  <c r="BM7" i="2478" s="1"/>
  <c r="HL39" i="2478" a="1"/>
  <c r="HL39" i="2478" s="1"/>
  <c r="HL7" i="2478" s="1"/>
  <c r="JY39" i="2478" a="1"/>
  <c r="JY39" i="2478" s="1"/>
  <c r="JY7" i="2478" s="1"/>
  <c r="FX39" i="2478" a="1"/>
  <c r="FX39" i="2478" s="1"/>
  <c r="FX7" i="2478" s="1"/>
  <c r="CV39" i="2478" a="1"/>
  <c r="CV39" i="2478" s="1"/>
  <c r="CV7" i="2478" s="1"/>
  <c r="JO39" i="2478" a="1"/>
  <c r="JO39" i="2478" s="1"/>
  <c r="CI39" i="2478" a="1"/>
  <c r="CI39" i="2478" s="1"/>
  <c r="CI7" i="2478" s="1"/>
  <c r="IR39" i="2478" a="1"/>
  <c r="IR39" i="2478" s="1"/>
  <c r="FS39" i="2478" a="1"/>
  <c r="FS39" i="2478" s="1"/>
  <c r="FS7" i="2478" s="1"/>
  <c r="AM39" i="2478" a="1"/>
  <c r="AM39" i="2478" s="1"/>
  <c r="AM7" i="2478" s="1"/>
  <c r="HH39" i="2478" a="1"/>
  <c r="HH39" i="2478" s="1"/>
  <c r="HH7" i="2478" s="1"/>
  <c r="FC39" i="2478" a="1"/>
  <c r="FC39" i="2478" s="1"/>
  <c r="FC7" i="2478" s="1"/>
  <c r="JB39" i="2478" a="1"/>
  <c r="JB39" i="2478" s="1"/>
  <c r="DZ39" i="2478" a="1"/>
  <c r="DZ39" i="2478" s="1"/>
  <c r="L39" i="2478" a="1"/>
  <c r="L39" i="2478" s="1"/>
  <c r="L7" i="2478" s="1"/>
  <c r="FW39" i="2478" a="1"/>
  <c r="FW39" i="2478" s="1"/>
  <c r="FW7" i="2478" s="1"/>
  <c r="EB39" i="2478" a="1"/>
  <c r="EB39" i="2478" s="1"/>
  <c r="IM39" i="2478" a="1"/>
  <c r="IM39" i="2478" s="1"/>
  <c r="IM7" i="2478" s="1"/>
  <c r="CO39" i="2478" a="1"/>
  <c r="CO39" i="2478" s="1"/>
  <c r="P39" i="2478" a="1"/>
  <c r="P39" i="2478" s="1"/>
  <c r="P7" i="2478" s="1"/>
  <c r="FY39" i="2478" a="1"/>
  <c r="FY39" i="2478" s="1"/>
  <c r="FY7" i="2478" s="1"/>
  <c r="BW39" i="2478" a="1"/>
  <c r="BW39" i="2478" s="1"/>
  <c r="BW7" i="2478" s="1"/>
  <c r="IG39" i="2478" a="1"/>
  <c r="IG39" i="2478" s="1"/>
  <c r="IG7" i="2478" s="1"/>
  <c r="FQ39" i="2478" a="1"/>
  <c r="FQ39" i="2478" s="1"/>
  <c r="FQ7" i="2478" s="1"/>
  <c r="CD39" i="2478" a="1"/>
  <c r="CD39" i="2478" s="1"/>
  <c r="CD7" i="2478" s="1"/>
  <c r="EW39" i="2478" a="1"/>
  <c r="EW39" i="2478" s="1"/>
  <c r="EW7" i="2478" s="1"/>
  <c r="AT39" i="2478" a="1"/>
  <c r="AT39" i="2478" s="1"/>
  <c r="AT7" i="2478" s="1"/>
  <c r="CS39" i="2478" a="1"/>
  <c r="CS39" i="2478" s="1"/>
  <c r="CS7" i="2478" s="1"/>
  <c r="JQ39" i="2478" a="1"/>
  <c r="JQ39" i="2478" s="1"/>
  <c r="JQ7" i="2478" s="1"/>
  <c r="GD39" i="2478" a="1"/>
  <c r="GD39" i="2478" s="1"/>
  <c r="GD7" i="2478" s="1"/>
  <c r="AX39" i="2478" a="1"/>
  <c r="AX39" i="2478" s="1"/>
  <c r="AX7" i="2478" s="1"/>
  <c r="IB39" i="2478" a="1"/>
  <c r="IB39" i="2478" s="1"/>
  <c r="FK39" i="2478" a="1"/>
  <c r="FK39" i="2478" s="1"/>
  <c r="FK7" i="2478" s="1"/>
  <c r="C39" i="2478" a="1"/>
  <c r="C39" i="2478" s="1"/>
  <c r="C7" i="2478" s="1"/>
  <c r="EJ39" i="2478" a="1"/>
  <c r="EJ39" i="2478" s="1"/>
  <c r="EJ7" i="2478" s="1"/>
  <c r="W39" i="2478" a="1"/>
  <c r="W39" i="2478" s="1"/>
  <c r="W7" i="2478" s="1"/>
  <c r="GG39" i="2478" a="1"/>
  <c r="GG39" i="2478" s="1"/>
  <c r="GG7" i="2478" s="1"/>
  <c r="EK39" i="2478" a="1"/>
  <c r="EK39" i="2478" s="1"/>
  <c r="EK7" i="2478" s="1"/>
  <c r="IW39" i="2478" a="1"/>
  <c r="IW39" i="2478" s="1"/>
  <c r="DI39" i="2478" a="1"/>
  <c r="DI39" i="2478" s="1"/>
  <c r="DI7" i="2478" s="1"/>
  <c r="Y39" i="2478" a="1"/>
  <c r="Y39" i="2478" s="1"/>
  <c r="Y7" i="2478" s="1"/>
  <c r="GI39" i="2478" a="1"/>
  <c r="GI39" i="2478" s="1"/>
  <c r="GI7" i="2478" s="1"/>
  <c r="CG39" i="2478" a="1"/>
  <c r="CG39" i="2478" s="1"/>
  <c r="CG7" i="2478" s="1"/>
  <c r="IZ39" i="2478" a="1"/>
  <c r="IZ39" i="2478" s="1"/>
  <c r="GB39" i="2478" a="1"/>
  <c r="GB39" i="2478" s="1"/>
  <c r="GY39" i="2478" a="1"/>
  <c r="GY39" i="2478" s="1"/>
  <c r="GY7" i="2478" s="1"/>
  <c r="IY39" i="2478" a="1"/>
  <c r="IY39" i="2478" s="1"/>
  <c r="IX39" i="2478" a="1"/>
  <c r="IX39" i="2478" s="1"/>
  <c r="DD39" i="2478" a="1"/>
  <c r="DD39" i="2478" s="1"/>
  <c r="DD7" i="2478" s="1"/>
  <c r="AL39" i="2478" a="1"/>
  <c r="AL39" i="2478" s="1"/>
  <c r="AL7" i="2478" s="1"/>
  <c r="GL39" i="2478" a="1"/>
  <c r="GL39" i="2478" s="1"/>
  <c r="GL7" i="2478" s="1"/>
  <c r="BH39" i="2478" a="1"/>
  <c r="BH39" i="2478" s="1"/>
  <c r="BH7" i="2478" s="1"/>
  <c r="IT39" i="2478" a="1"/>
  <c r="IT39" i="2478" s="1"/>
  <c r="FU39" i="2478" a="1"/>
  <c r="FU39" i="2478" s="1"/>
  <c r="FU7" i="2478" s="1"/>
  <c r="V39" i="2478" a="1"/>
  <c r="V39" i="2478" s="1"/>
  <c r="V7" i="2478" s="1"/>
  <c r="FV39" i="2478" a="1"/>
  <c r="FV39" i="2478" s="1"/>
  <c r="FV7" i="2478" s="1"/>
  <c r="AG39" i="2478" a="1"/>
  <c r="AG39" i="2478" s="1"/>
  <c r="AG7" i="2478" s="1"/>
  <c r="GP39" i="2478" a="1"/>
  <c r="GP39" i="2478" s="1"/>
  <c r="GP7" i="2478" s="1"/>
  <c r="EU39" i="2478" a="1"/>
  <c r="EU39" i="2478" s="1"/>
  <c r="EU7" i="2478" s="1"/>
  <c r="JV39" i="2478" a="1"/>
  <c r="JV39" i="2478" s="1"/>
  <c r="JV7" i="2478" s="1"/>
  <c r="DS39" i="2478" a="1"/>
  <c r="DS39" i="2478" s="1"/>
  <c r="AI39" i="2478" a="1"/>
  <c r="AI39" i="2478" s="1"/>
  <c r="AI7" i="2478" s="1"/>
  <c r="GR39" i="2478" a="1"/>
  <c r="GR39" i="2478" s="1"/>
  <c r="GR7" i="2478" s="1"/>
  <c r="CP39" i="2478" a="1"/>
  <c r="CP39" i="2478" s="1"/>
  <c r="CP7" i="2478" s="1"/>
  <c r="GJ39" i="2478" a="1"/>
  <c r="GJ39" i="2478" s="1"/>
  <c r="GJ7" i="2478" s="1"/>
  <c r="CY39" i="2478" a="1"/>
  <c r="CY39" i="2478" s="1"/>
  <c r="CY7" i="2478" s="1"/>
  <c r="HJ39" i="2478" a="1"/>
  <c r="HJ39" i="2478" s="1"/>
  <c r="HJ7" i="2478" s="1"/>
  <c r="DW39" i="2478" a="1"/>
  <c r="DW39" i="2478" s="1"/>
  <c r="BZ39" i="2478" a="1"/>
  <c r="BZ39" i="2478" s="1"/>
  <c r="BZ7" i="2478" s="1"/>
  <c r="GW39" i="2478" a="1"/>
  <c r="GW39" i="2478" s="1"/>
  <c r="GW7" i="2478" s="1"/>
  <c r="BQ39" i="2478" a="1"/>
  <c r="BQ39" i="2478" s="1"/>
  <c r="BQ7" i="2478" s="1"/>
  <c r="JS39" i="2478" a="1"/>
  <c r="JS39" i="2478" s="1"/>
  <c r="JS7" i="2478" s="1"/>
  <c r="GE39" i="2478" a="1"/>
  <c r="GE39" i="2478" s="1"/>
  <c r="GE7" i="2478" s="1"/>
  <c r="AF39" i="2478" a="1"/>
  <c r="AF39" i="2478" s="1"/>
  <c r="AF7" i="2478" s="1"/>
  <c r="GF39" i="2478" a="1"/>
  <c r="GF39" i="2478" s="1"/>
  <c r="GF7" i="2478" s="1"/>
  <c r="AQ39" i="2478" a="1"/>
  <c r="AQ39" i="2478" s="1"/>
  <c r="AQ7" i="2478" s="1"/>
  <c r="GZ39" i="2478" a="1"/>
  <c r="GZ39" i="2478" s="1"/>
  <c r="GZ7" i="2478" s="1"/>
  <c r="FE39" i="2478" a="1"/>
  <c r="FE39" i="2478" s="1"/>
  <c r="FE7" i="2478" s="1"/>
  <c r="BJ39" i="2478" a="1"/>
  <c r="BJ39" i="2478" s="1"/>
  <c r="BJ7" i="2478" s="1"/>
  <c r="EC39" i="2478" a="1"/>
  <c r="EC39" i="2478" s="1"/>
  <c r="EC7" i="2478" s="1"/>
  <c r="AS39" i="2478" a="1"/>
  <c r="AS39" i="2478" s="1"/>
  <c r="AS7" i="2478" s="1"/>
  <c r="HV39" i="2478" a="1"/>
  <c r="HV39" i="2478" s="1"/>
  <c r="HV7" i="2478" s="1"/>
  <c r="CZ39" i="2478" a="1"/>
  <c r="CZ39" i="2478" s="1"/>
  <c r="CZ7" i="2478" s="1"/>
  <c r="BX39" i="2478" a="1"/>
  <c r="BX39" i="2478" s="1"/>
  <c r="BX7" i="2478" s="1"/>
  <c r="GT39" i="2478" a="1"/>
  <c r="GT39" i="2478" s="1"/>
  <c r="GT7" i="2478" s="1"/>
  <c r="GX39" i="2478" a="1"/>
  <c r="GX39" i="2478" s="1"/>
  <c r="GX7" i="2478" s="1"/>
  <c r="HC39" i="2478" a="1"/>
  <c r="HC39" i="2478" s="1"/>
  <c r="HC7" i="2478" s="1"/>
  <c r="CX39" i="2478" a="1"/>
  <c r="CX39" i="2478" s="1"/>
  <c r="CX7" i="2478" s="1"/>
  <c r="EP39" i="2478" a="1"/>
  <c r="EP39" i="2478" s="1"/>
  <c r="EP7" i="2478" s="1"/>
  <c r="CJ39" i="2478" a="1"/>
  <c r="CJ39" i="2478" s="1"/>
  <c r="CJ7" i="2478" s="1"/>
  <c r="HP39" i="2478" a="1"/>
  <c r="HP39" i="2478" s="1"/>
  <c r="HP7" i="2478" s="1"/>
  <c r="CB39" i="2478" a="1"/>
  <c r="CB39" i="2478" s="1"/>
  <c r="AO39" i="2478" a="1"/>
  <c r="AO39" i="2478" s="1"/>
  <c r="GM39" i="2478" a="1"/>
  <c r="GM39" i="2478" s="1"/>
  <c r="GM7" i="2478" s="1"/>
  <c r="AP39" i="2478" a="1"/>
  <c r="AP39" i="2478" s="1"/>
  <c r="AP7" i="2478" s="1"/>
  <c r="GO39" i="2478" a="1"/>
  <c r="GO39" i="2478" s="1"/>
  <c r="BT39" i="2478" a="1"/>
  <c r="BT39" i="2478" s="1"/>
  <c r="BT7" i="2478" s="1"/>
  <c r="HS39" i="2478" a="1"/>
  <c r="HS39" i="2478" s="1"/>
  <c r="HS7" i="2478" s="1"/>
  <c r="FM39" i="2478" a="1"/>
  <c r="FM39" i="2478" s="1"/>
  <c r="FM7" i="2478" s="1"/>
  <c r="JE39" i="2478" a="1"/>
  <c r="JE39" i="2478" s="1"/>
  <c r="EV39" i="2478" a="1"/>
  <c r="EV39" i="2478" s="1"/>
  <c r="EV7" i="2478" s="1"/>
  <c r="BL39" i="2478" a="1"/>
  <c r="BL39" i="2478" s="1"/>
  <c r="BL7" i="2478" s="1"/>
  <c r="IO39" i="2478" a="1"/>
  <c r="IO39" i="2478" s="1"/>
  <c r="DK39" i="2478" a="1"/>
  <c r="DK39" i="2478" s="1"/>
  <c r="DK7" i="2478" s="1"/>
  <c r="CH39" i="2478" a="1"/>
  <c r="CH39" i="2478" s="1"/>
  <c r="CH7" i="2478" s="1"/>
  <c r="HE39" i="2478" a="1"/>
  <c r="HE39" i="2478" s="1"/>
  <c r="HE7" i="2478" s="1"/>
  <c r="GC39" i="2478" a="1"/>
  <c r="GC39" i="2478" s="1"/>
  <c r="GC7" i="2478" s="1"/>
  <c r="CT39" i="2478" a="1"/>
  <c r="CT39" i="2478" s="1"/>
  <c r="CT7" i="2478" s="1"/>
  <c r="HZ39" i="2478" a="1"/>
  <c r="HZ39" i="2478" s="1"/>
  <c r="HZ7" i="2478" s="1"/>
  <c r="CK39" i="2478" a="1"/>
  <c r="CK39" i="2478" s="1"/>
  <c r="CK7" i="2478" s="1"/>
  <c r="BR39" i="2478" a="1"/>
  <c r="BR39" i="2478" s="1"/>
  <c r="BR7" i="2478" s="1"/>
  <c r="AZ39" i="2478" a="1"/>
  <c r="AZ39" i="2478" s="1"/>
  <c r="AZ7" i="2478" s="1"/>
  <c r="E39" i="2478" a="1"/>
  <c r="E39" i="2478" s="1"/>
  <c r="E7" i="2478" s="1"/>
  <c r="HM39" i="2478" a="1"/>
  <c r="HM39" i="2478" s="1"/>
  <c r="HM7" i="2478" s="1"/>
  <c r="GS39" i="2478" a="1"/>
  <c r="GS39" i="2478" s="1"/>
  <c r="GS7" i="2478" s="1"/>
  <c r="GK39" i="2478" a="1"/>
  <c r="GK39" i="2478" s="1"/>
  <c r="GK7" i="2478" s="1"/>
  <c r="DE39" i="2478" a="1"/>
  <c r="DE39" i="2478" s="1"/>
  <c r="DE7" i="2478" s="1"/>
  <c r="IJ39" i="2478" a="1"/>
  <c r="IJ39" i="2478" s="1"/>
  <c r="IJ7" i="2478" s="1"/>
  <c r="CU39" i="2478" a="1"/>
  <c r="CU39" i="2478" s="1"/>
  <c r="CU7" i="2478" s="1"/>
  <c r="CL39" i="2478" a="1"/>
  <c r="CL39" i="2478" s="1"/>
  <c r="CL7" i="2478" s="1"/>
  <c r="HQ39" i="2478" a="1"/>
  <c r="HQ39" i="2478" s="1"/>
  <c r="HQ7" i="2478" s="1"/>
  <c r="BI39" i="2478" a="1"/>
  <c r="BI39" i="2478" s="1"/>
  <c r="BI7" i="2478" s="1"/>
  <c r="HI39" i="2478" a="1"/>
  <c r="HI39" i="2478" s="1"/>
  <c r="HI7" i="2478" s="1"/>
  <c r="CM39" i="2478" a="1"/>
  <c r="CM39" i="2478" s="1"/>
  <c r="CM7" i="2478" s="1"/>
  <c r="IV39" i="2478" a="1"/>
  <c r="IV39" i="2478" s="1"/>
  <c r="GH39" i="2478" a="1"/>
  <c r="GH39" i="2478" s="1"/>
  <c r="GH7" i="2478" s="1"/>
  <c r="O39" i="2478" a="1"/>
  <c r="O39" i="2478" s="1"/>
  <c r="HK39" i="2478" a="1"/>
  <c r="HK39" i="2478" s="1"/>
  <c r="HK7" i="2478" s="1"/>
  <c r="DJ39" i="2478" a="1"/>
  <c r="DJ39" i="2478" s="1"/>
  <c r="DJ7" i="2478" s="1"/>
  <c r="JX39" i="2478" a="1"/>
  <c r="JX39" i="2478" s="1"/>
  <c r="JX7" i="2478" s="1"/>
  <c r="FG39" i="2478" a="1"/>
  <c r="FG39" i="2478" s="1"/>
  <c r="FG7" i="2478" s="1"/>
  <c r="DB39" i="2478" a="1"/>
  <c r="DB39" i="2478" s="1"/>
  <c r="HW39" i="2478" a="1"/>
  <c r="HW39" i="2478" s="1"/>
  <c r="HW7" i="2478" s="1"/>
  <c r="JL39" i="2478" a="1"/>
  <c r="JL39" i="2478" s="1"/>
  <c r="JL7" i="2478" s="1"/>
  <c r="JT39" i="2478" a="1"/>
  <c r="JT39" i="2478" s="1"/>
  <c r="JT7" i="2478" s="1"/>
  <c r="BK39" i="2478" a="1"/>
  <c r="BK39" i="2478" s="1"/>
  <c r="BK7" i="2478" s="1"/>
  <c r="GV39" i="2478" a="1"/>
  <c r="GV39" i="2478" s="1"/>
  <c r="GV7" i="2478" s="1"/>
  <c r="DM39" i="2478" a="1"/>
  <c r="DM39" i="2478" s="1"/>
  <c r="DM7" i="2478" s="1"/>
  <c r="IS39" i="2478" a="1"/>
  <c r="IS39" i="2478" s="1"/>
  <c r="DX39" i="2478" a="1"/>
  <c r="DX39" i="2478" s="1"/>
  <c r="DF39" i="2478" a="1"/>
  <c r="DF39" i="2478" s="1"/>
  <c r="DF7" i="2478" s="1"/>
  <c r="IK39" i="2478" a="1"/>
  <c r="IK39" i="2478" s="1"/>
  <c r="IK7" i="2478" s="1"/>
  <c r="BS39" i="2478" a="1"/>
  <c r="BS39" i="2478" s="1"/>
  <c r="BS7" i="2478" s="1"/>
  <c r="HR39" i="2478" a="1"/>
  <c r="HR39" i="2478" s="1"/>
  <c r="HR7" i="2478" s="1"/>
  <c r="CW39" i="2478" a="1"/>
  <c r="CW39" i="2478" s="1"/>
  <c r="CW7" i="2478" s="1"/>
  <c r="BU39" i="2478" a="1"/>
  <c r="BU39" i="2478" s="1"/>
  <c r="BU7" i="2478" s="1"/>
  <c r="GQ39" i="2478" a="1"/>
  <c r="GQ39" i="2478" s="1"/>
  <c r="GQ7" i="2478" s="1"/>
  <c r="AR39" i="2478" a="1"/>
  <c r="AR39" i="2478" s="1"/>
  <c r="AR7" i="2478" s="1"/>
  <c r="HU39" i="2478" a="1"/>
  <c r="HU39" i="2478" s="1"/>
  <c r="HU7" i="2478" s="1"/>
  <c r="DT39" i="2478" a="1"/>
  <c r="DT39" i="2478" s="1"/>
  <c r="Q39" i="2478" a="1"/>
  <c r="Q39" i="2478" s="1"/>
  <c r="Q7" i="2478" s="1"/>
  <c r="FP39" i="2478" a="1"/>
  <c r="FP39" i="2478" s="1"/>
  <c r="FP7" i="2478" s="1"/>
  <c r="DU39" i="2478" a="1"/>
  <c r="DU39" i="2478" s="1"/>
  <c r="IH39" i="2478" a="1"/>
  <c r="IH39" i="2478" s="1"/>
  <c r="IH7" i="2478" s="1"/>
  <c r="EQ39" i="2478" a="1"/>
  <c r="EQ39" i="2478" s="1"/>
  <c r="EQ7" i="2478" s="1"/>
  <c r="DY39" i="2478" a="1"/>
  <c r="DY39" i="2478" s="1"/>
  <c r="ET39" i="2478" a="1"/>
  <c r="ET39" i="2478" s="1"/>
  <c r="ET7" i="2478" s="1"/>
  <c r="HG39" i="2478" a="1"/>
  <c r="HG39" i="2478" s="1"/>
  <c r="HG7" i="2478" s="1"/>
  <c r="EG39" i="2478" a="1"/>
  <c r="EG39" i="2478" s="1"/>
  <c r="EG7" i="2478" s="1"/>
  <c r="JR39" i="2478" a="1"/>
  <c r="JR39" i="2478" s="1"/>
  <c r="JR7" i="2478" s="1"/>
  <c r="EH39" i="2478" a="1"/>
  <c r="EH39" i="2478" s="1"/>
  <c r="EH7" i="2478" s="1"/>
  <c r="DO39" i="2478" a="1"/>
  <c r="DO39" i="2478" s="1"/>
  <c r="IU39" i="2478" a="1"/>
  <c r="IU39" i="2478" s="1"/>
  <c r="CC39" i="2478" a="1"/>
  <c r="CC39" i="2478" s="1"/>
  <c r="CC7" i="2478" s="1"/>
  <c r="IC39" i="2478" a="1"/>
  <c r="IC39" i="2478" s="1"/>
  <c r="IC7" i="2478" s="1"/>
  <c r="DQ39" i="2478" a="1"/>
  <c r="DQ39" i="2478" s="1"/>
  <c r="CE39" i="2478" a="1"/>
  <c r="CE39" i="2478" s="1"/>
  <c r="CE7" i="2478" s="1"/>
  <c r="HB39" i="2478" a="1"/>
  <c r="HB39" i="2478" s="1"/>
  <c r="BC39" i="2478" a="1"/>
  <c r="BC39" i="2478" s="1"/>
  <c r="BC7" i="2478" s="1"/>
  <c r="IF39" i="2478" a="1"/>
  <c r="IF39" i="2478" s="1"/>
  <c r="IF7" i="2478" s="1"/>
  <c r="ED39" i="2478" a="1"/>
  <c r="ED39" i="2478" s="1"/>
  <c r="ED7" i="2478" s="1"/>
  <c r="Z39" i="2478" a="1"/>
  <c r="Z39" i="2478" s="1"/>
  <c r="Z7" i="2478" s="1"/>
  <c r="FZ39" i="2478" a="1"/>
  <c r="FZ39" i="2478" s="1"/>
  <c r="FZ7" i="2478" s="1"/>
  <c r="EE39" i="2478" a="1"/>
  <c r="EE39" i="2478" s="1"/>
  <c r="EE7" i="2478" s="1"/>
  <c r="IP39" i="2478" a="1"/>
  <c r="IP39" i="2478" s="1"/>
  <c r="HO39" i="2478" a="1"/>
  <c r="HO39" i="2478" s="1"/>
  <c r="ER39" i="2478" a="1"/>
  <c r="ER39" i="2478" s="1"/>
  <c r="ER7" i="2478" s="1"/>
  <c r="IL39" i="2478" a="1"/>
  <c r="IL39" i="2478" s="1"/>
  <c r="IL7" i="2478" s="1"/>
  <c r="EM39" i="2478" a="1"/>
  <c r="EM39" i="2478" s="1"/>
  <c r="EM7" i="2478" s="1"/>
  <c r="EP40" i="2478" a="1"/>
  <c r="EP40" i="2478" s="1"/>
  <c r="BS41" i="2478" a="1"/>
  <c r="BS41" i="2478" s="1"/>
  <c r="FE41" i="2478" a="1"/>
  <c r="FE41" i="2478" s="1"/>
  <c r="Q41" i="2478" a="1"/>
  <c r="Q41" i="2478" s="1"/>
  <c r="B40" i="2478" a="1"/>
  <c r="B40" i="2478" s="1"/>
  <c r="GX40" i="2478" a="1"/>
  <c r="GX40" i="2478" s="1"/>
  <c r="FB40" i="2478" a="1"/>
  <c r="FB40" i="2478" s="1"/>
  <c r="HY40" i="2478" a="1"/>
  <c r="HY40" i="2478" s="1"/>
  <c r="HD40" i="2478" a="1"/>
  <c r="HD40" i="2478" s="1"/>
  <c r="HS40" i="2478" a="1"/>
  <c r="HS40" i="2478" s="1"/>
  <c r="BD40" i="2478" a="1"/>
  <c r="BD40" i="2478" s="1"/>
  <c r="HO41" i="2478" a="1"/>
  <c r="HO41" i="2478" s="1"/>
  <c r="HQ41" i="2478" a="1"/>
  <c r="HQ41" i="2478" s="1"/>
  <c r="IP41" i="2478" a="1"/>
  <c r="IP41" i="2478" s="1"/>
  <c r="IH41" i="2478" a="1"/>
  <c r="IH41" i="2478" s="1"/>
  <c r="HL40" i="2478" a="1"/>
  <c r="HL40" i="2478" s="1"/>
  <c r="HO40" i="2478" a="1"/>
  <c r="HO40" i="2478" s="1"/>
  <c r="ID40" i="2478" a="1"/>
  <c r="ID40" i="2478" s="1"/>
  <c r="IG40" i="2478" a="1"/>
  <c r="IG40" i="2478" s="1"/>
  <c r="CL41" i="2478" a="1"/>
  <c r="CL41" i="2478" s="1"/>
  <c r="EB41" i="2478" a="1"/>
  <c r="EB41" i="2478" s="1"/>
  <c r="EE41" i="2478" a="1"/>
  <c r="EE41" i="2478" s="1"/>
  <c r="HM41" i="2478" a="1"/>
  <c r="HM41" i="2478" s="1"/>
  <c r="JS41" i="2478" a="1"/>
  <c r="JS41" i="2478" s="1"/>
  <c r="JJ41" i="2478" a="1"/>
  <c r="JJ41" i="2478" s="1"/>
  <c r="FZ40" i="2478" a="1"/>
  <c r="FZ40" i="2478" s="1"/>
  <c r="ES40" i="2478" a="1"/>
  <c r="ES40" i="2478" s="1"/>
  <c r="DX40" i="2478" a="1"/>
  <c r="DX40" i="2478" s="1"/>
  <c r="EM40" i="2478" a="1"/>
  <c r="EM40" i="2478" s="1"/>
  <c r="AQ40" i="2478" a="1"/>
  <c r="AQ40" i="2478" s="1"/>
  <c r="JH40" i="2478" a="1"/>
  <c r="JH40" i="2478" s="1"/>
  <c r="JK40" i="2478" a="1"/>
  <c r="JK40" i="2478" s="1"/>
  <c r="M41" i="2478" a="1"/>
  <c r="M41" i="2478" s="1"/>
  <c r="P41" i="2478" a="1"/>
  <c r="P41" i="2478" s="1"/>
  <c r="JR41" i="2478" a="1"/>
  <c r="JR41" i="2478" s="1"/>
  <c r="JU41" i="2478" a="1"/>
  <c r="JU41" i="2478" s="1"/>
  <c r="J40" i="2478" a="1"/>
  <c r="J40" i="2478" s="1"/>
  <c r="M40" i="2478" a="1"/>
  <c r="M40" i="2478" s="1"/>
  <c r="D40" i="2478" a="1"/>
  <c r="D40" i="2478" s="1"/>
  <c r="G40" i="2478" a="1"/>
  <c r="G40" i="2478" s="1"/>
  <c r="V40" i="2478" a="1"/>
  <c r="V40" i="2478" s="1"/>
  <c r="Y40" i="2478" a="1"/>
  <c r="Y40" i="2478" s="1"/>
  <c r="JQ40" i="2478" a="1"/>
  <c r="JQ40" i="2478" s="1"/>
  <c r="AF40" i="2478" a="1"/>
  <c r="AF40" i="2478" s="1"/>
  <c r="AU40" i="2478" a="1"/>
  <c r="AU40" i="2478" s="1"/>
  <c r="FR41" i="2478" a="1"/>
  <c r="FR41" i="2478" s="1"/>
  <c r="GG41" i="2478" a="1"/>
  <c r="GG41" i="2478" s="1"/>
  <c r="HH41" i="2478" a="1"/>
  <c r="HH41" i="2478" s="1"/>
  <c r="HK41" i="2478" a="1"/>
  <c r="HK41" i="2478" s="1"/>
  <c r="AW40" i="2478" a="1"/>
  <c r="AW40" i="2478" s="1"/>
  <c r="JD40" i="2478" a="1"/>
  <c r="JD40" i="2478" s="1"/>
  <c r="EL40" i="2478" a="1"/>
  <c r="EL40" i="2478" s="1"/>
  <c r="GM41" i="2478" a="1"/>
  <c r="GM41" i="2478" s="1"/>
  <c r="GZ41" i="2478" a="1"/>
  <c r="GZ41" i="2478" s="1"/>
  <c r="AC41" i="2478" a="1"/>
  <c r="AC41" i="2478" s="1"/>
  <c r="CZ41" i="2478" a="1"/>
  <c r="CZ41" i="2478" s="1"/>
  <c r="CE41" i="2478" a="1"/>
  <c r="CE41" i="2478" s="1"/>
  <c r="CT41" i="2478" a="1"/>
  <c r="CT41" i="2478" s="1"/>
  <c r="BU41" i="2478" a="1"/>
  <c r="BU41" i="2478" s="1"/>
  <c r="CW40" i="2478" a="1"/>
  <c r="CW40" i="2478" s="1"/>
  <c r="CB40" i="2478" a="1"/>
  <c r="CB40" i="2478" s="1"/>
  <c r="CQ40" i="2478" a="1"/>
  <c r="CQ40" i="2478" s="1"/>
  <c r="GB40" i="2478" a="1"/>
  <c r="GB40" i="2478" s="1"/>
  <c r="CM41" i="2478" a="1"/>
  <c r="CM41" i="2478" s="1"/>
  <c r="CP41" i="2478" a="1"/>
  <c r="CP41" i="2478" s="1"/>
  <c r="DE41" i="2478" a="1"/>
  <c r="DE41" i="2478" s="1"/>
  <c r="DH41" i="2478" a="1"/>
  <c r="DH41" i="2478" s="1"/>
  <c r="HY41" i="2478" a="1"/>
  <c r="HY41" i="2478" s="1"/>
  <c r="JH41" i="2478" a="1"/>
  <c r="JH41" i="2478" s="1"/>
  <c r="JK41" i="2478" a="1"/>
  <c r="JK41" i="2478" s="1"/>
  <c r="JM41" i="2478" a="1"/>
  <c r="JM41" i="2478" s="1"/>
  <c r="CI40" i="2478" a="1"/>
  <c r="CI40" i="2478" s="1"/>
  <c r="CX40" i="2478" a="1"/>
  <c r="CX40" i="2478" s="1"/>
  <c r="DY40" i="2478" a="1"/>
  <c r="DY40" i="2478" s="1"/>
  <c r="EB40" i="2478" a="1"/>
  <c r="EB40" i="2478" s="1"/>
  <c r="HJ40" i="2478" a="1"/>
  <c r="HJ40" i="2478" s="1"/>
  <c r="T41" i="2478" a="1"/>
  <c r="T41" i="2478" s="1"/>
  <c r="JL40" i="2478" a="1"/>
  <c r="JL40" i="2478" s="1"/>
  <c r="HS41" i="2478" a="1"/>
  <c r="HS41" i="2478" s="1"/>
  <c r="EI41" i="2478" a="1"/>
  <c r="EI41" i="2478" s="1"/>
  <c r="EL41" i="2478" a="1"/>
  <c r="EL41" i="2478" s="1"/>
  <c r="FD41" i="2478" a="1"/>
  <c r="FD41" i="2478" s="1"/>
  <c r="EF40" i="2478" a="1"/>
  <c r="EF40" i="2478" s="1"/>
  <c r="EI40" i="2478" a="1"/>
  <c r="EI40" i="2478" s="1"/>
  <c r="EX40" i="2478" a="1"/>
  <c r="EX40" i="2478" s="1"/>
  <c r="ER40" i="2478" a="1"/>
  <c r="ER40" i="2478" s="1"/>
  <c r="EU40" i="2478" a="1"/>
  <c r="EU40" i="2478" s="1"/>
  <c r="FJ40" i="2478" a="1"/>
  <c r="FJ40" i="2478" s="1"/>
  <c r="FM40" i="2478" a="1"/>
  <c r="FM40" i="2478" s="1"/>
  <c r="DR40" i="2478" a="1"/>
  <c r="DR40" i="2478" s="1"/>
  <c r="GO40" i="2478" a="1"/>
  <c r="GO40" i="2478" s="1"/>
  <c r="FT40" i="2478" a="1"/>
  <c r="FT40" i="2478" s="1"/>
  <c r="GI40" i="2478" a="1"/>
  <c r="GI40" i="2478" s="1"/>
  <c r="BC41" i="2478" a="1"/>
  <c r="BC41" i="2478" s="1"/>
  <c r="AB40" i="2478" a="1"/>
  <c r="AB40" i="2478" s="1"/>
  <c r="AE40" i="2478" a="1"/>
  <c r="AE40" i="2478" s="1"/>
  <c r="AT40" i="2478" a="1"/>
  <c r="AT40" i="2478" s="1"/>
  <c r="GW41" i="2478" a="1"/>
  <c r="GW41" i="2478" s="1"/>
  <c r="DT40" i="2478" a="1"/>
  <c r="DT40" i="2478" s="1"/>
  <c r="JQ41" i="2478" a="1"/>
  <c r="JQ41" i="2478" s="1"/>
  <c r="GW40" i="2478" a="1"/>
  <c r="GW40" i="2478" s="1"/>
  <c r="FQ41" i="2478" a="1"/>
  <c r="FQ41" i="2478" s="1"/>
  <c r="IL41" i="2478" a="1"/>
  <c r="IL41" i="2478" s="1"/>
  <c r="HR41" i="2478" a="1"/>
  <c r="HR41" i="2478" s="1"/>
  <c r="IF41" i="2478" a="1"/>
  <c r="IF41" i="2478" s="1"/>
  <c r="HL41" i="2478" a="1"/>
  <c r="HL41" i="2478" s="1"/>
  <c r="IK40" i="2478" a="1"/>
  <c r="IK40" i="2478" s="1"/>
  <c r="HP40" i="2478" a="1"/>
  <c r="HP40" i="2478" s="1"/>
  <c r="IE40" i="2478" a="1"/>
  <c r="IE40" i="2478" s="1"/>
  <c r="GE40" i="2478" a="1"/>
  <c r="GE40" i="2478" s="1"/>
  <c r="HZ41" i="2478" a="1"/>
  <c r="HZ41" i="2478" s="1"/>
  <c r="IC41" i="2478" a="1"/>
  <c r="IC41" i="2478" s="1"/>
  <c r="JR40" i="2478" a="1"/>
  <c r="JR40" i="2478" s="1"/>
  <c r="IS41" i="2478" a="1"/>
  <c r="IS41" i="2478" s="1"/>
  <c r="CJ40" i="2478" a="1"/>
  <c r="CJ40" i="2478" s="1"/>
  <c r="CM40" i="2478" a="1"/>
  <c r="CM40" i="2478" s="1"/>
  <c r="DB40" i="2478" a="1"/>
  <c r="DB40" i="2478" s="1"/>
  <c r="DE40" i="2478" a="1"/>
  <c r="DE40" i="2478" s="1"/>
  <c r="HW40" i="2478" a="1"/>
  <c r="HW40" i="2478" s="1"/>
  <c r="IL40" i="2478" a="1"/>
  <c r="IL40" i="2478" s="1"/>
  <c r="JM40" i="2478" a="1"/>
  <c r="JM40" i="2478" s="1"/>
  <c r="C41" i="2478" a="1"/>
  <c r="C41" i="2478" s="1"/>
  <c r="CK41" i="2478" a="1"/>
  <c r="CK41" i="2478" s="1"/>
  <c r="FH41" i="2478" a="1"/>
  <c r="FH41" i="2478" s="1"/>
  <c r="EM41" i="2478" a="1"/>
  <c r="EM41" i="2478" s="1"/>
  <c r="FB41" i="2478" a="1"/>
  <c r="FB41" i="2478" s="1"/>
  <c r="CI41" i="2478" a="1"/>
  <c r="CI41" i="2478" s="1"/>
  <c r="JT40" i="2478" a="1"/>
  <c r="JT40" i="2478" s="1"/>
  <c r="JW40" i="2478" a="1"/>
  <c r="JW40" i="2478" s="1"/>
  <c r="K40" i="2478" a="1"/>
  <c r="K40" i="2478" s="1"/>
  <c r="FO40" i="2478" a="1"/>
  <c r="FO40" i="2478" s="1"/>
  <c r="G41" i="2478" a="1"/>
  <c r="G41" i="2478" s="1"/>
  <c r="J41" i="2478" a="1"/>
  <c r="J41" i="2478" s="1"/>
  <c r="Y41" i="2478" a="1"/>
  <c r="Y41" i="2478" s="1"/>
  <c r="AB41" i="2478" a="1"/>
  <c r="AB41" i="2478" s="1"/>
  <c r="S41" i="2478" a="1"/>
  <c r="S41" i="2478" s="1"/>
  <c r="V41" i="2478" a="1"/>
  <c r="V41" i="2478" s="1"/>
  <c r="AK41" i="2478" a="1"/>
  <c r="AK41" i="2478" s="1"/>
  <c r="JF40" i="2478" a="1"/>
  <c r="JF40" i="2478" s="1"/>
  <c r="BP41" i="2478" a="1"/>
  <c r="BP41" i="2478" s="1"/>
  <c r="AU41" i="2478" a="1"/>
  <c r="AU41" i="2478" s="1"/>
  <c r="BJ41" i="2478" a="1"/>
  <c r="BJ41" i="2478" s="1"/>
  <c r="GS41" i="2478" a="1"/>
  <c r="GS41" i="2478" s="1"/>
  <c r="FP40" i="2478" a="1"/>
  <c r="FP40" i="2478" s="1"/>
  <c r="FS40" i="2478" a="1"/>
  <c r="FS40" i="2478" s="1"/>
  <c r="GH40" i="2478" a="1"/>
  <c r="GH40" i="2478" s="1"/>
  <c r="GK40" i="2478" a="1"/>
  <c r="GK40" i="2478" s="1"/>
  <c r="EV41" i="2478" a="1"/>
  <c r="EV41" i="2478" s="1"/>
  <c r="EO40" i="2478" a="1"/>
  <c r="EO40" i="2478" s="1"/>
  <c r="GK41" i="2478" a="1"/>
  <c r="GK41" i="2478" s="1"/>
  <c r="AM40" i="2478" a="1"/>
  <c r="AM40" i="2478" s="1"/>
  <c r="BB40" i="2478" a="1"/>
  <c r="BB40" i="2478" s="1"/>
  <c r="CC40" i="2478" a="1"/>
  <c r="CC40" i="2478" s="1"/>
  <c r="CF40" i="2478" a="1"/>
  <c r="CF40" i="2478" s="1"/>
  <c r="AO41" i="2478" a="1"/>
  <c r="AO41" i="2478" s="1"/>
  <c r="DL41" i="2478" a="1"/>
  <c r="DL41" i="2478" s="1"/>
  <c r="CQ41" i="2478" a="1"/>
  <c r="CQ41" i="2478" s="1"/>
  <c r="DF41" i="2478" a="1"/>
  <c r="DF41" i="2478" s="1"/>
  <c r="HI41" i="2478" a="1"/>
  <c r="HI41" i="2478" s="1"/>
  <c r="DI40" i="2478" a="1"/>
  <c r="DI40" i="2478" s="1"/>
  <c r="DC40" i="2478" a="1"/>
  <c r="DC40" i="2478" s="1"/>
  <c r="HX40" i="2478" a="1"/>
  <c r="HX40" i="2478" s="1"/>
  <c r="IP40" i="2478" a="1"/>
  <c r="IP40" i="2478" s="1"/>
  <c r="IS40" i="2478" a="1"/>
  <c r="IS40" i="2478" s="1"/>
  <c r="CX41" i="2478" a="1"/>
  <c r="CX41" i="2478" s="1"/>
  <c r="DM41" i="2478" a="1"/>
  <c r="DM41" i="2478" s="1"/>
  <c r="EQ41" i="2478" a="1"/>
  <c r="EQ41" i="2478" s="1"/>
  <c r="HX41" i="2478" a="1"/>
  <c r="HX41" i="2478" s="1"/>
  <c r="AC40" i="2478" a="1"/>
  <c r="AC40" i="2478" s="1"/>
  <c r="JV41" i="2478" a="1"/>
  <c r="JV41" i="2478" s="1"/>
  <c r="JZ41" i="2478" a="1"/>
  <c r="JZ41" i="2478" s="1"/>
  <c r="AX40" i="2478" a="1"/>
  <c r="AX40" i="2478" s="1"/>
  <c r="FE40" i="2478" a="1"/>
  <c r="FE40" i="2478" s="1"/>
  <c r="EJ40" i="2478" a="1"/>
  <c r="EJ40" i="2478" s="1"/>
  <c r="EY40" i="2478" a="1"/>
  <c r="EY40" i="2478" s="1"/>
  <c r="AP40" i="2478" a="1"/>
  <c r="AP40" i="2478" s="1"/>
  <c r="EU41" i="2478" a="1"/>
  <c r="EU41" i="2478" s="1"/>
  <c r="EX41" i="2478" a="1"/>
  <c r="EX41" i="2478" s="1"/>
  <c r="FM41" i="2478" a="1"/>
  <c r="FM41" i="2478" s="1"/>
  <c r="FP41" i="2478" a="1"/>
  <c r="FP41" i="2478" s="1"/>
  <c r="FG41" i="2478" a="1"/>
  <c r="FG41" i="2478" s="1"/>
  <c r="FJ41" i="2478" a="1"/>
  <c r="FJ41" i="2478" s="1"/>
  <c r="FY41" i="2478" a="1"/>
  <c r="FY41" i="2478" s="1"/>
  <c r="GB41" i="2478" a="1"/>
  <c r="GB41" i="2478" s="1"/>
  <c r="EG41" i="2478" a="1"/>
  <c r="EG41" i="2478" s="1"/>
  <c r="HD41" i="2478" a="1"/>
  <c r="HD41" i="2478" s="1"/>
  <c r="GI41" i="2478" a="1"/>
  <c r="GI41" i="2478" s="1"/>
  <c r="GX41" i="2478" a="1"/>
  <c r="GX41" i="2478" s="1"/>
  <c r="BQ40" i="2478" a="1"/>
  <c r="BQ40" i="2478" s="1"/>
  <c r="AQ41" i="2478" a="1"/>
  <c r="AQ41" i="2478" s="1"/>
  <c r="AT41" i="2478" a="1"/>
  <c r="AT41" i="2478" s="1"/>
  <c r="BI41" i="2478" a="1"/>
  <c r="BI41" i="2478" s="1"/>
  <c r="BL41" i="2478" a="1"/>
  <c r="BL41" i="2478" s="1"/>
  <c r="JI41" i="2478" a="1"/>
  <c r="JI41" i="2478" s="1"/>
  <c r="FI41" i="2478" a="1"/>
  <c r="FI41" i="2478" s="1"/>
  <c r="BT41" i="2478" a="1"/>
  <c r="BT41" i="2478" s="1"/>
  <c r="GD41" i="2478" a="1"/>
  <c r="GD41" i="2478" s="1"/>
  <c r="GP40" i="2478" a="1"/>
  <c r="GP40" i="2478" s="1"/>
  <c r="HQ40" i="2478" a="1"/>
  <c r="HQ40" i="2478" s="1"/>
  <c r="HT40" i="2478" a="1"/>
  <c r="HT40" i="2478" s="1"/>
  <c r="GC41" i="2478" a="1"/>
  <c r="GC41" i="2478" s="1"/>
  <c r="IV41" i="2478" a="1"/>
  <c r="IV41" i="2478" s="1"/>
  <c r="ID41" i="2478" a="1"/>
  <c r="ID41" i="2478" s="1"/>
  <c r="IQ41" i="2478" a="1"/>
  <c r="IQ41" i="2478" s="1"/>
  <c r="BX41" i="2478" a="1"/>
  <c r="BX41" i="2478" s="1"/>
  <c r="IW40" i="2478" a="1"/>
  <c r="IW40" i="2478" s="1"/>
  <c r="IB40" i="2478" a="1"/>
  <c r="IB40" i="2478" s="1"/>
  <c r="IQ40" i="2478" a="1"/>
  <c r="IQ40" i="2478" s="1"/>
  <c r="GR40" i="2478" a="1"/>
  <c r="GR40" i="2478" s="1"/>
  <c r="CY41" i="2478" a="1"/>
  <c r="CY41" i="2478" s="1"/>
  <c r="DB41" i="2478" a="1"/>
  <c r="DB41" i="2478" s="1"/>
  <c r="DQ41" i="2478" a="1"/>
  <c r="DQ41" i="2478" s="1"/>
  <c r="DT41" i="2478" a="1"/>
  <c r="DT41" i="2478" s="1"/>
  <c r="IJ41" i="2478" a="1"/>
  <c r="IJ41" i="2478" s="1"/>
  <c r="JS40" i="2478" a="1"/>
  <c r="JS40" i="2478" s="1"/>
  <c r="JX40" i="2478" a="1"/>
  <c r="JX40" i="2478" s="1"/>
  <c r="JP40" i="2478" a="1"/>
  <c r="JP40" i="2478" s="1"/>
  <c r="CU40" i="2478" a="1"/>
  <c r="CU40" i="2478" s="1"/>
  <c r="DJ40" i="2478" a="1"/>
  <c r="DJ40" i="2478" s="1"/>
  <c r="EK40" i="2478" a="1"/>
  <c r="EK40" i="2478" s="1"/>
  <c r="HV40" i="2478" a="1"/>
  <c r="HV40" i="2478" s="1"/>
  <c r="AF41" i="2478" a="1"/>
  <c r="AF41" i="2478" s="1"/>
  <c r="K41" i="2478" a="1"/>
  <c r="K41" i="2478" s="1"/>
  <c r="Z41" i="2478" a="1"/>
  <c r="Z41" i="2478" s="1"/>
  <c r="HG41" i="2478" a="1"/>
  <c r="HG41" i="2478" s="1"/>
  <c r="Q40" i="2478" a="1"/>
  <c r="Q40" i="2478" s="1"/>
  <c r="H40" i="2478" a="1"/>
  <c r="H40" i="2478" s="1"/>
  <c r="W40" i="2478" a="1"/>
  <c r="W40" i="2478" s="1"/>
  <c r="HG40" i="2478" a="1"/>
  <c r="HG40" i="2478" s="1"/>
  <c r="AO40" i="2478" a="1"/>
  <c r="AO40" i="2478" s="1"/>
  <c r="T40" i="2478" a="1"/>
  <c r="T40" i="2478" s="1"/>
  <c r="AI40" i="2478" a="1"/>
  <c r="AI40" i="2478" s="1"/>
  <c r="AP41" i="2478" a="1"/>
  <c r="AP41" i="2478" s="1"/>
  <c r="C40" i="2478" a="1"/>
  <c r="C40" i="2478" s="1"/>
  <c r="R40" i="2478" a="1"/>
  <c r="R40" i="2478" s="1"/>
  <c r="AS40" i="2478" a="1"/>
  <c r="AS40" i="2478" s="1"/>
  <c r="AV40" i="2478" a="1"/>
  <c r="AV40" i="2478" s="1"/>
  <c r="IH40" i="2478" a="1"/>
  <c r="IH40" i="2478" s="1"/>
  <c r="GE41" i="2478" a="1"/>
  <c r="GE41" i="2478" s="1"/>
  <c r="GH41" i="2478" a="1"/>
  <c r="GH41" i="2478" s="1"/>
  <c r="BY41" i="2478" a="1"/>
  <c r="BY41" i="2478" s="1"/>
  <c r="BE41" i="2478" a="1"/>
  <c r="BE41" i="2478" s="1"/>
  <c r="BB41" i="2478" a="1"/>
  <c r="BB41" i="2478" s="1"/>
  <c r="BQ41" i="2478" a="1"/>
  <c r="BQ41" i="2478" s="1"/>
  <c r="CR41" i="2478" a="1"/>
  <c r="CR41" i="2478" s="1"/>
  <c r="CU41" i="2478" a="1"/>
  <c r="CU41" i="2478" s="1"/>
  <c r="AY40" i="2478" a="1"/>
  <c r="AY40" i="2478" s="1"/>
  <c r="CO40" i="2478" a="1"/>
  <c r="CO40" i="2478" s="1"/>
  <c r="CR40" i="2478" a="1"/>
  <c r="CR40" i="2478" s="1"/>
  <c r="DX41" i="2478" a="1"/>
  <c r="DX41" i="2478" s="1"/>
  <c r="DC41" i="2478" a="1"/>
  <c r="DC41" i="2478" s="1"/>
  <c r="DR41" i="2478" a="1"/>
  <c r="DR41" i="2478" s="1"/>
  <c r="BS40" i="2478" a="1"/>
  <c r="BS40" i="2478" s="1"/>
  <c r="IK41" i="2478" a="1"/>
  <c r="IK41" i="2478" s="1"/>
  <c r="IM41" i="2478" a="1"/>
  <c r="IM41" i="2478" s="1"/>
  <c r="JW41" i="2478" a="1"/>
  <c r="JW41" i="2478" s="1"/>
  <c r="JC41" i="2478" a="1"/>
  <c r="JC41" i="2478" s="1"/>
  <c r="CV40" i="2478" a="1"/>
  <c r="CV40" i="2478" s="1"/>
  <c r="CY40" i="2478" a="1"/>
  <c r="CY40" i="2478" s="1"/>
  <c r="DQ40" i="2478" a="1"/>
  <c r="DQ40" i="2478" s="1"/>
  <c r="II40" i="2478" a="1"/>
  <c r="II40" i="2478" s="1"/>
  <c r="IX40" i="2478" a="1"/>
  <c r="IX40" i="2478" s="1"/>
  <c r="L41" i="2478" a="1"/>
  <c r="L41" i="2478" s="1"/>
  <c r="O41" i="2478" a="1"/>
  <c r="O41" i="2478" s="1"/>
  <c r="CW41" i="2478" a="1"/>
  <c r="CW41" i="2478" s="1"/>
  <c r="FT41" i="2478" a="1"/>
  <c r="FT41" i="2478" s="1"/>
  <c r="EY41" i="2478" a="1"/>
  <c r="EY41" i="2478" s="1"/>
  <c r="CH41" i="2478" a="1"/>
  <c r="CH41" i="2478" s="1"/>
  <c r="FQ40" i="2478" a="1"/>
  <c r="FQ40" i="2478" s="1"/>
  <c r="EV40" i="2478" a="1"/>
  <c r="EV40" i="2478" s="1"/>
  <c r="FK40" i="2478" a="1"/>
  <c r="FK40" i="2478" s="1"/>
  <c r="Z40" i="2478" a="1"/>
  <c r="Z40" i="2478" s="1"/>
  <c r="GC40" i="2478" a="1"/>
  <c r="GC40" i="2478" s="1"/>
  <c r="FH40" i="2478" a="1"/>
  <c r="FH40" i="2478" s="1"/>
  <c r="FW40" i="2478" a="1"/>
  <c r="FW40" i="2478" s="1"/>
  <c r="GD40" i="2478" a="1"/>
  <c r="GD40" i="2478" s="1"/>
  <c r="EQ40" i="2478" a="1"/>
  <c r="EQ40" i="2478" s="1"/>
  <c r="FF40" i="2478" a="1"/>
  <c r="FF40" i="2478" s="1"/>
  <c r="GG40" i="2478" a="1"/>
  <c r="GG40" i="2478" s="1"/>
  <c r="GJ40" i="2478" a="1"/>
  <c r="GJ40" i="2478" s="1"/>
  <c r="JP41" i="2478" a="1"/>
  <c r="JP41" i="2478" s="1"/>
  <c r="BM40" i="2478" a="1"/>
  <c r="BM40" i="2478" s="1"/>
  <c r="AR40" i="2478" a="1"/>
  <c r="AR40" i="2478" s="1"/>
  <c r="BG40" i="2478" a="1"/>
  <c r="BG40" i="2478" s="1"/>
  <c r="AX41" i="2478" a="1"/>
  <c r="AX41" i="2478" s="1"/>
  <c r="R41" i="2478" a="1"/>
  <c r="R41" i="2478" s="1"/>
  <c r="BH41" i="2478" a="1"/>
  <c r="BH41" i="2478" s="1"/>
  <c r="ED40" i="2478" a="1"/>
  <c r="ED40" i="2478" s="1"/>
  <c r="GU40" i="2478" a="1"/>
  <c r="GU40" i="2478" s="1"/>
  <c r="BG41" i="2478" a="1"/>
  <c r="BG41" i="2478" s="1"/>
  <c r="HP41" i="2478" a="1"/>
  <c r="HP41" i="2478" s="1"/>
  <c r="BH40" i="2478" a="1"/>
  <c r="BH40" i="2478" s="1"/>
  <c r="CE40" i="2478" a="1"/>
  <c r="CE40" i="2478" s="1"/>
  <c r="DW40" i="2478" a="1"/>
  <c r="DW40" i="2478" s="1"/>
  <c r="FS41" i="2478" a="1"/>
  <c r="FS41" i="2478" s="1"/>
  <c r="CF41" i="2478" a="1"/>
  <c r="CF41" i="2478" s="1"/>
  <c r="GP41" i="2478" a="1"/>
  <c r="GP41" i="2478" s="1"/>
  <c r="HE41" i="2478" a="1"/>
  <c r="HE41" i="2478" s="1"/>
  <c r="IE41" i="2478" a="1"/>
  <c r="IE41" i="2478" s="1"/>
  <c r="IG41" i="2478" a="1"/>
  <c r="IG41" i="2478" s="1"/>
  <c r="GM40" i="2478" a="1"/>
  <c r="GM40" i="2478" s="1"/>
  <c r="HB40" i="2478" a="1"/>
  <c r="HB40" i="2478" s="1"/>
  <c r="IC40" i="2478" a="1"/>
  <c r="IC40" i="2478" s="1"/>
  <c r="IF40" i="2478" a="1"/>
  <c r="IF40" i="2478" s="1"/>
  <c r="GO41" i="2478" a="1"/>
  <c r="GO41" i="2478" s="1"/>
  <c r="JG41" i="2478" a="1"/>
  <c r="JG41" i="2478" s="1"/>
  <c r="DU40" i="2478" a="1"/>
  <c r="DU40" i="2478" s="1"/>
  <c r="CZ40" i="2478" a="1"/>
  <c r="CZ40" i="2478" s="1"/>
  <c r="DO40" i="2478" a="1"/>
  <c r="DO40" i="2478" s="1"/>
  <c r="GQ41" i="2478" a="1"/>
  <c r="GQ41" i="2478" s="1"/>
  <c r="IJ40" i="2478" a="1"/>
  <c r="IJ40" i="2478" s="1"/>
  <c r="IM40" i="2478" a="1"/>
  <c r="IM40" i="2478" s="1"/>
  <c r="JB40" i="2478" a="1"/>
  <c r="JB40" i="2478" s="1"/>
  <c r="JE40" i="2478" a="1"/>
  <c r="JE40" i="2478" s="1"/>
  <c r="DJ41" i="2478" a="1"/>
  <c r="DJ41" i="2478" s="1"/>
  <c r="DY41" i="2478" a="1"/>
  <c r="DY41" i="2478" s="1"/>
  <c r="EZ41" i="2478" a="1"/>
  <c r="EZ41" i="2478" s="1"/>
  <c r="FC41" i="2478" a="1"/>
  <c r="FC41" i="2478" s="1"/>
  <c r="II41" i="2478" a="1"/>
  <c r="II41" i="2478" s="1"/>
  <c r="JU40" i="2478" a="1"/>
  <c r="JU40" i="2478" s="1"/>
  <c r="I40" i="2478" a="1"/>
  <c r="I40" i="2478" s="1"/>
  <c r="L40" i="2478" a="1"/>
  <c r="L40" i="2478" s="1"/>
  <c r="AL40" i="2478" a="1"/>
  <c r="AL40" i="2478" s="1"/>
  <c r="AR41" i="2478" a="1"/>
  <c r="AR41" i="2478" s="1"/>
  <c r="W41" i="2478" a="1"/>
  <c r="W41" i="2478" s="1"/>
  <c r="AL41" i="2478" a="1"/>
  <c r="AL41" i="2478" s="1"/>
  <c r="CH40" i="2478" a="1"/>
  <c r="CH40" i="2478" s="1"/>
  <c r="BD41" i="2478" a="1"/>
  <c r="BD41" i="2478" s="1"/>
  <c r="AI41" i="2478" a="1"/>
  <c r="AI41" i="2478" s="1"/>
  <c r="HH40" i="2478" a="1"/>
  <c r="HH40" i="2478" s="1"/>
  <c r="AG41" i="2478" a="1"/>
  <c r="AG41" i="2478" s="1"/>
  <c r="BK41" i="2478" a="1"/>
  <c r="BK41" i="2478" s="1"/>
  <c r="GF40" i="2478" a="1"/>
  <c r="GF40" i="2478" s="1"/>
  <c r="E41" i="2478" a="1"/>
  <c r="E41" i="2478" s="1"/>
  <c r="BV41" i="2478" a="1"/>
  <c r="BV41" i="2478" s="1"/>
  <c r="BE40" i="2478" a="1"/>
  <c r="BE40" i="2478" s="1"/>
  <c r="CP40" i="2478" a="1"/>
  <c r="CP40" i="2478" s="1"/>
  <c r="EH41" i="2478" a="1"/>
  <c r="EH41" i="2478" s="1"/>
  <c r="HU41" i="2478" a="1"/>
  <c r="HU41" i="2478" s="1"/>
  <c r="AZ40" i="2478" a="1"/>
  <c r="AZ40" i="2478" s="1"/>
  <c r="BC40" i="2478" a="1"/>
  <c r="BC40" i="2478" s="1"/>
  <c r="BR40" i="2478" a="1"/>
  <c r="BR40" i="2478" s="1"/>
  <c r="BU40" i="2478" a="1"/>
  <c r="BU40" i="2478" s="1"/>
  <c r="CC41" i="2478" a="1"/>
  <c r="CC41" i="2478" s="1"/>
  <c r="DD41" i="2478" a="1"/>
  <c r="DD41" i="2478" s="1"/>
  <c r="DG41" i="2478" a="1"/>
  <c r="DG41" i="2478" s="1"/>
  <c r="BK40" i="2478" a="1"/>
  <c r="BK40" i="2478" s="1"/>
  <c r="BZ40" i="2478" a="1"/>
  <c r="BZ40" i="2478" s="1"/>
  <c r="DD40" i="2478" a="1"/>
  <c r="DD40" i="2478" s="1"/>
  <c r="GL40" i="2478" a="1"/>
  <c r="GL40" i="2478" s="1"/>
  <c r="JI40" i="2478" a="1"/>
  <c r="JI40" i="2478" s="1"/>
  <c r="JC40" i="2478" a="1"/>
  <c r="JC40" i="2478" s="1"/>
  <c r="GT41" i="2478" a="1"/>
  <c r="GT41" i="2478" s="1"/>
  <c r="DK41" i="2478" a="1"/>
  <c r="DK41" i="2478" s="1"/>
  <c r="EC41" i="2478" a="1"/>
  <c r="EC41" i="2478" s="1"/>
  <c r="EF41" i="2478" a="1"/>
  <c r="EF41" i="2478" s="1"/>
  <c r="IT41" i="2478" a="1"/>
  <c r="IT41" i="2478" s="1"/>
  <c r="E40" i="2478" a="1"/>
  <c r="E40" i="2478" s="1"/>
  <c r="JY40" i="2478" a="1"/>
  <c r="JY40" i="2478" s="1"/>
  <c r="JO41" i="2478" a="1"/>
  <c r="JO41" i="2478" s="1"/>
  <c r="DG40" i="2478" a="1"/>
  <c r="DG40" i="2478" s="1"/>
  <c r="DV40" i="2478" a="1"/>
  <c r="DV40" i="2478" s="1"/>
  <c r="EW40" i="2478" a="1"/>
  <c r="EW40" i="2478" s="1"/>
  <c r="EZ40" i="2478" a="1"/>
  <c r="EZ40" i="2478" s="1"/>
  <c r="CT40" i="2478" a="1"/>
  <c r="CT40" i="2478" s="1"/>
  <c r="GF41" i="2478" a="1"/>
  <c r="GF41" i="2478" s="1"/>
  <c r="FK41" i="2478" a="1"/>
  <c r="FK41" i="2478" s="1"/>
  <c r="FZ41" i="2478" a="1"/>
  <c r="FZ41" i="2478" s="1"/>
  <c r="DF40" i="2478" a="1"/>
  <c r="DF40" i="2478" s="1"/>
  <c r="GR41" i="2478" a="1"/>
  <c r="GR41" i="2478" s="1"/>
  <c r="FW41" i="2478" a="1"/>
  <c r="FW41" i="2478" s="1"/>
  <c r="GL41" i="2478" a="1"/>
  <c r="GL41" i="2478" s="1"/>
  <c r="FF41" i="2478" a="1"/>
  <c r="FF41" i="2478" s="1"/>
  <c r="FU41" i="2478" a="1"/>
  <c r="FU41" i="2478" s="1"/>
  <c r="GV41" i="2478" a="1"/>
  <c r="GV41" i="2478" s="1"/>
  <c r="GY41" i="2478" a="1"/>
  <c r="GY41" i="2478" s="1"/>
  <c r="CB41" i="2478" a="1"/>
  <c r="CB41" i="2478" s="1"/>
  <c r="GU41" i="2478" a="1"/>
  <c r="GU41" i="2478" s="1"/>
  <c r="GV40" i="2478" a="1"/>
  <c r="GV40" i="2478" s="1"/>
  <c r="CD41" i="2478" a="1"/>
  <c r="CD41" i="2478" s="1"/>
  <c r="HK40" i="2478" a="1"/>
  <c r="HK40" i="2478" s="1"/>
  <c r="JF41" i="2478" a="1"/>
  <c r="JF41" i="2478" s="1"/>
  <c r="AD41" i="2478" a="1"/>
  <c r="AD41" i="2478" s="1"/>
  <c r="BY40" i="2478" a="1"/>
  <c r="BY40" i="2478" s="1"/>
  <c r="GQ40" i="2478" a="1"/>
  <c r="GQ40" i="2478" s="1"/>
  <c r="HF40" i="2478" a="1"/>
  <c r="HF40" i="2478" s="1"/>
  <c r="HI40" i="2478" a="1"/>
  <c r="HI40" i="2478" s="1"/>
  <c r="HB41" i="2478" a="1"/>
  <c r="HB41" i="2478" s="1"/>
  <c r="IB41" i="2478" a="1"/>
  <c r="IB41" i="2478" s="1"/>
  <c r="IO41" i="2478" a="1"/>
  <c r="IO41" i="2478" s="1"/>
  <c r="IR41" i="2478" a="1"/>
  <c r="IR41" i="2478" s="1"/>
  <c r="GY40" i="2478" a="1"/>
  <c r="GY40" i="2478" s="1"/>
  <c r="IO40" i="2478" a="1"/>
  <c r="IO40" i="2478" s="1"/>
  <c r="IR40" i="2478" a="1"/>
  <c r="IR40" i="2478" s="1"/>
  <c r="BM41" i="2478" a="1"/>
  <c r="BM41" i="2478" s="1"/>
  <c r="EJ41" i="2478" a="1"/>
  <c r="EJ41" i="2478" s="1"/>
  <c r="DO41" i="2478" a="1"/>
  <c r="DO41" i="2478" s="1"/>
  <c r="ED41" i="2478" a="1"/>
  <c r="ED41" i="2478" s="1"/>
  <c r="GT40" i="2478" a="1"/>
  <c r="GT40" i="2478" s="1"/>
  <c r="IU41" i="2478" a="1"/>
  <c r="IU41" i="2478" s="1"/>
  <c r="IX41" i="2478" a="1"/>
  <c r="IX41" i="2478" s="1"/>
  <c r="JZ40" i="2478" a="1"/>
  <c r="JZ40" i="2478" s="1"/>
  <c r="DH40" i="2478" a="1"/>
  <c r="DH40" i="2478" s="1"/>
  <c r="DK40" i="2478" a="1"/>
  <c r="DK40" i="2478" s="1"/>
  <c r="DZ40" i="2478" a="1"/>
  <c r="DZ40" i="2478" s="1"/>
  <c r="EC40" i="2478" a="1"/>
  <c r="EC40" i="2478" s="1"/>
  <c r="IU40" i="2478" a="1"/>
  <c r="IU40" i="2478" s="1"/>
  <c r="JJ40" i="2478" a="1"/>
  <c r="JJ40" i="2478" s="1"/>
  <c r="X41" i="2478" a="1"/>
  <c r="X41" i="2478" s="1"/>
  <c r="JD41" i="2478" a="1"/>
  <c r="JD41" i="2478" s="1"/>
  <c r="JT41" i="2478" a="1"/>
  <c r="JT41" i="2478" s="1"/>
  <c r="U40" i="2478" a="1"/>
  <c r="U40" i="2478" s="1"/>
  <c r="X40" i="2478" a="1"/>
  <c r="X40" i="2478" s="1"/>
  <c r="DU41" i="2478" a="1"/>
  <c r="DU41" i="2478" s="1"/>
  <c r="F40" i="2478" a="1"/>
  <c r="F40" i="2478" s="1"/>
  <c r="AG40" i="2478" a="1"/>
  <c r="AG40" i="2478" s="1"/>
  <c r="AJ40" i="2478" a="1"/>
  <c r="AJ40" i="2478" s="1"/>
  <c r="BV40" i="2478" a="1"/>
  <c r="BV40" i="2478" s="1"/>
  <c r="P40" i="2478" a="1"/>
  <c r="P40" i="2478" s="1"/>
  <c r="S40" i="2478" a="1"/>
  <c r="S40" i="2478" s="1"/>
  <c r="AH40" i="2478" a="1"/>
  <c r="AH40" i="2478" s="1"/>
  <c r="AK40" i="2478" a="1"/>
  <c r="AK40" i="2478" s="1"/>
  <c r="ES41" i="2478" a="1"/>
  <c r="ES41" i="2478" s="1"/>
  <c r="HJ41" i="2478" a="1"/>
  <c r="HJ41" i="2478" s="1"/>
  <c r="HV41" i="2478" a="1"/>
  <c r="HV41" i="2478" s="1"/>
  <c r="CS41" i="2478" a="1"/>
  <c r="CS41" i="2478" s="1"/>
  <c r="HZ40" i="2478" a="1"/>
  <c r="HZ40" i="2478" s="1"/>
  <c r="JY41" i="2478" a="1"/>
  <c r="JY41" i="2478" s="1"/>
  <c r="ET41" i="2478" a="1"/>
  <c r="ET41" i="2478" s="1"/>
  <c r="AS41" i="2478" a="1"/>
  <c r="AS41" i="2478" s="1"/>
  <c r="BF41" i="2478" a="1"/>
  <c r="BF41" i="2478" s="1"/>
  <c r="BO41" i="2478" a="1"/>
  <c r="BO41" i="2478" s="1"/>
  <c r="BR41" i="2478" a="1"/>
  <c r="BR41" i="2478" s="1"/>
  <c r="CG41" i="2478" a="1"/>
  <c r="CG41" i="2478" s="1"/>
  <c r="CJ41" i="2478" a="1"/>
  <c r="CJ41" i="2478" s="1"/>
  <c r="BL40" i="2478" a="1"/>
  <c r="BL40" i="2478" s="1"/>
  <c r="BO40" i="2478" a="1"/>
  <c r="BO40" i="2478" s="1"/>
  <c r="CD40" i="2478" a="1"/>
  <c r="CD40" i="2478" s="1"/>
  <c r="CG40" i="2478" a="1"/>
  <c r="CG40" i="2478" s="1"/>
  <c r="BZ41" i="2478" a="1"/>
  <c r="BZ41" i="2478" s="1"/>
  <c r="CO41" i="2478" a="1"/>
  <c r="CO41" i="2478" s="1"/>
  <c r="DP41" i="2478" a="1"/>
  <c r="DP41" i="2478" s="1"/>
  <c r="DS41" i="2478" a="1"/>
  <c r="DS41" i="2478" s="1"/>
  <c r="JO40" i="2478" a="1"/>
  <c r="JO40" i="2478" s="1"/>
  <c r="IY41" i="2478" a="1"/>
  <c r="IY41" i="2478" s="1"/>
  <c r="JL41" i="2478" a="1"/>
  <c r="JL41" i="2478" s="1"/>
  <c r="BI40" i="2478" a="1"/>
  <c r="BI40" i="2478" s="1"/>
  <c r="EG40" i="2478" a="1"/>
  <c r="EG40" i="2478" s="1"/>
  <c r="DL40" i="2478" a="1"/>
  <c r="DL40" i="2478" s="1"/>
  <c r="IV40" i="2478" a="1"/>
  <c r="IV40" i="2478" s="1"/>
  <c r="IY40" i="2478" a="1"/>
  <c r="IY40" i="2478" s="1"/>
  <c r="D41" i="2478" a="1"/>
  <c r="D41" i="2478" s="1"/>
  <c r="DV41" i="2478" a="1"/>
  <c r="DV41" i="2478" s="1"/>
  <c r="EK41" i="2478" a="1"/>
  <c r="EK41" i="2478" s="1"/>
  <c r="FL41" i="2478" a="1"/>
  <c r="FL41" i="2478" s="1"/>
  <c r="FO41" i="2478" a="1"/>
  <c r="FO41" i="2478" s="1"/>
  <c r="DS40" i="2478" a="1"/>
  <c r="DS40" i="2478" s="1"/>
  <c r="EH40" i="2478" a="1"/>
  <c r="EH40" i="2478" s="1"/>
  <c r="FI40" i="2478" a="1"/>
  <c r="FI40" i="2478" s="1"/>
  <c r="FL40" i="2478" a="1"/>
  <c r="FL40" i="2478" s="1"/>
  <c r="EE40" i="2478" a="1"/>
  <c r="EE40" i="2478" s="1"/>
  <c r="ET40" i="2478" a="1"/>
  <c r="ET40" i="2478" s="1"/>
  <c r="FU40" i="2478" a="1"/>
  <c r="FU40" i="2478" s="1"/>
  <c r="FX40" i="2478" a="1"/>
  <c r="FX40" i="2478" s="1"/>
  <c r="DI41" i="2478" a="1"/>
  <c r="DI41" i="2478" s="1"/>
  <c r="FD40" i="2478" a="1"/>
  <c r="FD40" i="2478" s="1"/>
  <c r="FG40" i="2478" a="1"/>
  <c r="FG40" i="2478" s="1"/>
  <c r="FV40" i="2478" a="1"/>
  <c r="FV40" i="2478" s="1"/>
  <c r="FY40" i="2478" a="1"/>
  <c r="FY40" i="2478" s="1"/>
  <c r="O40" i="2478" a="1"/>
  <c r="O40" i="2478" s="1"/>
  <c r="AD40" i="2478" a="1"/>
  <c r="AD40" i="2478" s="1"/>
  <c r="HM40" i="2478" a="1"/>
  <c r="HM40" i="2478" s="1"/>
  <c r="EP41" i="2478" a="1"/>
  <c r="EP41" i="2478" s="1"/>
  <c r="FX41" i="2478" a="1"/>
  <c r="FX41" i="2478" s="1"/>
  <c r="BF40" i="2478" a="1"/>
  <c r="BF40" i="2478" s="1"/>
  <c r="HC41" i="2478" a="1"/>
  <c r="HC41" i="2478" s="1"/>
  <c r="HF41" i="2478" a="1"/>
  <c r="HF41" i="2478" s="1"/>
  <c r="HT41" i="2478" a="1"/>
  <c r="HT41" i="2478" s="1"/>
  <c r="HW41" i="2478" a="1"/>
  <c r="HW41" i="2478" s="1"/>
  <c r="GZ40" i="2478" a="1"/>
  <c r="GZ40" i="2478" s="1"/>
  <c r="HC40" i="2478" a="1"/>
  <c r="HC40" i="2478" s="1"/>
  <c r="HR40" i="2478" a="1"/>
  <c r="HR40" i="2478" s="1"/>
  <c r="HU40" i="2478" a="1"/>
  <c r="HU40" i="2478" s="1"/>
  <c r="IW41" i="2478" a="1"/>
  <c r="IW41" i="2478" s="1"/>
  <c r="IZ41" i="2478" a="1"/>
  <c r="IZ41" i="2478" s="1"/>
  <c r="JB41" i="2478" a="1"/>
  <c r="JB41" i="2478" s="1"/>
  <c r="BW40" i="2478" a="1"/>
  <c r="BW40" i="2478" s="1"/>
  <c r="CL40" i="2478" a="1"/>
  <c r="CL40" i="2478" s="1"/>
  <c r="DM40" i="2478" a="1"/>
  <c r="DM40" i="2478" s="1"/>
  <c r="DP40" i="2478" a="1"/>
  <c r="DP40" i="2478" s="1"/>
  <c r="BJ40" i="2478" a="1"/>
  <c r="BJ40" i="2478" s="1"/>
  <c r="H41" i="2478" a="1"/>
  <c r="H41" i="2478" s="1"/>
  <c r="IZ40" i="2478" a="1"/>
  <c r="IZ40" i="2478" s="1"/>
  <c r="B41" i="2478" a="1"/>
  <c r="B41" i="2478" s="1"/>
  <c r="HE40" i="2478" a="1"/>
  <c r="HE40" i="2478" s="1"/>
  <c r="DW41" i="2478" a="1"/>
  <c r="DW41" i="2478" s="1"/>
  <c r="DZ41" i="2478" a="1"/>
  <c r="DZ41" i="2478" s="1"/>
  <c r="EO41" i="2478" a="1"/>
  <c r="EO41" i="2478" s="1"/>
  <c r="ER41" i="2478" a="1"/>
  <c r="ER41" i="2478" s="1"/>
  <c r="JE41" i="2478" a="1"/>
  <c r="JE41" i="2478" s="1"/>
  <c r="JV40" i="2478" a="1"/>
  <c r="JV40" i="2478" s="1"/>
  <c r="JX41" i="2478" a="1"/>
  <c r="JX41" i="2478" s="1"/>
  <c r="JG40" i="2478" a="1"/>
  <c r="JG40" i="2478" s="1"/>
  <c r="I41" i="2478" a="1"/>
  <c r="I41" i="2478" s="1"/>
  <c r="AJ41" i="2478" a="1"/>
  <c r="AJ41" i="2478" s="1"/>
  <c r="AM41" i="2478" a="1"/>
  <c r="AM41" i="2478" s="1"/>
  <c r="F41" i="2478" a="1"/>
  <c r="F41" i="2478" s="1"/>
  <c r="U41" i="2478" a="1"/>
  <c r="U41" i="2478" s="1"/>
  <c r="AV41" i="2478" a="1"/>
  <c r="AV41" i="2478" s="1"/>
  <c r="AY41" i="2478" a="1"/>
  <c r="AY41" i="2478" s="1"/>
  <c r="IT40" i="2478" a="1"/>
  <c r="IT40" i="2478" s="1"/>
  <c r="AE41" i="2478" a="1"/>
  <c r="AE41" i="2478" s="1"/>
  <c r="AH41" i="2478" a="1"/>
  <c r="AH41" i="2478" s="1"/>
  <c r="AW41" i="2478" a="1"/>
  <c r="AW41" i="2478" s="1"/>
  <c r="AZ41" i="2478" a="1"/>
  <c r="AZ41" i="2478" s="1"/>
  <c r="FC40" i="2478" a="1"/>
  <c r="FC40" i="2478" s="1"/>
  <c r="FR40" i="2478" a="1"/>
  <c r="FR40" i="2478" s="1"/>
  <c r="GS40" i="2478" a="1"/>
  <c r="GS40" i="2478" s="1"/>
  <c r="BP40" i="2478" a="1"/>
  <c r="BP40" i="2478" s="1"/>
  <c r="BX40" i="2478" a="1"/>
  <c r="BX40" i="2478" s="1"/>
  <c r="GJ41" i="2478" a="1"/>
  <c r="GJ41" i="2478" s="1"/>
  <c r="CK40" i="2478" a="1"/>
  <c r="CK40" i="2478" s="1"/>
  <c r="CV41" i="2478" a="1"/>
  <c r="CV41" i="2478" s="1"/>
  <c r="CS40" i="2478" a="1"/>
  <c r="CS40" i="2478" s="1"/>
  <c r="BT40" i="2478" a="1"/>
  <c r="BT40" i="2478" s="1"/>
  <c r="EW41" i="2478" a="1"/>
  <c r="EW41" i="2478" s="1"/>
  <c r="FV41" i="2478" a="1"/>
  <c r="FV41" i="2478" s="1"/>
  <c r="BW41" i="2478" a="1"/>
  <c r="BW41" i="2478" s="1"/>
  <c r="JN12" i="1619"/>
  <c r="KE40" i="2478" l="1" a="1"/>
  <c r="KE40" i="2478" s="1"/>
  <c r="KE39" i="2478" a="1"/>
  <c r="KE39" i="2478" s="1"/>
  <c r="KF41" i="2478" a="1"/>
  <c r="KF41" i="2478" s="1"/>
  <c r="KE41" i="2478" a="1"/>
  <c r="KE41" i="2478" s="1"/>
  <c r="KF39" i="2478" a="1"/>
  <c r="KF39" i="2478" s="1"/>
  <c r="KF40" i="2478" a="1"/>
  <c r="KF40" i="2478" s="1"/>
  <c r="KC40" i="2478" a="1"/>
  <c r="KC40" i="2478" s="1"/>
  <c r="KC39" i="2478" a="1"/>
  <c r="KC39" i="2478" s="1"/>
  <c r="KC41" i="2478" a="1"/>
  <c r="KC41" i="2478" s="1"/>
  <c r="KA40" i="2478"/>
  <c r="BA39" i="2478"/>
  <c r="GN39" i="2478"/>
  <c r="IA39" i="2478"/>
  <c r="GA41" i="2478"/>
  <c r="CA41" i="2478"/>
  <c r="KA41" i="2478"/>
  <c r="AA41" i="2478"/>
  <c r="IA41" i="2478"/>
  <c r="BA41" i="2478"/>
  <c r="GA40" i="2478"/>
  <c r="AN40" i="2478"/>
  <c r="DA41" i="2478"/>
  <c r="JA40" i="2478"/>
  <c r="EA40" i="2478"/>
  <c r="DN40" i="2478"/>
  <c r="EN41" i="2478"/>
  <c r="CN39" i="2478"/>
  <c r="IN39" i="2478"/>
  <c r="DA40" i="2478"/>
  <c r="BN40" i="2478"/>
  <c r="AA39" i="2478"/>
  <c r="JA39" i="2478"/>
  <c r="DA39" i="2478"/>
  <c r="DN41" i="2478"/>
  <c r="HA40" i="2478"/>
  <c r="FN40" i="2478"/>
  <c r="EA39" i="2478"/>
  <c r="KA39" i="2478"/>
  <c r="FA39" i="2478"/>
  <c r="BN39" i="2478"/>
  <c r="FA41" i="2478"/>
  <c r="JN41" i="2478"/>
  <c r="JA41" i="2478"/>
  <c r="FN41" i="2478"/>
  <c r="EN39" i="2478"/>
  <c r="CA40" i="2478"/>
  <c r="IN41" i="2478"/>
  <c r="CN41" i="2478"/>
  <c r="HA41" i="2478"/>
  <c r="FA40" i="2478"/>
  <c r="IA40" i="2478"/>
  <c r="N40" i="2478"/>
  <c r="FN39" i="2478"/>
  <c r="HN41" i="2478"/>
  <c r="GN41" i="2478"/>
  <c r="N39" i="2478"/>
  <c r="AN39" i="2478"/>
  <c r="BN41" i="2478"/>
  <c r="IN40" i="2478"/>
  <c r="AN41" i="2478"/>
  <c r="EN40" i="2478"/>
  <c r="GN40" i="2478"/>
  <c r="CA39" i="2478"/>
  <c r="N41" i="2478"/>
  <c r="AA40" i="2478"/>
  <c r="HN40" i="2478"/>
  <c r="BA40" i="2478"/>
  <c r="JN39" i="2478"/>
  <c r="EA41" i="2478"/>
  <c r="JN40" i="2478"/>
  <c r="CN40" i="2478"/>
  <c r="HN39" i="2478"/>
  <c r="DN39" i="2478"/>
  <c r="HA39" i="2478"/>
  <c r="GA39" i="2478"/>
  <c r="JM7" i="2478"/>
  <c r="KC7" i="2478" s="1" a="1"/>
  <c r="KC7" i="2478" s="1"/>
  <c r="AO7" i="2478"/>
  <c r="BA7" i="2478" s="1"/>
  <c r="GB7" i="2478"/>
  <c r="GN7" i="2478" s="1"/>
  <c r="HO7" i="2478"/>
  <c r="IA7" i="2478" s="1"/>
  <c r="CB7" i="2478"/>
  <c r="CN7" i="2478" s="1"/>
  <c r="IB7" i="2478"/>
  <c r="IN7" i="2478" s="1"/>
  <c r="O7" i="2478"/>
  <c r="AA7" i="2478" s="1"/>
  <c r="CO7" i="2478"/>
  <c r="DA7" i="2478" s="1"/>
  <c r="JO7" i="2478"/>
  <c r="EO7" i="2478"/>
  <c r="FA7" i="2478" s="1"/>
  <c r="BB7" i="2478"/>
  <c r="BN7" i="2478" s="1"/>
  <c r="EB7" i="2478"/>
  <c r="EN7" i="2478" s="1"/>
  <c r="FB7" i="2478"/>
  <c r="FN7" i="2478" s="1"/>
  <c r="B7" i="2478"/>
  <c r="N7" i="2478" s="1"/>
  <c r="AB7" i="2478"/>
  <c r="AN7" i="2478" s="1"/>
  <c r="BO7" i="2478"/>
  <c r="CA7" i="2478" s="1"/>
  <c r="HB7" i="2478"/>
  <c r="HN7" i="2478" s="1"/>
  <c r="DB7" i="2478"/>
  <c r="DN7" i="2478" s="1"/>
  <c r="GO7" i="2478"/>
  <c r="HA7" i="2478" s="1"/>
  <c r="FO7" i="2478"/>
  <c r="GA7" i="2478" s="1"/>
  <c r="JN7" i="1619"/>
  <c r="KF7" i="2478" l="1" a="1"/>
  <c r="KF7" i="2478" s="1"/>
  <c r="KD7" i="2478" s="1"/>
  <c r="JN7" i="2478"/>
  <c r="KD41" i="2478"/>
  <c r="KD39" i="2478"/>
  <c r="KD40" i="2478"/>
  <c r="KA7" i="2478"/>
  <c r="KL39" i="1973"/>
  <c r="KL7" i="1973" s="1"/>
  <c r="KK39" i="1973"/>
  <c r="KK7" i="1973" s="1"/>
  <c r="IZ23" i="1976"/>
  <c r="FW21" i="1975"/>
  <c r="FW19" i="1975"/>
  <c r="FW18" i="1975"/>
  <c r="IY23" i="1976" l="1"/>
  <c r="JP23" i="1976" s="1"/>
  <c r="FV18" i="1975" l="1"/>
  <c r="FV19" i="1975"/>
  <c r="FV21" i="1975"/>
  <c r="IW23" i="1976" l="1"/>
  <c r="IX23" i="1976"/>
  <c r="KJ39" i="1973" l="1"/>
  <c r="KJ30" i="1973"/>
  <c r="KI39" i="1973"/>
  <c r="KI30" i="1973"/>
  <c r="KI17" i="1973"/>
  <c r="KH39" i="1973"/>
  <c r="KH30" i="1973"/>
  <c r="KJ7" i="1973" l="1"/>
  <c r="KN30" i="1973"/>
  <c r="KH7" i="1973"/>
  <c r="LR30" i="1973"/>
  <c r="LQ30" i="1973" s="1"/>
  <c r="KN17" i="1973"/>
  <c r="KI7" i="1973"/>
  <c r="LR17" i="1973"/>
  <c r="LQ17" i="1973" s="1"/>
  <c r="FU18" i="1975"/>
  <c r="FU19" i="1975"/>
  <c r="FU21" i="1975"/>
  <c r="FR18" i="1975" l="1"/>
  <c r="FS18" i="1975"/>
  <c r="FT18" i="1975"/>
  <c r="FR19" i="1975"/>
  <c r="FS19" i="1975"/>
  <c r="FT19" i="1975"/>
  <c r="FR21" i="1975"/>
  <c r="FS21" i="1975"/>
  <c r="FT21" i="1975"/>
  <c r="IU23" i="1976" l="1"/>
  <c r="IV23" i="1976"/>
  <c r="KF39" i="1973" l="1"/>
  <c r="KG39" i="1973"/>
  <c r="KG7" i="1973" s="1"/>
  <c r="KN39" i="1973" l="1"/>
  <c r="KF7" i="1973"/>
  <c r="LR39" i="1973"/>
  <c r="LQ39" i="1973" s="1"/>
  <c r="FQ18" i="1975"/>
  <c r="FQ19" i="1975"/>
  <c r="FQ21" i="1975"/>
  <c r="GR20" i="1975"/>
  <c r="GS20" i="1975"/>
  <c r="GR17" i="1975"/>
  <c r="GS17" i="1975"/>
  <c r="IR23" i="1976"/>
  <c r="IS23" i="1976"/>
  <c r="IT23" i="1976"/>
  <c r="KN7" i="1973" l="1"/>
  <c r="LR7" i="1973"/>
  <c r="LQ7" i="1973" s="1"/>
  <c r="IQ23" i="1976"/>
  <c r="FM18" i="1975"/>
  <c r="FO18" i="1975"/>
  <c r="FP18" i="1975"/>
  <c r="FM19" i="1975"/>
  <c r="FO19" i="1975"/>
  <c r="FP19" i="1975"/>
  <c r="FM21" i="1975"/>
  <c r="FO21" i="1975"/>
  <c r="FP21" i="1975"/>
  <c r="GP20" i="1975"/>
  <c r="GP17" i="1975"/>
  <c r="HD7" i="1975" l="1"/>
  <c r="GO17" i="1975"/>
  <c r="GQ20" i="1975"/>
  <c r="GQ17" i="1975"/>
  <c r="GO20" i="1975"/>
  <c r="IP23" i="1976" l="1"/>
  <c r="IO23" i="1976"/>
  <c r="IN25" i="1976"/>
  <c r="IN24" i="1976"/>
  <c r="JY26" i="1973"/>
  <c r="JY7" i="1973" l="1"/>
  <c r="KA26" i="1973"/>
  <c r="LV26" i="1973" s="1"/>
  <c r="JR23" i="1976"/>
  <c r="JQ23" i="1976" s="1"/>
  <c r="JA23" i="1976"/>
  <c r="FK18" i="1975" l="1"/>
  <c r="FL18" i="1975"/>
  <c r="FK19" i="1975"/>
  <c r="FL19" i="1975"/>
  <c r="FK21" i="1975"/>
  <c r="FL21" i="1975"/>
  <c r="GA21" i="1975"/>
  <c r="GA19" i="1975"/>
  <c r="GA18" i="1975"/>
  <c r="FY20" i="1975"/>
  <c r="FZ20" i="1975"/>
  <c r="FY17" i="1975"/>
  <c r="FZ17" i="1975"/>
  <c r="GA22" i="1975" l="1"/>
  <c r="IM23" i="1976" l="1"/>
  <c r="FX20" i="1975" l="1"/>
  <c r="FX17" i="1975"/>
  <c r="IK23" i="1976" l="1"/>
  <c r="IL23" i="1976"/>
  <c r="IJ23" i="1976" l="1"/>
  <c r="FV17" i="1975"/>
  <c r="FW17" i="1975"/>
  <c r="FV20" i="1975"/>
  <c r="FW20" i="1975"/>
  <c r="FI18" i="1975"/>
  <c r="FJ18" i="1975"/>
  <c r="FI19" i="1975"/>
  <c r="FJ19" i="1975"/>
  <c r="FI21" i="1975"/>
  <c r="FJ21" i="1975"/>
  <c r="JV39" i="1973" l="1"/>
  <c r="JV7" i="1973" s="1"/>
  <c r="JU39" i="1973"/>
  <c r="JU7" i="1973" s="1"/>
  <c r="II23" i="1976" l="1"/>
  <c r="FH18" i="1975"/>
  <c r="FH19" i="1975"/>
  <c r="FH21" i="1975"/>
  <c r="FU20" i="1975"/>
  <c r="FU17" i="1975"/>
  <c r="IH23" i="1976" l="1"/>
  <c r="FE18" i="1975"/>
  <c r="FF18" i="1975"/>
  <c r="FG18" i="1975"/>
  <c r="FE19" i="1975"/>
  <c r="FF19" i="1975"/>
  <c r="FG19" i="1975"/>
  <c r="FE21" i="1975"/>
  <c r="FF21" i="1975"/>
  <c r="FG21" i="1975"/>
  <c r="FT20" i="1975"/>
  <c r="FT17" i="1975"/>
  <c r="IG23" i="1976" l="1"/>
  <c r="FD18" i="1975"/>
  <c r="FD19" i="1975"/>
  <c r="FD21" i="1975"/>
  <c r="FS20" i="1975"/>
  <c r="FS17" i="1975"/>
  <c r="IF23" i="1976" l="1"/>
  <c r="FC18" i="1975"/>
  <c r="FC19" i="1975"/>
  <c r="FC21" i="1975"/>
  <c r="FQ17" i="1975"/>
  <c r="FR17" i="1975"/>
  <c r="FQ20" i="1975"/>
  <c r="FR20" i="1975"/>
  <c r="IE23" i="1976"/>
  <c r="EZ18" i="1975"/>
  <c r="FB18" i="1975"/>
  <c r="EZ19" i="1975"/>
  <c r="FB19" i="1975"/>
  <c r="EZ21" i="1975"/>
  <c r="FB21" i="1975"/>
  <c r="FP17" i="1975" l="1"/>
  <c r="FP20" i="1975"/>
  <c r="JQ39" i="1973" l="1"/>
  <c r="KA39" i="1973" l="1"/>
  <c r="JQ7" i="1973"/>
  <c r="KA7" i="1973" s="1"/>
  <c r="IC23" i="1976"/>
  <c r="ID23" i="1976"/>
  <c r="FO20" i="1975" l="1"/>
  <c r="FO17" i="1975"/>
  <c r="GA20" i="1975"/>
  <c r="GA17" i="1975"/>
  <c r="IA25" i="1976" l="1"/>
  <c r="IA24" i="1976"/>
  <c r="IB23" i="1976"/>
  <c r="FN22" i="1975"/>
  <c r="FN21" i="1975"/>
  <c r="FN19" i="1975"/>
  <c r="FN18" i="1975"/>
  <c r="JM39" i="1973"/>
  <c r="JM7" i="1973" s="1"/>
  <c r="IN23" i="1976" l="1"/>
  <c r="HZ23" i="1976" l="1"/>
  <c r="EX18" i="1975"/>
  <c r="EY18" i="1975"/>
  <c r="EX19" i="1975"/>
  <c r="EY19" i="1975"/>
  <c r="EX21" i="1975"/>
  <c r="EY21" i="1975"/>
  <c r="FL20" i="1975"/>
  <c r="FM20" i="1975"/>
  <c r="FL17" i="1975"/>
  <c r="FM17" i="1975"/>
  <c r="HY23" i="1976" l="1"/>
  <c r="EU18" i="1975"/>
  <c r="EV18" i="1975"/>
  <c r="EW18" i="1975"/>
  <c r="EU19" i="1975"/>
  <c r="EV19" i="1975"/>
  <c r="EW19" i="1975"/>
  <c r="EU21" i="1975"/>
  <c r="EV21" i="1975"/>
  <c r="EW21" i="1975"/>
  <c r="JK39" i="1973" l="1"/>
  <c r="JK7" i="1973" s="1"/>
  <c r="HX23" i="1976" l="1"/>
  <c r="ES18" i="1975"/>
  <c r="ET18" i="1975"/>
  <c r="ES19" i="1975"/>
  <c r="ET19" i="1975"/>
  <c r="ES21" i="1975"/>
  <c r="ET21" i="1975"/>
  <c r="FK20" i="1975"/>
  <c r="FK17" i="1975"/>
  <c r="FJ17" i="1975" l="1"/>
  <c r="FJ20" i="1975"/>
  <c r="FI20" i="1975"/>
  <c r="FI17" i="1975"/>
  <c r="HW23" i="1976" l="1"/>
  <c r="FH20" i="1975"/>
  <c r="FH17" i="1975"/>
  <c r="JJ39" i="1973"/>
  <c r="JJ7" i="1973" s="1"/>
  <c r="JI39" i="1973"/>
  <c r="JI7" i="1973" s="1"/>
  <c r="HV23" i="1976" l="1"/>
  <c r="FG17" i="1975" l="1"/>
  <c r="FG20" i="1975"/>
  <c r="JH39" i="1973" l="1"/>
  <c r="JH7" i="1973" s="1"/>
  <c r="HU23" i="1976" l="1"/>
  <c r="JG39" i="1973" l="1"/>
  <c r="JG7" i="1973" s="1"/>
  <c r="FF20" i="1975"/>
  <c r="FF17" i="1975"/>
  <c r="HT23" i="1976" l="1"/>
  <c r="HS23" i="1976" l="1"/>
  <c r="EQ18" i="1975"/>
  <c r="ER18" i="1975"/>
  <c r="EQ19" i="1975"/>
  <c r="ER19" i="1975"/>
  <c r="EQ21" i="1975"/>
  <c r="ER21" i="1975"/>
  <c r="FE20" i="1975"/>
  <c r="FE17" i="1975"/>
  <c r="HR23" i="1976" l="1"/>
  <c r="EM18" i="1975"/>
  <c r="EO18" i="1975"/>
  <c r="EP18" i="1975"/>
  <c r="EM19" i="1975"/>
  <c r="EO19" i="1975"/>
  <c r="EP19" i="1975"/>
  <c r="EM21" i="1975"/>
  <c r="EO21" i="1975"/>
  <c r="EP21" i="1975"/>
  <c r="FD20" i="1975"/>
  <c r="FC20" i="1975"/>
  <c r="FD17" i="1975"/>
  <c r="FC17" i="1975"/>
  <c r="FB17" i="1975" l="1"/>
  <c r="FB20" i="1975"/>
  <c r="FN17" i="1975"/>
  <c r="FN20" i="1975"/>
  <c r="JD39" i="1973"/>
  <c r="JN39" i="1973" l="1"/>
  <c r="JD7" i="1973"/>
  <c r="JN7" i="1973" s="1"/>
  <c r="HQ23" i="1976"/>
  <c r="HP23" i="1976" l="1"/>
  <c r="EB21" i="1975" l="1"/>
  <c r="EC21" i="1975"/>
  <c r="ED21" i="1975"/>
  <c r="EE21" i="1975"/>
  <c r="EF21" i="1975"/>
  <c r="EG21" i="1975"/>
  <c r="EH21" i="1975"/>
  <c r="EI21" i="1975"/>
  <c r="EJ21" i="1975"/>
  <c r="EK21" i="1975"/>
  <c r="EL21" i="1975"/>
  <c r="HO23" i="1976" l="1"/>
  <c r="HN25" i="1976"/>
  <c r="HN24" i="1976"/>
  <c r="EK18" i="1975"/>
  <c r="EL18" i="1975"/>
  <c r="EK19" i="1975"/>
  <c r="EL19" i="1975"/>
  <c r="FA21" i="1975"/>
  <c r="FA19" i="1975"/>
  <c r="FA18" i="1975"/>
  <c r="EY17" i="1975"/>
  <c r="EZ17" i="1975"/>
  <c r="EY20" i="1975"/>
  <c r="EZ20" i="1975"/>
  <c r="IA23" i="1976" l="1"/>
  <c r="HM23" i="1976" l="1"/>
  <c r="IZ39" i="1973" l="1"/>
  <c r="IZ7" i="1973" s="1"/>
  <c r="EB18" i="1975"/>
  <c r="EC18" i="1975"/>
  <c r="ED18" i="1975"/>
  <c r="EE18" i="1975"/>
  <c r="EF18" i="1975"/>
  <c r="EG18" i="1975"/>
  <c r="EH18" i="1975"/>
  <c r="EI18" i="1975"/>
  <c r="EJ18" i="1975"/>
  <c r="EB19" i="1975"/>
  <c r="EC19" i="1975"/>
  <c r="ED19" i="1975"/>
  <c r="EE19" i="1975"/>
  <c r="EF19" i="1975"/>
  <c r="EG19" i="1975"/>
  <c r="EH19" i="1975"/>
  <c r="EI19" i="1975"/>
  <c r="EJ19" i="1975"/>
  <c r="IY39" i="1973" l="1"/>
  <c r="IY7" i="1973" s="1"/>
  <c r="HL23" i="1976" l="1"/>
  <c r="EX20" i="1975"/>
  <c r="EX17" i="1975"/>
  <c r="IX39" i="1973" l="1"/>
  <c r="IX7" i="1973" s="1"/>
  <c r="IW39" i="1973"/>
  <c r="IW7" i="1973" s="1"/>
  <c r="HK23" i="1976" l="1"/>
  <c r="EW20" i="1975"/>
  <c r="EW17" i="1975"/>
  <c r="HJ23" i="1976" l="1"/>
  <c r="EU20" i="1975"/>
  <c r="EV20" i="1975"/>
  <c r="EU17" i="1975"/>
  <c r="EV17" i="1975"/>
  <c r="HI23" i="1976" l="1"/>
  <c r="IV39" i="1973"/>
  <c r="IV7" i="1973" s="1"/>
  <c r="HH23" i="1976" l="1"/>
  <c r="ES20" i="1975"/>
  <c r="ET20" i="1975"/>
  <c r="ES17" i="1975"/>
  <c r="ET17" i="1975"/>
  <c r="HG23" i="1976" l="1"/>
  <c r="HF23" i="1976"/>
  <c r="HE23" i="1976"/>
  <c r="HD23" i="1976"/>
  <c r="HC23" i="1976"/>
  <c r="HB23" i="1976"/>
  <c r="HN23" i="1976" l="1"/>
  <c r="EP17" i="1975" l="1"/>
  <c r="EQ17" i="1975"/>
  <c r="ER17" i="1975"/>
  <c r="EP20" i="1975"/>
  <c r="EQ20" i="1975"/>
  <c r="ER20" i="1975"/>
  <c r="EA25" i="1976" l="1"/>
  <c r="DN25" i="1976"/>
  <c r="DA25" i="1976"/>
  <c r="CN25" i="1976"/>
  <c r="CA25" i="1976"/>
  <c r="BN25" i="1976"/>
  <c r="BA25" i="1976"/>
  <c r="EA24" i="1976"/>
  <c r="DN24" i="1976"/>
  <c r="DA24" i="1976"/>
  <c r="CN24" i="1976"/>
  <c r="CA24" i="1976"/>
  <c r="BN24" i="1976"/>
  <c r="BA24" i="1976"/>
  <c r="GZ23" i="1976"/>
  <c r="GY23" i="1976"/>
  <c r="GX23" i="1976"/>
  <c r="GW23" i="1976"/>
  <c r="GV23" i="1976"/>
  <c r="GU23" i="1976"/>
  <c r="GT23" i="1976"/>
  <c r="GS23" i="1976"/>
  <c r="GR23" i="1976"/>
  <c r="GQ23" i="1976"/>
  <c r="GP23" i="1976"/>
  <c r="GO23" i="1976"/>
  <c r="GM23" i="1976"/>
  <c r="GL23" i="1976"/>
  <c r="GK23" i="1976"/>
  <c r="GJ23" i="1976"/>
  <c r="GI23" i="1976"/>
  <c r="GH23" i="1976"/>
  <c r="GG23" i="1976"/>
  <c r="GF23" i="1976"/>
  <c r="GE23" i="1976"/>
  <c r="GD23" i="1976"/>
  <c r="GC23" i="1976"/>
  <c r="GB23" i="1976"/>
  <c r="FZ23" i="1976"/>
  <c r="FY23" i="1976"/>
  <c r="FX23" i="1976"/>
  <c r="FW23" i="1976"/>
  <c r="FV23" i="1976"/>
  <c r="FU23" i="1976"/>
  <c r="FT23" i="1976"/>
  <c r="FS23" i="1976"/>
  <c r="FR23" i="1976"/>
  <c r="FQ23" i="1976"/>
  <c r="FP23" i="1976"/>
  <c r="FO23" i="1976"/>
  <c r="FM23" i="1976"/>
  <c r="FL23" i="1976"/>
  <c r="FK23" i="1976"/>
  <c r="FJ23" i="1976"/>
  <c r="FI23" i="1976"/>
  <c r="FH23" i="1976"/>
  <c r="FG23" i="1976"/>
  <c r="FF23" i="1976"/>
  <c r="FE23" i="1976"/>
  <c r="FD23" i="1976"/>
  <c r="FC23" i="1976"/>
  <c r="FB23" i="1976"/>
  <c r="EZ23" i="1976"/>
  <c r="EY23" i="1976"/>
  <c r="EX23" i="1976"/>
  <c r="EW23" i="1976"/>
  <c r="EV23" i="1976"/>
  <c r="EU23" i="1976"/>
  <c r="ET23" i="1976"/>
  <c r="ES23" i="1976"/>
  <c r="ER23" i="1976"/>
  <c r="EQ23" i="1976"/>
  <c r="EP23" i="1976"/>
  <c r="EO23" i="1976"/>
  <c r="EI23" i="1976"/>
  <c r="EH23" i="1976"/>
  <c r="EG23" i="1976"/>
  <c r="EF23" i="1976"/>
  <c r="EE23" i="1976"/>
  <c r="ED23" i="1976"/>
  <c r="EC23" i="1976"/>
  <c r="EB23" i="1976"/>
  <c r="DZ23" i="1976"/>
  <c r="DY23" i="1976"/>
  <c r="DX23" i="1976"/>
  <c r="DW23" i="1976"/>
  <c r="DV23" i="1976"/>
  <c r="DU23" i="1976"/>
  <c r="DT23" i="1976"/>
  <c r="DS23" i="1976"/>
  <c r="DR23" i="1976"/>
  <c r="DQ23" i="1976"/>
  <c r="DP23" i="1976"/>
  <c r="DO23" i="1976"/>
  <c r="DM23" i="1976"/>
  <c r="DL23" i="1976"/>
  <c r="DK23" i="1976"/>
  <c r="DJ23" i="1976"/>
  <c r="DI23" i="1976"/>
  <c r="DH23" i="1976"/>
  <c r="DG23" i="1976"/>
  <c r="DF23" i="1976"/>
  <c r="DE23" i="1976"/>
  <c r="DD23" i="1976"/>
  <c r="DC23" i="1976"/>
  <c r="DB23" i="1976"/>
  <c r="CZ23" i="1976"/>
  <c r="CY23" i="1976"/>
  <c r="CX23" i="1976"/>
  <c r="CW23" i="1976"/>
  <c r="CV23" i="1976"/>
  <c r="CU23" i="1976"/>
  <c r="CT23" i="1976"/>
  <c r="CS23" i="1976"/>
  <c r="CR23" i="1976"/>
  <c r="CQ23" i="1976"/>
  <c r="CP23" i="1976"/>
  <c r="CO23" i="1976"/>
  <c r="CM23" i="1976"/>
  <c r="CL23" i="1976"/>
  <c r="CK23" i="1976"/>
  <c r="CJ23" i="1976"/>
  <c r="CI23" i="1976"/>
  <c r="CH23" i="1976"/>
  <c r="CG23" i="1976"/>
  <c r="CF23" i="1976"/>
  <c r="CE23" i="1976"/>
  <c r="CD23" i="1976"/>
  <c r="CC23" i="1976"/>
  <c r="CB23" i="1976"/>
  <c r="BZ23" i="1976"/>
  <c r="BY23" i="1976"/>
  <c r="BX23" i="1976"/>
  <c r="BW23" i="1976"/>
  <c r="BV23" i="1976"/>
  <c r="BU23" i="1976"/>
  <c r="BT23" i="1976"/>
  <c r="BS23" i="1976"/>
  <c r="BR23" i="1976"/>
  <c r="BQ23" i="1976"/>
  <c r="BP23" i="1976"/>
  <c r="BO23" i="1976"/>
  <c r="BM23" i="1976"/>
  <c r="BL23" i="1976"/>
  <c r="BK23" i="1976"/>
  <c r="BJ23" i="1976"/>
  <c r="BI23" i="1976"/>
  <c r="BH23" i="1976"/>
  <c r="BG23" i="1976"/>
  <c r="BF23" i="1976"/>
  <c r="BE23" i="1976"/>
  <c r="BD23" i="1976"/>
  <c r="BC23" i="1976"/>
  <c r="BB23" i="1976"/>
  <c r="AZ23" i="1976"/>
  <c r="AY23" i="1976"/>
  <c r="AX23" i="1976"/>
  <c r="AW23" i="1976"/>
  <c r="AV23" i="1976"/>
  <c r="AU23" i="1976"/>
  <c r="AT23" i="1976"/>
  <c r="AS23" i="1976"/>
  <c r="AR23" i="1976"/>
  <c r="AQ23" i="1976"/>
  <c r="AP23" i="1976"/>
  <c r="AO23" i="1976"/>
  <c r="AM23" i="1976"/>
  <c r="AL23" i="1976"/>
  <c r="AK23" i="1976"/>
  <c r="AJ23" i="1976"/>
  <c r="AI23" i="1976"/>
  <c r="AH23" i="1976"/>
  <c r="AG23" i="1976"/>
  <c r="AF23" i="1976"/>
  <c r="AE23" i="1976"/>
  <c r="AD23" i="1976"/>
  <c r="AC23" i="1976"/>
  <c r="AB23" i="1976"/>
  <c r="Z23" i="1976"/>
  <c r="Y23" i="1976"/>
  <c r="X23" i="1976"/>
  <c r="W23" i="1976"/>
  <c r="V23" i="1976"/>
  <c r="U23" i="1976"/>
  <c r="T23" i="1976"/>
  <c r="S23" i="1976"/>
  <c r="R23" i="1976"/>
  <c r="Q23" i="1976"/>
  <c r="P23" i="1976"/>
  <c r="O23" i="1976"/>
  <c r="EN21" i="1975"/>
  <c r="EM20" i="1975"/>
  <c r="EL20" i="1975"/>
  <c r="EK20" i="1975"/>
  <c r="EJ20" i="1975"/>
  <c r="EI20" i="1975"/>
  <c r="EH20" i="1975"/>
  <c r="EG20" i="1975"/>
  <c r="EF20" i="1975"/>
  <c r="EE20" i="1975"/>
  <c r="ED20" i="1975"/>
  <c r="EC20" i="1975"/>
  <c r="EN19" i="1975"/>
  <c r="EN18" i="1975"/>
  <c r="EM17" i="1975"/>
  <c r="EL17" i="1975"/>
  <c r="EK17" i="1975"/>
  <c r="EJ17" i="1975"/>
  <c r="EI17" i="1975"/>
  <c r="EH17" i="1975"/>
  <c r="EG17" i="1975"/>
  <c r="EF17" i="1975"/>
  <c r="ED17" i="1975"/>
  <c r="EC17" i="1975"/>
  <c r="IP39" i="1973"/>
  <c r="IP7" i="1973" s="1"/>
  <c r="IO39" i="1973"/>
  <c r="HY39" i="1973"/>
  <c r="HY7" i="1973" s="1"/>
  <c r="HX39" i="1973"/>
  <c r="HX7" i="1973" s="1"/>
  <c r="HW39" i="1973"/>
  <c r="HW7" i="1973" s="1"/>
  <c r="HV39" i="1973"/>
  <c r="HV7" i="1973" s="1"/>
  <c r="HU39" i="1973"/>
  <c r="HU7" i="1973" s="1"/>
  <c r="HT39" i="1973"/>
  <c r="HT7" i="1973" s="1"/>
  <c r="HS39" i="1973"/>
  <c r="HM39" i="1973"/>
  <c r="HM7" i="1973" s="1"/>
  <c r="HL39" i="1973"/>
  <c r="HL7" i="1973" s="1"/>
  <c r="HJ39" i="1973"/>
  <c r="HJ7" i="1973" s="1"/>
  <c r="HE39" i="1973"/>
  <c r="HD39" i="1973"/>
  <c r="GZ39" i="1973"/>
  <c r="GY39" i="1973"/>
  <c r="GY7" i="1973" s="1"/>
  <c r="GV39" i="1973"/>
  <c r="GU39" i="1973"/>
  <c r="GU7" i="1973" s="1"/>
  <c r="GQ39" i="1973"/>
  <c r="GQ7" i="1973" s="1"/>
  <c r="GO39" i="1973"/>
  <c r="GM39" i="1973"/>
  <c r="GM7" i="1973" s="1"/>
  <c r="GL39" i="1973"/>
  <c r="GL7" i="1973" s="1"/>
  <c r="GK39" i="1973"/>
  <c r="GK7" i="1973" s="1"/>
  <c r="GJ39" i="1973"/>
  <c r="GJ7" i="1973" s="1"/>
  <c r="GI39" i="1973"/>
  <c r="GI7" i="1973" s="1"/>
  <c r="GH39" i="1973"/>
  <c r="GH7" i="1973" s="1"/>
  <c r="GG39" i="1973"/>
  <c r="GG7" i="1973" s="1"/>
  <c r="GC39" i="1973"/>
  <c r="GC7" i="1973" s="1"/>
  <c r="GB39" i="1973"/>
  <c r="FZ39" i="1973"/>
  <c r="FZ7" i="1973" s="1"/>
  <c r="FY39" i="1973"/>
  <c r="FY7" i="1973" s="1"/>
  <c r="FX39" i="1973"/>
  <c r="FX7" i="1973" s="1"/>
  <c r="FW39" i="1973"/>
  <c r="FW7" i="1973" s="1"/>
  <c r="FV39" i="1973"/>
  <c r="FV7" i="1973" s="1"/>
  <c r="FU39" i="1973"/>
  <c r="FU7" i="1973" s="1"/>
  <c r="FT39" i="1973"/>
  <c r="FT7" i="1973" s="1"/>
  <c r="FS39" i="1973"/>
  <c r="FS7" i="1973" s="1"/>
  <c r="FR39" i="1973"/>
  <c r="FR7" i="1973" s="1"/>
  <c r="FQ39" i="1973"/>
  <c r="FJ39" i="1973"/>
  <c r="FJ7" i="1973" s="1"/>
  <c r="FG39" i="1973"/>
  <c r="FG7" i="1973" s="1"/>
  <c r="FF39" i="1973"/>
  <c r="BY39" i="1973"/>
  <c r="BY7" i="1973" s="1"/>
  <c r="BX39" i="1973"/>
  <c r="BX7" i="1973" s="1"/>
  <c r="BW39" i="1973"/>
  <c r="BW7" i="1973" s="1"/>
  <c r="BV39" i="1973"/>
  <c r="BV7" i="1973" s="1"/>
  <c r="BU39" i="1973"/>
  <c r="BU7" i="1973" s="1"/>
  <c r="BT39" i="1973"/>
  <c r="BT7" i="1973" s="1"/>
  <c r="BS39" i="1973"/>
  <c r="BS7" i="1973" s="1"/>
  <c r="BR39" i="1973"/>
  <c r="BR7" i="1973" s="1"/>
  <c r="BQ39" i="1973"/>
  <c r="BQ7" i="1973" s="1"/>
  <c r="BP39" i="1973"/>
  <c r="BP7" i="1973" s="1"/>
  <c r="BO39" i="1973"/>
  <c r="BM39" i="1973"/>
  <c r="BM7" i="1973" s="1"/>
  <c r="BL39" i="1973"/>
  <c r="BL7" i="1973" s="1"/>
  <c r="BK39" i="1973"/>
  <c r="BK7" i="1973" s="1"/>
  <c r="BJ39" i="1973"/>
  <c r="BJ7" i="1973" s="1"/>
  <c r="BI39" i="1973"/>
  <c r="BI7" i="1973" s="1"/>
  <c r="BG39" i="1973"/>
  <c r="BG7" i="1973" s="1"/>
  <c r="BF39" i="1973"/>
  <c r="BF7" i="1973" s="1"/>
  <c r="BD39" i="1973"/>
  <c r="BD7" i="1973" s="1"/>
  <c r="BC39" i="1973"/>
  <c r="BC7" i="1973" s="1"/>
  <c r="BB39" i="1973"/>
  <c r="AZ39" i="1973"/>
  <c r="AZ7" i="1973" s="1"/>
  <c r="AY39" i="1973"/>
  <c r="AY7" i="1973" s="1"/>
  <c r="AX39" i="1973"/>
  <c r="AX7" i="1973" s="1"/>
  <c r="AW39" i="1973"/>
  <c r="AW7" i="1973" s="1"/>
  <c r="AT39" i="1973"/>
  <c r="AT7" i="1973" s="1"/>
  <c r="AS39" i="1973"/>
  <c r="AS7" i="1973" s="1"/>
  <c r="AR39" i="1973"/>
  <c r="AR7" i="1973" s="1"/>
  <c r="AQ39" i="1973"/>
  <c r="AQ7" i="1973" s="1"/>
  <c r="AP39" i="1973"/>
  <c r="AP7" i="1973" s="1"/>
  <c r="AO39" i="1973"/>
  <c r="V39" i="1973"/>
  <c r="V7" i="1973" s="1"/>
  <c r="U39" i="1973"/>
  <c r="U7" i="1973" s="1"/>
  <c r="S39" i="1973"/>
  <c r="S7" i="1973" s="1"/>
  <c r="R39" i="1973"/>
  <c r="R7" i="1973" s="1"/>
  <c r="Q39" i="1973"/>
  <c r="Q7" i="1973" s="1"/>
  <c r="P39" i="1973"/>
  <c r="P7" i="1973" s="1"/>
  <c r="O39" i="1973"/>
  <c r="M39" i="1973"/>
  <c r="M7" i="1973" s="1"/>
  <c r="L39" i="1973"/>
  <c r="L7" i="1973" s="1"/>
  <c r="J39" i="1973"/>
  <c r="J7" i="1973" s="1"/>
  <c r="I39" i="1973"/>
  <c r="I7" i="1973" s="1"/>
  <c r="H39" i="1973"/>
  <c r="H7" i="1973" s="1"/>
  <c r="G39" i="1973"/>
  <c r="G7" i="1973" s="1"/>
  <c r="F39" i="1973"/>
  <c r="F7" i="1973" s="1"/>
  <c r="E39" i="1973"/>
  <c r="E7" i="1973" s="1"/>
  <c r="D39" i="1973"/>
  <c r="D7" i="1973" s="1"/>
  <c r="C39" i="1973"/>
  <c r="C7" i="1973" s="1"/>
  <c r="B39" i="1973"/>
  <c r="HD37" i="1973"/>
  <c r="HB37" i="1973"/>
  <c r="HN37" i="1973" s="1"/>
  <c r="GZ37" i="1973"/>
  <c r="HB36" i="1973"/>
  <c r="HE31" i="1973"/>
  <c r="HG30" i="1973"/>
  <c r="HG7" i="1973" s="1"/>
  <c r="HD30" i="1973"/>
  <c r="GV30" i="1973"/>
  <c r="HB20" i="1973"/>
  <c r="HB17" i="1973"/>
  <c r="EN23" i="1976" l="1"/>
  <c r="HN39" i="1973"/>
  <c r="HN36" i="1973"/>
  <c r="LV36" i="1973"/>
  <c r="HN20" i="1973"/>
  <c r="LV20" i="1973" s="1"/>
  <c r="HN30" i="1973"/>
  <c r="HD7" i="1973"/>
  <c r="IO7" i="1973"/>
  <c r="JA7" i="1973" s="1"/>
  <c r="JA39" i="1973"/>
  <c r="GZ7" i="1973"/>
  <c r="HA37" i="1973"/>
  <c r="LV37" i="1973" s="1"/>
  <c r="IA39" i="1973"/>
  <c r="HS7" i="1973"/>
  <c r="IA7" i="1973" s="1"/>
  <c r="HE7" i="1973"/>
  <c r="HN31" i="1973"/>
  <c r="LV31" i="1973" s="1"/>
  <c r="BO7" i="1973"/>
  <c r="CA7" i="1973" s="1"/>
  <c r="CA39" i="1973"/>
  <c r="GB7" i="1973"/>
  <c r="GN7" i="1973" s="1"/>
  <c r="GN39" i="1973"/>
  <c r="AO7" i="1973"/>
  <c r="BA7" i="1973" s="1"/>
  <c r="BA39" i="1973"/>
  <c r="GO7" i="1973"/>
  <c r="HA39" i="1973"/>
  <c r="HB7" i="1973"/>
  <c r="HN17" i="1973"/>
  <c r="LV17" i="1973" s="1"/>
  <c r="O7" i="1973"/>
  <c r="AA7" i="1973" s="1"/>
  <c r="AA39" i="1973"/>
  <c r="B7" i="1973"/>
  <c r="N39" i="1973"/>
  <c r="FN39" i="1973"/>
  <c r="FF7" i="1973"/>
  <c r="FN7" i="1973" s="1"/>
  <c r="HA30" i="1973"/>
  <c r="LV30" i="1973" s="1"/>
  <c r="GV7" i="1973"/>
  <c r="BB7" i="1973"/>
  <c r="BN7" i="1973" s="1"/>
  <c r="BN39" i="1973"/>
  <c r="GA39" i="1973"/>
  <c r="FQ7" i="1973"/>
  <c r="GA7" i="1973" s="1"/>
  <c r="AA23" i="1976"/>
  <c r="AN23" i="1976"/>
  <c r="FA23" i="1976"/>
  <c r="FN23" i="1976"/>
  <c r="GA23" i="1976"/>
  <c r="GN23" i="1976"/>
  <c r="HA23" i="1976"/>
  <c r="BA23" i="1976"/>
  <c r="BN23" i="1976"/>
  <c r="CA23" i="1976"/>
  <c r="CN23" i="1976"/>
  <c r="DA23" i="1976"/>
  <c r="DN23" i="1976"/>
  <c r="EA23" i="1976"/>
  <c r="EO17" i="1975"/>
  <c r="EO20" i="1975"/>
  <c r="EB20" i="1975"/>
  <c r="FA20" i="1975"/>
  <c r="FA17" i="1975"/>
  <c r="EE17" i="1975"/>
  <c r="EB17" i="1975"/>
  <c r="DB17" i="1975"/>
  <c r="DC17" i="1975"/>
  <c r="DD17" i="1975"/>
  <c r="DE17" i="1975"/>
  <c r="DF17" i="1975"/>
  <c r="DG17" i="1975"/>
  <c r="DH17" i="1975"/>
  <c r="DI17" i="1975"/>
  <c r="DJ17" i="1975"/>
  <c r="DK17" i="1975"/>
  <c r="DL17" i="1975"/>
  <c r="DM17" i="1975"/>
  <c r="DO17" i="1975"/>
  <c r="DP17" i="1975"/>
  <c r="DQ17" i="1975"/>
  <c r="DR17" i="1975"/>
  <c r="DS17" i="1975"/>
  <c r="DT17" i="1975"/>
  <c r="DU17" i="1975"/>
  <c r="DV17" i="1975"/>
  <c r="DW17" i="1975"/>
  <c r="DX17" i="1975"/>
  <c r="DY17" i="1975"/>
  <c r="DZ17" i="1975"/>
  <c r="N7" i="1973" l="1"/>
  <c r="HA7" i="1973"/>
  <c r="HN7" i="1973"/>
  <c r="DN17" i="1975"/>
  <c r="EA17" i="1975"/>
  <c r="EN17" i="1975"/>
  <c r="EN20" i="1975"/>
  <c r="ED83" i="1972" l="1"/>
  <c r="EC83" i="1972"/>
  <c r="EB83" i="1972"/>
  <c r="EA83" i="1972"/>
  <c r="DZ83" i="1972"/>
  <c r="DY83" i="1972"/>
  <c r="DX83" i="1972"/>
  <c r="DW83" i="1972"/>
  <c r="DV83" i="1972"/>
  <c r="DU83" i="1972"/>
  <c r="DT83" i="1972"/>
  <c r="DS83" i="1972"/>
  <c r="DR83" i="1972"/>
  <c r="DQ83" i="1972"/>
  <c r="DP83" i="1972"/>
  <c r="DO83" i="1972"/>
  <c r="DN83" i="1972"/>
  <c r="DM83" i="1972"/>
  <c r="DL83" i="1972"/>
  <c r="DK83" i="1972"/>
  <c r="DJ83" i="1972"/>
  <c r="DI83" i="1972"/>
  <c r="DH83" i="1972"/>
  <c r="DG83" i="1972"/>
  <c r="DF83" i="1972"/>
  <c r="DE83" i="1972"/>
  <c r="DD83" i="1972"/>
  <c r="DC83" i="1972"/>
  <c r="DB83" i="1972"/>
  <c r="DA83" i="1972"/>
  <c r="CZ83" i="1972"/>
  <c r="CY83" i="1972"/>
  <c r="CX83" i="1972"/>
  <c r="CW83" i="1972"/>
  <c r="CV83" i="1972"/>
  <c r="CU83" i="1972"/>
  <c r="CT83" i="1972"/>
  <c r="CS83" i="1972"/>
  <c r="CR83" i="1972"/>
  <c r="CQ83" i="1972"/>
  <c r="CP83" i="1972"/>
  <c r="CO83" i="1972"/>
  <c r="CN83" i="1972"/>
  <c r="CM83" i="1972"/>
  <c r="CL83" i="1972"/>
  <c r="CK83" i="1972"/>
  <c r="CJ83" i="1972"/>
  <c r="CI83" i="1972"/>
  <c r="CH83" i="1972"/>
  <c r="CG83" i="1972"/>
  <c r="CF83" i="1972"/>
  <c r="CE83" i="1972"/>
  <c r="CD83" i="1972"/>
  <c r="CC83" i="1972"/>
  <c r="CB83" i="1972"/>
  <c r="CA83" i="1972"/>
  <c r="BZ83" i="1972"/>
  <c r="BY83" i="1972"/>
  <c r="BX83" i="1972"/>
  <c r="BW83" i="1972"/>
  <c r="BV83" i="1972"/>
  <c r="BU83" i="1972"/>
  <c r="BT83" i="1972"/>
  <c r="BS83" i="1972"/>
  <c r="BR83" i="1972"/>
  <c r="BQ83" i="1972"/>
  <c r="BP83" i="1972"/>
  <c r="BO83" i="1972"/>
  <c r="BN83" i="1972"/>
  <c r="BM83" i="1972"/>
  <c r="BL83" i="1972"/>
  <c r="BK83" i="1972"/>
  <c r="BJ83" i="1972"/>
  <c r="BI83" i="1972"/>
  <c r="BH83" i="1972"/>
  <c r="BG83" i="1972"/>
  <c r="BF83" i="1972"/>
  <c r="BE83" i="1972"/>
  <c r="BD83" i="1972"/>
  <c r="BC83" i="1972"/>
  <c r="BB83" i="1972"/>
  <c r="BA83" i="1972"/>
  <c r="AZ83" i="1972"/>
  <c r="AY83" i="1972"/>
  <c r="AX83" i="1972"/>
  <c r="AW83" i="1972"/>
  <c r="AV83" i="1972"/>
  <c r="AU83" i="1972"/>
  <c r="AT83" i="1972"/>
  <c r="AS83" i="1972"/>
  <c r="AR83" i="1972"/>
  <c r="AQ83" i="1972"/>
  <c r="AP83" i="1972"/>
  <c r="AO83" i="1972"/>
  <c r="AN83" i="1972"/>
  <c r="AM83" i="1972"/>
  <c r="AL83" i="1972"/>
  <c r="AK83" i="1972"/>
  <c r="AJ83" i="1972"/>
  <c r="AI83" i="1972"/>
  <c r="AH83" i="1972"/>
  <c r="AG83" i="1972"/>
  <c r="AF83" i="1972"/>
  <c r="AE83" i="1972"/>
  <c r="AD83" i="1972"/>
  <c r="AC83" i="1972"/>
  <c r="AB83" i="1972"/>
  <c r="AA83" i="1972"/>
  <c r="Z83" i="1972"/>
  <c r="Y83" i="1972"/>
  <c r="X83" i="1972"/>
  <c r="W83" i="1972"/>
  <c r="V83" i="1972"/>
  <c r="U83" i="1972"/>
  <c r="T83" i="1972"/>
  <c r="S83" i="1972"/>
  <c r="R83" i="1972"/>
  <c r="Q83" i="1972"/>
  <c r="P83" i="1972"/>
  <c r="O83" i="1972"/>
  <c r="N83" i="1972"/>
  <c r="M83" i="1972"/>
  <c r="L83" i="1972"/>
  <c r="K83" i="1972"/>
  <c r="J83" i="1972"/>
  <c r="I83" i="1972"/>
  <c r="H83" i="1972"/>
  <c r="G83" i="1972"/>
  <c r="F83" i="1972"/>
  <c r="E83" i="1972"/>
  <c r="D83" i="1972"/>
  <c r="C83" i="1972"/>
  <c r="B83" i="1972"/>
  <c r="ED81" i="1972"/>
  <c r="EC81" i="1972"/>
  <c r="EB81" i="1972"/>
  <c r="EA81" i="1972"/>
  <c r="DZ81" i="1972"/>
  <c r="DY81" i="1972"/>
  <c r="DX81" i="1972"/>
  <c r="DW81" i="1972"/>
  <c r="DV81" i="1972"/>
  <c r="DU81" i="1972"/>
  <c r="DT81" i="1972"/>
  <c r="DS81" i="1972"/>
  <c r="DR81" i="1972"/>
  <c r="DQ81" i="1972"/>
  <c r="DP81" i="1972"/>
  <c r="DO81" i="1972"/>
  <c r="DN81" i="1972"/>
  <c r="DM81" i="1972"/>
  <c r="DL81" i="1972"/>
  <c r="DK81" i="1972"/>
  <c r="DJ81" i="1972"/>
  <c r="DI81" i="1972"/>
  <c r="DH81" i="1972"/>
  <c r="DG81" i="1972"/>
  <c r="DF81" i="1972"/>
  <c r="DE81" i="1972"/>
  <c r="DD81" i="1972"/>
  <c r="DC81" i="1972"/>
  <c r="DB81" i="1972"/>
  <c r="DA81" i="1972"/>
  <c r="CZ81" i="1972"/>
  <c r="CY81" i="1972"/>
  <c r="CX81" i="1972"/>
  <c r="CW81" i="1972"/>
  <c r="CV81" i="1972"/>
  <c r="CU81" i="1972"/>
  <c r="CT81" i="1972"/>
  <c r="CS81" i="1972"/>
  <c r="CR81" i="1972"/>
  <c r="CQ81" i="1972"/>
  <c r="CP81" i="1972"/>
  <c r="CO81" i="1972"/>
  <c r="CN81" i="1972"/>
  <c r="CM81" i="1972"/>
  <c r="CL81" i="1972"/>
  <c r="CK81" i="1972"/>
  <c r="CJ81" i="1972"/>
  <c r="CI81" i="1972"/>
  <c r="CH81" i="1972"/>
  <c r="CG81" i="1972"/>
  <c r="CF81" i="1972"/>
  <c r="CE81" i="1972"/>
  <c r="CD81" i="1972"/>
  <c r="CC81" i="1972"/>
  <c r="CB81" i="1972"/>
  <c r="CA81" i="1972"/>
  <c r="BZ81" i="1972"/>
  <c r="BY81" i="1972"/>
  <c r="BX81" i="1972"/>
  <c r="BW81" i="1972"/>
  <c r="BV81" i="1972"/>
  <c r="BU81" i="1972"/>
  <c r="BT81" i="1972"/>
  <c r="BS81" i="1972"/>
  <c r="BR81" i="1972"/>
  <c r="BQ81" i="1972"/>
  <c r="BP81" i="1972"/>
  <c r="BO81" i="1972"/>
  <c r="BN81" i="1972"/>
  <c r="BM81" i="1972"/>
  <c r="BL81" i="1972"/>
  <c r="BK81" i="1972"/>
  <c r="BJ81" i="1972"/>
  <c r="BI81" i="1972"/>
  <c r="BH81" i="1972"/>
  <c r="BG81" i="1972"/>
  <c r="BF81" i="1972"/>
  <c r="BE81" i="1972"/>
  <c r="BD81" i="1972"/>
  <c r="BC81" i="1972"/>
  <c r="BB81" i="1972"/>
  <c r="BA81" i="1972"/>
  <c r="AZ81" i="1972"/>
  <c r="AY81" i="1972"/>
  <c r="AX81" i="1972"/>
  <c r="AV81" i="1972"/>
  <c r="AU81" i="1972"/>
  <c r="AT81" i="1972"/>
  <c r="AS81" i="1972"/>
  <c r="AR81" i="1972"/>
  <c r="AQ81" i="1972"/>
  <c r="AP81" i="1972"/>
  <c r="AO81" i="1972"/>
  <c r="AN81" i="1972"/>
  <c r="AM81" i="1972"/>
  <c r="AL81" i="1972"/>
  <c r="AK81" i="1972"/>
  <c r="AJ81" i="1972"/>
  <c r="AI81" i="1972"/>
  <c r="AH81" i="1972"/>
  <c r="AG81" i="1972"/>
  <c r="AF81" i="1972"/>
  <c r="AE81" i="1972"/>
  <c r="AD81" i="1972"/>
  <c r="AC81" i="1972"/>
  <c r="AB81" i="1972"/>
  <c r="AA81" i="1972"/>
  <c r="Z81" i="1972"/>
  <c r="Y81" i="1972"/>
  <c r="X81" i="1972"/>
  <c r="W81" i="1972"/>
  <c r="V81" i="1972"/>
  <c r="U81" i="1972"/>
  <c r="T81" i="1972"/>
  <c r="S81" i="1972"/>
  <c r="R81" i="1972"/>
  <c r="Q81" i="1972"/>
  <c r="P81" i="1972"/>
  <c r="O81" i="1972"/>
  <c r="N81" i="1972"/>
  <c r="M81" i="1972"/>
  <c r="L81" i="1972"/>
  <c r="K81" i="1972"/>
  <c r="J81" i="1972"/>
  <c r="I81" i="1972"/>
  <c r="H81" i="1972"/>
  <c r="G81" i="1972"/>
  <c r="F81" i="1972"/>
  <c r="E81" i="1972"/>
  <c r="D81" i="1972"/>
  <c r="C81" i="1972"/>
  <c r="B81" i="1972"/>
  <c r="ER57" i="1972"/>
  <c r="EQ57" i="1972"/>
  <c r="ER56" i="1972"/>
  <c r="EQ56" i="1972"/>
  <c r="AW56" i="1972"/>
  <c r="AW81" i="1972" s="1"/>
  <c r="EO55" i="1972"/>
  <c r="EN55" i="1972"/>
  <c r="EM55" i="1972"/>
  <c r="EL55" i="1972"/>
  <c r="EK55" i="1972"/>
  <c r="EJ55" i="1972"/>
  <c r="EI55" i="1972"/>
  <c r="EH55" i="1972"/>
  <c r="EG55" i="1972"/>
  <c r="EF55" i="1972"/>
  <c r="EE55" i="1972"/>
  <c r="ED55" i="1972"/>
  <c r="ED79" i="1972" s="1"/>
  <c r="EC55" i="1972"/>
  <c r="EC79" i="1972" s="1"/>
  <c r="EB55" i="1972"/>
  <c r="EB79" i="1972" s="1"/>
  <c r="EA55" i="1972"/>
  <c r="EA79" i="1972" s="1"/>
  <c r="DZ55" i="1972"/>
  <c r="DZ79" i="1972" s="1"/>
  <c r="DY55" i="1972"/>
  <c r="DY79" i="1972" s="1"/>
  <c r="DX55" i="1972"/>
  <c r="DX79" i="1972" s="1"/>
  <c r="DW55" i="1972"/>
  <c r="DW79" i="1972" s="1"/>
  <c r="DV55" i="1972"/>
  <c r="DV79" i="1972" s="1"/>
  <c r="DU55" i="1972"/>
  <c r="DU79" i="1972" s="1"/>
  <c r="DT55" i="1972"/>
  <c r="DT79" i="1972" s="1"/>
  <c r="DS55" i="1972"/>
  <c r="DS79" i="1972" s="1"/>
  <c r="DR55" i="1972"/>
  <c r="DR79" i="1972" s="1"/>
  <c r="DQ55" i="1972"/>
  <c r="DQ79" i="1972" s="1"/>
  <c r="DP55" i="1972"/>
  <c r="DP79" i="1972" s="1"/>
  <c r="DO55" i="1972"/>
  <c r="DO79" i="1972" s="1"/>
  <c r="DN55" i="1972"/>
  <c r="DN79" i="1972" s="1"/>
  <c r="DM55" i="1972"/>
  <c r="DM79" i="1972" s="1"/>
  <c r="DL55" i="1972"/>
  <c r="DL79" i="1972" s="1"/>
  <c r="DK55" i="1972"/>
  <c r="DK79" i="1972" s="1"/>
  <c r="DJ55" i="1972"/>
  <c r="DJ79" i="1972" s="1"/>
  <c r="DI55" i="1972"/>
  <c r="DI79" i="1972" s="1"/>
  <c r="DH55" i="1972"/>
  <c r="DH79" i="1972" s="1"/>
  <c r="DG55" i="1972"/>
  <c r="DG79" i="1972" s="1"/>
  <c r="DF55" i="1972"/>
  <c r="DF79" i="1972" s="1"/>
  <c r="DE55" i="1972"/>
  <c r="DE79" i="1972" s="1"/>
  <c r="DD55" i="1972"/>
  <c r="DD79" i="1972" s="1"/>
  <c r="DC55" i="1972"/>
  <c r="DC79" i="1972" s="1"/>
  <c r="DB55" i="1972"/>
  <c r="DB79" i="1972" s="1"/>
  <c r="DA55" i="1972"/>
  <c r="DA79" i="1972" s="1"/>
  <c r="CZ55" i="1972"/>
  <c r="CZ79" i="1972" s="1"/>
  <c r="CY55" i="1972"/>
  <c r="CY79" i="1972" s="1"/>
  <c r="CX55" i="1972"/>
  <c r="CW55" i="1972"/>
  <c r="CW79" i="1972" s="1"/>
  <c r="CV55" i="1972"/>
  <c r="CU55" i="1972"/>
  <c r="CU79" i="1972" s="1"/>
  <c r="CT55" i="1972"/>
  <c r="CS55" i="1972"/>
  <c r="CS79" i="1972" s="1"/>
  <c r="CR55" i="1972"/>
  <c r="CQ55" i="1972"/>
  <c r="CP55" i="1972"/>
  <c r="CO55" i="1972"/>
  <c r="CN55" i="1972"/>
  <c r="CN79" i="1972" s="1"/>
  <c r="CM55" i="1972"/>
  <c r="CL55" i="1972"/>
  <c r="CK55" i="1972"/>
  <c r="CJ55" i="1972"/>
  <c r="CI55" i="1972"/>
  <c r="CH55" i="1972"/>
  <c r="CG55" i="1972"/>
  <c r="CG79" i="1972" s="1"/>
  <c r="CF55" i="1972"/>
  <c r="CF79" i="1972" s="1"/>
  <c r="CE55" i="1972"/>
  <c r="CE79" i="1972" s="1"/>
  <c r="CD55" i="1972"/>
  <c r="CD79" i="1972" s="1"/>
  <c r="CC55" i="1972"/>
  <c r="CC79" i="1972" s="1"/>
  <c r="CB55" i="1972"/>
  <c r="CB79" i="1972" s="1"/>
  <c r="CA55" i="1972"/>
  <c r="CA79" i="1972" s="1"/>
  <c r="BZ55" i="1972"/>
  <c r="BZ79" i="1972" s="1"/>
  <c r="BY55" i="1972"/>
  <c r="BY79" i="1972" s="1"/>
  <c r="BX55" i="1972"/>
  <c r="BX79" i="1972" s="1"/>
  <c r="BW55" i="1972"/>
  <c r="BV55" i="1972"/>
  <c r="BU55" i="1972"/>
  <c r="BT55" i="1972"/>
  <c r="BS55" i="1972"/>
  <c r="BS79" i="1972" s="1"/>
  <c r="BR55" i="1972"/>
  <c r="BR79" i="1972" s="1"/>
  <c r="BQ55" i="1972"/>
  <c r="BP55" i="1972"/>
  <c r="BO55" i="1972"/>
  <c r="BO79" i="1972" s="1"/>
  <c r="BN55" i="1972"/>
  <c r="BM55" i="1972"/>
  <c r="BL55" i="1972"/>
  <c r="BK55" i="1972"/>
  <c r="BJ55" i="1972"/>
  <c r="BI55" i="1972"/>
  <c r="BH55" i="1972"/>
  <c r="BG55" i="1972"/>
  <c r="BG79" i="1972" s="1"/>
  <c r="BF55" i="1972"/>
  <c r="BE55" i="1972"/>
  <c r="BD55" i="1972"/>
  <c r="BD79" i="1972" s="1"/>
  <c r="BC55" i="1972"/>
  <c r="BC79" i="1972" s="1"/>
  <c r="BB55" i="1972"/>
  <c r="BB79" i="1972" s="1"/>
  <c r="BA55" i="1972"/>
  <c r="BA79" i="1972" s="1"/>
  <c r="AZ55" i="1972"/>
  <c r="AZ79" i="1972" s="1"/>
  <c r="AY55" i="1972"/>
  <c r="AY79" i="1972" s="1"/>
  <c r="AX55" i="1972"/>
  <c r="AX79" i="1972" s="1"/>
  <c r="AV55" i="1972"/>
  <c r="AV79" i="1972" s="1"/>
  <c r="AU55" i="1972"/>
  <c r="AU79" i="1972" s="1"/>
  <c r="AT55" i="1972"/>
  <c r="AT79" i="1972" s="1"/>
  <c r="AS55" i="1972"/>
  <c r="AS79" i="1972" s="1"/>
  <c r="AR55" i="1972"/>
  <c r="AQ55" i="1972"/>
  <c r="AP55" i="1972"/>
  <c r="AP79" i="1972" s="1"/>
  <c r="AO55" i="1972"/>
  <c r="AO79" i="1972" s="1"/>
  <c r="AN55" i="1972"/>
  <c r="AM55" i="1972"/>
  <c r="AL55" i="1972"/>
  <c r="AK55" i="1972"/>
  <c r="AK79" i="1972" s="1"/>
  <c r="AJ55" i="1972"/>
  <c r="AJ79" i="1972" s="1"/>
  <c r="AI55" i="1972"/>
  <c r="AI79" i="1972" s="1"/>
  <c r="AH55" i="1972"/>
  <c r="AH79" i="1972" s="1"/>
  <c r="AG55" i="1972"/>
  <c r="AG79" i="1972" s="1"/>
  <c r="AF55" i="1972"/>
  <c r="AF79" i="1972" s="1"/>
  <c r="AE55" i="1972"/>
  <c r="AE79" i="1972" s="1"/>
  <c r="AD55" i="1972"/>
  <c r="AD79" i="1972" s="1"/>
  <c r="AC55" i="1972"/>
  <c r="AC79" i="1972" s="1"/>
  <c r="AB55" i="1972"/>
  <c r="AB79" i="1972" s="1"/>
  <c r="AA55" i="1972"/>
  <c r="AA79" i="1972" s="1"/>
  <c r="Z55" i="1972"/>
  <c r="Z79" i="1972" s="1"/>
  <c r="Y55" i="1972"/>
  <c r="Y79" i="1972" s="1"/>
  <c r="X55" i="1972"/>
  <c r="X79" i="1972" s="1"/>
  <c r="W55" i="1972"/>
  <c r="W79" i="1972" s="1"/>
  <c r="V55" i="1972"/>
  <c r="V79" i="1972" s="1"/>
  <c r="U55" i="1972"/>
  <c r="U79" i="1972" s="1"/>
  <c r="T55" i="1972"/>
  <c r="T79" i="1972" s="1"/>
  <c r="S55" i="1972"/>
  <c r="S79" i="1972" s="1"/>
  <c r="R55" i="1972"/>
  <c r="R79" i="1972" s="1"/>
  <c r="Q55" i="1972"/>
  <c r="Q79" i="1972" s="1"/>
  <c r="P55" i="1972"/>
  <c r="P79" i="1972" s="1"/>
  <c r="O55" i="1972"/>
  <c r="O79" i="1972" s="1"/>
  <c r="N55" i="1972"/>
  <c r="N79" i="1972" s="1"/>
  <c r="M55" i="1972"/>
  <c r="M79" i="1972" s="1"/>
  <c r="L55" i="1972"/>
  <c r="L79" i="1972" s="1"/>
  <c r="K55" i="1972"/>
  <c r="K79" i="1972" s="1"/>
  <c r="J55" i="1972"/>
  <c r="J79" i="1972" s="1"/>
  <c r="I55" i="1972"/>
  <c r="I79" i="1972" s="1"/>
  <c r="H55" i="1972"/>
  <c r="H79" i="1972" s="1"/>
  <c r="G55" i="1972"/>
  <c r="G79" i="1972" s="1"/>
  <c r="F55" i="1972"/>
  <c r="F79" i="1972" s="1"/>
  <c r="E55" i="1972"/>
  <c r="E79" i="1972" s="1"/>
  <c r="D55" i="1972"/>
  <c r="D79" i="1972" s="1"/>
  <c r="C55" i="1972"/>
  <c r="C79" i="1972" s="1"/>
  <c r="B55" i="1972"/>
  <c r="B79" i="1972" s="1"/>
  <c r="ER54" i="1972"/>
  <c r="EQ54" i="1972"/>
  <c r="ER53" i="1972"/>
  <c r="EQ53" i="1972"/>
  <c r="ER52" i="1972"/>
  <c r="EQ52" i="1972"/>
  <c r="ER51" i="1972"/>
  <c r="EQ51" i="1972"/>
  <c r="ER50" i="1972"/>
  <c r="EQ50" i="1972"/>
  <c r="ER49" i="1972"/>
  <c r="EQ49" i="1972"/>
  <c r="EG49" i="1972"/>
  <c r="EG44" i="1972" s="1"/>
  <c r="ER48" i="1972"/>
  <c r="EQ48" i="1972"/>
  <c r="ER47" i="1972"/>
  <c r="EQ47" i="1972"/>
  <c r="ER46" i="1972"/>
  <c r="EQ46" i="1972"/>
  <c r="ER45" i="1972"/>
  <c r="EQ45" i="1972"/>
  <c r="EO44" i="1972"/>
  <c r="EN44" i="1972"/>
  <c r="EM44" i="1972"/>
  <c r="EL44" i="1972"/>
  <c r="EK44" i="1972"/>
  <c r="EJ44" i="1972"/>
  <c r="EI44" i="1972"/>
  <c r="EH44" i="1972"/>
  <c r="EF44" i="1972"/>
  <c r="EE44" i="1972"/>
  <c r="ED44" i="1972"/>
  <c r="EC44" i="1972"/>
  <c r="EB44" i="1972"/>
  <c r="EA44" i="1972"/>
  <c r="DZ44" i="1972"/>
  <c r="DY44" i="1972"/>
  <c r="DX44" i="1972"/>
  <c r="DW44" i="1972"/>
  <c r="DV44" i="1972"/>
  <c r="DU44" i="1972"/>
  <c r="DT44" i="1972"/>
  <c r="DS44" i="1972"/>
  <c r="DR44" i="1972"/>
  <c r="DQ44" i="1972"/>
  <c r="DP44" i="1972"/>
  <c r="DO44" i="1972"/>
  <c r="DN44" i="1972"/>
  <c r="DM44" i="1972"/>
  <c r="DL44" i="1972"/>
  <c r="DK44" i="1972"/>
  <c r="DJ44" i="1972"/>
  <c r="DI44" i="1972"/>
  <c r="DH44" i="1972"/>
  <c r="DG44" i="1972"/>
  <c r="DF44" i="1972"/>
  <c r="DE44" i="1972"/>
  <c r="DD44" i="1972"/>
  <c r="DC44" i="1972"/>
  <c r="DB44" i="1972"/>
  <c r="DA44" i="1972"/>
  <c r="CZ44" i="1972"/>
  <c r="CY44" i="1972"/>
  <c r="CX44" i="1972"/>
  <c r="CW44" i="1972"/>
  <c r="CV44" i="1972"/>
  <c r="CU44" i="1972"/>
  <c r="CT44" i="1972"/>
  <c r="CS44" i="1972"/>
  <c r="CR44" i="1972"/>
  <c r="CQ44" i="1972"/>
  <c r="CP44" i="1972"/>
  <c r="CO44" i="1972"/>
  <c r="CN44" i="1972"/>
  <c r="CM44" i="1972"/>
  <c r="CL44" i="1972"/>
  <c r="CK44" i="1972"/>
  <c r="CJ44" i="1972"/>
  <c r="CI44" i="1972"/>
  <c r="CH44" i="1972"/>
  <c r="CG44" i="1972"/>
  <c r="CF44" i="1972"/>
  <c r="CE44" i="1972"/>
  <c r="CD44" i="1972"/>
  <c r="CC44" i="1972"/>
  <c r="CB44" i="1972"/>
  <c r="CA44" i="1972"/>
  <c r="BZ44" i="1972"/>
  <c r="BY44" i="1972"/>
  <c r="BX44" i="1972"/>
  <c r="BW44" i="1972"/>
  <c r="BV44" i="1972"/>
  <c r="BU44" i="1972"/>
  <c r="BT44" i="1972"/>
  <c r="BS44" i="1972"/>
  <c r="BR44" i="1972"/>
  <c r="BQ44" i="1972"/>
  <c r="BP44" i="1972"/>
  <c r="BO44" i="1972"/>
  <c r="BN44" i="1972"/>
  <c r="BM44" i="1972"/>
  <c r="BL44" i="1972"/>
  <c r="BK44" i="1972"/>
  <c r="BJ44" i="1972"/>
  <c r="BI44" i="1972"/>
  <c r="BH44" i="1972"/>
  <c r="BG44" i="1972"/>
  <c r="BF44" i="1972"/>
  <c r="BE44" i="1972"/>
  <c r="BD44" i="1972"/>
  <c r="BC44" i="1972"/>
  <c r="BB44" i="1972"/>
  <c r="BA44" i="1972"/>
  <c r="AZ44" i="1972"/>
  <c r="AY44" i="1972"/>
  <c r="AX44" i="1972"/>
  <c r="AW44" i="1972"/>
  <c r="AV44" i="1972"/>
  <c r="AU44" i="1972"/>
  <c r="AT44" i="1972"/>
  <c r="AS44" i="1972"/>
  <c r="AR44" i="1972"/>
  <c r="AQ44" i="1972"/>
  <c r="AP44" i="1972"/>
  <c r="AO44" i="1972"/>
  <c r="AN44" i="1972"/>
  <c r="AM44" i="1972"/>
  <c r="AL44" i="1972"/>
  <c r="AK44" i="1972"/>
  <c r="AJ44" i="1972"/>
  <c r="AI44" i="1972"/>
  <c r="AH44" i="1972"/>
  <c r="AG44" i="1972"/>
  <c r="AF44" i="1972"/>
  <c r="AE44" i="1972"/>
  <c r="AD44" i="1972"/>
  <c r="AC44" i="1972"/>
  <c r="AB44" i="1972"/>
  <c r="AA44" i="1972"/>
  <c r="Z44" i="1972"/>
  <c r="ER43" i="1972"/>
  <c r="EQ43" i="1972"/>
  <c r="ER42" i="1972"/>
  <c r="EQ42" i="1972"/>
  <c r="ER41" i="1972"/>
  <c r="EQ41" i="1972"/>
  <c r="ER40" i="1972"/>
  <c r="EQ40" i="1972"/>
  <c r="ER39" i="1972"/>
  <c r="EQ39" i="1972"/>
  <c r="AH39" i="1972"/>
  <c r="AH38" i="1972" s="1"/>
  <c r="EO38" i="1972"/>
  <c r="EN38" i="1972"/>
  <c r="EM38" i="1972"/>
  <c r="EL38" i="1972"/>
  <c r="EK38" i="1972"/>
  <c r="EJ38" i="1972"/>
  <c r="EI38" i="1972"/>
  <c r="EH38" i="1972"/>
  <c r="EG38" i="1972"/>
  <c r="EF38" i="1972"/>
  <c r="EE38" i="1972"/>
  <c r="ED38" i="1972"/>
  <c r="EC38" i="1972"/>
  <c r="EB38" i="1972"/>
  <c r="EA38" i="1972"/>
  <c r="DZ38" i="1972"/>
  <c r="DY38" i="1972"/>
  <c r="DX38" i="1972"/>
  <c r="DW38" i="1972"/>
  <c r="DV38" i="1972"/>
  <c r="DU38" i="1972"/>
  <c r="DT38" i="1972"/>
  <c r="DS38" i="1972"/>
  <c r="DR38" i="1972"/>
  <c r="DQ38" i="1972"/>
  <c r="DP38" i="1972"/>
  <c r="DO38" i="1972"/>
  <c r="DN38" i="1972"/>
  <c r="DM38" i="1972"/>
  <c r="DL38" i="1972"/>
  <c r="DK38" i="1972"/>
  <c r="DJ38" i="1972"/>
  <c r="DI38" i="1972"/>
  <c r="DH38" i="1972"/>
  <c r="DG38" i="1972"/>
  <c r="DF38" i="1972"/>
  <c r="DE38" i="1972"/>
  <c r="DD38" i="1972"/>
  <c r="DC38" i="1972"/>
  <c r="DB38" i="1972"/>
  <c r="DA38" i="1972"/>
  <c r="CZ38" i="1972"/>
  <c r="CY38" i="1972"/>
  <c r="CX38" i="1972"/>
  <c r="CW38" i="1972"/>
  <c r="CV38" i="1972"/>
  <c r="CU38" i="1972"/>
  <c r="CT38" i="1972"/>
  <c r="CS38" i="1972"/>
  <c r="CR38" i="1972"/>
  <c r="CQ38" i="1972"/>
  <c r="CP38" i="1972"/>
  <c r="CO38" i="1972"/>
  <c r="CN38" i="1972"/>
  <c r="CM38" i="1972"/>
  <c r="CL38" i="1972"/>
  <c r="CK38" i="1972"/>
  <c r="CJ38" i="1972"/>
  <c r="CI38" i="1972"/>
  <c r="CH38" i="1972"/>
  <c r="CG38" i="1972"/>
  <c r="CF38" i="1972"/>
  <c r="CE38" i="1972"/>
  <c r="CD38" i="1972"/>
  <c r="CC38" i="1972"/>
  <c r="CB38" i="1972"/>
  <c r="CA38" i="1972"/>
  <c r="BZ38" i="1972"/>
  <c r="BY38" i="1972"/>
  <c r="BX38" i="1972"/>
  <c r="BW38" i="1972"/>
  <c r="BV38" i="1972"/>
  <c r="BU38" i="1972"/>
  <c r="BT38" i="1972"/>
  <c r="BS38" i="1972"/>
  <c r="BR38" i="1972"/>
  <c r="BQ38" i="1972"/>
  <c r="BP38" i="1972"/>
  <c r="BO38" i="1972"/>
  <c r="BN38" i="1972"/>
  <c r="BM38" i="1972"/>
  <c r="BL38" i="1972"/>
  <c r="BK38" i="1972"/>
  <c r="BJ38" i="1972"/>
  <c r="BI38" i="1972"/>
  <c r="BH38" i="1972"/>
  <c r="BG38" i="1972"/>
  <c r="BF38" i="1972"/>
  <c r="BE38" i="1972"/>
  <c r="BD38" i="1972"/>
  <c r="BC38" i="1972"/>
  <c r="BB38" i="1972"/>
  <c r="BA38" i="1972"/>
  <c r="AZ38" i="1972"/>
  <c r="AY38" i="1972"/>
  <c r="AX38" i="1972"/>
  <c r="AW38" i="1972"/>
  <c r="AV38" i="1972"/>
  <c r="AU38" i="1972"/>
  <c r="AT38" i="1972"/>
  <c r="AS38" i="1972"/>
  <c r="AR38" i="1972"/>
  <c r="AQ38" i="1972"/>
  <c r="AP38" i="1972"/>
  <c r="AO38" i="1972"/>
  <c r="AN38" i="1972"/>
  <c r="AM38" i="1972"/>
  <c r="AL38" i="1972"/>
  <c r="AK38" i="1972"/>
  <c r="AJ38" i="1972"/>
  <c r="AI38" i="1972"/>
  <c r="AG38" i="1972"/>
  <c r="AF38" i="1972"/>
  <c r="AE38" i="1972"/>
  <c r="AD38" i="1972"/>
  <c r="AC38" i="1972"/>
  <c r="AB38" i="1972"/>
  <c r="AA38" i="1972"/>
  <c r="Z38" i="1972"/>
  <c r="Z29" i="1972" s="1"/>
  <c r="ER37" i="1972"/>
  <c r="EQ37" i="1972"/>
  <c r="ER36" i="1972"/>
  <c r="EQ36" i="1972"/>
  <c r="ER35" i="1972"/>
  <c r="EQ35" i="1972"/>
  <c r="ER34" i="1972"/>
  <c r="EQ34" i="1972"/>
  <c r="ER33" i="1972"/>
  <c r="EQ33" i="1972"/>
  <c r="ER32" i="1972"/>
  <c r="EQ32" i="1972"/>
  <c r="ER31" i="1972"/>
  <c r="EQ31" i="1972"/>
  <c r="EO30" i="1972"/>
  <c r="EN30" i="1972"/>
  <c r="EM30" i="1972"/>
  <c r="EL30" i="1972"/>
  <c r="EK30" i="1972"/>
  <c r="EJ30" i="1972"/>
  <c r="EI30" i="1972"/>
  <c r="EH30" i="1972"/>
  <c r="EG30" i="1972"/>
  <c r="EF30" i="1972"/>
  <c r="EE30" i="1972"/>
  <c r="ED30" i="1972"/>
  <c r="EC30" i="1972"/>
  <c r="EB30" i="1972"/>
  <c r="EA30" i="1972"/>
  <c r="DZ30" i="1972"/>
  <c r="DY30" i="1972"/>
  <c r="DX30" i="1972"/>
  <c r="DW30" i="1972"/>
  <c r="DV30" i="1972"/>
  <c r="DU30" i="1972"/>
  <c r="DT30" i="1972"/>
  <c r="DS30" i="1972"/>
  <c r="DR30" i="1972"/>
  <c r="DQ30" i="1972"/>
  <c r="DP30" i="1972"/>
  <c r="DO30" i="1972"/>
  <c r="DN30" i="1972"/>
  <c r="DM30" i="1972"/>
  <c r="DL30" i="1972"/>
  <c r="DK30" i="1972"/>
  <c r="DJ30" i="1972"/>
  <c r="DI30" i="1972"/>
  <c r="DH30" i="1972"/>
  <c r="DG30" i="1972"/>
  <c r="DF30" i="1972"/>
  <c r="DE30" i="1972"/>
  <c r="DD30" i="1972"/>
  <c r="DC30" i="1972"/>
  <c r="DB30" i="1972"/>
  <c r="DA30" i="1972"/>
  <c r="CZ30" i="1972"/>
  <c r="CY30" i="1972"/>
  <c r="CX30" i="1972"/>
  <c r="CW30" i="1972"/>
  <c r="CW29" i="1972" s="1"/>
  <c r="CV30" i="1972"/>
  <c r="CU30" i="1972"/>
  <c r="CT30" i="1972"/>
  <c r="CS30" i="1972"/>
  <c r="CS29" i="1972" s="1"/>
  <c r="CR30" i="1972"/>
  <c r="CR29" i="1972" s="1"/>
  <c r="CQ30" i="1972"/>
  <c r="CP30" i="1972"/>
  <c r="CP29" i="1972" s="1"/>
  <c r="CO30" i="1972"/>
  <c r="CO29" i="1972" s="1"/>
  <c r="CN30" i="1972"/>
  <c r="CN29" i="1972" s="1"/>
  <c r="CM30" i="1972"/>
  <c r="CL30" i="1972"/>
  <c r="CK30" i="1972"/>
  <c r="CK29" i="1972" s="1"/>
  <c r="CJ30" i="1972"/>
  <c r="CI30" i="1972"/>
  <c r="CI29" i="1972" s="1"/>
  <c r="CH30" i="1972"/>
  <c r="CG30" i="1972"/>
  <c r="CF30" i="1972"/>
  <c r="CE30" i="1972"/>
  <c r="CD30" i="1972"/>
  <c r="CC30" i="1972"/>
  <c r="CC29" i="1972" s="1"/>
  <c r="CB30" i="1972"/>
  <c r="CB29" i="1972" s="1"/>
  <c r="CA30" i="1972"/>
  <c r="CA29" i="1972" s="1"/>
  <c r="BZ30" i="1972"/>
  <c r="BY30" i="1972"/>
  <c r="BY29" i="1972" s="1"/>
  <c r="BX30" i="1972"/>
  <c r="BW30" i="1972"/>
  <c r="BW29" i="1972" s="1"/>
  <c r="BV30" i="1972"/>
  <c r="BU30" i="1972"/>
  <c r="BU29" i="1972" s="1"/>
  <c r="BT30" i="1972"/>
  <c r="BT29" i="1972" s="1"/>
  <c r="BS30" i="1972"/>
  <c r="BS29" i="1972" s="1"/>
  <c r="BR30" i="1972"/>
  <c r="BR29" i="1972" s="1"/>
  <c r="BQ30" i="1972"/>
  <c r="BQ29" i="1972" s="1"/>
  <c r="BP30" i="1972"/>
  <c r="BP29" i="1972" s="1"/>
  <c r="BO30" i="1972"/>
  <c r="BO29" i="1972" s="1"/>
  <c r="BN30" i="1972"/>
  <c r="BM30" i="1972"/>
  <c r="BM29" i="1972" s="1"/>
  <c r="BL30" i="1972"/>
  <c r="BK30" i="1972"/>
  <c r="BK29" i="1972" s="1"/>
  <c r="BJ30" i="1972"/>
  <c r="BI30" i="1972"/>
  <c r="BI29" i="1972" s="1"/>
  <c r="BH30" i="1972"/>
  <c r="BH29" i="1972" s="1"/>
  <c r="BG30" i="1972"/>
  <c r="BG29" i="1972" s="1"/>
  <c r="BF30" i="1972"/>
  <c r="BF29" i="1972" s="1"/>
  <c r="BE30" i="1972"/>
  <c r="BE29" i="1972" s="1"/>
  <c r="BD30" i="1972"/>
  <c r="BD29" i="1972" s="1"/>
  <c r="BC30" i="1972"/>
  <c r="BC29" i="1972" s="1"/>
  <c r="BB30" i="1972"/>
  <c r="BA30" i="1972"/>
  <c r="BA29" i="1972" s="1"/>
  <c r="AZ30" i="1972"/>
  <c r="AY30" i="1972"/>
  <c r="AY29" i="1972" s="1"/>
  <c r="AX30" i="1972"/>
  <c r="AW30" i="1972"/>
  <c r="AW29" i="1972" s="1"/>
  <c r="AV30" i="1972"/>
  <c r="AV29" i="1972" s="1"/>
  <c r="AU30" i="1972"/>
  <c r="AU29" i="1972" s="1"/>
  <c r="AT30" i="1972"/>
  <c r="AT29" i="1972" s="1"/>
  <c r="AS30" i="1972"/>
  <c r="AR30" i="1972"/>
  <c r="AR29" i="1972" s="1"/>
  <c r="AQ30" i="1972"/>
  <c r="AQ29" i="1972" s="1"/>
  <c r="AP30" i="1972"/>
  <c r="AO30" i="1972"/>
  <c r="AO29" i="1972" s="1"/>
  <c r="AN30" i="1972"/>
  <c r="AM30" i="1972"/>
  <c r="AM29" i="1972" s="1"/>
  <c r="AL30" i="1972"/>
  <c r="AK30" i="1972"/>
  <c r="AK29" i="1972" s="1"/>
  <c r="AJ30" i="1972"/>
  <c r="AI30" i="1972"/>
  <c r="AH30" i="1972"/>
  <c r="AG30" i="1972"/>
  <c r="AF30" i="1972"/>
  <c r="AE30" i="1972"/>
  <c r="AD30" i="1972"/>
  <c r="AC30" i="1972"/>
  <c r="AB30" i="1972"/>
  <c r="AA30" i="1972"/>
  <c r="Z30" i="1972"/>
  <c r="Y29" i="1972"/>
  <c r="X29" i="1972"/>
  <c r="W29" i="1972"/>
  <c r="V29" i="1972"/>
  <c r="U29" i="1972"/>
  <c r="T29" i="1972"/>
  <c r="S29" i="1972"/>
  <c r="R29" i="1972"/>
  <c r="Q29" i="1972"/>
  <c r="P29" i="1972"/>
  <c r="O29" i="1972"/>
  <c r="N29" i="1972"/>
  <c r="M29" i="1972"/>
  <c r="L29" i="1972"/>
  <c r="K29" i="1972"/>
  <c r="J29" i="1972"/>
  <c r="I29" i="1972"/>
  <c r="H29" i="1972"/>
  <c r="G29" i="1972"/>
  <c r="F29" i="1972"/>
  <c r="E29" i="1972"/>
  <c r="D29" i="1972"/>
  <c r="C29" i="1972"/>
  <c r="B29" i="1972"/>
  <c r="ER28" i="1972"/>
  <c r="EQ28" i="1972"/>
  <c r="ER27" i="1972"/>
  <c r="EQ27" i="1972"/>
  <c r="ER26" i="1972"/>
  <c r="EQ26" i="1972"/>
  <c r="ER25" i="1972"/>
  <c r="EQ25" i="1972"/>
  <c r="ER24" i="1972"/>
  <c r="EQ24" i="1972"/>
  <c r="ER23" i="1972"/>
  <c r="EQ23" i="1972"/>
  <c r="ER22" i="1972"/>
  <c r="EQ22" i="1972"/>
  <c r="ER21" i="1972"/>
  <c r="EQ21" i="1972"/>
  <c r="AG21" i="1972"/>
  <c r="AG20" i="1972" s="1"/>
  <c r="EO20" i="1972"/>
  <c r="EN20" i="1972"/>
  <c r="EM20" i="1972"/>
  <c r="EL20" i="1972"/>
  <c r="EK20" i="1972"/>
  <c r="EJ20" i="1972"/>
  <c r="EI20" i="1972"/>
  <c r="EH20" i="1972"/>
  <c r="EG20" i="1972"/>
  <c r="EF20" i="1972"/>
  <c r="EE20" i="1972"/>
  <c r="ED20" i="1972"/>
  <c r="EC20" i="1972"/>
  <c r="EB20" i="1972"/>
  <c r="EA20" i="1972"/>
  <c r="DZ20" i="1972"/>
  <c r="DY20" i="1972"/>
  <c r="DX20" i="1972"/>
  <c r="DW20" i="1972"/>
  <c r="DV20" i="1972"/>
  <c r="DU20" i="1972"/>
  <c r="DT20" i="1972"/>
  <c r="DS20" i="1972"/>
  <c r="DR20" i="1972"/>
  <c r="DQ20" i="1972"/>
  <c r="DP20" i="1972"/>
  <c r="DO20" i="1972"/>
  <c r="DN20" i="1972"/>
  <c r="DM20" i="1972"/>
  <c r="DL20" i="1972"/>
  <c r="DK20" i="1972"/>
  <c r="DJ20" i="1972"/>
  <c r="DI20" i="1972"/>
  <c r="DH20" i="1972"/>
  <c r="DG20" i="1972"/>
  <c r="DF20" i="1972"/>
  <c r="DE20" i="1972"/>
  <c r="DD20" i="1972"/>
  <c r="DC20" i="1972"/>
  <c r="DB20" i="1972"/>
  <c r="DA20" i="1972"/>
  <c r="CZ20" i="1972"/>
  <c r="CY20" i="1972"/>
  <c r="CX20" i="1972"/>
  <c r="CW20" i="1972"/>
  <c r="CV20" i="1972"/>
  <c r="CU20" i="1972"/>
  <c r="CT20" i="1972"/>
  <c r="CS20" i="1972"/>
  <c r="CS19" i="1972" s="1"/>
  <c r="CR20" i="1972"/>
  <c r="CR19" i="1972" s="1"/>
  <c r="CQ20" i="1972"/>
  <c r="CP20" i="1972"/>
  <c r="CP19" i="1972" s="1"/>
  <c r="CO20" i="1972"/>
  <c r="CO19" i="1972" s="1"/>
  <c r="CN20" i="1972"/>
  <c r="CN19" i="1972" s="1"/>
  <c r="CM20" i="1972"/>
  <c r="CL20" i="1972"/>
  <c r="CK20" i="1972"/>
  <c r="CJ20" i="1972"/>
  <c r="CI20" i="1972"/>
  <c r="CH20" i="1972"/>
  <c r="CG20" i="1972"/>
  <c r="CF20" i="1972"/>
  <c r="CE20" i="1972"/>
  <c r="CD20" i="1972"/>
  <c r="CC20" i="1972"/>
  <c r="CC19" i="1972" s="1"/>
  <c r="CB20" i="1972"/>
  <c r="CB19" i="1972" s="1"/>
  <c r="CA20" i="1972"/>
  <c r="BZ20" i="1972"/>
  <c r="BY20" i="1972"/>
  <c r="BX20" i="1972"/>
  <c r="BW20" i="1972"/>
  <c r="BV20" i="1972"/>
  <c r="BU20" i="1972"/>
  <c r="BU19" i="1972" s="1"/>
  <c r="BT20" i="1972"/>
  <c r="BT19" i="1972" s="1"/>
  <c r="BS20" i="1972"/>
  <c r="BS19" i="1972" s="1"/>
  <c r="BR20" i="1972"/>
  <c r="BR19" i="1972" s="1"/>
  <c r="BQ20" i="1972"/>
  <c r="BP20" i="1972"/>
  <c r="BP19" i="1972" s="1"/>
  <c r="BO20" i="1972"/>
  <c r="BN20" i="1972"/>
  <c r="BM20" i="1972"/>
  <c r="BL20" i="1972"/>
  <c r="BK20" i="1972"/>
  <c r="BJ20" i="1972"/>
  <c r="BI20" i="1972"/>
  <c r="BI19" i="1972" s="1"/>
  <c r="BH20" i="1972"/>
  <c r="BH19" i="1972" s="1"/>
  <c r="BG20" i="1972"/>
  <c r="BG19" i="1972" s="1"/>
  <c r="BF20" i="1972"/>
  <c r="BF19" i="1972" s="1"/>
  <c r="BE20" i="1972"/>
  <c r="BD20" i="1972"/>
  <c r="BC20" i="1972"/>
  <c r="BB20" i="1972"/>
  <c r="BA20" i="1972"/>
  <c r="AZ20" i="1972"/>
  <c r="AY20" i="1972"/>
  <c r="AX20" i="1972"/>
  <c r="AW20" i="1972"/>
  <c r="AV20" i="1972"/>
  <c r="AU20" i="1972"/>
  <c r="AT20" i="1972"/>
  <c r="AS20" i="1972"/>
  <c r="AR20" i="1972"/>
  <c r="AR19" i="1972" s="1"/>
  <c r="AQ20" i="1972"/>
  <c r="AP20" i="1972"/>
  <c r="AO20" i="1972"/>
  <c r="AN20" i="1972"/>
  <c r="AM20" i="1972"/>
  <c r="AL20" i="1972"/>
  <c r="AK20" i="1972"/>
  <c r="AK19" i="1972" s="1"/>
  <c r="AJ20" i="1972"/>
  <c r="AI20" i="1972"/>
  <c r="AH20" i="1972"/>
  <c r="AF20" i="1972"/>
  <c r="AE20" i="1972"/>
  <c r="AD20" i="1972"/>
  <c r="AC20" i="1972"/>
  <c r="AB20" i="1972"/>
  <c r="AA20" i="1972"/>
  <c r="Z20" i="1972"/>
  <c r="Y20" i="1972"/>
  <c r="X20" i="1972"/>
  <c r="W20" i="1972"/>
  <c r="V20" i="1972"/>
  <c r="U20" i="1972"/>
  <c r="T20" i="1972"/>
  <c r="S20" i="1972"/>
  <c r="R20" i="1972"/>
  <c r="Q20" i="1972"/>
  <c r="P20" i="1972"/>
  <c r="O20" i="1972"/>
  <c r="N20" i="1972"/>
  <c r="M20" i="1972"/>
  <c r="L20" i="1972"/>
  <c r="K20" i="1972"/>
  <c r="J20" i="1972"/>
  <c r="I20" i="1972"/>
  <c r="H20" i="1972"/>
  <c r="G20" i="1972"/>
  <c r="F20" i="1972"/>
  <c r="E20" i="1972"/>
  <c r="D20" i="1972"/>
  <c r="C20" i="1972"/>
  <c r="B20" i="1972"/>
  <c r="ER18" i="1972"/>
  <c r="EQ18" i="1972"/>
  <c r="ER17" i="1972"/>
  <c r="EQ17" i="1972"/>
  <c r="ER16" i="1972"/>
  <c r="EQ16" i="1972"/>
  <c r="ER15" i="1972"/>
  <c r="EQ15" i="1972"/>
  <c r="ER14" i="1972"/>
  <c r="EQ14" i="1972"/>
  <c r="ER13" i="1972"/>
  <c r="EQ13" i="1972"/>
  <c r="ER12" i="1972"/>
  <c r="EQ12" i="1972"/>
  <c r="ER11" i="1972"/>
  <c r="EQ11" i="1972"/>
  <c r="ER10" i="1972"/>
  <c r="EQ10" i="1972"/>
  <c r="EO9" i="1972"/>
  <c r="EN9" i="1972"/>
  <c r="EM9" i="1972"/>
  <c r="EL9" i="1972"/>
  <c r="EK9" i="1972"/>
  <c r="EJ9" i="1972"/>
  <c r="EI9" i="1972"/>
  <c r="EH9" i="1972"/>
  <c r="EG9" i="1972"/>
  <c r="EF9" i="1972"/>
  <c r="EE9" i="1972"/>
  <c r="ED9" i="1972"/>
  <c r="EC9" i="1972"/>
  <c r="EB9" i="1972"/>
  <c r="EA9" i="1972"/>
  <c r="DZ9" i="1972"/>
  <c r="DY9" i="1972"/>
  <c r="DX9" i="1972"/>
  <c r="DW9" i="1972"/>
  <c r="DV9" i="1972"/>
  <c r="DU9" i="1972"/>
  <c r="DT9" i="1972"/>
  <c r="DS9" i="1972"/>
  <c r="DR9" i="1972"/>
  <c r="DQ9" i="1972"/>
  <c r="DP9" i="1972"/>
  <c r="DO9" i="1972"/>
  <c r="DN9" i="1972"/>
  <c r="DM9" i="1972"/>
  <c r="DL9" i="1972"/>
  <c r="DK9" i="1972"/>
  <c r="DJ9" i="1972"/>
  <c r="DI9" i="1972"/>
  <c r="DH9" i="1972"/>
  <c r="DG9" i="1972"/>
  <c r="DF9" i="1972"/>
  <c r="DE9" i="1972"/>
  <c r="DD9" i="1972"/>
  <c r="DC9" i="1972"/>
  <c r="DB9" i="1972"/>
  <c r="DA9" i="1972"/>
  <c r="CZ9" i="1972"/>
  <c r="CY9" i="1972"/>
  <c r="CX9" i="1972"/>
  <c r="CW9" i="1972"/>
  <c r="CV9" i="1972"/>
  <c r="CU9" i="1972"/>
  <c r="CT9" i="1972"/>
  <c r="CS9" i="1972"/>
  <c r="CS7" i="1972" s="1"/>
  <c r="CR9" i="1972"/>
  <c r="CQ9" i="1972"/>
  <c r="CP9" i="1972"/>
  <c r="CO9" i="1972"/>
  <c r="CN9" i="1972"/>
  <c r="CM9" i="1972"/>
  <c r="CL9" i="1972"/>
  <c r="CK9" i="1972"/>
  <c r="CJ9" i="1972"/>
  <c r="CI9" i="1972"/>
  <c r="CH9" i="1972"/>
  <c r="CG9" i="1972"/>
  <c r="CF9" i="1972"/>
  <c r="CE9" i="1972"/>
  <c r="CD9" i="1972"/>
  <c r="CC9" i="1972"/>
  <c r="CB9" i="1972"/>
  <c r="CA9" i="1972"/>
  <c r="BZ9" i="1972"/>
  <c r="BY9" i="1972"/>
  <c r="BX9" i="1972"/>
  <c r="BW9" i="1972"/>
  <c r="BV9" i="1972"/>
  <c r="BU9" i="1972"/>
  <c r="BU7" i="1972" s="1"/>
  <c r="BU70" i="1972" s="1"/>
  <c r="BT9" i="1972"/>
  <c r="BS9" i="1972"/>
  <c r="BR9" i="1972"/>
  <c r="BQ9" i="1972"/>
  <c r="BP9" i="1972"/>
  <c r="BO9" i="1972"/>
  <c r="BN9" i="1972"/>
  <c r="BM9" i="1972"/>
  <c r="BL9" i="1972"/>
  <c r="BK9" i="1972"/>
  <c r="BJ9" i="1972"/>
  <c r="BI9" i="1972"/>
  <c r="BI7" i="1972" s="1"/>
  <c r="BI70" i="1972" s="1"/>
  <c r="BH9" i="1972"/>
  <c r="BG9" i="1972"/>
  <c r="BF9" i="1972"/>
  <c r="BE9" i="1972"/>
  <c r="BD9" i="1972"/>
  <c r="BC9" i="1972"/>
  <c r="BB9" i="1972"/>
  <c r="BA9" i="1972"/>
  <c r="AZ9" i="1972"/>
  <c r="AY9" i="1972"/>
  <c r="AX9" i="1972"/>
  <c r="AW9" i="1972"/>
  <c r="AV9" i="1972"/>
  <c r="AU9" i="1972"/>
  <c r="AT9" i="1972"/>
  <c r="AS9" i="1972"/>
  <c r="AR9" i="1972"/>
  <c r="AQ9" i="1972"/>
  <c r="AP9" i="1972"/>
  <c r="AO9" i="1972"/>
  <c r="AN9" i="1972"/>
  <c r="AM9" i="1972"/>
  <c r="AL9" i="1972"/>
  <c r="AK9" i="1972"/>
  <c r="AK7" i="1972" s="1"/>
  <c r="AJ9" i="1972"/>
  <c r="AI9" i="1972"/>
  <c r="AH9" i="1972"/>
  <c r="AG9" i="1972"/>
  <c r="AF9" i="1972"/>
  <c r="AE9" i="1972"/>
  <c r="AD9" i="1972"/>
  <c r="AC9" i="1972"/>
  <c r="AB9" i="1972"/>
  <c r="AA9" i="1972"/>
  <c r="Z9" i="1972"/>
  <c r="Y9" i="1972"/>
  <c r="X9" i="1972"/>
  <c r="W9" i="1972"/>
  <c r="V9" i="1972"/>
  <c r="U9" i="1972"/>
  <c r="T9" i="1972"/>
  <c r="S9" i="1972"/>
  <c r="R9" i="1972"/>
  <c r="Q9" i="1972"/>
  <c r="P9" i="1972"/>
  <c r="O9" i="1972"/>
  <c r="N9" i="1972"/>
  <c r="M9" i="1972"/>
  <c r="L9" i="1972"/>
  <c r="K9" i="1972"/>
  <c r="J9" i="1972"/>
  <c r="I9" i="1972"/>
  <c r="H9" i="1972"/>
  <c r="G9" i="1972"/>
  <c r="F9" i="1972"/>
  <c r="E9" i="1972"/>
  <c r="D9" i="1972"/>
  <c r="C9" i="1972"/>
  <c r="B9" i="1972"/>
  <c r="BV24" i="1971"/>
  <c r="HW15" i="1971"/>
  <c r="HV15" i="1971"/>
  <c r="DJ15" i="1971"/>
  <c r="DI15" i="1971"/>
  <c r="DH15" i="1971"/>
  <c r="DG15" i="1971"/>
  <c r="DF15" i="1971"/>
  <c r="H15" i="1971"/>
  <c r="G15" i="1971"/>
  <c r="F15" i="1971"/>
  <c r="E15" i="1971"/>
  <c r="D15" i="1971"/>
  <c r="HW14" i="1971"/>
  <c r="HV14" i="1971"/>
  <c r="DJ14" i="1971"/>
  <c r="DI14" i="1971"/>
  <c r="DH14" i="1971"/>
  <c r="DG14" i="1971"/>
  <c r="DF14" i="1971"/>
  <c r="H14" i="1971"/>
  <c r="G14" i="1971"/>
  <c r="F14" i="1971"/>
  <c r="F12" i="1971" s="1"/>
  <c r="E14" i="1971"/>
  <c r="D14" i="1971"/>
  <c r="C14" i="1971"/>
  <c r="C12" i="1971" s="1"/>
  <c r="HW13" i="1971"/>
  <c r="HV13" i="1971"/>
  <c r="DJ13" i="1971"/>
  <c r="DI13" i="1971"/>
  <c r="DH13" i="1971"/>
  <c r="DG13" i="1971"/>
  <c r="DF13" i="1971"/>
  <c r="HU12" i="1971"/>
  <c r="HT12" i="1971"/>
  <c r="HS12" i="1971"/>
  <c r="HR12" i="1971"/>
  <c r="HQ12" i="1971"/>
  <c r="HP12" i="1971"/>
  <c r="HO12" i="1971"/>
  <c r="HN12" i="1971"/>
  <c r="HM12" i="1971"/>
  <c r="HL12" i="1971"/>
  <c r="HK12" i="1971"/>
  <c r="HJ12" i="1971"/>
  <c r="HJ24" i="1971" s="1"/>
  <c r="HI12" i="1971"/>
  <c r="HI24" i="1971" s="1"/>
  <c r="HH12" i="1971"/>
  <c r="HH24" i="1971" s="1"/>
  <c r="HG12" i="1971"/>
  <c r="HG24" i="1971" s="1"/>
  <c r="HF12" i="1971"/>
  <c r="HF24" i="1971" s="1"/>
  <c r="HE12" i="1971"/>
  <c r="HE24" i="1971" s="1"/>
  <c r="HD12" i="1971"/>
  <c r="HD24" i="1971" s="1"/>
  <c r="HC12" i="1971"/>
  <c r="HC24" i="1971" s="1"/>
  <c r="HB12" i="1971"/>
  <c r="HB24" i="1971" s="1"/>
  <c r="HA12" i="1971"/>
  <c r="HA24" i="1971" s="1"/>
  <c r="GZ12" i="1971"/>
  <c r="GZ24" i="1971" s="1"/>
  <c r="GY12" i="1971"/>
  <c r="GY24" i="1971" s="1"/>
  <c r="GX12" i="1971"/>
  <c r="GX24" i="1971" s="1"/>
  <c r="GW12" i="1971"/>
  <c r="GW24" i="1971" s="1"/>
  <c r="GV12" i="1971"/>
  <c r="GV24" i="1971" s="1"/>
  <c r="GU12" i="1971"/>
  <c r="GU24" i="1971" s="1"/>
  <c r="GT12" i="1971"/>
  <c r="GT24" i="1971" s="1"/>
  <c r="GS12" i="1971"/>
  <c r="GS24" i="1971" s="1"/>
  <c r="GR12" i="1971"/>
  <c r="GR24" i="1971" s="1"/>
  <c r="GQ12" i="1971"/>
  <c r="GQ24" i="1971" s="1"/>
  <c r="GP12" i="1971"/>
  <c r="GP24" i="1971" s="1"/>
  <c r="GO12" i="1971"/>
  <c r="GO24" i="1971" s="1"/>
  <c r="GN12" i="1971"/>
  <c r="GN24" i="1971" s="1"/>
  <c r="GM12" i="1971"/>
  <c r="GM24" i="1971" s="1"/>
  <c r="GL12" i="1971"/>
  <c r="GL24" i="1971" s="1"/>
  <c r="GK12" i="1971"/>
  <c r="GK24" i="1971" s="1"/>
  <c r="GJ12" i="1971"/>
  <c r="GJ24" i="1971" s="1"/>
  <c r="GI12" i="1971"/>
  <c r="GI24" i="1971" s="1"/>
  <c r="GH12" i="1971"/>
  <c r="GH24" i="1971" s="1"/>
  <c r="GG12" i="1971"/>
  <c r="GG24" i="1971" s="1"/>
  <c r="GF12" i="1971"/>
  <c r="GF24" i="1971" s="1"/>
  <c r="GE12" i="1971"/>
  <c r="GE24" i="1971" s="1"/>
  <c r="GD12" i="1971"/>
  <c r="GD24" i="1971" s="1"/>
  <c r="GC12" i="1971"/>
  <c r="GC24" i="1971" s="1"/>
  <c r="GB12" i="1971"/>
  <c r="GB24" i="1971" s="1"/>
  <c r="GA12" i="1971"/>
  <c r="GA24" i="1971" s="1"/>
  <c r="FZ12" i="1971"/>
  <c r="FZ24" i="1971" s="1"/>
  <c r="FY12" i="1971"/>
  <c r="FY24" i="1971" s="1"/>
  <c r="FX12" i="1971"/>
  <c r="FX24" i="1971" s="1"/>
  <c r="FW12" i="1971"/>
  <c r="FW24" i="1971" s="1"/>
  <c r="FV12" i="1971"/>
  <c r="FV24" i="1971" s="1"/>
  <c r="FU12" i="1971"/>
  <c r="FU24" i="1971" s="1"/>
  <c r="FT12" i="1971"/>
  <c r="FT24" i="1971" s="1"/>
  <c r="FS12" i="1971"/>
  <c r="FS24" i="1971" s="1"/>
  <c r="FR12" i="1971"/>
  <c r="FR24" i="1971" s="1"/>
  <c r="FQ12" i="1971"/>
  <c r="FQ24" i="1971" s="1"/>
  <c r="FP12" i="1971"/>
  <c r="FP24" i="1971" s="1"/>
  <c r="FO12" i="1971"/>
  <c r="FO24" i="1971" s="1"/>
  <c r="FN12" i="1971"/>
  <c r="FN24" i="1971" s="1"/>
  <c r="FM12" i="1971"/>
  <c r="FM24" i="1971" s="1"/>
  <c r="FL12" i="1971"/>
  <c r="FL24" i="1971" s="1"/>
  <c r="FK12" i="1971"/>
  <c r="FK24" i="1971" s="1"/>
  <c r="FJ12" i="1971"/>
  <c r="FJ24" i="1971" s="1"/>
  <c r="FI12" i="1971"/>
  <c r="FI24" i="1971" s="1"/>
  <c r="FH12" i="1971"/>
  <c r="FH24" i="1971" s="1"/>
  <c r="FG12" i="1971"/>
  <c r="FG24" i="1971" s="1"/>
  <c r="FF12" i="1971"/>
  <c r="FF24" i="1971" s="1"/>
  <c r="FE12" i="1971"/>
  <c r="FE24" i="1971" s="1"/>
  <c r="FD12" i="1971"/>
  <c r="FD24" i="1971" s="1"/>
  <c r="FC12" i="1971"/>
  <c r="FC24" i="1971" s="1"/>
  <c r="FB12" i="1971"/>
  <c r="FB24" i="1971" s="1"/>
  <c r="FA12" i="1971"/>
  <c r="FA24" i="1971" s="1"/>
  <c r="EZ12" i="1971"/>
  <c r="EZ24" i="1971" s="1"/>
  <c r="EY12" i="1971"/>
  <c r="EY24" i="1971" s="1"/>
  <c r="EX12" i="1971"/>
  <c r="EX24" i="1971" s="1"/>
  <c r="EW12" i="1971"/>
  <c r="EW24" i="1971" s="1"/>
  <c r="EV12" i="1971"/>
  <c r="EV24" i="1971" s="1"/>
  <c r="EU12" i="1971"/>
  <c r="EU24" i="1971" s="1"/>
  <c r="ET12" i="1971"/>
  <c r="ET24" i="1971" s="1"/>
  <c r="ES12" i="1971"/>
  <c r="ES24" i="1971" s="1"/>
  <c r="ER12" i="1971"/>
  <c r="ER24" i="1971" s="1"/>
  <c r="EQ12" i="1971"/>
  <c r="EQ24" i="1971" s="1"/>
  <c r="EP12" i="1971"/>
  <c r="EP24" i="1971" s="1"/>
  <c r="EO12" i="1971"/>
  <c r="EO24" i="1971" s="1"/>
  <c r="EN12" i="1971"/>
  <c r="EN24" i="1971" s="1"/>
  <c r="EM12" i="1971"/>
  <c r="EM24" i="1971" s="1"/>
  <c r="EL12" i="1971"/>
  <c r="EL24" i="1971" s="1"/>
  <c r="EK12" i="1971"/>
  <c r="EK24" i="1971" s="1"/>
  <c r="EJ12" i="1971"/>
  <c r="EJ24" i="1971" s="1"/>
  <c r="EI12" i="1971"/>
  <c r="EI24" i="1971" s="1"/>
  <c r="EH12" i="1971"/>
  <c r="EH24" i="1971" s="1"/>
  <c r="EG12" i="1971"/>
  <c r="EG24" i="1971" s="1"/>
  <c r="EF12" i="1971"/>
  <c r="EF24" i="1971" s="1"/>
  <c r="EE12" i="1971"/>
  <c r="EE24" i="1971" s="1"/>
  <c r="ED12" i="1971"/>
  <c r="ED24" i="1971" s="1"/>
  <c r="EC12" i="1971"/>
  <c r="EC24" i="1971" s="1"/>
  <c r="EB12" i="1971"/>
  <c r="EB24" i="1971" s="1"/>
  <c r="EA12" i="1971"/>
  <c r="EA24" i="1971" s="1"/>
  <c r="DZ12" i="1971"/>
  <c r="DZ24" i="1971" s="1"/>
  <c r="DY12" i="1971"/>
  <c r="DY24" i="1971" s="1"/>
  <c r="DX12" i="1971"/>
  <c r="DX24" i="1971" s="1"/>
  <c r="DW12" i="1971"/>
  <c r="DW24" i="1971" s="1"/>
  <c r="DV12" i="1971"/>
  <c r="DV24" i="1971" s="1"/>
  <c r="DU12" i="1971"/>
  <c r="DU24" i="1971" s="1"/>
  <c r="DT12" i="1971"/>
  <c r="DT24" i="1971" s="1"/>
  <c r="DS12" i="1971"/>
  <c r="DS24" i="1971" s="1"/>
  <c r="DR12" i="1971"/>
  <c r="DR24" i="1971" s="1"/>
  <c r="DQ12" i="1971"/>
  <c r="DQ24" i="1971" s="1"/>
  <c r="DP12" i="1971"/>
  <c r="DP24" i="1971" s="1"/>
  <c r="DO12" i="1971"/>
  <c r="DO24" i="1971" s="1"/>
  <c r="DN12" i="1971"/>
  <c r="DN24" i="1971" s="1"/>
  <c r="DM12" i="1971"/>
  <c r="DM24" i="1971" s="1"/>
  <c r="DL12" i="1971"/>
  <c r="DL24" i="1971" s="1"/>
  <c r="DK12" i="1971"/>
  <c r="DK24" i="1971" s="1"/>
  <c r="DE12" i="1971"/>
  <c r="DE24" i="1971" s="1"/>
  <c r="DD12" i="1971"/>
  <c r="DD24" i="1971" s="1"/>
  <c r="DC12" i="1971"/>
  <c r="DC24" i="1971" s="1"/>
  <c r="DB12" i="1971"/>
  <c r="DB24" i="1971" s="1"/>
  <c r="DA12" i="1971"/>
  <c r="DA24" i="1971" s="1"/>
  <c r="CZ12" i="1971"/>
  <c r="CZ24" i="1971" s="1"/>
  <c r="CY12" i="1971"/>
  <c r="CY24" i="1971" s="1"/>
  <c r="CX12" i="1971"/>
  <c r="CX24" i="1971" s="1"/>
  <c r="CW12" i="1971"/>
  <c r="CW24" i="1971" s="1"/>
  <c r="CV12" i="1971"/>
  <c r="CV24" i="1971" s="1"/>
  <c r="CU12" i="1971"/>
  <c r="CU24" i="1971" s="1"/>
  <c r="CT12" i="1971"/>
  <c r="CT24" i="1971" s="1"/>
  <c r="CS12" i="1971"/>
  <c r="CS24" i="1971" s="1"/>
  <c r="CR12" i="1971"/>
  <c r="CR24" i="1971" s="1"/>
  <c r="CQ12" i="1971"/>
  <c r="CQ24" i="1971" s="1"/>
  <c r="CP12" i="1971"/>
  <c r="CP24" i="1971" s="1"/>
  <c r="CO12" i="1971"/>
  <c r="CO24" i="1971" s="1"/>
  <c r="CN12" i="1971"/>
  <c r="CN24" i="1971" s="1"/>
  <c r="CM12" i="1971"/>
  <c r="CM24" i="1971" s="1"/>
  <c r="CL12" i="1971"/>
  <c r="CL24" i="1971" s="1"/>
  <c r="CK12" i="1971"/>
  <c r="CK24" i="1971" s="1"/>
  <c r="CJ12" i="1971"/>
  <c r="CJ24" i="1971" s="1"/>
  <c r="CI12" i="1971"/>
  <c r="CI24" i="1971" s="1"/>
  <c r="CH12" i="1971"/>
  <c r="CH24" i="1971" s="1"/>
  <c r="CG12" i="1971"/>
  <c r="CG24" i="1971" s="1"/>
  <c r="CF12" i="1971"/>
  <c r="CF24" i="1971" s="1"/>
  <c r="CE12" i="1971"/>
  <c r="CE24" i="1971" s="1"/>
  <c r="CD12" i="1971"/>
  <c r="CD24" i="1971" s="1"/>
  <c r="CC12" i="1971"/>
  <c r="CC24" i="1971" s="1"/>
  <c r="CB12" i="1971"/>
  <c r="CB24" i="1971" s="1"/>
  <c r="CA12" i="1971"/>
  <c r="CA24" i="1971" s="1"/>
  <c r="BZ12" i="1971"/>
  <c r="BZ24" i="1971" s="1"/>
  <c r="BY12" i="1971"/>
  <c r="BY24" i="1971" s="1"/>
  <c r="BX12" i="1971"/>
  <c r="BX24" i="1971" s="1"/>
  <c r="BW12" i="1971"/>
  <c r="BW24" i="1971" s="1"/>
  <c r="BU12" i="1971"/>
  <c r="BT12" i="1971"/>
  <c r="BS12" i="1971"/>
  <c r="BR12" i="1971"/>
  <c r="BQ12" i="1971"/>
  <c r="BP12" i="1971"/>
  <c r="BO12" i="1971"/>
  <c r="BN12" i="1971"/>
  <c r="BM12" i="1971"/>
  <c r="BL12" i="1971"/>
  <c r="BK12" i="1971"/>
  <c r="BJ12" i="1971"/>
  <c r="BI12" i="1971"/>
  <c r="BH12" i="1971"/>
  <c r="BG12" i="1971"/>
  <c r="BF12" i="1971"/>
  <c r="BE12" i="1971"/>
  <c r="BD12" i="1971"/>
  <c r="BC12" i="1971"/>
  <c r="BB12" i="1971"/>
  <c r="BA12" i="1971"/>
  <c r="AZ12" i="1971"/>
  <c r="AY12" i="1971"/>
  <c r="AX12" i="1971"/>
  <c r="AW12" i="1971"/>
  <c r="AV12" i="1971"/>
  <c r="AU12" i="1971"/>
  <c r="AT12" i="1971"/>
  <c r="AS12" i="1971"/>
  <c r="AR12" i="1971"/>
  <c r="AQ12" i="1971"/>
  <c r="AP12" i="1971"/>
  <c r="AO12" i="1971"/>
  <c r="AN12" i="1971"/>
  <c r="AM12" i="1971"/>
  <c r="AL12" i="1971"/>
  <c r="AK12" i="1971"/>
  <c r="AJ12" i="1971"/>
  <c r="AI12" i="1971"/>
  <c r="AH12" i="1971"/>
  <c r="AG12" i="1971"/>
  <c r="AF12" i="1971"/>
  <c r="AE12" i="1971"/>
  <c r="AD12" i="1971"/>
  <c r="AC12" i="1971"/>
  <c r="AB12" i="1971"/>
  <c r="AA12" i="1971"/>
  <c r="Z12" i="1971"/>
  <c r="Y12" i="1971"/>
  <c r="X12" i="1971"/>
  <c r="W12" i="1971"/>
  <c r="V12" i="1971"/>
  <c r="U12" i="1971"/>
  <c r="T12" i="1971"/>
  <c r="S12" i="1971"/>
  <c r="R12" i="1971"/>
  <c r="Q12" i="1971"/>
  <c r="P12" i="1971"/>
  <c r="O12" i="1971"/>
  <c r="N12" i="1971"/>
  <c r="M12" i="1971"/>
  <c r="L12" i="1971"/>
  <c r="K12" i="1971"/>
  <c r="J12" i="1971"/>
  <c r="I12" i="1971"/>
  <c r="B12" i="1971"/>
  <c r="HW11" i="1971"/>
  <c r="HV11" i="1971"/>
  <c r="DM11" i="1971"/>
  <c r="DJ11" i="1971"/>
  <c r="DI11" i="1971"/>
  <c r="DH11" i="1971"/>
  <c r="DG11" i="1971"/>
  <c r="DF11" i="1971"/>
  <c r="H11" i="1971"/>
  <c r="G11" i="1971"/>
  <c r="F11" i="1971"/>
  <c r="E11" i="1971"/>
  <c r="D11" i="1971"/>
  <c r="HW10" i="1971"/>
  <c r="HV10" i="1971"/>
  <c r="DN10" i="1971"/>
  <c r="DN8" i="1971" s="1"/>
  <c r="DM10" i="1971"/>
  <c r="DJ10" i="1971"/>
  <c r="DI10" i="1971"/>
  <c r="DH10" i="1971"/>
  <c r="DG10" i="1971"/>
  <c r="DF10" i="1971"/>
  <c r="H10" i="1971"/>
  <c r="G10" i="1971"/>
  <c r="F10" i="1971"/>
  <c r="E10" i="1971"/>
  <c r="D10" i="1971"/>
  <c r="C10" i="1971"/>
  <c r="C8" i="1971" s="1"/>
  <c r="B10" i="1971"/>
  <c r="HW9" i="1971"/>
  <c r="HV9" i="1971"/>
  <c r="EO9" i="1971"/>
  <c r="EO8" i="1971" s="1"/>
  <c r="DM9" i="1971"/>
  <c r="DJ9" i="1971"/>
  <c r="DI9" i="1971"/>
  <c r="DH9" i="1971"/>
  <c r="DG9" i="1971"/>
  <c r="DF9" i="1971"/>
  <c r="HU8" i="1971"/>
  <c r="HT8" i="1971"/>
  <c r="HS8" i="1971"/>
  <c r="HR8" i="1971"/>
  <c r="HQ8" i="1971"/>
  <c r="HQ7" i="1971" s="1"/>
  <c r="HP8" i="1971"/>
  <c r="HO8" i="1971"/>
  <c r="HN8" i="1971"/>
  <c r="HM8" i="1971"/>
  <c r="HL8" i="1971"/>
  <c r="HK8" i="1971"/>
  <c r="HJ8" i="1971"/>
  <c r="HJ23" i="1971" s="1"/>
  <c r="HI8" i="1971"/>
  <c r="HI23" i="1971" s="1"/>
  <c r="HH8" i="1971"/>
  <c r="HH23" i="1971" s="1"/>
  <c r="HG8" i="1971"/>
  <c r="HG23" i="1971" s="1"/>
  <c r="HF8" i="1971"/>
  <c r="HF23" i="1971" s="1"/>
  <c r="HE8" i="1971"/>
  <c r="HE23" i="1971" s="1"/>
  <c r="HD8" i="1971"/>
  <c r="HD23" i="1971" s="1"/>
  <c r="HC8" i="1971"/>
  <c r="HC23" i="1971" s="1"/>
  <c r="HB8" i="1971"/>
  <c r="HB23" i="1971" s="1"/>
  <c r="HA8" i="1971"/>
  <c r="HA23" i="1971" s="1"/>
  <c r="GZ8" i="1971"/>
  <c r="GZ23" i="1971" s="1"/>
  <c r="GY8" i="1971"/>
  <c r="GY23" i="1971" s="1"/>
  <c r="GX8" i="1971"/>
  <c r="GX23" i="1971" s="1"/>
  <c r="GW8" i="1971"/>
  <c r="GW23" i="1971" s="1"/>
  <c r="GV8" i="1971"/>
  <c r="GV23" i="1971" s="1"/>
  <c r="GU8" i="1971"/>
  <c r="GU23" i="1971" s="1"/>
  <c r="GT8" i="1971"/>
  <c r="GT23" i="1971" s="1"/>
  <c r="GS8" i="1971"/>
  <c r="GS23" i="1971" s="1"/>
  <c r="GR8" i="1971"/>
  <c r="GR23" i="1971" s="1"/>
  <c r="GQ8" i="1971"/>
  <c r="GQ23" i="1971" s="1"/>
  <c r="GP8" i="1971"/>
  <c r="GP23" i="1971" s="1"/>
  <c r="GO8" i="1971"/>
  <c r="GO23" i="1971" s="1"/>
  <c r="GN8" i="1971"/>
  <c r="GN23" i="1971" s="1"/>
  <c r="GM8" i="1971"/>
  <c r="GM23" i="1971" s="1"/>
  <c r="GL8" i="1971"/>
  <c r="GL23" i="1971" s="1"/>
  <c r="GK8" i="1971"/>
  <c r="GK23" i="1971" s="1"/>
  <c r="GJ8" i="1971"/>
  <c r="GJ23" i="1971" s="1"/>
  <c r="GI8" i="1971"/>
  <c r="GI23" i="1971" s="1"/>
  <c r="GH8" i="1971"/>
  <c r="GH23" i="1971" s="1"/>
  <c r="GG8" i="1971"/>
  <c r="GG23" i="1971" s="1"/>
  <c r="GF8" i="1971"/>
  <c r="GF23" i="1971" s="1"/>
  <c r="GE8" i="1971"/>
  <c r="GE23" i="1971" s="1"/>
  <c r="GD8" i="1971"/>
  <c r="GD23" i="1971" s="1"/>
  <c r="GC8" i="1971"/>
  <c r="GC23" i="1971" s="1"/>
  <c r="GB8" i="1971"/>
  <c r="GB23" i="1971" s="1"/>
  <c r="GA8" i="1971"/>
  <c r="GA23" i="1971" s="1"/>
  <c r="FZ8" i="1971"/>
  <c r="FZ23" i="1971" s="1"/>
  <c r="FY8" i="1971"/>
  <c r="FY23" i="1971" s="1"/>
  <c r="FX8" i="1971"/>
  <c r="FX23" i="1971" s="1"/>
  <c r="FW8" i="1971"/>
  <c r="FW23" i="1971" s="1"/>
  <c r="FV8" i="1971"/>
  <c r="FV23" i="1971" s="1"/>
  <c r="FU8" i="1971"/>
  <c r="FU23" i="1971" s="1"/>
  <c r="FT8" i="1971"/>
  <c r="FT23" i="1971" s="1"/>
  <c r="FS8" i="1971"/>
  <c r="FS23" i="1971" s="1"/>
  <c r="FR8" i="1971"/>
  <c r="FR23" i="1971" s="1"/>
  <c r="FQ8" i="1971"/>
  <c r="FQ23" i="1971" s="1"/>
  <c r="FP8" i="1971"/>
  <c r="FP23" i="1971" s="1"/>
  <c r="FO8" i="1971"/>
  <c r="FO23" i="1971" s="1"/>
  <c r="FN8" i="1971"/>
  <c r="FN23" i="1971" s="1"/>
  <c r="FM8" i="1971"/>
  <c r="FM23" i="1971" s="1"/>
  <c r="FL8" i="1971"/>
  <c r="FL23" i="1971" s="1"/>
  <c r="FK8" i="1971"/>
  <c r="FK23" i="1971" s="1"/>
  <c r="FJ8" i="1971"/>
  <c r="FJ23" i="1971" s="1"/>
  <c r="FI8" i="1971"/>
  <c r="FI23" i="1971" s="1"/>
  <c r="FH8" i="1971"/>
  <c r="FH23" i="1971" s="1"/>
  <c r="FG8" i="1971"/>
  <c r="FG23" i="1971" s="1"/>
  <c r="FF8" i="1971"/>
  <c r="FF23" i="1971" s="1"/>
  <c r="FE8" i="1971"/>
  <c r="FE23" i="1971" s="1"/>
  <c r="FD8" i="1971"/>
  <c r="FD23" i="1971" s="1"/>
  <c r="FC8" i="1971"/>
  <c r="FC23" i="1971" s="1"/>
  <c r="FB8" i="1971"/>
  <c r="FB23" i="1971" s="1"/>
  <c r="FA8" i="1971"/>
  <c r="FA23" i="1971" s="1"/>
  <c r="EZ8" i="1971"/>
  <c r="EZ23" i="1971" s="1"/>
  <c r="EY8" i="1971"/>
  <c r="EY23" i="1971" s="1"/>
  <c r="EX8" i="1971"/>
  <c r="EX23" i="1971" s="1"/>
  <c r="EW8" i="1971"/>
  <c r="EW23" i="1971" s="1"/>
  <c r="EV8" i="1971"/>
  <c r="EV23" i="1971" s="1"/>
  <c r="EU8" i="1971"/>
  <c r="EU23" i="1971" s="1"/>
  <c r="ET8" i="1971"/>
  <c r="ET23" i="1971" s="1"/>
  <c r="ES8" i="1971"/>
  <c r="ES23" i="1971" s="1"/>
  <c r="ER8" i="1971"/>
  <c r="ER23" i="1971" s="1"/>
  <c r="EQ8" i="1971"/>
  <c r="EQ23" i="1971" s="1"/>
  <c r="EP8" i="1971"/>
  <c r="EP23" i="1971" s="1"/>
  <c r="EN8" i="1971"/>
  <c r="EN23" i="1971" s="1"/>
  <c r="EM8" i="1971"/>
  <c r="EM23" i="1971" s="1"/>
  <c r="EL8" i="1971"/>
  <c r="EL23" i="1971" s="1"/>
  <c r="EK8" i="1971"/>
  <c r="EK23" i="1971" s="1"/>
  <c r="EJ8" i="1971"/>
  <c r="EJ23" i="1971" s="1"/>
  <c r="EI8" i="1971"/>
  <c r="EI23" i="1971" s="1"/>
  <c r="EH8" i="1971"/>
  <c r="EH23" i="1971" s="1"/>
  <c r="EG8" i="1971"/>
  <c r="EG23" i="1971" s="1"/>
  <c r="EF8" i="1971"/>
  <c r="EF23" i="1971" s="1"/>
  <c r="EE8" i="1971"/>
  <c r="EE23" i="1971" s="1"/>
  <c r="ED8" i="1971"/>
  <c r="ED23" i="1971" s="1"/>
  <c r="EC8" i="1971"/>
  <c r="EC23" i="1971" s="1"/>
  <c r="EB8" i="1971"/>
  <c r="EB23" i="1971" s="1"/>
  <c r="EA8" i="1971"/>
  <c r="EA23" i="1971" s="1"/>
  <c r="DZ8" i="1971"/>
  <c r="DZ23" i="1971" s="1"/>
  <c r="DY8" i="1971"/>
  <c r="DY23" i="1971" s="1"/>
  <c r="DX8" i="1971"/>
  <c r="DX23" i="1971" s="1"/>
  <c r="DW8" i="1971"/>
  <c r="DW23" i="1971" s="1"/>
  <c r="DV8" i="1971"/>
  <c r="DV23" i="1971" s="1"/>
  <c r="DU8" i="1971"/>
  <c r="DU23" i="1971" s="1"/>
  <c r="DT8" i="1971"/>
  <c r="DT23" i="1971" s="1"/>
  <c r="DS8" i="1971"/>
  <c r="DS23" i="1971" s="1"/>
  <c r="DR8" i="1971"/>
  <c r="DR23" i="1971" s="1"/>
  <c r="DQ8" i="1971"/>
  <c r="DQ23" i="1971" s="1"/>
  <c r="DP8" i="1971"/>
  <c r="DP23" i="1971" s="1"/>
  <c r="DO8" i="1971"/>
  <c r="DO23" i="1971" s="1"/>
  <c r="DL8" i="1971"/>
  <c r="DL23" i="1971" s="1"/>
  <c r="DK8" i="1971"/>
  <c r="DK23" i="1971" s="1"/>
  <c r="DE8" i="1971"/>
  <c r="DE23" i="1971" s="1"/>
  <c r="DD8" i="1971"/>
  <c r="DD23" i="1971" s="1"/>
  <c r="DC8" i="1971"/>
  <c r="DC23" i="1971" s="1"/>
  <c r="DB8" i="1971"/>
  <c r="DB23" i="1971" s="1"/>
  <c r="DA8" i="1971"/>
  <c r="DA23" i="1971" s="1"/>
  <c r="CZ8" i="1971"/>
  <c r="CZ23" i="1971" s="1"/>
  <c r="CY8" i="1971"/>
  <c r="CY23" i="1971" s="1"/>
  <c r="CX8" i="1971"/>
  <c r="CX23" i="1971" s="1"/>
  <c r="CW8" i="1971"/>
  <c r="CW23" i="1971" s="1"/>
  <c r="CV8" i="1971"/>
  <c r="CV23" i="1971" s="1"/>
  <c r="CU8" i="1971"/>
  <c r="CU23" i="1971" s="1"/>
  <c r="CT8" i="1971"/>
  <c r="CT23" i="1971" s="1"/>
  <c r="CS8" i="1971"/>
  <c r="CS23" i="1971" s="1"/>
  <c r="CR8" i="1971"/>
  <c r="CR23" i="1971" s="1"/>
  <c r="CQ8" i="1971"/>
  <c r="CQ23" i="1971" s="1"/>
  <c r="CP8" i="1971"/>
  <c r="CP23" i="1971" s="1"/>
  <c r="CO8" i="1971"/>
  <c r="CO23" i="1971" s="1"/>
  <c r="CN8" i="1971"/>
  <c r="CN23" i="1971" s="1"/>
  <c r="CM8" i="1971"/>
  <c r="CM23" i="1971" s="1"/>
  <c r="CL8" i="1971"/>
  <c r="CL23" i="1971" s="1"/>
  <c r="CK8" i="1971"/>
  <c r="CK23" i="1971" s="1"/>
  <c r="CJ8" i="1971"/>
  <c r="CJ23" i="1971" s="1"/>
  <c r="CI8" i="1971"/>
  <c r="CI23" i="1971" s="1"/>
  <c r="CH8" i="1971"/>
  <c r="CH23" i="1971" s="1"/>
  <c r="CG8" i="1971"/>
  <c r="CG23" i="1971" s="1"/>
  <c r="CF8" i="1971"/>
  <c r="CF23" i="1971" s="1"/>
  <c r="CE8" i="1971"/>
  <c r="CE23" i="1971" s="1"/>
  <c r="CD8" i="1971"/>
  <c r="CD23" i="1971" s="1"/>
  <c r="CC8" i="1971"/>
  <c r="CC23" i="1971" s="1"/>
  <c r="CB8" i="1971"/>
  <c r="CB23" i="1971" s="1"/>
  <c r="CA8" i="1971"/>
  <c r="CA23" i="1971" s="1"/>
  <c r="BZ8" i="1971"/>
  <c r="BZ23" i="1971" s="1"/>
  <c r="BY8" i="1971"/>
  <c r="BY23" i="1971" s="1"/>
  <c r="BX8" i="1971"/>
  <c r="BX23" i="1971" s="1"/>
  <c r="BW8" i="1971"/>
  <c r="BW23" i="1971" s="1"/>
  <c r="BV8" i="1971"/>
  <c r="BV23" i="1971" s="1"/>
  <c r="BU8" i="1971"/>
  <c r="BT8" i="1971"/>
  <c r="BS8" i="1971"/>
  <c r="BR8" i="1971"/>
  <c r="BQ8" i="1971"/>
  <c r="BQ7" i="1971" s="1"/>
  <c r="BP8" i="1971"/>
  <c r="BO8" i="1971"/>
  <c r="BN8" i="1971"/>
  <c r="BM8" i="1971"/>
  <c r="BL8" i="1971"/>
  <c r="BK8" i="1971"/>
  <c r="BJ8" i="1971"/>
  <c r="BI8" i="1971"/>
  <c r="BI7" i="1971" s="1"/>
  <c r="BH8" i="1971"/>
  <c r="BH7" i="1971" s="1"/>
  <c r="BG8" i="1971"/>
  <c r="BF8" i="1971"/>
  <c r="BE8" i="1971"/>
  <c r="BD8" i="1971"/>
  <c r="BC8" i="1971"/>
  <c r="BB8" i="1971"/>
  <c r="BA8" i="1971"/>
  <c r="BA7" i="1971" s="1"/>
  <c r="AZ8" i="1971"/>
  <c r="AY8" i="1971"/>
  <c r="AX8" i="1971"/>
  <c r="AW8" i="1971"/>
  <c r="AV8" i="1971"/>
  <c r="AU8" i="1971"/>
  <c r="AT8" i="1971"/>
  <c r="AS8" i="1971"/>
  <c r="AS7" i="1971" s="1"/>
  <c r="AR8" i="1971"/>
  <c r="AQ8" i="1971"/>
  <c r="AP8" i="1971"/>
  <c r="AO8" i="1971"/>
  <c r="AN8" i="1971"/>
  <c r="AM8" i="1971"/>
  <c r="AL8" i="1971"/>
  <c r="AK8" i="1971"/>
  <c r="AK7" i="1971" s="1"/>
  <c r="AJ8" i="1971"/>
  <c r="AI8" i="1971"/>
  <c r="AH8" i="1971"/>
  <c r="AG8" i="1971"/>
  <c r="AF8" i="1971"/>
  <c r="AE8" i="1971"/>
  <c r="AD8" i="1971"/>
  <c r="AC8" i="1971"/>
  <c r="AC7" i="1971" s="1"/>
  <c r="AB8" i="1971"/>
  <c r="AA8" i="1971"/>
  <c r="AA7" i="1971" s="1"/>
  <c r="Z8" i="1971"/>
  <c r="Y8" i="1971"/>
  <c r="X8" i="1971"/>
  <c r="W8" i="1971"/>
  <c r="V8" i="1971"/>
  <c r="U8" i="1971"/>
  <c r="U7" i="1971" s="1"/>
  <c r="T8" i="1971"/>
  <c r="S8" i="1971"/>
  <c r="R8" i="1971"/>
  <c r="Q8" i="1971"/>
  <c r="P8" i="1971"/>
  <c r="O8" i="1971"/>
  <c r="N8" i="1971"/>
  <c r="M8" i="1971"/>
  <c r="M7" i="1971" s="1"/>
  <c r="L8" i="1971"/>
  <c r="K8" i="1971"/>
  <c r="J8" i="1971"/>
  <c r="I8" i="1971"/>
  <c r="B8" i="1971"/>
  <c r="EH7" i="1971"/>
  <c r="EH22" i="1971" s="1"/>
  <c r="EQ22" i="1970"/>
  <c r="EP22" i="1970"/>
  <c r="AH22" i="1970"/>
  <c r="AH18" i="1970" s="1"/>
  <c r="EQ21" i="1970"/>
  <c r="EP21" i="1970"/>
  <c r="AL21" i="1970"/>
  <c r="AL18" i="1970" s="1"/>
  <c r="AK21" i="1970"/>
  <c r="AK18" i="1970" s="1"/>
  <c r="AJ21" i="1970"/>
  <c r="AJ18" i="1970" s="1"/>
  <c r="AI21" i="1970"/>
  <c r="AI18" i="1970" s="1"/>
  <c r="EQ20" i="1970"/>
  <c r="EP20" i="1970"/>
  <c r="EQ19" i="1970"/>
  <c r="EP19" i="1970"/>
  <c r="EO18" i="1970"/>
  <c r="EN18" i="1970"/>
  <c r="EM18" i="1970"/>
  <c r="EL18" i="1970"/>
  <c r="EK18" i="1970"/>
  <c r="EJ18" i="1970"/>
  <c r="EI18" i="1970"/>
  <c r="EH18" i="1970"/>
  <c r="EG18" i="1970"/>
  <c r="EF18" i="1970"/>
  <c r="EE18" i="1970"/>
  <c r="ED18" i="1970"/>
  <c r="EC18" i="1970"/>
  <c r="EB18" i="1970"/>
  <c r="EA18" i="1970"/>
  <c r="DZ18" i="1970"/>
  <c r="DY18" i="1970"/>
  <c r="DX18" i="1970"/>
  <c r="DW18" i="1970"/>
  <c r="DV18" i="1970"/>
  <c r="DU18" i="1970"/>
  <c r="DT18" i="1970"/>
  <c r="DS18" i="1970"/>
  <c r="DR18" i="1970"/>
  <c r="DQ18" i="1970"/>
  <c r="DP18" i="1970"/>
  <c r="DO18" i="1970"/>
  <c r="DN18" i="1970"/>
  <c r="DM18" i="1970"/>
  <c r="DL18" i="1970"/>
  <c r="DK18" i="1970"/>
  <c r="DJ18" i="1970"/>
  <c r="DI18" i="1970"/>
  <c r="DH18" i="1970"/>
  <c r="DG18" i="1970"/>
  <c r="DF18" i="1970"/>
  <c r="DE18" i="1970"/>
  <c r="DD18" i="1970"/>
  <c r="DC18" i="1970"/>
  <c r="DB18" i="1970"/>
  <c r="DA18" i="1970"/>
  <c r="CZ18" i="1970"/>
  <c r="CY18" i="1970"/>
  <c r="CX18" i="1970"/>
  <c r="CW18" i="1970"/>
  <c r="CV18" i="1970"/>
  <c r="CU18" i="1970"/>
  <c r="CT18" i="1970"/>
  <c r="CS18" i="1970"/>
  <c r="CR18" i="1970"/>
  <c r="CQ18" i="1970"/>
  <c r="CP18" i="1970"/>
  <c r="CO18" i="1970"/>
  <c r="CN18" i="1970"/>
  <c r="CM18" i="1970"/>
  <c r="CL18" i="1970"/>
  <c r="CK18" i="1970"/>
  <c r="CJ18" i="1970"/>
  <c r="CI18" i="1970"/>
  <c r="CH18" i="1970"/>
  <c r="CG18" i="1970"/>
  <c r="CF18" i="1970"/>
  <c r="CE18" i="1970"/>
  <c r="CD18" i="1970"/>
  <c r="CC18" i="1970"/>
  <c r="CB18" i="1970"/>
  <c r="CA18" i="1970"/>
  <c r="BZ18" i="1970"/>
  <c r="BY18" i="1970"/>
  <c r="BX18" i="1970"/>
  <c r="BW18" i="1970"/>
  <c r="BV18" i="1970"/>
  <c r="BU18" i="1970"/>
  <c r="BT18" i="1970"/>
  <c r="BS18" i="1970"/>
  <c r="BR18" i="1970"/>
  <c r="BQ18" i="1970"/>
  <c r="BP18" i="1970"/>
  <c r="BO18" i="1970"/>
  <c r="BN18" i="1970"/>
  <c r="BM18" i="1970"/>
  <c r="BL18" i="1970"/>
  <c r="BK18" i="1970"/>
  <c r="BJ18" i="1970"/>
  <c r="BI18" i="1970"/>
  <c r="BH18" i="1970"/>
  <c r="BG18" i="1970"/>
  <c r="BF18" i="1970"/>
  <c r="BE18" i="1970"/>
  <c r="BD18" i="1970"/>
  <c r="BC18" i="1970"/>
  <c r="BB18" i="1970"/>
  <c r="BA18" i="1970"/>
  <c r="AZ18" i="1970"/>
  <c r="AY18" i="1970"/>
  <c r="AX18" i="1970"/>
  <c r="AW18" i="1970"/>
  <c r="AV18" i="1970"/>
  <c r="AU18" i="1970"/>
  <c r="AT18" i="1970"/>
  <c r="AS18" i="1970"/>
  <c r="AR18" i="1970"/>
  <c r="AQ18" i="1970"/>
  <c r="AP18" i="1970"/>
  <c r="AO18" i="1970"/>
  <c r="AN18" i="1970"/>
  <c r="AM18" i="1970"/>
  <c r="AG18" i="1970"/>
  <c r="AF18" i="1970"/>
  <c r="AE18" i="1970"/>
  <c r="AD18" i="1970"/>
  <c r="AC18" i="1970"/>
  <c r="AB18" i="1970"/>
  <c r="AA18" i="1970"/>
  <c r="Z18" i="1970"/>
  <c r="Y18" i="1970"/>
  <c r="X18" i="1970"/>
  <c r="W18" i="1970"/>
  <c r="V18" i="1970"/>
  <c r="U18" i="1970"/>
  <c r="T18" i="1970"/>
  <c r="S18" i="1970"/>
  <c r="R18" i="1970"/>
  <c r="Q18" i="1970"/>
  <c r="P18" i="1970"/>
  <c r="O18" i="1970"/>
  <c r="N18" i="1970"/>
  <c r="M18" i="1970"/>
  <c r="L18" i="1970"/>
  <c r="K18" i="1970"/>
  <c r="J18" i="1970"/>
  <c r="I18" i="1970"/>
  <c r="H18" i="1970"/>
  <c r="G18" i="1970"/>
  <c r="F18" i="1970"/>
  <c r="E18" i="1970"/>
  <c r="D18" i="1970"/>
  <c r="C18" i="1970"/>
  <c r="B18" i="1970"/>
  <c r="EQ17" i="1970"/>
  <c r="EP17" i="1970"/>
  <c r="AG17" i="1970"/>
  <c r="AG13" i="1970" s="1"/>
  <c r="EQ16" i="1970"/>
  <c r="EP16" i="1970"/>
  <c r="AL16" i="1970"/>
  <c r="AL13" i="1970" s="1"/>
  <c r="AK16" i="1970"/>
  <c r="AK13" i="1970" s="1"/>
  <c r="AJ16" i="1970"/>
  <c r="AJ13" i="1970" s="1"/>
  <c r="AI16" i="1970"/>
  <c r="AI13" i="1970" s="1"/>
  <c r="EQ15" i="1970"/>
  <c r="EP15" i="1970"/>
  <c r="EQ14" i="1970"/>
  <c r="EP14" i="1970"/>
  <c r="EO13" i="1970"/>
  <c r="EN13" i="1970"/>
  <c r="EM13" i="1970"/>
  <c r="EL13" i="1970"/>
  <c r="EK13" i="1970"/>
  <c r="EJ13" i="1970"/>
  <c r="EI13" i="1970"/>
  <c r="EH13" i="1970"/>
  <c r="EG13" i="1970"/>
  <c r="EF13" i="1970"/>
  <c r="EE13" i="1970"/>
  <c r="ED13" i="1970"/>
  <c r="EC13" i="1970"/>
  <c r="EB13" i="1970"/>
  <c r="EA13" i="1970"/>
  <c r="DZ13" i="1970"/>
  <c r="DY13" i="1970"/>
  <c r="DX13" i="1970"/>
  <c r="DW13" i="1970"/>
  <c r="DV13" i="1970"/>
  <c r="DU13" i="1970"/>
  <c r="DT13" i="1970"/>
  <c r="DS13" i="1970"/>
  <c r="DR13" i="1970"/>
  <c r="DQ13" i="1970"/>
  <c r="DP13" i="1970"/>
  <c r="DO13" i="1970"/>
  <c r="DN13" i="1970"/>
  <c r="DM13" i="1970"/>
  <c r="DL13" i="1970"/>
  <c r="DK13" i="1970"/>
  <c r="DJ13" i="1970"/>
  <c r="DI13" i="1970"/>
  <c r="DH13" i="1970"/>
  <c r="DG13" i="1970"/>
  <c r="DF13" i="1970"/>
  <c r="DE13" i="1970"/>
  <c r="DD13" i="1970"/>
  <c r="DC13" i="1970"/>
  <c r="DB13" i="1970"/>
  <c r="DA13" i="1970"/>
  <c r="CZ13" i="1970"/>
  <c r="CY13" i="1970"/>
  <c r="CX13" i="1970"/>
  <c r="CW13" i="1970"/>
  <c r="CV13" i="1970"/>
  <c r="CU13" i="1970"/>
  <c r="CT13" i="1970"/>
  <c r="CS13" i="1970"/>
  <c r="CR13" i="1970"/>
  <c r="CQ13" i="1970"/>
  <c r="CP13" i="1970"/>
  <c r="CO13" i="1970"/>
  <c r="CN13" i="1970"/>
  <c r="CM13" i="1970"/>
  <c r="CL13" i="1970"/>
  <c r="CK13" i="1970"/>
  <c r="CJ13" i="1970"/>
  <c r="CI13" i="1970"/>
  <c r="CH13" i="1970"/>
  <c r="CG13" i="1970"/>
  <c r="CF13" i="1970"/>
  <c r="CE13" i="1970"/>
  <c r="CD13" i="1970"/>
  <c r="CC13" i="1970"/>
  <c r="CB13" i="1970"/>
  <c r="CA13" i="1970"/>
  <c r="BZ13" i="1970"/>
  <c r="BY13" i="1970"/>
  <c r="BX13" i="1970"/>
  <c r="BW13" i="1970"/>
  <c r="BV13" i="1970"/>
  <c r="BU13" i="1970"/>
  <c r="BT13" i="1970"/>
  <c r="BS13" i="1970"/>
  <c r="BR13" i="1970"/>
  <c r="BQ13" i="1970"/>
  <c r="BP13" i="1970"/>
  <c r="BO13" i="1970"/>
  <c r="BN13" i="1970"/>
  <c r="BM13" i="1970"/>
  <c r="BL13" i="1970"/>
  <c r="BK13" i="1970"/>
  <c r="BJ13" i="1970"/>
  <c r="BI13" i="1970"/>
  <c r="BH13" i="1970"/>
  <c r="BG13" i="1970"/>
  <c r="BF13" i="1970"/>
  <c r="BE13" i="1970"/>
  <c r="BD13" i="1970"/>
  <c r="BC13" i="1970"/>
  <c r="BB13" i="1970"/>
  <c r="BA13" i="1970"/>
  <c r="AZ13" i="1970"/>
  <c r="AY13" i="1970"/>
  <c r="AX13" i="1970"/>
  <c r="AW13" i="1970"/>
  <c r="AV13" i="1970"/>
  <c r="AU13" i="1970"/>
  <c r="AT13" i="1970"/>
  <c r="AS13" i="1970"/>
  <c r="AR13" i="1970"/>
  <c r="AQ13" i="1970"/>
  <c r="AP13" i="1970"/>
  <c r="AO13" i="1970"/>
  <c r="AN13" i="1970"/>
  <c r="AM13" i="1970"/>
  <c r="AH13" i="1970"/>
  <c r="AF13" i="1970"/>
  <c r="AE13" i="1970"/>
  <c r="AD13" i="1970"/>
  <c r="AC13" i="1970"/>
  <c r="AB13" i="1970"/>
  <c r="AA13" i="1970"/>
  <c r="Z13" i="1970"/>
  <c r="Y13" i="1970"/>
  <c r="X13" i="1970"/>
  <c r="W13" i="1970"/>
  <c r="V13" i="1970"/>
  <c r="U13" i="1970"/>
  <c r="T13" i="1970"/>
  <c r="S13" i="1970"/>
  <c r="R13" i="1970"/>
  <c r="Q13" i="1970"/>
  <c r="P13" i="1970"/>
  <c r="O13" i="1970"/>
  <c r="N13" i="1970"/>
  <c r="M13" i="1970"/>
  <c r="L13" i="1970"/>
  <c r="K13" i="1970"/>
  <c r="J13" i="1970"/>
  <c r="I13" i="1970"/>
  <c r="H13" i="1970"/>
  <c r="G13" i="1970"/>
  <c r="F13" i="1970"/>
  <c r="E13" i="1970"/>
  <c r="D13" i="1970"/>
  <c r="C13" i="1970"/>
  <c r="B13" i="1970"/>
  <c r="EQ12" i="1970"/>
  <c r="EP12" i="1970"/>
  <c r="BI12" i="1970"/>
  <c r="BI8" i="1970" s="1"/>
  <c r="EQ11" i="1970"/>
  <c r="EP11" i="1970"/>
  <c r="EQ10" i="1970"/>
  <c r="EP10" i="1970"/>
  <c r="EQ9" i="1970"/>
  <c r="EP9" i="1970"/>
  <c r="EO8" i="1970"/>
  <c r="EN8" i="1970"/>
  <c r="EM8" i="1970"/>
  <c r="EL8" i="1970"/>
  <c r="EK8" i="1970"/>
  <c r="EJ8" i="1970"/>
  <c r="EI8" i="1970"/>
  <c r="EH8" i="1970"/>
  <c r="EG8" i="1970"/>
  <c r="EF8" i="1970"/>
  <c r="EE8" i="1970"/>
  <c r="ED8" i="1970"/>
  <c r="EC8" i="1970"/>
  <c r="EB8" i="1970"/>
  <c r="EA8" i="1970"/>
  <c r="DZ8" i="1970"/>
  <c r="DY8" i="1970"/>
  <c r="DX8" i="1970"/>
  <c r="DW8" i="1970"/>
  <c r="DV8" i="1970"/>
  <c r="DU8" i="1970"/>
  <c r="DU7" i="1970" s="1"/>
  <c r="DT8" i="1970"/>
  <c r="DS8" i="1970"/>
  <c r="DR8" i="1970"/>
  <c r="DR7" i="1970" s="1"/>
  <c r="DQ8" i="1970"/>
  <c r="DP8" i="1970"/>
  <c r="DO8" i="1970"/>
  <c r="DN8" i="1970"/>
  <c r="DM8" i="1970"/>
  <c r="DL8" i="1970"/>
  <c r="DK8" i="1970"/>
  <c r="DJ8" i="1970"/>
  <c r="DI8" i="1970"/>
  <c r="DH8" i="1970"/>
  <c r="DG8" i="1970"/>
  <c r="DF8" i="1970"/>
  <c r="DE8" i="1970"/>
  <c r="DD8" i="1970"/>
  <c r="DC8" i="1970"/>
  <c r="DB8" i="1970"/>
  <c r="DA8" i="1970"/>
  <c r="CZ8" i="1970"/>
  <c r="CY8" i="1970"/>
  <c r="CX8" i="1970"/>
  <c r="CW8" i="1970"/>
  <c r="CW7" i="1970" s="1"/>
  <c r="CV8" i="1970"/>
  <c r="CU8" i="1970"/>
  <c r="CT8" i="1970"/>
  <c r="CT7" i="1970" s="1"/>
  <c r="CS8" i="1970"/>
  <c r="CR8" i="1970"/>
  <c r="CQ8" i="1970"/>
  <c r="CP8" i="1970"/>
  <c r="CO8" i="1970"/>
  <c r="CN8" i="1970"/>
  <c r="CM8" i="1970"/>
  <c r="CL8" i="1970"/>
  <c r="CK8" i="1970"/>
  <c r="CJ8" i="1970"/>
  <c r="CI8" i="1970"/>
  <c r="CH8" i="1970"/>
  <c r="CG8" i="1970"/>
  <c r="CF8" i="1970"/>
  <c r="CE8" i="1970"/>
  <c r="CD8" i="1970"/>
  <c r="CC8" i="1970"/>
  <c r="CB8" i="1970"/>
  <c r="CA8" i="1970"/>
  <c r="BZ8" i="1970"/>
  <c r="BY8" i="1970"/>
  <c r="BY7" i="1970" s="1"/>
  <c r="BX8" i="1970"/>
  <c r="BW8" i="1970"/>
  <c r="BV8" i="1970"/>
  <c r="BV7" i="1970" s="1"/>
  <c r="BU8" i="1970"/>
  <c r="BT8" i="1970"/>
  <c r="BS8" i="1970"/>
  <c r="BR8" i="1970"/>
  <c r="BQ8" i="1970"/>
  <c r="BP8" i="1970"/>
  <c r="BO8" i="1970"/>
  <c r="BN8" i="1970"/>
  <c r="BM8" i="1970"/>
  <c r="BL8" i="1970"/>
  <c r="BK8" i="1970"/>
  <c r="BJ8" i="1970"/>
  <c r="BJ7" i="1970" s="1"/>
  <c r="BH8" i="1970"/>
  <c r="BG8" i="1970"/>
  <c r="BF8" i="1970"/>
  <c r="BE8" i="1970"/>
  <c r="BD8" i="1970"/>
  <c r="BC8" i="1970"/>
  <c r="BB8" i="1970"/>
  <c r="BA8" i="1970"/>
  <c r="BA7" i="1970" s="1"/>
  <c r="AZ8" i="1970"/>
  <c r="AY8" i="1970"/>
  <c r="AX8" i="1970"/>
  <c r="AW8" i="1970"/>
  <c r="AV8" i="1970"/>
  <c r="AU8" i="1970"/>
  <c r="AT8" i="1970"/>
  <c r="AS8" i="1970"/>
  <c r="AR8" i="1970"/>
  <c r="AQ8" i="1970"/>
  <c r="AP8" i="1970"/>
  <c r="AO8" i="1970"/>
  <c r="AN8" i="1970"/>
  <c r="AM8" i="1970"/>
  <c r="AL8" i="1970"/>
  <c r="AK8" i="1970"/>
  <c r="AJ8" i="1970"/>
  <c r="AI8" i="1970"/>
  <c r="AH8" i="1970"/>
  <c r="AG8" i="1970"/>
  <c r="AF8" i="1970"/>
  <c r="AE8" i="1970"/>
  <c r="AD8" i="1970"/>
  <c r="AC8" i="1970"/>
  <c r="AB8" i="1970"/>
  <c r="AA8" i="1970"/>
  <c r="Z8" i="1970"/>
  <c r="Y8" i="1970"/>
  <c r="X8" i="1970"/>
  <c r="W8" i="1970"/>
  <c r="V8" i="1970"/>
  <c r="U8" i="1970"/>
  <c r="T8" i="1970"/>
  <c r="S8" i="1970"/>
  <c r="R8" i="1970"/>
  <c r="Q8" i="1970"/>
  <c r="P8" i="1970"/>
  <c r="O8" i="1970"/>
  <c r="N8" i="1970"/>
  <c r="M8" i="1970"/>
  <c r="L8" i="1970"/>
  <c r="K8" i="1970"/>
  <c r="J8" i="1970"/>
  <c r="I8" i="1970"/>
  <c r="H8" i="1970"/>
  <c r="G8" i="1970"/>
  <c r="F8" i="1970"/>
  <c r="E8" i="1970"/>
  <c r="D8" i="1970"/>
  <c r="C8" i="1970"/>
  <c r="B8" i="1970"/>
  <c r="B7" i="1970" s="1"/>
  <c r="Z7" i="1970"/>
  <c r="ER39" i="1969"/>
  <c r="EQ39" i="1969"/>
  <c r="ER38" i="1969"/>
  <c r="EQ38" i="1969"/>
  <c r="ER37" i="1969"/>
  <c r="EQ37" i="1969"/>
  <c r="ER36" i="1969"/>
  <c r="EQ36" i="1969"/>
  <c r="ER35" i="1969"/>
  <c r="EQ35" i="1969"/>
  <c r="ER34" i="1969"/>
  <c r="EQ34" i="1969"/>
  <c r="EO33" i="1969"/>
  <c r="EN33" i="1969"/>
  <c r="EM33" i="1969"/>
  <c r="EL33" i="1969"/>
  <c r="EK33" i="1969"/>
  <c r="EJ33" i="1969"/>
  <c r="EI33" i="1969"/>
  <c r="EH33" i="1969"/>
  <c r="EG33" i="1969"/>
  <c r="EF33" i="1969"/>
  <c r="EE33" i="1969"/>
  <c r="ED33" i="1969"/>
  <c r="EC33" i="1969"/>
  <c r="EB33" i="1969"/>
  <c r="EA33" i="1969"/>
  <c r="DZ33" i="1969"/>
  <c r="DY33" i="1969"/>
  <c r="DX33" i="1969"/>
  <c r="DW33" i="1969"/>
  <c r="DV33" i="1969"/>
  <c r="DU33" i="1969"/>
  <c r="DT33" i="1969"/>
  <c r="DS33" i="1969"/>
  <c r="DR33" i="1969"/>
  <c r="DQ33" i="1969"/>
  <c r="DP33" i="1969"/>
  <c r="DO33" i="1969"/>
  <c r="DN33" i="1969"/>
  <c r="DM33" i="1969"/>
  <c r="DL33" i="1969"/>
  <c r="DK33" i="1969"/>
  <c r="DJ33" i="1969"/>
  <c r="DI33" i="1969"/>
  <c r="DH33" i="1969"/>
  <c r="DG33" i="1969"/>
  <c r="DF33" i="1969"/>
  <c r="DE33" i="1969"/>
  <c r="DD33" i="1969"/>
  <c r="DC33" i="1969"/>
  <c r="DB33" i="1969"/>
  <c r="DA33" i="1969"/>
  <c r="CZ33" i="1969"/>
  <c r="CY33" i="1969"/>
  <c r="CX33" i="1969"/>
  <c r="CW33" i="1969"/>
  <c r="CV33" i="1969"/>
  <c r="CU33" i="1969"/>
  <c r="CT33" i="1969"/>
  <c r="CS33" i="1969"/>
  <c r="CR33" i="1969"/>
  <c r="CQ33" i="1969"/>
  <c r="CP33" i="1969"/>
  <c r="CO33" i="1969"/>
  <c r="CN33" i="1969"/>
  <c r="CM33" i="1969"/>
  <c r="CL33" i="1969"/>
  <c r="CK33" i="1969"/>
  <c r="CJ33" i="1969"/>
  <c r="CI33" i="1969"/>
  <c r="CH33" i="1969"/>
  <c r="CG33" i="1969"/>
  <c r="CF33" i="1969"/>
  <c r="CE33" i="1969"/>
  <c r="CD33" i="1969"/>
  <c r="CC33" i="1969"/>
  <c r="CB33" i="1969"/>
  <c r="CA33" i="1969"/>
  <c r="BZ33" i="1969"/>
  <c r="BY33" i="1969"/>
  <c r="BX33" i="1969"/>
  <c r="BW33" i="1969"/>
  <c r="BV33" i="1969"/>
  <c r="BU33" i="1969"/>
  <c r="BT33" i="1969"/>
  <c r="BS33" i="1969"/>
  <c r="BR33" i="1969"/>
  <c r="BQ33" i="1969"/>
  <c r="BP33" i="1969"/>
  <c r="BO33" i="1969"/>
  <c r="BN33" i="1969"/>
  <c r="BM33" i="1969"/>
  <c r="BL33" i="1969"/>
  <c r="BK33" i="1969"/>
  <c r="BJ33" i="1969"/>
  <c r="BI33" i="1969"/>
  <c r="BH33" i="1969"/>
  <c r="BG33" i="1969"/>
  <c r="BF33" i="1969"/>
  <c r="BE33" i="1969"/>
  <c r="BD33" i="1969"/>
  <c r="BC33" i="1969"/>
  <c r="BB33" i="1969"/>
  <c r="BA33" i="1969"/>
  <c r="AZ33" i="1969"/>
  <c r="AY33" i="1969"/>
  <c r="AX33" i="1969"/>
  <c r="AW33" i="1969"/>
  <c r="AV33" i="1969"/>
  <c r="AU33" i="1969"/>
  <c r="AT33" i="1969"/>
  <c r="AS33" i="1969"/>
  <c r="AR33" i="1969"/>
  <c r="AQ33" i="1969"/>
  <c r="AP33" i="1969"/>
  <c r="AO33" i="1969"/>
  <c r="AN33" i="1969"/>
  <c r="AM33" i="1969"/>
  <c r="AL33" i="1969"/>
  <c r="AK33" i="1969"/>
  <c r="AJ33" i="1969"/>
  <c r="AI33" i="1969"/>
  <c r="AH33" i="1969"/>
  <c r="AG33" i="1969"/>
  <c r="AF33" i="1969"/>
  <c r="AE33" i="1969"/>
  <c r="AD33" i="1969"/>
  <c r="AC33" i="1969"/>
  <c r="AB33" i="1969"/>
  <c r="AA33" i="1969"/>
  <c r="Z33" i="1969"/>
  <c r="ER32" i="1969"/>
  <c r="EQ32" i="1969"/>
  <c r="ER31" i="1969"/>
  <c r="EQ31" i="1969"/>
  <c r="ER30" i="1969"/>
  <c r="EQ30" i="1969"/>
  <c r="ER29" i="1969"/>
  <c r="EQ29" i="1969"/>
  <c r="ER28" i="1969"/>
  <c r="EQ28" i="1969"/>
  <c r="ER27" i="1969"/>
  <c r="EQ27" i="1969"/>
  <c r="ER26" i="1969"/>
  <c r="EQ26" i="1969"/>
  <c r="EO25" i="1969"/>
  <c r="EN25" i="1969"/>
  <c r="EM25" i="1969"/>
  <c r="EL25" i="1969"/>
  <c r="EK25" i="1969"/>
  <c r="EJ25" i="1969"/>
  <c r="EI25" i="1969"/>
  <c r="EH25" i="1969"/>
  <c r="EG25" i="1969"/>
  <c r="EF25" i="1969"/>
  <c r="EE25" i="1969"/>
  <c r="ED25" i="1969"/>
  <c r="EC25" i="1969"/>
  <c r="EB25" i="1969"/>
  <c r="EA25" i="1969"/>
  <c r="DZ25" i="1969"/>
  <c r="DY25" i="1969"/>
  <c r="DX25" i="1969"/>
  <c r="DW25" i="1969"/>
  <c r="DV25" i="1969"/>
  <c r="DU25" i="1969"/>
  <c r="DT25" i="1969"/>
  <c r="DS25" i="1969"/>
  <c r="DR25" i="1969"/>
  <c r="DQ25" i="1969"/>
  <c r="DP25" i="1969"/>
  <c r="DO25" i="1969"/>
  <c r="DN25" i="1969"/>
  <c r="DM25" i="1969"/>
  <c r="DL25" i="1969"/>
  <c r="DK25" i="1969"/>
  <c r="DJ25" i="1969"/>
  <c r="DI25" i="1969"/>
  <c r="DH25" i="1969"/>
  <c r="DG25" i="1969"/>
  <c r="DF25" i="1969"/>
  <c r="DE25" i="1969"/>
  <c r="DD25" i="1969"/>
  <c r="DC25" i="1969"/>
  <c r="DB25" i="1969"/>
  <c r="DA25" i="1969"/>
  <c r="CZ25" i="1969"/>
  <c r="CY25" i="1969"/>
  <c r="CX25" i="1969"/>
  <c r="CW25" i="1969"/>
  <c r="CV25" i="1969"/>
  <c r="CU25" i="1969"/>
  <c r="CT25" i="1969"/>
  <c r="CS25" i="1969"/>
  <c r="CR25" i="1969"/>
  <c r="CQ25" i="1969"/>
  <c r="CP25" i="1969"/>
  <c r="CO25" i="1969"/>
  <c r="CN25" i="1969"/>
  <c r="CM25" i="1969"/>
  <c r="CL25" i="1969"/>
  <c r="CK25" i="1969"/>
  <c r="CJ25" i="1969"/>
  <c r="CI25" i="1969"/>
  <c r="CH25" i="1969"/>
  <c r="CG25" i="1969"/>
  <c r="CF25" i="1969"/>
  <c r="CE25" i="1969"/>
  <c r="CD25" i="1969"/>
  <c r="CC25" i="1969"/>
  <c r="CC24" i="1969" s="1"/>
  <c r="CB25" i="1969"/>
  <c r="CA25" i="1969"/>
  <c r="CA24" i="1969" s="1"/>
  <c r="BZ25" i="1969"/>
  <c r="BY25" i="1969"/>
  <c r="BX25" i="1969"/>
  <c r="BW25" i="1969"/>
  <c r="BV25" i="1969"/>
  <c r="BU25" i="1969"/>
  <c r="BT25" i="1969"/>
  <c r="BS25" i="1969"/>
  <c r="BS24" i="1969" s="1"/>
  <c r="BR25" i="1969"/>
  <c r="BQ25" i="1969"/>
  <c r="BP25" i="1969"/>
  <c r="BO25" i="1969"/>
  <c r="BO24" i="1969" s="1"/>
  <c r="BN25" i="1969"/>
  <c r="BN24" i="1969" s="1"/>
  <c r="BM25" i="1969"/>
  <c r="BL25" i="1969"/>
  <c r="BK25" i="1969"/>
  <c r="BJ25" i="1969"/>
  <c r="BI25" i="1969"/>
  <c r="BH25" i="1969"/>
  <c r="BG25" i="1969"/>
  <c r="BG24" i="1969" s="1"/>
  <c r="BF25" i="1969"/>
  <c r="BE25" i="1969"/>
  <c r="BD25" i="1969"/>
  <c r="BC25" i="1969"/>
  <c r="BB25" i="1969"/>
  <c r="BA25" i="1969"/>
  <c r="AZ25" i="1969"/>
  <c r="AY25" i="1969"/>
  <c r="AX25" i="1969"/>
  <c r="AW25" i="1969"/>
  <c r="AV25" i="1969"/>
  <c r="AU25" i="1969"/>
  <c r="AU24" i="1969" s="1"/>
  <c r="AT25" i="1969"/>
  <c r="AS25" i="1969"/>
  <c r="AR25" i="1969"/>
  <c r="AQ25" i="1969"/>
  <c r="AP25" i="1969"/>
  <c r="AO25" i="1969"/>
  <c r="AN25" i="1969"/>
  <c r="AM25" i="1969"/>
  <c r="AL25" i="1969"/>
  <c r="AK25" i="1969"/>
  <c r="AJ25" i="1969"/>
  <c r="AI25" i="1969"/>
  <c r="AH25" i="1969"/>
  <c r="AG25" i="1969"/>
  <c r="AF25" i="1969"/>
  <c r="AE25" i="1969"/>
  <c r="AD25" i="1969"/>
  <c r="AC25" i="1969"/>
  <c r="AB25" i="1969"/>
  <c r="AA25" i="1969"/>
  <c r="Z25" i="1969"/>
  <c r="Y24" i="1969"/>
  <c r="X24" i="1969"/>
  <c r="W24" i="1969"/>
  <c r="V24" i="1969"/>
  <c r="U24" i="1969"/>
  <c r="T24" i="1969"/>
  <c r="S24" i="1969"/>
  <c r="R24" i="1969"/>
  <c r="Q24" i="1969"/>
  <c r="P24" i="1969"/>
  <c r="O24" i="1969"/>
  <c r="N24" i="1969"/>
  <c r="M24" i="1969"/>
  <c r="L24" i="1969"/>
  <c r="K24" i="1969"/>
  <c r="J24" i="1969"/>
  <c r="I24" i="1969"/>
  <c r="H24" i="1969"/>
  <c r="G24" i="1969"/>
  <c r="F24" i="1969"/>
  <c r="E24" i="1969"/>
  <c r="D24" i="1969"/>
  <c r="C24" i="1969"/>
  <c r="B24" i="1969"/>
  <c r="ER23" i="1969"/>
  <c r="EQ23" i="1969"/>
  <c r="ER22" i="1969"/>
  <c r="EQ22" i="1969"/>
  <c r="ER21" i="1969"/>
  <c r="EQ21" i="1969"/>
  <c r="ER20" i="1969"/>
  <c r="EQ20" i="1969"/>
  <c r="EO19" i="1969"/>
  <c r="EN19" i="1969"/>
  <c r="EM19" i="1969"/>
  <c r="EL19" i="1969"/>
  <c r="EK19" i="1969"/>
  <c r="EJ19" i="1969"/>
  <c r="EI19" i="1969"/>
  <c r="EH19" i="1969"/>
  <c r="EG19" i="1969"/>
  <c r="EF19" i="1969"/>
  <c r="EE19" i="1969"/>
  <c r="ED19" i="1969"/>
  <c r="EC19" i="1969"/>
  <c r="EB19" i="1969"/>
  <c r="EA19" i="1969"/>
  <c r="DZ19" i="1969"/>
  <c r="DY19" i="1969"/>
  <c r="DX19" i="1969"/>
  <c r="DW19" i="1969"/>
  <c r="DV19" i="1969"/>
  <c r="DU19" i="1969"/>
  <c r="DT19" i="1969"/>
  <c r="DS19" i="1969"/>
  <c r="DR19" i="1969"/>
  <c r="DQ19" i="1969"/>
  <c r="DP19" i="1969"/>
  <c r="DO19" i="1969"/>
  <c r="DN19" i="1969"/>
  <c r="DM19" i="1969"/>
  <c r="DL19" i="1969"/>
  <c r="DK19" i="1969"/>
  <c r="DJ19" i="1969"/>
  <c r="DI19" i="1969"/>
  <c r="DH19" i="1969"/>
  <c r="DG19" i="1969"/>
  <c r="DF19" i="1969"/>
  <c r="DE19" i="1969"/>
  <c r="DD19" i="1969"/>
  <c r="DC19" i="1969"/>
  <c r="DB19" i="1969"/>
  <c r="DA19" i="1969"/>
  <c r="CZ19" i="1969"/>
  <c r="CY19" i="1969"/>
  <c r="CX19" i="1969"/>
  <c r="CW19" i="1969"/>
  <c r="CV19" i="1969"/>
  <c r="CU19" i="1969"/>
  <c r="CT19" i="1969"/>
  <c r="CS19" i="1969"/>
  <c r="CR19" i="1969"/>
  <c r="CQ19" i="1969"/>
  <c r="CP19" i="1969"/>
  <c r="CO19" i="1969"/>
  <c r="CN19" i="1969"/>
  <c r="CM19" i="1969"/>
  <c r="CL19" i="1969"/>
  <c r="CK19" i="1969"/>
  <c r="CJ19" i="1969"/>
  <c r="CI19" i="1969"/>
  <c r="CH19" i="1969"/>
  <c r="CG19" i="1969"/>
  <c r="CF19" i="1969"/>
  <c r="CE19" i="1969"/>
  <c r="CD19" i="1969"/>
  <c r="CC19" i="1969"/>
  <c r="CB19" i="1969"/>
  <c r="CA19" i="1969"/>
  <c r="BZ19" i="1969"/>
  <c r="BY19" i="1969"/>
  <c r="BX19" i="1969"/>
  <c r="BW19" i="1969"/>
  <c r="BV19" i="1969"/>
  <c r="BU19" i="1969"/>
  <c r="BT19" i="1969"/>
  <c r="BS19" i="1969"/>
  <c r="BR19" i="1969"/>
  <c r="BQ19" i="1969"/>
  <c r="BP19" i="1969"/>
  <c r="BO19" i="1969"/>
  <c r="BN19" i="1969"/>
  <c r="BM19" i="1969"/>
  <c r="BL19" i="1969"/>
  <c r="BK19" i="1969"/>
  <c r="BJ19" i="1969"/>
  <c r="BI19" i="1969"/>
  <c r="BH19" i="1969"/>
  <c r="BG19" i="1969"/>
  <c r="BF19" i="1969"/>
  <c r="BE19" i="1969"/>
  <c r="BD19" i="1969"/>
  <c r="BC19" i="1969"/>
  <c r="BB19" i="1969"/>
  <c r="BA19" i="1969"/>
  <c r="AZ19" i="1969"/>
  <c r="AY19" i="1969"/>
  <c r="AX19" i="1969"/>
  <c r="AW19" i="1969"/>
  <c r="AV19" i="1969"/>
  <c r="AU19" i="1969"/>
  <c r="AT19" i="1969"/>
  <c r="AS19" i="1969"/>
  <c r="AR19" i="1969"/>
  <c r="AQ19" i="1969"/>
  <c r="AP19" i="1969"/>
  <c r="AO19" i="1969"/>
  <c r="AN19" i="1969"/>
  <c r="AM19" i="1969"/>
  <c r="AL19" i="1969"/>
  <c r="ER17" i="1969"/>
  <c r="EQ17" i="1969"/>
  <c r="ER16" i="1969"/>
  <c r="EQ16" i="1969"/>
  <c r="ER15" i="1969"/>
  <c r="EQ15" i="1969"/>
  <c r="ER14" i="1969"/>
  <c r="EQ14" i="1969"/>
  <c r="ER13" i="1969"/>
  <c r="EQ13" i="1969"/>
  <c r="ER12" i="1969"/>
  <c r="EQ12" i="1969"/>
  <c r="ER11" i="1969"/>
  <c r="EQ11" i="1969"/>
  <c r="ER10" i="1969"/>
  <c r="EQ10" i="1969"/>
  <c r="ER9" i="1969"/>
  <c r="EQ9" i="1969"/>
  <c r="EO8" i="1969"/>
  <c r="EN8" i="1969"/>
  <c r="EM8" i="1969"/>
  <c r="EL8" i="1969"/>
  <c r="EK8" i="1969"/>
  <c r="EJ8" i="1969"/>
  <c r="EI8" i="1969"/>
  <c r="EH8" i="1969"/>
  <c r="EG8" i="1969"/>
  <c r="EF8" i="1969"/>
  <c r="EE8" i="1969"/>
  <c r="ED8" i="1969"/>
  <c r="EC8" i="1969"/>
  <c r="EB8" i="1969"/>
  <c r="EA8" i="1969"/>
  <c r="DZ8" i="1969"/>
  <c r="DY8" i="1969"/>
  <c r="DX8" i="1969"/>
  <c r="DW8" i="1969"/>
  <c r="DV8" i="1969"/>
  <c r="DU8" i="1969"/>
  <c r="DT8" i="1969"/>
  <c r="DS8" i="1969"/>
  <c r="DR8" i="1969"/>
  <c r="DQ8" i="1969"/>
  <c r="DP8" i="1969"/>
  <c r="DO8" i="1969"/>
  <c r="DN8" i="1969"/>
  <c r="DM8" i="1969"/>
  <c r="DL8" i="1969"/>
  <c r="DK8" i="1969"/>
  <c r="DJ8" i="1969"/>
  <c r="DI8" i="1969"/>
  <c r="DH8" i="1969"/>
  <c r="DG8" i="1969"/>
  <c r="DF8" i="1969"/>
  <c r="DE8" i="1969"/>
  <c r="DD8" i="1969"/>
  <c r="DC8" i="1969"/>
  <c r="DB8" i="1969"/>
  <c r="DA8" i="1969"/>
  <c r="CZ8" i="1969"/>
  <c r="CY8" i="1969"/>
  <c r="CX8" i="1969"/>
  <c r="CW8" i="1969"/>
  <c r="CV8" i="1969"/>
  <c r="CU8" i="1969"/>
  <c r="CT8" i="1969"/>
  <c r="CS8" i="1969"/>
  <c r="CR8" i="1969"/>
  <c r="CQ8" i="1969"/>
  <c r="CP8" i="1969"/>
  <c r="CO8" i="1969"/>
  <c r="CN8" i="1969"/>
  <c r="CM8" i="1969"/>
  <c r="CL8" i="1969"/>
  <c r="CK8" i="1969"/>
  <c r="CJ8" i="1969"/>
  <c r="CI8" i="1969"/>
  <c r="CH8" i="1969"/>
  <c r="CG8" i="1969"/>
  <c r="CF8" i="1969"/>
  <c r="CE8" i="1969"/>
  <c r="CD8" i="1969"/>
  <c r="CC8" i="1969"/>
  <c r="CB8" i="1969"/>
  <c r="CA8" i="1969"/>
  <c r="BZ8" i="1969"/>
  <c r="BY8" i="1969"/>
  <c r="BX8" i="1969"/>
  <c r="BW8" i="1969"/>
  <c r="BV8" i="1969"/>
  <c r="BU8" i="1969"/>
  <c r="BT8" i="1969"/>
  <c r="BS8" i="1969"/>
  <c r="BR8" i="1969"/>
  <c r="BQ8" i="1969"/>
  <c r="BP8" i="1969"/>
  <c r="BO8" i="1969"/>
  <c r="BN8" i="1969"/>
  <c r="BM8" i="1969"/>
  <c r="BL8" i="1969"/>
  <c r="BK8" i="1969"/>
  <c r="BJ8" i="1969"/>
  <c r="BI8" i="1969"/>
  <c r="BH8" i="1969"/>
  <c r="BG8" i="1969"/>
  <c r="BF8" i="1969"/>
  <c r="BE8" i="1969"/>
  <c r="BD8" i="1969"/>
  <c r="BC8" i="1969"/>
  <c r="BB8" i="1969"/>
  <c r="BA8" i="1969"/>
  <c r="AZ8" i="1969"/>
  <c r="AY8" i="1969"/>
  <c r="AX8" i="1969"/>
  <c r="AW8" i="1969"/>
  <c r="AV8" i="1969"/>
  <c r="AU8" i="1969"/>
  <c r="AT8" i="1969"/>
  <c r="AS8" i="1969"/>
  <c r="AR8" i="1969"/>
  <c r="AQ8" i="1969"/>
  <c r="AP8" i="1969"/>
  <c r="AO8" i="1969"/>
  <c r="AN8" i="1969"/>
  <c r="AM8" i="1969"/>
  <c r="AL8" i="1969"/>
  <c r="AK8" i="1969"/>
  <c r="AJ8" i="1969"/>
  <c r="AI8" i="1969"/>
  <c r="AH8" i="1969"/>
  <c r="AG8" i="1969"/>
  <c r="AF8" i="1969"/>
  <c r="AE8" i="1969"/>
  <c r="AD8" i="1969"/>
  <c r="AC8" i="1969"/>
  <c r="AB8" i="1969"/>
  <c r="AA8" i="1969"/>
  <c r="Z8" i="1969"/>
  <c r="Y8" i="1969"/>
  <c r="X8" i="1969"/>
  <c r="W8" i="1969"/>
  <c r="V8" i="1969"/>
  <c r="U8" i="1969"/>
  <c r="T8" i="1969"/>
  <c r="S8" i="1969"/>
  <c r="R8" i="1969"/>
  <c r="Q8" i="1969"/>
  <c r="P8" i="1969"/>
  <c r="O8" i="1969"/>
  <c r="N8" i="1969"/>
  <c r="M8" i="1969"/>
  <c r="L8" i="1969"/>
  <c r="K8" i="1969"/>
  <c r="J8" i="1969"/>
  <c r="I8" i="1969"/>
  <c r="H8" i="1969"/>
  <c r="G8" i="1969"/>
  <c r="F8" i="1969"/>
  <c r="E8" i="1969"/>
  <c r="D8" i="1969"/>
  <c r="C8" i="1969"/>
  <c r="B8" i="1969"/>
  <c r="BS18" i="1969" l="1"/>
  <c r="N7" i="1970"/>
  <c r="BE24" i="1969"/>
  <c r="BQ24" i="1969"/>
  <c r="BN7" i="1970"/>
  <c r="EH7" i="1970"/>
  <c r="HP7" i="1971"/>
  <c r="AV24" i="1969"/>
  <c r="AV18" i="1969" s="1"/>
  <c r="AV7" i="1969" s="1"/>
  <c r="AV45" i="1969" s="1"/>
  <c r="BH24" i="1969"/>
  <c r="BH18" i="1969" s="1"/>
  <c r="BH7" i="1969" s="1"/>
  <c r="BH45" i="1969" s="1"/>
  <c r="AX7" i="1970"/>
  <c r="BI24" i="1969"/>
  <c r="BU24" i="1969"/>
  <c r="BU18" i="1969" s="1"/>
  <c r="BU7" i="1969" s="1"/>
  <c r="BU45" i="1969" s="1"/>
  <c r="CU29" i="1972"/>
  <c r="BZ24" i="1969"/>
  <c r="BZ18" i="1969" s="1"/>
  <c r="BZ7" i="1969" s="1"/>
  <c r="BZ45" i="1969" s="1"/>
  <c r="CA18" i="1969"/>
  <c r="BT24" i="1969"/>
  <c r="BT18" i="1969" s="1"/>
  <c r="BT7" i="1969" s="1"/>
  <c r="BT45" i="1969" s="1"/>
  <c r="BE19" i="1972"/>
  <c r="BQ19" i="1972"/>
  <c r="BQ7" i="1972" s="1"/>
  <c r="BQ70" i="1972" s="1"/>
  <c r="AN29" i="1972"/>
  <c r="AZ29" i="1972"/>
  <c r="BL29" i="1972"/>
  <c r="AP29" i="1972"/>
  <c r="AP19" i="1972" s="1"/>
  <c r="AP7" i="1972" s="1"/>
  <c r="CM29" i="1972"/>
  <c r="CM19" i="1972" s="1"/>
  <c r="CM7" i="1972" s="1"/>
  <c r="BN18" i="1969"/>
  <c r="BN7" i="1969" s="1"/>
  <c r="BN45" i="1969" s="1"/>
  <c r="E12" i="1971"/>
  <c r="AY24" i="1969"/>
  <c r="AY18" i="1969" s="1"/>
  <c r="AY7" i="1969" s="1"/>
  <c r="AY45" i="1969" s="1"/>
  <c r="BK24" i="1969"/>
  <c r="BK18" i="1969" s="1"/>
  <c r="BK7" i="1969" s="1"/>
  <c r="BK45" i="1969" s="1"/>
  <c r="BW24" i="1969"/>
  <c r="BW18" i="1969" s="1"/>
  <c r="BW7" i="1969" s="1"/>
  <c r="BW45" i="1969" s="1"/>
  <c r="AZ24" i="1969"/>
  <c r="BL24" i="1969"/>
  <c r="BX24" i="1969"/>
  <c r="AZ19" i="1972"/>
  <c r="BX29" i="1972"/>
  <c r="BX19" i="1972" s="1"/>
  <c r="BX7" i="1972" s="1"/>
  <c r="BX70" i="1972" s="1"/>
  <c r="AH24" i="1969"/>
  <c r="AH18" i="1969" s="1"/>
  <c r="AT24" i="1969"/>
  <c r="CD24" i="1969"/>
  <c r="CD18" i="1969" s="1"/>
  <c r="CD7" i="1969" s="1"/>
  <c r="CD45" i="1969" s="1"/>
  <c r="CP24" i="1969"/>
  <c r="DB24" i="1969"/>
  <c r="DB18" i="1969" s="1"/>
  <c r="DB7" i="1969" s="1"/>
  <c r="DB45" i="1969" s="1"/>
  <c r="DN24" i="1969"/>
  <c r="DN18" i="1969" s="1"/>
  <c r="DN7" i="1969" s="1"/>
  <c r="DN45" i="1969" s="1"/>
  <c r="DZ24" i="1969"/>
  <c r="DZ18" i="1969" s="1"/>
  <c r="DZ7" i="1969" s="1"/>
  <c r="DZ45" i="1969" s="1"/>
  <c r="EL24" i="1969"/>
  <c r="EL18" i="1969" s="1"/>
  <c r="EL7" i="1969" s="1"/>
  <c r="AU7" i="1970"/>
  <c r="BG7" i="1970"/>
  <c r="J7" i="1970"/>
  <c r="BI7" i="1970"/>
  <c r="BQ7" i="1970"/>
  <c r="CO7" i="1970"/>
  <c r="EK7" i="1970"/>
  <c r="AS7" i="1970"/>
  <c r="BP24" i="1969"/>
  <c r="BP18" i="1969" s="1"/>
  <c r="BP7" i="1969" s="1"/>
  <c r="BP45" i="1969" s="1"/>
  <c r="CB24" i="1969"/>
  <c r="CB18" i="1969" s="1"/>
  <c r="CB7" i="1969" s="1"/>
  <c r="CB45" i="1969" s="1"/>
  <c r="CG7" i="1970"/>
  <c r="DE7" i="1970"/>
  <c r="EC7" i="1970"/>
  <c r="BA24" i="1969"/>
  <c r="BA18" i="1969" s="1"/>
  <c r="BA7" i="1969" s="1"/>
  <c r="BA45" i="1969" s="1"/>
  <c r="BM24" i="1969"/>
  <c r="BM18" i="1969" s="1"/>
  <c r="BM7" i="1969" s="1"/>
  <c r="BM45" i="1969" s="1"/>
  <c r="BY24" i="1969"/>
  <c r="BY18" i="1969" s="1"/>
  <c r="BY7" i="1969" s="1"/>
  <c r="BY45" i="1969" s="1"/>
  <c r="DZ7" i="1971"/>
  <c r="DZ22" i="1971" s="1"/>
  <c r="CJ29" i="1972"/>
  <c r="CV29" i="1972"/>
  <c r="CV19" i="1972" s="1"/>
  <c r="CV7" i="1972" s="1"/>
  <c r="CV70" i="1972" s="1"/>
  <c r="AQ7" i="1970"/>
  <c r="BO7" i="1970"/>
  <c r="CA7" i="1970"/>
  <c r="CM7" i="1970"/>
  <c r="DK7" i="1970"/>
  <c r="EI7" i="1970"/>
  <c r="GT7" i="1971"/>
  <c r="GT22" i="1971" s="1"/>
  <c r="BN29" i="1972"/>
  <c r="BN19" i="1972" s="1"/>
  <c r="BN7" i="1972" s="1"/>
  <c r="BN70" i="1972" s="1"/>
  <c r="BZ29" i="1972"/>
  <c r="BZ19" i="1972" s="1"/>
  <c r="BZ7" i="1972" s="1"/>
  <c r="CL29" i="1972"/>
  <c r="CL19" i="1972" s="1"/>
  <c r="CL7" i="1972" s="1"/>
  <c r="CL70" i="1972" s="1"/>
  <c r="CX29" i="1972"/>
  <c r="CX19" i="1972" s="1"/>
  <c r="CX7" i="1972" s="1"/>
  <c r="G7" i="1972"/>
  <c r="G70" i="1972" s="1"/>
  <c r="S7" i="1972"/>
  <c r="S70" i="1972" s="1"/>
  <c r="D12" i="1971"/>
  <c r="CE7" i="1970"/>
  <c r="DC7" i="1970"/>
  <c r="EA7" i="1970"/>
  <c r="AR7" i="1972"/>
  <c r="AR70" i="1972" s="1"/>
  <c r="BP7" i="1972"/>
  <c r="BP70" i="1972" s="1"/>
  <c r="CN7" i="1972"/>
  <c r="CN67" i="1972" s="1"/>
  <c r="AM19" i="1972"/>
  <c r="AM7" i="1972" s="1"/>
  <c r="BK19" i="1972"/>
  <c r="BK7" i="1972" s="1"/>
  <c r="BK70" i="1972" s="1"/>
  <c r="BW19" i="1972"/>
  <c r="BW7" i="1972" s="1"/>
  <c r="CI19" i="1972"/>
  <c r="CI7" i="1972" s="1"/>
  <c r="CU19" i="1972"/>
  <c r="CU7" i="1972" s="1"/>
  <c r="CO7" i="1972"/>
  <c r="CO70" i="1972" s="1"/>
  <c r="BR7" i="1972"/>
  <c r="AO19" i="1972"/>
  <c r="AO7" i="1972" s="1"/>
  <c r="BM19" i="1972"/>
  <c r="BM7" i="1972" s="1"/>
  <c r="BY19" i="1972"/>
  <c r="CK19" i="1972"/>
  <c r="CK7" i="1972" s="1"/>
  <c r="CK70" i="1972" s="1"/>
  <c r="CW19" i="1972"/>
  <c r="CW7" i="1972" s="1"/>
  <c r="CW67" i="1972" s="1"/>
  <c r="HR7" i="1971"/>
  <c r="K7" i="1972"/>
  <c r="K70" i="1972" s="1"/>
  <c r="W7" i="1972"/>
  <c r="W70" i="1972" s="1"/>
  <c r="BG7" i="1972"/>
  <c r="BG67" i="1972" s="1"/>
  <c r="BS7" i="1972"/>
  <c r="BS67" i="1972" s="1"/>
  <c r="BJ24" i="1969"/>
  <c r="BJ18" i="1969" s="1"/>
  <c r="BJ7" i="1969" s="1"/>
  <c r="BJ45" i="1969" s="1"/>
  <c r="BV24" i="1969"/>
  <c r="BV18" i="1969" s="1"/>
  <c r="BV7" i="1969" s="1"/>
  <c r="BV45" i="1969" s="1"/>
  <c r="O7" i="1970"/>
  <c r="AY7" i="1970"/>
  <c r="BK7" i="1970"/>
  <c r="BW7" i="1970"/>
  <c r="CU7" i="1970"/>
  <c r="DS7" i="1970"/>
  <c r="AQ19" i="1972"/>
  <c r="AQ7" i="1972" s="1"/>
  <c r="BO19" i="1972"/>
  <c r="BO7" i="1972" s="1"/>
  <c r="CA19" i="1972"/>
  <c r="CA7" i="1972" s="1"/>
  <c r="AA24" i="1969"/>
  <c r="AA18" i="1969" s="1"/>
  <c r="AM24" i="1969"/>
  <c r="AM18" i="1969" s="1"/>
  <c r="AM7" i="1969" s="1"/>
  <c r="AM45" i="1969" s="1"/>
  <c r="CI24" i="1969"/>
  <c r="CI18" i="1969" s="1"/>
  <c r="CI7" i="1969" s="1"/>
  <c r="CI45" i="1969" s="1"/>
  <c r="CU24" i="1969"/>
  <c r="CU18" i="1969" s="1"/>
  <c r="CU7" i="1969" s="1"/>
  <c r="CU45" i="1969" s="1"/>
  <c r="DG24" i="1969"/>
  <c r="DG18" i="1969" s="1"/>
  <c r="DG7" i="1969" s="1"/>
  <c r="DG45" i="1969" s="1"/>
  <c r="DS24" i="1969"/>
  <c r="DS18" i="1969" s="1"/>
  <c r="DS7" i="1969" s="1"/>
  <c r="DS45" i="1969" s="1"/>
  <c r="EE24" i="1969"/>
  <c r="EE18" i="1969" s="1"/>
  <c r="EE7" i="1969" s="1"/>
  <c r="AK67" i="1972"/>
  <c r="AK70" i="1972"/>
  <c r="CS67" i="1972"/>
  <c r="CS70" i="1972"/>
  <c r="CB7" i="1972"/>
  <c r="CB67" i="1972" s="1"/>
  <c r="AY19" i="1972"/>
  <c r="AY7" i="1972" s="1"/>
  <c r="AH29" i="1972"/>
  <c r="AH19" i="1972" s="1"/>
  <c r="AH7" i="1972" s="1"/>
  <c r="AH67" i="1972" s="1"/>
  <c r="DG29" i="1972"/>
  <c r="DG19" i="1972" s="1"/>
  <c r="DG7" i="1972" s="1"/>
  <c r="DS29" i="1972"/>
  <c r="DS19" i="1972" s="1"/>
  <c r="DS7" i="1972" s="1"/>
  <c r="DS70" i="1972" s="1"/>
  <c r="EE29" i="1972"/>
  <c r="EE19" i="1972" s="1"/>
  <c r="EE7" i="1972" s="1"/>
  <c r="EE67" i="1972" s="1"/>
  <c r="AQ79" i="1972"/>
  <c r="AQ96" i="1972" s="1"/>
  <c r="BP79" i="1972"/>
  <c r="BP96" i="1972" s="1"/>
  <c r="AB24" i="1969"/>
  <c r="AB18" i="1969" s="1"/>
  <c r="AB7" i="1969" s="1"/>
  <c r="AB45" i="1969" s="1"/>
  <c r="AN24" i="1969"/>
  <c r="AN18" i="1969" s="1"/>
  <c r="AN7" i="1969" s="1"/>
  <c r="AN45" i="1969" s="1"/>
  <c r="CJ24" i="1969"/>
  <c r="CJ18" i="1969" s="1"/>
  <c r="CJ7" i="1969" s="1"/>
  <c r="CJ45" i="1969" s="1"/>
  <c r="CV24" i="1969"/>
  <c r="CV18" i="1969" s="1"/>
  <c r="CV7" i="1969" s="1"/>
  <c r="CV45" i="1969" s="1"/>
  <c r="DH24" i="1969"/>
  <c r="DH18" i="1969" s="1"/>
  <c r="DH7" i="1969" s="1"/>
  <c r="DH45" i="1969" s="1"/>
  <c r="DT24" i="1969"/>
  <c r="DT18" i="1969" s="1"/>
  <c r="DT7" i="1969" s="1"/>
  <c r="DT45" i="1969" s="1"/>
  <c r="EF24" i="1969"/>
  <c r="EF18" i="1969" s="1"/>
  <c r="EF7" i="1969" s="1"/>
  <c r="BE7" i="1972"/>
  <c r="BE70" i="1972" s="1"/>
  <c r="CC7" i="1972"/>
  <c r="CC70" i="1972" s="1"/>
  <c r="AZ7" i="1972"/>
  <c r="AZ67" i="1972" s="1"/>
  <c r="Z19" i="1972"/>
  <c r="Z7" i="1972" s="1"/>
  <c r="DH29" i="1972"/>
  <c r="DH19" i="1972" s="1"/>
  <c r="DH7" i="1972" s="1"/>
  <c r="DH70" i="1972" s="1"/>
  <c r="DT29" i="1972"/>
  <c r="DT19" i="1972" s="1"/>
  <c r="DT7" i="1972" s="1"/>
  <c r="DT67" i="1972" s="1"/>
  <c r="EF29" i="1972"/>
  <c r="EF19" i="1972" s="1"/>
  <c r="EF7" i="1972" s="1"/>
  <c r="EF67" i="1972" s="1"/>
  <c r="AR79" i="1972"/>
  <c r="AR96" i="1972" s="1"/>
  <c r="BE79" i="1972"/>
  <c r="BE96" i="1972" s="1"/>
  <c r="BQ79" i="1972"/>
  <c r="CO79" i="1972"/>
  <c r="DA96" i="1972" s="1"/>
  <c r="BO18" i="1969"/>
  <c r="BO7" i="1969" s="1"/>
  <c r="BO45" i="1969" s="1"/>
  <c r="AC24" i="1969"/>
  <c r="AC18" i="1969" s="1"/>
  <c r="AC7" i="1969" s="1"/>
  <c r="AC45" i="1969" s="1"/>
  <c r="AO24" i="1969"/>
  <c r="AO18" i="1969" s="1"/>
  <c r="AO7" i="1969" s="1"/>
  <c r="AO45" i="1969" s="1"/>
  <c r="CK24" i="1969"/>
  <c r="CK18" i="1969" s="1"/>
  <c r="CK7" i="1969" s="1"/>
  <c r="CK45" i="1969" s="1"/>
  <c r="CW24" i="1969"/>
  <c r="CW18" i="1969" s="1"/>
  <c r="CW7" i="1969" s="1"/>
  <c r="CW45" i="1969" s="1"/>
  <c r="DI24" i="1969"/>
  <c r="DI18" i="1969" s="1"/>
  <c r="DI7" i="1969" s="1"/>
  <c r="DI45" i="1969" s="1"/>
  <c r="DU24" i="1969"/>
  <c r="DU18" i="1969" s="1"/>
  <c r="DU7" i="1969" s="1"/>
  <c r="DU45" i="1969" s="1"/>
  <c r="EG24" i="1969"/>
  <c r="EG18" i="1969" s="1"/>
  <c r="EG7" i="1969" s="1"/>
  <c r="BF7" i="1972"/>
  <c r="BF70" i="1972" s="1"/>
  <c r="CP7" i="1972"/>
  <c r="CP70" i="1972" s="1"/>
  <c r="BA19" i="1972"/>
  <c r="BA7" i="1972" s="1"/>
  <c r="BA67" i="1972" s="1"/>
  <c r="AA29" i="1972"/>
  <c r="AA19" i="1972" s="1"/>
  <c r="AA7" i="1972" s="1"/>
  <c r="DI29" i="1972"/>
  <c r="DI19" i="1972" s="1"/>
  <c r="DI7" i="1972" s="1"/>
  <c r="DI67" i="1972" s="1"/>
  <c r="DU29" i="1972"/>
  <c r="DU19" i="1972" s="1"/>
  <c r="DU7" i="1972" s="1"/>
  <c r="DU67" i="1972" s="1"/>
  <c r="EH29" i="1972"/>
  <c r="EH19" i="1972" s="1"/>
  <c r="EH7" i="1972" s="1"/>
  <c r="EH67" i="1972" s="1"/>
  <c r="BF79" i="1972"/>
  <c r="BR96" i="1972" s="1"/>
  <c r="CP79" i="1972"/>
  <c r="CP96" i="1972" s="1"/>
  <c r="AD24" i="1969"/>
  <c r="AD18" i="1969" s="1"/>
  <c r="AD7" i="1969" s="1"/>
  <c r="AD45" i="1969" s="1"/>
  <c r="AP24" i="1969"/>
  <c r="AP18" i="1969" s="1"/>
  <c r="AP7" i="1969" s="1"/>
  <c r="AP45" i="1969" s="1"/>
  <c r="CL24" i="1969"/>
  <c r="CL18" i="1969" s="1"/>
  <c r="CL7" i="1969" s="1"/>
  <c r="CL45" i="1969" s="1"/>
  <c r="CX24" i="1969"/>
  <c r="CX18" i="1969" s="1"/>
  <c r="CX7" i="1969" s="1"/>
  <c r="CX45" i="1969" s="1"/>
  <c r="DJ24" i="1969"/>
  <c r="DJ18" i="1969" s="1"/>
  <c r="DJ7" i="1969" s="1"/>
  <c r="DJ45" i="1969" s="1"/>
  <c r="DV24" i="1969"/>
  <c r="DV18" i="1969" s="1"/>
  <c r="DV7" i="1969" s="1"/>
  <c r="DV45" i="1969" s="1"/>
  <c r="EH24" i="1969"/>
  <c r="EH18" i="1969" s="1"/>
  <c r="EH7" i="1969" s="1"/>
  <c r="DJ29" i="1972"/>
  <c r="DJ19" i="1972" s="1"/>
  <c r="DJ7" i="1972" s="1"/>
  <c r="DJ67" i="1972" s="1"/>
  <c r="DV29" i="1972"/>
  <c r="DV19" i="1972" s="1"/>
  <c r="DV7" i="1972" s="1"/>
  <c r="DV70" i="1972" s="1"/>
  <c r="EI29" i="1972"/>
  <c r="EI19" i="1972" s="1"/>
  <c r="EI7" i="1972" s="1"/>
  <c r="EI67" i="1972" s="1"/>
  <c r="CQ79" i="1972"/>
  <c r="DC96" i="1972" s="1"/>
  <c r="EU8" i="1969"/>
  <c r="BE18" i="1969"/>
  <c r="BE7" i="1969" s="1"/>
  <c r="BE45" i="1969" s="1"/>
  <c r="BQ18" i="1969"/>
  <c r="BQ7" i="1969" s="1"/>
  <c r="BQ45" i="1969" s="1"/>
  <c r="CC18" i="1969"/>
  <c r="CC7" i="1969" s="1"/>
  <c r="CC45" i="1969" s="1"/>
  <c r="AE24" i="1969"/>
  <c r="AE18" i="1969" s="1"/>
  <c r="AE7" i="1969" s="1"/>
  <c r="AE45" i="1969" s="1"/>
  <c r="AQ24" i="1969"/>
  <c r="AQ18" i="1969" s="1"/>
  <c r="AQ7" i="1969" s="1"/>
  <c r="AQ45" i="1969" s="1"/>
  <c r="CM24" i="1969"/>
  <c r="CM18" i="1969" s="1"/>
  <c r="CM7" i="1969" s="1"/>
  <c r="CM45" i="1969" s="1"/>
  <c r="CY24" i="1969"/>
  <c r="CY18" i="1969" s="1"/>
  <c r="CY7" i="1969" s="1"/>
  <c r="CY45" i="1969" s="1"/>
  <c r="DK24" i="1969"/>
  <c r="DK18" i="1969" s="1"/>
  <c r="DK7" i="1969" s="1"/>
  <c r="DK45" i="1969" s="1"/>
  <c r="DW24" i="1969"/>
  <c r="DW18" i="1969" s="1"/>
  <c r="DW7" i="1969" s="1"/>
  <c r="DW45" i="1969" s="1"/>
  <c r="EI24" i="1969"/>
  <c r="EI18" i="1969" s="1"/>
  <c r="EI7" i="1969" s="1"/>
  <c r="BH7" i="1972"/>
  <c r="BH70" i="1972" s="1"/>
  <c r="BT7" i="1972"/>
  <c r="BT70" i="1972" s="1"/>
  <c r="CR7" i="1972"/>
  <c r="CR70" i="1972" s="1"/>
  <c r="BC19" i="1972"/>
  <c r="BC7" i="1972" s="1"/>
  <c r="BC70" i="1972" s="1"/>
  <c r="CY29" i="1972"/>
  <c r="CY19" i="1972" s="1"/>
  <c r="CY7" i="1972" s="1"/>
  <c r="CY70" i="1972" s="1"/>
  <c r="DK29" i="1972"/>
  <c r="DK19" i="1972" s="1"/>
  <c r="DK7" i="1972" s="1"/>
  <c r="DK67" i="1972" s="1"/>
  <c r="DW29" i="1972"/>
  <c r="DW19" i="1972" s="1"/>
  <c r="DW7" i="1972" s="1"/>
  <c r="DW67" i="1972" s="1"/>
  <c r="EJ29" i="1972"/>
  <c r="EJ19" i="1972" s="1"/>
  <c r="EJ7" i="1972" s="1"/>
  <c r="EJ67" i="1972" s="1"/>
  <c r="BH79" i="1972"/>
  <c r="BT79" i="1972"/>
  <c r="CR79" i="1972"/>
  <c r="DD96" i="1972" s="1"/>
  <c r="BF24" i="1969"/>
  <c r="BF18" i="1969" s="1"/>
  <c r="BF7" i="1969" s="1"/>
  <c r="BF45" i="1969" s="1"/>
  <c r="BR24" i="1969"/>
  <c r="BR18" i="1969" s="1"/>
  <c r="BR7" i="1969" s="1"/>
  <c r="BR45" i="1969" s="1"/>
  <c r="AF24" i="1969"/>
  <c r="AF18" i="1969" s="1"/>
  <c r="AF7" i="1969" s="1"/>
  <c r="AF45" i="1969" s="1"/>
  <c r="AR24" i="1969"/>
  <c r="AR18" i="1969" s="1"/>
  <c r="AR7" i="1969" s="1"/>
  <c r="AR45" i="1969" s="1"/>
  <c r="CN24" i="1969"/>
  <c r="CN18" i="1969" s="1"/>
  <c r="CN7" i="1969" s="1"/>
  <c r="CN45" i="1969" s="1"/>
  <c r="CZ24" i="1969"/>
  <c r="CZ18" i="1969" s="1"/>
  <c r="CZ7" i="1969" s="1"/>
  <c r="CZ45" i="1969" s="1"/>
  <c r="DL24" i="1969"/>
  <c r="DL18" i="1969" s="1"/>
  <c r="DL7" i="1969" s="1"/>
  <c r="DL45" i="1969" s="1"/>
  <c r="DX24" i="1969"/>
  <c r="DX18" i="1969" s="1"/>
  <c r="DX7" i="1969" s="1"/>
  <c r="DX45" i="1969" s="1"/>
  <c r="EJ24" i="1969"/>
  <c r="EJ18" i="1969" s="1"/>
  <c r="EJ7" i="1969" s="1"/>
  <c r="BD19" i="1972"/>
  <c r="BD7" i="1972" s="1"/>
  <c r="BD70" i="1972" s="1"/>
  <c r="CZ29" i="1972"/>
  <c r="CZ19" i="1972" s="1"/>
  <c r="CZ7" i="1972" s="1"/>
  <c r="CZ70" i="1972" s="1"/>
  <c r="DL29" i="1972"/>
  <c r="DL19" i="1972" s="1"/>
  <c r="DL7" i="1972" s="1"/>
  <c r="DL67" i="1972" s="1"/>
  <c r="DX29" i="1972"/>
  <c r="DX19" i="1972" s="1"/>
  <c r="DX7" i="1972" s="1"/>
  <c r="DX67" i="1972" s="1"/>
  <c r="EK29" i="1972"/>
  <c r="EK19" i="1972" s="1"/>
  <c r="EK7" i="1972" s="1"/>
  <c r="EK67" i="1972" s="1"/>
  <c r="BI79" i="1972"/>
  <c r="BI67" i="1972"/>
  <c r="BU79" i="1972"/>
  <c r="CG96" i="1972" s="1"/>
  <c r="BU67" i="1972"/>
  <c r="CA7" i="1969"/>
  <c r="CA45" i="1969" s="1"/>
  <c r="AU18" i="1969"/>
  <c r="AU7" i="1969" s="1"/>
  <c r="AU45" i="1969" s="1"/>
  <c r="BG18" i="1969"/>
  <c r="BG7" i="1969" s="1"/>
  <c r="BG45" i="1969" s="1"/>
  <c r="EU25" i="1969"/>
  <c r="AG24" i="1969"/>
  <c r="AG18" i="1969" s="1"/>
  <c r="AG7" i="1969" s="1"/>
  <c r="AG45" i="1969" s="1"/>
  <c r="AS24" i="1969"/>
  <c r="AS18" i="1969" s="1"/>
  <c r="AS7" i="1969" s="1"/>
  <c r="AS45" i="1969" s="1"/>
  <c r="CO24" i="1969"/>
  <c r="CO18" i="1969" s="1"/>
  <c r="CO7" i="1969" s="1"/>
  <c r="CO45" i="1969" s="1"/>
  <c r="DA24" i="1969"/>
  <c r="DA18" i="1969" s="1"/>
  <c r="DA7" i="1969" s="1"/>
  <c r="DA45" i="1969" s="1"/>
  <c r="DM24" i="1969"/>
  <c r="DM18" i="1969" s="1"/>
  <c r="DM7" i="1969" s="1"/>
  <c r="DM45" i="1969" s="1"/>
  <c r="DY24" i="1969"/>
  <c r="DY18" i="1969" s="1"/>
  <c r="DY7" i="1969" s="1"/>
  <c r="DY45" i="1969" s="1"/>
  <c r="EK24" i="1969"/>
  <c r="EK18" i="1969" s="1"/>
  <c r="EK7" i="1969" s="1"/>
  <c r="AS29" i="1972"/>
  <c r="AS19" i="1972" s="1"/>
  <c r="AS7" i="1972" s="1"/>
  <c r="AS70" i="1972" s="1"/>
  <c r="DA29" i="1972"/>
  <c r="DA19" i="1972" s="1"/>
  <c r="DA7" i="1972" s="1"/>
  <c r="DA67" i="1972" s="1"/>
  <c r="DM29" i="1972"/>
  <c r="DM19" i="1972" s="1"/>
  <c r="DM7" i="1972" s="1"/>
  <c r="DY29" i="1972"/>
  <c r="DY19" i="1972" s="1"/>
  <c r="DY7" i="1972" s="1"/>
  <c r="DY70" i="1972" s="1"/>
  <c r="EL29" i="1972"/>
  <c r="EL19" i="1972" s="1"/>
  <c r="EL7" i="1972" s="1"/>
  <c r="EL67" i="1972" s="1"/>
  <c r="EG29" i="1972"/>
  <c r="EG19" i="1972" s="1"/>
  <c r="EG7" i="1972" s="1"/>
  <c r="EG67" i="1972" s="1"/>
  <c r="BJ79" i="1972"/>
  <c r="BJ96" i="1972" s="1"/>
  <c r="BV79" i="1972"/>
  <c r="CH79" i="1972"/>
  <c r="CT79" i="1972"/>
  <c r="AT18" i="1969"/>
  <c r="AT7" i="1969" s="1"/>
  <c r="AT45" i="1969" s="1"/>
  <c r="CP18" i="1969"/>
  <c r="CP7" i="1969" s="1"/>
  <c r="CP45" i="1969" s="1"/>
  <c r="CL7" i="1970"/>
  <c r="AT19" i="1972"/>
  <c r="AT7" i="1972" s="1"/>
  <c r="AT67" i="1972" s="1"/>
  <c r="AF29" i="1972"/>
  <c r="AF19" i="1972" s="1"/>
  <c r="AF7" i="1972" s="1"/>
  <c r="DB29" i="1972"/>
  <c r="DB19" i="1972" s="1"/>
  <c r="DB7" i="1972" s="1"/>
  <c r="DB70" i="1972" s="1"/>
  <c r="DN29" i="1972"/>
  <c r="DN19" i="1972" s="1"/>
  <c r="DN7" i="1972" s="1"/>
  <c r="DN67" i="1972" s="1"/>
  <c r="DZ29" i="1972"/>
  <c r="DZ19" i="1972" s="1"/>
  <c r="DZ7" i="1972" s="1"/>
  <c r="DZ70" i="1972" s="1"/>
  <c r="EM29" i="1972"/>
  <c r="EM19" i="1972" s="1"/>
  <c r="EM7" i="1972" s="1"/>
  <c r="EM67" i="1972" s="1"/>
  <c r="AL79" i="1972"/>
  <c r="AX96" i="1972" s="1"/>
  <c r="BK79" i="1972"/>
  <c r="BK96" i="1972" s="1"/>
  <c r="BW79" i="1972"/>
  <c r="CI79" i="1972"/>
  <c r="CI96" i="1972" s="1"/>
  <c r="BI18" i="1969"/>
  <c r="BI7" i="1969" s="1"/>
  <c r="BI45" i="1969" s="1"/>
  <c r="AI24" i="1969"/>
  <c r="AI18" i="1969" s="1"/>
  <c r="AI7" i="1969" s="1"/>
  <c r="AI45" i="1969" s="1"/>
  <c r="CE24" i="1969"/>
  <c r="CE18" i="1969" s="1"/>
  <c r="CE7" i="1969" s="1"/>
  <c r="CE45" i="1969" s="1"/>
  <c r="DC24" i="1969"/>
  <c r="DC18" i="1969" s="1"/>
  <c r="DC7" i="1969" s="1"/>
  <c r="DC45" i="1969" s="1"/>
  <c r="DO24" i="1969"/>
  <c r="DO18" i="1969" s="1"/>
  <c r="DO7" i="1969" s="1"/>
  <c r="DO45" i="1969" s="1"/>
  <c r="EA24" i="1969"/>
  <c r="EA18" i="1969" s="1"/>
  <c r="EA7" i="1969" s="1"/>
  <c r="EA45" i="1969" s="1"/>
  <c r="EM24" i="1969"/>
  <c r="EM18" i="1969" s="1"/>
  <c r="EM7" i="1969" s="1"/>
  <c r="AN19" i="1972"/>
  <c r="AN7" i="1972" s="1"/>
  <c r="AN70" i="1972" s="1"/>
  <c r="BL19" i="1972"/>
  <c r="BL7" i="1972" s="1"/>
  <c r="BL70" i="1972" s="1"/>
  <c r="CJ19" i="1972"/>
  <c r="CJ7" i="1972" s="1"/>
  <c r="CJ70" i="1972" s="1"/>
  <c r="AU19" i="1972"/>
  <c r="AU7" i="1972" s="1"/>
  <c r="AU70" i="1972" s="1"/>
  <c r="EU30" i="1972"/>
  <c r="CQ29" i="1972"/>
  <c r="CQ19" i="1972" s="1"/>
  <c r="CQ7" i="1972" s="1"/>
  <c r="AG29" i="1972"/>
  <c r="AG19" i="1972" s="1"/>
  <c r="AG7" i="1972" s="1"/>
  <c r="CD29" i="1972"/>
  <c r="CD19" i="1972" s="1"/>
  <c r="CD7" i="1972" s="1"/>
  <c r="DC29" i="1972"/>
  <c r="DC19" i="1972" s="1"/>
  <c r="DC7" i="1972" s="1"/>
  <c r="DC70" i="1972" s="1"/>
  <c r="DO29" i="1972"/>
  <c r="DO19" i="1972" s="1"/>
  <c r="DO7" i="1972" s="1"/>
  <c r="DO70" i="1972" s="1"/>
  <c r="EA29" i="1972"/>
  <c r="EA19" i="1972" s="1"/>
  <c r="EA7" i="1972" s="1"/>
  <c r="EA67" i="1972" s="1"/>
  <c r="EN29" i="1972"/>
  <c r="EN19" i="1972" s="1"/>
  <c r="EN7" i="1972" s="1"/>
  <c r="EN67" i="1972" s="1"/>
  <c r="AM79" i="1972"/>
  <c r="AM96" i="1972" s="1"/>
  <c r="BL79" i="1972"/>
  <c r="BL96" i="1972" s="1"/>
  <c r="CJ79" i="1972"/>
  <c r="CV79" i="1972"/>
  <c r="DH96" i="1972" s="1"/>
  <c r="AJ24" i="1969"/>
  <c r="AJ18" i="1969" s="1"/>
  <c r="AJ7" i="1969" s="1"/>
  <c r="AJ45" i="1969" s="1"/>
  <c r="CF24" i="1969"/>
  <c r="CF18" i="1969" s="1"/>
  <c r="CF7" i="1969" s="1"/>
  <c r="CF45" i="1969" s="1"/>
  <c r="CR24" i="1969"/>
  <c r="CR18" i="1969" s="1"/>
  <c r="CR7" i="1969" s="1"/>
  <c r="CR45" i="1969" s="1"/>
  <c r="DD24" i="1969"/>
  <c r="DD18" i="1969" s="1"/>
  <c r="DD7" i="1969" s="1"/>
  <c r="DD45" i="1969" s="1"/>
  <c r="DP24" i="1969"/>
  <c r="DP18" i="1969" s="1"/>
  <c r="DP7" i="1969" s="1"/>
  <c r="DP45" i="1969" s="1"/>
  <c r="EB24" i="1969"/>
  <c r="EB18" i="1969" s="1"/>
  <c r="EB7" i="1969" s="1"/>
  <c r="EB45" i="1969" s="1"/>
  <c r="EN24" i="1969"/>
  <c r="EN18" i="1969" s="1"/>
  <c r="EN7" i="1969" s="1"/>
  <c r="BY7" i="1972"/>
  <c r="BY67" i="1972" s="1"/>
  <c r="AV19" i="1972"/>
  <c r="AV7" i="1972" s="1"/>
  <c r="AV67" i="1972" s="1"/>
  <c r="AI29" i="1972"/>
  <c r="AI19" i="1972" s="1"/>
  <c r="AI7" i="1972" s="1"/>
  <c r="DD29" i="1972"/>
  <c r="DD19" i="1972" s="1"/>
  <c r="DD7" i="1972" s="1"/>
  <c r="DD67" i="1972" s="1"/>
  <c r="DP29" i="1972"/>
  <c r="DP19" i="1972" s="1"/>
  <c r="DP7" i="1972" s="1"/>
  <c r="DP67" i="1972" s="1"/>
  <c r="EB29" i="1972"/>
  <c r="EB19" i="1972" s="1"/>
  <c r="EB7" i="1972" s="1"/>
  <c r="EB67" i="1972" s="1"/>
  <c r="EO29" i="1972"/>
  <c r="EO19" i="1972" s="1"/>
  <c r="EO7" i="1972" s="1"/>
  <c r="EO67" i="1972" s="1"/>
  <c r="AN79" i="1972"/>
  <c r="AZ96" i="1972" s="1"/>
  <c r="BM79" i="1972"/>
  <c r="BY96" i="1972" s="1"/>
  <c r="CK79" i="1972"/>
  <c r="CK96" i="1972" s="1"/>
  <c r="BS7" i="1969"/>
  <c r="BS45" i="1969" s="1"/>
  <c r="EU19" i="1969"/>
  <c r="AK24" i="1969"/>
  <c r="AK18" i="1969" s="1"/>
  <c r="AK7" i="1969" s="1"/>
  <c r="AK45" i="1969" s="1"/>
  <c r="CG24" i="1969"/>
  <c r="CG18" i="1969" s="1"/>
  <c r="CG7" i="1969" s="1"/>
  <c r="CG45" i="1969" s="1"/>
  <c r="CS24" i="1969"/>
  <c r="CS18" i="1969" s="1"/>
  <c r="CS7" i="1969" s="1"/>
  <c r="CS45" i="1969" s="1"/>
  <c r="DE24" i="1969"/>
  <c r="DE18" i="1969" s="1"/>
  <c r="DE7" i="1969" s="1"/>
  <c r="DE45" i="1969" s="1"/>
  <c r="DQ24" i="1969"/>
  <c r="DQ18" i="1969" s="1"/>
  <c r="DQ7" i="1969" s="1"/>
  <c r="DQ45" i="1969" s="1"/>
  <c r="EC24" i="1969"/>
  <c r="EC18" i="1969" s="1"/>
  <c r="EC7" i="1969" s="1"/>
  <c r="EC45" i="1969" s="1"/>
  <c r="EO24" i="1969"/>
  <c r="EO18" i="1969" s="1"/>
  <c r="EO7" i="1969" s="1"/>
  <c r="AW19" i="1972"/>
  <c r="AW7" i="1972" s="1"/>
  <c r="AW70" i="1972" s="1"/>
  <c r="AJ29" i="1972"/>
  <c r="AJ19" i="1972" s="1"/>
  <c r="AJ7" i="1972" s="1"/>
  <c r="AJ70" i="1972" s="1"/>
  <c r="CF29" i="1972"/>
  <c r="CF19" i="1972" s="1"/>
  <c r="CF7" i="1972" s="1"/>
  <c r="DE29" i="1972"/>
  <c r="DE19" i="1972" s="1"/>
  <c r="DE7" i="1972" s="1"/>
  <c r="DE67" i="1972" s="1"/>
  <c r="DQ29" i="1972"/>
  <c r="DQ19" i="1972" s="1"/>
  <c r="DQ7" i="1972" s="1"/>
  <c r="DQ67" i="1972" s="1"/>
  <c r="EC29" i="1972"/>
  <c r="EC19" i="1972" s="1"/>
  <c r="EC7" i="1972" s="1"/>
  <c r="EC70" i="1972" s="1"/>
  <c r="BN79" i="1972"/>
  <c r="BZ96" i="1972" s="1"/>
  <c r="CL79" i="1972"/>
  <c r="CL96" i="1972" s="1"/>
  <c r="CX79" i="1972"/>
  <c r="DJ96" i="1972" s="1"/>
  <c r="AZ18" i="1969"/>
  <c r="AZ7" i="1969" s="1"/>
  <c r="AZ45" i="1969" s="1"/>
  <c r="BL18" i="1969"/>
  <c r="BL7" i="1969" s="1"/>
  <c r="BL45" i="1969" s="1"/>
  <c r="BX18" i="1969"/>
  <c r="BX7" i="1969" s="1"/>
  <c r="BX45" i="1969" s="1"/>
  <c r="Z24" i="1969"/>
  <c r="Z18" i="1969" s="1"/>
  <c r="Z7" i="1969" s="1"/>
  <c r="Z45" i="1969" s="1"/>
  <c r="AL24" i="1969"/>
  <c r="AL18" i="1969" s="1"/>
  <c r="AL7" i="1969" s="1"/>
  <c r="AL45" i="1969" s="1"/>
  <c r="CH24" i="1969"/>
  <c r="CH18" i="1969" s="1"/>
  <c r="CH7" i="1969" s="1"/>
  <c r="CH45" i="1969" s="1"/>
  <c r="CT24" i="1969"/>
  <c r="CT18" i="1969" s="1"/>
  <c r="CT7" i="1969" s="1"/>
  <c r="CT45" i="1969" s="1"/>
  <c r="DF24" i="1969"/>
  <c r="DF18" i="1969" s="1"/>
  <c r="DF7" i="1969" s="1"/>
  <c r="DF45" i="1969" s="1"/>
  <c r="DR24" i="1969"/>
  <c r="DR18" i="1969" s="1"/>
  <c r="DR7" i="1969" s="1"/>
  <c r="DR45" i="1969" s="1"/>
  <c r="ED24" i="1969"/>
  <c r="ED18" i="1969" s="1"/>
  <c r="ED7" i="1969" s="1"/>
  <c r="ED45" i="1969" s="1"/>
  <c r="AT7" i="1970"/>
  <c r="BF7" i="1970"/>
  <c r="AL29" i="1972"/>
  <c r="AL19" i="1972" s="1"/>
  <c r="AL7" i="1972" s="1"/>
  <c r="AX29" i="1972"/>
  <c r="AX19" i="1972" s="1"/>
  <c r="AX7" i="1972" s="1"/>
  <c r="AX70" i="1972" s="1"/>
  <c r="BJ29" i="1972"/>
  <c r="BJ19" i="1972" s="1"/>
  <c r="BJ7" i="1972" s="1"/>
  <c r="BV29" i="1972"/>
  <c r="BV19" i="1972" s="1"/>
  <c r="BV7" i="1972" s="1"/>
  <c r="BV70" i="1972" s="1"/>
  <c r="CH29" i="1972"/>
  <c r="CH19" i="1972" s="1"/>
  <c r="CH7" i="1972" s="1"/>
  <c r="CT29" i="1972"/>
  <c r="CT19" i="1972" s="1"/>
  <c r="CT7" i="1972" s="1"/>
  <c r="CG29" i="1972"/>
  <c r="CG19" i="1972" s="1"/>
  <c r="CG7" i="1972" s="1"/>
  <c r="DF29" i="1972"/>
  <c r="DF19" i="1972" s="1"/>
  <c r="DF7" i="1972" s="1"/>
  <c r="DF67" i="1972" s="1"/>
  <c r="DR29" i="1972"/>
  <c r="DR19" i="1972" s="1"/>
  <c r="DR7" i="1972" s="1"/>
  <c r="DR67" i="1972" s="1"/>
  <c r="ED29" i="1972"/>
  <c r="ED19" i="1972" s="1"/>
  <c r="ED7" i="1972" s="1"/>
  <c r="ED70" i="1972" s="1"/>
  <c r="CM79" i="1972"/>
  <c r="CM96" i="1972" s="1"/>
  <c r="BD24" i="1969"/>
  <c r="BD18" i="1969" s="1"/>
  <c r="BD7" i="1969" s="1"/>
  <c r="BD45" i="1969" s="1"/>
  <c r="AY67" i="1972"/>
  <c r="AY70" i="1972"/>
  <c r="DG70" i="1972"/>
  <c r="DG67" i="1972"/>
  <c r="DS67" i="1972"/>
  <c r="AH7" i="1969"/>
  <c r="AH45" i="1969" s="1"/>
  <c r="AW24" i="1969"/>
  <c r="AW18" i="1969" s="1"/>
  <c r="AW7" i="1969" s="1"/>
  <c r="AW45" i="1969" s="1"/>
  <c r="CQ24" i="1969"/>
  <c r="EU33" i="1969"/>
  <c r="BD67" i="1972"/>
  <c r="AD29" i="1972"/>
  <c r="AD19" i="1972" s="1"/>
  <c r="AD7" i="1972" s="1"/>
  <c r="CZ67" i="1972"/>
  <c r="AC29" i="1972"/>
  <c r="AC19" i="1972" s="1"/>
  <c r="AC7" i="1972" s="1"/>
  <c r="AX24" i="1969"/>
  <c r="AX18" i="1969" s="1"/>
  <c r="AX7" i="1969" s="1"/>
  <c r="AX45" i="1969" s="1"/>
  <c r="AE29" i="1972"/>
  <c r="AE19" i="1972" s="1"/>
  <c r="AE7" i="1972" s="1"/>
  <c r="AS67" i="1972"/>
  <c r="DM67" i="1972"/>
  <c r="DM70" i="1972"/>
  <c r="DJ70" i="1972"/>
  <c r="AA7" i="1969"/>
  <c r="AA45" i="1969" s="1"/>
  <c r="AE7" i="1970"/>
  <c r="AH7" i="1970"/>
  <c r="BR67" i="1972"/>
  <c r="BR70" i="1972"/>
  <c r="EU38" i="1972"/>
  <c r="CE29" i="1972"/>
  <c r="CE19" i="1972" s="1"/>
  <c r="CE7" i="1972" s="1"/>
  <c r="BB29" i="1972"/>
  <c r="BB19" i="1972" s="1"/>
  <c r="BB7" i="1972" s="1"/>
  <c r="AB29" i="1972"/>
  <c r="AB19" i="1972" s="1"/>
  <c r="AB7" i="1972" s="1"/>
  <c r="BB24" i="1969"/>
  <c r="BB18" i="1969" s="1"/>
  <c r="BB7" i="1969" s="1"/>
  <c r="BB45" i="1969" s="1"/>
  <c r="DT70" i="1972"/>
  <c r="BC24" i="1969"/>
  <c r="BC18" i="1969" s="1"/>
  <c r="BC7" i="1969" s="1"/>
  <c r="BC45" i="1969" s="1"/>
  <c r="R7" i="1970"/>
  <c r="BZ7" i="1970"/>
  <c r="EO7" i="1970"/>
  <c r="DI12" i="1971"/>
  <c r="DI24" i="1971" s="1"/>
  <c r="H7" i="1972"/>
  <c r="H70" i="1972" s="1"/>
  <c r="K7" i="1970"/>
  <c r="DR7" i="1971"/>
  <c r="DR22" i="1971" s="1"/>
  <c r="AP7" i="1970"/>
  <c r="HT7" i="1971"/>
  <c r="X7" i="1972"/>
  <c r="X70" i="1972" s="1"/>
  <c r="C7" i="1970"/>
  <c r="AA7" i="1970"/>
  <c r="GB7" i="1971"/>
  <c r="GB22" i="1971" s="1"/>
  <c r="GD7" i="1971"/>
  <c r="GD22" i="1971" s="1"/>
  <c r="AD7" i="1970"/>
  <c r="CC7" i="1970"/>
  <c r="G12" i="1971"/>
  <c r="C7" i="1972"/>
  <c r="C70" i="1972" s="1"/>
  <c r="O7" i="1972"/>
  <c r="O70" i="1972" s="1"/>
  <c r="DB7" i="1970"/>
  <c r="HL7" i="1971"/>
  <c r="H12" i="1971"/>
  <c r="P7" i="1972"/>
  <c r="P70" i="1972" s="1"/>
  <c r="CD7" i="1970"/>
  <c r="S7" i="1970"/>
  <c r="H8" i="1971"/>
  <c r="U7" i="1969"/>
  <c r="U45" i="1969" s="1"/>
  <c r="S7" i="1969"/>
  <c r="S45" i="1969" s="1"/>
  <c r="D7" i="1972"/>
  <c r="D70" i="1972" s="1"/>
  <c r="AW55" i="1972"/>
  <c r="AW79" i="1972" s="1"/>
  <c r="AW96" i="1972" s="1"/>
  <c r="DJ7" i="1970"/>
  <c r="I7" i="1972"/>
  <c r="I70" i="1972" s="1"/>
  <c r="Y7" i="1972"/>
  <c r="Y70" i="1972" s="1"/>
  <c r="L7" i="1972"/>
  <c r="L70" i="1972" s="1"/>
  <c r="T7" i="1972"/>
  <c r="T70" i="1972" s="1"/>
  <c r="Q7" i="1972"/>
  <c r="Q70" i="1972" s="1"/>
  <c r="E7" i="1972"/>
  <c r="E70" i="1972" s="1"/>
  <c r="M7" i="1972"/>
  <c r="M70" i="1972" s="1"/>
  <c r="U7" i="1972"/>
  <c r="U70" i="1972" s="1"/>
  <c r="AW94" i="1972"/>
  <c r="HM7" i="1971"/>
  <c r="HU7" i="1971"/>
  <c r="P7" i="1971"/>
  <c r="CW7" i="1971"/>
  <c r="CW22" i="1971" s="1"/>
  <c r="O7" i="1971"/>
  <c r="W7" i="1971"/>
  <c r="AE7" i="1971"/>
  <c r="AM7" i="1971"/>
  <c r="AU7" i="1971"/>
  <c r="BC7" i="1971"/>
  <c r="BK7" i="1971"/>
  <c r="BS7" i="1971"/>
  <c r="HE7" i="1971"/>
  <c r="HE22" i="1971" s="1"/>
  <c r="ES7" i="1971"/>
  <c r="ES22" i="1971" s="1"/>
  <c r="F8" i="1971"/>
  <c r="F7" i="1971" s="1"/>
  <c r="FY7" i="1971"/>
  <c r="FY22" i="1971" s="1"/>
  <c r="CB7" i="1971"/>
  <c r="CB22" i="1971" s="1"/>
  <c r="AV7" i="1971"/>
  <c r="DH12" i="1971"/>
  <c r="DH24" i="1971" s="1"/>
  <c r="CX7" i="1971"/>
  <c r="CX22" i="1971" s="1"/>
  <c r="Q7" i="1971"/>
  <c r="AW7" i="1971"/>
  <c r="BZ7" i="1971"/>
  <c r="BZ22" i="1971" s="1"/>
  <c r="X7" i="1971"/>
  <c r="AF7" i="1971"/>
  <c r="AN7" i="1971"/>
  <c r="BD7" i="1971"/>
  <c r="BL7" i="1971"/>
  <c r="BT7" i="1971"/>
  <c r="DM8" i="1971"/>
  <c r="DM23" i="1971" s="1"/>
  <c r="CH7" i="1971"/>
  <c r="CH22" i="1971" s="1"/>
  <c r="AB7" i="1971"/>
  <c r="CP7" i="1971"/>
  <c r="CP22" i="1971" s="1"/>
  <c r="D8" i="1971"/>
  <c r="FF7" i="1971"/>
  <c r="FF22" i="1971" s="1"/>
  <c r="DI8" i="1971"/>
  <c r="DI23" i="1971" s="1"/>
  <c r="DI31" i="1971" s="1"/>
  <c r="CL7" i="1971"/>
  <c r="CL22" i="1971" s="1"/>
  <c r="EN7" i="1971"/>
  <c r="EN22" i="1971" s="1"/>
  <c r="DL7" i="1971"/>
  <c r="DL22" i="1971" s="1"/>
  <c r="CC7" i="1971"/>
  <c r="CC22" i="1971" s="1"/>
  <c r="GC7" i="1971"/>
  <c r="GC22" i="1971" s="1"/>
  <c r="E8" i="1971"/>
  <c r="EP7" i="1971"/>
  <c r="EP22" i="1971" s="1"/>
  <c r="BG7" i="1971"/>
  <c r="DG12" i="1971"/>
  <c r="DG24" i="1971" s="1"/>
  <c r="DG32" i="1971" s="1"/>
  <c r="FL7" i="1971"/>
  <c r="FL22" i="1971" s="1"/>
  <c r="HA7" i="1971"/>
  <c r="HA22" i="1971" s="1"/>
  <c r="BO7" i="1971"/>
  <c r="DY7" i="1971"/>
  <c r="DY22" i="1971" s="1"/>
  <c r="EV7" i="1971"/>
  <c r="EV22" i="1971" s="1"/>
  <c r="FN7" i="1971"/>
  <c r="FN22" i="1971" s="1"/>
  <c r="GJ7" i="1971"/>
  <c r="GJ22" i="1971" s="1"/>
  <c r="HB7" i="1971"/>
  <c r="HB22" i="1971" s="1"/>
  <c r="L7" i="1971"/>
  <c r="T7" i="1971"/>
  <c r="AJ7" i="1971"/>
  <c r="AR7" i="1971"/>
  <c r="AZ7" i="1971"/>
  <c r="BP7" i="1971"/>
  <c r="FM7" i="1971"/>
  <c r="FM22" i="1971" s="1"/>
  <c r="AI7" i="1971"/>
  <c r="EW7" i="1971"/>
  <c r="EW22" i="1971" s="1"/>
  <c r="FT7" i="1971"/>
  <c r="FT22" i="1971" s="1"/>
  <c r="GK7" i="1971"/>
  <c r="GK22" i="1971" s="1"/>
  <c r="G8" i="1971"/>
  <c r="DX7" i="1971"/>
  <c r="DX22" i="1971" s="1"/>
  <c r="S7" i="1971"/>
  <c r="AY7" i="1971"/>
  <c r="EF7" i="1971"/>
  <c r="EF22" i="1971" s="1"/>
  <c r="EX7" i="1971"/>
  <c r="EX22" i="1971" s="1"/>
  <c r="FU7" i="1971"/>
  <c r="FU22" i="1971" s="1"/>
  <c r="GL7" i="1971"/>
  <c r="GL22" i="1971" s="1"/>
  <c r="HH7" i="1971"/>
  <c r="HH22" i="1971" s="1"/>
  <c r="DG8" i="1971"/>
  <c r="DG23" i="1971" s="1"/>
  <c r="DG31" i="1971" s="1"/>
  <c r="DV7" i="1971"/>
  <c r="DV22" i="1971" s="1"/>
  <c r="EH33" i="1971" s="1"/>
  <c r="GZ7" i="1971"/>
  <c r="GZ22" i="1971" s="1"/>
  <c r="K7" i="1971"/>
  <c r="AQ7" i="1971"/>
  <c r="CD7" i="1971"/>
  <c r="CD22" i="1971" s="1"/>
  <c r="DP7" i="1971"/>
  <c r="DP22" i="1971" s="1"/>
  <c r="EG7" i="1971"/>
  <c r="EG22" i="1971" s="1"/>
  <c r="FD7" i="1971"/>
  <c r="FD22" i="1971" s="1"/>
  <c r="FV7" i="1971"/>
  <c r="FV22" i="1971" s="1"/>
  <c r="GR7" i="1971"/>
  <c r="GR22" i="1971" s="1"/>
  <c r="HI7" i="1971"/>
  <c r="HI22" i="1971" s="1"/>
  <c r="HN7" i="1971"/>
  <c r="DH8" i="1971"/>
  <c r="DH23" i="1971" s="1"/>
  <c r="DQ7" i="1971"/>
  <c r="DQ22" i="1971" s="1"/>
  <c r="FE7" i="1971"/>
  <c r="FE22" i="1971" s="1"/>
  <c r="GS7" i="1971"/>
  <c r="GS22" i="1971" s="1"/>
  <c r="HJ7" i="1971"/>
  <c r="HJ22" i="1971" s="1"/>
  <c r="I7" i="1971"/>
  <c r="Y7" i="1971"/>
  <c r="AG7" i="1971"/>
  <c r="AO7" i="1971"/>
  <c r="BE7" i="1971"/>
  <c r="BM7" i="1971"/>
  <c r="BU7" i="1971"/>
  <c r="HF7" i="1971"/>
  <c r="HF22" i="1971" s="1"/>
  <c r="HF33" i="1971" s="1"/>
  <c r="CO7" i="1971"/>
  <c r="CO22" i="1971" s="1"/>
  <c r="CZ7" i="1971"/>
  <c r="CZ22" i="1971" s="1"/>
  <c r="EJ7" i="1971"/>
  <c r="EJ22" i="1971" s="1"/>
  <c r="EJ33" i="1971" s="1"/>
  <c r="FQ7" i="1971"/>
  <c r="FQ22" i="1971" s="1"/>
  <c r="GW7" i="1971"/>
  <c r="GW22" i="1971" s="1"/>
  <c r="ET7" i="1971"/>
  <c r="ET22" i="1971" s="1"/>
  <c r="GV7" i="1971"/>
  <c r="GV22" i="1971" s="1"/>
  <c r="CF7" i="1971"/>
  <c r="CF22" i="1971" s="1"/>
  <c r="DA7" i="1971"/>
  <c r="DA22" i="1971" s="1"/>
  <c r="EK7" i="1971"/>
  <c r="EK22" i="1971" s="1"/>
  <c r="FH7" i="1971"/>
  <c r="FH22" i="1971" s="1"/>
  <c r="FH33" i="1971" s="1"/>
  <c r="FR7" i="1971"/>
  <c r="FR22" i="1971" s="1"/>
  <c r="GN7" i="1971"/>
  <c r="GN22" i="1971" s="1"/>
  <c r="GX7" i="1971"/>
  <c r="GX22" i="1971" s="1"/>
  <c r="BV7" i="1971"/>
  <c r="BV22" i="1971" s="1"/>
  <c r="CG7" i="1971"/>
  <c r="CG22" i="1971" s="1"/>
  <c r="CR7" i="1971"/>
  <c r="CR22" i="1971" s="1"/>
  <c r="DB7" i="1971"/>
  <c r="DB22" i="1971" s="1"/>
  <c r="EB7" i="1971"/>
  <c r="EB22" i="1971" s="1"/>
  <c r="EL7" i="1971"/>
  <c r="EL22" i="1971" s="1"/>
  <c r="EL33" i="1971" s="1"/>
  <c r="FI7" i="1971"/>
  <c r="FI22" i="1971" s="1"/>
  <c r="GO7" i="1971"/>
  <c r="GO22" i="1971" s="1"/>
  <c r="C7" i="1971"/>
  <c r="BX7" i="1971"/>
  <c r="BX22" i="1971" s="1"/>
  <c r="CS7" i="1971"/>
  <c r="CS22" i="1971" s="1"/>
  <c r="DD7" i="1971"/>
  <c r="DD22" i="1971" s="1"/>
  <c r="EC7" i="1971"/>
  <c r="EC22" i="1971" s="1"/>
  <c r="EZ7" i="1971"/>
  <c r="EZ22" i="1971" s="1"/>
  <c r="FJ7" i="1971"/>
  <c r="FJ22" i="1971" s="1"/>
  <c r="GF7" i="1971"/>
  <c r="GF22" i="1971" s="1"/>
  <c r="GP7" i="1971"/>
  <c r="GP22" i="1971" s="1"/>
  <c r="CN7" i="1971"/>
  <c r="CN22" i="1971" s="1"/>
  <c r="FZ7" i="1971"/>
  <c r="FZ22" i="1971" s="1"/>
  <c r="BY7" i="1971"/>
  <c r="BY22" i="1971" s="1"/>
  <c r="CJ7" i="1971"/>
  <c r="CJ22" i="1971" s="1"/>
  <c r="CT7" i="1971"/>
  <c r="CT22" i="1971" s="1"/>
  <c r="DE7" i="1971"/>
  <c r="DE22" i="1971" s="1"/>
  <c r="DQ33" i="1971" s="1"/>
  <c r="DT7" i="1971"/>
  <c r="DT22" i="1971" s="1"/>
  <c r="ED7" i="1971"/>
  <c r="ED22" i="1971" s="1"/>
  <c r="FA7" i="1971"/>
  <c r="FA22" i="1971" s="1"/>
  <c r="GG7" i="1971"/>
  <c r="GG22" i="1971" s="1"/>
  <c r="FP7" i="1971"/>
  <c r="FP22" i="1971" s="1"/>
  <c r="CK7" i="1971"/>
  <c r="CK22" i="1971" s="1"/>
  <c r="CV7" i="1971"/>
  <c r="CV22" i="1971" s="1"/>
  <c r="DU7" i="1971"/>
  <c r="DU22" i="1971" s="1"/>
  <c r="ER7" i="1971"/>
  <c r="ER22" i="1971" s="1"/>
  <c r="FB7" i="1971"/>
  <c r="FB22" i="1971" s="1"/>
  <c r="FX7" i="1971"/>
  <c r="FX22" i="1971" s="1"/>
  <c r="GH7" i="1971"/>
  <c r="GH22" i="1971" s="1"/>
  <c r="GT33" i="1971" s="1"/>
  <c r="HD7" i="1971"/>
  <c r="HD22" i="1971" s="1"/>
  <c r="AI7" i="1970"/>
  <c r="E7" i="1970"/>
  <c r="AC7" i="1970"/>
  <c r="D7" i="1970"/>
  <c r="T7" i="1970"/>
  <c r="V7" i="1970"/>
  <c r="BB7" i="1970"/>
  <c r="CH7" i="1970"/>
  <c r="CX7" i="1970"/>
  <c r="DF7" i="1970"/>
  <c r="DN7" i="1970"/>
  <c r="DV7" i="1970"/>
  <c r="ED7" i="1970"/>
  <c r="AN7" i="1970"/>
  <c r="I7" i="1970"/>
  <c r="Q7" i="1970"/>
  <c r="Y7" i="1970"/>
  <c r="AG7" i="1970"/>
  <c r="AO7" i="1970"/>
  <c r="AW7" i="1970"/>
  <c r="BE7" i="1970"/>
  <c r="BM7" i="1970"/>
  <c r="BU7" i="1970"/>
  <c r="CK7" i="1970"/>
  <c r="CS7" i="1970"/>
  <c r="DA7" i="1970"/>
  <c r="DI7" i="1970"/>
  <c r="DQ7" i="1970"/>
  <c r="DY7" i="1970"/>
  <c r="EG7" i="1970"/>
  <c r="H7" i="1970"/>
  <c r="P7" i="1970"/>
  <c r="X7" i="1970"/>
  <c r="AF7" i="1970"/>
  <c r="U7" i="1970"/>
  <c r="AK7" i="1970"/>
  <c r="DM7" i="1970"/>
  <c r="L7" i="1970"/>
  <c r="AB7" i="1970"/>
  <c r="F7" i="1970"/>
  <c r="BR7" i="1970"/>
  <c r="CP7" i="1970"/>
  <c r="EL7" i="1970"/>
  <c r="W7" i="1970"/>
  <c r="BS7" i="1970"/>
  <c r="CI7" i="1970"/>
  <c r="CY7" i="1970"/>
  <c r="DO7" i="1970"/>
  <c r="EE7" i="1970"/>
  <c r="DZ7" i="1970"/>
  <c r="M7" i="1970"/>
  <c r="G7" i="1970"/>
  <c r="AM7" i="1970"/>
  <c r="BC7" i="1970"/>
  <c r="CQ7" i="1970"/>
  <c r="DG7" i="1970"/>
  <c r="DW7" i="1970"/>
  <c r="EM7" i="1970"/>
  <c r="E7" i="1969"/>
  <c r="E45" i="1969" s="1"/>
  <c r="M7" i="1969"/>
  <c r="M45" i="1969" s="1"/>
  <c r="C7" i="1969"/>
  <c r="C45" i="1969" s="1"/>
  <c r="H7" i="1969"/>
  <c r="H45" i="1969" s="1"/>
  <c r="X7" i="1969"/>
  <c r="X45" i="1969" s="1"/>
  <c r="I7" i="1969"/>
  <c r="I45" i="1969" s="1"/>
  <c r="Q7" i="1969"/>
  <c r="Q45" i="1969" s="1"/>
  <c r="Y7" i="1969"/>
  <c r="Y45" i="1969" s="1"/>
  <c r="T7" i="1969"/>
  <c r="T45" i="1969" s="1"/>
  <c r="L7" i="1969"/>
  <c r="L45" i="1969" s="1"/>
  <c r="P7" i="1969"/>
  <c r="P45" i="1969" s="1"/>
  <c r="D7" i="1969"/>
  <c r="D45" i="1969" s="1"/>
  <c r="G7" i="1969"/>
  <c r="G45" i="1969" s="1"/>
  <c r="O7" i="1969"/>
  <c r="O45" i="1969" s="1"/>
  <c r="W7" i="1969"/>
  <c r="W45" i="1969" s="1"/>
  <c r="AV7" i="1970"/>
  <c r="BD7" i="1970"/>
  <c r="BL7" i="1970"/>
  <c r="BT7" i="1970"/>
  <c r="CB7" i="1970"/>
  <c r="CJ7" i="1970"/>
  <c r="CR7" i="1970"/>
  <c r="CZ7" i="1970"/>
  <c r="DH7" i="1970"/>
  <c r="DP7" i="1970"/>
  <c r="DX7" i="1970"/>
  <c r="DJ8" i="1971"/>
  <c r="DJ23" i="1971" s="1"/>
  <c r="DJ31" i="1971" s="1"/>
  <c r="K7" i="1969"/>
  <c r="K45" i="1969" s="1"/>
  <c r="AJ7" i="1970"/>
  <c r="AR7" i="1970"/>
  <c r="AZ7" i="1970"/>
  <c r="BH7" i="1970"/>
  <c r="BP7" i="1970"/>
  <c r="BX7" i="1970"/>
  <c r="CF7" i="1970"/>
  <c r="CN7" i="1970"/>
  <c r="CV7" i="1970"/>
  <c r="DD7" i="1970"/>
  <c r="DL7" i="1970"/>
  <c r="DT7" i="1970"/>
  <c r="DF8" i="1971"/>
  <c r="DF23" i="1971" s="1"/>
  <c r="HK7" i="1971"/>
  <c r="HO7" i="1971"/>
  <c r="HS7" i="1971"/>
  <c r="DF12" i="1971"/>
  <c r="DF24" i="1971" s="1"/>
  <c r="DF32" i="1971" s="1"/>
  <c r="DJ12" i="1971"/>
  <c r="DJ24" i="1971" s="1"/>
  <c r="DV32" i="1971" s="1"/>
  <c r="B7" i="1969"/>
  <c r="B45" i="1969" s="1"/>
  <c r="F7" i="1969"/>
  <c r="F45" i="1969" s="1"/>
  <c r="J7" i="1969"/>
  <c r="J45" i="1969" s="1"/>
  <c r="N7" i="1969"/>
  <c r="N45" i="1969" s="1"/>
  <c r="R7" i="1969"/>
  <c r="R45" i="1969" s="1"/>
  <c r="V7" i="1969"/>
  <c r="V45" i="1969" s="1"/>
  <c r="AL7" i="1970"/>
  <c r="J7" i="1971"/>
  <c r="N7" i="1971"/>
  <c r="R7" i="1971"/>
  <c r="V7" i="1971"/>
  <c r="Z7" i="1971"/>
  <c r="AD7" i="1971"/>
  <c r="AH7" i="1971"/>
  <c r="AL7" i="1971"/>
  <c r="AP7" i="1971"/>
  <c r="AT7" i="1971"/>
  <c r="AX7" i="1971"/>
  <c r="BB7" i="1971"/>
  <c r="BF7" i="1971"/>
  <c r="BJ7" i="1971"/>
  <c r="BN7" i="1971"/>
  <c r="BR7" i="1971"/>
  <c r="EB7" i="1970"/>
  <c r="EF7" i="1970"/>
  <c r="EJ7" i="1970"/>
  <c r="EN7" i="1970"/>
  <c r="B7" i="1971"/>
  <c r="B7" i="1972"/>
  <c r="B70" i="1972" s="1"/>
  <c r="F7" i="1972"/>
  <c r="F70" i="1972" s="1"/>
  <c r="J7" i="1972"/>
  <c r="J70" i="1972" s="1"/>
  <c r="N7" i="1972"/>
  <c r="N70" i="1972" s="1"/>
  <c r="R7" i="1972"/>
  <c r="R70" i="1972" s="1"/>
  <c r="V7" i="1972"/>
  <c r="V70" i="1972" s="1"/>
  <c r="EO23" i="1971"/>
  <c r="FA31" i="1971" s="1"/>
  <c r="EO7" i="1971"/>
  <c r="EO22" i="1971" s="1"/>
  <c r="DN23" i="1971"/>
  <c r="DN31" i="1971" s="1"/>
  <c r="DN7" i="1971"/>
  <c r="DN22" i="1971" s="1"/>
  <c r="BW7" i="1971"/>
  <c r="BW22" i="1971" s="1"/>
  <c r="CA7" i="1971"/>
  <c r="CA22" i="1971" s="1"/>
  <c r="CE7" i="1971"/>
  <c r="CE22" i="1971" s="1"/>
  <c r="CI7" i="1971"/>
  <c r="CI22" i="1971" s="1"/>
  <c r="CM7" i="1971"/>
  <c r="CM22" i="1971" s="1"/>
  <c r="CQ7" i="1971"/>
  <c r="CQ22" i="1971" s="1"/>
  <c r="CU7" i="1971"/>
  <c r="CU22" i="1971" s="1"/>
  <c r="CY7" i="1971"/>
  <c r="CY22" i="1971" s="1"/>
  <c r="DC7" i="1971"/>
  <c r="DC22" i="1971" s="1"/>
  <c r="DK7" i="1971"/>
  <c r="DK22" i="1971" s="1"/>
  <c r="DO7" i="1971"/>
  <c r="DO22" i="1971" s="1"/>
  <c r="DS7" i="1971"/>
  <c r="DS22" i="1971" s="1"/>
  <c r="DW7" i="1971"/>
  <c r="DW22" i="1971" s="1"/>
  <c r="EA7" i="1971"/>
  <c r="EA22" i="1971" s="1"/>
  <c r="EE7" i="1971"/>
  <c r="EE22" i="1971" s="1"/>
  <c r="EI7" i="1971"/>
  <c r="EI22" i="1971" s="1"/>
  <c r="EM7" i="1971"/>
  <c r="EM22" i="1971" s="1"/>
  <c r="EQ7" i="1971"/>
  <c r="EQ22" i="1971" s="1"/>
  <c r="EU7" i="1971"/>
  <c r="EU22" i="1971" s="1"/>
  <c r="EY7" i="1971"/>
  <c r="EY22" i="1971" s="1"/>
  <c r="FC7" i="1971"/>
  <c r="FC22" i="1971" s="1"/>
  <c r="FG7" i="1971"/>
  <c r="FG22" i="1971" s="1"/>
  <c r="FK7" i="1971"/>
  <c r="FK22" i="1971" s="1"/>
  <c r="FO7" i="1971"/>
  <c r="FO22" i="1971" s="1"/>
  <c r="FS7" i="1971"/>
  <c r="FS22" i="1971" s="1"/>
  <c r="FW7" i="1971"/>
  <c r="FW22" i="1971" s="1"/>
  <c r="GA7" i="1971"/>
  <c r="GA22" i="1971" s="1"/>
  <c r="GE7" i="1971"/>
  <c r="GE22" i="1971" s="1"/>
  <c r="GI7" i="1971"/>
  <c r="GI22" i="1971" s="1"/>
  <c r="GM7" i="1971"/>
  <c r="GM22" i="1971" s="1"/>
  <c r="GQ7" i="1971"/>
  <c r="GQ22" i="1971" s="1"/>
  <c r="GU7" i="1971"/>
  <c r="GU22" i="1971" s="1"/>
  <c r="GY7" i="1971"/>
  <c r="GY22" i="1971" s="1"/>
  <c r="HC7" i="1971"/>
  <c r="HC22" i="1971" s="1"/>
  <c r="HG7" i="1971"/>
  <c r="HG22" i="1971" s="1"/>
  <c r="AX94" i="1972"/>
  <c r="BC94" i="1972"/>
  <c r="BD94" i="1972"/>
  <c r="BE94" i="1972"/>
  <c r="BH94" i="1972"/>
  <c r="ER30" i="1972"/>
  <c r="ER44" i="1972"/>
  <c r="O94" i="1972"/>
  <c r="AA94" i="1972"/>
  <c r="AM94" i="1972"/>
  <c r="AZ94" i="1972"/>
  <c r="BL94" i="1972"/>
  <c r="BX94" i="1972"/>
  <c r="CJ94" i="1972"/>
  <c r="CV94" i="1972"/>
  <c r="DH94" i="1972"/>
  <c r="P94" i="1972"/>
  <c r="AB94" i="1972"/>
  <c r="AN94" i="1972"/>
  <c r="BA94" i="1972"/>
  <c r="BM94" i="1972"/>
  <c r="BY94" i="1972"/>
  <c r="CK94" i="1972"/>
  <c r="CW94" i="1972"/>
  <c r="DI94" i="1972"/>
  <c r="Q94" i="1972"/>
  <c r="AC94" i="1972"/>
  <c r="AO94" i="1972"/>
  <c r="BB94" i="1972"/>
  <c r="BN94" i="1972"/>
  <c r="BZ94" i="1972"/>
  <c r="CL94" i="1972"/>
  <c r="CX94" i="1972"/>
  <c r="DJ94" i="1972"/>
  <c r="ER8" i="1969"/>
  <c r="R94" i="1972"/>
  <c r="AD94" i="1972"/>
  <c r="AP94" i="1972"/>
  <c r="BO94" i="1972"/>
  <c r="CA94" i="1972"/>
  <c r="CM94" i="1972"/>
  <c r="CY94" i="1972"/>
  <c r="DK94" i="1972"/>
  <c r="ER33" i="1969"/>
  <c r="S94" i="1972"/>
  <c r="AE94" i="1972"/>
  <c r="AQ94" i="1972"/>
  <c r="BP94" i="1972"/>
  <c r="CB94" i="1972"/>
  <c r="CN94" i="1972"/>
  <c r="CZ94" i="1972"/>
  <c r="DL94" i="1972"/>
  <c r="ER20" i="1972"/>
  <c r="T94" i="1972"/>
  <c r="AF94" i="1972"/>
  <c r="AR94" i="1972"/>
  <c r="BQ94" i="1972"/>
  <c r="CC94" i="1972"/>
  <c r="CO94" i="1972"/>
  <c r="DA94" i="1972"/>
  <c r="DM94" i="1972"/>
  <c r="EQ13" i="1970"/>
  <c r="U94" i="1972"/>
  <c r="AG94" i="1972"/>
  <c r="AS94" i="1972"/>
  <c r="BF94" i="1972"/>
  <c r="BR94" i="1972"/>
  <c r="CD94" i="1972"/>
  <c r="CP94" i="1972"/>
  <c r="DB94" i="1972"/>
  <c r="DN94" i="1972"/>
  <c r="ER25" i="1969"/>
  <c r="ER9" i="1972"/>
  <c r="V94" i="1972"/>
  <c r="AH94" i="1972"/>
  <c r="AT94" i="1972"/>
  <c r="BG94" i="1972"/>
  <c r="BS94" i="1972"/>
  <c r="CE94" i="1972"/>
  <c r="CQ94" i="1972"/>
  <c r="DC94" i="1972"/>
  <c r="DO94" i="1972"/>
  <c r="ER19" i="1969"/>
  <c r="W94" i="1972"/>
  <c r="AI94" i="1972"/>
  <c r="AU94" i="1972"/>
  <c r="BT94" i="1972"/>
  <c r="CF94" i="1972"/>
  <c r="CR94" i="1972"/>
  <c r="DD94" i="1972"/>
  <c r="DP94" i="1972"/>
  <c r="EQ8" i="1970"/>
  <c r="EQ18" i="1970"/>
  <c r="X94" i="1972"/>
  <c r="AJ94" i="1972"/>
  <c r="AV94" i="1972"/>
  <c r="BU94" i="1972"/>
  <c r="CG94" i="1972"/>
  <c r="CS94" i="1972"/>
  <c r="DE94" i="1972"/>
  <c r="DQ94" i="1972"/>
  <c r="HW8" i="1971"/>
  <c r="Y94" i="1972"/>
  <c r="AK94" i="1972"/>
  <c r="BJ94" i="1972"/>
  <c r="BV94" i="1972"/>
  <c r="CH94" i="1972"/>
  <c r="CT94" i="1972"/>
  <c r="DF94" i="1972"/>
  <c r="HW12" i="1971"/>
  <c r="ER38" i="1972"/>
  <c r="N94" i="1972"/>
  <c r="Z94" i="1972"/>
  <c r="AL94" i="1972"/>
  <c r="AY94" i="1972"/>
  <c r="BK94" i="1972"/>
  <c r="BW94" i="1972"/>
  <c r="CI94" i="1972"/>
  <c r="CU94" i="1972"/>
  <c r="DG94" i="1972"/>
  <c r="N96" i="1972"/>
  <c r="O96" i="1972"/>
  <c r="P96" i="1972"/>
  <c r="Q96" i="1972"/>
  <c r="R96" i="1972"/>
  <c r="S96" i="1972"/>
  <c r="T96" i="1972"/>
  <c r="U96" i="1972"/>
  <c r="V96" i="1972"/>
  <c r="W96" i="1972"/>
  <c r="X96" i="1972"/>
  <c r="Y96" i="1972"/>
  <c r="Z96" i="1972"/>
  <c r="AA96" i="1972"/>
  <c r="AB96" i="1972"/>
  <c r="AC96" i="1972"/>
  <c r="AD96" i="1972"/>
  <c r="AE96" i="1972"/>
  <c r="AF96" i="1972"/>
  <c r="AG96" i="1972"/>
  <c r="AH96" i="1972"/>
  <c r="AI96" i="1972"/>
  <c r="AJ96" i="1972"/>
  <c r="AK96" i="1972"/>
  <c r="EQ9" i="1972"/>
  <c r="EQ20" i="1972"/>
  <c r="EQ29" i="1972"/>
  <c r="EQ30" i="1972"/>
  <c r="EQ38" i="1972"/>
  <c r="EQ44" i="1972"/>
  <c r="AO96" i="1972"/>
  <c r="AP96" i="1972"/>
  <c r="AS96" i="1972"/>
  <c r="AT96" i="1972"/>
  <c r="AU96" i="1972"/>
  <c r="AV96" i="1972"/>
  <c r="AY96" i="1972"/>
  <c r="BA96" i="1972"/>
  <c r="BB96" i="1972"/>
  <c r="BD96" i="1972"/>
  <c r="BG96" i="1972"/>
  <c r="BH96" i="1972"/>
  <c r="BO96" i="1972"/>
  <c r="BS96" i="1972"/>
  <c r="BT96" i="1972"/>
  <c r="BX96" i="1972"/>
  <c r="CA96" i="1972"/>
  <c r="CC96" i="1972"/>
  <c r="CD96" i="1972"/>
  <c r="CE96" i="1972"/>
  <c r="CF96" i="1972"/>
  <c r="CN96" i="1972"/>
  <c r="CS96" i="1972"/>
  <c r="CU96" i="1972"/>
  <c r="CZ96" i="1972"/>
  <c r="DE96" i="1972"/>
  <c r="DF96" i="1972"/>
  <c r="DG96" i="1972"/>
  <c r="DI96" i="1972"/>
  <c r="DK96" i="1972"/>
  <c r="DL96" i="1972"/>
  <c r="DM96" i="1972"/>
  <c r="DN96" i="1972"/>
  <c r="DO96" i="1972"/>
  <c r="DP96" i="1972"/>
  <c r="DQ96" i="1972"/>
  <c r="DR96" i="1972"/>
  <c r="DS96" i="1972"/>
  <c r="DT96" i="1972"/>
  <c r="DU96" i="1972"/>
  <c r="DV96" i="1972"/>
  <c r="DW96" i="1972"/>
  <c r="DX96" i="1972"/>
  <c r="DY96" i="1972"/>
  <c r="DZ96" i="1972"/>
  <c r="EA96" i="1972"/>
  <c r="EB96" i="1972"/>
  <c r="EC96" i="1972"/>
  <c r="ED96" i="1972"/>
  <c r="EQ55" i="1972"/>
  <c r="ER55" i="1972"/>
  <c r="BI94" i="1972"/>
  <c r="DR94" i="1972"/>
  <c r="DS94" i="1972"/>
  <c r="DT94" i="1972"/>
  <c r="DU94" i="1972"/>
  <c r="DV94" i="1972"/>
  <c r="DW94" i="1972"/>
  <c r="DX94" i="1972"/>
  <c r="DY94" i="1972"/>
  <c r="DZ94" i="1972"/>
  <c r="EA94" i="1972"/>
  <c r="EB94" i="1972"/>
  <c r="EC94" i="1972"/>
  <c r="ED94" i="1972"/>
  <c r="N95" i="1972"/>
  <c r="O95" i="1972"/>
  <c r="P95" i="1972"/>
  <c r="Q95" i="1972"/>
  <c r="R95" i="1972"/>
  <c r="S95" i="1972"/>
  <c r="T95" i="1972"/>
  <c r="U95" i="1972"/>
  <c r="V95" i="1972"/>
  <c r="W95" i="1972"/>
  <c r="X95" i="1972"/>
  <c r="Y95" i="1972"/>
  <c r="Z95" i="1972"/>
  <c r="AA95" i="1972"/>
  <c r="AB95" i="1972"/>
  <c r="AC95" i="1972"/>
  <c r="AD95" i="1972"/>
  <c r="AE95" i="1972"/>
  <c r="AF95" i="1972"/>
  <c r="AG95" i="1972"/>
  <c r="AH95" i="1972"/>
  <c r="AI95" i="1972"/>
  <c r="AJ95" i="1972"/>
  <c r="AK95" i="1972"/>
  <c r="AL95" i="1972"/>
  <c r="AM95" i="1972"/>
  <c r="AN95" i="1972"/>
  <c r="AO95" i="1972"/>
  <c r="AP95" i="1972"/>
  <c r="AQ95" i="1972"/>
  <c r="AR95" i="1972"/>
  <c r="AS95" i="1972"/>
  <c r="AT95" i="1972"/>
  <c r="AU95" i="1972"/>
  <c r="AV95" i="1972"/>
  <c r="AW95" i="1972"/>
  <c r="AX95" i="1972"/>
  <c r="AY95" i="1972"/>
  <c r="AZ95" i="1972"/>
  <c r="BA95" i="1972"/>
  <c r="BB95" i="1972"/>
  <c r="BC95" i="1972"/>
  <c r="BD95" i="1972"/>
  <c r="BE95" i="1972"/>
  <c r="BF95" i="1972"/>
  <c r="BG95" i="1972"/>
  <c r="BH95" i="1972"/>
  <c r="BI95" i="1972"/>
  <c r="BJ95" i="1972"/>
  <c r="BK95" i="1972"/>
  <c r="BL95" i="1972"/>
  <c r="BM95" i="1972"/>
  <c r="BN95" i="1972"/>
  <c r="BO95" i="1972"/>
  <c r="BP95" i="1972"/>
  <c r="BQ95" i="1972"/>
  <c r="BR95" i="1972"/>
  <c r="BS95" i="1972"/>
  <c r="BT95" i="1972"/>
  <c r="BU95" i="1972"/>
  <c r="BV95" i="1972"/>
  <c r="BW95" i="1972"/>
  <c r="BX95" i="1972"/>
  <c r="BY95" i="1972"/>
  <c r="BZ95" i="1972"/>
  <c r="CA95" i="1972"/>
  <c r="CB95" i="1972"/>
  <c r="CC95" i="1972"/>
  <c r="CD95" i="1972"/>
  <c r="CE95" i="1972"/>
  <c r="CF95" i="1972"/>
  <c r="CG95" i="1972"/>
  <c r="CH95" i="1972"/>
  <c r="CI95" i="1972"/>
  <c r="CJ95" i="1972"/>
  <c r="CK95" i="1972"/>
  <c r="CL95" i="1972"/>
  <c r="CM95" i="1972"/>
  <c r="CN95" i="1972"/>
  <c r="CO95" i="1972"/>
  <c r="CP95" i="1972"/>
  <c r="CQ95" i="1972"/>
  <c r="CR95" i="1972"/>
  <c r="CS95" i="1972"/>
  <c r="CT95" i="1972"/>
  <c r="CU95" i="1972"/>
  <c r="CV95" i="1972"/>
  <c r="CW95" i="1972"/>
  <c r="CX95" i="1972"/>
  <c r="CY95" i="1972"/>
  <c r="CZ95" i="1972"/>
  <c r="DA95" i="1972"/>
  <c r="DB95" i="1972"/>
  <c r="DC95" i="1972"/>
  <c r="DD95" i="1972"/>
  <c r="DE95" i="1972"/>
  <c r="DF95" i="1972"/>
  <c r="DG95" i="1972"/>
  <c r="DH95" i="1972"/>
  <c r="DI95" i="1972"/>
  <c r="DJ95" i="1972"/>
  <c r="DK95" i="1972"/>
  <c r="DL95" i="1972"/>
  <c r="DM95" i="1972"/>
  <c r="DN95" i="1972"/>
  <c r="DO95" i="1972"/>
  <c r="DP95" i="1972"/>
  <c r="DQ95" i="1972"/>
  <c r="DR95" i="1972"/>
  <c r="DS95" i="1972"/>
  <c r="DT95" i="1972"/>
  <c r="DU95" i="1972"/>
  <c r="DV95" i="1972"/>
  <c r="DW95" i="1972"/>
  <c r="DX95" i="1972"/>
  <c r="DY95" i="1972"/>
  <c r="DZ95" i="1972"/>
  <c r="EA95" i="1972"/>
  <c r="EB95" i="1972"/>
  <c r="EC95" i="1972"/>
  <c r="ED95" i="1972"/>
  <c r="CK31" i="1971"/>
  <c r="CL31" i="1971"/>
  <c r="CM31" i="1971"/>
  <c r="CN31" i="1971"/>
  <c r="CO31" i="1971"/>
  <c r="CP31" i="1971"/>
  <c r="CQ31" i="1971"/>
  <c r="CR31" i="1971"/>
  <c r="CS31" i="1971"/>
  <c r="CT31" i="1971"/>
  <c r="CU31" i="1971"/>
  <c r="CV31" i="1971"/>
  <c r="CW31" i="1971"/>
  <c r="CX31" i="1971"/>
  <c r="CY31" i="1971"/>
  <c r="CZ31" i="1971"/>
  <c r="DA31" i="1971"/>
  <c r="DB31" i="1971"/>
  <c r="DC31" i="1971"/>
  <c r="DD31" i="1971"/>
  <c r="DE31" i="1971"/>
  <c r="DK31" i="1971"/>
  <c r="DL31" i="1971"/>
  <c r="DO31" i="1971"/>
  <c r="DP31" i="1971"/>
  <c r="DQ31" i="1971"/>
  <c r="DW31" i="1971"/>
  <c r="DX31" i="1971"/>
  <c r="EA31" i="1971"/>
  <c r="EB31" i="1971"/>
  <c r="EC31" i="1971"/>
  <c r="ED31" i="1971"/>
  <c r="EE31" i="1971"/>
  <c r="EF31" i="1971"/>
  <c r="EG31" i="1971"/>
  <c r="EH31" i="1971"/>
  <c r="EI31" i="1971"/>
  <c r="EJ31" i="1971"/>
  <c r="EK31" i="1971"/>
  <c r="EL31" i="1971"/>
  <c r="EM31" i="1971"/>
  <c r="EN31" i="1971"/>
  <c r="EP31" i="1971"/>
  <c r="EQ31" i="1971"/>
  <c r="ER31" i="1971"/>
  <c r="ES31" i="1971"/>
  <c r="ET31" i="1971"/>
  <c r="EU31" i="1971"/>
  <c r="EV31" i="1971"/>
  <c r="EW31" i="1971"/>
  <c r="EX31" i="1971"/>
  <c r="EY31" i="1971"/>
  <c r="EZ31" i="1971"/>
  <c r="FB31" i="1971"/>
  <c r="FC31" i="1971"/>
  <c r="FD31" i="1971"/>
  <c r="FE31" i="1971"/>
  <c r="FF31" i="1971"/>
  <c r="FG31" i="1971"/>
  <c r="FH31" i="1971"/>
  <c r="FI31" i="1971"/>
  <c r="FJ31" i="1971"/>
  <c r="FK31" i="1971"/>
  <c r="FL31" i="1971"/>
  <c r="FM31" i="1971"/>
  <c r="FN31" i="1971"/>
  <c r="FO31" i="1971"/>
  <c r="FP31" i="1971"/>
  <c r="FQ31" i="1971"/>
  <c r="FR31" i="1971"/>
  <c r="FS31" i="1971"/>
  <c r="FT31" i="1971"/>
  <c r="FU31" i="1971"/>
  <c r="FV31" i="1971"/>
  <c r="FW31" i="1971"/>
  <c r="FX31" i="1971"/>
  <c r="FY31" i="1971"/>
  <c r="FZ31" i="1971"/>
  <c r="GA31" i="1971"/>
  <c r="GB31" i="1971"/>
  <c r="GC31" i="1971"/>
  <c r="GD31" i="1971"/>
  <c r="GE31" i="1971"/>
  <c r="GF31" i="1971"/>
  <c r="GG31" i="1971"/>
  <c r="GH31" i="1971"/>
  <c r="GI31" i="1971"/>
  <c r="GJ31" i="1971"/>
  <c r="GK31" i="1971"/>
  <c r="GL31" i="1971"/>
  <c r="GM31" i="1971"/>
  <c r="GN31" i="1971"/>
  <c r="GO31" i="1971"/>
  <c r="GP31" i="1971"/>
  <c r="GQ31" i="1971"/>
  <c r="GR31" i="1971"/>
  <c r="GS31" i="1971"/>
  <c r="GT31" i="1971"/>
  <c r="GU31" i="1971"/>
  <c r="GV31" i="1971"/>
  <c r="GW31" i="1971"/>
  <c r="GX31" i="1971"/>
  <c r="GY31" i="1971"/>
  <c r="GZ31" i="1971"/>
  <c r="HA31" i="1971"/>
  <c r="HB31" i="1971"/>
  <c r="HC31" i="1971"/>
  <c r="HD31" i="1971"/>
  <c r="HE31" i="1971"/>
  <c r="HF31" i="1971"/>
  <c r="HG31" i="1971"/>
  <c r="HH31" i="1971"/>
  <c r="HI31" i="1971"/>
  <c r="HJ31" i="1971"/>
  <c r="HV8" i="1971"/>
  <c r="CK32" i="1971"/>
  <c r="CL32" i="1971"/>
  <c r="CM32" i="1971"/>
  <c r="CN32" i="1971"/>
  <c r="CO32" i="1971"/>
  <c r="CP32" i="1971"/>
  <c r="CQ32" i="1971"/>
  <c r="CR32" i="1971"/>
  <c r="CS32" i="1971"/>
  <c r="CT32" i="1971"/>
  <c r="CU32" i="1971"/>
  <c r="CV32" i="1971"/>
  <c r="CW32" i="1971"/>
  <c r="CX32" i="1971"/>
  <c r="CY32" i="1971"/>
  <c r="CZ32" i="1971"/>
  <c r="DA32" i="1971"/>
  <c r="DB32" i="1971"/>
  <c r="DC32" i="1971"/>
  <c r="DD32" i="1971"/>
  <c r="DE32" i="1971"/>
  <c r="DH32" i="1971"/>
  <c r="DK32" i="1971"/>
  <c r="DL32" i="1971"/>
  <c r="DM32" i="1971"/>
  <c r="DN32" i="1971"/>
  <c r="DO32" i="1971"/>
  <c r="DP32" i="1971"/>
  <c r="DQ32" i="1971"/>
  <c r="DT32" i="1971"/>
  <c r="DW32" i="1971"/>
  <c r="DX32" i="1971"/>
  <c r="DY32" i="1971"/>
  <c r="DZ32" i="1971"/>
  <c r="EA32" i="1971"/>
  <c r="EB32" i="1971"/>
  <c r="EC32" i="1971"/>
  <c r="ED32" i="1971"/>
  <c r="EE32" i="1971"/>
  <c r="EF32" i="1971"/>
  <c r="EG32" i="1971"/>
  <c r="EH32" i="1971"/>
  <c r="EI32" i="1971"/>
  <c r="EJ32" i="1971"/>
  <c r="EK32" i="1971"/>
  <c r="EL32" i="1971"/>
  <c r="EM32" i="1971"/>
  <c r="EN32" i="1971"/>
  <c r="EO32" i="1971"/>
  <c r="EP32" i="1971"/>
  <c r="EQ32" i="1971"/>
  <c r="ER32" i="1971"/>
  <c r="ES32" i="1971"/>
  <c r="ET32" i="1971"/>
  <c r="EU32" i="1971"/>
  <c r="EV32" i="1971"/>
  <c r="EW32" i="1971"/>
  <c r="EX32" i="1971"/>
  <c r="EY32" i="1971"/>
  <c r="EZ32" i="1971"/>
  <c r="FA32" i="1971"/>
  <c r="FB32" i="1971"/>
  <c r="FC32" i="1971"/>
  <c r="FD32" i="1971"/>
  <c r="FE32" i="1971"/>
  <c r="FF32" i="1971"/>
  <c r="FG32" i="1971"/>
  <c r="FH32" i="1971"/>
  <c r="FI32" i="1971"/>
  <c r="FJ32" i="1971"/>
  <c r="FK32" i="1971"/>
  <c r="FL32" i="1971"/>
  <c r="FM32" i="1971"/>
  <c r="FN32" i="1971"/>
  <c r="FO32" i="1971"/>
  <c r="FP32" i="1971"/>
  <c r="FQ32" i="1971"/>
  <c r="FR32" i="1971"/>
  <c r="FS32" i="1971"/>
  <c r="FT32" i="1971"/>
  <c r="FU32" i="1971"/>
  <c r="FV32" i="1971"/>
  <c r="FW32" i="1971"/>
  <c r="FX32" i="1971"/>
  <c r="FY32" i="1971"/>
  <c r="FZ32" i="1971"/>
  <c r="GA32" i="1971"/>
  <c r="GB32" i="1971"/>
  <c r="GC32" i="1971"/>
  <c r="GD32" i="1971"/>
  <c r="GE32" i="1971"/>
  <c r="GF32" i="1971"/>
  <c r="GG32" i="1971"/>
  <c r="GH32" i="1971"/>
  <c r="GI32" i="1971"/>
  <c r="GJ32" i="1971"/>
  <c r="GK32" i="1971"/>
  <c r="GL32" i="1971"/>
  <c r="GM32" i="1971"/>
  <c r="GN32" i="1971"/>
  <c r="GO32" i="1971"/>
  <c r="GP32" i="1971"/>
  <c r="GQ32" i="1971"/>
  <c r="GR32" i="1971"/>
  <c r="GS32" i="1971"/>
  <c r="GT32" i="1971"/>
  <c r="GU32" i="1971"/>
  <c r="GV32" i="1971"/>
  <c r="GW32" i="1971"/>
  <c r="GX32" i="1971"/>
  <c r="GY32" i="1971"/>
  <c r="GZ32" i="1971"/>
  <c r="HA32" i="1971"/>
  <c r="HB32" i="1971"/>
  <c r="HC32" i="1971"/>
  <c r="HD32" i="1971"/>
  <c r="HE32" i="1971"/>
  <c r="HF32" i="1971"/>
  <c r="HG32" i="1971"/>
  <c r="HH32" i="1971"/>
  <c r="HI32" i="1971"/>
  <c r="HJ32" i="1971"/>
  <c r="HV12" i="1971"/>
  <c r="EP8" i="1970"/>
  <c r="EP13" i="1970"/>
  <c r="EP18" i="1970"/>
  <c r="EQ8" i="1969"/>
  <c r="EQ19" i="1969"/>
  <c r="EQ25" i="1969"/>
  <c r="EQ33" i="1969"/>
  <c r="ET36" i="1969"/>
  <c r="DB96" i="1972" l="1"/>
  <c r="HE33" i="1971"/>
  <c r="DD70" i="1972"/>
  <c r="DA70" i="1972"/>
  <c r="BQ96" i="1972"/>
  <c r="ED67" i="1972"/>
  <c r="DK70" i="1972"/>
  <c r="AH70" i="1972"/>
  <c r="E7" i="1971"/>
  <c r="EA70" i="1972"/>
  <c r="DO67" i="1972"/>
  <c r="DL70" i="1972"/>
  <c r="CV33" i="1971"/>
  <c r="AR67" i="1972"/>
  <c r="BM96" i="1972"/>
  <c r="BC96" i="1972"/>
  <c r="DI70" i="1972"/>
  <c r="DW70" i="1972"/>
  <c r="CW96" i="1972"/>
  <c r="DN70" i="1972"/>
  <c r="DU70" i="1972"/>
  <c r="AN96" i="1972"/>
  <c r="EV33" i="1971"/>
  <c r="AZ70" i="1972"/>
  <c r="CR96" i="1972"/>
  <c r="FE33" i="1971"/>
  <c r="G7" i="1971"/>
  <c r="CV96" i="1972"/>
  <c r="BQ67" i="1972"/>
  <c r="CQ96" i="1972"/>
  <c r="EC33" i="1971"/>
  <c r="FP33" i="1971"/>
  <c r="BG70" i="1972"/>
  <c r="DQ70" i="1972"/>
  <c r="BS70" i="1972"/>
  <c r="DY67" i="1972"/>
  <c r="DX70" i="1972"/>
  <c r="DV67" i="1972"/>
  <c r="AN67" i="1972"/>
  <c r="CH96" i="1972"/>
  <c r="CI70" i="1972"/>
  <c r="CI67" i="1972"/>
  <c r="CT96" i="1972"/>
  <c r="BF96" i="1972"/>
  <c r="ER29" i="1972"/>
  <c r="DP70" i="1972"/>
  <c r="DH67" i="1972"/>
  <c r="BL67" i="1972"/>
  <c r="AJ67" i="1972"/>
  <c r="FQ33" i="1971"/>
  <c r="EX33" i="1971"/>
  <c r="FL33" i="1971"/>
  <c r="D7" i="1971"/>
  <c r="H7" i="1971"/>
  <c r="GD33" i="1971"/>
  <c r="GS33" i="1971"/>
  <c r="GW33" i="1971"/>
  <c r="GR33" i="1971"/>
  <c r="BN96" i="1972"/>
  <c r="DZ67" i="1972"/>
  <c r="BW70" i="1972"/>
  <c r="BW67" i="1972"/>
  <c r="AM70" i="1972"/>
  <c r="AM67" i="1972"/>
  <c r="CM70" i="1972"/>
  <c r="CM67" i="1972"/>
  <c r="DB33" i="1971"/>
  <c r="EZ33" i="1971"/>
  <c r="CT33" i="1971"/>
  <c r="DR70" i="1972"/>
  <c r="CY67" i="1972"/>
  <c r="ED33" i="1971"/>
  <c r="DF70" i="1972"/>
  <c r="BY70" i="1972"/>
  <c r="CX96" i="1972"/>
  <c r="CJ96" i="1972"/>
  <c r="BU96" i="1972"/>
  <c r="CB70" i="1972"/>
  <c r="EN33" i="1971"/>
  <c r="DB67" i="1972"/>
  <c r="AT70" i="1972"/>
  <c r="CV67" i="1972"/>
  <c r="BM70" i="1972"/>
  <c r="BM67" i="1972"/>
  <c r="CX70" i="1972"/>
  <c r="CX67" i="1972"/>
  <c r="CA67" i="1972"/>
  <c r="CA70" i="1972"/>
  <c r="BZ70" i="1972"/>
  <c r="BZ67" i="1972"/>
  <c r="BO67" i="1972"/>
  <c r="BO70" i="1972"/>
  <c r="AQ70" i="1972"/>
  <c r="AQ67" i="1972"/>
  <c r="DI32" i="1971"/>
  <c r="DU32" i="1971"/>
  <c r="AI70" i="1972"/>
  <c r="AI67" i="1972"/>
  <c r="DC67" i="1972"/>
  <c r="CC67" i="1972"/>
  <c r="CK67" i="1972"/>
  <c r="FJ33" i="1971"/>
  <c r="DZ31" i="1971"/>
  <c r="CJ67" i="1972"/>
  <c r="BE67" i="1972"/>
  <c r="AU67" i="1972"/>
  <c r="CW70" i="1972"/>
  <c r="CP67" i="1972"/>
  <c r="GN33" i="1971"/>
  <c r="CO96" i="1972"/>
  <c r="CB96" i="1972"/>
  <c r="BH67" i="1972"/>
  <c r="BF67" i="1972"/>
  <c r="AV70" i="1972"/>
  <c r="ES33" i="1971"/>
  <c r="HV7" i="1971"/>
  <c r="AL96" i="1972"/>
  <c r="DE70" i="1972"/>
  <c r="BC67" i="1972"/>
  <c r="BW96" i="1972"/>
  <c r="EU7" i="1969"/>
  <c r="BA70" i="1972"/>
  <c r="CN70" i="1972"/>
  <c r="BV67" i="1972"/>
  <c r="BV96" i="1972"/>
  <c r="CW33" i="1971"/>
  <c r="FR33" i="1971"/>
  <c r="CL33" i="1971"/>
  <c r="BK67" i="1972"/>
  <c r="CO67" i="1972"/>
  <c r="BP67" i="1972"/>
  <c r="BJ70" i="1972"/>
  <c r="BJ67" i="1972"/>
  <c r="CF67" i="1972"/>
  <c r="CF70" i="1972"/>
  <c r="CD67" i="1972"/>
  <c r="CD70" i="1972"/>
  <c r="AL70" i="1972"/>
  <c r="AL67" i="1972"/>
  <c r="AG70" i="1972"/>
  <c r="AG67" i="1972"/>
  <c r="CQ70" i="1972"/>
  <c r="CQ67" i="1972"/>
  <c r="AF67" i="1972"/>
  <c r="AF70" i="1972"/>
  <c r="CG70" i="1972"/>
  <c r="CG67" i="1972"/>
  <c r="CT70" i="1972"/>
  <c r="CT67" i="1972"/>
  <c r="CH70" i="1972"/>
  <c r="CH67" i="1972"/>
  <c r="DS31" i="1971"/>
  <c r="CY96" i="1972"/>
  <c r="CU67" i="1972"/>
  <c r="CU70" i="1972"/>
  <c r="BX67" i="1972"/>
  <c r="AW67" i="1972"/>
  <c r="AX67" i="1972"/>
  <c r="AO67" i="1972"/>
  <c r="AO70" i="1972"/>
  <c r="DJ32" i="1971"/>
  <c r="DA33" i="1971"/>
  <c r="EB70" i="1972"/>
  <c r="HW7" i="1971"/>
  <c r="BI96" i="1972"/>
  <c r="FM33" i="1971"/>
  <c r="EC67" i="1972"/>
  <c r="CL67" i="1972"/>
  <c r="CR67" i="1972"/>
  <c r="EB33" i="1971"/>
  <c r="EP7" i="1970"/>
  <c r="BN67" i="1972"/>
  <c r="AP67" i="1972"/>
  <c r="AP70" i="1972"/>
  <c r="BT67" i="1972"/>
  <c r="AC70" i="1972"/>
  <c r="AC67" i="1972"/>
  <c r="CE70" i="1972"/>
  <c r="CE67" i="1972"/>
  <c r="AE67" i="1972"/>
  <c r="AE70" i="1972"/>
  <c r="AA70" i="1972"/>
  <c r="AA67" i="1972"/>
  <c r="EQ7" i="1970"/>
  <c r="AB70" i="1972"/>
  <c r="AB67" i="1972"/>
  <c r="AD70" i="1972"/>
  <c r="AD67" i="1972"/>
  <c r="BB70" i="1972"/>
  <c r="BB67" i="1972"/>
  <c r="EU24" i="1969"/>
  <c r="CQ18" i="1969"/>
  <c r="Z67" i="1972"/>
  <c r="Z70" i="1972"/>
  <c r="ET17" i="1972"/>
  <c r="ET27" i="1972"/>
  <c r="ET36" i="1972"/>
  <c r="ET45" i="1972"/>
  <c r="FW33" i="1971"/>
  <c r="HC33" i="1971"/>
  <c r="GJ33" i="1971"/>
  <c r="FY33" i="1971"/>
  <c r="DX33" i="1971"/>
  <c r="EG33" i="1971"/>
  <c r="ET26" i="1972"/>
  <c r="ET43" i="1972"/>
  <c r="ET13" i="1972"/>
  <c r="FA13" i="1972" s="1"/>
  <c r="ET24" i="1972"/>
  <c r="ET22" i="1972"/>
  <c r="ET35" i="1972"/>
  <c r="ET34" i="1972"/>
  <c r="ET33" i="1972"/>
  <c r="ET56" i="1972"/>
  <c r="ET50" i="1972"/>
  <c r="ET11" i="1972"/>
  <c r="FA10" i="1972" s="1"/>
  <c r="ET55" i="1972"/>
  <c r="ET49" i="1972"/>
  <c r="ET40" i="1972"/>
  <c r="ET21" i="1972"/>
  <c r="ET10" i="1972"/>
  <c r="FA11" i="1972" s="1"/>
  <c r="ET53" i="1972"/>
  <c r="ET14" i="1972"/>
  <c r="ET25" i="1972"/>
  <c r="ET9" i="1972"/>
  <c r="ET51" i="1972"/>
  <c r="ET12" i="1972"/>
  <c r="FA14" i="1972" s="1"/>
  <c r="ET32" i="1972"/>
  <c r="ET48" i="1972"/>
  <c r="ET52" i="1972"/>
  <c r="ET57" i="1972"/>
  <c r="ET42" i="1972"/>
  <c r="ET41" i="1972"/>
  <c r="ET46" i="1972"/>
  <c r="ET37" i="1972"/>
  <c r="ET28" i="1972"/>
  <c r="ET18" i="1972"/>
  <c r="ET35" i="1969"/>
  <c r="ET8" i="1969"/>
  <c r="ET20" i="1969"/>
  <c r="DM7" i="1971"/>
  <c r="DM22" i="1971" s="1"/>
  <c r="DY33" i="1971" s="1"/>
  <c r="GF33" i="1971"/>
  <c r="FV33" i="1971"/>
  <c r="CX33" i="1971"/>
  <c r="EO31" i="1971"/>
  <c r="FI33" i="1971"/>
  <c r="GK33" i="1971"/>
  <c r="DU31" i="1971"/>
  <c r="FZ33" i="1971"/>
  <c r="CP33" i="1971"/>
  <c r="FT33" i="1971"/>
  <c r="CZ33" i="1971"/>
  <c r="DJ7" i="1971"/>
  <c r="DJ22" i="1971" s="1"/>
  <c r="DJ33" i="1971" s="1"/>
  <c r="FB33" i="1971"/>
  <c r="DI7" i="1971"/>
  <c r="DI22" i="1971" s="1"/>
  <c r="DU33" i="1971" s="1"/>
  <c r="CM33" i="1971"/>
  <c r="FD33" i="1971"/>
  <c r="FF33" i="1971"/>
  <c r="DM31" i="1971"/>
  <c r="DY31" i="1971"/>
  <c r="FU33" i="1971"/>
  <c r="GC33" i="1971"/>
  <c r="GU33" i="1971"/>
  <c r="FO33" i="1971"/>
  <c r="CK33" i="1971"/>
  <c r="CR33" i="1971"/>
  <c r="HA33" i="1971"/>
  <c r="DC33" i="1971"/>
  <c r="HI33" i="1971"/>
  <c r="EI33" i="1971"/>
  <c r="GZ33" i="1971"/>
  <c r="EF33" i="1971"/>
  <c r="GE33" i="1971"/>
  <c r="EY33" i="1971"/>
  <c r="HJ33" i="1971"/>
  <c r="HG33" i="1971"/>
  <c r="GA33" i="1971"/>
  <c r="EU33" i="1971"/>
  <c r="DO33" i="1971"/>
  <c r="EQ33" i="1971"/>
  <c r="DK33" i="1971"/>
  <c r="DF31" i="1971"/>
  <c r="DR31" i="1971"/>
  <c r="GO33" i="1971"/>
  <c r="FX33" i="1971"/>
  <c r="HB33" i="1971"/>
  <c r="GV33" i="1971"/>
  <c r="DS32" i="1971"/>
  <c r="ET33" i="1971"/>
  <c r="CQ33" i="1971"/>
  <c r="DG7" i="1971"/>
  <c r="DG22" i="1971" s="1"/>
  <c r="DS33" i="1971" s="1"/>
  <c r="CN33" i="1971"/>
  <c r="ER33" i="1971"/>
  <c r="FA33" i="1971"/>
  <c r="HD33" i="1971"/>
  <c r="DL33" i="1971"/>
  <c r="GM33" i="1971"/>
  <c r="FG33" i="1971"/>
  <c r="GH33" i="1971"/>
  <c r="GG33" i="1971"/>
  <c r="CS33" i="1971"/>
  <c r="CO33" i="1971"/>
  <c r="GL33" i="1971"/>
  <c r="DH31" i="1971"/>
  <c r="DT31" i="1971"/>
  <c r="GP33" i="1971"/>
  <c r="EA33" i="1971"/>
  <c r="HH33" i="1971"/>
  <c r="GX33" i="1971"/>
  <c r="FN33" i="1971"/>
  <c r="DH7" i="1971"/>
  <c r="DH22" i="1971" s="1"/>
  <c r="CY33" i="1971"/>
  <c r="FK33" i="1971"/>
  <c r="EE33" i="1971"/>
  <c r="GQ33" i="1971"/>
  <c r="EP33" i="1971"/>
  <c r="DP33" i="1971"/>
  <c r="EK33" i="1971"/>
  <c r="EW33" i="1971"/>
  <c r="GB33" i="1971"/>
  <c r="DW33" i="1971"/>
  <c r="DR32" i="1971"/>
  <c r="GY33" i="1971"/>
  <c r="GI33" i="1971"/>
  <c r="FS33" i="1971"/>
  <c r="FC33" i="1971"/>
  <c r="EM33" i="1971"/>
  <c r="DE33" i="1971"/>
  <c r="DF7" i="1971"/>
  <c r="DF22" i="1971" s="1"/>
  <c r="EO33" i="1971"/>
  <c r="DD33" i="1971"/>
  <c r="CU33" i="1971"/>
  <c r="DN33" i="1971"/>
  <c r="ER18" i="1969"/>
  <c r="ET12" i="1969"/>
  <c r="FB13" i="1969" s="1"/>
  <c r="ET11" i="1969"/>
  <c r="FB14" i="1969" s="1"/>
  <c r="ET28" i="1969"/>
  <c r="ET10" i="1969"/>
  <c r="FB9" i="1969" s="1"/>
  <c r="ET34" i="1969"/>
  <c r="ET27" i="1969"/>
  <c r="ET26" i="1969"/>
  <c r="FB12" i="1969" s="1"/>
  <c r="EQ7" i="1969"/>
  <c r="EQ18" i="1969"/>
  <c r="ET17" i="1969"/>
  <c r="ET32" i="1969"/>
  <c r="EQ24" i="1969"/>
  <c r="ET16" i="1969"/>
  <c r="ET18" i="1969"/>
  <c r="ER24" i="1969"/>
  <c r="ET9" i="1969"/>
  <c r="FB11" i="1969" s="1"/>
  <c r="ET33" i="1969"/>
  <c r="ET39" i="1969"/>
  <c r="FB10" i="1969" s="1"/>
  <c r="ET31" i="1969"/>
  <c r="ET23" i="1969"/>
  <c r="ET15" i="1969"/>
  <c r="ET25" i="1969"/>
  <c r="ET19" i="1969"/>
  <c r="ER7" i="1969"/>
  <c r="ET38" i="1969"/>
  <c r="ET30" i="1969"/>
  <c r="ET22" i="1969"/>
  <c r="ET14" i="1969"/>
  <c r="ET7" i="1969"/>
  <c r="ET24" i="1969"/>
  <c r="ET37" i="1969"/>
  <c r="ET29" i="1969"/>
  <c r="ET21" i="1969"/>
  <c r="ET13" i="1969"/>
  <c r="ET19" i="1972"/>
  <c r="ET29" i="1972"/>
  <c r="ET38" i="1972"/>
  <c r="ET16" i="1972"/>
  <c r="ET7" i="1972"/>
  <c r="ET47" i="1972"/>
  <c r="ET39" i="1972"/>
  <c r="ET31" i="1972"/>
  <c r="FA12" i="1972" s="1"/>
  <c r="ET23" i="1972"/>
  <c r="ET15" i="1972"/>
  <c r="ET20" i="1972"/>
  <c r="ET44" i="1972"/>
  <c r="ET30" i="1972"/>
  <c r="DZ33" i="1971"/>
  <c r="DV31" i="1971"/>
  <c r="DM33" i="1971" l="1"/>
  <c r="EU18" i="1969"/>
  <c r="CQ7" i="1969"/>
  <c r="CQ45" i="1969" s="1"/>
  <c r="FA15" i="1972"/>
  <c r="EQ19" i="1972"/>
  <c r="ER19" i="1972"/>
  <c r="DG33" i="1971"/>
  <c r="DV33" i="1971"/>
  <c r="DI33" i="1971"/>
  <c r="DT33" i="1971"/>
  <c r="DH33" i="1971"/>
  <c r="DR33" i="1971"/>
  <c r="DF33" i="1971"/>
  <c r="FB15" i="1969"/>
  <c r="EQ7" i="1972" l="1"/>
  <c r="ER7" i="1972"/>
  <c r="FP15" i="1709" l="1"/>
  <c r="FP30" i="1709" s="1"/>
  <c r="FP14" i="1709"/>
  <c r="FP29" i="1709" s="1"/>
  <c r="FP13" i="1709"/>
  <c r="FP28" i="1709" s="1"/>
  <c r="FP12" i="1709"/>
  <c r="FP27" i="1709" s="1"/>
  <c r="FP11" i="1709"/>
  <c r="FP26" i="1709" s="1"/>
  <c r="FP10" i="1709"/>
  <c r="FP25" i="1709" s="1"/>
  <c r="FP9" i="1709"/>
  <c r="FP24" i="1709" s="1"/>
  <c r="FP8" i="1709"/>
  <c r="FP23" i="1709" s="1"/>
  <c r="FP7" i="1709"/>
  <c r="FP22" i="1709" s="1"/>
  <c r="FL30" i="1709"/>
  <c r="FK30" i="1709"/>
  <c r="FJ30" i="1709"/>
  <c r="FI30" i="1709"/>
  <c r="FH30" i="1709"/>
  <c r="FG30" i="1709"/>
  <c r="FF30" i="1709"/>
  <c r="FE30" i="1709"/>
  <c r="FD30" i="1709"/>
  <c r="FC30" i="1709"/>
  <c r="FB30" i="1709"/>
  <c r="FA30" i="1709"/>
  <c r="EZ30" i="1709"/>
  <c r="EY30" i="1709"/>
  <c r="EX30" i="1709"/>
  <c r="EW30" i="1709"/>
  <c r="EV30" i="1709"/>
  <c r="EU30" i="1709"/>
  <c r="ET30" i="1709"/>
  <c r="ES30" i="1709"/>
  <c r="ER30" i="1709"/>
  <c r="EQ30" i="1709"/>
  <c r="EP30" i="1709"/>
  <c r="EO30" i="1709"/>
  <c r="EN30" i="1709"/>
  <c r="EM30" i="1709"/>
  <c r="EL30" i="1709"/>
  <c r="EK30" i="1709"/>
  <c r="EJ30" i="1709"/>
  <c r="EI30" i="1709"/>
  <c r="EH30" i="1709"/>
  <c r="EG30" i="1709"/>
  <c r="EF30" i="1709"/>
  <c r="EE30" i="1709"/>
  <c r="ED30" i="1709"/>
  <c r="EC30" i="1709"/>
  <c r="EB30" i="1709"/>
  <c r="EA30" i="1709"/>
  <c r="DZ30" i="1709"/>
  <c r="DY30" i="1709"/>
  <c r="DX30" i="1709"/>
  <c r="DW30" i="1709"/>
  <c r="DV30" i="1709"/>
  <c r="DU30" i="1709"/>
  <c r="DT30" i="1709"/>
  <c r="DS30" i="1709"/>
  <c r="DR30" i="1709"/>
  <c r="DQ30" i="1709"/>
  <c r="DP30" i="1709"/>
  <c r="DO30" i="1709"/>
  <c r="DN30" i="1709"/>
  <c r="DM30" i="1709"/>
  <c r="DL30" i="1709"/>
  <c r="DK30" i="1709"/>
  <c r="DJ30" i="1709"/>
  <c r="DI30" i="1709"/>
  <c r="DH30" i="1709"/>
  <c r="DG30" i="1709"/>
  <c r="DF30" i="1709"/>
  <c r="DE30" i="1709"/>
  <c r="DD30" i="1709"/>
  <c r="DC30" i="1709"/>
  <c r="DB30" i="1709"/>
  <c r="DA30" i="1709"/>
  <c r="CZ30" i="1709"/>
  <c r="CY30" i="1709"/>
  <c r="CX30" i="1709"/>
  <c r="CW30" i="1709"/>
  <c r="CV30" i="1709"/>
  <c r="CU30" i="1709"/>
  <c r="CT30" i="1709"/>
  <c r="CS30" i="1709"/>
  <c r="CR30" i="1709"/>
  <c r="CQ30" i="1709"/>
  <c r="CP30" i="1709"/>
  <c r="CO30" i="1709"/>
  <c r="CN30" i="1709"/>
  <c r="CM30" i="1709"/>
  <c r="CL30" i="1709"/>
  <c r="CK30" i="1709"/>
  <c r="CJ30" i="1709"/>
  <c r="CI30" i="1709"/>
  <c r="CH30" i="1709"/>
  <c r="CG30" i="1709"/>
  <c r="CF30" i="1709"/>
  <c r="CE30" i="1709"/>
  <c r="CD30" i="1709"/>
  <c r="CC30" i="1709"/>
  <c r="CB30" i="1709"/>
  <c r="CA30" i="1709"/>
  <c r="BZ30" i="1709"/>
  <c r="BY30" i="1709"/>
  <c r="BX30" i="1709"/>
  <c r="BW30" i="1709"/>
  <c r="FL29" i="1709"/>
  <c r="FK29" i="1709"/>
  <c r="FJ29" i="1709"/>
  <c r="FI29" i="1709"/>
  <c r="FH29" i="1709"/>
  <c r="FG29" i="1709"/>
  <c r="FF29" i="1709"/>
  <c r="FE29" i="1709"/>
  <c r="FD29" i="1709"/>
  <c r="FC29" i="1709"/>
  <c r="FB29" i="1709"/>
  <c r="FA29" i="1709"/>
  <c r="EZ29" i="1709"/>
  <c r="EY29" i="1709"/>
  <c r="EX29" i="1709"/>
  <c r="EW29" i="1709"/>
  <c r="EV29" i="1709"/>
  <c r="EU29" i="1709"/>
  <c r="ET29" i="1709"/>
  <c r="ES29" i="1709"/>
  <c r="ER29" i="1709"/>
  <c r="EQ29" i="1709"/>
  <c r="EP29" i="1709"/>
  <c r="EO29" i="1709"/>
  <c r="EN29" i="1709"/>
  <c r="EM29" i="1709"/>
  <c r="EL29" i="1709"/>
  <c r="EK29" i="1709"/>
  <c r="EJ29" i="1709"/>
  <c r="EI29" i="1709"/>
  <c r="EH29" i="1709"/>
  <c r="EG29" i="1709"/>
  <c r="EF29" i="1709"/>
  <c r="EE29" i="1709"/>
  <c r="ED29" i="1709"/>
  <c r="EC29" i="1709"/>
  <c r="EB29" i="1709"/>
  <c r="EA29" i="1709"/>
  <c r="DZ29" i="1709"/>
  <c r="DY29" i="1709"/>
  <c r="DX29" i="1709"/>
  <c r="DW29" i="1709"/>
  <c r="DV29" i="1709"/>
  <c r="DU29" i="1709"/>
  <c r="DT29" i="1709"/>
  <c r="DS29" i="1709"/>
  <c r="DR29" i="1709"/>
  <c r="DQ29" i="1709"/>
  <c r="DP29" i="1709"/>
  <c r="DO29" i="1709"/>
  <c r="DN29" i="1709"/>
  <c r="DM29" i="1709"/>
  <c r="DL29" i="1709"/>
  <c r="DK29" i="1709"/>
  <c r="DJ29" i="1709"/>
  <c r="DI29" i="1709"/>
  <c r="DH29" i="1709"/>
  <c r="DG29" i="1709"/>
  <c r="DF29" i="1709"/>
  <c r="DE29" i="1709"/>
  <c r="DD29" i="1709"/>
  <c r="DC29" i="1709"/>
  <c r="DB29" i="1709"/>
  <c r="DA29" i="1709"/>
  <c r="CZ29" i="1709"/>
  <c r="CY29" i="1709"/>
  <c r="CX29" i="1709"/>
  <c r="CW29" i="1709"/>
  <c r="CV29" i="1709"/>
  <c r="CU29" i="1709"/>
  <c r="CT29" i="1709"/>
  <c r="CS29" i="1709"/>
  <c r="CR29" i="1709"/>
  <c r="CQ29" i="1709"/>
  <c r="CP29" i="1709"/>
  <c r="CO29" i="1709"/>
  <c r="CN29" i="1709"/>
  <c r="CM29" i="1709"/>
  <c r="CL29" i="1709"/>
  <c r="CK29" i="1709"/>
  <c r="CJ29" i="1709"/>
  <c r="CI29" i="1709"/>
  <c r="CH29" i="1709"/>
  <c r="CG29" i="1709"/>
  <c r="CF29" i="1709"/>
  <c r="CE29" i="1709"/>
  <c r="CD29" i="1709"/>
  <c r="CC29" i="1709"/>
  <c r="CB29" i="1709"/>
  <c r="CA29" i="1709"/>
  <c r="BZ29" i="1709"/>
  <c r="BY29" i="1709"/>
  <c r="BX29" i="1709"/>
  <c r="BW29" i="1709"/>
  <c r="FL28" i="1709"/>
  <c r="FK28" i="1709"/>
  <c r="FJ28" i="1709"/>
  <c r="FI28" i="1709"/>
  <c r="FH28" i="1709"/>
  <c r="FG28" i="1709"/>
  <c r="FF28" i="1709"/>
  <c r="FE28" i="1709"/>
  <c r="FD28" i="1709"/>
  <c r="FC28" i="1709"/>
  <c r="FB28" i="1709"/>
  <c r="FA28" i="1709"/>
  <c r="EZ28" i="1709"/>
  <c r="EY28" i="1709"/>
  <c r="EX28" i="1709"/>
  <c r="EW28" i="1709"/>
  <c r="EV28" i="1709"/>
  <c r="EU28" i="1709"/>
  <c r="ET28" i="1709"/>
  <c r="ES28" i="1709"/>
  <c r="ER28" i="1709"/>
  <c r="EQ28" i="1709"/>
  <c r="EP28" i="1709"/>
  <c r="EO28" i="1709"/>
  <c r="EN28" i="1709"/>
  <c r="EM28" i="1709"/>
  <c r="EL28" i="1709"/>
  <c r="EK28" i="1709"/>
  <c r="EJ28" i="1709"/>
  <c r="EI28" i="1709"/>
  <c r="EH28" i="1709"/>
  <c r="EG28" i="1709"/>
  <c r="EF28" i="1709"/>
  <c r="EE28" i="1709"/>
  <c r="ED28" i="1709"/>
  <c r="EC28" i="1709"/>
  <c r="EB28" i="1709"/>
  <c r="EA28" i="1709"/>
  <c r="DZ28" i="1709"/>
  <c r="DY28" i="1709"/>
  <c r="DX28" i="1709"/>
  <c r="DW28" i="1709"/>
  <c r="DV28" i="1709"/>
  <c r="DU28" i="1709"/>
  <c r="DT28" i="1709"/>
  <c r="DS28" i="1709"/>
  <c r="DR28" i="1709"/>
  <c r="DQ28" i="1709"/>
  <c r="DP28" i="1709"/>
  <c r="DO28" i="1709"/>
  <c r="DN28" i="1709"/>
  <c r="DM28" i="1709"/>
  <c r="DL28" i="1709"/>
  <c r="DK28" i="1709"/>
  <c r="DJ28" i="1709"/>
  <c r="DI28" i="1709"/>
  <c r="DH28" i="1709"/>
  <c r="DG28" i="1709"/>
  <c r="DF28" i="1709"/>
  <c r="DE28" i="1709"/>
  <c r="DD28" i="1709"/>
  <c r="DC28" i="1709"/>
  <c r="DB28" i="1709"/>
  <c r="DA28" i="1709"/>
  <c r="CZ28" i="1709"/>
  <c r="CY28" i="1709"/>
  <c r="CX28" i="1709"/>
  <c r="CW28" i="1709"/>
  <c r="CV28" i="1709"/>
  <c r="CU28" i="1709"/>
  <c r="CT28" i="1709"/>
  <c r="CS28" i="1709"/>
  <c r="CR28" i="1709"/>
  <c r="CQ28" i="1709"/>
  <c r="CP28" i="1709"/>
  <c r="CO28" i="1709"/>
  <c r="CN28" i="1709"/>
  <c r="CM28" i="1709"/>
  <c r="CL28" i="1709"/>
  <c r="CK28" i="1709"/>
  <c r="CJ28" i="1709"/>
  <c r="CI28" i="1709"/>
  <c r="CH28" i="1709"/>
  <c r="CG28" i="1709"/>
  <c r="CF28" i="1709"/>
  <c r="CE28" i="1709"/>
  <c r="CD28" i="1709"/>
  <c r="CC28" i="1709"/>
  <c r="CB28" i="1709"/>
  <c r="CA28" i="1709"/>
  <c r="BZ28" i="1709"/>
  <c r="BY28" i="1709"/>
  <c r="BX28" i="1709"/>
  <c r="BW28" i="1709"/>
  <c r="FL27" i="1709"/>
  <c r="FK27" i="1709"/>
  <c r="FJ27" i="1709"/>
  <c r="FI27" i="1709"/>
  <c r="FH27" i="1709"/>
  <c r="FG27" i="1709"/>
  <c r="FF27" i="1709"/>
  <c r="FE27" i="1709"/>
  <c r="FD27" i="1709"/>
  <c r="FC27" i="1709"/>
  <c r="FB27" i="1709"/>
  <c r="FA27" i="1709"/>
  <c r="EZ27" i="1709"/>
  <c r="EY27" i="1709"/>
  <c r="EX27" i="1709"/>
  <c r="EW27" i="1709"/>
  <c r="EV27" i="1709"/>
  <c r="EU27" i="1709"/>
  <c r="ET27" i="1709"/>
  <c r="ES27" i="1709"/>
  <c r="ER27" i="1709"/>
  <c r="EQ27" i="1709"/>
  <c r="EP27" i="1709"/>
  <c r="EO27" i="1709"/>
  <c r="EN27" i="1709"/>
  <c r="EM27" i="1709"/>
  <c r="EL27" i="1709"/>
  <c r="EK27" i="1709"/>
  <c r="EJ27" i="1709"/>
  <c r="EI27" i="1709"/>
  <c r="EH27" i="1709"/>
  <c r="EG27" i="1709"/>
  <c r="EF27" i="1709"/>
  <c r="EE27" i="1709"/>
  <c r="ED27" i="1709"/>
  <c r="EC27" i="1709"/>
  <c r="EB27" i="1709"/>
  <c r="EA27" i="1709"/>
  <c r="DZ27" i="1709"/>
  <c r="DY27" i="1709"/>
  <c r="DX27" i="1709"/>
  <c r="DW27" i="1709"/>
  <c r="DV27" i="1709"/>
  <c r="DU27" i="1709"/>
  <c r="DT27" i="1709"/>
  <c r="DS27" i="1709"/>
  <c r="DR27" i="1709"/>
  <c r="DQ27" i="1709"/>
  <c r="DP27" i="1709"/>
  <c r="DO27" i="1709"/>
  <c r="DN27" i="1709"/>
  <c r="DM27" i="1709"/>
  <c r="DL27" i="1709"/>
  <c r="DK27" i="1709"/>
  <c r="DJ27" i="1709"/>
  <c r="DI27" i="1709"/>
  <c r="DH27" i="1709"/>
  <c r="DG27" i="1709"/>
  <c r="DF27" i="1709"/>
  <c r="DE27" i="1709"/>
  <c r="DD27" i="1709"/>
  <c r="DC27" i="1709"/>
  <c r="DB27" i="1709"/>
  <c r="DA27" i="1709"/>
  <c r="CZ27" i="1709"/>
  <c r="CY27" i="1709"/>
  <c r="CX27" i="1709"/>
  <c r="CW27" i="1709"/>
  <c r="CV27" i="1709"/>
  <c r="CU27" i="1709"/>
  <c r="CT27" i="1709"/>
  <c r="CS27" i="1709"/>
  <c r="CR27" i="1709"/>
  <c r="CQ27" i="1709"/>
  <c r="CP27" i="1709"/>
  <c r="CO27" i="1709"/>
  <c r="CN27" i="1709"/>
  <c r="CM27" i="1709"/>
  <c r="CL27" i="1709"/>
  <c r="CK27" i="1709"/>
  <c r="CJ27" i="1709"/>
  <c r="CI27" i="1709"/>
  <c r="CH27" i="1709"/>
  <c r="CG27" i="1709"/>
  <c r="CF27" i="1709"/>
  <c r="CE27" i="1709"/>
  <c r="CD27" i="1709"/>
  <c r="CC27" i="1709"/>
  <c r="CB27" i="1709"/>
  <c r="CA27" i="1709"/>
  <c r="BZ27" i="1709"/>
  <c r="BY27" i="1709"/>
  <c r="BX27" i="1709"/>
  <c r="BW27" i="1709"/>
  <c r="FL26" i="1709"/>
  <c r="FK26" i="1709"/>
  <c r="FJ26" i="1709"/>
  <c r="FI26" i="1709"/>
  <c r="FH26" i="1709"/>
  <c r="FG26" i="1709"/>
  <c r="FF26" i="1709"/>
  <c r="FE26" i="1709"/>
  <c r="FD26" i="1709"/>
  <c r="FC26" i="1709"/>
  <c r="FB26" i="1709"/>
  <c r="FA26" i="1709"/>
  <c r="EZ26" i="1709"/>
  <c r="EY26" i="1709"/>
  <c r="EX26" i="1709"/>
  <c r="EW26" i="1709"/>
  <c r="EV26" i="1709"/>
  <c r="EU26" i="1709"/>
  <c r="ET26" i="1709"/>
  <c r="ES26" i="1709"/>
  <c r="ER26" i="1709"/>
  <c r="EQ26" i="1709"/>
  <c r="EP26" i="1709"/>
  <c r="EO26" i="1709"/>
  <c r="EN26" i="1709"/>
  <c r="EM26" i="1709"/>
  <c r="EL26" i="1709"/>
  <c r="EK26" i="1709"/>
  <c r="EJ26" i="1709"/>
  <c r="EI26" i="1709"/>
  <c r="EH26" i="1709"/>
  <c r="EG26" i="1709"/>
  <c r="EF26" i="1709"/>
  <c r="EE26" i="1709"/>
  <c r="ED26" i="1709"/>
  <c r="EC26" i="1709"/>
  <c r="EB26" i="1709"/>
  <c r="EA26" i="1709"/>
  <c r="DZ26" i="1709"/>
  <c r="DY26" i="1709"/>
  <c r="DX26" i="1709"/>
  <c r="DW26" i="1709"/>
  <c r="DV26" i="1709"/>
  <c r="DU26" i="1709"/>
  <c r="DT26" i="1709"/>
  <c r="DS26" i="1709"/>
  <c r="DR26" i="1709"/>
  <c r="DQ26" i="1709"/>
  <c r="DP26" i="1709"/>
  <c r="DO26" i="1709"/>
  <c r="DN26" i="1709"/>
  <c r="DM26" i="1709"/>
  <c r="DL26" i="1709"/>
  <c r="DK26" i="1709"/>
  <c r="DJ26" i="1709"/>
  <c r="DI26" i="1709"/>
  <c r="DH26" i="1709"/>
  <c r="DG26" i="1709"/>
  <c r="DF26" i="1709"/>
  <c r="DE26" i="1709"/>
  <c r="DD26" i="1709"/>
  <c r="DC26" i="1709"/>
  <c r="DB26" i="1709"/>
  <c r="DA26" i="1709"/>
  <c r="CZ26" i="1709"/>
  <c r="CY26" i="1709"/>
  <c r="CX26" i="1709"/>
  <c r="CW26" i="1709"/>
  <c r="CV26" i="1709"/>
  <c r="CU26" i="1709"/>
  <c r="CT26" i="1709"/>
  <c r="CS26" i="1709"/>
  <c r="CR26" i="1709"/>
  <c r="CQ26" i="1709"/>
  <c r="CP26" i="1709"/>
  <c r="CO26" i="1709"/>
  <c r="CN26" i="1709"/>
  <c r="CM26" i="1709"/>
  <c r="CL26" i="1709"/>
  <c r="CK26" i="1709"/>
  <c r="CJ26" i="1709"/>
  <c r="CI26" i="1709"/>
  <c r="CH26" i="1709"/>
  <c r="CG26" i="1709"/>
  <c r="CF26" i="1709"/>
  <c r="CE26" i="1709"/>
  <c r="CD26" i="1709"/>
  <c r="CC26" i="1709"/>
  <c r="CB26" i="1709"/>
  <c r="CA26" i="1709"/>
  <c r="BZ26" i="1709"/>
  <c r="BY26" i="1709"/>
  <c r="BX26" i="1709"/>
  <c r="BW26" i="1709"/>
  <c r="FL25" i="1709"/>
  <c r="FK25" i="1709"/>
  <c r="FJ25" i="1709"/>
  <c r="FI25" i="1709"/>
  <c r="FH25" i="1709"/>
  <c r="FG25" i="1709"/>
  <c r="FF25" i="1709"/>
  <c r="FE25" i="1709"/>
  <c r="FD25" i="1709"/>
  <c r="FC25" i="1709"/>
  <c r="FB25" i="1709"/>
  <c r="FA25" i="1709"/>
  <c r="EZ25" i="1709"/>
  <c r="EY25" i="1709"/>
  <c r="EX25" i="1709"/>
  <c r="EW25" i="1709"/>
  <c r="EV25" i="1709"/>
  <c r="EU25" i="1709"/>
  <c r="ET25" i="1709"/>
  <c r="ES25" i="1709"/>
  <c r="ER25" i="1709"/>
  <c r="EQ25" i="1709"/>
  <c r="EP25" i="1709"/>
  <c r="EO25" i="1709"/>
  <c r="EN25" i="1709"/>
  <c r="EM25" i="1709"/>
  <c r="EL25" i="1709"/>
  <c r="EK25" i="1709"/>
  <c r="EJ25" i="1709"/>
  <c r="EI25" i="1709"/>
  <c r="EH25" i="1709"/>
  <c r="EG25" i="1709"/>
  <c r="EF25" i="1709"/>
  <c r="EE25" i="1709"/>
  <c r="ED25" i="1709"/>
  <c r="EC25" i="1709"/>
  <c r="EB25" i="1709"/>
  <c r="EA25" i="1709"/>
  <c r="DZ25" i="1709"/>
  <c r="DY25" i="1709"/>
  <c r="DX25" i="1709"/>
  <c r="DW25" i="1709"/>
  <c r="DV25" i="1709"/>
  <c r="DU25" i="1709"/>
  <c r="DT25" i="1709"/>
  <c r="DS25" i="1709"/>
  <c r="DR25" i="1709"/>
  <c r="DQ25" i="1709"/>
  <c r="DP25" i="1709"/>
  <c r="DO25" i="1709"/>
  <c r="DN25" i="1709"/>
  <c r="DM25" i="1709"/>
  <c r="DL25" i="1709"/>
  <c r="DK25" i="1709"/>
  <c r="DJ25" i="1709"/>
  <c r="DI25" i="1709"/>
  <c r="DH25" i="1709"/>
  <c r="DG25" i="1709"/>
  <c r="DF25" i="1709"/>
  <c r="DE25" i="1709"/>
  <c r="DD25" i="1709"/>
  <c r="DC25" i="1709"/>
  <c r="DB25" i="1709"/>
  <c r="DA25" i="1709"/>
  <c r="CZ25" i="1709"/>
  <c r="CY25" i="1709"/>
  <c r="CX25" i="1709"/>
  <c r="CW25" i="1709"/>
  <c r="CV25" i="1709"/>
  <c r="CU25" i="1709"/>
  <c r="CT25" i="1709"/>
  <c r="CS25" i="1709"/>
  <c r="CR25" i="1709"/>
  <c r="CQ25" i="1709"/>
  <c r="CP25" i="1709"/>
  <c r="CO25" i="1709"/>
  <c r="CN25" i="1709"/>
  <c r="CM25" i="1709"/>
  <c r="CL25" i="1709"/>
  <c r="CK25" i="1709"/>
  <c r="CJ25" i="1709"/>
  <c r="CI25" i="1709"/>
  <c r="CH25" i="1709"/>
  <c r="CG25" i="1709"/>
  <c r="CF25" i="1709"/>
  <c r="CE25" i="1709"/>
  <c r="CD25" i="1709"/>
  <c r="CC25" i="1709"/>
  <c r="CB25" i="1709"/>
  <c r="CA25" i="1709"/>
  <c r="BZ25" i="1709"/>
  <c r="BY25" i="1709"/>
  <c r="BX25" i="1709"/>
  <c r="BW25" i="1709"/>
  <c r="FL24" i="1709"/>
  <c r="FK24" i="1709"/>
  <c r="FJ24" i="1709"/>
  <c r="FI24" i="1709"/>
  <c r="FH24" i="1709"/>
  <c r="FG24" i="1709"/>
  <c r="FF24" i="1709"/>
  <c r="FE24" i="1709"/>
  <c r="FD24" i="1709"/>
  <c r="FC24" i="1709"/>
  <c r="FB24" i="1709"/>
  <c r="FA24" i="1709"/>
  <c r="EZ24" i="1709"/>
  <c r="EY24" i="1709"/>
  <c r="EX24" i="1709"/>
  <c r="EW24" i="1709"/>
  <c r="EV24" i="1709"/>
  <c r="EU24" i="1709"/>
  <c r="ET24" i="1709"/>
  <c r="ES24" i="1709"/>
  <c r="ER24" i="1709"/>
  <c r="EQ24" i="1709"/>
  <c r="EP24" i="1709"/>
  <c r="EO24" i="1709"/>
  <c r="EN24" i="1709"/>
  <c r="EM24" i="1709"/>
  <c r="EL24" i="1709"/>
  <c r="EK24" i="1709"/>
  <c r="EJ24" i="1709"/>
  <c r="EI24" i="1709"/>
  <c r="EH24" i="1709"/>
  <c r="EG24" i="1709"/>
  <c r="EF24" i="1709"/>
  <c r="EE24" i="1709"/>
  <c r="ED24" i="1709"/>
  <c r="EC24" i="1709"/>
  <c r="EB24" i="1709"/>
  <c r="EA24" i="1709"/>
  <c r="DZ24" i="1709"/>
  <c r="DY24" i="1709"/>
  <c r="DX24" i="1709"/>
  <c r="DW24" i="1709"/>
  <c r="DV24" i="1709"/>
  <c r="DU24" i="1709"/>
  <c r="DT24" i="1709"/>
  <c r="DS24" i="1709"/>
  <c r="DR24" i="1709"/>
  <c r="DQ24" i="1709"/>
  <c r="DP24" i="1709"/>
  <c r="DO24" i="1709"/>
  <c r="DN24" i="1709"/>
  <c r="DM24" i="1709"/>
  <c r="DL24" i="1709"/>
  <c r="DK24" i="1709"/>
  <c r="DJ24" i="1709"/>
  <c r="DI24" i="1709"/>
  <c r="DH24" i="1709"/>
  <c r="DG24" i="1709"/>
  <c r="DF24" i="1709"/>
  <c r="DE24" i="1709"/>
  <c r="DD24" i="1709"/>
  <c r="DC24" i="1709"/>
  <c r="DB24" i="1709"/>
  <c r="DA24" i="1709"/>
  <c r="CZ24" i="1709"/>
  <c r="CY24" i="1709"/>
  <c r="CX24" i="1709"/>
  <c r="CW24" i="1709"/>
  <c r="CV24" i="1709"/>
  <c r="CU24" i="1709"/>
  <c r="CT24" i="1709"/>
  <c r="CS24" i="1709"/>
  <c r="CR24" i="1709"/>
  <c r="CQ24" i="1709"/>
  <c r="CP24" i="1709"/>
  <c r="CO24" i="1709"/>
  <c r="CN24" i="1709"/>
  <c r="CM24" i="1709"/>
  <c r="CL24" i="1709"/>
  <c r="CK24" i="1709"/>
  <c r="CJ24" i="1709"/>
  <c r="CI24" i="1709"/>
  <c r="CH24" i="1709"/>
  <c r="CG24" i="1709"/>
  <c r="CF24" i="1709"/>
  <c r="CE24" i="1709"/>
  <c r="CD24" i="1709"/>
  <c r="CC24" i="1709"/>
  <c r="CB24" i="1709"/>
  <c r="CA24" i="1709"/>
  <c r="BZ24" i="1709"/>
  <c r="BY24" i="1709"/>
  <c r="BX24" i="1709"/>
  <c r="BW24" i="1709"/>
  <c r="FL23" i="1709"/>
  <c r="FK23" i="1709"/>
  <c r="FJ23" i="1709"/>
  <c r="FI23" i="1709"/>
  <c r="FH23" i="1709"/>
  <c r="FG23" i="1709"/>
  <c r="FF23" i="1709"/>
  <c r="FE23" i="1709"/>
  <c r="FD23" i="1709"/>
  <c r="FC23" i="1709"/>
  <c r="FB23" i="1709"/>
  <c r="FA23" i="1709"/>
  <c r="EZ23" i="1709"/>
  <c r="EY23" i="1709"/>
  <c r="EX23" i="1709"/>
  <c r="EW23" i="1709"/>
  <c r="EV23" i="1709"/>
  <c r="EU23" i="1709"/>
  <c r="ET23" i="1709"/>
  <c r="ES23" i="1709"/>
  <c r="ER23" i="1709"/>
  <c r="EQ23" i="1709"/>
  <c r="EP23" i="1709"/>
  <c r="EO23" i="1709"/>
  <c r="EN23" i="1709"/>
  <c r="EM23" i="1709"/>
  <c r="EL23" i="1709"/>
  <c r="EK23" i="1709"/>
  <c r="EJ23" i="1709"/>
  <c r="EI23" i="1709"/>
  <c r="EH23" i="1709"/>
  <c r="EG23" i="1709"/>
  <c r="EF23" i="1709"/>
  <c r="EE23" i="1709"/>
  <c r="ED23" i="1709"/>
  <c r="EC23" i="1709"/>
  <c r="EB23" i="1709"/>
  <c r="EA23" i="1709"/>
  <c r="DZ23" i="1709"/>
  <c r="DY23" i="1709"/>
  <c r="DX23" i="1709"/>
  <c r="DW23" i="1709"/>
  <c r="DV23" i="1709"/>
  <c r="DU23" i="1709"/>
  <c r="DT23" i="1709"/>
  <c r="DS23" i="1709"/>
  <c r="DR23" i="1709"/>
  <c r="DQ23" i="1709"/>
  <c r="DP23" i="1709"/>
  <c r="DO23" i="1709"/>
  <c r="DN23" i="1709"/>
  <c r="DM23" i="1709"/>
  <c r="DL23" i="1709"/>
  <c r="DK23" i="1709"/>
  <c r="DJ23" i="1709"/>
  <c r="DI23" i="1709"/>
  <c r="DH23" i="1709"/>
  <c r="DG23" i="1709"/>
  <c r="DF23" i="1709"/>
  <c r="DE23" i="1709"/>
  <c r="DD23" i="1709"/>
  <c r="DC23" i="1709"/>
  <c r="DB23" i="1709"/>
  <c r="DA23" i="1709"/>
  <c r="CZ23" i="1709"/>
  <c r="CY23" i="1709"/>
  <c r="CX23" i="1709"/>
  <c r="CW23" i="1709"/>
  <c r="CV23" i="1709"/>
  <c r="CU23" i="1709"/>
  <c r="CT23" i="1709"/>
  <c r="CS23" i="1709"/>
  <c r="CR23" i="1709"/>
  <c r="CQ23" i="1709"/>
  <c r="CP23" i="1709"/>
  <c r="CO23" i="1709"/>
  <c r="CN23" i="1709"/>
  <c r="CM23" i="1709"/>
  <c r="CL23" i="1709"/>
  <c r="CK23" i="1709"/>
  <c r="CJ23" i="1709"/>
  <c r="CI23" i="1709"/>
  <c r="CH23" i="1709"/>
  <c r="CG23" i="1709"/>
  <c r="CF23" i="1709"/>
  <c r="CE23" i="1709"/>
  <c r="CD23" i="1709"/>
  <c r="CC23" i="1709"/>
  <c r="CB23" i="1709"/>
  <c r="CA23" i="1709"/>
  <c r="BZ23" i="1709"/>
  <c r="BY23" i="1709"/>
  <c r="BX23" i="1709"/>
  <c r="BW23" i="1709"/>
  <c r="FL22" i="1709"/>
  <c r="FK22" i="1709"/>
  <c r="FJ22" i="1709"/>
  <c r="FI22" i="1709"/>
  <c r="FH22" i="1709"/>
  <c r="FG22" i="1709"/>
  <c r="FF22" i="1709"/>
  <c r="FE22" i="1709"/>
  <c r="FD22" i="1709"/>
  <c r="FC22" i="1709"/>
  <c r="FB22" i="1709"/>
  <c r="FA22" i="1709"/>
  <c r="EZ22" i="1709"/>
  <c r="EY22" i="1709"/>
  <c r="EX22" i="1709"/>
  <c r="EW22" i="1709"/>
  <c r="EV22" i="1709"/>
  <c r="EU22" i="1709"/>
  <c r="ET22" i="1709"/>
  <c r="ES22" i="1709"/>
  <c r="ER22" i="1709"/>
  <c r="EQ22" i="1709"/>
  <c r="EP22" i="1709"/>
  <c r="EO22" i="1709"/>
  <c r="EN22" i="1709"/>
  <c r="EM22" i="1709"/>
  <c r="EL22" i="1709"/>
  <c r="EK22" i="1709"/>
  <c r="EJ22" i="1709"/>
  <c r="EI22" i="1709"/>
  <c r="EH22" i="1709"/>
  <c r="EG22" i="1709"/>
  <c r="EF22" i="1709"/>
  <c r="EE22" i="1709"/>
  <c r="ED22" i="1709"/>
  <c r="EC22" i="1709"/>
  <c r="EB22" i="1709"/>
  <c r="EA22" i="1709"/>
  <c r="DZ22" i="1709"/>
  <c r="DY22" i="1709"/>
  <c r="DX22" i="1709"/>
  <c r="DW22" i="1709"/>
  <c r="DV22" i="1709"/>
  <c r="DU22" i="1709"/>
  <c r="DT22" i="1709"/>
  <c r="DS22" i="1709"/>
  <c r="DR22" i="1709"/>
  <c r="DQ22" i="1709"/>
  <c r="DP22" i="1709"/>
  <c r="DO22" i="1709"/>
  <c r="DN22" i="1709"/>
  <c r="DM22" i="1709"/>
  <c r="DL22" i="1709"/>
  <c r="DK22" i="1709"/>
  <c r="DJ22" i="1709"/>
  <c r="DI22" i="1709"/>
  <c r="DH22" i="1709"/>
  <c r="DG22" i="1709"/>
  <c r="DF22" i="1709"/>
  <c r="DE22" i="1709"/>
  <c r="DD22" i="1709"/>
  <c r="DC22" i="1709"/>
  <c r="DB22" i="1709"/>
  <c r="DA22" i="1709"/>
  <c r="CZ22" i="1709"/>
  <c r="CY22" i="1709"/>
  <c r="CX22" i="1709"/>
  <c r="CW22" i="1709"/>
  <c r="CV22" i="1709"/>
  <c r="CU22" i="1709"/>
  <c r="CT22" i="1709"/>
  <c r="CS22" i="1709"/>
  <c r="CR22" i="1709"/>
  <c r="CQ22" i="1709"/>
  <c r="CP22" i="1709"/>
  <c r="CO22" i="1709"/>
  <c r="CN22" i="1709"/>
  <c r="CM22" i="1709"/>
  <c r="CL22" i="1709"/>
  <c r="CK22" i="1709"/>
  <c r="CJ22" i="1709"/>
  <c r="CI22" i="1709"/>
  <c r="CH22" i="1709"/>
  <c r="CG22" i="1709"/>
  <c r="CF22" i="1709"/>
  <c r="CE22" i="1709"/>
  <c r="CD22" i="1709"/>
  <c r="CC22" i="1709"/>
  <c r="CB22" i="1709"/>
  <c r="CA22" i="1709"/>
  <c r="BZ22" i="1709"/>
  <c r="BY22" i="1709"/>
  <c r="BX22" i="1709"/>
  <c r="BW22" i="1709"/>
  <c r="FN24" i="1709"/>
  <c r="FN28" i="1709"/>
  <c r="FN29" i="1709"/>
  <c r="FM28" i="1709"/>
  <c r="FM29" i="1709"/>
  <c r="FM23" i="1709"/>
  <c r="FM24" i="1709"/>
  <c r="FM30" i="1709"/>
  <c r="FM25" i="1709"/>
  <c r="FM27" i="1709"/>
  <c r="FM26" i="1709"/>
  <c r="FM22" i="1709"/>
  <c r="FN25" i="1709"/>
  <c r="FN30" i="1709"/>
  <c r="FN26" i="1709"/>
  <c r="FN27" i="1709"/>
  <c r="FN23" i="1709"/>
  <c r="FN22" i="1709"/>
  <c r="ES13" i="1609"/>
  <c r="ER13" i="1609"/>
  <c r="EP13" i="1609"/>
  <c r="ER12" i="1609"/>
  <c r="EP12" i="1609"/>
  <c r="ES9" i="1609"/>
  <c r="ER9" i="1609"/>
  <c r="EP9" i="1609"/>
  <c r="ES8" i="1609"/>
  <c r="ER8" i="1609"/>
  <c r="EP8" i="1609"/>
  <c r="EH11" i="1609"/>
  <c r="EH7" i="1609"/>
  <c r="EG11" i="1609"/>
  <c r="EG7" i="1609"/>
  <c r="EF11" i="1609"/>
  <c r="EF7" i="1609"/>
  <c r="ED11" i="1609"/>
  <c r="EC11" i="1609"/>
  <c r="EB11" i="1609"/>
  <c r="ED7" i="1609"/>
  <c r="EC7" i="1609"/>
  <c r="EB7" i="1609"/>
  <c r="EA13" i="1609"/>
  <c r="DN13" i="1609"/>
  <c r="DA13" i="1609"/>
  <c r="CD13" i="1609"/>
  <c r="CN13" i="1609" s="1"/>
  <c r="CA13" i="1609"/>
  <c r="BN13" i="1609"/>
  <c r="BA13" i="1609"/>
  <c r="AN13" i="1609"/>
  <c r="EA12" i="1609"/>
  <c r="DN12" i="1609"/>
  <c r="DA12" i="1609"/>
  <c r="CN12" i="1609"/>
  <c r="CA12" i="1609"/>
  <c r="BN12" i="1609"/>
  <c r="BA12" i="1609"/>
  <c r="AN12" i="1609"/>
  <c r="EE11" i="1609"/>
  <c r="DZ11" i="1609"/>
  <c r="DY11" i="1609"/>
  <c r="DX11" i="1609"/>
  <c r="DW11" i="1609"/>
  <c r="DV11" i="1609"/>
  <c r="DU11" i="1609"/>
  <c r="DT11" i="1609"/>
  <c r="DS11" i="1609"/>
  <c r="DR11" i="1609"/>
  <c r="DQ11" i="1609"/>
  <c r="DP11" i="1609"/>
  <c r="DO11" i="1609"/>
  <c r="DM11" i="1609"/>
  <c r="DL11" i="1609"/>
  <c r="DK11" i="1609"/>
  <c r="DJ11" i="1609"/>
  <c r="DI11" i="1609"/>
  <c r="DH11" i="1609"/>
  <c r="DG11" i="1609"/>
  <c r="DF11" i="1609"/>
  <c r="DE11" i="1609"/>
  <c r="DD11" i="1609"/>
  <c r="DC11" i="1609"/>
  <c r="DB11" i="1609"/>
  <c r="CZ11" i="1609"/>
  <c r="CY11" i="1609"/>
  <c r="CX11" i="1609"/>
  <c r="CW11" i="1609"/>
  <c r="CV11" i="1609"/>
  <c r="CU11" i="1609"/>
  <c r="CT11" i="1609"/>
  <c r="CS11" i="1609"/>
  <c r="CR11" i="1609"/>
  <c r="CQ11" i="1609"/>
  <c r="CP11" i="1609"/>
  <c r="CO11" i="1609"/>
  <c r="CM11" i="1609"/>
  <c r="CL11" i="1609"/>
  <c r="CK11" i="1609"/>
  <c r="CJ11" i="1609"/>
  <c r="CI11" i="1609"/>
  <c r="CH11" i="1609"/>
  <c r="CG11" i="1609"/>
  <c r="CF11" i="1609"/>
  <c r="CE11" i="1609"/>
  <c r="CC11" i="1609"/>
  <c r="CB11" i="1609"/>
  <c r="BZ11" i="1609"/>
  <c r="BY11" i="1609"/>
  <c r="BX11" i="1609"/>
  <c r="BW11" i="1609"/>
  <c r="BV11" i="1609"/>
  <c r="BU11" i="1609"/>
  <c r="BT11" i="1609"/>
  <c r="BS11" i="1609"/>
  <c r="BR11" i="1609"/>
  <c r="BQ11" i="1609"/>
  <c r="BP11" i="1609"/>
  <c r="BO11" i="1609"/>
  <c r="BM11" i="1609"/>
  <c r="BL11" i="1609"/>
  <c r="BK11" i="1609"/>
  <c r="BJ11" i="1609"/>
  <c r="BI11" i="1609"/>
  <c r="BH11" i="1609"/>
  <c r="BG11" i="1609"/>
  <c r="BF11" i="1609"/>
  <c r="BE11" i="1609"/>
  <c r="BD11" i="1609"/>
  <c r="BC11" i="1609"/>
  <c r="BB11" i="1609"/>
  <c r="AZ11" i="1609"/>
  <c r="AY11" i="1609"/>
  <c r="AX11" i="1609"/>
  <c r="AW11" i="1609"/>
  <c r="AV11" i="1609"/>
  <c r="AU11" i="1609"/>
  <c r="AT11" i="1609"/>
  <c r="AS11" i="1609"/>
  <c r="AR11" i="1609"/>
  <c r="AQ11" i="1609"/>
  <c r="AP11" i="1609"/>
  <c r="AO11" i="1609"/>
  <c r="AM11" i="1609"/>
  <c r="AL11" i="1609"/>
  <c r="AK11" i="1609"/>
  <c r="AJ11" i="1609"/>
  <c r="AI11" i="1609"/>
  <c r="AH11" i="1609"/>
  <c r="AG11" i="1609"/>
  <c r="AF11" i="1609"/>
  <c r="AE11" i="1609"/>
  <c r="AD11" i="1609"/>
  <c r="AC11" i="1609"/>
  <c r="AB11" i="1609"/>
  <c r="Z11" i="1609"/>
  <c r="Y11" i="1609"/>
  <c r="X11" i="1609"/>
  <c r="W11" i="1609"/>
  <c r="V11" i="1609"/>
  <c r="U11" i="1609"/>
  <c r="T11" i="1609"/>
  <c r="S11" i="1609"/>
  <c r="R11" i="1609"/>
  <c r="Q11" i="1609"/>
  <c r="P11" i="1609"/>
  <c r="O11" i="1609"/>
  <c r="M11" i="1609"/>
  <c r="L11" i="1609"/>
  <c r="K11" i="1609"/>
  <c r="J11" i="1609"/>
  <c r="I11" i="1609"/>
  <c r="H11" i="1609"/>
  <c r="G11" i="1609"/>
  <c r="F11" i="1609"/>
  <c r="E11" i="1609"/>
  <c r="D11" i="1609"/>
  <c r="C11" i="1609"/>
  <c r="B11" i="1609"/>
  <c r="EA9" i="1609"/>
  <c r="DN9" i="1609"/>
  <c r="DA9" i="1609"/>
  <c r="CD9" i="1609"/>
  <c r="CN9" i="1609" s="1"/>
  <c r="CA9" i="1609"/>
  <c r="BN9" i="1609"/>
  <c r="BA9" i="1609"/>
  <c r="AN9" i="1609"/>
  <c r="EA8" i="1609"/>
  <c r="DN8" i="1609"/>
  <c r="DA8" i="1609"/>
  <c r="CD8" i="1609"/>
  <c r="CA8" i="1609"/>
  <c r="BN8" i="1609"/>
  <c r="BA8" i="1609"/>
  <c r="AN8" i="1609"/>
  <c r="EE7" i="1609"/>
  <c r="DZ7" i="1609"/>
  <c r="DY7" i="1609"/>
  <c r="DX7" i="1609"/>
  <c r="DW7" i="1609"/>
  <c r="DV7" i="1609"/>
  <c r="DU7" i="1609"/>
  <c r="DT7" i="1609"/>
  <c r="DS7" i="1609"/>
  <c r="DR7" i="1609"/>
  <c r="DQ7" i="1609"/>
  <c r="DP7" i="1609"/>
  <c r="DO7" i="1609"/>
  <c r="DM7" i="1609"/>
  <c r="DL7" i="1609"/>
  <c r="DK7" i="1609"/>
  <c r="DJ7" i="1609"/>
  <c r="DI7" i="1609"/>
  <c r="DH7" i="1609"/>
  <c r="DG7" i="1609"/>
  <c r="DF7" i="1609"/>
  <c r="DE7" i="1609"/>
  <c r="DD7" i="1609"/>
  <c r="DC7" i="1609"/>
  <c r="DB7" i="1609"/>
  <c r="CZ7" i="1609"/>
  <c r="CY7" i="1609"/>
  <c r="CX7" i="1609"/>
  <c r="CW7" i="1609"/>
  <c r="CV7" i="1609"/>
  <c r="CU7" i="1609"/>
  <c r="CT7" i="1609"/>
  <c r="CS7" i="1609"/>
  <c r="CR7" i="1609"/>
  <c r="CQ7" i="1609"/>
  <c r="CP7" i="1609"/>
  <c r="CO7" i="1609"/>
  <c r="CM7" i="1609"/>
  <c r="CL7" i="1609"/>
  <c r="CK7" i="1609"/>
  <c r="CJ7" i="1609"/>
  <c r="CI7" i="1609"/>
  <c r="CH7" i="1609"/>
  <c r="CG7" i="1609"/>
  <c r="CF7" i="1609"/>
  <c r="CE7" i="1609"/>
  <c r="CC7" i="1609"/>
  <c r="CB7" i="1609"/>
  <c r="BZ7" i="1609"/>
  <c r="BY7" i="1609"/>
  <c r="BX7" i="1609"/>
  <c r="BW7" i="1609"/>
  <c r="BV7" i="1609"/>
  <c r="BU7" i="1609"/>
  <c r="BT7" i="1609"/>
  <c r="BS7" i="1609"/>
  <c r="BR7" i="1609"/>
  <c r="BQ7" i="1609"/>
  <c r="BP7" i="1609"/>
  <c r="BO7" i="1609"/>
  <c r="BM7" i="1609"/>
  <c r="BL7" i="1609"/>
  <c r="BK7" i="1609"/>
  <c r="BJ7" i="1609"/>
  <c r="BI7" i="1609"/>
  <c r="BH7" i="1609"/>
  <c r="BG7" i="1609"/>
  <c r="BF7" i="1609"/>
  <c r="BE7" i="1609"/>
  <c r="BD7" i="1609"/>
  <c r="BC7" i="1609"/>
  <c r="BB7" i="1609"/>
  <c r="AZ7" i="1609"/>
  <c r="AY7" i="1609"/>
  <c r="AX7" i="1609"/>
  <c r="AW7" i="1609"/>
  <c r="AV7" i="1609"/>
  <c r="AU7" i="1609"/>
  <c r="AT7" i="1609"/>
  <c r="AS7" i="1609"/>
  <c r="AR7" i="1609"/>
  <c r="AQ7" i="1609"/>
  <c r="AP7" i="1609"/>
  <c r="AO7" i="1609"/>
  <c r="AM7" i="1609"/>
  <c r="AL7" i="1609"/>
  <c r="AK7" i="1609"/>
  <c r="AJ7" i="1609"/>
  <c r="AI7" i="1609"/>
  <c r="AH7" i="1609"/>
  <c r="AG7" i="1609"/>
  <c r="AF7" i="1609"/>
  <c r="AE7" i="1609"/>
  <c r="AD7" i="1609"/>
  <c r="AC7" i="1609"/>
  <c r="AB7" i="1609"/>
  <c r="Z7" i="1609"/>
  <c r="Y7" i="1609"/>
  <c r="X7" i="1609"/>
  <c r="W7" i="1609"/>
  <c r="V7" i="1609"/>
  <c r="U7" i="1609"/>
  <c r="T7" i="1609"/>
  <c r="S7" i="1609"/>
  <c r="R7" i="1609"/>
  <c r="Q7" i="1609"/>
  <c r="P7" i="1609"/>
  <c r="O7" i="1609"/>
  <c r="M7" i="1609"/>
  <c r="L7" i="1609"/>
  <c r="K7" i="1609"/>
  <c r="J7" i="1609"/>
  <c r="I7" i="1609"/>
  <c r="H7" i="1609"/>
  <c r="G7" i="1609"/>
  <c r="F7" i="1609"/>
  <c r="E7" i="1609"/>
  <c r="D7" i="1609"/>
  <c r="C7" i="1609"/>
  <c r="B7" i="1609"/>
  <c r="N7" i="1609" l="1"/>
  <c r="N11" i="1609"/>
  <c r="EP7" i="1609"/>
  <c r="AA7" i="1609"/>
  <c r="AA11" i="1609"/>
  <c r="CD7" i="1609"/>
  <c r="CN7" i="1609" s="1"/>
  <c r="EN7" i="1609"/>
  <c r="EN11" i="1609"/>
  <c r="ES11" i="1609"/>
  <c r="EP11" i="1609"/>
  <c r="BN7" i="1609"/>
  <c r="EA11" i="1609"/>
  <c r="BA7" i="1609"/>
  <c r="CA7" i="1609"/>
  <c r="DA7" i="1609"/>
  <c r="ER7" i="1609"/>
  <c r="BA11" i="1609"/>
  <c r="CA11" i="1609"/>
  <c r="DN7" i="1609"/>
  <c r="AN11" i="1609"/>
  <c r="BN11" i="1609"/>
  <c r="DA11" i="1609"/>
  <c r="DN11" i="1609"/>
  <c r="ER11" i="1609"/>
  <c r="ES7" i="1609"/>
  <c r="EA7" i="1609"/>
  <c r="CN8" i="1609"/>
  <c r="AN7" i="1609"/>
  <c r="CD11" i="1609"/>
  <c r="CN11" i="1609" s="1"/>
  <c r="EQ8" i="1609"/>
  <c r="EQ9" i="1609"/>
  <c r="EQ12" i="1609"/>
  <c r="EQ13" i="1609"/>
  <c r="EQ11" i="1609" l="1"/>
  <c r="EQ7" i="1609"/>
  <c r="JQ45" i="1610" l="1"/>
  <c r="JQ47" i="1610"/>
  <c r="JQ48" i="1610"/>
  <c r="JQ49" i="1610"/>
  <c r="JQ46" i="1610"/>
  <c r="JQ44" i="16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<sst xmlns="http://schemas.openxmlformats.org/spreadsheetml/2006/main" count="3370" uniqueCount="665">
  <si>
    <t>Ene.</t>
  </si>
  <si>
    <t>Feb.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</si>
  <si>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</si>
  <si>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</si>
  <si>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</si>
  <si>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</si>
  <si>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</si>
  <si>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</si>
  <si>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</si>
  <si>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</si>
  <si>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</si>
  <si>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</si>
  <si>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>Anual</t>
  </si>
  <si>
    <t>TOTAL SISTEMA FINANCIERO</t>
  </si>
  <si>
    <t xml:space="preserve">   C.M.A.C. Paita</t>
  </si>
  <si>
    <t>A. MONEDA NACIONAL</t>
  </si>
  <si>
    <t xml:space="preserve">   Depósitos Vista</t>
  </si>
  <si>
    <t xml:space="preserve">   Depósitos de Ahorro</t>
  </si>
  <si>
    <t xml:space="preserve">   Depósitos a Plazo</t>
  </si>
  <si>
    <t xml:space="preserve">B. MONEDA EXTRANJERA </t>
  </si>
  <si>
    <t xml:space="preserve">   Moneda Nacional</t>
  </si>
  <si>
    <t xml:space="preserve">   Moneda Extranjera</t>
  </si>
  <si>
    <t>TOTAL</t>
  </si>
  <si>
    <t>Mensual</t>
  </si>
  <si>
    <t>Acumulada</t>
  </si>
  <si>
    <t>Alimentos y bebidas</t>
  </si>
  <si>
    <t>Vestido y Calzado</t>
  </si>
  <si>
    <t>Cuidados y Cons. de Salud</t>
  </si>
  <si>
    <t>Otros Bienes y Servicios</t>
  </si>
  <si>
    <t>Total</t>
  </si>
  <si>
    <t>Anona</t>
  </si>
  <si>
    <t>Caimito</t>
  </si>
  <si>
    <t>Chirimoya</t>
  </si>
  <si>
    <t>Humarí</t>
  </si>
  <si>
    <t>Lima</t>
  </si>
  <si>
    <t>Maracuyá</t>
  </si>
  <si>
    <t>Marañón</t>
  </si>
  <si>
    <t>Pacae</t>
  </si>
  <si>
    <t>Taperiba</t>
  </si>
  <si>
    <t>Toronja</t>
  </si>
  <si>
    <t>Zapote</t>
  </si>
  <si>
    <t>Cocona</t>
  </si>
  <si>
    <t>Aguaje</t>
  </si>
  <si>
    <t>Ciruela</t>
  </si>
  <si>
    <t>Pepino</t>
  </si>
  <si>
    <t>Ají</t>
  </si>
  <si>
    <t>Apio</t>
  </si>
  <si>
    <t>Caigua</t>
  </si>
  <si>
    <t>Nabo</t>
  </si>
  <si>
    <t>Zapallo</t>
  </si>
  <si>
    <t>Alfaro</t>
  </si>
  <si>
    <t>Azúfre</t>
  </si>
  <si>
    <t>Bolaina</t>
  </si>
  <si>
    <t>Caoba</t>
  </si>
  <si>
    <t>Capirona</t>
  </si>
  <si>
    <t>Catahua</t>
  </si>
  <si>
    <t>Cedro</t>
  </si>
  <si>
    <t>Copaiba</t>
  </si>
  <si>
    <t>Cumala</t>
  </si>
  <si>
    <t>Huangana Shiringa</t>
  </si>
  <si>
    <t>Huayruro</t>
  </si>
  <si>
    <t>Huimba</t>
  </si>
  <si>
    <t>Ishpingo</t>
  </si>
  <si>
    <t>Leche Caspi</t>
  </si>
  <si>
    <t>Manchinga</t>
  </si>
  <si>
    <t>Marupa</t>
  </si>
  <si>
    <t>Mashonaste</t>
  </si>
  <si>
    <t>Moena</t>
  </si>
  <si>
    <t>Pashaco</t>
  </si>
  <si>
    <t>Pumaquiro</t>
  </si>
  <si>
    <t>Quina Quina</t>
  </si>
  <si>
    <t>Quinilla</t>
  </si>
  <si>
    <t>Tornillo</t>
  </si>
  <si>
    <t>ARRIBOS</t>
  </si>
  <si>
    <t xml:space="preserve">   Nacionales</t>
  </si>
  <si>
    <t xml:space="preserve">   Extranjeros</t>
  </si>
  <si>
    <t>PERNOCTACIONES</t>
  </si>
  <si>
    <t>Var %</t>
  </si>
  <si>
    <t>Alq. Vivienda, Comb. Electricidad.</t>
  </si>
  <si>
    <t>Muebles, Ens. y Manten. De Viv.</t>
  </si>
  <si>
    <t>Cuadro Nº 05</t>
  </si>
  <si>
    <t>(Hectáreas)</t>
  </si>
  <si>
    <t>Estoraque</t>
  </si>
  <si>
    <t>Rifari</t>
  </si>
  <si>
    <t xml:space="preserve">   C.M.A.C. Piura</t>
  </si>
  <si>
    <t>Variación Porcentual</t>
  </si>
  <si>
    <t>Índice General</t>
  </si>
  <si>
    <t>TOTAL DEPÓSITOS</t>
  </si>
  <si>
    <t>A. DEPÓSITOS A LA VISTA</t>
  </si>
  <si>
    <t>B. DEPÓSITOS DE AHORRO</t>
  </si>
  <si>
    <t>C. DEPÓSITOS A PLAZO</t>
  </si>
  <si>
    <t>Cerezo</t>
  </si>
  <si>
    <t>(VBP y toneladas métricas)</t>
  </si>
  <si>
    <t>Feb</t>
  </si>
  <si>
    <t>Mar</t>
  </si>
  <si>
    <t>Abr</t>
  </si>
  <si>
    <t>May</t>
  </si>
  <si>
    <t>Madera aserrada</t>
  </si>
  <si>
    <t>Jun</t>
  </si>
  <si>
    <t>Ago</t>
  </si>
  <si>
    <t>Fuente: Insituto Nacional de Estadística e Informática - INEI Moyobamba.</t>
  </si>
  <si>
    <t>1/  Preliminar.</t>
  </si>
  <si>
    <t>Ana Caspi</t>
  </si>
  <si>
    <t>Copal</t>
  </si>
  <si>
    <t>Ponderación</t>
  </si>
  <si>
    <t>Jul</t>
  </si>
  <si>
    <t xml:space="preserve">   Crédito</t>
  </si>
  <si>
    <t xml:space="preserve">   Interbank</t>
  </si>
  <si>
    <t xml:space="preserve"> Fuente: Superintendencia de Banca y Seguros.</t>
  </si>
  <si>
    <t xml:space="preserve">   Scotiabank</t>
  </si>
  <si>
    <t>Fuente: Dirección Regional de Comercio Exterior y Turismo de San Martín.</t>
  </si>
  <si>
    <t>2 005</t>
  </si>
  <si>
    <t xml:space="preserve">   MiBanco</t>
  </si>
  <si>
    <t>Fuente: Superintendencia de Banca y Seguros.</t>
  </si>
  <si>
    <t>(Miles de US dólares)</t>
  </si>
  <si>
    <t>TOTAL EXPORTACIONES</t>
  </si>
  <si>
    <t>Algodón</t>
  </si>
  <si>
    <t>Otros acabados</t>
  </si>
  <si>
    <t>Fuente: SUNAT-Aduanas.</t>
  </si>
  <si>
    <t>Transportes y Comunicaciones.</t>
  </si>
  <si>
    <t>Esparc. Div. Serv. Cultura.</t>
  </si>
  <si>
    <t>Fuente: Oficina de Información Agraria - Dirección Regional Agraria de San Martín.</t>
  </si>
  <si>
    <t>Fuente: Oficina de Información Agraria - Direción Regional Agraria de San Martín.</t>
  </si>
  <si>
    <t>TOTAL SIEMBRAS</t>
  </si>
  <si>
    <t>Fuente: Oficina de Información Agraria - Dirección Regional de San Martín.</t>
  </si>
  <si>
    <t>Fuente: Dirección Regional Sectorial de la Producción - San Martín.</t>
  </si>
  <si>
    <t>Set</t>
  </si>
  <si>
    <t>1/ Preliminar.</t>
  </si>
  <si>
    <t>Cuadro Nº 06</t>
  </si>
  <si>
    <t>Cuadro Nº 14</t>
  </si>
  <si>
    <t>SAN MARTÍN: SIEMBRAS DE PRINCIPALES CULTIVOS AGRÍCOLAS POR CAMPAÑA    1/.</t>
  </si>
  <si>
    <t xml:space="preserve">   C.M.A.C. Maynas</t>
  </si>
  <si>
    <t>Pijuayo Palmito</t>
  </si>
  <si>
    <t>MANUFACTURA NO PRIMARIA</t>
  </si>
  <si>
    <t>Arroz Cáscara</t>
  </si>
  <si>
    <t>Plátano</t>
  </si>
  <si>
    <t>Yuca</t>
  </si>
  <si>
    <t>Limón Sutil</t>
  </si>
  <si>
    <t>Naranja</t>
  </si>
  <si>
    <t>Papaya</t>
  </si>
  <si>
    <t>Mandarina</t>
  </si>
  <si>
    <t>Piña</t>
  </si>
  <si>
    <t>Cocotero</t>
  </si>
  <si>
    <t>Tomate</t>
  </si>
  <si>
    <t>Maní</t>
  </si>
  <si>
    <t>Maíz Amarillo Duro</t>
  </si>
  <si>
    <t>Palma Aceitera</t>
  </si>
  <si>
    <t>Cacao</t>
  </si>
  <si>
    <t>Café</t>
  </si>
  <si>
    <t>Soya</t>
  </si>
  <si>
    <t>Tabaco</t>
  </si>
  <si>
    <t>OTROS</t>
  </si>
  <si>
    <t>SAN MARTÍN: ÍNDICE DE PRECIOS AL CONSUMIDOR DE LA CIUDAD DE MOYOBAMBA</t>
  </si>
  <si>
    <t>SAN MARTÍN: SALDO DE DEPÓSITOS DEL SISTEMA FINANCIERO POR ENTIDAD</t>
  </si>
  <si>
    <t>SAN MARTÍN: SALDO DE DEPÓSITOS DEL SISTEMA FINANCIERO SEGÚN MODALIDAD</t>
  </si>
  <si>
    <t>SAN MARTÍN: SALDO DE DEPÓSITOS DEL SISTEMA FINANCIERO SEGÚN MONEDA</t>
  </si>
  <si>
    <t>ELECTRICIDAD (KWH)</t>
  </si>
  <si>
    <t>EMAPA San Martin</t>
  </si>
  <si>
    <t>EPS Moyobamba</t>
  </si>
  <si>
    <t>PRODUCCION</t>
  </si>
  <si>
    <t>SAN MARTÍN: INDICADORES DEL SECTOR PESQUERO</t>
  </si>
  <si>
    <t>Cuadro Nº 09</t>
  </si>
  <si>
    <t>Cuadro Nº 08</t>
  </si>
  <si>
    <t>Cuadro Nº 07</t>
  </si>
  <si>
    <t>Cuadro Nº 12</t>
  </si>
  <si>
    <t>Cuadro Nº 13</t>
  </si>
  <si>
    <t>Cuadro Nº 11</t>
  </si>
  <si>
    <t>Cuadro Nº 01</t>
  </si>
  <si>
    <t>Cuadro Nº 02</t>
  </si>
  <si>
    <t>Cuadro Nº 03</t>
  </si>
  <si>
    <t>Cuadro Nº 04</t>
  </si>
  <si>
    <t>SAN MARTÍN: SALDO DE CRÉDITOS DEL SISTEMA FINANCIERO</t>
  </si>
  <si>
    <t xml:space="preserve">   C.R.A.C. Sipán</t>
  </si>
  <si>
    <t xml:space="preserve">   C.M.A.C. Trujillo</t>
  </si>
  <si>
    <t xml:space="preserve">   Financiera TFC S.A.</t>
  </si>
  <si>
    <t>SAN MARTÍN: RATIO DE CARTERA PESADA DEL SISTEMA FINANCIERO</t>
  </si>
  <si>
    <t>Total Sistema Financiero</t>
  </si>
  <si>
    <t>Fuente: Instituciones del Sistema Financiero de San Martín.</t>
  </si>
  <si>
    <t>Chocolates</t>
  </si>
  <si>
    <t>Nov</t>
  </si>
  <si>
    <t>Cedro (Otros)</t>
  </si>
  <si>
    <t>Pasto Toro Urco</t>
  </si>
  <si>
    <t>Sacha Inchi</t>
  </si>
  <si>
    <t>Ene</t>
  </si>
  <si>
    <t xml:space="preserve">Var.% </t>
  </si>
  <si>
    <t xml:space="preserve">   Crediscotia Financiera</t>
  </si>
  <si>
    <t xml:space="preserve">  Azteca</t>
  </si>
  <si>
    <t>* a partir de enero 2009, se convirtió en CrediScotia Financiera.</t>
  </si>
  <si>
    <t>** a partir de marzo 2008, se fusionó con la CMAC Piura.</t>
  </si>
  <si>
    <t xml:space="preserve">   C.R.A.C. San Martín      **</t>
  </si>
  <si>
    <t>Dic</t>
  </si>
  <si>
    <t>Tabaco negro y rubio</t>
  </si>
  <si>
    <t>Cacao en grano</t>
  </si>
  <si>
    <t>Tablillas y frisos</t>
  </si>
  <si>
    <t>Conservas de palmito</t>
  </si>
  <si>
    <t>Aceite vegetal</t>
  </si>
  <si>
    <t xml:space="preserve">   Financiera EDYFICAR</t>
  </si>
  <si>
    <t xml:space="preserve">   C.R.A.C. CREDINKA</t>
  </si>
  <si>
    <t xml:space="preserve">   Financiera EFECTIVA</t>
  </si>
  <si>
    <t>(valores reales)</t>
  </si>
  <si>
    <t xml:space="preserve">  Fuente: Superintendencia de Banca y Seguros.</t>
  </si>
  <si>
    <t>(variaciones anuales reales)</t>
  </si>
  <si>
    <t>MONEDA NACIONAL</t>
  </si>
  <si>
    <t xml:space="preserve">MONEDA EXTRANJERA </t>
  </si>
  <si>
    <t>Sep</t>
  </si>
  <si>
    <t>Oct</t>
  </si>
  <si>
    <t>(Saldos en miles de nuevos soles)</t>
  </si>
  <si>
    <t>TOTAL COLOCACIONES</t>
  </si>
  <si>
    <t>May.09</t>
  </si>
  <si>
    <t>Jun.09</t>
  </si>
  <si>
    <t>1554 - Bebidas gaseosas</t>
  </si>
  <si>
    <t>2010 - Madera aserrada</t>
  </si>
  <si>
    <t>Oct.09</t>
  </si>
  <si>
    <t>Nov.09</t>
  </si>
  <si>
    <t>Dic.09</t>
  </si>
  <si>
    <t>Stevia</t>
  </si>
  <si>
    <t xml:space="preserve">   EDPYME  Raiz</t>
  </si>
  <si>
    <t>TOTAL SISTEMA FINANCIERO (A+B+C)</t>
  </si>
  <si>
    <t>Compras de electricidad al SEIN*</t>
  </si>
  <si>
    <t xml:space="preserve">  Del Trabajo  *</t>
  </si>
  <si>
    <t>B. Empresas Financieras</t>
  </si>
  <si>
    <t>B. Entidades Micro. N.B.</t>
  </si>
  <si>
    <t>A. EMPRESAS BANCARIAS</t>
  </si>
  <si>
    <t>Cuadro Nº 24</t>
  </si>
  <si>
    <t>Cuadro Nº 25</t>
  </si>
  <si>
    <t>Cuadro N° 27</t>
  </si>
  <si>
    <t>Paiche salado</t>
  </si>
  <si>
    <t>Tuna</t>
  </si>
  <si>
    <t>1/ cifras preliminares</t>
  </si>
  <si>
    <t xml:space="preserve">   Financiera Confianza</t>
  </si>
  <si>
    <t xml:space="preserve">   C.R.A.C. Nuestra gente ***</t>
  </si>
  <si>
    <t>*** a partir de mayo 2013, se fusionó con la Financiera Confianza.</t>
  </si>
  <si>
    <t xml:space="preserve">   EDPYME Acceso Crediticio</t>
  </si>
  <si>
    <t xml:space="preserve">   C.M.A.C Huancayo</t>
  </si>
  <si>
    <t>Sep.</t>
  </si>
  <si>
    <t>B. INSTITUCIONES NO BANCARIAS</t>
  </si>
  <si>
    <t>C. BANCO DE LA NACIÓN</t>
  </si>
  <si>
    <t>A. BANCA MÚLTIPLE</t>
  </si>
  <si>
    <t>A. Banca Múltiple</t>
  </si>
  <si>
    <t xml:space="preserve">   B2.2. CAJAS RURALES</t>
  </si>
  <si>
    <t xml:space="preserve">   B2.3. EDPYMES</t>
  </si>
  <si>
    <t xml:space="preserve">   B.2.1. CAJAS MUNICIPALES</t>
  </si>
  <si>
    <t>1/ No considera los créditos a las demás empresas del Sistema Financiero.</t>
  </si>
  <si>
    <t>2/ Sólo considera los créditos de consumo e hipotecario.</t>
  </si>
  <si>
    <t>D. AGROBANCO  1/</t>
  </si>
  <si>
    <t>C. BANCO DE LA NACIÓN  2/</t>
  </si>
  <si>
    <t xml:space="preserve">  Banbif</t>
  </si>
  <si>
    <t xml:space="preserve">   EDPYME Solidaridad</t>
  </si>
  <si>
    <t>Fuente: Dirección Regional Sectorial de la Producción y Encuesta a Empresas Industriales.</t>
  </si>
  <si>
    <t>MINCETUR</t>
  </si>
  <si>
    <t>Fuente: Encuesta Mensual a los establecimientos de hospedaje temporal - MINCETUR.</t>
  </si>
  <si>
    <t xml:space="preserve">   C.M.C.P. Lima</t>
  </si>
  <si>
    <t>MANUFACTURA PRIMARIA</t>
  </si>
  <si>
    <t>1520 - Quesos y mantequillas</t>
  </si>
  <si>
    <t>2694 - Cemento</t>
  </si>
  <si>
    <t>2320 - Biodiesel</t>
  </si>
  <si>
    <t>2695 - Ladrillos, bloques y adoquines</t>
  </si>
  <si>
    <t>1543 - Chocolates</t>
  </si>
  <si>
    <t>SAN MARTÍN: ARRIBOS Y PERNOCTACIONES A LOS ESTABLECIMIENTOS DE HOSPEDAJE  1/</t>
  </si>
  <si>
    <t xml:space="preserve">   EDPYME Inversiones La Cruz</t>
  </si>
  <si>
    <t>Cuadro Nº 26</t>
  </si>
  <si>
    <t>Cuadro N° 28</t>
  </si>
  <si>
    <t xml:space="preserve">   Financiera Credinka</t>
  </si>
  <si>
    <t xml:space="preserve">   CMAC Arequipa</t>
  </si>
  <si>
    <t xml:space="preserve">   EDPYME Alternativa</t>
  </si>
  <si>
    <t xml:space="preserve">   C.R.A.C. Los Andes</t>
  </si>
  <si>
    <t>Banco de la Nación</t>
  </si>
  <si>
    <t>Total Electro oriente S.A. **</t>
  </si>
  <si>
    <t>** a partir del año 2015 en MW</t>
  </si>
  <si>
    <t>*** a partir del 2014 en kw</t>
  </si>
  <si>
    <t xml:space="preserve">  GMG Servicios Perú</t>
  </si>
  <si>
    <t>*** Mediante Resolución SBS N° 3261-2018 el 22 de agosto 2018 se autorizó el cambio de denominación social de Banco Financiero a Banco Pichincha.</t>
  </si>
  <si>
    <t xml:space="preserve">  Pichincha****</t>
  </si>
  <si>
    <t>**** Mediante Resolución SBS N° 3261-2018 el 22 de agosto 2018 se autorizó el cambio de denominación social de Banco Financiero a Banco Pichincha.</t>
  </si>
  <si>
    <t xml:space="preserve">   Financiera OH S A </t>
  </si>
  <si>
    <t>**** Mediante Resolución SBS N° 1286-2019 (08/05/2019) se autorizó a BBVA Banco Continental S.A. el cambio de denominación social a Banco BBVA Perú.</t>
  </si>
  <si>
    <t xml:space="preserve">   BBVA*****</t>
  </si>
  <si>
    <t xml:space="preserve">   EDPYME  Progreso S.A******</t>
  </si>
  <si>
    <t>***** Mediante Resolución SBS N° 1286-2019 (08/05/2019) se autorizó a BBVA Banco Continental S.A. el cambio de denominación social a Banco BBVA Perú.</t>
  </si>
  <si>
    <t>******Mediante Resolución SBS N° 1283-2019 de 27/03/2019, se le autorizó a la Edypme Marcimex S.A. el cambio de denominación social a "Empresa de Desarrollo de la Pequeña y Microempresa Progeso S.A.".</t>
  </si>
  <si>
    <t xml:space="preserve">   BBVA</t>
  </si>
  <si>
    <t>Pasto Elefante</t>
  </si>
  <si>
    <t xml:space="preserve">   Compartamos Financiera</t>
  </si>
  <si>
    <t>2/ Huallaga, Mayo, Saposoa y Lago Sauce.</t>
  </si>
  <si>
    <t>Pangola</t>
  </si>
  <si>
    <t>Pesqueros</t>
  </si>
  <si>
    <t>* De Electro Oriente S.A., a partir de enero 2019 no incluye Yurimaguas.</t>
  </si>
  <si>
    <t>Mes</t>
  </si>
  <si>
    <t>1/ Pucallpa (Ucayali), Yurimaguas (Loreto), Sullana (Piura), Chiclayo (Lambayeque), Trujillo (La Libertad) y Lima.</t>
  </si>
  <si>
    <t>Cuadro Nº 15</t>
  </si>
  <si>
    <t>TOTAL (I+II)</t>
  </si>
  <si>
    <t>I. INGRESOS TRIBUTARIOS</t>
  </si>
  <si>
    <t>II. INGRESOS NO TRIBUTARIOS</t>
  </si>
  <si>
    <t>Fuente: SUNAT-ADUANAS.</t>
  </si>
  <si>
    <t xml:space="preserve">    </t>
  </si>
  <si>
    <t>Fuente: SUNAT.</t>
  </si>
  <si>
    <t>Cuadro Nº 16</t>
  </si>
  <si>
    <t>GASTOS POR FUENTE</t>
  </si>
  <si>
    <t>Fuente: MEF.</t>
  </si>
  <si>
    <t>CUADRO Nº 19</t>
  </si>
  <si>
    <t>TOTAL DE GASTOS</t>
  </si>
  <si>
    <t>Fuente: MEF .</t>
  </si>
  <si>
    <t>IPM</t>
  </si>
  <si>
    <t>Cuadro Nº 17</t>
  </si>
  <si>
    <t>TOTAL DE INVERSIONES POR FUNCIONES</t>
  </si>
  <si>
    <t>Cuadro Nº 18</t>
  </si>
  <si>
    <t xml:space="preserve">   Venta de activos no financieros</t>
  </si>
  <si>
    <t>Año</t>
  </si>
  <si>
    <t>a. INGRESOS CORRIENTES</t>
  </si>
  <si>
    <t>1. No tributarios</t>
  </si>
  <si>
    <t>2. Transferencias</t>
  </si>
  <si>
    <t>b. INGRESOS DE CAPITAL</t>
  </si>
  <si>
    <t>INGRESOS</t>
  </si>
  <si>
    <t>Cuadro Nº 19</t>
  </si>
  <si>
    <t>CUADRO Nº 17</t>
  </si>
  <si>
    <t>Gasto público no financiero</t>
  </si>
  <si>
    <t>G. Regional</t>
  </si>
  <si>
    <t>Remuneraciones</t>
  </si>
  <si>
    <t>Obligaciones previsionales</t>
  </si>
  <si>
    <t>Otros gastos corrientes</t>
  </si>
  <si>
    <t>Donaciones y transferecnias</t>
  </si>
  <si>
    <t>Bienes y Servicios</t>
  </si>
  <si>
    <t>G. Nacional</t>
  </si>
  <si>
    <t>Pensiones y otras prestaciones sociales</t>
  </si>
  <si>
    <t>Donaciones y tranferencias</t>
  </si>
  <si>
    <t>G. Locales</t>
  </si>
  <si>
    <t>Pensiones y otras prestaciones soc</t>
  </si>
  <si>
    <t>Gasto público no financiero Real</t>
  </si>
  <si>
    <t>Donaciones y transferencias</t>
  </si>
  <si>
    <t>Gobierno Regional real</t>
  </si>
  <si>
    <t>Gobierno Nacional real</t>
  </si>
  <si>
    <t>Gobiernos Locales real</t>
  </si>
  <si>
    <t>Cuadro Nº 20</t>
  </si>
  <si>
    <t>Cuadro Nº 21</t>
  </si>
  <si>
    <t>´´´´</t>
  </si>
  <si>
    <t>INGRESOS TOTALES (a+b)</t>
  </si>
  <si>
    <t>1. Trbutrarios</t>
  </si>
  <si>
    <t>2 No tributarios</t>
  </si>
  <si>
    <t>3. Transferencias</t>
  </si>
  <si>
    <t>Cuadro Nº 22</t>
  </si>
  <si>
    <t>CUADRO Nº 22</t>
  </si>
  <si>
    <t>Cuadro Nº 23</t>
  </si>
  <si>
    <t>TOTAL DE INVERSIONES</t>
  </si>
  <si>
    <t>Aceite crudo de palma</t>
  </si>
  <si>
    <t>Aceite crudo de palmiste</t>
  </si>
  <si>
    <t>Aceite refinado de palma</t>
  </si>
  <si>
    <t>Aceite refinado de palmiste</t>
  </si>
  <si>
    <t>Estearina de palma</t>
  </si>
  <si>
    <t>Fuente: Dirección de Gestión Forestal y de Fauna Silvestre - Autoridad Regional Ambiental San Martín – GRSM.</t>
  </si>
  <si>
    <t>TOTAL AGROPECUARIO 2/</t>
  </si>
  <si>
    <t>Mango</t>
  </si>
  <si>
    <t>Palto</t>
  </si>
  <si>
    <t/>
  </si>
  <si>
    <t>SAN MARTÍN : PRODUCCIÓN DE OTROS CULTIVOS AGRÍCOLAS 1/.</t>
  </si>
  <si>
    <t>SAN MARTÍN: COSECHAS DE PRINCIPALES PRODUCTOS AGRÍCOLAS 1/</t>
  </si>
  <si>
    <t>SAN MARTÍN: SIEMBRAS DE OTROS CULTIVOS AGRÍCOLAS POR CAMPAÑA 1/.</t>
  </si>
  <si>
    <t>SAN MARTÍN: COSECHAS DE OTROS CULTIVOS AGRÍCOLAS 1/</t>
  </si>
  <si>
    <t>Salpreso</t>
  </si>
  <si>
    <t>Seco-Salado</t>
  </si>
  <si>
    <t>Acuicultura</t>
  </si>
  <si>
    <t>Tilapia</t>
  </si>
  <si>
    <t>Gamitana</t>
  </si>
  <si>
    <t>Paco</t>
  </si>
  <si>
    <t>Paiche</t>
  </si>
  <si>
    <t>Boquichico</t>
  </si>
  <si>
    <t>Camarón gigante</t>
  </si>
  <si>
    <t>PRODUCCIÓN INTERNA (FRESCO)</t>
  </si>
  <si>
    <t>PRODUCCIÓN INTERNA POR ESPECIES</t>
  </si>
  <si>
    <t>SAN MARTÍN: PRODUCCIÓN DE MADERA ASERRADA 1/.</t>
  </si>
  <si>
    <t>C I I U</t>
  </si>
  <si>
    <t>1514 - Aceite y manteca</t>
  </si>
  <si>
    <t>2411 - Jabón</t>
  </si>
  <si>
    <t>SAN MARTÍN: PRODUCCIÓN DE ELECTRICIDAD Y AGUA</t>
  </si>
  <si>
    <t>TOTAL MINEM MW ***</t>
  </si>
  <si>
    <t>C.T. Tarapoto **</t>
  </si>
  <si>
    <t>C.T. Moyobamba **</t>
  </si>
  <si>
    <t>C.T. Bellavista **</t>
  </si>
  <si>
    <t>C.T. Saposoa **</t>
  </si>
  <si>
    <t>C.T. Juanjui **</t>
  </si>
  <si>
    <t>C.H. El Gera **</t>
  </si>
  <si>
    <t>Otros **</t>
  </si>
  <si>
    <t>AGUA (M3)</t>
  </si>
  <si>
    <t>Fuente: MINEM, Electro Oriente, EMAPA San Martin y EPS Moyobamba SRL.</t>
  </si>
  <si>
    <t>(Miles de nuevos soles)</t>
  </si>
  <si>
    <t>(Miles de soles)</t>
  </si>
  <si>
    <t>SAN MARTÍN: EJECUCIÓN DE INGRESOS DEL GOBIERNO REGIONAL 1/.</t>
  </si>
  <si>
    <t>TOTAL DE INGRESOS</t>
  </si>
  <si>
    <t>INGRESOS CORRIENTES</t>
  </si>
  <si>
    <t>Impuestos y contribuciones obligatorias</t>
  </si>
  <si>
    <t>Venta de bienes y servicios y derechos administrativas</t>
  </si>
  <si>
    <t>Tasas</t>
  </si>
  <si>
    <t>Venta de bienes</t>
  </si>
  <si>
    <t>Prestación de servicios</t>
  </si>
  <si>
    <t>Otros ingresos corrientes</t>
  </si>
  <si>
    <t>INGRESOS DE CAPITAL</t>
  </si>
  <si>
    <t>Venta de activos no financieros</t>
  </si>
  <si>
    <t>Venta de activos financieros</t>
  </si>
  <si>
    <t>FINANCIAMIENTO</t>
  </si>
  <si>
    <t>Endeudamiento</t>
  </si>
  <si>
    <t>Saldo de balance</t>
  </si>
  <si>
    <t>INGRESOS POR FUENTE</t>
  </si>
  <si>
    <t>Recursos determinados</t>
  </si>
  <si>
    <t>Recursos directamente recaudados</t>
  </si>
  <si>
    <t>Recursos por operaciones oficiales de crédito externo</t>
  </si>
  <si>
    <t>Fondo de Compesación Regional</t>
  </si>
  <si>
    <t>Privatizaciones y concesiones</t>
  </si>
  <si>
    <t>-Recursos ordinarios</t>
  </si>
  <si>
    <t>-Eliminación exoneraciones tributarias</t>
  </si>
  <si>
    <t>-Otros</t>
  </si>
  <si>
    <t>D y T CORRIENTES</t>
  </si>
  <si>
    <t>De gobiernos extranjeros</t>
  </si>
  <si>
    <t>De organismos internacionales</t>
  </si>
  <si>
    <t>De otras unidades de gobierno</t>
  </si>
  <si>
    <t>Del Gobierno Nacional</t>
  </si>
  <si>
    <t>De los gobiernos locales</t>
  </si>
  <si>
    <t>De otras entidades públicas</t>
  </si>
  <si>
    <t>De fondos públicos</t>
  </si>
  <si>
    <t>Por participaciones de recursos determinados Canon y sobrecanon</t>
  </si>
  <si>
    <t>Canon y sobrecanon</t>
  </si>
  <si>
    <t>Canon petrolero</t>
  </si>
  <si>
    <t>Canon minero</t>
  </si>
  <si>
    <t>Canon gasífero</t>
  </si>
  <si>
    <t>Canon hidroenergético</t>
  </si>
  <si>
    <t>Canon forestal</t>
  </si>
  <si>
    <t>Regalías mineras</t>
  </si>
  <si>
    <t>Por eliminación de exoneraciones</t>
  </si>
  <si>
    <t>D DE CAPITAL</t>
  </si>
  <si>
    <t>De agencias gubernamentales de cooperación internacional</t>
  </si>
  <si>
    <t>SAN MARTÍN: INVERSIONES NO FINANCIERAS DEL GOBIERNO NACIONAL 1/.</t>
  </si>
  <si>
    <t>Recursos ordinarios (Asignación MEF)</t>
  </si>
  <si>
    <t>Fondo de Compensación Regional</t>
  </si>
  <si>
    <t>SAN MARTÍN: GASTOS NO FINANCIEROS DEL GOBIERNO NACIONAL 1/.</t>
  </si>
  <si>
    <t>GASTOS CORRIENTES</t>
  </si>
  <si>
    <t>Personal y obligaciones</t>
  </si>
  <si>
    <t>Bienes y servicios</t>
  </si>
  <si>
    <t>GASTOS DE CAPITAL</t>
  </si>
  <si>
    <t>Inversiones no financieras</t>
  </si>
  <si>
    <t>Inversiones financieras</t>
  </si>
  <si>
    <t>Otros gastos de capital</t>
  </si>
  <si>
    <t>SERVICIO DE LA DEUDA</t>
  </si>
  <si>
    <t>Intereses</t>
  </si>
  <si>
    <t>Amortización</t>
  </si>
  <si>
    <t>SAN MARTÍN: EJECUCIÓN DE GASTOS DEL GOBIERNO NACIONAL 1/. (REAL)</t>
  </si>
  <si>
    <t>Inversiones</t>
  </si>
  <si>
    <t>Bienes y Servicios deflactados</t>
  </si>
  <si>
    <t>INGRESOS RECAUDADOS EN SAN MARTÍN</t>
  </si>
  <si>
    <t>1. Impuestos a los ingresos</t>
  </si>
  <si>
    <t>- Personas Naturales</t>
  </si>
  <si>
    <t>- Personas Jurídicas</t>
  </si>
  <si>
    <t>- Regularización</t>
  </si>
  <si>
    <t>2. Impuestos a las importaciones</t>
  </si>
  <si>
    <t>3. Impuesto General a las Ventas (IGV)</t>
  </si>
  <si>
    <t>. Interno</t>
  </si>
  <si>
    <t>. Importaciones</t>
  </si>
  <si>
    <t>4. Impuesto selectivo al consumo (ISC)</t>
  </si>
  <si>
    <t>5. Otros ingresos tributarios</t>
  </si>
  <si>
    <t>INGRESOS RECAUDADOS EN SAN MARTÍN (EN VALORES REALES)</t>
  </si>
  <si>
    <t>Pensiones y OPS</t>
  </si>
  <si>
    <t>Intereses +comisiones</t>
  </si>
  <si>
    <t>Recursos ordinarios</t>
  </si>
  <si>
    <t>SAN MARTÍN: EJECUCIÓN DE GASTOS DEL GOBIERNO REGIONAL 1/. (REAL)</t>
  </si>
  <si>
    <t>SAN MARTÍN: INVERSIONES NO FINANCIERAS DEL GOBIERNO REGIONAL 1/.</t>
  </si>
  <si>
    <t>Recursos por operaciones oficiales..</t>
  </si>
  <si>
    <t>SAN MARTÍN: EJECUCIÓN DE INGRESOS DE LOS GOBIERNOS LOCALES 1/.</t>
  </si>
  <si>
    <t>Contribuciones sociales</t>
  </si>
  <si>
    <t>Venta de bienes y servicios y derechos administrativos</t>
  </si>
  <si>
    <t>-Canon</t>
  </si>
  <si>
    <t>- Minero</t>
  </si>
  <si>
    <t>-Foncomun</t>
  </si>
  <si>
    <t>De los gobiernos regionales</t>
  </si>
  <si>
    <t>Por participaciones de recursos determinados</t>
  </si>
  <si>
    <t>Sobrecanon petrolero</t>
  </si>
  <si>
    <t>Regalías</t>
  </si>
  <si>
    <t>Renta de aduanas</t>
  </si>
  <si>
    <t>FONCOMUN</t>
  </si>
  <si>
    <t>Por asignación especial</t>
  </si>
  <si>
    <t>Por plan de incentivos a la mejora de la gestión y modernización municipal</t>
  </si>
  <si>
    <t>Por bono de incentivo por la ejecución eficaz de inversiones</t>
  </si>
  <si>
    <t>Del gobierno regional</t>
  </si>
  <si>
    <t>SAN MARTÍN: GASTOS NO FINANCIEROS DE LOS GOBIERNOS LOCALES 1/.</t>
  </si>
  <si>
    <t>Recursos por operaciones oficiales de crédito</t>
  </si>
  <si>
    <t>SAN MARTÍN: EJECUCIÓN DE GASTOS DEL GOBIERNO LOCAL 1/. (REAL)</t>
  </si>
  <si>
    <t>SAN MARTÍN: INVERSIONES NO FINANCIERAS DE LOS GOBIERNOS LOCALES 1/.</t>
  </si>
  <si>
    <t>Banca Múltiple</t>
  </si>
  <si>
    <t>Empresas Financieras</t>
  </si>
  <si>
    <t>Entidades Microfinancieras No Bancarias</t>
  </si>
  <si>
    <t>BBVA****</t>
  </si>
  <si>
    <t>Crédito</t>
  </si>
  <si>
    <t>Interbank</t>
  </si>
  <si>
    <t>Scotiabank</t>
  </si>
  <si>
    <t>MiBanco</t>
  </si>
  <si>
    <t>Azteca</t>
  </si>
  <si>
    <t>Pichincha***</t>
  </si>
  <si>
    <t>Banbif</t>
  </si>
  <si>
    <t>Del Trabajo *</t>
  </si>
  <si>
    <t>B1. EMPRESAS FINANCIERAS</t>
  </si>
  <si>
    <t>CrediScotia Financiera</t>
  </si>
  <si>
    <t>Financiera Confianza</t>
  </si>
  <si>
    <t>Financiera Credinka</t>
  </si>
  <si>
    <t>Compartamos Financiera</t>
  </si>
  <si>
    <t>B2. RESTO</t>
  </si>
  <si>
    <t>B2.1 CAJAS MUNICIPALES</t>
  </si>
  <si>
    <t>C.M.A.C. Piura</t>
  </si>
  <si>
    <t>C.M.A.C. Paita</t>
  </si>
  <si>
    <t>C.M.A.C. Maynas</t>
  </si>
  <si>
    <t>C.M.A.C. Trujillo</t>
  </si>
  <si>
    <t>C.M.A.C. Huancayo</t>
  </si>
  <si>
    <t>C.M.C.P. Lima</t>
  </si>
  <si>
    <t>CMAC Arequipa</t>
  </si>
  <si>
    <t>B2.2 CAJAS RURALES</t>
  </si>
  <si>
    <t>C.R.A.C. Nuestra Gente</t>
  </si>
  <si>
    <t>C.R.A.C. CREDINKA</t>
  </si>
  <si>
    <t>C.R.A.C. San Martín **</t>
  </si>
  <si>
    <t>C.R.A.C. Sipán</t>
  </si>
  <si>
    <t>C.R.A.C. Los Andes</t>
  </si>
  <si>
    <r>
      <rPr>
        <b/>
        <sz val="10"/>
        <rFont val="Arial"/>
        <family val="2"/>
        <scheme val="minor"/>
      </rPr>
      <t xml:space="preserve">  </t>
    </r>
    <r>
      <rPr>
        <b/>
        <u/>
        <sz val="10"/>
        <rFont val="Arial"/>
        <family val="2"/>
        <scheme val="minor"/>
      </rPr>
      <t>B.1 EMPRESAS FINANCIERAS</t>
    </r>
  </si>
  <si>
    <r>
      <rPr>
        <b/>
        <sz val="10"/>
        <rFont val="Arial"/>
        <family val="2"/>
        <scheme val="minor"/>
      </rPr>
      <t xml:space="preserve">  </t>
    </r>
    <r>
      <rPr>
        <b/>
        <u/>
        <sz val="10"/>
        <rFont val="Arial"/>
        <family val="2"/>
        <scheme val="minor"/>
      </rPr>
      <t>B.2 RESTO</t>
    </r>
  </si>
  <si>
    <t>Continental</t>
  </si>
  <si>
    <t>Azteca del Perú</t>
  </si>
  <si>
    <t>Financiero</t>
  </si>
  <si>
    <t>Financiera CrediScotia</t>
  </si>
  <si>
    <t>Financiera Edyficar</t>
  </si>
  <si>
    <t>Financiera Efectiva</t>
  </si>
  <si>
    <t>Financiera TFC</t>
  </si>
  <si>
    <t>C.M.A.C Huancayo</t>
  </si>
  <si>
    <t>EDPYME Efectiva</t>
  </si>
  <si>
    <t>EDPYME Raíz</t>
  </si>
  <si>
    <t>EDPYME Acceso Crediticio</t>
  </si>
  <si>
    <t>EDPYME Marcimex</t>
  </si>
  <si>
    <t>TOTAL AGRÍCOLA</t>
  </si>
  <si>
    <t>Otros agrícolas</t>
  </si>
  <si>
    <t>TOTAL PECUARIO</t>
  </si>
  <si>
    <t>Carne de ave</t>
  </si>
  <si>
    <t>Carne de porcino</t>
  </si>
  <si>
    <t>Carne de vacuno</t>
  </si>
  <si>
    <t>Carne de ovino</t>
  </si>
  <si>
    <t>Leche</t>
  </si>
  <si>
    <t>Huevos</t>
  </si>
  <si>
    <t>NO BORRAR</t>
  </si>
  <si>
    <t>A. INGRESO OTROS DPTOS.</t>
  </si>
  <si>
    <t>Seco-salado</t>
  </si>
  <si>
    <t>B. PRODUCCIÓN INTERNA</t>
  </si>
  <si>
    <t>Extracción río Huallaga</t>
  </si>
  <si>
    <t>TOTAL DESEMBARQUE (A+B)</t>
  </si>
  <si>
    <t>Machihembrado</t>
  </si>
  <si>
    <t>B. EMPRESAS FINANCIERAS</t>
  </si>
  <si>
    <t>C. CAJAS MUNICIPALES</t>
  </si>
  <si>
    <t>D. CAJAS RURALES</t>
  </si>
  <si>
    <t>E. BANCO DE LA NACIÓN</t>
  </si>
  <si>
    <t>E. EMPRESAS DE CRÉDITOS</t>
  </si>
  <si>
    <t>F. BANCO DE LA NACIÓN 2/</t>
  </si>
  <si>
    <t>G. AGROBANCO 3/</t>
  </si>
  <si>
    <t>Moneda Nacional</t>
  </si>
  <si>
    <t>Moneda Extranjera</t>
  </si>
  <si>
    <t>Aug</t>
  </si>
  <si>
    <t>(%)</t>
  </si>
  <si>
    <t>Mes (-)</t>
  </si>
  <si>
    <t>Acum (-)</t>
  </si>
  <si>
    <t>T / T-1</t>
  </si>
  <si>
    <t>T - T-1</t>
  </si>
  <si>
    <t>Puros, cigarros y pack</t>
  </si>
  <si>
    <t>N</t>
  </si>
  <si>
    <t>PARA COMPROBAR</t>
  </si>
  <si>
    <t>NO BORRRAR</t>
  </si>
  <si>
    <t>Camu Camu</t>
  </si>
  <si>
    <t>Caña de Azúcar</t>
  </si>
  <si>
    <t>Frijol Caupí Chiclayo</t>
  </si>
  <si>
    <t>Frijol Grano Seco</t>
  </si>
  <si>
    <t>Limón Dulce</t>
  </si>
  <si>
    <t>Pijuayo Fruto</t>
  </si>
  <si>
    <t>Sacha Papa</t>
  </si>
  <si>
    <t>Uva (Vid)</t>
  </si>
  <si>
    <t>ZZ Tabaco</t>
  </si>
  <si>
    <t>TOTAL COSECHAS</t>
  </si>
  <si>
    <t>Braquearia</t>
  </si>
  <si>
    <t>Col o Repollo</t>
  </si>
  <si>
    <t>Guayaba</t>
  </si>
  <si>
    <t>Kudzu</t>
  </si>
  <si>
    <t>Pomarosa</t>
  </si>
  <si>
    <t>Rabanito</t>
  </si>
  <si>
    <t>Girasol</t>
  </si>
  <si>
    <t>Limón Tahití</t>
  </si>
  <si>
    <t>Piñón</t>
  </si>
  <si>
    <t>Zanahoria</t>
  </si>
  <si>
    <t>Carne</t>
  </si>
  <si>
    <t>TOTAL PECUARIO 2/</t>
  </si>
  <si>
    <t>SAN MARTÍN: PRODUCCIÓN AGROPECUARIA 1/</t>
  </si>
  <si>
    <t>TOTAL AGRÍCOLA 2/</t>
  </si>
  <si>
    <t>TOTAL OTROS AGRÍCOLAS 2/</t>
  </si>
  <si>
    <t>(Metros Cúbicos)</t>
  </si>
  <si>
    <t>Papelillo</t>
  </si>
  <si>
    <t xml:space="preserve">Total </t>
  </si>
  <si>
    <t xml:space="preserve">Jun. </t>
  </si>
  <si>
    <t>PRODUCTOS TRADICIONALES</t>
  </si>
  <si>
    <t>Agrícolas (café)</t>
  </si>
  <si>
    <t>PRODUCTOS NO TRADICIONALES</t>
  </si>
  <si>
    <t>Maderas y sus manufacturas</t>
  </si>
  <si>
    <t>Cacao (derivados)</t>
  </si>
  <si>
    <t>Manteca vegetal de palma</t>
  </si>
  <si>
    <t>Manteca vegetal de palmiste</t>
  </si>
  <si>
    <t>2/ Ajíes, arroz blanco, bananas Cavendish, coco rallado, conservas en vinagre, estevia, frijol, naranjas, orquídeas, semillas.</t>
  </si>
  <si>
    <t>3/ Resto: Acido graso de palma, adornos, conservas de alcachofas, especias, harina de camu camu, harina de maca, línea embotelladora, mantequilla, plantas ornamentales, snack de sacha inchi, vainilla.</t>
  </si>
  <si>
    <r>
      <t>Pesqueros</t>
    </r>
    <r>
      <rPr>
        <sz val="10"/>
        <color theme="0"/>
        <rFont val="Arial"/>
        <family val="2"/>
        <scheme val="minor"/>
      </rPr>
      <t xml:space="preserve"> (2)</t>
    </r>
  </si>
  <si>
    <t>TOTAL DESEMBARQUE</t>
  </si>
  <si>
    <r>
      <t>INGRESO OTROS DPTOS.</t>
    </r>
    <r>
      <rPr>
        <b/>
        <vertAlign val="superscript"/>
        <sz val="10"/>
        <rFont val="Arial"/>
        <family val="2"/>
        <scheme val="minor"/>
      </rPr>
      <t>1/</t>
    </r>
  </si>
  <si>
    <r>
      <t>Extracción de ríos</t>
    </r>
    <r>
      <rPr>
        <vertAlign val="superscript"/>
        <sz val="10"/>
        <rFont val="Arial"/>
        <family val="2"/>
        <scheme val="minor"/>
      </rPr>
      <t>2/</t>
    </r>
  </si>
  <si>
    <r>
      <t>SAN MARTÍN: PRODUCCIÓN DE MADERA ROLLIZA</t>
    </r>
    <r>
      <rPr>
        <b/>
        <vertAlign val="superscript"/>
        <sz val="10"/>
        <color rgb="FF0000FF"/>
        <rFont val="Arial"/>
        <family val="2"/>
        <scheme val="minor"/>
      </rPr>
      <t>1/</t>
    </r>
  </si>
  <si>
    <r>
      <t>SAN MARTÍN: ÍNDICE DE VOLUMEN FÍSICO DE LA PRODUCCIÓN INDUSTRIAL BASE 2007</t>
    </r>
    <r>
      <rPr>
        <b/>
        <vertAlign val="superscript"/>
        <sz val="11"/>
        <color rgb="FF0000FF"/>
        <rFont val="Arial"/>
        <family val="2"/>
        <scheme val="minor"/>
      </rPr>
      <t xml:space="preserve">1/ </t>
    </r>
  </si>
  <si>
    <t>(Var. %)</t>
  </si>
  <si>
    <r>
      <t>SAN MARTÍN: ÍNDICE DE VOLUMEN FÍSICO DE LA PRODUCCIÓN INDUSTRIAL</t>
    </r>
    <r>
      <rPr>
        <b/>
        <vertAlign val="superscript"/>
        <sz val="11"/>
        <color rgb="FF0000FF"/>
        <rFont val="Arial"/>
        <family val="2"/>
        <scheme val="minor"/>
      </rPr>
      <t xml:space="preserve">1/ </t>
    </r>
  </si>
  <si>
    <t>(Año base 2007)</t>
  </si>
  <si>
    <t xml:space="preserve"> </t>
  </si>
  <si>
    <t>1/ Preliminar</t>
  </si>
  <si>
    <t>2/ Valor Bruto de la Producción a precios de 2007. (Miles de Nuevo Soles)</t>
  </si>
  <si>
    <t>(Toneladas métricas)</t>
  </si>
  <si>
    <t>(Número)</t>
  </si>
  <si>
    <t>(Base Año 1994=100 empalmado con año 2001 y año 2009)</t>
  </si>
  <si>
    <t>(Base Año 2009=100)</t>
  </si>
  <si>
    <t>(Miles de Soles)</t>
  </si>
  <si>
    <t>Pensiones y prestaciones sociales</t>
  </si>
  <si>
    <t>Adquisición de activos no financieros</t>
  </si>
  <si>
    <t>Intereses+comisiones</t>
  </si>
  <si>
    <r>
      <t>Donaciones y transferencias</t>
    </r>
    <r>
      <rPr>
        <sz val="10"/>
        <color theme="0"/>
        <rFont val="Arial"/>
        <family val="2"/>
        <scheme val="minor"/>
      </rPr>
      <t xml:space="preserve"> (2)</t>
    </r>
  </si>
  <si>
    <t>SAN MARTÍN: GASTOS NO FINANCIEROS DEL GOBIERNO REGIONAL1/</t>
  </si>
  <si>
    <t>Agropecuaria</t>
  </si>
  <si>
    <t>Defensa y Seguridad Nacional</t>
  </si>
  <si>
    <t>Cultura y Deporte</t>
  </si>
  <si>
    <t>Educación</t>
  </si>
  <si>
    <t>Energía</t>
  </si>
  <si>
    <t>Industria</t>
  </si>
  <si>
    <t>Justicia</t>
  </si>
  <si>
    <t>Ambiente</t>
  </si>
  <si>
    <t>Minería</t>
  </si>
  <si>
    <t>Comercio</t>
  </si>
  <si>
    <t>Orden Público y Seguridad</t>
  </si>
  <si>
    <t>Pesca</t>
  </si>
  <si>
    <t>Planeamiento, Gestión y Reserva</t>
  </si>
  <si>
    <t>Protección Social</t>
  </si>
  <si>
    <t>Salud</t>
  </si>
  <si>
    <t>Saneamiento</t>
  </si>
  <si>
    <t>Trabajo</t>
  </si>
  <si>
    <t>Transporte</t>
  </si>
  <si>
    <t>Comunicaciones</t>
  </si>
  <si>
    <t>Turismo</t>
  </si>
  <si>
    <t>Vivienda y Desarrollo Urbano</t>
  </si>
  <si>
    <t>Relaciones Exteriores</t>
  </si>
  <si>
    <t>Medio Ambiente</t>
  </si>
  <si>
    <t>Otros</t>
  </si>
  <si>
    <t>Agropecuarios</t>
  </si>
  <si>
    <r>
      <t>Resto</t>
    </r>
    <r>
      <rPr>
        <b/>
        <vertAlign val="superscript"/>
        <sz val="10"/>
        <rFont val="Arial"/>
        <family val="2"/>
      </rPr>
      <t>2/</t>
    </r>
  </si>
  <si>
    <r>
      <t>OTRAS EXPORTACIONES</t>
    </r>
    <r>
      <rPr>
        <b/>
        <u/>
        <vertAlign val="superscript"/>
        <sz val="10"/>
        <rFont val="Arial"/>
        <family val="2"/>
      </rPr>
      <t>3/</t>
    </r>
  </si>
  <si>
    <t>SAN MARTÍN: EXPORTACIONES FOB POR GRUPO DE PRODUCTOS1/</t>
  </si>
  <si>
    <t>ene.</t>
  </si>
  <si>
    <t>feb.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</si>
  <si>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</si>
  <si>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</si>
  <si>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</si>
  <si>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</si>
  <si>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</si>
  <si>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</si>
  <si>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</si>
  <si>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</si>
  <si>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</si>
  <si>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</si>
  <si>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>Ene-ago.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</si>
</sst>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41" formatCode="_-* #,##0_-;\-* #,##0_-;_-* &quot;-&quot;_-;_-@_-"/>
    <numFmt numFmtId="164" formatCode="_ * #,##0.00_ ;_ * \-#,##0.00_ ;_ * &quot;-&quot;??_ ;_ @_ "/>
    <numFmt numFmtId="165" formatCode="#,##0.0_);\(#,##0.0\)"/>
    <numFmt numFmtId="166" formatCode="0.0"/>
    <numFmt numFmtId="167" formatCode="#,##0;[Red]#,##0"/>
    <numFmt numFmtId="168" formatCode="#,##0.0"/>
    <numFmt numFmtId="169" formatCode="#,##0.000"/>
    <numFmt numFmtId="170" formatCode="#\ ###\ ##0"/>
    <numFmt numFmtId="171" formatCode="0.0_ ;\-0.0\ "/>
    <numFmt numFmtId="172" formatCode="0.0000"/>
    <numFmt numFmtId="173" formatCode="0.0%"/>
    <numFmt numFmtId="174" formatCode="#\ ##0"/>
    <numFmt numFmtId="175" formatCode="0.00000"/>
    <numFmt numFmtId="176" formatCode="#\ ###\ ###"/>
    <numFmt numFmtId="177" formatCode="##\ ###\ ##0"/>
    <numFmt numFmtId="178" formatCode="0.000000"/>
    <numFmt numFmtId="179" formatCode="_ * #,##0_ ;_ * \-#,##0_ ;_ * &quot;-&quot;??_ ;_ @_ "/>
    <numFmt numFmtId="180" formatCode="#,##0.0;\-#,##0.0"/>
    <numFmt numFmtId="181" formatCode="###0"/>
    <numFmt numFmtId="182" formatCode="0_ ;\-0\ "/>
    <numFmt numFmtId="183" formatCode="#"/>
    <numFmt numFmtId="184" formatCode="0.000"/>
    <numFmt numFmtId="185" formatCode="#\ ##0.0"/>
    <numFmt numFmtId="186" formatCode="###,###"/>
    <numFmt numFmtId="187" formatCode="#,##0.000000"/>
    <numFmt numFmtId="188" formatCode="#.0\ ###\ ##0"/>
    <numFmt numFmtId="189" formatCode="mmm\."/>
    <numFmt numFmtId="190" formatCode="0.00_);\(0.00\)"/>
    <numFmt numFmtId="191" formatCode="#,##0_ ;\-#,##0\ "/>
    <numFmt numFmtId="192" formatCode="#,##0.0_ ;[Red]\-#,##0.0\ "/>
    <numFmt numFmtId="193" formatCode="#,##0_ ;[Red]\-#,##0\ "/>
    <numFmt numFmtId="194" formatCode="#,##0.00_ ;\-#,##0.00\ "/>
    <numFmt numFmtId="195" formatCode="#,##0.0_ ;\-#,##0.0\ "/>
    <numFmt numFmtId="196" formatCode="#,##0.00000_ ;\-#,##0.00000\ "/>
    <numFmt numFmtId="197" formatCode="#.##"/>
  </numFmts>
  <fonts count="54" x14ac:knownFonts="1">
    <font>
      <sz val="10"/>
      <name val="Arial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8"/>
      <name val="Courier"/>
    </font>
    <font>
      <sz val="10"/>
      <name val="Arial"/>
      <family val="2"/>
      <scheme val="minor"/>
    </font>
    <font>
      <b/>
      <u/>
      <sz val="10"/>
      <name val="Arial"/>
      <family val="2"/>
      <scheme val="minor"/>
    </font>
    <font>
      <b/>
      <sz val="10"/>
      <name val="Arial"/>
      <family val="2"/>
      <scheme val="minor"/>
    </font>
    <font>
      <b/>
      <sz val="10"/>
      <name val="Arial"/>
      <family val="2"/>
    </font>
    <font>
      <b/>
      <sz val="10"/>
      <name val="Courier"/>
    </font>
    <font>
      <b/>
      <u/>
      <sz val="10"/>
      <name val="Courier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name val="Courier"/>
    </font>
    <font>
      <u/>
      <sz val="10"/>
      <name val="Arial"/>
      <family val="2"/>
      <scheme val="minor"/>
    </font>
    <font>
      <b/>
      <sz val="9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indexed="8"/>
      <name val="Arial"/>
      <family val="2"/>
      <scheme val="minor"/>
    </font>
    <font>
      <b/>
      <sz val="10"/>
      <color indexed="8"/>
      <name val="Arial"/>
      <family val="2"/>
      <scheme val="minor"/>
    </font>
    <font>
      <i/>
      <sz val="10"/>
      <color rgb="FFFF0000"/>
      <name val="Arial"/>
      <family val="2"/>
      <scheme val="minor"/>
    </font>
    <font>
      <i/>
      <sz val="10"/>
      <name val="Arial"/>
      <family val="2"/>
      <scheme val="minor"/>
    </font>
    <font>
      <b/>
      <i/>
      <u/>
      <sz val="10"/>
      <color rgb="FFFF0000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indexed="57"/>
      <name val="Arial"/>
      <family val="2"/>
      <scheme val="minor"/>
    </font>
    <font>
      <sz val="10"/>
      <color indexed="12"/>
      <name val="Arial"/>
      <family val="2"/>
      <scheme val="minor"/>
    </font>
    <font>
      <b/>
      <u val="double"/>
      <sz val="10"/>
      <name val="Arial"/>
      <family val="2"/>
      <scheme val="minor"/>
    </font>
    <font>
      <b/>
      <u/>
      <sz val="10"/>
      <color rgb="FFC00000"/>
      <name val="Arial"/>
      <family val="2"/>
      <scheme val="minor"/>
    </font>
    <font>
      <b/>
      <sz val="10"/>
      <color rgb="FFC00000"/>
      <name val="Arial"/>
      <family val="2"/>
      <scheme val="minor"/>
    </font>
    <font>
      <sz val="10"/>
      <name val="Courier"/>
      <family val="3"/>
    </font>
    <font>
      <b/>
      <u val="double"/>
      <sz val="10"/>
      <color rgb="FF0000FF"/>
      <name val="Arial"/>
      <family val="2"/>
      <scheme val="minor"/>
    </font>
    <font>
      <u val="double"/>
      <sz val="10"/>
      <color rgb="FF0000FF"/>
      <name val="Courier"/>
    </font>
    <font>
      <sz val="10"/>
      <color rgb="FF0000FF"/>
      <name val="Arial"/>
      <family val="2"/>
      <scheme val="minor"/>
    </font>
    <font>
      <b/>
      <sz val="10"/>
      <color rgb="FF0000FF"/>
      <name val="Arial"/>
      <family val="2"/>
      <scheme val="minor"/>
    </font>
    <font>
      <b/>
      <u/>
      <sz val="10"/>
      <color rgb="FF0000FF"/>
      <name val="Arial"/>
      <family val="2"/>
      <scheme val="minor"/>
    </font>
    <font>
      <b/>
      <sz val="11"/>
      <color rgb="FF0000FF"/>
      <name val="Arial"/>
      <family val="2"/>
      <scheme val="minor"/>
    </font>
    <font>
      <u val="double"/>
      <sz val="10"/>
      <name val="Courier"/>
    </font>
    <font>
      <u/>
      <sz val="10"/>
      <color rgb="FF0000FF"/>
      <name val="Arial"/>
      <family val="2"/>
      <scheme val="minor"/>
    </font>
    <font>
      <sz val="10"/>
      <color rgb="FF000000"/>
      <name val="Arial"/>
      <family val="2"/>
    </font>
    <font>
      <b/>
      <u/>
      <sz val="10"/>
      <name val="Arial"/>
      <family val="2"/>
    </font>
    <font>
      <b/>
      <sz val="10"/>
      <color rgb="FF0000FF"/>
      <name val="Arial"/>
      <family val="2"/>
    </font>
    <font>
      <u val="double"/>
      <sz val="10"/>
      <color rgb="FF0000FF"/>
      <name val="Arial"/>
      <family val="2"/>
      <scheme val="minor"/>
    </font>
    <font>
      <b/>
      <u val="double"/>
      <sz val="10"/>
      <color rgb="FF0000FF"/>
      <name val="Arial"/>
      <family val="2"/>
    </font>
    <font>
      <sz val="10"/>
      <color theme="0"/>
      <name val="Arial"/>
      <family val="2"/>
      <scheme val="minor"/>
    </font>
    <font>
      <b/>
      <u/>
      <sz val="10"/>
      <color rgb="FF0000FF"/>
      <name val="Courier"/>
    </font>
    <font>
      <b/>
      <vertAlign val="superscript"/>
      <sz val="10"/>
      <name val="Arial"/>
      <family val="2"/>
      <scheme val="minor"/>
    </font>
    <font>
      <vertAlign val="superscript"/>
      <sz val="10"/>
      <name val="Arial"/>
      <family val="2"/>
      <scheme val="minor"/>
    </font>
    <font>
      <b/>
      <vertAlign val="superscript"/>
      <sz val="10"/>
      <color rgb="FF0000FF"/>
      <name val="Arial"/>
      <family val="2"/>
      <scheme val="minor"/>
    </font>
    <font>
      <b/>
      <vertAlign val="superscript"/>
      <sz val="11"/>
      <color rgb="FF0000FF"/>
      <name val="Arial"/>
      <family val="2"/>
      <scheme val="minor"/>
    </font>
    <font>
      <sz val="11"/>
      <color rgb="FF0000FF"/>
      <name val="Arial"/>
      <family val="2"/>
      <scheme val="minor"/>
    </font>
    <font>
      <sz val="10"/>
      <color theme="1" tint="0.499984740745262"/>
      <name val="Arial"/>
      <family val="2"/>
      <scheme val="minor"/>
    </font>
    <font>
      <b/>
      <sz val="10"/>
      <color theme="1" tint="0.499984740745262"/>
      <name val="Arial"/>
      <family val="2"/>
      <scheme val="minor"/>
    </font>
    <font>
      <b/>
      <vertAlign val="superscript"/>
      <sz val="10"/>
      <name val="Arial"/>
      <family val="2"/>
    </font>
    <font>
      <b/>
      <u/>
      <vertAlign val="superscript"/>
      <sz val="10"/>
      <name val="Arial"/>
      <family val="2"/>
    </font>
    <font>
      <b/>
      <u/>
      <sz val="10"/>
      <color rgb="FF0000FF"/>
      <name val="Arial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191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2" fillId="0" borderId="0"/>
    <xf numFmtId="39" fontId="28" fillId="0" borderId="0"/>
    <xf numFmtId="0" fontId="34" fillId="0" borderId="0" applyNumberFormat="0" applyFill="0" applyBorder="0" applyAlignment="0" applyProtection="0"/>
    <xf numFmtId="0" fontId="1" fillId="0" borderId="0"/>
    <xf numFmtId="0" fontId="1" fillId="0" borderId="0"/>
  </cellStyleXfs>
  <cellXfs count="1697">
    <xf numFmtId="191" fontId="0" fillId="0" borderId="0" xfId="0"/>
    <xf numFmtId="3" fontId="4" fillId="2" borderId="0" xfId="0" applyNumberFormat="1" applyFont="1" applyFill="1"/>
    <xf numFmtId="3" fontId="4" fillId="2" borderId="6" xfId="0" applyNumberFormat="1" applyFont="1" applyFill="1" applyBorder="1"/>
    <xf numFmtId="168" fontId="4" fillId="2" borderId="0" xfId="0" applyNumberFormat="1" applyFont="1" applyFill="1"/>
    <xf numFmtId="3" fontId="4" fillId="2" borderId="6" xfId="0" applyNumberFormat="1" applyFont="1" applyFill="1" applyBorder="1" applyAlignment="1">
      <alignment horizontal="right"/>
    </xf>
    <xf numFmtId="3" fontId="4" fillId="2" borderId="0" xfId="0" applyNumberFormat="1" applyFont="1" applyFill="1" applyAlignment="1">
      <alignment horizontal="right"/>
    </xf>
    <xf numFmtId="3" fontId="4" fillId="2" borderId="5" xfId="0" applyNumberFormat="1" applyFont="1" applyFill="1" applyBorder="1"/>
    <xf numFmtId="3" fontId="4" fillId="2" borderId="1" xfId="0" applyNumberFormat="1" applyFont="1" applyFill="1" applyBorder="1" applyAlignment="1">
      <alignment horizontal="right"/>
    </xf>
    <xf numFmtId="3" fontId="4" fillId="2" borderId="1" xfId="0" applyNumberFormat="1" applyFont="1" applyFill="1" applyBorder="1"/>
    <xf numFmtId="3" fontId="5" fillId="2" borderId="1" xfId="0" applyNumberFormat="1" applyFont="1" applyFill="1" applyBorder="1"/>
    <xf numFmtId="170" fontId="5" fillId="2" borderId="0" xfId="0" applyNumberFormat="1" applyFont="1" applyFill="1" applyAlignment="1">
      <alignment horizontal="right"/>
    </xf>
    <xf numFmtId="170" fontId="5" fillId="2" borderId="2" xfId="0" applyNumberFormat="1" applyFont="1" applyFill="1" applyBorder="1" applyAlignment="1">
      <alignment horizontal="right"/>
    </xf>
    <xf numFmtId="170" fontId="5" fillId="2" borderId="3" xfId="0" applyNumberFormat="1" applyFont="1" applyFill="1" applyBorder="1" applyAlignment="1">
      <alignment horizontal="right"/>
    </xf>
    <xf numFmtId="170" fontId="5" fillId="2" borderId="1" xfId="0" applyNumberFormat="1" applyFont="1" applyFill="1" applyBorder="1" applyAlignment="1">
      <alignment horizontal="right"/>
    </xf>
    <xf numFmtId="166" fontId="5" fillId="2" borderId="1" xfId="0" applyNumberFormat="1" applyFont="1" applyFill="1" applyBorder="1" applyAlignment="1">
      <alignment horizontal="right"/>
    </xf>
    <xf numFmtId="170" fontId="5" fillId="2" borderId="3" xfId="0" applyNumberFormat="1" applyFont="1" applyFill="1" applyBorder="1"/>
    <xf numFmtId="170" fontId="4" fillId="2" borderId="0" xfId="0" applyNumberFormat="1" applyFont="1" applyFill="1" applyAlignment="1">
      <alignment horizontal="right"/>
    </xf>
    <xf numFmtId="174" fontId="5" fillId="2" borderId="2" xfId="0" applyNumberFormat="1" applyFont="1" applyFill="1" applyBorder="1"/>
    <xf numFmtId="174" fontId="5" fillId="2" borderId="0" xfId="0" applyNumberFormat="1" applyFont="1" applyFill="1"/>
    <xf numFmtId="170" fontId="4" fillId="2" borderId="2" xfId="0" applyNumberFormat="1" applyFont="1" applyFill="1" applyBorder="1" applyAlignment="1">
      <alignment horizontal="right"/>
    </xf>
    <xf numFmtId="170" fontId="4" fillId="2" borderId="1" xfId="0" applyNumberFormat="1" applyFont="1" applyFill="1" applyBorder="1" applyAlignment="1">
      <alignment horizontal="right"/>
    </xf>
    <xf numFmtId="170" fontId="4" fillId="2" borderId="3" xfId="0" applyNumberFormat="1" applyFont="1" applyFill="1" applyBorder="1" applyAlignment="1">
      <alignment horizontal="right"/>
    </xf>
    <xf numFmtId="166" fontId="4" fillId="2" borderId="1" xfId="0" applyNumberFormat="1" applyFont="1" applyFill="1" applyBorder="1" applyAlignment="1">
      <alignment horizontal="right"/>
    </xf>
    <xf numFmtId="170" fontId="4" fillId="2" borderId="3" xfId="0" applyNumberFormat="1" applyFont="1" applyFill="1" applyBorder="1"/>
    <xf numFmtId="170" fontId="4" fillId="2" borderId="0" xfId="0" applyNumberFormat="1" applyFont="1" applyFill="1"/>
    <xf numFmtId="170" fontId="6" fillId="2" borderId="2" xfId="0" applyNumberFormat="1" applyFont="1" applyFill="1" applyBorder="1" applyAlignment="1">
      <alignment horizontal="right"/>
    </xf>
    <xf numFmtId="170" fontId="6" fillId="2" borderId="1" xfId="0" applyNumberFormat="1" applyFont="1" applyFill="1" applyBorder="1" applyAlignment="1">
      <alignment horizontal="right"/>
    </xf>
    <xf numFmtId="166" fontId="6" fillId="2" borderId="1" xfId="0" applyNumberFormat="1" applyFont="1" applyFill="1" applyBorder="1" applyAlignment="1">
      <alignment horizontal="right"/>
    </xf>
    <xf numFmtId="170" fontId="6" fillId="2" borderId="3" xfId="0" applyNumberFormat="1" applyFont="1" applyFill="1" applyBorder="1"/>
    <xf numFmtId="170" fontId="5" fillId="2" borderId="0" xfId="0" applyNumberFormat="1" applyFont="1" applyFill="1"/>
    <xf numFmtId="3" fontId="6" fillId="2" borderId="1" xfId="0" applyNumberFormat="1" applyFont="1" applyFill="1" applyBorder="1"/>
    <xf numFmtId="3" fontId="6" fillId="2" borderId="0" xfId="0" applyNumberFormat="1" applyFont="1" applyFill="1" applyAlignment="1">
      <alignment horizontal="right"/>
    </xf>
    <xf numFmtId="170" fontId="5" fillId="2" borderId="4" xfId="0" applyNumberFormat="1" applyFont="1" applyFill="1" applyBorder="1" applyAlignment="1">
      <alignment horizontal="right"/>
    </xf>
    <xf numFmtId="170" fontId="5" fillId="2" borderId="8" xfId="0" applyNumberFormat="1" applyFont="1" applyFill="1" applyBorder="1"/>
    <xf numFmtId="3" fontId="4" fillId="2" borderId="11" xfId="0" applyNumberFormat="1" applyFont="1" applyFill="1" applyBorder="1"/>
    <xf numFmtId="3" fontId="6" fillId="2" borderId="0" xfId="0" applyNumberFormat="1" applyFont="1" applyFill="1"/>
    <xf numFmtId="191" fontId="4" fillId="2" borderId="11" xfId="0" applyFont="1" applyFill="1" applyBorder="1"/>
    <xf numFmtId="3" fontId="4" fillId="2" borderId="4" xfId="0" applyNumberFormat="1" applyFont="1" applyFill="1" applyBorder="1"/>
    <xf numFmtId="3" fontId="5" fillId="2" borderId="0" xfId="0" applyNumberFormat="1" applyFont="1" applyFill="1"/>
    <xf numFmtId="1" fontId="4" fillId="2" borderId="10" xfId="0" applyNumberFormat="1" applyFont="1" applyFill="1" applyBorder="1" applyAlignment="1">
      <alignment horizontal="centerContinuous" vertical="center"/>
    </xf>
    <xf numFmtId="1" fontId="4" fillId="2" borderId="11" xfId="0" applyNumberFormat="1" applyFont="1" applyFill="1" applyBorder="1" applyAlignment="1">
      <alignment horizontal="centerContinuous" vertical="center"/>
    </xf>
    <xf numFmtId="1" fontId="4" fillId="2" borderId="9" xfId="0" applyNumberFormat="1" applyFont="1" applyFill="1" applyBorder="1" applyAlignment="1">
      <alignment horizontal="center" vertical="center"/>
    </xf>
    <xf numFmtId="189" fontId="4" fillId="0" borderId="7" xfId="0" applyNumberFormat="1" applyFont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170" fontId="6" fillId="2" borderId="0" xfId="0" applyNumberFormat="1" applyFont="1" applyFill="1" applyAlignment="1">
      <alignment horizontal="right"/>
    </xf>
    <xf numFmtId="189" fontId="4" fillId="0" borderId="2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166" fontId="4" fillId="2" borderId="0" xfId="0" applyNumberFormat="1" applyFont="1" applyFill="1"/>
    <xf numFmtId="3" fontId="4" fillId="2" borderId="4" xfId="0" applyNumberFormat="1" applyFont="1" applyFill="1" applyBorder="1" applyAlignment="1">
      <alignment horizontal="right"/>
    </xf>
    <xf numFmtId="3" fontId="4" fillId="2" borderId="2" xfId="0" applyNumberFormat="1" applyFont="1" applyFill="1" applyBorder="1"/>
    <xf numFmtId="170" fontId="5" fillId="2" borderId="1" xfId="0" applyNumberFormat="1" applyFont="1" applyFill="1" applyBorder="1"/>
    <xf numFmtId="170" fontId="5" fillId="2" borderId="2" xfId="0" applyNumberFormat="1" applyFont="1" applyFill="1" applyBorder="1"/>
    <xf numFmtId="170" fontId="4" fillId="2" borderId="2" xfId="0" applyNumberFormat="1" applyFont="1" applyFill="1" applyBorder="1"/>
    <xf numFmtId="170" fontId="4" fillId="2" borderId="1" xfId="0" applyNumberFormat="1" applyFont="1" applyFill="1" applyBorder="1"/>
    <xf numFmtId="166" fontId="4" fillId="2" borderId="1" xfId="0" applyNumberFormat="1" applyFont="1" applyFill="1" applyBorder="1"/>
    <xf numFmtId="170" fontId="4" fillId="2" borderId="7" xfId="0" applyNumberFormat="1" applyFont="1" applyFill="1" applyBorder="1"/>
    <xf numFmtId="170" fontId="4" fillId="2" borderId="6" xfId="0" applyNumberFormat="1" applyFont="1" applyFill="1" applyBorder="1"/>
    <xf numFmtId="170" fontId="4" fillId="2" borderId="8" xfId="0" applyNumberFormat="1" applyFont="1" applyFill="1" applyBorder="1"/>
    <xf numFmtId="170" fontId="4" fillId="2" borderId="4" xfId="0" applyNumberFormat="1" applyFont="1" applyFill="1" applyBorder="1"/>
    <xf numFmtId="166" fontId="4" fillId="2" borderId="4" xfId="0" applyNumberFormat="1" applyFont="1" applyFill="1" applyBorder="1"/>
    <xf numFmtId="174" fontId="4" fillId="2" borderId="0" xfId="0" applyNumberFormat="1" applyFont="1" applyFill="1"/>
    <xf numFmtId="3" fontId="6" fillId="2" borderId="2" xfId="0" applyNumberFormat="1" applyFont="1" applyFill="1" applyBorder="1"/>
    <xf numFmtId="3" fontId="4" fillId="0" borderId="0" xfId="0" applyNumberFormat="1" applyFont="1"/>
    <xf numFmtId="3" fontId="4" fillId="0" borderId="6" xfId="0" applyNumberFormat="1" applyFont="1" applyBorder="1"/>
    <xf numFmtId="166" fontId="4" fillId="2" borderId="1" xfId="1" applyNumberFormat="1" applyFont="1" applyFill="1" applyBorder="1" applyAlignment="1">
      <alignment horizontal="right"/>
    </xf>
    <xf numFmtId="166" fontId="4" fillId="2" borderId="4" xfId="1" applyNumberFormat="1" applyFont="1" applyFill="1" applyBorder="1" applyAlignment="1">
      <alignment horizontal="right"/>
    </xf>
    <xf numFmtId="3" fontId="6" fillId="0" borderId="0" xfId="0" applyNumberFormat="1" applyFont="1"/>
    <xf numFmtId="3" fontId="4" fillId="2" borderId="7" xfId="0" applyNumberFormat="1" applyFont="1" applyFill="1" applyBorder="1"/>
    <xf numFmtId="189" fontId="4" fillId="0" borderId="7" xfId="0" applyNumberFormat="1" applyFont="1" applyBorder="1" applyAlignment="1">
      <alignment horizontal="centerContinuous" vertical="center"/>
    </xf>
    <xf numFmtId="189" fontId="4" fillId="0" borderId="6" xfId="0" applyNumberFormat="1" applyFont="1" applyBorder="1" applyAlignment="1">
      <alignment horizontal="centerContinuous" vertical="center"/>
    </xf>
    <xf numFmtId="1" fontId="4" fillId="0" borderId="4" xfId="0" applyNumberFormat="1" applyFont="1" applyBorder="1" applyAlignment="1">
      <alignment horizontal="centerContinuous" vertical="center"/>
    </xf>
    <xf numFmtId="191" fontId="8" fillId="0" borderId="0" xfId="0" applyFont="1"/>
    <xf numFmtId="191" fontId="9" fillId="0" borderId="0" xfId="0" applyFont="1"/>
    <xf numFmtId="1" fontId="4" fillId="0" borderId="9" xfId="0" applyNumberFormat="1" applyFont="1" applyBorder="1" applyAlignment="1">
      <alignment horizontal="center" vertical="center"/>
    </xf>
    <xf numFmtId="3" fontId="4" fillId="0" borderId="4" xfId="0" applyNumberFormat="1" applyFont="1" applyBorder="1"/>
    <xf numFmtId="3" fontId="4" fillId="0" borderId="4" xfId="0" applyNumberFormat="1" applyFont="1" applyBorder="1" applyAlignment="1">
      <alignment horizontal="center" vertical="center"/>
    </xf>
    <xf numFmtId="3" fontId="5" fillId="0" borderId="1" xfId="0" applyNumberFormat="1" applyFont="1" applyBorder="1"/>
    <xf numFmtId="3" fontId="5" fillId="0" borderId="0" xfId="0" applyNumberFormat="1" applyFont="1"/>
    <xf numFmtId="3" fontId="4" fillId="0" borderId="1" xfId="0" applyNumberFormat="1" applyFont="1" applyBorder="1"/>
    <xf numFmtId="3" fontId="4" fillId="0" borderId="0" xfId="0" applyNumberFormat="1" applyFont="1" applyAlignment="1">
      <alignment horizontal="right"/>
    </xf>
    <xf numFmtId="3" fontId="4" fillId="0" borderId="2" xfId="0" applyNumberFormat="1" applyFont="1" applyBorder="1" applyAlignment="1">
      <alignment vertical="center"/>
    </xf>
    <xf numFmtId="3" fontId="4" fillId="0" borderId="7" xfId="0" applyNumberFormat="1" applyFont="1" applyBorder="1" applyAlignment="1">
      <alignment vertical="center"/>
    </xf>
    <xf numFmtId="3" fontId="4" fillId="2" borderId="0" xfId="0" applyNumberFormat="1" applyFont="1" applyFill="1" applyAlignment="1">
      <alignment horizontal="center"/>
    </xf>
    <xf numFmtId="170" fontId="4" fillId="2" borderId="4" xfId="0" applyNumberFormat="1" applyFont="1" applyFill="1" applyBorder="1" applyAlignment="1">
      <alignment horizontal="right"/>
    </xf>
    <xf numFmtId="170" fontId="4" fillId="2" borderId="6" xfId="0" applyNumberFormat="1" applyFont="1" applyFill="1" applyBorder="1" applyAlignment="1">
      <alignment horizontal="right"/>
    </xf>
    <xf numFmtId="3" fontId="4" fillId="2" borderId="0" xfId="0" applyNumberFormat="1" applyFont="1" applyFill="1" applyAlignment="1">
      <alignment horizontal="left"/>
    </xf>
    <xf numFmtId="3" fontId="6" fillId="0" borderId="0" xfId="0" applyNumberFormat="1" applyFont="1" applyAlignment="1">
      <alignment horizontal="left"/>
    </xf>
    <xf numFmtId="3" fontId="6" fillId="0" borderId="6" xfId="0" applyNumberFormat="1" applyFont="1" applyBorder="1" applyAlignment="1">
      <alignment horizontal="left"/>
    </xf>
    <xf numFmtId="170" fontId="5" fillId="0" borderId="1" xfId="0" applyNumberFormat="1" applyFont="1" applyBorder="1" applyAlignment="1">
      <alignment horizontal="right"/>
    </xf>
    <xf numFmtId="174" fontId="4" fillId="0" borderId="0" xfId="1" applyNumberFormat="1" applyFont="1" applyFill="1" applyBorder="1" applyAlignment="1">
      <alignment horizontal="right"/>
    </xf>
    <xf numFmtId="170" fontId="4" fillId="0" borderId="1" xfId="0" applyNumberFormat="1" applyFont="1" applyBorder="1" applyAlignment="1">
      <alignment horizontal="right"/>
    </xf>
    <xf numFmtId="170" fontId="4" fillId="0" borderId="0" xfId="0" applyNumberFormat="1" applyFont="1" applyAlignment="1">
      <alignment horizontal="right"/>
    </xf>
    <xf numFmtId="170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left"/>
    </xf>
    <xf numFmtId="1" fontId="4" fillId="2" borderId="12" xfId="0" applyNumberFormat="1" applyFont="1" applyFill="1" applyBorder="1" applyAlignment="1">
      <alignment horizontal="centerContinuous" vertical="center"/>
    </xf>
    <xf numFmtId="166" fontId="6" fillId="2" borderId="1" xfId="1" applyNumberFormat="1" applyFont="1" applyFill="1" applyBorder="1" applyAlignment="1">
      <alignment horizontal="right"/>
    </xf>
    <xf numFmtId="169" fontId="4" fillId="0" borderId="0" xfId="0" applyNumberFormat="1" applyFont="1"/>
    <xf numFmtId="168" fontId="5" fillId="2" borderId="0" xfId="0" applyNumberFormat="1" applyFont="1" applyFill="1"/>
    <xf numFmtId="168" fontId="6" fillId="2" borderId="0" xfId="0" applyNumberFormat="1" applyFont="1" applyFill="1"/>
    <xf numFmtId="168" fontId="4" fillId="2" borderId="2" xfId="0" applyNumberFormat="1" applyFont="1" applyFill="1" applyBorder="1"/>
    <xf numFmtId="9" fontId="4" fillId="2" borderId="0" xfId="2" applyFont="1" applyFill="1" applyBorder="1"/>
    <xf numFmtId="174" fontId="5" fillId="2" borderId="11" xfId="0" applyNumberFormat="1" applyFont="1" applyFill="1" applyBorder="1"/>
    <xf numFmtId="4" fontId="4" fillId="2" borderId="0" xfId="0" applyNumberFormat="1" applyFont="1" applyFill="1"/>
    <xf numFmtId="1" fontId="4" fillId="2" borderId="5" xfId="0" applyNumberFormat="1" applyFont="1" applyFill="1" applyBorder="1" applyAlignment="1">
      <alignment horizontal="centerContinuous" vertical="center" wrapText="1"/>
    </xf>
    <xf numFmtId="166" fontId="6" fillId="2" borderId="2" xfId="1" applyNumberFormat="1" applyFont="1" applyFill="1" applyBorder="1" applyAlignment="1">
      <alignment horizontal="right"/>
    </xf>
    <xf numFmtId="191" fontId="4" fillId="2" borderId="0" xfId="0" applyFont="1" applyFill="1"/>
    <xf numFmtId="169" fontId="4" fillId="2" borderId="0" xfId="0" applyNumberFormat="1" applyFont="1" applyFill="1"/>
    <xf numFmtId="3" fontId="10" fillId="2" borderId="0" xfId="0" applyNumberFormat="1" applyFont="1" applyFill="1"/>
    <xf numFmtId="191" fontId="4" fillId="2" borderId="6" xfId="0" applyFont="1" applyFill="1" applyBorder="1"/>
    <xf numFmtId="3" fontId="4" fillId="2" borderId="7" xfId="0" applyNumberFormat="1" applyFont="1" applyFill="1" applyBorder="1" applyAlignment="1">
      <alignment horizontal="right"/>
    </xf>
    <xf numFmtId="3" fontId="5" fillId="2" borderId="2" xfId="0" applyNumberFormat="1" applyFont="1" applyFill="1" applyBorder="1" applyAlignment="1">
      <alignment horizontal="right"/>
    </xf>
    <xf numFmtId="3" fontId="4" fillId="2" borderId="2" xfId="0" applyNumberFormat="1" applyFont="1" applyFill="1" applyBorder="1" applyAlignment="1">
      <alignment horizontal="right"/>
    </xf>
    <xf numFmtId="168" fontId="4" fillId="2" borderId="0" xfId="0" applyNumberFormat="1" applyFont="1" applyFill="1" applyAlignment="1">
      <alignment horizontal="left"/>
    </xf>
    <xf numFmtId="189" fontId="4" fillId="0" borderId="2" xfId="0" applyNumberFormat="1" applyFont="1" applyBorder="1" applyAlignment="1">
      <alignment horizontal="centerContinuous" vertical="center"/>
    </xf>
    <xf numFmtId="189" fontId="4" fillId="0" borderId="0" xfId="0" applyNumberFormat="1" applyFont="1" applyAlignment="1">
      <alignment horizontal="centerContinuous" vertical="center"/>
    </xf>
    <xf numFmtId="1" fontId="4" fillId="0" borderId="1" xfId="0" applyNumberFormat="1" applyFont="1" applyBorder="1" applyAlignment="1">
      <alignment horizontal="centerContinuous" vertical="center"/>
    </xf>
    <xf numFmtId="3" fontId="11" fillId="2" borderId="0" xfId="0" applyNumberFormat="1" applyFont="1" applyFill="1"/>
    <xf numFmtId="168" fontId="6" fillId="0" borderId="0" xfId="0" applyNumberFormat="1" applyFont="1" applyAlignment="1">
      <alignment horizontal="left"/>
    </xf>
    <xf numFmtId="168" fontId="4" fillId="0" borderId="0" xfId="0" applyNumberFormat="1" applyFont="1" applyAlignment="1">
      <alignment horizontal="left"/>
    </xf>
    <xf numFmtId="168" fontId="4" fillId="0" borderId="0" xfId="0" applyNumberFormat="1" applyFont="1"/>
    <xf numFmtId="191" fontId="4" fillId="0" borderId="0" xfId="0" applyFont="1"/>
    <xf numFmtId="1" fontId="4" fillId="0" borderId="10" xfId="0" applyNumberFormat="1" applyFont="1" applyBorder="1" applyAlignment="1">
      <alignment horizontal="centerContinuous" vertical="center"/>
    </xf>
    <xf numFmtId="1" fontId="4" fillId="0" borderId="11" xfId="0" applyNumberFormat="1" applyFont="1" applyBorder="1" applyAlignment="1">
      <alignment horizontal="centerContinuous" vertical="center"/>
    </xf>
    <xf numFmtId="1" fontId="4" fillId="0" borderId="5" xfId="0" applyNumberFormat="1" applyFont="1" applyBorder="1" applyAlignment="1">
      <alignment horizontal="centerContinuous" vertical="center" wrapText="1"/>
    </xf>
    <xf numFmtId="166" fontId="5" fillId="0" borderId="0" xfId="0" applyNumberFormat="1" applyFont="1" applyAlignment="1">
      <alignment horizontal="right"/>
    </xf>
    <xf numFmtId="166" fontId="5" fillId="0" borderId="0" xfId="0" applyNumberFormat="1" applyFont="1"/>
    <xf numFmtId="3" fontId="11" fillId="0" borderId="0" xfId="0" applyNumberFormat="1" applyFont="1"/>
    <xf numFmtId="170" fontId="4" fillId="0" borderId="0" xfId="0" applyNumberFormat="1" applyFont="1"/>
    <xf numFmtId="3" fontId="4" fillId="0" borderId="0" xfId="0" applyNumberFormat="1" applyFont="1" applyAlignment="1">
      <alignment horizontal="center"/>
    </xf>
    <xf numFmtId="191" fontId="6" fillId="0" borderId="0" xfId="0" applyFont="1"/>
    <xf numFmtId="191" fontId="5" fillId="0" borderId="0" xfId="0" applyFont="1"/>
    <xf numFmtId="3" fontId="4" fillId="2" borderId="5" xfId="0" applyNumberFormat="1" applyFont="1" applyFill="1" applyBorder="1" applyAlignment="1">
      <alignment horizontal="right"/>
    </xf>
    <xf numFmtId="171" fontId="5" fillId="2" borderId="1" xfId="1" applyNumberFormat="1" applyFont="1" applyFill="1" applyBorder="1" applyAlignment="1">
      <alignment horizontal="right"/>
    </xf>
    <xf numFmtId="171" fontId="4" fillId="2" borderId="1" xfId="1" applyNumberFormat="1" applyFont="1" applyFill="1" applyBorder="1" applyAlignment="1">
      <alignment horizontal="right"/>
    </xf>
    <xf numFmtId="171" fontId="4" fillId="2" borderId="4" xfId="1" applyNumberFormat="1" applyFont="1" applyFill="1" applyBorder="1" applyAlignment="1">
      <alignment horizontal="right"/>
    </xf>
    <xf numFmtId="171" fontId="4" fillId="2" borderId="0" xfId="1" applyNumberFormat="1" applyFont="1" applyFill="1" applyBorder="1" applyAlignment="1">
      <alignment horizontal="right"/>
    </xf>
    <xf numFmtId="4" fontId="4" fillId="2" borderId="0" xfId="0" applyNumberFormat="1" applyFont="1" applyFill="1" applyAlignment="1">
      <alignment horizontal="center"/>
    </xf>
    <xf numFmtId="1" fontId="4" fillId="0" borderId="12" xfId="0" applyNumberFormat="1" applyFont="1" applyBorder="1" applyAlignment="1">
      <alignment horizontal="centerContinuous" vertical="center"/>
    </xf>
    <xf numFmtId="189" fontId="4" fillId="0" borderId="8" xfId="0" applyNumberFormat="1" applyFont="1" applyBorder="1" applyAlignment="1">
      <alignment horizontal="centerContinuous" vertical="center"/>
    </xf>
    <xf numFmtId="1" fontId="4" fillId="2" borderId="10" xfId="0" applyNumberFormat="1" applyFont="1" applyFill="1" applyBorder="1"/>
    <xf numFmtId="1" fontId="4" fillId="2" borderId="11" xfId="0" applyNumberFormat="1" applyFont="1" applyFill="1" applyBorder="1"/>
    <xf numFmtId="1" fontId="4" fillId="2" borderId="12" xfId="0" applyNumberFormat="1" applyFont="1" applyFill="1" applyBorder="1"/>
    <xf numFmtId="3" fontId="4" fillId="0" borderId="5" xfId="0" applyNumberFormat="1" applyFont="1" applyBorder="1" applyAlignment="1">
      <alignment horizontal="right"/>
    </xf>
    <xf numFmtId="170" fontId="5" fillId="0" borderId="2" xfId="0" applyNumberFormat="1" applyFont="1" applyBorder="1"/>
    <xf numFmtId="170" fontId="5" fillId="0" borderId="3" xfId="0" applyNumberFormat="1" applyFont="1" applyBorder="1"/>
    <xf numFmtId="171" fontId="5" fillId="0" borderId="1" xfId="1" applyNumberFormat="1" applyFont="1" applyFill="1" applyBorder="1" applyAlignment="1">
      <alignment horizontal="right"/>
    </xf>
    <xf numFmtId="170" fontId="4" fillId="0" borderId="2" xfId="0" applyNumberFormat="1" applyFont="1" applyBorder="1"/>
    <xf numFmtId="170" fontId="4" fillId="0" borderId="3" xfId="0" applyNumberFormat="1" applyFont="1" applyBorder="1"/>
    <xf numFmtId="171" fontId="4" fillId="0" borderId="1" xfId="1" applyNumberFormat="1" applyFont="1" applyFill="1" applyBorder="1" applyAlignment="1">
      <alignment horizontal="right"/>
    </xf>
    <xf numFmtId="170" fontId="4" fillId="0" borderId="6" xfId="0" applyNumberFormat="1" applyFont="1" applyBorder="1"/>
    <xf numFmtId="170" fontId="4" fillId="0" borderId="8" xfId="0" applyNumberFormat="1" applyFont="1" applyBorder="1"/>
    <xf numFmtId="170" fontId="4" fillId="0" borderId="7" xfId="0" applyNumberFormat="1" applyFont="1" applyBorder="1"/>
    <xf numFmtId="171" fontId="4" fillId="0" borderId="4" xfId="1" applyNumberFormat="1" applyFont="1" applyFill="1" applyBorder="1" applyAlignment="1">
      <alignment horizontal="right"/>
    </xf>
    <xf numFmtId="171" fontId="4" fillId="0" borderId="0" xfId="1" applyNumberFormat="1" applyFont="1" applyFill="1" applyBorder="1" applyAlignment="1">
      <alignment horizontal="right"/>
    </xf>
    <xf numFmtId="4" fontId="4" fillId="0" borderId="0" xfId="0" applyNumberFormat="1" applyFont="1"/>
    <xf numFmtId="4" fontId="4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189" fontId="4" fillId="0" borderId="3" xfId="0" applyNumberFormat="1" applyFont="1" applyBorder="1" applyAlignment="1">
      <alignment horizontal="centerContinuous" vertical="center"/>
    </xf>
    <xf numFmtId="4" fontId="6" fillId="2" borderId="0" xfId="0" applyNumberFormat="1" applyFont="1" applyFill="1"/>
    <xf numFmtId="4" fontId="5" fillId="2" borderId="0" xfId="0" applyNumberFormat="1" applyFont="1" applyFill="1" applyAlignment="1">
      <alignment horizontal="right"/>
    </xf>
    <xf numFmtId="4" fontId="4" fillId="2" borderId="6" xfId="0" applyNumberFormat="1" applyFont="1" applyFill="1" applyBorder="1"/>
    <xf numFmtId="4" fontId="4" fillId="2" borderId="0" xfId="0" applyNumberFormat="1" applyFont="1" applyFill="1" applyAlignment="1">
      <alignment horizontal="right"/>
    </xf>
    <xf numFmtId="4" fontId="4" fillId="2" borderId="3" xfId="0" applyNumberFormat="1" applyFont="1" applyFill="1" applyBorder="1" applyAlignment="1">
      <alignment horizontal="right"/>
    </xf>
    <xf numFmtId="4" fontId="4" fillId="2" borderId="1" xfId="0" applyNumberFormat="1" applyFont="1" applyFill="1" applyBorder="1"/>
    <xf numFmtId="4" fontId="5" fillId="2" borderId="1" xfId="0" applyNumberFormat="1" applyFont="1" applyFill="1" applyBorder="1"/>
    <xf numFmtId="4" fontId="4" fillId="2" borderId="4" xfId="0" applyNumberFormat="1" applyFont="1" applyFill="1" applyBorder="1"/>
    <xf numFmtId="41" fontId="14" fillId="0" borderId="17" xfId="3" applyFont="1" applyFill="1" applyBorder="1" applyAlignment="1">
      <alignment horizontal="centerContinuous" vertical="center"/>
    </xf>
    <xf numFmtId="41" fontId="14" fillId="0" borderId="14" xfId="3" applyFont="1" applyFill="1" applyBorder="1" applyAlignment="1">
      <alignment horizontal="centerContinuous" vertical="center"/>
    </xf>
    <xf numFmtId="41" fontId="14" fillId="0" borderId="13" xfId="3" applyFont="1" applyFill="1" applyBorder="1" applyAlignment="1">
      <alignment horizontal="centerContinuous" vertical="center"/>
    </xf>
    <xf numFmtId="191" fontId="14" fillId="0" borderId="9" xfId="0" applyFont="1" applyBorder="1" applyAlignment="1">
      <alignment horizontal="centerContinuous" vertical="center"/>
    </xf>
    <xf numFmtId="190" fontId="14" fillId="0" borderId="6" xfId="0" applyNumberFormat="1" applyFont="1" applyBorder="1" applyAlignment="1">
      <alignment horizontal="centerContinuous" vertical="center"/>
    </xf>
    <xf numFmtId="190" fontId="14" fillId="0" borderId="9" xfId="0" applyNumberFormat="1" applyFont="1" applyBorder="1" applyAlignment="1">
      <alignment horizontal="centerContinuous" vertical="center"/>
    </xf>
    <xf numFmtId="4" fontId="4" fillId="2" borderId="5" xfId="0" applyNumberFormat="1" applyFont="1" applyFill="1" applyBorder="1"/>
    <xf numFmtId="4" fontId="6" fillId="2" borderId="5" xfId="0" applyNumberFormat="1" applyFont="1" applyFill="1" applyBorder="1"/>
    <xf numFmtId="168" fontId="4" fillId="0" borderId="2" xfId="0" applyNumberFormat="1" applyFont="1" applyBorder="1" applyAlignment="1">
      <alignment horizontal="right"/>
    </xf>
    <xf numFmtId="168" fontId="4" fillId="0" borderId="3" xfId="0" applyNumberFormat="1" applyFont="1" applyBorder="1" applyAlignment="1">
      <alignment horizontal="right"/>
    </xf>
    <xf numFmtId="168" fontId="4" fillId="0" borderId="1" xfId="1" applyNumberFormat="1" applyFont="1" applyFill="1" applyBorder="1" applyAlignment="1">
      <alignment horizontal="right"/>
    </xf>
    <xf numFmtId="168" fontId="4" fillId="0" borderId="7" xfId="0" applyNumberFormat="1" applyFont="1" applyBorder="1" applyAlignment="1">
      <alignment horizontal="right"/>
    </xf>
    <xf numFmtId="168" fontId="4" fillId="0" borderId="6" xfId="0" applyNumberFormat="1" applyFont="1" applyBorder="1" applyAlignment="1">
      <alignment horizontal="right"/>
    </xf>
    <xf numFmtId="168" fontId="4" fillId="0" borderId="8" xfId="0" applyNumberFormat="1" applyFont="1" applyBorder="1" applyAlignment="1">
      <alignment horizontal="right"/>
    </xf>
    <xf numFmtId="168" fontId="4" fillId="0" borderId="4" xfId="1" applyNumberFormat="1" applyFont="1" applyFill="1" applyBorder="1" applyAlignment="1">
      <alignment horizontal="right"/>
    </xf>
    <xf numFmtId="168" fontId="4" fillId="0" borderId="0" xfId="0" applyNumberFormat="1" applyFont="1" applyAlignment="1">
      <alignment horizontal="right"/>
    </xf>
    <xf numFmtId="168" fontId="4" fillId="0" borderId="2" xfId="0" applyNumberFormat="1" applyFont="1" applyBorder="1" applyAlignment="1">
      <alignment horizontal="center"/>
    </xf>
    <xf numFmtId="168" fontId="4" fillId="0" borderId="7" xfId="0" applyNumberFormat="1" applyFont="1" applyBorder="1" applyAlignment="1">
      <alignment horizontal="center"/>
    </xf>
    <xf numFmtId="191" fontId="6" fillId="2" borderId="0" xfId="0" applyFont="1" applyFill="1" applyAlignment="1">
      <alignment horizontal="left"/>
    </xf>
    <xf numFmtId="191" fontId="6" fillId="2" borderId="6" xfId="0" applyFont="1" applyFill="1" applyBorder="1" applyAlignment="1">
      <alignment horizontal="left"/>
    </xf>
    <xf numFmtId="176" fontId="4" fillId="2" borderId="0" xfId="0" applyNumberFormat="1" applyFont="1" applyFill="1"/>
    <xf numFmtId="0" fontId="4" fillId="2" borderId="0" xfId="0" applyNumberFormat="1" applyFont="1" applyFill="1"/>
    <xf numFmtId="176" fontId="15" fillId="2" borderId="0" xfId="0" applyNumberFormat="1" applyFont="1" applyFill="1"/>
    <xf numFmtId="3" fontId="4" fillId="2" borderId="6" xfId="0" applyNumberFormat="1" applyFont="1" applyFill="1" applyBorder="1" applyAlignment="1">
      <alignment horizontal="center"/>
    </xf>
    <xf numFmtId="191" fontId="4" fillId="2" borderId="1" xfId="0" applyFont="1" applyFill="1" applyBorder="1"/>
    <xf numFmtId="191" fontId="5" fillId="2" borderId="1" xfId="0" applyFont="1" applyFill="1" applyBorder="1"/>
    <xf numFmtId="176" fontId="4" fillId="2" borderId="1" xfId="0" applyNumberFormat="1" applyFont="1" applyFill="1" applyBorder="1" applyAlignment="1">
      <alignment horizontal="right"/>
    </xf>
    <xf numFmtId="176" fontId="4" fillId="2" borderId="2" xfId="0" applyNumberFormat="1" applyFont="1" applyFill="1" applyBorder="1" applyAlignment="1">
      <alignment horizontal="right"/>
    </xf>
    <xf numFmtId="176" fontId="4" fillId="2" borderId="3" xfId="0" applyNumberFormat="1" applyFont="1" applyFill="1" applyBorder="1" applyAlignment="1">
      <alignment horizontal="right"/>
    </xf>
    <xf numFmtId="1" fontId="4" fillId="2" borderId="1" xfId="0" applyNumberFormat="1" applyFont="1" applyFill="1" applyBorder="1" applyAlignment="1">
      <alignment horizontal="right"/>
    </xf>
    <xf numFmtId="1" fontId="4" fillId="2" borderId="2" xfId="0" applyNumberFormat="1" applyFont="1" applyFill="1" applyBorder="1" applyAlignment="1">
      <alignment horizontal="right"/>
    </xf>
    <xf numFmtId="177" fontId="4" fillId="2" borderId="1" xfId="0" applyNumberFormat="1" applyFont="1" applyFill="1" applyBorder="1" applyAlignment="1">
      <alignment horizontal="right"/>
    </xf>
    <xf numFmtId="177" fontId="4" fillId="2" borderId="2" xfId="0" applyNumberFormat="1" applyFont="1" applyFill="1" applyBorder="1" applyAlignment="1">
      <alignment horizontal="right"/>
    </xf>
    <xf numFmtId="191" fontId="6" fillId="2" borderId="1" xfId="0" applyFont="1" applyFill="1" applyBorder="1"/>
    <xf numFmtId="177" fontId="6" fillId="2" borderId="1" xfId="0" applyNumberFormat="1" applyFont="1" applyFill="1" applyBorder="1" applyAlignment="1">
      <alignment horizontal="right"/>
    </xf>
    <xf numFmtId="177" fontId="6" fillId="2" borderId="2" xfId="0" applyNumberFormat="1" applyFont="1" applyFill="1" applyBorder="1" applyAlignment="1">
      <alignment horizontal="right"/>
    </xf>
    <xf numFmtId="170" fontId="6" fillId="2" borderId="3" xfId="0" applyNumberFormat="1" applyFont="1" applyFill="1" applyBorder="1" applyAlignment="1">
      <alignment horizontal="right"/>
    </xf>
    <xf numFmtId="191" fontId="6" fillId="2" borderId="0" xfId="0" applyFont="1" applyFill="1"/>
    <xf numFmtId="191" fontId="6" fillId="2" borderId="1" xfId="0" applyFont="1" applyFill="1" applyBorder="1" applyAlignment="1">
      <alignment horizontal="left" vertical="center"/>
    </xf>
    <xf numFmtId="191" fontId="4" fillId="2" borderId="4" xfId="0" applyFont="1" applyFill="1" applyBorder="1"/>
    <xf numFmtId="177" fontId="4" fillId="2" borderId="6" xfId="0" applyNumberFormat="1" applyFont="1" applyFill="1" applyBorder="1" applyAlignment="1">
      <alignment horizontal="right"/>
    </xf>
    <xf numFmtId="179" fontId="4" fillId="0" borderId="0" xfId="1" quotePrefix="1" applyNumberFormat="1" applyFont="1" applyBorder="1" applyAlignment="1">
      <alignment horizontal="center"/>
    </xf>
    <xf numFmtId="37" fontId="4" fillId="2" borderId="0" xfId="0" applyNumberFormat="1" applyFont="1" applyFill="1"/>
    <xf numFmtId="191" fontId="6" fillId="2" borderId="5" xfId="0" applyFont="1" applyFill="1" applyBorder="1" applyAlignment="1">
      <alignment vertical="center"/>
    </xf>
    <xf numFmtId="177" fontId="5" fillId="2" borderId="2" xfId="0" applyNumberFormat="1" applyFont="1" applyFill="1" applyBorder="1"/>
    <xf numFmtId="191" fontId="5" fillId="2" borderId="0" xfId="0" applyFont="1" applyFill="1"/>
    <xf numFmtId="191" fontId="4" fillId="2" borderId="1" xfId="0" applyFont="1" applyFill="1" applyBorder="1" applyAlignment="1">
      <alignment horizontal="left" indent="1"/>
    </xf>
    <xf numFmtId="3" fontId="6" fillId="2" borderId="0" xfId="0" applyNumberFormat="1" applyFont="1" applyFill="1" applyAlignment="1">
      <alignment horizontal="left"/>
    </xf>
    <xf numFmtId="3" fontId="6" fillId="2" borderId="6" xfId="0" applyNumberFormat="1" applyFont="1" applyFill="1" applyBorder="1" applyAlignment="1">
      <alignment horizontal="left"/>
    </xf>
    <xf numFmtId="3" fontId="4" fillId="2" borderId="1" xfId="0" applyNumberFormat="1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left"/>
    </xf>
    <xf numFmtId="174" fontId="5" fillId="2" borderId="3" xfId="1" applyNumberFormat="1" applyFont="1" applyFill="1" applyBorder="1" applyAlignment="1">
      <alignment horizontal="right"/>
    </xf>
    <xf numFmtId="174" fontId="4" fillId="2" borderId="3" xfId="1" applyNumberFormat="1" applyFont="1" applyFill="1" applyBorder="1" applyAlignment="1">
      <alignment horizontal="right"/>
    </xf>
    <xf numFmtId="3" fontId="6" fillId="2" borderId="1" xfId="0" applyNumberFormat="1" applyFont="1" applyFill="1" applyBorder="1" applyAlignment="1">
      <alignment horizontal="left"/>
    </xf>
    <xf numFmtId="170" fontId="6" fillId="2" borderId="2" xfId="0" applyNumberFormat="1" applyFont="1" applyFill="1" applyBorder="1"/>
    <xf numFmtId="170" fontId="6" fillId="2" borderId="0" xfId="0" applyNumberFormat="1" applyFont="1" applyFill="1"/>
    <xf numFmtId="170" fontId="6" fillId="2" borderId="1" xfId="0" applyNumberFormat="1" applyFont="1" applyFill="1" applyBorder="1"/>
    <xf numFmtId="1" fontId="4" fillId="2" borderId="0" xfId="0" applyNumberFormat="1" applyFont="1" applyFill="1" applyAlignment="1">
      <alignment horizontal="center"/>
    </xf>
    <xf numFmtId="181" fontId="4" fillId="2" borderId="0" xfId="0" applyNumberFormat="1" applyFont="1" applyFill="1" applyAlignment="1">
      <alignment horizontal="right"/>
    </xf>
    <xf numFmtId="181" fontId="4" fillId="2" borderId="3" xfId="0" applyNumberFormat="1" applyFont="1" applyFill="1" applyBorder="1" applyAlignment="1">
      <alignment horizontal="right"/>
    </xf>
    <xf numFmtId="181" fontId="4" fillId="2" borderId="1" xfId="0" applyNumberFormat="1" applyFont="1" applyFill="1" applyBorder="1" applyAlignment="1">
      <alignment horizontal="right"/>
    </xf>
    <xf numFmtId="181" fontId="4" fillId="0" borderId="0" xfId="0" applyNumberFormat="1" applyFont="1" applyAlignment="1">
      <alignment horizontal="right"/>
    </xf>
    <xf numFmtId="3" fontId="4" fillId="2" borderId="3" xfId="0" applyNumberFormat="1" applyFont="1" applyFill="1" applyBorder="1" applyAlignment="1">
      <alignment horizontal="right"/>
    </xf>
    <xf numFmtId="174" fontId="5" fillId="2" borderId="0" xfId="1" applyNumberFormat="1" applyFont="1" applyFill="1" applyBorder="1" applyAlignment="1">
      <alignment horizontal="right"/>
    </xf>
    <xf numFmtId="174" fontId="5" fillId="2" borderId="2" xfId="1" applyNumberFormat="1" applyFont="1" applyFill="1" applyBorder="1" applyAlignment="1">
      <alignment horizontal="right"/>
    </xf>
    <xf numFmtId="174" fontId="5" fillId="2" borderId="1" xfId="1" applyNumberFormat="1" applyFont="1" applyFill="1" applyBorder="1" applyAlignment="1">
      <alignment horizontal="right"/>
    </xf>
    <xf numFmtId="174" fontId="5" fillId="0" borderId="0" xfId="1" applyNumberFormat="1" applyFont="1" applyFill="1" applyBorder="1" applyAlignment="1">
      <alignment horizontal="right"/>
    </xf>
    <xf numFmtId="183" fontId="4" fillId="2" borderId="0" xfId="0" applyNumberFormat="1" applyFont="1" applyFill="1" applyAlignment="1">
      <alignment horizontal="right"/>
    </xf>
    <xf numFmtId="183" fontId="4" fillId="2" borderId="1" xfId="0" applyNumberFormat="1" applyFont="1" applyFill="1" applyBorder="1" applyAlignment="1">
      <alignment horizontal="right"/>
    </xf>
    <xf numFmtId="183" fontId="4" fillId="2" borderId="2" xfId="0" applyNumberFormat="1" applyFont="1" applyFill="1" applyBorder="1" applyAlignment="1">
      <alignment horizontal="right"/>
    </xf>
    <xf numFmtId="183" fontId="4" fillId="2" borderId="3" xfId="0" applyNumberFormat="1" applyFont="1" applyFill="1" applyBorder="1" applyAlignment="1">
      <alignment horizontal="right"/>
    </xf>
    <xf numFmtId="183" fontId="4" fillId="0" borderId="0" xfId="0" applyNumberFormat="1" applyFont="1" applyAlignment="1">
      <alignment horizontal="right"/>
    </xf>
    <xf numFmtId="49" fontId="4" fillId="2" borderId="1" xfId="0" applyNumberFormat="1" applyFont="1" applyFill="1" applyBorder="1"/>
    <xf numFmtId="174" fontId="4" fillId="2" borderId="2" xfId="0" applyNumberFormat="1" applyFont="1" applyFill="1" applyBorder="1"/>
    <xf numFmtId="174" fontId="4" fillId="2" borderId="0" xfId="1" applyNumberFormat="1" applyFont="1" applyFill="1" applyBorder="1" applyAlignment="1">
      <alignment horizontal="right"/>
    </xf>
    <xf numFmtId="174" fontId="4" fillId="2" borderId="2" xfId="1" applyNumberFormat="1" applyFont="1" applyFill="1" applyBorder="1" applyAlignment="1">
      <alignment horizontal="right"/>
    </xf>
    <xf numFmtId="174" fontId="4" fillId="2" borderId="1" xfId="1" applyNumberFormat="1" applyFont="1" applyFill="1" applyBorder="1" applyAlignment="1">
      <alignment horizontal="right"/>
    </xf>
    <xf numFmtId="170" fontId="13" fillId="2" borderId="2" xfId="0" applyNumberFormat="1" applyFont="1" applyFill="1" applyBorder="1"/>
    <xf numFmtId="170" fontId="13" fillId="2" borderId="0" xfId="0" applyNumberFormat="1" applyFont="1" applyFill="1"/>
    <xf numFmtId="170" fontId="13" fillId="2" borderId="3" xfId="0" applyNumberFormat="1" applyFont="1" applyFill="1" applyBorder="1"/>
    <xf numFmtId="183" fontId="4" fillId="2" borderId="0" xfId="0" applyNumberFormat="1" applyFont="1" applyFill="1"/>
    <xf numFmtId="183" fontId="4" fillId="2" borderId="1" xfId="0" applyNumberFormat="1" applyFont="1" applyFill="1" applyBorder="1"/>
    <xf numFmtId="183" fontId="4" fillId="2" borderId="2" xfId="0" applyNumberFormat="1" applyFont="1" applyFill="1" applyBorder="1"/>
    <xf numFmtId="1" fontId="4" fillId="2" borderId="0" xfId="0" applyNumberFormat="1" applyFont="1" applyFill="1"/>
    <xf numFmtId="1" fontId="4" fillId="2" borderId="3" xfId="0" applyNumberFormat="1" applyFont="1" applyFill="1" applyBorder="1"/>
    <xf numFmtId="1" fontId="4" fillId="2" borderId="2" xfId="0" applyNumberFormat="1" applyFont="1" applyFill="1" applyBorder="1"/>
    <xf numFmtId="1" fontId="4" fillId="0" borderId="0" xfId="0" applyNumberFormat="1" applyFont="1"/>
    <xf numFmtId="1" fontId="4" fillId="2" borderId="1" xfId="0" applyNumberFormat="1" applyFont="1" applyFill="1" applyBorder="1"/>
    <xf numFmtId="3" fontId="5" fillId="2" borderId="4" xfId="0" applyNumberFormat="1" applyFont="1" applyFill="1" applyBorder="1" applyAlignment="1">
      <alignment horizontal="left"/>
    </xf>
    <xf numFmtId="170" fontId="5" fillId="2" borderId="7" xfId="0" applyNumberFormat="1" applyFont="1" applyFill="1" applyBorder="1"/>
    <xf numFmtId="170" fontId="5" fillId="2" borderId="6" xfId="0" applyNumberFormat="1" applyFont="1" applyFill="1" applyBorder="1"/>
    <xf numFmtId="174" fontId="5" fillId="2" borderId="6" xfId="0" applyNumberFormat="1" applyFont="1" applyFill="1" applyBorder="1"/>
    <xf numFmtId="166" fontId="5" fillId="2" borderId="6" xfId="1" applyNumberFormat="1" applyFont="1" applyFill="1" applyBorder="1" applyAlignment="1">
      <alignment horizontal="right"/>
    </xf>
    <xf numFmtId="166" fontId="5" fillId="2" borderId="7" xfId="1" applyNumberFormat="1" applyFont="1" applyFill="1" applyBorder="1" applyAlignment="1">
      <alignment horizontal="right"/>
    </xf>
    <xf numFmtId="166" fontId="5" fillId="2" borderId="4" xfId="1" applyNumberFormat="1" applyFont="1" applyFill="1" applyBorder="1" applyAlignment="1">
      <alignment horizontal="right"/>
    </xf>
    <xf numFmtId="166" fontId="5" fillId="2" borderId="8" xfId="1" applyNumberFormat="1" applyFont="1" applyFill="1" applyBorder="1" applyAlignment="1">
      <alignment horizontal="right"/>
    </xf>
    <xf numFmtId="166" fontId="5" fillId="0" borderId="6" xfId="1" applyNumberFormat="1" applyFont="1" applyFill="1" applyBorder="1" applyAlignment="1">
      <alignment horizontal="right"/>
    </xf>
    <xf numFmtId="166" fontId="5" fillId="0" borderId="8" xfId="1" applyNumberFormat="1" applyFont="1" applyFill="1" applyBorder="1" applyAlignment="1">
      <alignment horizontal="right"/>
    </xf>
    <xf numFmtId="168" fontId="4" fillId="2" borderId="11" xfId="0" applyNumberFormat="1" applyFont="1" applyFill="1" applyBorder="1" applyAlignment="1">
      <alignment horizontal="left"/>
    </xf>
    <xf numFmtId="168" fontId="4" fillId="2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right"/>
    </xf>
    <xf numFmtId="175" fontId="4" fillId="2" borderId="0" xfId="0" applyNumberFormat="1" applyFont="1" applyFill="1"/>
    <xf numFmtId="172" fontId="4" fillId="2" borderId="0" xfId="0" applyNumberFormat="1" applyFont="1" applyFill="1"/>
    <xf numFmtId="187" fontId="4" fillId="2" borderId="0" xfId="0" applyNumberFormat="1" applyFont="1" applyFill="1" applyAlignment="1">
      <alignment horizontal="left"/>
    </xf>
    <xf numFmtId="166" fontId="5" fillId="2" borderId="5" xfId="0" applyNumberFormat="1" applyFont="1" applyFill="1" applyBorder="1" applyAlignment="1">
      <alignment horizontal="right"/>
    </xf>
    <xf numFmtId="174" fontId="6" fillId="2" borderId="0" xfId="1" applyNumberFormat="1" applyFont="1" applyFill="1" applyBorder="1" applyAlignment="1">
      <alignment horizontal="right"/>
    </xf>
    <xf numFmtId="165" fontId="5" fillId="2" borderId="4" xfId="1" applyNumberFormat="1" applyFont="1" applyFill="1" applyBorder="1" applyAlignment="1">
      <alignment horizontal="right"/>
    </xf>
    <xf numFmtId="174" fontId="4" fillId="2" borderId="0" xfId="0" applyNumberFormat="1" applyFont="1" applyFill="1" applyAlignment="1">
      <alignment horizontal="center" vertical="center"/>
    </xf>
    <xf numFmtId="172" fontId="4" fillId="2" borderId="0" xfId="0" applyNumberFormat="1" applyFont="1" applyFill="1" applyAlignment="1">
      <alignment horizontal="center"/>
    </xf>
    <xf numFmtId="4" fontId="6" fillId="2" borderId="0" xfId="0" applyNumberFormat="1" applyFont="1" applyFill="1" applyAlignment="1">
      <alignment horizontal="left"/>
    </xf>
    <xf numFmtId="4" fontId="6" fillId="2" borderId="0" xfId="0" applyNumberFormat="1" applyFont="1" applyFill="1" applyAlignment="1">
      <alignment horizontal="center"/>
    </xf>
    <xf numFmtId="175" fontId="4" fillId="2" borderId="6" xfId="0" applyNumberFormat="1" applyFont="1" applyFill="1" applyBorder="1"/>
    <xf numFmtId="172" fontId="4" fillId="2" borderId="6" xfId="0" applyNumberFormat="1" applyFont="1" applyFill="1" applyBorder="1"/>
    <xf numFmtId="166" fontId="4" fillId="2" borderId="4" xfId="0" applyNumberFormat="1" applyFont="1" applyFill="1" applyBorder="1" applyAlignment="1">
      <alignment horizontal="right"/>
    </xf>
    <xf numFmtId="166" fontId="5" fillId="0" borderId="7" xfId="1" applyNumberFormat="1" applyFont="1" applyFill="1" applyBorder="1" applyAlignment="1">
      <alignment horizontal="right"/>
    </xf>
    <xf numFmtId="166" fontId="5" fillId="0" borderId="4" xfId="1" applyNumberFormat="1" applyFont="1" applyFill="1" applyBorder="1" applyAlignment="1">
      <alignment horizontal="right"/>
    </xf>
    <xf numFmtId="174" fontId="6" fillId="2" borderId="0" xfId="0" applyNumberFormat="1" applyFont="1" applyFill="1"/>
    <xf numFmtId="174" fontId="6" fillId="2" borderId="2" xfId="0" applyNumberFormat="1" applyFont="1" applyFill="1" applyBorder="1"/>
    <xf numFmtId="174" fontId="6" fillId="2" borderId="2" xfId="1" applyNumberFormat="1" applyFont="1" applyFill="1" applyBorder="1" applyAlignment="1">
      <alignment horizontal="right"/>
    </xf>
    <xf numFmtId="174" fontId="6" fillId="2" borderId="1" xfId="1" applyNumberFormat="1" applyFont="1" applyFill="1" applyBorder="1" applyAlignment="1">
      <alignment horizontal="right"/>
    </xf>
    <xf numFmtId="174" fontId="6" fillId="2" borderId="3" xfId="1" applyNumberFormat="1" applyFont="1" applyFill="1" applyBorder="1" applyAlignment="1">
      <alignment horizontal="right"/>
    </xf>
    <xf numFmtId="174" fontId="6" fillId="0" borderId="0" xfId="1" applyNumberFormat="1" applyFont="1" applyFill="1" applyBorder="1" applyAlignment="1">
      <alignment horizontal="right"/>
    </xf>
    <xf numFmtId="3" fontId="6" fillId="2" borderId="2" xfId="0" applyNumberFormat="1" applyFont="1" applyFill="1" applyBorder="1" applyAlignment="1">
      <alignment horizontal="right"/>
    </xf>
    <xf numFmtId="3" fontId="6" fillId="2" borderId="1" xfId="0" applyNumberFormat="1" applyFont="1" applyFill="1" applyBorder="1" applyAlignment="1">
      <alignment horizontal="right"/>
    </xf>
    <xf numFmtId="3" fontId="6" fillId="2" borderId="3" xfId="0" applyNumberFormat="1" applyFont="1" applyFill="1" applyBorder="1" applyAlignment="1">
      <alignment horizontal="right"/>
    </xf>
    <xf numFmtId="183" fontId="6" fillId="2" borderId="0" xfId="0" applyNumberFormat="1" applyFont="1" applyFill="1" applyAlignment="1">
      <alignment horizontal="right"/>
    </xf>
    <xf numFmtId="183" fontId="6" fillId="2" borderId="1" xfId="0" applyNumberFormat="1" applyFont="1" applyFill="1" applyBorder="1" applyAlignment="1">
      <alignment horizontal="right"/>
    </xf>
    <xf numFmtId="183" fontId="6" fillId="2" borderId="2" xfId="0" applyNumberFormat="1" applyFont="1" applyFill="1" applyBorder="1" applyAlignment="1">
      <alignment horizontal="right"/>
    </xf>
    <xf numFmtId="183" fontId="6" fillId="2" borderId="3" xfId="0" applyNumberFormat="1" applyFont="1" applyFill="1" applyBorder="1" applyAlignment="1">
      <alignment horizontal="right"/>
    </xf>
    <xf numFmtId="183" fontId="6" fillId="0" borderId="0" xfId="0" applyNumberFormat="1" applyFont="1" applyAlignment="1">
      <alignment horizontal="right"/>
    </xf>
    <xf numFmtId="3" fontId="4" fillId="2" borderId="3" xfId="0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181" fontId="4" fillId="2" borderId="1" xfId="0" applyNumberFormat="1" applyFont="1" applyFill="1" applyBorder="1" applyAlignment="1">
      <alignment horizontal="center"/>
    </xf>
    <xf numFmtId="181" fontId="4" fillId="2" borderId="2" xfId="0" applyNumberFormat="1" applyFont="1" applyFill="1" applyBorder="1" applyAlignment="1">
      <alignment horizontal="right"/>
    </xf>
    <xf numFmtId="181" fontId="4" fillId="2" borderId="1" xfId="0" applyNumberFormat="1" applyFont="1" applyFill="1" applyBorder="1" applyAlignment="1">
      <alignment horizontal="center" vertical="center"/>
    </xf>
    <xf numFmtId="181" fontId="4" fillId="2" borderId="3" xfId="0" applyNumberFormat="1" applyFont="1" applyFill="1" applyBorder="1" applyAlignment="1">
      <alignment horizontal="center"/>
    </xf>
    <xf numFmtId="181" fontId="4" fillId="0" borderId="0" xfId="0" applyNumberFormat="1" applyFont="1" applyAlignment="1">
      <alignment horizontal="center"/>
    </xf>
    <xf numFmtId="191" fontId="4" fillId="2" borderId="2" xfId="0" applyFont="1" applyFill="1" applyBorder="1" applyAlignment="1">
      <alignment horizontal="center"/>
    </xf>
    <xf numFmtId="191" fontId="4" fillId="2" borderId="0" xfId="0" applyFont="1" applyFill="1" applyAlignment="1">
      <alignment horizontal="center"/>
    </xf>
    <xf numFmtId="191" fontId="4" fillId="2" borderId="3" xfId="0" applyFont="1" applyFill="1" applyBorder="1" applyAlignment="1">
      <alignment horizontal="center"/>
    </xf>
    <xf numFmtId="191" fontId="4" fillId="2" borderId="0" xfId="0" applyFont="1" applyFill="1" applyAlignment="1">
      <alignment horizontal="right"/>
    </xf>
    <xf numFmtId="191" fontId="4" fillId="2" borderId="5" xfId="0" applyFont="1" applyFill="1" applyBorder="1"/>
    <xf numFmtId="191" fontId="4" fillId="2" borderId="1" xfId="0" applyFont="1" applyFill="1" applyBorder="1" applyAlignment="1">
      <alignment horizontal="left"/>
    </xf>
    <xf numFmtId="191" fontId="4" fillId="2" borderId="8" xfId="0" applyFont="1" applyFill="1" applyBorder="1"/>
    <xf numFmtId="191" fontId="4" fillId="2" borderId="11" xfId="0" applyFont="1" applyFill="1" applyBorder="1" applyAlignment="1">
      <alignment horizontal="left"/>
    </xf>
    <xf numFmtId="191" fontId="5" fillId="2" borderId="1" xfId="0" applyFont="1" applyFill="1" applyBorder="1" applyAlignment="1">
      <alignment horizontal="left"/>
    </xf>
    <xf numFmtId="188" fontId="4" fillId="2" borderId="0" xfId="0" applyNumberFormat="1" applyFont="1" applyFill="1"/>
    <xf numFmtId="170" fontId="18" fillId="2" borderId="0" xfId="0" applyNumberFormat="1" applyFont="1" applyFill="1"/>
    <xf numFmtId="191" fontId="17" fillId="0" borderId="0" xfId="0" applyFont="1" applyAlignment="1">
      <alignment horizontal="left" vertical="center"/>
    </xf>
    <xf numFmtId="191" fontId="4" fillId="0" borderId="0" xfId="0" applyFont="1" applyAlignment="1">
      <alignment vertical="center"/>
    </xf>
    <xf numFmtId="191" fontId="4" fillId="2" borderId="0" xfId="0" applyFont="1" applyFill="1" applyAlignment="1">
      <alignment vertical="center"/>
    </xf>
    <xf numFmtId="191" fontId="6" fillId="0" borderId="0" xfId="0" applyFont="1" applyAlignment="1">
      <alignment horizontal="left" vertical="center"/>
    </xf>
    <xf numFmtId="170" fontId="4" fillId="0" borderId="0" xfId="0" applyNumberFormat="1" applyFont="1" applyAlignment="1">
      <alignment vertical="center"/>
    </xf>
    <xf numFmtId="170" fontId="4" fillId="2" borderId="0" xfId="0" applyNumberFormat="1" applyFont="1" applyFill="1" applyAlignment="1">
      <alignment vertical="center"/>
    </xf>
    <xf numFmtId="188" fontId="4" fillId="2" borderId="0" xfId="0" applyNumberFormat="1" applyFont="1" applyFill="1" applyAlignment="1">
      <alignment vertical="center"/>
    </xf>
    <xf numFmtId="191" fontId="4" fillId="2" borderId="5" xfId="0" applyFont="1" applyFill="1" applyBorder="1" applyAlignment="1">
      <alignment vertical="center"/>
    </xf>
    <xf numFmtId="191" fontId="4" fillId="2" borderId="9" xfId="0" applyFont="1" applyFill="1" applyBorder="1" applyAlignment="1">
      <alignment horizontal="center" vertical="center"/>
    </xf>
    <xf numFmtId="191" fontId="4" fillId="2" borderId="4" xfId="0" applyFont="1" applyFill="1" applyBorder="1" applyAlignment="1">
      <alignment vertical="center"/>
    </xf>
    <xf numFmtId="191" fontId="4" fillId="2" borderId="4" xfId="0" applyFont="1" applyFill="1" applyBorder="1" applyAlignment="1">
      <alignment horizontal="center" vertical="center"/>
    </xf>
    <xf numFmtId="191" fontId="4" fillId="2" borderId="0" xfId="0" applyFont="1" applyFill="1" applyAlignment="1">
      <alignment horizontal="right" vertical="center"/>
    </xf>
    <xf numFmtId="191" fontId="4" fillId="2" borderId="6" xfId="0" applyFont="1" applyFill="1" applyBorder="1" applyAlignment="1">
      <alignment horizontal="center" vertical="center"/>
    </xf>
    <xf numFmtId="191" fontId="4" fillId="2" borderId="7" xfId="0" applyFont="1" applyFill="1" applyBorder="1" applyAlignment="1">
      <alignment horizontal="center" vertical="center"/>
    </xf>
    <xf numFmtId="191" fontId="4" fillId="2" borderId="13" xfId="0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191" fontId="4" fillId="2" borderId="1" xfId="0" applyFont="1" applyFill="1" applyBorder="1" applyAlignment="1">
      <alignment vertical="center"/>
    </xf>
    <xf numFmtId="191" fontId="4" fillId="2" borderId="3" xfId="0" applyFont="1" applyFill="1" applyBorder="1" applyAlignment="1">
      <alignment vertical="center"/>
    </xf>
    <xf numFmtId="191" fontId="4" fillId="2" borderId="2" xfId="0" applyFont="1" applyFill="1" applyBorder="1" applyAlignment="1">
      <alignment vertical="center"/>
    </xf>
    <xf numFmtId="165" fontId="5" fillId="2" borderId="1" xfId="1" applyNumberFormat="1" applyFont="1" applyFill="1" applyBorder="1" applyAlignment="1">
      <alignment horizontal="right" vertical="center"/>
    </xf>
    <xf numFmtId="170" fontId="5" fillId="2" borderId="1" xfId="0" applyNumberFormat="1" applyFont="1" applyFill="1" applyBorder="1" applyAlignment="1">
      <alignment vertical="center"/>
    </xf>
    <xf numFmtId="191" fontId="5" fillId="2" borderId="0" xfId="0" applyFont="1" applyFill="1" applyAlignment="1">
      <alignment vertical="center"/>
    </xf>
    <xf numFmtId="170" fontId="5" fillId="2" borderId="0" xfId="0" applyNumberFormat="1" applyFont="1" applyFill="1" applyAlignment="1">
      <alignment vertical="center"/>
    </xf>
    <xf numFmtId="191" fontId="6" fillId="2" borderId="0" xfId="0" applyFont="1" applyFill="1" applyAlignment="1">
      <alignment vertical="center"/>
    </xf>
    <xf numFmtId="170" fontId="6" fillId="2" borderId="0" xfId="0" applyNumberFormat="1" applyFont="1" applyFill="1" applyAlignment="1">
      <alignment vertical="center"/>
    </xf>
    <xf numFmtId="166" fontId="6" fillId="2" borderId="1" xfId="1" applyNumberFormat="1" applyFont="1" applyFill="1" applyBorder="1" applyAlignment="1">
      <alignment horizontal="right" vertical="center"/>
    </xf>
    <xf numFmtId="170" fontId="6" fillId="2" borderId="1" xfId="0" applyNumberFormat="1" applyFont="1" applyFill="1" applyBorder="1" applyAlignment="1">
      <alignment vertical="center"/>
    </xf>
    <xf numFmtId="191" fontId="4" fillId="2" borderId="1" xfId="0" applyFont="1" applyFill="1" applyBorder="1" applyAlignment="1">
      <alignment horizontal="left" vertical="center"/>
    </xf>
    <xf numFmtId="170" fontId="4" fillId="2" borderId="3" xfId="0" applyNumberFormat="1" applyFont="1" applyFill="1" applyBorder="1" applyAlignment="1">
      <alignment vertical="center"/>
    </xf>
    <xf numFmtId="170" fontId="4" fillId="2" borderId="1" xfId="0" applyNumberFormat="1" applyFont="1" applyFill="1" applyBorder="1" applyAlignment="1">
      <alignment vertical="center"/>
    </xf>
    <xf numFmtId="170" fontId="4" fillId="2" borderId="2" xfId="0" applyNumberFormat="1" applyFont="1" applyFill="1" applyBorder="1" applyAlignment="1">
      <alignment vertical="center"/>
    </xf>
    <xf numFmtId="170" fontId="4" fillId="0" borderId="3" xfId="0" applyNumberFormat="1" applyFont="1" applyBorder="1" applyAlignment="1">
      <alignment vertical="center"/>
    </xf>
    <xf numFmtId="166" fontId="4" fillId="2" borderId="0" xfId="1" applyNumberFormat="1" applyFont="1" applyFill="1" applyBorder="1" applyAlignment="1">
      <alignment horizontal="right" vertical="center"/>
    </xf>
    <xf numFmtId="166" fontId="4" fillId="2" borderId="1" xfId="1" applyNumberFormat="1" applyFont="1" applyFill="1" applyBorder="1" applyAlignment="1">
      <alignment horizontal="right" vertical="center"/>
    </xf>
    <xf numFmtId="191" fontId="4" fillId="2" borderId="8" xfId="0" applyFont="1" applyFill="1" applyBorder="1" applyAlignment="1">
      <alignment vertical="center"/>
    </xf>
    <xf numFmtId="170" fontId="4" fillId="2" borderId="4" xfId="0" applyNumberFormat="1" applyFont="1" applyFill="1" applyBorder="1" applyAlignment="1">
      <alignment vertical="center"/>
    </xf>
    <xf numFmtId="166" fontId="4" fillId="2" borderId="4" xfId="1" applyNumberFormat="1" applyFont="1" applyFill="1" applyBorder="1" applyAlignment="1">
      <alignment horizontal="right" vertical="center"/>
    </xf>
    <xf numFmtId="170" fontId="4" fillId="2" borderId="6" xfId="0" applyNumberFormat="1" applyFont="1" applyFill="1" applyBorder="1" applyAlignment="1">
      <alignment vertical="center"/>
    </xf>
    <xf numFmtId="191" fontId="4" fillId="2" borderId="11" xfId="0" applyFont="1" applyFill="1" applyBorder="1" applyAlignment="1">
      <alignment horizontal="left" vertical="center"/>
    </xf>
    <xf numFmtId="191" fontId="4" fillId="2" borderId="0" xfId="0" applyFont="1" applyFill="1" applyAlignment="1">
      <alignment horizontal="left" vertical="center"/>
    </xf>
    <xf numFmtId="168" fontId="4" fillId="2" borderId="0" xfId="0" applyNumberFormat="1" applyFont="1" applyFill="1" applyAlignment="1">
      <alignment horizontal="left" vertical="center"/>
    </xf>
    <xf numFmtId="170" fontId="11" fillId="2" borderId="0" xfId="0" applyNumberFormat="1" applyFont="1" applyFill="1" applyAlignment="1">
      <alignment vertical="center"/>
    </xf>
    <xf numFmtId="191" fontId="6" fillId="2" borderId="0" xfId="0" applyFont="1" applyFill="1" applyAlignment="1">
      <alignment horizontal="left" vertical="center"/>
    </xf>
    <xf numFmtId="2" fontId="4" fillId="2" borderId="0" xfId="0" applyNumberFormat="1" applyFont="1" applyFill="1" applyAlignment="1">
      <alignment vertical="center"/>
    </xf>
    <xf numFmtId="2" fontId="4" fillId="0" borderId="0" xfId="0" applyNumberFormat="1" applyFont="1" applyAlignment="1">
      <alignment vertical="center"/>
    </xf>
    <xf numFmtId="191" fontId="6" fillId="2" borderId="6" xfId="0" applyFont="1" applyFill="1" applyBorder="1" applyAlignment="1">
      <alignment horizontal="left" vertical="center"/>
    </xf>
    <xf numFmtId="175" fontId="4" fillId="2" borderId="0" xfId="0" applyNumberFormat="1" applyFont="1" applyFill="1" applyAlignment="1">
      <alignment vertical="center"/>
    </xf>
    <xf numFmtId="172" fontId="4" fillId="2" borderId="0" xfId="0" applyNumberFormat="1" applyFont="1" applyFill="1" applyAlignment="1">
      <alignment vertical="center"/>
    </xf>
    <xf numFmtId="175" fontId="4" fillId="0" borderId="0" xfId="0" applyNumberFormat="1" applyFont="1" applyAlignment="1">
      <alignment vertical="center"/>
    </xf>
    <xf numFmtId="187" fontId="4" fillId="2" borderId="0" xfId="0" applyNumberFormat="1" applyFont="1" applyFill="1" applyAlignment="1">
      <alignment horizontal="left" vertical="center"/>
    </xf>
    <xf numFmtId="170" fontId="19" fillId="2" borderId="0" xfId="0" applyNumberFormat="1" applyFont="1" applyFill="1" applyAlignment="1">
      <alignment vertical="center"/>
    </xf>
    <xf numFmtId="170" fontId="19" fillId="0" borderId="0" xfId="0" applyNumberFormat="1" applyFont="1" applyAlignment="1">
      <alignment vertical="center"/>
    </xf>
    <xf numFmtId="170" fontId="19" fillId="0" borderId="11" xfId="0" applyNumberFormat="1" applyFont="1" applyBorder="1" applyAlignment="1">
      <alignment vertical="center"/>
    </xf>
    <xf numFmtId="184" fontId="4" fillId="2" borderId="0" xfId="0" applyNumberFormat="1" applyFont="1" applyFill="1" applyAlignment="1">
      <alignment vertical="center"/>
    </xf>
    <xf numFmtId="165" fontId="5" fillId="2" borderId="2" xfId="1" applyNumberFormat="1" applyFont="1" applyFill="1" applyBorder="1" applyAlignment="1">
      <alignment horizontal="right" vertical="center"/>
    </xf>
    <xf numFmtId="166" fontId="6" fillId="2" borderId="2" xfId="1" applyNumberFormat="1" applyFont="1" applyFill="1" applyBorder="1" applyAlignment="1">
      <alignment horizontal="right" vertical="center"/>
    </xf>
    <xf numFmtId="166" fontId="4" fillId="2" borderId="2" xfId="1" applyNumberFormat="1" applyFont="1" applyFill="1" applyBorder="1" applyAlignment="1">
      <alignment horizontal="right" vertical="center"/>
    </xf>
    <xf numFmtId="166" fontId="4" fillId="2" borderId="7" xfId="1" applyNumberFormat="1" applyFont="1" applyFill="1" applyBorder="1" applyAlignment="1">
      <alignment horizontal="right" vertical="center"/>
    </xf>
    <xf numFmtId="3" fontId="4" fillId="2" borderId="10" xfId="0" applyNumberFormat="1" applyFont="1" applyFill="1" applyBorder="1" applyAlignment="1">
      <alignment vertical="center"/>
    </xf>
    <xf numFmtId="3" fontId="4" fillId="2" borderId="11" xfId="0" applyNumberFormat="1" applyFont="1" applyFill="1" applyBorder="1" applyAlignment="1">
      <alignment vertical="center"/>
    </xf>
    <xf numFmtId="3" fontId="4" fillId="2" borderId="5" xfId="0" applyNumberFormat="1" applyFont="1" applyFill="1" applyBorder="1" applyAlignment="1">
      <alignment vertical="center"/>
    </xf>
    <xf numFmtId="3" fontId="6" fillId="2" borderId="2" xfId="0" applyNumberFormat="1" applyFont="1" applyFill="1" applyBorder="1" applyAlignment="1">
      <alignment vertical="center"/>
    </xf>
    <xf numFmtId="3" fontId="6" fillId="2" borderId="0" xfId="0" applyNumberFormat="1" applyFont="1" applyFill="1" applyAlignment="1">
      <alignment vertical="center"/>
    </xf>
    <xf numFmtId="3" fontId="6" fillId="2" borderId="1" xfId="0" applyNumberFormat="1" applyFont="1" applyFill="1" applyBorder="1" applyAlignment="1">
      <alignment vertical="center"/>
    </xf>
    <xf numFmtId="3" fontId="4" fillId="2" borderId="2" xfId="0" applyNumberFormat="1" applyFont="1" applyFill="1" applyBorder="1" applyAlignment="1">
      <alignment vertical="center"/>
    </xf>
    <xf numFmtId="3" fontId="4" fillId="2" borderId="0" xfId="0" applyNumberFormat="1" applyFont="1" applyFill="1" applyAlignment="1">
      <alignment vertical="center"/>
    </xf>
    <xf numFmtId="3" fontId="4" fillId="2" borderId="1" xfId="0" applyNumberFormat="1" applyFont="1" applyFill="1" applyBorder="1" applyAlignment="1">
      <alignment vertical="center"/>
    </xf>
    <xf numFmtId="3" fontId="16" fillId="2" borderId="2" xfId="0" applyNumberFormat="1" applyFont="1" applyFill="1" applyBorder="1" applyAlignment="1">
      <alignment vertical="center"/>
    </xf>
    <xf numFmtId="3" fontId="16" fillId="2" borderId="0" xfId="0" applyNumberFormat="1" applyFont="1" applyFill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3" fontId="4" fillId="0" borderId="0" xfId="0" applyNumberFormat="1" applyFont="1" applyAlignment="1">
      <alignment vertical="center"/>
    </xf>
    <xf numFmtId="3" fontId="4" fillId="0" borderId="6" xfId="0" applyNumberFormat="1" applyFont="1" applyBorder="1" applyAlignment="1">
      <alignment vertical="center"/>
    </xf>
    <xf numFmtId="3" fontId="4" fillId="2" borderId="12" xfId="0" applyNumberFormat="1" applyFont="1" applyFill="1" applyBorder="1" applyAlignment="1">
      <alignment vertical="center"/>
    </xf>
    <xf numFmtId="3" fontId="6" fillId="2" borderId="3" xfId="0" applyNumberFormat="1" applyFont="1" applyFill="1" applyBorder="1" applyAlignment="1">
      <alignment vertical="center"/>
    </xf>
    <xf numFmtId="3" fontId="4" fillId="2" borderId="3" xfId="0" applyNumberFormat="1" applyFont="1" applyFill="1" applyBorder="1" applyAlignment="1">
      <alignment vertical="center"/>
    </xf>
    <xf numFmtId="3" fontId="16" fillId="2" borderId="3" xfId="0" applyNumberFormat="1" applyFont="1" applyFill="1" applyBorder="1" applyAlignment="1">
      <alignment vertical="center"/>
    </xf>
    <xf numFmtId="3" fontId="4" fillId="0" borderId="3" xfId="0" applyNumberFormat="1" applyFont="1" applyBorder="1" applyAlignment="1">
      <alignment vertical="center"/>
    </xf>
    <xf numFmtId="3" fontId="4" fillId="0" borderId="8" xfId="0" applyNumberFormat="1" applyFont="1" applyBorder="1" applyAlignment="1">
      <alignment vertical="center"/>
    </xf>
    <xf numFmtId="170" fontId="18" fillId="2" borderId="0" xfId="0" applyNumberFormat="1" applyFont="1" applyFill="1" applyAlignment="1">
      <alignment vertical="center"/>
    </xf>
    <xf numFmtId="170" fontId="18" fillId="0" borderId="0" xfId="0" applyNumberFormat="1" applyFont="1" applyAlignment="1">
      <alignment vertical="center"/>
    </xf>
    <xf numFmtId="3" fontId="4" fillId="2" borderId="7" xfId="0" applyNumberFormat="1" applyFont="1" applyFill="1" applyBorder="1" applyAlignment="1">
      <alignment vertical="center"/>
    </xf>
    <xf numFmtId="3" fontId="4" fillId="2" borderId="6" xfId="0" applyNumberFormat="1" applyFont="1" applyFill="1" applyBorder="1" applyAlignment="1">
      <alignment vertical="center"/>
    </xf>
    <xf numFmtId="3" fontId="4" fillId="2" borderId="8" xfId="0" applyNumberFormat="1" applyFont="1" applyFill="1" applyBorder="1" applyAlignment="1">
      <alignment vertical="center"/>
    </xf>
    <xf numFmtId="3" fontId="4" fillId="2" borderId="4" xfId="0" applyNumberFormat="1" applyFont="1" applyFill="1" applyBorder="1" applyAlignment="1">
      <alignment vertical="center"/>
    </xf>
    <xf numFmtId="191" fontId="4" fillId="0" borderId="4" xfId="0" applyFont="1" applyBorder="1"/>
    <xf numFmtId="191" fontId="18" fillId="2" borderId="0" xfId="0" applyFont="1" applyFill="1"/>
    <xf numFmtId="170" fontId="20" fillId="2" borderId="0" xfId="0" applyNumberFormat="1" applyFont="1" applyFill="1"/>
    <xf numFmtId="3" fontId="6" fillId="0" borderId="0" xfId="0" applyNumberFormat="1" applyFont="1" applyAlignment="1">
      <alignment horizontal="left" vertical="center"/>
    </xf>
    <xf numFmtId="191" fontId="15" fillId="0" borderId="0" xfId="0" applyFont="1" applyAlignment="1">
      <alignment vertical="center"/>
    </xf>
    <xf numFmtId="170" fontId="15" fillId="0" borderId="0" xfId="0" applyNumberFormat="1" applyFont="1" applyAlignment="1">
      <alignment vertical="center"/>
    </xf>
    <xf numFmtId="191" fontId="15" fillId="2" borderId="0" xfId="0" applyFont="1" applyFill="1" applyAlignment="1">
      <alignment vertical="center"/>
    </xf>
    <xf numFmtId="170" fontId="15" fillId="2" borderId="0" xfId="0" applyNumberFormat="1" applyFont="1" applyFill="1" applyAlignment="1">
      <alignment vertical="center"/>
    </xf>
    <xf numFmtId="1" fontId="15" fillId="2" borderId="0" xfId="0" applyNumberFormat="1" applyFont="1" applyFill="1" applyAlignment="1">
      <alignment vertical="center"/>
    </xf>
    <xf numFmtId="188" fontId="4" fillId="0" borderId="0" xfId="0" applyNumberFormat="1" applyFont="1" applyAlignment="1">
      <alignment vertical="center"/>
    </xf>
    <xf numFmtId="191" fontId="15" fillId="0" borderId="6" xfId="0" applyFont="1" applyBorder="1" applyAlignment="1">
      <alignment vertical="center"/>
    </xf>
    <xf numFmtId="191" fontId="15" fillId="2" borderId="0" xfId="0" applyFont="1" applyFill="1" applyAlignment="1">
      <alignment horizontal="center" vertical="center"/>
    </xf>
    <xf numFmtId="191" fontId="15" fillId="2" borderId="5" xfId="0" applyFont="1" applyFill="1" applyBorder="1" applyAlignment="1">
      <alignment vertical="center"/>
    </xf>
    <xf numFmtId="191" fontId="15" fillId="2" borderId="10" xfId="0" applyFont="1" applyFill="1" applyBorder="1" applyAlignment="1">
      <alignment vertical="center"/>
    </xf>
    <xf numFmtId="191" fontId="15" fillId="2" borderId="11" xfId="0" applyFont="1" applyFill="1" applyBorder="1" applyAlignment="1">
      <alignment vertical="center"/>
    </xf>
    <xf numFmtId="191" fontId="15" fillId="2" borderId="5" xfId="0" applyFont="1" applyFill="1" applyBorder="1" applyAlignment="1">
      <alignment horizontal="center" vertical="center"/>
    </xf>
    <xf numFmtId="191" fontId="15" fillId="2" borderId="11" xfId="0" applyFont="1" applyFill="1" applyBorder="1" applyAlignment="1">
      <alignment horizontal="center" vertical="center"/>
    </xf>
    <xf numFmtId="0" fontId="15" fillId="2" borderId="5" xfId="0" applyNumberFormat="1" applyFont="1" applyFill="1" applyBorder="1" applyAlignment="1">
      <alignment horizontal="center" vertical="center"/>
    </xf>
    <xf numFmtId="0" fontId="15" fillId="2" borderId="10" xfId="0" applyNumberFormat="1" applyFont="1" applyFill="1" applyBorder="1" applyAlignment="1">
      <alignment vertical="center"/>
    </xf>
    <xf numFmtId="0" fontId="15" fillId="2" borderId="11" xfId="0" applyNumberFormat="1" applyFont="1" applyFill="1" applyBorder="1" applyAlignment="1">
      <alignment vertical="center"/>
    </xf>
    <xf numFmtId="0" fontId="15" fillId="2" borderId="12" xfId="0" applyNumberFormat="1" applyFont="1" applyFill="1" applyBorder="1" applyAlignment="1">
      <alignment vertical="center"/>
    </xf>
    <xf numFmtId="0" fontId="15" fillId="2" borderId="11" xfId="0" applyNumberFormat="1" applyFont="1" applyFill="1" applyBorder="1" applyAlignment="1">
      <alignment horizontal="center" vertical="center"/>
    </xf>
    <xf numFmtId="0" fontId="15" fillId="2" borderId="12" xfId="0" applyNumberFormat="1" applyFont="1" applyFill="1" applyBorder="1" applyAlignment="1">
      <alignment horizontal="center" vertical="center"/>
    </xf>
    <xf numFmtId="0" fontId="15" fillId="0" borderId="11" xfId="0" applyNumberFormat="1" applyFont="1" applyBorder="1" applyAlignment="1">
      <alignment horizontal="center" vertical="center"/>
    </xf>
    <xf numFmtId="0" fontId="15" fillId="0" borderId="12" xfId="0" applyNumberFormat="1" applyFont="1" applyBorder="1" applyAlignment="1">
      <alignment horizontal="center" vertical="center"/>
    </xf>
    <xf numFmtId="0" fontId="15" fillId="0" borderId="10" xfId="0" applyNumberFormat="1" applyFont="1" applyBorder="1" applyAlignment="1">
      <alignment vertical="center"/>
    </xf>
    <xf numFmtId="0" fontId="15" fillId="0" borderId="11" xfId="0" applyNumberFormat="1" applyFont="1" applyBorder="1" applyAlignment="1">
      <alignment vertical="center"/>
    </xf>
    <xf numFmtId="0" fontId="15" fillId="0" borderId="5" xfId="0" applyNumberFormat="1" applyFont="1" applyBorder="1" applyAlignment="1">
      <alignment horizontal="center" vertical="center"/>
    </xf>
    <xf numFmtId="3" fontId="15" fillId="2" borderId="13" xfId="0" applyNumberFormat="1" applyFont="1" applyFill="1" applyBorder="1" applyAlignment="1">
      <alignment vertical="center"/>
    </xf>
    <xf numFmtId="191" fontId="15" fillId="2" borderId="9" xfId="0" applyFont="1" applyFill="1" applyBorder="1" applyAlignment="1">
      <alignment horizontal="center" vertical="center"/>
    </xf>
    <xf numFmtId="191" fontId="15" fillId="2" borderId="4" xfId="0" applyFont="1" applyFill="1" applyBorder="1" applyAlignment="1">
      <alignment vertical="center"/>
    </xf>
    <xf numFmtId="191" fontId="15" fillId="2" borderId="4" xfId="0" applyFont="1" applyFill="1" applyBorder="1" applyAlignment="1">
      <alignment horizontal="center" vertical="center"/>
    </xf>
    <xf numFmtId="191" fontId="15" fillId="2" borderId="0" xfId="0" applyFont="1" applyFill="1" applyAlignment="1">
      <alignment horizontal="right" vertical="center"/>
    </xf>
    <xf numFmtId="191" fontId="15" fillId="2" borderId="6" xfId="0" applyFont="1" applyFill="1" applyBorder="1" applyAlignment="1">
      <alignment horizontal="center" vertical="center"/>
    </xf>
    <xf numFmtId="191" fontId="15" fillId="2" borderId="13" xfId="0" applyFont="1" applyFill="1" applyBorder="1" applyAlignment="1">
      <alignment horizontal="center" vertical="center"/>
    </xf>
    <xf numFmtId="3" fontId="15" fillId="2" borderId="9" xfId="0" applyNumberFormat="1" applyFont="1" applyFill="1" applyBorder="1" applyAlignment="1">
      <alignment horizontal="center" vertical="center"/>
    </xf>
    <xf numFmtId="191" fontId="15" fillId="2" borderId="1" xfId="0" applyFont="1" applyFill="1" applyBorder="1" applyAlignment="1">
      <alignment vertical="center"/>
    </xf>
    <xf numFmtId="191" fontId="15" fillId="2" borderId="2" xfId="0" applyFont="1" applyFill="1" applyBorder="1" applyAlignment="1">
      <alignment vertical="center"/>
    </xf>
    <xf numFmtId="191" fontId="15" fillId="2" borderId="3" xfId="0" applyFont="1" applyFill="1" applyBorder="1" applyAlignment="1">
      <alignment vertical="center"/>
    </xf>
    <xf numFmtId="191" fontId="15" fillId="2" borderId="7" xfId="0" applyFont="1" applyFill="1" applyBorder="1" applyAlignment="1">
      <alignment vertical="center"/>
    </xf>
    <xf numFmtId="191" fontId="15" fillId="2" borderId="6" xfId="0" applyFont="1" applyFill="1" applyBorder="1" applyAlignment="1">
      <alignment vertical="center"/>
    </xf>
    <xf numFmtId="191" fontId="15" fillId="2" borderId="14" xfId="0" applyFont="1" applyFill="1" applyBorder="1" applyAlignment="1">
      <alignment vertical="center"/>
    </xf>
    <xf numFmtId="191" fontId="15" fillId="2" borderId="14" xfId="0" applyFont="1" applyFill="1" applyBorder="1" applyAlignment="1">
      <alignment horizontal="center" vertical="center"/>
    </xf>
    <xf numFmtId="191" fontId="15" fillId="2" borderId="17" xfId="0" applyFont="1" applyFill="1" applyBorder="1" applyAlignment="1">
      <alignment horizontal="center" vertical="center"/>
    </xf>
    <xf numFmtId="191" fontId="15" fillId="0" borderId="0" xfId="0" applyFont="1" applyAlignment="1">
      <alignment horizontal="center" vertical="center"/>
    </xf>
    <xf numFmtId="191" fontId="15" fillId="0" borderId="3" xfId="0" applyFont="1" applyBorder="1" applyAlignment="1">
      <alignment horizontal="center" vertical="center"/>
    </xf>
    <xf numFmtId="170" fontId="21" fillId="2" borderId="5" xfId="0" applyNumberFormat="1" applyFont="1" applyFill="1" applyBorder="1" applyAlignment="1">
      <alignment vertical="center"/>
    </xf>
    <xf numFmtId="170" fontId="22" fillId="2" borderId="0" xfId="0" applyNumberFormat="1" applyFont="1" applyFill="1" applyAlignment="1">
      <alignment vertical="center"/>
    </xf>
    <xf numFmtId="170" fontId="22" fillId="2" borderId="1" xfId="0" applyNumberFormat="1" applyFont="1" applyFill="1" applyBorder="1" applyAlignment="1">
      <alignment vertical="center"/>
    </xf>
    <xf numFmtId="170" fontId="22" fillId="2" borderId="4" xfId="0" applyNumberFormat="1" applyFont="1" applyFill="1" applyBorder="1" applyAlignment="1">
      <alignment vertical="center"/>
    </xf>
    <xf numFmtId="170" fontId="22" fillId="2" borderId="2" xfId="0" applyNumberFormat="1" applyFont="1" applyFill="1" applyBorder="1" applyAlignment="1">
      <alignment vertical="center"/>
    </xf>
    <xf numFmtId="170" fontId="22" fillId="0" borderId="0" xfId="0" applyNumberFormat="1" applyFont="1" applyAlignment="1">
      <alignment vertical="center"/>
    </xf>
    <xf numFmtId="170" fontId="22" fillId="0" borderId="3" xfId="0" applyNumberFormat="1" applyFont="1" applyBorder="1" applyAlignment="1">
      <alignment vertical="center"/>
    </xf>
    <xf numFmtId="185" fontId="21" fillId="2" borderId="1" xfId="1" applyNumberFormat="1" applyFont="1" applyFill="1" applyBorder="1" applyAlignment="1">
      <alignment horizontal="right" vertical="center"/>
    </xf>
    <xf numFmtId="174" fontId="21" fillId="2" borderId="1" xfId="1" applyNumberFormat="1" applyFont="1" applyFill="1" applyBorder="1" applyAlignment="1">
      <alignment horizontal="right" vertical="center"/>
    </xf>
    <xf numFmtId="191" fontId="21" fillId="2" borderId="1" xfId="0" applyFont="1" applyFill="1" applyBorder="1" applyAlignment="1">
      <alignment horizontal="left" vertical="center"/>
    </xf>
    <xf numFmtId="185" fontId="22" fillId="2" borderId="1" xfId="1" applyNumberFormat="1" applyFont="1" applyFill="1" applyBorder="1" applyAlignment="1">
      <alignment horizontal="right" vertical="center"/>
    </xf>
    <xf numFmtId="174" fontId="22" fillId="2" borderId="1" xfId="1" applyNumberFormat="1" applyFont="1" applyFill="1" applyBorder="1" applyAlignment="1">
      <alignment horizontal="right" vertical="center"/>
    </xf>
    <xf numFmtId="191" fontId="22" fillId="2" borderId="1" xfId="0" applyFont="1" applyFill="1" applyBorder="1" applyAlignment="1">
      <alignment horizontal="left" vertical="center"/>
    </xf>
    <xf numFmtId="170" fontId="22" fillId="2" borderId="3" xfId="0" applyNumberFormat="1" applyFont="1" applyFill="1" applyBorder="1" applyAlignment="1">
      <alignment vertical="center"/>
    </xf>
    <xf numFmtId="191" fontId="15" fillId="2" borderId="1" xfId="0" applyFont="1" applyFill="1" applyBorder="1" applyAlignment="1">
      <alignment horizontal="left" vertical="center"/>
    </xf>
    <xf numFmtId="170" fontId="15" fillId="2" borderId="2" xfId="0" applyNumberFormat="1" applyFont="1" applyFill="1" applyBorder="1" applyAlignment="1">
      <alignment vertical="center"/>
    </xf>
    <xf numFmtId="170" fontId="15" fillId="2" borderId="1" xfId="0" applyNumberFormat="1" applyFont="1" applyFill="1" applyBorder="1" applyAlignment="1">
      <alignment vertical="center"/>
    </xf>
    <xf numFmtId="170" fontId="15" fillId="2" borderId="3" xfId="0" applyNumberFormat="1" applyFont="1" applyFill="1" applyBorder="1" applyAlignment="1">
      <alignment vertical="center"/>
    </xf>
    <xf numFmtId="170" fontId="15" fillId="0" borderId="3" xfId="0" applyNumberFormat="1" applyFont="1" applyBorder="1" applyAlignment="1">
      <alignment vertical="center"/>
    </xf>
    <xf numFmtId="185" fontId="15" fillId="2" borderId="1" xfId="1" applyNumberFormat="1" applyFont="1" applyFill="1" applyBorder="1" applyAlignment="1">
      <alignment horizontal="right" vertical="center"/>
    </xf>
    <xf numFmtId="174" fontId="15" fillId="2" borderId="1" xfId="1" applyNumberFormat="1" applyFont="1" applyFill="1" applyBorder="1" applyAlignment="1">
      <alignment horizontal="right" vertical="center"/>
    </xf>
    <xf numFmtId="191" fontId="21" fillId="2" borderId="0" xfId="0" applyFont="1" applyFill="1" applyAlignment="1">
      <alignment horizontal="left" vertical="center"/>
    </xf>
    <xf numFmtId="170" fontId="15" fillId="2" borderId="0" xfId="0" applyNumberFormat="1" applyFont="1" applyFill="1" applyAlignment="1">
      <alignment horizontal="right" vertical="center"/>
    </xf>
    <xf numFmtId="170" fontId="15" fillId="2" borderId="7" xfId="0" applyNumberFormat="1" applyFont="1" applyFill="1" applyBorder="1" applyAlignment="1">
      <alignment vertical="center"/>
    </xf>
    <xf numFmtId="170" fontId="15" fillId="2" borderId="6" xfId="0" applyNumberFormat="1" applyFont="1" applyFill="1" applyBorder="1" applyAlignment="1">
      <alignment vertical="center"/>
    </xf>
    <xf numFmtId="170" fontId="15" fillId="2" borderId="8" xfId="0" applyNumberFormat="1" applyFont="1" applyFill="1" applyBorder="1" applyAlignment="1">
      <alignment vertical="center"/>
    </xf>
    <xf numFmtId="170" fontId="15" fillId="2" borderId="4" xfId="0" applyNumberFormat="1" applyFont="1" applyFill="1" applyBorder="1" applyAlignment="1">
      <alignment vertical="center"/>
    </xf>
    <xf numFmtId="170" fontId="15" fillId="2" borderId="6" xfId="0" applyNumberFormat="1" applyFont="1" applyFill="1" applyBorder="1" applyAlignment="1">
      <alignment horizontal="right" vertical="center"/>
    </xf>
    <xf numFmtId="168" fontId="15" fillId="2" borderId="0" xfId="0" applyNumberFormat="1" applyFont="1" applyFill="1" applyAlignment="1">
      <alignment horizontal="left" vertical="center"/>
    </xf>
    <xf numFmtId="170" fontId="15" fillId="0" borderId="0" xfId="0" applyNumberFormat="1" applyFont="1" applyAlignment="1">
      <alignment horizontal="right" vertical="center"/>
    </xf>
    <xf numFmtId="170" fontId="15" fillId="2" borderId="11" xfId="0" applyNumberFormat="1" applyFont="1" applyFill="1" applyBorder="1" applyAlignment="1">
      <alignment vertical="center"/>
    </xf>
    <xf numFmtId="191" fontId="15" fillId="2" borderId="17" xfId="0" applyFont="1" applyFill="1" applyBorder="1" applyAlignment="1">
      <alignment vertical="center"/>
    </xf>
    <xf numFmtId="191" fontId="15" fillId="2" borderId="13" xfId="0" applyFont="1" applyFill="1" applyBorder="1" applyAlignment="1">
      <alignment vertical="center"/>
    </xf>
    <xf numFmtId="170" fontId="15" fillId="2" borderId="14" xfId="0" applyNumberFormat="1" applyFont="1" applyFill="1" applyBorder="1" applyAlignment="1">
      <alignment horizontal="right" vertical="center"/>
    </xf>
    <xf numFmtId="191" fontId="15" fillId="0" borderId="11" xfId="0" applyFont="1" applyBorder="1" applyAlignment="1">
      <alignment horizontal="center" vertical="center"/>
    </xf>
    <xf numFmtId="191" fontId="15" fillId="0" borderId="12" xfId="0" applyFont="1" applyBorder="1" applyAlignment="1">
      <alignment horizontal="center" vertical="center"/>
    </xf>
    <xf numFmtId="191" fontId="15" fillId="0" borderId="17" xfId="0" applyFont="1" applyBorder="1" applyAlignment="1">
      <alignment vertical="center"/>
    </xf>
    <xf numFmtId="191" fontId="15" fillId="0" borderId="14" xfId="0" applyFont="1" applyBorder="1" applyAlignment="1">
      <alignment vertical="center"/>
    </xf>
    <xf numFmtId="191" fontId="15" fillId="0" borderId="11" xfId="0" applyFont="1" applyBorder="1" applyAlignment="1">
      <alignment vertical="center"/>
    </xf>
    <xf numFmtId="191" fontId="15" fillId="0" borderId="5" xfId="0" applyFont="1" applyBorder="1" applyAlignment="1">
      <alignment horizontal="center" vertical="center"/>
    </xf>
    <xf numFmtId="191" fontId="15" fillId="0" borderId="10" xfId="0" applyFont="1" applyBorder="1" applyAlignment="1">
      <alignment horizontal="center" vertical="center"/>
    </xf>
    <xf numFmtId="191" fontId="15" fillId="0" borderId="9" xfId="0" applyFont="1" applyBorder="1" applyAlignment="1">
      <alignment horizontal="center" vertical="center"/>
    </xf>
    <xf numFmtId="191" fontId="15" fillId="0" borderId="13" xfId="0" applyFont="1" applyBorder="1" applyAlignment="1">
      <alignment horizontal="center" vertical="center"/>
    </xf>
    <xf numFmtId="3" fontId="15" fillId="2" borderId="17" xfId="0" applyNumberFormat="1" applyFont="1" applyFill="1" applyBorder="1" applyAlignment="1">
      <alignment vertical="center"/>
    </xf>
    <xf numFmtId="170" fontId="15" fillId="2" borderId="14" xfId="0" applyNumberFormat="1" applyFont="1" applyFill="1" applyBorder="1" applyAlignment="1">
      <alignment vertical="center"/>
    </xf>
    <xf numFmtId="191" fontId="15" fillId="2" borderId="17" xfId="0" applyFont="1" applyFill="1" applyBorder="1" applyAlignment="1">
      <alignment horizontal="right" vertical="center"/>
    </xf>
    <xf numFmtId="191" fontId="15" fillId="2" borderId="14" xfId="0" applyFont="1" applyFill="1" applyBorder="1" applyAlignment="1">
      <alignment horizontal="right" vertical="center"/>
    </xf>
    <xf numFmtId="2" fontId="15" fillId="2" borderId="14" xfId="0" applyNumberFormat="1" applyFont="1" applyFill="1" applyBorder="1" applyAlignment="1">
      <alignment horizontal="center" vertical="center"/>
    </xf>
    <xf numFmtId="191" fontId="15" fillId="0" borderId="14" xfId="0" applyFont="1" applyBorder="1" applyAlignment="1">
      <alignment horizontal="center" vertical="center"/>
    </xf>
    <xf numFmtId="191" fontId="4" fillId="2" borderId="14" xfId="0" applyFont="1" applyFill="1" applyBorder="1" applyAlignment="1">
      <alignment horizontal="center" vertical="center"/>
    </xf>
    <xf numFmtId="191" fontId="4" fillId="2" borderId="17" xfId="0" applyFont="1" applyFill="1" applyBorder="1" applyAlignment="1">
      <alignment horizontal="center" vertical="center"/>
    </xf>
    <xf numFmtId="3" fontId="15" fillId="2" borderId="13" xfId="0" applyNumberFormat="1" applyFont="1" applyFill="1" applyBorder="1" applyAlignment="1">
      <alignment horizontal="center" vertical="center"/>
    </xf>
    <xf numFmtId="191" fontId="22" fillId="2" borderId="2" xfId="0" applyFont="1" applyFill="1" applyBorder="1" applyAlignment="1">
      <alignment vertical="center"/>
    </xf>
    <xf numFmtId="191" fontId="22" fillId="2" borderId="0" xfId="0" applyFont="1" applyFill="1" applyAlignment="1">
      <alignment vertical="center"/>
    </xf>
    <xf numFmtId="170" fontId="22" fillId="2" borderId="11" xfId="0" applyNumberFormat="1" applyFont="1" applyFill="1" applyBorder="1" applyAlignment="1">
      <alignment vertical="center"/>
    </xf>
    <xf numFmtId="170" fontId="22" fillId="2" borderId="12" xfId="0" applyNumberFormat="1" applyFont="1" applyFill="1" applyBorder="1" applyAlignment="1">
      <alignment vertical="center"/>
    </xf>
    <xf numFmtId="170" fontId="22" fillId="2" borderId="10" xfId="0" applyNumberFormat="1" applyFont="1" applyFill="1" applyBorder="1" applyAlignment="1">
      <alignment vertical="center"/>
    </xf>
    <xf numFmtId="170" fontId="22" fillId="0" borderId="11" xfId="0" applyNumberFormat="1" applyFont="1" applyBorder="1" applyAlignment="1">
      <alignment vertical="center"/>
    </xf>
    <xf numFmtId="170" fontId="22" fillId="0" borderId="12" xfId="0" applyNumberFormat="1" applyFont="1" applyBorder="1" applyAlignment="1">
      <alignment vertical="center"/>
    </xf>
    <xf numFmtId="185" fontId="22" fillId="2" borderId="3" xfId="1" applyNumberFormat="1" applyFont="1" applyFill="1" applyBorder="1" applyAlignment="1">
      <alignment horizontal="right" vertical="center"/>
    </xf>
    <xf numFmtId="174" fontId="22" fillId="2" borderId="3" xfId="1" applyNumberFormat="1" applyFont="1" applyFill="1" applyBorder="1" applyAlignment="1">
      <alignment horizontal="right" vertical="center"/>
    </xf>
    <xf numFmtId="2" fontId="15" fillId="2" borderId="0" xfId="0" applyNumberFormat="1" applyFont="1" applyFill="1" applyAlignment="1">
      <alignment vertical="center"/>
    </xf>
    <xf numFmtId="2" fontId="15" fillId="2" borderId="3" xfId="0" applyNumberFormat="1" applyFont="1" applyFill="1" applyBorder="1" applyAlignment="1">
      <alignment vertical="center"/>
    </xf>
    <xf numFmtId="2" fontId="15" fillId="2" borderId="2" xfId="0" applyNumberFormat="1" applyFont="1" applyFill="1" applyBorder="1" applyAlignment="1">
      <alignment vertical="center"/>
    </xf>
    <xf numFmtId="2" fontId="15" fillId="0" borderId="0" xfId="0" applyNumberFormat="1" applyFont="1" applyAlignment="1">
      <alignment vertical="center"/>
    </xf>
    <xf numFmtId="2" fontId="15" fillId="0" borderId="3" xfId="0" applyNumberFormat="1" applyFont="1" applyBorder="1" applyAlignment="1">
      <alignment vertical="center"/>
    </xf>
    <xf numFmtId="2" fontId="15" fillId="2" borderId="1" xfId="0" applyNumberFormat="1" applyFont="1" applyFill="1" applyBorder="1" applyAlignment="1">
      <alignment vertical="center"/>
    </xf>
    <xf numFmtId="185" fontId="15" fillId="2" borderId="3" xfId="1" applyNumberFormat="1" applyFont="1" applyFill="1" applyBorder="1" applyAlignment="1">
      <alignment horizontal="right" vertical="center"/>
    </xf>
    <xf numFmtId="174" fontId="15" fillId="2" borderId="3" xfId="1" applyNumberFormat="1" applyFont="1" applyFill="1" applyBorder="1" applyAlignment="1">
      <alignment horizontal="right" vertical="center"/>
    </xf>
    <xf numFmtId="2" fontId="15" fillId="2" borderId="6" xfId="0" applyNumberFormat="1" applyFont="1" applyFill="1" applyBorder="1" applyAlignment="1">
      <alignment vertical="center"/>
    </xf>
    <xf numFmtId="2" fontId="15" fillId="2" borderId="8" xfId="0" applyNumberFormat="1" applyFont="1" applyFill="1" applyBorder="1" applyAlignment="1">
      <alignment vertical="center"/>
    </xf>
    <xf numFmtId="2" fontId="15" fillId="0" borderId="6" xfId="0" applyNumberFormat="1" applyFont="1" applyBorder="1" applyAlignment="1">
      <alignment vertical="center"/>
    </xf>
    <xf numFmtId="2" fontId="15" fillId="0" borderId="8" xfId="0" applyNumberFormat="1" applyFont="1" applyBorder="1" applyAlignment="1">
      <alignment vertical="center"/>
    </xf>
    <xf numFmtId="2" fontId="15" fillId="0" borderId="4" xfId="0" applyNumberFormat="1" applyFont="1" applyBorder="1" applyAlignment="1">
      <alignment vertical="center"/>
    </xf>
    <xf numFmtId="2" fontId="15" fillId="0" borderId="7" xfId="0" applyNumberFormat="1" applyFont="1" applyBorder="1" applyAlignment="1">
      <alignment vertical="center"/>
    </xf>
    <xf numFmtId="191" fontId="15" fillId="2" borderId="8" xfId="0" applyFont="1" applyFill="1" applyBorder="1" applyAlignment="1">
      <alignment vertical="center"/>
    </xf>
    <xf numFmtId="170" fontId="15" fillId="0" borderId="11" xfId="0" applyNumberFormat="1" applyFont="1" applyBorder="1" applyAlignment="1">
      <alignment vertical="center"/>
    </xf>
    <xf numFmtId="0" fontId="15" fillId="2" borderId="0" xfId="0" applyNumberFormat="1" applyFont="1" applyFill="1" applyAlignment="1">
      <alignment vertical="center"/>
    </xf>
    <xf numFmtId="0" fontId="22" fillId="2" borderId="5" xfId="0" applyNumberFormat="1" applyFont="1" applyFill="1" applyBorder="1" applyAlignment="1">
      <alignment vertical="center"/>
    </xf>
    <xf numFmtId="0" fontId="15" fillId="2" borderId="10" xfId="0" applyNumberFormat="1" applyFont="1" applyFill="1" applyBorder="1" applyAlignment="1">
      <alignment horizontal="center" vertical="center"/>
    </xf>
    <xf numFmtId="170" fontId="22" fillId="2" borderId="5" xfId="0" applyNumberFormat="1" applyFont="1" applyFill="1" applyBorder="1" applyAlignment="1">
      <alignment vertical="center"/>
    </xf>
    <xf numFmtId="0" fontId="15" fillId="0" borderId="10" xfId="0" applyNumberFormat="1" applyFont="1" applyBorder="1" applyAlignment="1">
      <alignment horizontal="center" vertical="center"/>
    </xf>
    <xf numFmtId="0" fontId="22" fillId="2" borderId="4" xfId="0" applyNumberFormat="1" applyFont="1" applyFill="1" applyBorder="1" applyAlignment="1">
      <alignment vertical="center"/>
    </xf>
    <xf numFmtId="3" fontId="15" fillId="2" borderId="6" xfId="0" applyNumberFormat="1" applyFont="1" applyFill="1" applyBorder="1" applyAlignment="1">
      <alignment horizontal="right" vertical="center"/>
    </xf>
    <xf numFmtId="3" fontId="15" fillId="2" borderId="0" xfId="0" applyNumberFormat="1" applyFont="1" applyFill="1" applyAlignment="1">
      <alignment horizontal="right" vertical="center"/>
    </xf>
    <xf numFmtId="0" fontId="15" fillId="2" borderId="4" xfId="0" applyNumberFormat="1" applyFont="1" applyFill="1" applyBorder="1" applyAlignment="1">
      <alignment horizontal="center" vertical="center"/>
    </xf>
    <xf numFmtId="2" fontId="15" fillId="2" borderId="7" xfId="0" applyNumberFormat="1" applyFont="1" applyFill="1" applyBorder="1" applyAlignment="1">
      <alignment horizontal="right" vertical="center"/>
    </xf>
    <xf numFmtId="2" fontId="15" fillId="2" borderId="6" xfId="0" applyNumberFormat="1" applyFont="1" applyFill="1" applyBorder="1" applyAlignment="1">
      <alignment horizontal="right" vertical="center"/>
    </xf>
    <xf numFmtId="2" fontId="15" fillId="2" borderId="8" xfId="0" applyNumberFormat="1" applyFont="1" applyFill="1" applyBorder="1" applyAlignment="1">
      <alignment horizontal="right" vertical="center"/>
    </xf>
    <xf numFmtId="1" fontId="15" fillId="2" borderId="8" xfId="0" applyNumberFormat="1" applyFont="1" applyFill="1" applyBorder="1" applyAlignment="1">
      <alignment horizontal="center" vertical="center"/>
    </xf>
    <xf numFmtId="1" fontId="15" fillId="2" borderId="6" xfId="0" applyNumberFormat="1" applyFont="1" applyFill="1" applyBorder="1" applyAlignment="1">
      <alignment horizontal="center" vertical="center"/>
    </xf>
    <xf numFmtId="1" fontId="15" fillId="2" borderId="4" xfId="0" applyNumberFormat="1" applyFont="1" applyFill="1" applyBorder="1" applyAlignment="1">
      <alignment horizontal="center" vertical="center"/>
    </xf>
    <xf numFmtId="1" fontId="15" fillId="2" borderId="7" xfId="0" applyNumberFormat="1" applyFont="1" applyFill="1" applyBorder="1" applyAlignment="1">
      <alignment horizontal="center" vertical="center"/>
    </xf>
    <xf numFmtId="1" fontId="15" fillId="2" borderId="0" xfId="0" applyNumberFormat="1" applyFont="1" applyFill="1" applyAlignment="1">
      <alignment horizontal="center" vertical="center"/>
    </xf>
    <xf numFmtId="1" fontId="15" fillId="2" borderId="3" xfId="0" applyNumberFormat="1" applyFont="1" applyFill="1" applyBorder="1" applyAlignment="1">
      <alignment horizontal="center" vertical="center"/>
    </xf>
    <xf numFmtId="0" fontId="22" fillId="2" borderId="9" xfId="0" applyNumberFormat="1" applyFont="1" applyFill="1" applyBorder="1" applyAlignment="1">
      <alignment horizontal="left" vertical="center"/>
    </xf>
    <xf numFmtId="170" fontId="22" fillId="2" borderId="14" xfId="0" applyNumberFormat="1" applyFont="1" applyFill="1" applyBorder="1" applyAlignment="1">
      <alignment horizontal="right" vertical="center"/>
    </xf>
    <xf numFmtId="170" fontId="22" fillId="2" borderId="9" xfId="0" applyNumberFormat="1" applyFont="1" applyFill="1" applyBorder="1" applyAlignment="1">
      <alignment horizontal="right" vertical="center"/>
    </xf>
    <xf numFmtId="170" fontId="22" fillId="2" borderId="13" xfId="0" applyNumberFormat="1" applyFont="1" applyFill="1" applyBorder="1" applyAlignment="1">
      <alignment horizontal="right" vertical="center"/>
    </xf>
    <xf numFmtId="170" fontId="22" fillId="2" borderId="17" xfId="0" applyNumberFormat="1" applyFont="1" applyFill="1" applyBorder="1" applyAlignment="1">
      <alignment horizontal="right" vertical="center"/>
    </xf>
    <xf numFmtId="170" fontId="22" fillId="2" borderId="8" xfId="0" applyNumberFormat="1" applyFont="1" applyFill="1" applyBorder="1" applyAlignment="1">
      <alignment horizontal="right" vertical="center"/>
    </xf>
    <xf numFmtId="170" fontId="22" fillId="0" borderId="14" xfId="0" applyNumberFormat="1" applyFont="1" applyBorder="1" applyAlignment="1">
      <alignment horizontal="right" vertical="center"/>
    </xf>
    <xf numFmtId="170" fontId="22" fillId="0" borderId="13" xfId="0" applyNumberFormat="1" applyFont="1" applyBorder="1" applyAlignment="1">
      <alignment horizontal="right" vertical="center"/>
    </xf>
    <xf numFmtId="170" fontId="22" fillId="2" borderId="4" xfId="0" applyNumberFormat="1" applyFont="1" applyFill="1" applyBorder="1" applyAlignment="1">
      <alignment horizontal="right" vertical="center"/>
    </xf>
    <xf numFmtId="171" fontId="22" fillId="2" borderId="13" xfId="1" applyNumberFormat="1" applyFont="1" applyFill="1" applyBorder="1" applyAlignment="1">
      <alignment horizontal="right" vertical="center"/>
    </xf>
    <xf numFmtId="0" fontId="21" fillId="2" borderId="1" xfId="0" applyNumberFormat="1" applyFont="1" applyFill="1" applyBorder="1" applyAlignment="1">
      <alignment horizontal="left" vertical="center"/>
    </xf>
    <xf numFmtId="174" fontId="21" fillId="2" borderId="0" xfId="0" applyNumberFormat="1" applyFont="1" applyFill="1" applyAlignment="1">
      <alignment vertical="center"/>
    </xf>
    <xf numFmtId="170" fontId="21" fillId="2" borderId="5" xfId="0" applyNumberFormat="1" applyFont="1" applyFill="1" applyBorder="1" applyAlignment="1">
      <alignment horizontal="right" vertical="center"/>
    </xf>
    <xf numFmtId="174" fontId="21" fillId="2" borderId="12" xfId="0" applyNumberFormat="1" applyFont="1" applyFill="1" applyBorder="1" applyAlignment="1">
      <alignment vertical="center"/>
    </xf>
    <xf numFmtId="174" fontId="21" fillId="2" borderId="10" xfId="0" applyNumberFormat="1" applyFont="1" applyFill="1" applyBorder="1" applyAlignment="1">
      <alignment vertical="center"/>
    </xf>
    <xf numFmtId="174" fontId="21" fillId="2" borderId="11" xfId="0" applyNumberFormat="1" applyFont="1" applyFill="1" applyBorder="1" applyAlignment="1">
      <alignment vertical="center"/>
    </xf>
    <xf numFmtId="174" fontId="21" fillId="2" borderId="5" xfId="0" applyNumberFormat="1" applyFont="1" applyFill="1" applyBorder="1" applyAlignment="1">
      <alignment vertical="center"/>
    </xf>
    <xf numFmtId="174" fontId="21" fillId="2" borderId="2" xfId="0" applyNumberFormat="1" applyFont="1" applyFill="1" applyBorder="1" applyAlignment="1">
      <alignment vertical="center"/>
    </xf>
    <xf numFmtId="174" fontId="21" fillId="2" borderId="3" xfId="0" applyNumberFormat="1" applyFont="1" applyFill="1" applyBorder="1" applyAlignment="1">
      <alignment vertical="center"/>
    </xf>
    <xf numFmtId="174" fontId="21" fillId="0" borderId="0" xfId="0" applyNumberFormat="1" applyFont="1" applyAlignment="1">
      <alignment vertical="center"/>
    </xf>
    <xf numFmtId="174" fontId="21" fillId="0" borderId="3" xfId="0" applyNumberFormat="1" applyFont="1" applyBorder="1" applyAlignment="1">
      <alignment vertical="center"/>
    </xf>
    <xf numFmtId="174" fontId="21" fillId="2" borderId="1" xfId="0" applyNumberFormat="1" applyFont="1" applyFill="1" applyBorder="1" applyAlignment="1">
      <alignment vertical="center"/>
    </xf>
    <xf numFmtId="171" fontId="21" fillId="2" borderId="12" xfId="1" applyNumberFormat="1" applyFont="1" applyFill="1" applyBorder="1" applyAlignment="1">
      <alignment horizontal="right" vertical="center"/>
    </xf>
    <xf numFmtId="0" fontId="15" fillId="2" borderId="1" xfId="0" applyNumberFormat="1" applyFont="1" applyFill="1" applyBorder="1" applyAlignment="1">
      <alignment horizontal="left" vertical="center"/>
    </xf>
    <xf numFmtId="174" fontId="15" fillId="2" borderId="0" xfId="0" applyNumberFormat="1" applyFont="1" applyFill="1" applyAlignment="1">
      <alignment vertical="center"/>
    </xf>
    <xf numFmtId="170" fontId="15" fillId="2" borderId="1" xfId="0" applyNumberFormat="1" applyFont="1" applyFill="1" applyBorder="1" applyAlignment="1">
      <alignment horizontal="right" vertical="center"/>
    </xf>
    <xf numFmtId="174" fontId="15" fillId="2" borderId="3" xfId="0" applyNumberFormat="1" applyFont="1" applyFill="1" applyBorder="1" applyAlignment="1">
      <alignment vertical="center"/>
    </xf>
    <xf numFmtId="174" fontId="15" fillId="2" borderId="2" xfId="0" applyNumberFormat="1" applyFont="1" applyFill="1" applyBorder="1" applyAlignment="1">
      <alignment vertical="center"/>
    </xf>
    <xf numFmtId="174" fontId="15" fillId="2" borderId="1" xfId="0" applyNumberFormat="1" applyFont="1" applyFill="1" applyBorder="1" applyAlignment="1">
      <alignment vertical="center"/>
    </xf>
    <xf numFmtId="174" fontId="15" fillId="0" borderId="0" xfId="0" applyNumberFormat="1" applyFont="1" applyAlignment="1">
      <alignment vertical="center"/>
    </xf>
    <xf numFmtId="174" fontId="15" fillId="0" borderId="3" xfId="0" applyNumberFormat="1" applyFont="1" applyBorder="1" applyAlignment="1">
      <alignment vertical="center"/>
    </xf>
    <xf numFmtId="171" fontId="21" fillId="2" borderId="3" xfId="1" applyNumberFormat="1" applyFont="1" applyFill="1" applyBorder="1" applyAlignment="1">
      <alignment horizontal="right" vertical="center"/>
    </xf>
    <xf numFmtId="171" fontId="15" fillId="2" borderId="3" xfId="1" applyNumberFormat="1" applyFont="1" applyFill="1" applyBorder="1" applyAlignment="1">
      <alignment horizontal="right" vertical="center"/>
    </xf>
    <xf numFmtId="0" fontId="22" fillId="2" borderId="1" xfId="0" applyNumberFormat="1" applyFont="1" applyFill="1" applyBorder="1" applyAlignment="1">
      <alignment horizontal="left" vertical="center"/>
    </xf>
    <xf numFmtId="174" fontId="22" fillId="2" borderId="0" xfId="0" applyNumberFormat="1" applyFont="1" applyFill="1" applyAlignment="1">
      <alignment vertical="center"/>
    </xf>
    <xf numFmtId="170" fontId="22" fillId="2" borderId="1" xfId="0" applyNumberFormat="1" applyFont="1" applyFill="1" applyBorder="1" applyAlignment="1">
      <alignment horizontal="right" vertical="center"/>
    </xf>
    <xf numFmtId="174" fontId="22" fillId="2" borderId="3" xfId="0" applyNumberFormat="1" applyFont="1" applyFill="1" applyBorder="1" applyAlignment="1">
      <alignment vertical="center"/>
    </xf>
    <xf numFmtId="174" fontId="22" fillId="2" borderId="2" xfId="0" applyNumberFormat="1" applyFont="1" applyFill="1" applyBorder="1" applyAlignment="1">
      <alignment vertical="center"/>
    </xf>
    <xf numFmtId="174" fontId="22" fillId="2" borderId="1" xfId="0" applyNumberFormat="1" applyFont="1" applyFill="1" applyBorder="1" applyAlignment="1">
      <alignment vertical="center"/>
    </xf>
    <xf numFmtId="174" fontId="22" fillId="0" borderId="0" xfId="0" applyNumberFormat="1" applyFont="1" applyAlignment="1">
      <alignment vertical="center"/>
    </xf>
    <xf numFmtId="174" fontId="22" fillId="0" borderId="3" xfId="0" applyNumberFormat="1" applyFont="1" applyBorder="1" applyAlignment="1">
      <alignment vertical="center"/>
    </xf>
    <xf numFmtId="171" fontId="22" fillId="2" borderId="3" xfId="1" applyNumberFormat="1" applyFont="1" applyFill="1" applyBorder="1" applyAlignment="1">
      <alignment horizontal="right" vertical="center"/>
    </xf>
    <xf numFmtId="170" fontId="21" fillId="2" borderId="1" xfId="0" applyNumberFormat="1" applyFont="1" applyFill="1" applyBorder="1" applyAlignment="1">
      <alignment horizontal="right" vertical="center"/>
    </xf>
    <xf numFmtId="0" fontId="15" fillId="2" borderId="4" xfId="0" applyNumberFormat="1" applyFont="1" applyFill="1" applyBorder="1" applyAlignment="1">
      <alignment horizontal="left" vertical="center"/>
    </xf>
    <xf numFmtId="174" fontId="15" fillId="2" borderId="6" xfId="0" applyNumberFormat="1" applyFont="1" applyFill="1" applyBorder="1" applyAlignment="1">
      <alignment vertical="center"/>
    </xf>
    <xf numFmtId="170" fontId="15" fillId="2" borderId="4" xfId="0" applyNumberFormat="1" applyFont="1" applyFill="1" applyBorder="1" applyAlignment="1">
      <alignment horizontal="right" vertical="center"/>
    </xf>
    <xf numFmtId="174" fontId="15" fillId="2" borderId="8" xfId="0" applyNumberFormat="1" applyFont="1" applyFill="1" applyBorder="1" applyAlignment="1">
      <alignment vertical="center"/>
    </xf>
    <xf numFmtId="174" fontId="15" fillId="2" borderId="7" xfId="0" applyNumberFormat="1" applyFont="1" applyFill="1" applyBorder="1" applyAlignment="1">
      <alignment vertical="center"/>
    </xf>
    <xf numFmtId="174" fontId="15" fillId="2" borderId="4" xfId="0" applyNumberFormat="1" applyFont="1" applyFill="1" applyBorder="1" applyAlignment="1">
      <alignment vertical="center"/>
    </xf>
    <xf numFmtId="174" fontId="15" fillId="0" borderId="6" xfId="0" applyNumberFormat="1" applyFont="1" applyBorder="1" applyAlignment="1">
      <alignment vertical="center"/>
    </xf>
    <xf numFmtId="174" fontId="15" fillId="0" borderId="8" xfId="0" applyNumberFormat="1" applyFont="1" applyBorder="1" applyAlignment="1">
      <alignment vertical="center"/>
    </xf>
    <xf numFmtId="174" fontId="15" fillId="0" borderId="4" xfId="0" applyNumberFormat="1" applyFont="1" applyBorder="1" applyAlignment="1">
      <alignment vertical="center"/>
    </xf>
    <xf numFmtId="174" fontId="15" fillId="0" borderId="7" xfId="0" applyNumberFormat="1" applyFont="1" applyBorder="1" applyAlignment="1">
      <alignment vertical="center"/>
    </xf>
    <xf numFmtId="171" fontId="15" fillId="2" borderId="8" xfId="1" applyNumberFormat="1" applyFont="1" applyFill="1" applyBorder="1" applyAlignment="1">
      <alignment horizontal="right" vertical="center"/>
    </xf>
    <xf numFmtId="191" fontId="21" fillId="2" borderId="0" xfId="0" applyFont="1" applyFill="1" applyAlignment="1">
      <alignment vertical="center"/>
    </xf>
    <xf numFmtId="191" fontId="15" fillId="2" borderId="0" xfId="0" applyFont="1" applyFill="1" applyAlignment="1">
      <alignment horizontal="left" vertical="center"/>
    </xf>
    <xf numFmtId="3" fontId="15" fillId="2" borderId="10" xfId="0" applyNumberFormat="1" applyFont="1" applyFill="1" applyBorder="1" applyAlignment="1">
      <alignment horizontal="center" vertical="center"/>
    </xf>
    <xf numFmtId="3" fontId="15" fillId="2" borderId="11" xfId="0" applyNumberFormat="1" applyFont="1" applyFill="1" applyBorder="1" applyAlignment="1">
      <alignment horizontal="center" vertical="center"/>
    </xf>
    <xf numFmtId="3" fontId="15" fillId="0" borderId="11" xfId="0" applyNumberFormat="1" applyFont="1" applyBorder="1" applyAlignment="1">
      <alignment horizontal="center" vertical="center"/>
    </xf>
    <xf numFmtId="3" fontId="21" fillId="0" borderId="2" xfId="0" applyNumberFormat="1" applyFont="1" applyBorder="1" applyAlignment="1">
      <alignment vertical="center"/>
    </xf>
    <xf numFmtId="3" fontId="21" fillId="0" borderId="0" xfId="0" applyNumberFormat="1" applyFont="1" applyAlignment="1">
      <alignment vertical="center"/>
    </xf>
    <xf numFmtId="3" fontId="22" fillId="2" borderId="2" xfId="0" applyNumberFormat="1" applyFont="1" applyFill="1" applyBorder="1" applyAlignment="1">
      <alignment vertical="center"/>
    </xf>
    <xf numFmtId="3" fontId="22" fillId="2" borderId="0" xfId="0" applyNumberFormat="1" applyFont="1" applyFill="1" applyAlignment="1">
      <alignment vertical="center"/>
    </xf>
    <xf numFmtId="3" fontId="22" fillId="0" borderId="0" xfId="0" applyNumberFormat="1" applyFont="1" applyAlignment="1">
      <alignment vertical="center"/>
    </xf>
    <xf numFmtId="3" fontId="15" fillId="2" borderId="2" xfId="0" applyNumberFormat="1" applyFont="1" applyFill="1" applyBorder="1" applyAlignment="1">
      <alignment vertical="center"/>
    </xf>
    <xf numFmtId="3" fontId="15" fillId="2" borderId="0" xfId="0" applyNumberFormat="1" applyFont="1" applyFill="1" applyAlignment="1">
      <alignment vertical="center"/>
    </xf>
    <xf numFmtId="3" fontId="15" fillId="0" borderId="0" xfId="0" applyNumberFormat="1" applyFont="1" applyAlignment="1">
      <alignment vertical="center"/>
    </xf>
    <xf numFmtId="3" fontId="15" fillId="0" borderId="2" xfId="0" applyNumberFormat="1" applyFont="1" applyBorder="1" applyAlignment="1">
      <alignment vertical="center"/>
    </xf>
    <xf numFmtId="3" fontId="15" fillId="2" borderId="7" xfId="0" applyNumberFormat="1" applyFont="1" applyFill="1" applyBorder="1" applyAlignment="1">
      <alignment vertical="center"/>
    </xf>
    <xf numFmtId="3" fontId="15" fillId="2" borderId="6" xfId="0" applyNumberFormat="1" applyFont="1" applyFill="1" applyBorder="1" applyAlignment="1">
      <alignment vertical="center"/>
    </xf>
    <xf numFmtId="3" fontId="15" fillId="0" borderId="6" xfId="0" applyNumberFormat="1" applyFont="1" applyBorder="1" applyAlignment="1">
      <alignment vertical="center"/>
    </xf>
    <xf numFmtId="3" fontId="15" fillId="0" borderId="5" xfId="0" applyNumberFormat="1" applyFont="1" applyBorder="1" applyAlignment="1">
      <alignment horizontal="center" vertical="center"/>
    </xf>
    <xf numFmtId="3" fontId="21" fillId="0" borderId="1" xfId="0" applyNumberFormat="1" applyFont="1" applyBorder="1" applyAlignment="1">
      <alignment vertical="center"/>
    </xf>
    <xf numFmtId="3" fontId="22" fillId="0" borderId="1" xfId="0" applyNumberFormat="1" applyFont="1" applyBorder="1" applyAlignment="1">
      <alignment vertical="center"/>
    </xf>
    <xf numFmtId="3" fontId="15" fillId="0" borderId="1" xfId="0" applyNumberFormat="1" applyFont="1" applyBorder="1" applyAlignment="1">
      <alignment vertical="center"/>
    </xf>
    <xf numFmtId="3" fontId="15" fillId="0" borderId="4" xfId="0" applyNumberFormat="1" applyFont="1" applyBorder="1" applyAlignment="1">
      <alignment vertical="center"/>
    </xf>
    <xf numFmtId="165" fontId="21" fillId="2" borderId="5" xfId="1" applyNumberFormat="1" applyFont="1" applyFill="1" applyBorder="1" applyAlignment="1">
      <alignment horizontal="right" vertical="center"/>
    </xf>
    <xf numFmtId="170" fontId="10" fillId="2" borderId="1" xfId="0" applyNumberFormat="1" applyFont="1" applyFill="1" applyBorder="1" applyAlignment="1">
      <alignment vertical="center" wrapText="1"/>
    </xf>
    <xf numFmtId="170" fontId="10" fillId="2" borderId="3" xfId="0" applyNumberFormat="1" applyFont="1" applyFill="1" applyBorder="1" applyAlignment="1">
      <alignment vertical="center" wrapText="1"/>
    </xf>
    <xf numFmtId="170" fontId="10" fillId="2" borderId="2" xfId="0" applyNumberFormat="1" applyFont="1" applyFill="1" applyBorder="1" applyAlignment="1">
      <alignment vertical="center" wrapText="1"/>
    </xf>
    <xf numFmtId="170" fontId="10" fillId="0" borderId="3" xfId="0" applyNumberFormat="1" applyFont="1" applyBorder="1" applyAlignment="1">
      <alignment vertical="center" wrapText="1"/>
    </xf>
    <xf numFmtId="170" fontId="6" fillId="2" borderId="1" xfId="0" applyNumberFormat="1" applyFont="1" applyFill="1" applyBorder="1" applyAlignment="1">
      <alignment vertical="center" wrapText="1"/>
    </xf>
    <xf numFmtId="170" fontId="6" fillId="2" borderId="2" xfId="0" applyNumberFormat="1" applyFont="1" applyFill="1" applyBorder="1" applyAlignment="1">
      <alignment vertical="center" wrapText="1"/>
    </xf>
    <xf numFmtId="170" fontId="6" fillId="2" borderId="3" xfId="0" applyNumberFormat="1" applyFont="1" applyFill="1" applyBorder="1" applyAlignment="1">
      <alignment vertical="center" wrapText="1"/>
    </xf>
    <xf numFmtId="170" fontId="6" fillId="0" borderId="3" xfId="0" applyNumberFormat="1" applyFont="1" applyBorder="1" applyAlignment="1">
      <alignment vertical="center" wrapText="1"/>
    </xf>
    <xf numFmtId="170" fontId="4" fillId="2" borderId="1" xfId="0" applyNumberFormat="1" applyFont="1" applyFill="1" applyBorder="1" applyAlignment="1">
      <alignment vertical="center" wrapText="1"/>
    </xf>
    <xf numFmtId="170" fontId="4" fillId="2" borderId="2" xfId="0" applyNumberFormat="1" applyFont="1" applyFill="1" applyBorder="1" applyAlignment="1">
      <alignment vertical="center" wrapText="1"/>
    </xf>
    <xf numFmtId="170" fontId="4" fillId="2" borderId="3" xfId="0" applyNumberFormat="1" applyFont="1" applyFill="1" applyBorder="1" applyAlignment="1">
      <alignment vertical="center" wrapText="1"/>
    </xf>
    <xf numFmtId="170" fontId="4" fillId="0" borderId="3" xfId="0" applyNumberFormat="1" applyFont="1" applyBorder="1" applyAlignment="1">
      <alignment vertical="center" wrapText="1"/>
    </xf>
    <xf numFmtId="3" fontId="4" fillId="2" borderId="0" xfId="0" applyNumberFormat="1" applyFont="1" applyFill="1" applyAlignment="1">
      <alignment horizontal="center" vertical="center"/>
    </xf>
    <xf numFmtId="3" fontId="4" fillId="2" borderId="11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right" vertical="center"/>
    </xf>
    <xf numFmtId="3" fontId="4" fillId="2" borderId="11" xfId="0" applyNumberFormat="1" applyFont="1" applyFill="1" applyBorder="1" applyAlignment="1">
      <alignment horizontal="right" vertical="center"/>
    </xf>
    <xf numFmtId="3" fontId="4" fillId="2" borderId="12" xfId="0" applyNumberFormat="1" applyFont="1" applyFill="1" applyBorder="1" applyAlignment="1">
      <alignment horizontal="right" vertical="center"/>
    </xf>
    <xf numFmtId="3" fontId="4" fillId="2" borderId="12" xfId="0" applyNumberFormat="1" applyFont="1" applyFill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center" vertical="center"/>
    </xf>
    <xf numFmtId="166" fontId="4" fillId="2" borderId="0" xfId="0" applyNumberFormat="1" applyFont="1" applyFill="1" applyAlignment="1">
      <alignment horizontal="right" vertical="center"/>
    </xf>
    <xf numFmtId="166" fontId="4" fillId="2" borderId="0" xfId="0" applyNumberFormat="1" applyFont="1" applyFill="1" applyAlignment="1">
      <alignment vertical="center"/>
    </xf>
    <xf numFmtId="191" fontId="4" fillId="0" borderId="6" xfId="0" applyFont="1" applyBorder="1" applyAlignment="1">
      <alignment vertical="center"/>
    </xf>
    <xf numFmtId="170" fontId="6" fillId="2" borderId="3" xfId="0" applyNumberFormat="1" applyFont="1" applyFill="1" applyBorder="1" applyAlignment="1">
      <alignment vertical="center"/>
    </xf>
    <xf numFmtId="0" fontId="4" fillId="2" borderId="5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vertical="center"/>
    </xf>
    <xf numFmtId="170" fontId="6" fillId="2" borderId="2" xfId="0" applyNumberFormat="1" applyFont="1" applyFill="1" applyBorder="1" applyAlignment="1">
      <alignment vertical="center"/>
    </xf>
    <xf numFmtId="170" fontId="6" fillId="0" borderId="0" xfId="0" applyNumberFormat="1" applyFont="1" applyAlignment="1">
      <alignment vertical="center"/>
    </xf>
    <xf numFmtId="170" fontId="6" fillId="0" borderId="3" xfId="0" applyNumberFormat="1" applyFont="1" applyBorder="1" applyAlignment="1">
      <alignment vertical="center"/>
    </xf>
    <xf numFmtId="0" fontId="6" fillId="2" borderId="1" xfId="0" applyNumberFormat="1" applyFont="1" applyFill="1" applyBorder="1" applyAlignment="1">
      <alignment vertical="center"/>
    </xf>
    <xf numFmtId="186" fontId="4" fillId="2" borderId="1" xfId="0" applyNumberFormat="1" applyFont="1" applyFill="1" applyBorder="1" applyAlignment="1">
      <alignment vertical="center"/>
    </xf>
    <xf numFmtId="191" fontId="15" fillId="3" borderId="1" xfId="0" applyFont="1" applyFill="1" applyBorder="1" applyAlignment="1">
      <alignment horizontal="left" vertical="center"/>
    </xf>
    <xf numFmtId="0" fontId="15" fillId="3" borderId="1" xfId="0" applyNumberFormat="1" applyFont="1" applyFill="1" applyBorder="1" applyAlignment="1">
      <alignment vertical="center"/>
    </xf>
    <xf numFmtId="170" fontId="15" fillId="3" borderId="2" xfId="0" applyNumberFormat="1" applyFont="1" applyFill="1" applyBorder="1" applyAlignment="1">
      <alignment vertical="center"/>
    </xf>
    <xf numFmtId="170" fontId="15" fillId="3" borderId="1" xfId="0" applyNumberFormat="1" applyFont="1" applyFill="1" applyBorder="1" applyAlignment="1">
      <alignment vertical="center"/>
    </xf>
    <xf numFmtId="170" fontId="4" fillId="3" borderId="1" xfId="0" applyNumberFormat="1" applyFont="1" applyFill="1" applyBorder="1" applyAlignment="1">
      <alignment vertical="center"/>
    </xf>
    <xf numFmtId="170" fontId="4" fillId="3" borderId="3" xfId="0" applyNumberFormat="1" applyFont="1" applyFill="1" applyBorder="1" applyAlignment="1">
      <alignment vertical="center"/>
    </xf>
    <xf numFmtId="170" fontId="4" fillId="3" borderId="2" xfId="0" applyNumberFormat="1" applyFont="1" applyFill="1" applyBorder="1" applyAlignment="1">
      <alignment vertical="center"/>
    </xf>
    <xf numFmtId="0" fontId="15" fillId="2" borderId="1" xfId="0" applyNumberFormat="1" applyFont="1" applyFill="1" applyBorder="1" applyAlignment="1">
      <alignment vertical="center"/>
    </xf>
    <xf numFmtId="170" fontId="10" fillId="2" borderId="1" xfId="0" applyNumberFormat="1" applyFont="1" applyFill="1" applyBorder="1" applyAlignment="1">
      <alignment vertical="center"/>
    </xf>
    <xf numFmtId="0" fontId="4" fillId="2" borderId="4" xfId="0" applyNumberFormat="1" applyFont="1" applyFill="1" applyBorder="1" applyAlignment="1">
      <alignment vertical="center"/>
    </xf>
    <xf numFmtId="186" fontId="4" fillId="2" borderId="6" xfId="0" applyNumberFormat="1" applyFont="1" applyFill="1" applyBorder="1" applyAlignment="1">
      <alignment vertical="center"/>
    </xf>
    <xf numFmtId="186" fontId="4" fillId="2" borderId="4" xfId="0" applyNumberFormat="1" applyFont="1" applyFill="1" applyBorder="1" applyAlignment="1">
      <alignment vertical="center"/>
    </xf>
    <xf numFmtId="166" fontId="4" fillId="2" borderId="6" xfId="0" applyNumberFormat="1" applyFont="1" applyFill="1" applyBorder="1" applyAlignment="1">
      <alignment vertical="center"/>
    </xf>
    <xf numFmtId="191" fontId="22" fillId="0" borderId="0" xfId="0" applyFont="1" applyAlignment="1">
      <alignment horizontal="left"/>
    </xf>
    <xf numFmtId="191" fontId="15" fillId="0" borderId="0" xfId="0" applyFont="1"/>
    <xf numFmtId="170" fontId="15" fillId="0" borderId="0" xfId="0" applyNumberFormat="1" applyFont="1"/>
    <xf numFmtId="191" fontId="15" fillId="2" borderId="0" xfId="0" applyFont="1" applyFill="1"/>
    <xf numFmtId="170" fontId="15" fillId="2" borderId="0" xfId="0" applyNumberFormat="1" applyFont="1" applyFill="1"/>
    <xf numFmtId="191" fontId="22" fillId="0" borderId="6" xfId="0" applyFont="1" applyBorder="1" applyAlignment="1">
      <alignment horizontal="left"/>
    </xf>
    <xf numFmtId="191" fontId="15" fillId="2" borderId="0" xfId="0" applyFont="1" applyFill="1" applyAlignment="1">
      <alignment horizontal="center"/>
    </xf>
    <xf numFmtId="191" fontId="15" fillId="2" borderId="6" xfId="0" applyFont="1" applyFill="1" applyBorder="1"/>
    <xf numFmtId="191" fontId="15" fillId="2" borderId="5" xfId="0" applyFont="1" applyFill="1" applyBorder="1"/>
    <xf numFmtId="191" fontId="15" fillId="2" borderId="4" xfId="0" applyFont="1" applyFill="1" applyBorder="1"/>
    <xf numFmtId="191" fontId="15" fillId="2" borderId="1" xfId="0" applyFont="1" applyFill="1" applyBorder="1"/>
    <xf numFmtId="185" fontId="21" fillId="2" borderId="1" xfId="1" applyNumberFormat="1" applyFont="1" applyFill="1" applyBorder="1" applyAlignment="1">
      <alignment horizontal="right"/>
    </xf>
    <xf numFmtId="174" fontId="21" fillId="2" borderId="1" xfId="1" applyNumberFormat="1" applyFont="1" applyFill="1" applyBorder="1" applyAlignment="1">
      <alignment horizontal="right"/>
    </xf>
    <xf numFmtId="191" fontId="22" fillId="2" borderId="1" xfId="0" applyFont="1" applyFill="1" applyBorder="1" applyAlignment="1">
      <alignment horizontal="left"/>
    </xf>
    <xf numFmtId="185" fontId="22" fillId="2" borderId="1" xfId="1" applyNumberFormat="1" applyFont="1" applyFill="1" applyBorder="1" applyAlignment="1">
      <alignment horizontal="right"/>
    </xf>
    <xf numFmtId="174" fontId="22" fillId="2" borderId="0" xfId="1" applyNumberFormat="1" applyFont="1" applyFill="1" applyBorder="1" applyAlignment="1">
      <alignment horizontal="right"/>
    </xf>
    <xf numFmtId="174" fontId="22" fillId="2" borderId="1" xfId="1" applyNumberFormat="1" applyFont="1" applyFill="1" applyBorder="1" applyAlignment="1">
      <alignment horizontal="right"/>
    </xf>
    <xf numFmtId="191" fontId="15" fillId="2" borderId="1" xfId="0" applyFont="1" applyFill="1" applyBorder="1" applyAlignment="1">
      <alignment horizontal="left"/>
    </xf>
    <xf numFmtId="185" fontId="15" fillId="2" borderId="1" xfId="1" applyNumberFormat="1" applyFont="1" applyFill="1" applyBorder="1" applyAlignment="1">
      <alignment horizontal="right"/>
    </xf>
    <xf numFmtId="174" fontId="15" fillId="2" borderId="0" xfId="1" applyNumberFormat="1" applyFont="1" applyFill="1" applyBorder="1" applyAlignment="1">
      <alignment horizontal="right"/>
    </xf>
    <xf numFmtId="174" fontId="15" fillId="2" borderId="1" xfId="1" applyNumberFormat="1" applyFont="1" applyFill="1" applyBorder="1" applyAlignment="1">
      <alignment horizontal="right"/>
    </xf>
    <xf numFmtId="185" fontId="22" fillId="2" borderId="4" xfId="1" applyNumberFormat="1" applyFont="1" applyFill="1" applyBorder="1" applyAlignment="1">
      <alignment horizontal="right"/>
    </xf>
    <xf numFmtId="174" fontId="22" fillId="2" borderId="4" xfId="1" applyNumberFormat="1" applyFont="1" applyFill="1" applyBorder="1" applyAlignment="1">
      <alignment horizontal="right"/>
    </xf>
    <xf numFmtId="168" fontId="15" fillId="2" borderId="0" xfId="0" applyNumberFormat="1" applyFont="1" applyFill="1" applyAlignment="1">
      <alignment horizontal="left"/>
    </xf>
    <xf numFmtId="170" fontId="22" fillId="2" borderId="0" xfId="0" applyNumberFormat="1" applyFont="1" applyFill="1"/>
    <xf numFmtId="174" fontId="21" fillId="2" borderId="0" xfId="0" applyNumberFormat="1" applyFont="1" applyFill="1"/>
    <xf numFmtId="174" fontId="15" fillId="2" borderId="0" xfId="0" applyNumberFormat="1" applyFont="1" applyFill="1"/>
    <xf numFmtId="174" fontId="22" fillId="2" borderId="0" xfId="0" applyNumberFormat="1" applyFont="1" applyFill="1"/>
    <xf numFmtId="174" fontId="15" fillId="2" borderId="0" xfId="0" quotePrefix="1" applyNumberFormat="1" applyFont="1" applyFill="1"/>
    <xf numFmtId="191" fontId="15" fillId="2" borderId="0" xfId="0" applyFont="1" applyFill="1" applyAlignment="1">
      <alignment horizontal="left"/>
    </xf>
    <xf numFmtId="185" fontId="22" fillId="2" borderId="0" xfId="1" applyNumberFormat="1" applyFont="1" applyFill="1" applyBorder="1" applyAlignment="1">
      <alignment horizontal="right"/>
    </xf>
    <xf numFmtId="170" fontId="22" fillId="0" borderId="0" xfId="0" applyNumberFormat="1" applyFont="1"/>
    <xf numFmtId="191" fontId="21" fillId="2" borderId="1" xfId="0" applyFont="1" applyFill="1" applyBorder="1" applyAlignment="1">
      <alignment horizontal="left"/>
    </xf>
    <xf numFmtId="191" fontId="15" fillId="2" borderId="4" xfId="0" applyFont="1" applyFill="1" applyBorder="1" applyAlignment="1">
      <alignment horizontal="left"/>
    </xf>
    <xf numFmtId="174" fontId="21" fillId="2" borderId="4" xfId="1" applyNumberFormat="1" applyFont="1" applyFill="1" applyBorder="1" applyAlignment="1">
      <alignment horizontal="right"/>
    </xf>
    <xf numFmtId="191" fontId="22" fillId="2" borderId="0" xfId="0" applyFont="1" applyFill="1"/>
    <xf numFmtId="191" fontId="21" fillId="2" borderId="0" xfId="0" applyFont="1" applyFill="1"/>
    <xf numFmtId="3" fontId="15" fillId="2" borderId="10" xfId="0" applyNumberFormat="1" applyFont="1" applyFill="1" applyBorder="1" applyAlignment="1">
      <alignment horizontal="center"/>
    </xf>
    <xf numFmtId="3" fontId="15" fillId="2" borderId="11" xfId="0" applyNumberFormat="1" applyFont="1" applyFill="1" applyBorder="1" applyAlignment="1">
      <alignment horizontal="center"/>
    </xf>
    <xf numFmtId="3" fontId="15" fillId="0" borderId="11" xfId="0" applyNumberFormat="1" applyFont="1" applyBorder="1" applyAlignment="1">
      <alignment horizontal="center"/>
    </xf>
    <xf numFmtId="3" fontId="15" fillId="2" borderId="5" xfId="0" applyNumberFormat="1" applyFont="1" applyFill="1" applyBorder="1" applyAlignment="1">
      <alignment horizontal="center"/>
    </xf>
    <xf numFmtId="3" fontId="21" fillId="2" borderId="2" xfId="0" applyNumberFormat="1" applyFont="1" applyFill="1" applyBorder="1"/>
    <xf numFmtId="3" fontId="21" fillId="2" borderId="0" xfId="0" applyNumberFormat="1" applyFont="1" applyFill="1"/>
    <xf numFmtId="3" fontId="21" fillId="0" borderId="0" xfId="0" applyNumberFormat="1" applyFont="1"/>
    <xf numFmtId="3" fontId="21" fillId="2" borderId="1" xfId="0" applyNumberFormat="1" applyFont="1" applyFill="1" applyBorder="1"/>
    <xf numFmtId="3" fontId="22" fillId="2" borderId="2" xfId="0" applyNumberFormat="1" applyFont="1" applyFill="1" applyBorder="1"/>
    <xf numFmtId="3" fontId="22" fillId="2" borderId="0" xfId="0" applyNumberFormat="1" applyFont="1" applyFill="1"/>
    <xf numFmtId="3" fontId="22" fillId="0" borderId="0" xfId="0" applyNumberFormat="1" applyFont="1"/>
    <xf numFmtId="3" fontId="22" fillId="2" borderId="1" xfId="0" applyNumberFormat="1" applyFont="1" applyFill="1" applyBorder="1"/>
    <xf numFmtId="3" fontId="15" fillId="2" borderId="2" xfId="0" applyNumberFormat="1" applyFont="1" applyFill="1" applyBorder="1"/>
    <xf numFmtId="3" fontId="15" fillId="2" borderId="0" xfId="0" applyNumberFormat="1" applyFont="1" applyFill="1"/>
    <xf numFmtId="3" fontId="15" fillId="0" borderId="0" xfId="0" applyNumberFormat="1" applyFont="1"/>
    <xf numFmtId="3" fontId="15" fillId="2" borderId="1" xfId="0" applyNumberFormat="1" applyFont="1" applyFill="1" applyBorder="1"/>
    <xf numFmtId="3" fontId="15" fillId="0" borderId="2" xfId="0" applyNumberFormat="1" applyFont="1" applyBorder="1"/>
    <xf numFmtId="3" fontId="15" fillId="0" borderId="1" xfId="0" applyNumberFormat="1" applyFont="1" applyBorder="1"/>
    <xf numFmtId="3" fontId="15" fillId="0" borderId="7" xfId="0" applyNumberFormat="1" applyFont="1" applyBorder="1"/>
    <xf numFmtId="3" fontId="15" fillId="0" borderId="6" xfId="0" applyNumberFormat="1" applyFont="1" applyBorder="1"/>
    <xf numFmtId="3" fontId="15" fillId="0" borderId="4" xfId="0" applyNumberFormat="1" applyFont="1" applyBorder="1"/>
    <xf numFmtId="185" fontId="15" fillId="2" borderId="0" xfId="1" applyNumberFormat="1" applyFont="1" applyFill="1" applyBorder="1" applyAlignment="1">
      <alignment horizontal="right"/>
    </xf>
    <xf numFmtId="0" fontId="15" fillId="2" borderId="0" xfId="0" applyNumberFormat="1" applyFont="1" applyFill="1"/>
    <xf numFmtId="0" fontId="22" fillId="2" borderId="0" xfId="0" applyNumberFormat="1" applyFont="1" applyFill="1" applyAlignment="1">
      <alignment vertical="center"/>
    </xf>
    <xf numFmtId="0" fontId="15" fillId="2" borderId="0" xfId="0" applyNumberFormat="1" applyFont="1" applyFill="1" applyAlignment="1">
      <alignment horizontal="center"/>
    </xf>
    <xf numFmtId="0" fontId="15" fillId="0" borderId="0" xfId="0" applyNumberFormat="1" applyFont="1" applyAlignment="1">
      <alignment horizontal="center"/>
    </xf>
    <xf numFmtId="0" fontId="15" fillId="0" borderId="0" xfId="0" applyNumberFormat="1" applyFont="1"/>
    <xf numFmtId="0" fontId="22" fillId="2" borderId="0" xfId="0" applyNumberFormat="1" applyFont="1" applyFill="1" applyAlignment="1">
      <alignment horizontal="left"/>
    </xf>
    <xf numFmtId="170" fontId="22" fillId="2" borderId="0" xfId="0" applyNumberFormat="1" applyFont="1" applyFill="1" applyAlignment="1">
      <alignment horizontal="right"/>
    </xf>
    <xf numFmtId="170" fontId="22" fillId="0" borderId="0" xfId="0" applyNumberFormat="1" applyFont="1" applyAlignment="1">
      <alignment horizontal="right"/>
    </xf>
    <xf numFmtId="171" fontId="22" fillId="2" borderId="0" xfId="1" applyNumberFormat="1" applyFont="1" applyFill="1" applyBorder="1" applyAlignment="1">
      <alignment horizontal="right"/>
    </xf>
    <xf numFmtId="0" fontId="21" fillId="2" borderId="0" xfId="0" applyNumberFormat="1" applyFont="1" applyFill="1" applyAlignment="1">
      <alignment horizontal="left"/>
    </xf>
    <xf numFmtId="170" fontId="21" fillId="2" borderId="0" xfId="0" applyNumberFormat="1" applyFont="1" applyFill="1" applyAlignment="1">
      <alignment horizontal="right"/>
    </xf>
    <xf numFmtId="174" fontId="21" fillId="0" borderId="0" xfId="0" applyNumberFormat="1" applyFont="1"/>
    <xf numFmtId="171" fontId="21" fillId="2" borderId="0" xfId="1" applyNumberFormat="1" applyFont="1" applyFill="1" applyBorder="1" applyAlignment="1">
      <alignment horizontal="right"/>
    </xf>
    <xf numFmtId="166" fontId="21" fillId="2" borderId="0" xfId="1" applyNumberFormat="1" applyFont="1" applyFill="1" applyBorder="1" applyAlignment="1">
      <alignment horizontal="right"/>
    </xf>
    <xf numFmtId="0" fontId="15" fillId="2" borderId="0" xfId="0" applyNumberFormat="1" applyFont="1" applyFill="1" applyAlignment="1">
      <alignment horizontal="left"/>
    </xf>
    <xf numFmtId="170" fontId="15" fillId="2" borderId="0" xfId="0" applyNumberFormat="1" applyFont="1" applyFill="1" applyAlignment="1">
      <alignment horizontal="right"/>
    </xf>
    <xf numFmtId="174" fontId="15" fillId="0" borderId="0" xfId="0" applyNumberFormat="1" applyFont="1"/>
    <xf numFmtId="166" fontId="15" fillId="2" borderId="0" xfId="1" applyNumberFormat="1" applyFont="1" applyFill="1" applyBorder="1" applyAlignment="1">
      <alignment horizontal="right"/>
    </xf>
    <xf numFmtId="174" fontId="22" fillId="0" borderId="0" xfId="0" applyNumberFormat="1" applyFont="1"/>
    <xf numFmtId="166" fontId="22" fillId="2" borderId="0" xfId="1" applyNumberFormat="1" applyFont="1" applyFill="1" applyBorder="1" applyAlignment="1">
      <alignment horizontal="right"/>
    </xf>
    <xf numFmtId="171" fontId="15" fillId="2" borderId="0" xfId="1" applyNumberFormat="1" applyFont="1" applyFill="1" applyBorder="1" applyAlignment="1">
      <alignment horizontal="right"/>
    </xf>
    <xf numFmtId="174" fontId="15" fillId="0" borderId="0" xfId="0" quotePrefix="1" applyNumberFormat="1" applyFont="1"/>
    <xf numFmtId="191" fontId="4" fillId="2" borderId="11" xfId="0" applyFont="1" applyFill="1" applyBorder="1" applyAlignment="1">
      <alignment vertical="center"/>
    </xf>
    <xf numFmtId="170" fontId="5" fillId="2" borderId="3" xfId="0" applyNumberFormat="1" applyFont="1" applyFill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191" fontId="5" fillId="2" borderId="1" xfId="0" applyFont="1" applyFill="1" applyBorder="1" applyAlignment="1">
      <alignment vertical="center"/>
    </xf>
    <xf numFmtId="191" fontId="6" fillId="2" borderId="1" xfId="0" applyFont="1" applyFill="1" applyBorder="1" applyAlignment="1">
      <alignment vertical="center"/>
    </xf>
    <xf numFmtId="0" fontId="4" fillId="2" borderId="0" xfId="0" applyNumberFormat="1" applyFont="1" applyFill="1" applyAlignment="1">
      <alignment horizontal="right" vertical="center"/>
    </xf>
    <xf numFmtId="191" fontId="4" fillId="2" borderId="4" xfId="0" applyFont="1" applyFill="1" applyBorder="1" applyAlignment="1">
      <alignment horizontal="left"/>
    </xf>
    <xf numFmtId="37" fontId="4" fillId="2" borderId="6" xfId="0" applyNumberFormat="1" applyFont="1" applyFill="1" applyBorder="1"/>
    <xf numFmtId="191" fontId="4" fillId="2" borderId="3" xfId="0" applyFont="1" applyFill="1" applyBorder="1"/>
    <xf numFmtId="191" fontId="4" fillId="2" borderId="10" xfId="0" applyFont="1" applyFill="1" applyBorder="1"/>
    <xf numFmtId="191" fontId="4" fillId="2" borderId="12" xfId="0" applyFont="1" applyFill="1" applyBorder="1"/>
    <xf numFmtId="191" fontId="4" fillId="2" borderId="2" xfId="0" applyFont="1" applyFill="1" applyBorder="1"/>
    <xf numFmtId="37" fontId="4" fillId="2" borderId="1" xfId="0" applyNumberFormat="1" applyFont="1" applyFill="1" applyBorder="1" applyAlignment="1">
      <alignment horizontal="center"/>
    </xf>
    <xf numFmtId="171" fontId="5" fillId="2" borderId="1" xfId="0" applyNumberFormat="1" applyFont="1" applyFill="1" applyBorder="1" applyAlignment="1">
      <alignment horizontal="right"/>
    </xf>
    <xf numFmtId="167" fontId="4" fillId="2" borderId="1" xfId="0" applyNumberFormat="1" applyFont="1" applyFill="1" applyBorder="1" applyAlignment="1">
      <alignment horizontal="left"/>
    </xf>
    <xf numFmtId="171" fontId="4" fillId="2" borderId="1" xfId="0" applyNumberFormat="1" applyFont="1" applyFill="1" applyBorder="1" applyAlignment="1">
      <alignment horizontal="right"/>
    </xf>
    <xf numFmtId="173" fontId="4" fillId="2" borderId="0" xfId="2" applyNumberFormat="1" applyFont="1" applyFill="1"/>
    <xf numFmtId="171" fontId="4" fillId="2" borderId="3" xfId="0" applyNumberFormat="1" applyFont="1" applyFill="1" applyBorder="1" applyAlignment="1">
      <alignment horizontal="right"/>
    </xf>
    <xf numFmtId="173" fontId="4" fillId="2" borderId="11" xfId="2" applyNumberFormat="1" applyFont="1" applyFill="1" applyBorder="1"/>
    <xf numFmtId="164" fontId="4" fillId="2" borderId="0" xfId="1" applyFont="1" applyFill="1" applyBorder="1" applyAlignment="1">
      <alignment horizontal="right"/>
    </xf>
    <xf numFmtId="164" fontId="4" fillId="2" borderId="2" xfId="1" applyFont="1" applyFill="1" applyBorder="1" applyAlignment="1">
      <alignment horizontal="right"/>
    </xf>
    <xf numFmtId="164" fontId="4" fillId="2" borderId="3" xfId="1" applyFont="1" applyFill="1" applyBorder="1" applyAlignment="1">
      <alignment horizontal="right"/>
    </xf>
    <xf numFmtId="171" fontId="5" fillId="2" borderId="3" xfId="0" applyNumberFormat="1" applyFont="1" applyFill="1" applyBorder="1" applyAlignment="1">
      <alignment horizontal="right"/>
    </xf>
    <xf numFmtId="171" fontId="6" fillId="2" borderId="3" xfId="0" applyNumberFormat="1" applyFont="1" applyFill="1" applyBorder="1" applyAlignment="1">
      <alignment horizontal="right"/>
    </xf>
    <xf numFmtId="171" fontId="6" fillId="2" borderId="1" xfId="0" applyNumberFormat="1" applyFont="1" applyFill="1" applyBorder="1" applyAlignment="1">
      <alignment horizontal="right"/>
    </xf>
    <xf numFmtId="171" fontId="4" fillId="2" borderId="4" xfId="0" applyNumberFormat="1" applyFont="1" applyFill="1" applyBorder="1" applyAlignment="1">
      <alignment horizontal="right"/>
    </xf>
    <xf numFmtId="167" fontId="4" fillId="2" borderId="0" xfId="0" applyNumberFormat="1" applyFont="1" applyFill="1" applyAlignment="1">
      <alignment horizontal="left"/>
    </xf>
    <xf numFmtId="171" fontId="4" fillId="2" borderId="0" xfId="0" applyNumberFormat="1" applyFont="1" applyFill="1" applyAlignment="1">
      <alignment horizontal="right"/>
    </xf>
    <xf numFmtId="191" fontId="4" fillId="2" borderId="0" xfId="0" applyFont="1" applyFill="1" applyAlignment="1">
      <alignment horizontal="left"/>
    </xf>
    <xf numFmtId="164" fontId="6" fillId="2" borderId="0" xfId="1" applyFont="1" applyFill="1" applyBorder="1" applyAlignment="1">
      <alignment horizontal="right"/>
    </xf>
    <xf numFmtId="173" fontId="4" fillId="2" borderId="0" xfId="2" applyNumberFormat="1" applyFont="1" applyFill="1" applyBorder="1"/>
    <xf numFmtId="37" fontId="4" fillId="2" borderId="3" xfId="0" applyNumberFormat="1" applyFont="1" applyFill="1" applyBorder="1" applyAlignment="1">
      <alignment horizontal="center"/>
    </xf>
    <xf numFmtId="191" fontId="4" fillId="2" borderId="7" xfId="0" applyFont="1" applyFill="1" applyBorder="1"/>
    <xf numFmtId="165" fontId="4" fillId="2" borderId="8" xfId="0" applyNumberFormat="1" applyFont="1" applyFill="1" applyBorder="1" applyAlignment="1">
      <alignment horizontal="right" vertical="justify"/>
    </xf>
    <xf numFmtId="191" fontId="6" fillId="2" borderId="1" xfId="0" applyFont="1" applyFill="1" applyBorder="1" applyAlignment="1">
      <alignment horizontal="left"/>
    </xf>
    <xf numFmtId="37" fontId="4" fillId="2" borderId="0" xfId="0" applyNumberFormat="1" applyFont="1" applyFill="1" applyAlignment="1">
      <alignment vertical="center"/>
    </xf>
    <xf numFmtId="3" fontId="6" fillId="2" borderId="0" xfId="0" applyNumberFormat="1" applyFont="1" applyFill="1" applyAlignment="1">
      <alignment horizontal="left" vertical="center"/>
    </xf>
    <xf numFmtId="37" fontId="4" fillId="2" borderId="6" xfId="0" applyNumberFormat="1" applyFont="1" applyFill="1" applyBorder="1" applyAlignment="1">
      <alignment vertical="center"/>
    </xf>
    <xf numFmtId="191" fontId="4" fillId="2" borderId="10" xfId="0" applyFont="1" applyFill="1" applyBorder="1" applyAlignment="1">
      <alignment vertical="center"/>
    </xf>
    <xf numFmtId="191" fontId="4" fillId="2" borderId="12" xfId="0" applyFont="1" applyFill="1" applyBorder="1" applyAlignment="1">
      <alignment vertical="center"/>
    </xf>
    <xf numFmtId="37" fontId="4" fillId="2" borderId="5" xfId="0" applyNumberFormat="1" applyFont="1" applyFill="1" applyBorder="1" applyAlignment="1">
      <alignment horizontal="center" vertical="center"/>
    </xf>
    <xf numFmtId="37" fontId="4" fillId="2" borderId="1" xfId="0" applyNumberFormat="1" applyFont="1" applyFill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left" vertical="center"/>
    </xf>
    <xf numFmtId="170" fontId="5" fillId="2" borderId="2" xfId="0" applyNumberFormat="1" applyFont="1" applyFill="1" applyBorder="1" applyAlignment="1">
      <alignment vertical="center"/>
    </xf>
    <xf numFmtId="171" fontId="5" fillId="2" borderId="1" xfId="0" applyNumberFormat="1" applyFont="1" applyFill="1" applyBorder="1" applyAlignment="1">
      <alignment horizontal="right" vertical="center"/>
    </xf>
    <xf numFmtId="173" fontId="5" fillId="2" borderId="0" xfId="2" applyNumberFormat="1" applyFont="1" applyFill="1" applyAlignment="1">
      <alignment horizontal="right" vertical="center"/>
    </xf>
    <xf numFmtId="167" fontId="6" fillId="2" borderId="1" xfId="0" applyNumberFormat="1" applyFont="1" applyFill="1" applyBorder="1" applyAlignment="1">
      <alignment horizontal="left" vertical="center"/>
    </xf>
    <xf numFmtId="171" fontId="6" fillId="2" borderId="1" xfId="0" applyNumberFormat="1" applyFont="1" applyFill="1" applyBorder="1" applyAlignment="1">
      <alignment horizontal="right" vertical="center"/>
    </xf>
    <xf numFmtId="173" fontId="6" fillId="2" borderId="0" xfId="2" applyNumberFormat="1" applyFont="1" applyFill="1" applyAlignment="1">
      <alignment horizontal="right" vertical="center"/>
    </xf>
    <xf numFmtId="167" fontId="4" fillId="2" borderId="1" xfId="0" applyNumberFormat="1" applyFont="1" applyFill="1" applyBorder="1" applyAlignment="1">
      <alignment horizontal="left" vertical="center"/>
    </xf>
    <xf numFmtId="171" fontId="4" fillId="2" borderId="1" xfId="0" applyNumberFormat="1" applyFont="1" applyFill="1" applyBorder="1" applyAlignment="1">
      <alignment horizontal="right" vertical="center"/>
    </xf>
    <xf numFmtId="173" fontId="4" fillId="2" borderId="0" xfId="2" applyNumberFormat="1" applyFont="1" applyFill="1" applyAlignment="1">
      <alignment horizontal="right" vertical="center"/>
    </xf>
    <xf numFmtId="167" fontId="4" fillId="2" borderId="5" xfId="0" applyNumberFormat="1" applyFont="1" applyFill="1" applyBorder="1" applyAlignment="1">
      <alignment horizontal="left" vertical="center"/>
    </xf>
    <xf numFmtId="173" fontId="4" fillId="2" borderId="12" xfId="2" applyNumberFormat="1" applyFont="1" applyFill="1" applyBorder="1" applyAlignment="1">
      <alignment vertical="center"/>
    </xf>
    <xf numFmtId="173" fontId="4" fillId="2" borderId="3" xfId="2" applyNumberFormat="1" applyFont="1" applyFill="1" applyBorder="1" applyAlignment="1">
      <alignment vertical="center"/>
    </xf>
    <xf numFmtId="167" fontId="4" fillId="2" borderId="4" xfId="0" applyNumberFormat="1" applyFont="1" applyFill="1" applyBorder="1" applyAlignment="1">
      <alignment horizontal="left" vertical="center"/>
    </xf>
    <xf numFmtId="173" fontId="4" fillId="2" borderId="8" xfId="2" applyNumberFormat="1" applyFont="1" applyFill="1" applyBorder="1" applyAlignment="1">
      <alignment vertical="center"/>
    </xf>
    <xf numFmtId="170" fontId="4" fillId="2" borderId="0" xfId="0" applyNumberFormat="1" applyFont="1" applyFill="1" applyAlignment="1">
      <alignment horizontal="right" vertical="center"/>
    </xf>
    <xf numFmtId="170" fontId="4" fillId="2" borderId="3" xfId="0" applyNumberFormat="1" applyFont="1" applyFill="1" applyBorder="1" applyAlignment="1">
      <alignment horizontal="right" vertical="center"/>
    </xf>
    <xf numFmtId="170" fontId="4" fillId="2" borderId="2" xfId="0" applyNumberFormat="1" applyFont="1" applyFill="1" applyBorder="1" applyAlignment="1">
      <alignment horizontal="right" vertical="center"/>
    </xf>
    <xf numFmtId="173" fontId="4" fillId="2" borderId="0" xfId="2" applyNumberFormat="1" applyFont="1" applyFill="1" applyBorder="1" applyAlignment="1">
      <alignment vertical="center"/>
    </xf>
    <xf numFmtId="164" fontId="4" fillId="2" borderId="0" xfId="1" applyFont="1" applyFill="1" applyBorder="1" applyAlignment="1">
      <alignment horizontal="right" vertical="center"/>
    </xf>
    <xf numFmtId="164" fontId="4" fillId="2" borderId="2" xfId="1" applyFont="1" applyFill="1" applyBorder="1" applyAlignment="1">
      <alignment horizontal="right" vertical="center"/>
    </xf>
    <xf numFmtId="164" fontId="4" fillId="2" borderId="3" xfId="1" applyFont="1" applyFill="1" applyBorder="1" applyAlignment="1">
      <alignment horizontal="right" vertical="center"/>
    </xf>
    <xf numFmtId="170" fontId="6" fillId="2" borderId="3" xfId="0" applyNumberFormat="1" applyFont="1" applyFill="1" applyBorder="1" applyAlignment="1">
      <alignment horizontal="right" vertical="center"/>
    </xf>
    <xf numFmtId="164" fontId="6" fillId="2" borderId="0" xfId="1" applyFont="1" applyFill="1" applyBorder="1" applyAlignment="1">
      <alignment horizontal="right" vertical="center"/>
    </xf>
    <xf numFmtId="170" fontId="4" fillId="2" borderId="6" xfId="0" applyNumberFormat="1" applyFont="1" applyFill="1" applyBorder="1" applyAlignment="1">
      <alignment horizontal="right" vertical="center"/>
    </xf>
    <xf numFmtId="170" fontId="4" fillId="2" borderId="8" xfId="0" applyNumberFormat="1" applyFont="1" applyFill="1" applyBorder="1" applyAlignment="1">
      <alignment horizontal="right" vertical="center"/>
    </xf>
    <xf numFmtId="164" fontId="4" fillId="2" borderId="6" xfId="1" applyFont="1" applyFill="1" applyBorder="1" applyAlignment="1">
      <alignment horizontal="right" vertical="center"/>
    </xf>
    <xf numFmtId="164" fontId="4" fillId="2" borderId="6" xfId="1" applyFont="1" applyFill="1" applyBorder="1" applyAlignment="1">
      <alignment vertical="center"/>
    </xf>
    <xf numFmtId="164" fontId="4" fillId="2" borderId="7" xfId="1" applyFont="1" applyFill="1" applyBorder="1" applyAlignment="1">
      <alignment vertical="center"/>
    </xf>
    <xf numFmtId="164" fontId="4" fillId="2" borderId="8" xfId="1" applyFont="1" applyFill="1" applyBorder="1" applyAlignment="1">
      <alignment vertical="center"/>
    </xf>
    <xf numFmtId="171" fontId="4" fillId="2" borderId="4" xfId="0" applyNumberFormat="1" applyFont="1" applyFill="1" applyBorder="1" applyAlignment="1">
      <alignment horizontal="right" vertical="center"/>
    </xf>
    <xf numFmtId="167" fontId="4" fillId="2" borderId="0" xfId="0" applyNumberFormat="1" applyFont="1" applyFill="1" applyAlignment="1">
      <alignment horizontal="left" vertical="center"/>
    </xf>
    <xf numFmtId="171" fontId="4" fillId="2" borderId="0" xfId="0" applyNumberFormat="1" applyFont="1" applyFill="1" applyAlignment="1">
      <alignment horizontal="right" vertical="center"/>
    </xf>
    <xf numFmtId="167" fontId="4" fillId="2" borderId="0" xfId="0" applyNumberFormat="1" applyFont="1" applyFill="1" applyAlignment="1">
      <alignment vertical="center"/>
    </xf>
    <xf numFmtId="37" fontId="4" fillId="2" borderId="14" xfId="0" applyNumberFormat="1" applyFont="1" applyFill="1" applyBorder="1" applyAlignment="1">
      <alignment horizontal="centerContinuous" vertical="center"/>
    </xf>
    <xf numFmtId="37" fontId="4" fillId="2" borderId="13" xfId="0" applyNumberFormat="1" applyFont="1" applyFill="1" applyBorder="1" applyAlignment="1">
      <alignment horizontal="centerContinuous" vertical="center"/>
    </xf>
    <xf numFmtId="37" fontId="4" fillId="2" borderId="8" xfId="0" applyNumberFormat="1" applyFont="1" applyFill="1" applyBorder="1" applyAlignment="1">
      <alignment horizontal="centerContinuous" vertical="center"/>
    </xf>
    <xf numFmtId="37" fontId="4" fillId="2" borderId="4" xfId="0" applyNumberFormat="1" applyFont="1" applyFill="1" applyBorder="1" applyAlignment="1">
      <alignment horizontal="centerContinuous" vertical="center"/>
    </xf>
    <xf numFmtId="1" fontId="4" fillId="2" borderId="10" xfId="0" applyNumberFormat="1" applyFont="1" applyFill="1" applyBorder="1" applyAlignment="1">
      <alignment horizontal="center"/>
    </xf>
    <xf numFmtId="1" fontId="4" fillId="2" borderId="11" xfId="0" applyNumberFormat="1" applyFont="1" applyFill="1" applyBorder="1" applyAlignment="1">
      <alignment horizontal="center"/>
    </xf>
    <xf numFmtId="191" fontId="4" fillId="2" borderId="7" xfId="0" applyFont="1" applyFill="1" applyBorder="1" applyAlignment="1">
      <alignment horizontal="right"/>
    </xf>
    <xf numFmtId="191" fontId="4" fillId="2" borderId="6" xfId="0" applyFont="1" applyFill="1" applyBorder="1" applyAlignment="1">
      <alignment horizontal="right"/>
    </xf>
    <xf numFmtId="191" fontId="4" fillId="2" borderId="8" xfId="0" applyFont="1" applyFill="1" applyBorder="1" applyAlignment="1">
      <alignment horizontal="center"/>
    </xf>
    <xf numFmtId="191" fontId="4" fillId="2" borderId="8" xfId="0" applyFont="1" applyFill="1" applyBorder="1" applyAlignment="1">
      <alignment horizontal="right"/>
    </xf>
    <xf numFmtId="0" fontId="6" fillId="2" borderId="0" xfId="0" applyNumberFormat="1" applyFont="1" applyFill="1" applyAlignment="1">
      <alignment horizontal="left"/>
    </xf>
    <xf numFmtId="0" fontId="4" fillId="2" borderId="10" xfId="0" applyNumberFormat="1" applyFont="1" applyFill="1" applyBorder="1" applyAlignment="1">
      <alignment horizontal="center"/>
    </xf>
    <xf numFmtId="0" fontId="4" fillId="2" borderId="11" xfId="0" applyNumberFormat="1" applyFont="1" applyFill="1" applyBorder="1" applyAlignment="1">
      <alignment horizontal="center"/>
    </xf>
    <xf numFmtId="0" fontId="4" fillId="2" borderId="5" xfId="0" applyNumberFormat="1" applyFont="1" applyFill="1" applyBorder="1" applyAlignment="1">
      <alignment horizontal="center"/>
    </xf>
    <xf numFmtId="0" fontId="4" fillId="2" borderId="0" xfId="0" applyNumberFormat="1" applyFont="1" applyFill="1" applyAlignment="1">
      <alignment horizontal="center"/>
    </xf>
    <xf numFmtId="3" fontId="4" fillId="2" borderId="8" xfId="0" applyNumberFormat="1" applyFont="1" applyFill="1" applyBorder="1" applyAlignment="1">
      <alignment horizontal="right"/>
    </xf>
    <xf numFmtId="191" fontId="4" fillId="2" borderId="7" xfId="0" applyFont="1" applyFill="1" applyBorder="1" applyAlignment="1">
      <alignment horizontal="center"/>
    </xf>
    <xf numFmtId="191" fontId="4" fillId="2" borderId="6" xfId="0" applyFont="1" applyFill="1" applyBorder="1" applyAlignment="1">
      <alignment horizontal="center"/>
    </xf>
    <xf numFmtId="191" fontId="4" fillId="2" borderId="4" xfId="0" applyFont="1" applyFill="1" applyBorder="1" applyAlignment="1">
      <alignment horizontal="center"/>
    </xf>
    <xf numFmtId="0" fontId="4" fillId="2" borderId="1" xfId="0" applyNumberFormat="1" applyFont="1" applyFill="1" applyBorder="1"/>
    <xf numFmtId="0" fontId="4" fillId="2" borderId="11" xfId="0" applyNumberFormat="1" applyFont="1" applyFill="1" applyBorder="1"/>
    <xf numFmtId="0" fontId="4" fillId="2" borderId="12" xfId="0" applyNumberFormat="1" applyFont="1" applyFill="1" applyBorder="1"/>
    <xf numFmtId="0" fontId="4" fillId="2" borderId="10" xfId="0" applyNumberFormat="1" applyFont="1" applyFill="1" applyBorder="1"/>
    <xf numFmtId="0" fontId="5" fillId="2" borderId="1" xfId="0" applyNumberFormat="1" applyFont="1" applyFill="1" applyBorder="1" applyAlignment="1">
      <alignment horizontal="left"/>
    </xf>
    <xf numFmtId="0" fontId="4" fillId="2" borderId="4" xfId="0" applyNumberFormat="1" applyFont="1" applyFill="1" applyBorder="1" applyAlignment="1">
      <alignment horizontal="left"/>
    </xf>
    <xf numFmtId="0" fontId="4" fillId="2" borderId="0" xfId="0" applyNumberFormat="1" applyFont="1" applyFill="1" applyAlignment="1">
      <alignment horizontal="left"/>
    </xf>
    <xf numFmtId="49" fontId="4" fillId="2" borderId="6" xfId="0" applyNumberFormat="1" applyFont="1" applyFill="1" applyBorder="1" applyAlignment="1">
      <alignment horizontal="right"/>
    </xf>
    <xf numFmtId="49" fontId="4" fillId="2" borderId="8" xfId="0" applyNumberFormat="1" applyFont="1" applyFill="1" applyBorder="1" applyAlignment="1">
      <alignment horizontal="right"/>
    </xf>
    <xf numFmtId="49" fontId="4" fillId="2" borderId="7" xfId="0" applyNumberFormat="1" applyFont="1" applyFill="1" applyBorder="1" applyAlignment="1">
      <alignment horizontal="right"/>
    </xf>
    <xf numFmtId="0" fontId="4" fillId="2" borderId="5" xfId="0" applyNumberFormat="1" applyFont="1" applyFill="1" applyBorder="1"/>
    <xf numFmtId="3" fontId="4" fillId="2" borderId="2" xfId="0" applyNumberFormat="1" applyFont="1" applyFill="1" applyBorder="1" applyAlignment="1">
      <alignment horizontal="center"/>
    </xf>
    <xf numFmtId="3" fontId="4" fillId="2" borderId="11" xfId="0" applyNumberFormat="1" applyFont="1" applyFill="1" applyBorder="1" applyAlignment="1">
      <alignment horizontal="center"/>
    </xf>
    <xf numFmtId="3" fontId="4" fillId="2" borderId="12" xfId="0" applyNumberFormat="1" applyFont="1" applyFill="1" applyBorder="1" applyAlignment="1">
      <alignment horizontal="center"/>
    </xf>
    <xf numFmtId="3" fontId="4" fillId="2" borderId="10" xfId="0" applyNumberFormat="1" applyFont="1" applyFill="1" applyBorder="1" applyAlignment="1">
      <alignment horizontal="center"/>
    </xf>
    <xf numFmtId="0" fontId="6" fillId="2" borderId="1" xfId="0" applyNumberFormat="1" applyFont="1" applyFill="1" applyBorder="1" applyAlignment="1">
      <alignment horizontal="left"/>
    </xf>
    <xf numFmtId="168" fontId="4" fillId="2" borderId="0" xfId="0" applyNumberFormat="1" applyFont="1" applyFill="1" applyAlignment="1">
      <alignment horizontal="right"/>
    </xf>
    <xf numFmtId="168" fontId="4" fillId="2" borderId="3" xfId="0" applyNumberFormat="1" applyFont="1" applyFill="1" applyBorder="1" applyAlignment="1">
      <alignment horizontal="right"/>
    </xf>
    <xf numFmtId="168" fontId="4" fillId="2" borderId="2" xfId="0" applyNumberFormat="1" applyFont="1" applyFill="1" applyBorder="1" applyAlignment="1">
      <alignment horizontal="right"/>
    </xf>
    <xf numFmtId="168" fontId="4" fillId="2" borderId="1" xfId="0" applyNumberFormat="1" applyFont="1" applyFill="1" applyBorder="1" applyAlignment="1">
      <alignment horizontal="right"/>
    </xf>
    <xf numFmtId="0" fontId="6" fillId="2" borderId="4" xfId="0" applyNumberFormat="1" applyFont="1" applyFill="1" applyBorder="1" applyAlignment="1">
      <alignment horizontal="left"/>
    </xf>
    <xf numFmtId="168" fontId="4" fillId="2" borderId="6" xfId="0" applyNumberFormat="1" applyFont="1" applyFill="1" applyBorder="1" applyAlignment="1">
      <alignment horizontal="right"/>
    </xf>
    <xf numFmtId="168" fontId="4" fillId="2" borderId="8" xfId="0" applyNumberFormat="1" applyFont="1" applyFill="1" applyBorder="1" applyAlignment="1">
      <alignment horizontal="right"/>
    </xf>
    <xf numFmtId="168" fontId="4" fillId="2" borderId="7" xfId="0" applyNumberFormat="1" applyFont="1" applyFill="1" applyBorder="1" applyAlignment="1">
      <alignment horizontal="right"/>
    </xf>
    <xf numFmtId="168" fontId="4" fillId="2" borderId="4" xfId="0" applyNumberFormat="1" applyFont="1" applyFill="1" applyBorder="1" applyAlignment="1">
      <alignment horizontal="right"/>
    </xf>
    <xf numFmtId="1" fontId="4" fillId="2" borderId="12" xfId="0" applyNumberFormat="1" applyFont="1" applyFill="1" applyBorder="1" applyAlignment="1">
      <alignment horizontal="center"/>
    </xf>
    <xf numFmtId="0" fontId="4" fillId="2" borderId="12" xfId="0" applyNumberFormat="1" applyFont="1" applyFill="1" applyBorder="1" applyAlignment="1">
      <alignment horizontal="center"/>
    </xf>
    <xf numFmtId="0" fontId="4" fillId="2" borderId="4" xfId="0" applyNumberFormat="1" applyFont="1" applyFill="1" applyBorder="1"/>
    <xf numFmtId="191" fontId="4" fillId="2" borderId="7" xfId="0" applyFont="1" applyFill="1" applyBorder="1" applyAlignment="1">
      <alignment horizontal="right" vertical="center"/>
    </xf>
    <xf numFmtId="0" fontId="4" fillId="2" borderId="0" xfId="0" applyNumberFormat="1" applyFont="1" applyFill="1" applyAlignment="1">
      <alignment vertical="center"/>
    </xf>
    <xf numFmtId="191" fontId="6" fillId="0" borderId="0" xfId="0" applyFont="1" applyAlignment="1">
      <alignment vertical="center"/>
    </xf>
    <xf numFmtId="191" fontId="23" fillId="0" borderId="0" xfId="0" applyFont="1" applyAlignment="1">
      <alignment vertical="center"/>
    </xf>
    <xf numFmtId="37" fontId="4" fillId="0" borderId="0" xfId="0" applyNumberFormat="1" applyFont="1" applyAlignment="1">
      <alignment vertical="center"/>
    </xf>
    <xf numFmtId="37" fontId="4" fillId="0" borderId="6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191" fontId="4" fillId="0" borderId="15" xfId="0" applyFont="1" applyBorder="1" applyAlignment="1">
      <alignment vertical="center"/>
    </xf>
    <xf numFmtId="191" fontId="4" fillId="0" borderId="16" xfId="0" applyFont="1" applyBorder="1" applyAlignment="1">
      <alignment vertical="center"/>
    </xf>
    <xf numFmtId="191" fontId="4" fillId="0" borderId="5" xfId="0" applyFont="1" applyBorder="1" applyAlignment="1">
      <alignment vertical="center"/>
    </xf>
    <xf numFmtId="191" fontId="4" fillId="0" borderId="10" xfId="0" applyFont="1" applyBorder="1" applyAlignment="1">
      <alignment vertical="center"/>
    </xf>
    <xf numFmtId="191" fontId="4" fillId="0" borderId="11" xfId="0" applyFont="1" applyBorder="1" applyAlignment="1">
      <alignment vertical="center"/>
    </xf>
    <xf numFmtId="191" fontId="4" fillId="0" borderId="12" xfId="0" applyFont="1" applyBorder="1" applyAlignment="1">
      <alignment horizontal="center" vertical="center"/>
    </xf>
    <xf numFmtId="191" fontId="4" fillId="0" borderId="12" xfId="0" applyFont="1" applyBorder="1" applyAlignment="1">
      <alignment vertical="center"/>
    </xf>
    <xf numFmtId="191" fontId="4" fillId="0" borderId="2" xfId="0" applyFont="1" applyBorder="1" applyAlignment="1">
      <alignment vertical="center"/>
    </xf>
    <xf numFmtId="191" fontId="4" fillId="0" borderId="3" xfId="0" applyFont="1" applyBorder="1" applyAlignment="1">
      <alignment vertical="center"/>
    </xf>
    <xf numFmtId="37" fontId="4" fillId="0" borderId="1" xfId="0" applyNumberFormat="1" applyFont="1" applyBorder="1" applyAlignment="1">
      <alignment horizontal="center" vertical="center"/>
    </xf>
    <xf numFmtId="191" fontId="5" fillId="0" borderId="1" xfId="0" applyFont="1" applyBorder="1" applyAlignment="1">
      <alignment horizontal="left" vertical="center"/>
    </xf>
    <xf numFmtId="170" fontId="5" fillId="0" borderId="2" xfId="0" applyNumberFormat="1" applyFont="1" applyBorder="1" applyAlignment="1">
      <alignment vertical="center"/>
    </xf>
    <xf numFmtId="170" fontId="5" fillId="0" borderId="0" xfId="0" applyNumberFormat="1" applyFont="1" applyAlignment="1">
      <alignment vertical="center"/>
    </xf>
    <xf numFmtId="170" fontId="5" fillId="0" borderId="3" xfId="0" applyNumberFormat="1" applyFont="1" applyBorder="1" applyAlignment="1">
      <alignment vertical="center"/>
    </xf>
    <xf numFmtId="171" fontId="5" fillId="0" borderId="1" xfId="0" applyNumberFormat="1" applyFont="1" applyBorder="1" applyAlignment="1">
      <alignment horizontal="right" vertical="center"/>
    </xf>
    <xf numFmtId="191" fontId="5" fillId="0" borderId="0" xfId="0" applyFont="1" applyAlignment="1">
      <alignment vertical="center"/>
    </xf>
    <xf numFmtId="191" fontId="6" fillId="0" borderId="1" xfId="0" applyFont="1" applyBorder="1" applyAlignment="1">
      <alignment horizontal="left" vertical="center"/>
    </xf>
    <xf numFmtId="170" fontId="6" fillId="0" borderId="2" xfId="0" applyNumberFormat="1" applyFont="1" applyBorder="1" applyAlignment="1">
      <alignment vertical="center"/>
    </xf>
    <xf numFmtId="171" fontId="6" fillId="0" borderId="1" xfId="0" applyNumberFormat="1" applyFont="1" applyBorder="1" applyAlignment="1">
      <alignment horizontal="right" vertical="center"/>
    </xf>
    <xf numFmtId="191" fontId="4" fillId="0" borderId="1" xfId="0" applyFont="1" applyBorder="1" applyAlignment="1">
      <alignment horizontal="left" vertical="center"/>
    </xf>
    <xf numFmtId="170" fontId="4" fillId="0" borderId="2" xfId="0" applyNumberFormat="1" applyFont="1" applyBorder="1" applyAlignment="1">
      <alignment vertical="center"/>
    </xf>
    <xf numFmtId="171" fontId="4" fillId="0" borderId="1" xfId="0" applyNumberFormat="1" applyFont="1" applyBorder="1" applyAlignment="1">
      <alignment horizontal="right" vertical="center"/>
    </xf>
    <xf numFmtId="191" fontId="4" fillId="0" borderId="4" xfId="0" applyFont="1" applyBorder="1" applyAlignment="1">
      <alignment horizontal="left" vertical="center"/>
    </xf>
    <xf numFmtId="170" fontId="4" fillId="0" borderId="7" xfId="0" applyNumberFormat="1" applyFont="1" applyBorder="1" applyAlignment="1">
      <alignment vertical="center"/>
    </xf>
    <xf numFmtId="170" fontId="4" fillId="0" borderId="6" xfId="0" applyNumberFormat="1" applyFont="1" applyBorder="1" applyAlignment="1">
      <alignment vertical="center"/>
    </xf>
    <xf numFmtId="170" fontId="4" fillId="0" borderId="8" xfId="0" applyNumberFormat="1" applyFont="1" applyBorder="1" applyAlignment="1">
      <alignment vertical="center"/>
    </xf>
    <xf numFmtId="171" fontId="4" fillId="0" borderId="4" xfId="0" applyNumberFormat="1" applyFont="1" applyBorder="1" applyAlignment="1">
      <alignment horizontal="right" vertical="center"/>
    </xf>
    <xf numFmtId="191" fontId="4" fillId="0" borderId="0" xfId="0" applyFont="1" applyAlignment="1">
      <alignment horizontal="left" vertical="center"/>
    </xf>
    <xf numFmtId="170" fontId="24" fillId="0" borderId="0" xfId="0" applyNumberFormat="1" applyFont="1" applyAlignment="1">
      <alignment vertical="center"/>
    </xf>
    <xf numFmtId="0" fontId="6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vertical="center"/>
    </xf>
    <xf numFmtId="0" fontId="4" fillId="0" borderId="5" xfId="0" applyNumberFormat="1" applyFont="1" applyBorder="1" applyAlignment="1">
      <alignment vertical="center"/>
    </xf>
    <xf numFmtId="0" fontId="4" fillId="0" borderId="4" xfId="0" applyNumberFormat="1" applyFont="1" applyBorder="1" applyAlignment="1">
      <alignment vertical="center"/>
    </xf>
    <xf numFmtId="0" fontId="5" fillId="0" borderId="1" xfId="0" applyNumberFormat="1" applyFont="1" applyBorder="1" applyAlignment="1">
      <alignment horizontal="left" vertical="center"/>
    </xf>
    <xf numFmtId="170" fontId="5" fillId="0" borderId="3" xfId="0" applyNumberFormat="1" applyFont="1" applyBorder="1" applyAlignment="1">
      <alignment horizontal="right" vertical="center"/>
    </xf>
    <xf numFmtId="170" fontId="5" fillId="0" borderId="2" xfId="0" applyNumberFormat="1" applyFont="1" applyBorder="1" applyAlignment="1">
      <alignment horizontal="right" vertical="center"/>
    </xf>
    <xf numFmtId="170" fontId="5" fillId="0" borderId="1" xfId="0" applyNumberFormat="1" applyFont="1" applyBorder="1" applyAlignment="1">
      <alignment horizontal="right" vertical="center"/>
    </xf>
    <xf numFmtId="171" fontId="5" fillId="0" borderId="0" xfId="1" applyNumberFormat="1" applyFont="1" applyFill="1" applyBorder="1" applyAlignment="1">
      <alignment horizontal="right" vertical="center"/>
    </xf>
    <xf numFmtId="0" fontId="4" fillId="0" borderId="4" xfId="0" applyNumberFormat="1" applyFont="1" applyBorder="1" applyAlignment="1">
      <alignment horizontal="left" vertical="center"/>
    </xf>
    <xf numFmtId="171" fontId="4" fillId="0" borderId="0" xfId="1" applyNumberFormat="1" applyFont="1" applyFill="1" applyBorder="1" applyAlignment="1">
      <alignment horizontal="right" vertical="center"/>
    </xf>
    <xf numFmtId="0" fontId="4" fillId="0" borderId="0" xfId="0" applyNumberFormat="1" applyFont="1" applyAlignment="1">
      <alignment horizontal="left" vertical="center"/>
    </xf>
    <xf numFmtId="0" fontId="6" fillId="0" borderId="1" xfId="0" applyNumberFormat="1" applyFont="1" applyBorder="1" applyAlignment="1">
      <alignment horizontal="left" vertical="center"/>
    </xf>
    <xf numFmtId="168" fontId="4" fillId="0" borderId="0" xfId="0" applyNumberFormat="1" applyFont="1" applyAlignment="1">
      <alignment horizontal="right" vertical="center"/>
    </xf>
    <xf numFmtId="168" fontId="4" fillId="0" borderId="3" xfId="0" applyNumberFormat="1" applyFont="1" applyBorder="1" applyAlignment="1">
      <alignment horizontal="right" vertical="center"/>
    </xf>
    <xf numFmtId="168" fontId="4" fillId="0" borderId="2" xfId="0" applyNumberFormat="1" applyFont="1" applyBorder="1" applyAlignment="1">
      <alignment horizontal="right" vertical="center"/>
    </xf>
    <xf numFmtId="168" fontId="4" fillId="0" borderId="1" xfId="0" applyNumberFormat="1" applyFont="1" applyBorder="1" applyAlignment="1">
      <alignment horizontal="right" vertical="center"/>
    </xf>
    <xf numFmtId="0" fontId="6" fillId="0" borderId="4" xfId="0" applyNumberFormat="1" applyFont="1" applyBorder="1" applyAlignment="1">
      <alignment horizontal="left" vertical="center"/>
    </xf>
    <xf numFmtId="168" fontId="4" fillId="0" borderId="6" xfId="0" applyNumberFormat="1" applyFont="1" applyBorder="1" applyAlignment="1">
      <alignment horizontal="right" vertical="center"/>
    </xf>
    <xf numFmtId="168" fontId="4" fillId="0" borderId="8" xfId="0" applyNumberFormat="1" applyFont="1" applyBorder="1" applyAlignment="1">
      <alignment horizontal="right" vertical="center"/>
    </xf>
    <xf numFmtId="168" fontId="4" fillId="0" borderId="7" xfId="0" applyNumberFormat="1" applyFont="1" applyBorder="1" applyAlignment="1">
      <alignment horizontal="right" vertical="center"/>
    </xf>
    <xf numFmtId="168" fontId="4" fillId="0" borderId="4" xfId="0" applyNumberFormat="1" applyFont="1" applyBorder="1" applyAlignment="1">
      <alignment horizontal="right" vertical="center"/>
    </xf>
    <xf numFmtId="0" fontId="6" fillId="0" borderId="5" xfId="0" applyNumberFormat="1" applyFont="1" applyBorder="1" applyAlignment="1">
      <alignment horizontal="left" vertical="center"/>
    </xf>
    <xf numFmtId="168" fontId="4" fillId="0" borderId="11" xfId="0" applyNumberFormat="1" applyFont="1" applyBorder="1" applyAlignment="1">
      <alignment horizontal="right" vertical="center"/>
    </xf>
    <xf numFmtId="168" fontId="4" fillId="0" borderId="12" xfId="0" applyNumberFormat="1" applyFont="1" applyBorder="1" applyAlignment="1">
      <alignment horizontal="right" vertical="center"/>
    </xf>
    <xf numFmtId="168" fontId="4" fillId="0" borderId="10" xfId="0" applyNumberFormat="1" applyFont="1" applyBorder="1" applyAlignment="1">
      <alignment horizontal="right" vertical="center"/>
    </xf>
    <xf numFmtId="168" fontId="4" fillId="0" borderId="5" xfId="0" applyNumberFormat="1" applyFont="1" applyBorder="1" applyAlignment="1">
      <alignment horizontal="right" vertical="center"/>
    </xf>
    <xf numFmtId="170" fontId="4" fillId="0" borderId="3" xfId="0" applyNumberFormat="1" applyFont="1" applyBorder="1" applyAlignment="1">
      <alignment horizontal="right" vertical="center"/>
    </xf>
    <xf numFmtId="170" fontId="4" fillId="0" borderId="2" xfId="0" applyNumberFormat="1" applyFont="1" applyBorder="1" applyAlignment="1">
      <alignment horizontal="right" vertical="center"/>
    </xf>
    <xf numFmtId="0" fontId="4" fillId="0" borderId="1" xfId="0" applyNumberFormat="1" applyFont="1" applyBorder="1" applyAlignment="1">
      <alignment horizontal="left" vertical="center"/>
    </xf>
    <xf numFmtId="170" fontId="4" fillId="0" borderId="1" xfId="0" applyNumberFormat="1" applyFont="1" applyBorder="1" applyAlignment="1">
      <alignment horizontal="right" vertical="center"/>
    </xf>
    <xf numFmtId="170" fontId="24" fillId="0" borderId="11" xfId="0" applyNumberFormat="1" applyFont="1" applyBorder="1" applyAlignment="1">
      <alignment vertical="center"/>
    </xf>
    <xf numFmtId="170" fontId="5" fillId="0" borderId="0" xfId="0" applyNumberFormat="1" applyFont="1" applyAlignment="1">
      <alignment horizontal="right" vertical="center"/>
    </xf>
    <xf numFmtId="170" fontId="4" fillId="0" borderId="0" xfId="0" applyNumberFormat="1" applyFont="1" applyAlignment="1">
      <alignment horizontal="right" vertical="center"/>
    </xf>
    <xf numFmtId="170" fontId="4" fillId="0" borderId="6" xfId="0" applyNumberFormat="1" applyFont="1" applyBorder="1" applyAlignment="1">
      <alignment horizontal="right" vertical="center"/>
    </xf>
    <xf numFmtId="170" fontId="4" fillId="0" borderId="8" xfId="0" applyNumberFormat="1" applyFont="1" applyBorder="1" applyAlignment="1">
      <alignment horizontal="right" vertical="center"/>
    </xf>
    <xf numFmtId="170" fontId="4" fillId="0" borderId="7" xfId="0" applyNumberFormat="1" applyFont="1" applyBorder="1" applyAlignment="1">
      <alignment horizontal="right" vertical="center"/>
    </xf>
    <xf numFmtId="170" fontId="4" fillId="0" borderId="4" xfId="0" applyNumberFormat="1" applyFont="1" applyBorder="1" applyAlignment="1">
      <alignment horizontal="right" vertical="center"/>
    </xf>
    <xf numFmtId="191" fontId="4" fillId="0" borderId="8" xfId="0" applyFont="1" applyBorder="1" applyAlignment="1">
      <alignment vertical="center"/>
    </xf>
    <xf numFmtId="37" fontId="4" fillId="2" borderId="17" xfId="0" applyNumberFormat="1" applyFont="1" applyFill="1" applyBorder="1" applyAlignment="1">
      <alignment horizontal="centerContinuous" vertical="center"/>
    </xf>
    <xf numFmtId="191" fontId="4" fillId="0" borderId="7" xfId="0" applyFont="1" applyBorder="1" applyAlignment="1">
      <alignment vertical="center"/>
    </xf>
    <xf numFmtId="191" fontId="24" fillId="2" borderId="5" xfId="0" applyFont="1" applyFill="1" applyBorder="1" applyProtection="1">
      <protection locked="0"/>
    </xf>
    <xf numFmtId="173" fontId="4" fillId="2" borderId="0" xfId="0" applyNumberFormat="1" applyFont="1" applyFill="1"/>
    <xf numFmtId="167" fontId="5" fillId="2" borderId="0" xfId="0" applyNumberFormat="1" applyFont="1" applyFill="1"/>
    <xf numFmtId="167" fontId="5" fillId="2" borderId="3" xfId="0" applyNumberFormat="1" applyFont="1" applyFill="1" applyBorder="1"/>
    <xf numFmtId="167" fontId="5" fillId="2" borderId="2" xfId="0" applyNumberFormat="1" applyFont="1" applyFill="1" applyBorder="1"/>
    <xf numFmtId="167" fontId="4" fillId="2" borderId="0" xfId="0" applyNumberFormat="1" applyFont="1" applyFill="1"/>
    <xf numFmtId="167" fontId="4" fillId="2" borderId="3" xfId="0" applyNumberFormat="1" applyFont="1" applyFill="1" applyBorder="1"/>
    <xf numFmtId="167" fontId="4" fillId="2" borderId="0" xfId="0" applyNumberFormat="1" applyFont="1" applyFill="1" applyAlignment="1">
      <alignment horizontal="right"/>
    </xf>
    <xf numFmtId="167" fontId="4" fillId="2" borderId="2" xfId="0" applyNumberFormat="1" applyFont="1" applyFill="1" applyBorder="1"/>
    <xf numFmtId="179" fontId="4" fillId="2" borderId="0" xfId="1" applyNumberFormat="1" applyFont="1" applyFill="1" applyBorder="1" applyAlignment="1">
      <alignment horizontal="right"/>
    </xf>
    <xf numFmtId="179" fontId="4" fillId="2" borderId="3" xfId="1" applyNumberFormat="1" applyFont="1" applyFill="1" applyBorder="1" applyAlignment="1">
      <alignment horizontal="right"/>
    </xf>
    <xf numFmtId="179" fontId="4" fillId="2" borderId="2" xfId="1" applyNumberFormat="1" applyFont="1" applyFill="1" applyBorder="1" applyAlignment="1">
      <alignment horizontal="right"/>
    </xf>
    <xf numFmtId="170" fontId="15" fillId="2" borderId="2" xfId="0" applyNumberFormat="1" applyFont="1" applyFill="1" applyBorder="1"/>
    <xf numFmtId="170" fontId="15" fillId="2" borderId="3" xfId="0" applyNumberFormat="1" applyFont="1" applyFill="1" applyBorder="1"/>
    <xf numFmtId="164" fontId="4" fillId="2" borderId="0" xfId="1" applyFont="1" applyFill="1" applyBorder="1" applyAlignment="1">
      <alignment horizontal="center"/>
    </xf>
    <xf numFmtId="1" fontId="4" fillId="2" borderId="5" xfId="0" applyNumberFormat="1" applyFont="1" applyFill="1" applyBorder="1" applyAlignment="1">
      <alignment horizontal="center" wrapText="1"/>
    </xf>
    <xf numFmtId="1" fontId="4" fillId="2" borderId="0" xfId="0" applyNumberFormat="1" applyFont="1" applyFill="1" applyAlignment="1">
      <alignment horizontal="center" wrapText="1"/>
    </xf>
    <xf numFmtId="0" fontId="4" fillId="2" borderId="3" xfId="0" applyNumberFormat="1" applyFont="1" applyFill="1" applyBorder="1" applyAlignment="1">
      <alignment horizontal="center"/>
    </xf>
    <xf numFmtId="0" fontId="4" fillId="2" borderId="2" xfId="0" applyNumberFormat="1" applyFont="1" applyFill="1" applyBorder="1" applyAlignment="1">
      <alignment horizontal="center"/>
    </xf>
    <xf numFmtId="0" fontId="4" fillId="2" borderId="1" xfId="0" applyNumberFormat="1" applyFont="1" applyFill="1" applyBorder="1" applyAlignment="1">
      <alignment horizontal="center"/>
    </xf>
    <xf numFmtId="0" fontId="4" fillId="2" borderId="6" xfId="0" applyNumberFormat="1" applyFont="1" applyFill="1" applyBorder="1" applyAlignment="1">
      <alignment horizontal="center"/>
    </xf>
    <xf numFmtId="0" fontId="4" fillId="2" borderId="8" xfId="0" applyNumberFormat="1" applyFont="1" applyFill="1" applyBorder="1" applyAlignment="1">
      <alignment horizontal="center"/>
    </xf>
    <xf numFmtId="0" fontId="4" fillId="2" borderId="7" xfId="0" applyNumberFormat="1" applyFont="1" applyFill="1" applyBorder="1" applyAlignment="1">
      <alignment horizontal="center"/>
    </xf>
    <xf numFmtId="0" fontId="4" fillId="2" borderId="4" xfId="0" applyNumberFormat="1" applyFont="1" applyFill="1" applyBorder="1" applyAlignment="1">
      <alignment horizontal="center"/>
    </xf>
    <xf numFmtId="49" fontId="4" fillId="2" borderId="0" xfId="0" applyNumberFormat="1" applyFont="1" applyFill="1" applyAlignment="1">
      <alignment horizontal="right"/>
    </xf>
    <xf numFmtId="49" fontId="4" fillId="2" borderId="7" xfId="0" applyNumberFormat="1" applyFont="1" applyFill="1" applyBorder="1" applyAlignment="1">
      <alignment horizontal="center"/>
    </xf>
    <xf numFmtId="49" fontId="4" fillId="2" borderId="6" xfId="0" applyNumberFormat="1" applyFont="1" applyFill="1" applyBorder="1" applyAlignment="1">
      <alignment horizontal="center"/>
    </xf>
    <xf numFmtId="49" fontId="4" fillId="2" borderId="8" xfId="0" applyNumberFormat="1" applyFont="1" applyFill="1" applyBorder="1" applyAlignment="1">
      <alignment horizontal="center"/>
    </xf>
    <xf numFmtId="49" fontId="4" fillId="2" borderId="4" xfId="0" applyNumberFormat="1" applyFont="1" applyFill="1" applyBorder="1" applyAlignment="1">
      <alignment horizontal="center"/>
    </xf>
    <xf numFmtId="49" fontId="4" fillId="2" borderId="0" xfId="0" applyNumberFormat="1" applyFont="1" applyFill="1" applyAlignment="1">
      <alignment horizontal="center"/>
    </xf>
    <xf numFmtId="1" fontId="4" fillId="2" borderId="10" xfId="0" applyNumberFormat="1" applyFont="1" applyFill="1" applyBorder="1" applyAlignment="1">
      <alignment wrapText="1"/>
    </xf>
    <xf numFmtId="1" fontId="4" fillId="2" borderId="11" xfId="0" applyNumberFormat="1" applyFont="1" applyFill="1" applyBorder="1" applyAlignment="1">
      <alignment wrapText="1"/>
    </xf>
    <xf numFmtId="1" fontId="4" fillId="2" borderId="12" xfId="0" applyNumberFormat="1" applyFont="1" applyFill="1" applyBorder="1" applyAlignment="1">
      <alignment wrapText="1"/>
    </xf>
    <xf numFmtId="191" fontId="4" fillId="2" borderId="6" xfId="0" applyFont="1" applyFill="1" applyBorder="1" applyAlignment="1">
      <alignment vertical="center"/>
    </xf>
    <xf numFmtId="165" fontId="5" fillId="2" borderId="2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5" fontId="5" fillId="2" borderId="3" xfId="0" applyNumberFormat="1" applyFont="1" applyFill="1" applyBorder="1" applyAlignment="1">
      <alignment horizontal="right" vertical="center"/>
    </xf>
    <xf numFmtId="180" fontId="5" fillId="2" borderId="0" xfId="0" applyNumberFormat="1" applyFont="1" applyFill="1" applyAlignment="1">
      <alignment vertical="center"/>
    </xf>
    <xf numFmtId="180" fontId="5" fillId="2" borderId="3" xfId="0" applyNumberFormat="1" applyFont="1" applyFill="1" applyBorder="1" applyAlignment="1">
      <alignment vertical="center"/>
    </xf>
    <xf numFmtId="180" fontId="5" fillId="2" borderId="2" xfId="0" applyNumberFormat="1" applyFont="1" applyFill="1" applyBorder="1" applyAlignment="1">
      <alignment vertical="center"/>
    </xf>
    <xf numFmtId="191" fontId="4" fillId="2" borderId="2" xfId="0" applyFont="1" applyFill="1" applyBorder="1" applyAlignment="1">
      <alignment horizontal="right" vertical="center"/>
    </xf>
    <xf numFmtId="191" fontId="4" fillId="2" borderId="3" xfId="0" applyFont="1" applyFill="1" applyBorder="1" applyAlignment="1">
      <alignment horizontal="right" vertical="center"/>
    </xf>
    <xf numFmtId="180" fontId="4" fillId="2" borderId="0" xfId="0" applyNumberFormat="1" applyFont="1" applyFill="1" applyAlignment="1">
      <alignment vertical="center"/>
    </xf>
    <xf numFmtId="180" fontId="4" fillId="2" borderId="3" xfId="0" applyNumberFormat="1" applyFont="1" applyFill="1" applyBorder="1" applyAlignment="1">
      <alignment vertical="center"/>
    </xf>
    <xf numFmtId="180" fontId="4" fillId="2" borderId="2" xfId="0" applyNumberFormat="1" applyFont="1" applyFill="1" applyBorder="1" applyAlignment="1">
      <alignment vertical="center"/>
    </xf>
    <xf numFmtId="165" fontId="6" fillId="2" borderId="2" xfId="0" applyNumberFormat="1" applyFont="1" applyFill="1" applyBorder="1" applyAlignment="1">
      <alignment horizontal="right" vertical="center"/>
    </xf>
    <xf numFmtId="165" fontId="6" fillId="2" borderId="0" xfId="0" applyNumberFormat="1" applyFont="1" applyFill="1" applyAlignment="1">
      <alignment horizontal="right" vertical="center"/>
    </xf>
    <xf numFmtId="165" fontId="6" fillId="2" borderId="3" xfId="0" applyNumberFormat="1" applyFont="1" applyFill="1" applyBorder="1" applyAlignment="1">
      <alignment horizontal="right" vertical="center"/>
    </xf>
    <xf numFmtId="180" fontId="6" fillId="2" borderId="0" xfId="0" applyNumberFormat="1" applyFont="1" applyFill="1" applyAlignment="1">
      <alignment vertical="center"/>
    </xf>
    <xf numFmtId="180" fontId="6" fillId="2" borderId="3" xfId="0" applyNumberFormat="1" applyFont="1" applyFill="1" applyBorder="1" applyAlignment="1">
      <alignment vertical="center"/>
    </xf>
    <xf numFmtId="180" fontId="6" fillId="2" borderId="2" xfId="0" applyNumberFormat="1" applyFont="1" applyFill="1" applyBorder="1" applyAlignment="1">
      <alignment vertical="center"/>
    </xf>
    <xf numFmtId="180" fontId="22" fillId="2" borderId="0" xfId="0" applyNumberFormat="1" applyFont="1" applyFill="1" applyAlignment="1">
      <alignment vertical="center"/>
    </xf>
    <xf numFmtId="165" fontId="4" fillId="2" borderId="0" xfId="0" applyNumberFormat="1" applyFont="1" applyFill="1" applyAlignment="1">
      <alignment horizontal="right" vertical="center"/>
    </xf>
    <xf numFmtId="165" fontId="4" fillId="2" borderId="3" xfId="0" applyNumberFormat="1" applyFont="1" applyFill="1" applyBorder="1" applyAlignment="1">
      <alignment horizontal="right" vertical="center"/>
    </xf>
    <xf numFmtId="165" fontId="4" fillId="2" borderId="2" xfId="0" applyNumberFormat="1" applyFont="1" applyFill="1" applyBorder="1" applyAlignment="1">
      <alignment horizontal="right" vertical="center"/>
    </xf>
    <xf numFmtId="180" fontId="15" fillId="2" borderId="0" xfId="0" applyNumberFormat="1" applyFont="1" applyFill="1" applyAlignment="1">
      <alignment vertical="center"/>
    </xf>
    <xf numFmtId="180" fontId="4" fillId="2" borderId="0" xfId="0" applyNumberFormat="1" applyFont="1" applyFill="1" applyAlignment="1">
      <alignment horizontal="right" vertical="center"/>
    </xf>
    <xf numFmtId="180" fontId="4" fillId="2" borderId="3" xfId="0" applyNumberFormat="1" applyFont="1" applyFill="1" applyBorder="1" applyAlignment="1">
      <alignment horizontal="right" vertical="center"/>
    </xf>
    <xf numFmtId="180" fontId="4" fillId="2" borderId="2" xfId="0" applyNumberFormat="1" applyFont="1" applyFill="1" applyBorder="1" applyAlignment="1">
      <alignment horizontal="right" vertical="center"/>
    </xf>
    <xf numFmtId="166" fontId="4" fillId="2" borderId="3" xfId="0" applyNumberFormat="1" applyFont="1" applyFill="1" applyBorder="1" applyAlignment="1">
      <alignment horizontal="right" vertical="center"/>
    </xf>
    <xf numFmtId="165" fontId="4" fillId="2" borderId="8" xfId="0" applyNumberFormat="1" applyFont="1" applyFill="1" applyBorder="1" applyAlignment="1">
      <alignment horizontal="right" vertical="center"/>
    </xf>
    <xf numFmtId="165" fontId="4" fillId="2" borderId="7" xfId="0" applyNumberFormat="1" applyFont="1" applyFill="1" applyBorder="1" applyAlignment="1">
      <alignment horizontal="right" vertical="center"/>
    </xf>
    <xf numFmtId="165" fontId="4" fillId="2" borderId="6" xfId="0" applyNumberFormat="1" applyFont="1" applyFill="1" applyBorder="1" applyAlignment="1">
      <alignment horizontal="right" vertical="center"/>
    </xf>
    <xf numFmtId="191" fontId="4" fillId="2" borderId="7" xfId="0" applyFont="1" applyFill="1" applyBorder="1" applyAlignment="1">
      <alignment vertical="center"/>
    </xf>
    <xf numFmtId="180" fontId="4" fillId="2" borderId="6" xfId="0" applyNumberFormat="1" applyFont="1" applyFill="1" applyBorder="1" applyAlignment="1">
      <alignment vertical="center"/>
    </xf>
    <xf numFmtId="191" fontId="6" fillId="2" borderId="3" xfId="0" applyFont="1" applyFill="1" applyBorder="1" applyAlignment="1">
      <alignment vertical="center"/>
    </xf>
    <xf numFmtId="170" fontId="4" fillId="2" borderId="1" xfId="0" applyNumberFormat="1" applyFont="1" applyFill="1" applyBorder="1" applyAlignment="1">
      <alignment horizontal="right" vertical="center"/>
    </xf>
    <xf numFmtId="3" fontId="26" fillId="2" borderId="5" xfId="0" applyNumberFormat="1" applyFont="1" applyFill="1" applyBorder="1"/>
    <xf numFmtId="3" fontId="4" fillId="2" borderId="0" xfId="0" applyNumberFormat="1" applyFont="1" applyFill="1" applyAlignment="1">
      <alignment horizontal="left" vertical="center"/>
    </xf>
    <xf numFmtId="3" fontId="5" fillId="2" borderId="0" xfId="0" applyNumberFormat="1" applyFont="1" applyFill="1" applyAlignment="1">
      <alignment horizontal="center" vertical="center"/>
    </xf>
    <xf numFmtId="191" fontId="27" fillId="2" borderId="5" xfId="0" applyFont="1" applyFill="1" applyBorder="1" applyAlignment="1">
      <alignment vertical="center"/>
    </xf>
    <xf numFmtId="0" fontId="4" fillId="2" borderId="5" xfId="0" applyNumberFormat="1" applyFont="1" applyFill="1" applyBorder="1" applyAlignment="1">
      <alignment vertical="center"/>
    </xf>
    <xf numFmtId="0" fontId="6" fillId="2" borderId="2" xfId="0" applyNumberFormat="1" applyFont="1" applyFill="1" applyBorder="1" applyAlignment="1">
      <alignment vertical="center"/>
    </xf>
    <xf numFmtId="0" fontId="6" fillId="2" borderId="0" xfId="0" applyNumberFormat="1" applyFont="1" applyFill="1" applyAlignment="1">
      <alignment vertical="center"/>
    </xf>
    <xf numFmtId="186" fontId="4" fillId="2" borderId="0" xfId="0" applyNumberFormat="1" applyFont="1" applyFill="1" applyAlignment="1">
      <alignment vertical="center"/>
    </xf>
    <xf numFmtId="166" fontId="6" fillId="2" borderId="0" xfId="0" applyNumberFormat="1" applyFont="1" applyFill="1" applyAlignment="1">
      <alignment vertical="center"/>
    </xf>
    <xf numFmtId="191" fontId="15" fillId="3" borderId="0" xfId="0" applyFont="1" applyFill="1" applyAlignment="1">
      <alignment vertical="center"/>
    </xf>
    <xf numFmtId="170" fontId="15" fillId="3" borderId="0" xfId="0" applyNumberFormat="1" applyFont="1" applyFill="1" applyAlignment="1">
      <alignment vertical="center"/>
    </xf>
    <xf numFmtId="170" fontId="4" fillId="3" borderId="0" xfId="0" applyNumberFormat="1" applyFont="1" applyFill="1" applyAlignment="1">
      <alignment vertical="center"/>
    </xf>
    <xf numFmtId="0" fontId="10" fillId="2" borderId="2" xfId="0" applyNumberFormat="1" applyFont="1" applyFill="1" applyBorder="1" applyAlignment="1">
      <alignment vertical="center"/>
    </xf>
    <xf numFmtId="191" fontId="11" fillId="2" borderId="0" xfId="0" applyFont="1" applyFill="1" applyAlignment="1">
      <alignment vertical="center"/>
    </xf>
    <xf numFmtId="0" fontId="10" fillId="2" borderId="0" xfId="0" applyNumberFormat="1" applyFont="1" applyFill="1" applyAlignment="1">
      <alignment vertical="center"/>
    </xf>
    <xf numFmtId="170" fontId="10" fillId="2" borderId="0" xfId="0" applyNumberFormat="1" applyFont="1" applyFill="1" applyAlignment="1">
      <alignment vertical="center" wrapText="1"/>
    </xf>
    <xf numFmtId="186" fontId="11" fillId="2" borderId="0" xfId="0" applyNumberFormat="1" applyFont="1" applyFill="1" applyAlignment="1">
      <alignment vertical="center"/>
    </xf>
    <xf numFmtId="170" fontId="10" fillId="0" borderId="0" xfId="0" applyNumberFormat="1" applyFont="1" applyAlignment="1">
      <alignment vertical="center" wrapText="1"/>
    </xf>
    <xf numFmtId="166" fontId="10" fillId="2" borderId="0" xfId="0" applyNumberFormat="1" applyFont="1" applyFill="1" applyAlignment="1">
      <alignment vertical="center"/>
    </xf>
    <xf numFmtId="170" fontId="6" fillId="2" borderId="0" xfId="0" applyNumberFormat="1" applyFont="1" applyFill="1" applyAlignment="1">
      <alignment vertical="center" wrapText="1"/>
    </xf>
    <xf numFmtId="170" fontId="6" fillId="0" borderId="0" xfId="0" applyNumberFormat="1" applyFont="1" applyAlignment="1">
      <alignment vertical="center" wrapText="1"/>
    </xf>
    <xf numFmtId="166" fontId="6" fillId="2" borderId="0" xfId="0" applyNumberFormat="1" applyFont="1" applyFill="1" applyAlignment="1">
      <alignment horizontal="right" vertical="center"/>
    </xf>
    <xf numFmtId="170" fontId="4" fillId="2" borderId="0" xfId="0" applyNumberFormat="1" applyFont="1" applyFill="1" applyAlignment="1">
      <alignment vertical="center" wrapText="1"/>
    </xf>
    <xf numFmtId="170" fontId="4" fillId="0" borderId="0" xfId="0" applyNumberFormat="1" applyFont="1" applyAlignment="1">
      <alignment vertical="center" wrapText="1"/>
    </xf>
    <xf numFmtId="191" fontId="27" fillId="2" borderId="5" xfId="0" applyFont="1" applyFill="1" applyBorder="1"/>
    <xf numFmtId="167" fontId="4" fillId="2" borderId="1" xfId="0" applyNumberFormat="1" applyFont="1" applyFill="1" applyBorder="1" applyAlignment="1">
      <alignment horizontal="left" vertical="center" indent="1"/>
    </xf>
    <xf numFmtId="167" fontId="4" fillId="2" borderId="1" xfId="0" applyNumberFormat="1" applyFont="1" applyFill="1" applyBorder="1" applyAlignment="1">
      <alignment horizontal="left" vertical="center" indent="2"/>
    </xf>
    <xf numFmtId="170" fontId="6" fillId="2" borderId="0" xfId="0" applyNumberFormat="1" applyFont="1" applyFill="1" applyAlignment="1">
      <alignment horizontal="right" vertical="center"/>
    </xf>
    <xf numFmtId="182" fontId="4" fillId="2" borderId="1" xfId="0" applyNumberFormat="1" applyFont="1" applyFill="1" applyBorder="1" applyAlignment="1">
      <alignment horizontal="right"/>
    </xf>
    <xf numFmtId="173" fontId="5" fillId="2" borderId="0" xfId="0" applyNumberFormat="1" applyFont="1" applyFill="1"/>
    <xf numFmtId="3" fontId="0" fillId="0" borderId="0" xfId="0" applyNumberFormat="1"/>
    <xf numFmtId="193" fontId="6" fillId="0" borderId="0" xfId="0" applyNumberFormat="1" applyFont="1"/>
    <xf numFmtId="191" fontId="4" fillId="0" borderId="14" xfId="0" applyFont="1" applyBorder="1" applyAlignment="1">
      <alignment horizontal="center" vertical="center"/>
    </xf>
    <xf numFmtId="191" fontId="4" fillId="0" borderId="6" xfId="0" applyFont="1" applyBorder="1" applyAlignment="1">
      <alignment horizontal="center" vertical="center"/>
    </xf>
    <xf numFmtId="174" fontId="21" fillId="0" borderId="11" xfId="0" applyNumberFormat="1" applyFont="1" applyBorder="1" applyAlignment="1">
      <alignment vertical="center"/>
    </xf>
    <xf numFmtId="1" fontId="15" fillId="2" borderId="0" xfId="0" applyNumberFormat="1" applyFont="1" applyFill="1" applyAlignment="1">
      <alignment horizontal="center"/>
    </xf>
    <xf numFmtId="192" fontId="6" fillId="0" borderId="2" xfId="0" applyNumberFormat="1" applyFont="1" applyBorder="1"/>
    <xf numFmtId="193" fontId="6" fillId="0" borderId="3" xfId="0" applyNumberFormat="1" applyFont="1" applyBorder="1"/>
    <xf numFmtId="3" fontId="6" fillId="2" borderId="4" xfId="5" applyNumberFormat="1" applyFont="1" applyFill="1" applyBorder="1" applyAlignment="1">
      <alignment horizontal="left" indent="1"/>
    </xf>
    <xf numFmtId="192" fontId="6" fillId="0" borderId="7" xfId="0" applyNumberFormat="1" applyFont="1" applyBorder="1"/>
    <xf numFmtId="193" fontId="6" fillId="0" borderId="6" xfId="0" applyNumberFormat="1" applyFont="1" applyBorder="1"/>
    <xf numFmtId="193" fontId="6" fillId="0" borderId="8" xfId="0" applyNumberFormat="1" applyFont="1" applyBorder="1"/>
    <xf numFmtId="171" fontId="22" fillId="2" borderId="9" xfId="1" applyNumberFormat="1" applyFont="1" applyFill="1" applyBorder="1" applyAlignment="1">
      <alignment horizontal="right" vertical="center"/>
    </xf>
    <xf numFmtId="171" fontId="21" fillId="2" borderId="5" xfId="1" applyNumberFormat="1" applyFont="1" applyFill="1" applyBorder="1" applyAlignment="1">
      <alignment horizontal="right" vertical="center"/>
    </xf>
    <xf numFmtId="171" fontId="21" fillId="2" borderId="1" xfId="1" applyNumberFormat="1" applyFont="1" applyFill="1" applyBorder="1" applyAlignment="1">
      <alignment horizontal="right" vertical="center"/>
    </xf>
    <xf numFmtId="171" fontId="15" fillId="2" borderId="1" xfId="1" applyNumberFormat="1" applyFont="1" applyFill="1" applyBorder="1" applyAlignment="1">
      <alignment horizontal="right" vertical="center"/>
    </xf>
    <xf numFmtId="171" fontId="22" fillId="2" borderId="1" xfId="1" applyNumberFormat="1" applyFont="1" applyFill="1" applyBorder="1" applyAlignment="1">
      <alignment horizontal="right" vertical="center"/>
    </xf>
    <xf numFmtId="171" fontId="15" fillId="2" borderId="4" xfId="1" applyNumberFormat="1" applyFont="1" applyFill="1" applyBorder="1" applyAlignment="1">
      <alignment horizontal="right" vertical="center"/>
    </xf>
    <xf numFmtId="191" fontId="0" fillId="0" borderId="1" xfId="0" applyBorder="1"/>
    <xf numFmtId="166" fontId="6" fillId="2" borderId="1" xfId="0" applyNumberFormat="1" applyFont="1" applyFill="1" applyBorder="1" applyAlignment="1">
      <alignment vertical="center"/>
    </xf>
    <xf numFmtId="3" fontId="4" fillId="2" borderId="13" xfId="0" applyNumberFormat="1" applyFont="1" applyFill="1" applyBorder="1" applyAlignment="1">
      <alignment horizontal="center" vertical="center"/>
    </xf>
    <xf numFmtId="192" fontId="5" fillId="0" borderId="1" xfId="0" applyNumberFormat="1" applyFont="1" applyBorder="1"/>
    <xf numFmtId="192" fontId="5" fillId="0" borderId="1" xfId="1" applyNumberFormat="1" applyFont="1" applyFill="1" applyBorder="1" applyAlignment="1">
      <alignment horizontal="right"/>
    </xf>
    <xf numFmtId="192" fontId="5" fillId="0" borderId="1" xfId="0" applyNumberFormat="1" applyFont="1" applyBorder="1" applyAlignment="1">
      <alignment horizontal="right"/>
    </xf>
    <xf numFmtId="192" fontId="6" fillId="0" borderId="1" xfId="0" applyNumberFormat="1" applyFont="1" applyBorder="1" applyAlignment="1">
      <alignment horizontal="right"/>
    </xf>
    <xf numFmtId="192" fontId="6" fillId="0" borderId="1" xfId="1" applyNumberFormat="1" applyFont="1" applyFill="1" applyBorder="1" applyAlignment="1">
      <alignment horizontal="right"/>
    </xf>
    <xf numFmtId="3" fontId="0" fillId="2" borderId="1" xfId="5" applyNumberFormat="1" applyFont="1" applyFill="1" applyBorder="1" applyAlignment="1">
      <alignment horizontal="left" indent="2"/>
    </xf>
    <xf numFmtId="193" fontId="0" fillId="0" borderId="0" xfId="0" applyNumberFormat="1"/>
    <xf numFmtId="192" fontId="6" fillId="0" borderId="4" xfId="0" applyNumberFormat="1" applyFont="1" applyBorder="1"/>
    <xf numFmtId="192" fontId="6" fillId="0" borderId="4" xfId="1" applyNumberFormat="1" applyFont="1" applyFill="1" applyBorder="1" applyAlignment="1">
      <alignment horizontal="right"/>
    </xf>
    <xf numFmtId="191" fontId="30" fillId="0" borderId="0" xfId="0" applyFont="1"/>
    <xf numFmtId="3" fontId="29" fillId="2" borderId="0" xfId="0" applyNumberFormat="1" applyFont="1" applyFill="1"/>
    <xf numFmtId="191" fontId="10" fillId="0" borderId="10" xfId="0" applyFont="1" applyBorder="1" applyAlignment="1">
      <alignment horizontal="centerContinuous" vertical="center"/>
    </xf>
    <xf numFmtId="191" fontId="10" fillId="0" borderId="11" xfId="0" applyFont="1" applyBorder="1" applyAlignment="1">
      <alignment horizontal="centerContinuous" vertical="center"/>
    </xf>
    <xf numFmtId="191" fontId="10" fillId="0" borderId="12" xfId="0" applyFont="1" applyBorder="1" applyAlignment="1">
      <alignment horizontal="centerContinuous" vertical="center"/>
    </xf>
    <xf numFmtId="191" fontId="10" fillId="0" borderId="7" xfId="0" applyFont="1" applyBorder="1" applyAlignment="1">
      <alignment horizontal="centerContinuous" vertical="center"/>
    </xf>
    <xf numFmtId="191" fontId="10" fillId="0" borderId="6" xfId="0" applyFont="1" applyBorder="1" applyAlignment="1">
      <alignment horizontal="centerContinuous" vertical="center"/>
    </xf>
    <xf numFmtId="191" fontId="10" fillId="0" borderId="8" xfId="0" applyFont="1" applyBorder="1" applyAlignment="1">
      <alignment horizontal="centerContinuous" vertical="center"/>
    </xf>
    <xf numFmtId="193" fontId="0" fillId="5" borderId="2" xfId="7" applyNumberFormat="1" applyFont="1" applyFill="1" applyBorder="1" applyAlignment="1">
      <alignment horizontal="right" vertical="center"/>
    </xf>
    <xf numFmtId="3" fontId="0" fillId="5" borderId="0" xfId="7" applyNumberFormat="1" applyFont="1" applyFill="1" applyAlignment="1">
      <alignment horizontal="left" vertical="center"/>
    </xf>
    <xf numFmtId="3" fontId="0" fillId="5" borderId="3" xfId="7" applyNumberFormat="1" applyFont="1" applyFill="1" applyBorder="1" applyAlignment="1">
      <alignment horizontal="center" vertical="center"/>
    </xf>
    <xf numFmtId="193" fontId="2" fillId="5" borderId="2" xfId="7" applyNumberFormat="1" applyFont="1" applyFill="1" applyBorder="1" applyAlignment="1">
      <alignment horizontal="right" vertical="center"/>
    </xf>
    <xf numFmtId="3" fontId="2" fillId="5" borderId="0" xfId="7" applyNumberFormat="1" applyFont="1" applyFill="1" applyAlignment="1">
      <alignment horizontal="left" vertical="center"/>
    </xf>
    <xf numFmtId="3" fontId="2" fillId="5" borderId="3" xfId="7" applyNumberFormat="1" applyFont="1" applyFill="1" applyBorder="1" applyAlignment="1">
      <alignment horizontal="center" vertical="center"/>
    </xf>
    <xf numFmtId="193" fontId="2" fillId="5" borderId="7" xfId="7" applyNumberFormat="1" applyFont="1" applyFill="1" applyBorder="1" applyAlignment="1">
      <alignment vertical="center"/>
    </xf>
    <xf numFmtId="3" fontId="2" fillId="5" borderId="6" xfId="7" applyNumberFormat="1" applyFont="1" applyFill="1" applyBorder="1" applyAlignment="1">
      <alignment vertical="center"/>
    </xf>
    <xf numFmtId="3" fontId="2" fillId="5" borderId="8" xfId="7" applyNumberFormat="1" applyFont="1" applyFill="1" applyBorder="1" applyAlignment="1">
      <alignment horizontal="center" vertical="center"/>
    </xf>
    <xf numFmtId="1" fontId="31" fillId="2" borderId="11" xfId="4" applyNumberFormat="1" applyFont="1" applyFill="1" applyBorder="1" applyAlignment="1">
      <alignment horizontal="centerContinuous" vertical="center"/>
    </xf>
    <xf numFmtId="1" fontId="32" fillId="4" borderId="5" xfId="4" applyNumberFormat="1" applyFont="1" applyFill="1" applyBorder="1" applyAlignment="1">
      <alignment horizontal="centerContinuous" vertical="center" wrapText="1"/>
    </xf>
    <xf numFmtId="189" fontId="31" fillId="0" borderId="6" xfId="4" applyNumberFormat="1" applyFont="1" applyBorder="1" applyAlignment="1">
      <alignment horizontal="centerContinuous" vertical="center"/>
    </xf>
    <xf numFmtId="1" fontId="32" fillId="4" borderId="4" xfId="4" applyNumberFormat="1" applyFont="1" applyFill="1" applyBorder="1" applyAlignment="1">
      <alignment horizontal="centerContinuous" vertical="center"/>
    </xf>
    <xf numFmtId="193" fontId="0" fillId="0" borderId="0" xfId="4" applyNumberFormat="1" applyFont="1" applyAlignment="1">
      <alignment horizontal="right" vertical="center"/>
    </xf>
    <xf numFmtId="193" fontId="0" fillId="4" borderId="1" xfId="4" applyNumberFormat="1" applyFont="1" applyFill="1" applyBorder="1" applyAlignment="1">
      <alignment horizontal="right" vertical="center"/>
    </xf>
    <xf numFmtId="193" fontId="33" fillId="5" borderId="0" xfId="8" applyNumberFormat="1" applyFont="1" applyFill="1" applyAlignment="1">
      <alignment horizontal="right" vertical="center"/>
    </xf>
    <xf numFmtId="193" fontId="33" fillId="4" borderId="1" xfId="7" applyNumberFormat="1" applyFont="1" applyFill="1" applyBorder="1" applyAlignment="1">
      <alignment horizontal="right" vertical="center"/>
    </xf>
    <xf numFmtId="193" fontId="0" fillId="5" borderId="0" xfId="8" applyNumberFormat="1" applyFont="1" applyFill="1" applyAlignment="1">
      <alignment horizontal="right" vertical="center"/>
    </xf>
    <xf numFmtId="193" fontId="0" fillId="4" borderId="1" xfId="7" applyNumberFormat="1" applyFont="1" applyFill="1" applyBorder="1" applyAlignment="1">
      <alignment horizontal="right" vertical="center"/>
    </xf>
    <xf numFmtId="193" fontId="0" fillId="0" borderId="0" xfId="8" applyNumberFormat="1" applyFont="1" applyAlignment="1">
      <alignment horizontal="right" vertical="center"/>
    </xf>
    <xf numFmtId="193" fontId="6" fillId="0" borderId="0" xfId="8" applyNumberFormat="1" applyFont="1" applyAlignment="1">
      <alignment horizontal="right" vertical="center"/>
    </xf>
    <xf numFmtId="193" fontId="6" fillId="4" borderId="1" xfId="7" applyNumberFormat="1" applyFont="1" applyFill="1" applyBorder="1" applyAlignment="1">
      <alignment horizontal="right" vertical="center"/>
    </xf>
    <xf numFmtId="193" fontId="0" fillId="5" borderId="6" xfId="7" applyNumberFormat="1" applyFont="1" applyFill="1" applyBorder="1" applyAlignment="1">
      <alignment horizontal="right" vertical="center"/>
    </xf>
    <xf numFmtId="193" fontId="0" fillId="4" borderId="4" xfId="7" applyNumberFormat="1" applyFont="1" applyFill="1" applyBorder="1" applyAlignment="1">
      <alignment horizontal="right" vertical="center"/>
    </xf>
    <xf numFmtId="3" fontId="32" fillId="2" borderId="17" xfId="4" applyNumberFormat="1" applyFont="1" applyFill="1" applyBorder="1" applyAlignment="1">
      <alignment horizontal="centerContinuous" vertical="center"/>
    </xf>
    <xf numFmtId="3" fontId="32" fillId="2" borderId="14" xfId="4" applyNumberFormat="1" applyFont="1" applyFill="1" applyBorder="1" applyAlignment="1">
      <alignment horizontal="centerContinuous" vertical="center"/>
    </xf>
    <xf numFmtId="1" fontId="32" fillId="2" borderId="5" xfId="4" applyNumberFormat="1" applyFont="1" applyFill="1" applyBorder="1" applyAlignment="1">
      <alignment horizontal="center" vertical="center"/>
    </xf>
    <xf numFmtId="189" fontId="32" fillId="0" borderId="7" xfId="4" applyNumberFormat="1" applyFont="1" applyBorder="1" applyAlignment="1">
      <alignment horizontal="center" vertical="center"/>
    </xf>
    <xf numFmtId="3" fontId="32" fillId="2" borderId="7" xfId="4" applyNumberFormat="1" applyFont="1" applyFill="1" applyBorder="1" applyAlignment="1">
      <alignment horizontal="center" vertical="center"/>
    </xf>
    <xf numFmtId="3" fontId="32" fillId="2" borderId="4" xfId="4" applyNumberFormat="1" applyFont="1" applyFill="1" applyBorder="1" applyAlignment="1">
      <alignment horizontal="center" vertical="center"/>
    </xf>
    <xf numFmtId="192" fontId="0" fillId="5" borderId="10" xfId="7" applyNumberFormat="1" applyFont="1" applyFill="1" applyBorder="1" applyAlignment="1">
      <alignment horizontal="right" vertical="center"/>
    </xf>
    <xf numFmtId="192" fontId="0" fillId="5" borderId="11" xfId="7" applyNumberFormat="1" applyFont="1" applyFill="1" applyBorder="1" applyAlignment="1">
      <alignment horizontal="right" vertical="center"/>
    </xf>
    <xf numFmtId="193" fontId="0" fillId="5" borderId="10" xfId="7" applyNumberFormat="1" applyFont="1" applyFill="1" applyBorder="1" applyAlignment="1">
      <alignment horizontal="right" vertical="center"/>
    </xf>
    <xf numFmtId="193" fontId="0" fillId="5" borderId="12" xfId="7" applyNumberFormat="1" applyFont="1" applyFill="1" applyBorder="1" applyAlignment="1">
      <alignment horizontal="right" vertical="center"/>
    </xf>
    <xf numFmtId="192" fontId="33" fillId="5" borderId="2" xfId="7" applyNumberFormat="1" applyFont="1" applyFill="1" applyBorder="1" applyAlignment="1">
      <alignment horizontal="right" vertical="center"/>
    </xf>
    <xf numFmtId="193" fontId="33" fillId="5" borderId="2" xfId="7" applyNumberFormat="1" applyFont="1" applyFill="1" applyBorder="1" applyAlignment="1">
      <alignment horizontal="right" vertical="center"/>
    </xf>
    <xf numFmtId="193" fontId="33" fillId="5" borderId="3" xfId="7" applyNumberFormat="1" applyFont="1" applyFill="1" applyBorder="1" applyAlignment="1">
      <alignment horizontal="right" vertical="center"/>
    </xf>
    <xf numFmtId="192" fontId="0" fillId="5" borderId="2" xfId="7" applyNumberFormat="1" applyFont="1" applyFill="1" applyBorder="1" applyAlignment="1">
      <alignment horizontal="right" vertical="center"/>
    </xf>
    <xf numFmtId="192" fontId="0" fillId="5" borderId="0" xfId="7" applyNumberFormat="1" applyFont="1" applyFill="1" applyAlignment="1">
      <alignment horizontal="right" vertical="center"/>
    </xf>
    <xf numFmtId="193" fontId="0" fillId="5" borderId="3" xfId="7" applyNumberFormat="1" applyFont="1" applyFill="1" applyBorder="1" applyAlignment="1">
      <alignment horizontal="right" vertical="center"/>
    </xf>
    <xf numFmtId="192" fontId="6" fillId="5" borderId="2" xfId="7" applyNumberFormat="1" applyFont="1" applyFill="1" applyBorder="1" applyAlignment="1">
      <alignment horizontal="right" vertical="center"/>
    </xf>
    <xf numFmtId="192" fontId="6" fillId="5" borderId="0" xfId="7" applyNumberFormat="1" applyFont="1" applyFill="1" applyAlignment="1">
      <alignment horizontal="right" vertical="center"/>
    </xf>
    <xf numFmtId="193" fontId="6" fillId="5" borderId="2" xfId="7" applyNumberFormat="1" applyFont="1" applyFill="1" applyBorder="1" applyAlignment="1">
      <alignment horizontal="right" vertical="center"/>
    </xf>
    <xf numFmtId="193" fontId="6" fillId="5" borderId="3" xfId="7" applyNumberFormat="1" applyFont="1" applyFill="1" applyBorder="1" applyAlignment="1">
      <alignment horizontal="right" vertical="center"/>
    </xf>
    <xf numFmtId="192" fontId="0" fillId="5" borderId="7" xfId="7" applyNumberFormat="1" applyFont="1" applyFill="1" applyBorder="1" applyAlignment="1">
      <alignment horizontal="right" vertical="center"/>
    </xf>
    <xf numFmtId="192" fontId="0" fillId="5" borderId="6" xfId="7" applyNumberFormat="1" applyFont="1" applyFill="1" applyBorder="1" applyAlignment="1">
      <alignment horizontal="right" vertical="center"/>
    </xf>
    <xf numFmtId="193" fontId="0" fillId="5" borderId="7" xfId="7" applyNumberFormat="1" applyFont="1" applyFill="1" applyBorder="1" applyAlignment="1">
      <alignment horizontal="right" vertical="center"/>
    </xf>
    <xf numFmtId="193" fontId="0" fillId="5" borderId="8" xfId="7" applyNumberFormat="1" applyFont="1" applyFill="1" applyBorder="1" applyAlignment="1">
      <alignment horizontal="right" vertical="center"/>
    </xf>
    <xf numFmtId="3" fontId="0" fillId="5" borderId="5" xfId="7" applyNumberFormat="1" applyFont="1" applyFill="1" applyBorder="1" applyAlignment="1">
      <alignment vertical="center"/>
    </xf>
    <xf numFmtId="3" fontId="0" fillId="5" borderId="4" xfId="7" applyNumberFormat="1" applyFont="1" applyFill="1" applyBorder="1" applyAlignment="1">
      <alignment horizontal="left" vertical="center"/>
    </xf>
    <xf numFmtId="3" fontId="0" fillId="5" borderId="1" xfId="7" applyNumberFormat="1" applyFont="1" applyFill="1" applyBorder="1" applyAlignment="1">
      <alignment horizontal="left" vertical="center"/>
    </xf>
    <xf numFmtId="3" fontId="33" fillId="5" borderId="1" xfId="7" applyNumberFormat="1" applyFont="1" applyFill="1" applyBorder="1" applyAlignment="1">
      <alignment horizontal="left" vertical="center"/>
    </xf>
    <xf numFmtId="3" fontId="2" fillId="5" borderId="1" xfId="7" applyNumberFormat="1" applyFont="1" applyFill="1" applyBorder="1" applyAlignment="1">
      <alignment horizontal="left" vertical="center"/>
    </xf>
    <xf numFmtId="3" fontId="6" fillId="5" borderId="1" xfId="7" applyNumberFormat="1" applyFont="1" applyFill="1" applyBorder="1" applyAlignment="1">
      <alignment horizontal="left" vertical="center"/>
    </xf>
    <xf numFmtId="3" fontId="0" fillId="5" borderId="4" xfId="7" applyNumberFormat="1" applyFont="1" applyFill="1" applyBorder="1" applyAlignment="1">
      <alignment vertical="center"/>
    </xf>
    <xf numFmtId="3" fontId="34" fillId="0" borderId="0" xfId="6" applyNumberFormat="1" applyBorder="1" applyAlignment="1">
      <alignment horizontal="left"/>
    </xf>
    <xf numFmtId="193" fontId="4" fillId="0" borderId="0" xfId="8" applyNumberFormat="1" applyFont="1" applyAlignment="1">
      <alignment horizontal="right" vertical="center"/>
    </xf>
    <xf numFmtId="193" fontId="4" fillId="4" borderId="1" xfId="7" applyNumberFormat="1" applyFont="1" applyFill="1" applyBorder="1" applyAlignment="1">
      <alignment horizontal="right" vertical="center"/>
    </xf>
    <xf numFmtId="192" fontId="4" fillId="5" borderId="2" xfId="7" applyNumberFormat="1" applyFont="1" applyFill="1" applyBorder="1" applyAlignment="1">
      <alignment horizontal="right" vertical="center"/>
    </xf>
    <xf numFmtId="192" fontId="4" fillId="5" borderId="0" xfId="7" applyNumberFormat="1" applyFont="1" applyFill="1" applyAlignment="1">
      <alignment horizontal="right" vertical="center"/>
    </xf>
    <xf numFmtId="193" fontId="4" fillId="5" borderId="2" xfId="7" applyNumberFormat="1" applyFont="1" applyFill="1" applyBorder="1" applyAlignment="1">
      <alignment horizontal="right" vertical="center"/>
    </xf>
    <xf numFmtId="193" fontId="4" fillId="5" borderId="3" xfId="7" applyNumberFormat="1" applyFont="1" applyFill="1" applyBorder="1" applyAlignment="1">
      <alignment horizontal="right" vertical="center"/>
    </xf>
    <xf numFmtId="193" fontId="7" fillId="5" borderId="2" xfId="7" applyNumberFormat="1" applyFont="1" applyFill="1" applyBorder="1" applyAlignment="1">
      <alignment horizontal="right" vertical="center"/>
    </xf>
    <xf numFmtId="3" fontId="7" fillId="5" borderId="3" xfId="7" applyNumberFormat="1" applyFont="1" applyFill="1" applyBorder="1" applyAlignment="1">
      <alignment horizontal="center" vertical="center"/>
    </xf>
    <xf numFmtId="3" fontId="4" fillId="5" borderId="1" xfId="7" applyNumberFormat="1" applyFont="1" applyFill="1" applyBorder="1" applyAlignment="1">
      <alignment horizontal="left" vertical="center" indent="1"/>
    </xf>
    <xf numFmtId="3" fontId="2" fillId="6" borderId="1" xfId="7" applyNumberFormat="1" applyFont="1" applyFill="1" applyBorder="1" applyAlignment="1">
      <alignment horizontal="left" vertical="center"/>
    </xf>
    <xf numFmtId="3" fontId="4" fillId="6" borderId="1" xfId="7" applyNumberFormat="1" applyFont="1" applyFill="1" applyBorder="1" applyAlignment="1">
      <alignment horizontal="left" vertical="center" indent="1"/>
    </xf>
    <xf numFmtId="3" fontId="4" fillId="5" borderId="0" xfId="7" applyNumberFormat="1" applyFont="1" applyFill="1" applyAlignment="1">
      <alignment horizontal="left" vertical="center"/>
    </xf>
    <xf numFmtId="3" fontId="4" fillId="5" borderId="3" xfId="7" applyNumberFormat="1" applyFont="1" applyFill="1" applyBorder="1" applyAlignment="1">
      <alignment horizontal="center" vertical="center"/>
    </xf>
    <xf numFmtId="3" fontId="4" fillId="0" borderId="1" xfId="7" applyNumberFormat="1" applyFont="1" applyBorder="1" applyAlignment="1">
      <alignment horizontal="left" vertical="center" indent="1"/>
    </xf>
    <xf numFmtId="3" fontId="6" fillId="5" borderId="3" xfId="7" applyNumberFormat="1" applyFont="1" applyFill="1" applyBorder="1" applyAlignment="1">
      <alignment horizontal="center" vertical="center"/>
    </xf>
    <xf numFmtId="3" fontId="0" fillId="6" borderId="0" xfId="7" applyNumberFormat="1" applyFont="1" applyFill="1" applyAlignment="1">
      <alignment horizontal="left" vertical="center"/>
    </xf>
    <xf numFmtId="3" fontId="2" fillId="5" borderId="1" xfId="7" applyNumberFormat="1" applyFont="1" applyFill="1" applyBorder="1" applyAlignment="1">
      <alignment horizontal="left" vertical="center" indent="1"/>
    </xf>
    <xf numFmtId="3" fontId="2" fillId="0" borderId="1" xfId="7" applyNumberFormat="1" applyFont="1" applyBorder="1" applyAlignment="1">
      <alignment horizontal="left" vertical="center" indent="1"/>
    </xf>
    <xf numFmtId="3" fontId="0" fillId="2" borderId="0" xfId="0" applyNumberFormat="1" applyFill="1"/>
    <xf numFmtId="193" fontId="4" fillId="0" borderId="0" xfId="4" applyNumberFormat="1" applyFont="1" applyAlignment="1">
      <alignment horizontal="right" vertical="center"/>
    </xf>
    <xf numFmtId="193" fontId="4" fillId="4" borderId="1" xfId="4" applyNumberFormat="1" applyFont="1" applyFill="1" applyBorder="1" applyAlignment="1">
      <alignment horizontal="right" vertical="center"/>
    </xf>
    <xf numFmtId="193" fontId="5" fillId="4" borderId="1" xfId="7" applyNumberFormat="1" applyFont="1" applyFill="1" applyBorder="1" applyAlignment="1">
      <alignment horizontal="right" vertical="center"/>
    </xf>
    <xf numFmtId="193" fontId="5" fillId="5" borderId="2" xfId="7" applyNumberFormat="1" applyFont="1" applyFill="1" applyBorder="1" applyAlignment="1">
      <alignment horizontal="right" vertical="center"/>
    </xf>
    <xf numFmtId="1" fontId="31" fillId="2" borderId="11" xfId="4" applyNumberFormat="1" applyFont="1" applyFill="1" applyBorder="1" applyAlignment="1">
      <alignment horizontal="left" vertical="center"/>
    </xf>
    <xf numFmtId="189" fontId="31" fillId="0" borderId="6" xfId="4" applyNumberFormat="1" applyFont="1" applyBorder="1" applyAlignment="1">
      <alignment horizontal="left" vertical="center"/>
    </xf>
    <xf numFmtId="193" fontId="0" fillId="0" borderId="0" xfId="4" applyNumberFormat="1" applyFont="1" applyAlignment="1">
      <alignment horizontal="left" vertical="center"/>
    </xf>
    <xf numFmtId="193" fontId="33" fillId="5" borderId="0" xfId="8" applyNumberFormat="1" applyFont="1" applyFill="1" applyAlignment="1">
      <alignment horizontal="left" vertical="center"/>
    </xf>
    <xf numFmtId="193" fontId="0" fillId="0" borderId="0" xfId="8" applyNumberFormat="1" applyFont="1" applyAlignment="1">
      <alignment horizontal="left" vertical="center"/>
    </xf>
    <xf numFmtId="193" fontId="6" fillId="0" borderId="0" xfId="8" applyNumberFormat="1" applyFont="1" applyAlignment="1">
      <alignment horizontal="left" vertical="center"/>
    </xf>
    <xf numFmtId="193" fontId="4" fillId="0" borderId="0" xfId="4" applyNumberFormat="1" applyFont="1" applyAlignment="1">
      <alignment horizontal="left" vertical="center"/>
    </xf>
    <xf numFmtId="193" fontId="0" fillId="5" borderId="6" xfId="7" applyNumberFormat="1" applyFont="1" applyFill="1" applyBorder="1" applyAlignment="1">
      <alignment horizontal="left" vertical="center"/>
    </xf>
    <xf numFmtId="193" fontId="0" fillId="0" borderId="0" xfId="8" applyNumberFormat="1" applyFont="1" applyAlignment="1">
      <alignment horizontal="left" vertical="center" indent="1"/>
    </xf>
    <xf numFmtId="193" fontId="6" fillId="0" borderId="0" xfId="8" applyNumberFormat="1" applyFont="1" applyAlignment="1">
      <alignment horizontal="left" vertical="center" indent="1"/>
    </xf>
    <xf numFmtId="193" fontId="4" fillId="0" borderId="0" xfId="8" applyNumberFormat="1" applyFont="1" applyAlignment="1">
      <alignment horizontal="left" vertical="center" indent="1"/>
    </xf>
    <xf numFmtId="193" fontId="4" fillId="0" borderId="0" xfId="8" applyNumberFormat="1" applyFont="1" applyAlignment="1">
      <alignment horizontal="left" vertical="center" indent="2"/>
    </xf>
    <xf numFmtId="3" fontId="34" fillId="2" borderId="0" xfId="6" applyNumberFormat="1" applyFill="1"/>
    <xf numFmtId="192" fontId="33" fillId="5" borderId="0" xfId="7" applyNumberFormat="1" applyFont="1" applyFill="1" applyAlignment="1">
      <alignment horizontal="right" vertical="center"/>
    </xf>
    <xf numFmtId="192" fontId="5" fillId="2" borderId="2" xfId="0" applyNumberFormat="1" applyFont="1" applyFill="1" applyBorder="1" applyAlignment="1">
      <alignment horizontal="right"/>
    </xf>
    <xf numFmtId="192" fontId="5" fillId="2" borderId="0" xfId="0" applyNumberFormat="1" applyFont="1" applyFill="1" applyAlignment="1">
      <alignment horizontal="right"/>
    </xf>
    <xf numFmtId="192" fontId="4" fillId="2" borderId="2" xfId="0" applyNumberFormat="1" applyFont="1" applyFill="1" applyBorder="1" applyAlignment="1">
      <alignment horizontal="right"/>
    </xf>
    <xf numFmtId="192" fontId="4" fillId="2" borderId="0" xfId="0" applyNumberFormat="1" applyFont="1" applyFill="1" applyAlignment="1">
      <alignment horizontal="right"/>
    </xf>
    <xf numFmtId="192" fontId="6" fillId="2" borderId="2" xfId="0" applyNumberFormat="1" applyFont="1" applyFill="1" applyBorder="1" applyAlignment="1">
      <alignment horizontal="right"/>
    </xf>
    <xf numFmtId="192" fontId="6" fillId="2" borderId="0" xfId="0" applyNumberFormat="1" applyFont="1" applyFill="1" applyAlignment="1">
      <alignment horizontal="right"/>
    </xf>
    <xf numFmtId="192" fontId="0" fillId="2" borderId="2" xfId="0" applyNumberFormat="1" applyFill="1" applyBorder="1" applyAlignment="1">
      <alignment horizontal="right"/>
    </xf>
    <xf numFmtId="192" fontId="0" fillId="2" borderId="0" xfId="0" applyNumberFormat="1" applyFill="1" applyAlignment="1">
      <alignment horizontal="right"/>
    </xf>
    <xf numFmtId="192" fontId="6" fillId="2" borderId="7" xfId="0" applyNumberFormat="1" applyFont="1" applyFill="1" applyBorder="1" applyAlignment="1">
      <alignment horizontal="right"/>
    </xf>
    <xf numFmtId="192" fontId="6" fillId="2" borderId="6" xfId="0" applyNumberFormat="1" applyFont="1" applyFill="1" applyBorder="1" applyAlignment="1">
      <alignment horizontal="right"/>
    </xf>
    <xf numFmtId="193" fontId="5" fillId="2" borderId="2" xfId="0" applyNumberFormat="1" applyFont="1" applyFill="1" applyBorder="1" applyAlignment="1">
      <alignment horizontal="right"/>
    </xf>
    <xf numFmtId="193" fontId="5" fillId="2" borderId="3" xfId="0" applyNumberFormat="1" applyFont="1" applyFill="1" applyBorder="1"/>
    <xf numFmtId="193" fontId="4" fillId="2" borderId="2" xfId="0" applyNumberFormat="1" applyFont="1" applyFill="1" applyBorder="1" applyAlignment="1">
      <alignment horizontal="right"/>
    </xf>
    <xf numFmtId="193" fontId="4" fillId="2" borderId="3" xfId="0" applyNumberFormat="1" applyFont="1" applyFill="1" applyBorder="1"/>
    <xf numFmtId="193" fontId="6" fillId="2" borderId="2" xfId="0" applyNumberFormat="1" applyFont="1" applyFill="1" applyBorder="1" applyAlignment="1">
      <alignment horizontal="right"/>
    </xf>
    <xf numFmtId="193" fontId="6" fillId="2" borderId="3" xfId="0" applyNumberFormat="1" applyFont="1" applyFill="1" applyBorder="1"/>
    <xf numFmtId="193" fontId="0" fillId="2" borderId="2" xfId="0" applyNumberFormat="1" applyFill="1" applyBorder="1" applyAlignment="1">
      <alignment horizontal="right"/>
    </xf>
    <xf numFmtId="193" fontId="0" fillId="2" borderId="3" xfId="0" applyNumberFormat="1" applyFill="1" applyBorder="1"/>
    <xf numFmtId="193" fontId="6" fillId="2" borderId="7" xfId="0" applyNumberFormat="1" applyFont="1" applyFill="1" applyBorder="1" applyAlignment="1">
      <alignment horizontal="right"/>
    </xf>
    <xf numFmtId="193" fontId="6" fillId="2" borderId="8" xfId="0" applyNumberFormat="1" applyFont="1" applyFill="1" applyBorder="1"/>
    <xf numFmtId="193" fontId="31" fillId="5" borderId="0" xfId="8" applyNumberFormat="1" applyFont="1" applyFill="1" applyAlignment="1">
      <alignment horizontal="left" vertical="center"/>
    </xf>
    <xf numFmtId="193" fontId="31" fillId="5" borderId="0" xfId="8" applyNumberFormat="1" applyFont="1" applyFill="1" applyAlignment="1">
      <alignment horizontal="right" vertical="center"/>
    </xf>
    <xf numFmtId="193" fontId="31" fillId="4" borderId="1" xfId="7" applyNumberFormat="1" applyFont="1" applyFill="1" applyBorder="1" applyAlignment="1">
      <alignment horizontal="right" vertical="center"/>
    </xf>
    <xf numFmtId="191" fontId="12" fillId="0" borderId="0" xfId="0" applyFont="1"/>
    <xf numFmtId="193" fontId="4" fillId="5" borderId="0" xfId="8" applyNumberFormat="1" applyFont="1" applyFill="1" applyAlignment="1">
      <alignment horizontal="left" vertical="center"/>
    </xf>
    <xf numFmtId="193" fontId="4" fillId="5" borderId="0" xfId="8" applyNumberFormat="1" applyFont="1" applyFill="1" applyAlignment="1">
      <alignment horizontal="right" vertical="center"/>
    </xf>
    <xf numFmtId="193" fontId="5" fillId="5" borderId="0" xfId="8" applyNumberFormat="1" applyFont="1" applyFill="1" applyAlignment="1">
      <alignment horizontal="left" vertical="center"/>
    </xf>
    <xf numFmtId="193" fontId="5" fillId="5" borderId="0" xfId="8" applyNumberFormat="1" applyFont="1" applyFill="1" applyAlignment="1">
      <alignment horizontal="right" vertical="center"/>
    </xf>
    <xf numFmtId="191" fontId="35" fillId="0" borderId="0" xfId="0" applyFont="1"/>
    <xf numFmtId="192" fontId="5" fillId="5" borderId="2" xfId="7" applyNumberFormat="1" applyFont="1" applyFill="1" applyBorder="1" applyAlignment="1">
      <alignment horizontal="right" vertical="center"/>
    </xf>
    <xf numFmtId="192" fontId="5" fillId="5" borderId="0" xfId="7" applyNumberFormat="1" applyFont="1" applyFill="1" applyAlignment="1">
      <alignment horizontal="right" vertical="center"/>
    </xf>
    <xf numFmtId="193" fontId="5" fillId="5" borderId="3" xfId="7" applyNumberFormat="1" applyFont="1" applyFill="1" applyBorder="1" applyAlignment="1">
      <alignment horizontal="right" vertical="center"/>
    </xf>
    <xf numFmtId="3" fontId="25" fillId="2" borderId="0" xfId="0" applyNumberFormat="1" applyFont="1" applyFill="1"/>
    <xf numFmtId="193" fontId="6" fillId="5" borderId="0" xfId="8" applyNumberFormat="1" applyFont="1" applyFill="1" applyAlignment="1">
      <alignment horizontal="left" vertical="center"/>
    </xf>
    <xf numFmtId="193" fontId="6" fillId="5" borderId="0" xfId="8" applyNumberFormat="1" applyFont="1" applyFill="1" applyAlignment="1">
      <alignment horizontal="right" vertical="center"/>
    </xf>
    <xf numFmtId="193" fontId="33" fillId="0" borderId="0" xfId="8" applyNumberFormat="1" applyFont="1" applyAlignment="1">
      <alignment horizontal="left" vertical="center"/>
    </xf>
    <xf numFmtId="193" fontId="33" fillId="0" borderId="0" xfId="8" applyNumberFormat="1" applyFont="1" applyAlignment="1">
      <alignment horizontal="right" vertical="center"/>
    </xf>
    <xf numFmtId="191" fontId="33" fillId="0" borderId="0" xfId="0" applyFont="1"/>
    <xf numFmtId="192" fontId="33" fillId="2" borderId="2" xfId="0" applyNumberFormat="1" applyFont="1" applyFill="1" applyBorder="1" applyAlignment="1">
      <alignment horizontal="right"/>
    </xf>
    <xf numFmtId="192" fontId="33" fillId="2" borderId="0" xfId="0" applyNumberFormat="1" applyFont="1" applyFill="1" applyAlignment="1">
      <alignment horizontal="right"/>
    </xf>
    <xf numFmtId="193" fontId="33" fillId="2" borderId="2" xfId="0" applyNumberFormat="1" applyFont="1" applyFill="1" applyBorder="1" applyAlignment="1">
      <alignment horizontal="right"/>
    </xf>
    <xf numFmtId="193" fontId="33" fillId="2" borderId="3" xfId="0" applyNumberFormat="1" applyFont="1" applyFill="1" applyBorder="1"/>
    <xf numFmtId="3" fontId="33" fillId="2" borderId="0" xfId="0" applyNumberFormat="1" applyFont="1" applyFill="1"/>
    <xf numFmtId="3" fontId="6" fillId="5" borderId="0" xfId="7" applyNumberFormat="1" applyFont="1" applyFill="1" applyAlignment="1">
      <alignment horizontal="left" vertical="center"/>
    </xf>
    <xf numFmtId="3" fontId="6" fillId="2" borderId="3" xfId="0" applyNumberFormat="1" applyFont="1" applyFill="1" applyBorder="1"/>
    <xf numFmtId="3" fontId="4" fillId="2" borderId="3" xfId="0" applyNumberFormat="1" applyFont="1" applyFill="1" applyBorder="1"/>
    <xf numFmtId="3" fontId="7" fillId="5" borderId="0" xfId="7" applyNumberFormat="1" applyFont="1" applyFill="1" applyAlignment="1">
      <alignment horizontal="left" vertical="center"/>
    </xf>
    <xf numFmtId="193" fontId="2" fillId="5" borderId="2" xfId="7" applyNumberFormat="1" applyFont="1" applyFill="1" applyBorder="1" applyAlignment="1">
      <alignment vertical="center"/>
    </xf>
    <xf numFmtId="3" fontId="2" fillId="5" borderId="0" xfId="7" applyNumberFormat="1" applyFont="1" applyFill="1" applyAlignment="1">
      <alignment vertical="center"/>
    </xf>
    <xf numFmtId="3" fontId="5" fillId="2" borderId="2" xfId="0" applyNumberFormat="1" applyFont="1" applyFill="1" applyBorder="1"/>
    <xf numFmtId="3" fontId="5" fillId="2" borderId="3" xfId="0" applyNumberFormat="1" applyFont="1" applyFill="1" applyBorder="1"/>
    <xf numFmtId="3" fontId="4" fillId="2" borderId="8" xfId="0" applyNumberFormat="1" applyFont="1" applyFill="1" applyBorder="1"/>
    <xf numFmtId="193" fontId="0" fillId="6" borderId="0" xfId="8" applyNumberFormat="1" applyFont="1" applyFill="1" applyAlignment="1">
      <alignment horizontal="left" vertical="center" indent="1"/>
    </xf>
    <xf numFmtId="3" fontId="0" fillId="5" borderId="6" xfId="7" applyNumberFormat="1" applyFont="1" applyFill="1" applyBorder="1" applyAlignment="1">
      <alignment horizontal="left" vertical="center"/>
    </xf>
    <xf numFmtId="3" fontId="0" fillId="5" borderId="8" xfId="7" applyNumberFormat="1" applyFont="1" applyFill="1" applyBorder="1" applyAlignment="1">
      <alignment horizontal="center" vertical="center"/>
    </xf>
    <xf numFmtId="193" fontId="4" fillId="6" borderId="0" xfId="8" applyNumberFormat="1" applyFont="1" applyFill="1" applyAlignment="1">
      <alignment horizontal="left" vertical="center" indent="1"/>
    </xf>
    <xf numFmtId="193" fontId="4" fillId="6" borderId="0" xfId="7" applyNumberFormat="1" applyFont="1" applyFill="1" applyAlignment="1">
      <alignment horizontal="left" vertical="center" indent="1"/>
    </xf>
    <xf numFmtId="193" fontId="4" fillId="5" borderId="0" xfId="7" applyNumberFormat="1" applyFont="1" applyFill="1" applyAlignment="1">
      <alignment horizontal="right" vertical="center"/>
    </xf>
    <xf numFmtId="3" fontId="4" fillId="5" borderId="4" xfId="7" applyNumberFormat="1" applyFont="1" applyFill="1" applyBorder="1" applyAlignment="1">
      <alignment vertical="center"/>
    </xf>
    <xf numFmtId="193" fontId="4" fillId="5" borderId="6" xfId="7" applyNumberFormat="1" applyFont="1" applyFill="1" applyBorder="1" applyAlignment="1">
      <alignment horizontal="right" vertical="center"/>
    </xf>
    <xf numFmtId="193" fontId="4" fillId="4" borderId="4" xfId="7" applyNumberFormat="1" applyFont="1" applyFill="1" applyBorder="1" applyAlignment="1">
      <alignment horizontal="right" vertical="center"/>
    </xf>
    <xf numFmtId="192" fontId="4" fillId="5" borderId="7" xfId="7" applyNumberFormat="1" applyFont="1" applyFill="1" applyBorder="1" applyAlignment="1">
      <alignment horizontal="right" vertical="center"/>
    </xf>
    <xf numFmtId="192" fontId="4" fillId="5" borderId="6" xfId="7" applyNumberFormat="1" applyFont="1" applyFill="1" applyBorder="1" applyAlignment="1">
      <alignment horizontal="right" vertical="center"/>
    </xf>
    <xf numFmtId="193" fontId="4" fillId="5" borderId="7" xfId="7" applyNumberFormat="1" applyFont="1" applyFill="1" applyBorder="1" applyAlignment="1">
      <alignment horizontal="right" vertical="center"/>
    </xf>
    <xf numFmtId="193" fontId="4" fillId="5" borderId="8" xfId="7" applyNumberFormat="1" applyFont="1" applyFill="1" applyBorder="1" applyAlignment="1">
      <alignment horizontal="right" vertical="center"/>
    </xf>
    <xf numFmtId="3" fontId="4" fillId="5" borderId="6" xfId="7" applyNumberFormat="1" applyFont="1" applyFill="1" applyBorder="1" applyAlignment="1">
      <alignment horizontal="left" vertical="center"/>
    </xf>
    <xf numFmtId="3" fontId="4" fillId="5" borderId="8" xfId="7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left"/>
    </xf>
    <xf numFmtId="1" fontId="31" fillId="2" borderId="10" xfId="4" applyNumberFormat="1" applyFont="1" applyFill="1" applyBorder="1" applyAlignment="1">
      <alignment horizontal="left" vertical="center"/>
    </xf>
    <xf numFmtId="189" fontId="31" fillId="0" borderId="7" xfId="4" applyNumberFormat="1" applyFont="1" applyBorder="1" applyAlignment="1">
      <alignment horizontal="left" vertical="center"/>
    </xf>
    <xf numFmtId="3" fontId="0" fillId="6" borderId="1" xfId="7" applyNumberFormat="1" applyFont="1" applyFill="1" applyBorder="1" applyAlignment="1">
      <alignment horizontal="left" vertical="center"/>
    </xf>
    <xf numFmtId="192" fontId="0" fillId="2" borderId="7" xfId="0" applyNumberFormat="1" applyFill="1" applyBorder="1" applyAlignment="1">
      <alignment horizontal="right"/>
    </xf>
    <xf numFmtId="192" fontId="0" fillId="2" borderId="6" xfId="0" applyNumberFormat="1" applyFill="1" applyBorder="1" applyAlignment="1">
      <alignment horizontal="right"/>
    </xf>
    <xf numFmtId="193" fontId="0" fillId="2" borderId="7" xfId="0" applyNumberFormat="1" applyFill="1" applyBorder="1" applyAlignment="1">
      <alignment horizontal="right"/>
    </xf>
    <xf numFmtId="193" fontId="0" fillId="2" borderId="8" xfId="0" applyNumberFormat="1" applyFill="1" applyBorder="1"/>
    <xf numFmtId="1" fontId="31" fillId="2" borderId="10" xfId="4" applyNumberFormat="1" applyFont="1" applyFill="1" applyBorder="1" applyAlignment="1">
      <alignment horizontal="centerContinuous" vertical="center"/>
    </xf>
    <xf numFmtId="189" fontId="31" fillId="0" borderId="7" xfId="4" applyNumberFormat="1" applyFont="1" applyBorder="1" applyAlignment="1">
      <alignment horizontal="centerContinuous" vertical="center"/>
    </xf>
    <xf numFmtId="193" fontId="0" fillId="0" borderId="2" xfId="4" applyNumberFormat="1" applyFont="1" applyBorder="1" applyAlignment="1">
      <alignment horizontal="right" vertical="center"/>
    </xf>
    <xf numFmtId="193" fontId="33" fillId="5" borderId="2" xfId="8" applyNumberFormat="1" applyFont="1" applyFill="1" applyBorder="1" applyAlignment="1">
      <alignment horizontal="right" vertical="center"/>
    </xf>
    <xf numFmtId="193" fontId="0" fillId="5" borderId="2" xfId="8" applyNumberFormat="1" applyFont="1" applyFill="1" applyBorder="1" applyAlignment="1">
      <alignment horizontal="right" vertical="center"/>
    </xf>
    <xf numFmtId="193" fontId="0" fillId="0" borderId="2" xfId="8" applyNumberFormat="1" applyFont="1" applyBorder="1" applyAlignment="1">
      <alignment horizontal="right" vertical="center"/>
    </xf>
    <xf numFmtId="193" fontId="0" fillId="0" borderId="7" xfId="8" applyNumberFormat="1" applyFont="1" applyBorder="1" applyAlignment="1">
      <alignment horizontal="right" vertical="center"/>
    </xf>
    <xf numFmtId="193" fontId="0" fillId="0" borderId="6" xfId="8" applyNumberFormat="1" applyFont="1" applyBorder="1" applyAlignment="1">
      <alignment horizontal="right" vertical="center"/>
    </xf>
    <xf numFmtId="193" fontId="2" fillId="5" borderId="7" xfId="7" applyNumberFormat="1" applyFont="1" applyFill="1" applyBorder="1" applyAlignment="1">
      <alignment horizontal="right" vertical="center"/>
    </xf>
    <xf numFmtId="3" fontId="2" fillId="5" borderId="6" xfId="7" applyNumberFormat="1" applyFont="1" applyFill="1" applyBorder="1" applyAlignment="1">
      <alignment horizontal="left" vertical="center"/>
    </xf>
    <xf numFmtId="193" fontId="0" fillId="0" borderId="2" xfId="4" applyNumberFormat="1" applyFont="1" applyBorder="1" applyAlignment="1">
      <alignment horizontal="left" vertical="center"/>
    </xf>
    <xf numFmtId="193" fontId="33" fillId="5" borderId="2" xfId="8" applyNumberFormat="1" applyFont="1" applyFill="1" applyBorder="1" applyAlignment="1">
      <alignment horizontal="left" vertical="center"/>
    </xf>
    <xf numFmtId="193" fontId="0" fillId="5" borderId="2" xfId="8" applyNumberFormat="1" applyFont="1" applyFill="1" applyBorder="1" applyAlignment="1">
      <alignment horizontal="left" vertical="center"/>
    </xf>
    <xf numFmtId="193" fontId="0" fillId="0" borderId="7" xfId="8" applyNumberFormat="1" applyFont="1" applyBorder="1" applyAlignment="1">
      <alignment horizontal="left" vertical="center"/>
    </xf>
    <xf numFmtId="193" fontId="0" fillId="0" borderId="2" xfId="8" applyNumberFormat="1" applyFont="1" applyBorder="1" applyAlignment="1">
      <alignment horizontal="left" vertical="center" indent="1"/>
    </xf>
    <xf numFmtId="193" fontId="6" fillId="0" borderId="2" xfId="8" applyNumberFormat="1" applyFont="1" applyBorder="1" applyAlignment="1">
      <alignment horizontal="left" vertical="center" indent="1"/>
    </xf>
    <xf numFmtId="193" fontId="6" fillId="0" borderId="2" xfId="8" applyNumberFormat="1" applyFont="1" applyBorder="1" applyAlignment="1">
      <alignment horizontal="right" vertical="center"/>
    </xf>
    <xf numFmtId="193" fontId="0" fillId="6" borderId="2" xfId="8" applyNumberFormat="1" applyFont="1" applyFill="1" applyBorder="1" applyAlignment="1">
      <alignment horizontal="left" vertical="center" indent="1"/>
    </xf>
    <xf numFmtId="193" fontId="33" fillId="4" borderId="9" xfId="7" applyNumberFormat="1" applyFont="1" applyFill="1" applyBorder="1" applyAlignment="1">
      <alignment horizontal="right" vertical="center"/>
    </xf>
    <xf numFmtId="191" fontId="0" fillId="0" borderId="3" xfId="0" applyBorder="1"/>
    <xf numFmtId="191" fontId="2" fillId="0" borderId="3" xfId="0" applyFont="1" applyBorder="1"/>
    <xf numFmtId="191" fontId="6" fillId="0" borderId="3" xfId="0" applyFont="1" applyBorder="1"/>
    <xf numFmtId="3" fontId="2" fillId="0" borderId="1" xfId="7" applyNumberFormat="1" applyFont="1" applyBorder="1" applyAlignment="1">
      <alignment horizontal="left" vertical="center"/>
    </xf>
    <xf numFmtId="192" fontId="36" fillId="5" borderId="2" xfId="7" applyNumberFormat="1" applyFont="1" applyFill="1" applyBorder="1" applyAlignment="1">
      <alignment horizontal="right" vertical="center"/>
    </xf>
    <xf numFmtId="193" fontId="36" fillId="5" borderId="2" xfId="7" applyNumberFormat="1" applyFont="1" applyFill="1" applyBorder="1" applyAlignment="1">
      <alignment horizontal="right" vertical="center"/>
    </xf>
    <xf numFmtId="193" fontId="36" fillId="5" borderId="3" xfId="7" applyNumberFormat="1" applyFont="1" applyFill="1" applyBorder="1" applyAlignment="1">
      <alignment horizontal="right" vertical="center"/>
    </xf>
    <xf numFmtId="3" fontId="32" fillId="2" borderId="0" xfId="0" applyNumberFormat="1" applyFont="1" applyFill="1"/>
    <xf numFmtId="3" fontId="6" fillId="2" borderId="0" xfId="0" applyNumberFormat="1" applyFont="1" applyFill="1" applyAlignment="1">
      <alignment horizontal="center" vertical="center"/>
    </xf>
    <xf numFmtId="1" fontId="32" fillId="0" borderId="5" xfId="4" applyNumberFormat="1" applyFont="1" applyBorder="1" applyAlignment="1">
      <alignment horizontal="left" vertical="center" wrapText="1"/>
    </xf>
    <xf numFmtId="1" fontId="32" fillId="0" borderId="4" xfId="4" applyNumberFormat="1" applyFont="1" applyBorder="1" applyAlignment="1">
      <alignment horizontal="left" vertical="center"/>
    </xf>
    <xf numFmtId="193" fontId="0" fillId="0" borderId="1" xfId="4" applyNumberFormat="1" applyFont="1" applyBorder="1" applyAlignment="1">
      <alignment horizontal="left" vertical="center"/>
    </xf>
    <xf numFmtId="193" fontId="33" fillId="0" borderId="1" xfId="7" applyNumberFormat="1" applyFont="1" applyBorder="1" applyAlignment="1">
      <alignment horizontal="left" vertical="center"/>
    </xf>
    <xf numFmtId="193" fontId="0" fillId="0" borderId="1" xfId="7" applyNumberFormat="1" applyFont="1" applyBorder="1" applyAlignment="1">
      <alignment horizontal="left" vertical="center"/>
    </xf>
    <xf numFmtId="193" fontId="0" fillId="0" borderId="1" xfId="7" applyNumberFormat="1" applyFont="1" applyBorder="1" applyAlignment="1">
      <alignment horizontal="left" vertical="center" indent="1"/>
    </xf>
    <xf numFmtId="193" fontId="6" fillId="0" borderId="1" xfId="7" applyNumberFormat="1" applyFont="1" applyBorder="1" applyAlignment="1">
      <alignment horizontal="left" vertical="center" indent="1"/>
    </xf>
    <xf numFmtId="193" fontId="0" fillId="0" borderId="4" xfId="7" applyNumberFormat="1" applyFont="1" applyBorder="1" applyAlignment="1">
      <alignment horizontal="left" vertical="center"/>
    </xf>
    <xf numFmtId="3" fontId="4" fillId="2" borderId="2" xfId="0" applyNumberFormat="1" applyFont="1" applyFill="1" applyBorder="1" applyAlignment="1">
      <alignment horizontal="left" vertical="center"/>
    </xf>
    <xf numFmtId="3" fontId="5" fillId="2" borderId="2" xfId="0" applyNumberFormat="1" applyFont="1" applyFill="1" applyBorder="1" applyAlignment="1">
      <alignment horizontal="left" vertical="center"/>
    </xf>
    <xf numFmtId="193" fontId="33" fillId="0" borderId="0" xfId="7" applyNumberFormat="1" applyFont="1" applyAlignment="1">
      <alignment horizontal="left" vertical="center"/>
    </xf>
    <xf numFmtId="193" fontId="0" fillId="0" borderId="0" xfId="7" applyNumberFormat="1" applyFont="1" applyAlignment="1">
      <alignment horizontal="left" vertical="center"/>
    </xf>
    <xf numFmtId="3" fontId="6" fillId="2" borderId="2" xfId="0" applyNumberFormat="1" applyFont="1" applyFill="1" applyBorder="1" applyAlignment="1">
      <alignment horizontal="left" vertical="center"/>
    </xf>
    <xf numFmtId="3" fontId="4" fillId="2" borderId="7" xfId="0" applyNumberFormat="1" applyFont="1" applyFill="1" applyBorder="1" applyAlignment="1">
      <alignment horizontal="left" vertical="center"/>
    </xf>
    <xf numFmtId="193" fontId="0" fillId="0" borderId="6" xfId="7" applyNumberFormat="1" applyFont="1" applyBorder="1" applyAlignment="1">
      <alignment horizontal="left" vertical="center"/>
    </xf>
    <xf numFmtId="191" fontId="0" fillId="0" borderId="8" xfId="0" applyBorder="1"/>
    <xf numFmtId="193" fontId="6" fillId="0" borderId="0" xfId="7" applyNumberFormat="1" applyFont="1" applyAlignment="1">
      <alignment horizontal="left" vertical="center"/>
    </xf>
    <xf numFmtId="193" fontId="0" fillId="6" borderId="1" xfId="7" applyNumberFormat="1" applyFont="1" applyFill="1" applyBorder="1" applyAlignment="1">
      <alignment horizontal="left" vertical="center" indent="1"/>
    </xf>
    <xf numFmtId="193" fontId="0" fillId="4" borderId="5" xfId="7" applyNumberFormat="1" applyFont="1" applyFill="1" applyBorder="1" applyAlignment="1">
      <alignment horizontal="right" vertical="center"/>
    </xf>
    <xf numFmtId="193" fontId="0" fillId="0" borderId="11" xfId="8" applyNumberFormat="1" applyFont="1" applyBorder="1" applyAlignment="1">
      <alignment horizontal="right" vertical="center"/>
    </xf>
    <xf numFmtId="193" fontId="0" fillId="0" borderId="12" xfId="8" applyNumberFormat="1" applyFont="1" applyBorder="1" applyAlignment="1">
      <alignment horizontal="right" vertical="center"/>
    </xf>
    <xf numFmtId="193" fontId="6" fillId="0" borderId="3" xfId="8" applyNumberFormat="1" applyFont="1" applyBorder="1" applyAlignment="1">
      <alignment horizontal="right" vertical="center"/>
    </xf>
    <xf numFmtId="192" fontId="36" fillId="5" borderId="0" xfId="7" applyNumberFormat="1" applyFont="1" applyFill="1" applyAlignment="1">
      <alignment horizontal="right" vertical="center"/>
    </xf>
    <xf numFmtId="192" fontId="36" fillId="5" borderId="10" xfId="7" applyNumberFormat="1" applyFont="1" applyFill="1" applyBorder="1" applyAlignment="1">
      <alignment horizontal="right" vertical="center"/>
    </xf>
    <xf numFmtId="192" fontId="36" fillId="5" borderId="11" xfId="7" applyNumberFormat="1" applyFont="1" applyFill="1" applyBorder="1" applyAlignment="1">
      <alignment horizontal="right" vertical="center"/>
    </xf>
    <xf numFmtId="193" fontId="36" fillId="5" borderId="10" xfId="7" applyNumberFormat="1" applyFont="1" applyFill="1" applyBorder="1" applyAlignment="1">
      <alignment horizontal="right" vertical="center"/>
    </xf>
    <xf numFmtId="193" fontId="36" fillId="5" borderId="12" xfId="7" applyNumberFormat="1" applyFont="1" applyFill="1" applyBorder="1" applyAlignment="1">
      <alignment horizontal="right" vertical="center"/>
    </xf>
    <xf numFmtId="192" fontId="33" fillId="5" borderId="17" xfId="7" applyNumberFormat="1" applyFont="1" applyFill="1" applyBorder="1" applyAlignment="1">
      <alignment horizontal="right" vertical="center"/>
    </xf>
    <xf numFmtId="192" fontId="33" fillId="5" borderId="14" xfId="7" applyNumberFormat="1" applyFont="1" applyFill="1" applyBorder="1" applyAlignment="1">
      <alignment horizontal="right" vertical="center"/>
    </xf>
    <xf numFmtId="193" fontId="33" fillId="5" borderId="17" xfId="7" applyNumberFormat="1" applyFont="1" applyFill="1" applyBorder="1" applyAlignment="1">
      <alignment horizontal="right" vertical="center"/>
    </xf>
    <xf numFmtId="193" fontId="33" fillId="5" borderId="13" xfId="7" applyNumberFormat="1" applyFont="1" applyFill="1" applyBorder="1" applyAlignment="1">
      <alignment horizontal="right" vertical="center"/>
    </xf>
    <xf numFmtId="193" fontId="33" fillId="5" borderId="14" xfId="8" applyNumberFormat="1" applyFont="1" applyFill="1" applyBorder="1" applyAlignment="1">
      <alignment horizontal="right" vertical="center"/>
    </xf>
    <xf numFmtId="193" fontId="33" fillId="5" borderId="13" xfId="8" applyNumberFormat="1" applyFont="1" applyFill="1" applyBorder="1" applyAlignment="1">
      <alignment horizontal="right" vertical="center"/>
    </xf>
    <xf numFmtId="3" fontId="34" fillId="0" borderId="0" xfId="6" applyNumberFormat="1"/>
    <xf numFmtId="168" fontId="34" fillId="0" borderId="0" xfId="6" applyNumberFormat="1" applyAlignment="1">
      <alignment horizontal="left"/>
    </xf>
    <xf numFmtId="193" fontId="0" fillId="0" borderId="11" xfId="8" applyNumberFormat="1" applyFont="1" applyBorder="1" applyAlignment="1">
      <alignment horizontal="left" vertical="center"/>
    </xf>
    <xf numFmtId="193" fontId="33" fillId="5" borderId="14" xfId="8" applyNumberFormat="1" applyFont="1" applyFill="1" applyBorder="1" applyAlignment="1">
      <alignment horizontal="left" vertical="center"/>
    </xf>
    <xf numFmtId="193" fontId="4" fillId="0" borderId="3" xfId="8" applyNumberFormat="1" applyFont="1" applyBorder="1" applyAlignment="1">
      <alignment horizontal="right" vertical="center"/>
    </xf>
    <xf numFmtId="193" fontId="4" fillId="0" borderId="0" xfId="8" applyNumberFormat="1" applyFont="1" applyAlignment="1">
      <alignment horizontal="left" vertical="center"/>
    </xf>
    <xf numFmtId="193" fontId="4" fillId="0" borderId="11" xfId="8" applyNumberFormat="1" applyFont="1" applyBorder="1" applyAlignment="1">
      <alignment horizontal="left" vertical="center"/>
    </xf>
    <xf numFmtId="193" fontId="4" fillId="0" borderId="11" xfId="8" applyNumberFormat="1" applyFont="1" applyBorder="1" applyAlignment="1">
      <alignment horizontal="right" vertical="center"/>
    </xf>
    <xf numFmtId="193" fontId="4" fillId="0" borderId="12" xfId="8" applyNumberFormat="1" applyFont="1" applyBorder="1" applyAlignment="1">
      <alignment horizontal="right" vertical="center"/>
    </xf>
    <xf numFmtId="193" fontId="4" fillId="4" borderId="5" xfId="7" applyNumberFormat="1" applyFont="1" applyFill="1" applyBorder="1" applyAlignment="1">
      <alignment horizontal="right" vertical="center"/>
    </xf>
    <xf numFmtId="1" fontId="4" fillId="2" borderId="10" xfId="0" applyNumberFormat="1" applyFont="1" applyFill="1" applyBorder="1" applyAlignment="1">
      <alignment horizontal="centerContinuous" vertical="center" wrapText="1"/>
    </xf>
    <xf numFmtId="1" fontId="4" fillId="0" borderId="7" xfId="0" applyNumberFormat="1" applyFont="1" applyBorder="1" applyAlignment="1">
      <alignment horizontal="centerContinuous" vertical="center"/>
    </xf>
    <xf numFmtId="191" fontId="0" fillId="0" borderId="5" xfId="0" applyBorder="1" applyAlignment="1">
      <alignment horizontal="center"/>
    </xf>
    <xf numFmtId="191" fontId="0" fillId="0" borderId="7" xfId="0" applyBorder="1" applyAlignment="1">
      <alignment horizontal="center"/>
    </xf>
    <xf numFmtId="191" fontId="0" fillId="0" borderId="6" xfId="0" applyBorder="1" applyAlignment="1">
      <alignment horizontal="center"/>
    </xf>
    <xf numFmtId="182" fontId="0" fillId="0" borderId="4" xfId="0" applyNumberFormat="1" applyBorder="1" applyAlignment="1">
      <alignment horizontal="center"/>
    </xf>
    <xf numFmtId="191" fontId="0" fillId="0" borderId="2" xfId="0" applyBorder="1"/>
    <xf numFmtId="191" fontId="0" fillId="0" borderId="1" xfId="0" applyBorder="1" applyAlignment="1">
      <alignment horizontal="center"/>
    </xf>
    <xf numFmtId="191" fontId="5" fillId="0" borderId="2" xfId="0" applyFont="1" applyBorder="1"/>
    <xf numFmtId="191" fontId="5" fillId="0" borderId="1" xfId="0" applyFont="1" applyBorder="1" applyAlignment="1">
      <alignment horizontal="right"/>
    </xf>
    <xf numFmtId="191" fontId="6" fillId="0" borderId="2" xfId="0" applyFont="1" applyBorder="1"/>
    <xf numFmtId="191" fontId="6" fillId="0" borderId="1" xfId="0" applyFont="1" applyBorder="1" applyAlignment="1">
      <alignment horizontal="right"/>
    </xf>
    <xf numFmtId="191" fontId="0" fillId="0" borderId="1" xfId="0" applyBorder="1" applyAlignment="1">
      <alignment horizontal="right"/>
    </xf>
    <xf numFmtId="191" fontId="0" fillId="0" borderId="7" xfId="0" applyBorder="1"/>
    <xf numFmtId="191" fontId="0" fillId="0" borderId="6" xfId="0" applyBorder="1"/>
    <xf numFmtId="191" fontId="0" fillId="0" borderId="4" xfId="0" applyBorder="1" applyAlignment="1">
      <alignment horizontal="center"/>
    </xf>
    <xf numFmtId="191" fontId="0" fillId="0" borderId="0" xfId="0" applyAlignment="1">
      <alignment horizontal="center"/>
    </xf>
    <xf numFmtId="191" fontId="0" fillId="0" borderId="4" xfId="0" applyBorder="1" applyAlignment="1">
      <alignment horizontal="right"/>
    </xf>
    <xf numFmtId="191" fontId="0" fillId="0" borderId="8" xfId="0" applyBorder="1" applyAlignment="1">
      <alignment horizontal="center"/>
    </xf>
    <xf numFmtId="191" fontId="4" fillId="0" borderId="10" xfId="0" applyFont="1" applyBorder="1"/>
    <xf numFmtId="191" fontId="4" fillId="0" borderId="11" xfId="0" applyFont="1" applyBorder="1"/>
    <xf numFmtId="191" fontId="4" fillId="0" borderId="12" xfId="0" applyFont="1" applyBorder="1"/>
    <xf numFmtId="191" fontId="4" fillId="0" borderId="5" xfId="0" applyFont="1" applyBorder="1"/>
    <xf numFmtId="191" fontId="5" fillId="0" borderId="3" xfId="0" applyFont="1" applyBorder="1"/>
    <xf numFmtId="191" fontId="5" fillId="0" borderId="1" xfId="0" applyFont="1" applyBorder="1"/>
    <xf numFmtId="191" fontId="6" fillId="0" borderId="1" xfId="0" applyFont="1" applyBorder="1"/>
    <xf numFmtId="191" fontId="4" fillId="0" borderId="2" xfId="0" applyFont="1" applyBorder="1"/>
    <xf numFmtId="191" fontId="4" fillId="0" borderId="3" xfId="0" applyFont="1" applyBorder="1"/>
    <xf numFmtId="191" fontId="4" fillId="0" borderId="1" xfId="0" applyFont="1" applyBorder="1"/>
    <xf numFmtId="191" fontId="4" fillId="0" borderId="7" xfId="0" applyFont="1" applyBorder="1"/>
    <xf numFmtId="191" fontId="4" fillId="0" borderId="6" xfId="0" applyFont="1" applyBorder="1"/>
    <xf numFmtId="191" fontId="4" fillId="0" borderId="8" xfId="0" applyFont="1" applyBorder="1"/>
    <xf numFmtId="2" fontId="4" fillId="2" borderId="0" xfId="0" applyNumberFormat="1" applyFont="1" applyFill="1" applyAlignment="1">
      <alignment horizontal="right" vertical="center"/>
    </xf>
    <xf numFmtId="187" fontId="4" fillId="2" borderId="0" xfId="0" applyNumberFormat="1" applyFont="1" applyFill="1" applyAlignment="1">
      <alignment horizontal="right" vertical="center"/>
    </xf>
    <xf numFmtId="194" fontId="4" fillId="0" borderId="0" xfId="0" applyNumberFormat="1" applyFont="1"/>
    <xf numFmtId="191" fontId="0" fillId="0" borderId="9" xfId="0" applyBorder="1" applyAlignment="1">
      <alignment horizontal="center"/>
    </xf>
    <xf numFmtId="191" fontId="0" fillId="0" borderId="10" xfId="0" applyBorder="1"/>
    <xf numFmtId="191" fontId="0" fillId="0" borderId="11" xfId="0" applyBorder="1"/>
    <xf numFmtId="191" fontId="0" fillId="0" borderId="12" xfId="0" applyBorder="1"/>
    <xf numFmtId="191" fontId="0" fillId="0" borderId="5" xfId="0" applyBorder="1"/>
    <xf numFmtId="191" fontId="0" fillId="0" borderId="4" xfId="0" applyBorder="1"/>
    <xf numFmtId="3" fontId="15" fillId="0" borderId="10" xfId="0" applyNumberFormat="1" applyFont="1" applyBorder="1" applyAlignment="1">
      <alignment horizontal="center" vertical="center"/>
    </xf>
    <xf numFmtId="3" fontId="22" fillId="0" borderId="2" xfId="0" applyNumberFormat="1" applyFont="1" applyBorder="1" applyAlignment="1">
      <alignment vertical="center"/>
    </xf>
    <xf numFmtId="3" fontId="15" fillId="0" borderId="7" xfId="0" applyNumberFormat="1" applyFont="1" applyBorder="1" applyAlignment="1">
      <alignment vertical="center"/>
    </xf>
    <xf numFmtId="191" fontId="15" fillId="0" borderId="17" xfId="0" applyFont="1" applyBorder="1" applyAlignment="1">
      <alignment horizontal="center" vertical="center"/>
    </xf>
    <xf numFmtId="191" fontId="4" fillId="0" borderId="7" xfId="0" applyFont="1" applyBorder="1" applyAlignment="1">
      <alignment horizontal="center" vertical="center"/>
    </xf>
    <xf numFmtId="191" fontId="0" fillId="0" borderId="17" xfId="0" applyBorder="1" applyAlignment="1">
      <alignment horizontal="center"/>
    </xf>
    <xf numFmtId="191" fontId="0" fillId="0" borderId="14" xfId="0" applyBorder="1" applyAlignment="1">
      <alignment horizontal="center"/>
    </xf>
    <xf numFmtId="191" fontId="0" fillId="0" borderId="13" xfId="0" applyBorder="1" applyAlignment="1">
      <alignment horizontal="center"/>
    </xf>
    <xf numFmtId="182" fontId="0" fillId="0" borderId="9" xfId="0" applyNumberFormat="1" applyBorder="1" applyAlignment="1">
      <alignment horizontal="center"/>
    </xf>
    <xf numFmtId="170" fontId="22" fillId="0" borderId="2" xfId="0" applyNumberFormat="1" applyFont="1" applyBorder="1" applyAlignment="1">
      <alignment vertical="center"/>
    </xf>
    <xf numFmtId="191" fontId="6" fillId="0" borderId="10" xfId="0" applyFont="1" applyBorder="1"/>
    <xf numFmtId="191" fontId="6" fillId="0" borderId="11" xfId="0" applyFont="1" applyBorder="1"/>
    <xf numFmtId="191" fontId="6" fillId="0" borderId="12" xfId="0" applyFont="1" applyBorder="1"/>
    <xf numFmtId="191" fontId="6" fillId="0" borderId="5" xfId="0" applyFont="1" applyBorder="1"/>
    <xf numFmtId="2" fontId="15" fillId="0" borderId="2" xfId="0" applyNumberFormat="1" applyFont="1" applyBorder="1" applyAlignment="1">
      <alignment vertical="center"/>
    </xf>
    <xf numFmtId="170" fontId="15" fillId="0" borderId="2" xfId="0" applyNumberFormat="1" applyFont="1" applyBorder="1" applyAlignment="1">
      <alignment vertical="center"/>
    </xf>
    <xf numFmtId="182" fontId="0" fillId="0" borderId="5" xfId="0" applyNumberFormat="1" applyBorder="1" applyAlignment="1">
      <alignment horizontal="center"/>
    </xf>
    <xf numFmtId="191" fontId="4" fillId="0" borderId="2" xfId="0" applyFont="1" applyBorder="1" applyAlignment="1">
      <alignment horizontal="center" vertical="center"/>
    </xf>
    <xf numFmtId="170" fontId="22" fillId="0" borderId="9" xfId="0" applyNumberFormat="1" applyFont="1" applyBorder="1" applyAlignment="1">
      <alignment horizontal="right" vertical="center"/>
    </xf>
    <xf numFmtId="191" fontId="6" fillId="0" borderId="17" xfId="0" applyFont="1" applyBorder="1"/>
    <xf numFmtId="191" fontId="6" fillId="0" borderId="14" xfId="0" applyFont="1" applyBorder="1"/>
    <xf numFmtId="191" fontId="6" fillId="0" borderId="13" xfId="0" applyFont="1" applyBorder="1"/>
    <xf numFmtId="191" fontId="6" fillId="0" borderId="9" xfId="0" applyFont="1" applyBorder="1"/>
    <xf numFmtId="174" fontId="21" fillId="0" borderId="2" xfId="0" applyNumberFormat="1" applyFont="1" applyBorder="1" applyAlignment="1">
      <alignment vertical="center"/>
    </xf>
    <xf numFmtId="174" fontId="15" fillId="0" borderId="2" xfId="0" applyNumberFormat="1" applyFont="1" applyBorder="1" applyAlignment="1">
      <alignment vertical="center"/>
    </xf>
    <xf numFmtId="174" fontId="22" fillId="0" borderId="2" xfId="0" applyNumberFormat="1" applyFont="1" applyBorder="1" applyAlignment="1">
      <alignment vertical="center"/>
    </xf>
    <xf numFmtId="3" fontId="0" fillId="2" borderId="9" xfId="0" applyNumberFormat="1" applyFill="1" applyBorder="1" applyAlignment="1">
      <alignment horizontal="center" vertical="center"/>
    </xf>
    <xf numFmtId="3" fontId="0" fillId="2" borderId="13" xfId="0" applyNumberFormat="1" applyFill="1" applyBorder="1" applyAlignment="1">
      <alignment horizontal="center" vertical="center"/>
    </xf>
    <xf numFmtId="166" fontId="6" fillId="2" borderId="5" xfId="0" applyNumberFormat="1" applyFont="1" applyFill="1" applyBorder="1" applyAlignment="1">
      <alignment vertical="center"/>
    </xf>
    <xf numFmtId="191" fontId="10" fillId="0" borderId="1" xfId="0" applyFont="1" applyBorder="1"/>
    <xf numFmtId="166" fontId="6" fillId="2" borderId="4" xfId="0" applyNumberFormat="1" applyFont="1" applyFill="1" applyBorder="1" applyAlignment="1">
      <alignment vertical="center"/>
    </xf>
    <xf numFmtId="193" fontId="5" fillId="0" borderId="2" xfId="0" applyNumberFormat="1" applyFont="1" applyBorder="1" applyAlignment="1">
      <alignment horizontal="right"/>
    </xf>
    <xf numFmtId="193" fontId="5" fillId="0" borderId="0" xfId="0" applyNumberFormat="1" applyFont="1" applyAlignment="1">
      <alignment horizontal="right"/>
    </xf>
    <xf numFmtId="193" fontId="5" fillId="0" borderId="3" xfId="0" applyNumberFormat="1" applyFont="1" applyBorder="1" applyAlignment="1">
      <alignment horizontal="right"/>
    </xf>
    <xf numFmtId="193" fontId="6" fillId="0" borderId="2" xfId="0" applyNumberFormat="1" applyFont="1" applyBorder="1" applyAlignment="1">
      <alignment horizontal="right"/>
    </xf>
    <xf numFmtId="193" fontId="6" fillId="0" borderId="0" xfId="0" applyNumberFormat="1" applyFont="1" applyAlignment="1">
      <alignment horizontal="right"/>
    </xf>
    <xf numFmtId="193" fontId="6" fillId="0" borderId="3" xfId="0" applyNumberFormat="1" applyFont="1" applyBorder="1" applyAlignment="1">
      <alignment horizontal="right"/>
    </xf>
    <xf numFmtId="192" fontId="37" fillId="0" borderId="1" xfId="0" applyNumberFormat="1" applyFont="1" applyBorder="1"/>
    <xf numFmtId="193" fontId="37" fillId="0" borderId="1" xfId="0" applyNumberFormat="1" applyFont="1" applyBorder="1"/>
    <xf numFmtId="192" fontId="37" fillId="0" borderId="2" xfId="0" applyNumberFormat="1" applyFont="1" applyBorder="1"/>
    <xf numFmtId="193" fontId="37" fillId="0" borderId="0" xfId="0" applyNumberFormat="1" applyFont="1"/>
    <xf numFmtId="193" fontId="37" fillId="0" borderId="3" xfId="0" applyNumberFormat="1" applyFont="1" applyBorder="1"/>
    <xf numFmtId="193" fontId="13" fillId="0" borderId="0" xfId="0" applyNumberFormat="1" applyFont="1"/>
    <xf numFmtId="193" fontId="5" fillId="0" borderId="1" xfId="0" applyNumberFormat="1" applyFont="1" applyBorder="1" applyAlignment="1">
      <alignment horizontal="right"/>
    </xf>
    <xf numFmtId="192" fontId="5" fillId="0" borderId="2" xfId="0" applyNumberFormat="1" applyFont="1" applyBorder="1"/>
    <xf numFmtId="193" fontId="5" fillId="0" borderId="0" xfId="0" applyNumberFormat="1" applyFont="1"/>
    <xf numFmtId="193" fontId="5" fillId="0" borderId="3" xfId="0" applyNumberFormat="1" applyFont="1" applyBorder="1"/>
    <xf numFmtId="3" fontId="13" fillId="0" borderId="0" xfId="0" applyNumberFormat="1" applyFont="1"/>
    <xf numFmtId="3" fontId="5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left" indent="1"/>
    </xf>
    <xf numFmtId="193" fontId="6" fillId="0" borderId="1" xfId="0" applyNumberFormat="1" applyFont="1" applyBorder="1" applyAlignment="1">
      <alignment horizontal="right"/>
    </xf>
    <xf numFmtId="192" fontId="6" fillId="0" borderId="1" xfId="0" applyNumberFormat="1" applyFont="1" applyBorder="1"/>
    <xf numFmtId="191" fontId="7" fillId="0" borderId="1" xfId="0" applyFont="1" applyBorder="1" applyAlignment="1">
      <alignment horizontal="left" indent="1"/>
    </xf>
    <xf numFmtId="191" fontId="38" fillId="0" borderId="1" xfId="0" applyFont="1" applyBorder="1" applyAlignment="1">
      <alignment horizontal="left" vertical="center"/>
    </xf>
    <xf numFmtId="193" fontId="6" fillId="0" borderId="7" xfId="0" applyNumberFormat="1" applyFont="1" applyBorder="1" applyAlignment="1">
      <alignment horizontal="right"/>
    </xf>
    <xf numFmtId="193" fontId="6" fillId="0" borderId="6" xfId="0" applyNumberFormat="1" applyFont="1" applyBorder="1" applyAlignment="1">
      <alignment horizontal="right"/>
    </xf>
    <xf numFmtId="193" fontId="6" fillId="0" borderId="8" xfId="0" applyNumberFormat="1" applyFont="1" applyBorder="1" applyAlignment="1">
      <alignment horizontal="right"/>
    </xf>
    <xf numFmtId="193" fontId="6" fillId="0" borderId="4" xfId="0" applyNumberFormat="1" applyFont="1" applyBorder="1" applyAlignment="1">
      <alignment horizontal="right"/>
    </xf>
    <xf numFmtId="3" fontId="34" fillId="0" borderId="0" xfId="6" applyNumberFormat="1" applyAlignment="1">
      <alignment horizontal="left"/>
    </xf>
    <xf numFmtId="3" fontId="31" fillId="0" borderId="5" xfId="0" applyNumberFormat="1" applyFont="1" applyBorder="1"/>
    <xf numFmtId="1" fontId="31" fillId="0" borderId="10" xfId="0" applyNumberFormat="1" applyFont="1" applyBorder="1" applyAlignment="1">
      <alignment horizontal="centerContinuous" vertical="center"/>
    </xf>
    <xf numFmtId="1" fontId="31" fillId="0" borderId="11" xfId="0" applyNumberFormat="1" applyFont="1" applyBorder="1" applyAlignment="1">
      <alignment horizontal="centerContinuous" vertical="center"/>
    </xf>
    <xf numFmtId="1" fontId="32" fillId="0" borderId="5" xfId="0" applyNumberFormat="1" applyFont="1" applyBorder="1" applyAlignment="1">
      <alignment horizontal="centerContinuous" vertical="center" wrapText="1"/>
    </xf>
    <xf numFmtId="191" fontId="31" fillId="0" borderId="0" xfId="0" applyFont="1"/>
    <xf numFmtId="1" fontId="32" fillId="0" borderId="9" xfId="0" applyNumberFormat="1" applyFont="1" applyBorder="1" applyAlignment="1">
      <alignment horizontal="center" vertical="center"/>
    </xf>
    <xf numFmtId="3" fontId="31" fillId="0" borderId="0" xfId="0" applyNumberFormat="1" applyFont="1"/>
    <xf numFmtId="3" fontId="32" fillId="2" borderId="10" xfId="4" applyNumberFormat="1" applyFont="1" applyFill="1" applyBorder="1" applyAlignment="1">
      <alignment horizontal="center" vertical="center"/>
    </xf>
    <xf numFmtId="3" fontId="32" fillId="2" borderId="11" xfId="4" applyNumberFormat="1" applyFont="1" applyFill="1" applyBorder="1" applyAlignment="1">
      <alignment horizontal="center" vertical="center"/>
    </xf>
    <xf numFmtId="3" fontId="32" fillId="2" borderId="12" xfId="4" applyNumberFormat="1" applyFont="1" applyFill="1" applyBorder="1" applyAlignment="1">
      <alignment horizontal="center" vertical="center"/>
    </xf>
    <xf numFmtId="3" fontId="31" fillId="0" borderId="4" xfId="0" applyNumberFormat="1" applyFont="1" applyBorder="1"/>
    <xf numFmtId="189" fontId="31" fillId="0" borderId="7" xfId="0" applyNumberFormat="1" applyFont="1" applyBorder="1" applyAlignment="1">
      <alignment horizontal="centerContinuous" vertical="center"/>
    </xf>
    <xf numFmtId="189" fontId="31" fillId="0" borderId="6" xfId="0" applyNumberFormat="1" applyFont="1" applyBorder="1" applyAlignment="1">
      <alignment horizontal="centerContinuous" vertical="center"/>
    </xf>
    <xf numFmtId="1" fontId="32" fillId="0" borderId="4" xfId="0" applyNumberFormat="1" applyFont="1" applyBorder="1" applyAlignment="1">
      <alignment horizontal="centerContinuous" vertical="center"/>
    </xf>
    <xf numFmtId="1" fontId="31" fillId="0" borderId="4" xfId="0" applyNumberFormat="1" applyFont="1" applyBorder="1" applyAlignment="1">
      <alignment horizontal="centerContinuous" vertical="center"/>
    </xf>
    <xf numFmtId="189" fontId="32" fillId="0" borderId="7" xfId="0" applyNumberFormat="1" applyFont="1" applyBorder="1" applyAlignment="1">
      <alignment horizontal="center" vertical="center"/>
    </xf>
    <xf numFmtId="3" fontId="32" fillId="0" borderId="4" xfId="0" applyNumberFormat="1" applyFont="1" applyBorder="1" applyAlignment="1">
      <alignment horizontal="center" vertical="center"/>
    </xf>
    <xf numFmtId="191" fontId="39" fillId="0" borderId="7" xfId="0" applyFont="1" applyBorder="1" applyAlignment="1">
      <alignment horizontal="center"/>
    </xf>
    <xf numFmtId="191" fontId="39" fillId="0" borderId="6" xfId="0" applyFont="1" applyBorder="1" applyAlignment="1">
      <alignment horizontal="center"/>
    </xf>
    <xf numFmtId="191" fontId="39" fillId="0" borderId="8" xfId="0" applyFont="1" applyBorder="1" applyAlignment="1">
      <alignment horizontal="center"/>
    </xf>
    <xf numFmtId="3" fontId="29" fillId="0" borderId="1" xfId="0" applyNumberFormat="1" applyFont="1" applyBorder="1" applyAlignment="1">
      <alignment horizontal="left"/>
    </xf>
    <xf numFmtId="193" fontId="29" fillId="0" borderId="2" xfId="0" applyNumberFormat="1" applyFont="1" applyBorder="1" applyAlignment="1">
      <alignment horizontal="right"/>
    </xf>
    <xf numFmtId="193" fontId="29" fillId="0" borderId="0" xfId="0" applyNumberFormat="1" applyFont="1" applyAlignment="1">
      <alignment horizontal="right"/>
    </xf>
    <xf numFmtId="193" fontId="29" fillId="0" borderId="3" xfId="0" applyNumberFormat="1" applyFont="1" applyBorder="1" applyAlignment="1">
      <alignment horizontal="right"/>
    </xf>
    <xf numFmtId="193" fontId="40" fillId="0" borderId="0" xfId="0" applyNumberFormat="1" applyFont="1"/>
    <xf numFmtId="192" fontId="33" fillId="2" borderId="1" xfId="0" applyNumberFormat="1" applyFont="1" applyFill="1" applyBorder="1" applyAlignment="1">
      <alignment horizontal="right" vertical="center"/>
    </xf>
    <xf numFmtId="192" fontId="41" fillId="0" borderId="1" xfId="0" applyNumberFormat="1" applyFont="1" applyBorder="1"/>
    <xf numFmtId="193" fontId="41" fillId="0" borderId="1" xfId="0" applyNumberFormat="1" applyFont="1" applyBorder="1"/>
    <xf numFmtId="192" fontId="41" fillId="0" borderId="2" xfId="0" applyNumberFormat="1" applyFont="1" applyBorder="1"/>
    <xf numFmtId="193" fontId="41" fillId="0" borderId="0" xfId="0" applyNumberFormat="1" applyFont="1"/>
    <xf numFmtId="193" fontId="41" fillId="0" borderId="3" xfId="0" applyNumberFormat="1" applyFont="1" applyBorder="1"/>
    <xf numFmtId="3" fontId="40" fillId="0" borderId="0" xfId="0" applyNumberFormat="1" applyFont="1"/>
    <xf numFmtId="3" fontId="4" fillId="5" borderId="4" xfId="7" applyNumberFormat="1" applyFont="1" applyFill="1" applyBorder="1" applyAlignment="1">
      <alignment horizontal="left" vertical="center" indent="1"/>
    </xf>
    <xf numFmtId="3" fontId="6" fillId="5" borderId="1" xfId="7" applyNumberFormat="1" applyFont="1" applyFill="1" applyBorder="1" applyAlignment="1">
      <alignment horizontal="left" vertical="center" indent="1"/>
    </xf>
    <xf numFmtId="191" fontId="43" fillId="0" borderId="0" xfId="0" applyFont="1"/>
    <xf numFmtId="9" fontId="33" fillId="2" borderId="0" xfId="2" applyFont="1" applyFill="1" applyBorder="1"/>
    <xf numFmtId="3" fontId="33" fillId="2" borderId="1" xfId="0" applyNumberFormat="1" applyFont="1" applyFill="1" applyBorder="1"/>
    <xf numFmtId="3" fontId="4" fillId="5" borderId="1" xfId="7" applyNumberFormat="1" applyFont="1" applyFill="1" applyBorder="1" applyAlignment="1">
      <alignment horizontal="left" vertical="center" indent="2"/>
    </xf>
    <xf numFmtId="168" fontId="33" fillId="2" borderId="0" xfId="0" applyNumberFormat="1" applyFont="1" applyFill="1"/>
    <xf numFmtId="3" fontId="34" fillId="0" borderId="6" xfId="6" applyNumberFormat="1" applyBorder="1"/>
    <xf numFmtId="3" fontId="0" fillId="5" borderId="1" xfId="7" applyNumberFormat="1" applyFont="1" applyFill="1" applyBorder="1" applyAlignment="1">
      <alignment horizontal="left" vertical="center" indent="2"/>
    </xf>
    <xf numFmtId="168" fontId="48" fillId="0" borderId="0" xfId="6" applyNumberFormat="1" applyFont="1" applyAlignment="1">
      <alignment horizontal="left"/>
    </xf>
    <xf numFmtId="189" fontId="4" fillId="0" borderId="10" xfId="0" applyNumberFormat="1" applyFont="1" applyBorder="1" applyAlignment="1">
      <alignment horizontal="centerContinuous" vertical="center"/>
    </xf>
    <xf numFmtId="189" fontId="4" fillId="0" borderId="11" xfId="0" applyNumberFormat="1" applyFont="1" applyBorder="1" applyAlignment="1">
      <alignment horizontal="centerContinuous" vertical="center"/>
    </xf>
    <xf numFmtId="189" fontId="4" fillId="0" borderId="12" xfId="0" applyNumberFormat="1" applyFont="1" applyBorder="1" applyAlignment="1">
      <alignment horizontal="centerContinuous" vertical="center"/>
    </xf>
    <xf numFmtId="1" fontId="4" fillId="0" borderId="5" xfId="0" applyNumberFormat="1" applyFont="1" applyBorder="1" applyAlignment="1">
      <alignment horizontal="centerContinuous" vertical="center"/>
    </xf>
    <xf numFmtId="3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center" vertical="center"/>
    </xf>
    <xf numFmtId="170" fontId="5" fillId="0" borderId="0" xfId="0" applyNumberFormat="1" applyFont="1"/>
    <xf numFmtId="192" fontId="6" fillId="0" borderId="0" xfId="8" applyNumberFormat="1" applyFont="1" applyAlignment="1">
      <alignment horizontal="right" vertical="center"/>
    </xf>
    <xf numFmtId="192" fontId="6" fillId="0" borderId="3" xfId="8" applyNumberFormat="1" applyFont="1" applyBorder="1" applyAlignment="1">
      <alignment horizontal="right" vertical="center"/>
    </xf>
    <xf numFmtId="192" fontId="6" fillId="4" borderId="1" xfId="7" applyNumberFormat="1" applyFont="1" applyFill="1" applyBorder="1" applyAlignment="1">
      <alignment horizontal="right" vertical="center"/>
    </xf>
    <xf numFmtId="192" fontId="0" fillId="0" borderId="0" xfId="8" applyNumberFormat="1" applyFont="1" applyAlignment="1">
      <alignment horizontal="right" vertical="center"/>
    </xf>
    <xf numFmtId="192" fontId="0" fillId="0" borderId="3" xfId="8" applyNumberFormat="1" applyFont="1" applyBorder="1" applyAlignment="1">
      <alignment horizontal="right" vertical="center"/>
    </xf>
    <xf numFmtId="192" fontId="0" fillId="4" borderId="1" xfId="7" applyNumberFormat="1" applyFont="1" applyFill="1" applyBorder="1" applyAlignment="1">
      <alignment horizontal="right" vertical="center"/>
    </xf>
    <xf numFmtId="192" fontId="33" fillId="5" borderId="14" xfId="8" applyNumberFormat="1" applyFont="1" applyFill="1" applyBorder="1" applyAlignment="1">
      <alignment horizontal="right" vertical="center"/>
    </xf>
    <xf numFmtId="192" fontId="33" fillId="5" borderId="13" xfId="8" applyNumberFormat="1" applyFont="1" applyFill="1" applyBorder="1" applyAlignment="1">
      <alignment horizontal="right" vertical="center"/>
    </xf>
    <xf numFmtId="192" fontId="33" fillId="4" borderId="9" xfId="7" applyNumberFormat="1" applyFont="1" applyFill="1" applyBorder="1" applyAlignment="1">
      <alignment horizontal="right" vertical="center"/>
    </xf>
    <xf numFmtId="168" fontId="0" fillId="0" borderId="0" xfId="0" applyNumberFormat="1" applyAlignment="1">
      <alignment horizontal="left"/>
    </xf>
    <xf numFmtId="4" fontId="4" fillId="2" borderId="2" xfId="0" applyNumberFormat="1" applyFont="1" applyFill="1" applyBorder="1" applyAlignment="1">
      <alignment horizontal="right"/>
    </xf>
    <xf numFmtId="4" fontId="4" fillId="2" borderId="2" xfId="0" applyNumberFormat="1" applyFont="1" applyFill="1" applyBorder="1" applyAlignment="1">
      <alignment horizontal="right" vertical="center"/>
    </xf>
    <xf numFmtId="4" fontId="4" fillId="2" borderId="0" xfId="0" applyNumberFormat="1" applyFont="1" applyFill="1" applyAlignment="1">
      <alignment horizontal="right" vertical="center"/>
    </xf>
    <xf numFmtId="191" fontId="14" fillId="0" borderId="5" xfId="0" applyFont="1" applyBorder="1" applyAlignment="1">
      <alignment horizontal="centerContinuous" vertical="center"/>
    </xf>
    <xf numFmtId="190" fontId="14" fillId="0" borderId="5" xfId="0" applyNumberFormat="1" applyFont="1" applyBorder="1" applyAlignment="1">
      <alignment horizontal="centerContinuous" vertical="center"/>
    </xf>
    <xf numFmtId="4" fontId="6" fillId="2" borderId="1" xfId="0" applyNumberFormat="1" applyFont="1" applyFill="1" applyBorder="1"/>
    <xf numFmtId="4" fontId="6" fillId="2" borderId="10" xfId="0" applyNumberFormat="1" applyFont="1" applyFill="1" applyBorder="1"/>
    <xf numFmtId="4" fontId="4" fillId="2" borderId="10" xfId="0" applyNumberFormat="1" applyFont="1" applyFill="1" applyBorder="1" applyAlignment="1">
      <alignment horizontal="right"/>
    </xf>
    <xf numFmtId="4" fontId="4" fillId="2" borderId="11" xfId="0" applyNumberFormat="1" applyFont="1" applyFill="1" applyBorder="1" applyAlignment="1">
      <alignment horizontal="right"/>
    </xf>
    <xf numFmtId="4" fontId="4" fillId="2" borderId="12" xfId="0" applyNumberFormat="1" applyFont="1" applyFill="1" applyBorder="1" applyAlignment="1">
      <alignment horizontal="right"/>
    </xf>
    <xf numFmtId="4" fontId="4" fillId="2" borderId="10" xfId="0" applyNumberFormat="1" applyFont="1" applyFill="1" applyBorder="1" applyAlignment="1">
      <alignment horizontal="right" vertical="center"/>
    </xf>
    <xf numFmtId="4" fontId="4" fillId="2" borderId="11" xfId="0" applyNumberFormat="1" applyFont="1" applyFill="1" applyBorder="1" applyAlignment="1">
      <alignment horizontal="right" vertical="center"/>
    </xf>
    <xf numFmtId="168" fontId="5" fillId="0" borderId="2" xfId="0" applyNumberFormat="1" applyFont="1" applyBorder="1" applyAlignment="1">
      <alignment horizontal="center"/>
    </xf>
    <xf numFmtId="168" fontId="5" fillId="0" borderId="2" xfId="0" applyNumberFormat="1" applyFont="1" applyBorder="1" applyAlignment="1">
      <alignment horizontal="right"/>
    </xf>
    <xf numFmtId="168" fontId="5" fillId="0" borderId="0" xfId="0" applyNumberFormat="1" applyFont="1" applyAlignment="1">
      <alignment horizontal="right"/>
    </xf>
    <xf numFmtId="168" fontId="5" fillId="0" borderId="3" xfId="0" applyNumberFormat="1" applyFont="1" applyBorder="1" applyAlignment="1">
      <alignment horizontal="right"/>
    </xf>
    <xf numFmtId="190" fontId="14" fillId="0" borderId="11" xfId="0" applyNumberFormat="1" applyFont="1" applyBorder="1" applyAlignment="1">
      <alignment horizontal="centerContinuous" vertical="center"/>
    </xf>
    <xf numFmtId="168" fontId="5" fillId="0" borderId="1" xfId="1" applyNumberFormat="1" applyFont="1" applyFill="1" applyBorder="1" applyAlignment="1">
      <alignment horizontal="right"/>
    </xf>
    <xf numFmtId="177" fontId="4" fillId="2" borderId="0" xfId="0" applyNumberFormat="1" applyFont="1" applyFill="1" applyAlignment="1">
      <alignment horizontal="right"/>
    </xf>
    <xf numFmtId="176" fontId="4" fillId="2" borderId="0" xfId="0" applyNumberFormat="1" applyFont="1" applyFill="1" applyAlignment="1">
      <alignment horizontal="right"/>
    </xf>
    <xf numFmtId="177" fontId="5" fillId="2" borderId="0" xfId="0" applyNumberFormat="1" applyFont="1" applyFill="1"/>
    <xf numFmtId="177" fontId="5" fillId="2" borderId="1" xfId="0" applyNumberFormat="1" applyFont="1" applyFill="1" applyBorder="1"/>
    <xf numFmtId="168" fontId="5" fillId="2" borderId="1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" fontId="4" fillId="2" borderId="0" xfId="0" applyNumberFormat="1" applyFont="1" applyFill="1" applyAlignment="1">
      <alignment horizontal="right"/>
    </xf>
    <xf numFmtId="177" fontId="6" fillId="2" borderId="0" xfId="0" applyNumberFormat="1" applyFont="1" applyFill="1" applyAlignment="1">
      <alignment horizontal="right"/>
    </xf>
    <xf numFmtId="191" fontId="6" fillId="2" borderId="2" xfId="0" applyFont="1" applyFill="1" applyBorder="1"/>
    <xf numFmtId="176" fontId="6" fillId="2" borderId="2" xfId="0" applyNumberFormat="1" applyFont="1" applyFill="1" applyBorder="1" applyAlignment="1">
      <alignment horizontal="right"/>
    </xf>
    <xf numFmtId="176" fontId="6" fillId="2" borderId="0" xfId="0" applyNumberFormat="1" applyFont="1" applyFill="1" applyAlignment="1">
      <alignment horizontal="right"/>
    </xf>
    <xf numFmtId="176" fontId="6" fillId="2" borderId="1" xfId="0" applyNumberFormat="1" applyFont="1" applyFill="1" applyBorder="1" applyAlignment="1">
      <alignment horizontal="right"/>
    </xf>
    <xf numFmtId="176" fontId="4" fillId="2" borderId="6" xfId="0" applyNumberFormat="1" applyFont="1" applyFill="1" applyBorder="1" applyAlignment="1">
      <alignment horizontal="right"/>
    </xf>
    <xf numFmtId="191" fontId="11" fillId="2" borderId="0" xfId="0" applyFont="1" applyFill="1"/>
    <xf numFmtId="189" fontId="4" fillId="0" borderId="5" xfId="0" applyNumberFormat="1" applyFont="1" applyBorder="1" applyAlignment="1">
      <alignment horizontal="center" vertical="center"/>
    </xf>
    <xf numFmtId="166" fontId="6" fillId="2" borderId="1" xfId="0" applyNumberFormat="1" applyFont="1" applyFill="1" applyBorder="1"/>
    <xf numFmtId="191" fontId="33" fillId="2" borderId="1" xfId="0" applyFont="1" applyFill="1" applyBorder="1" applyAlignment="1">
      <alignment horizontal="left" vertical="center"/>
    </xf>
    <xf numFmtId="3" fontId="33" fillId="2" borderId="2" xfId="0" applyNumberFormat="1" applyFont="1" applyFill="1" applyBorder="1" applyAlignment="1">
      <alignment vertical="center"/>
    </xf>
    <xf numFmtId="3" fontId="33" fillId="2" borderId="0" xfId="0" applyNumberFormat="1" applyFont="1" applyFill="1" applyAlignment="1">
      <alignment vertical="center"/>
    </xf>
    <xf numFmtId="3" fontId="33" fillId="2" borderId="3" xfId="0" applyNumberFormat="1" applyFont="1" applyFill="1" applyBorder="1" applyAlignment="1">
      <alignment vertical="center"/>
    </xf>
    <xf numFmtId="3" fontId="33" fillId="2" borderId="1" xfId="0" applyNumberFormat="1" applyFont="1" applyFill="1" applyBorder="1" applyAlignment="1">
      <alignment vertical="center"/>
    </xf>
    <xf numFmtId="191" fontId="33" fillId="0" borderId="2" xfId="0" applyFont="1" applyBorder="1"/>
    <xf numFmtId="191" fontId="33" fillId="0" borderId="3" xfId="0" applyFont="1" applyBorder="1"/>
    <xf numFmtId="191" fontId="33" fillId="0" borderId="1" xfId="0" applyFont="1" applyBorder="1"/>
    <xf numFmtId="166" fontId="33" fillId="2" borderId="2" xfId="1" applyNumberFormat="1" applyFont="1" applyFill="1" applyBorder="1" applyAlignment="1">
      <alignment horizontal="right" vertical="center"/>
    </xf>
    <xf numFmtId="166" fontId="33" fillId="2" borderId="1" xfId="1" applyNumberFormat="1" applyFont="1" applyFill="1" applyBorder="1" applyAlignment="1">
      <alignment horizontal="right" vertical="center"/>
    </xf>
    <xf numFmtId="170" fontId="33" fillId="2" borderId="0" xfId="0" applyNumberFormat="1" applyFont="1" applyFill="1" applyAlignment="1">
      <alignment vertical="center"/>
    </xf>
    <xf numFmtId="170" fontId="33" fillId="2" borderId="1" xfId="0" applyNumberFormat="1" applyFont="1" applyFill="1" applyBorder="1" applyAlignment="1">
      <alignment vertical="center"/>
    </xf>
    <xf numFmtId="191" fontId="33" fillId="2" borderId="0" xfId="0" applyFont="1" applyFill="1" applyAlignment="1">
      <alignment vertical="center"/>
    </xf>
    <xf numFmtId="191" fontId="34" fillId="0" borderId="0" xfId="6" applyNumberFormat="1" applyAlignment="1">
      <alignment horizontal="left" vertical="center"/>
    </xf>
    <xf numFmtId="191" fontId="31" fillId="2" borderId="5" xfId="0" applyFont="1" applyFill="1" applyBorder="1" applyAlignment="1">
      <alignment vertical="center"/>
    </xf>
    <xf numFmtId="1" fontId="31" fillId="2" borderId="10" xfId="0" applyNumberFormat="1" applyFont="1" applyFill="1" applyBorder="1" applyAlignment="1">
      <alignment horizontal="centerContinuous" vertical="center"/>
    </xf>
    <xf numFmtId="1" fontId="31" fillId="2" borderId="11" xfId="0" applyNumberFormat="1" applyFont="1" applyFill="1" applyBorder="1" applyAlignment="1">
      <alignment horizontal="centerContinuous" vertical="center"/>
    </xf>
    <xf numFmtId="1" fontId="31" fillId="2" borderId="5" xfId="0" applyNumberFormat="1" applyFont="1" applyFill="1" applyBorder="1" applyAlignment="1">
      <alignment horizontal="centerContinuous" vertical="center" wrapText="1"/>
    </xf>
    <xf numFmtId="1" fontId="31" fillId="2" borderId="10" xfId="0" applyNumberFormat="1" applyFont="1" applyFill="1" applyBorder="1" applyAlignment="1">
      <alignment horizontal="centerContinuous" vertical="center" wrapText="1"/>
    </xf>
    <xf numFmtId="191" fontId="31" fillId="2" borderId="0" xfId="0" applyFont="1" applyFill="1" applyAlignment="1">
      <alignment vertical="center"/>
    </xf>
    <xf numFmtId="191" fontId="31" fillId="2" borderId="4" xfId="0" applyFont="1" applyFill="1" applyBorder="1" applyAlignment="1">
      <alignment vertical="center"/>
    </xf>
    <xf numFmtId="1" fontId="31" fillId="0" borderId="7" xfId="0" applyNumberFormat="1" applyFont="1" applyBorder="1" applyAlignment="1">
      <alignment horizontal="centerContinuous" vertical="center"/>
    </xf>
    <xf numFmtId="1" fontId="32" fillId="2" borderId="5" xfId="0" applyNumberFormat="1" applyFont="1" applyFill="1" applyBorder="1" applyAlignment="1">
      <alignment horizontal="centerContinuous" vertical="center" wrapText="1"/>
    </xf>
    <xf numFmtId="1" fontId="32" fillId="2" borderId="9" xfId="0" applyNumberFormat="1" applyFont="1" applyFill="1" applyBorder="1" applyAlignment="1">
      <alignment horizontal="center" vertical="center"/>
    </xf>
    <xf numFmtId="3" fontId="32" fillId="2" borderId="4" xfId="0" applyNumberFormat="1" applyFont="1" applyFill="1" applyBorder="1" applyAlignment="1">
      <alignment horizontal="center" vertical="center"/>
    </xf>
    <xf numFmtId="191" fontId="4" fillId="2" borderId="10" xfId="0" applyFont="1" applyFill="1" applyBorder="1" applyAlignment="1">
      <alignment horizontal="left" vertical="center"/>
    </xf>
    <xf numFmtId="168" fontId="4" fillId="2" borderId="10" xfId="0" applyNumberFormat="1" applyFont="1" applyFill="1" applyBorder="1" applyAlignment="1">
      <alignment vertical="center"/>
    </xf>
    <xf numFmtId="168" fontId="4" fillId="2" borderId="11" xfId="0" applyNumberFormat="1" applyFont="1" applyFill="1" applyBorder="1" applyAlignment="1">
      <alignment vertical="center"/>
    </xf>
    <xf numFmtId="168" fontId="4" fillId="2" borderId="12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/>
    </xf>
    <xf numFmtId="2" fontId="4" fillId="2" borderId="10" xfId="0" applyNumberFormat="1" applyFont="1" applyFill="1" applyBorder="1" applyAlignment="1">
      <alignment horizontal="center" vertical="center"/>
    </xf>
    <xf numFmtId="195" fontId="4" fillId="0" borderId="10" xfId="0" applyNumberFormat="1" applyFont="1" applyBorder="1"/>
    <xf numFmtId="166" fontId="4" fillId="2" borderId="10" xfId="1" applyNumberFormat="1" applyFont="1" applyFill="1" applyBorder="1" applyAlignment="1">
      <alignment horizontal="right" vertical="center"/>
    </xf>
    <xf numFmtId="166" fontId="4" fillId="2" borderId="11" xfId="1" applyNumberFormat="1" applyFont="1" applyFill="1" applyBorder="1" applyAlignment="1">
      <alignment horizontal="right" vertical="center"/>
    </xf>
    <xf numFmtId="170" fontId="4" fillId="2" borderId="11" xfId="0" applyNumberFormat="1" applyFont="1" applyFill="1" applyBorder="1" applyAlignment="1">
      <alignment vertical="center"/>
    </xf>
    <xf numFmtId="170" fontId="4" fillId="2" borderId="12" xfId="0" applyNumberFormat="1" applyFont="1" applyFill="1" applyBorder="1" applyAlignment="1">
      <alignment vertical="center"/>
    </xf>
    <xf numFmtId="191" fontId="4" fillId="2" borderId="7" xfId="0" applyFont="1" applyFill="1" applyBorder="1" applyAlignment="1">
      <alignment horizontal="left" vertical="center"/>
    </xf>
    <xf numFmtId="191" fontId="34" fillId="2" borderId="0" xfId="6" applyNumberFormat="1" applyFill="1" applyAlignment="1">
      <alignment horizontal="left" vertical="center"/>
    </xf>
    <xf numFmtId="191" fontId="48" fillId="2" borderId="6" xfId="6" applyNumberFormat="1" applyFont="1" applyFill="1" applyBorder="1" applyAlignment="1">
      <alignment horizontal="left" vertical="center"/>
    </xf>
    <xf numFmtId="191" fontId="48" fillId="0" borderId="6" xfId="6" applyNumberFormat="1" applyFont="1" applyBorder="1" applyAlignment="1">
      <alignment horizontal="left" vertical="center"/>
    </xf>
    <xf numFmtId="191" fontId="4" fillId="2" borderId="1" xfId="0" applyFont="1" applyFill="1" applyBorder="1" applyAlignment="1">
      <alignment horizontal="left" vertical="center" indent="1"/>
    </xf>
    <xf numFmtId="191" fontId="33" fillId="2" borderId="0" xfId="0" applyFont="1" applyFill="1" applyAlignment="1">
      <alignment horizontal="left" vertical="center"/>
    </xf>
    <xf numFmtId="191" fontId="6" fillId="2" borderId="1" xfId="0" applyFont="1" applyFill="1" applyBorder="1" applyAlignment="1">
      <alignment horizontal="left" vertical="center" indent="1"/>
    </xf>
    <xf numFmtId="191" fontId="4" fillId="2" borderId="1" xfId="0" applyFont="1" applyFill="1" applyBorder="1" applyAlignment="1">
      <alignment horizontal="left" vertical="center" indent="2"/>
    </xf>
    <xf numFmtId="191" fontId="0" fillId="2" borderId="1" xfId="0" applyFill="1" applyBorder="1" applyAlignment="1">
      <alignment horizontal="left" vertical="center" indent="2"/>
    </xf>
    <xf numFmtId="168" fontId="0" fillId="2" borderId="0" xfId="0" applyNumberFormat="1" applyFill="1" applyAlignment="1">
      <alignment horizontal="left" vertical="center"/>
    </xf>
    <xf numFmtId="191" fontId="0" fillId="0" borderId="10" xfId="0" applyBorder="1" applyAlignment="1">
      <alignment horizontal="center"/>
    </xf>
    <xf numFmtId="191" fontId="0" fillId="0" borderId="11" xfId="0" applyBorder="1" applyAlignment="1">
      <alignment horizontal="center"/>
    </xf>
    <xf numFmtId="191" fontId="0" fillId="0" borderId="12" xfId="0" applyBorder="1" applyAlignment="1">
      <alignment horizontal="center"/>
    </xf>
    <xf numFmtId="191" fontId="10" fillId="0" borderId="2" xfId="0" applyFont="1" applyBorder="1"/>
    <xf numFmtId="191" fontId="10" fillId="0" borderId="0" xfId="0" applyFont="1"/>
    <xf numFmtId="191" fontId="10" fillId="0" borderId="3" xfId="0" applyFont="1" applyBorder="1"/>
    <xf numFmtId="191" fontId="33" fillId="2" borderId="1" xfId="0" applyFont="1" applyFill="1" applyBorder="1" applyAlignment="1">
      <alignment horizontal="left"/>
    </xf>
    <xf numFmtId="191" fontId="33" fillId="2" borderId="0" xfId="0" applyFont="1" applyFill="1"/>
    <xf numFmtId="193" fontId="16" fillId="0" borderId="2" xfId="0" quotePrefix="1" applyNumberFormat="1" applyFont="1" applyBorder="1"/>
    <xf numFmtId="193" fontId="16" fillId="0" borderId="0" xfId="0" quotePrefix="1" applyNumberFormat="1" applyFont="1"/>
    <xf numFmtId="193" fontId="16" fillId="0" borderId="3" xfId="0" quotePrefix="1" applyNumberFormat="1" applyFont="1" applyBorder="1"/>
    <xf numFmtId="193" fontId="16" fillId="0" borderId="1" xfId="0" quotePrefix="1" applyNumberFormat="1" applyFont="1" applyBorder="1"/>
    <xf numFmtId="193" fontId="0" fillId="0" borderId="2" xfId="0" applyNumberFormat="1" applyBorder="1"/>
    <xf numFmtId="193" fontId="0" fillId="0" borderId="3" xfId="0" applyNumberFormat="1" applyBorder="1"/>
    <xf numFmtId="193" fontId="0" fillId="0" borderId="1" xfId="0" applyNumberFormat="1" applyBorder="1"/>
    <xf numFmtId="193" fontId="33" fillId="0" borderId="2" xfId="0" applyNumberFormat="1" applyFont="1" applyBorder="1"/>
    <xf numFmtId="193" fontId="33" fillId="0" borderId="0" xfId="0" applyNumberFormat="1" applyFont="1"/>
    <xf numFmtId="193" fontId="33" fillId="0" borderId="3" xfId="0" applyNumberFormat="1" applyFont="1" applyBorder="1"/>
    <xf numFmtId="193" fontId="33" fillId="0" borderId="1" xfId="0" applyNumberFormat="1" applyFont="1" applyBorder="1"/>
    <xf numFmtId="193" fontId="16" fillId="0" borderId="2" xfId="0" applyNumberFormat="1" applyFont="1" applyBorder="1"/>
    <xf numFmtId="193" fontId="16" fillId="0" borderId="0" xfId="0" applyNumberFormat="1" applyFont="1"/>
    <xf numFmtId="193" fontId="16" fillId="0" borderId="3" xfId="0" applyNumberFormat="1" applyFont="1" applyBorder="1"/>
    <xf numFmtId="193" fontId="16" fillId="0" borderId="1" xfId="0" applyNumberFormat="1" applyFont="1" applyBorder="1"/>
    <xf numFmtId="193" fontId="4" fillId="0" borderId="7" xfId="0" applyNumberFormat="1" applyFont="1" applyBorder="1"/>
    <xf numFmtId="193" fontId="4" fillId="0" borderId="6" xfId="0" applyNumberFormat="1" applyFont="1" applyBorder="1"/>
    <xf numFmtId="193" fontId="4" fillId="0" borderId="8" xfId="0" applyNumberFormat="1" applyFont="1" applyBorder="1"/>
    <xf numFmtId="193" fontId="4" fillId="0" borderId="4" xfId="0" applyNumberFormat="1" applyFont="1" applyBorder="1"/>
    <xf numFmtId="193" fontId="0" fillId="0" borderId="7" xfId="0" applyNumberFormat="1" applyBorder="1"/>
    <xf numFmtId="193" fontId="0" fillId="0" borderId="6" xfId="0" applyNumberFormat="1" applyBorder="1"/>
    <xf numFmtId="193" fontId="0" fillId="0" borderId="8" xfId="0" applyNumberFormat="1" applyBorder="1"/>
    <xf numFmtId="193" fontId="0" fillId="0" borderId="4" xfId="0" applyNumberFormat="1" applyBorder="1"/>
    <xf numFmtId="193" fontId="33" fillId="2" borderId="2" xfId="0" applyNumberFormat="1" applyFont="1" applyFill="1" applyBorder="1" applyAlignment="1">
      <alignment vertical="center"/>
    </xf>
    <xf numFmtId="193" fontId="33" fillId="2" borderId="0" xfId="0" applyNumberFormat="1" applyFont="1" applyFill="1" applyAlignment="1">
      <alignment vertical="center"/>
    </xf>
    <xf numFmtId="193" fontId="33" fillId="2" borderId="3" xfId="0" applyNumberFormat="1" applyFont="1" applyFill="1" applyBorder="1" applyAlignment="1">
      <alignment vertical="center"/>
    </xf>
    <xf numFmtId="193" fontId="33" fillId="2" borderId="1" xfId="0" applyNumberFormat="1" applyFont="1" applyFill="1" applyBorder="1" applyAlignment="1">
      <alignment vertical="center"/>
    </xf>
    <xf numFmtId="193" fontId="5" fillId="2" borderId="2" xfId="1" applyNumberFormat="1" applyFont="1" applyFill="1" applyBorder="1" applyAlignment="1">
      <alignment horizontal="right" vertical="center"/>
    </xf>
    <xf numFmtId="193" fontId="5" fillId="2" borderId="1" xfId="1" applyNumberFormat="1" applyFont="1" applyFill="1" applyBorder="1" applyAlignment="1">
      <alignment horizontal="right" vertical="center"/>
    </xf>
    <xf numFmtId="193" fontId="5" fillId="2" borderId="0" xfId="0" applyNumberFormat="1" applyFont="1" applyFill="1" applyAlignment="1">
      <alignment vertical="center"/>
    </xf>
    <xf numFmtId="193" fontId="5" fillId="2" borderId="1" xfId="0" applyNumberFormat="1" applyFont="1" applyFill="1" applyBorder="1" applyAlignment="1">
      <alignment vertical="center"/>
    </xf>
    <xf numFmtId="193" fontId="33" fillId="2" borderId="2" xfId="1" applyNumberFormat="1" applyFont="1" applyFill="1" applyBorder="1" applyAlignment="1">
      <alignment horizontal="right" vertical="center"/>
    </xf>
    <xf numFmtId="193" fontId="33" fillId="2" borderId="1" xfId="1" applyNumberFormat="1" applyFont="1" applyFill="1" applyBorder="1" applyAlignment="1">
      <alignment horizontal="right" vertical="center"/>
    </xf>
    <xf numFmtId="193" fontId="33" fillId="2" borderId="1" xfId="1" applyNumberFormat="1" applyFont="1" applyFill="1" applyBorder="1" applyAlignment="1">
      <alignment horizontal="right"/>
    </xf>
    <xf numFmtId="193" fontId="33" fillId="2" borderId="1" xfId="0" applyNumberFormat="1" applyFont="1" applyFill="1" applyBorder="1"/>
    <xf numFmtId="191" fontId="38" fillId="0" borderId="2" xfId="0" applyFont="1" applyBorder="1"/>
    <xf numFmtId="191" fontId="38" fillId="0" borderId="0" xfId="0" applyFont="1"/>
    <xf numFmtId="191" fontId="7" fillId="0" borderId="2" xfId="0" applyFont="1" applyBorder="1"/>
    <xf numFmtId="191" fontId="7" fillId="0" borderId="0" xfId="0" applyFont="1"/>
    <xf numFmtId="191" fontId="2" fillId="0" borderId="2" xfId="0" applyFont="1" applyBorder="1"/>
    <xf numFmtId="191" fontId="2" fillId="0" borderId="0" xfId="0" applyFont="1"/>
    <xf numFmtId="196" fontId="0" fillId="0" borderId="0" xfId="0" applyNumberFormat="1"/>
    <xf numFmtId="195" fontId="4" fillId="0" borderId="11" xfId="0" applyNumberFormat="1" applyFont="1" applyBorder="1"/>
    <xf numFmtId="2" fontId="4" fillId="0" borderId="0" xfId="0" applyNumberFormat="1" applyFont="1"/>
    <xf numFmtId="194" fontId="4" fillId="0" borderId="11" xfId="0" applyNumberFormat="1" applyFont="1" applyBorder="1"/>
    <xf numFmtId="2" fontId="0" fillId="0" borderId="0" xfId="0" applyNumberFormat="1" applyAlignment="1">
      <alignment vertical="center"/>
    </xf>
    <xf numFmtId="2" fontId="0" fillId="0" borderId="0" xfId="0" applyNumberFormat="1"/>
    <xf numFmtId="194" fontId="0" fillId="0" borderId="0" xfId="0" applyNumberFormat="1" applyAlignment="1">
      <alignment vertical="center"/>
    </xf>
    <xf numFmtId="194" fontId="0" fillId="0" borderId="0" xfId="0" applyNumberFormat="1"/>
    <xf numFmtId="166" fontId="0" fillId="2" borderId="1" xfId="0" applyNumberFormat="1" applyFill="1" applyBorder="1" applyAlignment="1">
      <alignment horizontal="right"/>
    </xf>
    <xf numFmtId="3" fontId="0" fillId="5" borderId="1" xfId="7" applyNumberFormat="1" applyFont="1" applyFill="1" applyBorder="1" applyAlignment="1">
      <alignment horizontal="left" vertical="center" indent="1"/>
    </xf>
    <xf numFmtId="3" fontId="49" fillId="0" borderId="0" xfId="0" applyNumberFormat="1" applyFont="1" applyAlignment="1">
      <alignment horizontal="left"/>
    </xf>
    <xf numFmtId="191" fontId="49" fillId="0" borderId="0" xfId="0" applyFont="1"/>
    <xf numFmtId="3" fontId="49" fillId="0" borderId="0" xfId="0" applyNumberFormat="1" applyFont="1"/>
    <xf numFmtId="189" fontId="49" fillId="0" borderId="0" xfId="0" applyNumberFormat="1" applyFont="1" applyAlignment="1">
      <alignment horizontal="right" vertical="center"/>
    </xf>
    <xf numFmtId="1" fontId="49" fillId="0" borderId="0" xfId="0" applyNumberFormat="1" applyFont="1" applyAlignment="1">
      <alignment horizontal="right" vertical="center"/>
    </xf>
    <xf numFmtId="3" fontId="50" fillId="0" borderId="0" xfId="0" applyNumberFormat="1" applyFont="1"/>
    <xf numFmtId="173" fontId="49" fillId="0" borderId="0" xfId="2" applyNumberFormat="1" applyFont="1" applyFill="1" applyBorder="1"/>
    <xf numFmtId="3" fontId="50" fillId="0" borderId="10" xfId="0" applyNumberFormat="1" applyFont="1" applyBorder="1" applyAlignment="1">
      <alignment horizontal="centerContinuous"/>
    </xf>
    <xf numFmtId="3" fontId="49" fillId="0" borderId="11" xfId="0" applyNumberFormat="1" applyFont="1" applyBorder="1" applyAlignment="1">
      <alignment horizontal="centerContinuous"/>
    </xf>
    <xf numFmtId="3" fontId="49" fillId="0" borderId="12" xfId="0" applyNumberFormat="1" applyFont="1" applyBorder="1" applyAlignment="1">
      <alignment horizontal="centerContinuous"/>
    </xf>
    <xf numFmtId="3" fontId="50" fillId="0" borderId="11" xfId="0" applyNumberFormat="1" applyFont="1" applyBorder="1" applyAlignment="1">
      <alignment horizontal="centerContinuous"/>
    </xf>
    <xf numFmtId="3" fontId="50" fillId="0" borderId="12" xfId="0" applyNumberFormat="1" applyFont="1" applyBorder="1" applyAlignment="1">
      <alignment horizontal="centerContinuous"/>
    </xf>
    <xf numFmtId="170" fontId="49" fillId="0" borderId="0" xfId="0" applyNumberFormat="1" applyFont="1"/>
    <xf numFmtId="0" fontId="49" fillId="0" borderId="0" xfId="0" applyNumberFormat="1" applyFont="1"/>
    <xf numFmtId="3" fontId="49" fillId="0" borderId="0" xfId="0" applyNumberFormat="1" applyFont="1" applyAlignment="1">
      <alignment horizontal="right"/>
    </xf>
    <xf numFmtId="168" fontId="49" fillId="0" borderId="0" xfId="0" applyNumberFormat="1" applyFont="1" applyAlignment="1">
      <alignment horizontal="right"/>
    </xf>
    <xf numFmtId="3" fontId="50" fillId="0" borderId="7" xfId="0" applyNumberFormat="1" applyFont="1" applyBorder="1"/>
    <xf numFmtId="3" fontId="50" fillId="0" borderId="6" xfId="0" applyNumberFormat="1" applyFont="1" applyBorder="1"/>
    <xf numFmtId="3" fontId="50" fillId="0" borderId="8" xfId="0" applyNumberFormat="1" applyFont="1" applyBorder="1"/>
    <xf numFmtId="3" fontId="0" fillId="0" borderId="1" xfId="0" applyNumberFormat="1" applyBorder="1" applyAlignment="1">
      <alignment horizontal="left"/>
    </xf>
    <xf numFmtId="193" fontId="0" fillId="0" borderId="2" xfId="0" applyNumberFormat="1" applyBorder="1" applyAlignment="1">
      <alignment horizontal="right"/>
    </xf>
    <xf numFmtId="193" fontId="0" fillId="0" borderId="0" xfId="0" applyNumberFormat="1" applyAlignment="1">
      <alignment horizontal="right"/>
    </xf>
    <xf numFmtId="193" fontId="0" fillId="0" borderId="3" xfId="0" applyNumberFormat="1" applyBorder="1" applyAlignment="1">
      <alignment horizontal="right"/>
    </xf>
    <xf numFmtId="192" fontId="0" fillId="2" borderId="1" xfId="0" applyNumberFormat="1" applyFill="1" applyBorder="1" applyAlignment="1">
      <alignment horizontal="right" vertical="center"/>
    </xf>
    <xf numFmtId="3" fontId="0" fillId="0" borderId="1" xfId="0" applyNumberFormat="1" applyBorder="1" applyAlignment="1">
      <alignment horizontal="left" indent="2"/>
    </xf>
    <xf numFmtId="192" fontId="0" fillId="0" borderId="1" xfId="0" applyNumberFormat="1" applyBorder="1" applyAlignment="1">
      <alignment horizontal="right"/>
    </xf>
    <xf numFmtId="192" fontId="0" fillId="0" borderId="1" xfId="1" applyNumberFormat="1" applyFont="1" applyFill="1" applyBorder="1" applyAlignment="1">
      <alignment horizontal="right"/>
    </xf>
    <xf numFmtId="193" fontId="0" fillId="0" borderId="1" xfId="0" applyNumberFormat="1" applyBorder="1" applyAlignment="1">
      <alignment horizontal="right"/>
    </xf>
    <xf numFmtId="192" fontId="0" fillId="0" borderId="2" xfId="0" applyNumberFormat="1" applyBorder="1"/>
    <xf numFmtId="192" fontId="0" fillId="0" borderId="1" xfId="0" applyNumberFormat="1" applyBorder="1"/>
    <xf numFmtId="193" fontId="0" fillId="0" borderId="0" xfId="0" applyNumberFormat="1" applyAlignment="1">
      <alignment vertical="center"/>
    </xf>
    <xf numFmtId="9" fontId="0" fillId="0" borderId="0" xfId="2" applyFont="1" applyFill="1" applyBorder="1"/>
    <xf numFmtId="189" fontId="0" fillId="0" borderId="0" xfId="0" applyNumberFormat="1" applyAlignment="1">
      <alignment horizontal="right" vertical="center"/>
    </xf>
    <xf numFmtId="168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" fontId="0" fillId="0" borderId="0" xfId="0" applyNumberFormat="1" applyAlignment="1">
      <alignment horizontal="right" vertical="center"/>
    </xf>
    <xf numFmtId="3" fontId="0" fillId="2" borderId="10" xfId="0" applyNumberFormat="1" applyFill="1" applyBorder="1" applyAlignment="1">
      <alignment vertical="center"/>
    </xf>
    <xf numFmtId="3" fontId="0" fillId="2" borderId="11" xfId="0" applyNumberFormat="1" applyFill="1" applyBorder="1" applyAlignment="1">
      <alignment vertical="center"/>
    </xf>
    <xf numFmtId="3" fontId="0" fillId="2" borderId="12" xfId="0" applyNumberFormat="1" applyFill="1" applyBorder="1" applyAlignment="1">
      <alignment vertical="center"/>
    </xf>
    <xf numFmtId="191" fontId="0" fillId="2" borderId="0" xfId="0" applyFill="1" applyAlignment="1">
      <alignment vertical="center"/>
    </xf>
    <xf numFmtId="193" fontId="0" fillId="2" borderId="1" xfId="1" applyNumberFormat="1" applyFont="1" applyFill="1" applyBorder="1" applyAlignment="1">
      <alignment horizontal="right"/>
    </xf>
    <xf numFmtId="193" fontId="0" fillId="2" borderId="1" xfId="0" applyNumberFormat="1" applyFill="1" applyBorder="1"/>
    <xf numFmtId="170" fontId="0" fillId="2" borderId="0" xfId="0" applyNumberFormat="1" applyFill="1"/>
    <xf numFmtId="191" fontId="0" fillId="2" borderId="0" xfId="0" applyFill="1"/>
    <xf numFmtId="193" fontId="0" fillId="2" borderId="4" xfId="1" applyNumberFormat="1" applyFont="1" applyFill="1" applyBorder="1" applyAlignment="1">
      <alignment horizontal="right"/>
    </xf>
    <xf numFmtId="193" fontId="0" fillId="2" borderId="4" xfId="0" applyNumberFormat="1" applyFill="1" applyBorder="1"/>
    <xf numFmtId="168" fontId="5" fillId="2" borderId="1" xfId="0" applyNumberFormat="1" applyFont="1" applyFill="1" applyBorder="1" applyAlignment="1">
      <alignment horizontal="right"/>
    </xf>
    <xf numFmtId="168" fontId="6" fillId="2" borderId="1" xfId="0" applyNumberFormat="1" applyFont="1" applyFill="1" applyBorder="1" applyAlignment="1">
      <alignment horizontal="right"/>
    </xf>
    <xf numFmtId="194" fontId="4" fillId="0" borderId="10" xfId="0" applyNumberFormat="1" applyFont="1" applyBorder="1"/>
    <xf numFmtId="2" fontId="4" fillId="0" borderId="11" xfId="0" applyNumberFormat="1" applyFont="1" applyBorder="1"/>
    <xf numFmtId="2" fontId="4" fillId="0" borderId="10" xfId="0" applyNumberFormat="1" applyFont="1" applyBorder="1"/>
    <xf numFmtId="197" fontId="4" fillId="2" borderId="0" xfId="0" applyNumberFormat="1" applyFont="1" applyFill="1" applyAlignment="1">
      <alignment vertical="center"/>
    </xf>
    <xf numFmtId="193" fontId="53" fillId="0" borderId="0" xfId="0" applyNumberFormat="1" applyFont="1"/>
    <xf numFmtId="3" fontId="33" fillId="0" borderId="3" xfId="0" applyNumberFormat="1" applyFont="1" applyBorder="1" applyAlignment="1">
      <alignment vertical="center"/>
    </xf>
    <xf numFmtId="3" fontId="6" fillId="0" borderId="3" xfId="0" applyNumberFormat="1" applyFont="1" applyBorder="1" applyAlignment="1">
      <alignment vertical="center"/>
    </xf>
    <xf numFmtId="3" fontId="16" fillId="0" borderId="3" xfId="0" applyNumberFormat="1" applyFont="1" applyBorder="1" applyAlignment="1">
      <alignment vertical="center"/>
    </xf>
    <xf numFmtId="3" fontId="33" fillId="0" borderId="2" xfId="0" applyNumberFormat="1" applyFont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3" fontId="0" fillId="0" borderId="0" xfId="0" applyNumberFormat="1" applyAlignment="1">
      <alignment vertical="center"/>
    </xf>
    <xf numFmtId="3" fontId="16" fillId="0" borderId="2" xfId="0" applyNumberFormat="1" applyFont="1" applyBorder="1" applyAlignment="1">
      <alignment vertical="center"/>
    </xf>
    <xf numFmtId="170" fontId="6" fillId="7" borderId="0" xfId="0" applyNumberFormat="1" applyFont="1" applyFill="1"/>
    <xf numFmtId="170" fontId="4" fillId="7" borderId="0" xfId="0" applyNumberFormat="1" applyFont="1" applyFill="1" applyAlignment="1">
      <alignment vertical="center"/>
    </xf>
    <xf numFmtId="192" fontId="33" fillId="2" borderId="2" xfId="1" applyNumberFormat="1" applyFont="1" applyFill="1" applyBorder="1" applyAlignment="1">
      <alignment horizontal="right" vertical="center"/>
    </xf>
    <xf numFmtId="192" fontId="33" fillId="2" borderId="1" xfId="1" applyNumberFormat="1" applyFont="1" applyFill="1" applyBorder="1" applyAlignment="1">
      <alignment horizontal="right"/>
    </xf>
    <xf numFmtId="168" fontId="0" fillId="0" borderId="0" xfId="0" applyNumberFormat="1"/>
    <xf numFmtId="1" fontId="31" fillId="2" borderId="11" xfId="4" applyNumberFormat="1" applyFont="1" applyFill="1" applyBorder="1" applyAlignment="1">
      <alignment horizontal="center" vertical="center"/>
    </xf>
    <xf numFmtId="1" fontId="31" fillId="2" borderId="6" xfId="4" applyNumberFormat="1" applyFont="1" applyFill="1" applyBorder="1" applyAlignment="1">
      <alignment horizontal="center" vertical="center"/>
    </xf>
    <xf numFmtId="3" fontId="4" fillId="2" borderId="17" xfId="0" applyNumberFormat="1" applyFont="1" applyFill="1" applyBorder="1" applyAlignment="1">
      <alignment horizontal="center" vertical="center"/>
    </xf>
    <xf numFmtId="3" fontId="4" fillId="2" borderId="13" xfId="0" applyNumberFormat="1" applyFont="1" applyFill="1" applyBorder="1" applyAlignment="1">
      <alignment horizontal="center" vertical="center"/>
    </xf>
    <xf numFmtId="3" fontId="4" fillId="0" borderId="17" xfId="0" applyNumberFormat="1" applyFont="1" applyBorder="1" applyAlignment="1">
      <alignment horizontal="center" vertical="center"/>
    </xf>
    <xf numFmtId="3" fontId="4" fillId="0" borderId="13" xfId="0" applyNumberFormat="1" applyFont="1" applyBorder="1" applyAlignment="1">
      <alignment horizontal="center" vertical="center"/>
    </xf>
    <xf numFmtId="3" fontId="32" fillId="0" borderId="17" xfId="0" applyNumberFormat="1" applyFont="1" applyBorder="1" applyAlignment="1">
      <alignment horizontal="center" vertical="center"/>
    </xf>
    <xf numFmtId="3" fontId="32" fillId="0" borderId="13" xfId="0" applyNumberFormat="1" applyFont="1" applyBorder="1" applyAlignment="1">
      <alignment horizontal="center" vertical="center"/>
    </xf>
    <xf numFmtId="182" fontId="0" fillId="0" borderId="10" xfId="0" applyNumberFormat="1" applyBorder="1" applyAlignment="1">
      <alignment horizontal="center"/>
    </xf>
    <xf numFmtId="182" fontId="0" fillId="0" borderId="11" xfId="0" applyNumberFormat="1" applyBorder="1" applyAlignment="1">
      <alignment horizontal="center"/>
    </xf>
    <xf numFmtId="182" fontId="0" fillId="0" borderId="12" xfId="0" applyNumberFormat="1" applyBorder="1" applyAlignment="1">
      <alignment horizontal="center"/>
    </xf>
    <xf numFmtId="3" fontId="32" fillId="2" borderId="17" xfId="0" applyNumberFormat="1" applyFont="1" applyFill="1" applyBorder="1" applyAlignment="1">
      <alignment horizontal="center" vertical="center"/>
    </xf>
    <xf numFmtId="3" fontId="32" fillId="2" borderId="13" xfId="0" applyNumberFormat="1" applyFont="1" applyFill="1" applyBorder="1" applyAlignment="1">
      <alignment horizontal="center" vertical="center"/>
    </xf>
    <xf numFmtId="182" fontId="0" fillId="0" borderId="17" xfId="0" applyNumberFormat="1" applyBorder="1" applyAlignment="1">
      <alignment horizontal="center"/>
    </xf>
    <xf numFmtId="182" fontId="0" fillId="0" borderId="14" xfId="0" applyNumberFormat="1" applyBorder="1" applyAlignment="1">
      <alignment horizontal="center"/>
    </xf>
    <xf numFmtId="182" fontId="0" fillId="0" borderId="13" xfId="0" applyNumberFormat="1" applyBorder="1" applyAlignment="1">
      <alignment horizontal="center"/>
    </xf>
  </cellXfs>
  <cellStyles count="9">
    <cellStyle name="Encabezado 1" xfId="6" builtinId="16" customBuiltin="1"/>
    <cellStyle name="Millares" xfId="1" builtinId="3"/>
    <cellStyle name="Millares [0]" xfId="3" builtinId="6"/>
    <cellStyle name="Normal" xfId="0" builtinId="0" customBuiltin="1"/>
    <cellStyle name="Normal 2" xfId="4" xr:uid="{00000000-0005-0000-0000-000003000000}"/>
    <cellStyle name="Normal 2 3" xfId="5" xr:uid="{00000000-0005-0000-0000-000004000000}"/>
    <cellStyle name="Normal 22" xfId="8" xr:uid="{DD402057-AB3F-496B-A83B-50B598A7EB43}"/>
    <cellStyle name="Normal 3" xfId="7" xr:uid="{9E98525D-E066-49DC-96D4-3F0FE7031DF4}"/>
    <cellStyle name="Porcentaje" xfId="2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DCDB"/>
          <bgColor rgb="FF00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1" i="0" u="none" strike="noStrike" baseline="0">
                <a:effectLst/>
              </a:rPr>
              <a:t>SAN MARTÍN: Producción de energía eléctrica y compras al SEIN </a:t>
            </a:r>
            <a:r>
              <a:rPr lang="es-PE" sz="1050" b="0" i="0" u="none" strike="noStrike" baseline="0">
                <a:effectLst/>
              </a:rPr>
              <a:t>(Febrero 2020 = 100)</a:t>
            </a:r>
            <a:endParaRPr lang="es-PE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'13.XLS'!$GH$40</c:f>
              <c:strCache>
                <c:ptCount val="1"/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0549449819195306E-2"/>
                  <c:y val="2.02976952686232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B1-42C1-AF3E-C0B707186E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'13.XLS'!$GI$39:$GZ$39</c:f>
              <c:numCache>
                <c:formatCode>#,##0_ ;\-#,##0\ </c:formatCode>
                <c:ptCount val="18"/>
              </c:numCache>
            </c:numRef>
          </c:cat>
          <c:val>
            <c:numRef>
              <c:f>'13.XLS'!$GI$40:$GZ$40</c:f>
              <c:numCache>
                <c:formatCode>#,##0_ ;\-#,##0\ 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1-EFB1-42C1-AF3E-C0B707186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1375984"/>
        <c:axId val="189731608"/>
      </c:barChart>
      <c:lineChart>
        <c:grouping val="standard"/>
        <c:varyColors val="0"/>
        <c:ser>
          <c:idx val="1"/>
          <c:order val="1"/>
          <c:tx>
            <c:strRef>
              <c:f>'13.XLS'!$GH$41</c:f>
              <c:strCache>
                <c:ptCount val="1"/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'13.XLS'!$GI$39:$GZ$39</c:f>
              <c:numCache>
                <c:formatCode>#,##0_ ;\-#,##0\ </c:formatCode>
                <c:ptCount val="18"/>
              </c:numCache>
            </c:numRef>
          </c:cat>
          <c:val>
            <c:numRef>
              <c:f>'13.XLS'!$GI$41:$GZ$41</c:f>
              <c:numCache>
                <c:formatCode>#,##0_ ;\-#,##0\ 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B1-42C1-AF3E-C0B707186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341528"/>
        <c:axId val="189964168"/>
      </c:lineChart>
      <c:catAx>
        <c:axId val="351375984"/>
        <c:scaling>
          <c:orientation val="minMax"/>
        </c:scaling>
        <c:delete val="0"/>
        <c:axPos val="b"/>
        <c:numFmt formatCode="#,##0_ ;\-#,##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9731608"/>
        <c:crosses val="autoZero"/>
        <c:auto val="1"/>
        <c:lblAlgn val="ctr"/>
        <c:lblOffset val="100"/>
        <c:noMultiLvlLbl val="0"/>
      </c:catAx>
      <c:valAx>
        <c:axId val="18973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51375984"/>
        <c:crosses val="autoZero"/>
        <c:crossBetween val="between"/>
      </c:valAx>
      <c:valAx>
        <c:axId val="189964168"/>
        <c:scaling>
          <c:orientation val="minMax"/>
        </c:scaling>
        <c:delete val="0"/>
        <c:axPos val="r"/>
        <c:numFmt formatCode="#,##0_ ;\-#,##0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46341528"/>
        <c:crosses val="max"/>
        <c:crossBetween val="between"/>
      </c:valAx>
      <c:catAx>
        <c:axId val="346341528"/>
        <c:scaling>
          <c:orientation val="minMax"/>
        </c:scaling>
        <c:delete val="1"/>
        <c:axPos val="b"/>
        <c:numFmt formatCode="#,##0_ ;\-#,##0\ " sourceLinked="1"/>
        <c:majorTickMark val="out"/>
        <c:minorTickMark val="none"/>
        <c:tickLblPos val="nextTo"/>
        <c:crossAx val="189964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SAN MARTÍN: Recaudación</a:t>
            </a:r>
            <a:r>
              <a:rPr lang="es-PE" b="1" baseline="0"/>
              <a:t> tributaria                            </a:t>
            </a:r>
            <a:r>
              <a:rPr lang="es-PE" sz="1000" baseline="0"/>
              <a:t>(miles de soles)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527-406B-8BF5-DEEA533327E4}"/>
              </c:ext>
            </c:extLst>
          </c:dPt>
          <c:dLbls>
            <c:dLbl>
              <c:idx val="48"/>
              <c:layout>
                <c:manualLayout>
                  <c:x val="-5.5533315536672886E-2"/>
                  <c:y val="-1.7786305589024269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27-406B-8BF5-DEEA533327E4}"/>
                </c:ext>
              </c:extLst>
            </c:dLbl>
            <c:dLbl>
              <c:idx val="51"/>
              <c:layout>
                <c:manualLayout>
                  <c:x val="-0.10007527694746439"/>
                  <c:y val="7.2582542783576192E-17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27-406B-8BF5-DEEA533327E4}"/>
                </c:ext>
              </c:extLst>
            </c:dLbl>
            <c:dLbl>
              <c:idx val="53"/>
              <c:layout>
                <c:manualLayout>
                  <c:x val="-3.5934760536316372E-4"/>
                  <c:y val="2.1745399112477151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27-406B-8BF5-DEEA533327E4}"/>
                </c:ext>
              </c:extLst>
            </c:dLbl>
            <c:dLbl>
              <c:idx val="55"/>
              <c:layout>
                <c:manualLayout>
                  <c:x val="-9.7343960735523145E-17"/>
                  <c:y val="-2.1745399112477224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27-406B-8BF5-DEEA533327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'15.XLS'!$FB$5:$HI$5</c:f>
              <c:numCache>
                <c:formatCode>mmm\.</c:formatCode>
                <c:ptCount val="60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 formatCode="0">
                  <c:v>2016</c:v>
                </c:pt>
                <c:pt idx="13">
                  <c:v>42736</c:v>
                </c:pt>
                <c:pt idx="14">
                  <c:v>42767</c:v>
                </c:pt>
                <c:pt idx="15">
                  <c:v>42795</c:v>
                </c:pt>
                <c:pt idx="16">
                  <c:v>42826</c:v>
                </c:pt>
                <c:pt idx="17">
                  <c:v>42856</c:v>
                </c:pt>
                <c:pt idx="18">
                  <c:v>42887</c:v>
                </c:pt>
                <c:pt idx="19">
                  <c:v>42917</c:v>
                </c:pt>
                <c:pt idx="20">
                  <c:v>42948</c:v>
                </c:pt>
                <c:pt idx="21">
                  <c:v>42979</c:v>
                </c:pt>
                <c:pt idx="22">
                  <c:v>43009</c:v>
                </c:pt>
                <c:pt idx="23">
                  <c:v>43040</c:v>
                </c:pt>
                <c:pt idx="24">
                  <c:v>43070</c:v>
                </c:pt>
                <c:pt idx="25" formatCode="0">
                  <c:v>2017</c:v>
                </c:pt>
                <c:pt idx="26">
                  <c:v>43101</c:v>
                </c:pt>
                <c:pt idx="27">
                  <c:v>43132</c:v>
                </c:pt>
                <c:pt idx="28">
                  <c:v>43160</c:v>
                </c:pt>
                <c:pt idx="29">
                  <c:v>43191</c:v>
                </c:pt>
                <c:pt idx="30">
                  <c:v>43221</c:v>
                </c:pt>
                <c:pt idx="31">
                  <c:v>43252</c:v>
                </c:pt>
                <c:pt idx="32">
                  <c:v>43282</c:v>
                </c:pt>
                <c:pt idx="33">
                  <c:v>43313</c:v>
                </c:pt>
                <c:pt idx="34">
                  <c:v>43344</c:v>
                </c:pt>
                <c:pt idx="35">
                  <c:v>43374</c:v>
                </c:pt>
                <c:pt idx="36">
                  <c:v>43405</c:v>
                </c:pt>
                <c:pt idx="37">
                  <c:v>43435</c:v>
                </c:pt>
                <c:pt idx="38" formatCode="0">
                  <c:v>2018</c:v>
                </c:pt>
                <c:pt idx="39">
                  <c:v>43466</c:v>
                </c:pt>
                <c:pt idx="40">
                  <c:v>43497</c:v>
                </c:pt>
                <c:pt idx="41">
                  <c:v>43525</c:v>
                </c:pt>
                <c:pt idx="42">
                  <c:v>43556</c:v>
                </c:pt>
                <c:pt idx="43">
                  <c:v>43586</c:v>
                </c:pt>
                <c:pt idx="44">
                  <c:v>43617</c:v>
                </c:pt>
                <c:pt idx="45">
                  <c:v>43647</c:v>
                </c:pt>
                <c:pt idx="46">
                  <c:v>43678</c:v>
                </c:pt>
                <c:pt idx="47">
                  <c:v>43709</c:v>
                </c:pt>
                <c:pt idx="48">
                  <c:v>43739</c:v>
                </c:pt>
                <c:pt idx="49">
                  <c:v>43770</c:v>
                </c:pt>
                <c:pt idx="50">
                  <c:v>43800</c:v>
                </c:pt>
                <c:pt idx="51" formatCode="0">
                  <c:v>2019</c:v>
                </c:pt>
                <c:pt idx="52">
                  <c:v>43831</c:v>
                </c:pt>
                <c:pt idx="53">
                  <c:v>43862</c:v>
                </c:pt>
                <c:pt idx="54">
                  <c:v>43891</c:v>
                </c:pt>
                <c:pt idx="55">
                  <c:v>43922</c:v>
                </c:pt>
                <c:pt idx="56">
                  <c:v>43952</c:v>
                </c:pt>
                <c:pt idx="57">
                  <c:v>43983</c:v>
                </c:pt>
                <c:pt idx="58">
                  <c:v>44013</c:v>
                </c:pt>
                <c:pt idx="59">
                  <c:v>44044</c:v>
                </c:pt>
              </c:numCache>
            </c:numRef>
          </c:cat>
          <c:val>
            <c:numRef>
              <c:f>'15.XLS'!$FB$7:$HI$7</c:f>
              <c:numCache>
                <c:formatCode>#\ ##0</c:formatCode>
                <c:ptCount val="60"/>
                <c:pt idx="0">
                  <c:v>16643</c:v>
                </c:pt>
                <c:pt idx="1">
                  <c:v>14626.399999999998</c:v>
                </c:pt>
                <c:pt idx="2">
                  <c:v>21552.499999999996</c:v>
                </c:pt>
                <c:pt idx="3">
                  <c:v>21784.3</c:v>
                </c:pt>
                <c:pt idx="4">
                  <c:v>15197.900000000001</c:v>
                </c:pt>
                <c:pt idx="5">
                  <c:v>13641</c:v>
                </c:pt>
                <c:pt idx="6">
                  <c:v>14170.2</c:v>
                </c:pt>
                <c:pt idx="7">
                  <c:v>15844.199999999999</c:v>
                </c:pt>
                <c:pt idx="8">
                  <c:v>15918.799999999997</c:v>
                </c:pt>
                <c:pt idx="9">
                  <c:v>16174.5</c:v>
                </c:pt>
                <c:pt idx="10">
                  <c:v>18348.5</c:v>
                </c:pt>
                <c:pt idx="11">
                  <c:v>16586.5</c:v>
                </c:pt>
                <c:pt idx="12">
                  <c:v>200487.8</c:v>
                </c:pt>
                <c:pt idx="13">
                  <c:v>20173.599999999999</c:v>
                </c:pt>
                <c:pt idx="14">
                  <c:v>15017.900000000001</c:v>
                </c:pt>
                <c:pt idx="15">
                  <c:v>18870.899999999998</c:v>
                </c:pt>
                <c:pt idx="16">
                  <c:v>20211.5</c:v>
                </c:pt>
                <c:pt idx="17">
                  <c:v>15899</c:v>
                </c:pt>
                <c:pt idx="18">
                  <c:v>14914.699999999997</c:v>
                </c:pt>
                <c:pt idx="19">
                  <c:v>15591.999999999998</c:v>
                </c:pt>
                <c:pt idx="20">
                  <c:v>17840.400000000001</c:v>
                </c:pt>
                <c:pt idx="21">
                  <c:v>20276.2</c:v>
                </c:pt>
                <c:pt idx="22">
                  <c:v>18789.3</c:v>
                </c:pt>
                <c:pt idx="23">
                  <c:v>18588.5</c:v>
                </c:pt>
                <c:pt idx="24">
                  <c:v>19384.3</c:v>
                </c:pt>
                <c:pt idx="25">
                  <c:v>215558.3</c:v>
                </c:pt>
                <c:pt idx="26">
                  <c:v>20697</c:v>
                </c:pt>
                <c:pt idx="27">
                  <c:v>17523</c:v>
                </c:pt>
                <c:pt idx="28">
                  <c:v>18041.2</c:v>
                </c:pt>
                <c:pt idx="29">
                  <c:v>23237.199999999997</c:v>
                </c:pt>
                <c:pt idx="30">
                  <c:v>18006.600000000002</c:v>
                </c:pt>
                <c:pt idx="31">
                  <c:v>15828.5</c:v>
                </c:pt>
                <c:pt idx="32">
                  <c:v>17197.400000000001</c:v>
                </c:pt>
                <c:pt idx="33">
                  <c:v>18305.7</c:v>
                </c:pt>
                <c:pt idx="34">
                  <c:v>19235.700000000004</c:v>
                </c:pt>
                <c:pt idx="35">
                  <c:v>20934.2</c:v>
                </c:pt>
                <c:pt idx="36">
                  <c:v>20444.300000000003</c:v>
                </c:pt>
                <c:pt idx="37">
                  <c:v>21437.3</c:v>
                </c:pt>
                <c:pt idx="38">
                  <c:v>230888.10000000003</c:v>
                </c:pt>
                <c:pt idx="39">
                  <c:v>21460.099999999995</c:v>
                </c:pt>
                <c:pt idx="40">
                  <c:v>19396.523999999998</c:v>
                </c:pt>
                <c:pt idx="41">
                  <c:v>20303.2</c:v>
                </c:pt>
                <c:pt idx="42">
                  <c:v>23394.400000000001</c:v>
                </c:pt>
                <c:pt idx="43">
                  <c:v>15922.2</c:v>
                </c:pt>
                <c:pt idx="44">
                  <c:v>15817.3</c:v>
                </c:pt>
                <c:pt idx="45">
                  <c:v>17746.8</c:v>
                </c:pt>
                <c:pt idx="46">
                  <c:v>17922</c:v>
                </c:pt>
                <c:pt idx="47">
                  <c:v>22093.8</c:v>
                </c:pt>
                <c:pt idx="48">
                  <c:v>21981</c:v>
                </c:pt>
                <c:pt idx="49">
                  <c:v>21735.300000000003</c:v>
                </c:pt>
                <c:pt idx="50">
                  <c:v>21979.8</c:v>
                </c:pt>
                <c:pt idx="51">
                  <c:v>239752.42399999994</c:v>
                </c:pt>
                <c:pt idx="52">
                  <c:v>24181</c:v>
                </c:pt>
                <c:pt idx="53">
                  <c:v>23460.000000000004</c:v>
                </c:pt>
                <c:pt idx="54">
                  <c:v>16461.800000000003</c:v>
                </c:pt>
                <c:pt idx="55">
                  <c:v>12450.3</c:v>
                </c:pt>
                <c:pt idx="56">
                  <c:v>13750.999999999998</c:v>
                </c:pt>
                <c:pt idx="57">
                  <c:v>12089.7</c:v>
                </c:pt>
                <c:pt idx="58">
                  <c:v>18442.5</c:v>
                </c:pt>
                <c:pt idx="59">
                  <c:v>18374.8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27-406B-8BF5-DEEA53332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5807160"/>
        <c:axId val="515813432"/>
      </c:lineChart>
      <c:catAx>
        <c:axId val="515807160"/>
        <c:scaling>
          <c:orientation val="minMax"/>
        </c:scaling>
        <c:delete val="0"/>
        <c:axPos val="b"/>
        <c:numFmt formatCode="mmm\.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5813432"/>
        <c:crosses val="autoZero"/>
        <c:auto val="1"/>
        <c:lblAlgn val="ctr"/>
        <c:lblOffset val="100"/>
        <c:noMultiLvlLbl val="0"/>
      </c:catAx>
      <c:valAx>
        <c:axId val="515813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5807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SAN MARTÍN: Recaudación</a:t>
            </a:r>
            <a:r>
              <a:rPr lang="es-PE" b="1" baseline="0"/>
              <a:t> tributaria                            </a:t>
            </a:r>
            <a:r>
              <a:rPr lang="es-PE" sz="1000" baseline="0"/>
              <a:t>(Var.% inter anual)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3.9735107625824204E-2"/>
                  <c:y val="-2.9065747112306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9B-49C9-99D3-A9B95FB193F1}"/>
                </c:ext>
              </c:extLst>
            </c:dLbl>
            <c:dLbl>
              <c:idx val="11"/>
              <c:layout>
                <c:manualLayout>
                  <c:x val="-3.7086100450769294E-2"/>
                  <c:y val="2.9065747112306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9B-49C9-99D3-A9B95FB193F1}"/>
                </c:ext>
              </c:extLst>
            </c:dLbl>
            <c:dLbl>
              <c:idx val="20"/>
              <c:layout>
                <c:manualLayout>
                  <c:x val="-3.9735107625824238E-2"/>
                  <c:y val="-2.4913497524834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9B-49C9-99D3-A9B95FB193F1}"/>
                </c:ext>
              </c:extLst>
            </c:dLbl>
            <c:dLbl>
              <c:idx val="49"/>
              <c:layout>
                <c:manualLayout>
                  <c:x val="-3.4437093275714301E-2"/>
                  <c:y val="-3.32179966997789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9B-49C9-99D3-A9B95FB193F1}"/>
                </c:ext>
              </c:extLst>
            </c:dLbl>
            <c:dLbl>
              <c:idx val="51"/>
              <c:layout>
                <c:manualLayout>
                  <c:x val="-3.973510762582419E-2"/>
                  <c:y val="2.9065747112306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29B-49C9-99D3-A9B95FB193F1}"/>
                </c:ext>
              </c:extLst>
            </c:dLbl>
            <c:dLbl>
              <c:idx val="55"/>
              <c:layout>
                <c:manualLayout>
                  <c:x val="-1.324503587527473E-2"/>
                  <c:y val="-3.32179966997790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9B-49C9-99D3-A9B95FB193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'15.XLS'!$FB$5:$HI$5</c:f>
              <c:numCache>
                <c:formatCode>mmm\.</c:formatCode>
                <c:ptCount val="60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 formatCode="0">
                  <c:v>2016</c:v>
                </c:pt>
                <c:pt idx="13">
                  <c:v>42736</c:v>
                </c:pt>
                <c:pt idx="14">
                  <c:v>42767</c:v>
                </c:pt>
                <c:pt idx="15">
                  <c:v>42795</c:v>
                </c:pt>
                <c:pt idx="16">
                  <c:v>42826</c:v>
                </c:pt>
                <c:pt idx="17">
                  <c:v>42856</c:v>
                </c:pt>
                <c:pt idx="18">
                  <c:v>42887</c:v>
                </c:pt>
                <c:pt idx="19">
                  <c:v>42917</c:v>
                </c:pt>
                <c:pt idx="20">
                  <c:v>42948</c:v>
                </c:pt>
                <c:pt idx="21">
                  <c:v>42979</c:v>
                </c:pt>
                <c:pt idx="22">
                  <c:v>43009</c:v>
                </c:pt>
                <c:pt idx="23">
                  <c:v>43040</c:v>
                </c:pt>
                <c:pt idx="24">
                  <c:v>43070</c:v>
                </c:pt>
                <c:pt idx="25" formatCode="0">
                  <c:v>2017</c:v>
                </c:pt>
                <c:pt idx="26">
                  <c:v>43101</c:v>
                </c:pt>
                <c:pt idx="27">
                  <c:v>43132</c:v>
                </c:pt>
                <c:pt idx="28">
                  <c:v>43160</c:v>
                </c:pt>
                <c:pt idx="29">
                  <c:v>43191</c:v>
                </c:pt>
                <c:pt idx="30">
                  <c:v>43221</c:v>
                </c:pt>
                <c:pt idx="31">
                  <c:v>43252</c:v>
                </c:pt>
                <c:pt idx="32">
                  <c:v>43282</c:v>
                </c:pt>
                <c:pt idx="33">
                  <c:v>43313</c:v>
                </c:pt>
                <c:pt idx="34">
                  <c:v>43344</c:v>
                </c:pt>
                <c:pt idx="35">
                  <c:v>43374</c:v>
                </c:pt>
                <c:pt idx="36">
                  <c:v>43405</c:v>
                </c:pt>
                <c:pt idx="37">
                  <c:v>43435</c:v>
                </c:pt>
                <c:pt idx="38" formatCode="0">
                  <c:v>2018</c:v>
                </c:pt>
                <c:pt idx="39">
                  <c:v>43466</c:v>
                </c:pt>
                <c:pt idx="40">
                  <c:v>43497</c:v>
                </c:pt>
                <c:pt idx="41">
                  <c:v>43525</c:v>
                </c:pt>
                <c:pt idx="42">
                  <c:v>43556</c:v>
                </c:pt>
                <c:pt idx="43">
                  <c:v>43586</c:v>
                </c:pt>
                <c:pt idx="44">
                  <c:v>43617</c:v>
                </c:pt>
                <c:pt idx="45">
                  <c:v>43647</c:v>
                </c:pt>
                <c:pt idx="46">
                  <c:v>43678</c:v>
                </c:pt>
                <c:pt idx="47">
                  <c:v>43709</c:v>
                </c:pt>
                <c:pt idx="48">
                  <c:v>43739</c:v>
                </c:pt>
                <c:pt idx="49">
                  <c:v>43770</c:v>
                </c:pt>
                <c:pt idx="50">
                  <c:v>43800</c:v>
                </c:pt>
                <c:pt idx="51" formatCode="0">
                  <c:v>2019</c:v>
                </c:pt>
                <c:pt idx="52">
                  <c:v>43831</c:v>
                </c:pt>
                <c:pt idx="53">
                  <c:v>43862</c:v>
                </c:pt>
                <c:pt idx="54">
                  <c:v>43891</c:v>
                </c:pt>
                <c:pt idx="55">
                  <c:v>43922</c:v>
                </c:pt>
                <c:pt idx="56">
                  <c:v>43952</c:v>
                </c:pt>
                <c:pt idx="57">
                  <c:v>43983</c:v>
                </c:pt>
                <c:pt idx="58">
                  <c:v>44013</c:v>
                </c:pt>
                <c:pt idx="59">
                  <c:v>44044</c:v>
                </c:pt>
              </c:numCache>
            </c:numRef>
          </c:cat>
          <c:val>
            <c:numRef>
              <c:f>'15.XLS'!$FB$22:$HI$22</c:f>
              <c:numCache>
                <c:formatCode>0.0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9B-49C9-99D3-A9B95FB19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5815784"/>
        <c:axId val="515811080"/>
      </c:lineChart>
      <c:catAx>
        <c:axId val="515815784"/>
        <c:scaling>
          <c:orientation val="minMax"/>
        </c:scaling>
        <c:delete val="0"/>
        <c:axPos val="b"/>
        <c:numFmt formatCode="mmm\.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5811080"/>
        <c:crosses val="autoZero"/>
        <c:auto val="1"/>
        <c:lblAlgn val="ctr"/>
        <c:lblOffset val="100"/>
        <c:noMultiLvlLbl val="0"/>
      </c:catAx>
      <c:valAx>
        <c:axId val="515811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5815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189</xdr:col>
      <xdr:colOff>42334</xdr:colOff>
      <xdr:row>30</xdr:row>
      <xdr:rowOff>0</xdr:rowOff>
    </xdr:from>
    <xdr:to>
      <xdr:col>197</xdr:col>
      <xdr:colOff>52918</xdr:colOff>
      <xdr:row>30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6BE6FC-9D63-4FD6-8130-2019F3D17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306</xdr:col>
      <xdr:colOff>31750</xdr:colOff>
      <xdr:row>7</xdr:row>
      <xdr:rowOff>0</xdr:rowOff>
    </xdr:from>
    <xdr:to>
      <xdr:col>314</xdr:col>
      <xdr:colOff>158752</xdr:colOff>
      <xdr:row>23</xdr:row>
      <xdr:rowOff>96305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7E881D-C32F-49AD-820E-D8BE3C46E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306</xdr:col>
      <xdr:colOff>31751</xdr:colOff>
      <xdr:row>25</xdr:row>
      <xdr:rowOff>21167</xdr:rowOff>
    </xdr:from>
    <xdr:to>
      <xdr:col>314</xdr:col>
      <xdr:colOff>169333</xdr:colOff>
      <xdr:row>41</xdr:row>
      <xdr:rowOff>127000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81004F-49AC-447B-88AE-A8C2177E1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eecono\2679\PRACTICANTES\Marcos%20y%20Adrian\MARCOS\3.%20BASES%20PARA%20ESTAD%20Y%20S&#205;NTESIS\ESTADSMN%20-%20base.xlsx" TargetMode="External"/><Relationship Id="rId1" Type="http://schemas.openxmlformats.org/officeDocument/2006/relationships/externalLinkPath" Target="/eecono/2679/PRACTICANTES/Marcos%20y%20Adrian/MARCOS/3.%20BASES%20PARA%20ESTAD%20Y%20S&#205;NTESIS/ESTADSMN%20-%20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.XLS"/>
      <sheetName val="02.XLS"/>
      <sheetName val="03.XLS"/>
      <sheetName val="04.XLS"/>
      <sheetName val="05.XLS"/>
      <sheetName val="06.XLS"/>
      <sheetName val="07.XLS"/>
      <sheetName val="08.XLS"/>
      <sheetName val="09.XLS"/>
      <sheetName val="10 - Base 2007"/>
      <sheetName val="11.XLS"/>
      <sheetName val="MINCETUR"/>
      <sheetName val="12.XLS"/>
      <sheetName val="13.XLS"/>
      <sheetName val="14.XLS"/>
      <sheetName val="15.XLS"/>
      <sheetName val="GASTO G.N."/>
      <sheetName val="INVERSION G.N."/>
      <sheetName val="INGRESO G.R."/>
      <sheetName val="GASTO G.R."/>
      <sheetName val="INVERSION G.R."/>
      <sheetName val="INGRESO G.L."/>
      <sheetName val="GASTO G.L."/>
      <sheetName val="INVERSION G.L."/>
      <sheetName val="19.XLS"/>
      <sheetName val="20.XLS"/>
      <sheetName val="21.XLS"/>
      <sheetName val="22.XLS"/>
      <sheetName val="23.X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">
          <cell r="IB9">
            <v>36197</v>
          </cell>
          <cell r="IC9">
            <v>35373</v>
          </cell>
          <cell r="ID9">
            <v>35314</v>
          </cell>
          <cell r="IE9">
            <v>34641</v>
          </cell>
          <cell r="IF9">
            <v>39200</v>
          </cell>
          <cell r="IG9">
            <v>36092</v>
          </cell>
          <cell r="IH9">
            <v>44867</v>
          </cell>
          <cell r="II9">
            <v>36432</v>
          </cell>
        </row>
        <row r="10">
          <cell r="IB10">
            <v>3237</v>
          </cell>
          <cell r="IC10">
            <v>3574</v>
          </cell>
          <cell r="ID10">
            <v>3785</v>
          </cell>
          <cell r="IE10">
            <v>3798</v>
          </cell>
          <cell r="IF10">
            <v>3777</v>
          </cell>
          <cell r="IG10">
            <v>3689</v>
          </cell>
          <cell r="IH10">
            <v>6011</v>
          </cell>
          <cell r="II10">
            <v>3688</v>
          </cell>
        </row>
        <row r="11">
          <cell r="IB11">
            <v>3950</v>
          </cell>
          <cell r="IC11">
            <v>26416</v>
          </cell>
          <cell r="ID11">
            <v>12982</v>
          </cell>
          <cell r="IE11">
            <v>12116</v>
          </cell>
          <cell r="IF11">
            <v>16133</v>
          </cell>
          <cell r="IG11">
            <v>31247</v>
          </cell>
          <cell r="IH11">
            <v>13765</v>
          </cell>
          <cell r="II11">
            <v>35429</v>
          </cell>
        </row>
        <row r="12">
          <cell r="IB12">
            <v>49326</v>
          </cell>
          <cell r="IC12">
            <v>0</v>
          </cell>
          <cell r="ID12">
            <v>6114</v>
          </cell>
          <cell r="IE12">
            <v>3632</v>
          </cell>
          <cell r="IF12">
            <v>0</v>
          </cell>
          <cell r="IG12">
            <v>-2</v>
          </cell>
          <cell r="IH12">
            <v>-15</v>
          </cell>
          <cell r="II12">
            <v>7086</v>
          </cell>
        </row>
        <row r="13">
          <cell r="IB13">
            <v>18740</v>
          </cell>
          <cell r="IC13">
            <v>26199</v>
          </cell>
          <cell r="ID13">
            <v>18657</v>
          </cell>
          <cell r="IE13">
            <v>31853</v>
          </cell>
          <cell r="IF13">
            <v>31456</v>
          </cell>
          <cell r="IG13">
            <v>34039</v>
          </cell>
          <cell r="IH13">
            <v>31584</v>
          </cell>
          <cell r="II13">
            <v>15003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NIL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70C0"/>
      </a:accent1>
      <a:accent2>
        <a:srgbClr val="4F81BD"/>
      </a:accent2>
      <a:accent3>
        <a:srgbClr val="339966"/>
      </a:accent3>
      <a:accent4>
        <a:srgbClr val="FFC000"/>
      </a:accent4>
      <a:accent5>
        <a:srgbClr val="F79646"/>
      </a:accent5>
      <a:accent6>
        <a:srgbClr val="C0504D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6" tint="-0.249977111117893"/>
  </sheetPr>
  <dimension ref="A1:JW63"/>
  <sheetViews>
    <sheetView showGridLines="0" view="pageBreakPreview" topLeftCell="A4" zoomScale="85" zoomScaleNormal="75" zoomScaleSheetLayoutView="85" workbookViewId="0">
      <pane xSplit="1" topLeftCell="IB1" activePane="topRight" state="frozen"/>
      <selection activeCell="IB59" sqref="IB59:JB59"/>
      <selection pane="topRight" activeCell="IB9" sqref="IB9:JC9"/>
    </sheetView>
  </sheetViews>
  <sheetFormatPr baseColWidth="10" defaultColWidth="9.7109375" defaultRowHeight="15" customHeight="1" x14ac:dyDescent="0.2"/>
  <cols>
    <col min="1" max="1" width="26.7109375" customWidth="1"/>
    <col min="275" max="279" width="9.7109375" customWidth="1"/>
    <col min="281" max="281" width="10.7109375" customWidth="1"/>
  </cols>
  <sheetData>
    <row r="1" spans="1:283" ht="15" customHeight="1" x14ac:dyDescent="0.25">
      <c r="A1" s="1170" t="s">
        <v>167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P1" s="1"/>
      <c r="JQ1" s="1"/>
      <c r="JR1" s="1"/>
      <c r="JS1" s="1"/>
      <c r="JT1" s="1"/>
      <c r="JU1" s="1"/>
      <c r="JV1" s="1"/>
      <c r="JW1" s="1"/>
    </row>
    <row r="2" spans="1:283" ht="15" customHeight="1" x14ac:dyDescent="0.25">
      <c r="A2" s="1170" t="s">
        <v>586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P2" s="1"/>
      <c r="JQ2" s="1"/>
      <c r="JR2" s="1"/>
      <c r="JS2" s="1"/>
      <c r="JT2" s="1"/>
      <c r="JU2" s="1"/>
      <c r="JV2" s="1"/>
      <c r="JW2" s="1"/>
    </row>
    <row r="3" spans="1:283" ht="15" customHeight="1" x14ac:dyDescent="0.25">
      <c r="A3" s="1170" t="s">
        <v>92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P3" s="3"/>
      <c r="JQ3" s="1"/>
      <c r="JR3" s="1"/>
      <c r="JS3" s="1"/>
      <c r="JT3" s="1"/>
      <c r="JU3" s="1"/>
      <c r="JV3" s="1"/>
      <c r="JW3" s="1"/>
    </row>
    <row r="4" spans="1:283" ht="15" customHeight="1" x14ac:dyDescent="0.2">
      <c r="A4" s="1158"/>
      <c r="B4" s="1088">
        <f t="shared" ref="B4" si="0">YEAR(B5)</f>
        <v>2006</v>
      </c>
      <c r="C4" s="1088"/>
      <c r="D4" s="1088"/>
      <c r="E4" s="1088"/>
      <c r="F4" s="1088"/>
      <c r="G4" s="1088"/>
      <c r="H4" s="1088"/>
      <c r="I4" s="1088"/>
      <c r="J4" s="1088"/>
      <c r="K4" s="1088"/>
      <c r="L4" s="1088"/>
      <c r="M4" s="1088"/>
      <c r="N4" s="1089" t="s">
        <v>29</v>
      </c>
      <c r="O4" s="1088">
        <f t="shared" ref="O4" si="1">YEAR(O5)</f>
        <v>2007</v>
      </c>
      <c r="P4" s="1088"/>
      <c r="Q4" s="1088"/>
      <c r="R4" s="1088"/>
      <c r="S4" s="1088"/>
      <c r="T4" s="1088"/>
      <c r="U4" s="1088"/>
      <c r="V4" s="1088"/>
      <c r="W4" s="1088"/>
      <c r="X4" s="1088"/>
      <c r="Y4" s="1088"/>
      <c r="Z4" s="1088"/>
      <c r="AA4" s="1089" t="s">
        <v>29</v>
      </c>
      <c r="AB4" s="1088">
        <f t="shared" ref="AB4" si="2">YEAR(AB5)</f>
        <v>2008</v>
      </c>
      <c r="AC4" s="1088"/>
      <c r="AD4" s="1088"/>
      <c r="AE4" s="1088"/>
      <c r="AF4" s="1088"/>
      <c r="AG4" s="1088"/>
      <c r="AH4" s="1088"/>
      <c r="AI4" s="1088"/>
      <c r="AJ4" s="1088"/>
      <c r="AK4" s="1088"/>
      <c r="AL4" s="1088"/>
      <c r="AM4" s="1088"/>
      <c r="AN4" s="1089" t="s">
        <v>29</v>
      </c>
      <c r="AO4" s="1088">
        <f t="shared" ref="AO4" si="3">YEAR(AO5)</f>
        <v>2009</v>
      </c>
      <c r="AP4" s="1088"/>
      <c r="AQ4" s="1088"/>
      <c r="AR4" s="1088"/>
      <c r="AS4" s="1088"/>
      <c r="AT4" s="1088"/>
      <c r="AU4" s="1088"/>
      <c r="AV4" s="1088"/>
      <c r="AW4" s="1088"/>
      <c r="AX4" s="1088"/>
      <c r="AY4" s="1088"/>
      <c r="AZ4" s="1088"/>
      <c r="BA4" s="1089" t="s">
        <v>29</v>
      </c>
      <c r="BB4" s="1088">
        <f t="shared" ref="BB4" si="4">YEAR(BB5)</f>
        <v>2010</v>
      </c>
      <c r="BC4" s="1088"/>
      <c r="BD4" s="1088"/>
      <c r="BE4" s="1088"/>
      <c r="BF4" s="1088"/>
      <c r="BG4" s="1088"/>
      <c r="BH4" s="1088"/>
      <c r="BI4" s="1088"/>
      <c r="BJ4" s="1088"/>
      <c r="BK4" s="1088"/>
      <c r="BL4" s="1088"/>
      <c r="BM4" s="1088"/>
      <c r="BN4" s="1089" t="s">
        <v>29</v>
      </c>
      <c r="BO4" s="1088">
        <f t="shared" ref="BO4" si="5">YEAR(BO5)</f>
        <v>2011</v>
      </c>
      <c r="BP4" s="1088"/>
      <c r="BQ4" s="1088"/>
      <c r="BR4" s="1088"/>
      <c r="BS4" s="1088"/>
      <c r="BT4" s="1088"/>
      <c r="BU4" s="1088"/>
      <c r="BV4" s="1088"/>
      <c r="BW4" s="1088"/>
      <c r="BX4" s="1088"/>
      <c r="BY4" s="1088"/>
      <c r="BZ4" s="1088"/>
      <c r="CA4" s="1089" t="s">
        <v>29</v>
      </c>
      <c r="CB4" s="1088">
        <f t="shared" ref="CB4" si="6">YEAR(CB5)</f>
        <v>2012</v>
      </c>
      <c r="CC4" s="1088"/>
      <c r="CD4" s="1088"/>
      <c r="CE4" s="1088"/>
      <c r="CF4" s="1088"/>
      <c r="CG4" s="1088"/>
      <c r="CH4" s="1088"/>
      <c r="CI4" s="1088"/>
      <c r="CJ4" s="1088"/>
      <c r="CK4" s="1088"/>
      <c r="CL4" s="1088"/>
      <c r="CM4" s="1088"/>
      <c r="CN4" s="1089" t="s">
        <v>29</v>
      </c>
      <c r="CO4" s="1088">
        <f t="shared" ref="CO4" si="7">YEAR(CO5)</f>
        <v>2013</v>
      </c>
      <c r="CP4" s="1088"/>
      <c r="CQ4" s="1088"/>
      <c r="CR4" s="1088"/>
      <c r="CS4" s="1088"/>
      <c r="CT4" s="1088"/>
      <c r="CU4" s="1088"/>
      <c r="CV4" s="1088"/>
      <c r="CW4" s="1088"/>
      <c r="CX4" s="1088"/>
      <c r="CY4" s="1088"/>
      <c r="CZ4" s="1088"/>
      <c r="DA4" s="1089" t="s">
        <v>29</v>
      </c>
      <c r="DB4" s="1088">
        <f t="shared" ref="DB4" si="8">YEAR(DB5)</f>
        <v>2014</v>
      </c>
      <c r="DC4" s="1088"/>
      <c r="DD4" s="1088"/>
      <c r="DE4" s="1088"/>
      <c r="DF4" s="1088"/>
      <c r="DG4" s="1088"/>
      <c r="DH4" s="1088"/>
      <c r="DI4" s="1088"/>
      <c r="DJ4" s="1088"/>
      <c r="DK4" s="1088"/>
      <c r="DL4" s="1088"/>
      <c r="DM4" s="1088"/>
      <c r="DN4" s="1089" t="s">
        <v>29</v>
      </c>
      <c r="DO4" s="1088">
        <f t="shared" ref="DO4" si="9">YEAR(DO5)</f>
        <v>2015</v>
      </c>
      <c r="DP4" s="1088"/>
      <c r="DQ4" s="1088"/>
      <c r="DR4" s="1088"/>
      <c r="DS4" s="1088"/>
      <c r="DT4" s="1088"/>
      <c r="DU4" s="1088"/>
      <c r="DV4" s="1088"/>
      <c r="DW4" s="1088"/>
      <c r="DX4" s="1088"/>
      <c r="DY4" s="1088"/>
      <c r="DZ4" s="1088"/>
      <c r="EA4" s="1089" t="s">
        <v>29</v>
      </c>
      <c r="EB4" s="1088">
        <f t="shared" ref="EB4" si="10">YEAR(EB5)</f>
        <v>2016</v>
      </c>
      <c r="EC4" s="1088"/>
      <c r="ED4" s="1088"/>
      <c r="EE4" s="1088"/>
      <c r="EF4" s="1088"/>
      <c r="EG4" s="1088"/>
      <c r="EH4" s="1088"/>
      <c r="EI4" s="1088"/>
      <c r="EJ4" s="1088"/>
      <c r="EK4" s="1088"/>
      <c r="EL4" s="1088"/>
      <c r="EM4" s="1088"/>
      <c r="EN4" s="1089" t="s">
        <v>29</v>
      </c>
      <c r="EO4" s="1088">
        <f t="shared" ref="EO4" si="11">YEAR(EO5)</f>
        <v>2017</v>
      </c>
      <c r="EP4" s="1088"/>
      <c r="EQ4" s="1088"/>
      <c r="ER4" s="1088"/>
      <c r="ES4" s="1088"/>
      <c r="ET4" s="1088"/>
      <c r="EU4" s="1088"/>
      <c r="EV4" s="1088"/>
      <c r="EW4" s="1088"/>
      <c r="EX4" s="1088"/>
      <c r="EY4" s="1088"/>
      <c r="EZ4" s="1088"/>
      <c r="FA4" s="1089" t="s">
        <v>29</v>
      </c>
      <c r="FB4" s="1088">
        <f t="shared" ref="FB4" si="12">YEAR(FB5)</f>
        <v>2018</v>
      </c>
      <c r="FC4" s="1088"/>
      <c r="FD4" s="1088"/>
      <c r="FE4" s="1088"/>
      <c r="FF4" s="1088"/>
      <c r="FG4" s="1088"/>
      <c r="FH4" s="1088"/>
      <c r="FI4" s="1088"/>
      <c r="FJ4" s="1088"/>
      <c r="FK4" s="1088"/>
      <c r="FL4" s="1088"/>
      <c r="FM4" s="1088"/>
      <c r="FN4" s="1089" t="s">
        <v>29</v>
      </c>
      <c r="FO4" s="1088">
        <f t="shared" ref="FO4" si="13">YEAR(FO5)</f>
        <v>2019</v>
      </c>
      <c r="FP4" s="1088"/>
      <c r="FQ4" s="1088"/>
      <c r="FR4" s="1088"/>
      <c r="FS4" s="1088"/>
      <c r="FT4" s="1088"/>
      <c r="FU4" s="1088"/>
      <c r="FV4" s="1088"/>
      <c r="FW4" s="1088"/>
      <c r="FX4" s="1088"/>
      <c r="FY4" s="1088"/>
      <c r="FZ4" s="1088"/>
      <c r="GA4" s="1089" t="s">
        <v>29</v>
      </c>
      <c r="GB4" s="1088">
        <f t="shared" ref="GB4" si="14">YEAR(GB5)</f>
        <v>2020</v>
      </c>
      <c r="GC4" s="1088"/>
      <c r="GD4" s="1088"/>
      <c r="GE4" s="1088"/>
      <c r="GF4" s="1088"/>
      <c r="GG4" s="1088"/>
      <c r="GH4" s="1088"/>
      <c r="GI4" s="1088"/>
      <c r="GJ4" s="1088"/>
      <c r="GK4" s="1088"/>
      <c r="GL4" s="1088"/>
      <c r="GM4" s="1088"/>
      <c r="GN4" s="1089" t="s">
        <v>29</v>
      </c>
      <c r="GO4" s="1088">
        <f t="shared" ref="GO4" si="15">YEAR(GO5)</f>
        <v>2021</v>
      </c>
      <c r="GP4" s="1088"/>
      <c r="GQ4" s="1088"/>
      <c r="GR4" s="1088"/>
      <c r="GS4" s="1088"/>
      <c r="GT4" s="1088"/>
      <c r="GU4" s="1088"/>
      <c r="GV4" s="1088"/>
      <c r="GW4" s="1088"/>
      <c r="GX4" s="1088"/>
      <c r="GY4" s="1088"/>
      <c r="GZ4" s="1088"/>
      <c r="HA4" s="1089" t="s">
        <v>29</v>
      </c>
      <c r="HB4" s="1088">
        <f t="shared" ref="HB4" si="16">YEAR(HB5)</f>
        <v>2022</v>
      </c>
      <c r="HC4" s="1088"/>
      <c r="HD4" s="1088"/>
      <c r="HE4" s="1088"/>
      <c r="HF4" s="1088"/>
      <c r="HG4" s="1088"/>
      <c r="HH4" s="1088"/>
      <c r="HI4" s="1088"/>
      <c r="HJ4" s="1088"/>
      <c r="HK4" s="1088"/>
      <c r="HL4" s="1088"/>
      <c r="HM4" s="1088"/>
      <c r="HN4" s="1089" t="s">
        <v>29</v>
      </c>
      <c r="HO4" s="1088">
        <f t="shared" ref="HO4" si="17">YEAR(HO5)</f>
        <v>2023</v>
      </c>
      <c r="HP4" s="1088"/>
      <c r="HQ4" s="1088"/>
      <c r="HR4" s="1088"/>
      <c r="HS4" s="1088"/>
      <c r="HT4" s="1088"/>
      <c r="HU4" s="1088"/>
      <c r="HV4" s="1088"/>
      <c r="HW4" s="1088"/>
      <c r="HX4" s="1088"/>
      <c r="HY4" s="1088"/>
      <c r="HZ4" s="1088"/>
      <c r="IA4" s="1089" t="s">
        <v>29</v>
      </c>
      <c r="IB4" s="1088">
        <f t="shared" ref="IB4" si="18">YEAR(IB5)</f>
        <v>2024</v>
      </c>
      <c r="IC4" s="1088"/>
      <c r="ID4" s="1088"/>
      <c r="IE4" s="1088"/>
      <c r="IF4" s="1088"/>
      <c r="IG4" s="1088"/>
      <c r="IH4" s="1088"/>
      <c r="II4" s="1088"/>
      <c r="IJ4" s="1088"/>
      <c r="IK4" s="1088"/>
      <c r="IL4" s="1088"/>
      <c r="IM4" s="1088"/>
      <c r="IN4" s="1089" t="s">
        <v>29</v>
      </c>
      <c r="IO4" s="1088">
        <f t="shared" ref="IO4" si="19">YEAR(IO5)</f>
        <v>2025</v>
      </c>
      <c r="IP4" s="1088"/>
      <c r="IQ4" s="1088"/>
      <c r="IR4" s="1088"/>
      <c r="IS4" s="1088"/>
      <c r="IT4" s="1088"/>
      <c r="IU4" s="1088"/>
      <c r="IV4" s="1088"/>
      <c r="IW4" s="1088"/>
      <c r="IX4" s="1088"/>
      <c r="IY4" s="1088"/>
      <c r="IZ4" s="1088"/>
      <c r="JA4" s="1089" t="s">
        <v>29</v>
      </c>
      <c r="JB4" s="1088">
        <f>YEAR(JB5)</f>
        <v>2026</v>
      </c>
      <c r="JC4" s="1088"/>
      <c r="JD4" s="1088"/>
      <c r="JE4" s="1088"/>
      <c r="JF4" s="1088"/>
      <c r="JG4" s="1088"/>
      <c r="JH4" s="1088"/>
      <c r="JI4" s="1088"/>
      <c r="JJ4" s="1088"/>
      <c r="JK4" s="1088"/>
      <c r="JL4" s="1088"/>
      <c r="JM4" s="1088"/>
      <c r="JN4" s="1089" t="s">
        <v>29</v>
      </c>
      <c r="JP4" s="1103" t="str">
        <f>CONCATENATE("Var.% ",JS4,"/",JS4-1)</f>
        <v>Var.% 2025/2024</v>
      </c>
      <c r="JQ4" s="1104"/>
      <c r="JR4" s="1105">
        <f>JS4-1</f>
        <v>2024</v>
      </c>
      <c r="JS4" s="1105">
        <f>YEAR(JP5)</f>
        <v>2025</v>
      </c>
      <c r="JT4" s="1"/>
      <c r="JU4" s="1073" t="s">
        <v>562</v>
      </c>
      <c r="JV4" s="1074"/>
      <c r="JW4" s="1075"/>
    </row>
    <row r="5" spans="1:283" ht="15" customHeight="1" x14ac:dyDescent="0.2">
      <c r="A5" s="1159"/>
      <c r="B5" s="1090">
        <v>38718</v>
      </c>
      <c r="C5" s="1090">
        <v>38749</v>
      </c>
      <c r="D5" s="1090">
        <v>38777</v>
      </c>
      <c r="E5" s="1090">
        <v>38808</v>
      </c>
      <c r="F5" s="1090">
        <v>38838</v>
      </c>
      <c r="G5" s="1090">
        <v>38869</v>
      </c>
      <c r="H5" s="1090">
        <v>38899</v>
      </c>
      <c r="I5" s="1090">
        <v>38930</v>
      </c>
      <c r="J5" s="1090">
        <v>38961</v>
      </c>
      <c r="K5" s="1090">
        <v>38991</v>
      </c>
      <c r="L5" s="1090">
        <v>39022</v>
      </c>
      <c r="M5" s="1090">
        <v>39052</v>
      </c>
      <c r="N5" s="1091">
        <f>YEAR(M5)</f>
        <v>2006</v>
      </c>
      <c r="O5" s="1090">
        <v>39083</v>
      </c>
      <c r="P5" s="1090">
        <v>39114</v>
      </c>
      <c r="Q5" s="1090">
        <v>39142</v>
      </c>
      <c r="R5" s="1090">
        <v>39173</v>
      </c>
      <c r="S5" s="1090">
        <v>39203</v>
      </c>
      <c r="T5" s="1090">
        <v>39234</v>
      </c>
      <c r="U5" s="1090">
        <v>39264</v>
      </c>
      <c r="V5" s="1090">
        <v>39295</v>
      </c>
      <c r="W5" s="1090">
        <v>39326</v>
      </c>
      <c r="X5" s="1090">
        <v>39356</v>
      </c>
      <c r="Y5" s="1090">
        <v>39387</v>
      </c>
      <c r="Z5" s="1090">
        <v>39417</v>
      </c>
      <c r="AA5" s="1091">
        <f>YEAR(Z5)</f>
        <v>2007</v>
      </c>
      <c r="AB5" s="1090">
        <v>39448</v>
      </c>
      <c r="AC5" s="1090">
        <v>39479</v>
      </c>
      <c r="AD5" s="1090">
        <v>39508</v>
      </c>
      <c r="AE5" s="1090">
        <v>39539</v>
      </c>
      <c r="AF5" s="1090">
        <v>39569</v>
      </c>
      <c r="AG5" s="1090">
        <v>39600</v>
      </c>
      <c r="AH5" s="1090">
        <v>39630</v>
      </c>
      <c r="AI5" s="1090">
        <v>39661</v>
      </c>
      <c r="AJ5" s="1090">
        <v>39692</v>
      </c>
      <c r="AK5" s="1090">
        <v>39722</v>
      </c>
      <c r="AL5" s="1090">
        <v>39753</v>
      </c>
      <c r="AM5" s="1090">
        <v>39783</v>
      </c>
      <c r="AN5" s="1091">
        <f>YEAR(AM5)</f>
        <v>2008</v>
      </c>
      <c r="AO5" s="1090">
        <v>39814</v>
      </c>
      <c r="AP5" s="1090">
        <v>39845</v>
      </c>
      <c r="AQ5" s="1090">
        <v>39873</v>
      </c>
      <c r="AR5" s="1090">
        <v>39904</v>
      </c>
      <c r="AS5" s="1090">
        <v>39934</v>
      </c>
      <c r="AT5" s="1090">
        <v>39965</v>
      </c>
      <c r="AU5" s="1090">
        <v>39995</v>
      </c>
      <c r="AV5" s="1090">
        <v>40026</v>
      </c>
      <c r="AW5" s="1090">
        <v>40057</v>
      </c>
      <c r="AX5" s="1090">
        <v>40087</v>
      </c>
      <c r="AY5" s="1090">
        <v>40118</v>
      </c>
      <c r="AZ5" s="1090">
        <v>40148</v>
      </c>
      <c r="BA5" s="1091">
        <f>YEAR(AZ5)</f>
        <v>2009</v>
      </c>
      <c r="BB5" s="1090">
        <v>40179</v>
      </c>
      <c r="BC5" s="1090">
        <v>40210</v>
      </c>
      <c r="BD5" s="1090">
        <v>40238</v>
      </c>
      <c r="BE5" s="1090">
        <v>40269</v>
      </c>
      <c r="BF5" s="1090">
        <v>40299</v>
      </c>
      <c r="BG5" s="1090">
        <v>40330</v>
      </c>
      <c r="BH5" s="1090">
        <v>40360</v>
      </c>
      <c r="BI5" s="1090">
        <v>40391</v>
      </c>
      <c r="BJ5" s="1090">
        <v>40422</v>
      </c>
      <c r="BK5" s="1090">
        <v>40452</v>
      </c>
      <c r="BL5" s="1090">
        <v>40483</v>
      </c>
      <c r="BM5" s="1090">
        <v>40513</v>
      </c>
      <c r="BN5" s="1091">
        <f>YEAR(BM5)</f>
        <v>2010</v>
      </c>
      <c r="BO5" s="1090">
        <v>40544</v>
      </c>
      <c r="BP5" s="1090">
        <v>40575</v>
      </c>
      <c r="BQ5" s="1090">
        <v>40603</v>
      </c>
      <c r="BR5" s="1090">
        <v>40634</v>
      </c>
      <c r="BS5" s="1090">
        <v>40664</v>
      </c>
      <c r="BT5" s="1090">
        <v>40695</v>
      </c>
      <c r="BU5" s="1090">
        <v>40725</v>
      </c>
      <c r="BV5" s="1090">
        <v>40756</v>
      </c>
      <c r="BW5" s="1090">
        <v>40787</v>
      </c>
      <c r="BX5" s="1090">
        <v>40817</v>
      </c>
      <c r="BY5" s="1090">
        <v>40848</v>
      </c>
      <c r="BZ5" s="1090">
        <v>40878</v>
      </c>
      <c r="CA5" s="1091">
        <f>YEAR(BZ5)</f>
        <v>2011</v>
      </c>
      <c r="CB5" s="1090">
        <v>40909</v>
      </c>
      <c r="CC5" s="1090">
        <v>40940</v>
      </c>
      <c r="CD5" s="1090">
        <v>40969</v>
      </c>
      <c r="CE5" s="1090">
        <v>41000</v>
      </c>
      <c r="CF5" s="1090">
        <v>41030</v>
      </c>
      <c r="CG5" s="1090">
        <v>41061</v>
      </c>
      <c r="CH5" s="1090">
        <v>41091</v>
      </c>
      <c r="CI5" s="1090">
        <v>41122</v>
      </c>
      <c r="CJ5" s="1090">
        <v>41153</v>
      </c>
      <c r="CK5" s="1090">
        <v>41183</v>
      </c>
      <c r="CL5" s="1090">
        <v>41214</v>
      </c>
      <c r="CM5" s="1090">
        <v>41244</v>
      </c>
      <c r="CN5" s="1091">
        <f>YEAR(CM5)</f>
        <v>2012</v>
      </c>
      <c r="CO5" s="1090">
        <v>41275</v>
      </c>
      <c r="CP5" s="1090">
        <v>41306</v>
      </c>
      <c r="CQ5" s="1090">
        <v>41334</v>
      </c>
      <c r="CR5" s="1090">
        <v>41365</v>
      </c>
      <c r="CS5" s="1090">
        <v>41395</v>
      </c>
      <c r="CT5" s="1090">
        <v>41426</v>
      </c>
      <c r="CU5" s="1090">
        <v>41456</v>
      </c>
      <c r="CV5" s="1090">
        <v>41487</v>
      </c>
      <c r="CW5" s="1090">
        <v>41518</v>
      </c>
      <c r="CX5" s="1090">
        <v>41548</v>
      </c>
      <c r="CY5" s="1090">
        <v>41579</v>
      </c>
      <c r="CZ5" s="1090">
        <v>41609</v>
      </c>
      <c r="DA5" s="1091">
        <f>YEAR(CZ5)</f>
        <v>2013</v>
      </c>
      <c r="DB5" s="1090">
        <v>41640</v>
      </c>
      <c r="DC5" s="1090">
        <v>41671</v>
      </c>
      <c r="DD5" s="1090">
        <v>41699</v>
      </c>
      <c r="DE5" s="1090">
        <v>41730</v>
      </c>
      <c r="DF5" s="1090">
        <v>41760</v>
      </c>
      <c r="DG5" s="1090">
        <v>41791</v>
      </c>
      <c r="DH5" s="1090">
        <v>41821</v>
      </c>
      <c r="DI5" s="1090">
        <v>41852</v>
      </c>
      <c r="DJ5" s="1090">
        <v>41883</v>
      </c>
      <c r="DK5" s="1090">
        <v>41913</v>
      </c>
      <c r="DL5" s="1090">
        <v>41944</v>
      </c>
      <c r="DM5" s="1090">
        <v>41974</v>
      </c>
      <c r="DN5" s="1091">
        <f>YEAR(DM5)</f>
        <v>2014</v>
      </c>
      <c r="DO5" s="1090">
        <v>42005</v>
      </c>
      <c r="DP5" s="1090">
        <v>42036</v>
      </c>
      <c r="DQ5" s="1090">
        <v>42064</v>
      </c>
      <c r="DR5" s="1090">
        <v>42095</v>
      </c>
      <c r="DS5" s="1090">
        <v>42125</v>
      </c>
      <c r="DT5" s="1090">
        <v>42156</v>
      </c>
      <c r="DU5" s="1090">
        <v>42186</v>
      </c>
      <c r="DV5" s="1090">
        <v>42217</v>
      </c>
      <c r="DW5" s="1090">
        <v>42248</v>
      </c>
      <c r="DX5" s="1090">
        <v>42278</v>
      </c>
      <c r="DY5" s="1090">
        <v>42309</v>
      </c>
      <c r="DZ5" s="1090">
        <v>42339</v>
      </c>
      <c r="EA5" s="1091">
        <f>YEAR(DZ5)</f>
        <v>2015</v>
      </c>
      <c r="EB5" s="1090">
        <v>42370</v>
      </c>
      <c r="EC5" s="1090">
        <v>42401</v>
      </c>
      <c r="ED5" s="1090">
        <v>42430</v>
      </c>
      <c r="EE5" s="1090">
        <v>42461</v>
      </c>
      <c r="EF5" s="1090">
        <v>42491</v>
      </c>
      <c r="EG5" s="1090">
        <v>42522</v>
      </c>
      <c r="EH5" s="1090">
        <v>42552</v>
      </c>
      <c r="EI5" s="1090">
        <v>42583</v>
      </c>
      <c r="EJ5" s="1090">
        <v>42614</v>
      </c>
      <c r="EK5" s="1090">
        <v>42644</v>
      </c>
      <c r="EL5" s="1090">
        <v>42675</v>
      </c>
      <c r="EM5" s="1090">
        <v>42705</v>
      </c>
      <c r="EN5" s="1091">
        <f>YEAR(EM5)</f>
        <v>2016</v>
      </c>
      <c r="EO5" s="1090">
        <v>42736</v>
      </c>
      <c r="EP5" s="1090">
        <v>42767</v>
      </c>
      <c r="EQ5" s="1090">
        <v>42795</v>
      </c>
      <c r="ER5" s="1090">
        <v>42826</v>
      </c>
      <c r="ES5" s="1090">
        <v>42856</v>
      </c>
      <c r="ET5" s="1090">
        <v>42887</v>
      </c>
      <c r="EU5" s="1090">
        <v>42917</v>
      </c>
      <c r="EV5" s="1090">
        <v>42948</v>
      </c>
      <c r="EW5" s="1090">
        <v>42979</v>
      </c>
      <c r="EX5" s="1090">
        <v>43009</v>
      </c>
      <c r="EY5" s="1090">
        <v>43040</v>
      </c>
      <c r="EZ5" s="1090">
        <v>43070</v>
      </c>
      <c r="FA5" s="1091">
        <f>YEAR(EZ5)</f>
        <v>2017</v>
      </c>
      <c r="FB5" s="1090">
        <v>43101</v>
      </c>
      <c r="FC5" s="1090">
        <v>43132</v>
      </c>
      <c r="FD5" s="1090">
        <v>43160</v>
      </c>
      <c r="FE5" s="1090">
        <v>43191</v>
      </c>
      <c r="FF5" s="1090">
        <v>43221</v>
      </c>
      <c r="FG5" s="1090">
        <v>43252</v>
      </c>
      <c r="FH5" s="1090">
        <v>43282</v>
      </c>
      <c r="FI5" s="1090">
        <v>43313</v>
      </c>
      <c r="FJ5" s="1090">
        <v>43344</v>
      </c>
      <c r="FK5" s="1090">
        <v>43374</v>
      </c>
      <c r="FL5" s="1090">
        <v>43405</v>
      </c>
      <c r="FM5" s="1090">
        <v>43435</v>
      </c>
      <c r="FN5" s="1091">
        <f>YEAR(FM5)</f>
        <v>2018</v>
      </c>
      <c r="FO5" s="1090">
        <v>43466</v>
      </c>
      <c r="FP5" s="1090">
        <v>43497</v>
      </c>
      <c r="FQ5" s="1090">
        <v>43525</v>
      </c>
      <c r="FR5" s="1090">
        <v>43556</v>
      </c>
      <c r="FS5" s="1090">
        <v>43586</v>
      </c>
      <c r="FT5" s="1090">
        <v>43617</v>
      </c>
      <c r="FU5" s="1090">
        <v>43647</v>
      </c>
      <c r="FV5" s="1090">
        <v>43678</v>
      </c>
      <c r="FW5" s="1090">
        <v>43709</v>
      </c>
      <c r="FX5" s="1090">
        <v>43739</v>
      </c>
      <c r="FY5" s="1090">
        <v>43770</v>
      </c>
      <c r="FZ5" s="1090">
        <v>43800</v>
      </c>
      <c r="GA5" s="1091">
        <f>YEAR(FZ5)</f>
        <v>2019</v>
      </c>
      <c r="GB5" s="1090">
        <v>43831</v>
      </c>
      <c r="GC5" s="1090">
        <v>43862</v>
      </c>
      <c r="GD5" s="1090">
        <v>43891</v>
      </c>
      <c r="GE5" s="1090">
        <v>43922</v>
      </c>
      <c r="GF5" s="1090">
        <v>43952</v>
      </c>
      <c r="GG5" s="1090">
        <v>43983</v>
      </c>
      <c r="GH5" s="1090">
        <v>44013</v>
      </c>
      <c r="GI5" s="1090">
        <v>44044</v>
      </c>
      <c r="GJ5" s="1090">
        <v>44075</v>
      </c>
      <c r="GK5" s="1090">
        <v>44105</v>
      </c>
      <c r="GL5" s="1090">
        <v>44136</v>
      </c>
      <c r="GM5" s="1090">
        <v>44166</v>
      </c>
      <c r="GN5" s="1091">
        <f>YEAR(GM5)</f>
        <v>2020</v>
      </c>
      <c r="GO5" s="1090">
        <v>44197</v>
      </c>
      <c r="GP5" s="1090">
        <v>44228</v>
      </c>
      <c r="GQ5" s="1090">
        <v>44256</v>
      </c>
      <c r="GR5" s="1090">
        <v>44287</v>
      </c>
      <c r="GS5" s="1090">
        <v>44317</v>
      </c>
      <c r="GT5" s="1090">
        <v>44348</v>
      </c>
      <c r="GU5" s="1090">
        <v>44378</v>
      </c>
      <c r="GV5" s="1090">
        <v>44409</v>
      </c>
      <c r="GW5" s="1090">
        <v>44440</v>
      </c>
      <c r="GX5" s="1090">
        <v>44470</v>
      </c>
      <c r="GY5" s="1090">
        <v>44501</v>
      </c>
      <c r="GZ5" s="1090">
        <v>44531</v>
      </c>
      <c r="HA5" s="1091">
        <f>YEAR(GZ5)</f>
        <v>2021</v>
      </c>
      <c r="HB5" s="1090">
        <v>44562</v>
      </c>
      <c r="HC5" s="1090">
        <v>44593</v>
      </c>
      <c r="HD5" s="1090">
        <v>44621</v>
      </c>
      <c r="HE5" s="1090">
        <v>44652</v>
      </c>
      <c r="HF5" s="1090">
        <v>44682</v>
      </c>
      <c r="HG5" s="1090">
        <v>44713</v>
      </c>
      <c r="HH5" s="1090">
        <v>44743</v>
      </c>
      <c r="HI5" s="1090">
        <v>44774</v>
      </c>
      <c r="HJ5" s="1090">
        <v>44805</v>
      </c>
      <c r="HK5" s="1090">
        <v>44835</v>
      </c>
      <c r="HL5" s="1090">
        <v>44866</v>
      </c>
      <c r="HM5" s="1090">
        <v>44896</v>
      </c>
      <c r="HN5" s="1091">
        <f>YEAR(HM5)</f>
        <v>2022</v>
      </c>
      <c r="HO5" s="1090">
        <v>44927</v>
      </c>
      <c r="HP5" s="1090">
        <v>44958</v>
      </c>
      <c r="HQ5" s="1090">
        <v>44986</v>
      </c>
      <c r="HR5" s="1090">
        <v>45017</v>
      </c>
      <c r="HS5" s="1090">
        <v>45047</v>
      </c>
      <c r="HT5" s="1090">
        <v>45078</v>
      </c>
      <c r="HU5" s="1090">
        <v>45108</v>
      </c>
      <c r="HV5" s="1090">
        <v>45139</v>
      </c>
      <c r="HW5" s="1090">
        <v>45170</v>
      </c>
      <c r="HX5" s="1090">
        <v>45200</v>
      </c>
      <c r="HY5" s="1090">
        <v>45231</v>
      </c>
      <c r="HZ5" s="1090">
        <v>45261</v>
      </c>
      <c r="IA5" s="1091">
        <f>YEAR(HZ5)</f>
        <v>2023</v>
      </c>
      <c r="IB5" s="1090">
        <v>45292</v>
      </c>
      <c r="IC5" s="1090">
        <v>45323</v>
      </c>
      <c r="ID5" s="1090">
        <v>45352</v>
      </c>
      <c r="IE5" s="1090">
        <v>45383</v>
      </c>
      <c r="IF5" s="1090">
        <v>45413</v>
      </c>
      <c r="IG5" s="1090">
        <v>45444</v>
      </c>
      <c r="IH5" s="1090">
        <v>45474</v>
      </c>
      <c r="II5" s="1090">
        <v>45505</v>
      </c>
      <c r="IJ5" s="1090">
        <v>45536</v>
      </c>
      <c r="IK5" s="1090">
        <v>45566</v>
      </c>
      <c r="IL5" s="1090">
        <v>45597</v>
      </c>
      <c r="IM5" s="1090">
        <v>45627</v>
      </c>
      <c r="IN5" s="1091">
        <f>YEAR(IM5)</f>
        <v>2024</v>
      </c>
      <c r="IO5" s="1090">
        <v>45658</v>
      </c>
      <c r="IP5" s="1090">
        <v>45689</v>
      </c>
      <c r="IQ5" s="1090">
        <v>45717</v>
      </c>
      <c r="IR5" s="1090">
        <v>45748</v>
      </c>
      <c r="IS5" s="1090">
        <v>45778</v>
      </c>
      <c r="IT5" s="1090">
        <v>45809</v>
      </c>
      <c r="IU5" s="1090">
        <v>45839</v>
      </c>
      <c r="IV5" s="1090">
        <v>45870</v>
      </c>
      <c r="IW5" s="1090">
        <v>45901</v>
      </c>
      <c r="IX5" s="1090">
        <v>45931</v>
      </c>
      <c r="IY5" s="1090">
        <v>45962</v>
      </c>
      <c r="IZ5" s="1090">
        <v>45992</v>
      </c>
      <c r="JA5" s="1091">
        <f>YEAR(IZ5)</f>
        <v>2025</v>
      </c>
      <c r="JB5" s="1090">
        <v>46023</v>
      </c>
      <c r="JC5" s="1090">
        <v>46054</v>
      </c>
      <c r="JD5" s="1090">
        <v>46082</v>
      </c>
      <c r="JE5" s="1090">
        <v>46113</v>
      </c>
      <c r="JF5" s="1090">
        <v>46143</v>
      </c>
      <c r="JG5" s="1090">
        <v>46174</v>
      </c>
      <c r="JH5" s="1090">
        <v>46204</v>
      </c>
      <c r="JI5" s="1090">
        <v>46235</v>
      </c>
      <c r="JJ5" s="1090">
        <v>46266</v>
      </c>
      <c r="JK5" s="1090">
        <v>46296</v>
      </c>
      <c r="JL5" s="1090">
        <v>46327</v>
      </c>
      <c r="JM5" s="1090">
        <v>46357</v>
      </c>
      <c r="JN5" s="1091">
        <f>YEAR(JM5)</f>
        <v>2026</v>
      </c>
      <c r="JP5" s="1106">
        <f>IZ5</f>
        <v>45992</v>
      </c>
      <c r="JQ5" s="1107" t="str">
        <f>CONCATENATE("Ene.-",TEXT(JP5,"MMM."))</f>
        <v>Ene.-Dic.</v>
      </c>
      <c r="JR5" s="1108" t="str">
        <f>JQ5</f>
        <v>Ene.-Dic.</v>
      </c>
      <c r="JS5" s="1108" t="str">
        <f>JQ5</f>
        <v>Ene.-Dic.</v>
      </c>
      <c r="JT5" s="1"/>
      <c r="JU5" s="1076" t="s">
        <v>563</v>
      </c>
      <c r="JV5" s="1077"/>
      <c r="JW5" s="1078"/>
    </row>
    <row r="6" spans="1:283" ht="15" customHeight="1" x14ac:dyDescent="0.2">
      <c r="A6" s="1160"/>
      <c r="B6" s="1092"/>
      <c r="C6" s="1092"/>
      <c r="D6" s="1092"/>
      <c r="E6" s="1092"/>
      <c r="F6" s="1092"/>
      <c r="G6" s="1092"/>
      <c r="H6" s="1092"/>
      <c r="I6" s="1092"/>
      <c r="J6" s="1092"/>
      <c r="K6" s="1092"/>
      <c r="L6" s="1092"/>
      <c r="M6" s="1092"/>
      <c r="N6" s="1093"/>
      <c r="O6" s="1092"/>
      <c r="P6" s="1092"/>
      <c r="Q6" s="1092"/>
      <c r="R6" s="1092"/>
      <c r="S6" s="1092"/>
      <c r="T6" s="1092"/>
      <c r="U6" s="1092"/>
      <c r="V6" s="1092"/>
      <c r="W6" s="1092"/>
      <c r="X6" s="1092"/>
      <c r="Y6" s="1092"/>
      <c r="Z6" s="1092"/>
      <c r="AA6" s="1093"/>
      <c r="AB6" s="1092"/>
      <c r="AC6" s="1092"/>
      <c r="AD6" s="1092"/>
      <c r="AE6" s="1092"/>
      <c r="AF6" s="1092"/>
      <c r="AG6" s="1092"/>
      <c r="AH6" s="1092"/>
      <c r="AI6" s="1092"/>
      <c r="AJ6" s="1092"/>
      <c r="AK6" s="1092"/>
      <c r="AL6" s="1092"/>
      <c r="AM6" s="1092"/>
      <c r="AN6" s="1093"/>
      <c r="AO6" s="1092"/>
      <c r="AP6" s="1092"/>
      <c r="AQ6" s="1092"/>
      <c r="AR6" s="1092"/>
      <c r="AS6" s="1092"/>
      <c r="AT6" s="1092"/>
      <c r="AU6" s="1092"/>
      <c r="AV6" s="1092"/>
      <c r="AW6" s="1092"/>
      <c r="AX6" s="1092"/>
      <c r="AY6" s="1092"/>
      <c r="AZ6" s="1092"/>
      <c r="BA6" s="1093"/>
      <c r="BB6" s="1092"/>
      <c r="BC6" s="1092"/>
      <c r="BD6" s="1092"/>
      <c r="BE6" s="1092"/>
      <c r="BF6" s="1092"/>
      <c r="BG6" s="1092"/>
      <c r="BH6" s="1092"/>
      <c r="BI6" s="1092"/>
      <c r="BJ6" s="1092"/>
      <c r="BK6" s="1092"/>
      <c r="BL6" s="1092"/>
      <c r="BM6" s="1092"/>
      <c r="BN6" s="1093"/>
      <c r="BO6" s="1092"/>
      <c r="BP6" s="1092"/>
      <c r="BQ6" s="1092"/>
      <c r="BR6" s="1092"/>
      <c r="BS6" s="1092"/>
      <c r="BT6" s="1092"/>
      <c r="BU6" s="1092"/>
      <c r="BV6" s="1092"/>
      <c r="BW6" s="1092"/>
      <c r="BX6" s="1092"/>
      <c r="BY6" s="1092"/>
      <c r="BZ6" s="1092"/>
      <c r="CA6" s="1093"/>
      <c r="CB6" s="1092"/>
      <c r="CC6" s="1092"/>
      <c r="CD6" s="1092"/>
      <c r="CE6" s="1092"/>
      <c r="CF6" s="1092"/>
      <c r="CG6" s="1092"/>
      <c r="CH6" s="1092"/>
      <c r="CI6" s="1092"/>
      <c r="CJ6" s="1092"/>
      <c r="CK6" s="1092"/>
      <c r="CL6" s="1092"/>
      <c r="CM6" s="1092"/>
      <c r="CN6" s="1093"/>
      <c r="CO6" s="1092"/>
      <c r="CP6" s="1092"/>
      <c r="CQ6" s="1092"/>
      <c r="CR6" s="1092"/>
      <c r="CS6" s="1092"/>
      <c r="CT6" s="1092"/>
      <c r="CU6" s="1092"/>
      <c r="CV6" s="1092"/>
      <c r="CW6" s="1092"/>
      <c r="CX6" s="1092"/>
      <c r="CY6" s="1092"/>
      <c r="CZ6" s="1092"/>
      <c r="DA6" s="1093"/>
      <c r="DB6" s="1092"/>
      <c r="DC6" s="1092"/>
      <c r="DD6" s="1092"/>
      <c r="DE6" s="1092"/>
      <c r="DF6" s="1092"/>
      <c r="DG6" s="1092"/>
      <c r="DH6" s="1092"/>
      <c r="DI6" s="1092"/>
      <c r="DJ6" s="1092"/>
      <c r="DK6" s="1092"/>
      <c r="DL6" s="1092"/>
      <c r="DM6" s="1092"/>
      <c r="DN6" s="1093"/>
      <c r="DO6" s="1092"/>
      <c r="DP6" s="1092"/>
      <c r="DQ6" s="1092"/>
      <c r="DR6" s="1092"/>
      <c r="DS6" s="1092"/>
      <c r="DT6" s="1092"/>
      <c r="DU6" s="1092"/>
      <c r="DV6" s="1092"/>
      <c r="DW6" s="1092"/>
      <c r="DX6" s="1092"/>
      <c r="DY6" s="1092"/>
      <c r="DZ6" s="1092"/>
      <c r="EA6" s="1093"/>
      <c r="EB6" s="1092"/>
      <c r="EC6" s="1092"/>
      <c r="ED6" s="1092"/>
      <c r="EE6" s="1092"/>
      <c r="EF6" s="1092"/>
      <c r="EG6" s="1092"/>
      <c r="EH6" s="1092"/>
      <c r="EI6" s="1092"/>
      <c r="EJ6" s="1092"/>
      <c r="EK6" s="1092"/>
      <c r="EL6" s="1092"/>
      <c r="EM6" s="1092"/>
      <c r="EN6" s="1093"/>
      <c r="EO6" s="1092"/>
      <c r="EP6" s="1092"/>
      <c r="EQ6" s="1092"/>
      <c r="ER6" s="1092"/>
      <c r="ES6" s="1092"/>
      <c r="ET6" s="1092"/>
      <c r="EU6" s="1092"/>
      <c r="EV6" s="1092"/>
      <c r="EW6" s="1092"/>
      <c r="EX6" s="1092"/>
      <c r="EY6" s="1092"/>
      <c r="EZ6" s="1092"/>
      <c r="FA6" s="1093"/>
      <c r="FB6" s="1092"/>
      <c r="FC6" s="1092"/>
      <c r="FD6" s="1092"/>
      <c r="FE6" s="1092"/>
      <c r="FF6" s="1092"/>
      <c r="FG6" s="1092"/>
      <c r="FH6" s="1092"/>
      <c r="FI6" s="1092"/>
      <c r="FJ6" s="1092"/>
      <c r="FK6" s="1092"/>
      <c r="FL6" s="1092"/>
      <c r="FM6" s="1092"/>
      <c r="FN6" s="1093"/>
      <c r="FO6" s="1092"/>
      <c r="FP6" s="1092"/>
      <c r="FQ6" s="1092"/>
      <c r="FR6" s="1092"/>
      <c r="FS6" s="1092"/>
      <c r="FT6" s="1092"/>
      <c r="FU6" s="1092"/>
      <c r="FV6" s="1092"/>
      <c r="FW6" s="1092"/>
      <c r="FX6" s="1092"/>
      <c r="FY6" s="1092"/>
      <c r="FZ6" s="1092"/>
      <c r="GA6" s="1093"/>
      <c r="GB6" s="1092"/>
      <c r="GC6" s="1092"/>
      <c r="GD6" s="1092"/>
      <c r="GE6" s="1092"/>
      <c r="GF6" s="1092"/>
      <c r="GG6" s="1092"/>
      <c r="GH6" s="1092"/>
      <c r="GI6" s="1092"/>
      <c r="GJ6" s="1092"/>
      <c r="GK6" s="1092"/>
      <c r="GL6" s="1092"/>
      <c r="GM6" s="1092"/>
      <c r="GN6" s="1093"/>
      <c r="GO6" s="1092"/>
      <c r="GP6" s="1092"/>
      <c r="GQ6" s="1092"/>
      <c r="GR6" s="1092"/>
      <c r="GS6" s="1092"/>
      <c r="GT6" s="1092"/>
      <c r="GU6" s="1092"/>
      <c r="GV6" s="1092"/>
      <c r="GW6" s="1092"/>
      <c r="GX6" s="1092"/>
      <c r="GY6" s="1092"/>
      <c r="GZ6" s="1092"/>
      <c r="HA6" s="1093"/>
      <c r="HB6" s="1092"/>
      <c r="HC6" s="1092"/>
      <c r="HD6" s="1092"/>
      <c r="HE6" s="1092"/>
      <c r="HF6" s="1092"/>
      <c r="HG6" s="1092"/>
      <c r="HH6" s="1092"/>
      <c r="HI6" s="1092"/>
      <c r="HJ6" s="1092"/>
      <c r="HK6" s="1092"/>
      <c r="HL6" s="1092"/>
      <c r="HM6" s="1092"/>
      <c r="HN6" s="1093"/>
      <c r="HO6" s="1092"/>
      <c r="HP6" s="1092"/>
      <c r="HQ6" s="1092"/>
      <c r="HR6" s="1092"/>
      <c r="HS6" s="1092"/>
      <c r="HT6" s="1092"/>
      <c r="HU6" s="1092"/>
      <c r="HV6" s="1092"/>
      <c r="HW6" s="1092"/>
      <c r="HX6" s="1092"/>
      <c r="HY6" s="1092"/>
      <c r="HZ6" s="1092"/>
      <c r="IA6" s="1093"/>
      <c r="IB6" s="1092"/>
      <c r="IC6" s="1092"/>
      <c r="ID6" s="1092"/>
      <c r="IE6" s="1092"/>
      <c r="IF6" s="1092"/>
      <c r="IG6" s="1092"/>
      <c r="IH6" s="1092"/>
      <c r="II6" s="1092"/>
      <c r="IJ6" s="1092"/>
      <c r="IK6" s="1092"/>
      <c r="IL6" s="1092"/>
      <c r="IM6" s="1092"/>
      <c r="IN6" s="1093"/>
      <c r="IO6" s="1092"/>
      <c r="IP6" s="1092"/>
      <c r="IQ6" s="1092"/>
      <c r="IR6" s="1092"/>
      <c r="IS6" s="1092"/>
      <c r="IT6" s="1092"/>
      <c r="IU6" s="1092"/>
      <c r="IV6" s="1092"/>
      <c r="IW6" s="1092"/>
      <c r="IX6" s="1092"/>
      <c r="IY6" s="1092"/>
      <c r="IZ6" s="1092"/>
      <c r="JA6" s="1093"/>
      <c r="JB6" s="1092"/>
      <c r="JC6" s="1092"/>
      <c r="JD6" s="1092"/>
      <c r="JE6" s="1092"/>
      <c r="JF6" s="1092"/>
      <c r="JG6" s="1092"/>
      <c r="JH6" s="1092"/>
      <c r="JI6" s="1092"/>
      <c r="JJ6" s="1092"/>
      <c r="JK6" s="1092"/>
      <c r="JL6" s="1092"/>
      <c r="JM6" s="1092"/>
      <c r="JN6" s="1093"/>
      <c r="JP6" s="1109"/>
      <c r="JQ6" s="1110"/>
      <c r="JR6" s="1111"/>
      <c r="JS6" s="1112"/>
      <c r="JT6" s="1"/>
      <c r="JU6" s="1079"/>
      <c r="JV6" s="1080"/>
      <c r="JW6" s="1081"/>
    </row>
    <row r="7" spans="1:283" ht="15" customHeight="1" x14ac:dyDescent="0.2">
      <c r="A7" s="1198" t="s">
        <v>349</v>
      </c>
      <c r="B7" s="1199">
        <f>SUM(B8:B9)</f>
        <v>116436.31706276516</v>
      </c>
      <c r="C7" s="1199">
        <f t="shared" ref="C7:M7" si="20">SUM(C8:C9)</f>
        <v>93654.677522907092</v>
      </c>
      <c r="D7" s="1199">
        <f t="shared" si="20"/>
        <v>89011.911555926345</v>
      </c>
      <c r="E7" s="1199">
        <f t="shared" si="20"/>
        <v>114832.56546859362</v>
      </c>
      <c r="F7" s="1199">
        <f t="shared" si="20"/>
        <v>136755.17899861399</v>
      </c>
      <c r="G7" s="1199">
        <f t="shared" si="20"/>
        <v>127371.47871093199</v>
      </c>
      <c r="H7" s="1199">
        <f t="shared" si="20"/>
        <v>112513.92851420231</v>
      </c>
      <c r="I7" s="1199">
        <f t="shared" si="20"/>
        <v>90722.123299768951</v>
      </c>
      <c r="J7" s="1199">
        <f t="shared" si="20"/>
        <v>68165.944980704575</v>
      </c>
      <c r="K7" s="1199">
        <f t="shared" si="20"/>
        <v>72240.78712112832</v>
      </c>
      <c r="L7" s="1199">
        <f t="shared" si="20"/>
        <v>71246.143189631941</v>
      </c>
      <c r="M7" s="1199">
        <f t="shared" si="20"/>
        <v>59007.119996374226</v>
      </c>
      <c r="N7" s="1156">
        <f t="shared" ref="N7:N59" si="21">SUM(B7:M7)</f>
        <v>1151958.1764215485</v>
      </c>
      <c r="O7" s="1199">
        <f t="shared" ref="O7" si="22">SUM(O8:O9)</f>
        <v>76416.141152658383</v>
      </c>
      <c r="P7" s="1199">
        <f t="shared" ref="P7" si="23">SUM(P8:P9)</f>
        <v>92823.465864614467</v>
      </c>
      <c r="Q7" s="1199">
        <f t="shared" ref="Q7" si="24">SUM(Q8:Q9)</f>
        <v>89473.758508660132</v>
      </c>
      <c r="R7" s="1199">
        <f t="shared" ref="R7" si="25">SUM(R8:R9)</f>
        <v>106303.25551042755</v>
      </c>
      <c r="S7" s="1199">
        <f t="shared" ref="S7" si="26">SUM(S8:S9)</f>
        <v>120719.37731074379</v>
      </c>
      <c r="T7" s="1199">
        <f t="shared" ref="T7" si="27">SUM(T8:T9)</f>
        <v>112994.52087168011</v>
      </c>
      <c r="U7" s="1199">
        <f t="shared" ref="U7" si="28">SUM(U8:U9)</f>
        <v>107860.58385452219</v>
      </c>
      <c r="V7" s="1199">
        <f t="shared" ref="V7" si="29">SUM(V8:V9)</f>
        <v>105132.29783659385</v>
      </c>
      <c r="W7" s="1199">
        <f t="shared" ref="W7" si="30">SUM(W8:W9)</f>
        <v>73509.496625209969</v>
      </c>
      <c r="X7" s="1199">
        <f t="shared" ref="X7" si="31">SUM(X8:X9)</f>
        <v>71326.220269255849</v>
      </c>
      <c r="Y7" s="1199">
        <f t="shared" ref="Y7" si="32">SUM(Y8:Y9)</f>
        <v>85013.149225754823</v>
      </c>
      <c r="Z7" s="1199">
        <f t="shared" ref="Z7" si="33">SUM(Z8:Z9)</f>
        <v>78374.890237879968</v>
      </c>
      <c r="AA7" s="1156">
        <f t="shared" ref="AA7:AA59" si="34">SUM(O7:Z7)</f>
        <v>1119947.157268001</v>
      </c>
      <c r="AB7" s="1199">
        <f t="shared" ref="AB7" si="35">SUM(AB8:AB9)</f>
        <v>91518.694385328839</v>
      </c>
      <c r="AC7" s="1199">
        <f t="shared" ref="AC7" si="36">SUM(AC8:AC9)</f>
        <v>120214.1282566915</v>
      </c>
      <c r="AD7" s="1199">
        <f t="shared" ref="AD7" si="37">SUM(AD8:AD9)</f>
        <v>121111.6720300661</v>
      </c>
      <c r="AE7" s="1199">
        <f t="shared" ref="AE7" si="38">SUM(AE8:AE9)</f>
        <v>126628.06807430973</v>
      </c>
      <c r="AF7" s="1199">
        <f t="shared" ref="AF7" si="39">SUM(AF8:AF9)</f>
        <v>145682.81608233374</v>
      </c>
      <c r="AG7" s="1199">
        <f t="shared" ref="AG7" si="40">SUM(AG8:AG9)</f>
        <v>123929.56004688551</v>
      </c>
      <c r="AH7" s="1199">
        <f t="shared" ref="AH7" si="41">SUM(AH8:AH9)</f>
        <v>126608.67926620209</v>
      </c>
      <c r="AI7" s="1199">
        <f t="shared" ref="AI7" si="42">SUM(AI8:AI9)</f>
        <v>98743.350297928933</v>
      </c>
      <c r="AJ7" s="1199">
        <f t="shared" ref="AJ7" si="43">SUM(AJ8:AJ9)</f>
        <v>89173.863553344418</v>
      </c>
      <c r="AK7" s="1199">
        <f t="shared" ref="AK7" si="44">SUM(AK8:AK9)</f>
        <v>88290.800645235591</v>
      </c>
      <c r="AL7" s="1199">
        <f t="shared" ref="AL7" si="45">SUM(AL8:AL9)</f>
        <v>106669.95883043545</v>
      </c>
      <c r="AM7" s="1199">
        <f t="shared" ref="AM7" si="46">SUM(AM8:AM9)</f>
        <v>99183.693350701651</v>
      </c>
      <c r="AN7" s="1156">
        <f t="shared" ref="AN7:AN59" si="47">SUM(AB7:AM7)</f>
        <v>1337755.2848194637</v>
      </c>
      <c r="AO7" s="1199">
        <f t="shared" ref="AO7" si="48">SUM(AO8:AO9)</f>
        <v>90986.46643125893</v>
      </c>
      <c r="AP7" s="1199">
        <f t="shared" ref="AP7" si="49">SUM(AP8:AP9)</f>
        <v>114990.96544637128</v>
      </c>
      <c r="AQ7" s="1199">
        <f t="shared" ref="AQ7" si="50">SUM(AQ8:AQ9)</f>
        <v>126026.22815819889</v>
      </c>
      <c r="AR7" s="1199">
        <f t="shared" ref="AR7" si="51">SUM(AR8:AR9)</f>
        <v>158061.34626724554</v>
      </c>
      <c r="AS7" s="1199">
        <f t="shared" ref="AS7" si="52">SUM(AS8:AS9)</f>
        <v>163815.27698840358</v>
      </c>
      <c r="AT7" s="1199">
        <f t="shared" ref="AT7" si="53">SUM(AT8:AT9)</f>
        <v>149662.48736630561</v>
      </c>
      <c r="AU7" s="1199">
        <f t="shared" ref="AU7" si="54">SUM(AU8:AU9)</f>
        <v>125996.51088235748</v>
      </c>
      <c r="AV7" s="1199">
        <f t="shared" ref="AV7" si="55">SUM(AV8:AV9)</f>
        <v>101120.75544542892</v>
      </c>
      <c r="AW7" s="1199">
        <f t="shared" ref="AW7" si="56">SUM(AW8:AW9)</f>
        <v>90342.943917079057</v>
      </c>
      <c r="AX7" s="1199">
        <f t="shared" ref="AX7" si="57">SUM(AX8:AX9)</f>
        <v>92145.295389411505</v>
      </c>
      <c r="AY7" s="1199">
        <f t="shared" ref="AY7" si="58">SUM(AY8:AY9)</f>
        <v>108614.40962182629</v>
      </c>
      <c r="AZ7" s="1199">
        <f t="shared" ref="AZ7" si="59">SUM(AZ8:AZ9)</f>
        <v>93261.074078289486</v>
      </c>
      <c r="BA7" s="1156">
        <f t="shared" ref="BA7:BA59" si="60">SUM(AO7:AZ7)</f>
        <v>1415023.7599921767</v>
      </c>
      <c r="BB7" s="1199">
        <f t="shared" ref="BB7" si="61">SUM(BB8:BB9)</f>
        <v>90457.141228840614</v>
      </c>
      <c r="BC7" s="1199">
        <f t="shared" ref="BC7" si="62">SUM(BC8:BC9)</f>
        <v>107749.79069501508</v>
      </c>
      <c r="BD7" s="1199">
        <f t="shared" ref="BD7" si="63">SUM(BD8:BD9)</f>
        <v>117490.05727393788</v>
      </c>
      <c r="BE7" s="1199">
        <f t="shared" ref="BE7" si="64">SUM(BE8:BE9)</f>
        <v>137328.30480590934</v>
      </c>
      <c r="BF7" s="1199">
        <f t="shared" ref="BF7" si="65">SUM(BF8:BF9)</f>
        <v>179714.16867098727</v>
      </c>
      <c r="BG7" s="1199">
        <f t="shared" ref="BG7" si="66">SUM(BG8:BG9)</f>
        <v>148783.00407025017</v>
      </c>
      <c r="BH7" s="1199">
        <f t="shared" ref="BH7" si="67">SUM(BH8:BH9)</f>
        <v>118285.6614347604</v>
      </c>
      <c r="BI7" s="1199">
        <f t="shared" ref="BI7" si="68">SUM(BI8:BI9)</f>
        <v>99755.084056187305</v>
      </c>
      <c r="BJ7" s="1199">
        <f t="shared" ref="BJ7" si="69">SUM(BJ8:BJ9)</f>
        <v>95985.496347916283</v>
      </c>
      <c r="BK7" s="1199">
        <f t="shared" ref="BK7" si="70">SUM(BK8:BK9)</f>
        <v>99700.842891317705</v>
      </c>
      <c r="BL7" s="1199">
        <f t="shared" ref="BL7" si="71">SUM(BL8:BL9)</f>
        <v>115094.24168872851</v>
      </c>
      <c r="BM7" s="1199">
        <f t="shared" ref="BM7" si="72">SUM(BM8:BM9)</f>
        <v>99683.061448725639</v>
      </c>
      <c r="BN7" s="1156">
        <f t="shared" ref="BN7:BN59" si="73">SUM(BB7:BM7)</f>
        <v>1410026.8546125763</v>
      </c>
      <c r="BO7" s="1199">
        <f t="shared" ref="BO7" si="74">SUM(BO8:BO9)</f>
        <v>91432.745114350575</v>
      </c>
      <c r="BP7" s="1199">
        <f t="shared" ref="BP7" si="75">SUM(BP8:BP9)</f>
        <v>113571.90212238478</v>
      </c>
      <c r="BQ7" s="1199">
        <f t="shared" ref="BQ7" si="76">SUM(BQ8:BQ9)</f>
        <v>122888.62584279115</v>
      </c>
      <c r="BR7" s="1199">
        <f t="shared" ref="BR7" si="77">SUM(BR8:BR9)</f>
        <v>184087.07698570436</v>
      </c>
      <c r="BS7" s="1199">
        <f t="shared" ref="BS7" si="78">SUM(BS8:BS9)</f>
        <v>183431.99207187415</v>
      </c>
      <c r="BT7" s="1199">
        <f t="shared" ref="BT7" si="79">SUM(BT8:BT9)</f>
        <v>161677.38489460264</v>
      </c>
      <c r="BU7" s="1199">
        <f t="shared" ref="BU7" si="80">SUM(BU8:BU9)</f>
        <v>127986.75130610954</v>
      </c>
      <c r="BV7" s="1199">
        <f t="shared" ref="BV7" si="81">SUM(BV8:BV9)</f>
        <v>110754.66625696381</v>
      </c>
      <c r="BW7" s="1199">
        <f t="shared" ref="BW7" si="82">SUM(BW8:BW9)</f>
        <v>99036.362365200635</v>
      </c>
      <c r="BX7" s="1199">
        <f t="shared" ref="BX7" si="83">SUM(BX8:BX9)</f>
        <v>102099.78522474752</v>
      </c>
      <c r="BY7" s="1199">
        <f t="shared" ref="BY7" si="84">SUM(BY8:BY9)</f>
        <v>107270.06814152945</v>
      </c>
      <c r="BZ7" s="1199">
        <f t="shared" ref="BZ7" si="85">SUM(BZ8:BZ9)</f>
        <v>99402.029732314026</v>
      </c>
      <c r="CA7" s="1156">
        <f t="shared" ref="CA7:CA59" si="86">SUM(BO7:BZ7)</f>
        <v>1503639.3900585729</v>
      </c>
      <c r="CB7" s="1199">
        <f t="shared" ref="CB7" si="87">SUM(CB8:CB9)</f>
        <v>124892.34251885256</v>
      </c>
      <c r="CC7" s="1199">
        <f t="shared" ref="CC7" si="88">SUM(CC8:CC9)</f>
        <v>133483.77467734247</v>
      </c>
      <c r="CD7" s="1199">
        <f t="shared" ref="CD7" si="89">SUM(CD8:CD9)</f>
        <v>123360.38537448345</v>
      </c>
      <c r="CE7" s="1199">
        <f t="shared" ref="CE7" si="90">SUM(CE8:CE9)</f>
        <v>188518.5579250897</v>
      </c>
      <c r="CF7" s="1199">
        <f t="shared" ref="CF7" si="91">SUM(CF8:CF9)</f>
        <v>215536.09740594216</v>
      </c>
      <c r="CG7" s="1199">
        <f t="shared" ref="CG7" si="92">SUM(CG8:CG9)</f>
        <v>192359.33198611334</v>
      </c>
      <c r="CH7" s="1199">
        <f t="shared" ref="CH7" si="93">SUM(CH8:CH9)</f>
        <v>140291.72898609462</v>
      </c>
      <c r="CI7" s="1199">
        <f t="shared" ref="CI7" si="94">SUM(CI8:CI9)</f>
        <v>113371.6090598478</v>
      </c>
      <c r="CJ7" s="1199">
        <f t="shared" ref="CJ7" si="95">SUM(CJ8:CJ9)</f>
        <v>103710.28576855158</v>
      </c>
      <c r="CK7" s="1199">
        <f t="shared" ref="CK7" si="96">SUM(CK8:CK9)</f>
        <v>108361.59492828547</v>
      </c>
      <c r="CL7" s="1199">
        <f t="shared" ref="CL7" si="97">SUM(CL8:CL9)</f>
        <v>131706.48918193116</v>
      </c>
      <c r="CM7" s="1199">
        <f t="shared" ref="CM7" si="98">SUM(CM8:CM9)</f>
        <v>105552.58109435096</v>
      </c>
      <c r="CN7" s="1156">
        <f t="shared" ref="CN7:CN59" si="99">SUM(CB7:CM7)</f>
        <v>1681144.7789068853</v>
      </c>
      <c r="CO7" s="1199">
        <f t="shared" ref="CO7" si="100">SUM(CO8:CO9)</f>
        <v>103907.23352329085</v>
      </c>
      <c r="CP7" s="1199">
        <f t="shared" ref="CP7" si="101">SUM(CP8:CP9)</f>
        <v>122368.47916678547</v>
      </c>
      <c r="CQ7" s="1199">
        <f t="shared" ref="CQ7" si="102">SUM(CQ8:CQ9)</f>
        <v>140133.38087962524</v>
      </c>
      <c r="CR7" s="1199">
        <f t="shared" ref="CR7" si="103">SUM(CR8:CR9)</f>
        <v>171775.12828571536</v>
      </c>
      <c r="CS7" s="1199">
        <f t="shared" ref="CS7" si="104">SUM(CS8:CS9)</f>
        <v>182674.13688782009</v>
      </c>
      <c r="CT7" s="1199">
        <f t="shared" ref="CT7" si="105">SUM(CT8:CT9)</f>
        <v>174700.20149053811</v>
      </c>
      <c r="CU7" s="1199">
        <f t="shared" ref="CU7" si="106">SUM(CU8:CU9)</f>
        <v>126969.19791817955</v>
      </c>
      <c r="CV7" s="1199">
        <f t="shared" ref="CV7" si="107">SUM(CV8:CV9)</f>
        <v>120529.54251174242</v>
      </c>
      <c r="CW7" s="1199">
        <f t="shared" ref="CW7" si="108">SUM(CW8:CW9)</f>
        <v>108300.54390394971</v>
      </c>
      <c r="CX7" s="1199">
        <f t="shared" ref="CX7" si="109">SUM(CX8:CX9)</f>
        <v>116427.93787171664</v>
      </c>
      <c r="CY7" s="1199">
        <f t="shared" ref="CY7" si="110">SUM(CY8:CY9)</f>
        <v>125284.08562757637</v>
      </c>
      <c r="CZ7" s="1199">
        <f t="shared" ref="CZ7" si="111">SUM(CZ8:CZ9)</f>
        <v>118249.214838182</v>
      </c>
      <c r="DA7" s="1156">
        <f t="shared" ref="DA7:DA59" si="112">SUM(CO7:CZ7)</f>
        <v>1611319.0829051218</v>
      </c>
      <c r="DB7" s="1199">
        <f t="shared" ref="DB7" si="113">SUM(DB8:DB9)</f>
        <v>124239.64342914845</v>
      </c>
      <c r="DC7" s="1199">
        <f t="shared" ref="DC7" si="114">SUM(DC8:DC9)</f>
        <v>135953.2362274538</v>
      </c>
      <c r="DD7" s="1199">
        <f t="shared" ref="DD7" si="115">SUM(DD8:DD9)</f>
        <v>150064.81935504414</v>
      </c>
      <c r="DE7" s="1199">
        <f t="shared" ref="DE7" si="116">SUM(DE8:DE9)</f>
        <v>176177.07931883304</v>
      </c>
      <c r="DF7" s="1199">
        <f t="shared" ref="DF7" si="117">SUM(DF8:DF9)</f>
        <v>210017.86284649838</v>
      </c>
      <c r="DG7" s="1199">
        <f t="shared" ref="DG7" si="118">SUM(DG8:DG9)</f>
        <v>203398.46955958294</v>
      </c>
      <c r="DH7" s="1199">
        <f t="shared" ref="DH7" si="119">SUM(DH8:DH9)</f>
        <v>160358.1979545808</v>
      </c>
      <c r="DI7" s="1199">
        <f t="shared" ref="DI7" si="120">SUM(DI8:DI9)</f>
        <v>132271.23160420297</v>
      </c>
      <c r="DJ7" s="1199">
        <f t="shared" ref="DJ7" si="121">SUM(DJ8:DJ9)</f>
        <v>106579.02222954424</v>
      </c>
      <c r="DK7" s="1199">
        <f t="shared" ref="DK7" si="122">SUM(DK8:DK9)</f>
        <v>125292.40885702817</v>
      </c>
      <c r="DL7" s="1199">
        <f t="shared" ref="DL7" si="123">SUM(DL8:DL9)</f>
        <v>135174.96016335004</v>
      </c>
      <c r="DM7" s="1199">
        <f t="shared" ref="DM7" si="124">SUM(DM8:DM9)</f>
        <v>127603.97680136813</v>
      </c>
      <c r="DN7" s="1156">
        <f t="shared" ref="DN7:DN59" si="125">SUM(DB7:DM7)</f>
        <v>1787130.9083466351</v>
      </c>
      <c r="DO7" s="1199">
        <f t="shared" ref="DO7" si="126">SUM(DO8:DO9)</f>
        <v>116371.87175605264</v>
      </c>
      <c r="DP7" s="1199">
        <f t="shared" ref="DP7" si="127">SUM(DP8:DP9)</f>
        <v>132311.14770835859</v>
      </c>
      <c r="DQ7" s="1199">
        <f t="shared" ref="DQ7" si="128">SUM(DQ8:DQ9)</f>
        <v>158283.6879591746</v>
      </c>
      <c r="DR7" s="1199">
        <f t="shared" ref="DR7" si="129">SUM(DR8:DR9)</f>
        <v>221459.28388589388</v>
      </c>
      <c r="DS7" s="1199">
        <f t="shared" ref="DS7" si="130">SUM(DS8:DS9)</f>
        <v>262569.88189506117</v>
      </c>
      <c r="DT7" s="1199">
        <f t="shared" ref="DT7" si="131">SUM(DT8:DT9)</f>
        <v>222808.70572021365</v>
      </c>
      <c r="DU7" s="1199">
        <f t="shared" ref="DU7" si="132">SUM(DU8:DU9)</f>
        <v>165863.96339573225</v>
      </c>
      <c r="DV7" s="1199">
        <f t="shared" ref="DV7" si="133">SUM(DV8:DV9)</f>
        <v>133179.78878482099</v>
      </c>
      <c r="DW7" s="1199">
        <f t="shared" ref="DW7" si="134">SUM(DW8:DW9)</f>
        <v>126535.4902449201</v>
      </c>
      <c r="DX7" s="1199">
        <f t="shared" ref="DX7" si="135">SUM(DX8:DX9)</f>
        <v>121992.23090103708</v>
      </c>
      <c r="DY7" s="1199">
        <f t="shared" ref="DY7" si="136">SUM(DY8:DY9)</f>
        <v>131149.88605286687</v>
      </c>
      <c r="DZ7" s="1199">
        <f t="shared" ref="DZ7" si="137">SUM(DZ8:DZ9)</f>
        <v>150111.92492914628</v>
      </c>
      <c r="EA7" s="1156">
        <f t="shared" ref="EA7:EA59" si="138">SUM(DO7:DZ7)</f>
        <v>1942637.8632332783</v>
      </c>
      <c r="EB7" s="1199">
        <f t="shared" ref="EB7" si="139">SUM(EB8:EB9)</f>
        <v>117931.43917495367</v>
      </c>
      <c r="EC7" s="1199">
        <f t="shared" ref="EC7" si="140">SUM(EC8:EC9)</f>
        <v>143436.92675320926</v>
      </c>
      <c r="ED7" s="1199">
        <f t="shared" ref="ED7" si="141">SUM(ED8:ED9)</f>
        <v>138925.84094579404</v>
      </c>
      <c r="EE7" s="1199">
        <f t="shared" ref="EE7" si="142">SUM(EE8:EE9)</f>
        <v>245919.15290040613</v>
      </c>
      <c r="EF7" s="1199">
        <f t="shared" ref="EF7" si="143">SUM(EF8:EF9)</f>
        <v>269605.81780751678</v>
      </c>
      <c r="EG7" s="1199">
        <f t="shared" ref="EG7" si="144">SUM(EG8:EG9)</f>
        <v>228013.33043329063</v>
      </c>
      <c r="EH7" s="1199">
        <f t="shared" ref="EH7" si="145">SUM(EH8:EH9)</f>
        <v>172861.46648833106</v>
      </c>
      <c r="EI7" s="1199">
        <f t="shared" ref="EI7" si="146">SUM(EI8:EI9)</f>
        <v>138523.21976064355</v>
      </c>
      <c r="EJ7" s="1199">
        <f t="shared" ref="EJ7" si="147">SUM(EJ8:EJ9)</f>
        <v>125263.12581242457</v>
      </c>
      <c r="EK7" s="1199">
        <f t="shared" ref="EK7" si="148">SUM(EK8:EK9)</f>
        <v>128214.75734628103</v>
      </c>
      <c r="EL7" s="1199">
        <f t="shared" ref="EL7" si="149">SUM(EL8:EL9)</f>
        <v>142591.84709422849</v>
      </c>
      <c r="EM7" s="1199">
        <f t="shared" ref="EM7" si="150">SUM(EM8:EM9)</f>
        <v>145574.86394584837</v>
      </c>
      <c r="EN7" s="1156">
        <f t="shared" ref="EN7:EN59" si="151">SUM(EB7:EM7)</f>
        <v>1996861.7884629276</v>
      </c>
      <c r="EO7" s="1199">
        <f t="shared" ref="EO7" si="152">SUM(EO8:EO9)</f>
        <v>130238.11621413093</v>
      </c>
      <c r="EP7" s="1199">
        <f t="shared" ref="EP7" si="153">SUM(EP8:EP9)</f>
        <v>147756.95437244858</v>
      </c>
      <c r="EQ7" s="1199">
        <f t="shared" ref="EQ7" si="154">SUM(EQ8:EQ9)</f>
        <v>166398.02428414824</v>
      </c>
      <c r="ER7" s="1199">
        <f t="shared" ref="ER7" si="155">SUM(ER8:ER9)</f>
        <v>271127.5206120839</v>
      </c>
      <c r="ES7" s="1199">
        <f t="shared" ref="ES7" si="156">SUM(ES8:ES9)</f>
        <v>293038.25584849727</v>
      </c>
      <c r="ET7" s="1199">
        <f t="shared" ref="ET7" si="157">SUM(ET8:ET9)</f>
        <v>237568.97095338666</v>
      </c>
      <c r="EU7" s="1199">
        <f t="shared" ref="EU7" si="158">SUM(EU8:EU9)</f>
        <v>183258.91887078798</v>
      </c>
      <c r="EV7" s="1199">
        <f t="shared" ref="EV7" si="159">SUM(EV8:EV9)</f>
        <v>148854.94949308221</v>
      </c>
      <c r="EW7" s="1199">
        <f t="shared" ref="EW7" si="160">SUM(EW8:EW9)</f>
        <v>145904.53461751508</v>
      </c>
      <c r="EX7" s="1199">
        <f t="shared" ref="EX7" si="161">SUM(EX8:EX9)</f>
        <v>157990.06115307604</v>
      </c>
      <c r="EY7" s="1199">
        <f t="shared" ref="EY7" si="162">SUM(EY8:EY9)</f>
        <v>148491.71828882792</v>
      </c>
      <c r="EZ7" s="1199">
        <f t="shared" ref="EZ7" si="163">SUM(EZ8:EZ9)</f>
        <v>153475.19158531458</v>
      </c>
      <c r="FA7" s="1156">
        <f t="shared" ref="FA7:FA59" si="164">SUM(EO7:EZ7)</f>
        <v>2184103.2162932996</v>
      </c>
      <c r="FB7" s="1199">
        <f t="shared" ref="FB7" si="165">SUM(FB8:FB9)</f>
        <v>149748.40892465384</v>
      </c>
      <c r="FC7" s="1199">
        <f t="shared" ref="FC7" si="166">SUM(FC8:FC9)</f>
        <v>169078.12782339999</v>
      </c>
      <c r="FD7" s="1199">
        <f t="shared" ref="FD7" si="167">SUM(FD8:FD9)</f>
        <v>187666.98373435097</v>
      </c>
      <c r="FE7" s="1199">
        <f t="shared" ref="FE7" si="168">SUM(FE8:FE9)</f>
        <v>281507.62184521538</v>
      </c>
      <c r="FF7" s="1199">
        <f t="shared" ref="FF7" si="169">SUM(FF8:FF9)</f>
        <v>304931.1462291177</v>
      </c>
      <c r="FG7" s="1199">
        <f t="shared" ref="FG7" si="170">SUM(FG8:FG9)</f>
        <v>219169.42613252738</v>
      </c>
      <c r="FH7" s="1199">
        <f t="shared" ref="FH7" si="171">SUM(FH8:FH9)</f>
        <v>173199.55824811535</v>
      </c>
      <c r="FI7" s="1199">
        <f t="shared" ref="FI7" si="172">SUM(FI8:FI9)</f>
        <v>154873.18244748682</v>
      </c>
      <c r="FJ7" s="1199">
        <f t="shared" ref="FJ7" si="173">SUM(FJ8:FJ9)</f>
        <v>127863.48638894572</v>
      </c>
      <c r="FK7" s="1199">
        <f t="shared" ref="FK7" si="174">SUM(FK8:FK9)</f>
        <v>133949.06703591201</v>
      </c>
      <c r="FL7" s="1199">
        <f t="shared" ref="FL7" si="175">SUM(FL8:FL9)</f>
        <v>154403.78605871616</v>
      </c>
      <c r="FM7" s="1199">
        <f t="shared" ref="FM7" si="176">SUM(FM8:FM9)</f>
        <v>150344.53458223815</v>
      </c>
      <c r="FN7" s="1156">
        <f t="shared" ref="FN7:FN59" si="177">SUM(FB7:FM7)</f>
        <v>2206735.3294506795</v>
      </c>
      <c r="FO7" s="1199">
        <f t="shared" ref="FO7" si="178">SUM(FO8:FO9)</f>
        <v>149243.42491552976</v>
      </c>
      <c r="FP7" s="1199">
        <f t="shared" ref="FP7" si="179">SUM(FP8:FP9)</f>
        <v>166295.45797446606</v>
      </c>
      <c r="FQ7" s="1199">
        <f t="shared" ref="FQ7" si="180">SUM(FQ8:FQ9)</f>
        <v>182401.32220974367</v>
      </c>
      <c r="FR7" s="1199">
        <f t="shared" ref="FR7" si="181">SUM(FR8:FR9)</f>
        <v>274682.24408312846</v>
      </c>
      <c r="FS7" s="1199">
        <f t="shared" ref="FS7" si="182">SUM(FS8:FS9)</f>
        <v>252237.33815993072</v>
      </c>
      <c r="FT7" s="1199">
        <f t="shared" ref="FT7" si="183">SUM(FT8:FT9)</f>
        <v>235349.63703231557</v>
      </c>
      <c r="FU7" s="1199">
        <f t="shared" ref="FU7" si="184">SUM(FU8:FU9)</f>
        <v>200074.49879052831</v>
      </c>
      <c r="FV7" s="1199">
        <f t="shared" ref="FV7" si="185">SUM(FV8:FV9)</f>
        <v>147181.79607730097</v>
      </c>
      <c r="FW7" s="1199">
        <f t="shared" ref="FW7" si="186">SUM(FW8:FW9)</f>
        <v>136665.15243342836</v>
      </c>
      <c r="FX7" s="1199">
        <f t="shared" ref="FX7" si="187">SUM(FX8:FX9)</f>
        <v>132896.9825323385</v>
      </c>
      <c r="FY7" s="1199">
        <f t="shared" ref="FY7" si="188">SUM(FY8:FY9)</f>
        <v>150049.56947926016</v>
      </c>
      <c r="FZ7" s="1199">
        <f t="shared" ref="FZ7" si="189">SUM(FZ8:FZ9)</f>
        <v>162005.75501644693</v>
      </c>
      <c r="GA7" s="1156">
        <f t="shared" ref="GA7:GA59" si="190">SUM(FO7:FZ7)</f>
        <v>2189083.1787044178</v>
      </c>
      <c r="GB7" s="1199">
        <f t="shared" ref="GB7" si="191">SUM(GB8:GB9)</f>
        <v>166332.40266872145</v>
      </c>
      <c r="GC7" s="1199">
        <f t="shared" ref="GC7" si="192">SUM(GC8:GC9)</f>
        <v>201933.85817957693</v>
      </c>
      <c r="GD7" s="1199">
        <f t="shared" ref="GD7" si="193">SUM(GD8:GD9)</f>
        <v>212122.77780144245</v>
      </c>
      <c r="GE7" s="1199">
        <f t="shared" ref="GE7" si="194">SUM(GE8:GE9)</f>
        <v>296956.91820848943</v>
      </c>
      <c r="GF7" s="1199">
        <f t="shared" ref="GF7" si="195">SUM(GF8:GF9)</f>
        <v>271866.35984869965</v>
      </c>
      <c r="GG7" s="1199">
        <f t="shared" ref="GG7" si="196">SUM(GG8:GG9)</f>
        <v>241006.25864829161</v>
      </c>
      <c r="GH7" s="1199">
        <f t="shared" ref="GH7" si="197">SUM(GH8:GH9)</f>
        <v>188169.12071222815</v>
      </c>
      <c r="GI7" s="1199">
        <f t="shared" ref="GI7" si="198">SUM(GI8:GI9)</f>
        <v>166923.57646092848</v>
      </c>
      <c r="GJ7" s="1199">
        <f t="shared" ref="GJ7" si="199">SUM(GJ8:GJ9)</f>
        <v>150550.86842872447</v>
      </c>
      <c r="GK7" s="1199">
        <f t="shared" ref="GK7" si="200">SUM(GK8:GK9)</f>
        <v>151039.50183280293</v>
      </c>
      <c r="GL7" s="1199">
        <f t="shared" ref="GL7" si="201">SUM(GL8:GL9)</f>
        <v>167292.557727587</v>
      </c>
      <c r="GM7" s="1199">
        <f t="shared" ref="GM7" si="202">SUM(GM8:GM9)</f>
        <v>162322.40828920942</v>
      </c>
      <c r="GN7" s="1156">
        <f t="shared" ref="GN7:GN59" si="203">SUM(GB7:GM7)</f>
        <v>2376516.6088067023</v>
      </c>
      <c r="GO7" s="1199">
        <f t="shared" ref="GO7" si="204">SUM(GO8:GO9)</f>
        <v>151091.35843429182</v>
      </c>
      <c r="GP7" s="1199">
        <f t="shared" ref="GP7" si="205">SUM(GP8:GP9)</f>
        <v>194691.96210925202</v>
      </c>
      <c r="GQ7" s="1199">
        <f t="shared" ref="GQ7" si="206">SUM(GQ8:GQ9)</f>
        <v>187032.4372047853</v>
      </c>
      <c r="GR7" s="1199">
        <f t="shared" ref="GR7" si="207">SUM(GR8:GR9)</f>
        <v>278540.32921162946</v>
      </c>
      <c r="GS7" s="1199">
        <f t="shared" ref="GS7" si="208">SUM(GS8:GS9)</f>
        <v>272569.9560590802</v>
      </c>
      <c r="GT7" s="1199">
        <f t="shared" ref="GT7" si="209">SUM(GT8:GT9)</f>
        <v>257379.96667261477</v>
      </c>
      <c r="GU7" s="1199">
        <f t="shared" ref="GU7" si="210">SUM(GU8:GU9)</f>
        <v>210375.63064517351</v>
      </c>
      <c r="GV7" s="1199">
        <f t="shared" ref="GV7" si="211">SUM(GV8:GV9)</f>
        <v>162344.95808589889</v>
      </c>
      <c r="GW7" s="1199">
        <f t="shared" ref="GW7" si="212">SUM(GW8:GW9)</f>
        <v>162894.91981721966</v>
      </c>
      <c r="GX7" s="1199">
        <f t="shared" ref="GX7" si="213">SUM(GX8:GX9)</f>
        <v>161285.86544698782</v>
      </c>
      <c r="GY7" s="1199">
        <f t="shared" ref="GY7" si="214">SUM(GY8:GY9)</f>
        <v>187578.16641676272</v>
      </c>
      <c r="GZ7" s="1199">
        <f t="shared" ref="GZ7" si="215">SUM(GZ8:GZ9)</f>
        <v>189829.49812128901</v>
      </c>
      <c r="HA7" s="1156">
        <f t="shared" ref="HA7:HA59" si="216">SUM(GO7:GZ7)</f>
        <v>2415615.0482249851</v>
      </c>
      <c r="HB7" s="1199">
        <f t="shared" ref="HB7" si="217">SUM(HB8:HB9)</f>
        <v>179593.61474589922</v>
      </c>
      <c r="HC7" s="1199">
        <f t="shared" ref="HC7" si="218">SUM(HC8:HC9)</f>
        <v>188242.00531981961</v>
      </c>
      <c r="HD7" s="1199">
        <f t="shared" ref="HD7" si="219">SUM(HD8:HD9)</f>
        <v>198297.76340581023</v>
      </c>
      <c r="HE7" s="1199">
        <f t="shared" ref="HE7" si="220">SUM(HE8:HE9)</f>
        <v>270144.64378095028</v>
      </c>
      <c r="HF7" s="1199">
        <f t="shared" ref="HF7" si="221">SUM(HF8:HF9)</f>
        <v>272155.5605168512</v>
      </c>
      <c r="HG7" s="1199">
        <f t="shared" ref="HG7" si="222">SUM(HG8:HG9)</f>
        <v>265138.03280796227</v>
      </c>
      <c r="HH7" s="1199">
        <f t="shared" ref="HH7" si="223">SUM(HH8:HH9)</f>
        <v>217722.38455538382</v>
      </c>
      <c r="HI7" s="1199">
        <f t="shared" ref="HI7" si="224">SUM(HI8:HI9)</f>
        <v>176808.32525281038</v>
      </c>
      <c r="HJ7" s="1199">
        <f t="shared" ref="HJ7" si="225">SUM(HJ8:HJ9)</f>
        <v>155703.53861194715</v>
      </c>
      <c r="HK7" s="1199">
        <f t="shared" ref="HK7" si="226">SUM(HK8:HK9)</f>
        <v>155760.12733911141</v>
      </c>
      <c r="HL7" s="1199">
        <f t="shared" ref="HL7" si="227">SUM(HL8:HL9)</f>
        <v>182354.9626457619</v>
      </c>
      <c r="HM7" s="1199">
        <f t="shared" ref="HM7" si="228">SUM(HM8:HM9)</f>
        <v>182672.45634991379</v>
      </c>
      <c r="HN7" s="1156">
        <f t="shared" ref="HN7:HN59" si="229">SUM(HB7:HM7)</f>
        <v>2444593.4153322214</v>
      </c>
      <c r="HO7" s="1199">
        <f t="shared" ref="HO7" si="230">SUM(HO8:HO9)</f>
        <v>196466.89335414208</v>
      </c>
      <c r="HP7" s="1199">
        <f t="shared" ref="HP7" si="231">SUM(HP8:HP9)</f>
        <v>203087.04338570865</v>
      </c>
      <c r="HQ7" s="1199">
        <f t="shared" ref="HQ7" si="232">SUM(HQ8:HQ9)</f>
        <v>220183.1833017311</v>
      </c>
      <c r="HR7" s="1199">
        <f t="shared" ref="HR7" si="233">SUM(HR8:HR9)</f>
        <v>276672.839951845</v>
      </c>
      <c r="HS7" s="1199">
        <f t="shared" ref="HS7" si="234">SUM(HS8:HS9)</f>
        <v>289703.07693450944</v>
      </c>
      <c r="HT7" s="1199">
        <f t="shared" ref="HT7" si="235">SUM(HT8:HT9)</f>
        <v>287343.9387758713</v>
      </c>
      <c r="HU7" s="1199">
        <f t="shared" ref="HU7" si="236">SUM(HU8:HU9)</f>
        <v>219942.09315429156</v>
      </c>
      <c r="HV7" s="1199">
        <f t="shared" ref="HV7" si="237">SUM(HV8:HV9)</f>
        <v>177320.79166873288</v>
      </c>
      <c r="HW7" s="1199">
        <f t="shared" ref="HW7" si="238">SUM(HW8:HW9)</f>
        <v>172764.77531196736</v>
      </c>
      <c r="HX7" s="1199">
        <f t="shared" ref="HX7" si="239">SUM(HX8:HX9)</f>
        <v>164726.95853088569</v>
      </c>
      <c r="HY7" s="1199">
        <f t="shared" ref="HY7" si="240">SUM(HY8:HY9)</f>
        <v>183976.26005702431</v>
      </c>
      <c r="HZ7" s="1199">
        <f t="shared" ref="HZ7" si="241">SUM(HZ8:HZ9)</f>
        <v>182251.55074429535</v>
      </c>
      <c r="IA7" s="1156">
        <f t="shared" ref="IA7:IA59" si="242">SUM(HO7:HZ7)</f>
        <v>2574439.4051710051</v>
      </c>
      <c r="IB7" s="1199">
        <f t="shared" ref="IB7" si="243">SUM(IB8:IB9)</f>
        <v>188333.84649293288</v>
      </c>
      <c r="IC7" s="1199">
        <f t="shared" ref="IC7" si="244">SUM(IC8:IC9)</f>
        <v>198469.16173812284</v>
      </c>
      <c r="ID7" s="1199">
        <f t="shared" ref="ID7" si="245">SUM(ID8:ID9)</f>
        <v>208831.59800851581</v>
      </c>
      <c r="IE7" s="1199">
        <f t="shared" ref="IE7" si="246">SUM(IE8:IE9)</f>
        <v>275260.0516233322</v>
      </c>
      <c r="IF7" s="1199">
        <f t="shared" ref="IF7" si="247">SUM(IF8:IF9)</f>
        <v>300346.30281533534</v>
      </c>
      <c r="IG7" s="1199">
        <f t="shared" ref="IG7" si="248">SUM(IG8:IG9)</f>
        <v>285771.01201665308</v>
      </c>
      <c r="IH7" s="1199">
        <f t="shared" ref="IH7" si="249">SUM(IH8:IH9)</f>
        <v>242523.15297901738</v>
      </c>
      <c r="II7" s="1199">
        <f t="shared" ref="II7" si="250">SUM(II8:II9)</f>
        <v>174956.97635266243</v>
      </c>
      <c r="IJ7" s="1199">
        <f t="shared" ref="IJ7" si="251">SUM(IJ8:IJ9)</f>
        <v>144465.13198099652</v>
      </c>
      <c r="IK7" s="1199">
        <f t="shared" ref="IK7" si="252">SUM(IK8:IK9)</f>
        <v>148043.99944332583</v>
      </c>
      <c r="IL7" s="1199">
        <f t="shared" ref="IL7" si="253">SUM(IL8:IL9)</f>
        <v>149526.09360969096</v>
      </c>
      <c r="IM7" s="1199">
        <f t="shared" ref="IM7" si="254">SUM(IM8:IM9)</f>
        <v>151007.60027115105</v>
      </c>
      <c r="IN7" s="1156">
        <f t="shared" ref="IN7:IN53" si="255">SUM(IB7:IM7)</f>
        <v>2467534.9273317363</v>
      </c>
      <c r="IO7" s="1199">
        <f t="shared" ref="IO7" si="256">SUM(IO8:IO9)</f>
        <v>156213.18541127571</v>
      </c>
      <c r="IP7" s="1199">
        <f t="shared" ref="IP7" si="257">SUM(IP8:IP9)</f>
        <v>171672.51304358637</v>
      </c>
      <c r="IQ7" s="1199">
        <f t="shared" ref="IQ7" si="258">SUM(IQ8:IQ9)</f>
        <v>224579.58536171788</v>
      </c>
      <c r="IR7" s="1199">
        <f t="shared" ref="IR7" si="259">SUM(IR8:IR9)</f>
        <v>282017.29429869307</v>
      </c>
      <c r="IS7" s="1199">
        <f t="shared" ref="IS7" si="260">SUM(IS8:IS9)</f>
        <v>303935.59956341522</v>
      </c>
      <c r="IT7" s="1199">
        <f t="shared" ref="IT7" si="261">SUM(IT8:IT9)</f>
        <v>291408.40587095026</v>
      </c>
      <c r="IU7" s="1199">
        <f t="shared" ref="IU7" si="262">SUM(IU8:IU9)</f>
        <v>253305.93038239394</v>
      </c>
      <c r="IV7" s="1199">
        <f t="shared" ref="IV7" si="263">SUM(IV8:IV9)</f>
        <v>187659.61189992525</v>
      </c>
      <c r="IW7" s="1199">
        <f t="shared" ref="IW7" si="264">SUM(IW8:IW9)</f>
        <v>152853.68334394242</v>
      </c>
      <c r="IX7" s="1199">
        <f t="shared" ref="IX7" si="265">SUM(IX8:IX9)</f>
        <v>149739.13234452074</v>
      </c>
      <c r="IY7" s="1199">
        <f t="shared" ref="IY7" si="266">SUM(IY8:IY9)</f>
        <v>153508.34434756063</v>
      </c>
      <c r="IZ7" s="1199">
        <f t="shared" ref="IZ7" si="267">SUM(IZ8:IZ9)</f>
        <v>163807.47937207125</v>
      </c>
      <c r="JA7" s="1156">
        <f t="shared" ref="JA7:JA53" si="268">SUM(IO7:IZ7)</f>
        <v>2490700.7652400527</v>
      </c>
      <c r="JB7" s="1199">
        <f t="shared" ref="JB7" si="269">SUM(JB8:JB9)</f>
        <v>171817.07825974879</v>
      </c>
      <c r="JC7" s="1199">
        <f t="shared" ref="JC7" si="270">SUM(JC8:JC9)</f>
        <v>169143.26119463186</v>
      </c>
      <c r="JD7" s="1199">
        <f t="shared" ref="JD7" si="271">SUM(JD8:JD9)</f>
        <v>0</v>
      </c>
      <c r="JE7" s="1199">
        <f t="shared" ref="JE7" si="272">SUM(JE8:JE9)</f>
        <v>0</v>
      </c>
      <c r="JF7" s="1199">
        <f t="shared" ref="JF7" si="273">SUM(JF8:JF9)</f>
        <v>0</v>
      </c>
      <c r="JG7" s="1199">
        <f t="shared" ref="JG7" si="274">SUM(JG8:JG9)</f>
        <v>0</v>
      </c>
      <c r="JH7" s="1199">
        <f t="shared" ref="JH7" si="275">SUM(JH8:JH9)</f>
        <v>0</v>
      </c>
      <c r="JI7" s="1199">
        <f t="shared" ref="JI7" si="276">SUM(JI8:JI9)</f>
        <v>0</v>
      </c>
      <c r="JJ7" s="1199">
        <f t="shared" ref="JJ7" si="277">SUM(JJ8:JJ9)</f>
        <v>0</v>
      </c>
      <c r="JK7" s="1199">
        <f t="shared" ref="JK7" si="278">SUM(JK8:JK9)</f>
        <v>0</v>
      </c>
      <c r="JL7" s="1199">
        <f t="shared" ref="JL7" si="279">SUM(JL8:JL9)</f>
        <v>0</v>
      </c>
      <c r="JM7" s="1199">
        <f t="shared" ref="JM7" si="280">SUM(JM8:JM9)</f>
        <v>0</v>
      </c>
      <c r="JN7" s="1156">
        <f t="shared" ref="JN7:JN59" si="281">SUM(JB7:JM7)</f>
        <v>340960.33945438068</v>
      </c>
      <c r="JO7" s="1200"/>
      <c r="JP7" s="1201">
        <f>IFERROR(((
_xlfn.XLOOKUP((DATE(YEAR($JP$5),MONTH($JP$5),1)),SMN.AGRO.DATE,$B7:$JN7) /
_xlfn.XLOOKUP((DATE(YEAR($JP$5)-1,MONTH($JP$5),1)),SMN.AGRO.DATE,$B7:$JN7)
)-1)*100,"")</f>
        <v>8.4763144887651798</v>
      </c>
      <c r="JQ7" s="1202">
        <f>IFERROR(((JS7/JR7)-1)*100,"")</f>
        <v>0.93882512671732421</v>
      </c>
      <c r="JR7" s="1157">
        <f>SUMIFS($B7:$JN7,SMN.AGRO.DATE,"&gt;="&amp;DATE(YEAR($JP$5)-1,1,1),SMN.AGRO.DATE,"&lt;="&amp;DATE(YEAR($JP$5)-1,MONTH($JP$5),1))</f>
        <v>2467534.9273317363</v>
      </c>
      <c r="JS7" s="1203">
        <f>SUMIFS($B7:$JN7,SMN.AGRO.DATE,"&gt;="&amp;DATE(YEAR($JP$5),1,1),SMN.AGRO.DATE,"&lt;="&amp;$JP$5)</f>
        <v>2490700.7652400527</v>
      </c>
      <c r="JT7" s="1204"/>
      <c r="JU7" s="1139"/>
      <c r="JV7" s="1146"/>
      <c r="JW7" s="1147"/>
    </row>
    <row r="8" spans="1:283" ht="15" customHeight="1" x14ac:dyDescent="0.2">
      <c r="A8" s="1205" t="s">
        <v>587</v>
      </c>
      <c r="B8" s="1206">
        <v>108531.76504742788</v>
      </c>
      <c r="C8" s="1206">
        <v>85945.052354575004</v>
      </c>
      <c r="D8" s="1206">
        <v>80660.203392714189</v>
      </c>
      <c r="E8" s="1206">
        <v>106313.82918850008</v>
      </c>
      <c r="F8" s="1206">
        <v>128519.70786482291</v>
      </c>
      <c r="G8" s="1206">
        <v>118497.67700450447</v>
      </c>
      <c r="H8" s="1206">
        <v>104340.73126231506</v>
      </c>
      <c r="I8" s="1206">
        <v>81941.199581062916</v>
      </c>
      <c r="J8" s="1206">
        <v>59079.982340782568</v>
      </c>
      <c r="K8" s="1206">
        <v>63520.534140637377</v>
      </c>
      <c r="L8" s="1206">
        <v>62314.485837844906</v>
      </c>
      <c r="M8" s="1206">
        <v>49561.850200247005</v>
      </c>
      <c r="N8" s="1100">
        <f t="shared" si="21"/>
        <v>1049227.0182154342</v>
      </c>
      <c r="O8" s="1206">
        <v>67274.00076061071</v>
      </c>
      <c r="P8" s="1206">
        <v>84148.432304142247</v>
      </c>
      <c r="Q8" s="1206">
        <v>79879.233584541682</v>
      </c>
      <c r="R8" s="1206">
        <v>96546.006711964146</v>
      </c>
      <c r="S8" s="1206">
        <v>111044.59259874311</v>
      </c>
      <c r="T8" s="1206">
        <v>102267.76603981762</v>
      </c>
      <c r="U8" s="1206">
        <v>97615.615284651023</v>
      </c>
      <c r="V8" s="1206">
        <v>94680.65358588974</v>
      </c>
      <c r="W8" s="1206">
        <v>63046.032884641048</v>
      </c>
      <c r="X8" s="1206">
        <v>60980.854273768353</v>
      </c>
      <c r="Y8" s="1206">
        <v>74687.501445259753</v>
      </c>
      <c r="Z8" s="1206">
        <v>67340.061851759689</v>
      </c>
      <c r="AA8" s="1100">
        <f t="shared" si="34"/>
        <v>999510.75132578926</v>
      </c>
      <c r="AB8" s="1206">
        <v>79288.583700969495</v>
      </c>
      <c r="AC8" s="1206">
        <v>107551.70513777707</v>
      </c>
      <c r="AD8" s="1206">
        <v>107985.29123121998</v>
      </c>
      <c r="AE8" s="1206">
        <v>113608.19256313414</v>
      </c>
      <c r="AF8" s="1206">
        <v>132465.34116748304</v>
      </c>
      <c r="AG8" s="1206">
        <v>109841.36110077113</v>
      </c>
      <c r="AH8" s="1206">
        <v>113497.50922612146</v>
      </c>
      <c r="AI8" s="1206">
        <v>85175.386923102633</v>
      </c>
      <c r="AJ8" s="1206">
        <v>75196.328883687995</v>
      </c>
      <c r="AK8" s="1206">
        <v>73561.895427112453</v>
      </c>
      <c r="AL8" s="1206">
        <v>92792.11002599023</v>
      </c>
      <c r="AM8" s="1206">
        <v>83475.142168405931</v>
      </c>
      <c r="AN8" s="1100">
        <f t="shared" si="47"/>
        <v>1174438.8475557754</v>
      </c>
      <c r="AO8" s="1206">
        <v>76475.439035298754</v>
      </c>
      <c r="AP8" s="1206">
        <v>99950.081018398836</v>
      </c>
      <c r="AQ8" s="1206">
        <v>110327.61541633296</v>
      </c>
      <c r="AR8" s="1206">
        <v>143709.64867289641</v>
      </c>
      <c r="AS8" s="1206">
        <v>148146.21537301474</v>
      </c>
      <c r="AT8" s="1206">
        <v>132262.47059647591</v>
      </c>
      <c r="AU8" s="1206">
        <v>110265.84357390713</v>
      </c>
      <c r="AV8" s="1206">
        <v>87064.434272421902</v>
      </c>
      <c r="AW8" s="1206">
        <v>76290.307117825811</v>
      </c>
      <c r="AX8" s="1206">
        <v>78781.295389411505</v>
      </c>
      <c r="AY8" s="1206">
        <v>94934.409621826286</v>
      </c>
      <c r="AZ8" s="1206">
        <v>77212.074078289486</v>
      </c>
      <c r="BA8" s="1100">
        <f t="shared" si="60"/>
        <v>1235419.8341660998</v>
      </c>
      <c r="BB8" s="1206">
        <v>78078.182022593115</v>
      </c>
      <c r="BC8" s="1206">
        <v>94758.628521411389</v>
      </c>
      <c r="BD8" s="1206">
        <v>104745.77945739747</v>
      </c>
      <c r="BE8" s="1206">
        <v>124620.92562958495</v>
      </c>
      <c r="BF8" s="1206">
        <v>166296.831684237</v>
      </c>
      <c r="BG8" s="1206">
        <v>135561.00236880247</v>
      </c>
      <c r="BH8" s="1206">
        <v>105803.83968317593</v>
      </c>
      <c r="BI8" s="1206">
        <v>86841.576676263125</v>
      </c>
      <c r="BJ8" s="1206">
        <v>82228.685382006923</v>
      </c>
      <c r="BK8" s="1206">
        <v>85924.676212818333</v>
      </c>
      <c r="BL8" s="1206">
        <v>102035.79319056048</v>
      </c>
      <c r="BM8" s="1206">
        <v>86193.19922879916</v>
      </c>
      <c r="BN8" s="1100">
        <f t="shared" si="73"/>
        <v>1253089.1200576504</v>
      </c>
      <c r="BO8" s="1206">
        <v>77478.535073623774</v>
      </c>
      <c r="BP8" s="1206">
        <v>99460.453801681928</v>
      </c>
      <c r="BQ8" s="1206">
        <v>108378.99928754094</v>
      </c>
      <c r="BR8" s="1206">
        <v>169818.15800118784</v>
      </c>
      <c r="BS8" s="1206">
        <v>168764.48553929254</v>
      </c>
      <c r="BT8" s="1206">
        <v>146031.88568411005</v>
      </c>
      <c r="BU8" s="1206">
        <v>112528.89709032068</v>
      </c>
      <c r="BV8" s="1206">
        <v>95144.434555828309</v>
      </c>
      <c r="BW8" s="1206">
        <v>83672.186562984483</v>
      </c>
      <c r="BX8" s="1206">
        <v>87203.297806913703</v>
      </c>
      <c r="BY8" s="1206">
        <v>90571.550348404708</v>
      </c>
      <c r="BZ8" s="1206">
        <v>82143.311479425829</v>
      </c>
      <c r="CA8" s="1100">
        <f t="shared" si="86"/>
        <v>1321196.195231315</v>
      </c>
      <c r="CB8" s="1206">
        <v>108565.80761499486</v>
      </c>
      <c r="CC8" s="1206">
        <v>117373.40882440767</v>
      </c>
      <c r="CD8" s="1206">
        <v>108134.15432971362</v>
      </c>
      <c r="CE8" s="1206">
        <v>173489.60685313455</v>
      </c>
      <c r="CF8" s="1206">
        <v>198085.18217097616</v>
      </c>
      <c r="CG8" s="1206">
        <v>175683.37625327861</v>
      </c>
      <c r="CH8" s="1206">
        <v>123119.52466192373</v>
      </c>
      <c r="CI8" s="1206">
        <v>97172.459510220026</v>
      </c>
      <c r="CJ8" s="1206">
        <v>85893.78891132561</v>
      </c>
      <c r="CK8" s="1206">
        <v>93630.74948897901</v>
      </c>
      <c r="CL8" s="1206">
        <v>115539.31036718022</v>
      </c>
      <c r="CM8" s="1206">
        <v>90376.625032157201</v>
      </c>
      <c r="CN8" s="1100">
        <f t="shared" si="99"/>
        <v>1487063.9940182914</v>
      </c>
      <c r="CO8" s="1206">
        <v>88457.362578557979</v>
      </c>
      <c r="CP8" s="1206">
        <v>106253.72145885542</v>
      </c>
      <c r="CQ8" s="1206">
        <v>124953.75190420423</v>
      </c>
      <c r="CR8" s="1206">
        <v>155672.01377009539</v>
      </c>
      <c r="CS8" s="1206">
        <v>167317.65007313693</v>
      </c>
      <c r="CT8" s="1206">
        <v>158620.10276346855</v>
      </c>
      <c r="CU8" s="1206">
        <v>111134.36636319719</v>
      </c>
      <c r="CV8" s="1206">
        <v>105581.75683492338</v>
      </c>
      <c r="CW8" s="1206">
        <v>92838.115863651867</v>
      </c>
      <c r="CX8" s="1206">
        <v>100526.00336760773</v>
      </c>
      <c r="CY8" s="1206">
        <v>108301.14580748671</v>
      </c>
      <c r="CZ8" s="1206">
        <v>101252.97579742174</v>
      </c>
      <c r="DA8" s="1100">
        <f t="shared" si="112"/>
        <v>1420908.9665826072</v>
      </c>
      <c r="DB8" s="1206">
        <v>107195.55712400684</v>
      </c>
      <c r="DC8" s="1206">
        <v>119358.62666139117</v>
      </c>
      <c r="DD8" s="1206">
        <v>131886.41855612179</v>
      </c>
      <c r="DE8" s="1206">
        <v>158651.52047752845</v>
      </c>
      <c r="DF8" s="1206">
        <v>192545.2083251845</v>
      </c>
      <c r="DG8" s="1206">
        <v>186110.80171146782</v>
      </c>
      <c r="DH8" s="1206">
        <v>141860.32634885053</v>
      </c>
      <c r="DI8" s="1206">
        <v>113553.79894840044</v>
      </c>
      <c r="DJ8" s="1206">
        <v>89157.906100624197</v>
      </c>
      <c r="DK8" s="1206">
        <v>108498.36224451639</v>
      </c>
      <c r="DL8" s="1206">
        <v>118530.2855046155</v>
      </c>
      <c r="DM8" s="1206">
        <v>110265.68374562876</v>
      </c>
      <c r="DN8" s="1100">
        <f t="shared" si="125"/>
        <v>1577614.4957483362</v>
      </c>
      <c r="DO8" s="1206">
        <v>98978.293347569153</v>
      </c>
      <c r="DP8" s="1206">
        <v>115550.95458729181</v>
      </c>
      <c r="DQ8" s="1206">
        <v>139901.12420089732</v>
      </c>
      <c r="DR8" s="1206">
        <v>203492.97365616381</v>
      </c>
      <c r="DS8" s="1206">
        <v>243770.47784215692</v>
      </c>
      <c r="DT8" s="1206">
        <v>204366.94172053185</v>
      </c>
      <c r="DU8" s="1206">
        <v>146566.18875666661</v>
      </c>
      <c r="DV8" s="1206">
        <v>114375.6836973452</v>
      </c>
      <c r="DW8" s="1206">
        <v>107696.35325396</v>
      </c>
      <c r="DX8" s="1206">
        <v>102379.893944147</v>
      </c>
      <c r="DY8" s="1206">
        <v>111967.66643585748</v>
      </c>
      <c r="DZ8" s="1206">
        <v>130103.18553676581</v>
      </c>
      <c r="EA8" s="1100">
        <f t="shared" si="138"/>
        <v>1719149.7369793528</v>
      </c>
      <c r="EB8" s="1206">
        <v>99361.917064281937</v>
      </c>
      <c r="EC8" s="1206">
        <v>125255.30150786914</v>
      </c>
      <c r="ED8" s="1206">
        <v>119438.32426167012</v>
      </c>
      <c r="EE8" s="1206">
        <v>226310.72654642895</v>
      </c>
      <c r="EF8" s="1206">
        <v>250020.86447271128</v>
      </c>
      <c r="EG8" s="1206">
        <v>207652.14019503296</v>
      </c>
      <c r="EH8" s="1206">
        <v>151959.04582863953</v>
      </c>
      <c r="EI8" s="1206">
        <v>117820.72418208959</v>
      </c>
      <c r="EJ8" s="1206">
        <v>105137.98466274879</v>
      </c>
      <c r="EK8" s="1206">
        <v>107906.28421955412</v>
      </c>
      <c r="EL8" s="1206">
        <v>122568.37504843215</v>
      </c>
      <c r="EM8" s="1206">
        <v>123405.77108189462</v>
      </c>
      <c r="EN8" s="1100">
        <f t="shared" si="151"/>
        <v>1756837.4590713535</v>
      </c>
      <c r="EO8" s="1206">
        <v>110238.23744209604</v>
      </c>
      <c r="EP8" s="1206">
        <v>128405.135393976</v>
      </c>
      <c r="EQ8" s="1206">
        <v>146428.4820845747</v>
      </c>
      <c r="ER8" s="1206">
        <v>250283.95419027179</v>
      </c>
      <c r="ES8" s="1206">
        <v>272296.07634302595</v>
      </c>
      <c r="ET8" s="1206">
        <v>217431.36878610405</v>
      </c>
      <c r="EU8" s="1206">
        <v>162553.04273070325</v>
      </c>
      <c r="EV8" s="1206">
        <v>127701.22495806693</v>
      </c>
      <c r="EW8" s="1206">
        <v>125022.21502715773</v>
      </c>
      <c r="EX8" s="1206">
        <v>137510.181406488</v>
      </c>
      <c r="EY8" s="1206">
        <v>128270.11934725693</v>
      </c>
      <c r="EZ8" s="1206">
        <v>131244.15443841196</v>
      </c>
      <c r="FA8" s="1100">
        <f t="shared" si="164"/>
        <v>1937384.1921481332</v>
      </c>
      <c r="FB8" s="1206">
        <v>128980.28192762811</v>
      </c>
      <c r="FC8" s="1206">
        <v>148882.91908903385</v>
      </c>
      <c r="FD8" s="1206">
        <v>166074.50176891551</v>
      </c>
      <c r="FE8" s="1206">
        <v>260263.15307605336</v>
      </c>
      <c r="FF8" s="1206">
        <v>282834.53146489919</v>
      </c>
      <c r="FG8" s="1206">
        <v>197958.28774531768</v>
      </c>
      <c r="FH8" s="1206">
        <v>151031.95903536738</v>
      </c>
      <c r="FI8" s="1206">
        <v>133121.46416278867</v>
      </c>
      <c r="FJ8" s="1206">
        <v>107072.13272584396</v>
      </c>
      <c r="FK8" s="1206">
        <v>113320.54684462154</v>
      </c>
      <c r="FL8" s="1206">
        <v>134184.03013529209</v>
      </c>
      <c r="FM8" s="1206">
        <v>127710.90633919922</v>
      </c>
      <c r="FN8" s="1100">
        <f t="shared" si="177"/>
        <v>1951434.7143149604</v>
      </c>
      <c r="FO8" s="1206">
        <v>122539.17051133931</v>
      </c>
      <c r="FP8" s="1206">
        <v>140566.61285117044</v>
      </c>
      <c r="FQ8" s="1206">
        <v>156002.90510756019</v>
      </c>
      <c r="FR8" s="1206">
        <v>246628.75131244984</v>
      </c>
      <c r="FS8" s="1206">
        <v>224447.04030591197</v>
      </c>
      <c r="FT8" s="1206">
        <v>208717.94574353338</v>
      </c>
      <c r="FU8" s="1206">
        <v>171798.17719017118</v>
      </c>
      <c r="FV8" s="1206">
        <v>119522.68369006916</v>
      </c>
      <c r="FW8" s="1206">
        <v>109880.95883447684</v>
      </c>
      <c r="FX8" s="1206">
        <v>106543.26403621605</v>
      </c>
      <c r="FY8" s="1206">
        <v>124307.94356608851</v>
      </c>
      <c r="FZ8" s="1206">
        <v>133054.65441518568</v>
      </c>
      <c r="GA8" s="1100">
        <f t="shared" si="190"/>
        <v>1864010.1075641722</v>
      </c>
      <c r="GB8" s="1206">
        <v>141301.45614017511</v>
      </c>
      <c r="GC8" s="1206">
        <v>175352.61950739622</v>
      </c>
      <c r="GD8" s="1206">
        <v>186242.18470580693</v>
      </c>
      <c r="GE8" s="1206">
        <v>270067.60493952472</v>
      </c>
      <c r="GF8" s="1206">
        <v>244949.6966804142</v>
      </c>
      <c r="GG8" s="1206">
        <v>215809.72560339846</v>
      </c>
      <c r="GH8" s="1206">
        <v>161349.38131583345</v>
      </c>
      <c r="GI8" s="1206">
        <v>141226.01279505651</v>
      </c>
      <c r="GJ8" s="1206">
        <v>124918.51217487903</v>
      </c>
      <c r="GK8" s="1206">
        <v>126016.15326809412</v>
      </c>
      <c r="GL8" s="1206">
        <v>142843.12825098663</v>
      </c>
      <c r="GM8" s="1206">
        <v>134124.29415224609</v>
      </c>
      <c r="GN8" s="1100">
        <f t="shared" si="203"/>
        <v>2064200.7695338114</v>
      </c>
      <c r="GO8" s="1206">
        <v>126412.14934501857</v>
      </c>
      <c r="GP8" s="1206">
        <v>168971.65389864091</v>
      </c>
      <c r="GQ8" s="1206">
        <v>160717.15406927012</v>
      </c>
      <c r="GR8" s="1206">
        <v>251014.72781217381</v>
      </c>
      <c r="GS8" s="1206">
        <v>244394.73822666728</v>
      </c>
      <c r="GT8" s="1206">
        <v>230931.4208444111</v>
      </c>
      <c r="GU8" s="1206">
        <v>182544.94827646244</v>
      </c>
      <c r="GV8" s="1206">
        <v>136767.04926638195</v>
      </c>
      <c r="GW8" s="1206">
        <v>137596.8209299944</v>
      </c>
      <c r="GX8" s="1206">
        <v>135544.93392335993</v>
      </c>
      <c r="GY8" s="1206">
        <v>162126.95465315128</v>
      </c>
      <c r="GZ8" s="1206">
        <v>160418.59554822987</v>
      </c>
      <c r="HA8" s="1100">
        <f t="shared" si="216"/>
        <v>2097441.1467937618</v>
      </c>
      <c r="HB8" s="1206">
        <v>153651.92384467495</v>
      </c>
      <c r="HC8" s="1206">
        <v>161911.9322737153</v>
      </c>
      <c r="HD8" s="1206">
        <v>170986.62138596113</v>
      </c>
      <c r="HE8" s="1206">
        <v>242137.43469204268</v>
      </c>
      <c r="HF8" s="1206">
        <v>244146.87767478786</v>
      </c>
      <c r="HG8" s="1206">
        <v>238483.89200081665</v>
      </c>
      <c r="HH8" s="1206">
        <v>191038.64019593669</v>
      </c>
      <c r="HI8" s="1206">
        <v>151477.54522845955</v>
      </c>
      <c r="HJ8" s="1206">
        <v>130552.45906293584</v>
      </c>
      <c r="HK8" s="1206">
        <v>130482.50670006545</v>
      </c>
      <c r="HL8" s="1206">
        <v>157498.67480014142</v>
      </c>
      <c r="HM8" s="1206">
        <v>154627.03043255856</v>
      </c>
      <c r="HN8" s="1100">
        <f t="shared" si="229"/>
        <v>2126995.538292096</v>
      </c>
      <c r="HO8" s="1206">
        <v>171162.3073733341</v>
      </c>
      <c r="HP8" s="1206">
        <v>177721.89172596953</v>
      </c>
      <c r="HQ8" s="1206">
        <v>193748.60206700137</v>
      </c>
      <c r="HR8" s="1206">
        <v>249438.87134655027</v>
      </c>
      <c r="HS8" s="1206">
        <v>261838.47388701563</v>
      </c>
      <c r="HT8" s="1206">
        <v>261452.36995374761</v>
      </c>
      <c r="HU8" s="1206">
        <v>194094.02837078628</v>
      </c>
      <c r="HV8" s="1206">
        <v>153311.57035822797</v>
      </c>
      <c r="HW8" s="1206">
        <v>148697.63695770758</v>
      </c>
      <c r="HX8" s="1206">
        <v>140332.62126525978</v>
      </c>
      <c r="HY8" s="1206">
        <v>159567.69438708687</v>
      </c>
      <c r="HZ8" s="1206">
        <v>154781.83815956608</v>
      </c>
      <c r="IA8" s="1100">
        <f t="shared" si="242"/>
        <v>2266147.9058522531</v>
      </c>
      <c r="IB8" s="1206">
        <v>163273.65613494339</v>
      </c>
      <c r="IC8" s="1206">
        <v>173939.01251835996</v>
      </c>
      <c r="ID8" s="1206">
        <v>182891.33657620999</v>
      </c>
      <c r="IE8" s="1206">
        <v>247598.40613609145</v>
      </c>
      <c r="IF8" s="1206">
        <v>272446.36691042106</v>
      </c>
      <c r="IG8" s="1206">
        <v>259229.33871043075</v>
      </c>
      <c r="IH8" s="1206">
        <v>216109.70435731922</v>
      </c>
      <c r="II8" s="1206">
        <v>150392.29077490445</v>
      </c>
      <c r="IJ8" s="1206">
        <v>119832.14479568209</v>
      </c>
      <c r="IK8" s="1206">
        <v>123363.48236975519</v>
      </c>
      <c r="IL8" s="1206">
        <v>124657.59386267945</v>
      </c>
      <c r="IM8" s="1206">
        <v>123734.51323128346</v>
      </c>
      <c r="IN8" s="1100">
        <v>2157467.8463780805</v>
      </c>
      <c r="IO8" s="1206">
        <v>129811.17092953267</v>
      </c>
      <c r="IP8" s="1206">
        <v>146425.17713069308</v>
      </c>
      <c r="IQ8" s="1206">
        <v>197686.25178568444</v>
      </c>
      <c r="IR8" s="1206">
        <v>253150.48899521481</v>
      </c>
      <c r="IS8" s="1206">
        <v>274201.03336792643</v>
      </c>
      <c r="IT8" s="1206">
        <v>263954.57521053741</v>
      </c>
      <c r="IU8" s="1206">
        <v>226045.6880737202</v>
      </c>
      <c r="IV8" s="1206">
        <v>162604.48894818843</v>
      </c>
      <c r="IW8" s="1206">
        <v>127980.04755550525</v>
      </c>
      <c r="IX8" s="1206">
        <v>124425.62294556206</v>
      </c>
      <c r="IY8" s="1206">
        <v>128229.46951194896</v>
      </c>
      <c r="IZ8" s="1206">
        <v>135615.75718842636</v>
      </c>
      <c r="JA8" s="1100">
        <v>2170129.7716429401</v>
      </c>
      <c r="JB8" s="1206">
        <v>144500.1645007862</v>
      </c>
      <c r="JC8" s="1206">
        <v>142773.53293819577</v>
      </c>
      <c r="JD8" s="1206"/>
      <c r="JE8" s="1206"/>
      <c r="JF8" s="1206"/>
      <c r="JG8" s="1206"/>
      <c r="JH8" s="1206"/>
      <c r="JI8" s="1206"/>
      <c r="JJ8" s="1206"/>
      <c r="JK8" s="1206"/>
      <c r="JL8" s="1206"/>
      <c r="JM8" s="1206"/>
      <c r="JN8" s="1100">
        <f t="shared" si="281"/>
        <v>287273.69743898197</v>
      </c>
      <c r="JO8" s="71"/>
      <c r="JP8" s="1119">
        <f>IFERROR(((
_xlfn.XLOOKUP((DATE(YEAR($JP$5),MONTH($JP$5),1)),SMN.AGRO.DATE,$B8:$JN8) /
_xlfn.XLOOKUP((DATE(YEAR($JP$5)-1,MONTH($JP$5),1)),SMN.AGRO.DATE,$B8:$JN8)
)-1)*100,"")</f>
        <v>9.6022068918916617</v>
      </c>
      <c r="JQ8" s="1120">
        <f t="shared" ref="JQ8:JQ9" si="282">IFERROR(((JS8/JR8)-1)*100,"")</f>
        <v>0.58688824893111669</v>
      </c>
      <c r="JR8" s="1121">
        <f>SUMIFS($B8:$JN8,SMN.AGRO.DATE,"&gt;="&amp;DATE(YEAR($JP$5)-1,1,1),SMN.AGRO.DATE,"&lt;="&amp;DATE(YEAR($JP$5)-1,MONTH($JP$5),1))</f>
        <v>2157467.8463780805</v>
      </c>
      <c r="JS8" s="1122">
        <f>SUMIFS($B8:$JN8,SMN.AGRO.DATE,"&gt;="&amp;DATE(YEAR($JP$5),1,1),SMN.AGRO.DATE,"&lt;="&amp;$JP$5)</f>
        <v>2170129.7716429406</v>
      </c>
      <c r="JT8" s="35"/>
      <c r="JU8" s="1121"/>
      <c r="JV8" s="1215"/>
      <c r="JW8" s="1149"/>
    </row>
    <row r="9" spans="1:283" ht="15" customHeight="1" x14ac:dyDescent="0.2">
      <c r="A9" s="1205" t="s">
        <v>585</v>
      </c>
      <c r="B9" s="1206">
        <v>7904.5520153372781</v>
      </c>
      <c r="C9" s="1206">
        <v>7709.6251683320806</v>
      </c>
      <c r="D9" s="1206">
        <v>8351.708163212159</v>
      </c>
      <c r="E9" s="1206">
        <v>8518.7362800935443</v>
      </c>
      <c r="F9" s="1206">
        <v>8235.4711337910758</v>
      </c>
      <c r="G9" s="1206">
        <v>8873.8017064275264</v>
      </c>
      <c r="H9" s="1206">
        <v>8173.1972518872481</v>
      </c>
      <c r="I9" s="1206">
        <v>8780.9237187060389</v>
      </c>
      <c r="J9" s="1206">
        <v>9085.9626399220106</v>
      </c>
      <c r="K9" s="1206">
        <v>8720.25298049095</v>
      </c>
      <c r="L9" s="1206">
        <v>8931.6573517870347</v>
      </c>
      <c r="M9" s="1206">
        <v>9445.2697961272243</v>
      </c>
      <c r="N9" s="1100">
        <f t="shared" si="21"/>
        <v>102731.15820611417</v>
      </c>
      <c r="O9" s="1206">
        <v>9142.1403920476678</v>
      </c>
      <c r="P9" s="1206">
        <v>8675.0335604722259</v>
      </c>
      <c r="Q9" s="1206">
        <v>9594.5249241184447</v>
      </c>
      <c r="R9" s="1206">
        <v>9757.2487984634026</v>
      </c>
      <c r="S9" s="1206">
        <v>9674.7847120006845</v>
      </c>
      <c r="T9" s="1206">
        <v>10726.754831862492</v>
      </c>
      <c r="U9" s="1206">
        <v>10244.968569871169</v>
      </c>
      <c r="V9" s="1206">
        <v>10451.644250704107</v>
      </c>
      <c r="W9" s="1206">
        <v>10463.463740568926</v>
      </c>
      <c r="X9" s="1206">
        <v>10345.365995487491</v>
      </c>
      <c r="Y9" s="1206">
        <v>10325.647780495065</v>
      </c>
      <c r="Z9" s="1206">
        <v>11034.828386120282</v>
      </c>
      <c r="AA9" s="1100">
        <f t="shared" si="34"/>
        <v>120436.40594221196</v>
      </c>
      <c r="AB9" s="1206">
        <v>12230.110684359339</v>
      </c>
      <c r="AC9" s="1206">
        <v>12662.423118914427</v>
      </c>
      <c r="AD9" s="1206">
        <v>13126.380798846118</v>
      </c>
      <c r="AE9" s="1206">
        <v>13019.875511175582</v>
      </c>
      <c r="AF9" s="1206">
        <v>13217.474914850682</v>
      </c>
      <c r="AG9" s="1206">
        <v>14088.198946114386</v>
      </c>
      <c r="AH9" s="1206">
        <v>13111.170040080629</v>
      </c>
      <c r="AI9" s="1206">
        <v>13567.963374826295</v>
      </c>
      <c r="AJ9" s="1206">
        <v>13977.534669656419</v>
      </c>
      <c r="AK9" s="1206">
        <v>14728.905218123138</v>
      </c>
      <c r="AL9" s="1206">
        <v>13877.848804445221</v>
      </c>
      <c r="AM9" s="1206">
        <v>15708.551182295727</v>
      </c>
      <c r="AN9" s="1100">
        <f t="shared" si="47"/>
        <v>163316.43726368796</v>
      </c>
      <c r="AO9" s="1206">
        <v>14511.027395960178</v>
      </c>
      <c r="AP9" s="1206">
        <v>15040.884427972442</v>
      </c>
      <c r="AQ9" s="1206">
        <v>15698.612741865936</v>
      </c>
      <c r="AR9" s="1206">
        <v>14351.697594349131</v>
      </c>
      <c r="AS9" s="1206">
        <v>15669.061615388831</v>
      </c>
      <c r="AT9" s="1206">
        <v>17400.016769829701</v>
      </c>
      <c r="AU9" s="1206">
        <v>15730.667308450364</v>
      </c>
      <c r="AV9" s="1206">
        <v>14056.321173007011</v>
      </c>
      <c r="AW9" s="1206">
        <v>14052.636799253252</v>
      </c>
      <c r="AX9" s="1206">
        <v>13364</v>
      </c>
      <c r="AY9" s="1206">
        <v>13680</v>
      </c>
      <c r="AZ9" s="1206">
        <v>16049</v>
      </c>
      <c r="BA9" s="1100">
        <f t="shared" si="60"/>
        <v>179603.92582607685</v>
      </c>
      <c r="BB9" s="1206">
        <v>12378.959206247504</v>
      </c>
      <c r="BC9" s="1206">
        <v>12991.162173603696</v>
      </c>
      <c r="BD9" s="1206">
        <v>12744.277816540422</v>
      </c>
      <c r="BE9" s="1206">
        <v>12707.379176324403</v>
      </c>
      <c r="BF9" s="1206">
        <v>13417.336986750279</v>
      </c>
      <c r="BG9" s="1206">
        <v>13222.001701447693</v>
      </c>
      <c r="BH9" s="1206">
        <v>12481.821751584479</v>
      </c>
      <c r="BI9" s="1206">
        <v>12913.507379924182</v>
      </c>
      <c r="BJ9" s="1206">
        <v>13756.810965909355</v>
      </c>
      <c r="BK9" s="1206">
        <v>13776.166678499365</v>
      </c>
      <c r="BL9" s="1206">
        <v>13058.448498168036</v>
      </c>
      <c r="BM9" s="1206">
        <v>13489.862219926485</v>
      </c>
      <c r="BN9" s="1100">
        <f t="shared" si="73"/>
        <v>156937.7345549259</v>
      </c>
      <c r="BO9" s="1206">
        <v>13954.210040726804</v>
      </c>
      <c r="BP9" s="1206">
        <v>14111.448320702857</v>
      </c>
      <c r="BQ9" s="1206">
        <v>14509.626555250215</v>
      </c>
      <c r="BR9" s="1206">
        <v>14268.91898451652</v>
      </c>
      <c r="BS9" s="1206">
        <v>14667.506532581621</v>
      </c>
      <c r="BT9" s="1206">
        <v>15645.499210492602</v>
      </c>
      <c r="BU9" s="1206">
        <v>15457.854215788866</v>
      </c>
      <c r="BV9" s="1206">
        <v>15610.231701135501</v>
      </c>
      <c r="BW9" s="1206">
        <v>15364.17580221615</v>
      </c>
      <c r="BX9" s="1206">
        <v>14896.487417833823</v>
      </c>
      <c r="BY9" s="1206">
        <v>16698.517793124745</v>
      </c>
      <c r="BZ9" s="1206">
        <v>17258.718252888197</v>
      </c>
      <c r="CA9" s="1100">
        <f t="shared" si="86"/>
        <v>182443.19482725789</v>
      </c>
      <c r="CB9" s="1206">
        <v>16326.534903857699</v>
      </c>
      <c r="CC9" s="1206">
        <v>16110.365852934807</v>
      </c>
      <c r="CD9" s="1206">
        <v>15226.231044769831</v>
      </c>
      <c r="CE9" s="1206">
        <v>15028.951071955134</v>
      </c>
      <c r="CF9" s="1206">
        <v>17450.915234966003</v>
      </c>
      <c r="CG9" s="1206">
        <v>16675.955732834715</v>
      </c>
      <c r="CH9" s="1206">
        <v>17172.204324170885</v>
      </c>
      <c r="CI9" s="1206">
        <v>16199.149549627786</v>
      </c>
      <c r="CJ9" s="1206">
        <v>17816.496857225968</v>
      </c>
      <c r="CK9" s="1206">
        <v>14730.845439306464</v>
      </c>
      <c r="CL9" s="1206">
        <v>16167.178814750949</v>
      </c>
      <c r="CM9" s="1206">
        <v>15175.956062193753</v>
      </c>
      <c r="CN9" s="1100">
        <f t="shared" si="99"/>
        <v>194080.784888594</v>
      </c>
      <c r="CO9" s="1206">
        <v>15449.870944732873</v>
      </c>
      <c r="CP9" s="1206">
        <v>16114.75770793005</v>
      </c>
      <c r="CQ9" s="1206">
        <v>15179.628975421012</v>
      </c>
      <c r="CR9" s="1206">
        <v>16103.114515619949</v>
      </c>
      <c r="CS9" s="1206">
        <v>15356.486814683158</v>
      </c>
      <c r="CT9" s="1206">
        <v>16080.098727069571</v>
      </c>
      <c r="CU9" s="1206">
        <v>15834.831554982356</v>
      </c>
      <c r="CV9" s="1206">
        <v>14947.78567681904</v>
      </c>
      <c r="CW9" s="1206">
        <v>15462.428040297849</v>
      </c>
      <c r="CX9" s="1206">
        <v>15901.934504108913</v>
      </c>
      <c r="CY9" s="1206">
        <v>16982.939820089654</v>
      </c>
      <c r="CZ9" s="1206">
        <v>16996.239040760258</v>
      </c>
      <c r="DA9" s="1100">
        <f t="shared" si="112"/>
        <v>190410.11632251472</v>
      </c>
      <c r="DB9" s="1206">
        <v>17044.086305141602</v>
      </c>
      <c r="DC9" s="1206">
        <v>16594.609566062634</v>
      </c>
      <c r="DD9" s="1206">
        <v>18178.40079892235</v>
      </c>
      <c r="DE9" s="1206">
        <v>17525.558841304599</v>
      </c>
      <c r="DF9" s="1206">
        <v>17472.654521313889</v>
      </c>
      <c r="DG9" s="1206">
        <v>17287.667848115121</v>
      </c>
      <c r="DH9" s="1206">
        <v>18497.871605730277</v>
      </c>
      <c r="DI9" s="1206">
        <v>18717.432655802539</v>
      </c>
      <c r="DJ9" s="1206">
        <v>17421.116128920046</v>
      </c>
      <c r="DK9" s="1206">
        <v>16794.046612511775</v>
      </c>
      <c r="DL9" s="1206">
        <v>16644.674658734551</v>
      </c>
      <c r="DM9" s="1206">
        <v>17338.29305573937</v>
      </c>
      <c r="DN9" s="1100">
        <f t="shared" si="125"/>
        <v>209516.41259829878</v>
      </c>
      <c r="DO9" s="1206">
        <v>17393.578408483489</v>
      </c>
      <c r="DP9" s="1206">
        <v>16760.193121066783</v>
      </c>
      <c r="DQ9" s="1206">
        <v>18382.563758277283</v>
      </c>
      <c r="DR9" s="1206">
        <v>17966.310229730072</v>
      </c>
      <c r="DS9" s="1206">
        <v>18799.404052904265</v>
      </c>
      <c r="DT9" s="1206">
        <v>18441.763999681803</v>
      </c>
      <c r="DU9" s="1206">
        <v>19297.774639065636</v>
      </c>
      <c r="DV9" s="1206">
        <v>18804.105087475808</v>
      </c>
      <c r="DW9" s="1206">
        <v>18839.136990960105</v>
      </c>
      <c r="DX9" s="1206">
        <v>19612.336956890078</v>
      </c>
      <c r="DY9" s="1206">
        <v>19182.21961700941</v>
      </c>
      <c r="DZ9" s="1206">
        <v>20008.739392380459</v>
      </c>
      <c r="EA9" s="1100">
        <f t="shared" si="138"/>
        <v>223488.12625392521</v>
      </c>
      <c r="EB9" s="1206">
        <v>18569.52211067174</v>
      </c>
      <c r="EC9" s="1206">
        <v>18181.625245340114</v>
      </c>
      <c r="ED9" s="1206">
        <v>19487.516684123926</v>
      </c>
      <c r="EE9" s="1206">
        <v>19608.426353977167</v>
      </c>
      <c r="EF9" s="1206">
        <v>19584.953334805494</v>
      </c>
      <c r="EG9" s="1206">
        <v>20361.190238257677</v>
      </c>
      <c r="EH9" s="1206">
        <v>20902.420659691543</v>
      </c>
      <c r="EI9" s="1206">
        <v>20702.49557855395</v>
      </c>
      <c r="EJ9" s="1206">
        <v>20125.141149675783</v>
      </c>
      <c r="EK9" s="1206">
        <v>20308.473126726905</v>
      </c>
      <c r="EL9" s="1206">
        <v>20023.472045796334</v>
      </c>
      <c r="EM9" s="1206">
        <v>22169.092863953734</v>
      </c>
      <c r="EN9" s="1100">
        <f t="shared" si="151"/>
        <v>240024.32939157437</v>
      </c>
      <c r="EO9" s="1206">
        <v>19999.878772034888</v>
      </c>
      <c r="EP9" s="1206">
        <v>19351.818978472591</v>
      </c>
      <c r="EQ9" s="1206">
        <v>19969.542199573549</v>
      </c>
      <c r="ER9" s="1206">
        <v>20843.566421812098</v>
      </c>
      <c r="ES9" s="1206">
        <v>20742.179505471315</v>
      </c>
      <c r="ET9" s="1206">
        <v>20137.602167282599</v>
      </c>
      <c r="EU9" s="1206">
        <v>20705.876140084725</v>
      </c>
      <c r="EV9" s="1206">
        <v>21153.724535015288</v>
      </c>
      <c r="EW9" s="1206">
        <v>20882.319590357358</v>
      </c>
      <c r="EX9" s="1206">
        <v>20479.879746588027</v>
      </c>
      <c r="EY9" s="1206">
        <v>20221.598941570988</v>
      </c>
      <c r="EZ9" s="1206">
        <v>22231.037146902614</v>
      </c>
      <c r="FA9" s="1100">
        <f t="shared" si="164"/>
        <v>246719.02414516607</v>
      </c>
      <c r="FB9" s="1206">
        <v>20768.126997025727</v>
      </c>
      <c r="FC9" s="1206">
        <v>20195.208734366151</v>
      </c>
      <c r="FD9" s="1206">
        <v>21592.481965435458</v>
      </c>
      <c r="FE9" s="1206">
        <v>21244.468769162042</v>
      </c>
      <c r="FF9" s="1206">
        <v>22096.614764218484</v>
      </c>
      <c r="FG9" s="1206">
        <v>21211.13838720971</v>
      </c>
      <c r="FH9" s="1206">
        <v>22167.59921274798</v>
      </c>
      <c r="FI9" s="1206">
        <v>21751.718284698141</v>
      </c>
      <c r="FJ9" s="1206">
        <v>20791.353663101767</v>
      </c>
      <c r="FK9" s="1206">
        <v>20628.520191290481</v>
      </c>
      <c r="FL9" s="1206">
        <v>20219.755923424073</v>
      </c>
      <c r="FM9" s="1206">
        <v>22633.628243038929</v>
      </c>
      <c r="FN9" s="1100">
        <f t="shared" si="177"/>
        <v>255300.61513571892</v>
      </c>
      <c r="FO9" s="1206">
        <v>26704.254404190437</v>
      </c>
      <c r="FP9" s="1206">
        <v>25728.845123295614</v>
      </c>
      <c r="FQ9" s="1206">
        <v>26398.41710218347</v>
      </c>
      <c r="FR9" s="1206">
        <v>28053.492770678648</v>
      </c>
      <c r="FS9" s="1206">
        <v>27790.29785401874</v>
      </c>
      <c r="FT9" s="1206">
        <v>26631.691288782189</v>
      </c>
      <c r="FU9" s="1206">
        <v>28276.321600357118</v>
      </c>
      <c r="FV9" s="1206">
        <v>27659.112387231828</v>
      </c>
      <c r="FW9" s="1206">
        <v>26784.193598951511</v>
      </c>
      <c r="FX9" s="1206">
        <v>26353.718496122467</v>
      </c>
      <c r="FY9" s="1206">
        <v>25741.625913171643</v>
      </c>
      <c r="FZ9" s="1206">
        <v>28951.100601261242</v>
      </c>
      <c r="GA9" s="1100">
        <f t="shared" si="190"/>
        <v>325073.07114024489</v>
      </c>
      <c r="GB9" s="1206">
        <v>25030.94652854633</v>
      </c>
      <c r="GC9" s="1206">
        <v>26581.238672180712</v>
      </c>
      <c r="GD9" s="1206">
        <v>25880.593095635533</v>
      </c>
      <c r="GE9" s="1206">
        <v>26889.313268964674</v>
      </c>
      <c r="GF9" s="1206">
        <v>26916.663168285424</v>
      </c>
      <c r="GG9" s="1206">
        <v>25196.533044893142</v>
      </c>
      <c r="GH9" s="1206">
        <v>26819.739396394685</v>
      </c>
      <c r="GI9" s="1206">
        <v>25697.563665871981</v>
      </c>
      <c r="GJ9" s="1206">
        <v>25632.356253845428</v>
      </c>
      <c r="GK9" s="1206">
        <v>25023.348564708813</v>
      </c>
      <c r="GL9" s="1206">
        <v>24449.42947660037</v>
      </c>
      <c r="GM9" s="1206">
        <v>28198.11413696333</v>
      </c>
      <c r="GN9" s="1100">
        <f t="shared" si="203"/>
        <v>312315.83927289041</v>
      </c>
      <c r="GO9" s="1206">
        <v>24679.209089273259</v>
      </c>
      <c r="GP9" s="1206">
        <v>25720.3082106111</v>
      </c>
      <c r="GQ9" s="1206">
        <v>26315.283135515157</v>
      </c>
      <c r="GR9" s="1206">
        <v>27525.601399455682</v>
      </c>
      <c r="GS9" s="1206">
        <v>28175.217832412945</v>
      </c>
      <c r="GT9" s="1206">
        <v>26448.545828203663</v>
      </c>
      <c r="GU9" s="1206">
        <v>27830.682368711074</v>
      </c>
      <c r="GV9" s="1206">
        <v>25577.908819516932</v>
      </c>
      <c r="GW9" s="1206">
        <v>25298.098887225275</v>
      </c>
      <c r="GX9" s="1206">
        <v>25740.931523627896</v>
      </c>
      <c r="GY9" s="1206">
        <v>25451.211763611434</v>
      </c>
      <c r="GZ9" s="1206">
        <v>29410.902573059153</v>
      </c>
      <c r="HA9" s="1100">
        <f t="shared" si="216"/>
        <v>318173.90143122355</v>
      </c>
      <c r="HB9" s="1206">
        <v>25941.690901224269</v>
      </c>
      <c r="HC9" s="1206">
        <v>26330.07304610432</v>
      </c>
      <c r="HD9" s="1206">
        <v>27311.142019849092</v>
      </c>
      <c r="HE9" s="1206">
        <v>28007.209088907599</v>
      </c>
      <c r="HF9" s="1206">
        <v>28008.682842063321</v>
      </c>
      <c r="HG9" s="1206">
        <v>26654.140807145646</v>
      </c>
      <c r="HH9" s="1206">
        <v>26683.744359447119</v>
      </c>
      <c r="HI9" s="1206">
        <v>25330.78002435081</v>
      </c>
      <c r="HJ9" s="1206">
        <v>25151.079549011312</v>
      </c>
      <c r="HK9" s="1206">
        <v>25277.620639045959</v>
      </c>
      <c r="HL9" s="1206">
        <v>24856.287845620489</v>
      </c>
      <c r="HM9" s="1206">
        <v>28045.42591735522</v>
      </c>
      <c r="HN9" s="1100">
        <f t="shared" si="229"/>
        <v>317597.87704012514</v>
      </c>
      <c r="HO9" s="1206">
        <v>25304.585980807999</v>
      </c>
      <c r="HP9" s="1206">
        <v>25365.151659739106</v>
      </c>
      <c r="HQ9" s="1206">
        <v>26434.581234729736</v>
      </c>
      <c r="HR9" s="1206">
        <v>27233.968605294736</v>
      </c>
      <c r="HS9" s="1206">
        <v>27864.603047493845</v>
      </c>
      <c r="HT9" s="1206">
        <v>25891.568822123678</v>
      </c>
      <c r="HU9" s="1206">
        <v>25848.064783505284</v>
      </c>
      <c r="HV9" s="1206">
        <v>24009.221310504909</v>
      </c>
      <c r="HW9" s="1206">
        <v>24067.138354259761</v>
      </c>
      <c r="HX9" s="1206">
        <v>24394.337265625931</v>
      </c>
      <c r="HY9" s="1206">
        <v>24408.565669937438</v>
      </c>
      <c r="HZ9" s="1206">
        <v>27469.712584729285</v>
      </c>
      <c r="IA9" s="1100">
        <f t="shared" si="242"/>
        <v>308291.49931875174</v>
      </c>
      <c r="IB9" s="1206">
        <v>25060.190357989486</v>
      </c>
      <c r="IC9" s="1206">
        <v>24530.149219762872</v>
      </c>
      <c r="ID9" s="1206">
        <v>25940.261432305811</v>
      </c>
      <c r="IE9" s="1206">
        <v>27661.645487240748</v>
      </c>
      <c r="IF9" s="1206">
        <v>27899.93590491428</v>
      </c>
      <c r="IG9" s="1206">
        <v>26541.673306222343</v>
      </c>
      <c r="IH9" s="1206">
        <v>26413.44862169816</v>
      </c>
      <c r="II9" s="1206">
        <v>24564.685577757973</v>
      </c>
      <c r="IJ9" s="1206">
        <v>24632.987185314421</v>
      </c>
      <c r="IK9" s="1206">
        <v>24680.517073570627</v>
      </c>
      <c r="IL9" s="1206">
        <v>24868.499747011509</v>
      </c>
      <c r="IM9" s="1206">
        <v>27273.087039867602</v>
      </c>
      <c r="IN9" s="1100">
        <v>310067.08095365582</v>
      </c>
      <c r="IO9" s="1206">
        <v>26402.014481743056</v>
      </c>
      <c r="IP9" s="1206">
        <v>25247.335912893297</v>
      </c>
      <c r="IQ9" s="1206">
        <v>26893.333576033452</v>
      </c>
      <c r="IR9" s="1206">
        <v>28866.805303478264</v>
      </c>
      <c r="IS9" s="1206">
        <v>29734.56619548878</v>
      </c>
      <c r="IT9" s="1206">
        <v>27453.830660412859</v>
      </c>
      <c r="IU9" s="1206">
        <v>27260.242308673751</v>
      </c>
      <c r="IV9" s="1206">
        <v>25055.122951736823</v>
      </c>
      <c r="IW9" s="1206">
        <v>24873.635788437165</v>
      </c>
      <c r="IX9" s="1206">
        <v>25313.509398958671</v>
      </c>
      <c r="IY9" s="1206">
        <v>25278.874835611674</v>
      </c>
      <c r="IZ9" s="1206">
        <v>28191.722183644888</v>
      </c>
      <c r="JA9" s="1100">
        <v>320570.99359711265</v>
      </c>
      <c r="JB9" s="1206">
        <v>27316.913758962597</v>
      </c>
      <c r="JC9" s="1206">
        <v>26369.728256436108</v>
      </c>
      <c r="JD9" s="1206"/>
      <c r="JE9" s="1206"/>
      <c r="JF9" s="1206"/>
      <c r="JG9" s="1206"/>
      <c r="JH9" s="1206"/>
      <c r="JI9" s="1206"/>
      <c r="JJ9" s="1206"/>
      <c r="JK9" s="1206"/>
      <c r="JL9" s="1206"/>
      <c r="JM9" s="1206"/>
      <c r="JN9" s="1100">
        <f t="shared" si="281"/>
        <v>53686.642015398706</v>
      </c>
      <c r="JO9" s="71"/>
      <c r="JP9" s="1176">
        <f>IFERROR(((
_xlfn.XLOOKUP((DATE(YEAR($JP$5),MONTH($JP$5),1)),SMN.AGRO.DATE,$B9:$JN9) /
_xlfn.XLOOKUP((DATE(YEAR($JP$5)-1,MONTH($JP$5),1)),SMN.AGRO.DATE,$B9:$JN9)
)-1)*100,"")</f>
        <v>3.3682844279213198</v>
      </c>
      <c r="JQ9" s="1177">
        <f t="shared" si="282"/>
        <v>3.3876258682961513</v>
      </c>
      <c r="JR9" s="1186">
        <f>SUMIFS($B9:$JN9,SMN.AGRO.DATE,"&gt;="&amp;DATE(YEAR($JP$5)-1,1,1),SMN.AGRO.DATE,"&lt;="&amp;DATE(YEAR($JP$5)-1,MONTH($JP$5),1))</f>
        <v>310067.08095365582</v>
      </c>
      <c r="JS9" s="1187">
        <f>SUMIFS($B9:$JN9,SMN.AGRO.DATE,"&gt;="&amp;DATE(YEAR($JP$5),1,1),SMN.AGRO.DATE,"&lt;="&amp;$JP$5)</f>
        <v>320570.99359711265</v>
      </c>
      <c r="JT9" s="35"/>
      <c r="JU9" s="61"/>
      <c r="JV9" s="35"/>
      <c r="JW9" s="1216"/>
    </row>
    <row r="10" spans="1:283" ht="15" customHeight="1" x14ac:dyDescent="0.2">
      <c r="A10" s="1196"/>
      <c r="B10" s="1197"/>
      <c r="C10" s="1197"/>
      <c r="D10" s="1197"/>
      <c r="E10" s="1197"/>
      <c r="F10" s="1197"/>
      <c r="G10" s="1197"/>
      <c r="H10" s="1197"/>
      <c r="I10" s="1197"/>
      <c r="J10" s="1197"/>
      <c r="K10" s="1197"/>
      <c r="L10" s="1197"/>
      <c r="M10" s="1197"/>
      <c r="N10" s="1136"/>
      <c r="O10" s="1197"/>
      <c r="P10" s="1197"/>
      <c r="Q10" s="1197"/>
      <c r="R10" s="1197"/>
      <c r="S10" s="1197"/>
      <c r="T10" s="1197"/>
      <c r="U10" s="1197"/>
      <c r="V10" s="1197"/>
      <c r="W10" s="1197"/>
      <c r="X10" s="1197"/>
      <c r="Y10" s="1197"/>
      <c r="Z10" s="1197"/>
      <c r="AA10" s="1136"/>
      <c r="AB10" s="1197"/>
      <c r="AC10" s="1197"/>
      <c r="AD10" s="1197"/>
      <c r="AE10" s="1197"/>
      <c r="AF10" s="1197"/>
      <c r="AG10" s="1197"/>
      <c r="AH10" s="1197"/>
      <c r="AI10" s="1197"/>
      <c r="AJ10" s="1197"/>
      <c r="AK10" s="1197"/>
      <c r="AL10" s="1197"/>
      <c r="AM10" s="1197"/>
      <c r="AN10" s="1136"/>
      <c r="AO10" s="1197"/>
      <c r="AP10" s="1197"/>
      <c r="AQ10" s="1197"/>
      <c r="AR10" s="1197"/>
      <c r="AS10" s="1197"/>
      <c r="AT10" s="1197"/>
      <c r="AU10" s="1197"/>
      <c r="AV10" s="1197"/>
      <c r="AW10" s="1197"/>
      <c r="AX10" s="1197"/>
      <c r="AY10" s="1197"/>
      <c r="AZ10" s="1197"/>
      <c r="BA10" s="1136"/>
      <c r="BB10" s="1197"/>
      <c r="BC10" s="1197"/>
      <c r="BD10" s="1197"/>
      <c r="BE10" s="1197"/>
      <c r="BF10" s="1197"/>
      <c r="BG10" s="1197"/>
      <c r="BH10" s="1197"/>
      <c r="BI10" s="1197"/>
      <c r="BJ10" s="1197"/>
      <c r="BK10" s="1197"/>
      <c r="BL10" s="1197"/>
      <c r="BM10" s="1197"/>
      <c r="BN10" s="1136"/>
      <c r="BO10" s="1197"/>
      <c r="BP10" s="1197"/>
      <c r="BQ10" s="1197"/>
      <c r="BR10" s="1197"/>
      <c r="BS10" s="1197"/>
      <c r="BT10" s="1197"/>
      <c r="BU10" s="1197"/>
      <c r="BV10" s="1197"/>
      <c r="BW10" s="1197"/>
      <c r="BX10" s="1197"/>
      <c r="BY10" s="1197"/>
      <c r="BZ10" s="1197"/>
      <c r="CA10" s="1136"/>
      <c r="CB10" s="1197"/>
      <c r="CC10" s="1197"/>
      <c r="CD10" s="1197"/>
      <c r="CE10" s="1197"/>
      <c r="CF10" s="1197"/>
      <c r="CG10" s="1197"/>
      <c r="CH10" s="1197"/>
      <c r="CI10" s="1197"/>
      <c r="CJ10" s="1197"/>
      <c r="CK10" s="1197"/>
      <c r="CL10" s="1197"/>
      <c r="CM10" s="1197"/>
      <c r="CN10" s="1136"/>
      <c r="CO10" s="1197"/>
      <c r="CP10" s="1197"/>
      <c r="CQ10" s="1197"/>
      <c r="CR10" s="1197"/>
      <c r="CS10" s="1197"/>
      <c r="CT10" s="1197"/>
      <c r="CU10" s="1197"/>
      <c r="CV10" s="1197"/>
      <c r="CW10" s="1197"/>
      <c r="CX10" s="1197"/>
      <c r="CY10" s="1197"/>
      <c r="CZ10" s="1197"/>
      <c r="DA10" s="1136"/>
      <c r="DB10" s="1197"/>
      <c r="DC10" s="1197"/>
      <c r="DD10" s="1197"/>
      <c r="DE10" s="1197"/>
      <c r="DF10" s="1197"/>
      <c r="DG10" s="1197"/>
      <c r="DH10" s="1197"/>
      <c r="DI10" s="1197"/>
      <c r="DJ10" s="1197"/>
      <c r="DK10" s="1197"/>
      <c r="DL10" s="1197"/>
      <c r="DM10" s="1197"/>
      <c r="DN10" s="1136"/>
      <c r="DO10" s="1197"/>
      <c r="DP10" s="1197"/>
      <c r="DQ10" s="1197"/>
      <c r="DR10" s="1197"/>
      <c r="DS10" s="1197"/>
      <c r="DT10" s="1197"/>
      <c r="DU10" s="1197"/>
      <c r="DV10" s="1197"/>
      <c r="DW10" s="1197"/>
      <c r="DX10" s="1197"/>
      <c r="DY10" s="1197"/>
      <c r="DZ10" s="1197"/>
      <c r="EA10" s="1136"/>
      <c r="EB10" s="1197"/>
      <c r="EC10" s="1197"/>
      <c r="ED10" s="1197"/>
      <c r="EE10" s="1197"/>
      <c r="EF10" s="1197"/>
      <c r="EG10" s="1197"/>
      <c r="EH10" s="1197"/>
      <c r="EI10" s="1197"/>
      <c r="EJ10" s="1197"/>
      <c r="EK10" s="1197"/>
      <c r="EL10" s="1197"/>
      <c r="EM10" s="1197"/>
      <c r="EN10" s="1136"/>
      <c r="EO10" s="1197"/>
      <c r="EP10" s="1197"/>
      <c r="EQ10" s="1197"/>
      <c r="ER10" s="1197"/>
      <c r="ES10" s="1197"/>
      <c r="ET10" s="1197"/>
      <c r="EU10" s="1197"/>
      <c r="EV10" s="1197"/>
      <c r="EW10" s="1197"/>
      <c r="EX10" s="1197"/>
      <c r="EY10" s="1197"/>
      <c r="EZ10" s="1197"/>
      <c r="FA10" s="1136"/>
      <c r="FB10" s="1197"/>
      <c r="FC10" s="1197"/>
      <c r="FD10" s="1197"/>
      <c r="FE10" s="1197"/>
      <c r="FF10" s="1197"/>
      <c r="FG10" s="1197"/>
      <c r="FH10" s="1197"/>
      <c r="FI10" s="1197"/>
      <c r="FJ10" s="1197"/>
      <c r="FK10" s="1197"/>
      <c r="FL10" s="1197"/>
      <c r="FM10" s="1197"/>
      <c r="FN10" s="1136"/>
      <c r="FO10" s="1197"/>
      <c r="FP10" s="1197"/>
      <c r="FQ10" s="1197"/>
      <c r="FR10" s="1197"/>
      <c r="FS10" s="1197"/>
      <c r="FT10" s="1197"/>
      <c r="FU10" s="1197"/>
      <c r="FV10" s="1197"/>
      <c r="FW10" s="1197"/>
      <c r="FX10" s="1197"/>
      <c r="FY10" s="1197"/>
      <c r="FZ10" s="1197"/>
      <c r="GA10" s="1136"/>
      <c r="GB10" s="1197"/>
      <c r="GC10" s="1197"/>
      <c r="GD10" s="1197"/>
      <c r="GE10" s="1197"/>
      <c r="GF10" s="1197"/>
      <c r="GG10" s="1197"/>
      <c r="GH10" s="1197"/>
      <c r="GI10" s="1197"/>
      <c r="GJ10" s="1197"/>
      <c r="GK10" s="1197"/>
      <c r="GL10" s="1197"/>
      <c r="GM10" s="1197"/>
      <c r="GN10" s="1136"/>
      <c r="GO10" s="1197"/>
      <c r="GP10" s="1197"/>
      <c r="GQ10" s="1197"/>
      <c r="GR10" s="1197"/>
      <c r="GS10" s="1197"/>
      <c r="GT10" s="1197"/>
      <c r="GU10" s="1197"/>
      <c r="GV10" s="1197"/>
      <c r="GW10" s="1197"/>
      <c r="GX10" s="1197"/>
      <c r="GY10" s="1197"/>
      <c r="GZ10" s="1197"/>
      <c r="HA10" s="1136"/>
      <c r="HB10" s="1197"/>
      <c r="HC10" s="1197"/>
      <c r="HD10" s="1197"/>
      <c r="HE10" s="1197"/>
      <c r="HF10" s="1197"/>
      <c r="HG10" s="1197"/>
      <c r="HH10" s="1197"/>
      <c r="HI10" s="1197"/>
      <c r="HJ10" s="1197"/>
      <c r="HK10" s="1197"/>
      <c r="HL10" s="1197"/>
      <c r="HM10" s="1197"/>
      <c r="HN10" s="1136"/>
      <c r="HO10" s="1197"/>
      <c r="HP10" s="1197"/>
      <c r="HQ10" s="1197"/>
      <c r="HR10" s="1197"/>
      <c r="HS10" s="1197"/>
      <c r="HT10" s="1197"/>
      <c r="HU10" s="1197"/>
      <c r="HV10" s="1197"/>
      <c r="HW10" s="1197"/>
      <c r="HX10" s="1197"/>
      <c r="HY10" s="1197"/>
      <c r="HZ10" s="1197"/>
      <c r="IA10" s="1136"/>
      <c r="IB10" s="1197"/>
      <c r="IC10" s="1197"/>
      <c r="ID10" s="1197"/>
      <c r="IE10" s="1197"/>
      <c r="IF10" s="1197"/>
      <c r="IG10" s="1197"/>
      <c r="IH10" s="1197"/>
      <c r="II10" s="1197"/>
      <c r="IJ10" s="1197"/>
      <c r="IK10" s="1197"/>
      <c r="IL10" s="1197"/>
      <c r="IM10" s="1197"/>
      <c r="IN10" s="1136"/>
      <c r="IO10" s="1197"/>
      <c r="IP10" s="1197"/>
      <c r="IQ10" s="1197"/>
      <c r="IR10" s="1197"/>
      <c r="IS10" s="1197"/>
      <c r="IT10" s="1197"/>
      <c r="IU10" s="1197"/>
      <c r="IV10" s="1197"/>
      <c r="IW10" s="1197"/>
      <c r="IX10" s="1197"/>
      <c r="IY10" s="1197"/>
      <c r="IZ10" s="1197"/>
      <c r="JA10" s="1136"/>
      <c r="JB10" s="1197"/>
      <c r="JC10" s="1197"/>
      <c r="JD10" s="1197"/>
      <c r="JE10" s="1197"/>
      <c r="JF10" s="1197"/>
      <c r="JG10" s="1197"/>
      <c r="JH10" s="1197"/>
      <c r="JI10" s="1197"/>
      <c r="JJ10" s="1197"/>
      <c r="JK10" s="1197"/>
      <c r="JL10" s="1197"/>
      <c r="JM10" s="1197"/>
      <c r="JN10" s="1136"/>
      <c r="JO10" s="1195"/>
      <c r="JP10" s="1174"/>
      <c r="JQ10" s="1175"/>
      <c r="JR10" s="1184"/>
      <c r="JS10" s="1185"/>
      <c r="JT10" s="1"/>
      <c r="JU10" s="49"/>
      <c r="JV10" s="1"/>
      <c r="JW10" s="1217"/>
    </row>
    <row r="11" spans="1:283" ht="15" customHeight="1" x14ac:dyDescent="0.2">
      <c r="A11" s="1161" t="s">
        <v>529</v>
      </c>
      <c r="B11" s="1094">
        <f t="shared" ref="B11:M11" si="283">SUM(B13:B41,B43)</f>
        <v>347420</v>
      </c>
      <c r="C11" s="1094">
        <f t="shared" si="283"/>
        <v>320918.03000000003</v>
      </c>
      <c r="D11" s="1094">
        <f t="shared" si="283"/>
        <v>300526</v>
      </c>
      <c r="E11" s="1094">
        <f t="shared" si="283"/>
        <v>287841</v>
      </c>
      <c r="F11" s="1094">
        <f t="shared" si="283"/>
        <v>300599</v>
      </c>
      <c r="G11" s="1094">
        <f t="shared" si="283"/>
        <v>305359.5</v>
      </c>
      <c r="H11" s="1094">
        <f t="shared" si="283"/>
        <v>307108.99</v>
      </c>
      <c r="I11" s="1094">
        <f t="shared" si="283"/>
        <v>273686.5</v>
      </c>
      <c r="J11" s="1094">
        <f t="shared" si="283"/>
        <v>251303</v>
      </c>
      <c r="K11" s="1094">
        <f t="shared" si="283"/>
        <v>260021.5</v>
      </c>
      <c r="L11" s="1094">
        <f t="shared" si="283"/>
        <v>263596</v>
      </c>
      <c r="M11" s="1094">
        <f t="shared" si="283"/>
        <v>253028.5</v>
      </c>
      <c r="N11" s="1095">
        <f t="shared" si="21"/>
        <v>3471408.02</v>
      </c>
      <c r="O11" s="1094">
        <f t="shared" ref="O11:Z11" si="284">SUM(O13:O41,O43)</f>
        <v>303626</v>
      </c>
      <c r="P11" s="1094">
        <f t="shared" si="284"/>
        <v>321645</v>
      </c>
      <c r="Q11" s="1094">
        <f t="shared" si="284"/>
        <v>313371</v>
      </c>
      <c r="R11" s="1094">
        <f t="shared" si="284"/>
        <v>286938</v>
      </c>
      <c r="S11" s="1094">
        <f t="shared" si="284"/>
        <v>306321</v>
      </c>
      <c r="T11" s="1094">
        <f t="shared" si="284"/>
        <v>310347</v>
      </c>
      <c r="U11" s="1094">
        <f t="shared" si="284"/>
        <v>314627.5</v>
      </c>
      <c r="V11" s="1094">
        <f t="shared" si="284"/>
        <v>324546</v>
      </c>
      <c r="W11" s="1094">
        <f t="shared" si="284"/>
        <v>274844</v>
      </c>
      <c r="X11" s="1094">
        <f t="shared" si="284"/>
        <v>279915</v>
      </c>
      <c r="Y11" s="1094">
        <f t="shared" si="284"/>
        <v>289215</v>
      </c>
      <c r="Z11" s="1094">
        <f t="shared" si="284"/>
        <v>292366</v>
      </c>
      <c r="AA11" s="1095">
        <f t="shared" si="34"/>
        <v>3617761.5</v>
      </c>
      <c r="AB11" s="1094">
        <f t="shared" ref="AB11:AM11" si="285">SUM(AB13:AB41,AB43)</f>
        <v>319289</v>
      </c>
      <c r="AC11" s="1094">
        <f t="shared" si="285"/>
        <v>349602</v>
      </c>
      <c r="AD11" s="1094">
        <f t="shared" si="285"/>
        <v>331627</v>
      </c>
      <c r="AE11" s="1094">
        <f t="shared" si="285"/>
        <v>313960</v>
      </c>
      <c r="AF11" s="1094">
        <f t="shared" si="285"/>
        <v>335326</v>
      </c>
      <c r="AG11" s="1094">
        <f t="shared" si="285"/>
        <v>328797</v>
      </c>
      <c r="AH11" s="1094">
        <f t="shared" si="285"/>
        <v>366086</v>
      </c>
      <c r="AI11" s="1094">
        <f t="shared" si="285"/>
        <v>324828</v>
      </c>
      <c r="AJ11" s="1094">
        <f t="shared" si="285"/>
        <v>317581</v>
      </c>
      <c r="AK11" s="1094">
        <f t="shared" si="285"/>
        <v>327413</v>
      </c>
      <c r="AL11" s="1094">
        <f t="shared" si="285"/>
        <v>347105</v>
      </c>
      <c r="AM11" s="1094">
        <f t="shared" si="285"/>
        <v>320015</v>
      </c>
      <c r="AN11" s="1095">
        <f t="shared" si="47"/>
        <v>3981629</v>
      </c>
      <c r="AO11" s="1094">
        <f t="shared" ref="AO11:AZ11" si="286">SUM(AO13:AO41,AO43)</f>
        <v>317324.5</v>
      </c>
      <c r="AP11" s="1094">
        <f t="shared" si="286"/>
        <v>361841</v>
      </c>
      <c r="AQ11" s="1094">
        <f t="shared" si="286"/>
        <v>347473.25</v>
      </c>
      <c r="AR11" s="1094">
        <f t="shared" si="286"/>
        <v>357350</v>
      </c>
      <c r="AS11" s="1094">
        <f t="shared" si="286"/>
        <v>354325.9</v>
      </c>
      <c r="AT11" s="1094">
        <f t="shared" si="286"/>
        <v>354375</v>
      </c>
      <c r="AU11" s="1094">
        <f t="shared" si="286"/>
        <v>353351</v>
      </c>
      <c r="AV11" s="1094">
        <f t="shared" si="286"/>
        <v>334921.33</v>
      </c>
      <c r="AW11" s="1094">
        <f t="shared" si="286"/>
        <v>318656.02</v>
      </c>
      <c r="AX11" s="1094">
        <f t="shared" si="286"/>
        <v>325202.14</v>
      </c>
      <c r="AY11" s="1094">
        <f t="shared" si="286"/>
        <v>352894</v>
      </c>
      <c r="AZ11" s="1094">
        <f t="shared" si="286"/>
        <v>322210</v>
      </c>
      <c r="BA11" s="1095">
        <f t="shared" si="60"/>
        <v>4099924.14</v>
      </c>
      <c r="BB11" s="1094">
        <f t="shared" ref="BB11:BM11" si="287">SUM(BB13:BB41,BB43)</f>
        <v>323805.95</v>
      </c>
      <c r="BC11" s="1094">
        <f t="shared" si="287"/>
        <v>354298.4</v>
      </c>
      <c r="BD11" s="1094">
        <f t="shared" si="287"/>
        <v>347644.87</v>
      </c>
      <c r="BE11" s="1094">
        <f t="shared" si="287"/>
        <v>335629.17000000004</v>
      </c>
      <c r="BF11" s="1094">
        <f t="shared" si="287"/>
        <v>372026.51</v>
      </c>
      <c r="BG11" s="1094">
        <f t="shared" si="287"/>
        <v>361658.3</v>
      </c>
      <c r="BH11" s="1094">
        <f t="shared" si="287"/>
        <v>356062.23</v>
      </c>
      <c r="BI11" s="1094">
        <f t="shared" si="287"/>
        <v>344368.07999999996</v>
      </c>
      <c r="BJ11" s="1094">
        <f t="shared" si="287"/>
        <v>340498.95</v>
      </c>
      <c r="BK11" s="1094">
        <f t="shared" si="287"/>
        <v>359597.63800000004</v>
      </c>
      <c r="BL11" s="1094">
        <f t="shared" si="287"/>
        <v>386398.41000000003</v>
      </c>
      <c r="BM11" s="1094">
        <f t="shared" si="287"/>
        <v>373437.16000000003</v>
      </c>
      <c r="BN11" s="1095">
        <f t="shared" si="73"/>
        <v>4255425.6680000005</v>
      </c>
      <c r="BO11" s="1094">
        <f t="shared" ref="BO11:BZ11" si="288">SUM(BO13:BO41,BO43)</f>
        <v>353604.7</v>
      </c>
      <c r="BP11" s="1094">
        <f t="shared" si="288"/>
        <v>396866.06900000002</v>
      </c>
      <c r="BQ11" s="1094">
        <f t="shared" si="288"/>
        <v>384531.5</v>
      </c>
      <c r="BR11" s="1094">
        <f t="shared" si="288"/>
        <v>413001</v>
      </c>
      <c r="BS11" s="1094">
        <f t="shared" si="288"/>
        <v>400781.2</v>
      </c>
      <c r="BT11" s="1094">
        <f t="shared" si="288"/>
        <v>387651.4</v>
      </c>
      <c r="BU11" s="1094">
        <f t="shared" si="288"/>
        <v>385991</v>
      </c>
      <c r="BV11" s="1094">
        <f t="shared" si="288"/>
        <v>384856</v>
      </c>
      <c r="BW11" s="1094">
        <f t="shared" si="288"/>
        <v>370920</v>
      </c>
      <c r="BX11" s="1094">
        <f t="shared" si="288"/>
        <v>386886.16</v>
      </c>
      <c r="BY11" s="1094">
        <f t="shared" si="288"/>
        <v>395825</v>
      </c>
      <c r="BZ11" s="1094">
        <f t="shared" si="288"/>
        <v>389544.35</v>
      </c>
      <c r="CA11" s="1095">
        <f t="shared" si="86"/>
        <v>4650458.3789999997</v>
      </c>
      <c r="CB11" s="1094">
        <f t="shared" ref="CB11:CM11" si="289">SUM(CB13:CB41,CB43)</f>
        <v>389959</v>
      </c>
      <c r="CC11" s="1094">
        <f t="shared" si="289"/>
        <v>403149</v>
      </c>
      <c r="CD11" s="1094">
        <f t="shared" si="289"/>
        <v>360168</v>
      </c>
      <c r="CE11" s="1094">
        <f t="shared" si="289"/>
        <v>381865</v>
      </c>
      <c r="CF11" s="1094">
        <f t="shared" si="289"/>
        <v>394428</v>
      </c>
      <c r="CG11" s="1094">
        <f t="shared" si="289"/>
        <v>405433</v>
      </c>
      <c r="CH11" s="1094">
        <f t="shared" si="289"/>
        <v>391182</v>
      </c>
      <c r="CI11" s="1094">
        <f t="shared" si="289"/>
        <v>368984</v>
      </c>
      <c r="CJ11" s="1094">
        <f t="shared" si="289"/>
        <v>360721</v>
      </c>
      <c r="CK11" s="1094">
        <f t="shared" si="289"/>
        <v>375451</v>
      </c>
      <c r="CL11" s="1094">
        <f t="shared" si="289"/>
        <v>420537</v>
      </c>
      <c r="CM11" s="1094">
        <f t="shared" si="289"/>
        <v>393515</v>
      </c>
      <c r="CN11" s="1095">
        <f t="shared" si="99"/>
        <v>4645392</v>
      </c>
      <c r="CO11" s="1094">
        <f t="shared" ref="CO11:CZ11" si="290">SUM(CO13:CO41,CO43)</f>
        <v>382241.55</v>
      </c>
      <c r="CP11" s="1094">
        <f t="shared" si="290"/>
        <v>410064.65</v>
      </c>
      <c r="CQ11" s="1094">
        <f t="shared" si="290"/>
        <v>410643.95</v>
      </c>
      <c r="CR11" s="1094">
        <f t="shared" si="290"/>
        <v>400190.35</v>
      </c>
      <c r="CS11" s="1094">
        <f t="shared" si="290"/>
        <v>399684.66</v>
      </c>
      <c r="CT11" s="1094">
        <f t="shared" si="290"/>
        <v>429937.19999999995</v>
      </c>
      <c r="CU11" s="1094">
        <f t="shared" si="290"/>
        <v>402609.4</v>
      </c>
      <c r="CV11" s="1094">
        <f t="shared" si="290"/>
        <v>398597.679</v>
      </c>
      <c r="CW11" s="1094">
        <f t="shared" si="290"/>
        <v>379509.57999999996</v>
      </c>
      <c r="CX11" s="1094">
        <f t="shared" si="290"/>
        <v>393259.70999999996</v>
      </c>
      <c r="CY11" s="1094">
        <f t="shared" si="290"/>
        <v>411539.75900000002</v>
      </c>
      <c r="CZ11" s="1094">
        <f t="shared" si="290"/>
        <v>431575.35</v>
      </c>
      <c r="DA11" s="1095">
        <f t="shared" si="112"/>
        <v>4849853.8379999995</v>
      </c>
      <c r="DB11" s="1094">
        <f t="shared" ref="DB11:DM11" si="291">SUM(DB13:DB41,DB43)</f>
        <v>402135.35</v>
      </c>
      <c r="DC11" s="1094">
        <f t="shared" si="291"/>
        <v>434754.3</v>
      </c>
      <c r="DD11" s="1094">
        <f t="shared" si="291"/>
        <v>429154.4</v>
      </c>
      <c r="DE11" s="1094">
        <f t="shared" si="291"/>
        <v>413229.15</v>
      </c>
      <c r="DF11" s="1094">
        <f t="shared" si="291"/>
        <v>429619</v>
      </c>
      <c r="DG11" s="1094">
        <f t="shared" si="291"/>
        <v>451348</v>
      </c>
      <c r="DH11" s="1094">
        <f t="shared" si="291"/>
        <v>437276</v>
      </c>
      <c r="DI11" s="1094">
        <f t="shared" si="291"/>
        <v>405912.1</v>
      </c>
      <c r="DJ11" s="1094">
        <f t="shared" si="291"/>
        <v>380684</v>
      </c>
      <c r="DK11" s="1094">
        <f t="shared" si="291"/>
        <v>413721</v>
      </c>
      <c r="DL11" s="1094">
        <f t="shared" si="291"/>
        <v>442334</v>
      </c>
      <c r="DM11" s="1094">
        <f t="shared" si="291"/>
        <v>424471</v>
      </c>
      <c r="DN11" s="1095">
        <f t="shared" si="125"/>
        <v>5064638.3</v>
      </c>
      <c r="DO11" s="1094">
        <f t="shared" ref="DO11:DZ11" si="292">SUM(DO13:DO41,DO43)</f>
        <v>413052</v>
      </c>
      <c r="DP11" s="1094">
        <f t="shared" si="292"/>
        <v>422844.2</v>
      </c>
      <c r="DQ11" s="1094">
        <f t="shared" si="292"/>
        <v>443775.9</v>
      </c>
      <c r="DR11" s="1094">
        <f t="shared" si="292"/>
        <v>433015.4</v>
      </c>
      <c r="DS11" s="1094">
        <f t="shared" si="292"/>
        <v>443224.1</v>
      </c>
      <c r="DT11" s="1094">
        <f t="shared" si="292"/>
        <v>461901.2</v>
      </c>
      <c r="DU11" s="1094">
        <f t="shared" si="292"/>
        <v>447868.8</v>
      </c>
      <c r="DV11" s="1094">
        <f t="shared" si="292"/>
        <v>433332.4</v>
      </c>
      <c r="DW11" s="1094">
        <f t="shared" si="292"/>
        <v>422626.2</v>
      </c>
      <c r="DX11" s="1094">
        <f t="shared" si="292"/>
        <v>417154.5</v>
      </c>
      <c r="DY11" s="1094">
        <f t="shared" si="292"/>
        <v>447259.9</v>
      </c>
      <c r="DZ11" s="1094">
        <f t="shared" si="292"/>
        <v>460745.75</v>
      </c>
      <c r="EA11" s="1095">
        <f t="shared" si="138"/>
        <v>5246800.3500000006</v>
      </c>
      <c r="EB11" s="1094">
        <f t="shared" ref="EB11:EM11" si="293">SUM(EB13:EB41,EB43)</f>
        <v>414032</v>
      </c>
      <c r="EC11" s="1094">
        <f t="shared" si="293"/>
        <v>463610</v>
      </c>
      <c r="ED11" s="1094">
        <f t="shared" si="293"/>
        <v>421497</v>
      </c>
      <c r="EE11" s="1094">
        <f t="shared" si="293"/>
        <v>448982.65600000002</v>
      </c>
      <c r="EF11" s="1094">
        <f t="shared" si="293"/>
        <v>445690</v>
      </c>
      <c r="EG11" s="1094">
        <f t="shared" si="293"/>
        <v>454935</v>
      </c>
      <c r="EH11" s="1094">
        <f t="shared" si="293"/>
        <v>461065</v>
      </c>
      <c r="EI11" s="1094">
        <f t="shared" si="293"/>
        <v>423839</v>
      </c>
      <c r="EJ11" s="1094">
        <f t="shared" si="293"/>
        <v>408542</v>
      </c>
      <c r="EK11" s="1094">
        <f t="shared" si="293"/>
        <v>453891</v>
      </c>
      <c r="EL11" s="1094">
        <f t="shared" si="293"/>
        <v>469791</v>
      </c>
      <c r="EM11" s="1094">
        <f t="shared" si="293"/>
        <v>478521.7</v>
      </c>
      <c r="EN11" s="1095">
        <f t="shared" si="151"/>
        <v>5344396.3559999997</v>
      </c>
      <c r="EO11" s="1094">
        <f t="shared" ref="EO11:EZ11" si="294">SUM(EO13:EO41,EO43)</f>
        <v>461526.2</v>
      </c>
      <c r="EP11" s="1094">
        <f t="shared" si="294"/>
        <v>489465.2</v>
      </c>
      <c r="EQ11" s="1094">
        <f t="shared" si="294"/>
        <v>490873</v>
      </c>
      <c r="ER11" s="1094">
        <f t="shared" si="294"/>
        <v>489355</v>
      </c>
      <c r="ES11" s="1094">
        <f t="shared" si="294"/>
        <v>493854</v>
      </c>
      <c r="ET11" s="1094">
        <f t="shared" si="294"/>
        <v>507267</v>
      </c>
      <c r="EU11" s="1094">
        <f t="shared" si="294"/>
        <v>486298</v>
      </c>
      <c r="EV11" s="1094">
        <f t="shared" si="294"/>
        <v>479286</v>
      </c>
      <c r="EW11" s="1094">
        <f t="shared" si="294"/>
        <v>483795</v>
      </c>
      <c r="EX11" s="1094">
        <f t="shared" si="294"/>
        <v>512497</v>
      </c>
      <c r="EY11" s="1094">
        <f t="shared" si="294"/>
        <v>514432</v>
      </c>
      <c r="EZ11" s="1094">
        <f t="shared" si="294"/>
        <v>521336.2</v>
      </c>
      <c r="FA11" s="1095">
        <f t="shared" si="164"/>
        <v>5929984.6000000006</v>
      </c>
      <c r="FB11" s="1094">
        <f t="shared" ref="FB11:FM11" si="295">SUM(FB13:FB41,FB43)</f>
        <v>499441</v>
      </c>
      <c r="FC11" s="1094">
        <f t="shared" si="295"/>
        <v>509942</v>
      </c>
      <c r="FD11" s="1094">
        <f t="shared" si="295"/>
        <v>495409</v>
      </c>
      <c r="FE11" s="1094">
        <f t="shared" si="295"/>
        <v>499768</v>
      </c>
      <c r="FF11" s="1094">
        <f t="shared" si="295"/>
        <v>536325</v>
      </c>
      <c r="FG11" s="1094">
        <f t="shared" si="295"/>
        <v>479096</v>
      </c>
      <c r="FH11" s="1094">
        <f t="shared" si="295"/>
        <v>485143</v>
      </c>
      <c r="FI11" s="1094">
        <f t="shared" si="295"/>
        <v>479642</v>
      </c>
      <c r="FJ11" s="1094">
        <f t="shared" si="295"/>
        <v>449463</v>
      </c>
      <c r="FK11" s="1094">
        <f t="shared" si="295"/>
        <v>457955</v>
      </c>
      <c r="FL11" s="1094">
        <f t="shared" si="295"/>
        <v>511253</v>
      </c>
      <c r="FM11" s="1094">
        <f t="shared" si="295"/>
        <v>495397</v>
      </c>
      <c r="FN11" s="1095">
        <f t="shared" si="177"/>
        <v>5898834</v>
      </c>
      <c r="FO11" s="1094">
        <f t="shared" ref="FO11:FZ11" si="296">SUM(FO13:FO41,FO43)</f>
        <v>470909</v>
      </c>
      <c r="FP11" s="1094">
        <f t="shared" si="296"/>
        <v>478191</v>
      </c>
      <c r="FQ11" s="1094">
        <f t="shared" si="296"/>
        <v>456131</v>
      </c>
      <c r="FR11" s="1094">
        <f t="shared" si="296"/>
        <v>466305</v>
      </c>
      <c r="FS11" s="1094">
        <f t="shared" si="296"/>
        <v>474293</v>
      </c>
      <c r="FT11" s="1094">
        <f t="shared" si="296"/>
        <v>470511</v>
      </c>
      <c r="FU11" s="1094">
        <f t="shared" si="296"/>
        <v>471265</v>
      </c>
      <c r="FV11" s="1094">
        <f t="shared" si="296"/>
        <v>432048</v>
      </c>
      <c r="FW11" s="1094">
        <f t="shared" si="296"/>
        <v>422438</v>
      </c>
      <c r="FX11" s="1094">
        <f t="shared" si="296"/>
        <v>422987</v>
      </c>
      <c r="FY11" s="1094">
        <f t="shared" si="296"/>
        <v>466131</v>
      </c>
      <c r="FZ11" s="1094">
        <f t="shared" si="296"/>
        <v>478585</v>
      </c>
      <c r="GA11" s="1095">
        <f t="shared" si="190"/>
        <v>5509794</v>
      </c>
      <c r="GB11" s="1094">
        <f t="shared" ref="GB11:GM11" si="297">SUM(GB13:GB41,GB43)</f>
        <v>518599.96899999992</v>
      </c>
      <c r="GC11" s="1094">
        <f t="shared" si="297"/>
        <v>550917.82900000003</v>
      </c>
      <c r="GD11" s="1094">
        <f t="shared" si="297"/>
        <v>515150.83</v>
      </c>
      <c r="GE11" s="1094">
        <f t="shared" si="297"/>
        <v>518480.15700000001</v>
      </c>
      <c r="GF11" s="1094">
        <f t="shared" si="297"/>
        <v>543035.94400000002</v>
      </c>
      <c r="GG11" s="1094">
        <f t="shared" si="297"/>
        <v>514067.19999999995</v>
      </c>
      <c r="GH11" s="1094">
        <f t="shared" si="297"/>
        <v>496608.97400000005</v>
      </c>
      <c r="GI11" s="1094">
        <f t="shared" si="297"/>
        <v>481958.16700000002</v>
      </c>
      <c r="GJ11" s="1094">
        <f t="shared" si="297"/>
        <v>465320.837</v>
      </c>
      <c r="GK11" s="1094">
        <f t="shared" si="297"/>
        <v>479293.08400000003</v>
      </c>
      <c r="GL11" s="1094">
        <f t="shared" si="297"/>
        <v>520258.08200000005</v>
      </c>
      <c r="GM11" s="1094">
        <f t="shared" si="297"/>
        <v>516136.74900000007</v>
      </c>
      <c r="GN11" s="1095">
        <f t="shared" si="203"/>
        <v>6119827.8220000006</v>
      </c>
      <c r="GO11" s="1094">
        <f t="shared" ref="GO11:GZ11" si="298">SUM(GO13:GO41,GO43)</f>
        <v>512654.495</v>
      </c>
      <c r="GP11" s="1094">
        <f t="shared" si="298"/>
        <v>551538.56299999985</v>
      </c>
      <c r="GQ11" s="1094">
        <f t="shared" si="298"/>
        <v>511957.88999999996</v>
      </c>
      <c r="GR11" s="1094">
        <f t="shared" si="298"/>
        <v>527713.84699999995</v>
      </c>
      <c r="GS11" s="1094">
        <f t="shared" si="298"/>
        <v>542640.18900000001</v>
      </c>
      <c r="GT11" s="1094">
        <f t="shared" si="298"/>
        <v>542086.75399999996</v>
      </c>
      <c r="GU11" s="1094">
        <f t="shared" si="298"/>
        <v>526540.28700000001</v>
      </c>
      <c r="GV11" s="1094">
        <f t="shared" si="298"/>
        <v>498228.43200000003</v>
      </c>
      <c r="GW11" s="1094">
        <f t="shared" si="298"/>
        <v>485618.24399999995</v>
      </c>
      <c r="GX11" s="1094">
        <f t="shared" si="298"/>
        <v>502450.43000000005</v>
      </c>
      <c r="GY11" s="1094">
        <f t="shared" si="298"/>
        <v>556708.84699999995</v>
      </c>
      <c r="GZ11" s="1094">
        <f t="shared" si="298"/>
        <v>566098.67799999996</v>
      </c>
      <c r="HA11" s="1095">
        <f t="shared" si="216"/>
        <v>6324236.6559999986</v>
      </c>
      <c r="HB11" s="1094">
        <f t="shared" ref="HB11:HM11" si="299">SUM(HB13:HB41,HB43)</f>
        <v>551351.05000000005</v>
      </c>
      <c r="HC11" s="1094">
        <f t="shared" si="299"/>
        <v>538428.8899999999</v>
      </c>
      <c r="HD11" s="1094">
        <f t="shared" si="299"/>
        <v>522245.3</v>
      </c>
      <c r="HE11" s="1094">
        <f t="shared" si="299"/>
        <v>530109.03</v>
      </c>
      <c r="HF11" s="1094">
        <f t="shared" si="299"/>
        <v>536660.2300000001</v>
      </c>
      <c r="HG11" s="1094">
        <f t="shared" si="299"/>
        <v>539397.71</v>
      </c>
      <c r="HH11" s="1094">
        <f t="shared" si="299"/>
        <v>529850.79</v>
      </c>
      <c r="HI11" s="1094">
        <f t="shared" si="299"/>
        <v>502596.01</v>
      </c>
      <c r="HJ11" s="1094">
        <f t="shared" si="299"/>
        <v>466383.29999999993</v>
      </c>
      <c r="HK11" s="1094">
        <f t="shared" si="299"/>
        <v>487158.5</v>
      </c>
      <c r="HL11" s="1094">
        <f t="shared" si="299"/>
        <v>548561.33799999999</v>
      </c>
      <c r="HM11" s="1094">
        <f t="shared" si="299"/>
        <v>548090.11</v>
      </c>
      <c r="HN11" s="1095">
        <f t="shared" si="229"/>
        <v>6300832.2580000004</v>
      </c>
      <c r="HO11" s="1094">
        <f t="shared" ref="HO11:HZ11" si="300">SUM(HO13:HO41,HO43)</f>
        <v>573721.75</v>
      </c>
      <c r="HP11" s="1094">
        <f t="shared" si="300"/>
        <v>566790.72</v>
      </c>
      <c r="HQ11" s="1094">
        <f t="shared" si="300"/>
        <v>549624.85</v>
      </c>
      <c r="HR11" s="1094">
        <f t="shared" si="300"/>
        <v>545933.6</v>
      </c>
      <c r="HS11" s="1094">
        <f t="shared" si="300"/>
        <v>565304.42000000004</v>
      </c>
      <c r="HT11" s="1094">
        <f t="shared" si="300"/>
        <v>591854.21</v>
      </c>
      <c r="HU11" s="1094">
        <f t="shared" si="300"/>
        <v>562639.96</v>
      </c>
      <c r="HV11" s="1094">
        <f t="shared" si="300"/>
        <v>528359.15999999992</v>
      </c>
      <c r="HW11" s="1094">
        <f t="shared" si="300"/>
        <v>512256.91999999993</v>
      </c>
      <c r="HX11" s="1094">
        <f t="shared" si="300"/>
        <v>515099.83999999997</v>
      </c>
      <c r="HY11" s="1094">
        <f t="shared" si="300"/>
        <v>566943.94999999995</v>
      </c>
      <c r="HZ11" s="1094">
        <f t="shared" si="300"/>
        <v>578039.91999999993</v>
      </c>
      <c r="IA11" s="1095">
        <f t="shared" si="242"/>
        <v>6656569.2999999998</v>
      </c>
      <c r="IB11" s="1094">
        <f t="shared" ref="IB11:IM11" si="301">SUM(IB13:IB41,IB43)</f>
        <v>577566.44999999995</v>
      </c>
      <c r="IC11" s="1094">
        <f t="shared" si="301"/>
        <v>587099.77</v>
      </c>
      <c r="ID11" s="1094">
        <f t="shared" si="301"/>
        <v>543311.28</v>
      </c>
      <c r="IE11" s="1094">
        <f t="shared" si="301"/>
        <v>565706.9</v>
      </c>
      <c r="IF11" s="1094">
        <f t="shared" si="301"/>
        <v>565696.28999999992</v>
      </c>
      <c r="IG11" s="1094">
        <f t="shared" si="301"/>
        <v>571898.18000000005</v>
      </c>
      <c r="IH11" s="1094">
        <f t="shared" si="301"/>
        <v>560143.60000000009</v>
      </c>
      <c r="II11" s="1094">
        <f t="shared" si="301"/>
        <v>485562.81999999995</v>
      </c>
      <c r="IJ11" s="1094">
        <f t="shared" si="301"/>
        <v>456118.89</v>
      </c>
      <c r="IK11" s="1094">
        <f t="shared" si="301"/>
        <v>488605.92</v>
      </c>
      <c r="IL11" s="1094">
        <f t="shared" si="301"/>
        <v>519910.36000000004</v>
      </c>
      <c r="IM11" s="1094">
        <f t="shared" si="301"/>
        <v>551837.80999999994</v>
      </c>
      <c r="IN11" s="1095">
        <f t="shared" si="255"/>
        <v>6473458.2699999996</v>
      </c>
      <c r="IO11" s="1094">
        <f t="shared" ref="IO11:IZ11" si="302">SUM(IO13:IO41,IO43)</f>
        <v>539334.99</v>
      </c>
      <c r="IP11" s="1094">
        <f t="shared" si="302"/>
        <v>552677.80999999994</v>
      </c>
      <c r="IQ11" s="1094">
        <f t="shared" si="302"/>
        <v>586044.05000000005</v>
      </c>
      <c r="IR11" s="1094">
        <f t="shared" si="302"/>
        <v>579863.90999999992</v>
      </c>
      <c r="IS11" s="1094">
        <f t="shared" si="302"/>
        <v>603796</v>
      </c>
      <c r="IT11" s="1094">
        <f t="shared" si="302"/>
        <v>596284.92000000004</v>
      </c>
      <c r="IU11" s="1094">
        <f t="shared" si="302"/>
        <v>591808.21</v>
      </c>
      <c r="IV11" s="1094">
        <f t="shared" si="302"/>
        <v>519557.33</v>
      </c>
      <c r="IW11" s="1094">
        <f t="shared" si="302"/>
        <v>490923.02</v>
      </c>
      <c r="IX11" s="1094">
        <f t="shared" si="302"/>
        <v>520196.45999999996</v>
      </c>
      <c r="IY11" s="1094">
        <f t="shared" si="302"/>
        <v>560712.63</v>
      </c>
      <c r="IZ11" s="1094">
        <f t="shared" si="302"/>
        <v>581479.97</v>
      </c>
      <c r="JA11" s="1095">
        <f t="shared" si="268"/>
        <v>6722679.2999999998</v>
      </c>
      <c r="JB11" s="1094">
        <f t="shared" ref="JB11:JM11" si="303">SUM(JB13:JB41,JB43)</f>
        <v>535390.78</v>
      </c>
      <c r="JC11" s="1094">
        <f t="shared" si="303"/>
        <v>540297.51</v>
      </c>
      <c r="JD11" s="1094">
        <f t="shared" si="303"/>
        <v>0</v>
      </c>
      <c r="JE11" s="1094">
        <f t="shared" si="303"/>
        <v>0</v>
      </c>
      <c r="JF11" s="1094">
        <f t="shared" si="303"/>
        <v>0</v>
      </c>
      <c r="JG11" s="1094">
        <f t="shared" si="303"/>
        <v>0</v>
      </c>
      <c r="JH11" s="1094">
        <f t="shared" si="303"/>
        <v>0</v>
      </c>
      <c r="JI11" s="1094">
        <f t="shared" si="303"/>
        <v>0</v>
      </c>
      <c r="JJ11" s="1094">
        <f t="shared" si="303"/>
        <v>0</v>
      </c>
      <c r="JK11" s="1094">
        <f t="shared" si="303"/>
        <v>0</v>
      </c>
      <c r="JL11" s="1094">
        <f t="shared" si="303"/>
        <v>0</v>
      </c>
      <c r="JM11" s="1094">
        <f t="shared" si="303"/>
        <v>0</v>
      </c>
      <c r="JN11" s="1095">
        <f t="shared" si="281"/>
        <v>1075688.29</v>
      </c>
      <c r="JO11" s="1071"/>
      <c r="JP11" s="1113">
        <f>IFERROR(((
_xlfn.XLOOKUP((DATE(YEAR($JP$5),MONTH($JP$5),1)),SMN.AGRO.DATE,$B11:$JN11) /
_xlfn.XLOOKUP((DATE(YEAR($JP$5)-1,MONTH($JP$5),1)),SMN.AGRO.DATE,$B11:$JN11)
)-1)*100,"")</f>
        <v>5.3715347993280815</v>
      </c>
      <c r="JQ11" s="1171">
        <f t="shared" ref="JQ11" si="304">IFERROR(((JS11/JR11)-1)*100,"")</f>
        <v>3.8498901144534692</v>
      </c>
      <c r="JR11" s="1114">
        <f>SUMIFS($B11:$JN11,SMN.AGRO.DATE,"&gt;="&amp;DATE(YEAR($JP$5)-1,1,1),SMN.AGRO.DATE,"&lt;="&amp;DATE(YEAR($JP$5)-1,MONTH($JP$5),1))</f>
        <v>6473458.2699999996</v>
      </c>
      <c r="JS11" s="1115">
        <f>SUMIFS($B11:$JN11,SMN.AGRO.DATE,"&gt;="&amp;DATE(YEAR($JP$5),1,1),SMN.AGRO.DATE,"&lt;="&amp;$JP$5)</f>
        <v>6722679.2999999998</v>
      </c>
      <c r="JT11" s="1072"/>
      <c r="JU11" s="1079"/>
      <c r="JV11" s="1080"/>
      <c r="JW11" s="1081"/>
    </row>
    <row r="12" spans="1:283" ht="15" customHeight="1" x14ac:dyDescent="0.2">
      <c r="A12" s="1196"/>
      <c r="B12" s="1197"/>
      <c r="C12" s="1197"/>
      <c r="D12" s="1197"/>
      <c r="E12" s="1197"/>
      <c r="F12" s="1197"/>
      <c r="G12" s="1197"/>
      <c r="H12" s="1197"/>
      <c r="I12" s="1197"/>
      <c r="J12" s="1197"/>
      <c r="K12" s="1197"/>
      <c r="L12" s="1197"/>
      <c r="M12" s="1197"/>
      <c r="N12" s="1136"/>
      <c r="O12" s="1197"/>
      <c r="P12" s="1197"/>
      <c r="Q12" s="1197"/>
      <c r="R12" s="1197"/>
      <c r="S12" s="1197"/>
      <c r="T12" s="1197"/>
      <c r="U12" s="1197"/>
      <c r="V12" s="1197"/>
      <c r="W12" s="1197"/>
      <c r="X12" s="1197"/>
      <c r="Y12" s="1197"/>
      <c r="Z12" s="1197"/>
      <c r="AA12" s="1136"/>
      <c r="AB12" s="1197"/>
      <c r="AC12" s="1197"/>
      <c r="AD12" s="1197"/>
      <c r="AE12" s="1197"/>
      <c r="AF12" s="1197"/>
      <c r="AG12" s="1197"/>
      <c r="AH12" s="1197"/>
      <c r="AI12" s="1197"/>
      <c r="AJ12" s="1197"/>
      <c r="AK12" s="1197"/>
      <c r="AL12" s="1197"/>
      <c r="AM12" s="1197"/>
      <c r="AN12" s="1136"/>
      <c r="AO12" s="1197"/>
      <c r="AP12" s="1197"/>
      <c r="AQ12" s="1197"/>
      <c r="AR12" s="1197"/>
      <c r="AS12" s="1197"/>
      <c r="AT12" s="1197"/>
      <c r="AU12" s="1197"/>
      <c r="AV12" s="1197"/>
      <c r="AW12" s="1197"/>
      <c r="AX12" s="1197"/>
      <c r="AY12" s="1197"/>
      <c r="AZ12" s="1197"/>
      <c r="BA12" s="1136"/>
      <c r="BB12" s="1197"/>
      <c r="BC12" s="1197"/>
      <c r="BD12" s="1197"/>
      <c r="BE12" s="1197"/>
      <c r="BF12" s="1197"/>
      <c r="BG12" s="1197"/>
      <c r="BH12" s="1197"/>
      <c r="BI12" s="1197"/>
      <c r="BJ12" s="1197"/>
      <c r="BK12" s="1197"/>
      <c r="BL12" s="1197"/>
      <c r="BM12" s="1197"/>
      <c r="BN12" s="1136"/>
      <c r="BO12" s="1197"/>
      <c r="BP12" s="1197"/>
      <c r="BQ12" s="1197"/>
      <c r="BR12" s="1197"/>
      <c r="BS12" s="1197"/>
      <c r="BT12" s="1197"/>
      <c r="BU12" s="1197"/>
      <c r="BV12" s="1197"/>
      <c r="BW12" s="1197"/>
      <c r="BX12" s="1197"/>
      <c r="BY12" s="1197"/>
      <c r="BZ12" s="1197"/>
      <c r="CA12" s="1136"/>
      <c r="CB12" s="1197"/>
      <c r="CC12" s="1197"/>
      <c r="CD12" s="1197"/>
      <c r="CE12" s="1197"/>
      <c r="CF12" s="1197"/>
      <c r="CG12" s="1197"/>
      <c r="CH12" s="1197"/>
      <c r="CI12" s="1197"/>
      <c r="CJ12" s="1197"/>
      <c r="CK12" s="1197"/>
      <c r="CL12" s="1197"/>
      <c r="CM12" s="1197"/>
      <c r="CN12" s="1136"/>
      <c r="CO12" s="1197"/>
      <c r="CP12" s="1197"/>
      <c r="CQ12" s="1197"/>
      <c r="CR12" s="1197"/>
      <c r="CS12" s="1197"/>
      <c r="CT12" s="1197"/>
      <c r="CU12" s="1197"/>
      <c r="CV12" s="1197"/>
      <c r="CW12" s="1197"/>
      <c r="CX12" s="1197"/>
      <c r="CY12" s="1197"/>
      <c r="CZ12" s="1197"/>
      <c r="DA12" s="1136"/>
      <c r="DB12" s="1197"/>
      <c r="DC12" s="1197"/>
      <c r="DD12" s="1197"/>
      <c r="DE12" s="1197"/>
      <c r="DF12" s="1197"/>
      <c r="DG12" s="1197"/>
      <c r="DH12" s="1197"/>
      <c r="DI12" s="1197"/>
      <c r="DJ12" s="1197"/>
      <c r="DK12" s="1197"/>
      <c r="DL12" s="1197"/>
      <c r="DM12" s="1197"/>
      <c r="DN12" s="1136"/>
      <c r="DO12" s="1197"/>
      <c r="DP12" s="1197"/>
      <c r="DQ12" s="1197"/>
      <c r="DR12" s="1197"/>
      <c r="DS12" s="1197"/>
      <c r="DT12" s="1197"/>
      <c r="DU12" s="1197"/>
      <c r="DV12" s="1197"/>
      <c r="DW12" s="1197"/>
      <c r="DX12" s="1197"/>
      <c r="DY12" s="1197"/>
      <c r="DZ12" s="1197"/>
      <c r="EA12" s="1136"/>
      <c r="EB12" s="1197"/>
      <c r="EC12" s="1197"/>
      <c r="ED12" s="1197"/>
      <c r="EE12" s="1197"/>
      <c r="EF12" s="1197"/>
      <c r="EG12" s="1197"/>
      <c r="EH12" s="1197"/>
      <c r="EI12" s="1197"/>
      <c r="EJ12" s="1197"/>
      <c r="EK12" s="1197"/>
      <c r="EL12" s="1197"/>
      <c r="EM12" s="1197"/>
      <c r="EN12" s="1136"/>
      <c r="EO12" s="1197"/>
      <c r="EP12" s="1197"/>
      <c r="EQ12" s="1197"/>
      <c r="ER12" s="1197"/>
      <c r="ES12" s="1197"/>
      <c r="ET12" s="1197"/>
      <c r="EU12" s="1197"/>
      <c r="EV12" s="1197"/>
      <c r="EW12" s="1197"/>
      <c r="EX12" s="1197"/>
      <c r="EY12" s="1197"/>
      <c r="EZ12" s="1197"/>
      <c r="FA12" s="1136"/>
      <c r="FB12" s="1197"/>
      <c r="FC12" s="1197"/>
      <c r="FD12" s="1197"/>
      <c r="FE12" s="1197"/>
      <c r="FF12" s="1197"/>
      <c r="FG12" s="1197"/>
      <c r="FH12" s="1197"/>
      <c r="FI12" s="1197"/>
      <c r="FJ12" s="1197"/>
      <c r="FK12" s="1197"/>
      <c r="FL12" s="1197"/>
      <c r="FM12" s="1197"/>
      <c r="FN12" s="1136"/>
      <c r="FO12" s="1197"/>
      <c r="FP12" s="1197"/>
      <c r="FQ12" s="1197"/>
      <c r="FR12" s="1197"/>
      <c r="FS12" s="1197"/>
      <c r="FT12" s="1197"/>
      <c r="FU12" s="1197"/>
      <c r="FV12" s="1197"/>
      <c r="FW12" s="1197"/>
      <c r="FX12" s="1197"/>
      <c r="FY12" s="1197"/>
      <c r="FZ12" s="1197"/>
      <c r="GA12" s="1136"/>
      <c r="GB12" s="1197"/>
      <c r="GC12" s="1197"/>
      <c r="GD12" s="1197"/>
      <c r="GE12" s="1197"/>
      <c r="GF12" s="1197"/>
      <c r="GG12" s="1197"/>
      <c r="GH12" s="1197"/>
      <c r="GI12" s="1197"/>
      <c r="GJ12" s="1197"/>
      <c r="GK12" s="1197"/>
      <c r="GL12" s="1197"/>
      <c r="GM12" s="1197"/>
      <c r="GN12" s="1136"/>
      <c r="GO12" s="1197"/>
      <c r="GP12" s="1197"/>
      <c r="GQ12" s="1197"/>
      <c r="GR12" s="1197"/>
      <c r="GS12" s="1197"/>
      <c r="GT12" s="1197"/>
      <c r="GU12" s="1197"/>
      <c r="GV12" s="1197"/>
      <c r="GW12" s="1197"/>
      <c r="GX12" s="1197"/>
      <c r="GY12" s="1197"/>
      <c r="GZ12" s="1197"/>
      <c r="HA12" s="1136"/>
      <c r="HB12" s="1197"/>
      <c r="HC12" s="1197"/>
      <c r="HD12" s="1197"/>
      <c r="HE12" s="1197"/>
      <c r="HF12" s="1197"/>
      <c r="HG12" s="1197"/>
      <c r="HH12" s="1197"/>
      <c r="HI12" s="1197"/>
      <c r="HJ12" s="1197"/>
      <c r="HK12" s="1197"/>
      <c r="HL12" s="1197"/>
      <c r="HM12" s="1197"/>
      <c r="HN12" s="1136"/>
      <c r="HO12" s="1197"/>
      <c r="HP12" s="1197"/>
      <c r="HQ12" s="1197"/>
      <c r="HR12" s="1197"/>
      <c r="HS12" s="1197"/>
      <c r="HT12" s="1197"/>
      <c r="HU12" s="1197"/>
      <c r="HV12" s="1197"/>
      <c r="HW12" s="1197"/>
      <c r="HX12" s="1197"/>
      <c r="HY12" s="1197"/>
      <c r="HZ12" s="1197"/>
      <c r="IA12" s="1136"/>
      <c r="IB12" s="1197"/>
      <c r="IC12" s="1197"/>
      <c r="ID12" s="1197"/>
      <c r="IE12" s="1197"/>
      <c r="IF12" s="1197"/>
      <c r="IG12" s="1197"/>
      <c r="IH12" s="1197"/>
      <c r="II12" s="1197"/>
      <c r="IJ12" s="1197"/>
      <c r="IK12" s="1197"/>
      <c r="IL12" s="1197"/>
      <c r="IM12" s="1197"/>
      <c r="IN12" s="1136"/>
      <c r="IO12" s="1197"/>
      <c r="IP12" s="1197"/>
      <c r="IQ12" s="1197"/>
      <c r="IR12" s="1197"/>
      <c r="IS12" s="1197"/>
      <c r="IT12" s="1197"/>
      <c r="IU12" s="1197"/>
      <c r="IV12" s="1197"/>
      <c r="IW12" s="1197"/>
      <c r="IX12" s="1197"/>
      <c r="IY12" s="1197"/>
      <c r="IZ12" s="1197"/>
      <c r="JA12" s="1136"/>
      <c r="JB12" s="1197"/>
      <c r="JC12" s="1197"/>
      <c r="JD12" s="1197"/>
      <c r="JE12" s="1197"/>
      <c r="JF12" s="1197"/>
      <c r="JG12" s="1197"/>
      <c r="JH12" s="1197"/>
      <c r="JI12" s="1197"/>
      <c r="JJ12" s="1197"/>
      <c r="JK12" s="1197"/>
      <c r="JL12" s="1197"/>
      <c r="JM12" s="1197"/>
      <c r="JN12" s="1136"/>
      <c r="JO12" s="1195"/>
      <c r="JP12" s="1137"/>
      <c r="JQ12" s="1138"/>
      <c r="JR12" s="1139"/>
      <c r="JS12" s="1140"/>
      <c r="JT12" s="1"/>
      <c r="JU12" s="1139"/>
      <c r="JV12" s="1146"/>
      <c r="JW12" s="1147"/>
    </row>
    <row r="13" spans="1:283" ht="15" customHeight="1" x14ac:dyDescent="0.2">
      <c r="A13" s="1166" t="s">
        <v>116</v>
      </c>
      <c r="B13" s="1098"/>
      <c r="C13" s="1098"/>
      <c r="D13" s="1098"/>
      <c r="E13" s="1098"/>
      <c r="F13" s="1098"/>
      <c r="G13" s="1098">
        <v>90</v>
      </c>
      <c r="H13" s="1098">
        <v>3887</v>
      </c>
      <c r="I13" s="1098">
        <v>6317</v>
      </c>
      <c r="J13" s="1098">
        <v>3389</v>
      </c>
      <c r="K13" s="1098">
        <v>20</v>
      </c>
      <c r="L13" s="1098"/>
      <c r="M13" s="1098"/>
      <c r="N13" s="1097">
        <f t="shared" si="21"/>
        <v>13703</v>
      </c>
      <c r="O13" s="1098"/>
      <c r="P13" s="1098"/>
      <c r="Q13" s="1098"/>
      <c r="R13" s="1098"/>
      <c r="S13" s="1098">
        <v>2</v>
      </c>
      <c r="T13" s="1098">
        <v>382</v>
      </c>
      <c r="U13" s="1098">
        <v>1574</v>
      </c>
      <c r="V13" s="1098">
        <v>2620</v>
      </c>
      <c r="W13" s="1098">
        <v>2130</v>
      </c>
      <c r="X13" s="1098">
        <v>893</v>
      </c>
      <c r="Y13" s="1098"/>
      <c r="Z13" s="1098"/>
      <c r="AA13" s="1097">
        <f t="shared" si="34"/>
        <v>7601</v>
      </c>
      <c r="AB13" s="1098"/>
      <c r="AC13" s="1098"/>
      <c r="AD13" s="1098"/>
      <c r="AE13" s="1098"/>
      <c r="AF13" s="1098"/>
      <c r="AG13" s="1098">
        <v>15</v>
      </c>
      <c r="AH13" s="1098">
        <v>552</v>
      </c>
      <c r="AI13" s="1098">
        <v>2286</v>
      </c>
      <c r="AJ13" s="1098">
        <v>2079</v>
      </c>
      <c r="AK13" s="1098">
        <v>384</v>
      </c>
      <c r="AL13" s="1098">
        <v>42</v>
      </c>
      <c r="AM13" s="1098"/>
      <c r="AN13" s="1097">
        <f t="shared" si="47"/>
        <v>5358</v>
      </c>
      <c r="AO13" s="1098"/>
      <c r="AP13" s="1098"/>
      <c r="AQ13" s="1098"/>
      <c r="AR13" s="1098"/>
      <c r="AS13" s="1098"/>
      <c r="AT13" s="1098">
        <v>2</v>
      </c>
      <c r="AU13" s="1098">
        <v>171</v>
      </c>
      <c r="AV13" s="1098">
        <v>1391</v>
      </c>
      <c r="AW13" s="1098">
        <v>1621.73</v>
      </c>
      <c r="AX13" s="1098">
        <v>504</v>
      </c>
      <c r="AY13" s="1098">
        <v>64</v>
      </c>
      <c r="AZ13" s="1098"/>
      <c r="BA13" s="1097">
        <f t="shared" si="60"/>
        <v>3753.73</v>
      </c>
      <c r="BB13" s="1098"/>
      <c r="BC13" s="1098"/>
      <c r="BD13" s="1098"/>
      <c r="BE13" s="1098"/>
      <c r="BF13" s="1098"/>
      <c r="BG13" s="1098"/>
      <c r="BH13" s="1098">
        <v>80</v>
      </c>
      <c r="BI13" s="1098">
        <v>668</v>
      </c>
      <c r="BJ13" s="1098">
        <v>886</v>
      </c>
      <c r="BK13" s="1098">
        <v>400</v>
      </c>
      <c r="BL13" s="1098">
        <v>102</v>
      </c>
      <c r="BM13" s="1098"/>
      <c r="BN13" s="1097">
        <f t="shared" si="73"/>
        <v>2136</v>
      </c>
      <c r="BO13" s="1098"/>
      <c r="BP13" s="1098"/>
      <c r="BQ13" s="1098"/>
      <c r="BR13" s="1098"/>
      <c r="BS13" s="1098"/>
      <c r="BT13" s="1098"/>
      <c r="BU13" s="1098">
        <v>88</v>
      </c>
      <c r="BV13" s="1098">
        <v>1343</v>
      </c>
      <c r="BW13" s="1098">
        <v>864</v>
      </c>
      <c r="BX13" s="1098">
        <v>1644</v>
      </c>
      <c r="BY13" s="1098"/>
      <c r="BZ13" s="1098"/>
      <c r="CA13" s="1097">
        <f t="shared" si="86"/>
        <v>3939</v>
      </c>
      <c r="CB13" s="1098"/>
      <c r="CC13" s="1098"/>
      <c r="CD13" s="1098"/>
      <c r="CE13" s="1098"/>
      <c r="CF13" s="1098"/>
      <c r="CG13" s="1098"/>
      <c r="CH13" s="1098">
        <v>7</v>
      </c>
      <c r="CI13" s="1098">
        <v>189</v>
      </c>
      <c r="CJ13" s="1098">
        <v>411</v>
      </c>
      <c r="CK13" s="1098">
        <v>1451</v>
      </c>
      <c r="CL13" s="1098"/>
      <c r="CM13" s="1098"/>
      <c r="CN13" s="1097">
        <f t="shared" si="99"/>
        <v>2058</v>
      </c>
      <c r="CO13" s="1098"/>
      <c r="CP13" s="1098"/>
      <c r="CQ13" s="1098"/>
      <c r="CR13" s="1098"/>
      <c r="CS13" s="1098"/>
      <c r="CT13" s="1098"/>
      <c r="CU13" s="1098">
        <v>35.700000000000003</v>
      </c>
      <c r="CV13" s="1098">
        <v>731.9</v>
      </c>
      <c r="CW13" s="1098">
        <v>892.18</v>
      </c>
      <c r="CX13" s="1098">
        <v>32.9</v>
      </c>
      <c r="CY13" s="1098">
        <v>48.1</v>
      </c>
      <c r="CZ13" s="1098"/>
      <c r="DA13" s="1097">
        <f t="shared" si="112"/>
        <v>1740.78</v>
      </c>
      <c r="DB13" s="1098"/>
      <c r="DC13" s="1098"/>
      <c r="DD13" s="1098"/>
      <c r="DE13" s="1098"/>
      <c r="DF13" s="1098"/>
      <c r="DG13" s="1098"/>
      <c r="DH13" s="1098">
        <v>99</v>
      </c>
      <c r="DI13" s="1098">
        <v>233</v>
      </c>
      <c r="DJ13" s="1098">
        <v>191</v>
      </c>
      <c r="DK13" s="1098">
        <v>135</v>
      </c>
      <c r="DL13" s="1098">
        <v>5</v>
      </c>
      <c r="DM13" s="1098"/>
      <c r="DN13" s="1097">
        <f t="shared" si="125"/>
        <v>663</v>
      </c>
      <c r="DO13" s="1098"/>
      <c r="DP13" s="1098"/>
      <c r="DQ13" s="1098"/>
      <c r="DR13" s="1098"/>
      <c r="DS13" s="1098"/>
      <c r="DT13" s="1098"/>
      <c r="DU13" s="1098"/>
      <c r="DV13" s="1098">
        <v>155</v>
      </c>
      <c r="DW13" s="1098">
        <v>81</v>
      </c>
      <c r="DX13" s="1098">
        <v>50</v>
      </c>
      <c r="DY13" s="1098"/>
      <c r="DZ13" s="1098"/>
      <c r="EA13" s="1097">
        <f t="shared" si="138"/>
        <v>286</v>
      </c>
      <c r="EB13" s="1098"/>
      <c r="EC13" s="1098"/>
      <c r="ED13" s="1098"/>
      <c r="EE13" s="1098"/>
      <c r="EF13" s="1098"/>
      <c r="EG13" s="1098"/>
      <c r="EH13" s="1098">
        <v>10</v>
      </c>
      <c r="EI13" s="1098">
        <v>79</v>
      </c>
      <c r="EJ13" s="1098">
        <v>20</v>
      </c>
      <c r="EK13" s="1098">
        <v>4</v>
      </c>
      <c r="EL13" s="1098"/>
      <c r="EM13" s="1098"/>
      <c r="EN13" s="1097">
        <f t="shared" si="151"/>
        <v>113</v>
      </c>
      <c r="EO13" s="1098"/>
      <c r="EP13" s="1098"/>
      <c r="EQ13" s="1098"/>
      <c r="ER13" s="1098"/>
      <c r="ES13" s="1098"/>
      <c r="ET13" s="1098"/>
      <c r="EU13" s="1098"/>
      <c r="EV13" s="1098">
        <v>1</v>
      </c>
      <c r="EW13" s="1098"/>
      <c r="EX13" s="1098"/>
      <c r="EY13" s="1098"/>
      <c r="EZ13" s="1098"/>
      <c r="FA13" s="1097">
        <f t="shared" si="164"/>
        <v>1</v>
      </c>
      <c r="FB13" s="1098"/>
      <c r="FC13" s="1098"/>
      <c r="FD13" s="1098"/>
      <c r="FE13" s="1098"/>
      <c r="FF13" s="1098"/>
      <c r="FG13" s="1098"/>
      <c r="FH13" s="1098"/>
      <c r="FI13" s="1098"/>
      <c r="FJ13" s="1098"/>
      <c r="FK13" s="1098"/>
      <c r="FL13" s="1098"/>
      <c r="FM13" s="1098"/>
      <c r="FN13" s="1097">
        <f t="shared" si="177"/>
        <v>0</v>
      </c>
      <c r="FO13" s="1098"/>
      <c r="FP13" s="1098"/>
      <c r="FQ13" s="1098"/>
      <c r="FR13" s="1098"/>
      <c r="FS13" s="1098"/>
      <c r="FT13" s="1098"/>
      <c r="FU13" s="1098"/>
      <c r="FV13" s="1098"/>
      <c r="FW13" s="1098"/>
      <c r="FX13" s="1098"/>
      <c r="FY13" s="1098"/>
      <c r="FZ13" s="1098"/>
      <c r="GA13" s="1097">
        <f t="shared" si="190"/>
        <v>0</v>
      </c>
      <c r="GB13" s="1098"/>
      <c r="GC13" s="1098"/>
      <c r="GD13" s="1098"/>
      <c r="GE13" s="1098"/>
      <c r="GF13" s="1098"/>
      <c r="GG13" s="1098"/>
      <c r="GH13" s="1098"/>
      <c r="GI13" s="1098"/>
      <c r="GJ13" s="1098"/>
      <c r="GK13" s="1098"/>
      <c r="GL13" s="1098"/>
      <c r="GM13" s="1098"/>
      <c r="GN13" s="1097">
        <f t="shared" si="203"/>
        <v>0</v>
      </c>
      <c r="GO13" s="1098"/>
      <c r="GP13" s="1098"/>
      <c r="GQ13" s="1098"/>
      <c r="GR13" s="1098"/>
      <c r="GS13" s="1098"/>
      <c r="GT13" s="1098"/>
      <c r="GU13" s="1098"/>
      <c r="GV13" s="1098"/>
      <c r="GW13" s="1098"/>
      <c r="GX13" s="1098"/>
      <c r="GY13" s="1098"/>
      <c r="GZ13" s="1098"/>
      <c r="HA13" s="1097">
        <f t="shared" si="216"/>
        <v>0</v>
      </c>
      <c r="HB13" s="1098"/>
      <c r="HC13" s="1098"/>
      <c r="HD13" s="1098"/>
      <c r="HE13" s="1098"/>
      <c r="HF13" s="1098"/>
      <c r="HG13" s="1098"/>
      <c r="HH13" s="1098"/>
      <c r="HI13" s="1098">
        <v>153</v>
      </c>
      <c r="HJ13" s="1098">
        <v>495.5</v>
      </c>
      <c r="HK13" s="1098">
        <v>93</v>
      </c>
      <c r="HL13" s="1098"/>
      <c r="HM13" s="1098"/>
      <c r="HN13" s="1097">
        <f t="shared" si="229"/>
        <v>741.5</v>
      </c>
      <c r="HO13" s="1098"/>
      <c r="HP13" s="1098"/>
      <c r="HQ13" s="1098"/>
      <c r="HR13" s="1098"/>
      <c r="HS13" s="1098"/>
      <c r="HT13" s="1098"/>
      <c r="HU13" s="1098"/>
      <c r="HV13" s="1098">
        <v>99.4</v>
      </c>
      <c r="HW13" s="1098">
        <v>865.8</v>
      </c>
      <c r="HX13" s="1098"/>
      <c r="HY13" s="1098"/>
      <c r="HZ13" s="1098"/>
      <c r="IA13" s="1097">
        <f t="shared" si="242"/>
        <v>965.19999999999993</v>
      </c>
      <c r="IB13" s="1098">
        <v>0</v>
      </c>
      <c r="IC13" s="1098">
        <v>0</v>
      </c>
      <c r="ID13" s="1098">
        <v>0</v>
      </c>
      <c r="IE13" s="1098">
        <v>0</v>
      </c>
      <c r="IF13" s="1098">
        <v>0</v>
      </c>
      <c r="IG13" s="1098">
        <v>0</v>
      </c>
      <c r="IH13" s="1098">
        <v>0</v>
      </c>
      <c r="II13" s="1098">
        <v>56</v>
      </c>
      <c r="IJ13" s="1098">
        <v>109</v>
      </c>
      <c r="IK13" s="1098">
        <v>451</v>
      </c>
      <c r="IL13" s="1098">
        <v>0</v>
      </c>
      <c r="IM13" s="1098">
        <v>0</v>
      </c>
      <c r="IN13" s="1097">
        <v>616</v>
      </c>
      <c r="IO13" s="1098">
        <v>0</v>
      </c>
      <c r="IP13" s="1098">
        <v>0</v>
      </c>
      <c r="IQ13" s="1098">
        <v>0</v>
      </c>
      <c r="IR13" s="1098">
        <v>0</v>
      </c>
      <c r="IS13" s="1098">
        <v>0</v>
      </c>
      <c r="IT13" s="1098">
        <v>0</v>
      </c>
      <c r="IU13" s="1098">
        <v>0</v>
      </c>
      <c r="IV13" s="1098">
        <v>51.05</v>
      </c>
      <c r="IW13" s="1098">
        <v>62.55</v>
      </c>
      <c r="IX13" s="1098">
        <v>47.8</v>
      </c>
      <c r="IY13" s="1098">
        <v>196</v>
      </c>
      <c r="IZ13" s="1098">
        <v>0</v>
      </c>
      <c r="JA13" s="1097">
        <v>357.4</v>
      </c>
      <c r="JB13" s="1098">
        <v>0</v>
      </c>
      <c r="JC13" s="1098">
        <v>0</v>
      </c>
      <c r="JD13" s="1098"/>
      <c r="JE13" s="1098"/>
      <c r="JF13" s="1098"/>
      <c r="JG13" s="1098"/>
      <c r="JH13" s="1098"/>
      <c r="JI13" s="1098"/>
      <c r="JJ13" s="1098"/>
      <c r="JK13" s="1098"/>
      <c r="JL13" s="1098"/>
      <c r="JM13" s="1098"/>
      <c r="JN13" s="1097">
        <f t="shared" si="281"/>
        <v>0</v>
      </c>
      <c r="JP13" s="1174" t="str">
        <f t="shared" ref="JP13:JP41" si="305">IFERROR(((
_xlfn.XLOOKUP((DATE(YEAR($JP$5),MONTH($JP$5),1)),SMN.AGRO.DATE,$B13:$JN13) /
_xlfn.XLOOKUP((DATE(YEAR($JP$5)-1,MONTH($JP$5),1)),SMN.AGRO.DATE,$B13:$JN13)
)-1)*100,"")</f>
        <v/>
      </c>
      <c r="JQ13" s="1175">
        <f t="shared" ref="JQ13:JQ41" si="306">IFERROR(((JS13/JR13)-1)*100,"")</f>
        <v>-41.980519480519483</v>
      </c>
      <c r="JR13" s="1184">
        <f t="shared" ref="JR13:JR41" si="307">SUMIFS($B13:$JN13,SMN.AGRO.DATE,"&gt;="&amp;DATE(YEAR($JP$5)-1,1,1),SMN.AGRO.DATE,"&lt;="&amp;DATE(YEAR($JP$5)-1,MONTH($JP$5),1))</f>
        <v>616</v>
      </c>
      <c r="JS13" s="1185">
        <f t="shared" ref="JS13:JS41" si="308">SUMIFS($B13:$JN13,SMN.AGRO.DATE,"&gt;="&amp;DATE(YEAR($JP$5),1,1),SMN.AGRO.DATE,"&lt;="&amp;$JP$5)</f>
        <v>357.4</v>
      </c>
      <c r="JT13" s="1"/>
      <c r="JU13" s="1079">
        <f t="shared" ref="JU13:JU41" si="309">SUM(B13:JN13)</f>
        <v>88065.219999999987</v>
      </c>
      <c r="JV13" s="1080" t="s">
        <v>116</v>
      </c>
      <c r="JW13" s="1081" t="str">
        <f t="shared" ref="JW13:JW41" si="310">IF(EXACT(A13,JV13)=TRUE,"OK","VER")</f>
        <v>OK</v>
      </c>
    </row>
    <row r="14" spans="1:283" ht="15" customHeight="1" x14ac:dyDescent="0.2">
      <c r="A14" s="1166" t="s">
        <v>134</v>
      </c>
      <c r="B14" s="1098">
        <v>78659</v>
      </c>
      <c r="C14" s="1098">
        <v>40367</v>
      </c>
      <c r="D14" s="1098">
        <v>25341</v>
      </c>
      <c r="E14" s="1098">
        <v>25832</v>
      </c>
      <c r="F14" s="1098">
        <v>55069</v>
      </c>
      <c r="G14" s="1098">
        <v>58356</v>
      </c>
      <c r="H14" s="1098">
        <v>32895</v>
      </c>
      <c r="I14" s="1098">
        <v>24452</v>
      </c>
      <c r="J14" s="1098">
        <v>26437</v>
      </c>
      <c r="K14" s="1098">
        <v>42550</v>
      </c>
      <c r="L14" s="1098">
        <v>39760</v>
      </c>
      <c r="M14" s="1098">
        <v>25302</v>
      </c>
      <c r="N14" s="1097">
        <f t="shared" si="21"/>
        <v>475020</v>
      </c>
      <c r="O14" s="1098">
        <v>30915</v>
      </c>
      <c r="P14" s="1098">
        <v>24750</v>
      </c>
      <c r="Q14" s="1098">
        <v>19345</v>
      </c>
      <c r="R14" s="1098">
        <v>19204</v>
      </c>
      <c r="S14" s="1098">
        <v>35306</v>
      </c>
      <c r="T14" s="1098">
        <v>44511</v>
      </c>
      <c r="U14" s="1098">
        <v>38494</v>
      </c>
      <c r="V14" s="1098">
        <v>28719</v>
      </c>
      <c r="W14" s="1098">
        <v>29946</v>
      </c>
      <c r="X14" s="1098">
        <v>31536</v>
      </c>
      <c r="Y14" s="1098">
        <v>51525</v>
      </c>
      <c r="Z14" s="1098">
        <v>40497</v>
      </c>
      <c r="AA14" s="1097">
        <f t="shared" si="34"/>
        <v>394748</v>
      </c>
      <c r="AB14" s="1098">
        <v>33143</v>
      </c>
      <c r="AC14" s="1098">
        <v>29904</v>
      </c>
      <c r="AD14" s="1098">
        <v>37439</v>
      </c>
      <c r="AE14" s="1098">
        <v>35744</v>
      </c>
      <c r="AF14" s="1098">
        <v>51927</v>
      </c>
      <c r="AG14" s="1098">
        <v>49072</v>
      </c>
      <c r="AH14" s="1098">
        <v>48945</v>
      </c>
      <c r="AI14" s="1098">
        <v>27185</v>
      </c>
      <c r="AJ14" s="1098">
        <v>36652</v>
      </c>
      <c r="AK14" s="1098">
        <v>37260</v>
      </c>
      <c r="AL14" s="1098">
        <v>63651</v>
      </c>
      <c r="AM14" s="1098">
        <v>55773</v>
      </c>
      <c r="AN14" s="1097">
        <f t="shared" si="47"/>
        <v>506695</v>
      </c>
      <c r="AO14" s="1098">
        <v>37949</v>
      </c>
      <c r="AP14" s="1098">
        <v>36246</v>
      </c>
      <c r="AQ14" s="1098">
        <v>31678</v>
      </c>
      <c r="AR14" s="1098">
        <v>56263</v>
      </c>
      <c r="AS14" s="1098">
        <v>61453</v>
      </c>
      <c r="AT14" s="1098">
        <v>66196</v>
      </c>
      <c r="AU14" s="1098">
        <v>43924</v>
      </c>
      <c r="AV14" s="1098">
        <v>31348</v>
      </c>
      <c r="AW14" s="1098">
        <v>37073.230000000003</v>
      </c>
      <c r="AX14" s="1098">
        <v>47620</v>
      </c>
      <c r="AY14" s="1098">
        <v>67395</v>
      </c>
      <c r="AZ14" s="1098">
        <v>44529</v>
      </c>
      <c r="BA14" s="1097">
        <f t="shared" si="60"/>
        <v>561674.23</v>
      </c>
      <c r="BB14" s="1098">
        <v>34788</v>
      </c>
      <c r="BC14" s="1098">
        <v>39163</v>
      </c>
      <c r="BD14" s="1098">
        <v>34282</v>
      </c>
      <c r="BE14" s="1098">
        <v>33829</v>
      </c>
      <c r="BF14" s="1098">
        <v>54560</v>
      </c>
      <c r="BG14" s="1098">
        <v>55289</v>
      </c>
      <c r="BH14" s="1098">
        <v>39791</v>
      </c>
      <c r="BI14" s="1098">
        <v>32943</v>
      </c>
      <c r="BJ14" s="1098">
        <v>33831</v>
      </c>
      <c r="BK14" s="1098">
        <v>39683</v>
      </c>
      <c r="BL14" s="1098">
        <v>58862</v>
      </c>
      <c r="BM14" s="1098">
        <v>43263</v>
      </c>
      <c r="BN14" s="1097">
        <f t="shared" si="73"/>
        <v>500284</v>
      </c>
      <c r="BO14" s="1098">
        <v>32263</v>
      </c>
      <c r="BP14" s="1098">
        <v>34187</v>
      </c>
      <c r="BQ14" s="1098">
        <v>32712</v>
      </c>
      <c r="BR14" s="1098">
        <v>57896</v>
      </c>
      <c r="BS14" s="1098">
        <v>55207</v>
      </c>
      <c r="BT14" s="1098">
        <v>47317</v>
      </c>
      <c r="BU14" s="1098">
        <v>42232</v>
      </c>
      <c r="BV14" s="1098">
        <v>38752</v>
      </c>
      <c r="BW14" s="1098">
        <v>39922</v>
      </c>
      <c r="BX14" s="1098">
        <v>45449</v>
      </c>
      <c r="BY14" s="1098">
        <v>46333</v>
      </c>
      <c r="BZ14" s="1098">
        <v>46512</v>
      </c>
      <c r="CA14" s="1097">
        <f t="shared" si="86"/>
        <v>518782</v>
      </c>
      <c r="CB14" s="1098">
        <v>61558</v>
      </c>
      <c r="CC14" s="1098">
        <v>45399</v>
      </c>
      <c r="CD14" s="1098">
        <v>37186</v>
      </c>
      <c r="CE14" s="1098">
        <v>51517</v>
      </c>
      <c r="CF14" s="1098">
        <v>50690</v>
      </c>
      <c r="CG14" s="1098">
        <v>68188</v>
      </c>
      <c r="CH14" s="1098">
        <v>47669</v>
      </c>
      <c r="CI14" s="1098">
        <v>35800</v>
      </c>
      <c r="CJ14" s="1098">
        <v>33424</v>
      </c>
      <c r="CK14" s="1098">
        <v>37079</v>
      </c>
      <c r="CL14" s="1098">
        <v>66678</v>
      </c>
      <c r="CM14" s="1098">
        <v>40370</v>
      </c>
      <c r="CN14" s="1097">
        <f t="shared" si="99"/>
        <v>575558</v>
      </c>
      <c r="CO14" s="1098">
        <v>37058</v>
      </c>
      <c r="CP14" s="1098">
        <v>38179</v>
      </c>
      <c r="CQ14" s="1098">
        <v>50919</v>
      </c>
      <c r="CR14" s="1098">
        <v>45532</v>
      </c>
      <c r="CS14" s="1098">
        <v>55594</v>
      </c>
      <c r="CT14" s="1098">
        <v>59729</v>
      </c>
      <c r="CU14" s="1098">
        <v>43703</v>
      </c>
      <c r="CV14" s="1098">
        <v>39016</v>
      </c>
      <c r="CW14" s="1098">
        <v>39395</v>
      </c>
      <c r="CX14" s="1098">
        <v>49253</v>
      </c>
      <c r="CY14" s="1098">
        <v>54439</v>
      </c>
      <c r="CZ14" s="1098">
        <v>47011</v>
      </c>
      <c r="DA14" s="1097">
        <f t="shared" si="112"/>
        <v>559828</v>
      </c>
      <c r="DB14" s="1098">
        <v>42085</v>
      </c>
      <c r="DC14" s="1098">
        <v>47631</v>
      </c>
      <c r="DD14" s="1098">
        <v>51819</v>
      </c>
      <c r="DE14" s="1098">
        <v>47912</v>
      </c>
      <c r="DF14" s="1098">
        <v>59051</v>
      </c>
      <c r="DG14" s="1098">
        <v>67499</v>
      </c>
      <c r="DH14" s="1098">
        <v>58455</v>
      </c>
      <c r="DI14" s="1098">
        <v>47950</v>
      </c>
      <c r="DJ14" s="1098">
        <v>37336</v>
      </c>
      <c r="DK14" s="1098">
        <v>58322</v>
      </c>
      <c r="DL14" s="1098">
        <v>68410</v>
      </c>
      <c r="DM14" s="1098">
        <v>60981</v>
      </c>
      <c r="DN14" s="1097">
        <f t="shared" si="125"/>
        <v>647451</v>
      </c>
      <c r="DO14" s="1098">
        <v>41125</v>
      </c>
      <c r="DP14" s="1098">
        <v>44689</v>
      </c>
      <c r="DQ14" s="1098">
        <v>47187</v>
      </c>
      <c r="DR14" s="1098">
        <v>56862</v>
      </c>
      <c r="DS14" s="1098">
        <v>61396</v>
      </c>
      <c r="DT14" s="1098">
        <v>66681</v>
      </c>
      <c r="DU14" s="1098">
        <v>65672</v>
      </c>
      <c r="DV14" s="1098">
        <v>51747</v>
      </c>
      <c r="DW14" s="1098">
        <v>47783</v>
      </c>
      <c r="DX14" s="1098">
        <v>55097</v>
      </c>
      <c r="DY14" s="1098">
        <v>63592</v>
      </c>
      <c r="DZ14" s="1098">
        <v>80668</v>
      </c>
      <c r="EA14" s="1097">
        <f t="shared" si="138"/>
        <v>682499</v>
      </c>
      <c r="EB14" s="1098">
        <v>46488</v>
      </c>
      <c r="EC14" s="1098">
        <v>48162</v>
      </c>
      <c r="ED14" s="1098">
        <v>47594</v>
      </c>
      <c r="EE14" s="1098">
        <v>60302</v>
      </c>
      <c r="EF14" s="1098">
        <v>63874</v>
      </c>
      <c r="EG14" s="1098">
        <v>69944</v>
      </c>
      <c r="EH14" s="1098">
        <v>62702</v>
      </c>
      <c r="EI14" s="1098">
        <v>56592</v>
      </c>
      <c r="EJ14" s="1098">
        <v>54479</v>
      </c>
      <c r="EK14" s="1098">
        <v>56072</v>
      </c>
      <c r="EL14" s="1098">
        <v>71000</v>
      </c>
      <c r="EM14" s="1098">
        <v>73082</v>
      </c>
      <c r="EN14" s="1097">
        <f t="shared" si="151"/>
        <v>710291</v>
      </c>
      <c r="EO14" s="1098">
        <v>59296</v>
      </c>
      <c r="EP14" s="1098">
        <v>60264</v>
      </c>
      <c r="EQ14" s="1098">
        <v>62366</v>
      </c>
      <c r="ER14" s="1098">
        <v>58530</v>
      </c>
      <c r="ES14" s="1098">
        <v>68817</v>
      </c>
      <c r="ET14" s="1098">
        <v>77999</v>
      </c>
      <c r="EU14" s="1098">
        <v>69551</v>
      </c>
      <c r="EV14" s="1098">
        <v>68009</v>
      </c>
      <c r="EW14" s="1098">
        <v>67034</v>
      </c>
      <c r="EX14" s="1098">
        <v>84529</v>
      </c>
      <c r="EY14" s="1098">
        <v>68967</v>
      </c>
      <c r="EZ14" s="1098">
        <v>77525</v>
      </c>
      <c r="FA14" s="1097">
        <f t="shared" si="164"/>
        <v>822887</v>
      </c>
      <c r="FB14" s="1098">
        <v>72147</v>
      </c>
      <c r="FC14" s="1098">
        <v>69594</v>
      </c>
      <c r="FD14" s="1098">
        <v>63655</v>
      </c>
      <c r="FE14" s="1098">
        <v>69021</v>
      </c>
      <c r="FF14" s="1098">
        <v>70133</v>
      </c>
      <c r="FG14" s="1098">
        <v>65346</v>
      </c>
      <c r="FH14" s="1098">
        <v>68438</v>
      </c>
      <c r="FI14" s="1098">
        <v>58861</v>
      </c>
      <c r="FJ14" s="1098">
        <v>52385</v>
      </c>
      <c r="FK14" s="1098">
        <v>56060</v>
      </c>
      <c r="FL14" s="1098">
        <v>77920</v>
      </c>
      <c r="FM14" s="1098">
        <v>74209</v>
      </c>
      <c r="FN14" s="1097">
        <f t="shared" si="177"/>
        <v>797769</v>
      </c>
      <c r="FO14" s="1098">
        <v>62866</v>
      </c>
      <c r="FP14" s="1098">
        <v>57352</v>
      </c>
      <c r="FQ14" s="1098">
        <v>56692</v>
      </c>
      <c r="FR14" s="1098">
        <v>66722</v>
      </c>
      <c r="FS14" s="1098">
        <v>71397</v>
      </c>
      <c r="FT14" s="1098">
        <v>74439</v>
      </c>
      <c r="FU14" s="1098">
        <v>72387</v>
      </c>
      <c r="FV14" s="1098">
        <v>58205</v>
      </c>
      <c r="FW14" s="1098">
        <v>54415</v>
      </c>
      <c r="FX14" s="1098">
        <v>49906</v>
      </c>
      <c r="FY14" s="1098">
        <v>66046</v>
      </c>
      <c r="FZ14" s="1098">
        <v>74529</v>
      </c>
      <c r="GA14" s="1097">
        <f t="shared" si="190"/>
        <v>764956</v>
      </c>
      <c r="GB14" s="1098">
        <v>67425</v>
      </c>
      <c r="GC14" s="1098">
        <v>75251.69</v>
      </c>
      <c r="GD14" s="1098">
        <v>79752.899999999994</v>
      </c>
      <c r="GE14" s="1098">
        <v>77880</v>
      </c>
      <c r="GF14" s="1098">
        <v>83212.850000000006</v>
      </c>
      <c r="GG14" s="1098">
        <v>86109</v>
      </c>
      <c r="GH14" s="1098">
        <v>65157.98</v>
      </c>
      <c r="GI14" s="1098">
        <v>63093.89</v>
      </c>
      <c r="GJ14" s="1098">
        <v>54573.5</v>
      </c>
      <c r="GK14" s="1098">
        <v>59217.929000000004</v>
      </c>
      <c r="GL14" s="1098">
        <v>81317.859000000011</v>
      </c>
      <c r="GM14" s="1098">
        <v>70289.10500000001</v>
      </c>
      <c r="GN14" s="1097">
        <f t="shared" si="203"/>
        <v>863281.70299999998</v>
      </c>
      <c r="GO14" s="1098">
        <v>54058.407999999996</v>
      </c>
      <c r="GP14" s="1098">
        <v>71164.888999999996</v>
      </c>
      <c r="GQ14" s="1098">
        <v>59931.92</v>
      </c>
      <c r="GR14" s="1098">
        <v>80060.39</v>
      </c>
      <c r="GS14" s="1098">
        <v>81472.864000000001</v>
      </c>
      <c r="GT14" s="1098">
        <v>89099</v>
      </c>
      <c r="GU14" s="1098">
        <v>74768.84</v>
      </c>
      <c r="GV14" s="1098">
        <v>59971.92</v>
      </c>
      <c r="GW14" s="1098">
        <v>66650.309000000008</v>
      </c>
      <c r="GX14" s="1098">
        <v>70435.09</v>
      </c>
      <c r="GY14" s="1098">
        <v>85932.95</v>
      </c>
      <c r="GZ14" s="1098">
        <v>82172.3</v>
      </c>
      <c r="HA14" s="1097">
        <f t="shared" si="216"/>
        <v>875718.88</v>
      </c>
      <c r="HB14" s="1098">
        <v>54981.85</v>
      </c>
      <c r="HC14" s="1098">
        <v>67254</v>
      </c>
      <c r="HD14" s="1098">
        <v>68106.73</v>
      </c>
      <c r="HE14" s="1098">
        <v>84434.55</v>
      </c>
      <c r="HF14" s="1098">
        <v>82294.960000000006</v>
      </c>
      <c r="HG14" s="1098">
        <v>87878.81</v>
      </c>
      <c r="HH14" s="1098">
        <v>72235</v>
      </c>
      <c r="HI14" s="1098">
        <v>69547.399999999994</v>
      </c>
      <c r="HJ14" s="1098">
        <v>61911.39</v>
      </c>
      <c r="HK14" s="1098">
        <v>63021.5</v>
      </c>
      <c r="HL14" s="1098">
        <v>83036.5</v>
      </c>
      <c r="HM14" s="1098">
        <v>73681.5</v>
      </c>
      <c r="HN14" s="1097">
        <f t="shared" si="229"/>
        <v>868384.19000000006</v>
      </c>
      <c r="HO14" s="1098">
        <v>61448</v>
      </c>
      <c r="HP14" s="1098">
        <v>70011.5</v>
      </c>
      <c r="HQ14" s="1098">
        <v>70501</v>
      </c>
      <c r="HR14" s="1098">
        <v>71591.5</v>
      </c>
      <c r="HS14" s="1098">
        <v>79986</v>
      </c>
      <c r="HT14" s="1098">
        <v>86673</v>
      </c>
      <c r="HU14" s="1098">
        <v>70026.5</v>
      </c>
      <c r="HV14" s="1098">
        <v>70482</v>
      </c>
      <c r="HW14" s="1098">
        <v>73743.399999999994</v>
      </c>
      <c r="HX14" s="1098">
        <v>77064</v>
      </c>
      <c r="HY14" s="1098">
        <v>93705.3</v>
      </c>
      <c r="HZ14" s="1098">
        <v>86241</v>
      </c>
      <c r="IA14" s="1097">
        <f t="shared" si="242"/>
        <v>911473.20000000007</v>
      </c>
      <c r="IB14" s="1098">
        <v>65686</v>
      </c>
      <c r="IC14" s="1098">
        <v>68139</v>
      </c>
      <c r="ID14" s="1098">
        <v>66248</v>
      </c>
      <c r="IE14" s="1098">
        <v>74587.7</v>
      </c>
      <c r="IF14" s="1098">
        <v>81028</v>
      </c>
      <c r="IG14" s="1098">
        <v>86307.1</v>
      </c>
      <c r="IH14" s="1098">
        <v>82376.800000000003</v>
      </c>
      <c r="II14" s="1098">
        <v>66421.8</v>
      </c>
      <c r="IJ14" s="1098">
        <v>59321.9</v>
      </c>
      <c r="IK14" s="1098">
        <v>68908.399999999994</v>
      </c>
      <c r="IL14" s="1098">
        <v>72255.149999999994</v>
      </c>
      <c r="IM14" s="1098">
        <v>69212.899999999994</v>
      </c>
      <c r="IN14" s="1097">
        <v>860492.75000000023</v>
      </c>
      <c r="IO14" s="1098">
        <v>49265.7</v>
      </c>
      <c r="IP14" s="1098">
        <v>60288.7</v>
      </c>
      <c r="IQ14" s="1098">
        <v>68280.7</v>
      </c>
      <c r="IR14" s="1098">
        <v>70947.8</v>
      </c>
      <c r="IS14" s="1098">
        <v>81000.5</v>
      </c>
      <c r="IT14" s="1098">
        <v>75799</v>
      </c>
      <c r="IU14" s="1098">
        <v>85874</v>
      </c>
      <c r="IV14" s="1098">
        <v>70397.600000000006</v>
      </c>
      <c r="IW14" s="1098">
        <v>67160.600000000006</v>
      </c>
      <c r="IX14" s="1098">
        <v>71077.600000000006</v>
      </c>
      <c r="IY14" s="1098">
        <v>75651.3</v>
      </c>
      <c r="IZ14" s="1098">
        <v>71484.100000000006</v>
      </c>
      <c r="JA14" s="1097">
        <v>847227.6</v>
      </c>
      <c r="JB14" s="1098">
        <v>59426</v>
      </c>
      <c r="JC14" s="1098">
        <v>66775.86</v>
      </c>
      <c r="JD14" s="1098"/>
      <c r="JE14" s="1098"/>
      <c r="JF14" s="1098"/>
      <c r="JG14" s="1098"/>
      <c r="JH14" s="1098"/>
      <c r="JI14" s="1098"/>
      <c r="JJ14" s="1098"/>
      <c r="JK14" s="1098"/>
      <c r="JL14" s="1098"/>
      <c r="JM14" s="1098"/>
      <c r="JN14" s="1097">
        <f t="shared" si="281"/>
        <v>126201.86</v>
      </c>
      <c r="JP14" s="1174">
        <f t="shared" si="305"/>
        <v>3.281469205885057</v>
      </c>
      <c r="JQ14" s="1175">
        <f t="shared" si="306"/>
        <v>-1.5415760330345862</v>
      </c>
      <c r="JR14" s="1184">
        <f t="shared" si="307"/>
        <v>860492.75000000023</v>
      </c>
      <c r="JS14" s="1185">
        <f t="shared" si="308"/>
        <v>847227.6</v>
      </c>
      <c r="JT14" s="1"/>
      <c r="JU14" s="1079">
        <f t="shared" si="309"/>
        <v>27742444.826000012</v>
      </c>
      <c r="JV14" s="1080" t="s">
        <v>134</v>
      </c>
      <c r="JW14" s="1081" t="str">
        <f t="shared" si="310"/>
        <v>OK</v>
      </c>
    </row>
    <row r="15" spans="1:283" ht="15" customHeight="1" x14ac:dyDescent="0.2">
      <c r="A15" s="1166" t="s">
        <v>147</v>
      </c>
      <c r="B15" s="1098">
        <v>440</v>
      </c>
      <c r="C15" s="1098">
        <v>461</v>
      </c>
      <c r="D15" s="1098">
        <v>505</v>
      </c>
      <c r="E15" s="1098">
        <v>567</v>
      </c>
      <c r="F15" s="1098">
        <v>543</v>
      </c>
      <c r="G15" s="1098">
        <v>533</v>
      </c>
      <c r="H15" s="1098">
        <v>586</v>
      </c>
      <c r="I15" s="1098">
        <v>532</v>
      </c>
      <c r="J15" s="1098">
        <v>463</v>
      </c>
      <c r="K15" s="1098">
        <v>491</v>
      </c>
      <c r="L15" s="1098">
        <v>433</v>
      </c>
      <c r="M15" s="1098">
        <v>410</v>
      </c>
      <c r="N15" s="1097">
        <f t="shared" si="21"/>
        <v>5964</v>
      </c>
      <c r="O15" s="1098">
        <v>570</v>
      </c>
      <c r="P15" s="1098">
        <v>561</v>
      </c>
      <c r="Q15" s="1098">
        <v>640</v>
      </c>
      <c r="R15" s="1098">
        <v>738</v>
      </c>
      <c r="S15" s="1098">
        <v>842</v>
      </c>
      <c r="T15" s="1098">
        <v>925</v>
      </c>
      <c r="U15" s="1098">
        <v>866</v>
      </c>
      <c r="V15" s="1098">
        <v>750</v>
      </c>
      <c r="W15" s="1098">
        <v>644</v>
      </c>
      <c r="X15" s="1098">
        <v>635</v>
      </c>
      <c r="Y15" s="1098">
        <v>622</v>
      </c>
      <c r="Z15" s="1098">
        <v>619</v>
      </c>
      <c r="AA15" s="1097">
        <f t="shared" si="34"/>
        <v>8412</v>
      </c>
      <c r="AB15" s="1098">
        <v>675</v>
      </c>
      <c r="AC15" s="1098">
        <v>690</v>
      </c>
      <c r="AD15" s="1098">
        <v>758</v>
      </c>
      <c r="AE15" s="1098">
        <v>810</v>
      </c>
      <c r="AF15" s="1098">
        <v>1141</v>
      </c>
      <c r="AG15" s="1098">
        <v>978</v>
      </c>
      <c r="AH15" s="1098">
        <v>913</v>
      </c>
      <c r="AI15" s="1098">
        <v>884</v>
      </c>
      <c r="AJ15" s="1098">
        <v>934</v>
      </c>
      <c r="AK15" s="1098">
        <v>1024</v>
      </c>
      <c r="AL15" s="1098">
        <v>984</v>
      </c>
      <c r="AM15" s="1098">
        <v>1020</v>
      </c>
      <c r="AN15" s="1097">
        <f t="shared" si="47"/>
        <v>10811</v>
      </c>
      <c r="AO15" s="1098">
        <v>714</v>
      </c>
      <c r="AP15" s="1098">
        <v>719</v>
      </c>
      <c r="AQ15" s="1098">
        <v>849</v>
      </c>
      <c r="AR15" s="1098">
        <v>1075</v>
      </c>
      <c r="AS15" s="1098">
        <v>1424</v>
      </c>
      <c r="AT15" s="1098">
        <v>1277</v>
      </c>
      <c r="AU15" s="1098">
        <v>1066</v>
      </c>
      <c r="AV15" s="1098">
        <v>1008</v>
      </c>
      <c r="AW15" s="1098">
        <v>1181.22</v>
      </c>
      <c r="AX15" s="1098">
        <v>1062.3399999999999</v>
      </c>
      <c r="AY15" s="1098">
        <v>996</v>
      </c>
      <c r="AZ15" s="1098">
        <v>1018</v>
      </c>
      <c r="BA15" s="1097">
        <f t="shared" si="60"/>
        <v>12389.56</v>
      </c>
      <c r="BB15" s="1098">
        <v>1131</v>
      </c>
      <c r="BC15" s="1098">
        <v>1135</v>
      </c>
      <c r="BD15" s="1098">
        <v>1223</v>
      </c>
      <c r="BE15" s="1098">
        <v>1353</v>
      </c>
      <c r="BF15" s="1098">
        <v>1877</v>
      </c>
      <c r="BG15" s="1098">
        <v>2022</v>
      </c>
      <c r="BH15" s="1098">
        <v>1904</v>
      </c>
      <c r="BI15" s="1098">
        <v>1728</v>
      </c>
      <c r="BJ15" s="1098">
        <v>1848</v>
      </c>
      <c r="BK15" s="1098">
        <v>2173</v>
      </c>
      <c r="BL15" s="1098">
        <v>2348</v>
      </c>
      <c r="BM15" s="1098">
        <v>2258</v>
      </c>
      <c r="BN15" s="1097">
        <f t="shared" si="73"/>
        <v>21000</v>
      </c>
      <c r="BO15" s="1098">
        <v>1410</v>
      </c>
      <c r="BP15" s="1098">
        <v>1288</v>
      </c>
      <c r="BQ15" s="1098">
        <v>1460</v>
      </c>
      <c r="BR15" s="1098">
        <v>1699</v>
      </c>
      <c r="BS15" s="1098">
        <v>1938</v>
      </c>
      <c r="BT15" s="1098">
        <v>2087</v>
      </c>
      <c r="BU15" s="1098">
        <v>1802</v>
      </c>
      <c r="BV15" s="1098">
        <v>1490</v>
      </c>
      <c r="BW15" s="1098">
        <v>1284</v>
      </c>
      <c r="BX15" s="1098">
        <v>1490</v>
      </c>
      <c r="BY15" s="1098">
        <v>2082</v>
      </c>
      <c r="BZ15" s="1098">
        <v>1611</v>
      </c>
      <c r="CA15" s="1097">
        <f t="shared" si="86"/>
        <v>19641</v>
      </c>
      <c r="CB15" s="1098">
        <v>1431</v>
      </c>
      <c r="CC15" s="1098">
        <v>1432</v>
      </c>
      <c r="CD15" s="1098">
        <v>1499</v>
      </c>
      <c r="CE15" s="1098">
        <v>1863</v>
      </c>
      <c r="CF15" s="1098">
        <v>2259</v>
      </c>
      <c r="CG15" s="1098">
        <v>2453</v>
      </c>
      <c r="CH15" s="1098">
        <v>2429</v>
      </c>
      <c r="CI15" s="1098">
        <v>2621</v>
      </c>
      <c r="CJ15" s="1098">
        <v>2428</v>
      </c>
      <c r="CK15" s="1098">
        <v>2848</v>
      </c>
      <c r="CL15" s="1098">
        <v>2707</v>
      </c>
      <c r="CM15" s="1098">
        <v>2768</v>
      </c>
      <c r="CN15" s="1097">
        <f t="shared" si="99"/>
        <v>26738</v>
      </c>
      <c r="CO15" s="1098">
        <v>1764</v>
      </c>
      <c r="CP15" s="1098">
        <v>2002</v>
      </c>
      <c r="CQ15" s="1098">
        <v>1932</v>
      </c>
      <c r="CR15" s="1098">
        <v>2310</v>
      </c>
      <c r="CS15" s="1098">
        <v>2815</v>
      </c>
      <c r="CT15" s="1098">
        <v>2927</v>
      </c>
      <c r="CU15" s="1098">
        <v>2707</v>
      </c>
      <c r="CV15" s="1098">
        <v>2695</v>
      </c>
      <c r="CW15" s="1098">
        <v>2824</v>
      </c>
      <c r="CX15" s="1098">
        <v>3071</v>
      </c>
      <c r="CY15" s="1098">
        <v>3527</v>
      </c>
      <c r="CZ15" s="1098">
        <v>3553</v>
      </c>
      <c r="DA15" s="1097">
        <f t="shared" si="112"/>
        <v>32127</v>
      </c>
      <c r="DB15" s="1098">
        <v>2530</v>
      </c>
      <c r="DC15" s="1098">
        <v>2628</v>
      </c>
      <c r="DD15" s="1098">
        <v>2604</v>
      </c>
      <c r="DE15" s="1098">
        <v>3080</v>
      </c>
      <c r="DF15" s="1098">
        <v>3400</v>
      </c>
      <c r="DG15" s="1098">
        <v>3725</v>
      </c>
      <c r="DH15" s="1098">
        <v>3286</v>
      </c>
      <c r="DI15" s="1098">
        <v>3380</v>
      </c>
      <c r="DJ15" s="1098">
        <v>2981</v>
      </c>
      <c r="DK15" s="1098">
        <v>3389</v>
      </c>
      <c r="DL15" s="1098">
        <v>3512</v>
      </c>
      <c r="DM15" s="1098">
        <v>3768</v>
      </c>
      <c r="DN15" s="1097">
        <f t="shared" si="125"/>
        <v>38283</v>
      </c>
      <c r="DO15" s="1098">
        <v>2750</v>
      </c>
      <c r="DP15" s="1098">
        <v>3406</v>
      </c>
      <c r="DQ15" s="1098">
        <v>2955</v>
      </c>
      <c r="DR15" s="1098">
        <v>3146</v>
      </c>
      <c r="DS15" s="1098">
        <v>3795</v>
      </c>
      <c r="DT15" s="1098">
        <v>4589</v>
      </c>
      <c r="DU15" s="1098">
        <v>3338</v>
      </c>
      <c r="DV15" s="1098">
        <v>3182</v>
      </c>
      <c r="DW15" s="1098">
        <v>4052</v>
      </c>
      <c r="DX15" s="1098">
        <v>3350</v>
      </c>
      <c r="DY15" s="1098">
        <v>3613</v>
      </c>
      <c r="DZ15" s="1098">
        <v>4431</v>
      </c>
      <c r="EA15" s="1097">
        <f t="shared" si="138"/>
        <v>42607</v>
      </c>
      <c r="EB15" s="1098">
        <v>2858</v>
      </c>
      <c r="EC15" s="1098">
        <v>2966</v>
      </c>
      <c r="ED15" s="1098">
        <v>3053</v>
      </c>
      <c r="EE15" s="1098">
        <v>3552</v>
      </c>
      <c r="EF15" s="1098">
        <v>4592</v>
      </c>
      <c r="EG15" s="1098">
        <v>5195</v>
      </c>
      <c r="EH15" s="1098">
        <v>4344</v>
      </c>
      <c r="EI15" s="1098">
        <v>3595</v>
      </c>
      <c r="EJ15" s="1098">
        <v>3433</v>
      </c>
      <c r="EK15" s="1098">
        <v>4002</v>
      </c>
      <c r="EL15" s="1098">
        <v>4196</v>
      </c>
      <c r="EM15" s="1098">
        <v>4211</v>
      </c>
      <c r="EN15" s="1097">
        <f t="shared" si="151"/>
        <v>45997</v>
      </c>
      <c r="EO15" s="1098">
        <v>2657</v>
      </c>
      <c r="EP15" s="1098">
        <v>3463</v>
      </c>
      <c r="EQ15" s="1098">
        <v>3141</v>
      </c>
      <c r="ER15" s="1098">
        <v>4094</v>
      </c>
      <c r="ES15" s="1098">
        <v>5086</v>
      </c>
      <c r="ET15" s="1098">
        <v>5038</v>
      </c>
      <c r="EU15" s="1098">
        <v>4958</v>
      </c>
      <c r="EV15" s="1098">
        <v>4418</v>
      </c>
      <c r="EW15" s="1098">
        <v>4477</v>
      </c>
      <c r="EX15" s="1098">
        <v>4543</v>
      </c>
      <c r="EY15" s="1098">
        <v>5138</v>
      </c>
      <c r="EZ15" s="1098">
        <v>4427</v>
      </c>
      <c r="FA15" s="1097">
        <f t="shared" si="164"/>
        <v>51440</v>
      </c>
      <c r="FB15" s="1098">
        <v>3709</v>
      </c>
      <c r="FC15" s="1098">
        <v>4096</v>
      </c>
      <c r="FD15" s="1098">
        <v>3875</v>
      </c>
      <c r="FE15" s="1098">
        <v>4532</v>
      </c>
      <c r="FF15" s="1098">
        <v>5432</v>
      </c>
      <c r="FG15" s="1098">
        <v>5409</v>
      </c>
      <c r="FH15" s="1098">
        <v>5232</v>
      </c>
      <c r="FI15" s="1098">
        <v>5063</v>
      </c>
      <c r="FJ15" s="1098">
        <v>4402</v>
      </c>
      <c r="FK15" s="1098">
        <v>4783</v>
      </c>
      <c r="FL15" s="1098">
        <v>4790</v>
      </c>
      <c r="FM15" s="1098">
        <v>4815</v>
      </c>
      <c r="FN15" s="1097">
        <f t="shared" si="177"/>
        <v>56138</v>
      </c>
      <c r="FO15" s="1098">
        <v>4036</v>
      </c>
      <c r="FP15" s="1098">
        <v>4400</v>
      </c>
      <c r="FQ15" s="1098">
        <v>4574</v>
      </c>
      <c r="FR15" s="1098">
        <v>4572</v>
      </c>
      <c r="FS15" s="1098">
        <v>5159.0000000000018</v>
      </c>
      <c r="FT15" s="1098">
        <v>5594</v>
      </c>
      <c r="FU15" s="1098">
        <v>4607</v>
      </c>
      <c r="FV15" s="1098">
        <v>4209</v>
      </c>
      <c r="FW15" s="1098">
        <v>3652</v>
      </c>
      <c r="FX15" s="1098">
        <v>4381</v>
      </c>
      <c r="FY15" s="1098">
        <v>5021</v>
      </c>
      <c r="FZ15" s="1098">
        <v>3980</v>
      </c>
      <c r="GA15" s="1097">
        <f t="shared" si="190"/>
        <v>54185</v>
      </c>
      <c r="GB15" s="1098">
        <v>5323.4</v>
      </c>
      <c r="GC15" s="1098">
        <v>5443.2</v>
      </c>
      <c r="GD15" s="1098">
        <v>5041.7</v>
      </c>
      <c r="GE15" s="1098">
        <v>5927.5</v>
      </c>
      <c r="GF15" s="1098">
        <v>5817.6</v>
      </c>
      <c r="GG15" s="1098">
        <v>6405.4</v>
      </c>
      <c r="GH15" s="1098">
        <v>5769.5</v>
      </c>
      <c r="GI15" s="1098">
        <v>5583.9</v>
      </c>
      <c r="GJ15" s="1098">
        <v>4971.7</v>
      </c>
      <c r="GK15" s="1098">
        <v>5572.4</v>
      </c>
      <c r="GL15" s="1098">
        <v>5564.54</v>
      </c>
      <c r="GM15" s="1098">
        <v>5365.6</v>
      </c>
      <c r="GN15" s="1097">
        <f t="shared" si="203"/>
        <v>66786.44</v>
      </c>
      <c r="GO15" s="1098">
        <v>3771.6</v>
      </c>
      <c r="GP15" s="1098">
        <v>4398</v>
      </c>
      <c r="GQ15" s="1098">
        <v>4526.3</v>
      </c>
      <c r="GR15" s="1098">
        <v>5439.8</v>
      </c>
      <c r="GS15" s="1098">
        <v>6887.8</v>
      </c>
      <c r="GT15" s="1098">
        <v>7498.5</v>
      </c>
      <c r="GU15" s="1098">
        <v>5495.3</v>
      </c>
      <c r="GV15" s="1098">
        <v>5257.2999999999993</v>
      </c>
      <c r="GW15" s="1098">
        <v>4411.8999999999996</v>
      </c>
      <c r="GX15" s="1098">
        <v>4713.41</v>
      </c>
      <c r="GY15" s="1098">
        <v>5866.7000000000007</v>
      </c>
      <c r="GZ15" s="1098">
        <v>5129.3</v>
      </c>
      <c r="HA15" s="1097">
        <f t="shared" si="216"/>
        <v>63395.91</v>
      </c>
      <c r="HB15" s="1098">
        <v>4242.1000000000004</v>
      </c>
      <c r="HC15" s="1098">
        <v>4793.7000000000007</v>
      </c>
      <c r="HD15" s="1098">
        <v>5496.7</v>
      </c>
      <c r="HE15" s="1098">
        <v>5799.3</v>
      </c>
      <c r="HF15" s="1098">
        <v>6902.9</v>
      </c>
      <c r="HG15" s="1098">
        <v>7554.5</v>
      </c>
      <c r="HH15" s="1098">
        <v>6180.3</v>
      </c>
      <c r="HI15" s="1098">
        <v>5118.7</v>
      </c>
      <c r="HJ15" s="1098">
        <v>4768.2</v>
      </c>
      <c r="HK15" s="1098">
        <v>4642.6000000000004</v>
      </c>
      <c r="HL15" s="1098">
        <v>5317.1</v>
      </c>
      <c r="HM15" s="1098">
        <v>5596.4</v>
      </c>
      <c r="HN15" s="1097">
        <f t="shared" si="229"/>
        <v>66412.499999999985</v>
      </c>
      <c r="HO15" s="1098">
        <v>4385.6000000000004</v>
      </c>
      <c r="HP15" s="1098">
        <v>5084.5</v>
      </c>
      <c r="HQ15" s="1098">
        <v>5488.4</v>
      </c>
      <c r="HR15" s="1098">
        <v>5703.3</v>
      </c>
      <c r="HS15" s="1098">
        <v>7583.9</v>
      </c>
      <c r="HT15" s="1098">
        <v>7781.5</v>
      </c>
      <c r="HU15" s="1098">
        <v>6792.2</v>
      </c>
      <c r="HV15" s="1098">
        <v>4837.7</v>
      </c>
      <c r="HW15" s="1098">
        <v>5045.1000000000004</v>
      </c>
      <c r="HX15" s="1098">
        <v>4120.5</v>
      </c>
      <c r="HY15" s="1098">
        <v>4279.8</v>
      </c>
      <c r="HZ15" s="1098">
        <v>4016.3</v>
      </c>
      <c r="IA15" s="1097">
        <f t="shared" si="242"/>
        <v>65118.799999999996</v>
      </c>
      <c r="IB15" s="1098">
        <v>4507.8999999999996</v>
      </c>
      <c r="IC15" s="1098">
        <v>5041</v>
      </c>
      <c r="ID15" s="1098">
        <v>5816.5</v>
      </c>
      <c r="IE15" s="1098">
        <v>7607.5</v>
      </c>
      <c r="IF15" s="1098">
        <v>8792.85</v>
      </c>
      <c r="IG15" s="1098">
        <v>7956.03</v>
      </c>
      <c r="IH15" s="1098">
        <v>6590.1</v>
      </c>
      <c r="II15" s="1098">
        <v>4324.5</v>
      </c>
      <c r="IJ15" s="1098">
        <v>4033.3</v>
      </c>
      <c r="IK15" s="1098">
        <v>3080</v>
      </c>
      <c r="IL15" s="1098">
        <v>3114.3</v>
      </c>
      <c r="IM15" s="1098">
        <v>2897.5</v>
      </c>
      <c r="IN15" s="1097">
        <v>63761.48</v>
      </c>
      <c r="IO15" s="1098">
        <v>3339.5</v>
      </c>
      <c r="IP15" s="1098">
        <v>3481.1</v>
      </c>
      <c r="IQ15" s="1098">
        <v>5809.0300000000007</v>
      </c>
      <c r="IR15" s="1098">
        <v>8955.7000000000007</v>
      </c>
      <c r="IS15" s="1098">
        <v>9540.7999999999993</v>
      </c>
      <c r="IT15" s="1098">
        <v>9429</v>
      </c>
      <c r="IU15" s="1098">
        <v>7925.5</v>
      </c>
      <c r="IV15" s="1098">
        <v>4546.7</v>
      </c>
      <c r="IW15" s="1098">
        <v>3687.2</v>
      </c>
      <c r="IX15" s="1098">
        <v>3040</v>
      </c>
      <c r="IY15" s="1098">
        <v>2870</v>
      </c>
      <c r="IZ15" s="1098">
        <v>3077.75</v>
      </c>
      <c r="JA15" s="1097">
        <v>65702.28</v>
      </c>
      <c r="JB15" s="1098">
        <v>2586.6999999999998</v>
      </c>
      <c r="JC15" s="1098">
        <v>2934.25</v>
      </c>
      <c r="JD15" s="1098"/>
      <c r="JE15" s="1098"/>
      <c r="JF15" s="1098"/>
      <c r="JG15" s="1098"/>
      <c r="JH15" s="1098"/>
      <c r="JI15" s="1098"/>
      <c r="JJ15" s="1098"/>
      <c r="JK15" s="1098"/>
      <c r="JL15" s="1098"/>
      <c r="JM15" s="1098"/>
      <c r="JN15" s="1097">
        <f t="shared" si="281"/>
        <v>5520.95</v>
      </c>
      <c r="JP15" s="1174">
        <f t="shared" si="305"/>
        <v>6.2208800690250143</v>
      </c>
      <c r="JQ15" s="1175">
        <f t="shared" si="306"/>
        <v>3.0438440262051669</v>
      </c>
      <c r="JR15" s="1184">
        <f t="shared" si="307"/>
        <v>63761.48</v>
      </c>
      <c r="JS15" s="1185">
        <f t="shared" si="308"/>
        <v>65702.28</v>
      </c>
      <c r="JT15" s="1"/>
      <c r="JU15" s="1079">
        <f t="shared" si="309"/>
        <v>1644861.8400000005</v>
      </c>
      <c r="JV15" s="1080" t="s">
        <v>147</v>
      </c>
      <c r="JW15" s="1081" t="str">
        <f t="shared" si="310"/>
        <v>OK</v>
      </c>
    </row>
    <row r="16" spans="1:283" ht="15" customHeight="1" x14ac:dyDescent="0.2">
      <c r="A16" s="1166" t="s">
        <v>148</v>
      </c>
      <c r="B16" s="1098">
        <v>173</v>
      </c>
      <c r="C16" s="1098">
        <v>1048</v>
      </c>
      <c r="D16" s="1098">
        <v>3732</v>
      </c>
      <c r="E16" s="1098">
        <v>11054</v>
      </c>
      <c r="F16" s="1098">
        <v>11248</v>
      </c>
      <c r="G16" s="1098">
        <v>7515</v>
      </c>
      <c r="H16" s="1098">
        <v>2921</v>
      </c>
      <c r="I16" s="1098">
        <v>1605</v>
      </c>
      <c r="J16" s="1098"/>
      <c r="K16" s="1098"/>
      <c r="L16" s="1098"/>
      <c r="M16" s="1098"/>
      <c r="N16" s="1097">
        <f t="shared" si="21"/>
        <v>39296</v>
      </c>
      <c r="O16" s="1098">
        <v>269</v>
      </c>
      <c r="P16" s="1098">
        <v>2377</v>
      </c>
      <c r="Q16" s="1098">
        <v>5632</v>
      </c>
      <c r="R16" s="1098">
        <v>10286</v>
      </c>
      <c r="S16" s="1098">
        <v>10312</v>
      </c>
      <c r="T16" s="1098">
        <v>6525</v>
      </c>
      <c r="U16" s="1098">
        <v>2807</v>
      </c>
      <c r="V16" s="1098">
        <v>951</v>
      </c>
      <c r="W16" s="1098">
        <v>124</v>
      </c>
      <c r="X16" s="1098">
        <v>17</v>
      </c>
      <c r="Y16" s="1098">
        <v>8</v>
      </c>
      <c r="Z16" s="1098">
        <v>6</v>
      </c>
      <c r="AA16" s="1097">
        <f t="shared" si="34"/>
        <v>39314</v>
      </c>
      <c r="AB16" s="1098">
        <v>1613</v>
      </c>
      <c r="AC16" s="1098">
        <v>4364</v>
      </c>
      <c r="AD16" s="1098">
        <v>6938</v>
      </c>
      <c r="AE16" s="1098">
        <v>10308</v>
      </c>
      <c r="AF16" s="1098">
        <v>11150</v>
      </c>
      <c r="AG16" s="1098">
        <v>6565</v>
      </c>
      <c r="AH16" s="1098">
        <v>2322</v>
      </c>
      <c r="AI16" s="1098">
        <v>1135</v>
      </c>
      <c r="AJ16" s="1098">
        <v>39</v>
      </c>
      <c r="AK16" s="1098">
        <v>27</v>
      </c>
      <c r="AL16" s="1098">
        <v>10</v>
      </c>
      <c r="AM16" s="1098">
        <v>3</v>
      </c>
      <c r="AN16" s="1097">
        <f t="shared" si="47"/>
        <v>44474</v>
      </c>
      <c r="AO16" s="1098">
        <v>1138</v>
      </c>
      <c r="AP16" s="1098">
        <v>2577</v>
      </c>
      <c r="AQ16" s="1098">
        <v>6794</v>
      </c>
      <c r="AR16" s="1098">
        <v>12194</v>
      </c>
      <c r="AS16" s="1098">
        <v>12227</v>
      </c>
      <c r="AT16" s="1098">
        <v>8136</v>
      </c>
      <c r="AU16" s="1098">
        <v>3936</v>
      </c>
      <c r="AV16" s="1098">
        <v>1051</v>
      </c>
      <c r="AW16" s="1098">
        <v>391.55</v>
      </c>
      <c r="AX16" s="1098">
        <v>111.8</v>
      </c>
      <c r="AY16" s="1098">
        <v>85</v>
      </c>
      <c r="AZ16" s="1098">
        <v>2</v>
      </c>
      <c r="BA16" s="1097">
        <f t="shared" si="60"/>
        <v>48643.350000000006</v>
      </c>
      <c r="BB16" s="1098">
        <v>1024</v>
      </c>
      <c r="BC16" s="1098">
        <v>2519</v>
      </c>
      <c r="BD16" s="1098">
        <v>6315</v>
      </c>
      <c r="BE16" s="1098">
        <v>12272</v>
      </c>
      <c r="BF16" s="1098">
        <v>16117</v>
      </c>
      <c r="BG16" s="1098">
        <v>8923</v>
      </c>
      <c r="BH16" s="1098">
        <v>3947</v>
      </c>
      <c r="BI16" s="1098">
        <v>992</v>
      </c>
      <c r="BJ16" s="1098">
        <v>313</v>
      </c>
      <c r="BK16" s="1098">
        <v>256</v>
      </c>
      <c r="BL16" s="1098">
        <v>183</v>
      </c>
      <c r="BM16" s="1098">
        <v>54</v>
      </c>
      <c r="BN16" s="1097">
        <f t="shared" si="73"/>
        <v>52915</v>
      </c>
      <c r="BO16" s="1098">
        <v>158</v>
      </c>
      <c r="BP16" s="1098">
        <v>1772</v>
      </c>
      <c r="BQ16" s="1098">
        <v>6038</v>
      </c>
      <c r="BR16" s="1098">
        <v>16264</v>
      </c>
      <c r="BS16" s="1098">
        <v>16265</v>
      </c>
      <c r="BT16" s="1098">
        <v>12510</v>
      </c>
      <c r="BU16" s="1098">
        <v>5050</v>
      </c>
      <c r="BV16" s="1098">
        <v>1936</v>
      </c>
      <c r="BW16" s="1098">
        <v>700</v>
      </c>
      <c r="BX16" s="1098">
        <v>199</v>
      </c>
      <c r="BY16" s="1098">
        <v>195</v>
      </c>
      <c r="BZ16" s="1098">
        <v>84</v>
      </c>
      <c r="CA16" s="1097">
        <f t="shared" si="86"/>
        <v>61171</v>
      </c>
      <c r="CB16" s="1098">
        <v>337</v>
      </c>
      <c r="CC16" s="1098">
        <v>2510</v>
      </c>
      <c r="CD16" s="1098">
        <v>5864</v>
      </c>
      <c r="CE16" s="1098">
        <v>17714</v>
      </c>
      <c r="CF16" s="1098">
        <v>21542</v>
      </c>
      <c r="CG16" s="1098">
        <v>13512</v>
      </c>
      <c r="CH16" s="1098">
        <v>4473</v>
      </c>
      <c r="CI16" s="1098">
        <v>1343</v>
      </c>
      <c r="CJ16" s="1098">
        <v>499</v>
      </c>
      <c r="CK16" s="1098">
        <v>461</v>
      </c>
      <c r="CL16" s="1098">
        <v>416</v>
      </c>
      <c r="CM16" s="1098">
        <v>42</v>
      </c>
      <c r="CN16" s="1097">
        <f t="shared" si="99"/>
        <v>68713</v>
      </c>
      <c r="CO16" s="1098">
        <v>201</v>
      </c>
      <c r="CP16" s="1098">
        <v>1415</v>
      </c>
      <c r="CQ16" s="1098">
        <v>4678</v>
      </c>
      <c r="CR16" s="1098">
        <v>14359</v>
      </c>
      <c r="CS16" s="1098">
        <v>13779</v>
      </c>
      <c r="CT16" s="1098">
        <v>9746</v>
      </c>
      <c r="CU16" s="1098">
        <v>2455</v>
      </c>
      <c r="CV16" s="1098">
        <v>834</v>
      </c>
      <c r="CW16" s="1098">
        <v>168</v>
      </c>
      <c r="CX16" s="1098">
        <v>169</v>
      </c>
      <c r="CY16" s="1098">
        <v>31</v>
      </c>
      <c r="CZ16" s="1098">
        <v>34</v>
      </c>
      <c r="DA16" s="1097">
        <f t="shared" si="112"/>
        <v>47869</v>
      </c>
      <c r="DB16" s="1098">
        <v>192</v>
      </c>
      <c r="DC16" s="1098">
        <v>1248</v>
      </c>
      <c r="DD16" s="1098">
        <v>5519</v>
      </c>
      <c r="DE16" s="1098">
        <v>12944</v>
      </c>
      <c r="DF16" s="1098">
        <v>17410</v>
      </c>
      <c r="DG16" s="1098">
        <v>12886</v>
      </c>
      <c r="DH16" s="1098">
        <v>4690</v>
      </c>
      <c r="DI16" s="1098">
        <v>1633</v>
      </c>
      <c r="DJ16" s="1098">
        <v>150</v>
      </c>
      <c r="DK16" s="1098">
        <v>148</v>
      </c>
      <c r="DL16" s="1098">
        <v>1</v>
      </c>
      <c r="DM16" s="1098"/>
      <c r="DN16" s="1097">
        <f t="shared" si="125"/>
        <v>56821</v>
      </c>
      <c r="DO16" s="1098">
        <v>284</v>
      </c>
      <c r="DP16" s="1098">
        <v>2353</v>
      </c>
      <c r="DQ16" s="1098">
        <v>7658</v>
      </c>
      <c r="DR16" s="1098">
        <v>21059</v>
      </c>
      <c r="DS16" s="1098">
        <v>27507</v>
      </c>
      <c r="DT16" s="1098">
        <v>16420</v>
      </c>
      <c r="DU16" s="1098">
        <v>5074</v>
      </c>
      <c r="DV16" s="1098">
        <v>1015</v>
      </c>
      <c r="DW16" s="1098">
        <v>372</v>
      </c>
      <c r="DX16" s="1098">
        <v>211</v>
      </c>
      <c r="DY16" s="1098">
        <v>104</v>
      </c>
      <c r="DZ16" s="1098">
        <v>108</v>
      </c>
      <c r="EA16" s="1097">
        <f t="shared" si="138"/>
        <v>82165</v>
      </c>
      <c r="EB16" s="1098">
        <v>199</v>
      </c>
      <c r="EC16" s="1098">
        <v>2432</v>
      </c>
      <c r="ED16" s="1098">
        <v>4456</v>
      </c>
      <c r="EE16" s="1098">
        <v>24594</v>
      </c>
      <c r="EF16" s="1098">
        <v>27495</v>
      </c>
      <c r="EG16" s="1098">
        <v>15785</v>
      </c>
      <c r="EH16" s="1098">
        <v>5855</v>
      </c>
      <c r="EI16" s="1098">
        <v>1241</v>
      </c>
      <c r="EJ16" s="1098">
        <v>85</v>
      </c>
      <c r="EK16" s="1098">
        <v>119</v>
      </c>
      <c r="EL16" s="1098">
        <v>37</v>
      </c>
      <c r="EM16" s="1098">
        <v>22</v>
      </c>
      <c r="EN16" s="1097">
        <f t="shared" si="151"/>
        <v>82320</v>
      </c>
      <c r="EO16" s="1098">
        <v>196</v>
      </c>
      <c r="EP16" s="1098">
        <v>1824</v>
      </c>
      <c r="EQ16" s="1098">
        <v>6184</v>
      </c>
      <c r="ER16" s="1098">
        <v>28993</v>
      </c>
      <c r="ES16" s="1098">
        <v>30518</v>
      </c>
      <c r="ET16" s="1098">
        <v>16511</v>
      </c>
      <c r="EU16" s="1098">
        <v>6643</v>
      </c>
      <c r="EV16" s="1098">
        <v>103</v>
      </c>
      <c r="EW16" s="1098">
        <v>99</v>
      </c>
      <c r="EX16" s="1098">
        <v>66</v>
      </c>
      <c r="EY16" s="1098">
        <v>35</v>
      </c>
      <c r="EZ16" s="1098">
        <v>25</v>
      </c>
      <c r="FA16" s="1097">
        <f t="shared" si="164"/>
        <v>91197</v>
      </c>
      <c r="FB16" s="1098">
        <v>185</v>
      </c>
      <c r="FC16" s="1098">
        <v>2582</v>
      </c>
      <c r="FD16" s="1098">
        <v>9028</v>
      </c>
      <c r="FE16" s="1098">
        <v>28455</v>
      </c>
      <c r="FF16" s="1098">
        <v>31872</v>
      </c>
      <c r="FG16" s="1098">
        <v>14757</v>
      </c>
      <c r="FH16" s="1098">
        <v>3702</v>
      </c>
      <c r="FI16" s="1098">
        <v>546</v>
      </c>
      <c r="FJ16" s="1098">
        <v>113</v>
      </c>
      <c r="FK16" s="1098">
        <v>97</v>
      </c>
      <c r="FL16" s="1098">
        <v>38</v>
      </c>
      <c r="FM16" s="1098">
        <v>49</v>
      </c>
      <c r="FN16" s="1097">
        <f t="shared" si="177"/>
        <v>91424</v>
      </c>
      <c r="FO16" s="1098">
        <v>183</v>
      </c>
      <c r="FP16" s="1098">
        <v>3060</v>
      </c>
      <c r="FQ16" s="1098">
        <v>9296</v>
      </c>
      <c r="FR16" s="1098">
        <v>27302</v>
      </c>
      <c r="FS16" s="1098">
        <v>20463</v>
      </c>
      <c r="FT16" s="1098">
        <v>14741</v>
      </c>
      <c r="FU16" s="1098">
        <v>6556</v>
      </c>
      <c r="FV16" s="1098">
        <v>1422</v>
      </c>
      <c r="FW16" s="1098">
        <v>622</v>
      </c>
      <c r="FX16" s="1098">
        <v>60</v>
      </c>
      <c r="FY16" s="1098">
        <v>42</v>
      </c>
      <c r="FZ16" s="1098">
        <v>1693</v>
      </c>
      <c r="GA16" s="1097">
        <f t="shared" si="190"/>
        <v>85440</v>
      </c>
      <c r="GB16" s="1098">
        <v>244.3</v>
      </c>
      <c r="GC16" s="1098">
        <v>3570</v>
      </c>
      <c r="GD16" s="1098">
        <v>10023.5</v>
      </c>
      <c r="GE16" s="1098">
        <v>27525.5</v>
      </c>
      <c r="GF16" s="1098">
        <v>20140.5</v>
      </c>
      <c r="GG16" s="1098">
        <v>13350.5</v>
      </c>
      <c r="GH16" s="1098">
        <v>4158.5</v>
      </c>
      <c r="GI16" s="1098">
        <v>1834.5</v>
      </c>
      <c r="GJ16" s="1098">
        <v>1702.5</v>
      </c>
      <c r="GK16" s="1098">
        <v>124.5</v>
      </c>
      <c r="GL16" s="1098">
        <v>73</v>
      </c>
      <c r="GM16" s="1098">
        <v>61.6</v>
      </c>
      <c r="GN16" s="1097">
        <f t="shared" si="203"/>
        <v>82808.900000000009</v>
      </c>
      <c r="GO16" s="1098">
        <v>640.5</v>
      </c>
      <c r="GP16" s="1098">
        <v>4221.2</v>
      </c>
      <c r="GQ16" s="1098">
        <v>8160</v>
      </c>
      <c r="GR16" s="1098">
        <v>22655.5</v>
      </c>
      <c r="GS16" s="1098">
        <v>18521.5</v>
      </c>
      <c r="GT16" s="1098">
        <v>12119.8</v>
      </c>
      <c r="GU16" s="1098">
        <v>6506.5</v>
      </c>
      <c r="GV16" s="1098">
        <v>2029</v>
      </c>
      <c r="GW16" s="1098">
        <v>2308</v>
      </c>
      <c r="GX16" s="1098">
        <v>355.3</v>
      </c>
      <c r="GY16" s="1098">
        <v>264.5</v>
      </c>
      <c r="GZ16" s="1098">
        <v>211.8</v>
      </c>
      <c r="HA16" s="1097">
        <f t="shared" si="216"/>
        <v>77993.600000000006</v>
      </c>
      <c r="HB16" s="1098">
        <v>1647</v>
      </c>
      <c r="HC16" s="1098">
        <v>4047.5</v>
      </c>
      <c r="HD16" s="1098">
        <v>7454</v>
      </c>
      <c r="HE16" s="1098">
        <v>19981.099999999999</v>
      </c>
      <c r="HF16" s="1098">
        <v>18962.5</v>
      </c>
      <c r="HG16" s="1098">
        <v>13148.6</v>
      </c>
      <c r="HH16" s="1098">
        <v>5802.5</v>
      </c>
      <c r="HI16" s="1098">
        <v>2113.5</v>
      </c>
      <c r="HJ16" s="1098">
        <v>1242.5</v>
      </c>
      <c r="HK16" s="1098">
        <v>315.5</v>
      </c>
      <c r="HL16" s="1098">
        <v>299</v>
      </c>
      <c r="HM16" s="1098">
        <v>231</v>
      </c>
      <c r="HN16" s="1097">
        <f t="shared" si="229"/>
        <v>75244.7</v>
      </c>
      <c r="HO16" s="1098">
        <v>1766</v>
      </c>
      <c r="HP16" s="1098">
        <v>4439</v>
      </c>
      <c r="HQ16" s="1098">
        <v>10766</v>
      </c>
      <c r="HR16" s="1098">
        <v>23006</v>
      </c>
      <c r="HS16" s="1098">
        <v>21140</v>
      </c>
      <c r="HT16" s="1098">
        <v>13305.5</v>
      </c>
      <c r="HU16" s="1098">
        <v>3970</v>
      </c>
      <c r="HV16" s="1098">
        <v>1979</v>
      </c>
      <c r="HW16" s="1098">
        <v>365</v>
      </c>
      <c r="HX16" s="1098">
        <v>146.5</v>
      </c>
      <c r="HY16" s="1098">
        <v>123</v>
      </c>
      <c r="HZ16" s="1098">
        <v>148</v>
      </c>
      <c r="IA16" s="1097">
        <f t="shared" si="242"/>
        <v>81154</v>
      </c>
      <c r="IB16" s="1098">
        <v>1801</v>
      </c>
      <c r="IC16" s="1098">
        <v>4239.5</v>
      </c>
      <c r="ID16" s="1098">
        <v>9278.5</v>
      </c>
      <c r="IE16" s="1098">
        <v>20453</v>
      </c>
      <c r="IF16" s="1098">
        <v>22331</v>
      </c>
      <c r="IG16" s="1098">
        <v>14085.5</v>
      </c>
      <c r="IH16" s="1098">
        <v>6144</v>
      </c>
      <c r="II16" s="1098">
        <v>3436.2</v>
      </c>
      <c r="IJ16" s="1098">
        <v>1135</v>
      </c>
      <c r="IK16" s="1098">
        <v>0</v>
      </c>
      <c r="IL16" s="1098">
        <v>0</v>
      </c>
      <c r="IM16" s="1098">
        <v>0</v>
      </c>
      <c r="IN16" s="1097">
        <v>82903.7</v>
      </c>
      <c r="IO16" s="1098">
        <v>1572.8</v>
      </c>
      <c r="IP16" s="1098">
        <v>4027.5</v>
      </c>
      <c r="IQ16" s="1098">
        <v>10431</v>
      </c>
      <c r="IR16" s="1098">
        <v>20797</v>
      </c>
      <c r="IS16" s="1098">
        <v>21573.7</v>
      </c>
      <c r="IT16" s="1098">
        <v>14450.5</v>
      </c>
      <c r="IU16" s="1098">
        <v>6169.5</v>
      </c>
      <c r="IV16" s="1098">
        <v>4361.6000000000004</v>
      </c>
      <c r="IW16" s="1098">
        <v>1235</v>
      </c>
      <c r="IX16" s="1098">
        <v>0</v>
      </c>
      <c r="IY16" s="1098">
        <v>0</v>
      </c>
      <c r="IZ16" s="1098">
        <v>0</v>
      </c>
      <c r="JA16" s="1097">
        <v>84618.6</v>
      </c>
      <c r="JB16" s="1098">
        <v>1194</v>
      </c>
      <c r="JC16" s="1098">
        <v>2497</v>
      </c>
      <c r="JD16" s="1098"/>
      <c r="JE16" s="1098"/>
      <c r="JF16" s="1098"/>
      <c r="JG16" s="1098"/>
      <c r="JH16" s="1098"/>
      <c r="JI16" s="1098"/>
      <c r="JJ16" s="1098"/>
      <c r="JK16" s="1098"/>
      <c r="JL16" s="1098"/>
      <c r="JM16" s="1098"/>
      <c r="JN16" s="1097">
        <f t="shared" si="281"/>
        <v>3691</v>
      </c>
      <c r="JP16" s="1174" t="str">
        <f t="shared" si="305"/>
        <v/>
      </c>
      <c r="JQ16" s="1175">
        <f t="shared" si="306"/>
        <v>2.068544588480381</v>
      </c>
      <c r="JR16" s="1184">
        <f t="shared" si="307"/>
        <v>82903.7</v>
      </c>
      <c r="JS16" s="1185">
        <f t="shared" si="308"/>
        <v>84618.6</v>
      </c>
      <c r="JT16" s="1"/>
      <c r="JU16" s="1079">
        <f t="shared" si="309"/>
        <v>2760353.7000000011</v>
      </c>
      <c r="JV16" s="1080" t="s">
        <v>148</v>
      </c>
      <c r="JW16" s="1081" t="str">
        <f t="shared" si="310"/>
        <v>OK</v>
      </c>
    </row>
    <row r="17" spans="1:283" ht="15" customHeight="1" x14ac:dyDescent="0.2">
      <c r="A17" s="1166" t="s">
        <v>564</v>
      </c>
      <c r="B17" s="1098"/>
      <c r="C17" s="1098"/>
      <c r="D17" s="1098"/>
      <c r="E17" s="1098"/>
      <c r="F17" s="1098"/>
      <c r="G17" s="1098"/>
      <c r="H17" s="1098"/>
      <c r="I17" s="1098"/>
      <c r="J17" s="1098"/>
      <c r="K17" s="1098"/>
      <c r="L17" s="1098"/>
      <c r="M17" s="1098"/>
      <c r="N17" s="1097">
        <f t="shared" si="21"/>
        <v>0</v>
      </c>
      <c r="O17" s="1098"/>
      <c r="P17" s="1098"/>
      <c r="Q17" s="1098"/>
      <c r="R17" s="1098"/>
      <c r="S17" s="1098"/>
      <c r="T17" s="1098"/>
      <c r="U17" s="1098"/>
      <c r="V17" s="1098"/>
      <c r="W17" s="1098"/>
      <c r="X17" s="1098"/>
      <c r="Y17" s="1098"/>
      <c r="Z17" s="1098"/>
      <c r="AA17" s="1097">
        <f t="shared" si="34"/>
        <v>0</v>
      </c>
      <c r="AB17" s="1098"/>
      <c r="AC17" s="1098"/>
      <c r="AD17" s="1098"/>
      <c r="AE17" s="1098"/>
      <c r="AF17" s="1098"/>
      <c r="AG17" s="1098"/>
      <c r="AH17" s="1098"/>
      <c r="AI17" s="1098"/>
      <c r="AJ17" s="1098"/>
      <c r="AK17" s="1098"/>
      <c r="AL17" s="1098"/>
      <c r="AM17" s="1098"/>
      <c r="AN17" s="1097">
        <f t="shared" si="47"/>
        <v>0</v>
      </c>
      <c r="AO17" s="1098"/>
      <c r="AP17" s="1098"/>
      <c r="AQ17" s="1098"/>
      <c r="AR17" s="1098"/>
      <c r="AS17" s="1098"/>
      <c r="AT17" s="1098"/>
      <c r="AU17" s="1098"/>
      <c r="AV17" s="1098"/>
      <c r="AW17" s="1098"/>
      <c r="AX17" s="1098"/>
      <c r="AY17" s="1098"/>
      <c r="AZ17" s="1098"/>
      <c r="BA17" s="1097">
        <f t="shared" si="60"/>
        <v>0</v>
      </c>
      <c r="BB17" s="1098"/>
      <c r="BC17" s="1098"/>
      <c r="BD17" s="1098"/>
      <c r="BE17" s="1098"/>
      <c r="BF17" s="1098"/>
      <c r="BG17" s="1098"/>
      <c r="BH17" s="1098"/>
      <c r="BI17" s="1098"/>
      <c r="BJ17" s="1098"/>
      <c r="BK17" s="1098"/>
      <c r="BL17" s="1098"/>
      <c r="BM17" s="1098"/>
      <c r="BN17" s="1097">
        <f t="shared" si="73"/>
        <v>0</v>
      </c>
      <c r="BO17" s="1098"/>
      <c r="BP17" s="1098"/>
      <c r="BQ17" s="1098"/>
      <c r="BR17" s="1098"/>
      <c r="BS17" s="1098"/>
      <c r="BT17" s="1098"/>
      <c r="BU17" s="1098"/>
      <c r="BV17" s="1098"/>
      <c r="BW17" s="1098"/>
      <c r="BX17" s="1098"/>
      <c r="BY17" s="1098"/>
      <c r="BZ17" s="1098"/>
      <c r="CA17" s="1097">
        <f t="shared" si="86"/>
        <v>0</v>
      </c>
      <c r="CB17" s="1098"/>
      <c r="CC17" s="1098"/>
      <c r="CD17" s="1098"/>
      <c r="CE17" s="1098"/>
      <c r="CF17" s="1098"/>
      <c r="CG17" s="1098"/>
      <c r="CH17" s="1098"/>
      <c r="CI17" s="1098"/>
      <c r="CJ17" s="1098"/>
      <c r="CK17" s="1098"/>
      <c r="CL17" s="1098"/>
      <c r="CM17" s="1098"/>
      <c r="CN17" s="1097">
        <f t="shared" si="99"/>
        <v>0</v>
      </c>
      <c r="CO17" s="1098"/>
      <c r="CP17" s="1098"/>
      <c r="CQ17" s="1098"/>
      <c r="CR17" s="1098"/>
      <c r="CS17" s="1098"/>
      <c r="CT17" s="1098"/>
      <c r="CU17" s="1098"/>
      <c r="CV17" s="1098"/>
      <c r="CW17" s="1098"/>
      <c r="CX17" s="1098"/>
      <c r="CY17" s="1098"/>
      <c r="CZ17" s="1098"/>
      <c r="DA17" s="1097">
        <f t="shared" si="112"/>
        <v>0</v>
      </c>
      <c r="DB17" s="1098"/>
      <c r="DC17" s="1098"/>
      <c r="DD17" s="1098"/>
      <c r="DE17" s="1098"/>
      <c r="DF17" s="1098"/>
      <c r="DG17" s="1098"/>
      <c r="DH17" s="1098"/>
      <c r="DI17" s="1098"/>
      <c r="DJ17" s="1098"/>
      <c r="DK17" s="1098"/>
      <c r="DL17" s="1098"/>
      <c r="DM17" s="1098"/>
      <c r="DN17" s="1097">
        <f t="shared" si="125"/>
        <v>0</v>
      </c>
      <c r="DO17" s="1098"/>
      <c r="DP17" s="1098"/>
      <c r="DQ17" s="1098"/>
      <c r="DR17" s="1098"/>
      <c r="DS17" s="1098"/>
      <c r="DT17" s="1098"/>
      <c r="DU17" s="1098"/>
      <c r="DV17" s="1098"/>
      <c r="DW17" s="1098"/>
      <c r="DX17" s="1098"/>
      <c r="DY17" s="1098"/>
      <c r="DZ17" s="1098"/>
      <c r="EA17" s="1097">
        <f t="shared" si="138"/>
        <v>0</v>
      </c>
      <c r="EB17" s="1098"/>
      <c r="EC17" s="1098"/>
      <c r="ED17" s="1098"/>
      <c r="EE17" s="1098"/>
      <c r="EF17" s="1098"/>
      <c r="EG17" s="1098"/>
      <c r="EH17" s="1098"/>
      <c r="EI17" s="1098"/>
      <c r="EJ17" s="1098"/>
      <c r="EK17" s="1098"/>
      <c r="EL17" s="1098"/>
      <c r="EM17" s="1098"/>
      <c r="EN17" s="1097">
        <f t="shared" si="151"/>
        <v>0</v>
      </c>
      <c r="EO17" s="1098"/>
      <c r="EP17" s="1098"/>
      <c r="EQ17" s="1098"/>
      <c r="ER17" s="1098"/>
      <c r="ES17" s="1098"/>
      <c r="ET17" s="1098"/>
      <c r="EU17" s="1098"/>
      <c r="EV17" s="1098"/>
      <c r="EW17" s="1098"/>
      <c r="EX17" s="1098"/>
      <c r="EY17" s="1098"/>
      <c r="EZ17" s="1098"/>
      <c r="FA17" s="1097">
        <f t="shared" si="164"/>
        <v>0</v>
      </c>
      <c r="FB17" s="1098"/>
      <c r="FC17" s="1098"/>
      <c r="FD17" s="1098"/>
      <c r="FE17" s="1098"/>
      <c r="FF17" s="1098"/>
      <c r="FG17" s="1098"/>
      <c r="FH17" s="1098"/>
      <c r="FI17" s="1098"/>
      <c r="FJ17" s="1098"/>
      <c r="FK17" s="1098"/>
      <c r="FL17" s="1098"/>
      <c r="FM17" s="1098"/>
      <c r="FN17" s="1097">
        <f t="shared" si="177"/>
        <v>0</v>
      </c>
      <c r="FO17" s="1098"/>
      <c r="FP17" s="1098"/>
      <c r="FQ17" s="1098"/>
      <c r="FR17" s="1098"/>
      <c r="FS17" s="1098"/>
      <c r="FT17" s="1098"/>
      <c r="FU17" s="1098"/>
      <c r="FV17" s="1098"/>
      <c r="FW17" s="1098"/>
      <c r="FX17" s="1098"/>
      <c r="FY17" s="1098"/>
      <c r="FZ17" s="1098"/>
      <c r="GA17" s="1097">
        <f t="shared" si="190"/>
        <v>0</v>
      </c>
      <c r="GB17" s="1098"/>
      <c r="GC17" s="1098"/>
      <c r="GD17" s="1098"/>
      <c r="GE17" s="1098"/>
      <c r="GF17" s="1098"/>
      <c r="GG17" s="1098"/>
      <c r="GH17" s="1098"/>
      <c r="GI17" s="1098"/>
      <c r="GJ17" s="1098"/>
      <c r="GK17" s="1098"/>
      <c r="GL17" s="1098"/>
      <c r="GM17" s="1098"/>
      <c r="GN17" s="1097">
        <f t="shared" si="203"/>
        <v>0</v>
      </c>
      <c r="GO17" s="1098"/>
      <c r="GP17" s="1098"/>
      <c r="GQ17" s="1098"/>
      <c r="GR17" s="1098"/>
      <c r="GS17" s="1098"/>
      <c r="GT17" s="1098"/>
      <c r="GU17" s="1098"/>
      <c r="GV17" s="1098"/>
      <c r="GW17" s="1098"/>
      <c r="GX17" s="1098"/>
      <c r="GY17" s="1098"/>
      <c r="GZ17" s="1098"/>
      <c r="HA17" s="1097">
        <f t="shared" si="216"/>
        <v>0</v>
      </c>
      <c r="HB17" s="1098"/>
      <c r="HC17" s="1098"/>
      <c r="HD17" s="1098"/>
      <c r="HE17" s="1098"/>
      <c r="HF17" s="1098"/>
      <c r="HG17" s="1098"/>
      <c r="HH17" s="1098"/>
      <c r="HI17" s="1098"/>
      <c r="HJ17" s="1098"/>
      <c r="HK17" s="1098"/>
      <c r="HL17" s="1098"/>
      <c r="HM17" s="1098"/>
      <c r="HN17" s="1097">
        <f t="shared" si="229"/>
        <v>0</v>
      </c>
      <c r="HO17" s="1098"/>
      <c r="HP17" s="1098"/>
      <c r="HQ17" s="1098"/>
      <c r="HR17" s="1098"/>
      <c r="HS17" s="1098"/>
      <c r="HT17" s="1098"/>
      <c r="HU17" s="1098"/>
      <c r="HV17" s="1098"/>
      <c r="HW17" s="1098"/>
      <c r="HX17" s="1098"/>
      <c r="HY17" s="1098"/>
      <c r="HZ17" s="1098"/>
      <c r="IA17" s="1097">
        <f t="shared" si="242"/>
        <v>0</v>
      </c>
      <c r="IB17" s="1098">
        <v>0</v>
      </c>
      <c r="IC17" s="1098">
        <v>0</v>
      </c>
      <c r="ID17" s="1098">
        <v>0</v>
      </c>
      <c r="IE17" s="1098">
        <v>0</v>
      </c>
      <c r="IF17" s="1098">
        <v>0</v>
      </c>
      <c r="IG17" s="1098">
        <v>0</v>
      </c>
      <c r="IH17" s="1098">
        <v>0</v>
      </c>
      <c r="II17" s="1098">
        <v>0</v>
      </c>
      <c r="IJ17" s="1098">
        <v>0</v>
      </c>
      <c r="IK17" s="1098">
        <v>0</v>
      </c>
      <c r="IL17" s="1098">
        <v>0</v>
      </c>
      <c r="IM17" s="1098">
        <v>0</v>
      </c>
      <c r="IN17" s="1097">
        <v>0</v>
      </c>
      <c r="IO17" s="1098">
        <v>0</v>
      </c>
      <c r="IP17" s="1098">
        <v>0</v>
      </c>
      <c r="IQ17" s="1098">
        <v>0</v>
      </c>
      <c r="IR17" s="1098">
        <v>0</v>
      </c>
      <c r="IS17" s="1098">
        <v>0</v>
      </c>
      <c r="IT17" s="1098">
        <v>0</v>
      </c>
      <c r="IU17" s="1098">
        <v>0</v>
      </c>
      <c r="IV17" s="1098">
        <v>0</v>
      </c>
      <c r="IW17" s="1098">
        <v>0</v>
      </c>
      <c r="IX17" s="1098">
        <v>0</v>
      </c>
      <c r="IY17" s="1098">
        <v>0</v>
      </c>
      <c r="IZ17" s="1098">
        <v>0</v>
      </c>
      <c r="JA17" s="1097">
        <v>0</v>
      </c>
      <c r="JB17" s="1098">
        <v>0</v>
      </c>
      <c r="JC17" s="1098">
        <v>0</v>
      </c>
      <c r="JD17" s="1098"/>
      <c r="JE17" s="1098"/>
      <c r="JF17" s="1098"/>
      <c r="JG17" s="1098"/>
      <c r="JH17" s="1098"/>
      <c r="JI17" s="1098"/>
      <c r="JJ17" s="1098"/>
      <c r="JK17" s="1098"/>
      <c r="JL17" s="1098"/>
      <c r="JM17" s="1098"/>
      <c r="JN17" s="1097">
        <f t="shared" si="281"/>
        <v>0</v>
      </c>
      <c r="JP17" s="1174" t="str">
        <f t="shared" si="305"/>
        <v/>
      </c>
      <c r="JQ17" s="1175" t="str">
        <f t="shared" si="306"/>
        <v/>
      </c>
      <c r="JR17" s="1184">
        <f t="shared" si="307"/>
        <v>0</v>
      </c>
      <c r="JS17" s="1185">
        <f t="shared" si="308"/>
        <v>0</v>
      </c>
      <c r="JT17" s="1"/>
      <c r="JU17" s="1079">
        <f t="shared" si="309"/>
        <v>0</v>
      </c>
      <c r="JV17" s="1080" t="s">
        <v>564</v>
      </c>
      <c r="JW17" s="1081" t="str">
        <f t="shared" si="310"/>
        <v>OK</v>
      </c>
    </row>
    <row r="18" spans="1:283" ht="15" customHeight="1" x14ac:dyDescent="0.2">
      <c r="A18" s="1166" t="s">
        <v>565</v>
      </c>
      <c r="B18" s="1098">
        <v>14920</v>
      </c>
      <c r="C18" s="1098">
        <v>15524</v>
      </c>
      <c r="D18" s="1098">
        <v>16571</v>
      </c>
      <c r="E18" s="1098">
        <v>17656</v>
      </c>
      <c r="F18" s="1098">
        <v>17362</v>
      </c>
      <c r="G18" s="1098">
        <v>17024</v>
      </c>
      <c r="H18" s="1098">
        <v>17201</v>
      </c>
      <c r="I18" s="1098">
        <v>16452</v>
      </c>
      <c r="J18" s="1098">
        <v>15706</v>
      </c>
      <c r="K18" s="1098">
        <v>14959</v>
      </c>
      <c r="L18" s="1098">
        <v>14563</v>
      </c>
      <c r="M18" s="1098">
        <v>15597</v>
      </c>
      <c r="N18" s="1097">
        <f t="shared" si="21"/>
        <v>193535</v>
      </c>
      <c r="O18" s="1098">
        <v>15932</v>
      </c>
      <c r="P18" s="1098">
        <v>16800</v>
      </c>
      <c r="Q18" s="1098">
        <v>17483</v>
      </c>
      <c r="R18" s="1098">
        <v>17472</v>
      </c>
      <c r="S18" s="1098">
        <v>18246</v>
      </c>
      <c r="T18" s="1098">
        <v>18468</v>
      </c>
      <c r="U18" s="1098">
        <v>18401</v>
      </c>
      <c r="V18" s="1098">
        <v>18652</v>
      </c>
      <c r="W18" s="1098">
        <v>17996</v>
      </c>
      <c r="X18" s="1098">
        <v>17858</v>
      </c>
      <c r="Y18" s="1098">
        <v>17535</v>
      </c>
      <c r="Z18" s="1098">
        <v>25701</v>
      </c>
      <c r="AA18" s="1097">
        <f t="shared" si="34"/>
        <v>220544</v>
      </c>
      <c r="AB18" s="1098">
        <v>17905</v>
      </c>
      <c r="AC18" s="1098">
        <v>18684</v>
      </c>
      <c r="AD18" s="1098">
        <v>18431</v>
      </c>
      <c r="AE18" s="1098">
        <v>18684</v>
      </c>
      <c r="AF18" s="1098">
        <v>19520</v>
      </c>
      <c r="AG18" s="1098">
        <v>19515</v>
      </c>
      <c r="AH18" s="1098">
        <v>19952</v>
      </c>
      <c r="AI18" s="1098">
        <v>22301</v>
      </c>
      <c r="AJ18" s="1098">
        <v>21188</v>
      </c>
      <c r="AK18" s="1098">
        <v>21740</v>
      </c>
      <c r="AL18" s="1098">
        <v>22067</v>
      </c>
      <c r="AM18" s="1098">
        <v>19946</v>
      </c>
      <c r="AN18" s="1097">
        <f t="shared" si="47"/>
        <v>239933</v>
      </c>
      <c r="AO18" s="1098">
        <v>20271</v>
      </c>
      <c r="AP18" s="1098">
        <v>22025</v>
      </c>
      <c r="AQ18" s="1098">
        <v>20549</v>
      </c>
      <c r="AR18" s="1098">
        <v>22652</v>
      </c>
      <c r="AS18" s="1098">
        <v>20728</v>
      </c>
      <c r="AT18" s="1098">
        <v>22945</v>
      </c>
      <c r="AU18" s="1098">
        <v>23298</v>
      </c>
      <c r="AV18" s="1098">
        <v>22711</v>
      </c>
      <c r="AW18" s="1098">
        <v>22525</v>
      </c>
      <c r="AX18" s="1098">
        <v>22530</v>
      </c>
      <c r="AY18" s="1098">
        <v>22545</v>
      </c>
      <c r="AZ18" s="1098">
        <v>12754</v>
      </c>
      <c r="BA18" s="1097">
        <f t="shared" si="60"/>
        <v>255533</v>
      </c>
      <c r="BB18" s="1098">
        <v>20981</v>
      </c>
      <c r="BC18" s="1098">
        <v>23722</v>
      </c>
      <c r="BD18" s="1098">
        <v>20710</v>
      </c>
      <c r="BE18" s="1098">
        <v>22142</v>
      </c>
      <c r="BF18" s="1098">
        <v>22375</v>
      </c>
      <c r="BG18" s="1098">
        <v>22593</v>
      </c>
      <c r="BH18" s="1098">
        <v>22893</v>
      </c>
      <c r="BI18" s="1098">
        <v>22780</v>
      </c>
      <c r="BJ18" s="1098">
        <v>22183</v>
      </c>
      <c r="BK18" s="1098">
        <v>24583</v>
      </c>
      <c r="BL18" s="1098">
        <v>21936</v>
      </c>
      <c r="BM18" s="1098">
        <v>21197</v>
      </c>
      <c r="BN18" s="1097">
        <f t="shared" si="73"/>
        <v>268095</v>
      </c>
      <c r="BO18" s="1098">
        <v>22047</v>
      </c>
      <c r="BP18" s="1098">
        <v>22898</v>
      </c>
      <c r="BQ18" s="1098">
        <v>25477</v>
      </c>
      <c r="BR18" s="1098">
        <v>23164</v>
      </c>
      <c r="BS18" s="1098">
        <v>24680</v>
      </c>
      <c r="BT18" s="1098">
        <v>23419</v>
      </c>
      <c r="BU18" s="1098">
        <v>25823</v>
      </c>
      <c r="BV18" s="1098">
        <v>23500</v>
      </c>
      <c r="BW18" s="1098">
        <v>26154</v>
      </c>
      <c r="BX18" s="1098">
        <v>22886</v>
      </c>
      <c r="BY18" s="1098">
        <v>25728</v>
      </c>
      <c r="BZ18" s="1098">
        <v>18299</v>
      </c>
      <c r="CA18" s="1097">
        <f t="shared" si="86"/>
        <v>284075</v>
      </c>
      <c r="CB18" s="1098">
        <v>15579</v>
      </c>
      <c r="CC18" s="1098">
        <v>28819</v>
      </c>
      <c r="CD18" s="1098">
        <v>15589</v>
      </c>
      <c r="CE18" s="1098">
        <v>14939</v>
      </c>
      <c r="CF18" s="1098">
        <v>15064</v>
      </c>
      <c r="CG18" s="1098">
        <v>14575</v>
      </c>
      <c r="CH18" s="1098">
        <v>18007</v>
      </c>
      <c r="CI18" s="1098">
        <v>17715</v>
      </c>
      <c r="CJ18" s="1098">
        <v>17178</v>
      </c>
      <c r="CK18" s="1098">
        <v>17232</v>
      </c>
      <c r="CL18" s="1098">
        <v>17050</v>
      </c>
      <c r="CM18" s="1098">
        <v>16418</v>
      </c>
      <c r="CN18" s="1097">
        <f t="shared" si="99"/>
        <v>208165</v>
      </c>
      <c r="CO18" s="1098">
        <v>24512.95</v>
      </c>
      <c r="CP18" s="1098">
        <v>22693.35</v>
      </c>
      <c r="CQ18" s="1098">
        <v>22817.35</v>
      </c>
      <c r="CR18" s="1098">
        <v>22274.2</v>
      </c>
      <c r="CS18" s="1098">
        <v>22752.95</v>
      </c>
      <c r="CT18" s="1098">
        <v>34401.050000000003</v>
      </c>
      <c r="CU18" s="1098">
        <v>27320.2</v>
      </c>
      <c r="CV18" s="1098">
        <v>26591.5</v>
      </c>
      <c r="CW18" s="1098">
        <v>26728.6</v>
      </c>
      <c r="CX18" s="1098">
        <v>26613.83</v>
      </c>
      <c r="CY18" s="1098">
        <v>27084.799999999999</v>
      </c>
      <c r="CZ18" s="1098">
        <v>26901.25</v>
      </c>
      <c r="DA18" s="1097">
        <f t="shared" si="112"/>
        <v>310692.02999999997</v>
      </c>
      <c r="DB18" s="1098">
        <v>23599.9</v>
      </c>
      <c r="DC18" s="1098">
        <v>23183</v>
      </c>
      <c r="DD18" s="1098">
        <v>23981</v>
      </c>
      <c r="DE18" s="1098">
        <v>23808</v>
      </c>
      <c r="DF18" s="1098">
        <v>24610</v>
      </c>
      <c r="DG18" s="1098">
        <v>31888</v>
      </c>
      <c r="DH18" s="1098">
        <v>28465</v>
      </c>
      <c r="DI18" s="1098">
        <v>28161</v>
      </c>
      <c r="DJ18" s="1098">
        <v>27804</v>
      </c>
      <c r="DK18" s="1098">
        <v>27861</v>
      </c>
      <c r="DL18" s="1098">
        <v>27897</v>
      </c>
      <c r="DM18" s="1098">
        <v>24458</v>
      </c>
      <c r="DN18" s="1097">
        <f t="shared" si="125"/>
        <v>315715.90000000002</v>
      </c>
      <c r="DO18" s="1098">
        <v>21954</v>
      </c>
      <c r="DP18" s="1098">
        <v>21856</v>
      </c>
      <c r="DQ18" s="1098">
        <v>27856</v>
      </c>
      <c r="DR18" s="1098">
        <v>18955</v>
      </c>
      <c r="DS18" s="1098">
        <v>23317</v>
      </c>
      <c r="DT18" s="1098">
        <v>23816</v>
      </c>
      <c r="DU18" s="1098">
        <v>23993</v>
      </c>
      <c r="DV18" s="1098">
        <v>23051</v>
      </c>
      <c r="DW18" s="1098">
        <v>24738</v>
      </c>
      <c r="DX18" s="1098">
        <v>23834</v>
      </c>
      <c r="DY18" s="1098">
        <v>24537</v>
      </c>
      <c r="DZ18" s="1098">
        <v>25894</v>
      </c>
      <c r="EA18" s="1097">
        <f t="shared" si="138"/>
        <v>283801</v>
      </c>
      <c r="EB18" s="1098">
        <v>16627</v>
      </c>
      <c r="EC18" s="1098">
        <v>17988</v>
      </c>
      <c r="ED18" s="1098">
        <v>19782</v>
      </c>
      <c r="EE18" s="1098">
        <v>18330</v>
      </c>
      <c r="EF18" s="1098">
        <v>22129</v>
      </c>
      <c r="EG18" s="1098">
        <v>21135</v>
      </c>
      <c r="EH18" s="1098">
        <v>19274</v>
      </c>
      <c r="EI18" s="1098">
        <v>16900</v>
      </c>
      <c r="EJ18" s="1098">
        <v>19175</v>
      </c>
      <c r="EK18" s="1098">
        <v>18232</v>
      </c>
      <c r="EL18" s="1098">
        <v>19819</v>
      </c>
      <c r="EM18" s="1098">
        <v>19282</v>
      </c>
      <c r="EN18" s="1097">
        <f t="shared" si="151"/>
        <v>228673</v>
      </c>
      <c r="EO18" s="1098">
        <v>13898</v>
      </c>
      <c r="EP18" s="1098">
        <v>17462</v>
      </c>
      <c r="EQ18" s="1098">
        <v>17256</v>
      </c>
      <c r="ER18" s="1098">
        <v>13718</v>
      </c>
      <c r="ES18" s="1098">
        <v>16473</v>
      </c>
      <c r="ET18" s="1098">
        <v>12861</v>
      </c>
      <c r="EU18" s="1098">
        <v>10086</v>
      </c>
      <c r="EV18" s="1098">
        <v>12766</v>
      </c>
      <c r="EW18" s="1098">
        <v>15310</v>
      </c>
      <c r="EX18" s="1098">
        <v>14553</v>
      </c>
      <c r="EY18" s="1098">
        <v>16835</v>
      </c>
      <c r="EZ18" s="1098">
        <v>14663</v>
      </c>
      <c r="FA18" s="1097">
        <f t="shared" si="164"/>
        <v>175881</v>
      </c>
      <c r="FB18" s="1098">
        <v>12173</v>
      </c>
      <c r="FC18" s="1098">
        <v>12689</v>
      </c>
      <c r="FD18" s="1098">
        <v>12023</v>
      </c>
      <c r="FE18" s="1098">
        <v>10746</v>
      </c>
      <c r="FF18" s="1098">
        <v>15506</v>
      </c>
      <c r="FG18" s="1098">
        <v>8618</v>
      </c>
      <c r="FH18" s="1098">
        <v>9625</v>
      </c>
      <c r="FI18" s="1098">
        <v>8421</v>
      </c>
      <c r="FJ18" s="1098">
        <v>11818</v>
      </c>
      <c r="FK18" s="1098">
        <v>9801</v>
      </c>
      <c r="FL18" s="1098">
        <v>12191</v>
      </c>
      <c r="FM18" s="1098">
        <v>11310</v>
      </c>
      <c r="FN18" s="1097">
        <f t="shared" si="177"/>
        <v>134921</v>
      </c>
      <c r="FO18" s="1098">
        <v>13826</v>
      </c>
      <c r="FP18" s="1098">
        <v>15081</v>
      </c>
      <c r="FQ18" s="1098">
        <v>13648</v>
      </c>
      <c r="FR18" s="1098">
        <v>13578</v>
      </c>
      <c r="FS18" s="1098">
        <v>13898</v>
      </c>
      <c r="FT18" s="1098">
        <v>10738</v>
      </c>
      <c r="FU18" s="1098">
        <v>10477</v>
      </c>
      <c r="FV18" s="1098">
        <v>10546</v>
      </c>
      <c r="FW18" s="1098">
        <v>12580</v>
      </c>
      <c r="FX18" s="1098">
        <v>15039</v>
      </c>
      <c r="FY18" s="1098">
        <v>12415</v>
      </c>
      <c r="FZ18" s="1098">
        <v>11701</v>
      </c>
      <c r="GA18" s="1097">
        <f t="shared" si="190"/>
        <v>153527</v>
      </c>
      <c r="GB18" s="1098">
        <v>11065</v>
      </c>
      <c r="GC18" s="1098">
        <v>13229</v>
      </c>
      <c r="GD18" s="1098">
        <v>12072</v>
      </c>
      <c r="GE18" s="1098">
        <v>12034</v>
      </c>
      <c r="GF18" s="1098">
        <v>12405</v>
      </c>
      <c r="GG18" s="1098">
        <v>9703</v>
      </c>
      <c r="GH18" s="1098">
        <v>9304</v>
      </c>
      <c r="GI18" s="1098">
        <v>7196</v>
      </c>
      <c r="GJ18" s="1098">
        <v>10616</v>
      </c>
      <c r="GK18" s="1098">
        <v>9275</v>
      </c>
      <c r="GL18" s="1098">
        <v>10000</v>
      </c>
      <c r="GM18" s="1098">
        <v>9839</v>
      </c>
      <c r="GN18" s="1097">
        <f t="shared" si="203"/>
        <v>126738</v>
      </c>
      <c r="GO18" s="1098">
        <v>16209</v>
      </c>
      <c r="GP18" s="1098">
        <v>17618</v>
      </c>
      <c r="GQ18" s="1098">
        <v>18089</v>
      </c>
      <c r="GR18" s="1098">
        <v>15814</v>
      </c>
      <c r="GS18" s="1098">
        <v>15081</v>
      </c>
      <c r="GT18" s="1098">
        <v>13308</v>
      </c>
      <c r="GU18" s="1098">
        <v>13369</v>
      </c>
      <c r="GV18" s="1098">
        <v>12372</v>
      </c>
      <c r="GW18" s="1098">
        <v>14454</v>
      </c>
      <c r="GX18" s="1098">
        <v>11624</v>
      </c>
      <c r="GY18" s="1098">
        <v>10124</v>
      </c>
      <c r="GZ18" s="1098">
        <v>10964.5</v>
      </c>
      <c r="HA18" s="1097">
        <f t="shared" si="216"/>
        <v>169026.5</v>
      </c>
      <c r="HB18" s="1098">
        <v>11184.5</v>
      </c>
      <c r="HC18" s="1098">
        <v>14558</v>
      </c>
      <c r="HD18" s="1098">
        <v>16675</v>
      </c>
      <c r="HE18" s="1098">
        <v>14935</v>
      </c>
      <c r="HF18" s="1098">
        <v>14060</v>
      </c>
      <c r="HG18" s="1098">
        <v>13737</v>
      </c>
      <c r="HH18" s="1098">
        <v>12335</v>
      </c>
      <c r="HI18" s="1098">
        <v>12656.5</v>
      </c>
      <c r="HJ18" s="1098">
        <v>13763</v>
      </c>
      <c r="HK18" s="1098">
        <v>11337</v>
      </c>
      <c r="HL18" s="1098">
        <v>10832</v>
      </c>
      <c r="HM18" s="1098">
        <v>10462</v>
      </c>
      <c r="HN18" s="1097">
        <f t="shared" si="229"/>
        <v>156535</v>
      </c>
      <c r="HO18" s="1098">
        <v>11106.1</v>
      </c>
      <c r="HP18" s="1098">
        <v>12883</v>
      </c>
      <c r="HQ18" s="1098">
        <v>18247</v>
      </c>
      <c r="HR18" s="1098">
        <v>16386</v>
      </c>
      <c r="HS18" s="1098">
        <v>13974.45</v>
      </c>
      <c r="HT18" s="1098">
        <v>14744</v>
      </c>
      <c r="HU18" s="1098">
        <v>12225</v>
      </c>
      <c r="HV18" s="1098">
        <v>12370.5</v>
      </c>
      <c r="HW18" s="1098">
        <v>14687</v>
      </c>
      <c r="HX18" s="1098">
        <v>11619</v>
      </c>
      <c r="HY18" s="1098">
        <v>10155</v>
      </c>
      <c r="HZ18" s="1098">
        <v>9138</v>
      </c>
      <c r="IA18" s="1097">
        <f t="shared" si="242"/>
        <v>157535.04999999999</v>
      </c>
      <c r="IB18" s="1098">
        <v>12112</v>
      </c>
      <c r="IC18" s="1098">
        <v>13203</v>
      </c>
      <c r="ID18" s="1098">
        <v>14579</v>
      </c>
      <c r="IE18" s="1098">
        <v>13667</v>
      </c>
      <c r="IF18" s="1098">
        <v>14223</v>
      </c>
      <c r="IG18" s="1098">
        <v>12939</v>
      </c>
      <c r="IH18" s="1098">
        <v>13031</v>
      </c>
      <c r="II18" s="1098">
        <v>11457</v>
      </c>
      <c r="IJ18" s="1098">
        <v>11582</v>
      </c>
      <c r="IK18" s="1098">
        <v>10920.5</v>
      </c>
      <c r="IL18" s="1098">
        <v>11240</v>
      </c>
      <c r="IM18" s="1098">
        <v>12016</v>
      </c>
      <c r="IN18" s="1097">
        <v>150969.5</v>
      </c>
      <c r="IO18" s="1098">
        <v>14006</v>
      </c>
      <c r="IP18" s="1098">
        <v>13868</v>
      </c>
      <c r="IQ18" s="1098">
        <v>15022</v>
      </c>
      <c r="IR18" s="1098">
        <v>13350</v>
      </c>
      <c r="IS18" s="1098">
        <v>14052</v>
      </c>
      <c r="IT18" s="1098">
        <v>11035</v>
      </c>
      <c r="IU18" s="1098">
        <v>11378</v>
      </c>
      <c r="IV18" s="1098">
        <v>10421</v>
      </c>
      <c r="IW18" s="1098">
        <v>9446</v>
      </c>
      <c r="IX18" s="1098">
        <v>10110</v>
      </c>
      <c r="IY18" s="1098">
        <v>9530</v>
      </c>
      <c r="IZ18" s="1098">
        <v>9606</v>
      </c>
      <c r="JA18" s="1097">
        <v>141824</v>
      </c>
      <c r="JB18" s="1098">
        <v>9609</v>
      </c>
      <c r="JC18" s="1098">
        <v>11079</v>
      </c>
      <c r="JD18" s="1098"/>
      <c r="JE18" s="1098"/>
      <c r="JF18" s="1098"/>
      <c r="JG18" s="1098"/>
      <c r="JH18" s="1098"/>
      <c r="JI18" s="1098"/>
      <c r="JJ18" s="1098"/>
      <c r="JK18" s="1098"/>
      <c r="JL18" s="1098"/>
      <c r="JM18" s="1098"/>
      <c r="JN18" s="1097">
        <f t="shared" si="281"/>
        <v>20688</v>
      </c>
      <c r="JP18" s="1174">
        <f t="shared" si="305"/>
        <v>-20.056591211717713</v>
      </c>
      <c r="JQ18" s="1175">
        <f t="shared" si="306"/>
        <v>-6.0578461212364099</v>
      </c>
      <c r="JR18" s="1184">
        <f t="shared" si="307"/>
        <v>150969.5</v>
      </c>
      <c r="JS18" s="1185">
        <f t="shared" si="308"/>
        <v>141824</v>
      </c>
      <c r="JT18" s="1"/>
      <c r="JU18" s="1079">
        <f t="shared" si="309"/>
        <v>8392813.9600000009</v>
      </c>
      <c r="JV18" s="1080" t="s">
        <v>565</v>
      </c>
      <c r="JW18" s="1081" t="str">
        <f t="shared" si="310"/>
        <v>OK</v>
      </c>
    </row>
    <row r="19" spans="1:283" ht="15" customHeight="1" x14ac:dyDescent="0.2">
      <c r="A19" s="1166" t="s">
        <v>142</v>
      </c>
      <c r="B19" s="1098">
        <v>818</v>
      </c>
      <c r="C19" s="1098">
        <v>916</v>
      </c>
      <c r="D19" s="1098">
        <v>879</v>
      </c>
      <c r="E19" s="1098">
        <v>968</v>
      </c>
      <c r="F19" s="1098">
        <v>920</v>
      </c>
      <c r="G19" s="1098">
        <v>906</v>
      </c>
      <c r="H19" s="1098">
        <v>851</v>
      </c>
      <c r="I19" s="1098">
        <v>835</v>
      </c>
      <c r="J19" s="1098">
        <v>772</v>
      </c>
      <c r="K19" s="1098">
        <v>792</v>
      </c>
      <c r="L19" s="1098">
        <v>730</v>
      </c>
      <c r="M19" s="1098">
        <v>833</v>
      </c>
      <c r="N19" s="1097">
        <f t="shared" si="21"/>
        <v>10220</v>
      </c>
      <c r="O19" s="1098">
        <v>864</v>
      </c>
      <c r="P19" s="1098">
        <v>890</v>
      </c>
      <c r="Q19" s="1098">
        <v>955</v>
      </c>
      <c r="R19" s="1098">
        <v>953</v>
      </c>
      <c r="S19" s="1098">
        <v>907</v>
      </c>
      <c r="T19" s="1098">
        <v>908</v>
      </c>
      <c r="U19" s="1098">
        <v>926</v>
      </c>
      <c r="V19" s="1098">
        <v>878</v>
      </c>
      <c r="W19" s="1098">
        <v>876</v>
      </c>
      <c r="X19" s="1098">
        <v>805</v>
      </c>
      <c r="Y19" s="1098">
        <v>784</v>
      </c>
      <c r="Z19" s="1098">
        <v>765</v>
      </c>
      <c r="AA19" s="1097">
        <f t="shared" si="34"/>
        <v>10511</v>
      </c>
      <c r="AB19" s="1098">
        <v>852</v>
      </c>
      <c r="AC19" s="1098">
        <v>893</v>
      </c>
      <c r="AD19" s="1098">
        <v>933</v>
      </c>
      <c r="AE19" s="1098">
        <v>1044</v>
      </c>
      <c r="AF19" s="1098">
        <v>920</v>
      </c>
      <c r="AG19" s="1098">
        <v>999</v>
      </c>
      <c r="AH19" s="1098">
        <v>916</v>
      </c>
      <c r="AI19" s="1098">
        <v>841</v>
      </c>
      <c r="AJ19" s="1098">
        <v>873</v>
      </c>
      <c r="AK19" s="1098">
        <v>817</v>
      </c>
      <c r="AL19" s="1098">
        <v>931</v>
      </c>
      <c r="AM19" s="1098">
        <v>788</v>
      </c>
      <c r="AN19" s="1097">
        <f t="shared" si="47"/>
        <v>10807</v>
      </c>
      <c r="AO19" s="1098">
        <v>742</v>
      </c>
      <c r="AP19" s="1098">
        <v>856</v>
      </c>
      <c r="AQ19" s="1098">
        <v>915</v>
      </c>
      <c r="AR19" s="1098">
        <v>887</v>
      </c>
      <c r="AS19" s="1098">
        <v>751</v>
      </c>
      <c r="AT19" s="1098">
        <v>670</v>
      </c>
      <c r="AU19" s="1098">
        <v>711</v>
      </c>
      <c r="AV19" s="1098">
        <v>810</v>
      </c>
      <c r="AW19" s="1098">
        <v>977</v>
      </c>
      <c r="AX19" s="1098">
        <v>935</v>
      </c>
      <c r="AY19" s="1098">
        <v>752</v>
      </c>
      <c r="AZ19" s="1098">
        <v>580</v>
      </c>
      <c r="BA19" s="1097">
        <f t="shared" si="60"/>
        <v>9586</v>
      </c>
      <c r="BB19" s="1098">
        <v>801</v>
      </c>
      <c r="BC19" s="1098">
        <v>968</v>
      </c>
      <c r="BD19" s="1098">
        <v>880</v>
      </c>
      <c r="BE19" s="1098">
        <v>962</v>
      </c>
      <c r="BF19" s="1098">
        <v>757</v>
      </c>
      <c r="BG19" s="1098">
        <v>867</v>
      </c>
      <c r="BH19" s="1098">
        <v>1060</v>
      </c>
      <c r="BI19" s="1098">
        <v>1022</v>
      </c>
      <c r="BJ19" s="1098">
        <v>982</v>
      </c>
      <c r="BK19" s="1098">
        <v>1118</v>
      </c>
      <c r="BL19" s="1098">
        <v>1005</v>
      </c>
      <c r="BM19" s="1098">
        <v>1048</v>
      </c>
      <c r="BN19" s="1097">
        <f t="shared" si="73"/>
        <v>11470</v>
      </c>
      <c r="BO19" s="1098">
        <v>871</v>
      </c>
      <c r="BP19" s="1098">
        <v>1083</v>
      </c>
      <c r="BQ19" s="1098">
        <v>1010</v>
      </c>
      <c r="BR19" s="1098">
        <v>1012</v>
      </c>
      <c r="BS19" s="1098">
        <v>970</v>
      </c>
      <c r="BT19" s="1098">
        <v>906</v>
      </c>
      <c r="BU19" s="1098">
        <v>898</v>
      </c>
      <c r="BV19" s="1098">
        <v>869</v>
      </c>
      <c r="BW19" s="1098">
        <v>839</v>
      </c>
      <c r="BX19" s="1098">
        <v>842</v>
      </c>
      <c r="BY19" s="1098">
        <v>1624</v>
      </c>
      <c r="BZ19" s="1098">
        <v>713</v>
      </c>
      <c r="CA19" s="1097">
        <f t="shared" si="86"/>
        <v>11637</v>
      </c>
      <c r="CB19" s="1098">
        <v>1098</v>
      </c>
      <c r="CC19" s="1098">
        <v>1005</v>
      </c>
      <c r="CD19" s="1098">
        <v>1029</v>
      </c>
      <c r="CE19" s="1098">
        <v>1042</v>
      </c>
      <c r="CF19" s="1098">
        <v>1088</v>
      </c>
      <c r="CG19" s="1098">
        <v>1032</v>
      </c>
      <c r="CH19" s="1098">
        <v>1294</v>
      </c>
      <c r="CI19" s="1098">
        <v>1428</v>
      </c>
      <c r="CJ19" s="1098">
        <v>1538</v>
      </c>
      <c r="CK19" s="1098">
        <v>1566</v>
      </c>
      <c r="CL19" s="1098">
        <v>1592</v>
      </c>
      <c r="CM19" s="1098">
        <v>1362</v>
      </c>
      <c r="CN19" s="1097">
        <f t="shared" si="99"/>
        <v>15074</v>
      </c>
      <c r="CO19" s="1098">
        <v>1019</v>
      </c>
      <c r="CP19" s="1098">
        <v>1012.4</v>
      </c>
      <c r="CQ19" s="1098">
        <v>906.85</v>
      </c>
      <c r="CR19" s="1098">
        <v>831.2</v>
      </c>
      <c r="CS19" s="1098">
        <v>856.15</v>
      </c>
      <c r="CT19" s="1098">
        <v>1018.9</v>
      </c>
      <c r="CU19" s="1098">
        <v>1337</v>
      </c>
      <c r="CV19" s="1098">
        <v>1017</v>
      </c>
      <c r="CW19" s="1098">
        <v>1029.45</v>
      </c>
      <c r="CX19" s="1098">
        <v>1105.48</v>
      </c>
      <c r="CY19" s="1098">
        <v>1307.8789999999999</v>
      </c>
      <c r="CZ19" s="1098">
        <v>1204.5</v>
      </c>
      <c r="DA19" s="1097">
        <f t="shared" si="112"/>
        <v>12645.808999999997</v>
      </c>
      <c r="DB19" s="1098">
        <v>1068</v>
      </c>
      <c r="DC19" s="1098">
        <v>1285</v>
      </c>
      <c r="DD19" s="1098">
        <v>1075</v>
      </c>
      <c r="DE19" s="1098">
        <v>1424</v>
      </c>
      <c r="DF19" s="1098">
        <v>1445</v>
      </c>
      <c r="DG19" s="1098">
        <v>1670</v>
      </c>
      <c r="DH19" s="1098">
        <v>1536</v>
      </c>
      <c r="DI19" s="1098">
        <v>1457</v>
      </c>
      <c r="DJ19" s="1098">
        <v>1239</v>
      </c>
      <c r="DK19" s="1098">
        <v>1597</v>
      </c>
      <c r="DL19" s="1098">
        <v>1322</v>
      </c>
      <c r="DM19" s="1098">
        <v>1429</v>
      </c>
      <c r="DN19" s="1097">
        <f t="shared" si="125"/>
        <v>16547</v>
      </c>
      <c r="DO19" s="1098">
        <v>1073</v>
      </c>
      <c r="DP19" s="1098">
        <v>1525</v>
      </c>
      <c r="DQ19" s="1098">
        <v>1974</v>
      </c>
      <c r="DR19" s="1098">
        <v>907</v>
      </c>
      <c r="DS19" s="1098">
        <v>1296</v>
      </c>
      <c r="DT19" s="1098">
        <v>1021</v>
      </c>
      <c r="DU19" s="1098">
        <v>929</v>
      </c>
      <c r="DV19" s="1098">
        <v>1470</v>
      </c>
      <c r="DW19" s="1098">
        <v>1101</v>
      </c>
      <c r="DX19" s="1098">
        <v>1581</v>
      </c>
      <c r="DY19" s="1098">
        <v>1062</v>
      </c>
      <c r="DZ19" s="1098">
        <v>2162</v>
      </c>
      <c r="EA19" s="1097">
        <f t="shared" si="138"/>
        <v>16101</v>
      </c>
      <c r="EB19" s="1098">
        <v>898</v>
      </c>
      <c r="EC19" s="1098">
        <v>906</v>
      </c>
      <c r="ED19" s="1098">
        <v>1078</v>
      </c>
      <c r="EE19" s="1098">
        <v>1294</v>
      </c>
      <c r="EF19" s="1098">
        <v>1119</v>
      </c>
      <c r="EG19" s="1098">
        <v>1033</v>
      </c>
      <c r="EH19" s="1098">
        <v>1044</v>
      </c>
      <c r="EI19" s="1098">
        <v>1157</v>
      </c>
      <c r="EJ19" s="1098">
        <v>1103</v>
      </c>
      <c r="EK19" s="1098">
        <v>1270</v>
      </c>
      <c r="EL19" s="1098">
        <v>1124</v>
      </c>
      <c r="EM19" s="1098">
        <v>1214</v>
      </c>
      <c r="EN19" s="1097">
        <f t="shared" si="151"/>
        <v>13240</v>
      </c>
      <c r="EO19" s="1098">
        <v>1119</v>
      </c>
      <c r="EP19" s="1098">
        <v>896</v>
      </c>
      <c r="EQ19" s="1098">
        <v>971</v>
      </c>
      <c r="ER19" s="1098">
        <v>1073</v>
      </c>
      <c r="ES19" s="1098">
        <v>1013</v>
      </c>
      <c r="ET19" s="1098">
        <v>940</v>
      </c>
      <c r="EU19" s="1098">
        <v>867</v>
      </c>
      <c r="EV19" s="1098">
        <v>845</v>
      </c>
      <c r="EW19" s="1098">
        <v>1020</v>
      </c>
      <c r="EX19" s="1098">
        <v>1039</v>
      </c>
      <c r="EY19" s="1098">
        <v>860</v>
      </c>
      <c r="EZ19" s="1098">
        <v>926</v>
      </c>
      <c r="FA19" s="1097">
        <f t="shared" si="164"/>
        <v>11569</v>
      </c>
      <c r="FB19" s="1098">
        <v>747</v>
      </c>
      <c r="FC19" s="1098">
        <v>824</v>
      </c>
      <c r="FD19" s="1098">
        <v>863</v>
      </c>
      <c r="FE19" s="1098">
        <v>787</v>
      </c>
      <c r="FF19" s="1098">
        <v>1182</v>
      </c>
      <c r="FG19" s="1098">
        <v>740</v>
      </c>
      <c r="FH19" s="1098">
        <v>674</v>
      </c>
      <c r="FI19" s="1098">
        <v>623</v>
      </c>
      <c r="FJ19" s="1098">
        <v>729</v>
      </c>
      <c r="FK19" s="1098">
        <v>723</v>
      </c>
      <c r="FL19" s="1098">
        <v>752</v>
      </c>
      <c r="FM19" s="1098">
        <v>727</v>
      </c>
      <c r="FN19" s="1097">
        <f t="shared" si="177"/>
        <v>9371</v>
      </c>
      <c r="FO19" s="1098">
        <v>816</v>
      </c>
      <c r="FP19" s="1098">
        <v>882</v>
      </c>
      <c r="FQ19" s="1098">
        <v>658</v>
      </c>
      <c r="FR19" s="1098">
        <v>614</v>
      </c>
      <c r="FS19" s="1098">
        <v>627</v>
      </c>
      <c r="FT19" s="1098">
        <v>637</v>
      </c>
      <c r="FU19" s="1098">
        <v>571</v>
      </c>
      <c r="FV19" s="1098">
        <v>547</v>
      </c>
      <c r="FW19" s="1098">
        <v>584</v>
      </c>
      <c r="FX19" s="1098">
        <v>655</v>
      </c>
      <c r="FY19" s="1098">
        <v>673</v>
      </c>
      <c r="FZ19" s="1098">
        <v>678</v>
      </c>
      <c r="GA19" s="1097">
        <f t="shared" si="190"/>
        <v>7942</v>
      </c>
      <c r="GB19" s="1098">
        <v>559</v>
      </c>
      <c r="GC19" s="1098">
        <v>678</v>
      </c>
      <c r="GD19" s="1098">
        <v>722</v>
      </c>
      <c r="GE19" s="1098">
        <v>602</v>
      </c>
      <c r="GF19" s="1098">
        <v>597.5</v>
      </c>
      <c r="GG19" s="1098">
        <v>549</v>
      </c>
      <c r="GH19" s="1098">
        <v>518</v>
      </c>
      <c r="GI19" s="1098">
        <v>552</v>
      </c>
      <c r="GJ19" s="1098">
        <v>564</v>
      </c>
      <c r="GK19" s="1098">
        <v>675</v>
      </c>
      <c r="GL19" s="1098">
        <v>658</v>
      </c>
      <c r="GM19" s="1098">
        <v>617</v>
      </c>
      <c r="GN19" s="1097">
        <f t="shared" si="203"/>
        <v>7291.5</v>
      </c>
      <c r="GO19" s="1098">
        <v>774.6</v>
      </c>
      <c r="GP19" s="1098">
        <v>777.3</v>
      </c>
      <c r="GQ19" s="1098">
        <v>838.09999999999991</v>
      </c>
      <c r="GR19" s="1098">
        <v>743</v>
      </c>
      <c r="GS19" s="1098">
        <v>806</v>
      </c>
      <c r="GT19" s="1098">
        <v>682</v>
      </c>
      <c r="GU19" s="1098">
        <v>619.65</v>
      </c>
      <c r="GV19" s="1098">
        <v>627</v>
      </c>
      <c r="GW19" s="1098">
        <v>693.85</v>
      </c>
      <c r="GX19" s="1098">
        <v>724</v>
      </c>
      <c r="GY19" s="1098">
        <v>681.5</v>
      </c>
      <c r="GZ19" s="1098">
        <v>787.8</v>
      </c>
      <c r="HA19" s="1097">
        <f t="shared" si="216"/>
        <v>8754.7999999999993</v>
      </c>
      <c r="HB19" s="1098">
        <v>773.8</v>
      </c>
      <c r="HC19" s="1098">
        <v>879.5</v>
      </c>
      <c r="HD19" s="1098">
        <v>946.1</v>
      </c>
      <c r="HE19" s="1098">
        <v>933</v>
      </c>
      <c r="HF19" s="1098">
        <v>937</v>
      </c>
      <c r="HG19" s="1098">
        <v>953.8</v>
      </c>
      <c r="HH19" s="1098">
        <v>883</v>
      </c>
      <c r="HI19" s="1098">
        <v>852.1</v>
      </c>
      <c r="HJ19" s="1098">
        <v>811.5</v>
      </c>
      <c r="HK19" s="1098">
        <v>873.5</v>
      </c>
      <c r="HL19" s="1098">
        <v>885</v>
      </c>
      <c r="HM19" s="1098">
        <v>957.25</v>
      </c>
      <c r="HN19" s="1097">
        <f t="shared" si="229"/>
        <v>10685.55</v>
      </c>
      <c r="HO19" s="1098">
        <v>845.5</v>
      </c>
      <c r="HP19" s="1098">
        <v>1011</v>
      </c>
      <c r="HQ19" s="1098">
        <v>981</v>
      </c>
      <c r="HR19" s="1098">
        <v>983</v>
      </c>
      <c r="HS19" s="1098">
        <v>962</v>
      </c>
      <c r="HT19" s="1098">
        <v>989.6</v>
      </c>
      <c r="HU19" s="1098">
        <v>888.5</v>
      </c>
      <c r="HV19" s="1098">
        <v>839.2</v>
      </c>
      <c r="HW19" s="1098">
        <v>785.3</v>
      </c>
      <c r="HX19" s="1098">
        <v>838</v>
      </c>
      <c r="HY19" s="1098">
        <v>879</v>
      </c>
      <c r="HZ19" s="1098">
        <v>805</v>
      </c>
      <c r="IA19" s="1097">
        <f t="shared" si="242"/>
        <v>10807.1</v>
      </c>
      <c r="IB19" s="1098">
        <v>899.5</v>
      </c>
      <c r="IC19" s="1098">
        <v>1088</v>
      </c>
      <c r="ID19" s="1098">
        <v>1030</v>
      </c>
      <c r="IE19" s="1098">
        <v>1049</v>
      </c>
      <c r="IF19" s="1098">
        <v>871</v>
      </c>
      <c r="IG19" s="1098">
        <v>902</v>
      </c>
      <c r="IH19" s="1098">
        <v>809</v>
      </c>
      <c r="II19" s="1098">
        <v>755.4</v>
      </c>
      <c r="IJ19" s="1098">
        <v>703.8</v>
      </c>
      <c r="IK19" s="1098">
        <v>839</v>
      </c>
      <c r="IL19" s="1098">
        <v>907.5</v>
      </c>
      <c r="IM19" s="1098">
        <v>1015</v>
      </c>
      <c r="IN19" s="1097">
        <v>10869.2</v>
      </c>
      <c r="IO19" s="1098">
        <v>935</v>
      </c>
      <c r="IP19" s="1098">
        <v>1101</v>
      </c>
      <c r="IQ19" s="1098">
        <v>1011.5</v>
      </c>
      <c r="IR19" s="1098">
        <v>1096</v>
      </c>
      <c r="IS19" s="1098">
        <v>992</v>
      </c>
      <c r="IT19" s="1098">
        <v>973</v>
      </c>
      <c r="IU19" s="1098">
        <v>948</v>
      </c>
      <c r="IV19" s="1098">
        <v>881</v>
      </c>
      <c r="IW19" s="1098">
        <v>818.6</v>
      </c>
      <c r="IX19" s="1098">
        <v>968</v>
      </c>
      <c r="IY19" s="1098">
        <v>964</v>
      </c>
      <c r="IZ19" s="1098">
        <v>1116.5</v>
      </c>
      <c r="JA19" s="1097">
        <v>11804.6</v>
      </c>
      <c r="JB19" s="1098">
        <v>819</v>
      </c>
      <c r="JC19" s="1098">
        <v>1036</v>
      </c>
      <c r="JD19" s="1098"/>
      <c r="JE19" s="1098"/>
      <c r="JF19" s="1098"/>
      <c r="JG19" s="1098"/>
      <c r="JH19" s="1098"/>
      <c r="JI19" s="1098"/>
      <c r="JJ19" s="1098"/>
      <c r="JK19" s="1098"/>
      <c r="JL19" s="1098"/>
      <c r="JM19" s="1098"/>
      <c r="JN19" s="1097">
        <f t="shared" si="281"/>
        <v>1855</v>
      </c>
      <c r="JP19" s="1174">
        <f t="shared" si="305"/>
        <v>10.000000000000009</v>
      </c>
      <c r="JQ19" s="1175">
        <f t="shared" si="306"/>
        <v>8.6059691605637987</v>
      </c>
      <c r="JR19" s="1184">
        <f t="shared" si="307"/>
        <v>10869.2</v>
      </c>
      <c r="JS19" s="1185">
        <f t="shared" si="308"/>
        <v>11804.6</v>
      </c>
      <c r="JT19" s="1"/>
      <c r="JU19" s="1079">
        <f t="shared" si="309"/>
        <v>457577.11799999978</v>
      </c>
      <c r="JV19" s="1080" t="s">
        <v>142</v>
      </c>
      <c r="JW19" s="1081" t="str">
        <f t="shared" si="310"/>
        <v>OK</v>
      </c>
    </row>
    <row r="20" spans="1:283" ht="15" customHeight="1" x14ac:dyDescent="0.2">
      <c r="A20" s="1166" t="s">
        <v>566</v>
      </c>
      <c r="B20" s="1098">
        <v>146</v>
      </c>
      <c r="C20" s="1098">
        <v>70</v>
      </c>
      <c r="D20" s="1098">
        <v>100</v>
      </c>
      <c r="E20" s="1098">
        <v>71</v>
      </c>
      <c r="F20" s="1098">
        <v>64</v>
      </c>
      <c r="G20" s="1098">
        <v>83</v>
      </c>
      <c r="H20" s="1098">
        <v>101</v>
      </c>
      <c r="I20" s="1098">
        <v>115</v>
      </c>
      <c r="J20" s="1098">
        <v>84</v>
      </c>
      <c r="K20" s="1098">
        <v>23</v>
      </c>
      <c r="L20" s="1098">
        <v>60</v>
      </c>
      <c r="M20" s="1098">
        <v>52</v>
      </c>
      <c r="N20" s="1097">
        <f t="shared" si="21"/>
        <v>969</v>
      </c>
      <c r="O20" s="1098">
        <v>66</v>
      </c>
      <c r="P20" s="1098">
        <v>46</v>
      </c>
      <c r="Q20" s="1098">
        <v>33</v>
      </c>
      <c r="R20" s="1098">
        <v>25</v>
      </c>
      <c r="S20" s="1098">
        <v>47</v>
      </c>
      <c r="T20" s="1098">
        <v>58</v>
      </c>
      <c r="U20" s="1098">
        <v>70</v>
      </c>
      <c r="V20" s="1098">
        <v>226</v>
      </c>
      <c r="W20" s="1098">
        <v>58</v>
      </c>
      <c r="X20" s="1098">
        <v>35</v>
      </c>
      <c r="Y20" s="1098">
        <v>42</v>
      </c>
      <c r="Z20" s="1098">
        <v>49</v>
      </c>
      <c r="AA20" s="1097">
        <f t="shared" si="34"/>
        <v>755</v>
      </c>
      <c r="AB20" s="1098">
        <v>38</v>
      </c>
      <c r="AC20" s="1098">
        <v>36</v>
      </c>
      <c r="AD20" s="1098">
        <v>40</v>
      </c>
      <c r="AE20" s="1098">
        <v>46</v>
      </c>
      <c r="AF20" s="1098">
        <v>56</v>
      </c>
      <c r="AG20" s="1098">
        <v>58</v>
      </c>
      <c r="AH20" s="1098">
        <v>46</v>
      </c>
      <c r="AI20" s="1098">
        <v>73</v>
      </c>
      <c r="AJ20" s="1098">
        <v>66</v>
      </c>
      <c r="AK20" s="1098">
        <v>42</v>
      </c>
      <c r="AL20" s="1098">
        <v>65</v>
      </c>
      <c r="AM20" s="1098">
        <v>64</v>
      </c>
      <c r="AN20" s="1097">
        <f t="shared" si="47"/>
        <v>630</v>
      </c>
      <c r="AO20" s="1098">
        <v>81</v>
      </c>
      <c r="AP20" s="1098">
        <v>74</v>
      </c>
      <c r="AQ20" s="1098">
        <v>75</v>
      </c>
      <c r="AR20" s="1098">
        <v>99</v>
      </c>
      <c r="AS20" s="1098">
        <v>84</v>
      </c>
      <c r="AT20" s="1098">
        <v>82</v>
      </c>
      <c r="AU20" s="1098">
        <v>97</v>
      </c>
      <c r="AV20" s="1098">
        <v>87</v>
      </c>
      <c r="AW20" s="1098">
        <v>101</v>
      </c>
      <c r="AX20" s="1098">
        <v>81</v>
      </c>
      <c r="AY20" s="1098">
        <v>87</v>
      </c>
      <c r="AZ20" s="1098">
        <v>81</v>
      </c>
      <c r="BA20" s="1097">
        <f t="shared" si="60"/>
        <v>1029</v>
      </c>
      <c r="BB20" s="1098">
        <v>72</v>
      </c>
      <c r="BC20" s="1098">
        <v>83</v>
      </c>
      <c r="BD20" s="1098">
        <v>56</v>
      </c>
      <c r="BE20" s="1098">
        <v>87</v>
      </c>
      <c r="BF20" s="1098">
        <v>78</v>
      </c>
      <c r="BG20" s="1098">
        <v>113</v>
      </c>
      <c r="BH20" s="1098">
        <v>119</v>
      </c>
      <c r="BI20" s="1098">
        <v>95</v>
      </c>
      <c r="BJ20" s="1098">
        <v>119</v>
      </c>
      <c r="BK20" s="1098">
        <v>67</v>
      </c>
      <c r="BL20" s="1098">
        <v>97</v>
      </c>
      <c r="BM20" s="1098">
        <v>99</v>
      </c>
      <c r="BN20" s="1097">
        <f t="shared" si="73"/>
        <v>1085</v>
      </c>
      <c r="BO20" s="1098">
        <v>98</v>
      </c>
      <c r="BP20" s="1098">
        <v>100</v>
      </c>
      <c r="BQ20" s="1098">
        <v>87</v>
      </c>
      <c r="BR20" s="1098">
        <v>94</v>
      </c>
      <c r="BS20" s="1098">
        <v>118</v>
      </c>
      <c r="BT20" s="1098">
        <v>113</v>
      </c>
      <c r="BU20" s="1098">
        <v>110</v>
      </c>
      <c r="BV20" s="1098">
        <v>104</v>
      </c>
      <c r="BW20" s="1098">
        <v>110</v>
      </c>
      <c r="BX20" s="1098">
        <v>84</v>
      </c>
      <c r="BY20" s="1098">
        <v>81</v>
      </c>
      <c r="BZ20" s="1098">
        <v>91</v>
      </c>
      <c r="CA20" s="1097">
        <f t="shared" si="86"/>
        <v>1190</v>
      </c>
      <c r="CB20" s="1098">
        <v>89</v>
      </c>
      <c r="CC20" s="1098">
        <v>77</v>
      </c>
      <c r="CD20" s="1098">
        <v>72</v>
      </c>
      <c r="CE20" s="1098">
        <v>81</v>
      </c>
      <c r="CF20" s="1098">
        <v>85</v>
      </c>
      <c r="CG20" s="1098">
        <v>83</v>
      </c>
      <c r="CH20" s="1098">
        <v>87</v>
      </c>
      <c r="CI20" s="1098">
        <v>95</v>
      </c>
      <c r="CJ20" s="1098">
        <v>99</v>
      </c>
      <c r="CK20" s="1098">
        <v>76</v>
      </c>
      <c r="CL20" s="1098">
        <v>73</v>
      </c>
      <c r="CM20" s="1098">
        <v>69</v>
      </c>
      <c r="CN20" s="1097">
        <f t="shared" si="99"/>
        <v>986</v>
      </c>
      <c r="CO20" s="1098">
        <v>74</v>
      </c>
      <c r="CP20" s="1098">
        <v>68</v>
      </c>
      <c r="CQ20" s="1098">
        <v>87</v>
      </c>
      <c r="CR20" s="1098">
        <v>103</v>
      </c>
      <c r="CS20" s="1098">
        <v>98</v>
      </c>
      <c r="CT20" s="1098">
        <v>88</v>
      </c>
      <c r="CU20" s="1098">
        <v>110</v>
      </c>
      <c r="CV20" s="1098">
        <v>106</v>
      </c>
      <c r="CW20" s="1098">
        <v>94</v>
      </c>
      <c r="CX20" s="1098">
        <v>74</v>
      </c>
      <c r="CY20" s="1098">
        <v>88</v>
      </c>
      <c r="CZ20" s="1098">
        <v>79</v>
      </c>
      <c r="DA20" s="1097">
        <f t="shared" si="112"/>
        <v>1069</v>
      </c>
      <c r="DB20" s="1098">
        <v>103</v>
      </c>
      <c r="DC20" s="1098">
        <v>73.8</v>
      </c>
      <c r="DD20" s="1098">
        <v>72</v>
      </c>
      <c r="DE20" s="1098">
        <v>106</v>
      </c>
      <c r="DF20" s="1098">
        <v>115</v>
      </c>
      <c r="DG20" s="1098">
        <v>97</v>
      </c>
      <c r="DH20" s="1098">
        <v>124</v>
      </c>
      <c r="DI20" s="1098">
        <v>109.1</v>
      </c>
      <c r="DJ20" s="1098">
        <v>109</v>
      </c>
      <c r="DK20" s="1098">
        <v>65</v>
      </c>
      <c r="DL20" s="1098">
        <v>91</v>
      </c>
      <c r="DM20" s="1098">
        <v>92</v>
      </c>
      <c r="DN20" s="1097">
        <f t="shared" si="125"/>
        <v>1156.9000000000001</v>
      </c>
      <c r="DO20" s="1098">
        <v>87</v>
      </c>
      <c r="DP20" s="1098">
        <v>78</v>
      </c>
      <c r="DQ20" s="1098">
        <v>74</v>
      </c>
      <c r="DR20" s="1098">
        <v>141</v>
      </c>
      <c r="DS20" s="1098">
        <v>157</v>
      </c>
      <c r="DT20" s="1098">
        <v>125</v>
      </c>
      <c r="DU20" s="1098">
        <v>96</v>
      </c>
      <c r="DV20" s="1098">
        <v>126</v>
      </c>
      <c r="DW20" s="1098">
        <v>95</v>
      </c>
      <c r="DX20" s="1098">
        <v>102</v>
      </c>
      <c r="DY20" s="1098">
        <v>116</v>
      </c>
      <c r="DZ20" s="1098">
        <v>88</v>
      </c>
      <c r="EA20" s="1097">
        <f t="shared" si="138"/>
        <v>1285</v>
      </c>
      <c r="EB20" s="1098">
        <v>72</v>
      </c>
      <c r="EC20" s="1098">
        <v>90</v>
      </c>
      <c r="ED20" s="1098">
        <v>71</v>
      </c>
      <c r="EE20" s="1098">
        <v>111</v>
      </c>
      <c r="EF20" s="1098">
        <v>111</v>
      </c>
      <c r="EG20" s="1098">
        <v>98</v>
      </c>
      <c r="EH20" s="1098">
        <v>96</v>
      </c>
      <c r="EI20" s="1098">
        <v>122</v>
      </c>
      <c r="EJ20" s="1098">
        <v>92</v>
      </c>
      <c r="EK20" s="1098">
        <v>63</v>
      </c>
      <c r="EL20" s="1098">
        <v>71</v>
      </c>
      <c r="EM20" s="1098">
        <v>90</v>
      </c>
      <c r="EN20" s="1097">
        <f t="shared" si="151"/>
        <v>1087</v>
      </c>
      <c r="EO20" s="1098">
        <v>67</v>
      </c>
      <c r="EP20" s="1098">
        <v>69</v>
      </c>
      <c r="EQ20" s="1098">
        <v>72</v>
      </c>
      <c r="ER20" s="1098">
        <v>89</v>
      </c>
      <c r="ES20" s="1098">
        <v>99</v>
      </c>
      <c r="ET20" s="1098">
        <v>98</v>
      </c>
      <c r="EU20" s="1098">
        <v>101</v>
      </c>
      <c r="EV20" s="1098">
        <v>89</v>
      </c>
      <c r="EW20" s="1098">
        <v>74</v>
      </c>
      <c r="EX20" s="1098">
        <v>66</v>
      </c>
      <c r="EY20" s="1098">
        <v>73</v>
      </c>
      <c r="EZ20" s="1098">
        <v>81</v>
      </c>
      <c r="FA20" s="1097">
        <f t="shared" si="164"/>
        <v>978</v>
      </c>
      <c r="FB20" s="1098">
        <v>79</v>
      </c>
      <c r="FC20" s="1098">
        <v>67</v>
      </c>
      <c r="FD20" s="1098">
        <v>78</v>
      </c>
      <c r="FE20" s="1098">
        <v>97</v>
      </c>
      <c r="FF20" s="1098">
        <v>87</v>
      </c>
      <c r="FG20" s="1098">
        <v>96</v>
      </c>
      <c r="FH20" s="1098">
        <v>97</v>
      </c>
      <c r="FI20" s="1098">
        <v>94</v>
      </c>
      <c r="FJ20" s="1098">
        <v>84</v>
      </c>
      <c r="FK20" s="1098">
        <v>70</v>
      </c>
      <c r="FL20" s="1098">
        <v>71</v>
      </c>
      <c r="FM20" s="1098">
        <v>85</v>
      </c>
      <c r="FN20" s="1097">
        <f t="shared" si="177"/>
        <v>1005</v>
      </c>
      <c r="FO20" s="1098">
        <v>85</v>
      </c>
      <c r="FP20" s="1098">
        <v>76</v>
      </c>
      <c r="FQ20" s="1098">
        <v>79</v>
      </c>
      <c r="FR20" s="1098">
        <v>84</v>
      </c>
      <c r="FS20" s="1098">
        <v>99</v>
      </c>
      <c r="FT20" s="1098">
        <v>102</v>
      </c>
      <c r="FU20" s="1098">
        <v>105</v>
      </c>
      <c r="FV20" s="1098">
        <v>103</v>
      </c>
      <c r="FW20" s="1098">
        <v>102</v>
      </c>
      <c r="FX20" s="1098">
        <v>85</v>
      </c>
      <c r="FY20" s="1098">
        <v>79</v>
      </c>
      <c r="FZ20" s="1098">
        <v>100</v>
      </c>
      <c r="GA20" s="1097">
        <f t="shared" si="190"/>
        <v>1099</v>
      </c>
      <c r="GB20" s="1098">
        <v>92.808999999999997</v>
      </c>
      <c r="GC20" s="1098">
        <v>91.14</v>
      </c>
      <c r="GD20" s="1098">
        <v>89.34</v>
      </c>
      <c r="GE20" s="1098">
        <v>114.95</v>
      </c>
      <c r="GF20" s="1098">
        <v>116.84400000000001</v>
      </c>
      <c r="GG20" s="1098">
        <v>74</v>
      </c>
      <c r="GH20" s="1098">
        <v>112.77900000000001</v>
      </c>
      <c r="GI20" s="1098">
        <v>77.369</v>
      </c>
      <c r="GJ20" s="1098">
        <v>65.679999999999993</v>
      </c>
      <c r="GK20" s="1098">
        <v>67.875</v>
      </c>
      <c r="GL20" s="1098">
        <v>80.754000000000005</v>
      </c>
      <c r="GM20" s="1098">
        <v>87.614999999999995</v>
      </c>
      <c r="GN20" s="1097">
        <f t="shared" si="203"/>
        <v>1071.155</v>
      </c>
      <c r="GO20" s="1098">
        <v>91.74499999999999</v>
      </c>
      <c r="GP20" s="1098">
        <v>87.339999999999989</v>
      </c>
      <c r="GQ20" s="1098">
        <v>105.60499999999998</v>
      </c>
      <c r="GR20" s="1098">
        <v>115.53999999999998</v>
      </c>
      <c r="GS20" s="1098">
        <v>117.79999999999997</v>
      </c>
      <c r="GT20" s="1098">
        <v>98.279999999999987</v>
      </c>
      <c r="GU20" s="1098">
        <v>125.28899999999996</v>
      </c>
      <c r="GV20" s="1098">
        <v>119.50899999999999</v>
      </c>
      <c r="GW20" s="1098">
        <v>105.74000000000001</v>
      </c>
      <c r="GX20" s="1098">
        <v>91.030000000000015</v>
      </c>
      <c r="GY20" s="1098">
        <v>105.75800000000001</v>
      </c>
      <c r="GZ20" s="1098">
        <v>106.32900000000001</v>
      </c>
      <c r="HA20" s="1097">
        <f t="shared" si="216"/>
        <v>1269.9649999999999</v>
      </c>
      <c r="HB20" s="1098">
        <v>102.63000000000001</v>
      </c>
      <c r="HC20" s="1098">
        <v>103.99999999999999</v>
      </c>
      <c r="HD20" s="1098">
        <v>114.39000000000001</v>
      </c>
      <c r="HE20" s="1098">
        <v>127.17999999999999</v>
      </c>
      <c r="HF20" s="1098">
        <v>130.94999999999999</v>
      </c>
      <c r="HG20" s="1098">
        <v>127.06000000000002</v>
      </c>
      <c r="HH20" s="1098">
        <v>113.17000000000002</v>
      </c>
      <c r="HI20" s="1098">
        <v>125.61999999999999</v>
      </c>
      <c r="HJ20" s="1098">
        <v>107.16999999999999</v>
      </c>
      <c r="HK20" s="1098">
        <v>65.72999999999999</v>
      </c>
      <c r="HL20" s="1098">
        <v>74.390000000000015</v>
      </c>
      <c r="HM20" s="1098">
        <v>80.17</v>
      </c>
      <c r="HN20" s="1097">
        <f t="shared" si="229"/>
        <v>1272.4600000000003</v>
      </c>
      <c r="HO20" s="1098">
        <v>112.7</v>
      </c>
      <c r="HP20" s="1098">
        <v>97.47</v>
      </c>
      <c r="HQ20" s="1098">
        <v>111.38</v>
      </c>
      <c r="HR20" s="1098">
        <v>108.03</v>
      </c>
      <c r="HS20" s="1098">
        <v>136.6</v>
      </c>
      <c r="HT20" s="1098">
        <v>120.35</v>
      </c>
      <c r="HU20" s="1098">
        <v>147.19</v>
      </c>
      <c r="HV20" s="1098">
        <v>165.77</v>
      </c>
      <c r="HW20" s="1098">
        <v>128.30000000000001</v>
      </c>
      <c r="HX20" s="1098">
        <v>98.4</v>
      </c>
      <c r="HY20" s="1098">
        <v>102.86</v>
      </c>
      <c r="HZ20" s="1098">
        <v>119.72</v>
      </c>
      <c r="IA20" s="1097">
        <f t="shared" si="242"/>
        <v>1448.77</v>
      </c>
      <c r="IB20" s="1098">
        <v>111.3</v>
      </c>
      <c r="IC20" s="1098">
        <v>75.89</v>
      </c>
      <c r="ID20" s="1098">
        <v>109.6</v>
      </c>
      <c r="IE20" s="1098">
        <v>111.32</v>
      </c>
      <c r="IF20" s="1098">
        <v>110.68</v>
      </c>
      <c r="IG20" s="1098">
        <v>96.740000000000023</v>
      </c>
      <c r="IH20" s="1098">
        <v>123.3</v>
      </c>
      <c r="II20" s="1098">
        <v>84.54</v>
      </c>
      <c r="IJ20" s="1098">
        <v>147.5</v>
      </c>
      <c r="IK20" s="1098">
        <v>119.7</v>
      </c>
      <c r="IL20" s="1098">
        <v>89.7</v>
      </c>
      <c r="IM20" s="1098">
        <v>67.48</v>
      </c>
      <c r="IN20" s="1097">
        <v>1247.75</v>
      </c>
      <c r="IO20" s="1098">
        <v>74.100000000000009</v>
      </c>
      <c r="IP20" s="1098">
        <v>63.999999999999993</v>
      </c>
      <c r="IQ20" s="1098">
        <v>60.98</v>
      </c>
      <c r="IR20" s="1098">
        <v>74.900000000000006</v>
      </c>
      <c r="IS20" s="1098">
        <v>59.02</v>
      </c>
      <c r="IT20" s="1098">
        <v>66.490000000000009</v>
      </c>
      <c r="IU20" s="1098">
        <v>72.59</v>
      </c>
      <c r="IV20" s="1098">
        <v>62.620000000000012</v>
      </c>
      <c r="IW20" s="1098">
        <v>136.6</v>
      </c>
      <c r="IX20" s="1098">
        <v>111.7</v>
      </c>
      <c r="IY20" s="1098">
        <v>116.3</v>
      </c>
      <c r="IZ20" s="1098">
        <v>53.220000000000013</v>
      </c>
      <c r="JA20" s="1097">
        <v>952.5200000000001</v>
      </c>
      <c r="JB20" s="1098">
        <v>67.3</v>
      </c>
      <c r="JC20" s="1098">
        <v>50.8</v>
      </c>
      <c r="JD20" s="1098"/>
      <c r="JE20" s="1098"/>
      <c r="JF20" s="1098"/>
      <c r="JG20" s="1098"/>
      <c r="JH20" s="1098"/>
      <c r="JI20" s="1098"/>
      <c r="JJ20" s="1098"/>
      <c r="JK20" s="1098"/>
      <c r="JL20" s="1098"/>
      <c r="JM20" s="1098"/>
      <c r="JN20" s="1097">
        <f t="shared" si="281"/>
        <v>118.1</v>
      </c>
      <c r="JP20" s="1174">
        <f t="shared" si="305"/>
        <v>-21.132187314759911</v>
      </c>
      <c r="JQ20" s="1175">
        <f t="shared" si="306"/>
        <v>-23.66098978160689</v>
      </c>
      <c r="JR20" s="1184">
        <f t="shared" si="307"/>
        <v>1247.75</v>
      </c>
      <c r="JS20" s="1185">
        <f t="shared" si="308"/>
        <v>952.5200000000001</v>
      </c>
      <c r="JT20" s="1"/>
      <c r="JU20" s="1079">
        <f t="shared" si="309"/>
        <v>43409.239999999983</v>
      </c>
      <c r="JV20" s="1080" t="s">
        <v>566</v>
      </c>
      <c r="JW20" s="1081" t="str">
        <f t="shared" si="310"/>
        <v>OK</v>
      </c>
    </row>
    <row r="21" spans="1:283" ht="15" customHeight="1" x14ac:dyDescent="0.2">
      <c r="A21" s="1166" t="s">
        <v>567</v>
      </c>
      <c r="B21" s="1098">
        <v>67</v>
      </c>
      <c r="C21" s="1098">
        <v>31</v>
      </c>
      <c r="D21" s="1098">
        <v>70</v>
      </c>
      <c r="E21" s="1098">
        <v>433</v>
      </c>
      <c r="F21" s="1098">
        <v>604</v>
      </c>
      <c r="G21" s="1098">
        <v>198</v>
      </c>
      <c r="H21" s="1098">
        <v>307</v>
      </c>
      <c r="I21" s="1098">
        <v>368</v>
      </c>
      <c r="J21" s="1098">
        <v>979</v>
      </c>
      <c r="K21" s="1098">
        <v>702</v>
      </c>
      <c r="L21" s="1098">
        <v>292</v>
      </c>
      <c r="M21" s="1098">
        <v>140</v>
      </c>
      <c r="N21" s="1097">
        <f t="shared" si="21"/>
        <v>4191</v>
      </c>
      <c r="O21" s="1098">
        <v>134</v>
      </c>
      <c r="P21" s="1098">
        <v>43</v>
      </c>
      <c r="Q21" s="1098">
        <v>65</v>
      </c>
      <c r="R21" s="1098">
        <v>464</v>
      </c>
      <c r="S21" s="1098">
        <v>154</v>
      </c>
      <c r="T21" s="1098">
        <v>58</v>
      </c>
      <c r="U21" s="1098">
        <v>221</v>
      </c>
      <c r="V21" s="1098">
        <v>714</v>
      </c>
      <c r="W21" s="1098">
        <v>1036</v>
      </c>
      <c r="X21" s="1098">
        <v>588</v>
      </c>
      <c r="Y21" s="1098">
        <v>303</v>
      </c>
      <c r="Z21" s="1098">
        <v>91</v>
      </c>
      <c r="AA21" s="1097">
        <f t="shared" si="34"/>
        <v>3871</v>
      </c>
      <c r="AB21" s="1098">
        <v>51</v>
      </c>
      <c r="AC21" s="1098">
        <v>31</v>
      </c>
      <c r="AD21" s="1098">
        <v>21</v>
      </c>
      <c r="AE21" s="1098">
        <v>474</v>
      </c>
      <c r="AF21" s="1098">
        <v>169</v>
      </c>
      <c r="AG21" s="1098">
        <v>100</v>
      </c>
      <c r="AH21" s="1098">
        <v>135</v>
      </c>
      <c r="AI21" s="1098">
        <v>726</v>
      </c>
      <c r="AJ21" s="1098">
        <v>1003</v>
      </c>
      <c r="AK21" s="1098">
        <v>414</v>
      </c>
      <c r="AL21" s="1098">
        <v>135</v>
      </c>
      <c r="AM21" s="1098">
        <v>126</v>
      </c>
      <c r="AN21" s="1097">
        <f t="shared" si="47"/>
        <v>3385</v>
      </c>
      <c r="AO21" s="1098">
        <v>34</v>
      </c>
      <c r="AP21" s="1098">
        <v>36</v>
      </c>
      <c r="AQ21" s="1098">
        <v>26</v>
      </c>
      <c r="AR21" s="1098">
        <v>289</v>
      </c>
      <c r="AS21" s="1098">
        <v>275</v>
      </c>
      <c r="AT21" s="1098">
        <v>46</v>
      </c>
      <c r="AU21" s="1098">
        <v>350</v>
      </c>
      <c r="AV21" s="1098">
        <v>1005</v>
      </c>
      <c r="AW21" s="1098">
        <v>1555.4</v>
      </c>
      <c r="AX21" s="1098">
        <v>259</v>
      </c>
      <c r="AY21" s="1098">
        <v>89</v>
      </c>
      <c r="AZ21" s="1098">
        <v>45</v>
      </c>
      <c r="BA21" s="1097">
        <f t="shared" si="60"/>
        <v>4009.4</v>
      </c>
      <c r="BB21" s="1098">
        <v>49</v>
      </c>
      <c r="BC21" s="1098">
        <v>53</v>
      </c>
      <c r="BD21" s="1098">
        <v>57</v>
      </c>
      <c r="BE21" s="1098">
        <v>253</v>
      </c>
      <c r="BF21" s="1098">
        <v>795</v>
      </c>
      <c r="BG21" s="1098">
        <v>123</v>
      </c>
      <c r="BH21" s="1098">
        <v>190</v>
      </c>
      <c r="BI21" s="1098">
        <v>737</v>
      </c>
      <c r="BJ21" s="1098">
        <v>1544</v>
      </c>
      <c r="BK21" s="1098">
        <v>878</v>
      </c>
      <c r="BL21" s="1098">
        <v>219</v>
      </c>
      <c r="BM21" s="1098">
        <v>165</v>
      </c>
      <c r="BN21" s="1097">
        <f t="shared" si="73"/>
        <v>5063</v>
      </c>
      <c r="BO21" s="1098">
        <v>108</v>
      </c>
      <c r="BP21" s="1098">
        <v>86</v>
      </c>
      <c r="BQ21" s="1098">
        <v>230</v>
      </c>
      <c r="BR21" s="1098">
        <v>547</v>
      </c>
      <c r="BS21" s="1098">
        <v>442</v>
      </c>
      <c r="BT21" s="1098">
        <v>112</v>
      </c>
      <c r="BU21" s="1098">
        <v>237</v>
      </c>
      <c r="BV21" s="1098">
        <v>1010</v>
      </c>
      <c r="BW21" s="1098">
        <v>2180</v>
      </c>
      <c r="BX21" s="1098">
        <v>494</v>
      </c>
      <c r="BY21" s="1098">
        <v>252</v>
      </c>
      <c r="BZ21" s="1098">
        <v>84</v>
      </c>
      <c r="CA21" s="1097">
        <f t="shared" si="86"/>
        <v>5782</v>
      </c>
      <c r="CB21" s="1098">
        <v>99</v>
      </c>
      <c r="CC21" s="1098">
        <v>80</v>
      </c>
      <c r="CD21" s="1098">
        <v>381</v>
      </c>
      <c r="CE21" s="1098">
        <v>508</v>
      </c>
      <c r="CF21" s="1098">
        <v>485</v>
      </c>
      <c r="CG21" s="1098">
        <v>104</v>
      </c>
      <c r="CH21" s="1098">
        <v>142</v>
      </c>
      <c r="CI21" s="1098">
        <v>933</v>
      </c>
      <c r="CJ21" s="1098">
        <v>1640</v>
      </c>
      <c r="CK21" s="1098">
        <v>744</v>
      </c>
      <c r="CL21" s="1098">
        <v>305</v>
      </c>
      <c r="CM21" s="1098">
        <v>176</v>
      </c>
      <c r="CN21" s="1097">
        <f t="shared" si="99"/>
        <v>5597</v>
      </c>
      <c r="CO21" s="1098">
        <v>112</v>
      </c>
      <c r="CP21" s="1098">
        <v>153</v>
      </c>
      <c r="CQ21" s="1098">
        <v>228</v>
      </c>
      <c r="CR21" s="1098">
        <v>336</v>
      </c>
      <c r="CS21" s="1098">
        <v>530</v>
      </c>
      <c r="CT21" s="1098">
        <v>113</v>
      </c>
      <c r="CU21" s="1098">
        <v>381</v>
      </c>
      <c r="CV21" s="1098">
        <v>1376</v>
      </c>
      <c r="CW21" s="1098">
        <v>1120</v>
      </c>
      <c r="CX21" s="1098">
        <v>241</v>
      </c>
      <c r="CY21" s="1098">
        <v>225</v>
      </c>
      <c r="CZ21" s="1098">
        <v>111</v>
      </c>
      <c r="DA21" s="1097">
        <f t="shared" si="112"/>
        <v>4926</v>
      </c>
      <c r="DB21" s="1098">
        <v>92</v>
      </c>
      <c r="DC21" s="1098">
        <v>45</v>
      </c>
      <c r="DD21" s="1098">
        <v>154</v>
      </c>
      <c r="DE21" s="1098">
        <v>310</v>
      </c>
      <c r="DF21" s="1098">
        <v>250</v>
      </c>
      <c r="DG21" s="1098">
        <v>39</v>
      </c>
      <c r="DH21" s="1098">
        <v>403</v>
      </c>
      <c r="DI21" s="1098">
        <v>997</v>
      </c>
      <c r="DJ21" s="1098">
        <v>1199</v>
      </c>
      <c r="DK21" s="1098">
        <v>434</v>
      </c>
      <c r="DL21" s="1098">
        <v>157</v>
      </c>
      <c r="DM21" s="1098">
        <v>41</v>
      </c>
      <c r="DN21" s="1097">
        <f t="shared" si="125"/>
        <v>4121</v>
      </c>
      <c r="DO21" s="1098">
        <v>34</v>
      </c>
      <c r="DP21" s="1098">
        <v>49</v>
      </c>
      <c r="DQ21" s="1098">
        <v>374</v>
      </c>
      <c r="DR21" s="1098">
        <v>236</v>
      </c>
      <c r="DS21" s="1098">
        <v>204</v>
      </c>
      <c r="DT21" s="1098">
        <v>54</v>
      </c>
      <c r="DU21" s="1098">
        <v>122</v>
      </c>
      <c r="DV21" s="1098">
        <v>1094</v>
      </c>
      <c r="DW21" s="1098">
        <v>1075</v>
      </c>
      <c r="DX21" s="1098">
        <v>491</v>
      </c>
      <c r="DY21" s="1098">
        <v>207</v>
      </c>
      <c r="DZ21" s="1098">
        <v>217</v>
      </c>
      <c r="EA21" s="1097">
        <f t="shared" si="138"/>
        <v>4157</v>
      </c>
      <c r="EB21" s="1098">
        <v>71</v>
      </c>
      <c r="EC21" s="1098">
        <v>83</v>
      </c>
      <c r="ED21" s="1098">
        <v>87</v>
      </c>
      <c r="EE21" s="1098">
        <v>218</v>
      </c>
      <c r="EF21" s="1098">
        <v>174</v>
      </c>
      <c r="EG21" s="1098">
        <v>76</v>
      </c>
      <c r="EH21" s="1098">
        <v>1109</v>
      </c>
      <c r="EI21" s="1098">
        <v>829</v>
      </c>
      <c r="EJ21" s="1098">
        <v>755</v>
      </c>
      <c r="EK21" s="1098">
        <v>262</v>
      </c>
      <c r="EL21" s="1098">
        <v>194</v>
      </c>
      <c r="EM21" s="1098">
        <v>38</v>
      </c>
      <c r="EN21" s="1097">
        <f t="shared" si="151"/>
        <v>3896</v>
      </c>
      <c r="EO21" s="1098">
        <v>38</v>
      </c>
      <c r="EP21" s="1098">
        <v>15</v>
      </c>
      <c r="EQ21" s="1098">
        <v>32</v>
      </c>
      <c r="ER21" s="1098">
        <v>119</v>
      </c>
      <c r="ES21" s="1098">
        <v>130</v>
      </c>
      <c r="ET21" s="1098">
        <v>96</v>
      </c>
      <c r="EU21" s="1098">
        <v>143</v>
      </c>
      <c r="EV21" s="1098">
        <v>1035</v>
      </c>
      <c r="EW21" s="1098">
        <v>1001</v>
      </c>
      <c r="EX21" s="1098">
        <v>395</v>
      </c>
      <c r="EY21" s="1098">
        <v>170</v>
      </c>
      <c r="EZ21" s="1098">
        <v>161</v>
      </c>
      <c r="FA21" s="1097">
        <f t="shared" si="164"/>
        <v>3335</v>
      </c>
      <c r="FB21" s="1098">
        <v>65</v>
      </c>
      <c r="FC21" s="1098">
        <v>46</v>
      </c>
      <c r="FD21" s="1098">
        <v>104</v>
      </c>
      <c r="FE21" s="1098">
        <v>86</v>
      </c>
      <c r="FF21" s="1098">
        <v>70</v>
      </c>
      <c r="FG21" s="1098">
        <v>86</v>
      </c>
      <c r="FH21" s="1098">
        <v>101</v>
      </c>
      <c r="FI21" s="1098">
        <v>1301</v>
      </c>
      <c r="FJ21" s="1098">
        <v>847</v>
      </c>
      <c r="FK21" s="1098">
        <v>400</v>
      </c>
      <c r="FL21" s="1098">
        <v>109</v>
      </c>
      <c r="FM21" s="1098">
        <v>52</v>
      </c>
      <c r="FN21" s="1097">
        <f t="shared" si="177"/>
        <v>3267</v>
      </c>
      <c r="FO21" s="1098">
        <v>57</v>
      </c>
      <c r="FP21" s="1098">
        <v>63</v>
      </c>
      <c r="FQ21" s="1098">
        <v>110</v>
      </c>
      <c r="FR21" s="1098">
        <v>136</v>
      </c>
      <c r="FS21" s="1098">
        <v>117</v>
      </c>
      <c r="FT21" s="1098">
        <v>135</v>
      </c>
      <c r="FU21" s="1098">
        <v>468</v>
      </c>
      <c r="FV21" s="1098">
        <v>678</v>
      </c>
      <c r="FW21" s="1098">
        <v>680</v>
      </c>
      <c r="FX21" s="1098">
        <v>305</v>
      </c>
      <c r="FY21" s="1098">
        <v>177</v>
      </c>
      <c r="FZ21" s="1098">
        <v>112</v>
      </c>
      <c r="GA21" s="1097">
        <f t="shared" si="190"/>
        <v>3038</v>
      </c>
      <c r="GB21" s="1098">
        <v>50.2</v>
      </c>
      <c r="GC21" s="1098">
        <v>28.3</v>
      </c>
      <c r="GD21" s="1098">
        <v>119.69999999999999</v>
      </c>
      <c r="GE21" s="1098">
        <v>116.57700000000001</v>
      </c>
      <c r="GF21" s="1098">
        <v>100.87</v>
      </c>
      <c r="GG21" s="1098">
        <v>52.2</v>
      </c>
      <c r="GH21" s="1098">
        <v>453.11500000000001</v>
      </c>
      <c r="GI21" s="1098">
        <v>610.45799999999997</v>
      </c>
      <c r="GJ21" s="1098">
        <v>617.15700000000004</v>
      </c>
      <c r="GK21" s="1098">
        <v>438.9799999999999</v>
      </c>
      <c r="GL21" s="1098">
        <v>139.47900000000001</v>
      </c>
      <c r="GM21" s="1098">
        <v>73.179000000000002</v>
      </c>
      <c r="GN21" s="1097">
        <f t="shared" si="203"/>
        <v>2800.2150000000001</v>
      </c>
      <c r="GO21" s="1098">
        <v>86.460000000000022</v>
      </c>
      <c r="GP21" s="1098">
        <v>54.518999999999998</v>
      </c>
      <c r="GQ21" s="1098">
        <v>233.14</v>
      </c>
      <c r="GR21" s="1098">
        <v>202.53999999999996</v>
      </c>
      <c r="GS21" s="1098">
        <v>99.339999999999989</v>
      </c>
      <c r="GT21" s="1098">
        <v>85.399999999999991</v>
      </c>
      <c r="GU21" s="1098">
        <v>137.45499999999998</v>
      </c>
      <c r="GV21" s="1098">
        <v>1089.9789999999998</v>
      </c>
      <c r="GW21" s="1098">
        <v>1059.317</v>
      </c>
      <c r="GX21" s="1098">
        <v>521.07999999999993</v>
      </c>
      <c r="GY21" s="1098">
        <v>238.51899999999998</v>
      </c>
      <c r="GZ21" s="1098">
        <v>125.15900000000002</v>
      </c>
      <c r="HA21" s="1097">
        <f t="shared" si="216"/>
        <v>3932.9079999999994</v>
      </c>
      <c r="HB21" s="1098">
        <v>81.740000000000009</v>
      </c>
      <c r="HC21" s="1098">
        <v>49.589999999999996</v>
      </c>
      <c r="HD21" s="1098">
        <v>248.33999999999995</v>
      </c>
      <c r="HE21" s="1098">
        <v>216.48</v>
      </c>
      <c r="HF21" s="1098">
        <v>140.20000000000002</v>
      </c>
      <c r="HG21" s="1098">
        <v>86.420000000000016</v>
      </c>
      <c r="HH21" s="1098">
        <v>187.96</v>
      </c>
      <c r="HI21" s="1098">
        <v>489.74000000000007</v>
      </c>
      <c r="HJ21" s="1098">
        <v>991.44</v>
      </c>
      <c r="HK21" s="1098">
        <v>463.19999999999993</v>
      </c>
      <c r="HL21" s="1098">
        <v>228.3</v>
      </c>
      <c r="HM21" s="1098">
        <v>83.16</v>
      </c>
      <c r="HN21" s="1097">
        <f t="shared" si="229"/>
        <v>3266.5699999999997</v>
      </c>
      <c r="HO21" s="1098">
        <v>167.74</v>
      </c>
      <c r="HP21" s="1098">
        <v>143.76000000000002</v>
      </c>
      <c r="HQ21" s="1098">
        <v>461.54999999999995</v>
      </c>
      <c r="HR21" s="1098">
        <v>137.07999999999998</v>
      </c>
      <c r="HS21" s="1098">
        <v>65.08</v>
      </c>
      <c r="HT21" s="1098">
        <v>92.84</v>
      </c>
      <c r="HU21" s="1098">
        <v>252.68</v>
      </c>
      <c r="HV21" s="1098">
        <v>524.67999999999995</v>
      </c>
      <c r="HW21" s="1098">
        <v>1102.92</v>
      </c>
      <c r="HX21" s="1098">
        <v>532.6</v>
      </c>
      <c r="HY21" s="1098">
        <v>288.3</v>
      </c>
      <c r="HZ21" s="1098">
        <v>143.80000000000001</v>
      </c>
      <c r="IA21" s="1097">
        <f t="shared" si="242"/>
        <v>3913.03</v>
      </c>
      <c r="IB21" s="1098">
        <v>96.87</v>
      </c>
      <c r="IC21" s="1098">
        <v>37.409999999999997</v>
      </c>
      <c r="ID21" s="1098">
        <v>267.55999999999989</v>
      </c>
      <c r="IE21" s="1098">
        <v>182.3</v>
      </c>
      <c r="IF21" s="1098">
        <v>102.76</v>
      </c>
      <c r="IG21" s="1098">
        <v>17.88</v>
      </c>
      <c r="IH21" s="1098">
        <v>100.16</v>
      </c>
      <c r="II21" s="1098">
        <v>266.29000000000008</v>
      </c>
      <c r="IJ21" s="1098">
        <v>711.57</v>
      </c>
      <c r="IK21" s="1098">
        <v>404.27</v>
      </c>
      <c r="IL21" s="1098">
        <v>223.7</v>
      </c>
      <c r="IM21" s="1098">
        <v>69.3</v>
      </c>
      <c r="IN21" s="1097">
        <v>2480.0700000000002</v>
      </c>
      <c r="IO21" s="1098">
        <v>82.990000000000009</v>
      </c>
      <c r="IP21" s="1098">
        <v>12.81</v>
      </c>
      <c r="IQ21" s="1098">
        <v>173.54</v>
      </c>
      <c r="IR21" s="1098">
        <v>111.26</v>
      </c>
      <c r="IS21" s="1098">
        <v>83.179999999999993</v>
      </c>
      <c r="IT21" s="1098">
        <v>19.329999999999998</v>
      </c>
      <c r="IU21" s="1098">
        <v>34.720000000000013</v>
      </c>
      <c r="IV21" s="1098">
        <v>233.10000000000011</v>
      </c>
      <c r="IW21" s="1098">
        <v>596.48000000000013</v>
      </c>
      <c r="IX21" s="1098">
        <v>328.75000000000011</v>
      </c>
      <c r="IY21" s="1098">
        <v>216.6</v>
      </c>
      <c r="IZ21" s="1098">
        <v>114.76</v>
      </c>
      <c r="JA21" s="1097">
        <v>2007.5200000000002</v>
      </c>
      <c r="JB21" s="1098">
        <v>69.58</v>
      </c>
      <c r="JC21" s="1098">
        <v>10.1</v>
      </c>
      <c r="JD21" s="1098"/>
      <c r="JE21" s="1098"/>
      <c r="JF21" s="1098"/>
      <c r="JG21" s="1098"/>
      <c r="JH21" s="1098"/>
      <c r="JI21" s="1098"/>
      <c r="JJ21" s="1098"/>
      <c r="JK21" s="1098"/>
      <c r="JL21" s="1098"/>
      <c r="JM21" s="1098"/>
      <c r="JN21" s="1097">
        <f t="shared" si="281"/>
        <v>79.679999999999993</v>
      </c>
      <c r="JP21" s="1174">
        <f t="shared" si="305"/>
        <v>65.598845598845614</v>
      </c>
      <c r="JQ21" s="1175">
        <f t="shared" si="306"/>
        <v>-19.053897672243114</v>
      </c>
      <c r="JR21" s="1184">
        <f t="shared" si="307"/>
        <v>2480.0700000000002</v>
      </c>
      <c r="JS21" s="1185">
        <f t="shared" si="308"/>
        <v>2007.5200000000002</v>
      </c>
      <c r="JT21" s="1"/>
      <c r="JU21" s="1079">
        <f t="shared" si="309"/>
        <v>154236.78599999999</v>
      </c>
      <c r="JV21" s="1080" t="s">
        <v>567</v>
      </c>
      <c r="JW21" s="1081" t="str">
        <f t="shared" si="310"/>
        <v>OK</v>
      </c>
    </row>
    <row r="22" spans="1:283" ht="15" customHeight="1" x14ac:dyDescent="0.2">
      <c r="A22" s="1166" t="s">
        <v>568</v>
      </c>
      <c r="B22" s="1098">
        <v>19</v>
      </c>
      <c r="C22" s="1098">
        <v>21</v>
      </c>
      <c r="D22" s="1098">
        <v>29</v>
      </c>
      <c r="E22" s="1098">
        <v>32</v>
      </c>
      <c r="F22" s="1098">
        <v>31</v>
      </c>
      <c r="G22" s="1098">
        <v>30</v>
      </c>
      <c r="H22" s="1098">
        <v>27</v>
      </c>
      <c r="I22" s="1098">
        <v>24</v>
      </c>
      <c r="J22" s="1098">
        <v>22</v>
      </c>
      <c r="K22" s="1098">
        <v>18</v>
      </c>
      <c r="L22" s="1098">
        <v>18</v>
      </c>
      <c r="M22" s="1098">
        <v>23</v>
      </c>
      <c r="N22" s="1097">
        <f t="shared" si="21"/>
        <v>294</v>
      </c>
      <c r="O22" s="1098">
        <v>20</v>
      </c>
      <c r="P22" s="1098">
        <v>25</v>
      </c>
      <c r="Q22" s="1098">
        <v>33</v>
      </c>
      <c r="R22" s="1098">
        <v>33</v>
      </c>
      <c r="S22" s="1098">
        <v>26</v>
      </c>
      <c r="T22" s="1098">
        <v>27</v>
      </c>
      <c r="U22" s="1098">
        <v>25</v>
      </c>
      <c r="V22" s="1098">
        <v>28</v>
      </c>
      <c r="W22" s="1098">
        <v>24</v>
      </c>
      <c r="X22" s="1098">
        <v>24</v>
      </c>
      <c r="Y22" s="1098">
        <v>26</v>
      </c>
      <c r="Z22" s="1098">
        <v>25</v>
      </c>
      <c r="AA22" s="1097">
        <f t="shared" si="34"/>
        <v>316</v>
      </c>
      <c r="AB22" s="1098">
        <v>21</v>
      </c>
      <c r="AC22" s="1098">
        <v>27</v>
      </c>
      <c r="AD22" s="1098">
        <v>32</v>
      </c>
      <c r="AE22" s="1098">
        <v>38</v>
      </c>
      <c r="AF22" s="1098">
        <v>27</v>
      </c>
      <c r="AG22" s="1098">
        <v>23</v>
      </c>
      <c r="AH22" s="1098">
        <v>17</v>
      </c>
      <c r="AI22" s="1098">
        <v>31</v>
      </c>
      <c r="AJ22" s="1098">
        <v>25</v>
      </c>
      <c r="AK22" s="1098">
        <v>24</v>
      </c>
      <c r="AL22" s="1098">
        <v>23</v>
      </c>
      <c r="AM22" s="1098">
        <v>40</v>
      </c>
      <c r="AN22" s="1097">
        <f t="shared" si="47"/>
        <v>328</v>
      </c>
      <c r="AO22" s="1098">
        <v>19</v>
      </c>
      <c r="AP22" s="1098">
        <v>29</v>
      </c>
      <c r="AQ22" s="1098">
        <v>22</v>
      </c>
      <c r="AR22" s="1098">
        <v>21</v>
      </c>
      <c r="AS22" s="1098">
        <v>20</v>
      </c>
      <c r="AT22" s="1098">
        <v>18</v>
      </c>
      <c r="AU22" s="1098">
        <v>17</v>
      </c>
      <c r="AV22" s="1098">
        <v>15</v>
      </c>
      <c r="AW22" s="1098">
        <v>15</v>
      </c>
      <c r="AX22" s="1098">
        <v>15</v>
      </c>
      <c r="AY22" s="1098">
        <v>12</v>
      </c>
      <c r="AZ22" s="1098">
        <v>14</v>
      </c>
      <c r="BA22" s="1097">
        <f t="shared" si="60"/>
        <v>217</v>
      </c>
      <c r="BB22" s="1098">
        <v>22</v>
      </c>
      <c r="BC22" s="1098">
        <v>30</v>
      </c>
      <c r="BD22" s="1098">
        <v>29</v>
      </c>
      <c r="BE22" s="1098">
        <v>32</v>
      </c>
      <c r="BF22" s="1098">
        <v>41</v>
      </c>
      <c r="BG22" s="1098">
        <v>27</v>
      </c>
      <c r="BH22" s="1098">
        <v>40</v>
      </c>
      <c r="BI22" s="1098">
        <v>14</v>
      </c>
      <c r="BJ22" s="1098">
        <v>17</v>
      </c>
      <c r="BK22" s="1098">
        <v>22</v>
      </c>
      <c r="BL22" s="1098">
        <v>26</v>
      </c>
      <c r="BM22" s="1098">
        <v>819</v>
      </c>
      <c r="BN22" s="1097">
        <f t="shared" si="73"/>
        <v>1119</v>
      </c>
      <c r="BO22" s="1098">
        <v>24</v>
      </c>
      <c r="BP22" s="1098">
        <v>28</v>
      </c>
      <c r="BQ22" s="1098">
        <v>42</v>
      </c>
      <c r="BR22" s="1098">
        <v>49</v>
      </c>
      <c r="BS22" s="1098">
        <v>26</v>
      </c>
      <c r="BT22" s="1098">
        <v>23</v>
      </c>
      <c r="BU22" s="1098">
        <v>21</v>
      </c>
      <c r="BV22" s="1098">
        <v>18</v>
      </c>
      <c r="BW22" s="1098">
        <v>14</v>
      </c>
      <c r="BX22" s="1098">
        <v>13</v>
      </c>
      <c r="BY22" s="1098">
        <v>13</v>
      </c>
      <c r="BZ22" s="1098">
        <v>16</v>
      </c>
      <c r="CA22" s="1097">
        <f t="shared" si="86"/>
        <v>287</v>
      </c>
      <c r="CB22" s="1098">
        <v>24</v>
      </c>
      <c r="CC22" s="1098">
        <v>20</v>
      </c>
      <c r="CD22" s="1098">
        <v>20</v>
      </c>
      <c r="CE22" s="1098">
        <v>21</v>
      </c>
      <c r="CF22" s="1098">
        <v>16</v>
      </c>
      <c r="CG22" s="1098">
        <v>75</v>
      </c>
      <c r="CH22" s="1098">
        <v>15</v>
      </c>
      <c r="CI22" s="1098">
        <v>13</v>
      </c>
      <c r="CJ22" s="1098">
        <v>5</v>
      </c>
      <c r="CK22" s="1098">
        <v>5</v>
      </c>
      <c r="CL22" s="1098">
        <v>6</v>
      </c>
      <c r="CM22" s="1098">
        <v>5</v>
      </c>
      <c r="CN22" s="1097">
        <f t="shared" si="99"/>
        <v>225</v>
      </c>
      <c r="CO22" s="1098">
        <v>20.350000000000001</v>
      </c>
      <c r="CP22" s="1098">
        <v>29.8</v>
      </c>
      <c r="CQ22" s="1098">
        <v>34.6</v>
      </c>
      <c r="CR22" s="1098">
        <v>22.75</v>
      </c>
      <c r="CS22" s="1098">
        <v>25.5</v>
      </c>
      <c r="CT22" s="1098">
        <v>32.85</v>
      </c>
      <c r="CU22" s="1098">
        <v>25.55</v>
      </c>
      <c r="CV22" s="1098">
        <v>25.95</v>
      </c>
      <c r="CW22" s="1098">
        <v>22.55</v>
      </c>
      <c r="CX22" s="1098">
        <v>17.100000000000001</v>
      </c>
      <c r="CY22" s="1098">
        <v>20.65</v>
      </c>
      <c r="CZ22" s="1098">
        <v>19.7</v>
      </c>
      <c r="DA22" s="1097">
        <f t="shared" si="112"/>
        <v>297.34999999999997</v>
      </c>
      <c r="DB22" s="1098">
        <v>21</v>
      </c>
      <c r="DC22" s="1098">
        <v>32</v>
      </c>
      <c r="DD22" s="1098">
        <v>47</v>
      </c>
      <c r="DE22" s="1098">
        <v>33</v>
      </c>
      <c r="DF22" s="1098">
        <v>26</v>
      </c>
      <c r="DG22" s="1098">
        <v>23</v>
      </c>
      <c r="DH22" s="1098">
        <v>18</v>
      </c>
      <c r="DI22" s="1098">
        <v>16</v>
      </c>
      <c r="DJ22" s="1098">
        <v>16</v>
      </c>
      <c r="DK22" s="1098">
        <v>17</v>
      </c>
      <c r="DL22" s="1098">
        <v>17</v>
      </c>
      <c r="DM22" s="1098">
        <v>17</v>
      </c>
      <c r="DN22" s="1097">
        <f t="shared" si="125"/>
        <v>283</v>
      </c>
      <c r="DO22" s="1098">
        <v>15</v>
      </c>
      <c r="DP22" s="1098">
        <v>83</v>
      </c>
      <c r="DQ22" s="1098">
        <v>54</v>
      </c>
      <c r="DR22" s="1098">
        <v>5</v>
      </c>
      <c r="DS22" s="1098">
        <v>5</v>
      </c>
      <c r="DT22" s="1098">
        <v>6</v>
      </c>
      <c r="DU22" s="1098">
        <v>2</v>
      </c>
      <c r="DV22" s="1098">
        <v>1</v>
      </c>
      <c r="DW22" s="1098"/>
      <c r="DX22" s="1098">
        <v>1</v>
      </c>
      <c r="DY22" s="1098"/>
      <c r="DZ22" s="1098"/>
      <c r="EA22" s="1097">
        <f t="shared" si="138"/>
        <v>172</v>
      </c>
      <c r="EB22" s="1098">
        <v>1</v>
      </c>
      <c r="EC22" s="1098">
        <v>2</v>
      </c>
      <c r="ED22" s="1098">
        <v>3</v>
      </c>
      <c r="EE22" s="1098">
        <v>3</v>
      </c>
      <c r="EF22" s="1098">
        <v>5</v>
      </c>
      <c r="EG22" s="1098">
        <v>6</v>
      </c>
      <c r="EH22" s="1098">
        <v>1</v>
      </c>
      <c r="EI22" s="1098"/>
      <c r="EJ22" s="1098"/>
      <c r="EK22" s="1098"/>
      <c r="EL22" s="1098"/>
      <c r="EM22" s="1098"/>
      <c r="EN22" s="1097">
        <f t="shared" si="151"/>
        <v>21</v>
      </c>
      <c r="EO22" s="1098"/>
      <c r="EP22" s="1098">
        <v>2</v>
      </c>
      <c r="EQ22" s="1098">
        <v>2</v>
      </c>
      <c r="ER22" s="1098">
        <v>5</v>
      </c>
      <c r="ES22" s="1098">
        <v>6</v>
      </c>
      <c r="ET22" s="1098">
        <v>3</v>
      </c>
      <c r="EU22" s="1098"/>
      <c r="EV22" s="1098"/>
      <c r="EW22" s="1098"/>
      <c r="EX22" s="1098"/>
      <c r="EY22" s="1098">
        <v>1</v>
      </c>
      <c r="EZ22" s="1098">
        <v>1</v>
      </c>
      <c r="FA22" s="1097">
        <f t="shared" si="164"/>
        <v>20</v>
      </c>
      <c r="FB22" s="1098"/>
      <c r="FC22" s="1098">
        <v>2</v>
      </c>
      <c r="FD22" s="1098">
        <v>3</v>
      </c>
      <c r="FE22" s="1098">
        <v>2</v>
      </c>
      <c r="FF22" s="1098">
        <v>2</v>
      </c>
      <c r="FG22" s="1098">
        <v>1</v>
      </c>
      <c r="FH22" s="1098"/>
      <c r="FI22" s="1098"/>
      <c r="FJ22" s="1098"/>
      <c r="FK22" s="1098"/>
      <c r="FL22" s="1098"/>
      <c r="FM22" s="1098"/>
      <c r="FN22" s="1097">
        <f t="shared" si="177"/>
        <v>10</v>
      </c>
      <c r="FO22" s="1098"/>
      <c r="FP22" s="1098"/>
      <c r="FQ22" s="1098">
        <v>3</v>
      </c>
      <c r="FR22" s="1098">
        <v>3</v>
      </c>
      <c r="FS22" s="1098">
        <v>2</v>
      </c>
      <c r="FT22" s="1098">
        <v>1</v>
      </c>
      <c r="FU22" s="1098">
        <v>1</v>
      </c>
      <c r="FV22" s="1098"/>
      <c r="FW22" s="1098"/>
      <c r="FX22" s="1098"/>
      <c r="FY22" s="1098"/>
      <c r="FZ22" s="1098"/>
      <c r="GA22" s="1097">
        <f t="shared" si="190"/>
        <v>10</v>
      </c>
      <c r="GB22" s="1098"/>
      <c r="GC22" s="1098">
        <v>2</v>
      </c>
      <c r="GD22" s="1098">
        <v>2</v>
      </c>
      <c r="GE22" s="1098">
        <v>1</v>
      </c>
      <c r="GF22" s="1098">
        <v>0.9</v>
      </c>
      <c r="GG22" s="1098"/>
      <c r="GH22" s="1098"/>
      <c r="GI22" s="1098"/>
      <c r="GJ22" s="1098">
        <v>7</v>
      </c>
      <c r="GK22" s="1098"/>
      <c r="GL22" s="1098"/>
      <c r="GM22" s="1098"/>
      <c r="GN22" s="1097">
        <f t="shared" si="203"/>
        <v>12.9</v>
      </c>
      <c r="GO22" s="1098"/>
      <c r="GP22" s="1098">
        <v>1.5</v>
      </c>
      <c r="GQ22" s="1098">
        <v>1.5</v>
      </c>
      <c r="GR22" s="1098">
        <v>2</v>
      </c>
      <c r="GS22" s="1098">
        <v>1.2</v>
      </c>
      <c r="GT22" s="1098">
        <v>0.7</v>
      </c>
      <c r="GU22" s="1098">
        <v>0.5</v>
      </c>
      <c r="GV22" s="1098">
        <v>1.1000000000000001</v>
      </c>
      <c r="GW22" s="1098">
        <v>0.9</v>
      </c>
      <c r="GX22" s="1098"/>
      <c r="GY22" s="1098"/>
      <c r="GZ22" s="1098"/>
      <c r="HA22" s="1097">
        <f t="shared" si="216"/>
        <v>9.4</v>
      </c>
      <c r="HB22" s="1098"/>
      <c r="HC22" s="1098">
        <v>1.2</v>
      </c>
      <c r="HD22" s="1098">
        <v>1.5</v>
      </c>
      <c r="HE22" s="1098">
        <v>3.5</v>
      </c>
      <c r="HF22" s="1098">
        <v>3</v>
      </c>
      <c r="HG22" s="1098">
        <v>3.5</v>
      </c>
      <c r="HH22" s="1098">
        <v>2.7</v>
      </c>
      <c r="HI22" s="1098">
        <v>2.5</v>
      </c>
      <c r="HJ22" s="1098">
        <v>2.2000000000000002</v>
      </c>
      <c r="HK22" s="1098">
        <v>1.2</v>
      </c>
      <c r="HL22" s="1098"/>
      <c r="HM22" s="1098"/>
      <c r="HN22" s="1097">
        <f t="shared" si="229"/>
        <v>21.299999999999997</v>
      </c>
      <c r="HO22" s="1098"/>
      <c r="HP22" s="1098">
        <v>2</v>
      </c>
      <c r="HQ22" s="1098">
        <v>7</v>
      </c>
      <c r="HR22" s="1098">
        <v>9</v>
      </c>
      <c r="HS22" s="1098">
        <v>6</v>
      </c>
      <c r="HT22" s="1098"/>
      <c r="HU22" s="1098"/>
      <c r="HV22" s="1098"/>
      <c r="HW22" s="1098"/>
      <c r="HX22" s="1098"/>
      <c r="HY22" s="1098">
        <v>3</v>
      </c>
      <c r="HZ22" s="1098">
        <v>4</v>
      </c>
      <c r="IA22" s="1097">
        <f t="shared" si="242"/>
        <v>31</v>
      </c>
      <c r="IB22" s="1098">
        <v>3</v>
      </c>
      <c r="IC22" s="1098">
        <v>5</v>
      </c>
      <c r="ID22" s="1098">
        <v>8</v>
      </c>
      <c r="IE22" s="1098">
        <v>6</v>
      </c>
      <c r="IF22" s="1098">
        <v>7</v>
      </c>
      <c r="IG22" s="1098">
        <v>0</v>
      </c>
      <c r="IH22" s="1098">
        <v>0</v>
      </c>
      <c r="II22" s="1098">
        <v>0</v>
      </c>
      <c r="IJ22" s="1098">
        <v>0</v>
      </c>
      <c r="IK22" s="1098">
        <v>0</v>
      </c>
      <c r="IL22" s="1098">
        <v>3</v>
      </c>
      <c r="IM22" s="1098">
        <v>2</v>
      </c>
      <c r="IN22" s="1097">
        <v>34</v>
      </c>
      <c r="IO22" s="1098">
        <v>1</v>
      </c>
      <c r="IP22" s="1098">
        <v>2</v>
      </c>
      <c r="IQ22" s="1098">
        <v>5</v>
      </c>
      <c r="IR22" s="1098">
        <v>7</v>
      </c>
      <c r="IS22" s="1098">
        <v>5</v>
      </c>
      <c r="IT22" s="1098">
        <v>2</v>
      </c>
      <c r="IU22" s="1098">
        <v>1.5</v>
      </c>
      <c r="IV22" s="1098">
        <v>0</v>
      </c>
      <c r="IW22" s="1098">
        <v>0</v>
      </c>
      <c r="IX22" s="1098">
        <v>0</v>
      </c>
      <c r="IY22" s="1098">
        <v>3</v>
      </c>
      <c r="IZ22" s="1098">
        <v>2</v>
      </c>
      <c r="JA22" s="1097">
        <v>28.5</v>
      </c>
      <c r="JB22" s="1098">
        <v>0</v>
      </c>
      <c r="JC22" s="1098">
        <v>0</v>
      </c>
      <c r="JD22" s="1098"/>
      <c r="JE22" s="1098"/>
      <c r="JF22" s="1098"/>
      <c r="JG22" s="1098"/>
      <c r="JH22" s="1098"/>
      <c r="JI22" s="1098"/>
      <c r="JJ22" s="1098"/>
      <c r="JK22" s="1098"/>
      <c r="JL22" s="1098"/>
      <c r="JM22" s="1098"/>
      <c r="JN22" s="1097">
        <f t="shared" si="281"/>
        <v>0</v>
      </c>
      <c r="JP22" s="1174">
        <f t="shared" si="305"/>
        <v>0</v>
      </c>
      <c r="JQ22" s="1175">
        <f t="shared" si="306"/>
        <v>-16.176470588235293</v>
      </c>
      <c r="JR22" s="1184">
        <f t="shared" si="307"/>
        <v>34</v>
      </c>
      <c r="JS22" s="1185">
        <f t="shared" si="308"/>
        <v>28.5</v>
      </c>
      <c r="JT22" s="1"/>
      <c r="JU22" s="1079">
        <f t="shared" si="309"/>
        <v>7472.9</v>
      </c>
      <c r="JV22" s="1080" t="s">
        <v>568</v>
      </c>
      <c r="JW22" s="1081" t="str">
        <f t="shared" si="310"/>
        <v>OK</v>
      </c>
    </row>
    <row r="23" spans="1:283" ht="15" customHeight="1" x14ac:dyDescent="0.2">
      <c r="A23" s="1166" t="s">
        <v>137</v>
      </c>
      <c r="B23" s="1098">
        <v>253</v>
      </c>
      <c r="C23" s="1098">
        <v>442</v>
      </c>
      <c r="D23" s="1098">
        <v>644</v>
      </c>
      <c r="E23" s="1098">
        <v>806</v>
      </c>
      <c r="F23" s="1098">
        <v>867</v>
      </c>
      <c r="G23" s="1098">
        <v>747</v>
      </c>
      <c r="H23" s="1098">
        <v>568</v>
      </c>
      <c r="I23" s="1098">
        <v>366</v>
      </c>
      <c r="J23" s="1098">
        <v>169</v>
      </c>
      <c r="K23" s="1098">
        <v>128</v>
      </c>
      <c r="L23" s="1098">
        <v>110</v>
      </c>
      <c r="M23" s="1098">
        <v>185</v>
      </c>
      <c r="N23" s="1097">
        <f t="shared" si="21"/>
        <v>5285</v>
      </c>
      <c r="O23" s="1098">
        <v>263</v>
      </c>
      <c r="P23" s="1098">
        <v>518</v>
      </c>
      <c r="Q23" s="1098">
        <v>827</v>
      </c>
      <c r="R23" s="1098">
        <v>792</v>
      </c>
      <c r="S23" s="1098">
        <v>735</v>
      </c>
      <c r="T23" s="1098">
        <v>647</v>
      </c>
      <c r="U23" s="1098">
        <v>418</v>
      </c>
      <c r="V23" s="1098">
        <v>312</v>
      </c>
      <c r="W23" s="1098">
        <v>225</v>
      </c>
      <c r="X23" s="1098">
        <v>207</v>
      </c>
      <c r="Y23" s="1098">
        <v>192</v>
      </c>
      <c r="Z23" s="1098">
        <v>241</v>
      </c>
      <c r="AA23" s="1097">
        <f t="shared" si="34"/>
        <v>5377</v>
      </c>
      <c r="AB23" s="1098">
        <v>337</v>
      </c>
      <c r="AC23" s="1098">
        <v>541</v>
      </c>
      <c r="AD23" s="1098">
        <v>794</v>
      </c>
      <c r="AE23" s="1098">
        <v>858</v>
      </c>
      <c r="AF23" s="1098">
        <v>709</v>
      </c>
      <c r="AG23" s="1098">
        <v>570</v>
      </c>
      <c r="AH23" s="1098">
        <v>389</v>
      </c>
      <c r="AI23" s="1098">
        <v>310</v>
      </c>
      <c r="AJ23" s="1098">
        <v>591</v>
      </c>
      <c r="AK23" s="1098">
        <v>239</v>
      </c>
      <c r="AL23" s="1098">
        <v>267</v>
      </c>
      <c r="AM23" s="1098">
        <v>276</v>
      </c>
      <c r="AN23" s="1097">
        <f t="shared" si="47"/>
        <v>5881</v>
      </c>
      <c r="AO23" s="1098">
        <v>343</v>
      </c>
      <c r="AP23" s="1098">
        <v>487</v>
      </c>
      <c r="AQ23" s="1098">
        <v>890</v>
      </c>
      <c r="AR23" s="1098">
        <v>983</v>
      </c>
      <c r="AS23" s="1098">
        <v>768</v>
      </c>
      <c r="AT23" s="1098">
        <v>549</v>
      </c>
      <c r="AU23" s="1098">
        <v>348</v>
      </c>
      <c r="AV23" s="1098">
        <v>183</v>
      </c>
      <c r="AW23" s="1098">
        <v>186</v>
      </c>
      <c r="AX23" s="1098">
        <v>174</v>
      </c>
      <c r="AY23" s="1098">
        <v>158</v>
      </c>
      <c r="AZ23" s="1098">
        <v>195</v>
      </c>
      <c r="BA23" s="1097">
        <f t="shared" si="60"/>
        <v>5264</v>
      </c>
      <c r="BB23" s="1098">
        <v>372</v>
      </c>
      <c r="BC23" s="1098">
        <v>492</v>
      </c>
      <c r="BD23" s="1098">
        <v>559</v>
      </c>
      <c r="BE23" s="1098">
        <v>564</v>
      </c>
      <c r="BF23" s="1098">
        <v>642</v>
      </c>
      <c r="BG23" s="1098">
        <v>569</v>
      </c>
      <c r="BH23" s="1098">
        <v>465</v>
      </c>
      <c r="BI23" s="1098">
        <v>337</v>
      </c>
      <c r="BJ23" s="1098">
        <v>295</v>
      </c>
      <c r="BK23" s="1098">
        <v>357</v>
      </c>
      <c r="BL23" s="1098">
        <v>388</v>
      </c>
      <c r="BM23" s="1098">
        <v>373</v>
      </c>
      <c r="BN23" s="1097">
        <f t="shared" si="73"/>
        <v>5413</v>
      </c>
      <c r="BO23" s="1098">
        <v>369</v>
      </c>
      <c r="BP23" s="1098">
        <v>514</v>
      </c>
      <c r="BQ23" s="1098">
        <v>678</v>
      </c>
      <c r="BR23" s="1098">
        <v>831</v>
      </c>
      <c r="BS23" s="1098">
        <v>679</v>
      </c>
      <c r="BT23" s="1098">
        <v>490</v>
      </c>
      <c r="BU23" s="1098">
        <v>309</v>
      </c>
      <c r="BV23" s="1098">
        <v>204</v>
      </c>
      <c r="BW23" s="1098">
        <v>172</v>
      </c>
      <c r="BX23" s="1098">
        <v>178</v>
      </c>
      <c r="BY23" s="1098">
        <v>209</v>
      </c>
      <c r="BZ23" s="1098">
        <v>225</v>
      </c>
      <c r="CA23" s="1097">
        <f t="shared" si="86"/>
        <v>4858</v>
      </c>
      <c r="CB23" s="1098">
        <v>392</v>
      </c>
      <c r="CC23" s="1098">
        <v>537</v>
      </c>
      <c r="CD23" s="1098">
        <v>847</v>
      </c>
      <c r="CE23" s="1098">
        <v>1125</v>
      </c>
      <c r="CF23" s="1098">
        <v>891</v>
      </c>
      <c r="CG23" s="1098">
        <v>540</v>
      </c>
      <c r="CH23" s="1098">
        <v>391</v>
      </c>
      <c r="CI23" s="1098">
        <v>259</v>
      </c>
      <c r="CJ23" s="1098">
        <v>184</v>
      </c>
      <c r="CK23" s="1098">
        <v>208</v>
      </c>
      <c r="CL23" s="1098">
        <v>224</v>
      </c>
      <c r="CM23" s="1098">
        <v>231</v>
      </c>
      <c r="CN23" s="1097">
        <f t="shared" si="99"/>
        <v>5829</v>
      </c>
      <c r="CO23" s="1098">
        <v>373</v>
      </c>
      <c r="CP23" s="1098">
        <v>560</v>
      </c>
      <c r="CQ23" s="1098">
        <v>849</v>
      </c>
      <c r="CR23" s="1098">
        <v>1086</v>
      </c>
      <c r="CS23" s="1098">
        <v>993</v>
      </c>
      <c r="CT23" s="1098">
        <v>665</v>
      </c>
      <c r="CU23" s="1098">
        <v>423</v>
      </c>
      <c r="CV23" s="1098">
        <v>217</v>
      </c>
      <c r="CW23" s="1098">
        <v>164</v>
      </c>
      <c r="CX23" s="1098">
        <v>186</v>
      </c>
      <c r="CY23" s="1098">
        <v>292</v>
      </c>
      <c r="CZ23" s="1098">
        <v>226</v>
      </c>
      <c r="DA23" s="1097">
        <f t="shared" si="112"/>
        <v>6034</v>
      </c>
      <c r="DB23" s="1098">
        <v>391</v>
      </c>
      <c r="DC23" s="1098">
        <v>568</v>
      </c>
      <c r="DD23" s="1098">
        <v>752</v>
      </c>
      <c r="DE23" s="1098">
        <v>954</v>
      </c>
      <c r="DF23" s="1098">
        <v>1001</v>
      </c>
      <c r="DG23" s="1098">
        <v>624</v>
      </c>
      <c r="DH23" s="1098">
        <v>363</v>
      </c>
      <c r="DI23" s="1098">
        <v>253</v>
      </c>
      <c r="DJ23" s="1098">
        <v>185</v>
      </c>
      <c r="DK23" s="1098">
        <v>164</v>
      </c>
      <c r="DL23" s="1098">
        <v>231</v>
      </c>
      <c r="DM23" s="1098">
        <v>230</v>
      </c>
      <c r="DN23" s="1097">
        <f t="shared" si="125"/>
        <v>5716</v>
      </c>
      <c r="DO23" s="1098">
        <v>355</v>
      </c>
      <c r="DP23" s="1098">
        <v>542</v>
      </c>
      <c r="DQ23" s="1098">
        <v>965</v>
      </c>
      <c r="DR23" s="1098">
        <v>1004</v>
      </c>
      <c r="DS23" s="1098">
        <v>659</v>
      </c>
      <c r="DT23" s="1098">
        <v>428</v>
      </c>
      <c r="DU23" s="1098">
        <v>222</v>
      </c>
      <c r="DV23" s="1098">
        <v>175</v>
      </c>
      <c r="DW23" s="1098">
        <v>111</v>
      </c>
      <c r="DX23" s="1098">
        <v>140</v>
      </c>
      <c r="DY23" s="1098">
        <v>191</v>
      </c>
      <c r="DZ23" s="1098">
        <v>266</v>
      </c>
      <c r="EA23" s="1097">
        <f t="shared" si="138"/>
        <v>5058</v>
      </c>
      <c r="EB23" s="1098">
        <v>187</v>
      </c>
      <c r="EC23" s="1098">
        <v>365</v>
      </c>
      <c r="ED23" s="1098">
        <v>613</v>
      </c>
      <c r="EE23" s="1098">
        <v>1095</v>
      </c>
      <c r="EF23" s="1098">
        <v>913</v>
      </c>
      <c r="EG23" s="1098">
        <v>523</v>
      </c>
      <c r="EH23" s="1098">
        <v>236</v>
      </c>
      <c r="EI23" s="1098">
        <v>128</v>
      </c>
      <c r="EJ23" s="1098">
        <v>116</v>
      </c>
      <c r="EK23" s="1098">
        <v>131</v>
      </c>
      <c r="EL23" s="1098">
        <v>158</v>
      </c>
      <c r="EM23" s="1098">
        <v>181</v>
      </c>
      <c r="EN23" s="1097">
        <f t="shared" si="151"/>
        <v>4646</v>
      </c>
      <c r="EO23" s="1098">
        <v>200</v>
      </c>
      <c r="EP23" s="1098">
        <v>319</v>
      </c>
      <c r="EQ23" s="1098">
        <v>644</v>
      </c>
      <c r="ER23" s="1098">
        <v>1202</v>
      </c>
      <c r="ES23" s="1098">
        <v>803</v>
      </c>
      <c r="ET23" s="1098">
        <v>399</v>
      </c>
      <c r="EU23" s="1098">
        <v>208</v>
      </c>
      <c r="EV23" s="1098">
        <v>120</v>
      </c>
      <c r="EW23" s="1098">
        <v>108</v>
      </c>
      <c r="EX23" s="1098">
        <v>126</v>
      </c>
      <c r="EY23" s="1098">
        <v>166</v>
      </c>
      <c r="EZ23" s="1098">
        <v>216</v>
      </c>
      <c r="FA23" s="1097">
        <f t="shared" si="164"/>
        <v>4511</v>
      </c>
      <c r="FB23" s="1098">
        <v>227</v>
      </c>
      <c r="FC23" s="1098">
        <v>330</v>
      </c>
      <c r="FD23" s="1098">
        <v>681</v>
      </c>
      <c r="FE23" s="1098">
        <v>1031</v>
      </c>
      <c r="FF23" s="1098">
        <v>977</v>
      </c>
      <c r="FG23" s="1098">
        <v>545</v>
      </c>
      <c r="FH23" s="1098">
        <v>254</v>
      </c>
      <c r="FI23" s="1098">
        <v>188</v>
      </c>
      <c r="FJ23" s="1098">
        <v>138</v>
      </c>
      <c r="FK23" s="1098">
        <v>127</v>
      </c>
      <c r="FL23" s="1098">
        <v>161</v>
      </c>
      <c r="FM23" s="1098">
        <v>216</v>
      </c>
      <c r="FN23" s="1097">
        <f t="shared" si="177"/>
        <v>4875</v>
      </c>
      <c r="FO23" s="1098">
        <v>239</v>
      </c>
      <c r="FP23" s="1098">
        <v>316</v>
      </c>
      <c r="FQ23" s="1098">
        <v>480</v>
      </c>
      <c r="FR23" s="1098">
        <v>465</v>
      </c>
      <c r="FS23" s="1098">
        <v>455</v>
      </c>
      <c r="FT23" s="1098">
        <v>347</v>
      </c>
      <c r="FU23" s="1098">
        <v>175</v>
      </c>
      <c r="FV23" s="1098">
        <v>323</v>
      </c>
      <c r="FW23" s="1098">
        <v>107</v>
      </c>
      <c r="FX23" s="1098">
        <v>144</v>
      </c>
      <c r="FY23" s="1098">
        <v>203</v>
      </c>
      <c r="FZ23" s="1098">
        <v>215</v>
      </c>
      <c r="GA23" s="1097">
        <f t="shared" si="190"/>
        <v>3469</v>
      </c>
      <c r="GB23" s="1098">
        <v>344.97</v>
      </c>
      <c r="GC23" s="1098">
        <v>374.45</v>
      </c>
      <c r="GD23" s="1098">
        <v>607.5</v>
      </c>
      <c r="GE23" s="1098">
        <v>705.5</v>
      </c>
      <c r="GF23" s="1098">
        <v>608.4</v>
      </c>
      <c r="GG23" s="1098">
        <v>425.7</v>
      </c>
      <c r="GH23" s="1098">
        <v>316.2</v>
      </c>
      <c r="GI23" s="1098">
        <v>255.90000000000003</v>
      </c>
      <c r="GJ23" s="1098">
        <v>233.5</v>
      </c>
      <c r="GK23" s="1098">
        <v>233.15</v>
      </c>
      <c r="GL23" s="1098">
        <v>293</v>
      </c>
      <c r="GM23" s="1098">
        <v>345.3</v>
      </c>
      <c r="GN23" s="1097">
        <f t="shared" si="203"/>
        <v>4743.57</v>
      </c>
      <c r="GO23" s="1098">
        <v>381.5</v>
      </c>
      <c r="GP23" s="1098">
        <v>479.5</v>
      </c>
      <c r="GQ23" s="1098">
        <v>659</v>
      </c>
      <c r="GR23" s="1098">
        <v>740.8</v>
      </c>
      <c r="GS23" s="1098">
        <v>671.5</v>
      </c>
      <c r="GT23" s="1098">
        <v>419</v>
      </c>
      <c r="GU23" s="1098">
        <v>342.5</v>
      </c>
      <c r="GV23" s="1098">
        <v>289.5</v>
      </c>
      <c r="GW23" s="1098">
        <v>223.89999999999998</v>
      </c>
      <c r="GX23" s="1098">
        <v>232.59999999999997</v>
      </c>
      <c r="GY23" s="1098">
        <v>279.5</v>
      </c>
      <c r="GZ23" s="1098">
        <v>292.25</v>
      </c>
      <c r="HA23" s="1097">
        <f t="shared" si="216"/>
        <v>5011.55</v>
      </c>
      <c r="HB23" s="1098">
        <v>328</v>
      </c>
      <c r="HC23" s="1098">
        <v>420.9</v>
      </c>
      <c r="HD23" s="1098">
        <v>654.79999999999995</v>
      </c>
      <c r="HE23" s="1098">
        <v>750.5</v>
      </c>
      <c r="HF23" s="1098">
        <v>576</v>
      </c>
      <c r="HG23" s="1098">
        <v>420.5</v>
      </c>
      <c r="HH23" s="1098">
        <v>305.5</v>
      </c>
      <c r="HI23" s="1098">
        <v>204.8</v>
      </c>
      <c r="HJ23" s="1098">
        <v>194.6</v>
      </c>
      <c r="HK23" s="1098">
        <v>206.4</v>
      </c>
      <c r="HL23" s="1098">
        <v>239</v>
      </c>
      <c r="HM23" s="1098">
        <v>289</v>
      </c>
      <c r="HN23" s="1097">
        <f t="shared" si="229"/>
        <v>4590</v>
      </c>
      <c r="HO23" s="1098">
        <v>351</v>
      </c>
      <c r="HP23" s="1098">
        <v>578.41</v>
      </c>
      <c r="HQ23" s="1098">
        <v>818</v>
      </c>
      <c r="HR23" s="1098">
        <v>841.5</v>
      </c>
      <c r="HS23" s="1098">
        <v>654.1</v>
      </c>
      <c r="HT23" s="1098">
        <v>517</v>
      </c>
      <c r="HU23" s="1098">
        <v>248</v>
      </c>
      <c r="HV23" s="1098">
        <v>127</v>
      </c>
      <c r="HW23" s="1098">
        <v>131.25</v>
      </c>
      <c r="HX23" s="1098">
        <v>221</v>
      </c>
      <c r="HY23" s="1098">
        <v>350.5</v>
      </c>
      <c r="HZ23" s="1098">
        <v>352.5</v>
      </c>
      <c r="IA23" s="1097">
        <f t="shared" si="242"/>
        <v>5190.26</v>
      </c>
      <c r="IB23" s="1098">
        <v>369</v>
      </c>
      <c r="IC23" s="1098">
        <v>615</v>
      </c>
      <c r="ID23" s="1098">
        <v>964.9</v>
      </c>
      <c r="IE23" s="1098">
        <v>972.7</v>
      </c>
      <c r="IF23" s="1098">
        <v>844.19999999999993</v>
      </c>
      <c r="IG23" s="1098">
        <v>609.5</v>
      </c>
      <c r="IH23" s="1098">
        <v>320</v>
      </c>
      <c r="II23" s="1098">
        <v>212.2</v>
      </c>
      <c r="IJ23" s="1098">
        <v>131.80000000000001</v>
      </c>
      <c r="IK23" s="1098">
        <v>196.3</v>
      </c>
      <c r="IL23" s="1098">
        <v>298.2</v>
      </c>
      <c r="IM23" s="1098">
        <v>549</v>
      </c>
      <c r="IN23" s="1097">
        <v>6082.8</v>
      </c>
      <c r="IO23" s="1098">
        <v>355</v>
      </c>
      <c r="IP23" s="1098">
        <v>581.70000000000005</v>
      </c>
      <c r="IQ23" s="1098">
        <v>752.65</v>
      </c>
      <c r="IR23" s="1098">
        <v>837.6</v>
      </c>
      <c r="IS23" s="1098">
        <v>725</v>
      </c>
      <c r="IT23" s="1098">
        <v>556</v>
      </c>
      <c r="IU23" s="1098">
        <v>419</v>
      </c>
      <c r="IV23" s="1098">
        <v>242.3</v>
      </c>
      <c r="IW23" s="1098">
        <v>228.44</v>
      </c>
      <c r="IX23" s="1098">
        <v>310.39999999999998</v>
      </c>
      <c r="IY23" s="1098">
        <v>407.5</v>
      </c>
      <c r="IZ23" s="1098">
        <v>618.5</v>
      </c>
      <c r="JA23" s="1097">
        <v>6034.0899999999992</v>
      </c>
      <c r="JB23" s="1098">
        <v>322</v>
      </c>
      <c r="JC23" s="1098">
        <v>601</v>
      </c>
      <c r="JD23" s="1098"/>
      <c r="JE23" s="1098"/>
      <c r="JF23" s="1098"/>
      <c r="JG23" s="1098"/>
      <c r="JH23" s="1098"/>
      <c r="JI23" s="1098"/>
      <c r="JJ23" s="1098"/>
      <c r="JK23" s="1098"/>
      <c r="JL23" s="1098"/>
      <c r="JM23" s="1098"/>
      <c r="JN23" s="1097">
        <f t="shared" si="281"/>
        <v>923</v>
      </c>
      <c r="JP23" s="1174">
        <f t="shared" si="305"/>
        <v>12.659380692167588</v>
      </c>
      <c r="JQ23" s="1175">
        <f t="shared" si="306"/>
        <v>-0.80078253435919011</v>
      </c>
      <c r="JR23" s="1184">
        <f t="shared" si="307"/>
        <v>6082.8</v>
      </c>
      <c r="JS23" s="1185">
        <f t="shared" si="308"/>
        <v>6034.0899999999992</v>
      </c>
      <c r="JT23" s="1"/>
      <c r="JU23" s="1079">
        <f t="shared" si="309"/>
        <v>209582.53999999998</v>
      </c>
      <c r="JV23" s="1080" t="s">
        <v>137</v>
      </c>
      <c r="JW23" s="1081" t="str">
        <f t="shared" si="310"/>
        <v>OK</v>
      </c>
    </row>
    <row r="24" spans="1:283" ht="15" customHeight="1" x14ac:dyDescent="0.2">
      <c r="A24" s="1166" t="s">
        <v>145</v>
      </c>
      <c r="B24" s="1098">
        <v>17405</v>
      </c>
      <c r="C24" s="1098">
        <v>21953</v>
      </c>
      <c r="D24" s="1098">
        <v>14499</v>
      </c>
      <c r="E24" s="1098">
        <v>2375</v>
      </c>
      <c r="F24" s="1098">
        <v>346</v>
      </c>
      <c r="G24" s="1098">
        <v>10518</v>
      </c>
      <c r="H24" s="1098">
        <v>38686</v>
      </c>
      <c r="I24" s="1098">
        <v>15408</v>
      </c>
      <c r="J24" s="1098">
        <v>806</v>
      </c>
      <c r="K24" s="1098">
        <v>1057</v>
      </c>
      <c r="L24" s="1098">
        <v>2269</v>
      </c>
      <c r="M24" s="1098">
        <v>1564</v>
      </c>
      <c r="N24" s="1097">
        <f t="shared" si="21"/>
        <v>126886</v>
      </c>
      <c r="O24" s="1098">
        <v>10808</v>
      </c>
      <c r="P24" s="1098">
        <v>27469</v>
      </c>
      <c r="Q24" s="1098">
        <v>4938</v>
      </c>
      <c r="R24" s="1098">
        <v>955</v>
      </c>
      <c r="S24" s="1098">
        <v>414</v>
      </c>
      <c r="T24" s="1098">
        <v>2513</v>
      </c>
      <c r="U24" s="1098">
        <v>27359</v>
      </c>
      <c r="V24" s="1098">
        <v>43045</v>
      </c>
      <c r="W24" s="1098">
        <v>1738</v>
      </c>
      <c r="X24" s="1098">
        <v>1123</v>
      </c>
      <c r="Y24" s="1098">
        <v>2730</v>
      </c>
      <c r="Z24" s="1098">
        <v>4212</v>
      </c>
      <c r="AA24" s="1097">
        <f t="shared" si="34"/>
        <v>127304</v>
      </c>
      <c r="AB24" s="1098">
        <v>11661</v>
      </c>
      <c r="AC24" s="1098">
        <v>36683</v>
      </c>
      <c r="AD24" s="1098">
        <v>11761</v>
      </c>
      <c r="AE24" s="1098">
        <v>356</v>
      </c>
      <c r="AF24" s="1098">
        <v>368</v>
      </c>
      <c r="AG24" s="1098">
        <v>3539</v>
      </c>
      <c r="AH24" s="1098">
        <v>39608</v>
      </c>
      <c r="AI24" s="1098">
        <v>21776</v>
      </c>
      <c r="AJ24" s="1098">
        <v>1005</v>
      </c>
      <c r="AK24" s="1098">
        <v>2096</v>
      </c>
      <c r="AL24" s="1098">
        <v>2524</v>
      </c>
      <c r="AM24" s="1098">
        <v>1551</v>
      </c>
      <c r="AN24" s="1097">
        <f t="shared" si="47"/>
        <v>132928</v>
      </c>
      <c r="AO24" s="1098">
        <v>8632</v>
      </c>
      <c r="AP24" s="1098">
        <v>31021</v>
      </c>
      <c r="AQ24" s="1098">
        <v>20710</v>
      </c>
      <c r="AR24" s="1098">
        <v>2283</v>
      </c>
      <c r="AS24" s="1098">
        <v>227</v>
      </c>
      <c r="AT24" s="1098">
        <v>2653</v>
      </c>
      <c r="AU24" s="1098">
        <v>28331</v>
      </c>
      <c r="AV24" s="1098">
        <v>21703</v>
      </c>
      <c r="AW24" s="1098">
        <v>1721</v>
      </c>
      <c r="AX24" s="1098">
        <v>3328</v>
      </c>
      <c r="AY24" s="1098">
        <v>3462</v>
      </c>
      <c r="AZ24" s="1098">
        <v>6913</v>
      </c>
      <c r="BA24" s="1097">
        <f t="shared" si="60"/>
        <v>130984</v>
      </c>
      <c r="BB24" s="1098">
        <v>12238</v>
      </c>
      <c r="BC24" s="1098">
        <v>16850</v>
      </c>
      <c r="BD24" s="1098">
        <v>12561</v>
      </c>
      <c r="BE24" s="1098">
        <v>900</v>
      </c>
      <c r="BF24" s="1098">
        <v>245</v>
      </c>
      <c r="BG24" s="1098">
        <v>10376</v>
      </c>
      <c r="BH24" s="1098">
        <v>15893</v>
      </c>
      <c r="BI24" s="1098">
        <v>16478</v>
      </c>
      <c r="BJ24" s="1098">
        <v>4575</v>
      </c>
      <c r="BK24" s="1098">
        <v>4947</v>
      </c>
      <c r="BL24" s="1098">
        <v>4661</v>
      </c>
      <c r="BM24" s="1098">
        <v>2137</v>
      </c>
      <c r="BN24" s="1097">
        <f t="shared" si="73"/>
        <v>101861</v>
      </c>
      <c r="BO24" s="1098">
        <v>12221</v>
      </c>
      <c r="BP24" s="1098">
        <v>28108</v>
      </c>
      <c r="BQ24" s="1098">
        <v>11988</v>
      </c>
      <c r="BR24" s="1098">
        <v>742</v>
      </c>
      <c r="BS24" s="1098">
        <v>216</v>
      </c>
      <c r="BT24" s="1098">
        <v>6549</v>
      </c>
      <c r="BU24" s="1098">
        <v>17199</v>
      </c>
      <c r="BV24" s="1098">
        <v>11745</v>
      </c>
      <c r="BW24" s="1098">
        <v>2134</v>
      </c>
      <c r="BX24" s="1098">
        <v>3823</v>
      </c>
      <c r="BY24" s="1098">
        <v>5480</v>
      </c>
      <c r="BZ24" s="1098">
        <v>4234</v>
      </c>
      <c r="CA24" s="1097">
        <f t="shared" si="86"/>
        <v>104439</v>
      </c>
      <c r="CB24" s="1098">
        <v>19468</v>
      </c>
      <c r="CC24" s="1098">
        <v>34550</v>
      </c>
      <c r="CD24" s="1098">
        <v>10734</v>
      </c>
      <c r="CE24" s="1098">
        <v>356</v>
      </c>
      <c r="CF24" s="1098">
        <v>4062</v>
      </c>
      <c r="CG24" s="1098">
        <v>8095</v>
      </c>
      <c r="CH24" s="1098">
        <v>20424</v>
      </c>
      <c r="CI24" s="1098">
        <v>11891</v>
      </c>
      <c r="CJ24" s="1098">
        <v>2619</v>
      </c>
      <c r="CK24" s="1098">
        <v>2269</v>
      </c>
      <c r="CL24" s="1098">
        <v>4428</v>
      </c>
      <c r="CM24" s="1098">
        <v>4055</v>
      </c>
      <c r="CN24" s="1097">
        <f t="shared" si="99"/>
        <v>122951</v>
      </c>
      <c r="CO24" s="1098">
        <v>12227</v>
      </c>
      <c r="CP24" s="1098">
        <v>27199</v>
      </c>
      <c r="CQ24" s="1098">
        <v>18987</v>
      </c>
      <c r="CR24" s="1098">
        <v>348</v>
      </c>
      <c r="CS24" s="1098">
        <v>4514</v>
      </c>
      <c r="CT24" s="1098">
        <v>16725</v>
      </c>
      <c r="CU24" s="1098">
        <v>15322</v>
      </c>
      <c r="CV24" s="1098">
        <v>18458</v>
      </c>
      <c r="CW24" s="1098">
        <v>594</v>
      </c>
      <c r="CX24" s="1098">
        <v>2054</v>
      </c>
      <c r="CY24" s="1098">
        <v>2793</v>
      </c>
      <c r="CZ24" s="1098">
        <v>1768</v>
      </c>
      <c r="DA24" s="1097">
        <f t="shared" si="112"/>
        <v>120989</v>
      </c>
      <c r="DB24" s="1098">
        <v>16221</v>
      </c>
      <c r="DC24" s="1098">
        <v>29140</v>
      </c>
      <c r="DD24" s="1098">
        <v>13091</v>
      </c>
      <c r="DE24" s="1098">
        <v>1803</v>
      </c>
      <c r="DF24" s="1098">
        <v>4110</v>
      </c>
      <c r="DG24" s="1098">
        <v>16961</v>
      </c>
      <c r="DH24" s="1098">
        <v>23786</v>
      </c>
      <c r="DI24" s="1098">
        <v>11618</v>
      </c>
      <c r="DJ24" s="1098">
        <v>1448</v>
      </c>
      <c r="DK24" s="1098">
        <v>2248</v>
      </c>
      <c r="DL24" s="1098">
        <v>2835</v>
      </c>
      <c r="DM24" s="1098">
        <v>2006</v>
      </c>
      <c r="DN24" s="1097">
        <f t="shared" si="125"/>
        <v>125267</v>
      </c>
      <c r="DO24" s="1098">
        <v>14681</v>
      </c>
      <c r="DP24" s="1098">
        <v>16745</v>
      </c>
      <c r="DQ24" s="1098">
        <v>12028</v>
      </c>
      <c r="DR24" s="1098">
        <v>4736</v>
      </c>
      <c r="DS24" s="1098">
        <v>7086</v>
      </c>
      <c r="DT24" s="1098">
        <v>16294</v>
      </c>
      <c r="DU24" s="1098">
        <v>19177</v>
      </c>
      <c r="DV24" s="1098">
        <v>15617</v>
      </c>
      <c r="DW24" s="1098">
        <v>6737</v>
      </c>
      <c r="DX24" s="1098">
        <v>3027</v>
      </c>
      <c r="DY24" s="1098">
        <v>2545</v>
      </c>
      <c r="DZ24" s="1098">
        <v>3560</v>
      </c>
      <c r="EA24" s="1097">
        <f t="shared" si="138"/>
        <v>122233</v>
      </c>
      <c r="EB24" s="1098">
        <v>12500</v>
      </c>
      <c r="EC24" s="1098">
        <v>25905</v>
      </c>
      <c r="ED24" s="1098">
        <v>4620</v>
      </c>
      <c r="EE24" s="1098">
        <v>458</v>
      </c>
      <c r="EF24" s="1098">
        <v>2671</v>
      </c>
      <c r="EG24" s="1098">
        <v>16835</v>
      </c>
      <c r="EH24" s="1098">
        <v>16230</v>
      </c>
      <c r="EI24" s="1098">
        <v>11369</v>
      </c>
      <c r="EJ24" s="1098">
        <v>4286</v>
      </c>
      <c r="EK24" s="1098">
        <v>1915</v>
      </c>
      <c r="EL24" s="1098">
        <v>2543</v>
      </c>
      <c r="EM24" s="1098">
        <v>2934</v>
      </c>
      <c r="EN24" s="1097">
        <f t="shared" si="151"/>
        <v>102266</v>
      </c>
      <c r="EO24" s="1098">
        <v>11499</v>
      </c>
      <c r="EP24" s="1098">
        <v>15262</v>
      </c>
      <c r="EQ24" s="1098">
        <v>8270</v>
      </c>
      <c r="ER24" s="1098">
        <v>270</v>
      </c>
      <c r="ES24" s="1098">
        <v>2013</v>
      </c>
      <c r="ET24" s="1098">
        <v>15109</v>
      </c>
      <c r="EU24" s="1098">
        <v>17058</v>
      </c>
      <c r="EV24" s="1098">
        <v>11464</v>
      </c>
      <c r="EW24" s="1098">
        <v>4462</v>
      </c>
      <c r="EX24" s="1098">
        <v>1531</v>
      </c>
      <c r="EY24" s="1098">
        <v>2098</v>
      </c>
      <c r="EZ24" s="1098">
        <v>2791</v>
      </c>
      <c r="FA24" s="1097">
        <f t="shared" si="164"/>
        <v>91827</v>
      </c>
      <c r="FB24" s="1098">
        <v>12901</v>
      </c>
      <c r="FC24" s="1098">
        <v>24284</v>
      </c>
      <c r="FD24" s="1098">
        <v>13084</v>
      </c>
      <c r="FE24" s="1098">
        <v>298</v>
      </c>
      <c r="FF24" s="1098">
        <v>2860</v>
      </c>
      <c r="FG24" s="1098">
        <v>14248</v>
      </c>
      <c r="FH24" s="1098">
        <v>17913</v>
      </c>
      <c r="FI24" s="1098">
        <v>20397</v>
      </c>
      <c r="FJ24" s="1098">
        <v>744</v>
      </c>
      <c r="FK24" s="1098">
        <v>1016</v>
      </c>
      <c r="FL24" s="1098">
        <v>1510</v>
      </c>
      <c r="FM24" s="1098">
        <v>1197</v>
      </c>
      <c r="FN24" s="1097">
        <f t="shared" si="177"/>
        <v>110452</v>
      </c>
      <c r="FO24" s="1098">
        <v>14862</v>
      </c>
      <c r="FP24" s="1098">
        <v>26449</v>
      </c>
      <c r="FQ24" s="1098">
        <v>3851</v>
      </c>
      <c r="FR24" s="1098">
        <v>496</v>
      </c>
      <c r="FS24" s="1098">
        <v>4341</v>
      </c>
      <c r="FT24" s="1098">
        <v>19760</v>
      </c>
      <c r="FU24" s="1098">
        <v>28840</v>
      </c>
      <c r="FV24" s="1098">
        <v>3006</v>
      </c>
      <c r="FW24" s="1098">
        <v>3188</v>
      </c>
      <c r="FX24" s="1098">
        <v>1263</v>
      </c>
      <c r="FY24" s="1098">
        <v>2223</v>
      </c>
      <c r="FZ24" s="1098">
        <v>2631</v>
      </c>
      <c r="GA24" s="1097">
        <f t="shared" si="190"/>
        <v>110910</v>
      </c>
      <c r="GB24" s="1098">
        <v>18932</v>
      </c>
      <c r="GC24" s="1098">
        <v>35962.239000000001</v>
      </c>
      <c r="GD24" s="1098">
        <v>5014.6000000000004</v>
      </c>
      <c r="GE24" s="1098">
        <v>923</v>
      </c>
      <c r="GF24" s="1098">
        <v>7667</v>
      </c>
      <c r="GG24" s="1098">
        <v>15568</v>
      </c>
      <c r="GH24" s="1098">
        <v>24222</v>
      </c>
      <c r="GI24" s="1098">
        <v>10350.9</v>
      </c>
      <c r="GJ24" s="1098">
        <v>1924</v>
      </c>
      <c r="GK24" s="1098">
        <v>2362.4</v>
      </c>
      <c r="GL24" s="1098">
        <v>1230</v>
      </c>
      <c r="GM24" s="1098">
        <v>2671</v>
      </c>
      <c r="GN24" s="1097">
        <f t="shared" si="203"/>
        <v>126827.139</v>
      </c>
      <c r="GO24" s="1098">
        <v>19730</v>
      </c>
      <c r="GP24" s="1098">
        <v>31993</v>
      </c>
      <c r="GQ24" s="1098">
        <v>2647</v>
      </c>
      <c r="GR24" s="1098">
        <v>4296</v>
      </c>
      <c r="GS24" s="1098">
        <v>11394.5</v>
      </c>
      <c r="GT24" s="1098">
        <v>25545.5</v>
      </c>
      <c r="GU24" s="1098">
        <v>23860</v>
      </c>
      <c r="GV24" s="1098">
        <v>4870</v>
      </c>
      <c r="GW24" s="1098">
        <v>2245</v>
      </c>
      <c r="GX24" s="1098">
        <v>2511</v>
      </c>
      <c r="GY24" s="1098">
        <v>12103</v>
      </c>
      <c r="GZ24" s="1098">
        <v>15201.5</v>
      </c>
      <c r="HA24" s="1097">
        <f t="shared" si="216"/>
        <v>156396.5</v>
      </c>
      <c r="HB24" s="1098">
        <v>44227</v>
      </c>
      <c r="HC24" s="1098">
        <v>20523</v>
      </c>
      <c r="HD24" s="1098">
        <v>3445</v>
      </c>
      <c r="HE24" s="1098">
        <v>1204</v>
      </c>
      <c r="HF24" s="1098">
        <v>4886.5</v>
      </c>
      <c r="HG24" s="1098">
        <v>28685.5</v>
      </c>
      <c r="HH24" s="1098">
        <v>36323.9</v>
      </c>
      <c r="HI24" s="1098">
        <v>8887.2999999999993</v>
      </c>
      <c r="HJ24" s="1098">
        <v>1605.1</v>
      </c>
      <c r="HK24" s="1098">
        <v>3186</v>
      </c>
      <c r="HL24" s="1098">
        <v>6792</v>
      </c>
      <c r="HM24" s="1098">
        <v>15951.5</v>
      </c>
      <c r="HN24" s="1097">
        <f t="shared" si="229"/>
        <v>175716.8</v>
      </c>
      <c r="HO24" s="1098">
        <v>56834</v>
      </c>
      <c r="HP24" s="1098">
        <v>33842</v>
      </c>
      <c r="HQ24" s="1098">
        <v>6310</v>
      </c>
      <c r="HR24" s="1098">
        <v>4411</v>
      </c>
      <c r="HS24" s="1098">
        <v>12751.5</v>
      </c>
      <c r="HT24" s="1098">
        <v>58640</v>
      </c>
      <c r="HU24" s="1098">
        <v>47907</v>
      </c>
      <c r="HV24" s="1098">
        <v>6104</v>
      </c>
      <c r="HW24" s="1098">
        <v>5578</v>
      </c>
      <c r="HX24" s="1098">
        <v>4636.8999999999996</v>
      </c>
      <c r="HY24" s="1098">
        <v>8812</v>
      </c>
      <c r="HZ24" s="1098">
        <v>18578.5</v>
      </c>
      <c r="IA24" s="1097">
        <f t="shared" si="242"/>
        <v>264404.90000000002</v>
      </c>
      <c r="IB24" s="1098">
        <v>43395</v>
      </c>
      <c r="IC24" s="1098">
        <v>34863</v>
      </c>
      <c r="ID24" s="1098">
        <v>6355</v>
      </c>
      <c r="IE24" s="1098">
        <v>2027.4</v>
      </c>
      <c r="IF24" s="1098">
        <v>12905.8</v>
      </c>
      <c r="IG24" s="1098">
        <v>54684.5</v>
      </c>
      <c r="IH24" s="1098">
        <v>50932.3</v>
      </c>
      <c r="II24" s="1098">
        <v>14992.5</v>
      </c>
      <c r="IJ24" s="1098">
        <v>1572.1</v>
      </c>
      <c r="IK24" s="1098">
        <v>1869.2</v>
      </c>
      <c r="IL24" s="1098">
        <v>2055.11</v>
      </c>
      <c r="IM24" s="1098">
        <v>5572</v>
      </c>
      <c r="IN24" s="1097">
        <v>231223.91</v>
      </c>
      <c r="IO24" s="1098">
        <v>28425.4</v>
      </c>
      <c r="IP24" s="1098">
        <v>20696.5</v>
      </c>
      <c r="IQ24" s="1098">
        <v>18262</v>
      </c>
      <c r="IR24" s="1098">
        <v>1785</v>
      </c>
      <c r="IS24" s="1098">
        <v>9640.6</v>
      </c>
      <c r="IT24" s="1098">
        <v>57410</v>
      </c>
      <c r="IU24" s="1098">
        <v>49531.5</v>
      </c>
      <c r="IV24" s="1098">
        <v>18246.5</v>
      </c>
      <c r="IW24" s="1098">
        <v>2142.5</v>
      </c>
      <c r="IX24" s="1098">
        <v>2456.25</v>
      </c>
      <c r="IY24" s="1098">
        <v>2142</v>
      </c>
      <c r="IZ24" s="1098">
        <v>7975.3499999999995</v>
      </c>
      <c r="JA24" s="1097">
        <v>218713.60000000001</v>
      </c>
      <c r="JB24" s="1098">
        <v>44328.3</v>
      </c>
      <c r="JC24" s="1098">
        <v>24427.599999999999</v>
      </c>
      <c r="JD24" s="1098"/>
      <c r="JE24" s="1098"/>
      <c r="JF24" s="1098"/>
      <c r="JG24" s="1098"/>
      <c r="JH24" s="1098"/>
      <c r="JI24" s="1098"/>
      <c r="JJ24" s="1098"/>
      <c r="JK24" s="1098"/>
      <c r="JL24" s="1098"/>
      <c r="JM24" s="1098"/>
      <c r="JN24" s="1097">
        <f t="shared" si="281"/>
        <v>68755.899999999994</v>
      </c>
      <c r="JP24" s="1174">
        <f t="shared" si="305"/>
        <v>43.132627422828421</v>
      </c>
      <c r="JQ24" s="1175">
        <f t="shared" si="306"/>
        <v>-5.4104742022570207</v>
      </c>
      <c r="JR24" s="1184">
        <f t="shared" si="307"/>
        <v>231223.91</v>
      </c>
      <c r="JS24" s="1185">
        <f t="shared" si="308"/>
        <v>218713.60000000001</v>
      </c>
      <c r="JT24" s="1"/>
      <c r="JU24" s="1079">
        <f t="shared" si="309"/>
        <v>5746671.4979999997</v>
      </c>
      <c r="JV24" s="1080" t="s">
        <v>145</v>
      </c>
      <c r="JW24" s="1081" t="str">
        <f t="shared" si="310"/>
        <v>OK</v>
      </c>
    </row>
    <row r="25" spans="1:283" ht="15" customHeight="1" x14ac:dyDescent="0.2">
      <c r="A25" s="1166" t="s">
        <v>140</v>
      </c>
      <c r="B25" s="1098">
        <v>9</v>
      </c>
      <c r="C25" s="1098">
        <v>45</v>
      </c>
      <c r="D25" s="1098">
        <v>185</v>
      </c>
      <c r="E25" s="1098">
        <v>313</v>
      </c>
      <c r="F25" s="1098">
        <v>361</v>
      </c>
      <c r="G25" s="1098">
        <v>278</v>
      </c>
      <c r="H25" s="1098">
        <v>201</v>
      </c>
      <c r="I25" s="1098">
        <v>96</v>
      </c>
      <c r="J25" s="1098">
        <v>26</v>
      </c>
      <c r="K25" s="1098">
        <v>4</v>
      </c>
      <c r="L25" s="1098"/>
      <c r="M25" s="1098"/>
      <c r="N25" s="1097">
        <f t="shared" si="21"/>
        <v>1518</v>
      </c>
      <c r="O25" s="1098">
        <v>18</v>
      </c>
      <c r="P25" s="1098">
        <v>54</v>
      </c>
      <c r="Q25" s="1098">
        <v>99</v>
      </c>
      <c r="R25" s="1098">
        <v>149</v>
      </c>
      <c r="S25" s="1098">
        <v>282</v>
      </c>
      <c r="T25" s="1098">
        <v>278</v>
      </c>
      <c r="U25" s="1098">
        <v>192</v>
      </c>
      <c r="V25" s="1098">
        <v>124</v>
      </c>
      <c r="W25" s="1098">
        <v>101</v>
      </c>
      <c r="X25" s="1098">
        <v>100</v>
      </c>
      <c r="Y25" s="1098">
        <v>76</v>
      </c>
      <c r="Z25" s="1098">
        <v>77</v>
      </c>
      <c r="AA25" s="1097">
        <f t="shared" si="34"/>
        <v>1550</v>
      </c>
      <c r="AB25" s="1098">
        <v>25</v>
      </c>
      <c r="AC25" s="1098">
        <v>53</v>
      </c>
      <c r="AD25" s="1098">
        <v>111</v>
      </c>
      <c r="AE25" s="1098">
        <v>201</v>
      </c>
      <c r="AF25" s="1098">
        <v>247</v>
      </c>
      <c r="AG25" s="1098">
        <v>247</v>
      </c>
      <c r="AH25" s="1098">
        <v>197</v>
      </c>
      <c r="AI25" s="1098">
        <v>141</v>
      </c>
      <c r="AJ25" s="1098">
        <v>118</v>
      </c>
      <c r="AK25" s="1098">
        <v>77</v>
      </c>
      <c r="AL25" s="1098">
        <v>41</v>
      </c>
      <c r="AM25" s="1098">
        <v>28</v>
      </c>
      <c r="AN25" s="1097">
        <f t="shared" si="47"/>
        <v>1486</v>
      </c>
      <c r="AO25" s="1098">
        <v>24</v>
      </c>
      <c r="AP25" s="1098">
        <v>66</v>
      </c>
      <c r="AQ25" s="1098">
        <v>86</v>
      </c>
      <c r="AR25" s="1098">
        <v>225</v>
      </c>
      <c r="AS25" s="1098">
        <v>251</v>
      </c>
      <c r="AT25" s="1098">
        <v>250</v>
      </c>
      <c r="AU25" s="1098">
        <v>153</v>
      </c>
      <c r="AV25" s="1098">
        <v>86</v>
      </c>
      <c r="AW25" s="1098">
        <v>68</v>
      </c>
      <c r="AX25" s="1098">
        <v>68</v>
      </c>
      <c r="AY25" s="1098">
        <v>26</v>
      </c>
      <c r="AZ25" s="1098">
        <v>52</v>
      </c>
      <c r="BA25" s="1097">
        <f t="shared" si="60"/>
        <v>1355</v>
      </c>
      <c r="BB25" s="1098">
        <v>33</v>
      </c>
      <c r="BC25" s="1098">
        <v>64</v>
      </c>
      <c r="BD25" s="1098">
        <v>50</v>
      </c>
      <c r="BE25" s="1098">
        <v>72</v>
      </c>
      <c r="BF25" s="1098">
        <v>136</v>
      </c>
      <c r="BG25" s="1098">
        <v>88</v>
      </c>
      <c r="BH25" s="1098">
        <v>133</v>
      </c>
      <c r="BI25" s="1098">
        <v>122</v>
      </c>
      <c r="BJ25" s="1098">
        <v>170</v>
      </c>
      <c r="BK25" s="1098">
        <v>188</v>
      </c>
      <c r="BL25" s="1098">
        <v>215</v>
      </c>
      <c r="BM25" s="1098">
        <v>159</v>
      </c>
      <c r="BN25" s="1097">
        <f t="shared" si="73"/>
        <v>1430</v>
      </c>
      <c r="BO25" s="1098">
        <v>46</v>
      </c>
      <c r="BP25" s="1098">
        <v>51</v>
      </c>
      <c r="BQ25" s="1098">
        <v>46</v>
      </c>
      <c r="BR25" s="1098">
        <v>48</v>
      </c>
      <c r="BS25" s="1098">
        <v>93</v>
      </c>
      <c r="BT25" s="1098">
        <v>62</v>
      </c>
      <c r="BU25" s="1098">
        <v>48</v>
      </c>
      <c r="BV25" s="1098">
        <v>19</v>
      </c>
      <c r="BW25" s="1098">
        <v>30</v>
      </c>
      <c r="BX25" s="1098">
        <v>70</v>
      </c>
      <c r="BY25" s="1098">
        <v>155</v>
      </c>
      <c r="BZ25" s="1098">
        <v>137</v>
      </c>
      <c r="CA25" s="1097">
        <f t="shared" si="86"/>
        <v>805</v>
      </c>
      <c r="CB25" s="1098">
        <v>33</v>
      </c>
      <c r="CC25" s="1098">
        <v>44</v>
      </c>
      <c r="CD25" s="1098">
        <v>75</v>
      </c>
      <c r="CE25" s="1098">
        <v>134</v>
      </c>
      <c r="CF25" s="1098">
        <v>233</v>
      </c>
      <c r="CG25" s="1098">
        <v>180</v>
      </c>
      <c r="CH25" s="1098">
        <v>101</v>
      </c>
      <c r="CI25" s="1098">
        <v>61</v>
      </c>
      <c r="CJ25" s="1098">
        <v>37</v>
      </c>
      <c r="CK25" s="1098">
        <v>106</v>
      </c>
      <c r="CL25" s="1098">
        <v>144</v>
      </c>
      <c r="CM25" s="1098">
        <v>54</v>
      </c>
      <c r="CN25" s="1097">
        <f t="shared" si="99"/>
        <v>1202</v>
      </c>
      <c r="CO25" s="1098">
        <v>31</v>
      </c>
      <c r="CP25" s="1098">
        <v>54</v>
      </c>
      <c r="CQ25" s="1098">
        <v>67</v>
      </c>
      <c r="CR25" s="1098">
        <v>73</v>
      </c>
      <c r="CS25" s="1098">
        <v>80</v>
      </c>
      <c r="CT25" s="1098">
        <v>140</v>
      </c>
      <c r="CU25" s="1098">
        <v>106</v>
      </c>
      <c r="CV25" s="1098">
        <v>87</v>
      </c>
      <c r="CW25" s="1098">
        <v>83</v>
      </c>
      <c r="CX25" s="1098">
        <v>102</v>
      </c>
      <c r="CY25" s="1098">
        <v>106</v>
      </c>
      <c r="CZ25" s="1098">
        <v>24</v>
      </c>
      <c r="DA25" s="1097">
        <f t="shared" si="112"/>
        <v>953</v>
      </c>
      <c r="DB25" s="1098">
        <v>46</v>
      </c>
      <c r="DC25" s="1098">
        <v>72</v>
      </c>
      <c r="DD25" s="1098">
        <v>43</v>
      </c>
      <c r="DE25" s="1098">
        <v>73</v>
      </c>
      <c r="DF25" s="1098">
        <v>112</v>
      </c>
      <c r="DG25" s="1098">
        <v>97</v>
      </c>
      <c r="DH25" s="1098">
        <v>108</v>
      </c>
      <c r="DI25" s="1098">
        <v>92</v>
      </c>
      <c r="DJ25" s="1098">
        <v>105</v>
      </c>
      <c r="DK25" s="1098">
        <v>106</v>
      </c>
      <c r="DL25" s="1098">
        <v>105</v>
      </c>
      <c r="DM25" s="1098">
        <v>71</v>
      </c>
      <c r="DN25" s="1097">
        <f t="shared" si="125"/>
        <v>1030</v>
      </c>
      <c r="DO25" s="1098">
        <v>34</v>
      </c>
      <c r="DP25" s="1098">
        <v>51</v>
      </c>
      <c r="DQ25" s="1098">
        <v>88</v>
      </c>
      <c r="DR25" s="1098">
        <v>125</v>
      </c>
      <c r="DS25" s="1098">
        <v>159</v>
      </c>
      <c r="DT25" s="1098">
        <v>33</v>
      </c>
      <c r="DU25" s="1098">
        <v>9</v>
      </c>
      <c r="DV25" s="1098">
        <v>5</v>
      </c>
      <c r="DW25" s="1098">
        <v>6</v>
      </c>
      <c r="DX25" s="1098">
        <v>6</v>
      </c>
      <c r="DY25" s="1098">
        <v>3</v>
      </c>
      <c r="DZ25" s="1098">
        <v>1</v>
      </c>
      <c r="EA25" s="1097">
        <f t="shared" si="138"/>
        <v>520</v>
      </c>
      <c r="EB25" s="1098">
        <v>15</v>
      </c>
      <c r="EC25" s="1098">
        <v>72</v>
      </c>
      <c r="ED25" s="1098">
        <v>54</v>
      </c>
      <c r="EE25" s="1098">
        <v>109</v>
      </c>
      <c r="EF25" s="1098">
        <v>140</v>
      </c>
      <c r="EG25" s="1098">
        <v>25</v>
      </c>
      <c r="EH25" s="1098">
        <v>11</v>
      </c>
      <c r="EI25" s="1098">
        <v>3</v>
      </c>
      <c r="EJ25" s="1098">
        <v>14</v>
      </c>
      <c r="EK25" s="1098">
        <v>8</v>
      </c>
      <c r="EL25" s="1098">
        <v>2</v>
      </c>
      <c r="EM25" s="1098">
        <v>2</v>
      </c>
      <c r="EN25" s="1097">
        <f t="shared" si="151"/>
        <v>455</v>
      </c>
      <c r="EO25" s="1098">
        <v>2</v>
      </c>
      <c r="EP25" s="1098">
        <v>50</v>
      </c>
      <c r="EQ25" s="1098">
        <v>39</v>
      </c>
      <c r="ER25" s="1098">
        <v>136</v>
      </c>
      <c r="ES25" s="1098">
        <v>79</v>
      </c>
      <c r="ET25" s="1098">
        <v>48</v>
      </c>
      <c r="EU25" s="1098">
        <v>24</v>
      </c>
      <c r="EV25" s="1098">
        <v>8</v>
      </c>
      <c r="EW25" s="1098">
        <v>9</v>
      </c>
      <c r="EX25" s="1098">
        <v>6</v>
      </c>
      <c r="EY25" s="1098">
        <v>5</v>
      </c>
      <c r="EZ25" s="1098">
        <v>5</v>
      </c>
      <c r="FA25" s="1097">
        <f t="shared" si="164"/>
        <v>411</v>
      </c>
      <c r="FB25" s="1098">
        <v>16</v>
      </c>
      <c r="FC25" s="1098">
        <v>48</v>
      </c>
      <c r="FD25" s="1098">
        <v>49</v>
      </c>
      <c r="FE25" s="1098">
        <v>127</v>
      </c>
      <c r="FF25" s="1098">
        <v>110</v>
      </c>
      <c r="FG25" s="1098">
        <v>28</v>
      </c>
      <c r="FH25" s="1098">
        <v>13</v>
      </c>
      <c r="FI25" s="1098">
        <v>13</v>
      </c>
      <c r="FJ25" s="1098">
        <v>15</v>
      </c>
      <c r="FK25" s="1098">
        <v>3</v>
      </c>
      <c r="FL25" s="1098">
        <v>5</v>
      </c>
      <c r="FM25" s="1098">
        <v>9</v>
      </c>
      <c r="FN25" s="1097">
        <f t="shared" si="177"/>
        <v>436</v>
      </c>
      <c r="FO25" s="1098">
        <v>17</v>
      </c>
      <c r="FP25" s="1098">
        <v>31</v>
      </c>
      <c r="FQ25" s="1098">
        <v>14</v>
      </c>
      <c r="FR25" s="1098">
        <v>39</v>
      </c>
      <c r="FS25" s="1098">
        <v>48</v>
      </c>
      <c r="FT25" s="1098">
        <v>23</v>
      </c>
      <c r="FU25" s="1098">
        <v>12</v>
      </c>
      <c r="FV25" s="1098">
        <v>6</v>
      </c>
      <c r="FW25" s="1098">
        <v>4</v>
      </c>
      <c r="FX25" s="1098">
        <v>4</v>
      </c>
      <c r="FY25" s="1098">
        <v>6</v>
      </c>
      <c r="FZ25" s="1098">
        <v>8</v>
      </c>
      <c r="GA25" s="1097">
        <f t="shared" si="190"/>
        <v>212</v>
      </c>
      <c r="GB25" s="1098">
        <v>35</v>
      </c>
      <c r="GC25" s="1098">
        <v>35</v>
      </c>
      <c r="GD25" s="1098">
        <v>24.5</v>
      </c>
      <c r="GE25" s="1098">
        <v>104</v>
      </c>
      <c r="GF25" s="1098">
        <v>101.5</v>
      </c>
      <c r="GG25" s="1098">
        <v>42.5</v>
      </c>
      <c r="GH25" s="1098">
        <v>25.5</v>
      </c>
      <c r="GI25" s="1098">
        <v>18</v>
      </c>
      <c r="GJ25" s="1098">
        <v>13</v>
      </c>
      <c r="GK25" s="1098">
        <v>19.5</v>
      </c>
      <c r="GL25" s="1098">
        <v>8.5</v>
      </c>
      <c r="GM25" s="1098">
        <v>7</v>
      </c>
      <c r="GN25" s="1097">
        <f t="shared" si="203"/>
        <v>434</v>
      </c>
      <c r="GO25" s="1098">
        <v>25</v>
      </c>
      <c r="GP25" s="1098">
        <v>42</v>
      </c>
      <c r="GQ25" s="1098">
        <v>35</v>
      </c>
      <c r="GR25" s="1098">
        <v>95</v>
      </c>
      <c r="GS25" s="1098">
        <v>105</v>
      </c>
      <c r="GT25" s="1098">
        <v>42</v>
      </c>
      <c r="GU25" s="1098">
        <v>38</v>
      </c>
      <c r="GV25" s="1098">
        <v>17</v>
      </c>
      <c r="GW25" s="1098">
        <v>10</v>
      </c>
      <c r="GX25" s="1098">
        <v>16</v>
      </c>
      <c r="GY25" s="1098">
        <v>8.8000000000000007</v>
      </c>
      <c r="GZ25" s="1098">
        <v>9.5</v>
      </c>
      <c r="HA25" s="1097">
        <f t="shared" si="216"/>
        <v>443.3</v>
      </c>
      <c r="HB25" s="1098">
        <v>24</v>
      </c>
      <c r="HC25" s="1098">
        <v>46</v>
      </c>
      <c r="HD25" s="1098">
        <v>48</v>
      </c>
      <c r="HE25" s="1098">
        <v>119</v>
      </c>
      <c r="HF25" s="1098">
        <v>122</v>
      </c>
      <c r="HG25" s="1098">
        <v>68</v>
      </c>
      <c r="HH25" s="1098">
        <v>65</v>
      </c>
      <c r="HI25" s="1098">
        <v>38.5</v>
      </c>
      <c r="HJ25" s="1098">
        <v>8</v>
      </c>
      <c r="HK25" s="1098">
        <v>12</v>
      </c>
      <c r="HL25" s="1098">
        <v>12</v>
      </c>
      <c r="HM25" s="1098">
        <v>8</v>
      </c>
      <c r="HN25" s="1097">
        <f t="shared" si="229"/>
        <v>570.5</v>
      </c>
      <c r="HO25" s="1098">
        <v>11</v>
      </c>
      <c r="HP25" s="1098">
        <v>35</v>
      </c>
      <c r="HQ25" s="1098">
        <v>35</v>
      </c>
      <c r="HR25" s="1098">
        <v>61</v>
      </c>
      <c r="HS25" s="1098">
        <v>111.5</v>
      </c>
      <c r="HT25" s="1098">
        <v>85</v>
      </c>
      <c r="HU25" s="1098">
        <v>61</v>
      </c>
      <c r="HV25" s="1098">
        <v>26</v>
      </c>
      <c r="HW25" s="1098">
        <v>6</v>
      </c>
      <c r="HX25" s="1098">
        <v>13.5</v>
      </c>
      <c r="HY25" s="1098">
        <v>17</v>
      </c>
      <c r="HZ25" s="1098">
        <v>24</v>
      </c>
      <c r="IA25" s="1097">
        <f t="shared" si="242"/>
        <v>486</v>
      </c>
      <c r="IB25" s="1098">
        <v>14</v>
      </c>
      <c r="IC25" s="1098">
        <v>33</v>
      </c>
      <c r="ID25" s="1098">
        <v>79</v>
      </c>
      <c r="IE25" s="1098">
        <v>110</v>
      </c>
      <c r="IF25" s="1098">
        <v>122</v>
      </c>
      <c r="IG25" s="1098">
        <v>91</v>
      </c>
      <c r="IH25" s="1098">
        <v>10</v>
      </c>
      <c r="II25" s="1098">
        <v>0</v>
      </c>
      <c r="IJ25" s="1098">
        <v>2</v>
      </c>
      <c r="IK25" s="1098">
        <v>2</v>
      </c>
      <c r="IL25" s="1098">
        <v>13</v>
      </c>
      <c r="IM25" s="1098">
        <v>11</v>
      </c>
      <c r="IN25" s="1097">
        <v>487</v>
      </c>
      <c r="IO25" s="1098">
        <v>2.5</v>
      </c>
      <c r="IP25" s="1098">
        <v>9</v>
      </c>
      <c r="IQ25" s="1098">
        <v>29</v>
      </c>
      <c r="IR25" s="1098">
        <v>37</v>
      </c>
      <c r="IS25" s="1098">
        <v>77</v>
      </c>
      <c r="IT25" s="1098">
        <v>61</v>
      </c>
      <c r="IU25" s="1098">
        <v>28</v>
      </c>
      <c r="IV25" s="1098">
        <v>0</v>
      </c>
      <c r="IW25" s="1098">
        <v>0</v>
      </c>
      <c r="IX25" s="1098">
        <v>0</v>
      </c>
      <c r="IY25" s="1098">
        <v>20</v>
      </c>
      <c r="IZ25" s="1098">
        <v>17</v>
      </c>
      <c r="JA25" s="1097">
        <v>280.5</v>
      </c>
      <c r="JB25" s="1098">
        <v>3</v>
      </c>
      <c r="JC25" s="1098">
        <v>13</v>
      </c>
      <c r="JD25" s="1098"/>
      <c r="JE25" s="1098"/>
      <c r="JF25" s="1098"/>
      <c r="JG25" s="1098"/>
      <c r="JH25" s="1098"/>
      <c r="JI25" s="1098"/>
      <c r="JJ25" s="1098"/>
      <c r="JK25" s="1098"/>
      <c r="JL25" s="1098"/>
      <c r="JM25" s="1098"/>
      <c r="JN25" s="1097">
        <f t="shared" si="281"/>
        <v>16</v>
      </c>
      <c r="JP25" s="1174">
        <f t="shared" si="305"/>
        <v>54.54545454545454</v>
      </c>
      <c r="JQ25" s="1175">
        <f t="shared" si="306"/>
        <v>-42.402464065708422</v>
      </c>
      <c r="JR25" s="1184">
        <f t="shared" si="307"/>
        <v>487</v>
      </c>
      <c r="JS25" s="1185">
        <f t="shared" si="308"/>
        <v>280.5</v>
      </c>
      <c r="JT25" s="1"/>
      <c r="JU25" s="1079">
        <f t="shared" si="309"/>
        <v>32160.6</v>
      </c>
      <c r="JV25" s="1080" t="s">
        <v>140</v>
      </c>
      <c r="JW25" s="1081" t="str">
        <f t="shared" si="310"/>
        <v>OK</v>
      </c>
    </row>
    <row r="26" spans="1:283" ht="15" customHeight="1" x14ac:dyDescent="0.2">
      <c r="A26" s="1166" t="s">
        <v>350</v>
      </c>
      <c r="B26" s="1098">
        <v>604</v>
      </c>
      <c r="C26" s="1098"/>
      <c r="D26" s="1098"/>
      <c r="E26" s="1098"/>
      <c r="F26" s="1098"/>
      <c r="G26" s="1098"/>
      <c r="H26" s="1098"/>
      <c r="I26" s="1098"/>
      <c r="J26" s="1098">
        <v>30</v>
      </c>
      <c r="K26" s="1098">
        <v>740</v>
      </c>
      <c r="L26" s="1098">
        <v>1226</v>
      </c>
      <c r="M26" s="1098">
        <v>818</v>
      </c>
      <c r="N26" s="1097">
        <f t="shared" si="21"/>
        <v>3418</v>
      </c>
      <c r="O26" s="1098">
        <v>447</v>
      </c>
      <c r="P26" s="1098"/>
      <c r="Q26" s="1098"/>
      <c r="R26" s="1098"/>
      <c r="S26" s="1098"/>
      <c r="T26" s="1098"/>
      <c r="U26" s="1098"/>
      <c r="V26" s="1098"/>
      <c r="W26" s="1098"/>
      <c r="X26" s="1098">
        <v>523</v>
      </c>
      <c r="Y26" s="1098">
        <v>1320</v>
      </c>
      <c r="Z26" s="1098">
        <v>1192</v>
      </c>
      <c r="AA26" s="1097">
        <f t="shared" si="34"/>
        <v>3482</v>
      </c>
      <c r="AB26" s="1098">
        <v>179</v>
      </c>
      <c r="AC26" s="1098">
        <v>10</v>
      </c>
      <c r="AD26" s="1098"/>
      <c r="AE26" s="1098"/>
      <c r="AF26" s="1098"/>
      <c r="AG26" s="1098"/>
      <c r="AH26" s="1098"/>
      <c r="AI26" s="1098"/>
      <c r="AJ26" s="1098"/>
      <c r="AK26" s="1098">
        <v>215</v>
      </c>
      <c r="AL26" s="1098">
        <v>2411</v>
      </c>
      <c r="AM26" s="1098">
        <v>756</v>
      </c>
      <c r="AN26" s="1097">
        <f t="shared" si="47"/>
        <v>3571</v>
      </c>
      <c r="AO26" s="1098">
        <v>142</v>
      </c>
      <c r="AP26" s="1098">
        <v>7</v>
      </c>
      <c r="AQ26" s="1098"/>
      <c r="AR26" s="1098"/>
      <c r="AS26" s="1098"/>
      <c r="AT26" s="1098"/>
      <c r="AU26" s="1098"/>
      <c r="AV26" s="1098"/>
      <c r="AW26" s="1098"/>
      <c r="AX26" s="1098">
        <v>82</v>
      </c>
      <c r="AY26" s="1098">
        <v>1076</v>
      </c>
      <c r="AZ26" s="1098">
        <v>605</v>
      </c>
      <c r="BA26" s="1097">
        <f t="shared" si="60"/>
        <v>1912</v>
      </c>
      <c r="BB26" s="1098">
        <v>88</v>
      </c>
      <c r="BC26" s="1098"/>
      <c r="BD26" s="1098"/>
      <c r="BE26" s="1098"/>
      <c r="BF26" s="1098"/>
      <c r="BG26" s="1098"/>
      <c r="BH26" s="1098"/>
      <c r="BI26" s="1098"/>
      <c r="BJ26" s="1098"/>
      <c r="BK26" s="1098">
        <v>363</v>
      </c>
      <c r="BL26" s="1098">
        <v>1280</v>
      </c>
      <c r="BM26" s="1098">
        <v>1001</v>
      </c>
      <c r="BN26" s="1097">
        <f t="shared" si="73"/>
        <v>2732</v>
      </c>
      <c r="BO26" s="1098">
        <v>120</v>
      </c>
      <c r="BP26" s="1098">
        <v>19</v>
      </c>
      <c r="BQ26" s="1098"/>
      <c r="BR26" s="1098">
        <v>2</v>
      </c>
      <c r="BS26" s="1098"/>
      <c r="BT26" s="1098"/>
      <c r="BU26" s="1098"/>
      <c r="BV26" s="1098"/>
      <c r="BW26" s="1098"/>
      <c r="BX26" s="1098"/>
      <c r="BY26" s="1098">
        <v>1014</v>
      </c>
      <c r="BZ26" s="1098">
        <v>747</v>
      </c>
      <c r="CA26" s="1097">
        <f t="shared" si="86"/>
        <v>1902</v>
      </c>
      <c r="CB26" s="1098">
        <v>116</v>
      </c>
      <c r="CC26" s="1098">
        <v>9</v>
      </c>
      <c r="CD26" s="1098"/>
      <c r="CE26" s="1098"/>
      <c r="CF26" s="1098"/>
      <c r="CG26" s="1098"/>
      <c r="CH26" s="1098"/>
      <c r="CI26" s="1098"/>
      <c r="CJ26" s="1098"/>
      <c r="CK26" s="1098">
        <v>236</v>
      </c>
      <c r="CL26" s="1098">
        <v>1085</v>
      </c>
      <c r="CM26" s="1098">
        <v>1417</v>
      </c>
      <c r="CN26" s="1097">
        <f t="shared" si="99"/>
        <v>2863</v>
      </c>
      <c r="CO26" s="1098">
        <v>136</v>
      </c>
      <c r="CP26" s="1098">
        <v>18</v>
      </c>
      <c r="CQ26" s="1098"/>
      <c r="CR26" s="1098"/>
      <c r="CS26" s="1098"/>
      <c r="CT26" s="1098"/>
      <c r="CU26" s="1098"/>
      <c r="CV26" s="1098">
        <v>30</v>
      </c>
      <c r="CW26" s="1098">
        <v>124</v>
      </c>
      <c r="CX26" s="1098">
        <v>420</v>
      </c>
      <c r="CY26" s="1098">
        <v>1177</v>
      </c>
      <c r="CZ26" s="1098">
        <v>844</v>
      </c>
      <c r="DA26" s="1097">
        <f t="shared" si="112"/>
        <v>2749</v>
      </c>
      <c r="DB26" s="1098">
        <v>102</v>
      </c>
      <c r="DC26" s="1098">
        <v>19</v>
      </c>
      <c r="DD26" s="1098"/>
      <c r="DE26" s="1098"/>
      <c r="DF26" s="1098"/>
      <c r="DG26" s="1098"/>
      <c r="DH26" s="1098"/>
      <c r="DI26" s="1098"/>
      <c r="DJ26" s="1098">
        <v>30</v>
      </c>
      <c r="DK26" s="1098">
        <v>209</v>
      </c>
      <c r="DL26" s="1098">
        <v>1145</v>
      </c>
      <c r="DM26" s="1098">
        <v>1350</v>
      </c>
      <c r="DN26" s="1097">
        <f t="shared" si="125"/>
        <v>2855</v>
      </c>
      <c r="DO26" s="1098">
        <v>149</v>
      </c>
      <c r="DP26" s="1098">
        <v>36</v>
      </c>
      <c r="DQ26" s="1098"/>
      <c r="DR26" s="1098"/>
      <c r="DS26" s="1098"/>
      <c r="DT26" s="1098"/>
      <c r="DU26" s="1098"/>
      <c r="DV26" s="1098"/>
      <c r="DW26" s="1098">
        <v>20</v>
      </c>
      <c r="DX26" s="1098">
        <v>284</v>
      </c>
      <c r="DY26" s="1098">
        <v>1019</v>
      </c>
      <c r="DZ26" s="1098">
        <v>1021</v>
      </c>
      <c r="EA26" s="1097">
        <f t="shared" si="138"/>
        <v>2529</v>
      </c>
      <c r="EB26" s="1098">
        <v>199</v>
      </c>
      <c r="EC26" s="1098">
        <v>85</v>
      </c>
      <c r="ED26" s="1098">
        <v>29</v>
      </c>
      <c r="EE26" s="1098"/>
      <c r="EF26" s="1098"/>
      <c r="EG26" s="1098"/>
      <c r="EH26" s="1098"/>
      <c r="EI26" s="1098"/>
      <c r="EJ26" s="1098">
        <v>31</v>
      </c>
      <c r="EK26" s="1098">
        <v>296</v>
      </c>
      <c r="EL26" s="1098">
        <v>874</v>
      </c>
      <c r="EM26" s="1098">
        <v>560</v>
      </c>
      <c r="EN26" s="1097">
        <f t="shared" si="151"/>
        <v>2074</v>
      </c>
      <c r="EO26" s="1098">
        <v>74</v>
      </c>
      <c r="EP26" s="1098">
        <v>107</v>
      </c>
      <c r="EQ26" s="1098">
        <v>20</v>
      </c>
      <c r="ER26" s="1098"/>
      <c r="ES26" s="1098"/>
      <c r="ET26" s="1098"/>
      <c r="EU26" s="1098"/>
      <c r="EV26" s="1098"/>
      <c r="EW26" s="1098"/>
      <c r="EX26" s="1098">
        <v>182</v>
      </c>
      <c r="EY26" s="1098">
        <v>522</v>
      </c>
      <c r="EZ26" s="1098">
        <v>376</v>
      </c>
      <c r="FA26" s="1097">
        <f t="shared" si="164"/>
        <v>1281</v>
      </c>
      <c r="FB26" s="1098">
        <v>65</v>
      </c>
      <c r="FC26" s="1098">
        <v>65</v>
      </c>
      <c r="FD26" s="1098"/>
      <c r="FE26" s="1098"/>
      <c r="FF26" s="1098"/>
      <c r="FG26" s="1098"/>
      <c r="FH26" s="1098"/>
      <c r="FI26" s="1098"/>
      <c r="FJ26" s="1098"/>
      <c r="FK26" s="1098">
        <v>216</v>
      </c>
      <c r="FL26" s="1098">
        <v>610</v>
      </c>
      <c r="FM26" s="1098">
        <v>270</v>
      </c>
      <c r="FN26" s="1097">
        <f t="shared" si="177"/>
        <v>1226</v>
      </c>
      <c r="FO26" s="1098">
        <v>71</v>
      </c>
      <c r="FP26" s="1098">
        <v>32</v>
      </c>
      <c r="FQ26" s="1098">
        <v>11</v>
      </c>
      <c r="FR26" s="1098"/>
      <c r="FS26" s="1098"/>
      <c r="FT26" s="1098"/>
      <c r="FU26" s="1098"/>
      <c r="FV26" s="1098"/>
      <c r="FW26" s="1098"/>
      <c r="FX26" s="1098">
        <v>172</v>
      </c>
      <c r="FY26" s="1098">
        <v>436</v>
      </c>
      <c r="FZ26" s="1098">
        <v>270</v>
      </c>
      <c r="GA26" s="1097">
        <f t="shared" si="190"/>
        <v>992</v>
      </c>
      <c r="GB26" s="1098">
        <v>96</v>
      </c>
      <c r="GC26" s="1098">
        <v>90</v>
      </c>
      <c r="GD26" s="1098">
        <v>67.400000000000006</v>
      </c>
      <c r="GE26" s="1098"/>
      <c r="GF26" s="1098"/>
      <c r="GG26" s="1098"/>
      <c r="GH26" s="1098"/>
      <c r="GI26" s="1098"/>
      <c r="GJ26" s="1098"/>
      <c r="GK26" s="1098">
        <v>227</v>
      </c>
      <c r="GL26" s="1098">
        <v>474</v>
      </c>
      <c r="GM26" s="1098">
        <v>364</v>
      </c>
      <c r="GN26" s="1097">
        <f t="shared" si="203"/>
        <v>1318.4</v>
      </c>
      <c r="GO26" s="1098">
        <v>140</v>
      </c>
      <c r="GP26" s="1098">
        <v>229</v>
      </c>
      <c r="GQ26" s="1098">
        <v>18</v>
      </c>
      <c r="GR26" s="1098"/>
      <c r="GS26" s="1098"/>
      <c r="GT26" s="1098"/>
      <c r="GU26" s="1098"/>
      <c r="GV26" s="1098"/>
      <c r="GW26" s="1098">
        <v>40</v>
      </c>
      <c r="GX26" s="1098">
        <v>295</v>
      </c>
      <c r="GY26" s="1098">
        <v>455</v>
      </c>
      <c r="GZ26" s="1098">
        <v>543</v>
      </c>
      <c r="HA26" s="1097">
        <f t="shared" si="216"/>
        <v>1720</v>
      </c>
      <c r="HB26" s="1098">
        <v>130.5</v>
      </c>
      <c r="HC26" s="1098">
        <v>200</v>
      </c>
      <c r="HD26" s="1098"/>
      <c r="HE26" s="1098"/>
      <c r="HF26" s="1098"/>
      <c r="HG26" s="1098"/>
      <c r="HH26" s="1098"/>
      <c r="HI26" s="1098"/>
      <c r="HJ26" s="1098">
        <v>38</v>
      </c>
      <c r="HK26" s="1098">
        <v>348</v>
      </c>
      <c r="HL26" s="1098">
        <v>421</v>
      </c>
      <c r="HM26" s="1098">
        <v>493</v>
      </c>
      <c r="HN26" s="1097">
        <f t="shared" si="229"/>
        <v>1630.5</v>
      </c>
      <c r="HO26" s="1098">
        <v>170</v>
      </c>
      <c r="HP26" s="1098">
        <v>198</v>
      </c>
      <c r="HQ26" s="1098">
        <v>18</v>
      </c>
      <c r="HR26" s="1098">
        <v>15</v>
      </c>
      <c r="HS26" s="1098"/>
      <c r="HT26" s="1098"/>
      <c r="HU26" s="1098"/>
      <c r="HV26" s="1098"/>
      <c r="HW26" s="1098">
        <v>52</v>
      </c>
      <c r="HX26" s="1098">
        <v>319</v>
      </c>
      <c r="HY26" s="1098">
        <v>397.5</v>
      </c>
      <c r="HZ26" s="1098">
        <v>434</v>
      </c>
      <c r="IA26" s="1097">
        <f t="shared" si="242"/>
        <v>1603.5</v>
      </c>
      <c r="IB26" s="1098">
        <v>166.5</v>
      </c>
      <c r="IC26" s="1098">
        <v>90</v>
      </c>
      <c r="ID26" s="1098">
        <v>33</v>
      </c>
      <c r="IE26" s="1098">
        <v>19</v>
      </c>
      <c r="IF26" s="1098">
        <v>0</v>
      </c>
      <c r="IG26" s="1098">
        <v>0</v>
      </c>
      <c r="IH26" s="1098">
        <v>0</v>
      </c>
      <c r="II26" s="1098">
        <v>0</v>
      </c>
      <c r="IJ26" s="1098">
        <v>0</v>
      </c>
      <c r="IK26" s="1098">
        <v>224</v>
      </c>
      <c r="IL26" s="1098">
        <v>425</v>
      </c>
      <c r="IM26" s="1098">
        <v>390</v>
      </c>
      <c r="IN26" s="1097">
        <v>1347.5</v>
      </c>
      <c r="IO26" s="1098">
        <v>339.5</v>
      </c>
      <c r="IP26" s="1098">
        <v>136</v>
      </c>
      <c r="IQ26" s="1098">
        <v>82</v>
      </c>
      <c r="IR26" s="1098">
        <v>20.5</v>
      </c>
      <c r="IS26" s="1098">
        <v>0</v>
      </c>
      <c r="IT26" s="1098">
        <v>0</v>
      </c>
      <c r="IU26" s="1098">
        <v>0</v>
      </c>
      <c r="IV26" s="1098">
        <v>0</v>
      </c>
      <c r="IW26" s="1098">
        <v>0</v>
      </c>
      <c r="IX26" s="1098">
        <v>169</v>
      </c>
      <c r="IY26" s="1098">
        <v>402</v>
      </c>
      <c r="IZ26" s="1098">
        <v>392</v>
      </c>
      <c r="JA26" s="1097">
        <v>1541</v>
      </c>
      <c r="JB26" s="1098">
        <v>265</v>
      </c>
      <c r="JC26" s="1098">
        <v>102</v>
      </c>
      <c r="JD26" s="1098"/>
      <c r="JE26" s="1098"/>
      <c r="JF26" s="1098"/>
      <c r="JG26" s="1098"/>
      <c r="JH26" s="1098"/>
      <c r="JI26" s="1098"/>
      <c r="JJ26" s="1098"/>
      <c r="JK26" s="1098"/>
      <c r="JL26" s="1098"/>
      <c r="JM26" s="1098"/>
      <c r="JN26" s="1097">
        <f t="shared" si="281"/>
        <v>367</v>
      </c>
      <c r="JP26" s="1174">
        <f t="shared" si="305"/>
        <v>0.512820512820511</v>
      </c>
      <c r="JQ26" s="1175">
        <f t="shared" si="306"/>
        <v>14.359925788497208</v>
      </c>
      <c r="JR26" s="1184">
        <f t="shared" si="307"/>
        <v>1347.5</v>
      </c>
      <c r="JS26" s="1185">
        <f t="shared" si="308"/>
        <v>1541</v>
      </c>
      <c r="JT26" s="1"/>
      <c r="JU26" s="1079">
        <f t="shared" si="309"/>
        <v>86227.799999999988</v>
      </c>
      <c r="JV26" s="1080" t="s">
        <v>350</v>
      </c>
      <c r="JW26" s="1081" t="str">
        <f t="shared" si="310"/>
        <v>OK</v>
      </c>
    </row>
    <row r="27" spans="1:283" ht="15" customHeight="1" x14ac:dyDescent="0.2">
      <c r="A27" s="1166" t="s">
        <v>144</v>
      </c>
      <c r="B27" s="1098">
        <v>19</v>
      </c>
      <c r="C27" s="1098">
        <v>31</v>
      </c>
      <c r="D27" s="1098">
        <v>33</v>
      </c>
      <c r="E27" s="1098">
        <v>84</v>
      </c>
      <c r="F27" s="1098">
        <v>29</v>
      </c>
      <c r="G27" s="1098">
        <v>21</v>
      </c>
      <c r="H27" s="1098">
        <v>31</v>
      </c>
      <c r="I27" s="1098">
        <v>52</v>
      </c>
      <c r="J27" s="1098">
        <v>134</v>
      </c>
      <c r="K27" s="1098">
        <v>29</v>
      </c>
      <c r="L27" s="1098">
        <v>139</v>
      </c>
      <c r="M27" s="1098">
        <v>32</v>
      </c>
      <c r="N27" s="1097">
        <f t="shared" si="21"/>
        <v>634</v>
      </c>
      <c r="O27" s="1098">
        <v>27</v>
      </c>
      <c r="P27" s="1098">
        <v>27</v>
      </c>
      <c r="Q27" s="1098"/>
      <c r="R27" s="1098">
        <v>10</v>
      </c>
      <c r="S27" s="1098">
        <v>15</v>
      </c>
      <c r="T27" s="1098">
        <v>25</v>
      </c>
      <c r="U27" s="1098">
        <v>25</v>
      </c>
      <c r="V27" s="1098">
        <v>49</v>
      </c>
      <c r="W27" s="1098">
        <v>231</v>
      </c>
      <c r="X27" s="1098">
        <v>88</v>
      </c>
      <c r="Y27" s="1098">
        <v>74</v>
      </c>
      <c r="Z27" s="1098">
        <v>32</v>
      </c>
      <c r="AA27" s="1097">
        <f t="shared" si="34"/>
        <v>603</v>
      </c>
      <c r="AB27" s="1098">
        <v>19</v>
      </c>
      <c r="AC27" s="1098">
        <v>8</v>
      </c>
      <c r="AD27" s="1098">
        <v>17</v>
      </c>
      <c r="AE27" s="1098">
        <v>16</v>
      </c>
      <c r="AF27" s="1098">
        <v>9</v>
      </c>
      <c r="AG27" s="1098">
        <v>19</v>
      </c>
      <c r="AH27" s="1098">
        <v>25</v>
      </c>
      <c r="AI27" s="1098">
        <v>78</v>
      </c>
      <c r="AJ27" s="1098">
        <v>175</v>
      </c>
      <c r="AK27" s="1098">
        <v>197</v>
      </c>
      <c r="AL27" s="1098">
        <v>68</v>
      </c>
      <c r="AM27" s="1098">
        <v>83</v>
      </c>
      <c r="AN27" s="1097">
        <f t="shared" si="47"/>
        <v>714</v>
      </c>
      <c r="AO27" s="1098">
        <v>46</v>
      </c>
      <c r="AP27" s="1098">
        <v>39</v>
      </c>
      <c r="AQ27" s="1098">
        <v>41</v>
      </c>
      <c r="AR27" s="1098">
        <v>116</v>
      </c>
      <c r="AS27" s="1098">
        <v>53</v>
      </c>
      <c r="AT27" s="1098">
        <v>53</v>
      </c>
      <c r="AU27" s="1098">
        <v>52</v>
      </c>
      <c r="AV27" s="1098">
        <v>121</v>
      </c>
      <c r="AW27" s="1098">
        <v>149</v>
      </c>
      <c r="AX27" s="1098">
        <v>121</v>
      </c>
      <c r="AY27" s="1098">
        <v>39</v>
      </c>
      <c r="AZ27" s="1098">
        <v>37</v>
      </c>
      <c r="BA27" s="1097">
        <f t="shared" si="60"/>
        <v>867</v>
      </c>
      <c r="BB27" s="1098">
        <v>28</v>
      </c>
      <c r="BC27" s="1098">
        <v>39</v>
      </c>
      <c r="BD27" s="1098">
        <v>24</v>
      </c>
      <c r="BE27" s="1098">
        <v>30</v>
      </c>
      <c r="BF27" s="1098">
        <v>114</v>
      </c>
      <c r="BG27" s="1098">
        <v>58</v>
      </c>
      <c r="BH27" s="1098">
        <v>57</v>
      </c>
      <c r="BI27" s="1098">
        <v>132</v>
      </c>
      <c r="BJ27" s="1098">
        <v>148</v>
      </c>
      <c r="BK27" s="1098">
        <v>54</v>
      </c>
      <c r="BL27" s="1098">
        <v>33</v>
      </c>
      <c r="BM27" s="1098">
        <v>32</v>
      </c>
      <c r="BN27" s="1097">
        <f t="shared" si="73"/>
        <v>749</v>
      </c>
      <c r="BO27" s="1098">
        <v>53</v>
      </c>
      <c r="BP27" s="1098">
        <v>56</v>
      </c>
      <c r="BQ27" s="1098">
        <v>43</v>
      </c>
      <c r="BR27" s="1098">
        <v>34</v>
      </c>
      <c r="BS27" s="1098">
        <v>45</v>
      </c>
      <c r="BT27" s="1098">
        <v>45</v>
      </c>
      <c r="BU27" s="1098">
        <v>44</v>
      </c>
      <c r="BV27" s="1098">
        <v>137</v>
      </c>
      <c r="BW27" s="1098">
        <v>218</v>
      </c>
      <c r="BX27" s="1098">
        <v>74</v>
      </c>
      <c r="BY27" s="1098">
        <v>23</v>
      </c>
      <c r="BZ27" s="1098">
        <v>23</v>
      </c>
      <c r="CA27" s="1097">
        <f t="shared" si="86"/>
        <v>795</v>
      </c>
      <c r="CB27" s="1098">
        <v>28</v>
      </c>
      <c r="CC27" s="1098">
        <v>29</v>
      </c>
      <c r="CD27" s="1098">
        <v>29</v>
      </c>
      <c r="CE27" s="1098">
        <v>56</v>
      </c>
      <c r="CF27" s="1098">
        <v>23</v>
      </c>
      <c r="CG27" s="1098">
        <v>29</v>
      </c>
      <c r="CH27" s="1098">
        <v>31</v>
      </c>
      <c r="CI27" s="1098">
        <v>135</v>
      </c>
      <c r="CJ27" s="1098">
        <v>196</v>
      </c>
      <c r="CK27" s="1098">
        <v>120</v>
      </c>
      <c r="CL27" s="1098">
        <v>83</v>
      </c>
      <c r="CM27" s="1098">
        <v>31</v>
      </c>
      <c r="CN27" s="1097">
        <f t="shared" si="99"/>
        <v>790</v>
      </c>
      <c r="CO27" s="1098">
        <v>30</v>
      </c>
      <c r="CP27" s="1098">
        <v>25</v>
      </c>
      <c r="CQ27" s="1098">
        <v>33</v>
      </c>
      <c r="CR27" s="1098">
        <v>34</v>
      </c>
      <c r="CS27" s="1098">
        <v>83</v>
      </c>
      <c r="CT27" s="1098">
        <v>36</v>
      </c>
      <c r="CU27" s="1098">
        <v>31</v>
      </c>
      <c r="CV27" s="1098">
        <v>182</v>
      </c>
      <c r="CW27" s="1098">
        <v>241</v>
      </c>
      <c r="CX27" s="1098">
        <v>96</v>
      </c>
      <c r="CY27" s="1098">
        <v>30</v>
      </c>
      <c r="CZ27" s="1098">
        <v>20</v>
      </c>
      <c r="DA27" s="1097">
        <f t="shared" si="112"/>
        <v>841</v>
      </c>
      <c r="DB27" s="1098">
        <v>28</v>
      </c>
      <c r="DC27" s="1098">
        <v>28</v>
      </c>
      <c r="DD27" s="1098">
        <v>21</v>
      </c>
      <c r="DE27" s="1098">
        <v>36</v>
      </c>
      <c r="DF27" s="1098">
        <v>48</v>
      </c>
      <c r="DG27" s="1098">
        <v>32</v>
      </c>
      <c r="DH27" s="1098">
        <v>65</v>
      </c>
      <c r="DI27" s="1098">
        <v>189</v>
      </c>
      <c r="DJ27" s="1098">
        <v>237</v>
      </c>
      <c r="DK27" s="1098">
        <v>114</v>
      </c>
      <c r="DL27" s="1098">
        <v>33</v>
      </c>
      <c r="DM27" s="1098">
        <v>30</v>
      </c>
      <c r="DN27" s="1097">
        <f t="shared" si="125"/>
        <v>861</v>
      </c>
      <c r="DO27" s="1098">
        <v>33</v>
      </c>
      <c r="DP27" s="1098">
        <v>42</v>
      </c>
      <c r="DQ27" s="1098">
        <v>30</v>
      </c>
      <c r="DR27" s="1098">
        <v>26</v>
      </c>
      <c r="DS27" s="1098">
        <v>28</v>
      </c>
      <c r="DT27" s="1098">
        <v>31</v>
      </c>
      <c r="DU27" s="1098">
        <v>28</v>
      </c>
      <c r="DV27" s="1098">
        <v>151</v>
      </c>
      <c r="DW27" s="1098">
        <v>136</v>
      </c>
      <c r="DX27" s="1098">
        <v>56</v>
      </c>
      <c r="DY27" s="1098">
        <v>96</v>
      </c>
      <c r="DZ27" s="1098">
        <v>16</v>
      </c>
      <c r="EA27" s="1097">
        <f t="shared" si="138"/>
        <v>673</v>
      </c>
      <c r="EB27" s="1098">
        <v>20</v>
      </c>
      <c r="EC27" s="1098">
        <v>23</v>
      </c>
      <c r="ED27" s="1098">
        <v>13</v>
      </c>
      <c r="EE27" s="1098">
        <v>18</v>
      </c>
      <c r="EF27" s="1098">
        <v>21</v>
      </c>
      <c r="EG27" s="1098">
        <v>20</v>
      </c>
      <c r="EH27" s="1098">
        <v>35</v>
      </c>
      <c r="EI27" s="1098">
        <v>145</v>
      </c>
      <c r="EJ27" s="1098">
        <v>117</v>
      </c>
      <c r="EK27" s="1098">
        <v>24</v>
      </c>
      <c r="EL27" s="1098">
        <v>40</v>
      </c>
      <c r="EM27" s="1098">
        <v>34</v>
      </c>
      <c r="EN27" s="1097">
        <f t="shared" si="151"/>
        <v>510</v>
      </c>
      <c r="EO27" s="1098">
        <v>21</v>
      </c>
      <c r="EP27" s="1098">
        <v>21</v>
      </c>
      <c r="EQ27" s="1098">
        <v>17</v>
      </c>
      <c r="ER27" s="1098">
        <v>27</v>
      </c>
      <c r="ES27" s="1098">
        <v>20</v>
      </c>
      <c r="ET27" s="1098">
        <v>19</v>
      </c>
      <c r="EU27" s="1098">
        <v>29</v>
      </c>
      <c r="EV27" s="1098">
        <v>161</v>
      </c>
      <c r="EW27" s="1098">
        <v>108</v>
      </c>
      <c r="EX27" s="1098">
        <v>23</v>
      </c>
      <c r="EY27" s="1098">
        <v>28</v>
      </c>
      <c r="EZ27" s="1098">
        <v>32</v>
      </c>
      <c r="FA27" s="1097">
        <f t="shared" si="164"/>
        <v>506</v>
      </c>
      <c r="FB27" s="1098">
        <v>26</v>
      </c>
      <c r="FC27" s="1098">
        <v>27</v>
      </c>
      <c r="FD27" s="1098">
        <v>25</v>
      </c>
      <c r="FE27" s="1098">
        <v>30</v>
      </c>
      <c r="FF27" s="1098">
        <v>24</v>
      </c>
      <c r="FG27" s="1098">
        <v>25</v>
      </c>
      <c r="FH27" s="1098">
        <v>28</v>
      </c>
      <c r="FI27" s="1098">
        <v>86</v>
      </c>
      <c r="FJ27" s="1098">
        <v>106</v>
      </c>
      <c r="FK27" s="1098">
        <v>33</v>
      </c>
      <c r="FL27" s="1098">
        <v>38</v>
      </c>
      <c r="FM27" s="1098">
        <v>27</v>
      </c>
      <c r="FN27" s="1097">
        <f t="shared" si="177"/>
        <v>475</v>
      </c>
      <c r="FO27" s="1098">
        <v>31</v>
      </c>
      <c r="FP27" s="1098">
        <v>20</v>
      </c>
      <c r="FQ27" s="1098">
        <v>19</v>
      </c>
      <c r="FR27" s="1098">
        <v>22</v>
      </c>
      <c r="FS27" s="1098">
        <v>26</v>
      </c>
      <c r="FT27" s="1098">
        <v>25</v>
      </c>
      <c r="FU27" s="1098">
        <v>20</v>
      </c>
      <c r="FV27" s="1098">
        <v>102</v>
      </c>
      <c r="FW27" s="1098">
        <v>124</v>
      </c>
      <c r="FX27" s="1098">
        <v>28</v>
      </c>
      <c r="FY27" s="1098">
        <v>50</v>
      </c>
      <c r="FZ27" s="1098">
        <v>35</v>
      </c>
      <c r="GA27" s="1097">
        <f t="shared" si="190"/>
        <v>502</v>
      </c>
      <c r="GB27" s="1098">
        <v>30</v>
      </c>
      <c r="GC27" s="1098">
        <v>23</v>
      </c>
      <c r="GD27" s="1098">
        <v>18</v>
      </c>
      <c r="GE27" s="1098">
        <v>27</v>
      </c>
      <c r="GF27" s="1098">
        <v>32.4</v>
      </c>
      <c r="GG27" s="1098">
        <v>24</v>
      </c>
      <c r="GH27" s="1098">
        <v>29</v>
      </c>
      <c r="GI27" s="1098">
        <v>97</v>
      </c>
      <c r="GJ27" s="1098">
        <v>95</v>
      </c>
      <c r="GK27" s="1098">
        <v>30</v>
      </c>
      <c r="GL27" s="1098">
        <v>25</v>
      </c>
      <c r="GM27" s="1098">
        <v>31</v>
      </c>
      <c r="GN27" s="1097">
        <f t="shared" si="203"/>
        <v>461.4</v>
      </c>
      <c r="GO27" s="1098">
        <v>42.2</v>
      </c>
      <c r="GP27" s="1098">
        <v>22.150000000000002</v>
      </c>
      <c r="GQ27" s="1098">
        <v>29.4</v>
      </c>
      <c r="GR27" s="1098">
        <v>27.6</v>
      </c>
      <c r="GS27" s="1098">
        <v>32.200000000000003</v>
      </c>
      <c r="GT27" s="1098">
        <v>30.4</v>
      </c>
      <c r="GU27" s="1098">
        <v>28.48</v>
      </c>
      <c r="GV27" s="1098">
        <v>115.02999999999999</v>
      </c>
      <c r="GW27" s="1098">
        <v>127.58</v>
      </c>
      <c r="GX27" s="1098">
        <v>36.92</v>
      </c>
      <c r="GY27" s="1098">
        <v>26</v>
      </c>
      <c r="GZ27" s="1098">
        <v>29.360000000000007</v>
      </c>
      <c r="HA27" s="1097">
        <f t="shared" si="216"/>
        <v>547.32000000000005</v>
      </c>
      <c r="HB27" s="1098">
        <v>29.300000000000004</v>
      </c>
      <c r="HC27" s="1098">
        <v>22.5</v>
      </c>
      <c r="HD27" s="1098">
        <v>27.05</v>
      </c>
      <c r="HE27" s="1098">
        <v>31.85</v>
      </c>
      <c r="HF27" s="1098">
        <v>47.940000000000005</v>
      </c>
      <c r="HG27" s="1098">
        <v>42.1</v>
      </c>
      <c r="HH27" s="1098">
        <v>42.9</v>
      </c>
      <c r="HI27" s="1098">
        <v>127.6</v>
      </c>
      <c r="HJ27" s="1098">
        <v>213.09999999999997</v>
      </c>
      <c r="HK27" s="1098">
        <v>39.65</v>
      </c>
      <c r="HL27" s="1098">
        <v>35.92</v>
      </c>
      <c r="HM27" s="1098">
        <v>17.3</v>
      </c>
      <c r="HN27" s="1097">
        <f t="shared" si="229"/>
        <v>677.20999999999981</v>
      </c>
      <c r="HO27" s="1098">
        <v>45.55</v>
      </c>
      <c r="HP27" s="1098">
        <v>44</v>
      </c>
      <c r="HQ27" s="1098">
        <v>31</v>
      </c>
      <c r="HR27" s="1098">
        <v>30.5</v>
      </c>
      <c r="HS27" s="1098">
        <v>51.8</v>
      </c>
      <c r="HT27" s="1098">
        <v>41.6</v>
      </c>
      <c r="HU27" s="1098">
        <v>50</v>
      </c>
      <c r="HV27" s="1098">
        <v>140.82</v>
      </c>
      <c r="HW27" s="1098">
        <v>181</v>
      </c>
      <c r="HX27" s="1098">
        <v>45.9</v>
      </c>
      <c r="HY27" s="1098">
        <v>46.899999999999991</v>
      </c>
      <c r="HZ27" s="1098">
        <v>60.7</v>
      </c>
      <c r="IA27" s="1097">
        <f t="shared" si="242"/>
        <v>769.77</v>
      </c>
      <c r="IB27" s="1098">
        <v>32.200000000000003</v>
      </c>
      <c r="IC27" s="1098">
        <v>22</v>
      </c>
      <c r="ID27" s="1098">
        <v>9.9</v>
      </c>
      <c r="IE27" s="1098">
        <v>27.2</v>
      </c>
      <c r="IF27" s="1098">
        <v>31.3</v>
      </c>
      <c r="IG27" s="1098">
        <v>5.7</v>
      </c>
      <c r="IH27" s="1098">
        <v>8.9</v>
      </c>
      <c r="II27" s="1098">
        <v>89.399999999999977</v>
      </c>
      <c r="IJ27" s="1098">
        <v>104.1</v>
      </c>
      <c r="IK27" s="1098">
        <v>16.8</v>
      </c>
      <c r="IL27" s="1098">
        <v>16.100000000000001</v>
      </c>
      <c r="IM27" s="1098">
        <v>23.4</v>
      </c>
      <c r="IN27" s="1097">
        <v>387</v>
      </c>
      <c r="IO27" s="1098">
        <v>30.8</v>
      </c>
      <c r="IP27" s="1098">
        <v>33.900000000000013</v>
      </c>
      <c r="IQ27" s="1098">
        <v>15.65</v>
      </c>
      <c r="IR27" s="1098">
        <v>15.95</v>
      </c>
      <c r="IS27" s="1098">
        <v>29.4</v>
      </c>
      <c r="IT27" s="1098">
        <v>20.5</v>
      </c>
      <c r="IU27" s="1098">
        <v>24.100000000000009</v>
      </c>
      <c r="IV27" s="1098">
        <v>74.999999999999986</v>
      </c>
      <c r="IW27" s="1098">
        <v>77.599999999999994</v>
      </c>
      <c r="IX27" s="1098">
        <v>27.2</v>
      </c>
      <c r="IY27" s="1098">
        <v>35.200000000000003</v>
      </c>
      <c r="IZ27" s="1098">
        <v>19.7</v>
      </c>
      <c r="JA27" s="1097">
        <v>404.99999999999994</v>
      </c>
      <c r="JB27" s="1098">
        <v>26.2</v>
      </c>
      <c r="JC27" s="1098">
        <v>16.7</v>
      </c>
      <c r="JD27" s="1098"/>
      <c r="JE27" s="1098"/>
      <c r="JF27" s="1098"/>
      <c r="JG27" s="1098"/>
      <c r="JH27" s="1098"/>
      <c r="JI27" s="1098"/>
      <c r="JJ27" s="1098"/>
      <c r="JK27" s="1098"/>
      <c r="JL27" s="1098"/>
      <c r="JM27" s="1098"/>
      <c r="JN27" s="1097">
        <f t="shared" si="281"/>
        <v>42.9</v>
      </c>
      <c r="JP27" s="1174">
        <f t="shared" si="305"/>
        <v>-15.811965811965811</v>
      </c>
      <c r="JQ27" s="1175">
        <f t="shared" si="306"/>
        <v>4.6511627906976605</v>
      </c>
      <c r="JR27" s="1184">
        <f t="shared" si="307"/>
        <v>387</v>
      </c>
      <c r="JS27" s="1185">
        <f t="shared" si="308"/>
        <v>404.99999999999994</v>
      </c>
      <c r="JT27" s="1"/>
      <c r="JU27" s="1079">
        <f t="shared" si="309"/>
        <v>25621.200000000008</v>
      </c>
      <c r="JV27" s="1080" t="s">
        <v>144</v>
      </c>
      <c r="JW27" s="1081" t="str">
        <f t="shared" si="310"/>
        <v>OK</v>
      </c>
    </row>
    <row r="28" spans="1:283" ht="15" customHeight="1" x14ac:dyDescent="0.2">
      <c r="A28" s="1166" t="s">
        <v>138</v>
      </c>
      <c r="B28" s="1098">
        <v>758</v>
      </c>
      <c r="C28" s="1098">
        <v>1340</v>
      </c>
      <c r="D28" s="1098">
        <v>2639</v>
      </c>
      <c r="E28" s="1098">
        <v>3211</v>
      </c>
      <c r="F28" s="1098">
        <v>3326</v>
      </c>
      <c r="G28" s="1098">
        <v>3070</v>
      </c>
      <c r="H28" s="1098">
        <v>2148</v>
      </c>
      <c r="I28" s="1098">
        <v>1148</v>
      </c>
      <c r="J28" s="1098">
        <v>867</v>
      </c>
      <c r="K28" s="1098">
        <v>784</v>
      </c>
      <c r="L28" s="1098">
        <v>605</v>
      </c>
      <c r="M28" s="1098">
        <v>716</v>
      </c>
      <c r="N28" s="1097">
        <f t="shared" si="21"/>
        <v>20612</v>
      </c>
      <c r="O28" s="1098">
        <v>834</v>
      </c>
      <c r="P28" s="1098">
        <v>1163</v>
      </c>
      <c r="Q28" s="1098">
        <v>2302</v>
      </c>
      <c r="R28" s="1098">
        <v>2652</v>
      </c>
      <c r="S28" s="1098">
        <v>3296</v>
      </c>
      <c r="T28" s="1098">
        <v>3256</v>
      </c>
      <c r="U28" s="1098">
        <v>2678</v>
      </c>
      <c r="V28" s="1098">
        <v>1829</v>
      </c>
      <c r="W28" s="1098">
        <v>1341</v>
      </c>
      <c r="X28" s="1098">
        <v>854</v>
      </c>
      <c r="Y28" s="1098">
        <v>717</v>
      </c>
      <c r="Z28" s="1098">
        <v>673</v>
      </c>
      <c r="AA28" s="1097">
        <f t="shared" si="34"/>
        <v>21595</v>
      </c>
      <c r="AB28" s="1098">
        <v>1041</v>
      </c>
      <c r="AC28" s="1098">
        <v>1476</v>
      </c>
      <c r="AD28" s="1098">
        <v>2643</v>
      </c>
      <c r="AE28" s="1098">
        <v>3437</v>
      </c>
      <c r="AF28" s="1098">
        <v>3384</v>
      </c>
      <c r="AG28" s="1098">
        <v>2665</v>
      </c>
      <c r="AH28" s="1098">
        <v>2649</v>
      </c>
      <c r="AI28" s="1098">
        <v>2288</v>
      </c>
      <c r="AJ28" s="1098">
        <v>1529</v>
      </c>
      <c r="AK28" s="1098">
        <v>1240</v>
      </c>
      <c r="AL28" s="1098">
        <v>1263</v>
      </c>
      <c r="AM28" s="1098">
        <v>809</v>
      </c>
      <c r="AN28" s="1097">
        <f t="shared" si="47"/>
        <v>24424</v>
      </c>
      <c r="AO28" s="1098">
        <v>1202</v>
      </c>
      <c r="AP28" s="1098">
        <v>1701</v>
      </c>
      <c r="AQ28" s="1098">
        <v>2810</v>
      </c>
      <c r="AR28" s="1098">
        <v>3404</v>
      </c>
      <c r="AS28" s="1098">
        <v>2774</v>
      </c>
      <c r="AT28" s="1098">
        <v>2307</v>
      </c>
      <c r="AU28" s="1098">
        <v>2176</v>
      </c>
      <c r="AV28" s="1098">
        <v>2689</v>
      </c>
      <c r="AW28" s="1098">
        <v>1637</v>
      </c>
      <c r="AX28" s="1098">
        <v>1292</v>
      </c>
      <c r="AY28" s="1098">
        <v>842</v>
      </c>
      <c r="AZ28" s="1098">
        <v>655</v>
      </c>
      <c r="BA28" s="1097">
        <f t="shared" si="60"/>
        <v>23489</v>
      </c>
      <c r="BB28" s="1098">
        <v>1118</v>
      </c>
      <c r="BC28" s="1098">
        <v>1701</v>
      </c>
      <c r="BD28" s="1098">
        <v>2471</v>
      </c>
      <c r="BE28" s="1098">
        <v>3385</v>
      </c>
      <c r="BF28" s="1098">
        <v>2911</v>
      </c>
      <c r="BG28" s="1098">
        <v>2856</v>
      </c>
      <c r="BH28" s="1098">
        <v>2613</v>
      </c>
      <c r="BI28" s="1098">
        <v>2307</v>
      </c>
      <c r="BJ28" s="1098">
        <v>1514</v>
      </c>
      <c r="BK28" s="1098">
        <v>1403</v>
      </c>
      <c r="BL28" s="1098">
        <v>1210</v>
      </c>
      <c r="BM28" s="1098">
        <v>1032</v>
      </c>
      <c r="BN28" s="1097">
        <f t="shared" si="73"/>
        <v>24521</v>
      </c>
      <c r="BO28" s="1098">
        <v>1000</v>
      </c>
      <c r="BP28" s="1098">
        <v>1532</v>
      </c>
      <c r="BQ28" s="1098">
        <v>2614</v>
      </c>
      <c r="BR28" s="1098">
        <v>2937</v>
      </c>
      <c r="BS28" s="1098">
        <v>2664</v>
      </c>
      <c r="BT28" s="1098">
        <v>1737</v>
      </c>
      <c r="BU28" s="1098">
        <v>2816</v>
      </c>
      <c r="BV28" s="1098">
        <v>2473</v>
      </c>
      <c r="BW28" s="1098">
        <v>1459</v>
      </c>
      <c r="BX28" s="1098">
        <v>1425</v>
      </c>
      <c r="BY28" s="1098">
        <v>1489</v>
      </c>
      <c r="BZ28" s="1098">
        <v>1509</v>
      </c>
      <c r="CA28" s="1097">
        <f t="shared" si="86"/>
        <v>23655</v>
      </c>
      <c r="CB28" s="1098">
        <v>1536</v>
      </c>
      <c r="CC28" s="1098">
        <v>2328</v>
      </c>
      <c r="CD28" s="1098">
        <v>2510</v>
      </c>
      <c r="CE28" s="1098">
        <v>4151</v>
      </c>
      <c r="CF28" s="1098">
        <v>4285</v>
      </c>
      <c r="CG28" s="1098">
        <v>3140</v>
      </c>
      <c r="CH28" s="1098">
        <v>2906</v>
      </c>
      <c r="CI28" s="1098">
        <v>2601</v>
      </c>
      <c r="CJ28" s="1098">
        <v>1554</v>
      </c>
      <c r="CK28" s="1098">
        <v>1131</v>
      </c>
      <c r="CL28" s="1098">
        <v>1428</v>
      </c>
      <c r="CM28" s="1098">
        <v>1326</v>
      </c>
      <c r="CN28" s="1097">
        <f t="shared" si="99"/>
        <v>28896</v>
      </c>
      <c r="CO28" s="1098">
        <v>1275</v>
      </c>
      <c r="CP28" s="1098">
        <v>2110</v>
      </c>
      <c r="CQ28" s="1098">
        <v>2180</v>
      </c>
      <c r="CR28" s="1098">
        <v>4201</v>
      </c>
      <c r="CS28" s="1098">
        <v>4491</v>
      </c>
      <c r="CT28" s="1098">
        <v>3644</v>
      </c>
      <c r="CU28" s="1098">
        <v>3436</v>
      </c>
      <c r="CV28" s="1098">
        <v>2568</v>
      </c>
      <c r="CW28" s="1098">
        <v>1442</v>
      </c>
      <c r="CX28" s="1098">
        <v>1089</v>
      </c>
      <c r="CY28" s="1098">
        <v>985</v>
      </c>
      <c r="CZ28" s="1098">
        <v>940</v>
      </c>
      <c r="DA28" s="1097">
        <f t="shared" si="112"/>
        <v>28361</v>
      </c>
      <c r="DB28" s="1098">
        <v>997</v>
      </c>
      <c r="DC28" s="1098">
        <v>2055</v>
      </c>
      <c r="DD28" s="1098">
        <v>2346</v>
      </c>
      <c r="DE28" s="1098">
        <v>4787</v>
      </c>
      <c r="DF28" s="1098">
        <v>4494</v>
      </c>
      <c r="DG28" s="1098">
        <v>3714</v>
      </c>
      <c r="DH28" s="1098">
        <v>4091</v>
      </c>
      <c r="DI28" s="1098">
        <v>3522</v>
      </c>
      <c r="DJ28" s="1098">
        <v>2045</v>
      </c>
      <c r="DK28" s="1098">
        <v>1337</v>
      </c>
      <c r="DL28" s="1098">
        <v>497</v>
      </c>
      <c r="DM28" s="1098">
        <v>564</v>
      </c>
      <c r="DN28" s="1097">
        <f t="shared" si="125"/>
        <v>30449</v>
      </c>
      <c r="DO28" s="1098">
        <v>994</v>
      </c>
      <c r="DP28" s="1098">
        <v>2424</v>
      </c>
      <c r="DQ28" s="1098">
        <v>3858</v>
      </c>
      <c r="DR28" s="1098">
        <v>5346</v>
      </c>
      <c r="DS28" s="1098">
        <v>5079</v>
      </c>
      <c r="DT28" s="1098">
        <v>5087</v>
      </c>
      <c r="DU28" s="1098">
        <v>5889</v>
      </c>
      <c r="DV28" s="1098">
        <v>3703</v>
      </c>
      <c r="DW28" s="1098">
        <v>2003</v>
      </c>
      <c r="DX28" s="1098">
        <v>1500</v>
      </c>
      <c r="DY28" s="1098">
        <v>1485</v>
      </c>
      <c r="DZ28" s="1098">
        <v>1455</v>
      </c>
      <c r="EA28" s="1097">
        <f t="shared" si="138"/>
        <v>38823</v>
      </c>
      <c r="EB28" s="1098">
        <v>1640</v>
      </c>
      <c r="EC28" s="1098">
        <v>2103</v>
      </c>
      <c r="ED28" s="1098">
        <v>5074</v>
      </c>
      <c r="EE28" s="1098">
        <v>10717</v>
      </c>
      <c r="EF28" s="1098">
        <v>15419</v>
      </c>
      <c r="EG28" s="1098">
        <v>7733</v>
      </c>
      <c r="EH28" s="1098">
        <v>5218</v>
      </c>
      <c r="EI28" s="1098">
        <v>3292</v>
      </c>
      <c r="EJ28" s="1098">
        <v>1016</v>
      </c>
      <c r="EK28" s="1098">
        <v>894</v>
      </c>
      <c r="EL28" s="1098">
        <v>523</v>
      </c>
      <c r="EM28" s="1098">
        <v>416</v>
      </c>
      <c r="EN28" s="1097">
        <f t="shared" si="151"/>
        <v>54045</v>
      </c>
      <c r="EO28" s="1098">
        <v>357</v>
      </c>
      <c r="EP28" s="1098">
        <v>1962</v>
      </c>
      <c r="EQ28" s="1098">
        <v>5141</v>
      </c>
      <c r="ER28" s="1098">
        <v>12223</v>
      </c>
      <c r="ES28" s="1098">
        <v>16201</v>
      </c>
      <c r="ET28" s="1098">
        <v>9351</v>
      </c>
      <c r="EU28" s="1098">
        <v>3150</v>
      </c>
      <c r="EV28" s="1098">
        <v>2716</v>
      </c>
      <c r="EW28" s="1098">
        <v>1205</v>
      </c>
      <c r="EX28" s="1098">
        <v>1289</v>
      </c>
      <c r="EY28" s="1098">
        <v>1632</v>
      </c>
      <c r="EZ28" s="1098">
        <v>1403</v>
      </c>
      <c r="FA28" s="1097">
        <f t="shared" si="164"/>
        <v>56630</v>
      </c>
      <c r="FB28" s="1098">
        <v>622</v>
      </c>
      <c r="FC28" s="1098">
        <v>1841</v>
      </c>
      <c r="FD28" s="1098">
        <v>4296</v>
      </c>
      <c r="FE28" s="1098">
        <v>11892</v>
      </c>
      <c r="FF28" s="1098">
        <v>10793</v>
      </c>
      <c r="FG28" s="1098">
        <v>2697</v>
      </c>
      <c r="FH28" s="1098">
        <v>3686</v>
      </c>
      <c r="FI28" s="1098">
        <v>3960</v>
      </c>
      <c r="FJ28" s="1098">
        <v>1730</v>
      </c>
      <c r="FK28" s="1098">
        <v>2225</v>
      </c>
      <c r="FL28" s="1098">
        <v>3728</v>
      </c>
      <c r="FM28" s="1098">
        <v>1243</v>
      </c>
      <c r="FN28" s="1097">
        <f t="shared" si="177"/>
        <v>48713</v>
      </c>
      <c r="FO28" s="1098">
        <v>887</v>
      </c>
      <c r="FP28" s="1098">
        <v>2168</v>
      </c>
      <c r="FQ28" s="1098">
        <v>1568</v>
      </c>
      <c r="FR28" s="1098">
        <v>1353</v>
      </c>
      <c r="FS28" s="1098">
        <v>6451</v>
      </c>
      <c r="FT28" s="1098">
        <v>2729</v>
      </c>
      <c r="FU28" s="1098">
        <v>7110</v>
      </c>
      <c r="FV28" s="1098">
        <v>8053</v>
      </c>
      <c r="FW28" s="1098">
        <v>4955</v>
      </c>
      <c r="FX28" s="1098">
        <v>5441</v>
      </c>
      <c r="FY28" s="1098">
        <v>2700</v>
      </c>
      <c r="FZ28" s="1098">
        <v>2784</v>
      </c>
      <c r="GA28" s="1097">
        <f t="shared" si="190"/>
        <v>46199</v>
      </c>
      <c r="GB28" s="1098">
        <v>6222.65</v>
      </c>
      <c r="GC28" s="1098">
        <v>4135</v>
      </c>
      <c r="GD28" s="1098">
        <v>5053</v>
      </c>
      <c r="GE28" s="1098">
        <v>9929</v>
      </c>
      <c r="GF28" s="1098">
        <v>8436.25</v>
      </c>
      <c r="GG28" s="1098">
        <v>5122</v>
      </c>
      <c r="GH28" s="1098">
        <v>10970.5</v>
      </c>
      <c r="GI28" s="1098">
        <v>10980.5</v>
      </c>
      <c r="GJ28" s="1098">
        <v>6168.3</v>
      </c>
      <c r="GK28" s="1098">
        <v>6738.2</v>
      </c>
      <c r="GL28" s="1098">
        <v>3056.1</v>
      </c>
      <c r="GM28" s="1098">
        <v>6148</v>
      </c>
      <c r="GN28" s="1097">
        <f t="shared" si="203"/>
        <v>82959.5</v>
      </c>
      <c r="GO28" s="1098">
        <v>2153.5</v>
      </c>
      <c r="GP28" s="1098">
        <v>3067</v>
      </c>
      <c r="GQ28" s="1098">
        <v>3955</v>
      </c>
      <c r="GR28" s="1098">
        <v>9229</v>
      </c>
      <c r="GS28" s="1098">
        <v>11075</v>
      </c>
      <c r="GT28" s="1098">
        <v>11137.5</v>
      </c>
      <c r="GU28" s="1098">
        <v>13023.5</v>
      </c>
      <c r="GV28" s="1098">
        <v>8848.5</v>
      </c>
      <c r="GW28" s="1098">
        <v>2734.5</v>
      </c>
      <c r="GX28" s="1098">
        <v>2816</v>
      </c>
      <c r="GY28" s="1098">
        <v>5376.5</v>
      </c>
      <c r="GZ28" s="1098">
        <v>6943.25</v>
      </c>
      <c r="HA28" s="1097">
        <f t="shared" si="216"/>
        <v>80359.25</v>
      </c>
      <c r="HB28" s="1098">
        <v>2352.5</v>
      </c>
      <c r="HC28" s="1098">
        <v>3182</v>
      </c>
      <c r="HD28" s="1098">
        <v>4193.5</v>
      </c>
      <c r="HE28" s="1098">
        <v>7120</v>
      </c>
      <c r="HF28" s="1098">
        <v>9248.5</v>
      </c>
      <c r="HG28" s="1098">
        <v>11849.5</v>
      </c>
      <c r="HH28" s="1098">
        <v>16113</v>
      </c>
      <c r="HI28" s="1098">
        <v>13747</v>
      </c>
      <c r="HJ28" s="1098">
        <v>3538</v>
      </c>
      <c r="HK28" s="1098">
        <v>2013.6</v>
      </c>
      <c r="HL28" s="1098">
        <v>6861.2</v>
      </c>
      <c r="HM28" s="1098">
        <v>7527</v>
      </c>
      <c r="HN28" s="1097">
        <f t="shared" si="229"/>
        <v>87745.8</v>
      </c>
      <c r="HO28" s="1098">
        <v>2949</v>
      </c>
      <c r="HP28" s="1098">
        <v>4044</v>
      </c>
      <c r="HQ28" s="1098">
        <v>4829</v>
      </c>
      <c r="HR28" s="1098">
        <v>7550</v>
      </c>
      <c r="HS28" s="1098">
        <v>6606</v>
      </c>
      <c r="HT28" s="1098">
        <v>9673</v>
      </c>
      <c r="HU28" s="1098">
        <v>19331</v>
      </c>
      <c r="HV28" s="1098">
        <v>14591</v>
      </c>
      <c r="HW28" s="1098">
        <v>3458</v>
      </c>
      <c r="HX28" s="1098">
        <v>1946</v>
      </c>
      <c r="HY28" s="1098">
        <v>5130.5</v>
      </c>
      <c r="HZ28" s="1098">
        <v>5643</v>
      </c>
      <c r="IA28" s="1097">
        <f t="shared" si="242"/>
        <v>85750.5</v>
      </c>
      <c r="IB28" s="1098">
        <v>2755.5</v>
      </c>
      <c r="IC28" s="1098">
        <v>3452.5</v>
      </c>
      <c r="ID28" s="1098">
        <v>5159.1000000000004</v>
      </c>
      <c r="IE28" s="1098">
        <v>7366</v>
      </c>
      <c r="IF28" s="1098">
        <v>5607</v>
      </c>
      <c r="IG28" s="1098">
        <v>9996.7000000000007</v>
      </c>
      <c r="IH28" s="1098">
        <v>20446.5</v>
      </c>
      <c r="II28" s="1098">
        <v>9773</v>
      </c>
      <c r="IJ28" s="1098">
        <v>1636</v>
      </c>
      <c r="IK28" s="1098">
        <v>1051</v>
      </c>
      <c r="IL28" s="1098">
        <v>1661</v>
      </c>
      <c r="IM28" s="1098">
        <v>3110</v>
      </c>
      <c r="IN28" s="1097">
        <v>72014.3</v>
      </c>
      <c r="IO28" s="1098">
        <v>1662.5</v>
      </c>
      <c r="IP28" s="1098">
        <v>2607</v>
      </c>
      <c r="IQ28" s="1098">
        <v>3465</v>
      </c>
      <c r="IR28" s="1098">
        <v>4815.5</v>
      </c>
      <c r="IS28" s="1098">
        <v>5428</v>
      </c>
      <c r="IT28" s="1098">
        <v>6925</v>
      </c>
      <c r="IU28" s="1098">
        <v>21900</v>
      </c>
      <c r="IV28" s="1098">
        <v>9859.5</v>
      </c>
      <c r="IW28" s="1098">
        <v>2158.25</v>
      </c>
      <c r="IX28" s="1098">
        <v>1487.25</v>
      </c>
      <c r="IY28" s="1098">
        <v>1927.5</v>
      </c>
      <c r="IZ28" s="1098">
        <v>6998</v>
      </c>
      <c r="JA28" s="1097">
        <v>69233.5</v>
      </c>
      <c r="JB28" s="1098">
        <v>1843</v>
      </c>
      <c r="JC28" s="1098">
        <v>1622</v>
      </c>
      <c r="JD28" s="1098"/>
      <c r="JE28" s="1098"/>
      <c r="JF28" s="1098"/>
      <c r="JG28" s="1098"/>
      <c r="JH28" s="1098"/>
      <c r="JI28" s="1098"/>
      <c r="JJ28" s="1098"/>
      <c r="JK28" s="1098"/>
      <c r="JL28" s="1098"/>
      <c r="JM28" s="1098"/>
      <c r="JN28" s="1097">
        <f t="shared" si="281"/>
        <v>3465</v>
      </c>
      <c r="JP28" s="1174">
        <f t="shared" si="305"/>
        <v>125.01607717041803</v>
      </c>
      <c r="JQ28" s="1175">
        <f t="shared" si="306"/>
        <v>-3.8614552942957237</v>
      </c>
      <c r="JR28" s="1184">
        <f t="shared" si="307"/>
        <v>72014.3</v>
      </c>
      <c r="JS28" s="1185">
        <f t="shared" si="308"/>
        <v>69233.5</v>
      </c>
      <c r="JT28" s="1"/>
      <c r="JU28" s="1079">
        <f t="shared" si="309"/>
        <v>1903879.7000000002</v>
      </c>
      <c r="JV28" s="1080" t="s">
        <v>138</v>
      </c>
      <c r="JW28" s="1081" t="str">
        <f t="shared" si="310"/>
        <v>OK</v>
      </c>
    </row>
    <row r="29" spans="1:283" ht="15" customHeight="1" x14ac:dyDescent="0.2">
      <c r="A29" s="1166" t="s">
        <v>146</v>
      </c>
      <c r="B29" s="1098">
        <v>18946</v>
      </c>
      <c r="C29" s="1098">
        <v>17766</v>
      </c>
      <c r="D29" s="1098">
        <v>15333</v>
      </c>
      <c r="E29" s="1098">
        <v>12429</v>
      </c>
      <c r="F29" s="1098">
        <v>14232</v>
      </c>
      <c r="G29" s="1098">
        <v>12396</v>
      </c>
      <c r="H29" s="1098">
        <v>10351</v>
      </c>
      <c r="I29" s="1098">
        <v>12513</v>
      </c>
      <c r="J29" s="1098">
        <v>14827</v>
      </c>
      <c r="K29" s="1098">
        <v>12923</v>
      </c>
      <c r="L29" s="1098">
        <v>15206</v>
      </c>
      <c r="M29" s="1098">
        <v>18161</v>
      </c>
      <c r="N29" s="1097">
        <f t="shared" si="21"/>
        <v>175083</v>
      </c>
      <c r="O29" s="1098">
        <v>19861</v>
      </c>
      <c r="P29" s="1098">
        <v>16432</v>
      </c>
      <c r="Q29" s="1098">
        <v>17563</v>
      </c>
      <c r="R29" s="1098">
        <v>12361</v>
      </c>
      <c r="S29" s="1098">
        <v>14853</v>
      </c>
      <c r="T29" s="1098">
        <v>11650</v>
      </c>
      <c r="U29" s="1098">
        <v>13269</v>
      </c>
      <c r="V29" s="1098">
        <v>16821</v>
      </c>
      <c r="W29" s="1098">
        <v>17131</v>
      </c>
      <c r="X29" s="1098">
        <v>19796</v>
      </c>
      <c r="Y29" s="1098">
        <v>18812</v>
      </c>
      <c r="Z29" s="1098">
        <v>18870</v>
      </c>
      <c r="AA29" s="1097">
        <f t="shared" si="34"/>
        <v>197419</v>
      </c>
      <c r="AB29" s="1098">
        <v>28634</v>
      </c>
      <c r="AC29" s="1098">
        <v>24916</v>
      </c>
      <c r="AD29" s="1098">
        <v>25322</v>
      </c>
      <c r="AE29" s="1098">
        <v>22237</v>
      </c>
      <c r="AF29" s="1098">
        <v>25242</v>
      </c>
      <c r="AG29" s="1098">
        <v>26055</v>
      </c>
      <c r="AH29" s="1098">
        <v>25777</v>
      </c>
      <c r="AI29" s="1098">
        <v>24978</v>
      </c>
      <c r="AJ29" s="1098">
        <v>28089</v>
      </c>
      <c r="AK29" s="1098">
        <v>29052</v>
      </c>
      <c r="AL29" s="1098">
        <v>24254</v>
      </c>
      <c r="AM29" s="1098">
        <v>26624</v>
      </c>
      <c r="AN29" s="1097">
        <f t="shared" si="47"/>
        <v>311180</v>
      </c>
      <c r="AO29" s="1098">
        <v>18831</v>
      </c>
      <c r="AP29" s="1098">
        <v>17776</v>
      </c>
      <c r="AQ29" s="1098">
        <v>23087</v>
      </c>
      <c r="AR29" s="1098">
        <v>23446</v>
      </c>
      <c r="AS29" s="1098">
        <v>24848</v>
      </c>
      <c r="AT29" s="1098">
        <v>23700</v>
      </c>
      <c r="AU29" s="1098">
        <v>24874</v>
      </c>
      <c r="AV29" s="1098">
        <v>27676</v>
      </c>
      <c r="AW29" s="1098">
        <v>18817.04</v>
      </c>
      <c r="AX29" s="1098">
        <v>20444</v>
      </c>
      <c r="AY29" s="1098">
        <v>20815</v>
      </c>
      <c r="AZ29" s="1098">
        <v>21116</v>
      </c>
      <c r="BA29" s="1097">
        <f t="shared" si="60"/>
        <v>265430.04000000004</v>
      </c>
      <c r="BB29" s="1098">
        <v>19046</v>
      </c>
      <c r="BC29" s="1098">
        <v>14621</v>
      </c>
      <c r="BD29" s="1098">
        <v>17170</v>
      </c>
      <c r="BE29" s="1098">
        <v>18360</v>
      </c>
      <c r="BF29" s="1098">
        <v>18613</v>
      </c>
      <c r="BG29" s="1098">
        <v>16062</v>
      </c>
      <c r="BH29" s="1098">
        <v>21287</v>
      </c>
      <c r="BI29" s="1098">
        <v>17014</v>
      </c>
      <c r="BJ29" s="1098">
        <v>24045</v>
      </c>
      <c r="BK29" s="1098">
        <v>21749</v>
      </c>
      <c r="BL29" s="1098">
        <v>21455</v>
      </c>
      <c r="BM29" s="1098">
        <v>21631</v>
      </c>
      <c r="BN29" s="1097">
        <f t="shared" si="73"/>
        <v>231053</v>
      </c>
      <c r="BO29" s="1098">
        <v>21577</v>
      </c>
      <c r="BP29" s="1098">
        <v>19683</v>
      </c>
      <c r="BQ29" s="1098">
        <v>21494</v>
      </c>
      <c r="BR29" s="1098">
        <v>18819</v>
      </c>
      <c r="BS29" s="1098">
        <v>20889</v>
      </c>
      <c r="BT29" s="1098">
        <v>19463</v>
      </c>
      <c r="BU29" s="1098">
        <v>17827</v>
      </c>
      <c r="BV29" s="1098">
        <v>19435</v>
      </c>
      <c r="BW29" s="1098">
        <v>20770</v>
      </c>
      <c r="BX29" s="1098">
        <v>25144</v>
      </c>
      <c r="BY29" s="1098">
        <v>26580</v>
      </c>
      <c r="BZ29" s="1098">
        <v>26646</v>
      </c>
      <c r="CA29" s="1097">
        <f t="shared" si="86"/>
        <v>258327</v>
      </c>
      <c r="CB29" s="1098">
        <v>22717</v>
      </c>
      <c r="CC29" s="1098">
        <v>23540</v>
      </c>
      <c r="CD29" s="1098">
        <v>22052</v>
      </c>
      <c r="CE29" s="1098">
        <v>21946</v>
      </c>
      <c r="CF29" s="1098">
        <v>27299</v>
      </c>
      <c r="CG29" s="1098">
        <v>25864</v>
      </c>
      <c r="CH29" s="1098">
        <v>26020</v>
      </c>
      <c r="CI29" s="1098">
        <v>26462</v>
      </c>
      <c r="CJ29" s="1098">
        <v>27697</v>
      </c>
      <c r="CK29" s="1098">
        <v>32276</v>
      </c>
      <c r="CL29" s="1098">
        <v>32323</v>
      </c>
      <c r="CM29" s="1098">
        <v>33524</v>
      </c>
      <c r="CN29" s="1097">
        <f t="shared" si="99"/>
        <v>321720</v>
      </c>
      <c r="CO29" s="1098">
        <v>32370</v>
      </c>
      <c r="CP29" s="1098">
        <v>25035</v>
      </c>
      <c r="CQ29" s="1098">
        <v>24095</v>
      </c>
      <c r="CR29" s="1098">
        <v>23391</v>
      </c>
      <c r="CS29" s="1098">
        <v>23181</v>
      </c>
      <c r="CT29" s="1098">
        <v>17683</v>
      </c>
      <c r="CU29" s="1098">
        <v>22696</v>
      </c>
      <c r="CV29" s="1098">
        <v>26726.379000000001</v>
      </c>
      <c r="CW29" s="1098">
        <v>31875</v>
      </c>
      <c r="CX29" s="1098">
        <v>35710</v>
      </c>
      <c r="CY29" s="1098">
        <v>34911</v>
      </c>
      <c r="CZ29" s="1098">
        <v>32956</v>
      </c>
      <c r="DA29" s="1097">
        <f t="shared" si="112"/>
        <v>330629.37900000002</v>
      </c>
      <c r="DB29" s="1098">
        <v>31321</v>
      </c>
      <c r="DC29" s="1098">
        <v>26893</v>
      </c>
      <c r="DD29" s="1098">
        <v>27810</v>
      </c>
      <c r="DE29" s="1098">
        <v>27248</v>
      </c>
      <c r="DF29" s="1098">
        <v>28199</v>
      </c>
      <c r="DG29" s="1098">
        <v>23630</v>
      </c>
      <c r="DH29" s="1098">
        <v>23714</v>
      </c>
      <c r="DI29" s="1098">
        <v>27370</v>
      </c>
      <c r="DJ29" s="1098">
        <v>29637</v>
      </c>
      <c r="DK29" s="1098">
        <v>31472</v>
      </c>
      <c r="DL29" s="1098">
        <v>33672</v>
      </c>
      <c r="DM29" s="1098">
        <v>32130</v>
      </c>
      <c r="DN29" s="1097">
        <f t="shared" si="125"/>
        <v>343096</v>
      </c>
      <c r="DO29" s="1098">
        <v>33871</v>
      </c>
      <c r="DP29" s="1098">
        <v>25458</v>
      </c>
      <c r="DQ29" s="1098">
        <v>27375</v>
      </c>
      <c r="DR29" s="1098">
        <v>27845</v>
      </c>
      <c r="DS29" s="1098">
        <v>28244</v>
      </c>
      <c r="DT29" s="1098">
        <v>27564</v>
      </c>
      <c r="DU29" s="1098">
        <v>31140</v>
      </c>
      <c r="DV29" s="1098">
        <v>31189</v>
      </c>
      <c r="DW29" s="1098">
        <v>32788</v>
      </c>
      <c r="DX29" s="1098">
        <v>30061</v>
      </c>
      <c r="DY29" s="1098">
        <v>39958</v>
      </c>
      <c r="DZ29" s="1098">
        <v>34026</v>
      </c>
      <c r="EA29" s="1097">
        <f t="shared" si="138"/>
        <v>369519</v>
      </c>
      <c r="EB29" s="1098">
        <v>31925</v>
      </c>
      <c r="EC29" s="1098">
        <v>28972</v>
      </c>
      <c r="ED29" s="1098">
        <v>29834</v>
      </c>
      <c r="EE29" s="1098">
        <v>27368</v>
      </c>
      <c r="EF29" s="1098">
        <v>25888</v>
      </c>
      <c r="EG29" s="1098">
        <v>23842</v>
      </c>
      <c r="EH29" s="1098">
        <v>25429</v>
      </c>
      <c r="EI29" s="1098">
        <v>33583</v>
      </c>
      <c r="EJ29" s="1098">
        <v>38796</v>
      </c>
      <c r="EK29" s="1098">
        <v>39616</v>
      </c>
      <c r="EL29" s="1098">
        <v>37827</v>
      </c>
      <c r="EM29" s="1098">
        <v>38584</v>
      </c>
      <c r="EN29" s="1097">
        <f t="shared" si="151"/>
        <v>381664</v>
      </c>
      <c r="EO29" s="1098">
        <v>39105</v>
      </c>
      <c r="EP29" s="1098">
        <v>29449</v>
      </c>
      <c r="EQ29" s="1098">
        <v>32294</v>
      </c>
      <c r="ER29" s="1098">
        <v>26992</v>
      </c>
      <c r="ES29" s="1098">
        <v>27158</v>
      </c>
      <c r="ET29" s="1098">
        <v>24475</v>
      </c>
      <c r="EU29" s="1098">
        <v>29960</v>
      </c>
      <c r="EV29" s="1098">
        <v>36195</v>
      </c>
      <c r="EW29" s="1098">
        <v>38527</v>
      </c>
      <c r="EX29" s="1098">
        <v>45389</v>
      </c>
      <c r="EY29" s="1098">
        <v>41940</v>
      </c>
      <c r="EZ29" s="1098">
        <v>39432</v>
      </c>
      <c r="FA29" s="1097">
        <f t="shared" si="164"/>
        <v>410916</v>
      </c>
      <c r="FB29" s="1098">
        <v>36608</v>
      </c>
      <c r="FC29" s="1098">
        <v>29011</v>
      </c>
      <c r="FD29" s="1098">
        <v>31976</v>
      </c>
      <c r="FE29" s="1098">
        <v>32247</v>
      </c>
      <c r="FF29" s="1098">
        <v>29627</v>
      </c>
      <c r="FG29" s="1098">
        <v>28700</v>
      </c>
      <c r="FH29" s="1098">
        <v>34100</v>
      </c>
      <c r="FI29" s="1098">
        <v>40193</v>
      </c>
      <c r="FJ29" s="1098">
        <v>35987</v>
      </c>
      <c r="FK29" s="1098">
        <v>43075</v>
      </c>
      <c r="FL29" s="1098">
        <v>46431</v>
      </c>
      <c r="FM29" s="1098">
        <v>40391</v>
      </c>
      <c r="FN29" s="1097">
        <f t="shared" si="177"/>
        <v>428346</v>
      </c>
      <c r="FO29" s="1098">
        <v>37019</v>
      </c>
      <c r="FP29" s="1098">
        <v>29051</v>
      </c>
      <c r="FQ29" s="1098">
        <v>33773</v>
      </c>
      <c r="FR29" s="1098">
        <v>33225</v>
      </c>
      <c r="FS29" s="1098">
        <v>30397</v>
      </c>
      <c r="FT29" s="1098">
        <v>27133</v>
      </c>
      <c r="FU29" s="1098">
        <v>30215</v>
      </c>
      <c r="FV29" s="1098">
        <v>38725</v>
      </c>
      <c r="FW29" s="1098">
        <v>40540</v>
      </c>
      <c r="FX29" s="1098">
        <v>43997</v>
      </c>
      <c r="FY29" s="1098">
        <v>44897</v>
      </c>
      <c r="FZ29" s="1098">
        <v>42931</v>
      </c>
      <c r="GA29" s="1097">
        <f t="shared" si="190"/>
        <v>431903</v>
      </c>
      <c r="GB29" s="1098">
        <v>36383.040000000001</v>
      </c>
      <c r="GC29" s="1098">
        <v>32925.61</v>
      </c>
      <c r="GD29" s="1098">
        <v>30756.79</v>
      </c>
      <c r="GE29" s="1098">
        <v>29834.18</v>
      </c>
      <c r="GF29" s="1098">
        <v>34951.229999999996</v>
      </c>
      <c r="GG29" s="1098">
        <v>26177</v>
      </c>
      <c r="GH29" s="1098">
        <v>31005</v>
      </c>
      <c r="GI29" s="1098">
        <v>38863</v>
      </c>
      <c r="GJ29" s="1098">
        <v>40677</v>
      </c>
      <c r="GK29" s="1098">
        <v>45853</v>
      </c>
      <c r="GL29" s="1098">
        <v>43975</v>
      </c>
      <c r="GM29" s="1098">
        <v>39590</v>
      </c>
      <c r="GN29" s="1097">
        <f t="shared" si="203"/>
        <v>430990.85</v>
      </c>
      <c r="GO29" s="1098">
        <v>41964.781999999999</v>
      </c>
      <c r="GP29" s="1098">
        <v>33332.214999999997</v>
      </c>
      <c r="GQ29" s="1098">
        <v>39469.525000000001</v>
      </c>
      <c r="GR29" s="1098">
        <v>33922.327000000005</v>
      </c>
      <c r="GS29" s="1098">
        <v>35707.785000000003</v>
      </c>
      <c r="GT29" s="1098">
        <v>34008.824000000001</v>
      </c>
      <c r="GU29" s="1098">
        <v>36684.623</v>
      </c>
      <c r="GV29" s="1098">
        <v>37419.844000000005</v>
      </c>
      <c r="GW29" s="1098">
        <v>46549.777999999998</v>
      </c>
      <c r="GX29" s="1098">
        <v>54389.57</v>
      </c>
      <c r="GY29" s="1098">
        <v>55185.97</v>
      </c>
      <c r="GZ29" s="1098">
        <v>60222.47</v>
      </c>
      <c r="HA29" s="1097">
        <f t="shared" si="216"/>
        <v>508857.71299999999</v>
      </c>
      <c r="HB29" s="1098">
        <v>53242.53</v>
      </c>
      <c r="HC29" s="1098">
        <v>44665.599999999999</v>
      </c>
      <c r="HD29" s="1098">
        <v>43057.67</v>
      </c>
      <c r="HE29" s="1098">
        <v>37160.57</v>
      </c>
      <c r="HF29" s="1098">
        <v>38429.660000000003</v>
      </c>
      <c r="HG29" s="1098">
        <v>35514.269999999997</v>
      </c>
      <c r="HH29" s="1098">
        <v>40122.61</v>
      </c>
      <c r="HI29" s="1098">
        <v>52873.4</v>
      </c>
      <c r="HJ29" s="1098">
        <v>47077.599999999999</v>
      </c>
      <c r="HK29" s="1098">
        <v>66923.8</v>
      </c>
      <c r="HL29" s="1098">
        <v>69112.588000000003</v>
      </c>
      <c r="HM29" s="1098">
        <v>63343.899999999994</v>
      </c>
      <c r="HN29" s="1097">
        <f t="shared" si="229"/>
        <v>591524.19799999997</v>
      </c>
      <c r="HO29" s="1098">
        <v>57516</v>
      </c>
      <c r="HP29" s="1098">
        <v>41661.019999999997</v>
      </c>
      <c r="HQ29" s="1098">
        <v>45226.28</v>
      </c>
      <c r="HR29" s="1098">
        <v>38281.94</v>
      </c>
      <c r="HS29" s="1098">
        <v>38856.839999999997</v>
      </c>
      <c r="HT29" s="1098">
        <v>40468.370000000003</v>
      </c>
      <c r="HU29" s="1098">
        <v>38811.01</v>
      </c>
      <c r="HV29" s="1098">
        <v>56050.04</v>
      </c>
      <c r="HW29" s="1098">
        <v>64187.37</v>
      </c>
      <c r="HX29" s="1098">
        <v>66975.360000000001</v>
      </c>
      <c r="HY29" s="1098">
        <v>60170.97</v>
      </c>
      <c r="HZ29" s="1098">
        <v>51972.22</v>
      </c>
      <c r="IA29" s="1097">
        <f t="shared" si="242"/>
        <v>600177.41999999993</v>
      </c>
      <c r="IB29" s="1098">
        <v>49301.18</v>
      </c>
      <c r="IC29" s="1098">
        <v>38415.07</v>
      </c>
      <c r="ID29" s="1098">
        <v>37671.22</v>
      </c>
      <c r="IE29" s="1098">
        <v>37949.879999999997</v>
      </c>
      <c r="IF29" s="1098">
        <v>36630.65</v>
      </c>
      <c r="IG29" s="1098">
        <v>33730.58</v>
      </c>
      <c r="IH29" s="1098">
        <v>46802</v>
      </c>
      <c r="II29" s="1098">
        <v>48172.89</v>
      </c>
      <c r="IJ29" s="1098">
        <v>46673</v>
      </c>
      <c r="IK29" s="1098">
        <v>64507</v>
      </c>
      <c r="IL29" s="1098">
        <v>56682</v>
      </c>
      <c r="IM29" s="1098">
        <v>48360</v>
      </c>
      <c r="IN29" s="1097">
        <v>544895.47</v>
      </c>
      <c r="IO29" s="1098">
        <v>43646</v>
      </c>
      <c r="IP29" s="1098">
        <v>35774</v>
      </c>
      <c r="IQ29" s="1098">
        <v>42922</v>
      </c>
      <c r="IR29" s="1098">
        <v>41721</v>
      </c>
      <c r="IS29" s="1098">
        <v>44840</v>
      </c>
      <c r="IT29" s="1098">
        <v>39963</v>
      </c>
      <c r="IU29" s="1098">
        <v>42205</v>
      </c>
      <c r="IV29" s="1098">
        <v>45729.86</v>
      </c>
      <c r="IW29" s="1098">
        <v>46976</v>
      </c>
      <c r="IX29" s="1098">
        <v>54699.91</v>
      </c>
      <c r="IY29" s="1098">
        <v>45938.23</v>
      </c>
      <c r="IZ29" s="1098">
        <v>55286.16</v>
      </c>
      <c r="JA29" s="1097">
        <v>539701.16</v>
      </c>
      <c r="JB29" s="1098">
        <v>43178</v>
      </c>
      <c r="JC29" s="1098">
        <v>35507.599999999999</v>
      </c>
      <c r="JD29" s="1098"/>
      <c r="JE29" s="1098"/>
      <c r="JF29" s="1098"/>
      <c r="JG29" s="1098"/>
      <c r="JH29" s="1098"/>
      <c r="JI29" s="1098"/>
      <c r="JJ29" s="1098"/>
      <c r="JK29" s="1098"/>
      <c r="JL29" s="1098"/>
      <c r="JM29" s="1098"/>
      <c r="JN29" s="1097">
        <f t="shared" si="281"/>
        <v>78685.600000000006</v>
      </c>
      <c r="JP29" s="1174">
        <f t="shared" si="305"/>
        <v>14.322084367245669</v>
      </c>
      <c r="JQ29" s="1175">
        <f t="shared" si="306"/>
        <v>-0.95326723857696027</v>
      </c>
      <c r="JR29" s="1184">
        <f t="shared" si="307"/>
        <v>544895.47</v>
      </c>
      <c r="JS29" s="1185">
        <f t="shared" si="308"/>
        <v>539701.16</v>
      </c>
      <c r="JT29" s="1"/>
      <c r="JU29" s="1079">
        <f t="shared" si="309"/>
        <v>15502235.659999996</v>
      </c>
      <c r="JV29" s="1080" t="s">
        <v>146</v>
      </c>
      <c r="JW29" s="1081" t="str">
        <f t="shared" si="310"/>
        <v>OK</v>
      </c>
    </row>
    <row r="30" spans="1:283" ht="15" customHeight="1" x14ac:dyDescent="0.2">
      <c r="A30" s="1166" t="s">
        <v>351</v>
      </c>
      <c r="B30" s="1098">
        <v>68</v>
      </c>
      <c r="C30" s="1098">
        <v>101</v>
      </c>
      <c r="D30" s="1098">
        <v>114</v>
      </c>
      <c r="E30" s="1098">
        <v>113</v>
      </c>
      <c r="F30" s="1098">
        <v>108</v>
      </c>
      <c r="G30" s="1098">
        <v>91</v>
      </c>
      <c r="H30" s="1098">
        <v>68</v>
      </c>
      <c r="I30" s="1098">
        <v>43</v>
      </c>
      <c r="J30" s="1098">
        <v>33</v>
      </c>
      <c r="K30" s="1098">
        <v>34</v>
      </c>
      <c r="L30" s="1098">
        <v>35</v>
      </c>
      <c r="M30" s="1098">
        <v>54</v>
      </c>
      <c r="N30" s="1097">
        <f t="shared" si="21"/>
        <v>862</v>
      </c>
      <c r="O30" s="1098">
        <v>70</v>
      </c>
      <c r="P30" s="1098">
        <v>93</v>
      </c>
      <c r="Q30" s="1098">
        <v>89</v>
      </c>
      <c r="R30" s="1098">
        <v>99</v>
      </c>
      <c r="S30" s="1098">
        <v>92</v>
      </c>
      <c r="T30" s="1098">
        <v>84</v>
      </c>
      <c r="U30" s="1098">
        <v>62</v>
      </c>
      <c r="V30" s="1098">
        <v>53</v>
      </c>
      <c r="W30" s="1098">
        <v>51</v>
      </c>
      <c r="X30" s="1098">
        <v>42</v>
      </c>
      <c r="Y30" s="1098">
        <v>45</v>
      </c>
      <c r="Z30" s="1098">
        <v>44</v>
      </c>
      <c r="AA30" s="1097">
        <f t="shared" si="34"/>
        <v>824</v>
      </c>
      <c r="AB30" s="1098">
        <v>78</v>
      </c>
      <c r="AC30" s="1098">
        <v>108</v>
      </c>
      <c r="AD30" s="1098">
        <v>115</v>
      </c>
      <c r="AE30" s="1098">
        <v>111</v>
      </c>
      <c r="AF30" s="1098">
        <v>105</v>
      </c>
      <c r="AG30" s="1098">
        <v>81</v>
      </c>
      <c r="AH30" s="1098">
        <v>61</v>
      </c>
      <c r="AI30" s="1098">
        <v>49</v>
      </c>
      <c r="AJ30" s="1098">
        <v>56</v>
      </c>
      <c r="AK30" s="1098">
        <v>37</v>
      </c>
      <c r="AL30" s="1098">
        <v>72</v>
      </c>
      <c r="AM30" s="1098">
        <v>61</v>
      </c>
      <c r="AN30" s="1097">
        <f t="shared" si="47"/>
        <v>934</v>
      </c>
      <c r="AO30" s="1098">
        <v>93</v>
      </c>
      <c r="AP30" s="1098">
        <v>113</v>
      </c>
      <c r="AQ30" s="1098">
        <v>98</v>
      </c>
      <c r="AR30" s="1098">
        <v>88</v>
      </c>
      <c r="AS30" s="1098">
        <v>61</v>
      </c>
      <c r="AT30" s="1098">
        <v>24</v>
      </c>
      <c r="AU30" s="1098">
        <v>18</v>
      </c>
      <c r="AV30" s="1098">
        <v>23</v>
      </c>
      <c r="AW30" s="1098">
        <v>46</v>
      </c>
      <c r="AX30" s="1098">
        <v>87</v>
      </c>
      <c r="AY30" s="1098">
        <v>99</v>
      </c>
      <c r="AZ30" s="1098">
        <v>51</v>
      </c>
      <c r="BA30" s="1097">
        <f t="shared" si="60"/>
        <v>801</v>
      </c>
      <c r="BB30" s="1098">
        <v>80</v>
      </c>
      <c r="BC30" s="1098">
        <v>134</v>
      </c>
      <c r="BD30" s="1098">
        <v>162</v>
      </c>
      <c r="BE30" s="1098">
        <v>189</v>
      </c>
      <c r="BF30" s="1098">
        <v>104</v>
      </c>
      <c r="BG30" s="1098">
        <v>74</v>
      </c>
      <c r="BH30" s="1098">
        <v>36</v>
      </c>
      <c r="BI30" s="1098">
        <v>32</v>
      </c>
      <c r="BJ30" s="1098">
        <v>31</v>
      </c>
      <c r="BK30" s="1098">
        <v>15</v>
      </c>
      <c r="BL30" s="1098">
        <v>45</v>
      </c>
      <c r="BM30" s="1098">
        <v>38</v>
      </c>
      <c r="BN30" s="1097">
        <f t="shared" si="73"/>
        <v>940</v>
      </c>
      <c r="BO30" s="1098">
        <v>54</v>
      </c>
      <c r="BP30" s="1098">
        <v>120</v>
      </c>
      <c r="BQ30" s="1098">
        <v>66</v>
      </c>
      <c r="BR30" s="1098">
        <v>86</v>
      </c>
      <c r="BS30" s="1098">
        <v>102</v>
      </c>
      <c r="BT30" s="1098">
        <v>71</v>
      </c>
      <c r="BU30" s="1098">
        <v>32</v>
      </c>
      <c r="BV30" s="1098">
        <v>15</v>
      </c>
      <c r="BW30" s="1098">
        <v>6</v>
      </c>
      <c r="BX30" s="1098">
        <v>32</v>
      </c>
      <c r="BY30" s="1098">
        <v>74</v>
      </c>
      <c r="BZ30" s="1098">
        <v>28</v>
      </c>
      <c r="CA30" s="1097">
        <f t="shared" si="86"/>
        <v>686</v>
      </c>
      <c r="CB30" s="1098">
        <v>95</v>
      </c>
      <c r="CC30" s="1098">
        <v>106</v>
      </c>
      <c r="CD30" s="1098">
        <v>91</v>
      </c>
      <c r="CE30" s="1098">
        <v>107</v>
      </c>
      <c r="CF30" s="1098">
        <v>72</v>
      </c>
      <c r="CG30" s="1098">
        <v>37</v>
      </c>
      <c r="CH30" s="1098">
        <v>10</v>
      </c>
      <c r="CI30" s="1098">
        <v>2</v>
      </c>
      <c r="CJ30" s="1098">
        <v>37</v>
      </c>
      <c r="CK30" s="1098">
        <v>104</v>
      </c>
      <c r="CL30" s="1098">
        <v>119</v>
      </c>
      <c r="CM30" s="1098">
        <v>144</v>
      </c>
      <c r="CN30" s="1097">
        <f t="shared" si="99"/>
        <v>924</v>
      </c>
      <c r="CO30" s="1098">
        <v>89</v>
      </c>
      <c r="CP30" s="1098">
        <v>95</v>
      </c>
      <c r="CQ30" s="1098">
        <v>136</v>
      </c>
      <c r="CR30" s="1098">
        <v>155</v>
      </c>
      <c r="CS30" s="1098">
        <v>104</v>
      </c>
      <c r="CT30" s="1098">
        <v>66</v>
      </c>
      <c r="CU30" s="1098">
        <v>48</v>
      </c>
      <c r="CV30" s="1098">
        <v>22</v>
      </c>
      <c r="CW30" s="1098">
        <v>20</v>
      </c>
      <c r="CX30" s="1098">
        <v>42</v>
      </c>
      <c r="CY30" s="1098">
        <v>61</v>
      </c>
      <c r="CZ30" s="1098">
        <v>47</v>
      </c>
      <c r="DA30" s="1097">
        <f t="shared" si="112"/>
        <v>885</v>
      </c>
      <c r="DB30" s="1098">
        <v>105</v>
      </c>
      <c r="DC30" s="1098">
        <v>97</v>
      </c>
      <c r="DD30" s="1098">
        <v>96</v>
      </c>
      <c r="DE30" s="1098">
        <v>151</v>
      </c>
      <c r="DF30" s="1098">
        <v>117</v>
      </c>
      <c r="DG30" s="1098">
        <v>84</v>
      </c>
      <c r="DH30" s="1098">
        <v>43</v>
      </c>
      <c r="DI30" s="1098">
        <v>12</v>
      </c>
      <c r="DJ30" s="1098">
        <v>10</v>
      </c>
      <c r="DK30" s="1098">
        <v>28</v>
      </c>
      <c r="DL30" s="1098">
        <v>59</v>
      </c>
      <c r="DM30" s="1098">
        <v>92</v>
      </c>
      <c r="DN30" s="1097">
        <f t="shared" si="125"/>
        <v>894</v>
      </c>
      <c r="DO30" s="1098">
        <v>83</v>
      </c>
      <c r="DP30" s="1098">
        <v>76</v>
      </c>
      <c r="DQ30" s="1098">
        <v>95</v>
      </c>
      <c r="DR30" s="1098">
        <v>10</v>
      </c>
      <c r="DS30" s="1098"/>
      <c r="DT30" s="1098"/>
      <c r="DU30" s="1098"/>
      <c r="DV30" s="1098"/>
      <c r="DW30" s="1098">
        <v>30</v>
      </c>
      <c r="DX30" s="1098">
        <v>97</v>
      </c>
      <c r="DY30" s="1098">
        <v>196</v>
      </c>
      <c r="DZ30" s="1098">
        <v>137</v>
      </c>
      <c r="EA30" s="1097">
        <f t="shared" si="138"/>
        <v>724</v>
      </c>
      <c r="EB30" s="1098">
        <v>15</v>
      </c>
      <c r="EC30" s="1098">
        <v>13</v>
      </c>
      <c r="ED30" s="1098">
        <v>20</v>
      </c>
      <c r="EE30" s="1098">
        <v>9</v>
      </c>
      <c r="EF30" s="1098">
        <v>3</v>
      </c>
      <c r="EG30" s="1098"/>
      <c r="EH30" s="1098"/>
      <c r="EI30" s="1098"/>
      <c r="EJ30" s="1098">
        <v>18</v>
      </c>
      <c r="EK30" s="1098">
        <v>53</v>
      </c>
      <c r="EL30" s="1098">
        <v>98</v>
      </c>
      <c r="EM30" s="1098">
        <v>75</v>
      </c>
      <c r="EN30" s="1097">
        <f t="shared" si="151"/>
        <v>304</v>
      </c>
      <c r="EO30" s="1098">
        <v>3</v>
      </c>
      <c r="EP30" s="1098">
        <v>12</v>
      </c>
      <c r="EQ30" s="1098">
        <v>19</v>
      </c>
      <c r="ER30" s="1098">
        <v>11</v>
      </c>
      <c r="ES30" s="1098">
        <v>1</v>
      </c>
      <c r="ET30" s="1098"/>
      <c r="EU30" s="1098"/>
      <c r="EV30" s="1098"/>
      <c r="EW30" s="1098"/>
      <c r="EX30" s="1098">
        <v>41</v>
      </c>
      <c r="EY30" s="1098">
        <v>124</v>
      </c>
      <c r="EZ30" s="1098">
        <v>102</v>
      </c>
      <c r="FA30" s="1097">
        <f t="shared" si="164"/>
        <v>313</v>
      </c>
      <c r="FB30" s="1098">
        <v>20</v>
      </c>
      <c r="FC30" s="1098">
        <v>18</v>
      </c>
      <c r="FD30" s="1098">
        <v>35</v>
      </c>
      <c r="FE30" s="1098">
        <v>8</v>
      </c>
      <c r="FF30" s="1098">
        <v>4</v>
      </c>
      <c r="FG30" s="1098"/>
      <c r="FH30" s="1098"/>
      <c r="FI30" s="1098"/>
      <c r="FJ30" s="1098"/>
      <c r="FK30" s="1098">
        <v>52</v>
      </c>
      <c r="FL30" s="1098">
        <v>128</v>
      </c>
      <c r="FM30" s="1098">
        <v>92</v>
      </c>
      <c r="FN30" s="1097">
        <f t="shared" si="177"/>
        <v>357</v>
      </c>
      <c r="FO30" s="1098">
        <v>32</v>
      </c>
      <c r="FP30" s="1098">
        <v>36</v>
      </c>
      <c r="FQ30" s="1098">
        <v>28</v>
      </c>
      <c r="FR30" s="1098">
        <v>5</v>
      </c>
      <c r="FS30" s="1098"/>
      <c r="FT30" s="1098">
        <v>5</v>
      </c>
      <c r="FU30" s="1098">
        <v>1</v>
      </c>
      <c r="FV30" s="1098">
        <v>2</v>
      </c>
      <c r="FW30" s="1098">
        <v>6</v>
      </c>
      <c r="FX30" s="1098">
        <v>65</v>
      </c>
      <c r="FY30" s="1098">
        <v>162</v>
      </c>
      <c r="FZ30" s="1098">
        <v>75</v>
      </c>
      <c r="GA30" s="1097">
        <f t="shared" si="190"/>
        <v>417</v>
      </c>
      <c r="GB30" s="1098">
        <v>41.3</v>
      </c>
      <c r="GC30" s="1098">
        <v>49.5</v>
      </c>
      <c r="GD30" s="1098">
        <v>32</v>
      </c>
      <c r="GE30" s="1098">
        <v>12.5</v>
      </c>
      <c r="GF30" s="1098">
        <v>7.8</v>
      </c>
      <c r="GG30" s="1098">
        <v>9.65</v>
      </c>
      <c r="GH30" s="1098">
        <v>2</v>
      </c>
      <c r="GI30" s="1098">
        <v>2</v>
      </c>
      <c r="GJ30" s="1098">
        <v>2</v>
      </c>
      <c r="GK30" s="1098">
        <v>79.5</v>
      </c>
      <c r="GL30" s="1098">
        <v>167.1</v>
      </c>
      <c r="GM30" s="1098">
        <v>90.2</v>
      </c>
      <c r="GN30" s="1097">
        <f t="shared" si="203"/>
        <v>495.55</v>
      </c>
      <c r="GO30" s="1098">
        <v>59</v>
      </c>
      <c r="GP30" s="1098">
        <v>49</v>
      </c>
      <c r="GQ30" s="1098">
        <v>56</v>
      </c>
      <c r="GR30" s="1098">
        <v>33</v>
      </c>
      <c r="GS30" s="1098">
        <v>8</v>
      </c>
      <c r="GT30" s="1098">
        <v>20</v>
      </c>
      <c r="GU30" s="1098">
        <v>4.8000000000000007</v>
      </c>
      <c r="GV30" s="1098">
        <v>15</v>
      </c>
      <c r="GW30" s="1098">
        <v>10</v>
      </c>
      <c r="GX30" s="1098">
        <v>83</v>
      </c>
      <c r="GY30" s="1098">
        <v>153.5</v>
      </c>
      <c r="GZ30" s="1098">
        <v>106</v>
      </c>
      <c r="HA30" s="1097">
        <f t="shared" si="216"/>
        <v>597.29999999999995</v>
      </c>
      <c r="HB30" s="1098">
        <v>71.5</v>
      </c>
      <c r="HC30" s="1098">
        <v>79</v>
      </c>
      <c r="HD30" s="1098">
        <v>93.5</v>
      </c>
      <c r="HE30" s="1098">
        <v>69</v>
      </c>
      <c r="HF30" s="1098">
        <v>38</v>
      </c>
      <c r="HG30" s="1098">
        <v>28</v>
      </c>
      <c r="HH30" s="1098">
        <v>7</v>
      </c>
      <c r="HI30" s="1098">
        <v>11</v>
      </c>
      <c r="HJ30" s="1098">
        <v>27.5</v>
      </c>
      <c r="HK30" s="1098">
        <v>117</v>
      </c>
      <c r="HL30" s="1098">
        <v>161</v>
      </c>
      <c r="HM30" s="1098">
        <v>135.5</v>
      </c>
      <c r="HN30" s="1097">
        <f t="shared" si="229"/>
        <v>838</v>
      </c>
      <c r="HO30" s="1098">
        <v>67.5</v>
      </c>
      <c r="HP30" s="1098">
        <v>53</v>
      </c>
      <c r="HQ30" s="1098">
        <v>67.5</v>
      </c>
      <c r="HR30" s="1098">
        <v>44</v>
      </c>
      <c r="HS30" s="1098">
        <v>30</v>
      </c>
      <c r="HT30" s="1098">
        <v>15</v>
      </c>
      <c r="HU30" s="1098">
        <v>7</v>
      </c>
      <c r="HV30" s="1098">
        <v>16</v>
      </c>
      <c r="HW30" s="1098">
        <v>13</v>
      </c>
      <c r="HX30" s="1098">
        <v>106</v>
      </c>
      <c r="HY30" s="1098">
        <v>125.5</v>
      </c>
      <c r="HZ30" s="1098">
        <v>126</v>
      </c>
      <c r="IA30" s="1097">
        <f t="shared" si="242"/>
        <v>670.5</v>
      </c>
      <c r="IB30" s="1098">
        <v>60</v>
      </c>
      <c r="IC30" s="1098">
        <v>56</v>
      </c>
      <c r="ID30" s="1098">
        <v>75</v>
      </c>
      <c r="IE30" s="1098">
        <v>64</v>
      </c>
      <c r="IF30" s="1098">
        <v>49.5</v>
      </c>
      <c r="IG30" s="1098">
        <v>27.5</v>
      </c>
      <c r="IH30" s="1098">
        <v>20</v>
      </c>
      <c r="II30" s="1098">
        <v>16</v>
      </c>
      <c r="IJ30" s="1098">
        <v>10</v>
      </c>
      <c r="IK30" s="1098">
        <v>61</v>
      </c>
      <c r="IL30" s="1098">
        <v>81</v>
      </c>
      <c r="IM30" s="1098">
        <v>75</v>
      </c>
      <c r="IN30" s="1097">
        <v>595</v>
      </c>
      <c r="IO30" s="1098">
        <v>47.5</v>
      </c>
      <c r="IP30" s="1098">
        <v>38</v>
      </c>
      <c r="IQ30" s="1098">
        <v>58.5</v>
      </c>
      <c r="IR30" s="1098">
        <v>32.5</v>
      </c>
      <c r="IS30" s="1098">
        <v>42.5</v>
      </c>
      <c r="IT30" s="1098">
        <v>24</v>
      </c>
      <c r="IU30" s="1098">
        <v>33</v>
      </c>
      <c r="IV30" s="1098">
        <v>26</v>
      </c>
      <c r="IW30" s="1098">
        <v>26</v>
      </c>
      <c r="IX30" s="1098">
        <v>110</v>
      </c>
      <c r="IY30" s="1098">
        <v>134</v>
      </c>
      <c r="IZ30" s="1098">
        <v>137</v>
      </c>
      <c r="JA30" s="1097">
        <v>709</v>
      </c>
      <c r="JB30" s="1098">
        <v>65</v>
      </c>
      <c r="JC30" s="1098">
        <v>69</v>
      </c>
      <c r="JD30" s="1098"/>
      <c r="JE30" s="1098"/>
      <c r="JF30" s="1098"/>
      <c r="JG30" s="1098"/>
      <c r="JH30" s="1098"/>
      <c r="JI30" s="1098"/>
      <c r="JJ30" s="1098"/>
      <c r="JK30" s="1098"/>
      <c r="JL30" s="1098"/>
      <c r="JM30" s="1098"/>
      <c r="JN30" s="1097">
        <f t="shared" si="281"/>
        <v>134</v>
      </c>
      <c r="JP30" s="1174">
        <f t="shared" si="305"/>
        <v>82.666666666666671</v>
      </c>
      <c r="JQ30" s="1175">
        <f t="shared" si="306"/>
        <v>19.159663865546218</v>
      </c>
      <c r="JR30" s="1184">
        <f t="shared" si="307"/>
        <v>595</v>
      </c>
      <c r="JS30" s="1185">
        <f t="shared" si="308"/>
        <v>709</v>
      </c>
      <c r="JT30" s="1"/>
      <c r="JU30" s="1079">
        <f t="shared" si="309"/>
        <v>27808.699999999997</v>
      </c>
      <c r="JV30" s="1080" t="s">
        <v>351</v>
      </c>
      <c r="JW30" s="1081" t="str">
        <f t="shared" si="310"/>
        <v>OK</v>
      </c>
    </row>
    <row r="31" spans="1:283" ht="15" customHeight="1" x14ac:dyDescent="0.2">
      <c r="A31" s="1166" t="s">
        <v>139</v>
      </c>
      <c r="B31" s="1098">
        <v>672</v>
      </c>
      <c r="C31" s="1098">
        <v>752</v>
      </c>
      <c r="D31" s="1098">
        <v>1116</v>
      </c>
      <c r="E31" s="1098">
        <v>1278</v>
      </c>
      <c r="F31" s="1098">
        <v>1234</v>
      </c>
      <c r="G31" s="1098">
        <v>1318</v>
      </c>
      <c r="H31" s="1098">
        <v>1225</v>
      </c>
      <c r="I31" s="1098">
        <v>1075</v>
      </c>
      <c r="J31" s="1098">
        <v>744</v>
      </c>
      <c r="K31" s="1098">
        <v>705</v>
      </c>
      <c r="L31" s="1098">
        <v>763</v>
      </c>
      <c r="M31" s="1098">
        <v>1017</v>
      </c>
      <c r="N31" s="1097">
        <f t="shared" si="21"/>
        <v>11899</v>
      </c>
      <c r="O31" s="1098">
        <v>1197</v>
      </c>
      <c r="P31" s="1098">
        <v>1543</v>
      </c>
      <c r="Q31" s="1098">
        <v>1607</v>
      </c>
      <c r="R31" s="1098">
        <v>1740</v>
      </c>
      <c r="S31" s="1098">
        <v>1626</v>
      </c>
      <c r="T31" s="1098">
        <v>1629</v>
      </c>
      <c r="U31" s="1098">
        <v>1721</v>
      </c>
      <c r="V31" s="1098">
        <v>1648</v>
      </c>
      <c r="W31" s="1098">
        <v>1751</v>
      </c>
      <c r="X31" s="1098">
        <v>2180</v>
      </c>
      <c r="Y31" s="1098">
        <v>2027</v>
      </c>
      <c r="Z31" s="1098">
        <v>1966</v>
      </c>
      <c r="AA31" s="1097">
        <f t="shared" si="34"/>
        <v>20635</v>
      </c>
      <c r="AB31" s="1098">
        <v>1398</v>
      </c>
      <c r="AC31" s="1098">
        <v>1521</v>
      </c>
      <c r="AD31" s="1098">
        <v>1841</v>
      </c>
      <c r="AE31" s="1098">
        <v>1996</v>
      </c>
      <c r="AF31" s="1098">
        <v>2015</v>
      </c>
      <c r="AG31" s="1098">
        <v>1875</v>
      </c>
      <c r="AH31" s="1098">
        <v>1991</v>
      </c>
      <c r="AI31" s="1098">
        <v>1846</v>
      </c>
      <c r="AJ31" s="1098">
        <v>1686</v>
      </c>
      <c r="AK31" s="1098">
        <v>1763</v>
      </c>
      <c r="AL31" s="1098">
        <v>1763</v>
      </c>
      <c r="AM31" s="1098">
        <v>1404</v>
      </c>
      <c r="AN31" s="1097">
        <f t="shared" si="47"/>
        <v>21099</v>
      </c>
      <c r="AO31" s="1098">
        <v>1804</v>
      </c>
      <c r="AP31" s="1098">
        <v>2301</v>
      </c>
      <c r="AQ31" s="1098">
        <v>1894</v>
      </c>
      <c r="AR31" s="1098">
        <v>1768</v>
      </c>
      <c r="AS31" s="1098">
        <v>1610</v>
      </c>
      <c r="AT31" s="1098">
        <v>1534</v>
      </c>
      <c r="AU31" s="1098">
        <v>1699</v>
      </c>
      <c r="AV31" s="1098">
        <v>1708</v>
      </c>
      <c r="AW31" s="1098">
        <v>2009</v>
      </c>
      <c r="AX31" s="1098">
        <v>2387</v>
      </c>
      <c r="AY31" s="1098">
        <v>2340</v>
      </c>
      <c r="AZ31" s="1098">
        <v>1407</v>
      </c>
      <c r="BA31" s="1097">
        <f t="shared" si="60"/>
        <v>22461</v>
      </c>
      <c r="BB31" s="1098">
        <v>2305</v>
      </c>
      <c r="BC31" s="1098">
        <v>2344</v>
      </c>
      <c r="BD31" s="1098">
        <v>2667</v>
      </c>
      <c r="BE31" s="1098">
        <v>3138</v>
      </c>
      <c r="BF31" s="1098">
        <v>3232</v>
      </c>
      <c r="BG31" s="1098">
        <v>2925</v>
      </c>
      <c r="BH31" s="1098">
        <v>3449</v>
      </c>
      <c r="BI31" s="1098">
        <v>3745</v>
      </c>
      <c r="BJ31" s="1098">
        <v>3406</v>
      </c>
      <c r="BK31" s="1098">
        <v>3715</v>
      </c>
      <c r="BL31" s="1098">
        <v>3872</v>
      </c>
      <c r="BM31" s="1098">
        <v>3606</v>
      </c>
      <c r="BN31" s="1097">
        <f t="shared" si="73"/>
        <v>38404</v>
      </c>
      <c r="BO31" s="1098">
        <v>1967</v>
      </c>
      <c r="BP31" s="1098">
        <v>1936</v>
      </c>
      <c r="BQ31" s="1098">
        <v>2097</v>
      </c>
      <c r="BR31" s="1098">
        <v>2289</v>
      </c>
      <c r="BS31" s="1098">
        <v>2477</v>
      </c>
      <c r="BT31" s="1098">
        <v>2486</v>
      </c>
      <c r="BU31" s="1098">
        <v>2689</v>
      </c>
      <c r="BV31" s="1098">
        <v>2622</v>
      </c>
      <c r="BW31" s="1098">
        <v>2484</v>
      </c>
      <c r="BX31" s="1098">
        <v>2640</v>
      </c>
      <c r="BY31" s="1098">
        <v>3141</v>
      </c>
      <c r="BZ31" s="1098">
        <v>2353</v>
      </c>
      <c r="CA31" s="1097">
        <f t="shared" si="86"/>
        <v>29181</v>
      </c>
      <c r="CB31" s="1098">
        <v>1523</v>
      </c>
      <c r="CC31" s="1098">
        <v>1756</v>
      </c>
      <c r="CD31" s="1098">
        <v>1463</v>
      </c>
      <c r="CE31" s="1098">
        <v>1972</v>
      </c>
      <c r="CF31" s="1098">
        <v>2367</v>
      </c>
      <c r="CG31" s="1098">
        <v>2533</v>
      </c>
      <c r="CH31" s="1098">
        <v>2861</v>
      </c>
      <c r="CI31" s="1098">
        <v>3002</v>
      </c>
      <c r="CJ31" s="1098">
        <v>2713</v>
      </c>
      <c r="CK31" s="1098">
        <v>3115</v>
      </c>
      <c r="CL31" s="1098">
        <v>3467</v>
      </c>
      <c r="CM31" s="1098">
        <v>2604</v>
      </c>
      <c r="CN31" s="1097">
        <f t="shared" si="99"/>
        <v>29376</v>
      </c>
      <c r="CO31" s="1098">
        <v>1698</v>
      </c>
      <c r="CP31" s="1098">
        <v>2153</v>
      </c>
      <c r="CQ31" s="1098">
        <v>1934</v>
      </c>
      <c r="CR31" s="1098">
        <v>2441</v>
      </c>
      <c r="CS31" s="1098">
        <v>2294</v>
      </c>
      <c r="CT31" s="1098">
        <v>2710</v>
      </c>
      <c r="CU31" s="1098">
        <v>2705</v>
      </c>
      <c r="CV31" s="1098">
        <v>3162</v>
      </c>
      <c r="CW31" s="1098">
        <v>3660</v>
      </c>
      <c r="CX31" s="1098">
        <v>3294</v>
      </c>
      <c r="CY31" s="1098">
        <v>3337</v>
      </c>
      <c r="CZ31" s="1098">
        <v>3048</v>
      </c>
      <c r="DA31" s="1097">
        <f t="shared" si="112"/>
        <v>32436</v>
      </c>
      <c r="DB31" s="1098">
        <v>1696</v>
      </c>
      <c r="DC31" s="1098">
        <v>2010</v>
      </c>
      <c r="DD31" s="1098">
        <v>1900</v>
      </c>
      <c r="DE31" s="1098">
        <v>2265</v>
      </c>
      <c r="DF31" s="1098">
        <v>2113</v>
      </c>
      <c r="DG31" s="1098">
        <v>2301</v>
      </c>
      <c r="DH31" s="1098">
        <v>2217</v>
      </c>
      <c r="DI31" s="1098">
        <v>2174</v>
      </c>
      <c r="DJ31" s="1098">
        <v>2291</v>
      </c>
      <c r="DK31" s="1098">
        <v>2384</v>
      </c>
      <c r="DL31" s="1098">
        <v>2283</v>
      </c>
      <c r="DM31" s="1098">
        <v>2086</v>
      </c>
      <c r="DN31" s="1097">
        <f t="shared" si="125"/>
        <v>25720</v>
      </c>
      <c r="DO31" s="1098">
        <v>1298</v>
      </c>
      <c r="DP31" s="1098">
        <v>1532</v>
      </c>
      <c r="DQ31" s="1098">
        <v>1493</v>
      </c>
      <c r="DR31" s="1098">
        <v>1155</v>
      </c>
      <c r="DS31" s="1098">
        <v>1247</v>
      </c>
      <c r="DT31" s="1098">
        <v>1197</v>
      </c>
      <c r="DU31" s="1098">
        <v>1336</v>
      </c>
      <c r="DV31" s="1098">
        <v>1466</v>
      </c>
      <c r="DW31" s="1098">
        <v>1663</v>
      </c>
      <c r="DX31" s="1098">
        <v>1561</v>
      </c>
      <c r="DY31" s="1098">
        <v>1469</v>
      </c>
      <c r="DZ31" s="1098">
        <v>1347</v>
      </c>
      <c r="EA31" s="1097">
        <f t="shared" si="138"/>
        <v>16764</v>
      </c>
      <c r="EB31" s="1098">
        <v>1428</v>
      </c>
      <c r="EC31" s="1098">
        <v>1693</v>
      </c>
      <c r="ED31" s="1098">
        <v>1597</v>
      </c>
      <c r="EE31" s="1098">
        <v>1728</v>
      </c>
      <c r="EF31" s="1098">
        <v>1704</v>
      </c>
      <c r="EG31" s="1098">
        <v>1529</v>
      </c>
      <c r="EH31" s="1098">
        <v>1617</v>
      </c>
      <c r="EI31" s="1098">
        <v>1418</v>
      </c>
      <c r="EJ31" s="1098">
        <v>1538</v>
      </c>
      <c r="EK31" s="1098">
        <v>1828</v>
      </c>
      <c r="EL31" s="1098">
        <v>1625</v>
      </c>
      <c r="EM31" s="1098">
        <v>1640</v>
      </c>
      <c r="EN31" s="1097">
        <f t="shared" si="151"/>
        <v>19345</v>
      </c>
      <c r="EO31" s="1098">
        <v>1275</v>
      </c>
      <c r="EP31" s="1098">
        <v>1545</v>
      </c>
      <c r="EQ31" s="1098">
        <v>1817</v>
      </c>
      <c r="ER31" s="1098">
        <v>1716</v>
      </c>
      <c r="ES31" s="1098">
        <v>1461</v>
      </c>
      <c r="ET31" s="1098">
        <v>1497</v>
      </c>
      <c r="EU31" s="1098">
        <v>1445</v>
      </c>
      <c r="EV31" s="1098">
        <v>1386</v>
      </c>
      <c r="EW31" s="1098">
        <v>1519</v>
      </c>
      <c r="EX31" s="1098">
        <v>1410</v>
      </c>
      <c r="EY31" s="1098">
        <v>1582</v>
      </c>
      <c r="EZ31" s="1098">
        <v>1423</v>
      </c>
      <c r="FA31" s="1097">
        <f t="shared" si="164"/>
        <v>18076</v>
      </c>
      <c r="FB31" s="1098">
        <v>1163</v>
      </c>
      <c r="FC31" s="1098">
        <v>1462</v>
      </c>
      <c r="FD31" s="1098">
        <v>1486</v>
      </c>
      <c r="FE31" s="1098">
        <v>1487</v>
      </c>
      <c r="FF31" s="1098">
        <v>1350</v>
      </c>
      <c r="FG31" s="1098">
        <v>1748</v>
      </c>
      <c r="FH31" s="1098">
        <v>1701</v>
      </c>
      <c r="FI31" s="1098">
        <v>1337</v>
      </c>
      <c r="FJ31" s="1098">
        <v>1461</v>
      </c>
      <c r="FK31" s="1098">
        <v>1389</v>
      </c>
      <c r="FL31" s="1098">
        <v>1432</v>
      </c>
      <c r="FM31" s="1098">
        <v>1288</v>
      </c>
      <c r="FN31" s="1097">
        <f t="shared" si="177"/>
        <v>17304</v>
      </c>
      <c r="FO31" s="1098">
        <v>1313</v>
      </c>
      <c r="FP31" s="1098">
        <v>1739</v>
      </c>
      <c r="FQ31" s="1098">
        <v>1408</v>
      </c>
      <c r="FR31" s="1098">
        <v>1624</v>
      </c>
      <c r="FS31" s="1098">
        <v>1821</v>
      </c>
      <c r="FT31" s="1098">
        <v>2104</v>
      </c>
      <c r="FU31" s="1098">
        <v>2050</v>
      </c>
      <c r="FV31" s="1098">
        <v>1855</v>
      </c>
      <c r="FW31" s="1098">
        <v>1416</v>
      </c>
      <c r="FX31" s="1098">
        <v>2054</v>
      </c>
      <c r="FY31" s="1098">
        <v>2388</v>
      </c>
      <c r="FZ31" s="1098">
        <v>2290</v>
      </c>
      <c r="GA31" s="1097">
        <f t="shared" si="190"/>
        <v>22062</v>
      </c>
      <c r="GB31" s="1098">
        <v>2321</v>
      </c>
      <c r="GC31" s="1098">
        <v>1953</v>
      </c>
      <c r="GD31" s="1098">
        <v>2152.5</v>
      </c>
      <c r="GE31" s="1098">
        <v>2155.5</v>
      </c>
      <c r="GF31" s="1098">
        <v>2582</v>
      </c>
      <c r="GG31" s="1098">
        <v>2677.8</v>
      </c>
      <c r="GH31" s="1098">
        <v>3480</v>
      </c>
      <c r="GI31" s="1098">
        <v>3142</v>
      </c>
      <c r="GJ31" s="1098">
        <v>3575</v>
      </c>
      <c r="GK31" s="1098">
        <v>3469</v>
      </c>
      <c r="GL31" s="1098">
        <v>3054.5</v>
      </c>
      <c r="GM31" s="1098">
        <v>2911</v>
      </c>
      <c r="GN31" s="1097">
        <f t="shared" si="203"/>
        <v>33473.300000000003</v>
      </c>
      <c r="GO31" s="1098">
        <v>2346.5</v>
      </c>
      <c r="GP31" s="1098">
        <v>1892</v>
      </c>
      <c r="GQ31" s="1098">
        <v>2025</v>
      </c>
      <c r="GR31" s="1098">
        <v>2019</v>
      </c>
      <c r="GS31" s="1098">
        <v>2093</v>
      </c>
      <c r="GT31" s="1098">
        <v>3280</v>
      </c>
      <c r="GU31" s="1098">
        <v>2332</v>
      </c>
      <c r="GV31" s="1098">
        <v>1943</v>
      </c>
      <c r="GW31" s="1098">
        <v>2067</v>
      </c>
      <c r="GX31" s="1098">
        <v>2104</v>
      </c>
      <c r="GY31" s="1098">
        <v>2113</v>
      </c>
      <c r="GZ31" s="1098">
        <v>2235</v>
      </c>
      <c r="HA31" s="1097">
        <f t="shared" si="216"/>
        <v>26449.5</v>
      </c>
      <c r="HB31" s="1098">
        <v>1994</v>
      </c>
      <c r="HC31" s="1098">
        <v>1682</v>
      </c>
      <c r="HD31" s="1098">
        <v>2062</v>
      </c>
      <c r="HE31" s="1098">
        <v>1812</v>
      </c>
      <c r="HF31" s="1098">
        <v>1977</v>
      </c>
      <c r="HG31" s="1098">
        <v>3340</v>
      </c>
      <c r="HH31" s="1098">
        <v>2658</v>
      </c>
      <c r="HI31" s="1098">
        <v>2417</v>
      </c>
      <c r="HJ31" s="1098">
        <v>2452</v>
      </c>
      <c r="HK31" s="1098">
        <v>2323</v>
      </c>
      <c r="HL31" s="1098">
        <v>2346</v>
      </c>
      <c r="HM31" s="1098">
        <v>2283</v>
      </c>
      <c r="HN31" s="1097">
        <f t="shared" si="229"/>
        <v>27346</v>
      </c>
      <c r="HO31" s="1098">
        <v>1851</v>
      </c>
      <c r="HP31" s="1098">
        <v>2035</v>
      </c>
      <c r="HQ31" s="1098">
        <v>1749</v>
      </c>
      <c r="HR31" s="1098">
        <v>1572</v>
      </c>
      <c r="HS31" s="1098">
        <v>1821</v>
      </c>
      <c r="HT31" s="1098">
        <v>2943</v>
      </c>
      <c r="HU31" s="1098">
        <v>2149</v>
      </c>
      <c r="HV31" s="1098">
        <v>2209</v>
      </c>
      <c r="HW31" s="1098">
        <v>2131</v>
      </c>
      <c r="HX31" s="1098">
        <v>1848</v>
      </c>
      <c r="HY31" s="1098">
        <v>1872</v>
      </c>
      <c r="HZ31" s="1098">
        <v>1862</v>
      </c>
      <c r="IA31" s="1097">
        <f t="shared" si="242"/>
        <v>24042</v>
      </c>
      <c r="IB31" s="1098">
        <v>2214</v>
      </c>
      <c r="IC31" s="1098">
        <v>2204</v>
      </c>
      <c r="ID31" s="1098">
        <v>1955</v>
      </c>
      <c r="IE31" s="1098">
        <v>1785</v>
      </c>
      <c r="IF31" s="1098">
        <v>2035</v>
      </c>
      <c r="IG31" s="1098">
        <v>3237</v>
      </c>
      <c r="IH31" s="1098">
        <v>2525</v>
      </c>
      <c r="II31" s="1098">
        <v>2050</v>
      </c>
      <c r="IJ31" s="1098">
        <v>2152</v>
      </c>
      <c r="IK31" s="1098">
        <v>1906</v>
      </c>
      <c r="IL31" s="1098">
        <v>2083</v>
      </c>
      <c r="IM31" s="1098">
        <v>2415</v>
      </c>
      <c r="IN31" s="1097">
        <v>26561</v>
      </c>
      <c r="IO31" s="1098">
        <v>2551</v>
      </c>
      <c r="IP31" s="1098">
        <v>2075</v>
      </c>
      <c r="IQ31" s="1098">
        <v>2014.7</v>
      </c>
      <c r="IR31" s="1098">
        <v>1784</v>
      </c>
      <c r="IS31" s="1098">
        <v>2243</v>
      </c>
      <c r="IT31" s="1098">
        <v>3963.5</v>
      </c>
      <c r="IU31" s="1098">
        <v>3081</v>
      </c>
      <c r="IV31" s="1098">
        <v>2242</v>
      </c>
      <c r="IW31" s="1098">
        <v>2153</v>
      </c>
      <c r="IX31" s="1098">
        <v>2009</v>
      </c>
      <c r="IY31" s="1098">
        <v>2183</v>
      </c>
      <c r="IZ31" s="1098">
        <v>2536.5</v>
      </c>
      <c r="JA31" s="1097">
        <v>28835.7</v>
      </c>
      <c r="JB31" s="1098">
        <v>2469</v>
      </c>
      <c r="JC31" s="1098">
        <v>1952</v>
      </c>
      <c r="JD31" s="1098"/>
      <c r="JE31" s="1098"/>
      <c r="JF31" s="1098"/>
      <c r="JG31" s="1098"/>
      <c r="JH31" s="1098"/>
      <c r="JI31" s="1098"/>
      <c r="JJ31" s="1098"/>
      <c r="JK31" s="1098"/>
      <c r="JL31" s="1098"/>
      <c r="JM31" s="1098"/>
      <c r="JN31" s="1097">
        <f t="shared" si="281"/>
        <v>4421</v>
      </c>
      <c r="JP31" s="1174">
        <f t="shared" si="305"/>
        <v>5.0310559006211175</v>
      </c>
      <c r="JQ31" s="1175">
        <f t="shared" si="306"/>
        <v>8.5640600880990903</v>
      </c>
      <c r="JR31" s="1184">
        <f t="shared" si="307"/>
        <v>26561</v>
      </c>
      <c r="JS31" s="1185">
        <f t="shared" si="308"/>
        <v>28835.7</v>
      </c>
      <c r="JT31" s="1"/>
      <c r="JU31" s="1079">
        <f t="shared" si="309"/>
        <v>991781</v>
      </c>
      <c r="JV31" s="1080" t="s">
        <v>139</v>
      </c>
      <c r="JW31" s="1081" t="str">
        <f t="shared" si="310"/>
        <v>OK</v>
      </c>
    </row>
    <row r="32" spans="1:283" ht="15" customHeight="1" x14ac:dyDescent="0.2">
      <c r="A32" s="1166" t="s">
        <v>569</v>
      </c>
      <c r="B32" s="1098">
        <v>3506</v>
      </c>
      <c r="C32" s="1098">
        <v>3761</v>
      </c>
      <c r="D32" s="1098">
        <v>3405</v>
      </c>
      <c r="E32" s="1098">
        <v>2</v>
      </c>
      <c r="F32" s="1098"/>
      <c r="G32" s="1098"/>
      <c r="H32" s="1098"/>
      <c r="I32" s="1098"/>
      <c r="J32" s="1098"/>
      <c r="K32" s="1098"/>
      <c r="L32" s="1098"/>
      <c r="M32" s="1098"/>
      <c r="N32" s="1097">
        <f t="shared" si="21"/>
        <v>10674</v>
      </c>
      <c r="O32" s="1098">
        <v>3491</v>
      </c>
      <c r="P32" s="1098">
        <v>3733</v>
      </c>
      <c r="Q32" s="1098">
        <v>3387</v>
      </c>
      <c r="R32" s="1098">
        <v>2</v>
      </c>
      <c r="S32" s="1098"/>
      <c r="T32" s="1098"/>
      <c r="U32" s="1098"/>
      <c r="V32" s="1098"/>
      <c r="W32" s="1098"/>
      <c r="X32" s="1098"/>
      <c r="Y32" s="1098"/>
      <c r="Z32" s="1098"/>
      <c r="AA32" s="1097">
        <f t="shared" si="34"/>
        <v>10613</v>
      </c>
      <c r="AB32" s="1098">
        <v>3295</v>
      </c>
      <c r="AC32" s="1098">
        <v>3430</v>
      </c>
      <c r="AD32" s="1098">
        <v>3719</v>
      </c>
      <c r="AE32" s="1098">
        <v>2</v>
      </c>
      <c r="AF32" s="1098"/>
      <c r="AG32" s="1098"/>
      <c r="AH32" s="1098"/>
      <c r="AI32" s="1098"/>
      <c r="AJ32" s="1098"/>
      <c r="AK32" s="1098"/>
      <c r="AL32" s="1098"/>
      <c r="AM32" s="1098"/>
      <c r="AN32" s="1097">
        <f t="shared" si="47"/>
        <v>10446</v>
      </c>
      <c r="AO32" s="1098">
        <v>3257</v>
      </c>
      <c r="AP32" s="1098">
        <v>3532</v>
      </c>
      <c r="AQ32" s="1098">
        <v>3949</v>
      </c>
      <c r="AR32" s="1098"/>
      <c r="AS32" s="1098"/>
      <c r="AT32" s="1098"/>
      <c r="AU32" s="1098"/>
      <c r="AV32" s="1098"/>
      <c r="AW32" s="1098"/>
      <c r="AX32" s="1098"/>
      <c r="AY32" s="1098"/>
      <c r="AZ32" s="1098"/>
      <c r="BA32" s="1097">
        <f t="shared" si="60"/>
        <v>10738</v>
      </c>
      <c r="BB32" s="1098">
        <v>3346</v>
      </c>
      <c r="BC32" s="1098">
        <v>3859</v>
      </c>
      <c r="BD32" s="1098">
        <v>3724</v>
      </c>
      <c r="BE32" s="1098"/>
      <c r="BF32" s="1098"/>
      <c r="BG32" s="1098"/>
      <c r="BH32" s="1098"/>
      <c r="BI32" s="1098"/>
      <c r="BJ32" s="1098"/>
      <c r="BK32" s="1098"/>
      <c r="BL32" s="1098"/>
      <c r="BM32" s="1098"/>
      <c r="BN32" s="1097">
        <f t="shared" si="73"/>
        <v>10929</v>
      </c>
      <c r="BO32" s="1098">
        <v>3198</v>
      </c>
      <c r="BP32" s="1098">
        <v>4214</v>
      </c>
      <c r="BQ32" s="1098">
        <v>3528</v>
      </c>
      <c r="BR32" s="1098">
        <v>51</v>
      </c>
      <c r="BS32" s="1098">
        <v>38</v>
      </c>
      <c r="BT32" s="1098"/>
      <c r="BU32" s="1098"/>
      <c r="BV32" s="1098"/>
      <c r="BW32" s="1098"/>
      <c r="BX32" s="1098"/>
      <c r="BY32" s="1098"/>
      <c r="BZ32" s="1098"/>
      <c r="CA32" s="1097">
        <f t="shared" si="86"/>
        <v>11029</v>
      </c>
      <c r="CB32" s="1098">
        <v>3180</v>
      </c>
      <c r="CC32" s="1098">
        <v>72</v>
      </c>
      <c r="CD32" s="1098">
        <v>25</v>
      </c>
      <c r="CE32" s="1098"/>
      <c r="CF32" s="1098"/>
      <c r="CG32" s="1098"/>
      <c r="CH32" s="1098"/>
      <c r="CI32" s="1098"/>
      <c r="CJ32" s="1098"/>
      <c r="CK32" s="1098">
        <v>120</v>
      </c>
      <c r="CL32" s="1098">
        <v>180</v>
      </c>
      <c r="CM32" s="1098">
        <v>180</v>
      </c>
      <c r="CN32" s="1097">
        <f t="shared" si="99"/>
        <v>3757</v>
      </c>
      <c r="CO32" s="1098">
        <v>3428</v>
      </c>
      <c r="CP32" s="1098">
        <v>4352</v>
      </c>
      <c r="CQ32" s="1098">
        <v>3490</v>
      </c>
      <c r="CR32" s="1098">
        <v>389</v>
      </c>
      <c r="CS32" s="1098">
        <v>1658</v>
      </c>
      <c r="CT32" s="1098"/>
      <c r="CU32" s="1098"/>
      <c r="CV32" s="1098"/>
      <c r="CW32" s="1098"/>
      <c r="CX32" s="1098"/>
      <c r="CY32" s="1098"/>
      <c r="CZ32" s="1098"/>
      <c r="DA32" s="1097">
        <f t="shared" si="112"/>
        <v>13317</v>
      </c>
      <c r="DB32" s="1098">
        <v>3442</v>
      </c>
      <c r="DC32" s="1098">
        <v>4365</v>
      </c>
      <c r="DD32" s="1098">
        <v>3623</v>
      </c>
      <c r="DE32" s="1098">
        <v>461</v>
      </c>
      <c r="DF32" s="1098"/>
      <c r="DG32" s="1098"/>
      <c r="DH32" s="1098"/>
      <c r="DI32" s="1098"/>
      <c r="DJ32" s="1098"/>
      <c r="DK32" s="1098"/>
      <c r="DL32" s="1098"/>
      <c r="DM32" s="1098">
        <v>108</v>
      </c>
      <c r="DN32" s="1097">
        <f t="shared" si="125"/>
        <v>11999</v>
      </c>
      <c r="DO32" s="1098">
        <v>3435</v>
      </c>
      <c r="DP32" s="1098">
        <v>3833</v>
      </c>
      <c r="DQ32" s="1098">
        <v>3732</v>
      </c>
      <c r="DR32" s="1098"/>
      <c r="DS32" s="1098"/>
      <c r="DT32" s="1098"/>
      <c r="DU32" s="1098"/>
      <c r="DV32" s="1098"/>
      <c r="DW32" s="1098"/>
      <c r="DX32" s="1098">
        <v>10</v>
      </c>
      <c r="DY32" s="1098">
        <v>20</v>
      </c>
      <c r="DZ32" s="1098">
        <v>17</v>
      </c>
      <c r="EA32" s="1097">
        <f t="shared" si="138"/>
        <v>11047</v>
      </c>
      <c r="EB32" s="1098">
        <v>2054</v>
      </c>
      <c r="EC32" s="1098">
        <v>8420</v>
      </c>
      <c r="ED32" s="1098">
        <v>7206</v>
      </c>
      <c r="EE32" s="1098">
        <v>2018</v>
      </c>
      <c r="EF32" s="1098">
        <v>3</v>
      </c>
      <c r="EG32" s="1098">
        <v>3</v>
      </c>
      <c r="EH32" s="1098">
        <v>3</v>
      </c>
      <c r="EI32" s="1098"/>
      <c r="EJ32" s="1098"/>
      <c r="EK32" s="1098"/>
      <c r="EL32" s="1098"/>
      <c r="EM32" s="1098">
        <v>10</v>
      </c>
      <c r="EN32" s="1097">
        <f t="shared" si="151"/>
        <v>19717</v>
      </c>
      <c r="EO32" s="1098">
        <v>85</v>
      </c>
      <c r="EP32" s="1098">
        <v>8088</v>
      </c>
      <c r="EQ32" s="1098">
        <v>8253</v>
      </c>
      <c r="ER32" s="1098">
        <v>4064</v>
      </c>
      <c r="ES32" s="1098">
        <v>4</v>
      </c>
      <c r="ET32" s="1098">
        <v>1</v>
      </c>
      <c r="EU32" s="1098"/>
      <c r="EV32" s="1098"/>
      <c r="EW32" s="1098"/>
      <c r="EX32" s="1098"/>
      <c r="EY32" s="1098"/>
      <c r="EZ32" s="1098"/>
      <c r="FA32" s="1097">
        <f t="shared" si="164"/>
        <v>20495</v>
      </c>
      <c r="FB32" s="1098">
        <v>5143</v>
      </c>
      <c r="FC32" s="1098">
        <v>8663</v>
      </c>
      <c r="FD32" s="1098">
        <v>4477</v>
      </c>
      <c r="FE32" s="1098">
        <v>3520</v>
      </c>
      <c r="FF32" s="1098"/>
      <c r="FG32" s="1098"/>
      <c r="FH32" s="1098"/>
      <c r="FI32" s="1098"/>
      <c r="FJ32" s="1098"/>
      <c r="FK32" s="1098"/>
      <c r="FL32" s="1098"/>
      <c r="FM32" s="1098">
        <v>2</v>
      </c>
      <c r="FN32" s="1097">
        <f t="shared" si="177"/>
        <v>21805</v>
      </c>
      <c r="FO32" s="1098">
        <v>85</v>
      </c>
      <c r="FP32" s="1098">
        <v>67</v>
      </c>
      <c r="FQ32" s="1098">
        <v>13</v>
      </c>
      <c r="FR32" s="1098">
        <v>10</v>
      </c>
      <c r="FS32" s="1098">
        <v>1</v>
      </c>
      <c r="FT32" s="1098">
        <v>1</v>
      </c>
      <c r="FU32" s="1098">
        <v>1</v>
      </c>
      <c r="FV32" s="1098">
        <v>5</v>
      </c>
      <c r="FW32" s="1098">
        <v>1</v>
      </c>
      <c r="FX32" s="1098">
        <v>2</v>
      </c>
      <c r="FY32" s="1098">
        <v>4</v>
      </c>
      <c r="FZ32" s="1098">
        <v>4</v>
      </c>
      <c r="GA32" s="1097">
        <f t="shared" si="190"/>
        <v>194</v>
      </c>
      <c r="GB32" s="1098">
        <v>5098</v>
      </c>
      <c r="GC32" s="1098">
        <v>8500</v>
      </c>
      <c r="GD32" s="1098">
        <v>4340</v>
      </c>
      <c r="GE32" s="1098">
        <v>3633</v>
      </c>
      <c r="GF32" s="1098">
        <v>79</v>
      </c>
      <c r="GG32" s="1098">
        <v>66</v>
      </c>
      <c r="GH32" s="1098">
        <v>70</v>
      </c>
      <c r="GI32" s="1098">
        <v>41</v>
      </c>
      <c r="GJ32" s="1098">
        <v>47</v>
      </c>
      <c r="GK32" s="1098">
        <v>60</v>
      </c>
      <c r="GL32" s="1098">
        <v>54</v>
      </c>
      <c r="GM32" s="1098">
        <v>57</v>
      </c>
      <c r="GN32" s="1097">
        <f t="shared" si="203"/>
        <v>22045</v>
      </c>
      <c r="GO32" s="1098">
        <v>5586</v>
      </c>
      <c r="GP32" s="1098">
        <v>8094</v>
      </c>
      <c r="GQ32" s="1098">
        <v>5123</v>
      </c>
      <c r="GR32" s="1098">
        <v>3259</v>
      </c>
      <c r="GS32" s="1098">
        <v>52</v>
      </c>
      <c r="GT32" s="1098">
        <v>42</v>
      </c>
      <c r="GU32" s="1098">
        <v>47.5</v>
      </c>
      <c r="GV32" s="1098">
        <v>47</v>
      </c>
      <c r="GW32" s="1098">
        <v>58</v>
      </c>
      <c r="GX32" s="1098">
        <v>50</v>
      </c>
      <c r="GY32" s="1098">
        <v>59.5</v>
      </c>
      <c r="GZ32" s="1098">
        <v>67</v>
      </c>
      <c r="HA32" s="1097">
        <f t="shared" si="216"/>
        <v>22485</v>
      </c>
      <c r="HB32" s="1098">
        <v>5486</v>
      </c>
      <c r="HC32" s="1098">
        <v>7705</v>
      </c>
      <c r="HD32" s="1098">
        <v>5226</v>
      </c>
      <c r="HE32" s="1098">
        <v>3102</v>
      </c>
      <c r="HF32" s="1098">
        <v>35.5</v>
      </c>
      <c r="HG32" s="1098">
        <v>28.5</v>
      </c>
      <c r="HH32" s="1098">
        <v>9</v>
      </c>
      <c r="HI32" s="1098">
        <v>6</v>
      </c>
      <c r="HJ32" s="1098">
        <v>7.5</v>
      </c>
      <c r="HK32" s="1098">
        <v>5.5</v>
      </c>
      <c r="HL32" s="1098">
        <v>4</v>
      </c>
      <c r="HM32" s="1098">
        <v>8</v>
      </c>
      <c r="HN32" s="1097">
        <f t="shared" si="229"/>
        <v>21623</v>
      </c>
      <c r="HO32" s="1098">
        <v>6827</v>
      </c>
      <c r="HP32" s="1098">
        <v>7645</v>
      </c>
      <c r="HQ32" s="1098">
        <v>4588</v>
      </c>
      <c r="HR32" s="1098">
        <v>24</v>
      </c>
      <c r="HS32" s="1098">
        <v>2</v>
      </c>
      <c r="HT32" s="1098"/>
      <c r="HU32" s="1098"/>
      <c r="HV32" s="1098"/>
      <c r="HW32" s="1098"/>
      <c r="HX32" s="1098"/>
      <c r="HY32" s="1098">
        <v>1</v>
      </c>
      <c r="HZ32" s="1098">
        <v>58.5</v>
      </c>
      <c r="IA32" s="1097">
        <f t="shared" si="242"/>
        <v>19145.5</v>
      </c>
      <c r="IB32" s="1098">
        <v>85</v>
      </c>
      <c r="IC32" s="1098">
        <v>5727</v>
      </c>
      <c r="ID32" s="1098">
        <v>8263</v>
      </c>
      <c r="IE32" s="1098">
        <v>5653</v>
      </c>
      <c r="IF32" s="1098">
        <v>8</v>
      </c>
      <c r="IG32" s="1098">
        <v>0</v>
      </c>
      <c r="IH32" s="1098">
        <v>0</v>
      </c>
      <c r="II32" s="1098">
        <v>0</v>
      </c>
      <c r="IJ32" s="1098">
        <v>0</v>
      </c>
      <c r="IK32" s="1098">
        <v>0</v>
      </c>
      <c r="IL32" s="1098">
        <v>1</v>
      </c>
      <c r="IM32" s="1098">
        <v>5</v>
      </c>
      <c r="IN32" s="1097">
        <v>19742</v>
      </c>
      <c r="IO32" s="1098">
        <v>19</v>
      </c>
      <c r="IP32" s="1098">
        <v>5605</v>
      </c>
      <c r="IQ32" s="1098">
        <v>8163</v>
      </c>
      <c r="IR32" s="1098">
        <v>4987</v>
      </c>
      <c r="IS32" s="1098">
        <v>3</v>
      </c>
      <c r="IT32" s="1098">
        <v>0</v>
      </c>
      <c r="IU32" s="1098">
        <v>0</v>
      </c>
      <c r="IV32" s="1098">
        <v>0</v>
      </c>
      <c r="IW32" s="1098">
        <v>0</v>
      </c>
      <c r="IX32" s="1098">
        <v>0</v>
      </c>
      <c r="IY32" s="1098">
        <v>0.5</v>
      </c>
      <c r="IZ32" s="1098">
        <v>5.5</v>
      </c>
      <c r="JA32" s="1097">
        <v>18783</v>
      </c>
      <c r="JB32" s="1098">
        <v>10</v>
      </c>
      <c r="JC32" s="1098">
        <v>87</v>
      </c>
      <c r="JD32" s="1098"/>
      <c r="JE32" s="1098"/>
      <c r="JF32" s="1098"/>
      <c r="JG32" s="1098"/>
      <c r="JH32" s="1098"/>
      <c r="JI32" s="1098"/>
      <c r="JJ32" s="1098"/>
      <c r="JK32" s="1098"/>
      <c r="JL32" s="1098"/>
      <c r="JM32" s="1098"/>
      <c r="JN32" s="1097">
        <f t="shared" si="281"/>
        <v>97</v>
      </c>
      <c r="JP32" s="1174">
        <f t="shared" si="305"/>
        <v>10.000000000000009</v>
      </c>
      <c r="JQ32" s="1175">
        <f t="shared" si="306"/>
        <v>-4.8576638638435865</v>
      </c>
      <c r="JR32" s="1184">
        <f t="shared" si="307"/>
        <v>19742</v>
      </c>
      <c r="JS32" s="1185">
        <f t="shared" si="308"/>
        <v>18783</v>
      </c>
      <c r="JT32" s="1"/>
      <c r="JU32" s="1079">
        <f t="shared" si="309"/>
        <v>581361</v>
      </c>
      <c r="JV32" s="1080" t="s">
        <v>569</v>
      </c>
      <c r="JW32" s="1081" t="str">
        <f t="shared" si="310"/>
        <v>OK</v>
      </c>
    </row>
    <row r="33" spans="1:283" ht="15" customHeight="1" x14ac:dyDescent="0.2">
      <c r="A33" s="1166" t="s">
        <v>141</v>
      </c>
      <c r="B33" s="1098">
        <v>901</v>
      </c>
      <c r="C33" s="1098">
        <v>14</v>
      </c>
      <c r="D33" s="1098"/>
      <c r="E33" s="1098"/>
      <c r="F33" s="1098"/>
      <c r="G33" s="1098"/>
      <c r="H33" s="1098"/>
      <c r="I33" s="1098"/>
      <c r="J33" s="1098">
        <v>776</v>
      </c>
      <c r="K33" s="1098">
        <v>4110</v>
      </c>
      <c r="L33" s="1098">
        <v>4911</v>
      </c>
      <c r="M33" s="1098">
        <v>1742</v>
      </c>
      <c r="N33" s="1097">
        <f t="shared" si="21"/>
        <v>12454</v>
      </c>
      <c r="O33" s="1098">
        <v>2027</v>
      </c>
      <c r="P33" s="1098">
        <v>978</v>
      </c>
      <c r="Q33" s="1098">
        <v>693</v>
      </c>
      <c r="R33" s="1098">
        <v>465</v>
      </c>
      <c r="S33" s="1098">
        <v>361</v>
      </c>
      <c r="T33" s="1098">
        <v>132</v>
      </c>
      <c r="U33" s="1098">
        <v>148</v>
      </c>
      <c r="V33" s="1098">
        <v>169</v>
      </c>
      <c r="W33" s="1098">
        <v>666</v>
      </c>
      <c r="X33" s="1098">
        <v>2637</v>
      </c>
      <c r="Y33" s="1098">
        <v>3186</v>
      </c>
      <c r="Z33" s="1098">
        <v>2765</v>
      </c>
      <c r="AA33" s="1097">
        <f t="shared" si="34"/>
        <v>14227</v>
      </c>
      <c r="AB33" s="1098">
        <v>1393</v>
      </c>
      <c r="AC33" s="1098">
        <v>967</v>
      </c>
      <c r="AD33" s="1098">
        <v>914</v>
      </c>
      <c r="AE33" s="1098">
        <v>180</v>
      </c>
      <c r="AF33" s="1098">
        <v>189</v>
      </c>
      <c r="AG33" s="1098">
        <v>113</v>
      </c>
      <c r="AH33" s="1098">
        <v>233</v>
      </c>
      <c r="AI33" s="1098">
        <v>136</v>
      </c>
      <c r="AJ33" s="1098">
        <v>401</v>
      </c>
      <c r="AK33" s="1098">
        <v>3658</v>
      </c>
      <c r="AL33" s="1098">
        <v>4725</v>
      </c>
      <c r="AM33" s="1098">
        <v>1740</v>
      </c>
      <c r="AN33" s="1097">
        <f t="shared" si="47"/>
        <v>14649</v>
      </c>
      <c r="AO33" s="1098">
        <v>1065</v>
      </c>
      <c r="AP33" s="1098">
        <v>112</v>
      </c>
      <c r="AQ33" s="1098">
        <v>246</v>
      </c>
      <c r="AR33" s="1098">
        <v>160</v>
      </c>
      <c r="AS33" s="1098">
        <v>85</v>
      </c>
      <c r="AT33" s="1098">
        <v>123</v>
      </c>
      <c r="AU33" s="1098">
        <v>193</v>
      </c>
      <c r="AV33" s="1098">
        <v>159</v>
      </c>
      <c r="AW33" s="1098">
        <v>1442</v>
      </c>
      <c r="AX33" s="1098">
        <v>2098</v>
      </c>
      <c r="AY33" s="1098">
        <v>4835</v>
      </c>
      <c r="AZ33" s="1098">
        <v>5254</v>
      </c>
      <c r="BA33" s="1097">
        <f t="shared" si="60"/>
        <v>15772</v>
      </c>
      <c r="BB33" s="1098">
        <v>1178</v>
      </c>
      <c r="BC33" s="1098">
        <v>860</v>
      </c>
      <c r="BD33" s="1098">
        <v>751</v>
      </c>
      <c r="BE33" s="1098">
        <v>247</v>
      </c>
      <c r="BF33" s="1098">
        <v>160</v>
      </c>
      <c r="BG33" s="1098">
        <v>119</v>
      </c>
      <c r="BH33" s="1098">
        <v>223</v>
      </c>
      <c r="BI33" s="1098">
        <v>283</v>
      </c>
      <c r="BJ33" s="1098">
        <v>1089</v>
      </c>
      <c r="BK33" s="1098">
        <v>1821</v>
      </c>
      <c r="BL33" s="1098">
        <v>4065</v>
      </c>
      <c r="BM33" s="1098">
        <v>4481</v>
      </c>
      <c r="BN33" s="1097">
        <f t="shared" si="73"/>
        <v>15277</v>
      </c>
      <c r="BO33" s="1098">
        <v>961</v>
      </c>
      <c r="BP33" s="1098">
        <v>910</v>
      </c>
      <c r="BQ33" s="1098">
        <v>771</v>
      </c>
      <c r="BR33" s="1098">
        <v>769</v>
      </c>
      <c r="BS33" s="1098">
        <v>796</v>
      </c>
      <c r="BT33" s="1098">
        <v>790</v>
      </c>
      <c r="BU33" s="1098">
        <v>868</v>
      </c>
      <c r="BV33" s="1098">
        <v>879</v>
      </c>
      <c r="BW33" s="1098">
        <v>891</v>
      </c>
      <c r="BX33" s="1098">
        <v>2414</v>
      </c>
      <c r="BY33" s="1098">
        <v>2002</v>
      </c>
      <c r="BZ33" s="1098">
        <v>1108</v>
      </c>
      <c r="CA33" s="1097">
        <f t="shared" si="86"/>
        <v>13159</v>
      </c>
      <c r="CB33" s="1098">
        <v>1054</v>
      </c>
      <c r="CC33" s="1098">
        <v>1031</v>
      </c>
      <c r="CD33" s="1098">
        <v>846</v>
      </c>
      <c r="CE33" s="1098">
        <v>784</v>
      </c>
      <c r="CF33" s="1098">
        <v>763</v>
      </c>
      <c r="CG33" s="1098">
        <v>743</v>
      </c>
      <c r="CH33" s="1098">
        <v>797</v>
      </c>
      <c r="CI33" s="1098">
        <v>958</v>
      </c>
      <c r="CJ33" s="1098">
        <v>809</v>
      </c>
      <c r="CK33" s="1098">
        <v>2348</v>
      </c>
      <c r="CL33" s="1098">
        <v>3848</v>
      </c>
      <c r="CM33" s="1098">
        <v>1868</v>
      </c>
      <c r="CN33" s="1097">
        <f t="shared" si="99"/>
        <v>15849</v>
      </c>
      <c r="CO33" s="1098">
        <v>1131</v>
      </c>
      <c r="CP33" s="1098">
        <v>526</v>
      </c>
      <c r="CQ33" s="1098">
        <v>407</v>
      </c>
      <c r="CR33" s="1098">
        <v>381</v>
      </c>
      <c r="CS33" s="1098">
        <v>419</v>
      </c>
      <c r="CT33" s="1098">
        <v>826</v>
      </c>
      <c r="CU33" s="1098">
        <v>745</v>
      </c>
      <c r="CV33" s="1098">
        <v>416</v>
      </c>
      <c r="CW33" s="1098">
        <v>902</v>
      </c>
      <c r="CX33" s="1098">
        <v>2057</v>
      </c>
      <c r="CY33" s="1098">
        <v>4679</v>
      </c>
      <c r="CZ33" s="1098">
        <v>4091</v>
      </c>
      <c r="DA33" s="1097">
        <f t="shared" si="112"/>
        <v>16580</v>
      </c>
      <c r="DB33" s="1098">
        <v>1505</v>
      </c>
      <c r="DC33" s="1098">
        <v>1071</v>
      </c>
      <c r="DD33" s="1098">
        <v>1269</v>
      </c>
      <c r="DE33" s="1098">
        <v>1005</v>
      </c>
      <c r="DF33" s="1098">
        <v>658</v>
      </c>
      <c r="DG33" s="1098">
        <v>825</v>
      </c>
      <c r="DH33" s="1098">
        <v>204</v>
      </c>
      <c r="DI33" s="1098">
        <v>186</v>
      </c>
      <c r="DJ33" s="1098">
        <v>896</v>
      </c>
      <c r="DK33" s="1098">
        <v>2565</v>
      </c>
      <c r="DL33" s="1098">
        <v>3650</v>
      </c>
      <c r="DM33" s="1098">
        <v>3808</v>
      </c>
      <c r="DN33" s="1097">
        <f t="shared" si="125"/>
        <v>17642</v>
      </c>
      <c r="DO33" s="1098">
        <v>1538</v>
      </c>
      <c r="DP33" s="1098">
        <v>1396</v>
      </c>
      <c r="DQ33" s="1098">
        <v>1712</v>
      </c>
      <c r="DR33" s="1098">
        <v>997</v>
      </c>
      <c r="DS33" s="1098">
        <v>930</v>
      </c>
      <c r="DT33" s="1098">
        <v>636</v>
      </c>
      <c r="DU33" s="1098">
        <v>671</v>
      </c>
      <c r="DV33" s="1098">
        <v>717</v>
      </c>
      <c r="DW33" s="1098">
        <v>650</v>
      </c>
      <c r="DX33" s="1098">
        <v>715</v>
      </c>
      <c r="DY33" s="1098">
        <v>1294</v>
      </c>
      <c r="DZ33" s="1098">
        <v>982</v>
      </c>
      <c r="EA33" s="1097">
        <f t="shared" si="138"/>
        <v>12238</v>
      </c>
      <c r="EB33" s="1098">
        <v>429</v>
      </c>
      <c r="EC33" s="1098">
        <v>772</v>
      </c>
      <c r="ED33" s="1098">
        <v>773</v>
      </c>
      <c r="EE33" s="1098">
        <v>868</v>
      </c>
      <c r="EF33" s="1098">
        <v>598</v>
      </c>
      <c r="EG33" s="1098">
        <v>507</v>
      </c>
      <c r="EH33" s="1098">
        <v>863</v>
      </c>
      <c r="EI33" s="1098">
        <v>861</v>
      </c>
      <c r="EJ33" s="1098">
        <v>1289</v>
      </c>
      <c r="EK33" s="1098">
        <v>1326</v>
      </c>
      <c r="EL33" s="1098">
        <v>1852</v>
      </c>
      <c r="EM33" s="1098">
        <v>1576</v>
      </c>
      <c r="EN33" s="1097">
        <f t="shared" si="151"/>
        <v>11714</v>
      </c>
      <c r="EO33" s="1098">
        <v>596</v>
      </c>
      <c r="EP33" s="1098">
        <v>781</v>
      </c>
      <c r="EQ33" s="1098">
        <v>846</v>
      </c>
      <c r="ER33" s="1098">
        <v>1030</v>
      </c>
      <c r="ES33" s="1098">
        <v>882</v>
      </c>
      <c r="ET33" s="1098">
        <v>863</v>
      </c>
      <c r="EU33" s="1098">
        <v>607</v>
      </c>
      <c r="EV33" s="1098">
        <v>927</v>
      </c>
      <c r="EW33" s="1098">
        <v>757</v>
      </c>
      <c r="EX33" s="1098">
        <v>944</v>
      </c>
      <c r="EY33" s="1098">
        <v>1324</v>
      </c>
      <c r="EZ33" s="1098">
        <v>1175</v>
      </c>
      <c r="FA33" s="1097">
        <f t="shared" si="164"/>
        <v>10732</v>
      </c>
      <c r="FB33" s="1098">
        <v>720</v>
      </c>
      <c r="FC33" s="1098">
        <v>788</v>
      </c>
      <c r="FD33" s="1098">
        <v>865</v>
      </c>
      <c r="FE33" s="1098">
        <v>1402</v>
      </c>
      <c r="FF33" s="1098">
        <v>1035</v>
      </c>
      <c r="FG33" s="1098">
        <v>769</v>
      </c>
      <c r="FH33" s="1098">
        <v>784</v>
      </c>
      <c r="FI33" s="1098">
        <v>885</v>
      </c>
      <c r="FJ33" s="1098">
        <v>833</v>
      </c>
      <c r="FK33" s="1098">
        <v>1047</v>
      </c>
      <c r="FL33" s="1098">
        <v>1244</v>
      </c>
      <c r="FM33" s="1098">
        <v>1011</v>
      </c>
      <c r="FN33" s="1097">
        <f t="shared" si="177"/>
        <v>11383</v>
      </c>
      <c r="FO33" s="1098">
        <v>662</v>
      </c>
      <c r="FP33" s="1098">
        <v>675</v>
      </c>
      <c r="FQ33" s="1098">
        <v>772</v>
      </c>
      <c r="FR33" s="1098">
        <v>839</v>
      </c>
      <c r="FS33" s="1098">
        <v>771</v>
      </c>
      <c r="FT33" s="1098">
        <v>669</v>
      </c>
      <c r="FU33" s="1098">
        <v>656</v>
      </c>
      <c r="FV33" s="1098">
        <v>606</v>
      </c>
      <c r="FW33" s="1098">
        <v>741</v>
      </c>
      <c r="FX33" s="1098">
        <v>625</v>
      </c>
      <c r="FY33" s="1098">
        <v>823</v>
      </c>
      <c r="FZ33" s="1098">
        <v>874</v>
      </c>
      <c r="GA33" s="1097">
        <f t="shared" si="190"/>
        <v>8713</v>
      </c>
      <c r="GB33" s="1098">
        <v>1413</v>
      </c>
      <c r="GC33" s="1098">
        <v>1365.5</v>
      </c>
      <c r="GD33" s="1098">
        <v>1576.5</v>
      </c>
      <c r="GE33" s="1098">
        <v>1358</v>
      </c>
      <c r="GF33" s="1098">
        <v>1676.5</v>
      </c>
      <c r="GG33" s="1098">
        <v>1351</v>
      </c>
      <c r="GH33" s="1098">
        <v>1086.5</v>
      </c>
      <c r="GI33" s="1098">
        <v>1126</v>
      </c>
      <c r="GJ33" s="1098">
        <v>924</v>
      </c>
      <c r="GK33" s="1098">
        <v>1205</v>
      </c>
      <c r="GL33" s="1098">
        <v>1306.5</v>
      </c>
      <c r="GM33" s="1098">
        <v>1124.5</v>
      </c>
      <c r="GN33" s="1097">
        <f t="shared" si="203"/>
        <v>15513</v>
      </c>
      <c r="GO33" s="1098">
        <v>1131.5</v>
      </c>
      <c r="GP33" s="1098">
        <v>1194</v>
      </c>
      <c r="GQ33" s="1098">
        <v>2008.5</v>
      </c>
      <c r="GR33" s="1098">
        <v>1272</v>
      </c>
      <c r="GS33" s="1098">
        <v>1801.5</v>
      </c>
      <c r="GT33" s="1098">
        <v>2001</v>
      </c>
      <c r="GU33" s="1098">
        <v>1591.5</v>
      </c>
      <c r="GV33" s="1098">
        <v>1525</v>
      </c>
      <c r="GW33" s="1098">
        <v>1955</v>
      </c>
      <c r="GX33" s="1098">
        <v>1415</v>
      </c>
      <c r="GY33" s="1098">
        <v>1610</v>
      </c>
      <c r="GZ33" s="1098">
        <v>2160</v>
      </c>
      <c r="HA33" s="1097">
        <f t="shared" si="216"/>
        <v>19665</v>
      </c>
      <c r="HB33" s="1098">
        <v>1180.5</v>
      </c>
      <c r="HC33" s="1098">
        <v>1243.5</v>
      </c>
      <c r="HD33" s="1098">
        <v>1323</v>
      </c>
      <c r="HE33" s="1098">
        <v>1135.3</v>
      </c>
      <c r="HF33" s="1098">
        <v>1220.5</v>
      </c>
      <c r="HG33" s="1098">
        <v>1253</v>
      </c>
      <c r="HH33" s="1098">
        <v>1281</v>
      </c>
      <c r="HI33" s="1098">
        <v>1308</v>
      </c>
      <c r="HJ33" s="1098">
        <v>1309.5</v>
      </c>
      <c r="HK33" s="1098">
        <v>1503</v>
      </c>
      <c r="HL33" s="1098">
        <v>1439.5</v>
      </c>
      <c r="HM33" s="1098">
        <v>1527.5</v>
      </c>
      <c r="HN33" s="1097">
        <f t="shared" si="229"/>
        <v>15724.3</v>
      </c>
      <c r="HO33" s="1098">
        <v>1424.8</v>
      </c>
      <c r="HP33" s="1098">
        <v>1421</v>
      </c>
      <c r="HQ33" s="1098">
        <v>1468</v>
      </c>
      <c r="HR33" s="1098">
        <v>1459</v>
      </c>
      <c r="HS33" s="1098">
        <v>1542</v>
      </c>
      <c r="HT33" s="1098">
        <v>1631</v>
      </c>
      <c r="HU33" s="1098">
        <v>1170</v>
      </c>
      <c r="HV33" s="1098">
        <v>1204</v>
      </c>
      <c r="HW33" s="1098">
        <v>1191</v>
      </c>
      <c r="HX33" s="1098">
        <v>1145</v>
      </c>
      <c r="HY33" s="1098">
        <v>1301.5</v>
      </c>
      <c r="HZ33" s="1098">
        <v>1291</v>
      </c>
      <c r="IA33" s="1097">
        <f t="shared" si="242"/>
        <v>16248.3</v>
      </c>
      <c r="IB33" s="1098">
        <v>1316.5</v>
      </c>
      <c r="IC33" s="1098">
        <v>1410</v>
      </c>
      <c r="ID33" s="1098">
        <v>1350</v>
      </c>
      <c r="IE33" s="1098">
        <v>1370</v>
      </c>
      <c r="IF33" s="1098">
        <v>1471</v>
      </c>
      <c r="IG33" s="1098">
        <v>1499</v>
      </c>
      <c r="IH33" s="1098">
        <v>1395</v>
      </c>
      <c r="II33" s="1098">
        <v>1378</v>
      </c>
      <c r="IJ33" s="1098">
        <v>1547</v>
      </c>
      <c r="IK33" s="1098">
        <v>1723</v>
      </c>
      <c r="IL33" s="1098">
        <v>1391</v>
      </c>
      <c r="IM33" s="1098">
        <v>1427</v>
      </c>
      <c r="IN33" s="1097">
        <v>17277.5</v>
      </c>
      <c r="IO33" s="1098">
        <v>1919</v>
      </c>
      <c r="IP33" s="1098">
        <v>1864</v>
      </c>
      <c r="IQ33" s="1098">
        <v>1681</v>
      </c>
      <c r="IR33" s="1098">
        <v>1887</v>
      </c>
      <c r="IS33" s="1098">
        <v>1877</v>
      </c>
      <c r="IT33" s="1098">
        <v>2036</v>
      </c>
      <c r="IU33" s="1098">
        <v>2075</v>
      </c>
      <c r="IV33" s="1098">
        <v>2136</v>
      </c>
      <c r="IW33" s="1098">
        <v>2136</v>
      </c>
      <c r="IX33" s="1098">
        <v>2345</v>
      </c>
      <c r="IY33" s="1098">
        <v>2552</v>
      </c>
      <c r="IZ33" s="1098">
        <v>2237.5</v>
      </c>
      <c r="JA33" s="1097">
        <v>24745.5</v>
      </c>
      <c r="JB33" s="1098">
        <v>2149.6</v>
      </c>
      <c r="JC33" s="1098">
        <v>942.5</v>
      </c>
      <c r="JD33" s="1098"/>
      <c r="JE33" s="1098"/>
      <c r="JF33" s="1098"/>
      <c r="JG33" s="1098"/>
      <c r="JH33" s="1098"/>
      <c r="JI33" s="1098"/>
      <c r="JJ33" s="1098"/>
      <c r="JK33" s="1098"/>
      <c r="JL33" s="1098"/>
      <c r="JM33" s="1098"/>
      <c r="JN33" s="1097">
        <f t="shared" si="281"/>
        <v>3092.1</v>
      </c>
      <c r="JP33" s="1174">
        <f t="shared" si="305"/>
        <v>56.797477224947436</v>
      </c>
      <c r="JQ33" s="1175">
        <f t="shared" si="306"/>
        <v>43.223846042540885</v>
      </c>
      <c r="JR33" s="1184">
        <f t="shared" si="307"/>
        <v>17277.5</v>
      </c>
      <c r="JS33" s="1185">
        <f t="shared" si="308"/>
        <v>24745.5</v>
      </c>
      <c r="JT33" s="1"/>
      <c r="JU33" s="1079">
        <f t="shared" si="309"/>
        <v>605309.39999999991</v>
      </c>
      <c r="JV33" s="1080" t="s">
        <v>141</v>
      </c>
      <c r="JW33" s="1081" t="str">
        <f t="shared" si="310"/>
        <v>OK</v>
      </c>
    </row>
    <row r="34" spans="1:283" ht="15" customHeight="1" x14ac:dyDescent="0.2">
      <c r="A34" s="1166" t="s">
        <v>135</v>
      </c>
      <c r="B34" s="1098">
        <v>24183</v>
      </c>
      <c r="C34" s="1098">
        <v>25044</v>
      </c>
      <c r="D34" s="1098">
        <v>25980</v>
      </c>
      <c r="E34" s="1098">
        <v>26842</v>
      </c>
      <c r="F34" s="1098">
        <v>24582</v>
      </c>
      <c r="G34" s="1098">
        <v>25921</v>
      </c>
      <c r="H34" s="1098">
        <v>26890</v>
      </c>
      <c r="I34" s="1098">
        <v>26571</v>
      </c>
      <c r="J34" s="1098">
        <v>24534</v>
      </c>
      <c r="K34" s="1098">
        <v>23399</v>
      </c>
      <c r="L34" s="1098">
        <v>22940</v>
      </c>
      <c r="M34" s="1098">
        <v>24182</v>
      </c>
      <c r="N34" s="1097">
        <f t="shared" si="21"/>
        <v>301068</v>
      </c>
      <c r="O34" s="1098">
        <v>25036</v>
      </c>
      <c r="P34" s="1098">
        <v>25783</v>
      </c>
      <c r="Q34" s="1098">
        <v>26610</v>
      </c>
      <c r="R34" s="1098">
        <v>25790</v>
      </c>
      <c r="S34" s="1098">
        <v>27160</v>
      </c>
      <c r="T34" s="1098">
        <v>28130</v>
      </c>
      <c r="U34" s="1098">
        <v>25737</v>
      </c>
      <c r="V34" s="1098">
        <v>24670</v>
      </c>
      <c r="W34" s="1098">
        <v>23174</v>
      </c>
      <c r="X34" s="1098">
        <v>23835</v>
      </c>
      <c r="Y34" s="1098">
        <v>23284</v>
      </c>
      <c r="Z34" s="1098">
        <v>25367</v>
      </c>
      <c r="AA34" s="1097">
        <f t="shared" si="34"/>
        <v>304576</v>
      </c>
      <c r="AB34" s="1098">
        <v>25998</v>
      </c>
      <c r="AC34" s="1098">
        <v>26988</v>
      </c>
      <c r="AD34" s="1098">
        <v>26188</v>
      </c>
      <c r="AE34" s="1098">
        <v>25696</v>
      </c>
      <c r="AF34" s="1098">
        <v>27150</v>
      </c>
      <c r="AG34" s="1098">
        <v>26659</v>
      </c>
      <c r="AH34" s="1098">
        <v>27118</v>
      </c>
      <c r="AI34" s="1098">
        <v>27274</v>
      </c>
      <c r="AJ34" s="1098">
        <v>27504</v>
      </c>
      <c r="AK34" s="1098">
        <v>29130</v>
      </c>
      <c r="AL34" s="1098">
        <v>28043</v>
      </c>
      <c r="AM34" s="1098">
        <v>27139</v>
      </c>
      <c r="AN34" s="1097">
        <f t="shared" si="47"/>
        <v>324887</v>
      </c>
      <c r="AO34" s="1098">
        <v>25290</v>
      </c>
      <c r="AP34" s="1098">
        <v>28060</v>
      </c>
      <c r="AQ34" s="1098">
        <v>27549</v>
      </c>
      <c r="AR34" s="1098">
        <v>26998</v>
      </c>
      <c r="AS34" s="1098">
        <v>27045</v>
      </c>
      <c r="AT34" s="1098">
        <v>27737</v>
      </c>
      <c r="AU34" s="1098">
        <v>27085</v>
      </c>
      <c r="AV34" s="1098">
        <v>26282</v>
      </c>
      <c r="AW34" s="1098">
        <v>27097.5</v>
      </c>
      <c r="AX34" s="1098">
        <v>26858</v>
      </c>
      <c r="AY34" s="1098">
        <v>28269</v>
      </c>
      <c r="AZ34" s="1098">
        <v>24780</v>
      </c>
      <c r="BA34" s="1097">
        <f t="shared" si="60"/>
        <v>323050.5</v>
      </c>
      <c r="BB34" s="1098">
        <v>28298</v>
      </c>
      <c r="BC34" s="1098">
        <v>31082</v>
      </c>
      <c r="BD34" s="1098">
        <v>28603</v>
      </c>
      <c r="BE34" s="1098">
        <v>29142</v>
      </c>
      <c r="BF34" s="1098">
        <v>36761</v>
      </c>
      <c r="BG34" s="1098">
        <v>31798</v>
      </c>
      <c r="BH34" s="1098">
        <v>36291</v>
      </c>
      <c r="BI34" s="1098">
        <v>34164</v>
      </c>
      <c r="BJ34" s="1098">
        <v>36535</v>
      </c>
      <c r="BK34" s="1098">
        <v>36697</v>
      </c>
      <c r="BL34" s="1098">
        <v>36266</v>
      </c>
      <c r="BM34" s="1098">
        <v>37698</v>
      </c>
      <c r="BN34" s="1097">
        <f t="shared" si="73"/>
        <v>403335</v>
      </c>
      <c r="BO34" s="1098">
        <v>33409</v>
      </c>
      <c r="BP34" s="1098">
        <v>33071</v>
      </c>
      <c r="BQ34" s="1098">
        <v>33855</v>
      </c>
      <c r="BR34" s="1098">
        <v>33766</v>
      </c>
      <c r="BS34" s="1098">
        <v>34804</v>
      </c>
      <c r="BT34" s="1098">
        <v>30013</v>
      </c>
      <c r="BU34" s="1098">
        <v>30000</v>
      </c>
      <c r="BV34" s="1098">
        <v>30351</v>
      </c>
      <c r="BW34" s="1098">
        <v>28777</v>
      </c>
      <c r="BX34" s="1098">
        <v>27122</v>
      </c>
      <c r="BY34" s="1098">
        <v>32214</v>
      </c>
      <c r="BZ34" s="1098">
        <v>22016</v>
      </c>
      <c r="CA34" s="1097">
        <f t="shared" si="86"/>
        <v>369398</v>
      </c>
      <c r="CB34" s="1098">
        <v>37966</v>
      </c>
      <c r="CC34" s="1098">
        <v>36830</v>
      </c>
      <c r="CD34" s="1098">
        <v>32931</v>
      </c>
      <c r="CE34" s="1098">
        <v>36484</v>
      </c>
      <c r="CF34" s="1098">
        <v>39446</v>
      </c>
      <c r="CG34" s="1098">
        <v>40358</v>
      </c>
      <c r="CH34" s="1098">
        <v>38718</v>
      </c>
      <c r="CI34" s="1098">
        <v>41496</v>
      </c>
      <c r="CJ34" s="1098">
        <v>40256</v>
      </c>
      <c r="CK34" s="1098">
        <v>40401</v>
      </c>
      <c r="CL34" s="1098">
        <v>39424</v>
      </c>
      <c r="CM34" s="1098">
        <v>37661</v>
      </c>
      <c r="CN34" s="1097">
        <f t="shared" si="99"/>
        <v>461971</v>
      </c>
      <c r="CO34" s="1098">
        <v>37538</v>
      </c>
      <c r="CP34" s="1098">
        <v>35099</v>
      </c>
      <c r="CQ34" s="1098">
        <v>38067</v>
      </c>
      <c r="CR34" s="1098">
        <v>35590</v>
      </c>
      <c r="CS34" s="1098">
        <v>38284</v>
      </c>
      <c r="CT34" s="1098">
        <v>39655</v>
      </c>
      <c r="CU34" s="1098">
        <v>40719</v>
      </c>
      <c r="CV34" s="1098">
        <v>41999</v>
      </c>
      <c r="CW34" s="1098">
        <v>41880</v>
      </c>
      <c r="CX34" s="1098">
        <v>42808</v>
      </c>
      <c r="CY34" s="1098">
        <v>41925</v>
      </c>
      <c r="CZ34" s="1098">
        <v>42966</v>
      </c>
      <c r="DA34" s="1097">
        <f t="shared" si="112"/>
        <v>476530</v>
      </c>
      <c r="DB34" s="1098">
        <v>38277</v>
      </c>
      <c r="DC34" s="1098">
        <v>38163</v>
      </c>
      <c r="DD34" s="1098">
        <v>38686</v>
      </c>
      <c r="DE34" s="1098">
        <v>37969</v>
      </c>
      <c r="DF34" s="1098">
        <v>40853</v>
      </c>
      <c r="DG34" s="1098">
        <v>41166</v>
      </c>
      <c r="DH34" s="1098">
        <v>39222</v>
      </c>
      <c r="DI34" s="1098">
        <v>37792</v>
      </c>
      <c r="DJ34" s="1098">
        <v>37615</v>
      </c>
      <c r="DK34" s="1098">
        <v>38752</v>
      </c>
      <c r="DL34" s="1098">
        <v>40344</v>
      </c>
      <c r="DM34" s="1098">
        <v>34789</v>
      </c>
      <c r="DN34" s="1097">
        <f t="shared" si="125"/>
        <v>463628</v>
      </c>
      <c r="DO34" s="1098">
        <v>34049</v>
      </c>
      <c r="DP34" s="1098">
        <v>30812</v>
      </c>
      <c r="DQ34" s="1098">
        <v>34381</v>
      </c>
      <c r="DR34" s="1098">
        <v>28936</v>
      </c>
      <c r="DS34" s="1098">
        <v>33069</v>
      </c>
      <c r="DT34" s="1098">
        <v>32286</v>
      </c>
      <c r="DU34" s="1098">
        <v>33859</v>
      </c>
      <c r="DV34" s="1098">
        <v>33999</v>
      </c>
      <c r="DW34" s="1098">
        <v>36949</v>
      </c>
      <c r="DX34" s="1098">
        <v>30621</v>
      </c>
      <c r="DY34" s="1098">
        <v>23889</v>
      </c>
      <c r="DZ34" s="1098">
        <v>30761</v>
      </c>
      <c r="EA34" s="1097">
        <f t="shared" si="138"/>
        <v>383611</v>
      </c>
      <c r="EB34" s="1098">
        <v>30889</v>
      </c>
      <c r="EC34" s="1098">
        <v>31627</v>
      </c>
      <c r="ED34" s="1098">
        <v>32103</v>
      </c>
      <c r="EE34" s="1098">
        <v>31386</v>
      </c>
      <c r="EF34" s="1098">
        <v>32175</v>
      </c>
      <c r="EG34" s="1098">
        <v>32396</v>
      </c>
      <c r="EH34" s="1098">
        <v>34644</v>
      </c>
      <c r="EI34" s="1098">
        <v>33280</v>
      </c>
      <c r="EJ34" s="1098">
        <v>30294</v>
      </c>
      <c r="EK34" s="1098">
        <v>30555</v>
      </c>
      <c r="EL34" s="1098">
        <v>32483</v>
      </c>
      <c r="EM34" s="1098">
        <v>33700</v>
      </c>
      <c r="EN34" s="1097">
        <f t="shared" si="151"/>
        <v>385532</v>
      </c>
      <c r="EO34" s="1098">
        <v>31039</v>
      </c>
      <c r="EP34" s="1098">
        <v>33135</v>
      </c>
      <c r="EQ34" s="1098">
        <v>34283</v>
      </c>
      <c r="ER34" s="1098">
        <v>31226</v>
      </c>
      <c r="ES34" s="1098">
        <v>30222</v>
      </c>
      <c r="ET34" s="1098">
        <v>32304</v>
      </c>
      <c r="EU34" s="1098">
        <v>31755</v>
      </c>
      <c r="EV34" s="1098">
        <v>32070</v>
      </c>
      <c r="EW34" s="1098">
        <v>36033</v>
      </c>
      <c r="EX34" s="1098">
        <v>33989</v>
      </c>
      <c r="EY34" s="1098">
        <v>34361</v>
      </c>
      <c r="EZ34" s="1098">
        <v>37207</v>
      </c>
      <c r="FA34" s="1097">
        <f t="shared" si="164"/>
        <v>397624</v>
      </c>
      <c r="FB34" s="1098">
        <v>33487</v>
      </c>
      <c r="FC34" s="1098">
        <v>34140</v>
      </c>
      <c r="FD34" s="1098">
        <v>33802</v>
      </c>
      <c r="FE34" s="1098">
        <v>32830</v>
      </c>
      <c r="FF34" s="1098">
        <v>32266</v>
      </c>
      <c r="FG34" s="1098">
        <v>32159</v>
      </c>
      <c r="FH34" s="1098">
        <v>32445</v>
      </c>
      <c r="FI34" s="1098">
        <v>30193</v>
      </c>
      <c r="FJ34" s="1098">
        <v>32504</v>
      </c>
      <c r="FK34" s="1098">
        <v>32352</v>
      </c>
      <c r="FL34" s="1098">
        <v>33612</v>
      </c>
      <c r="FM34" s="1098">
        <v>33128</v>
      </c>
      <c r="FN34" s="1097">
        <f t="shared" si="177"/>
        <v>392918</v>
      </c>
      <c r="FO34" s="1098">
        <v>33487</v>
      </c>
      <c r="FP34" s="1098">
        <v>34140</v>
      </c>
      <c r="FQ34" s="1098">
        <v>33802</v>
      </c>
      <c r="FR34" s="1098">
        <v>32830</v>
      </c>
      <c r="FS34" s="1098">
        <v>32266</v>
      </c>
      <c r="FT34" s="1098">
        <v>32159</v>
      </c>
      <c r="FU34" s="1098">
        <v>32445</v>
      </c>
      <c r="FV34" s="1098">
        <v>30193</v>
      </c>
      <c r="FW34" s="1098">
        <v>32504</v>
      </c>
      <c r="FX34" s="1098">
        <v>32352</v>
      </c>
      <c r="FY34" s="1098">
        <v>33612</v>
      </c>
      <c r="FZ34" s="1098">
        <v>33128</v>
      </c>
      <c r="GA34" s="1097">
        <f t="shared" si="190"/>
        <v>392918</v>
      </c>
      <c r="GB34" s="1098">
        <v>36047</v>
      </c>
      <c r="GC34" s="1098">
        <v>35308.75</v>
      </c>
      <c r="GD34" s="1098">
        <v>35149</v>
      </c>
      <c r="GE34" s="1098">
        <v>36365.5</v>
      </c>
      <c r="GF34" s="1098">
        <v>36475</v>
      </c>
      <c r="GG34" s="1098">
        <v>35751</v>
      </c>
      <c r="GH34" s="1098">
        <v>34520</v>
      </c>
      <c r="GI34" s="1098">
        <v>34916</v>
      </c>
      <c r="GJ34" s="1098">
        <v>38024</v>
      </c>
      <c r="GK34" s="1098">
        <v>37021</v>
      </c>
      <c r="GL34" s="1098">
        <v>37795</v>
      </c>
      <c r="GM34" s="1098">
        <v>40706</v>
      </c>
      <c r="GN34" s="1097">
        <f t="shared" si="203"/>
        <v>438078.25</v>
      </c>
      <c r="GO34" s="1098">
        <v>36587</v>
      </c>
      <c r="GP34" s="1098">
        <v>38155</v>
      </c>
      <c r="GQ34" s="1098">
        <v>37002</v>
      </c>
      <c r="GR34" s="1098">
        <v>38834</v>
      </c>
      <c r="GS34" s="1098">
        <v>37038</v>
      </c>
      <c r="GT34" s="1098">
        <v>36849</v>
      </c>
      <c r="GU34" s="1098">
        <v>37354</v>
      </c>
      <c r="GV34" s="1098">
        <v>37540</v>
      </c>
      <c r="GW34" s="1098">
        <v>39186</v>
      </c>
      <c r="GX34" s="1098">
        <v>40812.5</v>
      </c>
      <c r="GY34" s="1098">
        <v>40022</v>
      </c>
      <c r="GZ34" s="1098">
        <v>43648</v>
      </c>
      <c r="HA34" s="1097">
        <f t="shared" si="216"/>
        <v>463027.5</v>
      </c>
      <c r="HB34" s="1098">
        <v>37111</v>
      </c>
      <c r="HC34" s="1098">
        <v>39822</v>
      </c>
      <c r="HD34" s="1098">
        <v>38982</v>
      </c>
      <c r="HE34" s="1098">
        <v>39962</v>
      </c>
      <c r="HF34" s="1098">
        <v>40916</v>
      </c>
      <c r="HG34" s="1098">
        <v>38865</v>
      </c>
      <c r="HH34" s="1098">
        <v>38060.5</v>
      </c>
      <c r="HI34" s="1098">
        <v>36768</v>
      </c>
      <c r="HJ34" s="1098">
        <v>38034</v>
      </c>
      <c r="HK34" s="1098">
        <v>36011</v>
      </c>
      <c r="HL34" s="1098">
        <v>38195</v>
      </c>
      <c r="HM34" s="1098">
        <v>37989</v>
      </c>
      <c r="HN34" s="1097">
        <f t="shared" si="229"/>
        <v>460715.5</v>
      </c>
      <c r="HO34" s="1098">
        <v>37560</v>
      </c>
      <c r="HP34" s="1098">
        <v>40580</v>
      </c>
      <c r="HQ34" s="1098">
        <v>39248</v>
      </c>
      <c r="HR34" s="1098">
        <v>40408</v>
      </c>
      <c r="HS34" s="1098">
        <v>41427</v>
      </c>
      <c r="HT34" s="1098">
        <v>39725</v>
      </c>
      <c r="HU34" s="1098">
        <v>37447</v>
      </c>
      <c r="HV34" s="1098">
        <v>40514</v>
      </c>
      <c r="HW34" s="1098">
        <v>37129</v>
      </c>
      <c r="HX34" s="1098">
        <v>37086.5</v>
      </c>
      <c r="HY34" s="1098">
        <v>39718</v>
      </c>
      <c r="HZ34" s="1098">
        <v>37419</v>
      </c>
      <c r="IA34" s="1097">
        <f t="shared" si="242"/>
        <v>468261.5</v>
      </c>
      <c r="IB34" s="1098">
        <v>40281</v>
      </c>
      <c r="IC34" s="1098">
        <v>41043</v>
      </c>
      <c r="ID34" s="1098">
        <v>40913</v>
      </c>
      <c r="IE34" s="1098">
        <v>37739</v>
      </c>
      <c r="IF34" s="1098">
        <v>39271</v>
      </c>
      <c r="IG34" s="1098">
        <v>36105.4</v>
      </c>
      <c r="IH34" s="1098">
        <v>33887</v>
      </c>
      <c r="II34" s="1098">
        <v>33356</v>
      </c>
      <c r="IJ34" s="1098">
        <v>30393</v>
      </c>
      <c r="IK34" s="1098">
        <v>31948</v>
      </c>
      <c r="IL34" s="1098">
        <v>34289</v>
      </c>
      <c r="IM34" s="1098">
        <v>38325</v>
      </c>
      <c r="IN34" s="1097">
        <v>437550.4</v>
      </c>
      <c r="IO34" s="1098">
        <v>39147</v>
      </c>
      <c r="IP34" s="1098">
        <v>40777</v>
      </c>
      <c r="IQ34" s="1098">
        <v>39128</v>
      </c>
      <c r="IR34" s="1098">
        <v>38041</v>
      </c>
      <c r="IS34" s="1098">
        <v>40714</v>
      </c>
      <c r="IT34" s="1098">
        <v>38376</v>
      </c>
      <c r="IU34" s="1098">
        <v>37116</v>
      </c>
      <c r="IV34" s="1098">
        <v>36940</v>
      </c>
      <c r="IW34" s="1098">
        <v>36327</v>
      </c>
      <c r="IX34" s="1098">
        <v>37338</v>
      </c>
      <c r="IY34" s="1098">
        <v>41464</v>
      </c>
      <c r="IZ34" s="1098">
        <v>46834</v>
      </c>
      <c r="JA34" s="1097">
        <v>472202</v>
      </c>
      <c r="JB34" s="1098">
        <v>45572</v>
      </c>
      <c r="JC34" s="1098">
        <v>42349</v>
      </c>
      <c r="JD34" s="1098"/>
      <c r="JE34" s="1098"/>
      <c r="JF34" s="1098"/>
      <c r="JG34" s="1098"/>
      <c r="JH34" s="1098"/>
      <c r="JI34" s="1098"/>
      <c r="JJ34" s="1098"/>
      <c r="JK34" s="1098"/>
      <c r="JL34" s="1098"/>
      <c r="JM34" s="1098"/>
      <c r="JN34" s="1097">
        <f t="shared" si="281"/>
        <v>87921</v>
      </c>
      <c r="JP34" s="1174">
        <f t="shared" si="305"/>
        <v>22.202217873450756</v>
      </c>
      <c r="JQ34" s="1175">
        <f t="shared" si="306"/>
        <v>7.9194533932548161</v>
      </c>
      <c r="JR34" s="1184">
        <f t="shared" si="307"/>
        <v>437550.4</v>
      </c>
      <c r="JS34" s="1185">
        <f t="shared" si="308"/>
        <v>472202</v>
      </c>
      <c r="JT34" s="1"/>
      <c r="JU34" s="1079">
        <f t="shared" si="309"/>
        <v>16417605.300000001</v>
      </c>
      <c r="JV34" s="1080" t="s">
        <v>135</v>
      </c>
      <c r="JW34" s="1081" t="str">
        <f t="shared" si="310"/>
        <v>OK</v>
      </c>
    </row>
    <row r="35" spans="1:283" ht="15" customHeight="1" x14ac:dyDescent="0.2">
      <c r="A35" s="1166" t="s">
        <v>182</v>
      </c>
      <c r="B35" s="1098"/>
      <c r="C35" s="1098"/>
      <c r="D35" s="1098"/>
      <c r="E35" s="1098"/>
      <c r="F35" s="1098"/>
      <c r="G35" s="1098"/>
      <c r="H35" s="1098"/>
      <c r="I35" s="1098"/>
      <c r="J35" s="1098"/>
      <c r="K35" s="1098"/>
      <c r="L35" s="1098"/>
      <c r="M35" s="1098"/>
      <c r="N35" s="1097">
        <f t="shared" si="21"/>
        <v>0</v>
      </c>
      <c r="O35" s="1098">
        <v>75</v>
      </c>
      <c r="P35" s="1098">
        <v>130</v>
      </c>
      <c r="Q35" s="1098">
        <v>106</v>
      </c>
      <c r="R35" s="1098">
        <v>106</v>
      </c>
      <c r="S35" s="1098">
        <v>157</v>
      </c>
      <c r="T35" s="1098">
        <v>129</v>
      </c>
      <c r="U35" s="1098">
        <v>124</v>
      </c>
      <c r="V35" s="1098">
        <v>112</v>
      </c>
      <c r="W35" s="1098">
        <v>121</v>
      </c>
      <c r="X35" s="1098">
        <v>133</v>
      </c>
      <c r="Y35" s="1098">
        <v>123</v>
      </c>
      <c r="Z35" s="1098">
        <v>132</v>
      </c>
      <c r="AA35" s="1097">
        <f t="shared" si="34"/>
        <v>1448</v>
      </c>
      <c r="AB35" s="1098">
        <v>139</v>
      </c>
      <c r="AC35" s="1098">
        <v>161</v>
      </c>
      <c r="AD35" s="1098">
        <v>150</v>
      </c>
      <c r="AE35" s="1098">
        <v>153</v>
      </c>
      <c r="AF35" s="1098">
        <v>147</v>
      </c>
      <c r="AG35" s="1098">
        <v>132</v>
      </c>
      <c r="AH35" s="1098">
        <v>274</v>
      </c>
      <c r="AI35" s="1098">
        <v>310</v>
      </c>
      <c r="AJ35" s="1098">
        <v>307</v>
      </c>
      <c r="AK35" s="1098">
        <v>272</v>
      </c>
      <c r="AL35" s="1098">
        <v>296</v>
      </c>
      <c r="AM35" s="1098">
        <v>375</v>
      </c>
      <c r="AN35" s="1097">
        <f t="shared" si="47"/>
        <v>2716</v>
      </c>
      <c r="AO35" s="1098">
        <v>130</v>
      </c>
      <c r="AP35" s="1098">
        <v>124</v>
      </c>
      <c r="AQ35" s="1098">
        <v>113</v>
      </c>
      <c r="AR35" s="1098">
        <v>96</v>
      </c>
      <c r="AS35" s="1098">
        <v>108</v>
      </c>
      <c r="AT35" s="1098">
        <v>106</v>
      </c>
      <c r="AU35" s="1098">
        <v>104</v>
      </c>
      <c r="AV35" s="1098">
        <v>87</v>
      </c>
      <c r="AW35" s="1098">
        <v>86</v>
      </c>
      <c r="AX35" s="1098">
        <v>69</v>
      </c>
      <c r="AY35" s="1098">
        <v>61</v>
      </c>
      <c r="AZ35" s="1098">
        <v>67</v>
      </c>
      <c r="BA35" s="1097">
        <f t="shared" si="60"/>
        <v>1151</v>
      </c>
      <c r="BB35" s="1098">
        <v>127</v>
      </c>
      <c r="BC35" s="1098">
        <v>142</v>
      </c>
      <c r="BD35" s="1098">
        <v>180</v>
      </c>
      <c r="BE35" s="1098">
        <v>199</v>
      </c>
      <c r="BF35" s="1098">
        <v>226</v>
      </c>
      <c r="BG35" s="1098">
        <v>133</v>
      </c>
      <c r="BH35" s="1098">
        <v>206</v>
      </c>
      <c r="BI35" s="1098">
        <v>234</v>
      </c>
      <c r="BJ35" s="1098">
        <v>358</v>
      </c>
      <c r="BK35" s="1098">
        <v>216</v>
      </c>
      <c r="BL35" s="1098">
        <v>233</v>
      </c>
      <c r="BM35" s="1098">
        <v>153</v>
      </c>
      <c r="BN35" s="1097">
        <f t="shared" si="73"/>
        <v>2407</v>
      </c>
      <c r="BO35" s="1098">
        <v>85</v>
      </c>
      <c r="BP35" s="1098">
        <v>75</v>
      </c>
      <c r="BQ35" s="1098">
        <v>83</v>
      </c>
      <c r="BR35" s="1098">
        <v>89</v>
      </c>
      <c r="BS35" s="1098">
        <v>114</v>
      </c>
      <c r="BT35" s="1098">
        <v>101</v>
      </c>
      <c r="BU35" s="1098">
        <v>175</v>
      </c>
      <c r="BV35" s="1098">
        <v>173</v>
      </c>
      <c r="BW35" s="1098">
        <v>183</v>
      </c>
      <c r="BX35" s="1098">
        <v>176</v>
      </c>
      <c r="BY35" s="1098">
        <v>223</v>
      </c>
      <c r="BZ35" s="1098">
        <v>212</v>
      </c>
      <c r="CA35" s="1097">
        <f t="shared" si="86"/>
        <v>1689</v>
      </c>
      <c r="CB35" s="1098">
        <v>30</v>
      </c>
      <c r="CC35" s="1098">
        <v>27</v>
      </c>
      <c r="CD35" s="1098">
        <v>41</v>
      </c>
      <c r="CE35" s="1098">
        <v>38</v>
      </c>
      <c r="CF35" s="1098">
        <v>51</v>
      </c>
      <c r="CG35" s="1098">
        <v>46</v>
      </c>
      <c r="CH35" s="1098">
        <v>47</v>
      </c>
      <c r="CI35" s="1098">
        <v>57</v>
      </c>
      <c r="CJ35" s="1098">
        <v>61</v>
      </c>
      <c r="CK35" s="1098">
        <v>54</v>
      </c>
      <c r="CL35" s="1098">
        <v>70</v>
      </c>
      <c r="CM35" s="1098">
        <v>85</v>
      </c>
      <c r="CN35" s="1097">
        <f t="shared" si="99"/>
        <v>607</v>
      </c>
      <c r="CO35" s="1098">
        <v>55</v>
      </c>
      <c r="CP35" s="1098">
        <v>76</v>
      </c>
      <c r="CQ35" s="1098">
        <v>87</v>
      </c>
      <c r="CR35" s="1098">
        <v>104</v>
      </c>
      <c r="CS35" s="1098">
        <v>101.86</v>
      </c>
      <c r="CT35" s="1098">
        <v>148.4</v>
      </c>
      <c r="CU35" s="1098">
        <v>170</v>
      </c>
      <c r="CV35" s="1098">
        <v>144</v>
      </c>
      <c r="CW35" s="1098">
        <v>145.65</v>
      </c>
      <c r="CX35" s="1098">
        <v>121</v>
      </c>
      <c r="CY35" s="1098">
        <v>102</v>
      </c>
      <c r="CZ35" s="1098">
        <v>81</v>
      </c>
      <c r="DA35" s="1097">
        <f t="shared" si="112"/>
        <v>1335.91</v>
      </c>
      <c r="DB35" s="1098">
        <v>107</v>
      </c>
      <c r="DC35" s="1098">
        <v>105</v>
      </c>
      <c r="DD35" s="1098">
        <v>110</v>
      </c>
      <c r="DE35" s="1098">
        <v>119</v>
      </c>
      <c r="DF35" s="1098">
        <v>96</v>
      </c>
      <c r="DG35" s="1098">
        <v>225</v>
      </c>
      <c r="DH35" s="1098">
        <v>151</v>
      </c>
      <c r="DI35" s="1098">
        <v>165</v>
      </c>
      <c r="DJ35" s="1098">
        <v>155</v>
      </c>
      <c r="DK35" s="1098">
        <v>165</v>
      </c>
      <c r="DL35" s="1098">
        <v>167</v>
      </c>
      <c r="DM35" s="1098">
        <v>170</v>
      </c>
      <c r="DN35" s="1097">
        <f t="shared" si="125"/>
        <v>1735</v>
      </c>
      <c r="DO35" s="1098">
        <v>34</v>
      </c>
      <c r="DP35" s="1098">
        <v>40</v>
      </c>
      <c r="DQ35" s="1098">
        <v>38</v>
      </c>
      <c r="DR35" s="1098">
        <v>39</v>
      </c>
      <c r="DS35" s="1098">
        <v>37</v>
      </c>
      <c r="DT35" s="1098">
        <v>39</v>
      </c>
      <c r="DU35" s="1098">
        <v>35</v>
      </c>
      <c r="DV35" s="1098">
        <v>33</v>
      </c>
      <c r="DW35" s="1098">
        <v>45</v>
      </c>
      <c r="DX35" s="1098">
        <v>35</v>
      </c>
      <c r="DY35" s="1098">
        <v>40</v>
      </c>
      <c r="DZ35" s="1098">
        <v>35</v>
      </c>
      <c r="EA35" s="1097">
        <f t="shared" si="138"/>
        <v>450</v>
      </c>
      <c r="EB35" s="1098">
        <v>81</v>
      </c>
      <c r="EC35" s="1098">
        <v>82</v>
      </c>
      <c r="ED35" s="1098">
        <v>100</v>
      </c>
      <c r="EE35" s="1098">
        <v>54</v>
      </c>
      <c r="EF35" s="1098">
        <v>51</v>
      </c>
      <c r="EG35" s="1098">
        <v>76</v>
      </c>
      <c r="EH35" s="1098">
        <v>81</v>
      </c>
      <c r="EI35" s="1098">
        <v>87</v>
      </c>
      <c r="EJ35" s="1098">
        <v>119</v>
      </c>
      <c r="EK35" s="1098">
        <v>105</v>
      </c>
      <c r="EL35" s="1098">
        <v>110</v>
      </c>
      <c r="EM35" s="1098">
        <v>116</v>
      </c>
      <c r="EN35" s="1097">
        <f t="shared" si="151"/>
        <v>1062</v>
      </c>
      <c r="EO35" s="1098">
        <v>76</v>
      </c>
      <c r="EP35" s="1098">
        <v>99</v>
      </c>
      <c r="EQ35" s="1098">
        <v>127</v>
      </c>
      <c r="ER35" s="1098">
        <v>86</v>
      </c>
      <c r="ES35" s="1098">
        <v>118</v>
      </c>
      <c r="ET35" s="1098">
        <v>110</v>
      </c>
      <c r="EU35" s="1098">
        <v>142</v>
      </c>
      <c r="EV35" s="1098">
        <v>168</v>
      </c>
      <c r="EW35" s="1098">
        <v>218</v>
      </c>
      <c r="EX35" s="1098">
        <v>220</v>
      </c>
      <c r="EY35" s="1098">
        <v>206</v>
      </c>
      <c r="EZ35" s="1098">
        <v>174</v>
      </c>
      <c r="FA35" s="1097">
        <f t="shared" si="164"/>
        <v>1744</v>
      </c>
      <c r="FB35" s="1098">
        <v>152</v>
      </c>
      <c r="FC35" s="1098">
        <v>168</v>
      </c>
      <c r="FD35" s="1098">
        <v>142</v>
      </c>
      <c r="FE35" s="1098">
        <v>187</v>
      </c>
      <c r="FF35" s="1098">
        <v>178</v>
      </c>
      <c r="FG35" s="1098">
        <v>165</v>
      </c>
      <c r="FH35" s="1098">
        <v>190</v>
      </c>
      <c r="FI35" s="1098">
        <v>205</v>
      </c>
      <c r="FJ35" s="1098">
        <v>186</v>
      </c>
      <c r="FK35" s="1098">
        <v>174</v>
      </c>
      <c r="FL35" s="1098">
        <v>216</v>
      </c>
      <c r="FM35" s="1098">
        <v>231</v>
      </c>
      <c r="FN35" s="1097">
        <f t="shared" si="177"/>
        <v>2194</v>
      </c>
      <c r="FO35" s="1098">
        <v>206</v>
      </c>
      <c r="FP35" s="1098">
        <v>166</v>
      </c>
      <c r="FQ35" s="1098">
        <v>178</v>
      </c>
      <c r="FR35" s="1098">
        <v>211</v>
      </c>
      <c r="FS35" s="1098">
        <v>196</v>
      </c>
      <c r="FT35" s="1098">
        <v>150</v>
      </c>
      <c r="FU35" s="1098">
        <v>140</v>
      </c>
      <c r="FV35" s="1098">
        <v>171</v>
      </c>
      <c r="FW35" s="1098">
        <v>168</v>
      </c>
      <c r="FX35" s="1098">
        <v>119</v>
      </c>
      <c r="FY35" s="1098">
        <v>148</v>
      </c>
      <c r="FZ35" s="1098">
        <v>140</v>
      </c>
      <c r="GA35" s="1097">
        <f t="shared" si="190"/>
        <v>1993</v>
      </c>
      <c r="GB35" s="1098">
        <v>61</v>
      </c>
      <c r="GC35" s="1098">
        <v>90</v>
      </c>
      <c r="GD35" s="1098">
        <v>62</v>
      </c>
      <c r="GE35" s="1098">
        <v>85</v>
      </c>
      <c r="GF35" s="1098">
        <v>105.4</v>
      </c>
      <c r="GG35" s="1098">
        <v>100</v>
      </c>
      <c r="GH35" s="1098">
        <v>108</v>
      </c>
      <c r="GI35" s="1098">
        <v>103</v>
      </c>
      <c r="GJ35" s="1098">
        <v>107</v>
      </c>
      <c r="GK35" s="1098">
        <v>88</v>
      </c>
      <c r="GL35" s="1098">
        <v>101</v>
      </c>
      <c r="GM35" s="1098">
        <v>111</v>
      </c>
      <c r="GN35" s="1097">
        <f t="shared" si="203"/>
        <v>1121.4000000000001</v>
      </c>
      <c r="GO35" s="1098">
        <v>118.5</v>
      </c>
      <c r="GP35" s="1098">
        <v>129</v>
      </c>
      <c r="GQ35" s="1098">
        <v>134</v>
      </c>
      <c r="GR35" s="1098">
        <v>103.5</v>
      </c>
      <c r="GS35" s="1098">
        <v>67</v>
      </c>
      <c r="GT35" s="1098">
        <v>85.5</v>
      </c>
      <c r="GU35" s="1098">
        <v>94.5</v>
      </c>
      <c r="GV35" s="1098">
        <v>69.2</v>
      </c>
      <c r="GW35" s="1098">
        <v>83.8</v>
      </c>
      <c r="GX35" s="1098">
        <v>75.5</v>
      </c>
      <c r="GY35" s="1098">
        <v>41</v>
      </c>
      <c r="GZ35" s="1098">
        <v>126</v>
      </c>
      <c r="HA35" s="1097">
        <f t="shared" si="216"/>
        <v>1127.5</v>
      </c>
      <c r="HB35" s="1098">
        <v>124.5</v>
      </c>
      <c r="HC35" s="1098">
        <v>136</v>
      </c>
      <c r="HD35" s="1098">
        <v>152.30000000000001</v>
      </c>
      <c r="HE35" s="1098">
        <v>106.3</v>
      </c>
      <c r="HF35" s="1098">
        <v>69.5</v>
      </c>
      <c r="HG35" s="1098">
        <v>100.2</v>
      </c>
      <c r="HH35" s="1098">
        <v>92.5</v>
      </c>
      <c r="HI35" s="1098">
        <v>73</v>
      </c>
      <c r="HJ35" s="1098">
        <v>72</v>
      </c>
      <c r="HK35" s="1098">
        <v>80.3</v>
      </c>
      <c r="HL35" s="1098">
        <v>70.5</v>
      </c>
      <c r="HM35" s="1098">
        <v>132</v>
      </c>
      <c r="HN35" s="1097">
        <f t="shared" si="229"/>
        <v>1209.0999999999999</v>
      </c>
      <c r="HO35" s="1098">
        <v>154</v>
      </c>
      <c r="HP35" s="1098">
        <v>190</v>
      </c>
      <c r="HQ35" s="1098">
        <v>196</v>
      </c>
      <c r="HR35" s="1098">
        <v>156</v>
      </c>
      <c r="HS35" s="1098">
        <v>145</v>
      </c>
      <c r="HT35" s="1098">
        <v>177</v>
      </c>
      <c r="HU35" s="1098">
        <v>140.5</v>
      </c>
      <c r="HV35" s="1098">
        <v>134</v>
      </c>
      <c r="HW35" s="1098">
        <v>139</v>
      </c>
      <c r="HX35" s="1098">
        <v>143.5</v>
      </c>
      <c r="HY35" s="1098">
        <v>147</v>
      </c>
      <c r="HZ35" s="1098">
        <v>136</v>
      </c>
      <c r="IA35" s="1097">
        <f t="shared" si="242"/>
        <v>1858</v>
      </c>
      <c r="IB35" s="1098">
        <v>96</v>
      </c>
      <c r="IC35" s="1098">
        <v>109.5</v>
      </c>
      <c r="ID35" s="1098">
        <v>114.5</v>
      </c>
      <c r="IE35" s="1098">
        <v>116</v>
      </c>
      <c r="IF35" s="1098">
        <v>115</v>
      </c>
      <c r="IG35" s="1098">
        <v>133</v>
      </c>
      <c r="IH35" s="1098">
        <v>128.5</v>
      </c>
      <c r="II35" s="1098">
        <v>101.5</v>
      </c>
      <c r="IJ35" s="1098">
        <v>99.5</v>
      </c>
      <c r="IK35" s="1098">
        <v>84</v>
      </c>
      <c r="IL35" s="1098">
        <v>74.5</v>
      </c>
      <c r="IM35" s="1098">
        <v>89</v>
      </c>
      <c r="IN35" s="1097">
        <v>1261</v>
      </c>
      <c r="IO35" s="1098">
        <v>65</v>
      </c>
      <c r="IP35" s="1098">
        <v>57</v>
      </c>
      <c r="IQ35" s="1098">
        <v>64</v>
      </c>
      <c r="IR35" s="1098">
        <v>66</v>
      </c>
      <c r="IS35" s="1098">
        <v>70</v>
      </c>
      <c r="IT35" s="1098">
        <v>86</v>
      </c>
      <c r="IU35" s="1098">
        <v>95.5</v>
      </c>
      <c r="IV35" s="1098">
        <v>83</v>
      </c>
      <c r="IW35" s="1098">
        <v>87</v>
      </c>
      <c r="IX35" s="1098">
        <v>77.5</v>
      </c>
      <c r="IY35" s="1098">
        <v>70</v>
      </c>
      <c r="IZ35" s="1098">
        <v>73</v>
      </c>
      <c r="JA35" s="1097">
        <v>894</v>
      </c>
      <c r="JB35" s="1098">
        <v>66</v>
      </c>
      <c r="JC35" s="1098">
        <v>74.5</v>
      </c>
      <c r="JD35" s="1098"/>
      <c r="JE35" s="1098"/>
      <c r="JF35" s="1098"/>
      <c r="JG35" s="1098"/>
      <c r="JH35" s="1098"/>
      <c r="JI35" s="1098"/>
      <c r="JJ35" s="1098"/>
      <c r="JK35" s="1098"/>
      <c r="JL35" s="1098"/>
      <c r="JM35" s="1098"/>
      <c r="JN35" s="1097">
        <f t="shared" si="281"/>
        <v>140.5</v>
      </c>
      <c r="JP35" s="1174">
        <f t="shared" si="305"/>
        <v>-17.977528089887642</v>
      </c>
      <c r="JQ35" s="1175">
        <f t="shared" si="306"/>
        <v>-29.103885804916729</v>
      </c>
      <c r="JR35" s="1184">
        <f t="shared" si="307"/>
        <v>1261</v>
      </c>
      <c r="JS35" s="1185">
        <f t="shared" si="308"/>
        <v>894</v>
      </c>
      <c r="JT35" s="1"/>
      <c r="JU35" s="1079">
        <f t="shared" si="309"/>
        <v>56286.820000000014</v>
      </c>
      <c r="JV35" s="1080" t="s">
        <v>182</v>
      </c>
      <c r="JW35" s="1081" t="str">
        <f t="shared" si="310"/>
        <v>OK</v>
      </c>
    </row>
    <row r="36" spans="1:283" ht="15" customHeight="1" x14ac:dyDescent="0.2">
      <c r="A36" s="1166" t="s">
        <v>570</v>
      </c>
      <c r="B36" s="1098">
        <v>14</v>
      </c>
      <c r="C36" s="1098">
        <v>9</v>
      </c>
      <c r="D36" s="1098">
        <v>9</v>
      </c>
      <c r="E36" s="1098">
        <v>9</v>
      </c>
      <c r="F36" s="1098">
        <v>9</v>
      </c>
      <c r="G36" s="1098">
        <v>9</v>
      </c>
      <c r="H36" s="1098">
        <v>9</v>
      </c>
      <c r="I36" s="1098">
        <v>9</v>
      </c>
      <c r="J36" s="1098">
        <v>9</v>
      </c>
      <c r="K36" s="1098">
        <v>5</v>
      </c>
      <c r="L36" s="1098">
        <v>5</v>
      </c>
      <c r="M36" s="1098">
        <v>5</v>
      </c>
      <c r="N36" s="1097">
        <f t="shared" si="21"/>
        <v>101</v>
      </c>
      <c r="O36" s="1098">
        <v>9</v>
      </c>
      <c r="P36" s="1098">
        <v>9</v>
      </c>
      <c r="Q36" s="1098">
        <v>14</v>
      </c>
      <c r="R36" s="1098">
        <v>9</v>
      </c>
      <c r="S36" s="1098">
        <v>7</v>
      </c>
      <c r="T36" s="1098">
        <v>5</v>
      </c>
      <c r="U36" s="1098">
        <v>9</v>
      </c>
      <c r="V36" s="1098">
        <v>5</v>
      </c>
      <c r="W36" s="1098">
        <v>5</v>
      </c>
      <c r="X36" s="1098">
        <v>11</v>
      </c>
      <c r="Y36" s="1098">
        <v>5</v>
      </c>
      <c r="Z36" s="1098">
        <v>5</v>
      </c>
      <c r="AA36" s="1097">
        <f t="shared" si="34"/>
        <v>93</v>
      </c>
      <c r="AB36" s="1098">
        <v>5</v>
      </c>
      <c r="AC36" s="1098">
        <v>5</v>
      </c>
      <c r="AD36" s="1098">
        <v>5</v>
      </c>
      <c r="AE36" s="1098">
        <v>5</v>
      </c>
      <c r="AF36" s="1098">
        <v>5</v>
      </c>
      <c r="AG36" s="1098">
        <v>5</v>
      </c>
      <c r="AH36" s="1098">
        <v>5</v>
      </c>
      <c r="AI36" s="1098">
        <v>5</v>
      </c>
      <c r="AJ36" s="1098">
        <v>5</v>
      </c>
      <c r="AK36" s="1098">
        <v>5</v>
      </c>
      <c r="AL36" s="1098">
        <v>5</v>
      </c>
      <c r="AM36" s="1098">
        <v>5</v>
      </c>
      <c r="AN36" s="1097">
        <f t="shared" si="47"/>
        <v>60</v>
      </c>
      <c r="AO36" s="1098">
        <v>5</v>
      </c>
      <c r="AP36" s="1098">
        <v>5</v>
      </c>
      <c r="AQ36" s="1098">
        <v>5</v>
      </c>
      <c r="AR36" s="1098">
        <v>5</v>
      </c>
      <c r="AS36" s="1098">
        <v>5</v>
      </c>
      <c r="AT36" s="1098">
        <v>5</v>
      </c>
      <c r="AU36" s="1098">
        <v>5</v>
      </c>
      <c r="AV36" s="1098">
        <v>5</v>
      </c>
      <c r="AW36" s="1098">
        <v>5</v>
      </c>
      <c r="AX36" s="1098">
        <v>5</v>
      </c>
      <c r="AY36" s="1098">
        <v>5</v>
      </c>
      <c r="AZ36" s="1098">
        <v>5</v>
      </c>
      <c r="BA36" s="1097">
        <f t="shared" si="60"/>
        <v>60</v>
      </c>
      <c r="BB36" s="1098">
        <v>4</v>
      </c>
      <c r="BC36" s="1098">
        <v>5</v>
      </c>
      <c r="BD36" s="1098">
        <v>4</v>
      </c>
      <c r="BE36" s="1098">
        <v>5</v>
      </c>
      <c r="BF36" s="1098">
        <v>4</v>
      </c>
      <c r="BG36" s="1098">
        <v>5</v>
      </c>
      <c r="BH36" s="1098">
        <v>5</v>
      </c>
      <c r="BI36" s="1098">
        <v>33</v>
      </c>
      <c r="BJ36" s="1098">
        <v>4</v>
      </c>
      <c r="BK36" s="1098">
        <v>5</v>
      </c>
      <c r="BL36" s="1098">
        <v>9</v>
      </c>
      <c r="BM36" s="1098">
        <v>4</v>
      </c>
      <c r="BN36" s="1097">
        <f t="shared" si="73"/>
        <v>87</v>
      </c>
      <c r="BO36" s="1098">
        <v>5</v>
      </c>
      <c r="BP36" s="1098">
        <v>5</v>
      </c>
      <c r="BQ36" s="1098">
        <v>5</v>
      </c>
      <c r="BR36" s="1098">
        <v>5</v>
      </c>
      <c r="BS36" s="1098">
        <v>5</v>
      </c>
      <c r="BT36" s="1098">
        <v>5</v>
      </c>
      <c r="BU36" s="1098">
        <v>5</v>
      </c>
      <c r="BV36" s="1098">
        <v>5</v>
      </c>
      <c r="BW36" s="1098">
        <v>17</v>
      </c>
      <c r="BX36" s="1098">
        <v>5</v>
      </c>
      <c r="BY36" s="1098">
        <v>5</v>
      </c>
      <c r="BZ36" s="1098">
        <v>5</v>
      </c>
      <c r="CA36" s="1097">
        <f t="shared" si="86"/>
        <v>72</v>
      </c>
      <c r="CB36" s="1098">
        <v>7</v>
      </c>
      <c r="CC36" s="1098">
        <v>6</v>
      </c>
      <c r="CD36" s="1098">
        <v>9</v>
      </c>
      <c r="CE36" s="1098">
        <v>15</v>
      </c>
      <c r="CF36" s="1098">
        <v>8</v>
      </c>
      <c r="CG36" s="1098">
        <v>5</v>
      </c>
      <c r="CH36" s="1098">
        <v>8</v>
      </c>
      <c r="CI36" s="1098">
        <v>5</v>
      </c>
      <c r="CJ36" s="1098">
        <v>5</v>
      </c>
      <c r="CK36" s="1098">
        <v>5</v>
      </c>
      <c r="CL36" s="1098">
        <v>5</v>
      </c>
      <c r="CM36" s="1098">
        <v>5</v>
      </c>
      <c r="CN36" s="1097">
        <f t="shared" si="99"/>
        <v>83</v>
      </c>
      <c r="CO36" s="1098">
        <v>5</v>
      </c>
      <c r="CP36" s="1098">
        <v>9</v>
      </c>
      <c r="CQ36" s="1098">
        <v>9</v>
      </c>
      <c r="CR36" s="1098">
        <v>9</v>
      </c>
      <c r="CS36" s="1098">
        <v>9</v>
      </c>
      <c r="CT36" s="1098">
        <v>9</v>
      </c>
      <c r="CU36" s="1098">
        <v>9</v>
      </c>
      <c r="CV36" s="1098">
        <v>9</v>
      </c>
      <c r="CW36" s="1098">
        <v>9</v>
      </c>
      <c r="CX36" s="1098">
        <v>9</v>
      </c>
      <c r="CY36" s="1098">
        <v>9</v>
      </c>
      <c r="CZ36" s="1098">
        <v>9</v>
      </c>
      <c r="DA36" s="1097">
        <f t="shared" si="112"/>
        <v>104</v>
      </c>
      <c r="DB36" s="1098">
        <v>5</v>
      </c>
      <c r="DC36" s="1098">
        <v>5</v>
      </c>
      <c r="DD36" s="1098">
        <v>5</v>
      </c>
      <c r="DE36" s="1098">
        <v>5</v>
      </c>
      <c r="DF36" s="1098">
        <v>5</v>
      </c>
      <c r="DG36" s="1098">
        <v>5</v>
      </c>
      <c r="DH36" s="1098">
        <v>5</v>
      </c>
      <c r="DI36" s="1098">
        <v>5</v>
      </c>
      <c r="DJ36" s="1098">
        <v>5</v>
      </c>
      <c r="DK36" s="1098">
        <v>5</v>
      </c>
      <c r="DL36" s="1098">
        <v>5</v>
      </c>
      <c r="DM36" s="1098">
        <v>5</v>
      </c>
      <c r="DN36" s="1097">
        <f t="shared" si="125"/>
        <v>60</v>
      </c>
      <c r="DO36" s="1098">
        <v>5</v>
      </c>
      <c r="DP36" s="1098">
        <v>5</v>
      </c>
      <c r="DQ36" s="1098">
        <v>5</v>
      </c>
      <c r="DR36" s="1098">
        <v>5</v>
      </c>
      <c r="DS36" s="1098">
        <v>5</v>
      </c>
      <c r="DT36" s="1098">
        <v>5</v>
      </c>
      <c r="DU36" s="1098">
        <v>5</v>
      </c>
      <c r="DV36" s="1098">
        <v>5</v>
      </c>
      <c r="DW36" s="1098">
        <v>5</v>
      </c>
      <c r="DX36" s="1098">
        <v>5</v>
      </c>
      <c r="DY36" s="1098">
        <v>5</v>
      </c>
      <c r="DZ36" s="1098">
        <v>5</v>
      </c>
      <c r="EA36" s="1097">
        <f t="shared" si="138"/>
        <v>60</v>
      </c>
      <c r="EB36" s="1098">
        <v>5</v>
      </c>
      <c r="EC36" s="1098">
        <v>6</v>
      </c>
      <c r="ED36" s="1098">
        <v>6</v>
      </c>
      <c r="EE36" s="1098">
        <v>6</v>
      </c>
      <c r="EF36" s="1098">
        <v>6</v>
      </c>
      <c r="EG36" s="1098">
        <v>6</v>
      </c>
      <c r="EH36" s="1098">
        <v>6</v>
      </c>
      <c r="EI36" s="1098">
        <v>5</v>
      </c>
      <c r="EJ36" s="1098">
        <v>5</v>
      </c>
      <c r="EK36" s="1098">
        <v>5</v>
      </c>
      <c r="EL36" s="1098">
        <v>5</v>
      </c>
      <c r="EM36" s="1098">
        <v>5</v>
      </c>
      <c r="EN36" s="1097">
        <f t="shared" si="151"/>
        <v>66</v>
      </c>
      <c r="EO36" s="1098">
        <v>6</v>
      </c>
      <c r="EP36" s="1098">
        <v>6</v>
      </c>
      <c r="EQ36" s="1098">
        <v>6</v>
      </c>
      <c r="ER36" s="1098">
        <v>6</v>
      </c>
      <c r="ES36" s="1098">
        <v>6</v>
      </c>
      <c r="ET36" s="1098">
        <v>6</v>
      </c>
      <c r="EU36" s="1098">
        <v>6</v>
      </c>
      <c r="EV36" s="1098">
        <v>6</v>
      </c>
      <c r="EW36" s="1098">
        <v>6</v>
      </c>
      <c r="EX36" s="1098">
        <v>6</v>
      </c>
      <c r="EY36" s="1098">
        <v>6</v>
      </c>
      <c r="EZ36" s="1098">
        <v>6</v>
      </c>
      <c r="FA36" s="1097">
        <f t="shared" si="164"/>
        <v>72</v>
      </c>
      <c r="FB36" s="1098">
        <v>6</v>
      </c>
      <c r="FC36" s="1098">
        <v>6</v>
      </c>
      <c r="FD36" s="1098">
        <v>6</v>
      </c>
      <c r="FE36" s="1098">
        <v>6</v>
      </c>
      <c r="FF36" s="1098">
        <v>6</v>
      </c>
      <c r="FG36" s="1098">
        <v>6</v>
      </c>
      <c r="FH36" s="1098">
        <v>7</v>
      </c>
      <c r="FI36" s="1098">
        <v>7</v>
      </c>
      <c r="FJ36" s="1098">
        <v>7</v>
      </c>
      <c r="FK36" s="1098">
        <v>7</v>
      </c>
      <c r="FL36" s="1098">
        <v>7</v>
      </c>
      <c r="FM36" s="1098">
        <v>7</v>
      </c>
      <c r="FN36" s="1097">
        <f t="shared" si="177"/>
        <v>78</v>
      </c>
      <c r="FO36" s="1098">
        <v>7</v>
      </c>
      <c r="FP36" s="1098">
        <v>7</v>
      </c>
      <c r="FQ36" s="1098">
        <v>7</v>
      </c>
      <c r="FR36" s="1098">
        <v>7</v>
      </c>
      <c r="FS36" s="1098">
        <v>7</v>
      </c>
      <c r="FT36" s="1098">
        <v>7</v>
      </c>
      <c r="FU36" s="1098">
        <v>7</v>
      </c>
      <c r="FV36" s="1098">
        <v>7</v>
      </c>
      <c r="FW36" s="1098">
        <v>3</v>
      </c>
      <c r="FX36" s="1098">
        <v>7</v>
      </c>
      <c r="FY36" s="1098">
        <v>7</v>
      </c>
      <c r="FZ36" s="1098">
        <v>7</v>
      </c>
      <c r="GA36" s="1097">
        <f t="shared" si="190"/>
        <v>80</v>
      </c>
      <c r="GB36" s="1098">
        <v>7</v>
      </c>
      <c r="GC36" s="1098">
        <v>7</v>
      </c>
      <c r="GD36" s="1098">
        <v>7</v>
      </c>
      <c r="GE36" s="1098">
        <v>7</v>
      </c>
      <c r="GF36" s="1098">
        <v>7</v>
      </c>
      <c r="GG36" s="1098">
        <v>7</v>
      </c>
      <c r="GH36" s="1098">
        <v>7</v>
      </c>
      <c r="GI36" s="1098">
        <v>7</v>
      </c>
      <c r="GJ36" s="1098">
        <v>7</v>
      </c>
      <c r="GK36" s="1098">
        <v>7</v>
      </c>
      <c r="GL36" s="1098">
        <v>7</v>
      </c>
      <c r="GM36" s="1098">
        <v>7</v>
      </c>
      <c r="GN36" s="1097">
        <f t="shared" si="203"/>
        <v>84</v>
      </c>
      <c r="GO36" s="1098">
        <v>7</v>
      </c>
      <c r="GP36" s="1098">
        <v>7</v>
      </c>
      <c r="GQ36" s="1098">
        <v>7</v>
      </c>
      <c r="GR36" s="1098">
        <v>7</v>
      </c>
      <c r="GS36" s="1098">
        <v>7</v>
      </c>
      <c r="GT36" s="1098">
        <v>7</v>
      </c>
      <c r="GU36" s="1098">
        <v>6.95</v>
      </c>
      <c r="GV36" s="1098">
        <v>6.9</v>
      </c>
      <c r="GW36" s="1098">
        <v>6.6</v>
      </c>
      <c r="GX36" s="1098">
        <v>7</v>
      </c>
      <c r="GY36" s="1098">
        <v>7</v>
      </c>
      <c r="GZ36" s="1098">
        <v>7</v>
      </c>
      <c r="HA36" s="1097">
        <f t="shared" si="216"/>
        <v>83.45</v>
      </c>
      <c r="HB36" s="1098">
        <v>7</v>
      </c>
      <c r="HC36" s="1098"/>
      <c r="HD36" s="1098">
        <v>7</v>
      </c>
      <c r="HE36" s="1098">
        <v>7.2</v>
      </c>
      <c r="HF36" s="1098">
        <v>7.2</v>
      </c>
      <c r="HG36" s="1098">
        <v>7.2</v>
      </c>
      <c r="HH36" s="1098">
        <v>5</v>
      </c>
      <c r="HI36" s="1098">
        <v>3.9</v>
      </c>
      <c r="HJ36" s="1098">
        <v>3.8</v>
      </c>
      <c r="HK36" s="1098">
        <v>3.8</v>
      </c>
      <c r="HL36" s="1098">
        <v>3.8</v>
      </c>
      <c r="HM36" s="1098">
        <v>3.8</v>
      </c>
      <c r="HN36" s="1097">
        <f t="shared" si="229"/>
        <v>59.699999999999989</v>
      </c>
      <c r="HO36" s="1098"/>
      <c r="HP36" s="1098"/>
      <c r="HQ36" s="1098"/>
      <c r="HR36" s="1098"/>
      <c r="HS36" s="1098"/>
      <c r="HT36" s="1098"/>
      <c r="HU36" s="1098"/>
      <c r="HV36" s="1098"/>
      <c r="HW36" s="1098"/>
      <c r="HX36" s="1098"/>
      <c r="HY36" s="1098">
        <v>6.5</v>
      </c>
      <c r="HZ36" s="1098"/>
      <c r="IA36" s="1097">
        <f t="shared" si="242"/>
        <v>6.5</v>
      </c>
      <c r="IB36" s="1098">
        <v>0</v>
      </c>
      <c r="IC36" s="1098">
        <v>0</v>
      </c>
      <c r="ID36" s="1098">
        <v>0</v>
      </c>
      <c r="IE36" s="1098">
        <v>0</v>
      </c>
      <c r="IF36" s="1098">
        <v>0</v>
      </c>
      <c r="IG36" s="1098">
        <v>0</v>
      </c>
      <c r="IH36" s="1098">
        <v>0</v>
      </c>
      <c r="II36" s="1098">
        <v>0</v>
      </c>
      <c r="IJ36" s="1098">
        <v>0</v>
      </c>
      <c r="IK36" s="1098">
        <v>0</v>
      </c>
      <c r="IL36" s="1098">
        <v>0</v>
      </c>
      <c r="IM36" s="1098">
        <v>0</v>
      </c>
      <c r="IN36" s="1097">
        <v>0</v>
      </c>
      <c r="IO36" s="1098">
        <v>0</v>
      </c>
      <c r="IP36" s="1098">
        <v>0</v>
      </c>
      <c r="IQ36" s="1098">
        <v>0</v>
      </c>
      <c r="IR36" s="1098">
        <v>0</v>
      </c>
      <c r="IS36" s="1098">
        <v>0</v>
      </c>
      <c r="IT36" s="1098">
        <v>0</v>
      </c>
      <c r="IU36" s="1098">
        <v>0</v>
      </c>
      <c r="IV36" s="1098">
        <v>0</v>
      </c>
      <c r="IW36" s="1098">
        <v>0</v>
      </c>
      <c r="IX36" s="1098">
        <v>0</v>
      </c>
      <c r="IY36" s="1098">
        <v>0</v>
      </c>
      <c r="IZ36" s="1098">
        <v>0</v>
      </c>
      <c r="JA36" s="1097">
        <v>0</v>
      </c>
      <c r="JB36" s="1098">
        <v>0</v>
      </c>
      <c r="JC36" s="1098">
        <v>0</v>
      </c>
      <c r="JD36" s="1098"/>
      <c r="JE36" s="1098"/>
      <c r="JF36" s="1098"/>
      <c r="JG36" s="1098"/>
      <c r="JH36" s="1098"/>
      <c r="JI36" s="1098"/>
      <c r="JJ36" s="1098"/>
      <c r="JK36" s="1098"/>
      <c r="JL36" s="1098"/>
      <c r="JM36" s="1098"/>
      <c r="JN36" s="1097">
        <f t="shared" si="281"/>
        <v>0</v>
      </c>
      <c r="JP36" s="1174" t="str">
        <f t="shared" si="305"/>
        <v/>
      </c>
      <c r="JQ36" s="1175" t="str">
        <f t="shared" si="306"/>
        <v/>
      </c>
      <c r="JR36" s="1184">
        <f t="shared" si="307"/>
        <v>0</v>
      </c>
      <c r="JS36" s="1185">
        <f t="shared" si="308"/>
        <v>0</v>
      </c>
      <c r="JT36" s="1"/>
      <c r="JU36" s="1079">
        <f t="shared" si="309"/>
        <v>2619.2999999999997</v>
      </c>
      <c r="JV36" s="1080" t="s">
        <v>570</v>
      </c>
      <c r="JW36" s="1081" t="str">
        <f t="shared" si="310"/>
        <v>OK</v>
      </c>
    </row>
    <row r="37" spans="1:283" ht="15" customHeight="1" x14ac:dyDescent="0.2">
      <c r="A37" s="1166" t="s">
        <v>149</v>
      </c>
      <c r="B37" s="1098">
        <v>11</v>
      </c>
      <c r="C37" s="1098">
        <v>6</v>
      </c>
      <c r="D37" s="1098">
        <v>7</v>
      </c>
      <c r="E37" s="1098">
        <v>10</v>
      </c>
      <c r="F37" s="1098">
        <v>5</v>
      </c>
      <c r="G37" s="1098">
        <v>5</v>
      </c>
      <c r="H37" s="1098">
        <v>7</v>
      </c>
      <c r="I37" s="1098">
        <v>173</v>
      </c>
      <c r="J37" s="1098">
        <v>7</v>
      </c>
      <c r="K37" s="1098">
        <v>4</v>
      </c>
      <c r="L37" s="1098">
        <v>92</v>
      </c>
      <c r="M37" s="1098">
        <v>7</v>
      </c>
      <c r="N37" s="1097">
        <f t="shared" si="21"/>
        <v>334</v>
      </c>
      <c r="O37" s="1098">
        <v>11</v>
      </c>
      <c r="P37" s="1098">
        <v>1</v>
      </c>
      <c r="Q37" s="1098">
        <v>2</v>
      </c>
      <c r="R37" s="1098">
        <v>15</v>
      </c>
      <c r="S37" s="1098">
        <v>4</v>
      </c>
      <c r="T37" s="1098">
        <v>44</v>
      </c>
      <c r="U37" s="1098">
        <v>44</v>
      </c>
      <c r="V37" s="1098">
        <v>4</v>
      </c>
      <c r="W37" s="1098">
        <v>3</v>
      </c>
      <c r="X37" s="1098">
        <v>6</v>
      </c>
      <c r="Y37" s="1098">
        <v>78</v>
      </c>
      <c r="Z37" s="1098">
        <v>54</v>
      </c>
      <c r="AA37" s="1097">
        <f t="shared" si="34"/>
        <v>266</v>
      </c>
      <c r="AB37" s="1098">
        <v>4</v>
      </c>
      <c r="AC37" s="1098">
        <v>5</v>
      </c>
      <c r="AD37" s="1098">
        <v>5</v>
      </c>
      <c r="AE37" s="1098">
        <v>3</v>
      </c>
      <c r="AF37" s="1098">
        <v>5</v>
      </c>
      <c r="AG37" s="1098">
        <v>6</v>
      </c>
      <c r="AH37" s="1098">
        <v>7</v>
      </c>
      <c r="AI37" s="1098">
        <v>108</v>
      </c>
      <c r="AJ37" s="1098">
        <v>9</v>
      </c>
      <c r="AK37" s="1098">
        <v>131</v>
      </c>
      <c r="AL37" s="1098">
        <v>10</v>
      </c>
      <c r="AM37" s="1098">
        <v>6</v>
      </c>
      <c r="AN37" s="1097">
        <f t="shared" si="47"/>
        <v>299</v>
      </c>
      <c r="AO37" s="1098">
        <v>9</v>
      </c>
      <c r="AP37" s="1098">
        <v>7</v>
      </c>
      <c r="AQ37" s="1098">
        <v>9</v>
      </c>
      <c r="AR37" s="1098">
        <v>11</v>
      </c>
      <c r="AS37" s="1098">
        <v>1</v>
      </c>
      <c r="AT37" s="1098">
        <v>11</v>
      </c>
      <c r="AU37" s="1098">
        <v>216</v>
      </c>
      <c r="AV37" s="1098">
        <v>9</v>
      </c>
      <c r="AW37" s="1098">
        <v>90</v>
      </c>
      <c r="AX37" s="1098">
        <v>12</v>
      </c>
      <c r="AY37" s="1098">
        <v>13</v>
      </c>
      <c r="AZ37" s="1098">
        <v>14</v>
      </c>
      <c r="BA37" s="1097">
        <f t="shared" si="60"/>
        <v>402</v>
      </c>
      <c r="BB37" s="1098">
        <v>11</v>
      </c>
      <c r="BC37" s="1098">
        <v>9</v>
      </c>
      <c r="BD37" s="1098">
        <v>5</v>
      </c>
      <c r="BE37" s="1098">
        <v>10</v>
      </c>
      <c r="BF37" s="1098">
        <v>8</v>
      </c>
      <c r="BG37" s="1098">
        <v>11</v>
      </c>
      <c r="BH37" s="1098">
        <v>9</v>
      </c>
      <c r="BI37" s="1098">
        <v>11</v>
      </c>
      <c r="BJ37" s="1098">
        <v>11</v>
      </c>
      <c r="BK37" s="1098">
        <v>10</v>
      </c>
      <c r="BL37" s="1098">
        <v>9</v>
      </c>
      <c r="BM37" s="1098">
        <v>12</v>
      </c>
      <c r="BN37" s="1097">
        <f t="shared" si="73"/>
        <v>116</v>
      </c>
      <c r="BO37" s="1098">
        <v>9</v>
      </c>
      <c r="BP37" s="1098">
        <v>11</v>
      </c>
      <c r="BQ37" s="1098">
        <v>13</v>
      </c>
      <c r="BR37" s="1098">
        <v>16</v>
      </c>
      <c r="BS37" s="1098">
        <v>17</v>
      </c>
      <c r="BT37" s="1098">
        <v>18</v>
      </c>
      <c r="BU37" s="1098">
        <v>16</v>
      </c>
      <c r="BV37" s="1098">
        <v>15</v>
      </c>
      <c r="BW37" s="1098">
        <v>18</v>
      </c>
      <c r="BX37" s="1098">
        <v>13</v>
      </c>
      <c r="BY37" s="1098">
        <v>21</v>
      </c>
      <c r="BZ37" s="1098">
        <v>16</v>
      </c>
      <c r="CA37" s="1097">
        <f t="shared" si="86"/>
        <v>183</v>
      </c>
      <c r="CB37" s="1098">
        <v>15</v>
      </c>
      <c r="CC37" s="1098">
        <v>32</v>
      </c>
      <c r="CD37" s="1098">
        <v>3</v>
      </c>
      <c r="CE37" s="1098">
        <v>1</v>
      </c>
      <c r="CF37" s="1098">
        <v>4</v>
      </c>
      <c r="CG37" s="1098">
        <v>6</v>
      </c>
      <c r="CH37" s="1098"/>
      <c r="CI37" s="1098">
        <v>9</v>
      </c>
      <c r="CJ37" s="1098">
        <v>4</v>
      </c>
      <c r="CK37" s="1098">
        <v>5</v>
      </c>
      <c r="CL37" s="1098">
        <v>4</v>
      </c>
      <c r="CM37" s="1098">
        <v>11</v>
      </c>
      <c r="CN37" s="1097">
        <f t="shared" si="99"/>
        <v>94</v>
      </c>
      <c r="CO37" s="1098">
        <v>13</v>
      </c>
      <c r="CP37" s="1098">
        <v>4</v>
      </c>
      <c r="CQ37" s="1098">
        <v>6</v>
      </c>
      <c r="CR37" s="1098">
        <v>6</v>
      </c>
      <c r="CS37" s="1098">
        <v>6</v>
      </c>
      <c r="CT37" s="1098">
        <v>84</v>
      </c>
      <c r="CU37" s="1098">
        <v>312</v>
      </c>
      <c r="CV37" s="1098">
        <v>13</v>
      </c>
      <c r="CW37" s="1098">
        <v>6</v>
      </c>
      <c r="CX37" s="1098">
        <v>4</v>
      </c>
      <c r="CY37" s="1098">
        <v>7</v>
      </c>
      <c r="CZ37" s="1098">
        <v>6</v>
      </c>
      <c r="DA37" s="1097">
        <f t="shared" si="112"/>
        <v>467</v>
      </c>
      <c r="DB37" s="1098">
        <v>6</v>
      </c>
      <c r="DC37" s="1098">
        <v>8</v>
      </c>
      <c r="DD37" s="1098">
        <v>11</v>
      </c>
      <c r="DE37" s="1098">
        <v>8</v>
      </c>
      <c r="DF37" s="1098">
        <v>58</v>
      </c>
      <c r="DG37" s="1098">
        <v>6</v>
      </c>
      <c r="DH37" s="1098">
        <v>6</v>
      </c>
      <c r="DI37" s="1098">
        <v>77</v>
      </c>
      <c r="DJ37" s="1098">
        <v>4</v>
      </c>
      <c r="DK37" s="1098">
        <v>2</v>
      </c>
      <c r="DL37" s="1098">
        <v>61</v>
      </c>
      <c r="DM37" s="1098">
        <v>4</v>
      </c>
      <c r="DN37" s="1097">
        <f t="shared" si="125"/>
        <v>251</v>
      </c>
      <c r="DO37" s="1098">
        <v>4</v>
      </c>
      <c r="DP37" s="1098">
        <v>4</v>
      </c>
      <c r="DQ37" s="1098">
        <v>2</v>
      </c>
      <c r="DR37" s="1098">
        <v>4</v>
      </c>
      <c r="DS37" s="1098">
        <v>2</v>
      </c>
      <c r="DT37" s="1098">
        <v>4</v>
      </c>
      <c r="DU37" s="1098">
        <v>4</v>
      </c>
      <c r="DV37" s="1098">
        <v>4</v>
      </c>
      <c r="DW37" s="1098">
        <v>2</v>
      </c>
      <c r="DX37" s="1098">
        <v>2</v>
      </c>
      <c r="DY37" s="1098">
        <v>4</v>
      </c>
      <c r="DZ37" s="1098">
        <v>4</v>
      </c>
      <c r="EA37" s="1097">
        <f t="shared" si="138"/>
        <v>40</v>
      </c>
      <c r="EB37" s="1098">
        <v>2</v>
      </c>
      <c r="EC37" s="1098">
        <v>5</v>
      </c>
      <c r="ED37" s="1098"/>
      <c r="EE37" s="1098">
        <v>5</v>
      </c>
      <c r="EF37" s="1098">
        <v>4</v>
      </c>
      <c r="EG37" s="1098">
        <v>2</v>
      </c>
      <c r="EH37" s="1098">
        <v>5</v>
      </c>
      <c r="EI37" s="1098">
        <v>4</v>
      </c>
      <c r="EJ37" s="1098">
        <v>5</v>
      </c>
      <c r="EK37" s="1098"/>
      <c r="EL37" s="1098">
        <v>2</v>
      </c>
      <c r="EM37" s="1098">
        <v>4</v>
      </c>
      <c r="EN37" s="1097">
        <f t="shared" si="151"/>
        <v>38</v>
      </c>
      <c r="EO37" s="1098">
        <v>4</v>
      </c>
      <c r="EP37" s="1098">
        <v>2</v>
      </c>
      <c r="EQ37" s="1098">
        <v>4</v>
      </c>
      <c r="ER37" s="1098">
        <v>4</v>
      </c>
      <c r="ES37" s="1098">
        <v>5</v>
      </c>
      <c r="ET37" s="1098">
        <v>5</v>
      </c>
      <c r="EU37" s="1098">
        <v>2</v>
      </c>
      <c r="EV37" s="1098">
        <v>5</v>
      </c>
      <c r="EW37" s="1098">
        <v>4</v>
      </c>
      <c r="EX37" s="1098">
        <v>5</v>
      </c>
      <c r="EY37" s="1098">
        <v>5</v>
      </c>
      <c r="EZ37" s="1098">
        <v>4</v>
      </c>
      <c r="FA37" s="1097">
        <f t="shared" si="164"/>
        <v>49</v>
      </c>
      <c r="FB37" s="1098">
        <v>4</v>
      </c>
      <c r="FC37" s="1098">
        <v>9</v>
      </c>
      <c r="FD37" s="1098">
        <v>7</v>
      </c>
      <c r="FE37" s="1098">
        <v>6</v>
      </c>
      <c r="FF37" s="1098">
        <v>6</v>
      </c>
      <c r="FG37" s="1098">
        <v>4</v>
      </c>
      <c r="FH37" s="1098">
        <v>4</v>
      </c>
      <c r="FI37" s="1098">
        <v>7</v>
      </c>
      <c r="FJ37" s="1098">
        <v>6</v>
      </c>
      <c r="FK37" s="1098">
        <v>6</v>
      </c>
      <c r="FL37" s="1098">
        <v>6</v>
      </c>
      <c r="FM37" s="1098">
        <v>4</v>
      </c>
      <c r="FN37" s="1097">
        <f t="shared" si="177"/>
        <v>69</v>
      </c>
      <c r="FO37" s="1098">
        <v>4</v>
      </c>
      <c r="FP37" s="1098">
        <v>5</v>
      </c>
      <c r="FQ37" s="1098">
        <v>2</v>
      </c>
      <c r="FR37" s="1098">
        <v>6</v>
      </c>
      <c r="FS37" s="1098">
        <v>5</v>
      </c>
      <c r="FT37" s="1098">
        <v>4</v>
      </c>
      <c r="FU37" s="1098">
        <v>6</v>
      </c>
      <c r="FV37" s="1098">
        <v>9</v>
      </c>
      <c r="FW37" s="1098">
        <v>131</v>
      </c>
      <c r="FX37" s="1098">
        <v>5</v>
      </c>
      <c r="FY37" s="1098">
        <v>4</v>
      </c>
      <c r="FZ37" s="1098">
        <v>9</v>
      </c>
      <c r="GA37" s="1097">
        <f t="shared" si="190"/>
        <v>190</v>
      </c>
      <c r="GB37" s="1098">
        <v>19</v>
      </c>
      <c r="GC37" s="1098">
        <v>4</v>
      </c>
      <c r="GD37" s="1098">
        <v>6</v>
      </c>
      <c r="GE37" s="1098">
        <v>6</v>
      </c>
      <c r="GF37" s="1098">
        <v>4.3</v>
      </c>
      <c r="GG37" s="1098">
        <v>7</v>
      </c>
      <c r="GH37" s="1098">
        <v>4</v>
      </c>
      <c r="GI37" s="1098">
        <v>4</v>
      </c>
      <c r="GJ37" s="1098">
        <v>4</v>
      </c>
      <c r="GK37" s="1098">
        <v>7</v>
      </c>
      <c r="GL37" s="1098">
        <v>4</v>
      </c>
      <c r="GM37" s="1098">
        <v>7</v>
      </c>
      <c r="GN37" s="1097">
        <f t="shared" si="203"/>
        <v>76.3</v>
      </c>
      <c r="GO37" s="1098">
        <v>6.4</v>
      </c>
      <c r="GP37" s="1098">
        <v>4.3499999999999996</v>
      </c>
      <c r="GQ37" s="1098">
        <v>6.5</v>
      </c>
      <c r="GR37" s="1098">
        <v>4.3499999999999996</v>
      </c>
      <c r="GS37" s="1098">
        <v>8.6999999999999993</v>
      </c>
      <c r="GT37" s="1098">
        <v>4.25</v>
      </c>
      <c r="GU37" s="1098">
        <v>4.3</v>
      </c>
      <c r="GV37" s="1098">
        <v>8.5500000000000007</v>
      </c>
      <c r="GW37" s="1098">
        <v>6.4</v>
      </c>
      <c r="GX37" s="1098">
        <v>6.3000000000000007</v>
      </c>
      <c r="GY37" s="1098">
        <v>4.25</v>
      </c>
      <c r="GZ37" s="1098">
        <v>4.3</v>
      </c>
      <c r="HA37" s="1097">
        <f t="shared" si="216"/>
        <v>68.649999999999991</v>
      </c>
      <c r="HB37" s="1098">
        <v>4.55</v>
      </c>
      <c r="HC37" s="1098">
        <v>3.5999999999999996</v>
      </c>
      <c r="HD37" s="1098">
        <v>4.5999999999999996</v>
      </c>
      <c r="HE37" s="1098">
        <v>2.2000000000000002</v>
      </c>
      <c r="HF37" s="1098">
        <v>3.4</v>
      </c>
      <c r="HG37" s="1098">
        <v>3.7</v>
      </c>
      <c r="HH37" s="1098">
        <v>3.7</v>
      </c>
      <c r="HI37" s="1098">
        <v>1.7999999999999998</v>
      </c>
      <c r="HJ37" s="1098">
        <v>1.7999999999999998</v>
      </c>
      <c r="HK37" s="1098">
        <v>2.4</v>
      </c>
      <c r="HL37" s="1098"/>
      <c r="HM37" s="1098"/>
      <c r="HN37" s="1097">
        <f t="shared" si="229"/>
        <v>31.749999999999996</v>
      </c>
      <c r="HO37" s="1098"/>
      <c r="HP37" s="1098">
        <v>5.4</v>
      </c>
      <c r="HQ37" s="1098">
        <v>1.2</v>
      </c>
      <c r="HR37" s="1098"/>
      <c r="HS37" s="1098"/>
      <c r="HT37" s="1098">
        <v>3.5</v>
      </c>
      <c r="HU37" s="1098">
        <v>3.6</v>
      </c>
      <c r="HV37" s="1098">
        <v>10</v>
      </c>
      <c r="HW37" s="1098">
        <v>4.3</v>
      </c>
      <c r="HX37" s="1098"/>
      <c r="HY37" s="1098"/>
      <c r="HZ37" s="1098">
        <v>7.9</v>
      </c>
      <c r="IA37" s="1097">
        <f t="shared" si="242"/>
        <v>35.900000000000006</v>
      </c>
      <c r="IB37" s="1098">
        <v>4.2</v>
      </c>
      <c r="IC37" s="1098">
        <v>4.5</v>
      </c>
      <c r="ID37" s="1098">
        <v>0</v>
      </c>
      <c r="IE37" s="1098">
        <v>6</v>
      </c>
      <c r="IF37" s="1098">
        <v>0</v>
      </c>
      <c r="IG37" s="1098">
        <v>0</v>
      </c>
      <c r="IH37" s="1098">
        <v>0</v>
      </c>
      <c r="II37" s="1098">
        <v>0</v>
      </c>
      <c r="IJ37" s="1098">
        <v>0</v>
      </c>
      <c r="IK37" s="1098">
        <v>0</v>
      </c>
      <c r="IL37" s="1098">
        <v>0</v>
      </c>
      <c r="IM37" s="1098">
        <v>0</v>
      </c>
      <c r="IN37" s="1097">
        <v>14.7</v>
      </c>
      <c r="IO37" s="1098">
        <v>0</v>
      </c>
      <c r="IP37" s="1098">
        <v>0</v>
      </c>
      <c r="IQ37" s="1098">
        <v>0</v>
      </c>
      <c r="IR37" s="1098">
        <v>0</v>
      </c>
      <c r="IS37" s="1098">
        <v>0</v>
      </c>
      <c r="IT37" s="1098">
        <v>0</v>
      </c>
      <c r="IU37" s="1098">
        <v>0</v>
      </c>
      <c r="IV37" s="1098">
        <v>0</v>
      </c>
      <c r="IW37" s="1098">
        <v>0</v>
      </c>
      <c r="IX37" s="1098">
        <v>0</v>
      </c>
      <c r="IY37" s="1098">
        <v>0</v>
      </c>
      <c r="IZ37" s="1098">
        <v>0</v>
      </c>
      <c r="JA37" s="1097">
        <v>0</v>
      </c>
      <c r="JB37" s="1098">
        <v>0</v>
      </c>
      <c r="JC37" s="1098">
        <v>0</v>
      </c>
      <c r="JD37" s="1098"/>
      <c r="JE37" s="1098"/>
      <c r="JF37" s="1098"/>
      <c r="JG37" s="1098"/>
      <c r="JH37" s="1098"/>
      <c r="JI37" s="1098"/>
      <c r="JJ37" s="1098"/>
      <c r="JK37" s="1098"/>
      <c r="JL37" s="1098"/>
      <c r="JM37" s="1098"/>
      <c r="JN37" s="1097">
        <f t="shared" si="281"/>
        <v>0</v>
      </c>
      <c r="JP37" s="1174" t="str">
        <f t="shared" si="305"/>
        <v/>
      </c>
      <c r="JQ37" s="1175">
        <f t="shared" si="306"/>
        <v>-100</v>
      </c>
      <c r="JR37" s="1184">
        <f t="shared" si="307"/>
        <v>14.7</v>
      </c>
      <c r="JS37" s="1185">
        <f t="shared" si="308"/>
        <v>0</v>
      </c>
      <c r="JT37" s="1"/>
      <c r="JU37" s="1079">
        <f t="shared" si="309"/>
        <v>6050.5999999999995</v>
      </c>
      <c r="JV37" s="1080" t="s">
        <v>149</v>
      </c>
      <c r="JW37" s="1081" t="str">
        <f t="shared" si="310"/>
        <v>OK</v>
      </c>
    </row>
    <row r="38" spans="1:283" ht="15" customHeight="1" x14ac:dyDescent="0.2">
      <c r="A38" s="1166" t="s">
        <v>143</v>
      </c>
      <c r="B38" s="1098">
        <v>286</v>
      </c>
      <c r="C38" s="1098">
        <v>324</v>
      </c>
      <c r="D38" s="1098">
        <v>264</v>
      </c>
      <c r="E38" s="1098">
        <v>265</v>
      </c>
      <c r="F38" s="1098">
        <v>313</v>
      </c>
      <c r="G38" s="1098">
        <v>251</v>
      </c>
      <c r="H38" s="1098">
        <v>398</v>
      </c>
      <c r="I38" s="1098">
        <v>345</v>
      </c>
      <c r="J38" s="1098">
        <v>322</v>
      </c>
      <c r="K38" s="1098">
        <v>391</v>
      </c>
      <c r="L38" s="1098">
        <v>258</v>
      </c>
      <c r="M38" s="1098">
        <v>246</v>
      </c>
      <c r="N38" s="1097">
        <f t="shared" si="21"/>
        <v>3663</v>
      </c>
      <c r="O38" s="1098">
        <v>180</v>
      </c>
      <c r="P38" s="1098">
        <v>200</v>
      </c>
      <c r="Q38" s="1098">
        <v>158</v>
      </c>
      <c r="R38" s="1098">
        <v>230</v>
      </c>
      <c r="S38" s="1098">
        <v>103</v>
      </c>
      <c r="T38" s="1098">
        <v>220</v>
      </c>
      <c r="U38" s="1098">
        <v>230</v>
      </c>
      <c r="V38" s="1098">
        <v>222</v>
      </c>
      <c r="W38" s="1098">
        <v>269</v>
      </c>
      <c r="X38" s="1098">
        <v>401</v>
      </c>
      <c r="Y38" s="1098">
        <v>140</v>
      </c>
      <c r="Z38" s="1098">
        <v>220</v>
      </c>
      <c r="AA38" s="1097">
        <f t="shared" si="34"/>
        <v>2573</v>
      </c>
      <c r="AB38" s="1098">
        <v>211</v>
      </c>
      <c r="AC38" s="1098">
        <v>180</v>
      </c>
      <c r="AD38" s="1098">
        <v>260</v>
      </c>
      <c r="AE38" s="1098">
        <v>294</v>
      </c>
      <c r="AF38" s="1098">
        <v>250</v>
      </c>
      <c r="AG38" s="1098">
        <v>228</v>
      </c>
      <c r="AH38" s="1098">
        <v>299</v>
      </c>
      <c r="AI38" s="1098">
        <v>353</v>
      </c>
      <c r="AJ38" s="1098">
        <v>333</v>
      </c>
      <c r="AK38" s="1098">
        <v>248</v>
      </c>
      <c r="AL38" s="1098">
        <v>211</v>
      </c>
      <c r="AM38" s="1098">
        <v>311</v>
      </c>
      <c r="AN38" s="1097">
        <f t="shared" si="47"/>
        <v>3178</v>
      </c>
      <c r="AO38" s="1098">
        <v>240</v>
      </c>
      <c r="AP38" s="1098">
        <v>181</v>
      </c>
      <c r="AQ38" s="1098">
        <v>181</v>
      </c>
      <c r="AR38" s="1098">
        <v>268</v>
      </c>
      <c r="AS38" s="1098">
        <v>242</v>
      </c>
      <c r="AT38" s="1098">
        <v>209</v>
      </c>
      <c r="AU38" s="1098">
        <v>196</v>
      </c>
      <c r="AV38" s="1098">
        <v>196</v>
      </c>
      <c r="AW38" s="1098">
        <v>258</v>
      </c>
      <c r="AX38" s="1098">
        <v>228</v>
      </c>
      <c r="AY38" s="1098">
        <v>227</v>
      </c>
      <c r="AZ38" s="1098">
        <v>238</v>
      </c>
      <c r="BA38" s="1097">
        <f t="shared" si="60"/>
        <v>2664</v>
      </c>
      <c r="BB38" s="1098">
        <v>201</v>
      </c>
      <c r="BC38" s="1098">
        <v>187</v>
      </c>
      <c r="BD38" s="1098">
        <v>159</v>
      </c>
      <c r="BE38" s="1098">
        <v>101</v>
      </c>
      <c r="BF38" s="1098">
        <v>288</v>
      </c>
      <c r="BG38" s="1098">
        <v>233</v>
      </c>
      <c r="BH38" s="1098">
        <v>271</v>
      </c>
      <c r="BI38" s="1098">
        <v>237</v>
      </c>
      <c r="BJ38" s="1098">
        <v>161</v>
      </c>
      <c r="BK38" s="1098">
        <v>204.28800000000001</v>
      </c>
      <c r="BL38" s="1098">
        <v>121</v>
      </c>
      <c r="BM38" s="1098">
        <v>113</v>
      </c>
      <c r="BN38" s="1097">
        <f t="shared" si="73"/>
        <v>2276.288</v>
      </c>
      <c r="BO38" s="1098">
        <v>157</v>
      </c>
      <c r="BP38" s="1098">
        <v>147</v>
      </c>
      <c r="BQ38" s="1098">
        <v>197</v>
      </c>
      <c r="BR38" s="1098">
        <v>157</v>
      </c>
      <c r="BS38" s="1098">
        <v>138</v>
      </c>
      <c r="BT38" s="1098">
        <v>158</v>
      </c>
      <c r="BU38" s="1098">
        <v>163</v>
      </c>
      <c r="BV38" s="1098">
        <v>242</v>
      </c>
      <c r="BW38" s="1098">
        <v>219</v>
      </c>
      <c r="BX38" s="1098">
        <v>131</v>
      </c>
      <c r="BY38" s="1098">
        <v>91</v>
      </c>
      <c r="BZ38" s="1098">
        <v>131</v>
      </c>
      <c r="CA38" s="1097">
        <f t="shared" si="86"/>
        <v>1931</v>
      </c>
      <c r="CB38" s="1098">
        <v>162</v>
      </c>
      <c r="CC38" s="1098">
        <v>145</v>
      </c>
      <c r="CD38" s="1098">
        <v>135</v>
      </c>
      <c r="CE38" s="1098">
        <v>153</v>
      </c>
      <c r="CF38" s="1098">
        <v>212</v>
      </c>
      <c r="CG38" s="1098">
        <v>122</v>
      </c>
      <c r="CH38" s="1098">
        <v>143</v>
      </c>
      <c r="CI38" s="1098">
        <v>205</v>
      </c>
      <c r="CJ38" s="1098">
        <v>166</v>
      </c>
      <c r="CK38" s="1098">
        <v>141</v>
      </c>
      <c r="CL38" s="1098">
        <v>120</v>
      </c>
      <c r="CM38" s="1098">
        <v>155</v>
      </c>
      <c r="CN38" s="1097">
        <f t="shared" si="99"/>
        <v>1859</v>
      </c>
      <c r="CO38" s="1098">
        <v>144</v>
      </c>
      <c r="CP38" s="1098">
        <v>136</v>
      </c>
      <c r="CQ38" s="1098">
        <v>102</v>
      </c>
      <c r="CR38" s="1098">
        <v>96</v>
      </c>
      <c r="CS38" s="1098">
        <v>150</v>
      </c>
      <c r="CT38" s="1098">
        <v>94</v>
      </c>
      <c r="CU38" s="1098">
        <v>150</v>
      </c>
      <c r="CV38" s="1098">
        <v>192</v>
      </c>
      <c r="CW38" s="1098">
        <v>146</v>
      </c>
      <c r="CX38" s="1098">
        <v>102</v>
      </c>
      <c r="CY38" s="1098">
        <v>141</v>
      </c>
      <c r="CZ38" s="1098">
        <v>210</v>
      </c>
      <c r="DA38" s="1097">
        <f t="shared" si="112"/>
        <v>1663</v>
      </c>
      <c r="DB38" s="1098">
        <v>160</v>
      </c>
      <c r="DC38" s="1098">
        <v>115</v>
      </c>
      <c r="DD38" s="1098">
        <v>130</v>
      </c>
      <c r="DE38" s="1098">
        <v>179</v>
      </c>
      <c r="DF38" s="1098">
        <v>130</v>
      </c>
      <c r="DG38" s="1098">
        <v>123</v>
      </c>
      <c r="DH38" s="1098">
        <v>193</v>
      </c>
      <c r="DI38" s="1098">
        <v>256</v>
      </c>
      <c r="DJ38" s="1098">
        <v>224</v>
      </c>
      <c r="DK38" s="1098">
        <v>244</v>
      </c>
      <c r="DL38" s="1098">
        <v>150</v>
      </c>
      <c r="DM38" s="1098">
        <v>115</v>
      </c>
      <c r="DN38" s="1097">
        <f t="shared" si="125"/>
        <v>2019</v>
      </c>
      <c r="DO38" s="1098">
        <v>142</v>
      </c>
      <c r="DP38" s="1098">
        <v>167</v>
      </c>
      <c r="DQ38" s="1098">
        <v>127</v>
      </c>
      <c r="DR38" s="1098">
        <v>104</v>
      </c>
      <c r="DS38" s="1098">
        <v>132</v>
      </c>
      <c r="DT38" s="1098">
        <v>97</v>
      </c>
      <c r="DU38" s="1098">
        <v>105</v>
      </c>
      <c r="DV38" s="1098">
        <v>118</v>
      </c>
      <c r="DW38" s="1098">
        <v>70</v>
      </c>
      <c r="DX38" s="1098">
        <v>136</v>
      </c>
      <c r="DY38" s="1098">
        <v>127</v>
      </c>
      <c r="DZ38" s="1098">
        <v>231</v>
      </c>
      <c r="EA38" s="1097">
        <f t="shared" si="138"/>
        <v>1556</v>
      </c>
      <c r="EB38" s="1098">
        <v>82</v>
      </c>
      <c r="EC38" s="1098">
        <v>74</v>
      </c>
      <c r="ED38" s="1098">
        <v>92</v>
      </c>
      <c r="EE38" s="1098">
        <v>80</v>
      </c>
      <c r="EF38" s="1098">
        <v>86</v>
      </c>
      <c r="EG38" s="1098">
        <v>82</v>
      </c>
      <c r="EH38" s="1098">
        <v>103</v>
      </c>
      <c r="EI38" s="1098">
        <v>185</v>
      </c>
      <c r="EJ38" s="1098">
        <v>186</v>
      </c>
      <c r="EK38" s="1098">
        <v>226</v>
      </c>
      <c r="EL38" s="1098">
        <v>126</v>
      </c>
      <c r="EM38" s="1098">
        <v>113</v>
      </c>
      <c r="EN38" s="1097">
        <f t="shared" si="151"/>
        <v>1435</v>
      </c>
      <c r="EO38" s="1098">
        <v>80</v>
      </c>
      <c r="EP38" s="1098">
        <v>101</v>
      </c>
      <c r="EQ38" s="1098">
        <v>76</v>
      </c>
      <c r="ER38" s="1098">
        <v>94</v>
      </c>
      <c r="ES38" s="1098">
        <v>76</v>
      </c>
      <c r="ET38" s="1098">
        <v>93</v>
      </c>
      <c r="EU38" s="1098">
        <v>104</v>
      </c>
      <c r="EV38" s="1098">
        <v>133</v>
      </c>
      <c r="EW38" s="1098">
        <v>106</v>
      </c>
      <c r="EX38" s="1098">
        <v>176</v>
      </c>
      <c r="EY38" s="1098">
        <v>154</v>
      </c>
      <c r="EZ38" s="1098">
        <v>112</v>
      </c>
      <c r="FA38" s="1097">
        <f t="shared" si="164"/>
        <v>1305</v>
      </c>
      <c r="FB38" s="1098">
        <v>234</v>
      </c>
      <c r="FC38" s="1098">
        <v>108</v>
      </c>
      <c r="FD38" s="1098">
        <v>145</v>
      </c>
      <c r="FE38" s="1098">
        <v>115</v>
      </c>
      <c r="FF38" s="1098">
        <v>110</v>
      </c>
      <c r="FG38" s="1098">
        <v>115</v>
      </c>
      <c r="FH38" s="1098">
        <v>128</v>
      </c>
      <c r="FI38" s="1098">
        <v>173</v>
      </c>
      <c r="FJ38" s="1098">
        <v>305</v>
      </c>
      <c r="FK38" s="1098">
        <v>217</v>
      </c>
      <c r="FL38" s="1098">
        <v>225</v>
      </c>
      <c r="FM38" s="1098">
        <v>189</v>
      </c>
      <c r="FN38" s="1097">
        <f t="shared" si="177"/>
        <v>2064</v>
      </c>
      <c r="FO38" s="1098">
        <v>137</v>
      </c>
      <c r="FP38" s="1098">
        <v>130</v>
      </c>
      <c r="FQ38" s="1098">
        <v>106</v>
      </c>
      <c r="FR38" s="1098">
        <v>194</v>
      </c>
      <c r="FS38" s="1098">
        <v>135</v>
      </c>
      <c r="FT38" s="1098">
        <v>178</v>
      </c>
      <c r="FU38" s="1098">
        <v>162</v>
      </c>
      <c r="FV38" s="1098">
        <v>302</v>
      </c>
      <c r="FW38" s="1098">
        <v>335</v>
      </c>
      <c r="FX38" s="1098">
        <v>381</v>
      </c>
      <c r="FY38" s="1098">
        <v>373</v>
      </c>
      <c r="FZ38" s="1098">
        <v>344</v>
      </c>
      <c r="GA38" s="1097">
        <f t="shared" si="190"/>
        <v>2777</v>
      </c>
      <c r="GB38" s="1098">
        <v>310</v>
      </c>
      <c r="GC38" s="1098">
        <v>237</v>
      </c>
      <c r="GD38" s="1098">
        <v>295</v>
      </c>
      <c r="GE38" s="1098">
        <v>210</v>
      </c>
      <c r="GF38" s="1098">
        <v>204</v>
      </c>
      <c r="GG38" s="1098">
        <v>116</v>
      </c>
      <c r="GH38" s="1098">
        <v>135</v>
      </c>
      <c r="GI38" s="1098">
        <v>221</v>
      </c>
      <c r="GJ38" s="1098">
        <v>224</v>
      </c>
      <c r="GK38" s="1098">
        <v>196</v>
      </c>
      <c r="GL38" s="1098">
        <v>300</v>
      </c>
      <c r="GM38" s="1098">
        <v>330</v>
      </c>
      <c r="GN38" s="1097">
        <f t="shared" si="203"/>
        <v>2778</v>
      </c>
      <c r="GO38" s="1098">
        <v>291.5</v>
      </c>
      <c r="GP38" s="1098">
        <v>221.5</v>
      </c>
      <c r="GQ38" s="1098">
        <v>195.5</v>
      </c>
      <c r="GR38" s="1098">
        <v>198</v>
      </c>
      <c r="GS38" s="1098">
        <v>263</v>
      </c>
      <c r="GT38" s="1098">
        <v>229</v>
      </c>
      <c r="GU38" s="1098">
        <v>193.15</v>
      </c>
      <c r="GV38" s="1098">
        <v>294</v>
      </c>
      <c r="GW38" s="1098">
        <v>296.97000000000003</v>
      </c>
      <c r="GX38" s="1098">
        <v>403.98</v>
      </c>
      <c r="GY38" s="1098">
        <v>354</v>
      </c>
      <c r="GZ38" s="1098">
        <v>374.95000000000005</v>
      </c>
      <c r="HA38" s="1097">
        <f t="shared" si="216"/>
        <v>3315.55</v>
      </c>
      <c r="HB38" s="1098">
        <v>147.9</v>
      </c>
      <c r="HC38" s="1098">
        <v>113.2</v>
      </c>
      <c r="HD38" s="1098">
        <v>148.4</v>
      </c>
      <c r="HE38" s="1098">
        <v>189.20000000000002</v>
      </c>
      <c r="HF38" s="1098">
        <v>180.87</v>
      </c>
      <c r="HG38" s="1098">
        <v>149.4</v>
      </c>
      <c r="HH38" s="1098">
        <v>152.60000000000002</v>
      </c>
      <c r="HI38" s="1098">
        <v>164.7</v>
      </c>
      <c r="HJ38" s="1098">
        <v>248.8</v>
      </c>
      <c r="HK38" s="1098">
        <v>226.82</v>
      </c>
      <c r="HL38" s="1098">
        <v>223.92</v>
      </c>
      <c r="HM38" s="1098">
        <v>280.98</v>
      </c>
      <c r="HN38" s="1097">
        <f t="shared" si="229"/>
        <v>2226.79</v>
      </c>
      <c r="HO38" s="1098">
        <v>400.40000000000003</v>
      </c>
      <c r="HP38" s="1098">
        <v>171.5</v>
      </c>
      <c r="HQ38" s="1098">
        <v>141</v>
      </c>
      <c r="HR38" s="1098">
        <v>300</v>
      </c>
      <c r="HS38" s="1098">
        <v>214</v>
      </c>
      <c r="HT38" s="1098">
        <v>188</v>
      </c>
      <c r="HU38" s="1098">
        <v>141.5</v>
      </c>
      <c r="HV38" s="1098">
        <v>183.5</v>
      </c>
      <c r="HW38" s="1098">
        <v>285</v>
      </c>
      <c r="HX38" s="1098">
        <v>170.2</v>
      </c>
      <c r="HY38" s="1098">
        <v>380.2</v>
      </c>
      <c r="HZ38" s="1098">
        <v>275.5</v>
      </c>
      <c r="IA38" s="1097">
        <f t="shared" si="242"/>
        <v>2850.7999999999997</v>
      </c>
      <c r="IB38" s="1098">
        <v>286.8</v>
      </c>
      <c r="IC38" s="1098">
        <v>128.9</v>
      </c>
      <c r="ID38" s="1098">
        <v>159.5</v>
      </c>
      <c r="IE38" s="1098">
        <v>198.7</v>
      </c>
      <c r="IF38" s="1098">
        <v>174.7</v>
      </c>
      <c r="IG38" s="1098">
        <v>168</v>
      </c>
      <c r="IH38" s="1098">
        <v>255</v>
      </c>
      <c r="II38" s="1098">
        <v>236</v>
      </c>
      <c r="IJ38" s="1098">
        <v>215</v>
      </c>
      <c r="IK38" s="1098">
        <v>297</v>
      </c>
      <c r="IL38" s="1098">
        <v>238.7</v>
      </c>
      <c r="IM38" s="1098">
        <v>214.6</v>
      </c>
      <c r="IN38" s="1097">
        <v>2572.9</v>
      </c>
      <c r="IO38" s="1098">
        <v>165.5</v>
      </c>
      <c r="IP38" s="1098">
        <v>115</v>
      </c>
      <c r="IQ38" s="1098">
        <v>66.5</v>
      </c>
      <c r="IR38" s="1098">
        <v>176.5</v>
      </c>
      <c r="IS38" s="1098">
        <v>216.3</v>
      </c>
      <c r="IT38" s="1098">
        <v>145.5</v>
      </c>
      <c r="IU38" s="1098">
        <v>178.2</v>
      </c>
      <c r="IV38" s="1098">
        <v>279.5</v>
      </c>
      <c r="IW38" s="1098">
        <v>305.5</v>
      </c>
      <c r="IX38" s="1098">
        <v>304</v>
      </c>
      <c r="IY38" s="1098">
        <v>329</v>
      </c>
      <c r="IZ38" s="1098">
        <v>364.48</v>
      </c>
      <c r="JA38" s="1097">
        <v>2645.98</v>
      </c>
      <c r="JB38" s="1098">
        <v>187.4</v>
      </c>
      <c r="JC38" s="1098">
        <v>64.099999999999994</v>
      </c>
      <c r="JD38" s="1098"/>
      <c r="JE38" s="1098"/>
      <c r="JF38" s="1098"/>
      <c r="JG38" s="1098"/>
      <c r="JH38" s="1098"/>
      <c r="JI38" s="1098"/>
      <c r="JJ38" s="1098"/>
      <c r="JK38" s="1098"/>
      <c r="JL38" s="1098"/>
      <c r="JM38" s="1098"/>
      <c r="JN38" s="1097">
        <f t="shared" si="281"/>
        <v>251.5</v>
      </c>
      <c r="JP38" s="1174">
        <f t="shared" si="305"/>
        <v>69.841565703634686</v>
      </c>
      <c r="JQ38" s="1175">
        <f t="shared" si="306"/>
        <v>2.8403746744918079</v>
      </c>
      <c r="JR38" s="1184">
        <f t="shared" si="307"/>
        <v>2572.9</v>
      </c>
      <c r="JS38" s="1185">
        <f t="shared" si="308"/>
        <v>2645.98</v>
      </c>
      <c r="JT38" s="1"/>
      <c r="JU38" s="1079">
        <f t="shared" si="309"/>
        <v>95209.615999999936</v>
      </c>
      <c r="JV38" s="1080" t="s">
        <v>143</v>
      </c>
      <c r="JW38" s="1081" t="str">
        <f t="shared" si="310"/>
        <v>OK</v>
      </c>
    </row>
    <row r="39" spans="1:283" ht="15" customHeight="1" x14ac:dyDescent="0.2">
      <c r="A39" s="1166" t="s">
        <v>571</v>
      </c>
      <c r="B39" s="1098">
        <v>104</v>
      </c>
      <c r="C39" s="1098">
        <v>140</v>
      </c>
      <c r="D39" s="1098">
        <v>135</v>
      </c>
      <c r="E39" s="1098">
        <v>143</v>
      </c>
      <c r="F39" s="1098">
        <v>157</v>
      </c>
      <c r="G39" s="1098">
        <v>126</v>
      </c>
      <c r="H39" s="1098">
        <v>193</v>
      </c>
      <c r="I39" s="1098">
        <v>184</v>
      </c>
      <c r="J39" s="1098">
        <v>115</v>
      </c>
      <c r="K39" s="1098">
        <v>140</v>
      </c>
      <c r="L39" s="1098">
        <v>123</v>
      </c>
      <c r="M39" s="1098">
        <v>134</v>
      </c>
      <c r="N39" s="1097">
        <f t="shared" si="21"/>
        <v>1694</v>
      </c>
      <c r="O39" s="1098">
        <v>104</v>
      </c>
      <c r="P39" s="1098">
        <v>106</v>
      </c>
      <c r="Q39" s="1098">
        <v>129</v>
      </c>
      <c r="R39" s="1098">
        <v>136</v>
      </c>
      <c r="S39" s="1098">
        <v>119</v>
      </c>
      <c r="T39" s="1098">
        <v>173</v>
      </c>
      <c r="U39" s="1098">
        <v>181</v>
      </c>
      <c r="V39" s="1098">
        <v>188</v>
      </c>
      <c r="W39" s="1098">
        <v>188</v>
      </c>
      <c r="X39" s="1098">
        <v>134</v>
      </c>
      <c r="Y39" s="1098">
        <v>146</v>
      </c>
      <c r="Z39" s="1098">
        <v>138</v>
      </c>
      <c r="AA39" s="1097">
        <f t="shared" si="34"/>
        <v>1742</v>
      </c>
      <c r="AB39" s="1098">
        <v>114</v>
      </c>
      <c r="AC39" s="1098">
        <v>110</v>
      </c>
      <c r="AD39" s="1098">
        <v>106</v>
      </c>
      <c r="AE39" s="1098">
        <v>152</v>
      </c>
      <c r="AF39" s="1098">
        <v>124</v>
      </c>
      <c r="AG39" s="1098">
        <v>109</v>
      </c>
      <c r="AH39" s="1098">
        <v>157</v>
      </c>
      <c r="AI39" s="1098">
        <v>170</v>
      </c>
      <c r="AJ39" s="1098">
        <v>166</v>
      </c>
      <c r="AK39" s="1098">
        <v>160</v>
      </c>
      <c r="AL39" s="1098">
        <v>177</v>
      </c>
      <c r="AM39" s="1098">
        <v>173</v>
      </c>
      <c r="AN39" s="1097">
        <f t="shared" si="47"/>
        <v>1718</v>
      </c>
      <c r="AO39" s="1098">
        <v>110</v>
      </c>
      <c r="AP39" s="1098">
        <v>219</v>
      </c>
      <c r="AQ39" s="1098">
        <v>228</v>
      </c>
      <c r="AR39" s="1098">
        <v>129</v>
      </c>
      <c r="AS39" s="1098">
        <v>184</v>
      </c>
      <c r="AT39" s="1098">
        <v>159</v>
      </c>
      <c r="AU39" s="1098">
        <v>149</v>
      </c>
      <c r="AV39" s="1098">
        <v>137</v>
      </c>
      <c r="AW39" s="1098">
        <v>106</v>
      </c>
      <c r="AX39" s="1098">
        <v>80</v>
      </c>
      <c r="AY39" s="1098">
        <v>93</v>
      </c>
      <c r="AZ39" s="1098">
        <v>114</v>
      </c>
      <c r="BA39" s="1097">
        <f t="shared" si="60"/>
        <v>1708</v>
      </c>
      <c r="BB39" s="1098">
        <v>116</v>
      </c>
      <c r="BC39" s="1098">
        <v>207</v>
      </c>
      <c r="BD39" s="1098">
        <v>137</v>
      </c>
      <c r="BE39" s="1098">
        <v>122</v>
      </c>
      <c r="BF39" s="1098">
        <v>106</v>
      </c>
      <c r="BG39" s="1098">
        <v>92</v>
      </c>
      <c r="BH39" s="1098">
        <v>145</v>
      </c>
      <c r="BI39" s="1098">
        <v>66</v>
      </c>
      <c r="BJ39" s="1098">
        <v>77</v>
      </c>
      <c r="BK39" s="1098">
        <v>61</v>
      </c>
      <c r="BL39" s="1098">
        <v>69</v>
      </c>
      <c r="BM39" s="1098">
        <v>81</v>
      </c>
      <c r="BN39" s="1097">
        <f t="shared" si="73"/>
        <v>1279</v>
      </c>
      <c r="BO39" s="1098">
        <v>122</v>
      </c>
      <c r="BP39" s="1098">
        <v>153</v>
      </c>
      <c r="BQ39" s="1098">
        <v>144</v>
      </c>
      <c r="BR39" s="1098">
        <v>150</v>
      </c>
      <c r="BS39" s="1098">
        <v>149</v>
      </c>
      <c r="BT39" s="1098">
        <v>177</v>
      </c>
      <c r="BU39" s="1098">
        <v>151</v>
      </c>
      <c r="BV39" s="1098">
        <v>107</v>
      </c>
      <c r="BW39" s="1098">
        <v>125</v>
      </c>
      <c r="BX39" s="1098">
        <v>90</v>
      </c>
      <c r="BY39" s="1098">
        <v>149</v>
      </c>
      <c r="BZ39" s="1098">
        <v>117</v>
      </c>
      <c r="CA39" s="1097">
        <f t="shared" si="86"/>
        <v>1634</v>
      </c>
      <c r="CB39" s="1098">
        <v>82</v>
      </c>
      <c r="CC39" s="1098">
        <v>115</v>
      </c>
      <c r="CD39" s="1098">
        <v>143</v>
      </c>
      <c r="CE39" s="1098">
        <v>193</v>
      </c>
      <c r="CF39" s="1098">
        <v>165</v>
      </c>
      <c r="CG39" s="1098">
        <v>172</v>
      </c>
      <c r="CH39" s="1098">
        <v>103</v>
      </c>
      <c r="CI39" s="1098">
        <v>91</v>
      </c>
      <c r="CJ39" s="1098">
        <v>111</v>
      </c>
      <c r="CK39" s="1098">
        <v>85</v>
      </c>
      <c r="CL39" s="1098">
        <v>145</v>
      </c>
      <c r="CM39" s="1098">
        <v>148</v>
      </c>
      <c r="CN39" s="1097">
        <f t="shared" si="99"/>
        <v>1553</v>
      </c>
      <c r="CO39" s="1098">
        <v>104</v>
      </c>
      <c r="CP39" s="1098">
        <v>102</v>
      </c>
      <c r="CQ39" s="1098">
        <v>143</v>
      </c>
      <c r="CR39" s="1098">
        <v>169</v>
      </c>
      <c r="CS39" s="1098">
        <v>188</v>
      </c>
      <c r="CT39" s="1098">
        <v>149</v>
      </c>
      <c r="CU39" s="1098">
        <v>138</v>
      </c>
      <c r="CV39" s="1098">
        <v>107</v>
      </c>
      <c r="CW39" s="1098">
        <v>108</v>
      </c>
      <c r="CX39" s="1098">
        <v>103</v>
      </c>
      <c r="CY39" s="1098">
        <v>130</v>
      </c>
      <c r="CZ39" s="1098">
        <v>124</v>
      </c>
      <c r="DA39" s="1097">
        <f t="shared" si="112"/>
        <v>1565</v>
      </c>
      <c r="DB39" s="1098">
        <v>117</v>
      </c>
      <c r="DC39" s="1098">
        <v>92</v>
      </c>
      <c r="DD39" s="1098">
        <v>123</v>
      </c>
      <c r="DE39" s="1098">
        <v>157</v>
      </c>
      <c r="DF39" s="1098">
        <v>209</v>
      </c>
      <c r="DG39" s="1098">
        <v>167</v>
      </c>
      <c r="DH39" s="1098">
        <v>154</v>
      </c>
      <c r="DI39" s="1098">
        <v>177</v>
      </c>
      <c r="DJ39" s="1098">
        <v>116</v>
      </c>
      <c r="DK39" s="1098">
        <v>102</v>
      </c>
      <c r="DL39" s="1098">
        <v>102</v>
      </c>
      <c r="DM39" s="1098">
        <v>81</v>
      </c>
      <c r="DN39" s="1097">
        <f t="shared" si="125"/>
        <v>1597</v>
      </c>
      <c r="DO39" s="1098">
        <v>94</v>
      </c>
      <c r="DP39" s="1098">
        <v>72</v>
      </c>
      <c r="DQ39" s="1098">
        <v>93</v>
      </c>
      <c r="DR39" s="1098">
        <v>145</v>
      </c>
      <c r="DS39" s="1098">
        <v>173</v>
      </c>
      <c r="DT39" s="1098">
        <v>167</v>
      </c>
      <c r="DU39" s="1098">
        <v>84</v>
      </c>
      <c r="DV39" s="1098">
        <v>62</v>
      </c>
      <c r="DW39" s="1098">
        <v>69</v>
      </c>
      <c r="DX39" s="1098">
        <v>93</v>
      </c>
      <c r="DY39" s="1098">
        <v>50</v>
      </c>
      <c r="DZ39" s="1098">
        <v>62</v>
      </c>
      <c r="EA39" s="1097">
        <f t="shared" si="138"/>
        <v>1164</v>
      </c>
      <c r="EB39" s="1098">
        <v>40</v>
      </c>
      <c r="EC39" s="1098">
        <v>51</v>
      </c>
      <c r="ED39" s="1098">
        <v>51</v>
      </c>
      <c r="EE39" s="1098">
        <v>157</v>
      </c>
      <c r="EF39" s="1098">
        <v>194</v>
      </c>
      <c r="EG39" s="1098">
        <v>171</v>
      </c>
      <c r="EH39" s="1098">
        <v>97</v>
      </c>
      <c r="EI39" s="1098">
        <v>72</v>
      </c>
      <c r="EJ39" s="1098">
        <v>46</v>
      </c>
      <c r="EK39" s="1098">
        <v>74</v>
      </c>
      <c r="EL39" s="1098">
        <v>62</v>
      </c>
      <c r="EM39" s="1098">
        <v>114</v>
      </c>
      <c r="EN39" s="1097">
        <f t="shared" si="151"/>
        <v>1129</v>
      </c>
      <c r="EO39" s="1098">
        <v>35</v>
      </c>
      <c r="EP39" s="1098">
        <v>44</v>
      </c>
      <c r="EQ39" s="1098">
        <v>30</v>
      </c>
      <c r="ER39" s="1098">
        <v>150</v>
      </c>
      <c r="ES39" s="1098">
        <v>163</v>
      </c>
      <c r="ET39" s="1098">
        <v>178</v>
      </c>
      <c r="EU39" s="1098">
        <v>46</v>
      </c>
      <c r="EV39" s="1098">
        <v>60</v>
      </c>
      <c r="EW39" s="1098">
        <v>46</v>
      </c>
      <c r="EX39" s="1098">
        <v>78</v>
      </c>
      <c r="EY39" s="1098">
        <v>60</v>
      </c>
      <c r="EZ39" s="1098">
        <v>66</v>
      </c>
      <c r="FA39" s="1097">
        <f t="shared" si="164"/>
        <v>956</v>
      </c>
      <c r="FB39" s="1098">
        <v>42</v>
      </c>
      <c r="FC39" s="1098">
        <v>53</v>
      </c>
      <c r="FD39" s="1098">
        <v>41</v>
      </c>
      <c r="FE39" s="1098">
        <v>173</v>
      </c>
      <c r="FF39" s="1098">
        <v>165</v>
      </c>
      <c r="FG39" s="1098">
        <v>150</v>
      </c>
      <c r="FH39" s="1098">
        <v>67</v>
      </c>
      <c r="FI39" s="1098">
        <v>70</v>
      </c>
      <c r="FJ39" s="1098">
        <v>75</v>
      </c>
      <c r="FK39" s="1098">
        <v>84</v>
      </c>
      <c r="FL39" s="1098">
        <v>60</v>
      </c>
      <c r="FM39" s="1098">
        <v>107</v>
      </c>
      <c r="FN39" s="1097">
        <f t="shared" si="177"/>
        <v>1087</v>
      </c>
      <c r="FO39" s="1098">
        <v>50</v>
      </c>
      <c r="FP39" s="1098">
        <v>60</v>
      </c>
      <c r="FQ39" s="1098">
        <v>36</v>
      </c>
      <c r="FR39" s="1098">
        <v>72</v>
      </c>
      <c r="FS39" s="1098">
        <v>172</v>
      </c>
      <c r="FT39" s="1098">
        <v>150</v>
      </c>
      <c r="FU39" s="1098">
        <v>62</v>
      </c>
      <c r="FV39" s="1098">
        <v>62</v>
      </c>
      <c r="FW39" s="1098">
        <v>59</v>
      </c>
      <c r="FX39" s="1098">
        <v>91</v>
      </c>
      <c r="FY39" s="1098">
        <v>61</v>
      </c>
      <c r="FZ39" s="1098">
        <v>67</v>
      </c>
      <c r="GA39" s="1097">
        <f t="shared" si="190"/>
        <v>942</v>
      </c>
      <c r="GB39" s="1098">
        <v>59</v>
      </c>
      <c r="GC39" s="1098">
        <v>73</v>
      </c>
      <c r="GD39" s="1098">
        <v>60</v>
      </c>
      <c r="GE39" s="1098">
        <v>78</v>
      </c>
      <c r="GF39" s="1098">
        <v>168.5</v>
      </c>
      <c r="GG39" s="1098">
        <v>132</v>
      </c>
      <c r="GH39" s="1098">
        <v>60</v>
      </c>
      <c r="GI39" s="1098">
        <v>73</v>
      </c>
      <c r="GJ39" s="1098">
        <v>66</v>
      </c>
      <c r="GK39" s="1098">
        <v>101</v>
      </c>
      <c r="GL39" s="1098">
        <v>75.5</v>
      </c>
      <c r="GM39" s="1098">
        <v>90</v>
      </c>
      <c r="GN39" s="1097">
        <f t="shared" si="203"/>
        <v>1036</v>
      </c>
      <c r="GO39" s="1098">
        <v>65</v>
      </c>
      <c r="GP39" s="1098">
        <v>76</v>
      </c>
      <c r="GQ39" s="1098">
        <v>59</v>
      </c>
      <c r="GR39" s="1098">
        <v>81</v>
      </c>
      <c r="GS39" s="1098">
        <v>149</v>
      </c>
      <c r="GT39" s="1098">
        <v>152</v>
      </c>
      <c r="GU39" s="1098">
        <v>56</v>
      </c>
      <c r="GV39" s="1098">
        <v>48</v>
      </c>
      <c r="GW39" s="1098">
        <v>74</v>
      </c>
      <c r="GX39" s="1098">
        <v>108</v>
      </c>
      <c r="GY39" s="1098">
        <v>87</v>
      </c>
      <c r="GZ39" s="1098">
        <v>82</v>
      </c>
      <c r="HA39" s="1097">
        <f t="shared" si="216"/>
        <v>1037</v>
      </c>
      <c r="HB39" s="1098">
        <v>74.5</v>
      </c>
      <c r="HC39" s="1098">
        <v>106.5</v>
      </c>
      <c r="HD39" s="1098">
        <v>92</v>
      </c>
      <c r="HE39" s="1098">
        <v>98.5</v>
      </c>
      <c r="HF39" s="1098">
        <v>163.5</v>
      </c>
      <c r="HG39" s="1098">
        <v>205</v>
      </c>
      <c r="HH39" s="1098">
        <v>96</v>
      </c>
      <c r="HI39" s="1098">
        <v>56.5</v>
      </c>
      <c r="HJ39" s="1098">
        <v>77.5</v>
      </c>
      <c r="HK39" s="1098">
        <v>138</v>
      </c>
      <c r="HL39" s="1098">
        <v>347</v>
      </c>
      <c r="HM39" s="1098">
        <v>88.5</v>
      </c>
      <c r="HN39" s="1097">
        <f t="shared" si="229"/>
        <v>1543.5</v>
      </c>
      <c r="HO39" s="1098">
        <v>78</v>
      </c>
      <c r="HP39" s="1098">
        <v>76</v>
      </c>
      <c r="HQ39" s="1098">
        <v>66.5</v>
      </c>
      <c r="HR39" s="1098">
        <v>90</v>
      </c>
      <c r="HS39" s="1098">
        <v>134.5</v>
      </c>
      <c r="HT39" s="1098">
        <v>150.5</v>
      </c>
      <c r="HU39" s="1098">
        <v>75.5</v>
      </c>
      <c r="HV39" s="1098">
        <v>69</v>
      </c>
      <c r="HW39" s="1098">
        <v>75</v>
      </c>
      <c r="HX39" s="1098">
        <v>130</v>
      </c>
      <c r="HY39" s="1098">
        <v>317</v>
      </c>
      <c r="HZ39" s="1098">
        <v>108</v>
      </c>
      <c r="IA39" s="1097">
        <f t="shared" si="242"/>
        <v>1370</v>
      </c>
      <c r="IB39" s="1098">
        <v>109</v>
      </c>
      <c r="IC39" s="1098">
        <v>106</v>
      </c>
      <c r="ID39" s="1098">
        <v>101</v>
      </c>
      <c r="IE39" s="1098">
        <v>105</v>
      </c>
      <c r="IF39" s="1098">
        <v>105</v>
      </c>
      <c r="IG39" s="1098">
        <v>95</v>
      </c>
      <c r="IH39" s="1098">
        <v>77</v>
      </c>
      <c r="II39" s="1098">
        <v>70</v>
      </c>
      <c r="IJ39" s="1098">
        <v>85.9</v>
      </c>
      <c r="IK39" s="1098">
        <v>90.5</v>
      </c>
      <c r="IL39" s="1098">
        <v>222.5</v>
      </c>
      <c r="IM39" s="1098">
        <v>103</v>
      </c>
      <c r="IN39" s="1097">
        <v>1269.9000000000001</v>
      </c>
      <c r="IO39" s="1098">
        <v>73</v>
      </c>
      <c r="IP39" s="1098">
        <v>96</v>
      </c>
      <c r="IQ39" s="1098">
        <v>111</v>
      </c>
      <c r="IR39" s="1098">
        <v>108</v>
      </c>
      <c r="IS39" s="1098">
        <v>101</v>
      </c>
      <c r="IT39" s="1098">
        <v>115</v>
      </c>
      <c r="IU39" s="1098">
        <v>109</v>
      </c>
      <c r="IV39" s="1098">
        <v>79.5</v>
      </c>
      <c r="IW39" s="1098">
        <v>94.7</v>
      </c>
      <c r="IX39" s="1098">
        <v>98.5</v>
      </c>
      <c r="IY39" s="1098">
        <v>219</v>
      </c>
      <c r="IZ39" s="1098">
        <v>116</v>
      </c>
      <c r="JA39" s="1097">
        <v>1320.7</v>
      </c>
      <c r="JB39" s="1098">
        <v>107</v>
      </c>
      <c r="JC39" s="1098">
        <v>132</v>
      </c>
      <c r="JD39" s="1098"/>
      <c r="JE39" s="1098"/>
      <c r="JF39" s="1098"/>
      <c r="JG39" s="1098"/>
      <c r="JH39" s="1098"/>
      <c r="JI39" s="1098"/>
      <c r="JJ39" s="1098"/>
      <c r="JK39" s="1098"/>
      <c r="JL39" s="1098"/>
      <c r="JM39" s="1098"/>
      <c r="JN39" s="1097">
        <f t="shared" si="281"/>
        <v>239</v>
      </c>
      <c r="JP39" s="1174">
        <f t="shared" si="305"/>
        <v>12.621359223300965</v>
      </c>
      <c r="JQ39" s="1175">
        <f t="shared" si="306"/>
        <v>4.0003149854319187</v>
      </c>
      <c r="JR39" s="1184">
        <f t="shared" si="307"/>
        <v>1269.9000000000001</v>
      </c>
      <c r="JS39" s="1185">
        <f t="shared" si="308"/>
        <v>1320.7</v>
      </c>
      <c r="JT39" s="1"/>
      <c r="JU39" s="1079">
        <f t="shared" si="309"/>
        <v>55168.2</v>
      </c>
      <c r="JV39" s="1080" t="s">
        <v>571</v>
      </c>
      <c r="JW39" s="1081" t="str">
        <f t="shared" si="310"/>
        <v>OK</v>
      </c>
    </row>
    <row r="40" spans="1:283" ht="15" customHeight="1" x14ac:dyDescent="0.2">
      <c r="A40" s="1166" t="s">
        <v>136</v>
      </c>
      <c r="B40" s="1098">
        <v>7848</v>
      </c>
      <c r="C40" s="1098">
        <v>6576</v>
      </c>
      <c r="D40" s="1098">
        <v>8424</v>
      </c>
      <c r="E40" s="1098">
        <v>6602</v>
      </c>
      <c r="F40" s="1098">
        <v>4278</v>
      </c>
      <c r="G40" s="1098">
        <v>3388</v>
      </c>
      <c r="H40" s="1098">
        <v>5532</v>
      </c>
      <c r="I40" s="1098">
        <v>5700</v>
      </c>
      <c r="J40" s="1098">
        <v>5508</v>
      </c>
      <c r="K40" s="1098">
        <v>5652</v>
      </c>
      <c r="L40" s="1098">
        <v>5718</v>
      </c>
      <c r="M40" s="1098">
        <v>5546</v>
      </c>
      <c r="N40" s="1097">
        <f t="shared" si="21"/>
        <v>70772</v>
      </c>
      <c r="O40" s="1098">
        <v>5400</v>
      </c>
      <c r="P40" s="1098">
        <v>5953</v>
      </c>
      <c r="Q40" s="1098">
        <v>5184</v>
      </c>
      <c r="R40" s="1098">
        <v>5178</v>
      </c>
      <c r="S40" s="1098">
        <v>5800</v>
      </c>
      <c r="T40" s="1098">
        <v>5637</v>
      </c>
      <c r="U40" s="1098">
        <v>4892</v>
      </c>
      <c r="V40" s="1098">
        <v>4998</v>
      </c>
      <c r="W40" s="1098">
        <v>5237</v>
      </c>
      <c r="X40" s="1098">
        <v>5376</v>
      </c>
      <c r="Y40" s="1098">
        <v>4720</v>
      </c>
      <c r="Z40" s="1098">
        <v>4791</v>
      </c>
      <c r="AA40" s="1097">
        <f t="shared" si="34"/>
        <v>63166</v>
      </c>
      <c r="AB40" s="1098">
        <v>5174</v>
      </c>
      <c r="AC40" s="1098">
        <v>4718</v>
      </c>
      <c r="AD40" s="1098">
        <v>5166</v>
      </c>
      <c r="AE40" s="1098">
        <v>4533</v>
      </c>
      <c r="AF40" s="1098">
        <v>4548</v>
      </c>
      <c r="AG40" s="1098">
        <v>4807</v>
      </c>
      <c r="AH40" s="1098">
        <v>5223</v>
      </c>
      <c r="AI40" s="1098">
        <v>5496</v>
      </c>
      <c r="AJ40" s="1098">
        <v>5221</v>
      </c>
      <c r="AK40" s="1098">
        <v>6077</v>
      </c>
      <c r="AL40" s="1098">
        <v>5637</v>
      </c>
      <c r="AM40" s="1098">
        <v>5729</v>
      </c>
      <c r="AN40" s="1097">
        <f t="shared" si="47"/>
        <v>62329</v>
      </c>
      <c r="AO40" s="1098">
        <v>5423</v>
      </c>
      <c r="AP40" s="1098">
        <v>6230</v>
      </c>
      <c r="AQ40" s="1098">
        <v>5946</v>
      </c>
      <c r="AR40" s="1098">
        <v>5726</v>
      </c>
      <c r="AS40" s="1098">
        <v>5828</v>
      </c>
      <c r="AT40" s="1098">
        <v>6168</v>
      </c>
      <c r="AU40" s="1098">
        <v>5614</v>
      </c>
      <c r="AV40" s="1098">
        <v>5772</v>
      </c>
      <c r="AW40" s="1098">
        <v>6222.35</v>
      </c>
      <c r="AX40" s="1098">
        <v>6631</v>
      </c>
      <c r="AY40" s="1098">
        <v>5761</v>
      </c>
      <c r="AZ40" s="1098">
        <v>5618</v>
      </c>
      <c r="BA40" s="1097">
        <f t="shared" si="60"/>
        <v>70939.350000000006</v>
      </c>
      <c r="BB40" s="1098">
        <v>5411</v>
      </c>
      <c r="BC40" s="1098">
        <v>5531</v>
      </c>
      <c r="BD40" s="1098">
        <v>5795</v>
      </c>
      <c r="BE40" s="1098">
        <v>5899</v>
      </c>
      <c r="BF40" s="1098">
        <v>6096</v>
      </c>
      <c r="BG40" s="1098">
        <v>7068</v>
      </c>
      <c r="BH40" s="1098">
        <v>7380</v>
      </c>
      <c r="BI40" s="1098">
        <v>7243</v>
      </c>
      <c r="BJ40" s="1098">
        <v>7964</v>
      </c>
      <c r="BK40" s="1098">
        <v>7757</v>
      </c>
      <c r="BL40" s="1098">
        <v>8195</v>
      </c>
      <c r="BM40" s="1098">
        <v>7425</v>
      </c>
      <c r="BN40" s="1097">
        <f t="shared" si="73"/>
        <v>81764</v>
      </c>
      <c r="BO40" s="1098">
        <v>6701</v>
      </c>
      <c r="BP40" s="1098">
        <v>7742</v>
      </c>
      <c r="BQ40" s="1098">
        <v>7723</v>
      </c>
      <c r="BR40" s="1098">
        <v>7796</v>
      </c>
      <c r="BS40" s="1098">
        <v>8083</v>
      </c>
      <c r="BT40" s="1098">
        <v>8542</v>
      </c>
      <c r="BU40" s="1098">
        <v>9261</v>
      </c>
      <c r="BV40" s="1098">
        <v>9440</v>
      </c>
      <c r="BW40" s="1098">
        <v>10094</v>
      </c>
      <c r="BX40" s="1098">
        <v>8690</v>
      </c>
      <c r="BY40" s="1098">
        <v>9096</v>
      </c>
      <c r="BZ40" s="1098">
        <v>8170</v>
      </c>
      <c r="CA40" s="1097">
        <f t="shared" si="86"/>
        <v>101338</v>
      </c>
      <c r="CB40" s="1098">
        <v>8940</v>
      </c>
      <c r="CC40" s="1098">
        <v>8165</v>
      </c>
      <c r="CD40" s="1098">
        <v>8979</v>
      </c>
      <c r="CE40" s="1098">
        <v>9765</v>
      </c>
      <c r="CF40" s="1098">
        <v>10143</v>
      </c>
      <c r="CG40" s="1098">
        <v>9548</v>
      </c>
      <c r="CH40" s="1098">
        <v>9129</v>
      </c>
      <c r="CI40" s="1098">
        <v>9734</v>
      </c>
      <c r="CJ40" s="1098">
        <v>9804</v>
      </c>
      <c r="CK40" s="1098">
        <v>9753</v>
      </c>
      <c r="CL40" s="1098">
        <v>10990</v>
      </c>
      <c r="CM40" s="1098">
        <v>9123</v>
      </c>
      <c r="CN40" s="1097">
        <f t="shared" si="99"/>
        <v>114073</v>
      </c>
      <c r="CO40" s="1098">
        <v>8376</v>
      </c>
      <c r="CP40" s="1098">
        <v>8832</v>
      </c>
      <c r="CQ40" s="1098">
        <v>7947</v>
      </c>
      <c r="CR40" s="1098">
        <v>8907</v>
      </c>
      <c r="CS40" s="1098">
        <v>9049</v>
      </c>
      <c r="CT40" s="1098">
        <v>9994</v>
      </c>
      <c r="CU40" s="1098">
        <v>10913</v>
      </c>
      <c r="CV40" s="1098">
        <v>9276</v>
      </c>
      <c r="CW40" s="1098">
        <v>9413</v>
      </c>
      <c r="CX40" s="1098">
        <v>9383</v>
      </c>
      <c r="CY40" s="1098">
        <v>9820</v>
      </c>
      <c r="CZ40" s="1098">
        <v>9046</v>
      </c>
      <c r="DA40" s="1097">
        <f t="shared" si="112"/>
        <v>110956</v>
      </c>
      <c r="DB40" s="1098">
        <v>8491</v>
      </c>
      <c r="DC40" s="1098">
        <v>8654</v>
      </c>
      <c r="DD40" s="1098">
        <v>8769</v>
      </c>
      <c r="DE40" s="1098">
        <v>8935</v>
      </c>
      <c r="DF40" s="1098">
        <v>8798</v>
      </c>
      <c r="DG40" s="1098">
        <v>8142</v>
      </c>
      <c r="DH40" s="1098">
        <v>9033</v>
      </c>
      <c r="DI40" s="1098">
        <v>9612</v>
      </c>
      <c r="DJ40" s="1098">
        <v>9305</v>
      </c>
      <c r="DK40" s="1098">
        <v>9377</v>
      </c>
      <c r="DL40" s="1098">
        <v>9604</v>
      </c>
      <c r="DM40" s="1098">
        <v>8951</v>
      </c>
      <c r="DN40" s="1097">
        <f t="shared" si="125"/>
        <v>107671</v>
      </c>
      <c r="DO40" s="1098">
        <v>7934</v>
      </c>
      <c r="DP40" s="1098">
        <v>8147</v>
      </c>
      <c r="DQ40" s="1098">
        <v>7347.5</v>
      </c>
      <c r="DR40" s="1098">
        <v>8908</v>
      </c>
      <c r="DS40" s="1098">
        <v>8150</v>
      </c>
      <c r="DT40" s="1098">
        <v>8240</v>
      </c>
      <c r="DU40" s="1098">
        <v>9087</v>
      </c>
      <c r="DV40" s="1098">
        <v>8074</v>
      </c>
      <c r="DW40" s="1098">
        <v>8771</v>
      </c>
      <c r="DX40" s="1098">
        <v>8267</v>
      </c>
      <c r="DY40" s="1098">
        <v>10651</v>
      </c>
      <c r="DZ40" s="1098">
        <v>8534</v>
      </c>
      <c r="EA40" s="1097">
        <f t="shared" si="138"/>
        <v>102110.5</v>
      </c>
      <c r="EB40" s="1098">
        <v>7926</v>
      </c>
      <c r="EC40" s="1098">
        <v>8288</v>
      </c>
      <c r="ED40" s="1098">
        <v>7849</v>
      </c>
      <c r="EE40" s="1098">
        <v>7955</v>
      </c>
      <c r="EF40" s="1098">
        <v>8942</v>
      </c>
      <c r="EG40" s="1098">
        <v>8303</v>
      </c>
      <c r="EH40" s="1098">
        <v>9022</v>
      </c>
      <c r="EI40" s="1098">
        <v>7780</v>
      </c>
      <c r="EJ40" s="1098">
        <v>9234</v>
      </c>
      <c r="EK40" s="1098">
        <v>8012</v>
      </c>
      <c r="EL40" s="1098">
        <v>9053</v>
      </c>
      <c r="EM40" s="1098">
        <v>7524</v>
      </c>
      <c r="EN40" s="1097">
        <f t="shared" si="151"/>
        <v>99888</v>
      </c>
      <c r="EO40" s="1098">
        <v>7809</v>
      </c>
      <c r="EP40" s="1098">
        <v>8149</v>
      </c>
      <c r="EQ40" s="1098">
        <v>7236</v>
      </c>
      <c r="ER40" s="1098">
        <v>7818</v>
      </c>
      <c r="ES40" s="1098">
        <v>8691</v>
      </c>
      <c r="ET40" s="1098">
        <v>7937</v>
      </c>
      <c r="EU40" s="1098">
        <v>6663</v>
      </c>
      <c r="EV40" s="1098">
        <v>7362</v>
      </c>
      <c r="EW40" s="1098">
        <v>8801</v>
      </c>
      <c r="EX40" s="1098">
        <v>7412</v>
      </c>
      <c r="EY40" s="1098">
        <v>7991</v>
      </c>
      <c r="EZ40" s="1098">
        <v>7319</v>
      </c>
      <c r="FA40" s="1097">
        <f t="shared" si="164"/>
        <v>93188</v>
      </c>
      <c r="FB40" s="1098">
        <v>7027</v>
      </c>
      <c r="FC40" s="1098">
        <v>7414</v>
      </c>
      <c r="FD40" s="1098">
        <v>7063</v>
      </c>
      <c r="FE40" s="1098">
        <v>7718</v>
      </c>
      <c r="FF40" s="1098">
        <v>8845</v>
      </c>
      <c r="FG40" s="1098">
        <v>7614</v>
      </c>
      <c r="FH40" s="1098">
        <v>6929</v>
      </c>
      <c r="FI40" s="1098">
        <v>8110</v>
      </c>
      <c r="FJ40" s="1098">
        <v>7185</v>
      </c>
      <c r="FK40" s="1098">
        <v>6784</v>
      </c>
      <c r="FL40" s="1098">
        <v>6657</v>
      </c>
      <c r="FM40" s="1098">
        <v>7152</v>
      </c>
      <c r="FN40" s="1097">
        <f t="shared" si="177"/>
        <v>88498</v>
      </c>
      <c r="FO40" s="1098">
        <v>6293</v>
      </c>
      <c r="FP40" s="1098">
        <v>6532</v>
      </c>
      <c r="FQ40" s="1098">
        <v>7459</v>
      </c>
      <c r="FR40" s="1098">
        <v>7465</v>
      </c>
      <c r="FS40" s="1098">
        <v>7661</v>
      </c>
      <c r="FT40" s="1098">
        <v>8005</v>
      </c>
      <c r="FU40" s="1098">
        <v>7295</v>
      </c>
      <c r="FV40" s="1098">
        <v>7026</v>
      </c>
      <c r="FW40" s="1098">
        <v>6914</v>
      </c>
      <c r="FX40" s="1098">
        <v>6846</v>
      </c>
      <c r="FY40" s="1098">
        <v>7516</v>
      </c>
      <c r="FZ40" s="1098">
        <v>7013</v>
      </c>
      <c r="GA40" s="1097">
        <f t="shared" si="190"/>
        <v>86025</v>
      </c>
      <c r="GB40" s="1098">
        <v>7470.5</v>
      </c>
      <c r="GC40" s="1098">
        <v>8810</v>
      </c>
      <c r="GD40" s="1098">
        <v>10393</v>
      </c>
      <c r="GE40" s="1098">
        <v>7200</v>
      </c>
      <c r="GF40" s="1098">
        <v>10970</v>
      </c>
      <c r="GG40" s="1098">
        <v>7042</v>
      </c>
      <c r="GH40" s="1098">
        <v>6735</v>
      </c>
      <c r="GI40" s="1098">
        <v>6094</v>
      </c>
      <c r="GJ40" s="1098">
        <v>6816.5</v>
      </c>
      <c r="GK40" s="1098">
        <v>6811</v>
      </c>
      <c r="GL40" s="1098">
        <v>10668</v>
      </c>
      <c r="GM40" s="1098">
        <v>8701</v>
      </c>
      <c r="GN40" s="1097">
        <f t="shared" si="203"/>
        <v>97711</v>
      </c>
      <c r="GO40" s="1098">
        <v>7369</v>
      </c>
      <c r="GP40" s="1098">
        <v>10351</v>
      </c>
      <c r="GQ40" s="1098">
        <v>8646</v>
      </c>
      <c r="GR40" s="1098">
        <v>9092</v>
      </c>
      <c r="GS40" s="1098">
        <v>8441</v>
      </c>
      <c r="GT40" s="1098">
        <v>7840</v>
      </c>
      <c r="GU40" s="1098">
        <v>7648.85</v>
      </c>
      <c r="GV40" s="1098">
        <v>8247</v>
      </c>
      <c r="GW40" s="1098">
        <v>7363.3</v>
      </c>
      <c r="GX40" s="1098">
        <v>8612.9500000000007</v>
      </c>
      <c r="GY40" s="1098">
        <v>11490.3</v>
      </c>
      <c r="GZ40" s="1098">
        <v>10170</v>
      </c>
      <c r="HA40" s="1097">
        <f t="shared" si="216"/>
        <v>105271.40000000001</v>
      </c>
      <c r="HB40" s="1098">
        <v>9161.6</v>
      </c>
      <c r="HC40" s="1098">
        <v>8820.6</v>
      </c>
      <c r="HD40" s="1098">
        <v>10271.220000000001</v>
      </c>
      <c r="HE40" s="1098">
        <v>9258</v>
      </c>
      <c r="HF40" s="1098">
        <v>9416.9499999999989</v>
      </c>
      <c r="HG40" s="1098">
        <v>8726.5499999999993</v>
      </c>
      <c r="HH40" s="1098">
        <v>8086.9500000000007</v>
      </c>
      <c r="HI40" s="1098">
        <v>8618.15</v>
      </c>
      <c r="HJ40" s="1098">
        <v>8477.5</v>
      </c>
      <c r="HK40" s="1098">
        <v>9567</v>
      </c>
      <c r="HL40" s="1098">
        <v>12419.220000000001</v>
      </c>
      <c r="HM40" s="1098">
        <v>10899</v>
      </c>
      <c r="HN40" s="1097">
        <f t="shared" si="229"/>
        <v>113722.73999999999</v>
      </c>
      <c r="HO40" s="1098">
        <v>10019.26</v>
      </c>
      <c r="HP40" s="1098">
        <v>11092.26</v>
      </c>
      <c r="HQ40" s="1098">
        <v>13770.54</v>
      </c>
      <c r="HR40" s="1098">
        <v>12749.55</v>
      </c>
      <c r="HS40" s="1098">
        <v>11162.45</v>
      </c>
      <c r="HT40" s="1098">
        <v>10259.75</v>
      </c>
      <c r="HU40" s="1098">
        <v>10433.48</v>
      </c>
      <c r="HV40" s="1098">
        <v>12562.55</v>
      </c>
      <c r="HW40" s="1098">
        <v>13670.58</v>
      </c>
      <c r="HX40" s="1098">
        <v>9625.15</v>
      </c>
      <c r="HY40" s="1098">
        <v>12345.62</v>
      </c>
      <c r="HZ40" s="1098">
        <v>10142.23</v>
      </c>
      <c r="IA40" s="1097">
        <f t="shared" si="242"/>
        <v>137833.41999999998</v>
      </c>
      <c r="IB40" s="1098">
        <v>8449</v>
      </c>
      <c r="IC40" s="1098">
        <v>8723</v>
      </c>
      <c r="ID40" s="1098">
        <v>11183</v>
      </c>
      <c r="IE40" s="1098">
        <v>9188</v>
      </c>
      <c r="IF40" s="1098">
        <v>9942.5</v>
      </c>
      <c r="IG40" s="1098">
        <v>9288</v>
      </c>
      <c r="IH40" s="1098">
        <v>10226.74</v>
      </c>
      <c r="II40" s="1098">
        <v>9070.5</v>
      </c>
      <c r="IJ40" s="1098">
        <v>9486.5</v>
      </c>
      <c r="IK40" s="1098">
        <v>7736.2</v>
      </c>
      <c r="IL40" s="1098">
        <v>8598.7999999999993</v>
      </c>
      <c r="IM40" s="1098">
        <v>7948.68</v>
      </c>
      <c r="IN40" s="1097">
        <v>109840.92000000001</v>
      </c>
      <c r="IO40" s="1098">
        <v>6134.2</v>
      </c>
      <c r="IP40" s="1098">
        <v>4376.5</v>
      </c>
      <c r="IQ40" s="1098">
        <v>8296.2999999999993</v>
      </c>
      <c r="IR40" s="1098">
        <v>9100.4</v>
      </c>
      <c r="IS40" s="1098">
        <v>9236.3000000000011</v>
      </c>
      <c r="IT40" s="1098">
        <v>10083.200000000001</v>
      </c>
      <c r="IU40" s="1098">
        <v>10736.8</v>
      </c>
      <c r="IV40" s="1098">
        <v>9762.6999999999989</v>
      </c>
      <c r="IW40" s="1098">
        <v>10434</v>
      </c>
      <c r="IX40" s="1098">
        <v>8770.5</v>
      </c>
      <c r="IY40" s="1098">
        <v>9348.6</v>
      </c>
      <c r="IZ40" s="1098">
        <v>8362.3999999999978</v>
      </c>
      <c r="JA40" s="1097">
        <v>104641.90000000001</v>
      </c>
      <c r="JB40" s="1098">
        <v>8739.6999999999989</v>
      </c>
      <c r="JC40" s="1098">
        <v>8483</v>
      </c>
      <c r="JD40" s="1098"/>
      <c r="JE40" s="1098"/>
      <c r="JF40" s="1098"/>
      <c r="JG40" s="1098"/>
      <c r="JH40" s="1098"/>
      <c r="JI40" s="1098"/>
      <c r="JJ40" s="1098"/>
      <c r="JK40" s="1098"/>
      <c r="JL40" s="1098"/>
      <c r="JM40" s="1098"/>
      <c r="JN40" s="1097">
        <f t="shared" si="281"/>
        <v>17222.699999999997</v>
      </c>
      <c r="JP40" s="1174">
        <f t="shared" si="305"/>
        <v>5.2048893652782313</v>
      </c>
      <c r="JQ40" s="1175">
        <f t="shared" si="306"/>
        <v>-4.7332269249019454</v>
      </c>
      <c r="JR40" s="1184">
        <f t="shared" si="307"/>
        <v>109840.92000000001</v>
      </c>
      <c r="JS40" s="1185">
        <f t="shared" si="308"/>
        <v>104641.90000000001</v>
      </c>
      <c r="JT40" s="1"/>
      <c r="JU40" s="1079">
        <f t="shared" si="309"/>
        <v>3877923.8600000003</v>
      </c>
      <c r="JV40" s="1080" t="s">
        <v>136</v>
      </c>
      <c r="JW40" s="1081" t="str">
        <f t="shared" si="310"/>
        <v>OK</v>
      </c>
    </row>
    <row r="41" spans="1:283" ht="15" customHeight="1" x14ac:dyDescent="0.2">
      <c r="A41" s="1224" t="s">
        <v>150</v>
      </c>
      <c r="B41" s="1098">
        <v>59</v>
      </c>
      <c r="C41" s="1098">
        <v>12</v>
      </c>
      <c r="D41" s="1098">
        <v>9</v>
      </c>
      <c r="E41" s="1098"/>
      <c r="F41" s="1098">
        <v>6</v>
      </c>
      <c r="G41" s="1098">
        <v>9</v>
      </c>
      <c r="H41" s="1098">
        <v>6</v>
      </c>
      <c r="I41" s="1098">
        <v>9</v>
      </c>
      <c r="J41" s="1098"/>
      <c r="K41" s="1098">
        <v>8</v>
      </c>
      <c r="L41" s="1098"/>
      <c r="M41" s="1098">
        <v>6</v>
      </c>
      <c r="N41" s="1097">
        <f t="shared" si="21"/>
        <v>124</v>
      </c>
      <c r="O41" s="1098">
        <v>6</v>
      </c>
      <c r="P41" s="1098">
        <v>7</v>
      </c>
      <c r="Q41" s="1098">
        <v>1</v>
      </c>
      <c r="R41" s="1098">
        <v>3</v>
      </c>
      <c r="S41" s="1098">
        <v>6</v>
      </c>
      <c r="T41" s="1098">
        <v>6</v>
      </c>
      <c r="U41" s="1098">
        <v>7</v>
      </c>
      <c r="V41" s="1098">
        <v>5</v>
      </c>
      <c r="W41" s="1098">
        <v>10</v>
      </c>
      <c r="X41" s="1098"/>
      <c r="Y41" s="1098"/>
      <c r="Z41" s="1098"/>
      <c r="AA41" s="1097">
        <f t="shared" si="34"/>
        <v>51</v>
      </c>
      <c r="AB41" s="1098"/>
      <c r="AC41" s="1098">
        <v>18</v>
      </c>
      <c r="AD41" s="1098">
        <v>19</v>
      </c>
      <c r="AE41" s="1098">
        <v>12</v>
      </c>
      <c r="AF41" s="1098">
        <v>5</v>
      </c>
      <c r="AG41" s="1098">
        <v>19</v>
      </c>
      <c r="AH41" s="1098"/>
      <c r="AI41" s="1098"/>
      <c r="AJ41" s="1098">
        <v>30</v>
      </c>
      <c r="AK41" s="1098"/>
      <c r="AL41" s="1098"/>
      <c r="AM41" s="1098">
        <v>11</v>
      </c>
      <c r="AN41" s="1097">
        <f t="shared" si="47"/>
        <v>114</v>
      </c>
      <c r="AO41" s="1098">
        <v>26</v>
      </c>
      <c r="AP41" s="1098"/>
      <c r="AQ41" s="1098">
        <v>26</v>
      </c>
      <c r="AR41" s="1098"/>
      <c r="AS41" s="1098">
        <v>7</v>
      </c>
      <c r="AT41" s="1098"/>
      <c r="AU41" s="1098"/>
      <c r="AV41" s="1098"/>
      <c r="AW41" s="1098"/>
      <c r="AX41" s="1098"/>
      <c r="AY41" s="1098"/>
      <c r="AZ41" s="1098"/>
      <c r="BA41" s="1097">
        <f t="shared" si="60"/>
        <v>59</v>
      </c>
      <c r="BB41" s="1098"/>
      <c r="BC41" s="1098">
        <v>15</v>
      </c>
      <c r="BD41" s="1098">
        <v>13</v>
      </c>
      <c r="BE41" s="1098">
        <v>40</v>
      </c>
      <c r="BF41" s="1098">
        <v>44</v>
      </c>
      <c r="BG41" s="1098">
        <v>59</v>
      </c>
      <c r="BH41" s="1098"/>
      <c r="BI41" s="1098"/>
      <c r="BJ41" s="1098">
        <v>25</v>
      </c>
      <c r="BK41" s="1098"/>
      <c r="BL41" s="1098"/>
      <c r="BM41" s="1098">
        <v>25</v>
      </c>
      <c r="BN41" s="1097">
        <f t="shared" si="73"/>
        <v>221</v>
      </c>
      <c r="BO41" s="1098">
        <v>25</v>
      </c>
      <c r="BP41" s="1098">
        <v>28</v>
      </c>
      <c r="BQ41" s="1098"/>
      <c r="BR41" s="1098">
        <v>15</v>
      </c>
      <c r="BS41" s="1098">
        <v>28</v>
      </c>
      <c r="BT41" s="1098">
        <v>13</v>
      </c>
      <c r="BU41" s="1098">
        <v>13</v>
      </c>
      <c r="BV41" s="1098">
        <v>13</v>
      </c>
      <c r="BW41" s="1098">
        <v>10</v>
      </c>
      <c r="BX41" s="1098">
        <v>13</v>
      </c>
      <c r="BY41" s="1098">
        <v>13</v>
      </c>
      <c r="BZ41" s="1098">
        <v>25</v>
      </c>
      <c r="CA41" s="1097">
        <f t="shared" si="86"/>
        <v>196</v>
      </c>
      <c r="CB41" s="1098">
        <v>25</v>
      </c>
      <c r="CC41" s="1098">
        <v>31</v>
      </c>
      <c r="CD41" s="1098"/>
      <c r="CE41" s="1098"/>
      <c r="CF41" s="1098"/>
      <c r="CG41" s="1098"/>
      <c r="CH41" s="1098"/>
      <c r="CI41" s="1098"/>
      <c r="CJ41" s="1098">
        <v>10</v>
      </c>
      <c r="CK41" s="1098">
        <v>15</v>
      </c>
      <c r="CL41" s="1098"/>
      <c r="CM41" s="1098">
        <v>18</v>
      </c>
      <c r="CN41" s="1097">
        <f t="shared" si="99"/>
        <v>99</v>
      </c>
      <c r="CO41" s="1098">
        <v>13</v>
      </c>
      <c r="CP41" s="1098">
        <v>13</v>
      </c>
      <c r="CQ41" s="1098"/>
      <c r="CR41" s="1098"/>
      <c r="CS41" s="1098"/>
      <c r="CT41" s="1098"/>
      <c r="CU41" s="1098"/>
      <c r="CV41" s="1098"/>
      <c r="CW41" s="1098"/>
      <c r="CX41" s="1098">
        <v>25</v>
      </c>
      <c r="CY41" s="1098">
        <v>50</v>
      </c>
      <c r="CZ41" s="1098">
        <v>25</v>
      </c>
      <c r="DA41" s="1097">
        <f t="shared" si="112"/>
        <v>126</v>
      </c>
      <c r="DB41" s="1098"/>
      <c r="DC41" s="1098">
        <v>30</v>
      </c>
      <c r="DD41" s="1098">
        <v>29</v>
      </c>
      <c r="DE41" s="1098">
        <v>130</v>
      </c>
      <c r="DF41" s="1098"/>
      <c r="DG41" s="1098"/>
      <c r="DH41" s="1098"/>
      <c r="DI41" s="1098">
        <v>200</v>
      </c>
      <c r="DJ41" s="1098">
        <v>100</v>
      </c>
      <c r="DK41" s="1098"/>
      <c r="DL41" s="1098">
        <v>160</v>
      </c>
      <c r="DM41" s="1098">
        <v>140</v>
      </c>
      <c r="DN41" s="1097">
        <f t="shared" si="125"/>
        <v>789</v>
      </c>
      <c r="DO41" s="1098">
        <v>140</v>
      </c>
      <c r="DP41" s="1098">
        <v>160</v>
      </c>
      <c r="DQ41" s="1098">
        <v>180</v>
      </c>
      <c r="DR41" s="1098">
        <v>120</v>
      </c>
      <c r="DS41" s="1098">
        <v>160</v>
      </c>
      <c r="DT41" s="1098">
        <v>140</v>
      </c>
      <c r="DU41" s="1098"/>
      <c r="DV41" s="1098"/>
      <c r="DW41" s="1098">
        <v>300</v>
      </c>
      <c r="DX41" s="1098">
        <v>140</v>
      </c>
      <c r="DY41" s="1098">
        <v>160</v>
      </c>
      <c r="DZ41" s="1098"/>
      <c r="EA41" s="1097">
        <f t="shared" si="138"/>
        <v>1500</v>
      </c>
      <c r="EB41" s="1098"/>
      <c r="EC41" s="1098">
        <v>300</v>
      </c>
      <c r="ED41" s="1098"/>
      <c r="EE41" s="1098">
        <v>300</v>
      </c>
      <c r="EF41" s="1098"/>
      <c r="EG41" s="1098">
        <v>600</v>
      </c>
      <c r="EH41" s="1098"/>
      <c r="EI41" s="1098"/>
      <c r="EJ41" s="1098">
        <v>300</v>
      </c>
      <c r="EK41" s="1098"/>
      <c r="EL41" s="1098">
        <v>300</v>
      </c>
      <c r="EM41" s="1098"/>
      <c r="EN41" s="1097">
        <f t="shared" si="151"/>
        <v>1800</v>
      </c>
      <c r="EO41" s="1098">
        <v>300</v>
      </c>
      <c r="EP41" s="1098"/>
      <c r="EQ41" s="1098">
        <v>320</v>
      </c>
      <c r="ER41" s="1098"/>
      <c r="ES41" s="1098">
        <v>300</v>
      </c>
      <c r="ET41" s="1098"/>
      <c r="EU41" s="1098">
        <v>300</v>
      </c>
      <c r="EV41" s="1098"/>
      <c r="EW41" s="1098">
        <v>300</v>
      </c>
      <c r="EX41" s="1098"/>
      <c r="EY41" s="1098">
        <v>300</v>
      </c>
      <c r="EZ41" s="1098"/>
      <c r="FA41" s="1097">
        <f t="shared" si="164"/>
        <v>1820</v>
      </c>
      <c r="FB41" s="1098">
        <v>300</v>
      </c>
      <c r="FC41" s="1098"/>
      <c r="FD41" s="1098">
        <v>300</v>
      </c>
      <c r="FE41" s="1098"/>
      <c r="FF41" s="1098">
        <v>300</v>
      </c>
      <c r="FG41" s="1098"/>
      <c r="FH41" s="1098">
        <v>200</v>
      </c>
      <c r="FI41" s="1098"/>
      <c r="FJ41" s="1098">
        <v>300</v>
      </c>
      <c r="FK41" s="1098"/>
      <c r="FL41" s="1098"/>
      <c r="FM41" s="1098">
        <v>300</v>
      </c>
      <c r="FN41" s="1097">
        <f t="shared" si="177"/>
        <v>1700</v>
      </c>
      <c r="FO41" s="1098">
        <v>300</v>
      </c>
      <c r="FP41" s="1098"/>
      <c r="FQ41" s="1098">
        <v>300</v>
      </c>
      <c r="FR41" s="1098"/>
      <c r="FS41" s="1098">
        <v>300</v>
      </c>
      <c r="FT41" s="1098"/>
      <c r="FU41" s="1098">
        <v>300</v>
      </c>
      <c r="FV41" s="1098"/>
      <c r="FW41" s="1098">
        <v>300</v>
      </c>
      <c r="FX41" s="1098"/>
      <c r="FY41" s="1098"/>
      <c r="FZ41" s="1098">
        <v>300</v>
      </c>
      <c r="GA41" s="1097">
        <f t="shared" si="190"/>
        <v>1800</v>
      </c>
      <c r="GB41" s="1098"/>
      <c r="GC41" s="1098"/>
      <c r="GD41" s="1098">
        <v>300</v>
      </c>
      <c r="GE41" s="1098"/>
      <c r="GF41" s="1098">
        <v>300</v>
      </c>
      <c r="GG41" s="1098"/>
      <c r="GH41" s="1098">
        <v>300</v>
      </c>
      <c r="GI41" s="1098"/>
      <c r="GJ41" s="1098">
        <v>300</v>
      </c>
      <c r="GK41" s="1098"/>
      <c r="GL41" s="1098">
        <v>300</v>
      </c>
      <c r="GM41" s="1098"/>
      <c r="GN41" s="1097">
        <f t="shared" si="203"/>
        <v>1500</v>
      </c>
      <c r="GO41" s="1098">
        <v>300</v>
      </c>
      <c r="GP41" s="1098"/>
      <c r="GQ41" s="1098">
        <v>300</v>
      </c>
      <c r="GR41" s="1098"/>
      <c r="GS41" s="1098">
        <v>300</v>
      </c>
      <c r="GT41" s="1098"/>
      <c r="GU41" s="1098">
        <v>300</v>
      </c>
      <c r="GV41" s="1098"/>
      <c r="GW41" s="1098">
        <v>300</v>
      </c>
      <c r="GX41" s="1098"/>
      <c r="GY41" s="1098">
        <v>300</v>
      </c>
      <c r="GZ41" s="1098"/>
      <c r="HA41" s="1097">
        <f t="shared" si="216"/>
        <v>1800</v>
      </c>
      <c r="HB41" s="1098">
        <v>300</v>
      </c>
      <c r="HC41" s="1098"/>
      <c r="HD41" s="1098">
        <v>300</v>
      </c>
      <c r="HE41" s="1098"/>
      <c r="HF41" s="1098">
        <v>300</v>
      </c>
      <c r="HG41" s="1098"/>
      <c r="HH41" s="1098">
        <v>300</v>
      </c>
      <c r="HI41" s="1098"/>
      <c r="HJ41" s="1098">
        <v>300</v>
      </c>
      <c r="HK41" s="1098"/>
      <c r="HL41" s="1098">
        <v>300</v>
      </c>
      <c r="HM41" s="1098"/>
      <c r="HN41" s="1097">
        <f t="shared" si="229"/>
        <v>1800</v>
      </c>
      <c r="HO41" s="1098">
        <v>300</v>
      </c>
      <c r="HP41" s="1098">
        <v>300</v>
      </c>
      <c r="HQ41" s="1098">
        <v>300</v>
      </c>
      <c r="HR41" s="1098">
        <v>300</v>
      </c>
      <c r="HS41" s="1098">
        <v>300</v>
      </c>
      <c r="HT41" s="1098">
        <v>300</v>
      </c>
      <c r="HU41" s="1098">
        <v>300</v>
      </c>
      <c r="HV41" s="1098">
        <v>290</v>
      </c>
      <c r="HW41" s="1098">
        <v>290</v>
      </c>
      <c r="HX41" s="1098">
        <v>282</v>
      </c>
      <c r="HY41" s="1098">
        <v>300</v>
      </c>
      <c r="HZ41" s="1098">
        <v>300</v>
      </c>
      <c r="IA41" s="1097">
        <f t="shared" si="242"/>
        <v>3562</v>
      </c>
      <c r="IB41" s="1098">
        <v>300</v>
      </c>
      <c r="IC41" s="1098">
        <v>320</v>
      </c>
      <c r="ID41" s="1098">
        <v>300</v>
      </c>
      <c r="IE41" s="1098">
        <v>310</v>
      </c>
      <c r="IF41" s="1098">
        <v>300</v>
      </c>
      <c r="IG41" s="1098">
        <v>300</v>
      </c>
      <c r="IH41" s="1098">
        <v>300</v>
      </c>
      <c r="II41" s="1098">
        <v>300</v>
      </c>
      <c r="IJ41" s="1098">
        <v>300</v>
      </c>
      <c r="IK41" s="1098">
        <v>300</v>
      </c>
      <c r="IL41" s="1098">
        <v>300</v>
      </c>
      <c r="IM41" s="1098">
        <v>300</v>
      </c>
      <c r="IN41" s="1097">
        <f t="shared" si="255"/>
        <v>3630</v>
      </c>
      <c r="IO41" s="1098">
        <v>700</v>
      </c>
      <c r="IP41" s="1098">
        <v>700</v>
      </c>
      <c r="IQ41" s="1098">
        <v>700</v>
      </c>
      <c r="IR41" s="1098">
        <v>700</v>
      </c>
      <c r="IS41" s="1098">
        <v>700</v>
      </c>
      <c r="IT41" s="1098">
        <v>700</v>
      </c>
      <c r="IU41" s="1098">
        <v>700</v>
      </c>
      <c r="IV41" s="1098">
        <v>700</v>
      </c>
      <c r="IW41" s="1098">
        <v>700</v>
      </c>
      <c r="IX41" s="1098">
        <v>700</v>
      </c>
      <c r="IY41" s="1098">
        <v>700</v>
      </c>
      <c r="IZ41" s="1098"/>
      <c r="JA41" s="1097">
        <f t="shared" si="268"/>
        <v>7700</v>
      </c>
      <c r="JB41" s="1098"/>
      <c r="JC41" s="1098"/>
      <c r="JD41" s="1098"/>
      <c r="JE41" s="1098"/>
      <c r="JF41" s="1098"/>
      <c r="JG41" s="1098"/>
      <c r="JH41" s="1098"/>
      <c r="JI41" s="1098"/>
      <c r="JJ41" s="1098"/>
      <c r="JK41" s="1098"/>
      <c r="JL41" s="1098"/>
      <c r="JM41" s="1098"/>
      <c r="JN41" s="1097">
        <f t="shared" si="281"/>
        <v>0</v>
      </c>
      <c r="JP41" s="1174">
        <f t="shared" si="305"/>
        <v>-100</v>
      </c>
      <c r="JQ41" s="1175">
        <f t="shared" si="306"/>
        <v>112.12121212121211</v>
      </c>
      <c r="JR41" s="1184">
        <f t="shared" si="307"/>
        <v>3630</v>
      </c>
      <c r="JS41" s="1185">
        <f t="shared" si="308"/>
        <v>7700</v>
      </c>
      <c r="JT41" s="1"/>
      <c r="JU41" s="1079">
        <f t="shared" si="309"/>
        <v>60782</v>
      </c>
      <c r="JV41" s="1083" t="s">
        <v>572</v>
      </c>
      <c r="JW41" s="1081" t="str">
        <f t="shared" si="310"/>
        <v>VER</v>
      </c>
    </row>
    <row r="42" spans="1:283" ht="15" customHeight="1" x14ac:dyDescent="0.2">
      <c r="A42" s="1168"/>
      <c r="B42" s="1135"/>
      <c r="C42" s="1135"/>
      <c r="D42" s="1135"/>
      <c r="E42" s="1135"/>
      <c r="F42" s="1135"/>
      <c r="G42" s="1135"/>
      <c r="H42" s="1135"/>
      <c r="I42" s="1135"/>
      <c r="J42" s="1135"/>
      <c r="K42" s="1135"/>
      <c r="L42" s="1135"/>
      <c r="M42" s="1135"/>
      <c r="N42" s="1136"/>
      <c r="O42" s="1135"/>
      <c r="P42" s="1135"/>
      <c r="Q42" s="1135"/>
      <c r="R42" s="1135"/>
      <c r="S42" s="1135"/>
      <c r="T42" s="1135"/>
      <c r="U42" s="1135"/>
      <c r="V42" s="1135"/>
      <c r="W42" s="1135"/>
      <c r="X42" s="1135"/>
      <c r="Y42" s="1135"/>
      <c r="Z42" s="1135"/>
      <c r="AA42" s="1136"/>
      <c r="AB42" s="1135"/>
      <c r="AC42" s="1135"/>
      <c r="AD42" s="1135"/>
      <c r="AE42" s="1135"/>
      <c r="AF42" s="1135"/>
      <c r="AG42" s="1135"/>
      <c r="AH42" s="1135"/>
      <c r="AI42" s="1135"/>
      <c r="AJ42" s="1135"/>
      <c r="AK42" s="1135"/>
      <c r="AL42" s="1135"/>
      <c r="AM42" s="1135"/>
      <c r="AN42" s="1136"/>
      <c r="AO42" s="1135"/>
      <c r="AP42" s="1135"/>
      <c r="AQ42" s="1135"/>
      <c r="AR42" s="1135"/>
      <c r="AS42" s="1135"/>
      <c r="AT42" s="1135"/>
      <c r="AU42" s="1135"/>
      <c r="AV42" s="1135"/>
      <c r="AW42" s="1135"/>
      <c r="AX42" s="1135"/>
      <c r="AY42" s="1135"/>
      <c r="AZ42" s="1135"/>
      <c r="BA42" s="1136"/>
      <c r="BB42" s="1135"/>
      <c r="BC42" s="1135"/>
      <c r="BD42" s="1135"/>
      <c r="BE42" s="1135"/>
      <c r="BF42" s="1135"/>
      <c r="BG42" s="1135"/>
      <c r="BH42" s="1135"/>
      <c r="BI42" s="1135"/>
      <c r="BJ42" s="1135"/>
      <c r="BK42" s="1135"/>
      <c r="BL42" s="1135"/>
      <c r="BM42" s="1135"/>
      <c r="BN42" s="1136"/>
      <c r="BO42" s="1135"/>
      <c r="BP42" s="1135"/>
      <c r="BQ42" s="1135"/>
      <c r="BR42" s="1135"/>
      <c r="BS42" s="1135"/>
      <c r="BT42" s="1135"/>
      <c r="BU42" s="1135"/>
      <c r="BV42" s="1135"/>
      <c r="BW42" s="1135"/>
      <c r="BX42" s="1135"/>
      <c r="BY42" s="1135"/>
      <c r="BZ42" s="1135"/>
      <c r="CA42" s="1136"/>
      <c r="CB42" s="1135"/>
      <c r="CC42" s="1135"/>
      <c r="CD42" s="1135"/>
      <c r="CE42" s="1135"/>
      <c r="CF42" s="1135"/>
      <c r="CG42" s="1135"/>
      <c r="CH42" s="1135"/>
      <c r="CI42" s="1135"/>
      <c r="CJ42" s="1135"/>
      <c r="CK42" s="1135"/>
      <c r="CL42" s="1135"/>
      <c r="CM42" s="1135"/>
      <c r="CN42" s="1136"/>
      <c r="CO42" s="1135"/>
      <c r="CP42" s="1135"/>
      <c r="CQ42" s="1135"/>
      <c r="CR42" s="1135"/>
      <c r="CS42" s="1135"/>
      <c r="CT42" s="1135"/>
      <c r="CU42" s="1135"/>
      <c r="CV42" s="1135"/>
      <c r="CW42" s="1135"/>
      <c r="CX42" s="1135"/>
      <c r="CY42" s="1135"/>
      <c r="CZ42" s="1135"/>
      <c r="DA42" s="1136"/>
      <c r="DB42" s="1135"/>
      <c r="DC42" s="1135"/>
      <c r="DD42" s="1135"/>
      <c r="DE42" s="1135"/>
      <c r="DF42" s="1135"/>
      <c r="DG42" s="1135"/>
      <c r="DH42" s="1135"/>
      <c r="DI42" s="1135"/>
      <c r="DJ42" s="1135"/>
      <c r="DK42" s="1135"/>
      <c r="DL42" s="1135"/>
      <c r="DM42" s="1135"/>
      <c r="DN42" s="1136"/>
      <c r="DO42" s="1135"/>
      <c r="DP42" s="1135"/>
      <c r="DQ42" s="1135"/>
      <c r="DR42" s="1135"/>
      <c r="DS42" s="1135"/>
      <c r="DT42" s="1135"/>
      <c r="DU42" s="1135"/>
      <c r="DV42" s="1135"/>
      <c r="DW42" s="1135"/>
      <c r="DX42" s="1135"/>
      <c r="DY42" s="1135"/>
      <c r="DZ42" s="1135"/>
      <c r="EA42" s="1136"/>
      <c r="EB42" s="1135"/>
      <c r="EC42" s="1135"/>
      <c r="ED42" s="1135"/>
      <c r="EE42" s="1135"/>
      <c r="EF42" s="1135"/>
      <c r="EG42" s="1135"/>
      <c r="EH42" s="1135"/>
      <c r="EI42" s="1135"/>
      <c r="EJ42" s="1135"/>
      <c r="EK42" s="1135"/>
      <c r="EL42" s="1135"/>
      <c r="EM42" s="1135"/>
      <c r="EN42" s="1136"/>
      <c r="EO42" s="1135"/>
      <c r="EP42" s="1135"/>
      <c r="EQ42" s="1135"/>
      <c r="ER42" s="1135"/>
      <c r="ES42" s="1135"/>
      <c r="ET42" s="1135"/>
      <c r="EU42" s="1135"/>
      <c r="EV42" s="1135"/>
      <c r="EW42" s="1135"/>
      <c r="EX42" s="1135"/>
      <c r="EY42" s="1135"/>
      <c r="EZ42" s="1135"/>
      <c r="FA42" s="1136"/>
      <c r="FB42" s="1135"/>
      <c r="FC42" s="1135"/>
      <c r="FD42" s="1135"/>
      <c r="FE42" s="1135"/>
      <c r="FF42" s="1135"/>
      <c r="FG42" s="1135"/>
      <c r="FH42" s="1135"/>
      <c r="FI42" s="1135"/>
      <c r="FJ42" s="1135"/>
      <c r="FK42" s="1135"/>
      <c r="FL42" s="1135"/>
      <c r="FM42" s="1135"/>
      <c r="FN42" s="1136"/>
      <c r="FO42" s="1135"/>
      <c r="FP42" s="1135"/>
      <c r="FQ42" s="1135"/>
      <c r="FR42" s="1135"/>
      <c r="FS42" s="1135"/>
      <c r="FT42" s="1135"/>
      <c r="FU42" s="1135"/>
      <c r="FV42" s="1135"/>
      <c r="FW42" s="1135"/>
      <c r="FX42" s="1135"/>
      <c r="FY42" s="1135"/>
      <c r="FZ42" s="1135"/>
      <c r="GA42" s="1136"/>
      <c r="GB42" s="1135"/>
      <c r="GC42" s="1135"/>
      <c r="GD42" s="1135"/>
      <c r="GE42" s="1135"/>
      <c r="GF42" s="1135"/>
      <c r="GG42" s="1135"/>
      <c r="GH42" s="1135"/>
      <c r="GI42" s="1135"/>
      <c r="GJ42" s="1135"/>
      <c r="GK42" s="1135"/>
      <c r="GL42" s="1135"/>
      <c r="GM42" s="1135"/>
      <c r="GN42" s="1136"/>
      <c r="GO42" s="1135"/>
      <c r="GP42" s="1135"/>
      <c r="GQ42" s="1135"/>
      <c r="GR42" s="1135"/>
      <c r="GS42" s="1135"/>
      <c r="GT42" s="1135"/>
      <c r="GU42" s="1135"/>
      <c r="GV42" s="1135"/>
      <c r="GW42" s="1135"/>
      <c r="GX42" s="1135"/>
      <c r="GY42" s="1135"/>
      <c r="GZ42" s="1135"/>
      <c r="HA42" s="1136"/>
      <c r="HB42" s="1135"/>
      <c r="HC42" s="1135"/>
      <c r="HD42" s="1135"/>
      <c r="HE42" s="1135"/>
      <c r="HF42" s="1135"/>
      <c r="HG42" s="1135"/>
      <c r="HH42" s="1135"/>
      <c r="HI42" s="1135"/>
      <c r="HJ42" s="1135"/>
      <c r="HK42" s="1135"/>
      <c r="HL42" s="1135"/>
      <c r="HM42" s="1135"/>
      <c r="HN42" s="1136"/>
      <c r="HO42" s="1135"/>
      <c r="HP42" s="1135"/>
      <c r="HQ42" s="1135"/>
      <c r="HR42" s="1135"/>
      <c r="HS42" s="1135"/>
      <c r="HT42" s="1135"/>
      <c r="HU42" s="1135"/>
      <c r="HV42" s="1135"/>
      <c r="HW42" s="1135"/>
      <c r="HX42" s="1135"/>
      <c r="HY42" s="1135"/>
      <c r="HZ42" s="1135"/>
      <c r="IA42" s="1136"/>
      <c r="IB42" s="1135"/>
      <c r="IC42" s="1135"/>
      <c r="ID42" s="1135"/>
      <c r="IE42" s="1135"/>
      <c r="IF42" s="1135"/>
      <c r="IG42" s="1135"/>
      <c r="IH42" s="1135"/>
      <c r="II42" s="1135"/>
      <c r="IJ42" s="1135"/>
      <c r="IK42" s="1135"/>
      <c r="IL42" s="1135"/>
      <c r="IM42" s="1135"/>
      <c r="IN42" s="1136"/>
      <c r="IO42" s="1135"/>
      <c r="IP42" s="1135"/>
      <c r="IQ42" s="1135"/>
      <c r="IR42" s="1135"/>
      <c r="IS42" s="1135"/>
      <c r="IT42" s="1135"/>
      <c r="IU42" s="1135"/>
      <c r="IV42" s="1135"/>
      <c r="IW42" s="1135"/>
      <c r="IX42" s="1135"/>
      <c r="IY42" s="1135"/>
      <c r="IZ42" s="1135"/>
      <c r="JA42" s="1136"/>
      <c r="JB42" s="1135"/>
      <c r="JC42" s="1135"/>
      <c r="JD42" s="1135"/>
      <c r="JE42" s="1135"/>
      <c r="JF42" s="1135"/>
      <c r="JG42" s="1135"/>
      <c r="JH42" s="1135"/>
      <c r="JI42" s="1135"/>
      <c r="JJ42" s="1135"/>
      <c r="JK42" s="1135"/>
      <c r="JL42" s="1135"/>
      <c r="JM42" s="1135"/>
      <c r="JN42" s="1136"/>
      <c r="JO42" s="120"/>
      <c r="JP42" s="1174"/>
      <c r="JQ42" s="1175"/>
      <c r="JR42" s="1184"/>
      <c r="JS42" s="1185"/>
      <c r="JT42" s="1"/>
      <c r="JU42" s="1139"/>
      <c r="JV42" s="1083"/>
      <c r="JW42" s="1147"/>
    </row>
    <row r="43" spans="1:283" ht="15" customHeight="1" x14ac:dyDescent="0.2">
      <c r="A43" s="1167" t="s">
        <v>530</v>
      </c>
      <c r="B43" s="1099" cm="1">
        <f t="array" ref="B43">SUMPRODUCT(('02.XLS'!$A$6:$A$47=$A43)*('02.XLS'!$B$5:$JN$5=B$5)*('02.XLS'!$B$6:$JN$47))</f>
        <v>176532</v>
      </c>
      <c r="C43" s="1099" cm="1">
        <f t="array" ref="C43">SUMPRODUCT(('02.XLS'!$A$6:$A$47=$A43)*('02.XLS'!$B$5:$JN$5=C$5)*('02.XLS'!$B$6:$JN$47))</f>
        <v>184164.03</v>
      </c>
      <c r="D43" s="1099" cm="1">
        <f t="array" ref="D43">SUMPRODUCT(('02.XLS'!$A$6:$A$47=$A43)*('02.XLS'!$B$5:$JN$5=D$5)*('02.XLS'!$B$6:$JN$47))</f>
        <v>180503</v>
      </c>
      <c r="E43" s="1099" cm="1">
        <f t="array" ref="E43">SUMPRODUCT(('02.XLS'!$A$6:$A$47=$A43)*('02.XLS'!$B$5:$JN$5=E$5)*('02.XLS'!$B$6:$JN$47))</f>
        <v>176746</v>
      </c>
      <c r="F43" s="1099" cm="1">
        <f t="array" ref="F43">SUMPRODUCT(('02.XLS'!$A$6:$A$47=$A43)*('02.XLS'!$B$5:$JN$5=F$5)*('02.XLS'!$B$6:$JN$47))</f>
        <v>164905</v>
      </c>
      <c r="G43" s="1099" cm="1">
        <f t="array" ref="G43">SUMPRODUCT(('02.XLS'!$A$6:$A$47=$A43)*('02.XLS'!$B$5:$JN$5=G$5)*('02.XLS'!$B$6:$JN$47))</f>
        <v>162476.5</v>
      </c>
      <c r="H43" s="1099" cm="1">
        <f t="array" ref="H43">SUMPRODUCT(('02.XLS'!$A$6:$A$47=$A43)*('02.XLS'!$B$5:$JN$5=H$5)*('02.XLS'!$B$6:$JN$47))</f>
        <v>162019.99</v>
      </c>
      <c r="I43" s="1099" cm="1">
        <f t="array" ref="I43">SUMPRODUCT(('02.XLS'!$A$6:$A$47=$A43)*('02.XLS'!$B$5:$JN$5=I$5)*('02.XLS'!$B$6:$JN$47))</f>
        <v>159294.5</v>
      </c>
      <c r="J43" s="1099" cm="1">
        <f t="array" ref="J43">SUMPRODUCT(('02.XLS'!$A$6:$A$47=$A43)*('02.XLS'!$B$5:$JN$5=J$5)*('02.XLS'!$B$6:$JN$47))</f>
        <v>154544</v>
      </c>
      <c r="K43" s="1099" cm="1">
        <f t="array" ref="K43">SUMPRODUCT(('02.XLS'!$A$6:$A$47=$A43)*('02.XLS'!$B$5:$JN$5=K$5)*('02.XLS'!$B$6:$JN$47))</f>
        <v>150353.5</v>
      </c>
      <c r="L43" s="1099" cm="1">
        <f t="array" ref="L43">SUMPRODUCT(('02.XLS'!$A$6:$A$47=$A43)*('02.XLS'!$B$5:$JN$5=L$5)*('02.XLS'!$B$6:$JN$47))</f>
        <v>153340</v>
      </c>
      <c r="M43" s="1099" cm="1">
        <f t="array" ref="M43">SUMPRODUCT(('02.XLS'!$A$6:$A$47=$A43)*('02.XLS'!$B$5:$JN$5=M$5)*('02.XLS'!$B$6:$JN$47))</f>
        <v>156256.5</v>
      </c>
      <c r="N43" s="1100">
        <f t="shared" si="21"/>
        <v>1981135.02</v>
      </c>
      <c r="O43" s="1099" cm="1">
        <f t="array" ref="O43">SUMPRODUCT(('02.XLS'!$A$6:$A$47=$A43)*('02.XLS'!$B$5:$JN$5=O$5)*('02.XLS'!$B$6:$JN$47))</f>
        <v>184992</v>
      </c>
      <c r="P43" s="1099" cm="1">
        <f t="array" ref="P43">SUMPRODUCT(('02.XLS'!$A$6:$A$47=$A43)*('02.XLS'!$B$5:$JN$5=P$5)*('02.XLS'!$B$6:$JN$47))</f>
        <v>191954</v>
      </c>
      <c r="Q43" s="1099" cm="1">
        <f t="array" ref="Q43">SUMPRODUCT(('02.XLS'!$A$6:$A$47=$A43)*('02.XLS'!$B$5:$JN$5=Q$5)*('02.XLS'!$B$6:$JN$47))</f>
        <v>205476</v>
      </c>
      <c r="R43" s="1099" cm="1">
        <f t="array" ref="R43">SUMPRODUCT(('02.XLS'!$A$6:$A$47=$A43)*('02.XLS'!$B$5:$JN$5=R$5)*('02.XLS'!$B$6:$JN$47))</f>
        <v>187071</v>
      </c>
      <c r="S43" s="1099" cm="1">
        <f t="array" ref="S43">SUMPRODUCT(('02.XLS'!$A$6:$A$47=$A43)*('02.XLS'!$B$5:$JN$5=S$5)*('02.XLS'!$B$6:$JN$47))</f>
        <v>185449</v>
      </c>
      <c r="T43" s="1099" cm="1">
        <f t="array" ref="T43">SUMPRODUCT(('02.XLS'!$A$6:$A$47=$A43)*('02.XLS'!$B$5:$JN$5=T$5)*('02.XLS'!$B$6:$JN$47))</f>
        <v>183927</v>
      </c>
      <c r="U43" s="1099" cm="1">
        <f t="array" ref="U43">SUMPRODUCT(('02.XLS'!$A$6:$A$47=$A43)*('02.XLS'!$B$5:$JN$5=U$5)*('02.XLS'!$B$6:$JN$47))</f>
        <v>174147.5</v>
      </c>
      <c r="V43" s="1099" cm="1">
        <f t="array" ref="V43">SUMPRODUCT(('02.XLS'!$A$6:$A$47=$A43)*('02.XLS'!$B$5:$JN$5=V$5)*('02.XLS'!$B$6:$JN$47))</f>
        <v>176754</v>
      </c>
      <c r="W43" s="1099" cm="1">
        <f t="array" ref="W43">SUMPRODUCT(('02.XLS'!$A$6:$A$47=$A43)*('02.XLS'!$B$5:$JN$5=W$5)*('02.XLS'!$B$6:$JN$47))</f>
        <v>169768</v>
      </c>
      <c r="X43" s="1099" cm="1">
        <f t="array" ref="X43">SUMPRODUCT(('02.XLS'!$A$6:$A$47=$A43)*('02.XLS'!$B$5:$JN$5=X$5)*('02.XLS'!$B$6:$JN$47))</f>
        <v>170078</v>
      </c>
      <c r="Y43" s="1099" cm="1">
        <f t="array" ref="Y43">SUMPRODUCT(('02.XLS'!$A$6:$A$47=$A43)*('02.XLS'!$B$5:$JN$5=Y$5)*('02.XLS'!$B$6:$JN$47))</f>
        <v>160695</v>
      </c>
      <c r="Z43" s="1099" cm="1">
        <f t="array" ref="Z43">SUMPRODUCT(('02.XLS'!$A$6:$A$47=$A43)*('02.XLS'!$B$5:$JN$5=Z$5)*('02.XLS'!$B$6:$JN$47))</f>
        <v>163834</v>
      </c>
      <c r="AA43" s="1100">
        <f t="shared" si="34"/>
        <v>2154145.5</v>
      </c>
      <c r="AB43" s="1099" cm="1">
        <f t="array" ref="AB43">SUMPRODUCT(('02.XLS'!$A$6:$A$47=$A43)*('02.XLS'!$B$5:$JN$5=AB$5)*('02.XLS'!$B$6:$JN$47))</f>
        <v>185286</v>
      </c>
      <c r="AC43" s="1099" cm="1">
        <f t="array" ref="AC43">SUMPRODUCT(('02.XLS'!$A$6:$A$47=$A43)*('02.XLS'!$B$5:$JN$5=AC$5)*('02.XLS'!$B$6:$JN$47))</f>
        <v>193075</v>
      </c>
      <c r="AD43" s="1099" cm="1">
        <f t="array" ref="AD43">SUMPRODUCT(('02.XLS'!$A$6:$A$47=$A43)*('02.XLS'!$B$5:$JN$5=AD$5)*('02.XLS'!$B$6:$JN$47))</f>
        <v>187899</v>
      </c>
      <c r="AE43" s="1099" cm="1">
        <f t="array" ref="AE43">SUMPRODUCT(('02.XLS'!$A$6:$A$47=$A43)*('02.XLS'!$B$5:$JN$5=AE$5)*('02.XLS'!$B$6:$JN$47))</f>
        <v>186570</v>
      </c>
      <c r="AF43" s="1099" cm="1">
        <f t="array" ref="AF43">SUMPRODUCT(('02.XLS'!$A$6:$A$47=$A43)*('02.XLS'!$B$5:$JN$5=AF$5)*('02.XLS'!$B$6:$JN$47))</f>
        <v>185914</v>
      </c>
      <c r="AG43" s="1099" cm="1">
        <f t="array" ref="AG43">SUMPRODUCT(('02.XLS'!$A$6:$A$47=$A43)*('02.XLS'!$B$5:$JN$5=AG$5)*('02.XLS'!$B$6:$JN$47))</f>
        <v>184343</v>
      </c>
      <c r="AH43" s="1099" cm="1">
        <f t="array" ref="AH43">SUMPRODUCT(('02.XLS'!$A$6:$A$47=$A43)*('02.XLS'!$B$5:$JN$5=AH$5)*('02.XLS'!$B$6:$JN$47))</f>
        <v>188275</v>
      </c>
      <c r="AI43" s="1099" cm="1">
        <f t="array" ref="AI43">SUMPRODUCT(('02.XLS'!$A$6:$A$47=$A43)*('02.XLS'!$B$5:$JN$5=AI$5)*('02.XLS'!$B$6:$JN$47))</f>
        <v>184048</v>
      </c>
      <c r="AJ43" s="1099" cm="1">
        <f t="array" ref="AJ43">SUMPRODUCT(('02.XLS'!$A$6:$A$47=$A43)*('02.XLS'!$B$5:$JN$5=AJ$5)*('02.XLS'!$B$6:$JN$47))</f>
        <v>187497</v>
      </c>
      <c r="AK43" s="1099" cm="1">
        <f t="array" ref="AK43">SUMPRODUCT(('02.XLS'!$A$6:$A$47=$A43)*('02.XLS'!$B$5:$JN$5=AK$5)*('02.XLS'!$B$6:$JN$47))</f>
        <v>191084</v>
      </c>
      <c r="AL43" s="1099" cm="1">
        <f t="array" ref="AL43">SUMPRODUCT(('02.XLS'!$A$6:$A$47=$A43)*('02.XLS'!$B$5:$JN$5=AL$5)*('02.XLS'!$B$6:$JN$47))</f>
        <v>187430</v>
      </c>
      <c r="AM43" s="1099" cm="1">
        <f t="array" ref="AM43">SUMPRODUCT(('02.XLS'!$A$6:$A$47=$A43)*('02.XLS'!$B$5:$JN$5=AM$5)*('02.XLS'!$B$6:$JN$47))</f>
        <v>175174</v>
      </c>
      <c r="AN43" s="1100">
        <f t="shared" si="47"/>
        <v>2236595</v>
      </c>
      <c r="AO43" s="1099" cm="1">
        <f t="array" ref="AO43">SUMPRODUCT(('02.XLS'!$A$6:$A$47=$A43)*('02.XLS'!$B$5:$JN$5=AO$5)*('02.XLS'!$B$6:$JN$47))</f>
        <v>189704.5</v>
      </c>
      <c r="AP43" s="1099" cm="1">
        <f t="array" ref="AP43">SUMPRODUCT(('02.XLS'!$A$6:$A$47=$A43)*('02.XLS'!$B$5:$JN$5=AP$5)*('02.XLS'!$B$6:$JN$47))</f>
        <v>207298</v>
      </c>
      <c r="AQ43" s="1099" cm="1">
        <f t="array" ref="AQ43">SUMPRODUCT(('02.XLS'!$A$6:$A$47=$A43)*('02.XLS'!$B$5:$JN$5=AQ$5)*('02.XLS'!$B$6:$JN$47))</f>
        <v>198697.25</v>
      </c>
      <c r="AR43" s="1099" cm="1">
        <f t="array" ref="AR43">SUMPRODUCT(('02.XLS'!$A$6:$A$47=$A43)*('02.XLS'!$B$5:$JN$5=AR$5)*('02.XLS'!$B$6:$JN$47))</f>
        <v>198164</v>
      </c>
      <c r="AS43" s="1099" cm="1">
        <f t="array" ref="AS43">SUMPRODUCT(('02.XLS'!$A$6:$A$47=$A43)*('02.XLS'!$B$5:$JN$5=AS$5)*('02.XLS'!$B$6:$JN$47))</f>
        <v>193266.9</v>
      </c>
      <c r="AT43" s="1099" cm="1">
        <f t="array" ref="AT43">SUMPRODUCT(('02.XLS'!$A$6:$A$47=$A43)*('02.XLS'!$B$5:$JN$5=AT$5)*('02.XLS'!$B$6:$JN$47))</f>
        <v>189415</v>
      </c>
      <c r="AU43" s="1099" cm="1">
        <f t="array" ref="AU43">SUMPRODUCT(('02.XLS'!$A$6:$A$47=$A43)*('02.XLS'!$B$5:$JN$5=AU$5)*('02.XLS'!$B$6:$JN$47))</f>
        <v>188568</v>
      </c>
      <c r="AV43" s="1099" cm="1">
        <f t="array" ref="AV43">SUMPRODUCT(('02.XLS'!$A$6:$A$47=$A43)*('02.XLS'!$B$5:$JN$5=AV$5)*('02.XLS'!$B$6:$JN$47))</f>
        <v>188659.33000000002</v>
      </c>
      <c r="AW43" s="1099" cm="1">
        <f t="array" ref="AW43">SUMPRODUCT(('02.XLS'!$A$6:$A$47=$A43)*('02.XLS'!$B$5:$JN$5=AW$5)*('02.XLS'!$B$6:$JN$47))</f>
        <v>193275</v>
      </c>
      <c r="AX43" s="1099" cm="1">
        <f t="array" ref="AX43">SUMPRODUCT(('02.XLS'!$A$6:$A$47=$A43)*('02.XLS'!$B$5:$JN$5=AX$5)*('02.XLS'!$B$6:$JN$47))</f>
        <v>188120</v>
      </c>
      <c r="AY43" s="1099" cm="1">
        <f t="array" ref="AY43">SUMPRODUCT(('02.XLS'!$A$6:$A$47=$A43)*('02.XLS'!$B$5:$JN$5=AY$5)*('02.XLS'!$B$6:$JN$47))</f>
        <v>192748</v>
      </c>
      <c r="AZ43" s="1099" cm="1">
        <f t="array" ref="AZ43">SUMPRODUCT(('02.XLS'!$A$6:$A$47=$A43)*('02.XLS'!$B$5:$JN$5=AZ$5)*('02.XLS'!$B$6:$JN$47))</f>
        <v>196066</v>
      </c>
      <c r="BA43" s="1100">
        <f t="shared" si="60"/>
        <v>2323981.98</v>
      </c>
      <c r="BB43" s="1099" cm="1">
        <f t="array" ref="BB43">SUMPRODUCT(('02.XLS'!$A$6:$A$47=$A43)*('02.XLS'!$B$5:$JN$5=BB$5)*('02.XLS'!$B$6:$JN$47))</f>
        <v>190937.95</v>
      </c>
      <c r="BC43" s="1099" cm="1">
        <f t="array" ref="BC43">SUMPRODUCT(('02.XLS'!$A$6:$A$47=$A43)*('02.XLS'!$B$5:$JN$5=BC$5)*('02.XLS'!$B$6:$JN$47))</f>
        <v>208483.4</v>
      </c>
      <c r="BD43" s="1099" cm="1">
        <f t="array" ref="BD43">SUMPRODUCT(('02.XLS'!$A$6:$A$47=$A43)*('02.XLS'!$B$5:$JN$5=BD$5)*('02.XLS'!$B$6:$JN$47))</f>
        <v>209057.87</v>
      </c>
      <c r="BE43" s="1099" cm="1">
        <f t="array" ref="BE43">SUMPRODUCT(('02.XLS'!$A$6:$A$47=$A43)*('02.XLS'!$B$5:$JN$5=BE$5)*('02.XLS'!$B$6:$JN$47))</f>
        <v>202296.17</v>
      </c>
      <c r="BF43" s="1099" cm="1">
        <f t="array" ref="BF43">SUMPRODUCT(('02.XLS'!$A$6:$A$47=$A43)*('02.XLS'!$B$5:$JN$5=BF$5)*('02.XLS'!$B$6:$JN$47))</f>
        <v>205736.50999999998</v>
      </c>
      <c r="BG43" s="1099" cm="1">
        <f t="array" ref="BG43">SUMPRODUCT(('02.XLS'!$A$6:$A$47=$A43)*('02.XLS'!$B$5:$JN$5=BG$5)*('02.XLS'!$B$6:$JN$47))</f>
        <v>199175.3</v>
      </c>
      <c r="BH43" s="1099" cm="1">
        <f t="array" ref="BH43">SUMPRODUCT(('02.XLS'!$A$6:$A$47=$A43)*('02.XLS'!$B$5:$JN$5=BH$5)*('02.XLS'!$B$6:$JN$47))</f>
        <v>197575.22999999998</v>
      </c>
      <c r="BI43" s="1099" cm="1">
        <f t="array" ref="BI43">SUMPRODUCT(('02.XLS'!$A$6:$A$47=$A43)*('02.XLS'!$B$5:$JN$5=BI$5)*('02.XLS'!$B$6:$JN$47))</f>
        <v>200951.08</v>
      </c>
      <c r="BJ43" s="1099" cm="1">
        <f t="array" ref="BJ43">SUMPRODUCT(('02.XLS'!$A$6:$A$47=$A43)*('02.XLS'!$B$5:$JN$5=BJ$5)*('02.XLS'!$B$6:$JN$47))</f>
        <v>198367.95</v>
      </c>
      <c r="BK43" s="1099" cm="1">
        <f t="array" ref="BK43">SUMPRODUCT(('02.XLS'!$A$6:$A$47=$A43)*('02.XLS'!$B$5:$JN$5=BK$5)*('02.XLS'!$B$6:$JN$47))</f>
        <v>210855.35</v>
      </c>
      <c r="BL43" s="1099" cm="1">
        <f t="array" ref="BL43">SUMPRODUCT(('02.XLS'!$A$6:$A$47=$A43)*('02.XLS'!$B$5:$JN$5=BL$5)*('02.XLS'!$B$6:$JN$47))</f>
        <v>219494.41</v>
      </c>
      <c r="BM43" s="1099" cm="1">
        <f t="array" ref="BM43">SUMPRODUCT(('02.XLS'!$A$6:$A$47=$A43)*('02.XLS'!$B$5:$JN$5=BM$5)*('02.XLS'!$B$6:$JN$47))</f>
        <v>224533.16</v>
      </c>
      <c r="BN43" s="1100">
        <f t="shared" si="73"/>
        <v>2467464.3800000004</v>
      </c>
      <c r="BO43" s="1099" cm="1">
        <f t="array" ref="BO43">SUMPRODUCT(('02.XLS'!$A$6:$A$47=$A43)*('02.XLS'!$B$5:$JN$5=BO$5)*('02.XLS'!$B$6:$JN$47))</f>
        <v>214546.7</v>
      </c>
      <c r="BP43" s="1099" cm="1">
        <f t="array" ref="BP43">SUMPRODUCT(('02.XLS'!$A$6:$A$47=$A43)*('02.XLS'!$B$5:$JN$5=BP$5)*('02.XLS'!$B$6:$JN$47))</f>
        <v>237049.06900000002</v>
      </c>
      <c r="BQ43" s="1099" cm="1">
        <f t="array" ref="BQ43">SUMPRODUCT(('02.XLS'!$A$6:$A$47=$A43)*('02.XLS'!$B$5:$JN$5=BQ$5)*('02.XLS'!$B$6:$JN$47))</f>
        <v>232130.5</v>
      </c>
      <c r="BR43" s="1099" cm="1">
        <f t="array" ref="BR43">SUMPRODUCT(('02.XLS'!$A$6:$A$47=$A43)*('02.XLS'!$B$5:$JN$5=BR$5)*('02.XLS'!$B$6:$JN$47))</f>
        <v>243674</v>
      </c>
      <c r="BS43" s="1099" cm="1">
        <f t="array" ref="BS43">SUMPRODUCT(('02.XLS'!$A$6:$A$47=$A43)*('02.XLS'!$B$5:$JN$5=BS$5)*('02.XLS'!$B$6:$JN$47))</f>
        <v>229798.2</v>
      </c>
      <c r="BT43" s="1099" cm="1">
        <f t="array" ref="BT43">SUMPRODUCT(('02.XLS'!$A$6:$A$47=$A43)*('02.XLS'!$B$5:$JN$5=BT$5)*('02.XLS'!$B$6:$JN$47))</f>
        <v>230444.4</v>
      </c>
      <c r="BU43" s="1099" cm="1">
        <f t="array" ref="BU43">SUMPRODUCT(('02.XLS'!$A$6:$A$47=$A43)*('02.XLS'!$B$5:$JN$5=BU$5)*('02.XLS'!$B$6:$JN$47))</f>
        <v>228114</v>
      </c>
      <c r="BV43" s="1099" cm="1">
        <f t="array" ref="BV43">SUMPRODUCT(('02.XLS'!$A$6:$A$47=$A43)*('02.XLS'!$B$5:$JN$5=BV$5)*('02.XLS'!$B$6:$JN$47))</f>
        <v>237959</v>
      </c>
      <c r="BW43" s="1099" cm="1">
        <f t="array" ref="BW43">SUMPRODUCT(('02.XLS'!$A$6:$A$47=$A43)*('02.XLS'!$B$5:$JN$5=BW$5)*('02.XLS'!$B$6:$JN$47))</f>
        <v>231246</v>
      </c>
      <c r="BX43" s="1099" cm="1">
        <f t="array" ref="BX43">SUMPRODUCT(('02.XLS'!$A$6:$A$47=$A43)*('02.XLS'!$B$5:$JN$5=BX$5)*('02.XLS'!$B$6:$JN$47))</f>
        <v>241745.15999999997</v>
      </c>
      <c r="BY43" s="1099" cm="1">
        <f t="array" ref="BY43">SUMPRODUCT(('02.XLS'!$A$6:$A$47=$A43)*('02.XLS'!$B$5:$JN$5=BY$5)*('02.XLS'!$B$6:$JN$47))</f>
        <v>237538</v>
      </c>
      <c r="BZ43" s="1099" cm="1">
        <f t="array" ref="BZ43">SUMPRODUCT(('02.XLS'!$A$6:$A$47=$A43)*('02.XLS'!$B$5:$JN$5=BZ$5)*('02.XLS'!$B$6:$JN$47))</f>
        <v>254432.35</v>
      </c>
      <c r="CA43" s="1100">
        <f t="shared" si="86"/>
        <v>2818677.3790000002</v>
      </c>
      <c r="CB43" s="1099" cm="1">
        <f t="array" ref="CB43">SUMPRODUCT(('02.XLS'!$A$6:$A$47=$A43)*('02.XLS'!$B$5:$JN$5=CB$5)*('02.XLS'!$B$6:$JN$47))</f>
        <v>212375</v>
      </c>
      <c r="CC43" s="1099" cm="1">
        <f t="array" ref="CC43">SUMPRODUCT(('02.XLS'!$A$6:$A$47=$A43)*('02.XLS'!$B$5:$JN$5=CC$5)*('02.XLS'!$B$6:$JN$47))</f>
        <v>214454</v>
      </c>
      <c r="CD43" s="1099" cm="1">
        <f t="array" ref="CD43">SUMPRODUCT(('02.XLS'!$A$6:$A$47=$A43)*('02.XLS'!$B$5:$JN$5=CD$5)*('02.XLS'!$B$6:$JN$47))</f>
        <v>217615</v>
      </c>
      <c r="CE43" s="1099" cm="1">
        <f t="array" ref="CE43">SUMPRODUCT(('02.XLS'!$A$6:$A$47=$A43)*('02.XLS'!$B$5:$JN$5=CE$5)*('02.XLS'!$B$6:$JN$47))</f>
        <v>216900</v>
      </c>
      <c r="CF43" s="1099" cm="1">
        <f t="array" ref="CF43">SUMPRODUCT(('02.XLS'!$A$6:$A$47=$A43)*('02.XLS'!$B$5:$JN$5=CF$5)*('02.XLS'!$B$6:$JN$47))</f>
        <v>213175</v>
      </c>
      <c r="CG43" s="1099" cm="1">
        <f t="array" ref="CG43">SUMPRODUCT(('02.XLS'!$A$6:$A$47=$A43)*('02.XLS'!$B$5:$JN$5=CG$5)*('02.XLS'!$B$6:$JN$47))</f>
        <v>213993</v>
      </c>
      <c r="CH43" s="1099" cm="1">
        <f t="array" ref="CH43">SUMPRODUCT(('02.XLS'!$A$6:$A$47=$A43)*('02.XLS'!$B$5:$JN$5=CH$5)*('02.XLS'!$B$6:$JN$47))</f>
        <v>215370</v>
      </c>
      <c r="CI43" s="1099" cm="1">
        <f t="array" ref="CI43">SUMPRODUCT(('02.XLS'!$A$6:$A$47=$A43)*('02.XLS'!$B$5:$JN$5=CI$5)*('02.XLS'!$B$6:$JN$47))</f>
        <v>211879</v>
      </c>
      <c r="CJ43" s="1099" cm="1">
        <f t="array" ref="CJ43">SUMPRODUCT(('02.XLS'!$A$6:$A$47=$A43)*('02.XLS'!$B$5:$JN$5=CJ$5)*('02.XLS'!$B$6:$JN$47))</f>
        <v>217236</v>
      </c>
      <c r="CK43" s="1099" cm="1">
        <f t="array" ref="CK43">SUMPRODUCT(('02.XLS'!$A$6:$A$47=$A43)*('02.XLS'!$B$5:$JN$5=CK$5)*('02.XLS'!$B$6:$JN$47))</f>
        <v>221497</v>
      </c>
      <c r="CL43" s="1099" cm="1">
        <f t="array" ref="CL43">SUMPRODUCT(('02.XLS'!$A$6:$A$47=$A43)*('02.XLS'!$B$5:$JN$5=CL$5)*('02.XLS'!$B$6:$JN$47))</f>
        <v>233623</v>
      </c>
      <c r="CM43" s="1099" cm="1">
        <f t="array" ref="CM43">SUMPRODUCT(('02.XLS'!$A$6:$A$47=$A43)*('02.XLS'!$B$5:$JN$5=CM$5)*('02.XLS'!$B$6:$JN$47))</f>
        <v>239665</v>
      </c>
      <c r="CN43" s="1100">
        <f t="shared" si="99"/>
        <v>2627782</v>
      </c>
      <c r="CO43" s="1099" cm="1">
        <f t="array" ref="CO43">SUMPRODUCT(('02.XLS'!$A$6:$A$47=$A43)*('02.XLS'!$B$5:$JN$5=CO$5)*('02.XLS'!$B$6:$JN$47))</f>
        <v>218444.25</v>
      </c>
      <c r="CP43" s="1099" cm="1">
        <f t="array" ref="CP43">SUMPRODUCT(('02.XLS'!$A$6:$A$47=$A43)*('02.XLS'!$B$5:$JN$5=CP$5)*('02.XLS'!$B$6:$JN$47))</f>
        <v>238114.1</v>
      </c>
      <c r="CQ43" s="1099" cm="1">
        <f t="array" ref="CQ43">SUMPRODUCT(('02.XLS'!$A$6:$A$47=$A43)*('02.XLS'!$B$5:$JN$5=CQ$5)*('02.XLS'!$B$6:$JN$47))</f>
        <v>230502.15</v>
      </c>
      <c r="CR43" s="1099" cm="1">
        <f t="array" ref="CR43">SUMPRODUCT(('02.XLS'!$A$6:$A$47=$A43)*('02.XLS'!$B$5:$JN$5=CR$5)*('02.XLS'!$B$6:$JN$47))</f>
        <v>237042.2</v>
      </c>
      <c r="CS43" s="1099" cm="1">
        <f t="array" ref="CS43">SUMPRODUCT(('02.XLS'!$A$6:$A$47=$A43)*('02.XLS'!$B$5:$JN$5=CS$5)*('02.XLS'!$B$6:$JN$47))</f>
        <v>217629.2</v>
      </c>
      <c r="CT43" s="1099" cm="1">
        <f t="array" ref="CT43">SUMPRODUCT(('02.XLS'!$A$6:$A$47=$A43)*('02.XLS'!$B$5:$JN$5=CT$5)*('02.XLS'!$B$6:$JN$47))</f>
        <v>229253</v>
      </c>
      <c r="CU43" s="1099" cm="1">
        <f t="array" ref="CU43">SUMPRODUCT(('02.XLS'!$A$6:$A$47=$A43)*('02.XLS'!$B$5:$JN$5=CU$5)*('02.XLS'!$B$6:$JN$47))</f>
        <v>226611.94999999998</v>
      </c>
      <c r="CV43" s="1099" cm="1">
        <f t="array" ref="CV43">SUMPRODUCT(('02.XLS'!$A$6:$A$47=$A43)*('02.XLS'!$B$5:$JN$5=CV$5)*('02.XLS'!$B$6:$JN$47))</f>
        <v>222595.95</v>
      </c>
      <c r="CW43" s="1099" cm="1">
        <f t="array" ref="CW43">SUMPRODUCT(('02.XLS'!$A$6:$A$47=$A43)*('02.XLS'!$B$5:$JN$5=CW$5)*('02.XLS'!$B$6:$JN$47))</f>
        <v>216423.15</v>
      </c>
      <c r="CX43" s="1099" cm="1">
        <f t="array" ref="CX43">SUMPRODUCT(('02.XLS'!$A$6:$A$47=$A43)*('02.XLS'!$B$5:$JN$5=CX$5)*('02.XLS'!$B$6:$JN$47))</f>
        <v>215077.4</v>
      </c>
      <c r="CY43" s="1099" cm="1">
        <f t="array" ref="CY43">SUMPRODUCT(('02.XLS'!$A$6:$A$47=$A43)*('02.XLS'!$B$5:$JN$5=CY$5)*('02.XLS'!$B$6:$JN$47))</f>
        <v>224213.33000000002</v>
      </c>
      <c r="CZ43" s="1099" cm="1">
        <f t="array" ref="CZ43">SUMPRODUCT(('02.XLS'!$A$6:$A$47=$A43)*('02.XLS'!$B$5:$JN$5=CZ$5)*('02.XLS'!$B$6:$JN$47))</f>
        <v>256230.9</v>
      </c>
      <c r="DA43" s="1100">
        <f t="shared" si="112"/>
        <v>2732137.5799999996</v>
      </c>
      <c r="DB43" s="1099" cm="1">
        <f t="array" ref="DB43">SUMPRODUCT(('02.XLS'!$A$6:$A$47=$A43)*('02.XLS'!$B$5:$JN$5=DB$5)*('02.XLS'!$B$6:$JN$47))</f>
        <v>229427.44999999998</v>
      </c>
      <c r="DC43" s="1099" cm="1">
        <f t="array" ref="DC43">SUMPRODUCT(('02.XLS'!$A$6:$A$47=$A43)*('02.XLS'!$B$5:$JN$5=DC$5)*('02.XLS'!$B$6:$JN$47))</f>
        <v>245138.5</v>
      </c>
      <c r="DD43" s="1099" cm="1">
        <f t="array" ref="DD43">SUMPRODUCT(('02.XLS'!$A$6:$A$47=$A43)*('02.XLS'!$B$5:$JN$5=DD$5)*('02.XLS'!$B$6:$JN$47))</f>
        <v>245069.4</v>
      </c>
      <c r="DE43" s="1099" cm="1">
        <f t="array" ref="DE43">SUMPRODUCT(('02.XLS'!$A$6:$A$47=$A43)*('02.XLS'!$B$5:$JN$5=DE$5)*('02.XLS'!$B$6:$JN$47))</f>
        <v>237327.15</v>
      </c>
      <c r="DF43" s="1099" cm="1">
        <f t="array" ref="DF43">SUMPRODUCT(('02.XLS'!$A$6:$A$47=$A43)*('02.XLS'!$B$5:$JN$5=DF$5)*('02.XLS'!$B$6:$JN$47))</f>
        <v>232311</v>
      </c>
      <c r="DG43" s="1099" cm="1">
        <f t="array" ref="DG43">SUMPRODUCT(('02.XLS'!$A$6:$A$47=$A43)*('02.XLS'!$B$5:$JN$5=DG$5)*('02.XLS'!$B$6:$JN$47))</f>
        <v>235419</v>
      </c>
      <c r="DH43" s="1099" cm="1">
        <f t="array" ref="DH43">SUMPRODUCT(('02.XLS'!$A$6:$A$47=$A43)*('02.XLS'!$B$5:$JN$5=DH$5)*('02.XLS'!$B$6:$JN$47))</f>
        <v>236845</v>
      </c>
      <c r="DI43" s="1099" cm="1">
        <f t="array" ref="DI43">SUMPRODUCT(('02.XLS'!$A$6:$A$47=$A43)*('02.XLS'!$B$5:$JN$5=DI$5)*('02.XLS'!$B$6:$JN$47))</f>
        <v>228276</v>
      </c>
      <c r="DJ43" s="1099" cm="1">
        <f t="array" ref="DJ43">SUMPRODUCT(('02.XLS'!$A$6:$A$47=$A43)*('02.XLS'!$B$5:$JN$5=DJ$5)*('02.XLS'!$B$6:$JN$47))</f>
        <v>225251</v>
      </c>
      <c r="DK43" s="1099" cm="1">
        <f t="array" ref="DK43">SUMPRODUCT(('02.XLS'!$A$6:$A$47=$A43)*('02.XLS'!$B$5:$JN$5=DK$5)*('02.XLS'!$B$6:$JN$47))</f>
        <v>232479</v>
      </c>
      <c r="DL43" s="1099" cm="1">
        <f t="array" ref="DL43">SUMPRODUCT(('02.XLS'!$A$6:$A$47=$A43)*('02.XLS'!$B$5:$JN$5=DL$5)*('02.XLS'!$B$6:$JN$47))</f>
        <v>245819</v>
      </c>
      <c r="DM43" s="1099" cm="1">
        <f t="array" ref="DM43">SUMPRODUCT(('02.XLS'!$A$6:$A$47=$A43)*('02.XLS'!$B$5:$JN$5=DM$5)*('02.XLS'!$B$6:$JN$47))</f>
        <v>246955</v>
      </c>
      <c r="DN43" s="1100">
        <f t="shared" si="125"/>
        <v>2840317.5</v>
      </c>
      <c r="DO43" s="1099" cm="1">
        <f t="array" ref="DO43">SUMPRODUCT(('02.XLS'!$A$6:$A$47=$A43)*('02.XLS'!$B$5:$JN$5=DO$5)*('02.XLS'!$B$6:$JN$47))</f>
        <v>246857</v>
      </c>
      <c r="DP43" s="1099" cm="1">
        <f t="array" ref="DP43">SUMPRODUCT(('02.XLS'!$A$6:$A$47=$A43)*('02.XLS'!$B$5:$JN$5=DP$5)*('02.XLS'!$B$6:$JN$47))</f>
        <v>257263.2</v>
      </c>
      <c r="DQ43" s="1099" cm="1">
        <f t="array" ref="DQ43">SUMPRODUCT(('02.XLS'!$A$6:$A$47=$A43)*('02.XLS'!$B$5:$JN$5=DQ$5)*('02.XLS'!$B$6:$JN$47))</f>
        <v>262094.4</v>
      </c>
      <c r="DR43" s="1099" cm="1">
        <f t="array" ref="DR43">SUMPRODUCT(('02.XLS'!$A$6:$A$47=$A43)*('02.XLS'!$B$5:$JN$5=DR$5)*('02.XLS'!$B$6:$JN$47))</f>
        <v>252199.4</v>
      </c>
      <c r="DS43" s="1099" cm="1">
        <f t="array" ref="DS43">SUMPRODUCT(('02.XLS'!$A$6:$A$47=$A43)*('02.XLS'!$B$5:$JN$5=DS$5)*('02.XLS'!$B$6:$JN$47))</f>
        <v>240387.1</v>
      </c>
      <c r="DT43" s="1099" cm="1">
        <f t="array" ref="DT43">SUMPRODUCT(('02.XLS'!$A$6:$A$47=$A43)*('02.XLS'!$B$5:$JN$5=DT$5)*('02.XLS'!$B$6:$JN$47))</f>
        <v>256941.2</v>
      </c>
      <c r="DU43" s="1099" cm="1">
        <f t="array" ref="DU43">SUMPRODUCT(('02.XLS'!$A$6:$A$47=$A43)*('02.XLS'!$B$5:$JN$5=DU$5)*('02.XLS'!$B$6:$JN$47))</f>
        <v>246991.8</v>
      </c>
      <c r="DV43" s="1099" cm="1">
        <f t="array" ref="DV43">SUMPRODUCT(('02.XLS'!$A$6:$A$47=$A43)*('02.XLS'!$B$5:$JN$5=DV$5)*('02.XLS'!$B$6:$JN$47))</f>
        <v>256173.4</v>
      </c>
      <c r="DW43" s="1099" cm="1">
        <f t="array" ref="DW43">SUMPRODUCT(('02.XLS'!$A$6:$A$47=$A43)*('02.XLS'!$B$5:$JN$5=DW$5)*('02.XLS'!$B$6:$JN$47))</f>
        <v>252974.2</v>
      </c>
      <c r="DX43" s="1099" cm="1">
        <f t="array" ref="DX43">SUMPRODUCT(('02.XLS'!$A$6:$A$47=$A43)*('02.XLS'!$B$5:$JN$5=DX$5)*('02.XLS'!$B$6:$JN$47))</f>
        <v>255681.5</v>
      </c>
      <c r="DY43" s="1099" cm="1">
        <f t="array" ref="DY43">SUMPRODUCT(('02.XLS'!$A$6:$A$47=$A43)*('02.XLS'!$B$5:$JN$5=DY$5)*('02.XLS'!$B$6:$JN$47))</f>
        <v>270826.90000000002</v>
      </c>
      <c r="DZ43" s="1099" cm="1">
        <f t="array" ref="DZ43">SUMPRODUCT(('02.XLS'!$A$6:$A$47=$A43)*('02.XLS'!$B$5:$JN$5=DZ$5)*('02.XLS'!$B$6:$JN$47))</f>
        <v>264717.75</v>
      </c>
      <c r="EA43" s="1100">
        <f t="shared" si="138"/>
        <v>3063107.85</v>
      </c>
      <c r="EB43" s="1099" cm="1">
        <f t="array" ref="EB43">SUMPRODUCT(('02.XLS'!$A$6:$A$47=$A43)*('02.XLS'!$B$5:$JN$5=EB$5)*('02.XLS'!$B$6:$JN$47))</f>
        <v>257381</v>
      </c>
      <c r="EC43" s="1099" cm="1">
        <f t="array" ref="EC43">SUMPRODUCT(('02.XLS'!$A$6:$A$47=$A43)*('02.XLS'!$B$5:$JN$5=EC$5)*('02.XLS'!$B$6:$JN$47))</f>
        <v>282125</v>
      </c>
      <c r="ED43" s="1099" cm="1">
        <f t="array" ref="ED43">SUMPRODUCT(('02.XLS'!$A$6:$A$47=$A43)*('02.XLS'!$B$5:$JN$5=ED$5)*('02.XLS'!$B$6:$JN$47))</f>
        <v>255339</v>
      </c>
      <c r="EE43" s="1099" cm="1">
        <f t="array" ref="EE43">SUMPRODUCT(('02.XLS'!$A$6:$A$47=$A43)*('02.XLS'!$B$5:$JN$5=EE$5)*('02.XLS'!$B$6:$JN$47))</f>
        <v>256247.65600000002</v>
      </c>
      <c r="EF43" s="1099" cm="1">
        <f t="array" ref="EF43">SUMPRODUCT(('02.XLS'!$A$6:$A$47=$A43)*('02.XLS'!$B$5:$JN$5=EF$5)*('02.XLS'!$B$6:$JN$47))</f>
        <v>237373</v>
      </c>
      <c r="EG43" s="1099" cm="1">
        <f t="array" ref="EG43">SUMPRODUCT(('02.XLS'!$A$6:$A$47=$A43)*('02.XLS'!$B$5:$JN$5=EG$5)*('02.XLS'!$B$6:$JN$47))</f>
        <v>249010</v>
      </c>
      <c r="EH43" s="1099" cm="1">
        <f t="array" ref="EH43">SUMPRODUCT(('02.XLS'!$A$6:$A$47=$A43)*('02.XLS'!$B$5:$JN$5=EH$5)*('02.XLS'!$B$6:$JN$47))</f>
        <v>273030</v>
      </c>
      <c r="EI43" s="1099" cm="1">
        <f t="array" ref="EI43">SUMPRODUCT(('02.XLS'!$A$6:$A$47=$A43)*('02.XLS'!$B$5:$JN$5=EI$5)*('02.XLS'!$B$6:$JN$47))</f>
        <v>251112</v>
      </c>
      <c r="EJ43" s="1099" cm="1">
        <f t="array" ref="EJ43">SUMPRODUCT(('02.XLS'!$A$6:$A$47=$A43)*('02.XLS'!$B$5:$JN$5=EJ$5)*('02.XLS'!$B$6:$JN$47))</f>
        <v>241990</v>
      </c>
      <c r="EK43" s="1099" cm="1">
        <f t="array" ref="EK43">SUMPRODUCT(('02.XLS'!$A$6:$A$47=$A43)*('02.XLS'!$B$5:$JN$5=EK$5)*('02.XLS'!$B$6:$JN$47))</f>
        <v>288799</v>
      </c>
      <c r="EL43" s="1099" cm="1">
        <f t="array" ref="EL43">SUMPRODUCT(('02.XLS'!$A$6:$A$47=$A43)*('02.XLS'!$B$5:$JN$5=EL$5)*('02.XLS'!$B$6:$JN$47))</f>
        <v>285667</v>
      </c>
      <c r="EM43" s="1099" cm="1">
        <f t="array" ref="EM43">SUMPRODUCT(('02.XLS'!$A$6:$A$47=$A43)*('02.XLS'!$B$5:$JN$5=EM$5)*('02.XLS'!$B$6:$JN$47))</f>
        <v>292994.7</v>
      </c>
      <c r="EN43" s="1100">
        <f t="shared" si="151"/>
        <v>3171068.3560000001</v>
      </c>
      <c r="EO43" s="1099" cm="1">
        <f t="array" ref="EO43">SUMPRODUCT(('02.XLS'!$A$6:$A$47=$A43)*('02.XLS'!$B$5:$JN$5=EO$5)*('02.XLS'!$B$6:$JN$47))</f>
        <v>291689.2</v>
      </c>
      <c r="EP43" s="1099" cm="1">
        <f t="array" ref="EP43">SUMPRODUCT(('02.XLS'!$A$6:$A$47=$A43)*('02.XLS'!$B$5:$JN$5=EP$5)*('02.XLS'!$B$6:$JN$47))</f>
        <v>306338.2</v>
      </c>
      <c r="EQ43" s="1099" cm="1">
        <f t="array" ref="EQ43">SUMPRODUCT(('02.XLS'!$A$6:$A$47=$A43)*('02.XLS'!$B$5:$JN$5=EQ$5)*('02.XLS'!$B$6:$JN$47))</f>
        <v>301407</v>
      </c>
      <c r="ER43" s="1099" cm="1">
        <f t="array" ref="ER43">SUMPRODUCT(('02.XLS'!$A$6:$A$47=$A43)*('02.XLS'!$B$5:$JN$5=ER$5)*('02.XLS'!$B$6:$JN$47))</f>
        <v>295679</v>
      </c>
      <c r="ES43" s="1099" cm="1">
        <f t="array" ref="ES43">SUMPRODUCT(('02.XLS'!$A$6:$A$47=$A43)*('02.XLS'!$B$5:$JN$5=ES$5)*('02.XLS'!$B$6:$JN$47))</f>
        <v>283509</v>
      </c>
      <c r="ET43" s="1099" cm="1">
        <f t="array" ref="ET43">SUMPRODUCT(('02.XLS'!$A$6:$A$47=$A43)*('02.XLS'!$B$5:$JN$5=ET$5)*('02.XLS'!$B$6:$JN$47))</f>
        <v>301326</v>
      </c>
      <c r="EU43" s="1099" cm="1">
        <f t="array" ref="EU43">SUMPRODUCT(('02.XLS'!$A$6:$A$47=$A43)*('02.XLS'!$B$5:$JN$5=EU$5)*('02.XLS'!$B$6:$JN$47))</f>
        <v>302450</v>
      </c>
      <c r="EV43" s="1099" cm="1">
        <f t="array" ref="EV43">SUMPRODUCT(('02.XLS'!$A$6:$A$47=$A43)*('02.XLS'!$B$5:$JN$5=EV$5)*('02.XLS'!$B$6:$JN$47))</f>
        <v>299239</v>
      </c>
      <c r="EW43" s="1099" cm="1">
        <f t="array" ref="EW43">SUMPRODUCT(('02.XLS'!$A$6:$A$47=$A43)*('02.XLS'!$B$5:$JN$5=EW$5)*('02.XLS'!$B$6:$JN$47))</f>
        <v>302571</v>
      </c>
      <c r="EX43" s="1099" cm="1">
        <f t="array" ref="EX43">SUMPRODUCT(('02.XLS'!$A$6:$A$47=$A43)*('02.XLS'!$B$5:$JN$5=EX$5)*('02.XLS'!$B$6:$JN$47))</f>
        <v>314479</v>
      </c>
      <c r="EY43" s="1099" cm="1">
        <f t="array" ref="EY43">SUMPRODUCT(('02.XLS'!$A$6:$A$47=$A43)*('02.XLS'!$B$5:$JN$5=EY$5)*('02.XLS'!$B$6:$JN$47))</f>
        <v>329849</v>
      </c>
      <c r="EZ43" s="1099" cm="1">
        <f t="array" ref="EZ43">SUMPRODUCT(('02.XLS'!$A$6:$A$47=$A43)*('02.XLS'!$B$5:$JN$5=EZ$5)*('02.XLS'!$B$6:$JN$47))</f>
        <v>331684.2</v>
      </c>
      <c r="FA43" s="1100">
        <f t="shared" si="164"/>
        <v>3660220.6</v>
      </c>
      <c r="FB43" s="1099" cm="1">
        <f t="array" ref="FB43">SUMPRODUCT(('02.XLS'!$A$6:$A$47=$A43)*('02.XLS'!$B$5:$JN$5=FB$5)*('02.XLS'!$B$6:$JN$47))</f>
        <v>311573</v>
      </c>
      <c r="FC43" s="1099" cm="1">
        <f t="array" ref="FC43">SUMPRODUCT(('02.XLS'!$A$6:$A$47=$A43)*('02.XLS'!$B$5:$JN$5=FC$5)*('02.XLS'!$B$6:$JN$47))</f>
        <v>311607</v>
      </c>
      <c r="FD43" s="1099" cm="1">
        <f t="array" ref="FD43">SUMPRODUCT(('02.XLS'!$A$6:$A$47=$A43)*('02.XLS'!$B$5:$JN$5=FD$5)*('02.XLS'!$B$6:$JN$47))</f>
        <v>307300</v>
      </c>
      <c r="FE43" s="1099" cm="1">
        <f t="array" ref="FE43">SUMPRODUCT(('02.XLS'!$A$6:$A$47=$A43)*('02.XLS'!$B$5:$JN$5=FE$5)*('02.XLS'!$B$6:$JN$47))</f>
        <v>292965</v>
      </c>
      <c r="FF43" s="1099" cm="1">
        <f t="array" ref="FF43">SUMPRODUCT(('02.XLS'!$A$6:$A$47=$A43)*('02.XLS'!$B$5:$JN$5=FF$5)*('02.XLS'!$B$6:$JN$47))</f>
        <v>323385</v>
      </c>
      <c r="FG43" s="1099" cm="1">
        <f t="array" ref="FG43">SUMPRODUCT(('02.XLS'!$A$6:$A$47=$A43)*('02.XLS'!$B$5:$JN$5=FG$5)*('02.XLS'!$B$6:$JN$47))</f>
        <v>295070</v>
      </c>
      <c r="FH43" s="1099" cm="1">
        <f t="array" ref="FH43">SUMPRODUCT(('02.XLS'!$A$6:$A$47=$A43)*('02.XLS'!$B$5:$JN$5=FH$5)*('02.XLS'!$B$6:$JN$47))</f>
        <v>298825</v>
      </c>
      <c r="FI43" s="1099" cm="1">
        <f t="array" ref="FI43">SUMPRODUCT(('02.XLS'!$A$6:$A$47=$A43)*('02.XLS'!$B$5:$JN$5=FI$5)*('02.XLS'!$B$6:$JN$47))</f>
        <v>298909</v>
      </c>
      <c r="FJ43" s="1099" cm="1">
        <f t="array" ref="FJ43">SUMPRODUCT(('02.XLS'!$A$6:$A$47=$A43)*('02.XLS'!$B$5:$JN$5=FJ$5)*('02.XLS'!$B$6:$JN$47))</f>
        <v>297503</v>
      </c>
      <c r="FK43" s="1099" cm="1">
        <f t="array" ref="FK43">SUMPRODUCT(('02.XLS'!$A$6:$A$47=$A43)*('02.XLS'!$B$5:$JN$5=FK$5)*('02.XLS'!$B$6:$JN$47))</f>
        <v>297214</v>
      </c>
      <c r="FL43" s="1099" cm="1">
        <f t="array" ref="FL43">SUMPRODUCT(('02.XLS'!$A$6:$A$47=$A43)*('02.XLS'!$B$5:$JN$5=FL$5)*('02.XLS'!$B$6:$JN$47))</f>
        <v>319312</v>
      </c>
      <c r="FM43" s="1099" cm="1">
        <f t="array" ref="FM43">SUMPRODUCT(('02.XLS'!$A$6:$A$47=$A43)*('02.XLS'!$B$5:$JN$5=FM$5)*('02.XLS'!$B$6:$JN$47))</f>
        <v>317286</v>
      </c>
      <c r="FN43" s="1100">
        <f t="shared" si="177"/>
        <v>3670949</v>
      </c>
      <c r="FO43" s="1099" cm="1">
        <f t="array" ref="FO43">SUMPRODUCT(('02.XLS'!$A$6:$A$47=$A43)*('02.XLS'!$B$5:$JN$5=FO$5)*('02.XLS'!$B$6:$JN$47))</f>
        <v>293338</v>
      </c>
      <c r="FP43" s="1099" cm="1">
        <f t="array" ref="FP43">SUMPRODUCT(('02.XLS'!$A$6:$A$47=$A43)*('02.XLS'!$B$5:$JN$5=FP$5)*('02.XLS'!$B$6:$JN$47))</f>
        <v>295653</v>
      </c>
      <c r="FQ43" s="1099" cm="1">
        <f t="array" ref="FQ43">SUMPRODUCT(('02.XLS'!$A$6:$A$47=$A43)*('02.XLS'!$B$5:$JN$5=FQ$5)*('02.XLS'!$B$6:$JN$47))</f>
        <v>287244</v>
      </c>
      <c r="FR43" s="1099" cm="1">
        <f t="array" ref="FR43">SUMPRODUCT(('02.XLS'!$A$6:$A$47=$A43)*('02.XLS'!$B$5:$JN$5=FR$5)*('02.XLS'!$B$6:$JN$47))</f>
        <v>274431</v>
      </c>
      <c r="FS43" s="1099" cm="1">
        <f t="array" ref="FS43">SUMPRODUCT(('02.XLS'!$A$6:$A$47=$A43)*('02.XLS'!$B$5:$JN$5=FS$5)*('02.XLS'!$B$6:$JN$47))</f>
        <v>277478</v>
      </c>
      <c r="FT43" s="1099" cm="1">
        <f t="array" ref="FT43">SUMPRODUCT(('02.XLS'!$A$6:$A$47=$A43)*('02.XLS'!$B$5:$JN$5=FT$5)*('02.XLS'!$B$6:$JN$47))</f>
        <v>270675</v>
      </c>
      <c r="FU43" s="1099" cm="1">
        <f t="array" ref="FU43">SUMPRODUCT(('02.XLS'!$A$6:$A$47=$A43)*('02.XLS'!$B$5:$JN$5=FU$5)*('02.XLS'!$B$6:$JN$47))</f>
        <v>266596</v>
      </c>
      <c r="FV43" s="1099" cm="1">
        <f t="array" ref="FV43">SUMPRODUCT(('02.XLS'!$A$6:$A$47=$A43)*('02.XLS'!$B$5:$JN$5=FV$5)*('02.XLS'!$B$6:$JN$47))</f>
        <v>265885</v>
      </c>
      <c r="FW43" s="1099" cm="1">
        <f t="array" ref="FW43">SUMPRODUCT(('02.XLS'!$A$6:$A$47=$A43)*('02.XLS'!$B$5:$JN$5=FW$5)*('02.XLS'!$B$6:$JN$47))</f>
        <v>258307</v>
      </c>
      <c r="FX43" s="1099" cm="1">
        <f t="array" ref="FX43">SUMPRODUCT(('02.XLS'!$A$6:$A$47=$A43)*('02.XLS'!$B$5:$JN$5=FX$5)*('02.XLS'!$B$6:$JN$47))</f>
        <v>258960</v>
      </c>
      <c r="FY43" s="1099" cm="1">
        <f t="array" ref="FY43">SUMPRODUCT(('02.XLS'!$A$6:$A$47=$A43)*('02.XLS'!$B$5:$JN$5=FY$5)*('02.XLS'!$B$6:$JN$47))</f>
        <v>286065</v>
      </c>
      <c r="FZ43" s="1099" cm="1">
        <f t="array" ref="FZ43">SUMPRODUCT(('02.XLS'!$A$6:$A$47=$A43)*('02.XLS'!$B$5:$JN$5=FZ$5)*('02.XLS'!$B$6:$JN$47))</f>
        <v>292667</v>
      </c>
      <c r="GA43" s="1100">
        <f t="shared" si="190"/>
        <v>3327299</v>
      </c>
      <c r="GB43" s="1099" cm="1">
        <f t="array" ref="GB43">SUMPRODUCT(('02.XLS'!$A$6:$A$47=$A43)*('02.XLS'!$B$5:$JN$5=GB$5)*('02.XLS'!$B$6:$JN$47))</f>
        <v>318949.8</v>
      </c>
      <c r="GC43" s="1099" cm="1">
        <f t="array" ref="GC43">SUMPRODUCT(('02.XLS'!$A$6:$A$47=$A43)*('02.XLS'!$B$5:$JN$5=GC$5)*('02.XLS'!$B$6:$JN$47))</f>
        <v>322681.45</v>
      </c>
      <c r="GD43" s="1099" cm="1">
        <f t="array" ref="GD43">SUMPRODUCT(('02.XLS'!$A$6:$A$47=$A43)*('02.XLS'!$B$5:$JN$5=GD$5)*('02.XLS'!$B$6:$JN$47))</f>
        <v>311412.90000000002</v>
      </c>
      <c r="GE43" s="1099" cm="1">
        <f t="array" ref="GE43">SUMPRODUCT(('02.XLS'!$A$6:$A$47=$A43)*('02.XLS'!$B$5:$JN$5=GE$5)*('02.XLS'!$B$6:$JN$47))</f>
        <v>301645.45</v>
      </c>
      <c r="GF43" s="1099" cm="1">
        <f t="array" ref="GF43">SUMPRODUCT(('02.XLS'!$A$6:$A$47=$A43)*('02.XLS'!$B$5:$JN$5=GF$5)*('02.XLS'!$B$6:$JN$47))</f>
        <v>316267.60000000003</v>
      </c>
      <c r="GG43" s="1099" cm="1">
        <f t="array" ref="GG43">SUMPRODUCT(('02.XLS'!$A$6:$A$47=$A43)*('02.XLS'!$B$5:$JN$5=GG$5)*('02.XLS'!$B$6:$JN$47))</f>
        <v>303205.44999999995</v>
      </c>
      <c r="GH43" s="1099" cm="1">
        <f t="array" ref="GH43">SUMPRODUCT(('02.XLS'!$A$6:$A$47=$A43)*('02.XLS'!$B$5:$JN$5=GH$5)*('02.XLS'!$B$6:$JN$47))</f>
        <v>298059.40000000002</v>
      </c>
      <c r="GI43" s="1099" cm="1">
        <f t="array" ref="GI43">SUMPRODUCT(('02.XLS'!$A$6:$A$47=$A43)*('02.XLS'!$B$5:$JN$5=GI$5)*('02.XLS'!$B$6:$JN$47))</f>
        <v>296715.75</v>
      </c>
      <c r="GJ43" s="1099" cm="1">
        <f t="array" ref="GJ43">SUMPRODUCT(('02.XLS'!$A$6:$A$47=$A43)*('02.XLS'!$B$5:$JN$5=GJ$5)*('02.XLS'!$B$6:$JN$47))</f>
        <v>292996</v>
      </c>
      <c r="GK43" s="1099" cm="1">
        <f t="array" ref="GK43">SUMPRODUCT(('02.XLS'!$A$6:$A$47=$A43)*('02.XLS'!$B$5:$JN$5=GK$5)*('02.XLS'!$B$6:$JN$47))</f>
        <v>299413.65000000002</v>
      </c>
      <c r="GL43" s="1099" cm="1">
        <f t="array" ref="GL43">SUMPRODUCT(('02.XLS'!$A$6:$A$47=$A43)*('02.XLS'!$B$5:$JN$5=GL$5)*('02.XLS'!$B$6:$JN$47))</f>
        <v>319530.25</v>
      </c>
      <c r="GM43" s="1099" cm="1">
        <f t="array" ref="GM43">SUMPRODUCT(('02.XLS'!$A$6:$A$47=$A43)*('02.XLS'!$B$5:$JN$5=GM$5)*('02.XLS'!$B$6:$JN$47))</f>
        <v>326512.65000000002</v>
      </c>
      <c r="GN43" s="1100">
        <f t="shared" si="203"/>
        <v>3707390.35</v>
      </c>
      <c r="GO43" s="1099" cm="1">
        <f t="array" ref="GO43">SUMPRODUCT(('02.XLS'!$A$6:$A$47=$A43)*('02.XLS'!$B$5:$JN$5=GO$5)*('02.XLS'!$B$6:$JN$47))</f>
        <v>318717.8</v>
      </c>
      <c r="GP43" s="1099" cm="1">
        <f t="array" ref="GP43">SUMPRODUCT(('02.XLS'!$A$6:$A$47=$A43)*('02.XLS'!$B$5:$JN$5=GP$5)*('02.XLS'!$B$6:$JN$47))</f>
        <v>323878.09999999992</v>
      </c>
      <c r="GQ43" s="1099" cm="1">
        <f t="array" ref="GQ43">SUMPRODUCT(('02.XLS'!$A$6:$A$47=$A43)*('02.XLS'!$B$5:$JN$5=GQ$5)*('02.XLS'!$B$6:$JN$47))</f>
        <v>317696.89999999997</v>
      </c>
      <c r="GR43" s="1099" cm="1">
        <f t="array" ref="GR43">SUMPRODUCT(('02.XLS'!$A$6:$A$47=$A43)*('02.XLS'!$B$5:$JN$5=GR$5)*('02.XLS'!$B$6:$JN$47))</f>
        <v>299467.5</v>
      </c>
      <c r="GS43" s="1099" cm="1">
        <f t="array" ref="GS43">SUMPRODUCT(('02.XLS'!$A$6:$A$47=$A43)*('02.XLS'!$B$5:$JN$5=GS$5)*('02.XLS'!$B$6:$JN$47))</f>
        <v>310438.49999999994</v>
      </c>
      <c r="GT43" s="1099" cm="1">
        <f t="array" ref="GT43">SUMPRODUCT(('02.XLS'!$A$6:$A$47=$A43)*('02.XLS'!$B$5:$JN$5=GT$5)*('02.XLS'!$B$6:$JN$47))</f>
        <v>297502.10000000003</v>
      </c>
      <c r="GU43" s="1099" cm="1">
        <f t="array" ref="GU43">SUMPRODUCT(('02.XLS'!$A$6:$A$47=$A43)*('02.XLS'!$B$5:$JN$5=GU$5)*('02.XLS'!$B$6:$JN$47))</f>
        <v>301907.09999999998</v>
      </c>
      <c r="GV43" s="1099" cm="1">
        <f t="array" ref="GV43">SUMPRODUCT(('02.XLS'!$A$6:$A$47=$A43)*('02.XLS'!$B$5:$JN$5=GV$5)*('02.XLS'!$B$6:$JN$47))</f>
        <v>315457.10000000003</v>
      </c>
      <c r="GW43" s="1099" cm="1">
        <f t="array" ref="GW43">SUMPRODUCT(('02.XLS'!$A$6:$A$47=$A43)*('02.XLS'!$B$5:$JN$5=GW$5)*('02.XLS'!$B$6:$JN$47))</f>
        <v>292596.39999999997</v>
      </c>
      <c r="GX43" s="1099" cm="1">
        <f t="array" ref="GX43">SUMPRODUCT(('02.XLS'!$A$6:$A$47=$A43)*('02.XLS'!$B$5:$JN$5=GX$5)*('02.XLS'!$B$6:$JN$47))</f>
        <v>300011.2</v>
      </c>
      <c r="GY43" s="1099" cm="1">
        <f t="array" ref="GY43">SUMPRODUCT(('02.XLS'!$A$6:$A$47=$A43)*('02.XLS'!$B$5:$JN$5=GY$5)*('02.XLS'!$B$6:$JN$47))</f>
        <v>323818.59999999998</v>
      </c>
      <c r="GZ43" s="1099" cm="1">
        <f t="array" ref="GZ43">SUMPRODUCT(('02.XLS'!$A$6:$A$47=$A43)*('02.XLS'!$B$5:$JN$5=GZ$5)*('02.XLS'!$B$6:$JN$47))</f>
        <v>324379.90999999997</v>
      </c>
      <c r="HA43" s="1100">
        <f t="shared" si="216"/>
        <v>3725871.2100000004</v>
      </c>
      <c r="HB43" s="1099" cm="1">
        <f t="array" ref="HB43">SUMPRODUCT(('02.XLS'!$A$6:$A$47=$A43)*('02.XLS'!$B$5:$JN$5=HB$5)*('02.XLS'!$B$6:$JN$47))</f>
        <v>322340.55000000005</v>
      </c>
      <c r="HC43" s="1099" cm="1">
        <f t="array" ref="HC43">SUMPRODUCT(('02.XLS'!$A$6:$A$47=$A43)*('02.XLS'!$B$5:$JN$5=HC$5)*('02.XLS'!$B$6:$JN$47))</f>
        <v>317969.99999999994</v>
      </c>
      <c r="HD43" s="1099" cm="1">
        <f t="array" ref="HD43">SUMPRODUCT(('02.XLS'!$A$6:$A$47=$A43)*('02.XLS'!$B$5:$JN$5=HD$5)*('02.XLS'!$B$6:$JN$47))</f>
        <v>313114.5</v>
      </c>
      <c r="HE43" s="1099" cm="1">
        <f t="array" ref="HE43">SUMPRODUCT(('02.XLS'!$A$6:$A$47=$A43)*('02.XLS'!$B$5:$JN$5=HE$5)*('02.XLS'!$B$6:$JN$47))</f>
        <v>301551.30000000005</v>
      </c>
      <c r="HF43" s="1099" cm="1">
        <f t="array" ref="HF43">SUMPRODUCT(('02.XLS'!$A$6:$A$47=$A43)*('02.XLS'!$B$5:$JN$5=HF$5)*('02.XLS'!$B$6:$JN$47))</f>
        <v>305589.70000000007</v>
      </c>
      <c r="HG43" s="1099" cm="1">
        <f t="array" ref="HG43">SUMPRODUCT(('02.XLS'!$A$6:$A$47=$A43)*('02.XLS'!$B$5:$JN$5=HG$5)*('02.XLS'!$B$6:$JN$47))</f>
        <v>286621.59999999998</v>
      </c>
      <c r="HH43" s="1099" cm="1">
        <f t="array" ref="HH43">SUMPRODUCT(('02.XLS'!$A$6:$A$47=$A43)*('02.XLS'!$B$5:$JN$5=HH$5)*('02.XLS'!$B$6:$JN$47))</f>
        <v>288386</v>
      </c>
      <c r="HI43" s="1099" cm="1">
        <f t="array" ref="HI43">SUMPRODUCT(('02.XLS'!$A$6:$A$47=$A43)*('02.XLS'!$B$5:$JN$5=HI$5)*('02.XLS'!$B$6:$JN$47))</f>
        <v>286230.3</v>
      </c>
      <c r="HJ43" s="1099" cm="1">
        <f t="array" ref="HJ43">SUMPRODUCT(('02.XLS'!$A$6:$A$47=$A43)*('02.XLS'!$B$5:$JN$5=HJ$5)*('02.XLS'!$B$6:$JN$47))</f>
        <v>278604.09999999998</v>
      </c>
      <c r="HK43" s="1099" cm="1">
        <f t="array" ref="HK43">SUMPRODUCT(('02.XLS'!$A$6:$A$47=$A43)*('02.XLS'!$B$5:$JN$5=HK$5)*('02.XLS'!$B$6:$JN$47))</f>
        <v>283638</v>
      </c>
      <c r="HL43" s="1099" cm="1">
        <f t="array" ref="HL43">SUMPRODUCT(('02.XLS'!$A$6:$A$47=$A43)*('02.XLS'!$B$5:$JN$5=HL$5)*('02.XLS'!$B$6:$JN$47))</f>
        <v>308905.39999999997</v>
      </c>
      <c r="HM43" s="1099" cm="1">
        <f t="array" ref="HM43">SUMPRODUCT(('02.XLS'!$A$6:$A$47=$A43)*('02.XLS'!$B$5:$JN$5=HM$5)*('02.XLS'!$B$6:$JN$47))</f>
        <v>316021.64999999997</v>
      </c>
      <c r="HN43" s="1100">
        <f t="shared" si="229"/>
        <v>3608973.1</v>
      </c>
      <c r="HO43" s="1099" cm="1">
        <f t="array" ref="HO43">SUMPRODUCT(('02.XLS'!$A$6:$A$47=$A43)*('02.XLS'!$B$5:$JN$5=HO$5)*('02.XLS'!$B$6:$JN$47))</f>
        <v>317331.59999999998</v>
      </c>
      <c r="HP43" s="1099" cm="1">
        <f t="array" ref="HP43">SUMPRODUCT(('02.XLS'!$A$6:$A$47=$A43)*('02.XLS'!$B$5:$JN$5=HP$5)*('02.XLS'!$B$6:$JN$47))</f>
        <v>329146.90000000002</v>
      </c>
      <c r="HQ43" s="1099" cm="1">
        <f t="array" ref="HQ43">SUMPRODUCT(('02.XLS'!$A$6:$A$47=$A43)*('02.XLS'!$B$5:$JN$5=HQ$5)*('02.XLS'!$B$6:$JN$47))</f>
        <v>324198.5</v>
      </c>
      <c r="HR43" s="1099" cm="1">
        <f t="array" ref="HR43">SUMPRODUCT(('02.XLS'!$A$6:$A$47=$A43)*('02.XLS'!$B$5:$JN$5=HR$5)*('02.XLS'!$B$6:$JN$47))</f>
        <v>319716.2</v>
      </c>
      <c r="HS43" s="1099" cm="1">
        <f t="array" ref="HS43">SUMPRODUCT(('02.XLS'!$A$6:$A$47=$A43)*('02.XLS'!$B$5:$JN$5=HS$5)*('02.XLS'!$B$6:$JN$47))</f>
        <v>325640.7</v>
      </c>
      <c r="HT43" s="1099" cm="1">
        <f t="array" ref="HT43">SUMPRODUCT(('02.XLS'!$A$6:$A$47=$A43)*('02.XLS'!$B$5:$JN$5=HT$5)*('02.XLS'!$B$6:$JN$47))</f>
        <v>303329.69999999995</v>
      </c>
      <c r="HU43" s="1099" cm="1">
        <f t="array" ref="HU43">SUMPRODUCT(('02.XLS'!$A$6:$A$47=$A43)*('02.XLS'!$B$5:$JN$5=HU$5)*('02.XLS'!$B$6:$JN$47))</f>
        <v>310062.3</v>
      </c>
      <c r="HV43" s="1099" cm="1">
        <f t="array" ref="HV43">SUMPRODUCT(('02.XLS'!$A$6:$A$47=$A43)*('02.XLS'!$B$5:$JN$5=HV$5)*('02.XLS'!$B$6:$JN$47))</f>
        <v>302830</v>
      </c>
      <c r="HW43" s="1099" cm="1">
        <f t="array" ref="HW43">SUMPRODUCT(('02.XLS'!$A$6:$A$47=$A43)*('02.XLS'!$B$5:$JN$5=HW$5)*('02.XLS'!$B$6:$JN$47))</f>
        <v>287012.59999999998</v>
      </c>
      <c r="HX43" s="1099" cm="1">
        <f t="array" ref="HX43">SUMPRODUCT(('02.XLS'!$A$6:$A$47=$A43)*('02.XLS'!$B$5:$JN$5=HX$5)*('02.XLS'!$B$6:$JN$47))</f>
        <v>295986.82999999996</v>
      </c>
      <c r="HY43" s="1099" cm="1">
        <f t="array" ref="HY43">SUMPRODUCT(('02.XLS'!$A$6:$A$47=$A43)*('02.XLS'!$B$5:$JN$5=HY$5)*('02.XLS'!$B$6:$JN$47))</f>
        <v>325968</v>
      </c>
      <c r="HZ43" s="1099" cm="1">
        <f t="array" ref="HZ43">SUMPRODUCT(('02.XLS'!$A$6:$A$47=$A43)*('02.XLS'!$B$5:$JN$5=HZ$5)*('02.XLS'!$B$6:$JN$47))</f>
        <v>348633.05</v>
      </c>
      <c r="IA43" s="1100">
        <f t="shared" si="242"/>
        <v>3789856.38</v>
      </c>
      <c r="IB43" s="1099" cm="1">
        <f t="array" ref="IB43">SUMPRODUCT(('02.XLS'!$A$6:$A$47=$A43)*('02.XLS'!$B$5:$JN$5=IB$5)*('02.XLS'!$B$6:$JN$47))</f>
        <v>343114</v>
      </c>
      <c r="IC43" s="1099" cm="1">
        <f t="array" ref="IC43">SUMPRODUCT(('02.XLS'!$A$6:$A$47=$A43)*('02.XLS'!$B$5:$JN$5=IC$5)*('02.XLS'!$B$6:$JN$47))</f>
        <v>357948.5</v>
      </c>
      <c r="ID43" s="1099" cm="1">
        <f t="array" ref="ID43">SUMPRODUCT(('02.XLS'!$A$6:$A$47=$A43)*('02.XLS'!$B$5:$JN$5=ID$5)*('02.XLS'!$B$6:$JN$47))</f>
        <v>331288</v>
      </c>
      <c r="IE43" s="1099" cm="1">
        <f t="array" ref="IE43">SUMPRODUCT(('02.XLS'!$A$6:$A$47=$A43)*('02.XLS'!$B$5:$JN$5=IE$5)*('02.XLS'!$B$6:$JN$47))</f>
        <v>343036.2</v>
      </c>
      <c r="IF43" s="1099" cm="1">
        <f t="array" ref="IF43">SUMPRODUCT(('02.XLS'!$A$6:$A$47=$A43)*('02.XLS'!$B$5:$JN$5=IF$5)*('02.XLS'!$B$6:$JN$47))</f>
        <v>328617.34999999998</v>
      </c>
      <c r="IG43" s="1099" cm="1">
        <f t="array" ref="IG43">SUMPRODUCT(('02.XLS'!$A$6:$A$47=$A43)*('02.XLS'!$B$5:$JN$5=IG$5)*('02.XLS'!$B$6:$JN$47))</f>
        <v>299623.05</v>
      </c>
      <c r="IH43" s="1099" cm="1">
        <f t="array" ref="IH43">SUMPRODUCT(('02.XLS'!$A$6:$A$47=$A43)*('02.XLS'!$B$5:$JN$5=IH$5)*('02.XLS'!$B$6:$JN$47))</f>
        <v>283635.3</v>
      </c>
      <c r="II43" s="1099" cm="1">
        <f t="array" ref="II43">SUMPRODUCT(('02.XLS'!$A$6:$A$47=$A43)*('02.XLS'!$B$5:$JN$5=II$5)*('02.XLS'!$B$6:$JN$47))</f>
        <v>278943.09999999998</v>
      </c>
      <c r="IJ43" s="1099" cm="1">
        <f t="array" ref="IJ43">SUMPRODUCT(('02.XLS'!$A$6:$A$47=$A43)*('02.XLS'!$B$5:$JN$5=IJ$5)*('02.XLS'!$B$6:$JN$47))</f>
        <v>283966.92</v>
      </c>
      <c r="IK43" s="1099" cm="1">
        <f t="array" ref="IK43">SUMPRODUCT(('02.XLS'!$A$6:$A$47=$A43)*('02.XLS'!$B$5:$JN$5=IK$5)*('02.XLS'!$B$6:$JN$47))</f>
        <v>291871.05</v>
      </c>
      <c r="IL43" s="1099" cm="1">
        <f t="array" ref="IL43">SUMPRODUCT(('02.XLS'!$A$6:$A$47=$A43)*('02.XLS'!$B$5:$JN$5=IL$5)*('02.XLS'!$B$6:$JN$47))</f>
        <v>323647.10000000003</v>
      </c>
      <c r="IM43" s="1099" cm="1">
        <f t="array" ref="IM43">SUMPRODUCT(('02.XLS'!$A$6:$A$47=$A43)*('02.XLS'!$B$5:$JN$5=IM$5)*('02.XLS'!$B$6:$JN$47))</f>
        <v>357639.94999999995</v>
      </c>
      <c r="IN43" s="1100">
        <f t="shared" si="255"/>
        <v>3823330.5199999996</v>
      </c>
      <c r="IO43" s="1099" cm="1">
        <f t="array" ref="IO43">SUMPRODUCT(('02.XLS'!$A$6:$A$47=$A43)*('02.XLS'!$B$5:$JN$5=IO$5)*('02.XLS'!$B$6:$JN$47))</f>
        <v>344775</v>
      </c>
      <c r="IP43" s="1099" cm="1">
        <f t="array" ref="IP43">SUMPRODUCT(('02.XLS'!$A$6:$A$47=$A43)*('02.XLS'!$B$5:$JN$5=IP$5)*('02.XLS'!$B$6:$JN$47))</f>
        <v>354291.1</v>
      </c>
      <c r="IQ43" s="1099" cm="1">
        <f t="array" ref="IQ43">SUMPRODUCT(('02.XLS'!$A$6:$A$47=$A43)*('02.XLS'!$B$5:$JN$5=IQ$5)*('02.XLS'!$B$6:$JN$47))</f>
        <v>359439</v>
      </c>
      <c r="IR43" s="1099" cm="1">
        <f t="array" ref="IR43">SUMPRODUCT(('02.XLS'!$A$6:$A$47=$A43)*('02.XLS'!$B$5:$JN$5=IR$5)*('02.XLS'!$B$6:$JN$47))</f>
        <v>358409.3</v>
      </c>
      <c r="IS43" s="1099" cm="1">
        <f t="array" ref="IS43">SUMPRODUCT(('02.XLS'!$A$6:$A$47=$A43)*('02.XLS'!$B$5:$JN$5=IS$5)*('02.XLS'!$B$6:$JN$47))</f>
        <v>360546.7</v>
      </c>
      <c r="IT43" s="1099" cm="1">
        <f t="array" ref="IT43">SUMPRODUCT(('02.XLS'!$A$6:$A$47=$A43)*('02.XLS'!$B$5:$JN$5=IT$5)*('02.XLS'!$B$6:$JN$47))</f>
        <v>324045.90000000002</v>
      </c>
      <c r="IU43" s="1099" cm="1">
        <f t="array" ref="IU43">SUMPRODUCT(('02.XLS'!$A$6:$A$47=$A43)*('02.XLS'!$B$5:$JN$5=IU$5)*('02.XLS'!$B$6:$JN$47))</f>
        <v>311172.3</v>
      </c>
      <c r="IV43" s="1099" cm="1">
        <f t="array" ref="IV43">SUMPRODUCT(('02.XLS'!$A$6:$A$47=$A43)*('02.XLS'!$B$5:$JN$5=IV$5)*('02.XLS'!$B$6:$JN$47))</f>
        <v>302200.8</v>
      </c>
      <c r="IW43" s="1099" cm="1">
        <f t="array" ref="IW43">SUMPRODUCT(('02.XLS'!$A$6:$A$47=$A43)*('02.XLS'!$B$5:$JN$5=IW$5)*('02.XLS'!$B$6:$JN$47))</f>
        <v>303934</v>
      </c>
      <c r="IX43" s="1099" cm="1">
        <f t="array" ref="IX43">SUMPRODUCT(('02.XLS'!$A$6:$A$47=$A43)*('02.XLS'!$B$5:$JN$5=IX$5)*('02.XLS'!$B$6:$JN$47))</f>
        <v>323610.09999999998</v>
      </c>
      <c r="IY43" s="1099" cm="1">
        <f t="array" ref="IY43">SUMPRODUCT(('02.XLS'!$A$6:$A$47=$A43)*('02.XLS'!$B$5:$JN$5=IY$5)*('02.XLS'!$B$6:$JN$47))</f>
        <v>363292.9</v>
      </c>
      <c r="IZ43" s="1099" cm="1">
        <f t="array" ref="IZ43">SUMPRODUCT(('02.XLS'!$A$6:$A$47=$A43)*('02.XLS'!$B$5:$JN$5=IZ$5)*('02.XLS'!$B$6:$JN$47))</f>
        <v>364052.55</v>
      </c>
      <c r="JA43" s="1100">
        <f t="shared" si="268"/>
        <v>4069769.6499999994</v>
      </c>
      <c r="JB43" s="1099" cm="1">
        <f t="array" ref="JB43">SUMPRODUCT(('02.XLS'!$A$6:$A$47=$A43)*('02.XLS'!$B$5:$JN$5=JB$5)*('02.XLS'!$B$6:$JN$47))</f>
        <v>312288</v>
      </c>
      <c r="JC43" s="1099" cm="1">
        <f t="array" ref="JC43">SUMPRODUCT(('02.XLS'!$A$6:$A$47=$A43)*('02.XLS'!$B$5:$JN$5=JC$5)*('02.XLS'!$B$6:$JN$47))</f>
        <v>339471.5</v>
      </c>
      <c r="JD43" s="1099" cm="1">
        <f t="array" ref="JD43">SUMPRODUCT(('02.XLS'!$A$6:$A$47=$A43)*('02.XLS'!$B$5:$JN$5=JD$5)*('02.XLS'!$B$6:$JN$47))</f>
        <v>0</v>
      </c>
      <c r="JE43" s="1099" cm="1">
        <f t="array" ref="JE43">SUMPRODUCT(('02.XLS'!$A$6:$A$47=$A43)*('02.XLS'!$B$5:$JN$5=JE$5)*('02.XLS'!$B$6:$JN$47))</f>
        <v>0</v>
      </c>
      <c r="JF43" s="1099" cm="1">
        <f t="array" ref="JF43">SUMPRODUCT(('02.XLS'!$A$6:$A$47=$A43)*('02.XLS'!$B$5:$JN$5=JF$5)*('02.XLS'!$B$6:$JN$47))</f>
        <v>0</v>
      </c>
      <c r="JG43" s="1099" cm="1">
        <f t="array" ref="JG43">SUMPRODUCT(('02.XLS'!$A$6:$A$47=$A43)*('02.XLS'!$B$5:$JN$5=JG$5)*('02.XLS'!$B$6:$JN$47))</f>
        <v>0</v>
      </c>
      <c r="JH43" s="1099" cm="1">
        <f t="array" ref="JH43">SUMPRODUCT(('02.XLS'!$A$6:$A$47=$A43)*('02.XLS'!$B$5:$JN$5=JH$5)*('02.XLS'!$B$6:$JN$47))</f>
        <v>0</v>
      </c>
      <c r="JI43" s="1099" cm="1">
        <f t="array" ref="JI43">SUMPRODUCT(('02.XLS'!$A$6:$A$47=$A43)*('02.XLS'!$B$5:$JN$5=JI$5)*('02.XLS'!$B$6:$JN$47))</f>
        <v>0</v>
      </c>
      <c r="JJ43" s="1099" cm="1">
        <f t="array" ref="JJ43">SUMPRODUCT(('02.XLS'!$A$6:$A$47=$A43)*('02.XLS'!$B$5:$JN$5=JJ$5)*('02.XLS'!$B$6:$JN$47))</f>
        <v>0</v>
      </c>
      <c r="JK43" s="1099" cm="1">
        <f t="array" ref="JK43">SUMPRODUCT(('02.XLS'!$A$6:$A$47=$A43)*('02.XLS'!$B$5:$JN$5=JK$5)*('02.XLS'!$B$6:$JN$47))</f>
        <v>0</v>
      </c>
      <c r="JL43" s="1099" cm="1">
        <f t="array" ref="JL43">SUMPRODUCT(('02.XLS'!$A$6:$A$47=$A43)*('02.XLS'!$B$5:$JN$5=JL$5)*('02.XLS'!$B$6:$JN$47))</f>
        <v>0</v>
      </c>
      <c r="JM43" s="1099" cm="1">
        <f t="array" ref="JM43">SUMPRODUCT(('02.XLS'!$A$6:$A$47=$A43)*('02.XLS'!$B$5:$JN$5=JM$5)*('02.XLS'!$B$6:$JN$47))</f>
        <v>0</v>
      </c>
      <c r="JN43" s="1100">
        <f t="shared" si="281"/>
        <v>651759.5</v>
      </c>
      <c r="JO43" s="129"/>
      <c r="JP43" s="1176">
        <f t="shared" ref="JP43:JP51" si="311">IFERROR(((
_xlfn.XLOOKUP((DATE(YEAR($JP$5),MONTH($JP$5),1)),SMN.AGRO.DATE,$B43:$JN43) /
_xlfn.XLOOKUP((DATE(YEAR($JP$5)-1,MONTH($JP$5),1)),SMN.AGRO.DATE,$B43:$JN43)
)-1)*100,"")</f>
        <v>1.7930323499933509</v>
      </c>
      <c r="JQ43" s="1177">
        <f t="shared" ref="JQ43:JQ59" si="312">IFERROR(((JS43/JR43)-1)*100,"")</f>
        <v>6.4456663819899118</v>
      </c>
      <c r="JR43" s="1186">
        <f t="shared" ref="JR43:JR51" si="313">SUMIFS($B43:$JN43,SMN.AGRO.DATE,"&gt;="&amp;DATE(YEAR($JP$5)-1,1,1),SMN.AGRO.DATE,"&lt;="&amp;DATE(YEAR($JP$5)-1,MONTH($JP$5),1))</f>
        <v>3823330.5199999996</v>
      </c>
      <c r="JS43" s="1187">
        <f t="shared" ref="JS43:JS51" si="314">SUMIFS($B43:$JN43,SMN.AGRO.DATE,"&gt;="&amp;DATE(YEAR($JP$5),1,1),SMN.AGRO.DATE,"&lt;="&amp;$JP$5)</f>
        <v>4069769.6499999994</v>
      </c>
      <c r="JT43" s="35"/>
      <c r="JU43" s="1141"/>
      <c r="JV43" s="1218"/>
      <c r="JW43" s="1142"/>
    </row>
    <row r="44" spans="1:283" ht="15" customHeight="1" x14ac:dyDescent="0.2">
      <c r="A44" s="1169" t="s">
        <v>215</v>
      </c>
      <c r="B44" s="1135" cm="1">
        <f t="array" ref="B44">SUMPRODUCT(('02.XLS'!$A$6:$A$47=$A44)*('02.XLS'!$B$5:$JN$5=B$5)*('02.XLS'!$B$6:$JN$47))</f>
        <v>0</v>
      </c>
      <c r="C44" s="1135" cm="1">
        <f t="array" ref="C44">SUMPRODUCT(('02.XLS'!$A$6:$A$47=$A44)*('02.XLS'!$B$5:$JN$5=C$5)*('02.XLS'!$B$6:$JN$47))</f>
        <v>0</v>
      </c>
      <c r="D44" s="1135" cm="1">
        <f t="array" ref="D44">SUMPRODUCT(('02.XLS'!$A$6:$A$47=$A44)*('02.XLS'!$B$5:$JN$5=D$5)*('02.XLS'!$B$6:$JN$47))</f>
        <v>0</v>
      </c>
      <c r="E44" s="1135" cm="1">
        <f t="array" ref="E44">SUMPRODUCT(('02.XLS'!$A$6:$A$47=$A44)*('02.XLS'!$B$5:$JN$5=E$5)*('02.XLS'!$B$6:$JN$47))</f>
        <v>0</v>
      </c>
      <c r="F44" s="1135" cm="1">
        <f t="array" ref="F44">SUMPRODUCT(('02.XLS'!$A$6:$A$47=$A44)*('02.XLS'!$B$5:$JN$5=F$5)*('02.XLS'!$B$6:$JN$47))</f>
        <v>0</v>
      </c>
      <c r="G44" s="1135" cm="1">
        <f t="array" ref="G44">SUMPRODUCT(('02.XLS'!$A$6:$A$47=$A44)*('02.XLS'!$B$5:$JN$5=G$5)*('02.XLS'!$B$6:$JN$47))</f>
        <v>0</v>
      </c>
      <c r="H44" s="1135" cm="1">
        <f t="array" ref="H44">SUMPRODUCT(('02.XLS'!$A$6:$A$47=$A44)*('02.XLS'!$B$5:$JN$5=H$5)*('02.XLS'!$B$6:$JN$47))</f>
        <v>0</v>
      </c>
      <c r="I44" s="1135" cm="1">
        <f t="array" ref="I44">SUMPRODUCT(('02.XLS'!$A$6:$A$47=$A44)*('02.XLS'!$B$5:$JN$5=I$5)*('02.XLS'!$B$6:$JN$47))</f>
        <v>0</v>
      </c>
      <c r="J44" s="1135" cm="1">
        <f t="array" ref="J44">SUMPRODUCT(('02.XLS'!$A$6:$A$47=$A44)*('02.XLS'!$B$5:$JN$5=J$5)*('02.XLS'!$B$6:$JN$47))</f>
        <v>0</v>
      </c>
      <c r="K44" s="1135" cm="1">
        <f t="array" ref="K44">SUMPRODUCT(('02.XLS'!$A$6:$A$47=$A44)*('02.XLS'!$B$5:$JN$5=K$5)*('02.XLS'!$B$6:$JN$47))</f>
        <v>0</v>
      </c>
      <c r="L44" s="1135" cm="1">
        <f t="array" ref="L44">SUMPRODUCT(('02.XLS'!$A$6:$A$47=$A44)*('02.XLS'!$B$5:$JN$5=L$5)*('02.XLS'!$B$6:$JN$47))</f>
        <v>0</v>
      </c>
      <c r="M44" s="1135" cm="1">
        <f t="array" ref="M44">SUMPRODUCT(('02.XLS'!$A$6:$A$47=$A44)*('02.XLS'!$B$5:$JN$5=M$5)*('02.XLS'!$B$6:$JN$47))</f>
        <v>0</v>
      </c>
      <c r="N44" s="1136">
        <f t="shared" si="21"/>
        <v>0</v>
      </c>
      <c r="O44" s="1135" cm="1">
        <f t="array" ref="O44">SUMPRODUCT(('02.XLS'!$A$6:$A$47=$A44)*('02.XLS'!$B$5:$JN$5=O$5)*('02.XLS'!$B$6:$JN$47))</f>
        <v>0</v>
      </c>
      <c r="P44" s="1135" cm="1">
        <f t="array" ref="P44">SUMPRODUCT(('02.XLS'!$A$6:$A$47=$A44)*('02.XLS'!$B$5:$JN$5=P$5)*('02.XLS'!$B$6:$JN$47))</f>
        <v>0</v>
      </c>
      <c r="Q44" s="1135" cm="1">
        <f t="array" ref="Q44">SUMPRODUCT(('02.XLS'!$A$6:$A$47=$A44)*('02.XLS'!$B$5:$JN$5=Q$5)*('02.XLS'!$B$6:$JN$47))</f>
        <v>0</v>
      </c>
      <c r="R44" s="1135" cm="1">
        <f t="array" ref="R44">SUMPRODUCT(('02.XLS'!$A$6:$A$47=$A44)*('02.XLS'!$B$5:$JN$5=R$5)*('02.XLS'!$B$6:$JN$47))</f>
        <v>0</v>
      </c>
      <c r="S44" s="1135" cm="1">
        <f t="array" ref="S44">SUMPRODUCT(('02.XLS'!$A$6:$A$47=$A44)*('02.XLS'!$B$5:$JN$5=S$5)*('02.XLS'!$B$6:$JN$47))</f>
        <v>0</v>
      </c>
      <c r="T44" s="1135" cm="1">
        <f t="array" ref="T44">SUMPRODUCT(('02.XLS'!$A$6:$A$47=$A44)*('02.XLS'!$B$5:$JN$5=T$5)*('02.XLS'!$B$6:$JN$47))</f>
        <v>0</v>
      </c>
      <c r="U44" s="1135" cm="1">
        <f t="array" ref="U44">SUMPRODUCT(('02.XLS'!$A$6:$A$47=$A44)*('02.XLS'!$B$5:$JN$5=U$5)*('02.XLS'!$B$6:$JN$47))</f>
        <v>0</v>
      </c>
      <c r="V44" s="1135" cm="1">
        <f t="array" ref="V44">SUMPRODUCT(('02.XLS'!$A$6:$A$47=$A44)*('02.XLS'!$B$5:$JN$5=V$5)*('02.XLS'!$B$6:$JN$47))</f>
        <v>0</v>
      </c>
      <c r="W44" s="1135" cm="1">
        <f t="array" ref="W44">SUMPRODUCT(('02.XLS'!$A$6:$A$47=$A44)*('02.XLS'!$B$5:$JN$5=W$5)*('02.XLS'!$B$6:$JN$47))</f>
        <v>0</v>
      </c>
      <c r="X44" s="1135" cm="1">
        <f t="array" ref="X44">SUMPRODUCT(('02.XLS'!$A$6:$A$47=$A44)*('02.XLS'!$B$5:$JN$5=X$5)*('02.XLS'!$B$6:$JN$47))</f>
        <v>0</v>
      </c>
      <c r="Y44" s="1135" cm="1">
        <f t="array" ref="Y44">SUMPRODUCT(('02.XLS'!$A$6:$A$47=$A44)*('02.XLS'!$B$5:$JN$5=Y$5)*('02.XLS'!$B$6:$JN$47))</f>
        <v>0</v>
      </c>
      <c r="Z44" s="1135" cm="1">
        <f t="array" ref="Z44">SUMPRODUCT(('02.XLS'!$A$6:$A$47=$A44)*('02.XLS'!$B$5:$JN$5=Z$5)*('02.XLS'!$B$6:$JN$47))</f>
        <v>0</v>
      </c>
      <c r="AA44" s="1136">
        <f t="shared" si="34"/>
        <v>0</v>
      </c>
      <c r="AB44" s="1135" cm="1">
        <f t="array" ref="AB44">SUMPRODUCT(('02.XLS'!$A$6:$A$47=$A44)*('02.XLS'!$B$5:$JN$5=AB$5)*('02.XLS'!$B$6:$JN$47))</f>
        <v>0</v>
      </c>
      <c r="AC44" s="1135" cm="1">
        <f t="array" ref="AC44">SUMPRODUCT(('02.XLS'!$A$6:$A$47=$A44)*('02.XLS'!$B$5:$JN$5=AC$5)*('02.XLS'!$B$6:$JN$47))</f>
        <v>0</v>
      </c>
      <c r="AD44" s="1135" cm="1">
        <f t="array" ref="AD44">SUMPRODUCT(('02.XLS'!$A$6:$A$47=$A44)*('02.XLS'!$B$5:$JN$5=AD$5)*('02.XLS'!$B$6:$JN$47))</f>
        <v>0</v>
      </c>
      <c r="AE44" s="1135" cm="1">
        <f t="array" ref="AE44">SUMPRODUCT(('02.XLS'!$A$6:$A$47=$A44)*('02.XLS'!$B$5:$JN$5=AE$5)*('02.XLS'!$B$6:$JN$47))</f>
        <v>0</v>
      </c>
      <c r="AF44" s="1135" cm="1">
        <f t="array" ref="AF44">SUMPRODUCT(('02.XLS'!$A$6:$A$47=$A44)*('02.XLS'!$B$5:$JN$5=AF$5)*('02.XLS'!$B$6:$JN$47))</f>
        <v>0</v>
      </c>
      <c r="AG44" s="1135" cm="1">
        <f t="array" ref="AG44">SUMPRODUCT(('02.XLS'!$A$6:$A$47=$A44)*('02.XLS'!$B$5:$JN$5=AG$5)*('02.XLS'!$B$6:$JN$47))</f>
        <v>0</v>
      </c>
      <c r="AH44" s="1135" cm="1">
        <f t="array" ref="AH44">SUMPRODUCT(('02.XLS'!$A$6:$A$47=$A44)*('02.XLS'!$B$5:$JN$5=AH$5)*('02.XLS'!$B$6:$JN$47))</f>
        <v>0</v>
      </c>
      <c r="AI44" s="1135" cm="1">
        <f t="array" ref="AI44">SUMPRODUCT(('02.XLS'!$A$6:$A$47=$A44)*('02.XLS'!$B$5:$JN$5=AI$5)*('02.XLS'!$B$6:$JN$47))</f>
        <v>0</v>
      </c>
      <c r="AJ44" s="1135" cm="1">
        <f t="array" ref="AJ44">SUMPRODUCT(('02.XLS'!$A$6:$A$47=$A44)*('02.XLS'!$B$5:$JN$5=AJ$5)*('02.XLS'!$B$6:$JN$47))</f>
        <v>0</v>
      </c>
      <c r="AK44" s="1135" cm="1">
        <f t="array" ref="AK44">SUMPRODUCT(('02.XLS'!$A$6:$A$47=$A44)*('02.XLS'!$B$5:$JN$5=AK$5)*('02.XLS'!$B$6:$JN$47))</f>
        <v>0</v>
      </c>
      <c r="AL44" s="1135" cm="1">
        <f t="array" ref="AL44">SUMPRODUCT(('02.XLS'!$A$6:$A$47=$A44)*('02.XLS'!$B$5:$JN$5=AL$5)*('02.XLS'!$B$6:$JN$47))</f>
        <v>0</v>
      </c>
      <c r="AM44" s="1135" cm="1">
        <f t="array" ref="AM44">SUMPRODUCT(('02.XLS'!$A$6:$A$47=$A44)*('02.XLS'!$B$5:$JN$5=AM$5)*('02.XLS'!$B$6:$JN$47))</f>
        <v>0</v>
      </c>
      <c r="AN44" s="1136">
        <f t="shared" si="47"/>
        <v>0</v>
      </c>
      <c r="AO44" s="1135" cm="1">
        <f t="array" ref="AO44">SUMPRODUCT(('02.XLS'!$A$6:$A$47=$A44)*('02.XLS'!$B$5:$JN$5=AO$5)*('02.XLS'!$B$6:$JN$47))</f>
        <v>0</v>
      </c>
      <c r="AP44" s="1135" cm="1">
        <f t="array" ref="AP44">SUMPRODUCT(('02.XLS'!$A$6:$A$47=$A44)*('02.XLS'!$B$5:$JN$5=AP$5)*('02.XLS'!$B$6:$JN$47))</f>
        <v>0</v>
      </c>
      <c r="AQ44" s="1135" cm="1">
        <f t="array" ref="AQ44">SUMPRODUCT(('02.XLS'!$A$6:$A$47=$A44)*('02.XLS'!$B$5:$JN$5=AQ$5)*('02.XLS'!$B$6:$JN$47))</f>
        <v>0</v>
      </c>
      <c r="AR44" s="1135" cm="1">
        <f t="array" ref="AR44">SUMPRODUCT(('02.XLS'!$A$6:$A$47=$A44)*('02.XLS'!$B$5:$JN$5=AR$5)*('02.XLS'!$B$6:$JN$47))</f>
        <v>0</v>
      </c>
      <c r="AS44" s="1135" cm="1">
        <f t="array" ref="AS44">SUMPRODUCT(('02.XLS'!$A$6:$A$47=$A44)*('02.XLS'!$B$5:$JN$5=AS$5)*('02.XLS'!$B$6:$JN$47))</f>
        <v>0</v>
      </c>
      <c r="AT44" s="1135" cm="1">
        <f t="array" ref="AT44">SUMPRODUCT(('02.XLS'!$A$6:$A$47=$A44)*('02.XLS'!$B$5:$JN$5=AT$5)*('02.XLS'!$B$6:$JN$47))</f>
        <v>0</v>
      </c>
      <c r="AU44" s="1135" cm="1">
        <f t="array" ref="AU44">SUMPRODUCT(('02.XLS'!$A$6:$A$47=$A44)*('02.XLS'!$B$5:$JN$5=AU$5)*('02.XLS'!$B$6:$JN$47))</f>
        <v>0</v>
      </c>
      <c r="AV44" s="1135" cm="1">
        <f t="array" ref="AV44">SUMPRODUCT(('02.XLS'!$A$6:$A$47=$A44)*('02.XLS'!$B$5:$JN$5=AV$5)*('02.XLS'!$B$6:$JN$47))</f>
        <v>0</v>
      </c>
      <c r="AW44" s="1135" cm="1">
        <f t="array" ref="AW44">SUMPRODUCT(('02.XLS'!$A$6:$A$47=$A44)*('02.XLS'!$B$5:$JN$5=AW$5)*('02.XLS'!$B$6:$JN$47))</f>
        <v>0</v>
      </c>
      <c r="AX44" s="1135" cm="1">
        <f t="array" ref="AX44">SUMPRODUCT(('02.XLS'!$A$6:$A$47=$A44)*('02.XLS'!$B$5:$JN$5=AX$5)*('02.XLS'!$B$6:$JN$47))</f>
        <v>0</v>
      </c>
      <c r="AY44" s="1135" cm="1">
        <f t="array" ref="AY44">SUMPRODUCT(('02.XLS'!$A$6:$A$47=$A44)*('02.XLS'!$B$5:$JN$5=AY$5)*('02.XLS'!$B$6:$JN$47))</f>
        <v>0</v>
      </c>
      <c r="AZ44" s="1135" cm="1">
        <f t="array" ref="AZ44">SUMPRODUCT(('02.XLS'!$A$6:$A$47=$A44)*('02.XLS'!$B$5:$JN$5=AZ$5)*('02.XLS'!$B$6:$JN$47))</f>
        <v>0</v>
      </c>
      <c r="BA44" s="1136">
        <f t="shared" si="60"/>
        <v>0</v>
      </c>
      <c r="BB44" s="1135" cm="1">
        <f t="array" ref="BB44">SUMPRODUCT(('02.XLS'!$A$6:$A$47=$A44)*('02.XLS'!$B$5:$JN$5=BB$5)*('02.XLS'!$B$6:$JN$47))</f>
        <v>0</v>
      </c>
      <c r="BC44" s="1135" cm="1">
        <f t="array" ref="BC44">SUMPRODUCT(('02.XLS'!$A$6:$A$47=$A44)*('02.XLS'!$B$5:$JN$5=BC$5)*('02.XLS'!$B$6:$JN$47))</f>
        <v>0</v>
      </c>
      <c r="BD44" s="1135" cm="1">
        <f t="array" ref="BD44">SUMPRODUCT(('02.XLS'!$A$6:$A$47=$A44)*('02.XLS'!$B$5:$JN$5=BD$5)*('02.XLS'!$B$6:$JN$47))</f>
        <v>0</v>
      </c>
      <c r="BE44" s="1135" cm="1">
        <f t="array" ref="BE44">SUMPRODUCT(('02.XLS'!$A$6:$A$47=$A44)*('02.XLS'!$B$5:$JN$5=BE$5)*('02.XLS'!$B$6:$JN$47))</f>
        <v>0</v>
      </c>
      <c r="BF44" s="1135" cm="1">
        <f t="array" ref="BF44">SUMPRODUCT(('02.XLS'!$A$6:$A$47=$A44)*('02.XLS'!$B$5:$JN$5=BF$5)*('02.XLS'!$B$6:$JN$47))</f>
        <v>0</v>
      </c>
      <c r="BG44" s="1135" cm="1">
        <f t="array" ref="BG44">SUMPRODUCT(('02.XLS'!$A$6:$A$47=$A44)*('02.XLS'!$B$5:$JN$5=BG$5)*('02.XLS'!$B$6:$JN$47))</f>
        <v>0</v>
      </c>
      <c r="BH44" s="1135" cm="1">
        <f t="array" ref="BH44">SUMPRODUCT(('02.XLS'!$A$6:$A$47=$A44)*('02.XLS'!$B$5:$JN$5=BH$5)*('02.XLS'!$B$6:$JN$47))</f>
        <v>0</v>
      </c>
      <c r="BI44" s="1135" cm="1">
        <f t="array" ref="BI44">SUMPRODUCT(('02.XLS'!$A$6:$A$47=$A44)*('02.XLS'!$B$5:$JN$5=BI$5)*('02.XLS'!$B$6:$JN$47))</f>
        <v>0</v>
      </c>
      <c r="BJ44" s="1135" cm="1">
        <f t="array" ref="BJ44">SUMPRODUCT(('02.XLS'!$A$6:$A$47=$A44)*('02.XLS'!$B$5:$JN$5=BJ$5)*('02.XLS'!$B$6:$JN$47))</f>
        <v>0</v>
      </c>
      <c r="BK44" s="1135" cm="1">
        <f t="array" ref="BK44">SUMPRODUCT(('02.XLS'!$A$6:$A$47=$A44)*('02.XLS'!$B$5:$JN$5=BK$5)*('02.XLS'!$B$6:$JN$47))</f>
        <v>0</v>
      </c>
      <c r="BL44" s="1135" cm="1">
        <f t="array" ref="BL44">SUMPRODUCT(('02.XLS'!$A$6:$A$47=$A44)*('02.XLS'!$B$5:$JN$5=BL$5)*('02.XLS'!$B$6:$JN$47))</f>
        <v>0</v>
      </c>
      <c r="BM44" s="1135" cm="1">
        <f t="array" ref="BM44">SUMPRODUCT(('02.XLS'!$A$6:$A$47=$A44)*('02.XLS'!$B$5:$JN$5=BM$5)*('02.XLS'!$B$6:$JN$47))</f>
        <v>0</v>
      </c>
      <c r="BN44" s="1136">
        <f t="shared" si="73"/>
        <v>0</v>
      </c>
      <c r="BO44" s="1135" cm="1">
        <f t="array" ref="BO44">SUMPRODUCT(('02.XLS'!$A$6:$A$47=$A44)*('02.XLS'!$B$5:$JN$5=BO$5)*('02.XLS'!$B$6:$JN$47))</f>
        <v>0</v>
      </c>
      <c r="BP44" s="1135" cm="1">
        <f t="array" ref="BP44">SUMPRODUCT(('02.XLS'!$A$6:$A$47=$A44)*('02.XLS'!$B$5:$JN$5=BP$5)*('02.XLS'!$B$6:$JN$47))</f>
        <v>0</v>
      </c>
      <c r="BQ44" s="1135" cm="1">
        <f t="array" ref="BQ44">SUMPRODUCT(('02.XLS'!$A$6:$A$47=$A44)*('02.XLS'!$B$5:$JN$5=BQ$5)*('02.XLS'!$B$6:$JN$47))</f>
        <v>0</v>
      </c>
      <c r="BR44" s="1135" cm="1">
        <f t="array" ref="BR44">SUMPRODUCT(('02.XLS'!$A$6:$A$47=$A44)*('02.XLS'!$B$5:$JN$5=BR$5)*('02.XLS'!$B$6:$JN$47))</f>
        <v>0</v>
      </c>
      <c r="BS44" s="1135" cm="1">
        <f t="array" ref="BS44">SUMPRODUCT(('02.XLS'!$A$6:$A$47=$A44)*('02.XLS'!$B$5:$JN$5=BS$5)*('02.XLS'!$B$6:$JN$47))</f>
        <v>0</v>
      </c>
      <c r="BT44" s="1135" cm="1">
        <f t="array" ref="BT44">SUMPRODUCT(('02.XLS'!$A$6:$A$47=$A44)*('02.XLS'!$B$5:$JN$5=BT$5)*('02.XLS'!$B$6:$JN$47))</f>
        <v>0</v>
      </c>
      <c r="BU44" s="1135" cm="1">
        <f t="array" ref="BU44">SUMPRODUCT(('02.XLS'!$A$6:$A$47=$A44)*('02.XLS'!$B$5:$JN$5=BU$5)*('02.XLS'!$B$6:$JN$47))</f>
        <v>0</v>
      </c>
      <c r="BV44" s="1135" cm="1">
        <f t="array" ref="BV44">SUMPRODUCT(('02.XLS'!$A$6:$A$47=$A44)*('02.XLS'!$B$5:$JN$5=BV$5)*('02.XLS'!$B$6:$JN$47))</f>
        <v>0</v>
      </c>
      <c r="BW44" s="1135" cm="1">
        <f t="array" ref="BW44">SUMPRODUCT(('02.XLS'!$A$6:$A$47=$A44)*('02.XLS'!$B$5:$JN$5=BW$5)*('02.XLS'!$B$6:$JN$47))</f>
        <v>0</v>
      </c>
      <c r="BX44" s="1135" cm="1">
        <f t="array" ref="BX44">SUMPRODUCT(('02.XLS'!$A$6:$A$47=$A44)*('02.XLS'!$B$5:$JN$5=BX$5)*('02.XLS'!$B$6:$JN$47))</f>
        <v>0</v>
      </c>
      <c r="BY44" s="1135" cm="1">
        <f t="array" ref="BY44">SUMPRODUCT(('02.XLS'!$A$6:$A$47=$A44)*('02.XLS'!$B$5:$JN$5=BY$5)*('02.XLS'!$B$6:$JN$47))</f>
        <v>0</v>
      </c>
      <c r="BZ44" s="1135" cm="1">
        <f t="array" ref="BZ44">SUMPRODUCT(('02.XLS'!$A$6:$A$47=$A44)*('02.XLS'!$B$5:$JN$5=BZ$5)*('02.XLS'!$B$6:$JN$47))</f>
        <v>0</v>
      </c>
      <c r="CA44" s="1136">
        <f t="shared" si="86"/>
        <v>0</v>
      </c>
      <c r="CB44" s="1135" cm="1">
        <f t="array" ref="CB44">SUMPRODUCT(('02.XLS'!$A$6:$A$47=$A44)*('02.XLS'!$B$5:$JN$5=CB$5)*('02.XLS'!$B$6:$JN$47))</f>
        <v>0</v>
      </c>
      <c r="CC44" s="1135" cm="1">
        <f t="array" ref="CC44">SUMPRODUCT(('02.XLS'!$A$6:$A$47=$A44)*('02.XLS'!$B$5:$JN$5=CC$5)*('02.XLS'!$B$6:$JN$47))</f>
        <v>0</v>
      </c>
      <c r="CD44" s="1135" cm="1">
        <f t="array" ref="CD44">SUMPRODUCT(('02.XLS'!$A$6:$A$47=$A44)*('02.XLS'!$B$5:$JN$5=CD$5)*('02.XLS'!$B$6:$JN$47))</f>
        <v>0</v>
      </c>
      <c r="CE44" s="1135" cm="1">
        <f t="array" ref="CE44">SUMPRODUCT(('02.XLS'!$A$6:$A$47=$A44)*('02.XLS'!$B$5:$JN$5=CE$5)*('02.XLS'!$B$6:$JN$47))</f>
        <v>27</v>
      </c>
      <c r="CF44" s="1135" cm="1">
        <f t="array" ref="CF44">SUMPRODUCT(('02.XLS'!$A$6:$A$47=$A44)*('02.XLS'!$B$5:$JN$5=CF$5)*('02.XLS'!$B$6:$JN$47))</f>
        <v>38</v>
      </c>
      <c r="CG44" s="1135" cm="1">
        <f t="array" ref="CG44">SUMPRODUCT(('02.XLS'!$A$6:$A$47=$A44)*('02.XLS'!$B$5:$JN$5=CG$5)*('02.XLS'!$B$6:$JN$47))</f>
        <v>45</v>
      </c>
      <c r="CH44" s="1135" cm="1">
        <f t="array" ref="CH44">SUMPRODUCT(('02.XLS'!$A$6:$A$47=$A44)*('02.XLS'!$B$5:$JN$5=CH$5)*('02.XLS'!$B$6:$JN$47))</f>
        <v>48</v>
      </c>
      <c r="CI44" s="1135" cm="1">
        <f t="array" ref="CI44">SUMPRODUCT(('02.XLS'!$A$6:$A$47=$A44)*('02.XLS'!$B$5:$JN$5=CI$5)*('02.XLS'!$B$6:$JN$47))</f>
        <v>25</v>
      </c>
      <c r="CJ44" s="1135" cm="1">
        <f t="array" ref="CJ44">SUMPRODUCT(('02.XLS'!$A$6:$A$47=$A44)*('02.XLS'!$B$5:$JN$5=CJ$5)*('02.XLS'!$B$6:$JN$47))</f>
        <v>22</v>
      </c>
      <c r="CK44" s="1135" cm="1">
        <f t="array" ref="CK44">SUMPRODUCT(('02.XLS'!$A$6:$A$47=$A44)*('02.XLS'!$B$5:$JN$5=CK$5)*('02.XLS'!$B$6:$JN$47))</f>
        <v>30</v>
      </c>
      <c r="CL44" s="1135" cm="1">
        <f t="array" ref="CL44">SUMPRODUCT(('02.XLS'!$A$6:$A$47=$A44)*('02.XLS'!$B$5:$JN$5=CL$5)*('02.XLS'!$B$6:$JN$47))</f>
        <v>70</v>
      </c>
      <c r="CM44" s="1135" cm="1">
        <f t="array" ref="CM44">SUMPRODUCT(('02.XLS'!$A$6:$A$47=$A44)*('02.XLS'!$B$5:$JN$5=CM$5)*('02.XLS'!$B$6:$JN$47))</f>
        <v>80</v>
      </c>
      <c r="CN44" s="1136">
        <f t="shared" si="99"/>
        <v>385</v>
      </c>
      <c r="CO44" s="1135" cm="1">
        <f t="array" ref="CO44">SUMPRODUCT(('02.XLS'!$A$6:$A$47=$A44)*('02.XLS'!$B$5:$JN$5=CO$5)*('02.XLS'!$B$6:$JN$47))</f>
        <v>10</v>
      </c>
      <c r="CP44" s="1135" cm="1">
        <f t="array" ref="CP44">SUMPRODUCT(('02.XLS'!$A$6:$A$47=$A44)*('02.XLS'!$B$5:$JN$5=CP$5)*('02.XLS'!$B$6:$JN$47))</f>
        <v>12</v>
      </c>
      <c r="CQ44" s="1135" cm="1">
        <f t="array" ref="CQ44">SUMPRODUCT(('02.XLS'!$A$6:$A$47=$A44)*('02.XLS'!$B$5:$JN$5=CQ$5)*('02.XLS'!$B$6:$JN$47))</f>
        <v>10</v>
      </c>
      <c r="CR44" s="1135" cm="1">
        <f t="array" ref="CR44">SUMPRODUCT(('02.XLS'!$A$6:$A$47=$A44)*('02.XLS'!$B$5:$JN$5=CR$5)*('02.XLS'!$B$6:$JN$47))</f>
        <v>20</v>
      </c>
      <c r="CS44" s="1135" cm="1">
        <f t="array" ref="CS44">SUMPRODUCT(('02.XLS'!$A$6:$A$47=$A44)*('02.XLS'!$B$5:$JN$5=CS$5)*('02.XLS'!$B$6:$JN$47))</f>
        <v>18</v>
      </c>
      <c r="CT44" s="1135" cm="1">
        <f t="array" ref="CT44">SUMPRODUCT(('02.XLS'!$A$6:$A$47=$A44)*('02.XLS'!$B$5:$JN$5=CT$5)*('02.XLS'!$B$6:$JN$47))</f>
        <v>25</v>
      </c>
      <c r="CU44" s="1135" cm="1">
        <f t="array" ref="CU44">SUMPRODUCT(('02.XLS'!$A$6:$A$47=$A44)*('02.XLS'!$B$5:$JN$5=CU$5)*('02.XLS'!$B$6:$JN$47))</f>
        <v>80</v>
      </c>
      <c r="CV44" s="1135" cm="1">
        <f t="array" ref="CV44">SUMPRODUCT(('02.XLS'!$A$6:$A$47=$A44)*('02.XLS'!$B$5:$JN$5=CV$5)*('02.XLS'!$B$6:$JN$47))</f>
        <v>88</v>
      </c>
      <c r="CW44" s="1135" cm="1">
        <f t="array" ref="CW44">SUMPRODUCT(('02.XLS'!$A$6:$A$47=$A44)*('02.XLS'!$B$5:$JN$5=CW$5)*('02.XLS'!$B$6:$JN$47))</f>
        <v>95</v>
      </c>
      <c r="CX44" s="1135" cm="1">
        <f t="array" ref="CX44">SUMPRODUCT(('02.XLS'!$A$6:$A$47=$A44)*('02.XLS'!$B$5:$JN$5=CX$5)*('02.XLS'!$B$6:$JN$47))</f>
        <v>120</v>
      </c>
      <c r="CY44" s="1135" cm="1">
        <f t="array" ref="CY44">SUMPRODUCT(('02.XLS'!$A$6:$A$47=$A44)*('02.XLS'!$B$5:$JN$5=CY$5)*('02.XLS'!$B$6:$JN$47))</f>
        <v>280</v>
      </c>
      <c r="CZ44" s="1135" cm="1">
        <f t="array" ref="CZ44">SUMPRODUCT(('02.XLS'!$A$6:$A$47=$A44)*('02.XLS'!$B$5:$JN$5=CZ$5)*('02.XLS'!$B$6:$JN$47))</f>
        <v>185</v>
      </c>
      <c r="DA44" s="1136">
        <f t="shared" si="112"/>
        <v>943</v>
      </c>
      <c r="DB44" s="1135" cm="1">
        <f t="array" ref="DB44">SUMPRODUCT(('02.XLS'!$A$6:$A$47=$A44)*('02.XLS'!$B$5:$JN$5=DB$5)*('02.XLS'!$B$6:$JN$47))</f>
        <v>0</v>
      </c>
      <c r="DC44" s="1135" cm="1">
        <f t="array" ref="DC44">SUMPRODUCT(('02.XLS'!$A$6:$A$47=$A44)*('02.XLS'!$B$5:$JN$5=DC$5)*('02.XLS'!$B$6:$JN$47))</f>
        <v>0</v>
      </c>
      <c r="DD44" s="1135" cm="1">
        <f t="array" ref="DD44">SUMPRODUCT(('02.XLS'!$A$6:$A$47=$A44)*('02.XLS'!$B$5:$JN$5=DD$5)*('02.XLS'!$B$6:$JN$47))</f>
        <v>0</v>
      </c>
      <c r="DE44" s="1135" cm="1">
        <f t="array" ref="DE44">SUMPRODUCT(('02.XLS'!$A$6:$A$47=$A44)*('02.XLS'!$B$5:$JN$5=DE$5)*('02.XLS'!$B$6:$JN$47))</f>
        <v>67</v>
      </c>
      <c r="DF44" s="1135" cm="1">
        <f t="array" ref="DF44">SUMPRODUCT(('02.XLS'!$A$6:$A$47=$A44)*('02.XLS'!$B$5:$JN$5=DF$5)*('02.XLS'!$B$6:$JN$47))</f>
        <v>145</v>
      </c>
      <c r="DG44" s="1135" cm="1">
        <f t="array" ref="DG44">SUMPRODUCT(('02.XLS'!$A$6:$A$47=$A44)*('02.XLS'!$B$5:$JN$5=DG$5)*('02.XLS'!$B$6:$JN$47))</f>
        <v>300</v>
      </c>
      <c r="DH44" s="1135" cm="1">
        <f t="array" ref="DH44">SUMPRODUCT(('02.XLS'!$A$6:$A$47=$A44)*('02.XLS'!$B$5:$JN$5=DH$5)*('02.XLS'!$B$6:$JN$47))</f>
        <v>275</v>
      </c>
      <c r="DI44" s="1135" cm="1">
        <f t="array" ref="DI44">SUMPRODUCT(('02.XLS'!$A$6:$A$47=$A44)*('02.XLS'!$B$5:$JN$5=DI$5)*('02.XLS'!$B$6:$JN$47))</f>
        <v>172</v>
      </c>
      <c r="DJ44" s="1135" cm="1">
        <f t="array" ref="DJ44">SUMPRODUCT(('02.XLS'!$A$6:$A$47=$A44)*('02.XLS'!$B$5:$JN$5=DJ$5)*('02.XLS'!$B$6:$JN$47))</f>
        <v>180</v>
      </c>
      <c r="DK44" s="1135" cm="1">
        <f t="array" ref="DK44">SUMPRODUCT(('02.XLS'!$A$6:$A$47=$A44)*('02.XLS'!$B$5:$JN$5=DK$5)*('02.XLS'!$B$6:$JN$47))</f>
        <v>198</v>
      </c>
      <c r="DL44" s="1135" cm="1">
        <f t="array" ref="DL44">SUMPRODUCT(('02.XLS'!$A$6:$A$47=$A44)*('02.XLS'!$B$5:$JN$5=DL$5)*('02.XLS'!$B$6:$JN$47))</f>
        <v>200</v>
      </c>
      <c r="DM44" s="1135" cm="1">
        <f t="array" ref="DM44">SUMPRODUCT(('02.XLS'!$A$6:$A$47=$A44)*('02.XLS'!$B$5:$JN$5=DM$5)*('02.XLS'!$B$6:$JN$47))</f>
        <v>200</v>
      </c>
      <c r="DN44" s="1136">
        <f t="shared" si="125"/>
        <v>1737</v>
      </c>
      <c r="DO44" s="1135" cm="1">
        <f t="array" ref="DO44">SUMPRODUCT(('02.XLS'!$A$6:$A$47=$A44)*('02.XLS'!$B$5:$JN$5=DO$5)*('02.XLS'!$B$6:$JN$47))</f>
        <v>112</v>
      </c>
      <c r="DP44" s="1135" cm="1">
        <f t="array" ref="DP44">SUMPRODUCT(('02.XLS'!$A$6:$A$47=$A44)*('02.XLS'!$B$5:$JN$5=DP$5)*('02.XLS'!$B$6:$JN$47))</f>
        <v>50</v>
      </c>
      <c r="DQ44" s="1135" cm="1">
        <f t="array" ref="DQ44">SUMPRODUCT(('02.XLS'!$A$6:$A$47=$A44)*('02.XLS'!$B$5:$JN$5=DQ$5)*('02.XLS'!$B$6:$JN$47))</f>
        <v>50</v>
      </c>
      <c r="DR44" s="1135" cm="1">
        <f t="array" ref="DR44">SUMPRODUCT(('02.XLS'!$A$6:$A$47=$A44)*('02.XLS'!$B$5:$JN$5=DR$5)*('02.XLS'!$B$6:$JN$47))</f>
        <v>65</v>
      </c>
      <c r="DS44" s="1135" cm="1">
        <f t="array" ref="DS44">SUMPRODUCT(('02.XLS'!$A$6:$A$47=$A44)*('02.XLS'!$B$5:$JN$5=DS$5)*('02.XLS'!$B$6:$JN$47))</f>
        <v>130</v>
      </c>
      <c r="DT44" s="1135" cm="1">
        <f t="array" ref="DT44">SUMPRODUCT(('02.XLS'!$A$6:$A$47=$A44)*('02.XLS'!$B$5:$JN$5=DT$5)*('02.XLS'!$B$6:$JN$47))</f>
        <v>152</v>
      </c>
      <c r="DU44" s="1135" cm="1">
        <f t="array" ref="DU44">SUMPRODUCT(('02.XLS'!$A$6:$A$47=$A44)*('02.XLS'!$B$5:$JN$5=DU$5)*('02.XLS'!$B$6:$JN$47))</f>
        <v>160</v>
      </c>
      <c r="DV44" s="1135" cm="1">
        <f t="array" ref="DV44">SUMPRODUCT(('02.XLS'!$A$6:$A$47=$A44)*('02.XLS'!$B$5:$JN$5=DV$5)*('02.XLS'!$B$6:$JN$47))</f>
        <v>170</v>
      </c>
      <c r="DW44" s="1135" cm="1">
        <f t="array" ref="DW44">SUMPRODUCT(('02.XLS'!$A$6:$A$47=$A44)*('02.XLS'!$B$5:$JN$5=DW$5)*('02.XLS'!$B$6:$JN$47))</f>
        <v>200</v>
      </c>
      <c r="DX44" s="1135" cm="1">
        <f t="array" ref="DX44">SUMPRODUCT(('02.XLS'!$A$6:$A$47=$A44)*('02.XLS'!$B$5:$JN$5=DX$5)*('02.XLS'!$B$6:$JN$47))</f>
        <v>180</v>
      </c>
      <c r="DY44" s="1135" cm="1">
        <f t="array" ref="DY44">SUMPRODUCT(('02.XLS'!$A$6:$A$47=$A44)*('02.XLS'!$B$5:$JN$5=DY$5)*('02.XLS'!$B$6:$JN$47))</f>
        <v>180</v>
      </c>
      <c r="DZ44" s="1135" cm="1">
        <f t="array" ref="DZ44">SUMPRODUCT(('02.XLS'!$A$6:$A$47=$A44)*('02.XLS'!$B$5:$JN$5=DZ$5)*('02.XLS'!$B$6:$JN$47))</f>
        <v>220</v>
      </c>
      <c r="EA44" s="1136">
        <f t="shared" si="138"/>
        <v>1669</v>
      </c>
      <c r="EB44" s="1135" cm="1">
        <f t="array" ref="EB44">SUMPRODUCT(('02.XLS'!$A$6:$A$47=$A44)*('02.XLS'!$B$5:$JN$5=EB$5)*('02.XLS'!$B$6:$JN$47))</f>
        <v>140</v>
      </c>
      <c r="EC44" s="1135" cm="1">
        <f t="array" ref="EC44">SUMPRODUCT(('02.XLS'!$A$6:$A$47=$A44)*('02.XLS'!$B$5:$JN$5=EC$5)*('02.XLS'!$B$6:$JN$47))</f>
        <v>150</v>
      </c>
      <c r="ED44" s="1135" cm="1">
        <f t="array" ref="ED44">SUMPRODUCT(('02.XLS'!$A$6:$A$47=$A44)*('02.XLS'!$B$5:$JN$5=ED$5)*('02.XLS'!$B$6:$JN$47))</f>
        <v>90</v>
      </c>
      <c r="EE44" s="1135" cm="1">
        <f t="array" ref="EE44">SUMPRODUCT(('02.XLS'!$A$6:$A$47=$A44)*('02.XLS'!$B$5:$JN$5=EE$5)*('02.XLS'!$B$6:$JN$47))</f>
        <v>78</v>
      </c>
      <c r="EF44" s="1135" cm="1">
        <f t="array" ref="EF44">SUMPRODUCT(('02.XLS'!$A$6:$A$47=$A44)*('02.XLS'!$B$5:$JN$5=EF$5)*('02.XLS'!$B$6:$JN$47))</f>
        <v>250</v>
      </c>
      <c r="EG44" s="1135" cm="1">
        <f t="array" ref="EG44">SUMPRODUCT(('02.XLS'!$A$6:$A$47=$A44)*('02.XLS'!$B$5:$JN$5=EG$5)*('02.XLS'!$B$6:$JN$47))</f>
        <v>160</v>
      </c>
      <c r="EH44" s="1135" cm="1">
        <f t="array" ref="EH44">SUMPRODUCT(('02.XLS'!$A$6:$A$47=$A44)*('02.XLS'!$B$5:$JN$5=EH$5)*('02.XLS'!$B$6:$JN$47))</f>
        <v>220</v>
      </c>
      <c r="EI44" s="1135" cm="1">
        <f t="array" ref="EI44">SUMPRODUCT(('02.XLS'!$A$6:$A$47=$A44)*('02.XLS'!$B$5:$JN$5=EI$5)*('02.XLS'!$B$6:$JN$47))</f>
        <v>230</v>
      </c>
      <c r="EJ44" s="1135" cm="1">
        <f t="array" ref="EJ44">SUMPRODUCT(('02.XLS'!$A$6:$A$47=$A44)*('02.XLS'!$B$5:$JN$5=EJ$5)*('02.XLS'!$B$6:$JN$47))</f>
        <v>180</v>
      </c>
      <c r="EK44" s="1135" cm="1">
        <f t="array" ref="EK44">SUMPRODUCT(('02.XLS'!$A$6:$A$47=$A44)*('02.XLS'!$B$5:$JN$5=EK$5)*('02.XLS'!$B$6:$JN$47))</f>
        <v>150</v>
      </c>
      <c r="EL44" s="1135" cm="1">
        <f t="array" ref="EL44">SUMPRODUCT(('02.XLS'!$A$6:$A$47=$A44)*('02.XLS'!$B$5:$JN$5=EL$5)*('02.XLS'!$B$6:$JN$47))</f>
        <v>188</v>
      </c>
      <c r="EM44" s="1135" cm="1">
        <f t="array" ref="EM44">SUMPRODUCT(('02.XLS'!$A$6:$A$47=$A44)*('02.XLS'!$B$5:$JN$5=EM$5)*('02.XLS'!$B$6:$JN$47))</f>
        <v>248</v>
      </c>
      <c r="EN44" s="1136">
        <f t="shared" si="151"/>
        <v>2084</v>
      </c>
      <c r="EO44" s="1135" cm="1">
        <f t="array" ref="EO44">SUMPRODUCT(('02.XLS'!$A$6:$A$47=$A44)*('02.XLS'!$B$5:$JN$5=EO$5)*('02.XLS'!$B$6:$JN$47))</f>
        <v>152</v>
      </c>
      <c r="EP44" s="1135" cm="1">
        <f t="array" ref="EP44">SUMPRODUCT(('02.XLS'!$A$6:$A$47=$A44)*('02.XLS'!$B$5:$JN$5=EP$5)*('02.XLS'!$B$6:$JN$47))</f>
        <v>120</v>
      </c>
      <c r="EQ44" s="1135" cm="1">
        <f t="array" ref="EQ44">SUMPRODUCT(('02.XLS'!$A$6:$A$47=$A44)*('02.XLS'!$B$5:$JN$5=EQ$5)*('02.XLS'!$B$6:$JN$47))</f>
        <v>130</v>
      </c>
      <c r="ER44" s="1135" cm="1">
        <f t="array" ref="ER44">SUMPRODUCT(('02.XLS'!$A$6:$A$47=$A44)*('02.XLS'!$B$5:$JN$5=ER$5)*('02.XLS'!$B$6:$JN$47))</f>
        <v>150</v>
      </c>
      <c r="ES44" s="1135" cm="1">
        <f t="array" ref="ES44">SUMPRODUCT(('02.XLS'!$A$6:$A$47=$A44)*('02.XLS'!$B$5:$JN$5=ES$5)*('02.XLS'!$B$6:$JN$47))</f>
        <v>180</v>
      </c>
      <c r="ET44" s="1135" cm="1">
        <f t="array" ref="ET44">SUMPRODUCT(('02.XLS'!$A$6:$A$47=$A44)*('02.XLS'!$B$5:$JN$5=ET$5)*('02.XLS'!$B$6:$JN$47))</f>
        <v>180</v>
      </c>
      <c r="EU44" s="1135" cm="1">
        <f t="array" ref="EU44">SUMPRODUCT(('02.XLS'!$A$6:$A$47=$A44)*('02.XLS'!$B$5:$JN$5=EU$5)*('02.XLS'!$B$6:$JN$47))</f>
        <v>185</v>
      </c>
      <c r="EV44" s="1135" cm="1">
        <f t="array" ref="EV44">SUMPRODUCT(('02.XLS'!$A$6:$A$47=$A44)*('02.XLS'!$B$5:$JN$5=EV$5)*('02.XLS'!$B$6:$JN$47))</f>
        <v>250</v>
      </c>
      <c r="EW44" s="1135" cm="1">
        <f t="array" ref="EW44">SUMPRODUCT(('02.XLS'!$A$6:$A$47=$A44)*('02.XLS'!$B$5:$JN$5=EW$5)*('02.XLS'!$B$6:$JN$47))</f>
        <v>160</v>
      </c>
      <c r="EX44" s="1135" cm="1">
        <f t="array" ref="EX44">SUMPRODUCT(('02.XLS'!$A$6:$A$47=$A44)*('02.XLS'!$B$5:$JN$5=EX$5)*('02.XLS'!$B$6:$JN$47))</f>
        <v>240</v>
      </c>
      <c r="EY44" s="1135" cm="1">
        <f t="array" ref="EY44">SUMPRODUCT(('02.XLS'!$A$6:$A$47=$A44)*('02.XLS'!$B$5:$JN$5=EY$5)*('02.XLS'!$B$6:$JN$47))</f>
        <v>200</v>
      </c>
      <c r="EZ44" s="1135" cm="1">
        <f t="array" ref="EZ44">SUMPRODUCT(('02.XLS'!$A$6:$A$47=$A44)*('02.XLS'!$B$5:$JN$5=EZ$5)*('02.XLS'!$B$6:$JN$47))</f>
        <v>195</v>
      </c>
      <c r="FA44" s="1136">
        <f t="shared" si="164"/>
        <v>2142</v>
      </c>
      <c r="FB44" s="1135" cm="1">
        <f t="array" ref="FB44">SUMPRODUCT(('02.XLS'!$A$6:$A$47=$A44)*('02.XLS'!$B$5:$JN$5=FB$5)*('02.XLS'!$B$6:$JN$47))</f>
        <v>185</v>
      </c>
      <c r="FC44" s="1135" cm="1">
        <f t="array" ref="FC44">SUMPRODUCT(('02.XLS'!$A$6:$A$47=$A44)*('02.XLS'!$B$5:$JN$5=FC$5)*('02.XLS'!$B$6:$JN$47))</f>
        <v>200</v>
      </c>
      <c r="FD44" s="1135" cm="1">
        <f t="array" ref="FD44">SUMPRODUCT(('02.XLS'!$A$6:$A$47=$A44)*('02.XLS'!$B$5:$JN$5=FD$5)*('02.XLS'!$B$6:$JN$47))</f>
        <v>150</v>
      </c>
      <c r="FE44" s="1135" cm="1">
        <f t="array" ref="FE44">SUMPRODUCT(('02.XLS'!$A$6:$A$47=$A44)*('02.XLS'!$B$5:$JN$5=FE$5)*('02.XLS'!$B$6:$JN$47))</f>
        <v>180</v>
      </c>
      <c r="FF44" s="1135" cm="1">
        <f t="array" ref="FF44">SUMPRODUCT(('02.XLS'!$A$6:$A$47=$A44)*('02.XLS'!$B$5:$JN$5=FF$5)*('02.XLS'!$B$6:$JN$47))</f>
        <v>192</v>
      </c>
      <c r="FG44" s="1135" cm="1">
        <f t="array" ref="FG44">SUMPRODUCT(('02.XLS'!$A$6:$A$47=$A44)*('02.XLS'!$B$5:$JN$5=FG$5)*('02.XLS'!$B$6:$JN$47))</f>
        <v>200</v>
      </c>
      <c r="FH44" s="1135" cm="1">
        <f t="array" ref="FH44">SUMPRODUCT(('02.XLS'!$A$6:$A$47=$A44)*('02.XLS'!$B$5:$JN$5=FH$5)*('02.XLS'!$B$6:$JN$47))</f>
        <v>195</v>
      </c>
      <c r="FI44" s="1135" cm="1">
        <f t="array" ref="FI44">SUMPRODUCT(('02.XLS'!$A$6:$A$47=$A44)*('02.XLS'!$B$5:$JN$5=FI$5)*('02.XLS'!$B$6:$JN$47))</f>
        <v>210</v>
      </c>
      <c r="FJ44" s="1135" cm="1">
        <f t="array" ref="FJ44">SUMPRODUCT(('02.XLS'!$A$6:$A$47=$A44)*('02.XLS'!$B$5:$JN$5=FJ$5)*('02.XLS'!$B$6:$JN$47))</f>
        <v>180</v>
      </c>
      <c r="FK44" s="1135" cm="1">
        <f t="array" ref="FK44">SUMPRODUCT(('02.XLS'!$A$6:$A$47=$A44)*('02.XLS'!$B$5:$JN$5=FK$5)*('02.XLS'!$B$6:$JN$47))</f>
        <v>250</v>
      </c>
      <c r="FL44" s="1135" cm="1">
        <f t="array" ref="FL44">SUMPRODUCT(('02.XLS'!$A$6:$A$47=$A44)*('02.XLS'!$B$5:$JN$5=FL$5)*('02.XLS'!$B$6:$JN$47))</f>
        <v>235</v>
      </c>
      <c r="FM44" s="1135" cm="1">
        <f t="array" ref="FM44">SUMPRODUCT(('02.XLS'!$A$6:$A$47=$A44)*('02.XLS'!$B$5:$JN$5=FM$5)*('02.XLS'!$B$6:$JN$47))</f>
        <v>232</v>
      </c>
      <c r="FN44" s="1136">
        <f t="shared" si="177"/>
        <v>2409</v>
      </c>
      <c r="FO44" s="1135" cm="1">
        <f t="array" ref="FO44">SUMPRODUCT(('02.XLS'!$A$6:$A$47=$A44)*('02.XLS'!$B$5:$JN$5=FO$5)*('02.XLS'!$B$6:$JN$47))</f>
        <v>200</v>
      </c>
      <c r="FP44" s="1135" cm="1">
        <f t="array" ref="FP44">SUMPRODUCT(('02.XLS'!$A$6:$A$47=$A44)*('02.XLS'!$B$5:$JN$5=FP$5)*('02.XLS'!$B$6:$JN$47))</f>
        <v>230</v>
      </c>
      <c r="FQ44" s="1135" cm="1">
        <f t="array" ref="FQ44">SUMPRODUCT(('02.XLS'!$A$6:$A$47=$A44)*('02.XLS'!$B$5:$JN$5=FQ$5)*('02.XLS'!$B$6:$JN$47))</f>
        <v>235</v>
      </c>
      <c r="FR44" s="1135" cm="1">
        <f t="array" ref="FR44">SUMPRODUCT(('02.XLS'!$A$6:$A$47=$A44)*('02.XLS'!$B$5:$JN$5=FR$5)*('02.XLS'!$B$6:$JN$47))</f>
        <v>260</v>
      </c>
      <c r="FS44" s="1135" cm="1">
        <f t="array" ref="FS44">SUMPRODUCT(('02.XLS'!$A$6:$A$47=$A44)*('02.XLS'!$B$5:$JN$5=FS$5)*('02.XLS'!$B$6:$JN$47))</f>
        <v>205</v>
      </c>
      <c r="FT44" s="1135" cm="1">
        <f t="array" ref="FT44">SUMPRODUCT(('02.XLS'!$A$6:$A$47=$A44)*('02.XLS'!$B$5:$JN$5=FT$5)*('02.XLS'!$B$6:$JN$47))</f>
        <v>230</v>
      </c>
      <c r="FU44" s="1135" cm="1">
        <f t="array" ref="FU44">SUMPRODUCT(('02.XLS'!$A$6:$A$47=$A44)*('02.XLS'!$B$5:$JN$5=FU$5)*('02.XLS'!$B$6:$JN$47))</f>
        <v>220</v>
      </c>
      <c r="FV44" s="1135" cm="1">
        <f t="array" ref="FV44">SUMPRODUCT(('02.XLS'!$A$6:$A$47=$A44)*('02.XLS'!$B$5:$JN$5=FV$5)*('02.XLS'!$B$6:$JN$47))</f>
        <v>135</v>
      </c>
      <c r="FW44" s="1135" cm="1">
        <f t="array" ref="FW44">SUMPRODUCT(('02.XLS'!$A$6:$A$47=$A44)*('02.XLS'!$B$5:$JN$5=FW$5)*('02.XLS'!$B$6:$JN$47))</f>
        <v>250</v>
      </c>
      <c r="FX44" s="1135" cm="1">
        <f t="array" ref="FX44">SUMPRODUCT(('02.XLS'!$A$6:$A$47=$A44)*('02.XLS'!$B$5:$JN$5=FX$5)*('02.XLS'!$B$6:$JN$47))</f>
        <v>200</v>
      </c>
      <c r="FY44" s="1135" cm="1">
        <f t="array" ref="FY44">SUMPRODUCT(('02.XLS'!$A$6:$A$47=$A44)*('02.XLS'!$B$5:$JN$5=FY$5)*('02.XLS'!$B$6:$JN$47))</f>
        <v>120</v>
      </c>
      <c r="FZ44" s="1135" cm="1">
        <f t="array" ref="FZ44">SUMPRODUCT(('02.XLS'!$A$6:$A$47=$A44)*('02.XLS'!$B$5:$JN$5=FZ$5)*('02.XLS'!$B$6:$JN$47))</f>
        <v>190</v>
      </c>
      <c r="GA44" s="1136">
        <f t="shared" si="190"/>
        <v>2475</v>
      </c>
      <c r="GB44" s="1135" cm="1">
        <f t="array" ref="GB44">SUMPRODUCT(('02.XLS'!$A$6:$A$47=$A44)*('02.XLS'!$B$5:$JN$5=GB$5)*('02.XLS'!$B$6:$JN$47))</f>
        <v>0</v>
      </c>
      <c r="GC44" s="1135" cm="1">
        <f t="array" ref="GC44">SUMPRODUCT(('02.XLS'!$A$6:$A$47=$A44)*('02.XLS'!$B$5:$JN$5=GC$5)*('02.XLS'!$B$6:$JN$47))</f>
        <v>0</v>
      </c>
      <c r="GD44" s="1135" cm="1">
        <f t="array" ref="GD44">SUMPRODUCT(('02.XLS'!$A$6:$A$47=$A44)*('02.XLS'!$B$5:$JN$5=GD$5)*('02.XLS'!$B$6:$JN$47))</f>
        <v>0</v>
      </c>
      <c r="GE44" s="1135" cm="1">
        <f t="array" ref="GE44">SUMPRODUCT(('02.XLS'!$A$6:$A$47=$A44)*('02.XLS'!$B$5:$JN$5=GE$5)*('02.XLS'!$B$6:$JN$47))</f>
        <v>0</v>
      </c>
      <c r="GF44" s="1135" cm="1">
        <f t="array" ref="GF44">SUMPRODUCT(('02.XLS'!$A$6:$A$47=$A44)*('02.XLS'!$B$5:$JN$5=GF$5)*('02.XLS'!$B$6:$JN$47))</f>
        <v>0</v>
      </c>
      <c r="GG44" s="1135" cm="1">
        <f t="array" ref="GG44">SUMPRODUCT(('02.XLS'!$A$6:$A$47=$A44)*('02.XLS'!$B$5:$JN$5=GG$5)*('02.XLS'!$B$6:$JN$47))</f>
        <v>0</v>
      </c>
      <c r="GH44" s="1135" cm="1">
        <f t="array" ref="GH44">SUMPRODUCT(('02.XLS'!$A$6:$A$47=$A44)*('02.XLS'!$B$5:$JN$5=GH$5)*('02.XLS'!$B$6:$JN$47))</f>
        <v>0</v>
      </c>
      <c r="GI44" s="1135" cm="1">
        <f t="array" ref="GI44">SUMPRODUCT(('02.XLS'!$A$6:$A$47=$A44)*('02.XLS'!$B$5:$JN$5=GI$5)*('02.XLS'!$B$6:$JN$47))</f>
        <v>0</v>
      </c>
      <c r="GJ44" s="1135" cm="1">
        <f t="array" ref="GJ44">SUMPRODUCT(('02.XLS'!$A$6:$A$47=$A44)*('02.XLS'!$B$5:$JN$5=GJ$5)*('02.XLS'!$B$6:$JN$47))</f>
        <v>0</v>
      </c>
      <c r="GK44" s="1135" cm="1">
        <f t="array" ref="GK44">SUMPRODUCT(('02.XLS'!$A$6:$A$47=$A44)*('02.XLS'!$B$5:$JN$5=GK$5)*('02.XLS'!$B$6:$JN$47))</f>
        <v>0</v>
      </c>
      <c r="GL44" s="1135" cm="1">
        <f t="array" ref="GL44">SUMPRODUCT(('02.XLS'!$A$6:$A$47=$A44)*('02.XLS'!$B$5:$JN$5=GL$5)*('02.XLS'!$B$6:$JN$47))</f>
        <v>0</v>
      </c>
      <c r="GM44" s="1135" cm="1">
        <f t="array" ref="GM44">SUMPRODUCT(('02.XLS'!$A$6:$A$47=$A44)*('02.XLS'!$B$5:$JN$5=GM$5)*('02.XLS'!$B$6:$JN$47))</f>
        <v>0</v>
      </c>
      <c r="GN44" s="1136">
        <f t="shared" si="203"/>
        <v>0</v>
      </c>
      <c r="GO44" s="1135" cm="1">
        <f t="array" ref="GO44">SUMPRODUCT(('02.XLS'!$A$6:$A$47=$A44)*('02.XLS'!$B$5:$JN$5=GO$5)*('02.XLS'!$B$6:$JN$47))</f>
        <v>0</v>
      </c>
      <c r="GP44" s="1135" cm="1">
        <f t="array" ref="GP44">SUMPRODUCT(('02.XLS'!$A$6:$A$47=$A44)*('02.XLS'!$B$5:$JN$5=GP$5)*('02.XLS'!$B$6:$JN$47))</f>
        <v>0</v>
      </c>
      <c r="GQ44" s="1135" cm="1">
        <f t="array" ref="GQ44">SUMPRODUCT(('02.XLS'!$A$6:$A$47=$A44)*('02.XLS'!$B$5:$JN$5=GQ$5)*('02.XLS'!$B$6:$JN$47))</f>
        <v>0</v>
      </c>
      <c r="GR44" s="1135" cm="1">
        <f t="array" ref="GR44">SUMPRODUCT(('02.XLS'!$A$6:$A$47=$A44)*('02.XLS'!$B$5:$JN$5=GR$5)*('02.XLS'!$B$6:$JN$47))</f>
        <v>0</v>
      </c>
      <c r="GS44" s="1135" cm="1">
        <f t="array" ref="GS44">SUMPRODUCT(('02.XLS'!$A$6:$A$47=$A44)*('02.XLS'!$B$5:$JN$5=GS$5)*('02.XLS'!$B$6:$JN$47))</f>
        <v>0</v>
      </c>
      <c r="GT44" s="1135" cm="1">
        <f t="array" ref="GT44">SUMPRODUCT(('02.XLS'!$A$6:$A$47=$A44)*('02.XLS'!$B$5:$JN$5=GT$5)*('02.XLS'!$B$6:$JN$47))</f>
        <v>0</v>
      </c>
      <c r="GU44" s="1135" cm="1">
        <f t="array" ref="GU44">SUMPRODUCT(('02.XLS'!$A$6:$A$47=$A44)*('02.XLS'!$B$5:$JN$5=GU$5)*('02.XLS'!$B$6:$JN$47))</f>
        <v>0</v>
      </c>
      <c r="GV44" s="1135" cm="1">
        <f t="array" ref="GV44">SUMPRODUCT(('02.XLS'!$A$6:$A$47=$A44)*('02.XLS'!$B$5:$JN$5=GV$5)*('02.XLS'!$B$6:$JN$47))</f>
        <v>0</v>
      </c>
      <c r="GW44" s="1135" cm="1">
        <f t="array" ref="GW44">SUMPRODUCT(('02.XLS'!$A$6:$A$47=$A44)*('02.XLS'!$B$5:$JN$5=GW$5)*('02.XLS'!$B$6:$JN$47))</f>
        <v>0</v>
      </c>
      <c r="GX44" s="1135" cm="1">
        <f t="array" ref="GX44">SUMPRODUCT(('02.XLS'!$A$6:$A$47=$A44)*('02.XLS'!$B$5:$JN$5=GX$5)*('02.XLS'!$B$6:$JN$47))</f>
        <v>0</v>
      </c>
      <c r="GY44" s="1135" cm="1">
        <f t="array" ref="GY44">SUMPRODUCT(('02.XLS'!$A$6:$A$47=$A44)*('02.XLS'!$B$5:$JN$5=GY$5)*('02.XLS'!$B$6:$JN$47))</f>
        <v>0</v>
      </c>
      <c r="GZ44" s="1135" cm="1">
        <f t="array" ref="GZ44">SUMPRODUCT(('02.XLS'!$A$6:$A$47=$A44)*('02.XLS'!$B$5:$JN$5=GZ$5)*('02.XLS'!$B$6:$JN$47))</f>
        <v>0</v>
      </c>
      <c r="HA44" s="1136">
        <f t="shared" si="216"/>
        <v>0</v>
      </c>
      <c r="HB44" s="1135" cm="1">
        <f t="array" ref="HB44">SUMPRODUCT(('02.XLS'!$A$6:$A$47=$A44)*('02.XLS'!$B$5:$JN$5=HB$5)*('02.XLS'!$B$6:$JN$47))</f>
        <v>0</v>
      </c>
      <c r="HC44" s="1135" cm="1">
        <f t="array" ref="HC44">SUMPRODUCT(('02.XLS'!$A$6:$A$47=$A44)*('02.XLS'!$B$5:$JN$5=HC$5)*('02.XLS'!$B$6:$JN$47))</f>
        <v>0</v>
      </c>
      <c r="HD44" s="1135" cm="1">
        <f t="array" ref="HD44">SUMPRODUCT(('02.XLS'!$A$6:$A$47=$A44)*('02.XLS'!$B$5:$JN$5=HD$5)*('02.XLS'!$B$6:$JN$47))</f>
        <v>0</v>
      </c>
      <c r="HE44" s="1135" cm="1">
        <f t="array" ref="HE44">SUMPRODUCT(('02.XLS'!$A$6:$A$47=$A44)*('02.XLS'!$B$5:$JN$5=HE$5)*('02.XLS'!$B$6:$JN$47))</f>
        <v>0</v>
      </c>
      <c r="HF44" s="1135" cm="1">
        <f t="array" ref="HF44">SUMPRODUCT(('02.XLS'!$A$6:$A$47=$A44)*('02.XLS'!$B$5:$JN$5=HF$5)*('02.XLS'!$B$6:$JN$47))</f>
        <v>0</v>
      </c>
      <c r="HG44" s="1135" cm="1">
        <f t="array" ref="HG44">SUMPRODUCT(('02.XLS'!$A$6:$A$47=$A44)*('02.XLS'!$B$5:$JN$5=HG$5)*('02.XLS'!$B$6:$JN$47))</f>
        <v>0</v>
      </c>
      <c r="HH44" s="1135" cm="1">
        <f t="array" ref="HH44">SUMPRODUCT(('02.XLS'!$A$6:$A$47=$A44)*('02.XLS'!$B$5:$JN$5=HH$5)*('02.XLS'!$B$6:$JN$47))</f>
        <v>0</v>
      </c>
      <c r="HI44" s="1135" cm="1">
        <f t="array" ref="HI44">SUMPRODUCT(('02.XLS'!$A$6:$A$47=$A44)*('02.XLS'!$B$5:$JN$5=HI$5)*('02.XLS'!$B$6:$JN$47))</f>
        <v>0</v>
      </c>
      <c r="HJ44" s="1135" cm="1">
        <f t="array" ref="HJ44">SUMPRODUCT(('02.XLS'!$A$6:$A$47=$A44)*('02.XLS'!$B$5:$JN$5=HJ$5)*('02.XLS'!$B$6:$JN$47))</f>
        <v>0</v>
      </c>
      <c r="HK44" s="1135" cm="1">
        <f t="array" ref="HK44">SUMPRODUCT(('02.XLS'!$A$6:$A$47=$A44)*('02.XLS'!$B$5:$JN$5=HK$5)*('02.XLS'!$B$6:$JN$47))</f>
        <v>0</v>
      </c>
      <c r="HL44" s="1135" cm="1">
        <f t="array" ref="HL44">SUMPRODUCT(('02.XLS'!$A$6:$A$47=$A44)*('02.XLS'!$B$5:$JN$5=HL$5)*('02.XLS'!$B$6:$JN$47))</f>
        <v>0</v>
      </c>
      <c r="HM44" s="1135" cm="1">
        <f t="array" ref="HM44">SUMPRODUCT(('02.XLS'!$A$6:$A$47=$A44)*('02.XLS'!$B$5:$JN$5=HM$5)*('02.XLS'!$B$6:$JN$47))</f>
        <v>0</v>
      </c>
      <c r="HN44" s="1136">
        <f t="shared" si="229"/>
        <v>0</v>
      </c>
      <c r="HO44" s="1135" cm="1">
        <f t="array" ref="HO44">SUMPRODUCT(('02.XLS'!$A$6:$A$47=$A44)*('02.XLS'!$B$5:$JN$5=HO$5)*('02.XLS'!$B$6:$JN$47))</f>
        <v>0</v>
      </c>
      <c r="HP44" s="1135" cm="1">
        <f t="array" ref="HP44">SUMPRODUCT(('02.XLS'!$A$6:$A$47=$A44)*('02.XLS'!$B$5:$JN$5=HP$5)*('02.XLS'!$B$6:$JN$47))</f>
        <v>0</v>
      </c>
      <c r="HQ44" s="1135" cm="1">
        <f t="array" ref="HQ44">SUMPRODUCT(('02.XLS'!$A$6:$A$47=$A44)*('02.XLS'!$B$5:$JN$5=HQ$5)*('02.XLS'!$B$6:$JN$47))</f>
        <v>0</v>
      </c>
      <c r="HR44" s="1135" cm="1">
        <f t="array" ref="HR44">SUMPRODUCT(('02.XLS'!$A$6:$A$47=$A44)*('02.XLS'!$B$5:$JN$5=HR$5)*('02.XLS'!$B$6:$JN$47))</f>
        <v>0</v>
      </c>
      <c r="HS44" s="1135" cm="1">
        <f t="array" ref="HS44">SUMPRODUCT(('02.XLS'!$A$6:$A$47=$A44)*('02.XLS'!$B$5:$JN$5=HS$5)*('02.XLS'!$B$6:$JN$47))</f>
        <v>0</v>
      </c>
      <c r="HT44" s="1135" cm="1">
        <f t="array" ref="HT44">SUMPRODUCT(('02.XLS'!$A$6:$A$47=$A44)*('02.XLS'!$B$5:$JN$5=HT$5)*('02.XLS'!$B$6:$JN$47))</f>
        <v>0</v>
      </c>
      <c r="HU44" s="1135" cm="1">
        <f t="array" ref="HU44">SUMPRODUCT(('02.XLS'!$A$6:$A$47=$A44)*('02.XLS'!$B$5:$JN$5=HU$5)*('02.XLS'!$B$6:$JN$47))</f>
        <v>0</v>
      </c>
      <c r="HV44" s="1135" cm="1">
        <f t="array" ref="HV44">SUMPRODUCT(('02.XLS'!$A$6:$A$47=$A44)*('02.XLS'!$B$5:$JN$5=HV$5)*('02.XLS'!$B$6:$JN$47))</f>
        <v>0</v>
      </c>
      <c r="HW44" s="1135" cm="1">
        <f t="array" ref="HW44">SUMPRODUCT(('02.XLS'!$A$6:$A$47=$A44)*('02.XLS'!$B$5:$JN$5=HW$5)*('02.XLS'!$B$6:$JN$47))</f>
        <v>0</v>
      </c>
      <c r="HX44" s="1135" cm="1">
        <f t="array" ref="HX44">SUMPRODUCT(('02.XLS'!$A$6:$A$47=$A44)*('02.XLS'!$B$5:$JN$5=HX$5)*('02.XLS'!$B$6:$JN$47))</f>
        <v>0</v>
      </c>
      <c r="HY44" s="1135" cm="1">
        <f t="array" ref="HY44">SUMPRODUCT(('02.XLS'!$A$6:$A$47=$A44)*('02.XLS'!$B$5:$JN$5=HY$5)*('02.XLS'!$B$6:$JN$47))</f>
        <v>0</v>
      </c>
      <c r="HZ44" s="1135" cm="1">
        <f t="array" ref="HZ44">SUMPRODUCT(('02.XLS'!$A$6:$A$47=$A44)*('02.XLS'!$B$5:$JN$5=HZ$5)*('02.XLS'!$B$6:$JN$47))</f>
        <v>0</v>
      </c>
      <c r="IA44" s="1136">
        <f t="shared" si="242"/>
        <v>0</v>
      </c>
      <c r="IB44" s="1135" cm="1">
        <f t="array" ref="IB44">SUMPRODUCT(('02.XLS'!$A$6:$A$47=$A44)*('02.XLS'!$B$5:$JN$5=IB$5)*('02.XLS'!$B$6:$JN$47))</f>
        <v>0</v>
      </c>
      <c r="IC44" s="1135" cm="1">
        <f t="array" ref="IC44">SUMPRODUCT(('02.XLS'!$A$6:$A$47=$A44)*('02.XLS'!$B$5:$JN$5=IC$5)*('02.XLS'!$B$6:$JN$47))</f>
        <v>0</v>
      </c>
      <c r="ID44" s="1135" cm="1">
        <f t="array" ref="ID44">SUMPRODUCT(('02.XLS'!$A$6:$A$47=$A44)*('02.XLS'!$B$5:$JN$5=ID$5)*('02.XLS'!$B$6:$JN$47))</f>
        <v>0</v>
      </c>
      <c r="IE44" s="1135" cm="1">
        <f t="array" ref="IE44">SUMPRODUCT(('02.XLS'!$A$6:$A$47=$A44)*('02.XLS'!$B$5:$JN$5=IE$5)*('02.XLS'!$B$6:$JN$47))</f>
        <v>0</v>
      </c>
      <c r="IF44" s="1135" cm="1">
        <f t="array" ref="IF44">SUMPRODUCT(('02.XLS'!$A$6:$A$47=$A44)*('02.XLS'!$B$5:$JN$5=IF$5)*('02.XLS'!$B$6:$JN$47))</f>
        <v>0</v>
      </c>
      <c r="IG44" s="1135" cm="1">
        <f t="array" ref="IG44">SUMPRODUCT(('02.XLS'!$A$6:$A$47=$A44)*('02.XLS'!$B$5:$JN$5=IG$5)*('02.XLS'!$B$6:$JN$47))</f>
        <v>0</v>
      </c>
      <c r="IH44" s="1135" cm="1">
        <f t="array" ref="IH44">SUMPRODUCT(('02.XLS'!$A$6:$A$47=$A44)*('02.XLS'!$B$5:$JN$5=IH$5)*('02.XLS'!$B$6:$JN$47))</f>
        <v>0</v>
      </c>
      <c r="II44" s="1135" cm="1">
        <f t="array" ref="II44">SUMPRODUCT(('02.XLS'!$A$6:$A$47=$A44)*('02.XLS'!$B$5:$JN$5=II$5)*('02.XLS'!$B$6:$JN$47))</f>
        <v>0</v>
      </c>
      <c r="IJ44" s="1135" cm="1">
        <f t="array" ref="IJ44">SUMPRODUCT(('02.XLS'!$A$6:$A$47=$A44)*('02.XLS'!$B$5:$JN$5=IJ$5)*('02.XLS'!$B$6:$JN$47))</f>
        <v>0</v>
      </c>
      <c r="IK44" s="1135" cm="1">
        <f t="array" ref="IK44">SUMPRODUCT(('02.XLS'!$A$6:$A$47=$A44)*('02.XLS'!$B$5:$JN$5=IK$5)*('02.XLS'!$B$6:$JN$47))</f>
        <v>0</v>
      </c>
      <c r="IL44" s="1135" cm="1">
        <f t="array" ref="IL44">SUMPRODUCT(('02.XLS'!$A$6:$A$47=$A44)*('02.XLS'!$B$5:$JN$5=IL$5)*('02.XLS'!$B$6:$JN$47))</f>
        <v>0</v>
      </c>
      <c r="IM44" s="1135" cm="1">
        <f t="array" ref="IM44">SUMPRODUCT(('02.XLS'!$A$6:$A$47=$A44)*('02.XLS'!$B$5:$JN$5=IM$5)*('02.XLS'!$B$6:$JN$47))</f>
        <v>0</v>
      </c>
      <c r="IN44" s="1136">
        <f t="shared" si="255"/>
        <v>0</v>
      </c>
      <c r="IO44" s="1135" cm="1">
        <f t="array" ref="IO44">SUMPRODUCT(('02.XLS'!$A$6:$A$47=$A44)*('02.XLS'!$B$5:$JN$5=IO$5)*('02.XLS'!$B$6:$JN$47))</f>
        <v>0</v>
      </c>
      <c r="IP44" s="1135" cm="1">
        <f t="array" ref="IP44">SUMPRODUCT(('02.XLS'!$A$6:$A$47=$A44)*('02.XLS'!$B$5:$JN$5=IP$5)*('02.XLS'!$B$6:$JN$47))</f>
        <v>0</v>
      </c>
      <c r="IQ44" s="1135" cm="1">
        <f t="array" ref="IQ44">SUMPRODUCT(('02.XLS'!$A$6:$A$47=$A44)*('02.XLS'!$B$5:$JN$5=IQ$5)*('02.XLS'!$B$6:$JN$47))</f>
        <v>0</v>
      </c>
      <c r="IR44" s="1135" cm="1">
        <f t="array" ref="IR44">SUMPRODUCT(('02.XLS'!$A$6:$A$47=$A44)*('02.XLS'!$B$5:$JN$5=IR$5)*('02.XLS'!$B$6:$JN$47))</f>
        <v>0</v>
      </c>
      <c r="IS44" s="1135" cm="1">
        <f t="array" ref="IS44">SUMPRODUCT(('02.XLS'!$A$6:$A$47=$A44)*('02.XLS'!$B$5:$JN$5=IS$5)*('02.XLS'!$B$6:$JN$47))</f>
        <v>0</v>
      </c>
      <c r="IT44" s="1135" cm="1">
        <f t="array" ref="IT44">SUMPRODUCT(('02.XLS'!$A$6:$A$47=$A44)*('02.XLS'!$B$5:$JN$5=IT$5)*('02.XLS'!$B$6:$JN$47))</f>
        <v>0</v>
      </c>
      <c r="IU44" s="1135" cm="1">
        <f t="array" ref="IU44">SUMPRODUCT(('02.XLS'!$A$6:$A$47=$A44)*('02.XLS'!$B$5:$JN$5=IU$5)*('02.XLS'!$B$6:$JN$47))</f>
        <v>0</v>
      </c>
      <c r="IV44" s="1135" cm="1">
        <f t="array" ref="IV44">SUMPRODUCT(('02.XLS'!$A$6:$A$47=$A44)*('02.XLS'!$B$5:$JN$5=IV$5)*('02.XLS'!$B$6:$JN$47))</f>
        <v>0</v>
      </c>
      <c r="IW44" s="1135" cm="1">
        <f t="array" ref="IW44">SUMPRODUCT(('02.XLS'!$A$6:$A$47=$A44)*('02.XLS'!$B$5:$JN$5=IW$5)*('02.XLS'!$B$6:$JN$47))</f>
        <v>0</v>
      </c>
      <c r="IX44" s="1135" cm="1">
        <f t="array" ref="IX44">SUMPRODUCT(('02.XLS'!$A$6:$A$47=$A44)*('02.XLS'!$B$5:$JN$5=IX$5)*('02.XLS'!$B$6:$JN$47))</f>
        <v>0</v>
      </c>
      <c r="IY44" s="1135" cm="1">
        <f t="array" ref="IY44">SUMPRODUCT(('02.XLS'!$A$6:$A$47=$A44)*('02.XLS'!$B$5:$JN$5=IY$5)*('02.XLS'!$B$6:$JN$47))</f>
        <v>0</v>
      </c>
      <c r="IZ44" s="1135" cm="1">
        <f t="array" ref="IZ44">SUMPRODUCT(('02.XLS'!$A$6:$A$47=$A44)*('02.XLS'!$B$5:$JN$5=IZ$5)*('02.XLS'!$B$6:$JN$47))</f>
        <v>0</v>
      </c>
      <c r="JA44" s="1136">
        <f t="shared" si="268"/>
        <v>0</v>
      </c>
      <c r="JB44" s="1135" cm="1">
        <f t="array" ref="JB44">SUMPRODUCT(('02.XLS'!$A$6:$A$47=$A44)*('02.XLS'!$B$5:$JN$5=JB$5)*('02.XLS'!$B$6:$JN$47))</f>
        <v>0</v>
      </c>
      <c r="JC44" s="1135" cm="1">
        <f t="array" ref="JC44">SUMPRODUCT(('02.XLS'!$A$6:$A$47=$A44)*('02.XLS'!$B$5:$JN$5=JC$5)*('02.XLS'!$B$6:$JN$47))</f>
        <v>0</v>
      </c>
      <c r="JD44" s="1135" cm="1">
        <f t="array" ref="JD44">SUMPRODUCT(('02.XLS'!$A$6:$A$47=$A44)*('02.XLS'!$B$5:$JN$5=JD$5)*('02.XLS'!$B$6:$JN$47))</f>
        <v>0</v>
      </c>
      <c r="JE44" s="1135" cm="1">
        <f t="array" ref="JE44">SUMPRODUCT(('02.XLS'!$A$6:$A$47=$A44)*('02.XLS'!$B$5:$JN$5=JE$5)*('02.XLS'!$B$6:$JN$47))</f>
        <v>0</v>
      </c>
      <c r="JF44" s="1135" cm="1">
        <f t="array" ref="JF44">SUMPRODUCT(('02.XLS'!$A$6:$A$47=$A44)*('02.XLS'!$B$5:$JN$5=JF$5)*('02.XLS'!$B$6:$JN$47))</f>
        <v>0</v>
      </c>
      <c r="JG44" s="1135" cm="1">
        <f t="array" ref="JG44">SUMPRODUCT(('02.XLS'!$A$6:$A$47=$A44)*('02.XLS'!$B$5:$JN$5=JG$5)*('02.XLS'!$B$6:$JN$47))</f>
        <v>0</v>
      </c>
      <c r="JH44" s="1135" cm="1">
        <f t="array" ref="JH44">SUMPRODUCT(('02.XLS'!$A$6:$A$47=$A44)*('02.XLS'!$B$5:$JN$5=JH$5)*('02.XLS'!$B$6:$JN$47))</f>
        <v>0</v>
      </c>
      <c r="JI44" s="1135" cm="1">
        <f t="array" ref="JI44">SUMPRODUCT(('02.XLS'!$A$6:$A$47=$A44)*('02.XLS'!$B$5:$JN$5=JI$5)*('02.XLS'!$B$6:$JN$47))</f>
        <v>0</v>
      </c>
      <c r="JJ44" s="1135" cm="1">
        <f t="array" ref="JJ44">SUMPRODUCT(('02.XLS'!$A$6:$A$47=$A44)*('02.XLS'!$B$5:$JN$5=JJ$5)*('02.XLS'!$B$6:$JN$47))</f>
        <v>0</v>
      </c>
      <c r="JK44" s="1135" cm="1">
        <f t="array" ref="JK44">SUMPRODUCT(('02.XLS'!$A$6:$A$47=$A44)*('02.XLS'!$B$5:$JN$5=JK$5)*('02.XLS'!$B$6:$JN$47))</f>
        <v>0</v>
      </c>
      <c r="JL44" s="1135" cm="1">
        <f t="array" ref="JL44">SUMPRODUCT(('02.XLS'!$A$6:$A$47=$A44)*('02.XLS'!$B$5:$JN$5=JL$5)*('02.XLS'!$B$6:$JN$47))</f>
        <v>0</v>
      </c>
      <c r="JM44" s="1135" cm="1">
        <f t="array" ref="JM44">SUMPRODUCT(('02.XLS'!$A$6:$A$47=$A44)*('02.XLS'!$B$5:$JN$5=JM$5)*('02.XLS'!$B$6:$JN$47))</f>
        <v>0</v>
      </c>
      <c r="JN44" s="1136">
        <f t="shared" si="281"/>
        <v>0</v>
      </c>
      <c r="JP44" s="1178" t="str">
        <f t="shared" si="311"/>
        <v/>
      </c>
      <c r="JQ44" s="1179" t="str">
        <f t="shared" si="312"/>
        <v/>
      </c>
      <c r="JR44" s="1188">
        <f t="shared" si="313"/>
        <v>0</v>
      </c>
      <c r="JS44" s="1189">
        <f t="shared" si="314"/>
        <v>0</v>
      </c>
      <c r="JT44" s="1153"/>
      <c r="JU44" s="1082"/>
      <c r="JV44" s="1083"/>
      <c r="JW44" s="1084"/>
    </row>
    <row r="45" spans="1:283" ht="15" customHeight="1" x14ac:dyDescent="0.2">
      <c r="A45" s="1169" t="s">
        <v>42</v>
      </c>
      <c r="B45" s="1135" cm="1">
        <f t="array" ref="B45">SUMPRODUCT(('02.XLS'!$A$6:$A$47=$A45)*('02.XLS'!$B$5:$JN$5=B$5)*('02.XLS'!$B$6:$JN$47))</f>
        <v>2117</v>
      </c>
      <c r="C45" s="1135" cm="1">
        <f t="array" ref="C45">SUMPRODUCT(('02.XLS'!$A$6:$A$47=$A45)*('02.XLS'!$B$5:$JN$5=C$5)*('02.XLS'!$B$6:$JN$47))</f>
        <v>2072.37</v>
      </c>
      <c r="D45" s="1135" cm="1">
        <f t="array" ref="D45">SUMPRODUCT(('02.XLS'!$A$6:$A$47=$A45)*('02.XLS'!$B$5:$JN$5=D$5)*('02.XLS'!$B$6:$JN$47))</f>
        <v>1638</v>
      </c>
      <c r="E45" s="1135" cm="1">
        <f t="array" ref="E45">SUMPRODUCT(('02.XLS'!$A$6:$A$47=$A45)*('02.XLS'!$B$5:$JN$5=E$5)*('02.XLS'!$B$6:$JN$47))</f>
        <v>1570</v>
      </c>
      <c r="F45" s="1135" cm="1">
        <f t="array" ref="F45">SUMPRODUCT(('02.XLS'!$A$6:$A$47=$A45)*('02.XLS'!$B$5:$JN$5=F$5)*('02.XLS'!$B$6:$JN$47))</f>
        <v>1498</v>
      </c>
      <c r="G45" s="1135" cm="1">
        <f t="array" ref="G45">SUMPRODUCT(('02.XLS'!$A$6:$A$47=$A45)*('02.XLS'!$B$5:$JN$5=G$5)*('02.XLS'!$B$6:$JN$47))</f>
        <v>1489</v>
      </c>
      <c r="H45" s="1135" cm="1">
        <f t="array" ref="H45">SUMPRODUCT(('02.XLS'!$A$6:$A$47=$A45)*('02.XLS'!$B$5:$JN$5=H$5)*('02.XLS'!$B$6:$JN$47))</f>
        <v>1478.37</v>
      </c>
      <c r="I45" s="1135" cm="1">
        <f t="array" ref="I45">SUMPRODUCT(('02.XLS'!$A$6:$A$47=$A45)*('02.XLS'!$B$5:$JN$5=I$5)*('02.XLS'!$B$6:$JN$47))</f>
        <v>1448</v>
      </c>
      <c r="J45" s="1135" cm="1">
        <f t="array" ref="J45">SUMPRODUCT(('02.XLS'!$A$6:$A$47=$A45)*('02.XLS'!$B$5:$JN$5=J$5)*('02.XLS'!$B$6:$JN$47))</f>
        <v>1401</v>
      </c>
      <c r="K45" s="1135" cm="1">
        <f t="array" ref="K45">SUMPRODUCT(('02.XLS'!$A$6:$A$47=$A45)*('02.XLS'!$B$5:$JN$5=K$5)*('02.XLS'!$B$6:$JN$47))</f>
        <v>1501</v>
      </c>
      <c r="L45" s="1135" cm="1">
        <f t="array" ref="L45">SUMPRODUCT(('02.XLS'!$A$6:$A$47=$A45)*('02.XLS'!$B$5:$JN$5=L$5)*('02.XLS'!$B$6:$JN$47))</f>
        <v>1517</v>
      </c>
      <c r="M45" s="1135" cm="1">
        <f t="array" ref="M45">SUMPRODUCT(('02.XLS'!$A$6:$A$47=$A45)*('02.XLS'!$B$5:$JN$5=M$5)*('02.XLS'!$B$6:$JN$47))</f>
        <v>1448</v>
      </c>
      <c r="N45" s="1136">
        <f t="shared" si="21"/>
        <v>19177.739999999998</v>
      </c>
      <c r="O45" s="1135" cm="1">
        <f t="array" ref="O45">SUMPRODUCT(('02.XLS'!$A$6:$A$47=$A45)*('02.XLS'!$B$5:$JN$5=O$5)*('02.XLS'!$B$6:$JN$47))</f>
        <v>2208</v>
      </c>
      <c r="P45" s="1135" cm="1">
        <f t="array" ref="P45">SUMPRODUCT(('02.XLS'!$A$6:$A$47=$A45)*('02.XLS'!$B$5:$JN$5=P$5)*('02.XLS'!$B$6:$JN$47))</f>
        <v>1697</v>
      </c>
      <c r="Q45" s="1135" cm="1">
        <f t="array" ref="Q45">SUMPRODUCT(('02.XLS'!$A$6:$A$47=$A45)*('02.XLS'!$B$5:$JN$5=Q$5)*('02.XLS'!$B$6:$JN$47))</f>
        <v>1705</v>
      </c>
      <c r="R45" s="1135" cm="1">
        <f t="array" ref="R45">SUMPRODUCT(('02.XLS'!$A$6:$A$47=$A45)*('02.XLS'!$B$5:$JN$5=R$5)*('02.XLS'!$B$6:$JN$47))</f>
        <v>1769</v>
      </c>
      <c r="S45" s="1135" cm="1">
        <f t="array" ref="S45">SUMPRODUCT(('02.XLS'!$A$6:$A$47=$A45)*('02.XLS'!$B$5:$JN$5=S$5)*('02.XLS'!$B$6:$JN$47))</f>
        <v>1998</v>
      </c>
      <c r="T45" s="1135" cm="1">
        <f t="array" ref="T45">SUMPRODUCT(('02.XLS'!$A$6:$A$47=$A45)*('02.XLS'!$B$5:$JN$5=T$5)*('02.XLS'!$B$6:$JN$47))</f>
        <v>1591</v>
      </c>
      <c r="U45" s="1135" cm="1">
        <f t="array" ref="U45">SUMPRODUCT(('02.XLS'!$A$6:$A$47=$A45)*('02.XLS'!$B$5:$JN$5=U$5)*('02.XLS'!$B$6:$JN$47))</f>
        <v>1318</v>
      </c>
      <c r="V45" s="1135" cm="1">
        <f t="array" ref="V45">SUMPRODUCT(('02.XLS'!$A$6:$A$47=$A45)*('02.XLS'!$B$5:$JN$5=V$5)*('02.XLS'!$B$6:$JN$47))</f>
        <v>1550</v>
      </c>
      <c r="W45" s="1135" cm="1">
        <f t="array" ref="W45">SUMPRODUCT(('02.XLS'!$A$6:$A$47=$A45)*('02.XLS'!$B$5:$JN$5=W$5)*('02.XLS'!$B$6:$JN$47))</f>
        <v>1907</v>
      </c>
      <c r="X45" s="1135" cm="1">
        <f t="array" ref="X45">SUMPRODUCT(('02.XLS'!$A$6:$A$47=$A45)*('02.XLS'!$B$5:$JN$5=X$5)*('02.XLS'!$B$6:$JN$47))</f>
        <v>1682</v>
      </c>
      <c r="Y45" s="1135" cm="1">
        <f t="array" ref="Y45">SUMPRODUCT(('02.XLS'!$A$6:$A$47=$A45)*('02.XLS'!$B$5:$JN$5=Y$5)*('02.XLS'!$B$6:$JN$47))</f>
        <v>1563</v>
      </c>
      <c r="Z45" s="1135" cm="1">
        <f t="array" ref="Z45">SUMPRODUCT(('02.XLS'!$A$6:$A$47=$A45)*('02.XLS'!$B$5:$JN$5=Z$5)*('02.XLS'!$B$6:$JN$47))</f>
        <v>2341</v>
      </c>
      <c r="AA45" s="1136">
        <f t="shared" si="34"/>
        <v>21329</v>
      </c>
      <c r="AB45" s="1135" cm="1">
        <f t="array" ref="AB45">SUMPRODUCT(('02.XLS'!$A$6:$A$47=$A45)*('02.XLS'!$B$5:$JN$5=AB$5)*('02.XLS'!$B$6:$JN$47))</f>
        <v>2171</v>
      </c>
      <c r="AC45" s="1135" cm="1">
        <f t="array" ref="AC45">SUMPRODUCT(('02.XLS'!$A$6:$A$47=$A45)*('02.XLS'!$B$5:$JN$5=AC$5)*('02.XLS'!$B$6:$JN$47))</f>
        <v>2153</v>
      </c>
      <c r="AD45" s="1135" cm="1">
        <f t="array" ref="AD45">SUMPRODUCT(('02.XLS'!$A$6:$A$47=$A45)*('02.XLS'!$B$5:$JN$5=AD$5)*('02.XLS'!$B$6:$JN$47))</f>
        <v>2117</v>
      </c>
      <c r="AE45" s="1135" cm="1">
        <f t="array" ref="AE45">SUMPRODUCT(('02.XLS'!$A$6:$A$47=$A45)*('02.XLS'!$B$5:$JN$5=AE$5)*('02.XLS'!$B$6:$JN$47))</f>
        <v>2037</v>
      </c>
      <c r="AF45" s="1135" cm="1">
        <f t="array" ref="AF45">SUMPRODUCT(('02.XLS'!$A$6:$A$47=$A45)*('02.XLS'!$B$5:$JN$5=AF$5)*('02.XLS'!$B$6:$JN$47))</f>
        <v>1821</v>
      </c>
      <c r="AG45" s="1135" cm="1">
        <f t="array" ref="AG45">SUMPRODUCT(('02.XLS'!$A$6:$A$47=$A45)*('02.XLS'!$B$5:$JN$5=AG$5)*('02.XLS'!$B$6:$JN$47))</f>
        <v>1798</v>
      </c>
      <c r="AH45" s="1135" cm="1">
        <f t="array" ref="AH45">SUMPRODUCT(('02.XLS'!$A$6:$A$47=$A45)*('02.XLS'!$B$5:$JN$5=AH$5)*('02.XLS'!$B$6:$JN$47))</f>
        <v>2122</v>
      </c>
      <c r="AI45" s="1135" cm="1">
        <f t="array" ref="AI45">SUMPRODUCT(('02.XLS'!$A$6:$A$47=$A45)*('02.XLS'!$B$5:$JN$5=AI$5)*('02.XLS'!$B$6:$JN$47))</f>
        <v>1569</v>
      </c>
      <c r="AJ45" s="1135" cm="1">
        <f t="array" ref="AJ45">SUMPRODUCT(('02.XLS'!$A$6:$A$47=$A45)*('02.XLS'!$B$5:$JN$5=AJ$5)*('02.XLS'!$B$6:$JN$47))</f>
        <v>1919</v>
      </c>
      <c r="AK45" s="1135" cm="1">
        <f t="array" ref="AK45">SUMPRODUCT(('02.XLS'!$A$6:$A$47=$A45)*('02.XLS'!$B$5:$JN$5=AK$5)*('02.XLS'!$B$6:$JN$47))</f>
        <v>2001</v>
      </c>
      <c r="AL45" s="1135" cm="1">
        <f t="array" ref="AL45">SUMPRODUCT(('02.XLS'!$A$6:$A$47=$A45)*('02.XLS'!$B$5:$JN$5=AL$5)*('02.XLS'!$B$6:$JN$47))</f>
        <v>1961</v>
      </c>
      <c r="AM45" s="1135" cm="1">
        <f t="array" ref="AM45">SUMPRODUCT(('02.XLS'!$A$6:$A$47=$A45)*('02.XLS'!$B$5:$JN$5=AM$5)*('02.XLS'!$B$6:$JN$47))</f>
        <v>1609</v>
      </c>
      <c r="AN45" s="1136">
        <f t="shared" si="47"/>
        <v>23278</v>
      </c>
      <c r="AO45" s="1135" cm="1">
        <f t="array" ref="AO45">SUMPRODUCT(('02.XLS'!$A$6:$A$47=$A45)*('02.XLS'!$B$5:$JN$5=AO$5)*('02.XLS'!$B$6:$JN$47))</f>
        <v>1991</v>
      </c>
      <c r="AP45" s="1135" cm="1">
        <f t="array" ref="AP45">SUMPRODUCT(('02.XLS'!$A$6:$A$47=$A45)*('02.XLS'!$B$5:$JN$5=AP$5)*('02.XLS'!$B$6:$JN$47))</f>
        <v>2653</v>
      </c>
      <c r="AQ45" s="1135" cm="1">
        <f t="array" ref="AQ45">SUMPRODUCT(('02.XLS'!$A$6:$A$47=$A45)*('02.XLS'!$B$5:$JN$5=AQ$5)*('02.XLS'!$B$6:$JN$47))</f>
        <v>1918</v>
      </c>
      <c r="AR45" s="1135" cm="1">
        <f t="array" ref="AR45">SUMPRODUCT(('02.XLS'!$A$6:$A$47=$A45)*('02.XLS'!$B$5:$JN$5=AR$5)*('02.XLS'!$B$6:$JN$47))</f>
        <v>2581</v>
      </c>
      <c r="AS45" s="1135" cm="1">
        <f t="array" ref="AS45">SUMPRODUCT(('02.XLS'!$A$6:$A$47=$A45)*('02.XLS'!$B$5:$JN$5=AS$5)*('02.XLS'!$B$6:$JN$47))</f>
        <v>2322</v>
      </c>
      <c r="AT45" s="1135" cm="1">
        <f t="array" ref="AT45">SUMPRODUCT(('02.XLS'!$A$6:$A$47=$A45)*('02.XLS'!$B$5:$JN$5=AT$5)*('02.XLS'!$B$6:$JN$47))</f>
        <v>2078</v>
      </c>
      <c r="AU45" s="1135" cm="1">
        <f t="array" ref="AU45">SUMPRODUCT(('02.XLS'!$A$6:$A$47=$A45)*('02.XLS'!$B$5:$JN$5=AU$5)*('02.XLS'!$B$6:$JN$47))</f>
        <v>2079</v>
      </c>
      <c r="AV45" s="1135" cm="1">
        <f t="array" ref="AV45">SUMPRODUCT(('02.XLS'!$A$6:$A$47=$A45)*('02.XLS'!$B$5:$JN$5=AV$5)*('02.XLS'!$B$6:$JN$47))</f>
        <v>2174</v>
      </c>
      <c r="AW45" s="1135" cm="1">
        <f t="array" ref="AW45">SUMPRODUCT(('02.XLS'!$A$6:$A$47=$A45)*('02.XLS'!$B$5:$JN$5=AW$5)*('02.XLS'!$B$6:$JN$47))</f>
        <v>2601</v>
      </c>
      <c r="AX45" s="1135" cm="1">
        <f t="array" ref="AX45">SUMPRODUCT(('02.XLS'!$A$6:$A$47=$A45)*('02.XLS'!$B$5:$JN$5=AX$5)*('02.XLS'!$B$6:$JN$47))</f>
        <v>2231</v>
      </c>
      <c r="AY45" s="1135" cm="1">
        <f t="array" ref="AY45">SUMPRODUCT(('02.XLS'!$A$6:$A$47=$A45)*('02.XLS'!$B$5:$JN$5=AY$5)*('02.XLS'!$B$6:$JN$47))</f>
        <v>2271</v>
      </c>
      <c r="AZ45" s="1135" cm="1">
        <f t="array" ref="AZ45">SUMPRODUCT(('02.XLS'!$A$6:$A$47=$A45)*('02.XLS'!$B$5:$JN$5=AZ$5)*('02.XLS'!$B$6:$JN$47))</f>
        <v>1975</v>
      </c>
      <c r="BA45" s="1136">
        <f t="shared" si="60"/>
        <v>26874</v>
      </c>
      <c r="BB45" s="1135" cm="1">
        <f t="array" ref="BB45">SUMPRODUCT(('02.XLS'!$A$6:$A$47=$A45)*('02.XLS'!$B$5:$JN$5=BB$5)*('02.XLS'!$B$6:$JN$47))</f>
        <v>1913</v>
      </c>
      <c r="BC45" s="1135" cm="1">
        <f t="array" ref="BC45">SUMPRODUCT(('02.XLS'!$A$6:$A$47=$A45)*('02.XLS'!$B$5:$JN$5=BC$5)*('02.XLS'!$B$6:$JN$47))</f>
        <v>1868</v>
      </c>
      <c r="BD45" s="1135" cm="1">
        <f t="array" ref="BD45">SUMPRODUCT(('02.XLS'!$A$6:$A$47=$A45)*('02.XLS'!$B$5:$JN$5=BD$5)*('02.XLS'!$B$6:$JN$47))</f>
        <v>1920</v>
      </c>
      <c r="BE45" s="1135" cm="1">
        <f t="array" ref="BE45">SUMPRODUCT(('02.XLS'!$A$6:$A$47=$A45)*('02.XLS'!$B$5:$JN$5=BE$5)*('02.XLS'!$B$6:$JN$47))</f>
        <v>1861</v>
      </c>
      <c r="BF45" s="1135" cm="1">
        <f t="array" ref="BF45">SUMPRODUCT(('02.XLS'!$A$6:$A$47=$A45)*('02.XLS'!$B$5:$JN$5=BF$5)*('02.XLS'!$B$6:$JN$47))</f>
        <v>1725</v>
      </c>
      <c r="BG45" s="1135" cm="1">
        <f t="array" ref="BG45">SUMPRODUCT(('02.XLS'!$A$6:$A$47=$A45)*('02.XLS'!$B$5:$JN$5=BG$5)*('02.XLS'!$B$6:$JN$47))</f>
        <v>1868</v>
      </c>
      <c r="BH45" s="1135" cm="1">
        <f t="array" ref="BH45">SUMPRODUCT(('02.XLS'!$A$6:$A$47=$A45)*('02.XLS'!$B$5:$JN$5=BH$5)*('02.XLS'!$B$6:$JN$47))</f>
        <v>1637</v>
      </c>
      <c r="BI45" s="1135" cm="1">
        <f t="array" ref="BI45">SUMPRODUCT(('02.XLS'!$A$6:$A$47=$A45)*('02.XLS'!$B$5:$JN$5=BI$5)*('02.XLS'!$B$6:$JN$47))</f>
        <v>1631</v>
      </c>
      <c r="BJ45" s="1135" cm="1">
        <f t="array" ref="BJ45">SUMPRODUCT(('02.XLS'!$A$6:$A$47=$A45)*('02.XLS'!$B$5:$JN$5=BJ$5)*('02.XLS'!$B$6:$JN$47))</f>
        <v>1861</v>
      </c>
      <c r="BK45" s="1135" cm="1">
        <f t="array" ref="BK45">SUMPRODUCT(('02.XLS'!$A$6:$A$47=$A45)*('02.XLS'!$B$5:$JN$5=BK$5)*('02.XLS'!$B$6:$JN$47))</f>
        <v>2494</v>
      </c>
      <c r="BL45" s="1135" cm="1">
        <f t="array" ref="BL45">SUMPRODUCT(('02.XLS'!$A$6:$A$47=$A45)*('02.XLS'!$B$5:$JN$5=BL$5)*('02.XLS'!$B$6:$JN$47))</f>
        <v>2768</v>
      </c>
      <c r="BM45" s="1135" cm="1">
        <f t="array" ref="BM45">SUMPRODUCT(('02.XLS'!$A$6:$A$47=$A45)*('02.XLS'!$B$5:$JN$5=BM$5)*('02.XLS'!$B$6:$JN$47))</f>
        <v>2762</v>
      </c>
      <c r="BN45" s="1136">
        <f t="shared" si="73"/>
        <v>24308</v>
      </c>
      <c r="BO45" s="1135" cm="1">
        <f t="array" ref="BO45">SUMPRODUCT(('02.XLS'!$A$6:$A$47=$A45)*('02.XLS'!$B$5:$JN$5=BO$5)*('02.XLS'!$B$6:$JN$47))</f>
        <v>1784</v>
      </c>
      <c r="BP45" s="1135" cm="1">
        <f t="array" ref="BP45">SUMPRODUCT(('02.XLS'!$A$6:$A$47=$A45)*('02.XLS'!$B$5:$JN$5=BP$5)*('02.XLS'!$B$6:$JN$47))</f>
        <v>1796</v>
      </c>
      <c r="BQ45" s="1135" cm="1">
        <f t="array" ref="BQ45">SUMPRODUCT(('02.XLS'!$A$6:$A$47=$A45)*('02.XLS'!$B$5:$JN$5=BQ$5)*('02.XLS'!$B$6:$JN$47))</f>
        <v>1895</v>
      </c>
      <c r="BR45" s="1135" cm="1">
        <f t="array" ref="BR45">SUMPRODUCT(('02.XLS'!$A$6:$A$47=$A45)*('02.XLS'!$B$5:$JN$5=BR$5)*('02.XLS'!$B$6:$JN$47))</f>
        <v>2293</v>
      </c>
      <c r="BS45" s="1135" cm="1">
        <f t="array" ref="BS45">SUMPRODUCT(('02.XLS'!$A$6:$A$47=$A45)*('02.XLS'!$B$5:$JN$5=BS$5)*('02.XLS'!$B$6:$JN$47))</f>
        <v>2356</v>
      </c>
      <c r="BT45" s="1135" cm="1">
        <f t="array" ref="BT45">SUMPRODUCT(('02.XLS'!$A$6:$A$47=$A45)*('02.XLS'!$B$5:$JN$5=BT$5)*('02.XLS'!$B$6:$JN$47))</f>
        <v>1919</v>
      </c>
      <c r="BU45" s="1135" cm="1">
        <f t="array" ref="BU45">SUMPRODUCT(('02.XLS'!$A$6:$A$47=$A45)*('02.XLS'!$B$5:$JN$5=BU$5)*('02.XLS'!$B$6:$JN$47))</f>
        <v>1884</v>
      </c>
      <c r="BV45" s="1135" cm="1">
        <f t="array" ref="BV45">SUMPRODUCT(('02.XLS'!$A$6:$A$47=$A45)*('02.XLS'!$B$5:$JN$5=BV$5)*('02.XLS'!$B$6:$JN$47))</f>
        <v>1863</v>
      </c>
      <c r="BW45" s="1135" cm="1">
        <f t="array" ref="BW45">SUMPRODUCT(('02.XLS'!$A$6:$A$47=$A45)*('02.XLS'!$B$5:$JN$5=BW$5)*('02.XLS'!$B$6:$JN$47))</f>
        <v>3033</v>
      </c>
      <c r="BX45" s="1135" cm="1">
        <f t="array" ref="BX45">SUMPRODUCT(('02.XLS'!$A$6:$A$47=$A45)*('02.XLS'!$B$5:$JN$5=BX$5)*('02.XLS'!$B$6:$JN$47))</f>
        <v>2604</v>
      </c>
      <c r="BY45" s="1135" cm="1">
        <f t="array" ref="BY45">SUMPRODUCT(('02.XLS'!$A$6:$A$47=$A45)*('02.XLS'!$B$5:$JN$5=BY$5)*('02.XLS'!$B$6:$JN$47))</f>
        <v>3222</v>
      </c>
      <c r="BZ45" s="1135" cm="1">
        <f t="array" ref="BZ45">SUMPRODUCT(('02.XLS'!$A$6:$A$47=$A45)*('02.XLS'!$B$5:$JN$5=BZ$5)*('02.XLS'!$B$6:$JN$47))</f>
        <v>2448</v>
      </c>
      <c r="CA45" s="1136">
        <f t="shared" si="86"/>
        <v>27097</v>
      </c>
      <c r="CB45" s="1135" cm="1">
        <f t="array" ref="CB45">SUMPRODUCT(('02.XLS'!$A$6:$A$47=$A45)*('02.XLS'!$B$5:$JN$5=CB$5)*('02.XLS'!$B$6:$JN$47))</f>
        <v>3453</v>
      </c>
      <c r="CC45" s="1135" cm="1">
        <f t="array" ref="CC45">SUMPRODUCT(('02.XLS'!$A$6:$A$47=$A45)*('02.XLS'!$B$5:$JN$5=CC$5)*('02.XLS'!$B$6:$JN$47))</f>
        <v>6</v>
      </c>
      <c r="CD45" s="1135" cm="1">
        <f t="array" ref="CD45">SUMPRODUCT(('02.XLS'!$A$6:$A$47=$A45)*('02.XLS'!$B$5:$JN$5=CD$5)*('02.XLS'!$B$6:$JN$47))</f>
        <v>852</v>
      </c>
      <c r="CE45" s="1135" cm="1">
        <f t="array" ref="CE45">SUMPRODUCT(('02.XLS'!$A$6:$A$47=$A45)*('02.XLS'!$B$5:$JN$5=CE$5)*('02.XLS'!$B$6:$JN$47))</f>
        <v>633</v>
      </c>
      <c r="CF45" s="1135" cm="1">
        <f t="array" ref="CF45">SUMPRODUCT(('02.XLS'!$A$6:$A$47=$A45)*('02.XLS'!$B$5:$JN$5=CF$5)*('02.XLS'!$B$6:$JN$47))</f>
        <v>577</v>
      </c>
      <c r="CG45" s="1135" cm="1">
        <f t="array" ref="CG45">SUMPRODUCT(('02.XLS'!$A$6:$A$47=$A45)*('02.XLS'!$B$5:$JN$5=CG$5)*('02.XLS'!$B$6:$JN$47))</f>
        <v>449</v>
      </c>
      <c r="CH45" s="1135" cm="1">
        <f t="array" ref="CH45">SUMPRODUCT(('02.XLS'!$A$6:$A$47=$A45)*('02.XLS'!$B$5:$JN$5=CH$5)*('02.XLS'!$B$6:$JN$47))</f>
        <v>475</v>
      </c>
      <c r="CI45" s="1135" cm="1">
        <f t="array" ref="CI45">SUMPRODUCT(('02.XLS'!$A$6:$A$47=$A45)*('02.XLS'!$B$5:$JN$5=CI$5)*('02.XLS'!$B$6:$JN$47))</f>
        <v>4</v>
      </c>
      <c r="CJ45" s="1135" cm="1">
        <f t="array" ref="CJ45">SUMPRODUCT(('02.XLS'!$A$6:$A$47=$A45)*('02.XLS'!$B$5:$JN$5=CJ$5)*('02.XLS'!$B$6:$JN$47))</f>
        <v>0</v>
      </c>
      <c r="CK45" s="1135" cm="1">
        <f t="array" ref="CK45">SUMPRODUCT(('02.XLS'!$A$6:$A$47=$A45)*('02.XLS'!$B$5:$JN$5=CK$5)*('02.XLS'!$B$6:$JN$47))</f>
        <v>88</v>
      </c>
      <c r="CL45" s="1135" cm="1">
        <f t="array" ref="CL45">SUMPRODUCT(('02.XLS'!$A$6:$A$47=$A45)*('02.XLS'!$B$5:$JN$5=CL$5)*('02.XLS'!$B$6:$JN$47))</f>
        <v>65</v>
      </c>
      <c r="CM45" s="1135" cm="1">
        <f t="array" ref="CM45">SUMPRODUCT(('02.XLS'!$A$6:$A$47=$A45)*('02.XLS'!$B$5:$JN$5=CM$5)*('02.XLS'!$B$6:$JN$47))</f>
        <v>622</v>
      </c>
      <c r="CN45" s="1136">
        <f t="shared" si="99"/>
        <v>7224</v>
      </c>
      <c r="CO45" s="1135" cm="1">
        <f t="array" ref="CO45">SUMPRODUCT(('02.XLS'!$A$6:$A$47=$A45)*('02.XLS'!$B$5:$JN$5=CO$5)*('02.XLS'!$B$6:$JN$47))</f>
        <v>2422</v>
      </c>
      <c r="CP45" s="1135" cm="1">
        <f t="array" ref="CP45">SUMPRODUCT(('02.XLS'!$A$6:$A$47=$A45)*('02.XLS'!$B$5:$JN$5=CP$5)*('02.XLS'!$B$6:$JN$47))</f>
        <v>1548</v>
      </c>
      <c r="CQ45" s="1135" cm="1">
        <f t="array" ref="CQ45">SUMPRODUCT(('02.XLS'!$A$6:$A$47=$A45)*('02.XLS'!$B$5:$JN$5=CQ$5)*('02.XLS'!$B$6:$JN$47))</f>
        <v>1883</v>
      </c>
      <c r="CR45" s="1135" cm="1">
        <f t="array" ref="CR45">SUMPRODUCT(('02.XLS'!$A$6:$A$47=$A45)*('02.XLS'!$B$5:$JN$5=CR$5)*('02.XLS'!$B$6:$JN$47))</f>
        <v>2188</v>
      </c>
      <c r="CS45" s="1135" cm="1">
        <f t="array" ref="CS45">SUMPRODUCT(('02.XLS'!$A$6:$A$47=$A45)*('02.XLS'!$B$5:$JN$5=CS$5)*('02.XLS'!$B$6:$JN$47))</f>
        <v>2115</v>
      </c>
      <c r="CT45" s="1135" cm="1">
        <f t="array" ref="CT45">SUMPRODUCT(('02.XLS'!$A$6:$A$47=$A45)*('02.XLS'!$B$5:$JN$5=CT$5)*('02.XLS'!$B$6:$JN$47))</f>
        <v>1776</v>
      </c>
      <c r="CU45" s="1135" cm="1">
        <f t="array" ref="CU45">SUMPRODUCT(('02.XLS'!$A$6:$A$47=$A45)*('02.XLS'!$B$5:$JN$5=CU$5)*('02.XLS'!$B$6:$JN$47))</f>
        <v>1761</v>
      </c>
      <c r="CV45" s="1135" cm="1">
        <f t="array" ref="CV45">SUMPRODUCT(('02.XLS'!$A$6:$A$47=$A45)*('02.XLS'!$B$5:$JN$5=CV$5)*('02.XLS'!$B$6:$JN$47))</f>
        <v>1973</v>
      </c>
      <c r="CW45" s="1135" cm="1">
        <f t="array" ref="CW45">SUMPRODUCT(('02.XLS'!$A$6:$A$47=$A45)*('02.XLS'!$B$5:$JN$5=CW$5)*('02.XLS'!$B$6:$JN$47))</f>
        <v>1816</v>
      </c>
      <c r="CX45" s="1135" cm="1">
        <f t="array" ref="CX45">SUMPRODUCT(('02.XLS'!$A$6:$A$47=$A45)*('02.XLS'!$B$5:$JN$5=CX$5)*('02.XLS'!$B$6:$JN$47))</f>
        <v>1815</v>
      </c>
      <c r="CY45" s="1135" cm="1">
        <f t="array" ref="CY45">SUMPRODUCT(('02.XLS'!$A$6:$A$47=$A45)*('02.XLS'!$B$5:$JN$5=CY$5)*('02.XLS'!$B$6:$JN$47))</f>
        <v>1920</v>
      </c>
      <c r="CZ45" s="1135" cm="1">
        <f t="array" ref="CZ45">SUMPRODUCT(('02.XLS'!$A$6:$A$47=$A45)*('02.XLS'!$B$5:$JN$5=CZ$5)*('02.XLS'!$B$6:$JN$47))</f>
        <v>2200</v>
      </c>
      <c r="DA45" s="1136">
        <f t="shared" si="112"/>
        <v>23417</v>
      </c>
      <c r="DB45" s="1135" cm="1">
        <f t="array" ref="DB45">SUMPRODUCT(('02.XLS'!$A$6:$A$47=$A45)*('02.XLS'!$B$5:$JN$5=DB$5)*('02.XLS'!$B$6:$JN$47))</f>
        <v>2025</v>
      </c>
      <c r="DC45" s="1135" cm="1">
        <f t="array" ref="DC45">SUMPRODUCT(('02.XLS'!$A$6:$A$47=$A45)*('02.XLS'!$B$5:$JN$5=DC$5)*('02.XLS'!$B$6:$JN$47))</f>
        <v>1974</v>
      </c>
      <c r="DD45" s="1135" cm="1">
        <f t="array" ref="DD45">SUMPRODUCT(('02.XLS'!$A$6:$A$47=$A45)*('02.XLS'!$B$5:$JN$5=DD$5)*('02.XLS'!$B$6:$JN$47))</f>
        <v>2181</v>
      </c>
      <c r="DE45" s="1135" cm="1">
        <f t="array" ref="DE45">SUMPRODUCT(('02.XLS'!$A$6:$A$47=$A45)*('02.XLS'!$B$5:$JN$5=DE$5)*('02.XLS'!$B$6:$JN$47))</f>
        <v>2455</v>
      </c>
      <c r="DF45" s="1135" cm="1">
        <f t="array" ref="DF45">SUMPRODUCT(('02.XLS'!$A$6:$A$47=$A45)*('02.XLS'!$B$5:$JN$5=DF$5)*('02.XLS'!$B$6:$JN$47))</f>
        <v>2657</v>
      </c>
      <c r="DG45" s="1135" cm="1">
        <f t="array" ref="DG45">SUMPRODUCT(('02.XLS'!$A$6:$A$47=$A45)*('02.XLS'!$B$5:$JN$5=DG$5)*('02.XLS'!$B$6:$JN$47))</f>
        <v>2152</v>
      </c>
      <c r="DH45" s="1135" cm="1">
        <f t="array" ref="DH45">SUMPRODUCT(('02.XLS'!$A$6:$A$47=$A45)*('02.XLS'!$B$5:$JN$5=DH$5)*('02.XLS'!$B$6:$JN$47))</f>
        <v>2235</v>
      </c>
      <c r="DI45" s="1135" cm="1">
        <f t="array" ref="DI45">SUMPRODUCT(('02.XLS'!$A$6:$A$47=$A45)*('02.XLS'!$B$5:$JN$5=DI$5)*('02.XLS'!$B$6:$JN$47))</f>
        <v>2194</v>
      </c>
      <c r="DJ45" s="1135" cm="1">
        <f t="array" ref="DJ45">SUMPRODUCT(('02.XLS'!$A$6:$A$47=$A45)*('02.XLS'!$B$5:$JN$5=DJ$5)*('02.XLS'!$B$6:$JN$47))</f>
        <v>2239</v>
      </c>
      <c r="DK45" s="1135" cm="1">
        <f t="array" ref="DK45">SUMPRODUCT(('02.XLS'!$A$6:$A$47=$A45)*('02.XLS'!$B$5:$JN$5=DK$5)*('02.XLS'!$B$6:$JN$47))</f>
        <v>2292</v>
      </c>
      <c r="DL45" s="1135" cm="1">
        <f t="array" ref="DL45">SUMPRODUCT(('02.XLS'!$A$6:$A$47=$A45)*('02.XLS'!$B$5:$JN$5=DL$5)*('02.XLS'!$B$6:$JN$47))</f>
        <v>2367</v>
      </c>
      <c r="DM45" s="1135" cm="1">
        <f t="array" ref="DM45">SUMPRODUCT(('02.XLS'!$A$6:$A$47=$A45)*('02.XLS'!$B$5:$JN$5=DM$5)*('02.XLS'!$B$6:$JN$47))</f>
        <v>2530</v>
      </c>
      <c r="DN45" s="1136">
        <f t="shared" si="125"/>
        <v>27301</v>
      </c>
      <c r="DO45" s="1135" cm="1">
        <f t="array" ref="DO45">SUMPRODUCT(('02.XLS'!$A$6:$A$47=$A45)*('02.XLS'!$B$5:$JN$5=DO$5)*('02.XLS'!$B$6:$JN$47))</f>
        <v>2040</v>
      </c>
      <c r="DP45" s="1135" cm="1">
        <f t="array" ref="DP45">SUMPRODUCT(('02.XLS'!$A$6:$A$47=$A45)*('02.XLS'!$B$5:$JN$5=DP$5)*('02.XLS'!$B$6:$JN$47))</f>
        <v>2218</v>
      </c>
      <c r="DQ45" s="1135" cm="1">
        <f t="array" ref="DQ45">SUMPRODUCT(('02.XLS'!$A$6:$A$47=$A45)*('02.XLS'!$B$5:$JN$5=DQ$5)*('02.XLS'!$B$6:$JN$47))</f>
        <v>2297</v>
      </c>
      <c r="DR45" s="1135" cm="1">
        <f t="array" ref="DR45">SUMPRODUCT(('02.XLS'!$A$6:$A$47=$A45)*('02.XLS'!$B$5:$JN$5=DR$5)*('02.XLS'!$B$6:$JN$47))</f>
        <v>2057</v>
      </c>
      <c r="DS45" s="1135" cm="1">
        <f t="array" ref="DS45">SUMPRODUCT(('02.XLS'!$A$6:$A$47=$A45)*('02.XLS'!$B$5:$JN$5=DS$5)*('02.XLS'!$B$6:$JN$47))</f>
        <v>1958</v>
      </c>
      <c r="DT45" s="1135" cm="1">
        <f t="array" ref="DT45">SUMPRODUCT(('02.XLS'!$A$6:$A$47=$A45)*('02.XLS'!$B$5:$JN$5=DT$5)*('02.XLS'!$B$6:$JN$47))</f>
        <v>2355</v>
      </c>
      <c r="DU45" s="1135" cm="1">
        <f t="array" ref="DU45">SUMPRODUCT(('02.XLS'!$A$6:$A$47=$A45)*('02.XLS'!$B$5:$JN$5=DU$5)*('02.XLS'!$B$6:$JN$47))</f>
        <v>2082</v>
      </c>
      <c r="DV45" s="1135" cm="1">
        <f t="array" ref="DV45">SUMPRODUCT(('02.XLS'!$A$6:$A$47=$A45)*('02.XLS'!$B$5:$JN$5=DV$5)*('02.XLS'!$B$6:$JN$47))</f>
        <v>1953</v>
      </c>
      <c r="DW45" s="1135" cm="1">
        <f t="array" ref="DW45">SUMPRODUCT(('02.XLS'!$A$6:$A$47=$A45)*('02.XLS'!$B$5:$JN$5=DW$5)*('02.XLS'!$B$6:$JN$47))</f>
        <v>2394</v>
      </c>
      <c r="DX45" s="1135" cm="1">
        <f t="array" ref="DX45">SUMPRODUCT(('02.XLS'!$A$6:$A$47=$A45)*('02.XLS'!$B$5:$JN$5=DX$5)*('02.XLS'!$B$6:$JN$47))</f>
        <v>2445</v>
      </c>
      <c r="DY45" s="1135" cm="1">
        <f t="array" ref="DY45">SUMPRODUCT(('02.XLS'!$A$6:$A$47=$A45)*('02.XLS'!$B$5:$JN$5=DY$5)*('02.XLS'!$B$6:$JN$47))</f>
        <v>2383</v>
      </c>
      <c r="DZ45" s="1135" cm="1">
        <f t="array" ref="DZ45">SUMPRODUCT(('02.XLS'!$A$6:$A$47=$A45)*('02.XLS'!$B$5:$JN$5=DZ$5)*('02.XLS'!$B$6:$JN$47))</f>
        <v>2418</v>
      </c>
      <c r="EA45" s="1136">
        <f t="shared" si="138"/>
        <v>26600</v>
      </c>
      <c r="EB45" s="1135" cm="1">
        <f t="array" ref="EB45">SUMPRODUCT(('02.XLS'!$A$6:$A$47=$A45)*('02.XLS'!$B$5:$JN$5=EB$5)*('02.XLS'!$B$6:$JN$47))</f>
        <v>2520</v>
      </c>
      <c r="EC45" s="1135" cm="1">
        <f t="array" ref="EC45">SUMPRODUCT(('02.XLS'!$A$6:$A$47=$A45)*('02.XLS'!$B$5:$JN$5=EC$5)*('02.XLS'!$B$6:$JN$47))</f>
        <v>2339</v>
      </c>
      <c r="ED45" s="1135" cm="1">
        <f t="array" ref="ED45">SUMPRODUCT(('02.XLS'!$A$6:$A$47=$A45)*('02.XLS'!$B$5:$JN$5=ED$5)*('02.XLS'!$B$6:$JN$47))</f>
        <v>2132</v>
      </c>
      <c r="EE45" s="1135" cm="1">
        <f t="array" ref="EE45">SUMPRODUCT(('02.XLS'!$A$6:$A$47=$A45)*('02.XLS'!$B$5:$JN$5=EE$5)*('02.XLS'!$B$6:$JN$47))</f>
        <v>2472</v>
      </c>
      <c r="EF45" s="1135" cm="1">
        <f t="array" ref="EF45">SUMPRODUCT(('02.XLS'!$A$6:$A$47=$A45)*('02.XLS'!$B$5:$JN$5=EF$5)*('02.XLS'!$B$6:$JN$47))</f>
        <v>2165</v>
      </c>
      <c r="EG45" s="1135" cm="1">
        <f t="array" ref="EG45">SUMPRODUCT(('02.XLS'!$A$6:$A$47=$A45)*('02.XLS'!$B$5:$JN$5=EG$5)*('02.XLS'!$B$6:$JN$47))</f>
        <v>2369</v>
      </c>
      <c r="EH45" s="1135" cm="1">
        <f t="array" ref="EH45">SUMPRODUCT(('02.XLS'!$A$6:$A$47=$A45)*('02.XLS'!$B$5:$JN$5=EH$5)*('02.XLS'!$B$6:$JN$47))</f>
        <v>2028</v>
      </c>
      <c r="EI45" s="1135" cm="1">
        <f t="array" ref="EI45">SUMPRODUCT(('02.XLS'!$A$6:$A$47=$A45)*('02.XLS'!$B$5:$JN$5=EI$5)*('02.XLS'!$B$6:$JN$47))</f>
        <v>2125</v>
      </c>
      <c r="EJ45" s="1135" cm="1">
        <f t="array" ref="EJ45">SUMPRODUCT(('02.XLS'!$A$6:$A$47=$A45)*('02.XLS'!$B$5:$JN$5=EJ$5)*('02.XLS'!$B$6:$JN$47))</f>
        <v>1965</v>
      </c>
      <c r="EK45" s="1135" cm="1">
        <f t="array" ref="EK45">SUMPRODUCT(('02.XLS'!$A$6:$A$47=$A45)*('02.XLS'!$B$5:$JN$5=EK$5)*('02.XLS'!$B$6:$JN$47))</f>
        <v>2129</v>
      </c>
      <c r="EL45" s="1135" cm="1">
        <f t="array" ref="EL45">SUMPRODUCT(('02.XLS'!$A$6:$A$47=$A45)*('02.XLS'!$B$5:$JN$5=EL$5)*('02.XLS'!$B$6:$JN$47))</f>
        <v>2315</v>
      </c>
      <c r="EM45" s="1135" cm="1">
        <f t="array" ref="EM45">SUMPRODUCT(('02.XLS'!$A$6:$A$47=$A45)*('02.XLS'!$B$5:$JN$5=EM$5)*('02.XLS'!$B$6:$JN$47))</f>
        <v>2430</v>
      </c>
      <c r="EN45" s="1136">
        <f t="shared" si="151"/>
        <v>26989</v>
      </c>
      <c r="EO45" s="1135" cm="1">
        <f t="array" ref="EO45">SUMPRODUCT(('02.XLS'!$A$6:$A$47=$A45)*('02.XLS'!$B$5:$JN$5=EO$5)*('02.XLS'!$B$6:$JN$47))</f>
        <v>1199</v>
      </c>
      <c r="EP45" s="1135" cm="1">
        <f t="array" ref="EP45">SUMPRODUCT(('02.XLS'!$A$6:$A$47=$A45)*('02.XLS'!$B$5:$JN$5=EP$5)*('02.XLS'!$B$6:$JN$47))</f>
        <v>2632</v>
      </c>
      <c r="EQ45" s="1135" cm="1">
        <f t="array" ref="EQ45">SUMPRODUCT(('02.XLS'!$A$6:$A$47=$A45)*('02.XLS'!$B$5:$JN$5=EQ$5)*('02.XLS'!$B$6:$JN$47))</f>
        <v>2812</v>
      </c>
      <c r="ER45" s="1135" cm="1">
        <f t="array" ref="ER45">SUMPRODUCT(('02.XLS'!$A$6:$A$47=$A45)*('02.XLS'!$B$5:$JN$5=ER$5)*('02.XLS'!$B$6:$JN$47))</f>
        <v>2417</v>
      </c>
      <c r="ES45" s="1135" cm="1">
        <f t="array" ref="ES45">SUMPRODUCT(('02.XLS'!$A$6:$A$47=$A45)*('02.XLS'!$B$5:$JN$5=ES$5)*('02.XLS'!$B$6:$JN$47))</f>
        <v>2502</v>
      </c>
      <c r="ET45" s="1135" cm="1">
        <f t="array" ref="ET45">SUMPRODUCT(('02.XLS'!$A$6:$A$47=$A45)*('02.XLS'!$B$5:$JN$5=ET$5)*('02.XLS'!$B$6:$JN$47))</f>
        <v>2281</v>
      </c>
      <c r="EU45" s="1135" cm="1">
        <f t="array" ref="EU45">SUMPRODUCT(('02.XLS'!$A$6:$A$47=$A45)*('02.XLS'!$B$5:$JN$5=EU$5)*('02.XLS'!$B$6:$JN$47))</f>
        <v>2276</v>
      </c>
      <c r="EV45" s="1135" cm="1">
        <f t="array" ref="EV45">SUMPRODUCT(('02.XLS'!$A$6:$A$47=$A45)*('02.XLS'!$B$5:$JN$5=EV$5)*('02.XLS'!$B$6:$JN$47))</f>
        <v>2073</v>
      </c>
      <c r="EW45" s="1135" cm="1">
        <f t="array" ref="EW45">SUMPRODUCT(('02.XLS'!$A$6:$A$47=$A45)*('02.XLS'!$B$5:$JN$5=EW$5)*('02.XLS'!$B$6:$JN$47))</f>
        <v>2536</v>
      </c>
      <c r="EX45" s="1135" cm="1">
        <f t="array" ref="EX45">SUMPRODUCT(('02.XLS'!$A$6:$A$47=$A45)*('02.XLS'!$B$5:$JN$5=EX$5)*('02.XLS'!$B$6:$JN$47))</f>
        <v>2336</v>
      </c>
      <c r="EY45" s="1135" cm="1">
        <f t="array" ref="EY45">SUMPRODUCT(('02.XLS'!$A$6:$A$47=$A45)*('02.XLS'!$B$5:$JN$5=EY$5)*('02.XLS'!$B$6:$JN$47))</f>
        <v>2396</v>
      </c>
      <c r="EZ45" s="1135" cm="1">
        <f t="array" ref="EZ45">SUMPRODUCT(('02.XLS'!$A$6:$A$47=$A45)*('02.XLS'!$B$5:$JN$5=EZ$5)*('02.XLS'!$B$6:$JN$47))</f>
        <v>2484</v>
      </c>
      <c r="FA45" s="1136">
        <f t="shared" si="164"/>
        <v>27944</v>
      </c>
      <c r="FB45" s="1135" cm="1">
        <f t="array" ref="FB45">SUMPRODUCT(('02.XLS'!$A$6:$A$47=$A45)*('02.XLS'!$B$5:$JN$5=FB$5)*('02.XLS'!$B$6:$JN$47))</f>
        <v>2643</v>
      </c>
      <c r="FC45" s="1135" cm="1">
        <f t="array" ref="FC45">SUMPRODUCT(('02.XLS'!$A$6:$A$47=$A45)*('02.XLS'!$B$5:$JN$5=FC$5)*('02.XLS'!$B$6:$JN$47))</f>
        <v>2900</v>
      </c>
      <c r="FD45" s="1135" cm="1">
        <f t="array" ref="FD45">SUMPRODUCT(('02.XLS'!$A$6:$A$47=$A45)*('02.XLS'!$B$5:$JN$5=FD$5)*('02.XLS'!$B$6:$JN$47))</f>
        <v>3270</v>
      </c>
      <c r="FE45" s="1135" cm="1">
        <f t="array" ref="FE45">SUMPRODUCT(('02.XLS'!$A$6:$A$47=$A45)*('02.XLS'!$B$5:$JN$5=FE$5)*('02.XLS'!$B$6:$JN$47))</f>
        <v>2172</v>
      </c>
      <c r="FF45" s="1135" cm="1">
        <f t="array" ref="FF45">SUMPRODUCT(('02.XLS'!$A$6:$A$47=$A45)*('02.XLS'!$B$5:$JN$5=FF$5)*('02.XLS'!$B$6:$JN$47))</f>
        <v>2491</v>
      </c>
      <c r="FG45" s="1135" cm="1">
        <f t="array" ref="FG45">SUMPRODUCT(('02.XLS'!$A$6:$A$47=$A45)*('02.XLS'!$B$5:$JN$5=FG$5)*('02.XLS'!$B$6:$JN$47))</f>
        <v>3136</v>
      </c>
      <c r="FH45" s="1135" cm="1">
        <f t="array" ref="FH45">SUMPRODUCT(('02.XLS'!$A$6:$A$47=$A45)*('02.XLS'!$B$5:$JN$5=FH$5)*('02.XLS'!$B$6:$JN$47))</f>
        <v>2473</v>
      </c>
      <c r="FI45" s="1135" cm="1">
        <f t="array" ref="FI45">SUMPRODUCT(('02.XLS'!$A$6:$A$47=$A45)*('02.XLS'!$B$5:$JN$5=FI$5)*('02.XLS'!$B$6:$JN$47))</f>
        <v>2231</v>
      </c>
      <c r="FJ45" s="1135" cm="1">
        <f t="array" ref="FJ45">SUMPRODUCT(('02.XLS'!$A$6:$A$47=$A45)*('02.XLS'!$B$5:$JN$5=FJ$5)*('02.XLS'!$B$6:$JN$47))</f>
        <v>2771</v>
      </c>
      <c r="FK45" s="1135" cm="1">
        <f t="array" ref="FK45">SUMPRODUCT(('02.XLS'!$A$6:$A$47=$A45)*('02.XLS'!$B$5:$JN$5=FK$5)*('02.XLS'!$B$6:$JN$47))</f>
        <v>1723</v>
      </c>
      <c r="FL45" s="1135" cm="1">
        <f t="array" ref="FL45">SUMPRODUCT(('02.XLS'!$A$6:$A$47=$A45)*('02.XLS'!$B$5:$JN$5=FL$5)*('02.XLS'!$B$6:$JN$47))</f>
        <v>1428</v>
      </c>
      <c r="FM45" s="1135" cm="1">
        <f t="array" ref="FM45">SUMPRODUCT(('02.XLS'!$A$6:$A$47=$A45)*('02.XLS'!$B$5:$JN$5=FM$5)*('02.XLS'!$B$6:$JN$47))</f>
        <v>1583</v>
      </c>
      <c r="FN45" s="1136">
        <f t="shared" si="177"/>
        <v>28821</v>
      </c>
      <c r="FO45" s="1135" cm="1">
        <f t="array" ref="FO45">SUMPRODUCT(('02.XLS'!$A$6:$A$47=$A45)*('02.XLS'!$B$5:$JN$5=FO$5)*('02.XLS'!$B$6:$JN$47))</f>
        <v>2558</v>
      </c>
      <c r="FP45" s="1135" cm="1">
        <f t="array" ref="FP45">SUMPRODUCT(('02.XLS'!$A$6:$A$47=$A45)*('02.XLS'!$B$5:$JN$5=FP$5)*('02.XLS'!$B$6:$JN$47))</f>
        <v>2484</v>
      </c>
      <c r="FQ45" s="1135" cm="1">
        <f t="array" ref="FQ45">SUMPRODUCT(('02.XLS'!$A$6:$A$47=$A45)*('02.XLS'!$B$5:$JN$5=FQ$5)*('02.XLS'!$B$6:$JN$47))</f>
        <v>3173</v>
      </c>
      <c r="FR45" s="1135" cm="1">
        <f t="array" ref="FR45">SUMPRODUCT(('02.XLS'!$A$6:$A$47=$A45)*('02.XLS'!$B$5:$JN$5=FR$5)*('02.XLS'!$B$6:$JN$47))</f>
        <v>2105</v>
      </c>
      <c r="FS45" s="1135" cm="1">
        <f t="array" ref="FS45">SUMPRODUCT(('02.XLS'!$A$6:$A$47=$A45)*('02.XLS'!$B$5:$JN$5=FS$5)*('02.XLS'!$B$6:$JN$47))</f>
        <v>2220</v>
      </c>
      <c r="FT45" s="1135" cm="1">
        <f t="array" ref="FT45">SUMPRODUCT(('02.XLS'!$A$6:$A$47=$A45)*('02.XLS'!$B$5:$JN$5=FT$5)*('02.XLS'!$B$6:$JN$47))</f>
        <v>3362</v>
      </c>
      <c r="FU45" s="1135" cm="1">
        <f t="array" ref="FU45">SUMPRODUCT(('02.XLS'!$A$6:$A$47=$A45)*('02.XLS'!$B$5:$JN$5=FU$5)*('02.XLS'!$B$6:$JN$47))</f>
        <v>2527</v>
      </c>
      <c r="FV45" s="1135" cm="1">
        <f t="array" ref="FV45">SUMPRODUCT(('02.XLS'!$A$6:$A$47=$A45)*('02.XLS'!$B$5:$JN$5=FV$5)*('02.XLS'!$B$6:$JN$47))</f>
        <v>2179</v>
      </c>
      <c r="FW45" s="1135" cm="1">
        <f t="array" ref="FW45">SUMPRODUCT(('02.XLS'!$A$6:$A$47=$A45)*('02.XLS'!$B$5:$JN$5=FW$5)*('02.XLS'!$B$6:$JN$47))</f>
        <v>2562</v>
      </c>
      <c r="FX45" s="1135" cm="1">
        <f t="array" ref="FX45">SUMPRODUCT(('02.XLS'!$A$6:$A$47=$A45)*('02.XLS'!$B$5:$JN$5=FX$5)*('02.XLS'!$B$6:$JN$47))</f>
        <v>1453</v>
      </c>
      <c r="FY45" s="1135" cm="1">
        <f t="array" ref="FY45">SUMPRODUCT(('02.XLS'!$A$6:$A$47=$A45)*('02.XLS'!$B$5:$JN$5=FY$5)*('02.XLS'!$B$6:$JN$47))</f>
        <v>1547</v>
      </c>
      <c r="FZ45" s="1135" cm="1">
        <f t="array" ref="FZ45">SUMPRODUCT(('02.XLS'!$A$6:$A$47=$A45)*('02.XLS'!$B$5:$JN$5=FZ$5)*('02.XLS'!$B$6:$JN$47))</f>
        <v>1589</v>
      </c>
      <c r="GA45" s="1136">
        <f t="shared" si="190"/>
        <v>27759</v>
      </c>
      <c r="GB45" s="1135" cm="1">
        <f t="array" ref="GB45">SUMPRODUCT(('02.XLS'!$A$6:$A$47=$A45)*('02.XLS'!$B$5:$JN$5=GB$5)*('02.XLS'!$B$6:$JN$47))</f>
        <v>2549</v>
      </c>
      <c r="GC45" s="1135" cm="1">
        <f t="array" ref="GC45">SUMPRODUCT(('02.XLS'!$A$6:$A$47=$A45)*('02.XLS'!$B$5:$JN$5=GC$5)*('02.XLS'!$B$6:$JN$47))</f>
        <v>2447</v>
      </c>
      <c r="GD45" s="1135" cm="1">
        <f t="array" ref="GD45">SUMPRODUCT(('02.XLS'!$A$6:$A$47=$A45)*('02.XLS'!$B$5:$JN$5=GD$5)*('02.XLS'!$B$6:$JN$47))</f>
        <v>3517</v>
      </c>
      <c r="GE45" s="1135" cm="1">
        <f t="array" ref="GE45">SUMPRODUCT(('02.XLS'!$A$6:$A$47=$A45)*('02.XLS'!$B$5:$JN$5=GE$5)*('02.XLS'!$B$6:$JN$47))</f>
        <v>2607</v>
      </c>
      <c r="GF45" s="1135" cm="1">
        <f t="array" ref="GF45">SUMPRODUCT(('02.XLS'!$A$6:$A$47=$A45)*('02.XLS'!$B$5:$JN$5=GF$5)*('02.XLS'!$B$6:$JN$47))</f>
        <v>2695</v>
      </c>
      <c r="GG45" s="1135" cm="1">
        <f t="array" ref="GG45">SUMPRODUCT(('02.XLS'!$A$6:$A$47=$A45)*('02.XLS'!$B$5:$JN$5=GG$5)*('02.XLS'!$B$6:$JN$47))</f>
        <v>3495</v>
      </c>
      <c r="GH45" s="1135" cm="1">
        <f t="array" ref="GH45">SUMPRODUCT(('02.XLS'!$A$6:$A$47=$A45)*('02.XLS'!$B$5:$JN$5=GH$5)*('02.XLS'!$B$6:$JN$47))</f>
        <v>2763</v>
      </c>
      <c r="GI45" s="1135" cm="1">
        <f t="array" ref="GI45">SUMPRODUCT(('02.XLS'!$A$6:$A$47=$A45)*('02.XLS'!$B$5:$JN$5=GI$5)*('02.XLS'!$B$6:$JN$47))</f>
        <v>2402</v>
      </c>
      <c r="GJ45" s="1135" cm="1">
        <f t="array" ref="GJ45">SUMPRODUCT(('02.XLS'!$A$6:$A$47=$A45)*('02.XLS'!$B$5:$JN$5=GJ$5)*('02.XLS'!$B$6:$JN$47))</f>
        <v>3049</v>
      </c>
      <c r="GK45" s="1135" cm="1">
        <f t="array" ref="GK45">SUMPRODUCT(('02.XLS'!$A$6:$A$47=$A45)*('02.XLS'!$B$5:$JN$5=GK$5)*('02.XLS'!$B$6:$JN$47))</f>
        <v>2193</v>
      </c>
      <c r="GL45" s="1135" cm="1">
        <f t="array" ref="GL45">SUMPRODUCT(('02.XLS'!$A$6:$A$47=$A45)*('02.XLS'!$B$5:$JN$5=GL$5)*('02.XLS'!$B$6:$JN$47))</f>
        <v>1457</v>
      </c>
      <c r="GM45" s="1135" cm="1">
        <f t="array" ref="GM45">SUMPRODUCT(('02.XLS'!$A$6:$A$47=$A45)*('02.XLS'!$B$5:$JN$5=GM$5)*('02.XLS'!$B$6:$JN$47))</f>
        <v>1068</v>
      </c>
      <c r="GN45" s="1136">
        <f t="shared" si="203"/>
        <v>30242</v>
      </c>
      <c r="GO45" s="1135" cm="1">
        <f t="array" ref="GO45">SUMPRODUCT(('02.XLS'!$A$6:$A$47=$A45)*('02.XLS'!$B$5:$JN$5=GO$5)*('02.XLS'!$B$6:$JN$47))</f>
        <v>3206.6</v>
      </c>
      <c r="GP45" s="1135" cm="1">
        <f t="array" ref="GP45">SUMPRODUCT(('02.XLS'!$A$6:$A$47=$A45)*('02.XLS'!$B$5:$JN$5=GP$5)*('02.XLS'!$B$6:$JN$47))</f>
        <v>3751.5</v>
      </c>
      <c r="GQ45" s="1135" cm="1">
        <f t="array" ref="GQ45">SUMPRODUCT(('02.XLS'!$A$6:$A$47=$A45)*('02.XLS'!$B$5:$JN$5=GQ$5)*('02.XLS'!$B$6:$JN$47))</f>
        <v>4945</v>
      </c>
      <c r="GR45" s="1135" cm="1">
        <f t="array" ref="GR45">SUMPRODUCT(('02.XLS'!$A$6:$A$47=$A45)*('02.XLS'!$B$5:$JN$5=GR$5)*('02.XLS'!$B$6:$JN$47))</f>
        <v>3339</v>
      </c>
      <c r="GS45" s="1135" cm="1">
        <f t="array" ref="GS45">SUMPRODUCT(('02.XLS'!$A$6:$A$47=$A45)*('02.XLS'!$B$5:$JN$5=GS$5)*('02.XLS'!$B$6:$JN$47))</f>
        <v>1746.5</v>
      </c>
      <c r="GT45" s="1135" cm="1">
        <f t="array" ref="GT45">SUMPRODUCT(('02.XLS'!$A$6:$A$47=$A45)*('02.XLS'!$B$5:$JN$5=GT$5)*('02.XLS'!$B$6:$JN$47))</f>
        <v>2860</v>
      </c>
      <c r="GU45" s="1135" cm="1">
        <f t="array" ref="GU45">SUMPRODUCT(('02.XLS'!$A$6:$A$47=$A45)*('02.XLS'!$B$5:$JN$5=GU$5)*('02.XLS'!$B$6:$JN$47))</f>
        <v>2211.5</v>
      </c>
      <c r="GV45" s="1135" cm="1">
        <f t="array" ref="GV45">SUMPRODUCT(('02.XLS'!$A$6:$A$47=$A45)*('02.XLS'!$B$5:$JN$5=GV$5)*('02.XLS'!$B$6:$JN$47))</f>
        <v>1833</v>
      </c>
      <c r="GW45" s="1135" cm="1">
        <f t="array" ref="GW45">SUMPRODUCT(('02.XLS'!$A$6:$A$47=$A45)*('02.XLS'!$B$5:$JN$5=GW$5)*('02.XLS'!$B$6:$JN$47))</f>
        <v>2638</v>
      </c>
      <c r="GX45" s="1135" cm="1">
        <f t="array" ref="GX45">SUMPRODUCT(('02.XLS'!$A$6:$A$47=$A45)*('02.XLS'!$B$5:$JN$5=GX$5)*('02.XLS'!$B$6:$JN$47))</f>
        <v>2058</v>
      </c>
      <c r="GY45" s="1135" cm="1">
        <f t="array" ref="GY45">SUMPRODUCT(('02.XLS'!$A$6:$A$47=$A45)*('02.XLS'!$B$5:$JN$5=GY$5)*('02.XLS'!$B$6:$JN$47))</f>
        <v>1440</v>
      </c>
      <c r="GZ45" s="1135" cm="1">
        <f t="array" ref="GZ45">SUMPRODUCT(('02.XLS'!$A$6:$A$47=$A45)*('02.XLS'!$B$5:$JN$5=GZ$5)*('02.XLS'!$B$6:$JN$47))</f>
        <v>969</v>
      </c>
      <c r="HA45" s="1136">
        <f t="shared" si="216"/>
        <v>30998.1</v>
      </c>
      <c r="HB45" s="1135" cm="1">
        <f t="array" ref="HB45">SUMPRODUCT(('02.XLS'!$A$6:$A$47=$A45)*('02.XLS'!$B$5:$JN$5=HB$5)*('02.XLS'!$B$6:$JN$47))</f>
        <v>1486.65</v>
      </c>
      <c r="HC45" s="1135" cm="1">
        <f t="array" ref="HC45">SUMPRODUCT(('02.XLS'!$A$6:$A$47=$A45)*('02.XLS'!$B$5:$JN$5=HC$5)*('02.XLS'!$B$6:$JN$47))</f>
        <v>2121</v>
      </c>
      <c r="HD45" s="1135" cm="1">
        <f t="array" ref="HD45">SUMPRODUCT(('02.XLS'!$A$6:$A$47=$A45)*('02.XLS'!$B$5:$JN$5=HD$5)*('02.XLS'!$B$6:$JN$47))</f>
        <v>2689</v>
      </c>
      <c r="HE45" s="1135" cm="1">
        <f t="array" ref="HE45">SUMPRODUCT(('02.XLS'!$A$6:$A$47=$A45)*('02.XLS'!$B$5:$JN$5=HE$5)*('02.XLS'!$B$6:$JN$47))</f>
        <v>1816</v>
      </c>
      <c r="HF45" s="1135" cm="1">
        <f t="array" ref="HF45">SUMPRODUCT(('02.XLS'!$A$6:$A$47=$A45)*('02.XLS'!$B$5:$JN$5=HF$5)*('02.XLS'!$B$6:$JN$47))</f>
        <v>1623</v>
      </c>
      <c r="HG45" s="1135" cm="1">
        <f t="array" ref="HG45">SUMPRODUCT(('02.XLS'!$A$6:$A$47=$A45)*('02.XLS'!$B$5:$JN$5=HG$5)*('02.XLS'!$B$6:$JN$47))</f>
        <v>1018</v>
      </c>
      <c r="HH45" s="1135" cm="1">
        <f t="array" ref="HH45">SUMPRODUCT(('02.XLS'!$A$6:$A$47=$A45)*('02.XLS'!$B$5:$JN$5=HH$5)*('02.XLS'!$B$6:$JN$47))</f>
        <v>1086</v>
      </c>
      <c r="HI45" s="1135" cm="1">
        <f t="array" ref="HI45">SUMPRODUCT(('02.XLS'!$A$6:$A$47=$A45)*('02.XLS'!$B$5:$JN$5=HI$5)*('02.XLS'!$B$6:$JN$47))</f>
        <v>990</v>
      </c>
      <c r="HJ45" s="1135" cm="1">
        <f t="array" ref="HJ45">SUMPRODUCT(('02.XLS'!$A$6:$A$47=$A45)*('02.XLS'!$B$5:$JN$5=HJ$5)*('02.XLS'!$B$6:$JN$47))</f>
        <v>1171</v>
      </c>
      <c r="HK45" s="1135" cm="1">
        <f t="array" ref="HK45">SUMPRODUCT(('02.XLS'!$A$6:$A$47=$A45)*('02.XLS'!$B$5:$JN$5=HK$5)*('02.XLS'!$B$6:$JN$47))</f>
        <v>1136</v>
      </c>
      <c r="HL45" s="1135" cm="1">
        <f t="array" ref="HL45">SUMPRODUCT(('02.XLS'!$A$6:$A$47=$A45)*('02.XLS'!$B$5:$JN$5=HL$5)*('02.XLS'!$B$6:$JN$47))</f>
        <v>1030</v>
      </c>
      <c r="HM45" s="1135" cm="1">
        <f t="array" ref="HM45">SUMPRODUCT(('02.XLS'!$A$6:$A$47=$A45)*('02.XLS'!$B$5:$JN$5=HM$5)*('02.XLS'!$B$6:$JN$47))</f>
        <v>785</v>
      </c>
      <c r="HN45" s="1136">
        <f t="shared" si="229"/>
        <v>16951.650000000001</v>
      </c>
      <c r="HO45" s="1135" cm="1">
        <f t="array" ref="HO45">SUMPRODUCT(('02.XLS'!$A$6:$A$47=$A45)*('02.XLS'!$B$5:$JN$5=HO$5)*('02.XLS'!$B$6:$JN$47))</f>
        <v>681</v>
      </c>
      <c r="HP45" s="1135" cm="1">
        <f t="array" ref="HP45">SUMPRODUCT(('02.XLS'!$A$6:$A$47=$A45)*('02.XLS'!$B$5:$JN$5=HP$5)*('02.XLS'!$B$6:$JN$47))</f>
        <v>325</v>
      </c>
      <c r="HQ45" s="1135" cm="1">
        <f t="array" ref="HQ45">SUMPRODUCT(('02.XLS'!$A$6:$A$47=$A45)*('02.XLS'!$B$5:$JN$5=HQ$5)*('02.XLS'!$B$6:$JN$47))</f>
        <v>411</v>
      </c>
      <c r="HR45" s="1135" cm="1">
        <f t="array" ref="HR45">SUMPRODUCT(('02.XLS'!$A$6:$A$47=$A45)*('02.XLS'!$B$5:$JN$5=HR$5)*('02.XLS'!$B$6:$JN$47))</f>
        <v>530</v>
      </c>
      <c r="HS45" s="1135" cm="1">
        <f t="array" ref="HS45">SUMPRODUCT(('02.XLS'!$A$6:$A$47=$A45)*('02.XLS'!$B$5:$JN$5=HS$5)*('02.XLS'!$B$6:$JN$47))</f>
        <v>466</v>
      </c>
      <c r="HT45" s="1135" cm="1">
        <f t="array" ref="HT45">SUMPRODUCT(('02.XLS'!$A$6:$A$47=$A45)*('02.XLS'!$B$5:$JN$5=HT$5)*('02.XLS'!$B$6:$JN$47))</f>
        <v>660</v>
      </c>
      <c r="HU45" s="1135" cm="1">
        <f t="array" ref="HU45">SUMPRODUCT(('02.XLS'!$A$6:$A$47=$A45)*('02.XLS'!$B$5:$JN$5=HU$5)*('02.XLS'!$B$6:$JN$47))</f>
        <v>1268</v>
      </c>
      <c r="HV45" s="1135" cm="1">
        <f t="array" ref="HV45">SUMPRODUCT(('02.XLS'!$A$6:$A$47=$A45)*('02.XLS'!$B$5:$JN$5=HV$5)*('02.XLS'!$B$6:$JN$47))</f>
        <v>1376</v>
      </c>
      <c r="HW45" s="1135" cm="1">
        <f t="array" ref="HW45">SUMPRODUCT(('02.XLS'!$A$6:$A$47=$A45)*('02.XLS'!$B$5:$JN$5=HW$5)*('02.XLS'!$B$6:$JN$47))</f>
        <v>1324</v>
      </c>
      <c r="HX45" s="1135" cm="1">
        <f t="array" ref="HX45">SUMPRODUCT(('02.XLS'!$A$6:$A$47=$A45)*('02.XLS'!$B$5:$JN$5=HX$5)*('02.XLS'!$B$6:$JN$47))</f>
        <v>1149</v>
      </c>
      <c r="HY45" s="1135" cm="1">
        <f t="array" ref="HY45">SUMPRODUCT(('02.XLS'!$A$6:$A$47=$A45)*('02.XLS'!$B$5:$JN$5=HY$5)*('02.XLS'!$B$6:$JN$47))</f>
        <v>977</v>
      </c>
      <c r="HZ45" s="1135" cm="1">
        <f t="array" ref="HZ45">SUMPRODUCT(('02.XLS'!$A$6:$A$47=$A45)*('02.XLS'!$B$5:$JN$5=HZ$5)*('02.XLS'!$B$6:$JN$47))</f>
        <v>1409</v>
      </c>
      <c r="IA45" s="1136">
        <f t="shared" si="242"/>
        <v>10576</v>
      </c>
      <c r="IB45" s="1135" cm="1">
        <f t="array" ref="IB45">SUMPRODUCT(('02.XLS'!$A$6:$A$47=$A45)*('02.XLS'!$B$5:$JN$5=IB$5)*('02.XLS'!$B$6:$JN$47))</f>
        <v>1699</v>
      </c>
      <c r="IC45" s="1135" cm="1">
        <f t="array" ref="IC45">SUMPRODUCT(('02.XLS'!$A$6:$A$47=$A45)*('02.XLS'!$B$5:$JN$5=IC$5)*('02.XLS'!$B$6:$JN$47))</f>
        <v>1757</v>
      </c>
      <c r="ID45" s="1135" cm="1">
        <f t="array" ref="ID45">SUMPRODUCT(('02.XLS'!$A$6:$A$47=$A45)*('02.XLS'!$B$5:$JN$5=ID$5)*('02.XLS'!$B$6:$JN$47))</f>
        <v>1672</v>
      </c>
      <c r="IE45" s="1135" cm="1">
        <f t="array" ref="IE45">SUMPRODUCT(('02.XLS'!$A$6:$A$47=$A45)*('02.XLS'!$B$5:$JN$5=IE$5)*('02.XLS'!$B$6:$JN$47))</f>
        <v>1932</v>
      </c>
      <c r="IF45" s="1135" cm="1">
        <f t="array" ref="IF45">SUMPRODUCT(('02.XLS'!$A$6:$A$47=$A45)*('02.XLS'!$B$5:$JN$5=IF$5)*('02.XLS'!$B$6:$JN$47))</f>
        <v>1466</v>
      </c>
      <c r="IG45" s="1135" cm="1">
        <f t="array" ref="IG45">SUMPRODUCT(('02.XLS'!$A$6:$A$47=$A45)*('02.XLS'!$B$5:$JN$5=IG$5)*('02.XLS'!$B$6:$JN$47))</f>
        <v>2168</v>
      </c>
      <c r="IH45" s="1135" cm="1">
        <f t="array" ref="IH45">SUMPRODUCT(('02.XLS'!$A$6:$A$47=$A45)*('02.XLS'!$B$5:$JN$5=IH$5)*('02.XLS'!$B$6:$JN$47))</f>
        <v>2192</v>
      </c>
      <c r="II45" s="1135" cm="1">
        <f t="array" ref="II45">SUMPRODUCT(('02.XLS'!$A$6:$A$47=$A45)*('02.XLS'!$B$5:$JN$5=II$5)*('02.XLS'!$B$6:$JN$47))</f>
        <v>2141</v>
      </c>
      <c r="IJ45" s="1135" cm="1">
        <f t="array" ref="IJ45">SUMPRODUCT(('02.XLS'!$A$6:$A$47=$A45)*('02.XLS'!$B$5:$JN$5=IJ$5)*('02.XLS'!$B$6:$JN$47))</f>
        <v>1911</v>
      </c>
      <c r="IK45" s="1135" cm="1">
        <f t="array" ref="IK45">SUMPRODUCT(('02.XLS'!$A$6:$A$47=$A45)*('02.XLS'!$B$5:$JN$5=IK$5)*('02.XLS'!$B$6:$JN$47))</f>
        <v>1581</v>
      </c>
      <c r="IL45" s="1135" cm="1">
        <f t="array" ref="IL45">SUMPRODUCT(('02.XLS'!$A$6:$A$47=$A45)*('02.XLS'!$B$5:$JN$5=IL$5)*('02.XLS'!$B$6:$JN$47))</f>
        <v>1608.5</v>
      </c>
      <c r="IM45" s="1135" cm="1">
        <f t="array" ref="IM45">SUMPRODUCT(('02.XLS'!$A$6:$A$47=$A45)*('02.XLS'!$B$5:$JN$5=IM$5)*('02.XLS'!$B$6:$JN$47))</f>
        <v>552</v>
      </c>
      <c r="IN45" s="1136">
        <f t="shared" si="255"/>
        <v>20679.5</v>
      </c>
      <c r="IO45" s="1135" cm="1">
        <f t="array" ref="IO45">SUMPRODUCT(('02.XLS'!$A$6:$A$47=$A45)*('02.XLS'!$B$5:$JN$5=IO$5)*('02.XLS'!$B$6:$JN$47))</f>
        <v>1364</v>
      </c>
      <c r="IP45" s="1135" cm="1">
        <f t="array" ref="IP45">SUMPRODUCT(('02.XLS'!$A$6:$A$47=$A45)*('02.XLS'!$B$5:$JN$5=IP$5)*('02.XLS'!$B$6:$JN$47))</f>
        <v>1512</v>
      </c>
      <c r="IQ45" s="1135" cm="1">
        <f t="array" ref="IQ45">SUMPRODUCT(('02.XLS'!$A$6:$A$47=$A45)*('02.XLS'!$B$5:$JN$5=IQ$5)*('02.XLS'!$B$6:$JN$47))</f>
        <v>1512</v>
      </c>
      <c r="IR45" s="1135" cm="1">
        <f t="array" ref="IR45">SUMPRODUCT(('02.XLS'!$A$6:$A$47=$A45)*('02.XLS'!$B$5:$JN$5=IR$5)*('02.XLS'!$B$6:$JN$47))</f>
        <v>1504</v>
      </c>
      <c r="IS45" s="1135" cm="1">
        <f t="array" ref="IS45">SUMPRODUCT(('02.XLS'!$A$6:$A$47=$A45)*('02.XLS'!$B$5:$JN$5=IS$5)*('02.XLS'!$B$6:$JN$47))</f>
        <v>1540</v>
      </c>
      <c r="IT45" s="1135" cm="1">
        <f t="array" ref="IT45">SUMPRODUCT(('02.XLS'!$A$6:$A$47=$A45)*('02.XLS'!$B$5:$JN$5=IT$5)*('02.XLS'!$B$6:$JN$47))</f>
        <v>1752</v>
      </c>
      <c r="IU45" s="1135" cm="1">
        <f t="array" ref="IU45">SUMPRODUCT(('02.XLS'!$A$6:$A$47=$A45)*('02.XLS'!$B$5:$JN$5=IU$5)*('02.XLS'!$B$6:$JN$47))</f>
        <v>1119</v>
      </c>
      <c r="IV45" s="1135" cm="1">
        <f t="array" ref="IV45">SUMPRODUCT(('02.XLS'!$A$6:$A$47=$A45)*('02.XLS'!$B$5:$JN$5=IV$5)*('02.XLS'!$B$6:$JN$47))</f>
        <v>1392.5</v>
      </c>
      <c r="IW45" s="1135" cm="1">
        <f t="array" ref="IW45">SUMPRODUCT(('02.XLS'!$A$6:$A$47=$A45)*('02.XLS'!$B$5:$JN$5=IW$5)*('02.XLS'!$B$6:$JN$47))</f>
        <v>2314</v>
      </c>
      <c r="IX45" s="1135" cm="1">
        <f t="array" ref="IX45">SUMPRODUCT(('02.XLS'!$A$6:$A$47=$A45)*('02.XLS'!$B$5:$JN$5=IX$5)*('02.XLS'!$B$6:$JN$47))</f>
        <v>2318</v>
      </c>
      <c r="IY45" s="1135" cm="1">
        <f t="array" ref="IY45">SUMPRODUCT(('02.XLS'!$A$6:$A$47=$A45)*('02.XLS'!$B$5:$JN$5=IY$5)*('02.XLS'!$B$6:$JN$47))</f>
        <v>1575</v>
      </c>
      <c r="IZ45" s="1135" cm="1">
        <f t="array" ref="IZ45">SUMPRODUCT(('02.XLS'!$A$6:$A$47=$A45)*('02.XLS'!$B$5:$JN$5=IZ$5)*('02.XLS'!$B$6:$JN$47))</f>
        <v>0</v>
      </c>
      <c r="JA45" s="1136">
        <f t="shared" si="268"/>
        <v>17902.5</v>
      </c>
      <c r="JB45" s="1135" cm="1">
        <f t="array" ref="JB45">SUMPRODUCT(('02.XLS'!$A$6:$A$47=$A45)*('02.XLS'!$B$5:$JN$5=JB$5)*('02.XLS'!$B$6:$JN$47))</f>
        <v>1246</v>
      </c>
      <c r="JC45" s="1135" cm="1">
        <f t="array" ref="JC45">SUMPRODUCT(('02.XLS'!$A$6:$A$47=$A45)*('02.XLS'!$B$5:$JN$5=JC$5)*('02.XLS'!$B$6:$JN$47))</f>
        <v>0</v>
      </c>
      <c r="JD45" s="1135" cm="1">
        <f t="array" ref="JD45">SUMPRODUCT(('02.XLS'!$A$6:$A$47=$A45)*('02.XLS'!$B$5:$JN$5=JD$5)*('02.XLS'!$B$6:$JN$47))</f>
        <v>0</v>
      </c>
      <c r="JE45" s="1135" cm="1">
        <f t="array" ref="JE45">SUMPRODUCT(('02.XLS'!$A$6:$A$47=$A45)*('02.XLS'!$B$5:$JN$5=JE$5)*('02.XLS'!$B$6:$JN$47))</f>
        <v>0</v>
      </c>
      <c r="JF45" s="1135" cm="1">
        <f t="array" ref="JF45">SUMPRODUCT(('02.XLS'!$A$6:$A$47=$A45)*('02.XLS'!$B$5:$JN$5=JF$5)*('02.XLS'!$B$6:$JN$47))</f>
        <v>0</v>
      </c>
      <c r="JG45" s="1135" cm="1">
        <f t="array" ref="JG45">SUMPRODUCT(('02.XLS'!$A$6:$A$47=$A45)*('02.XLS'!$B$5:$JN$5=JG$5)*('02.XLS'!$B$6:$JN$47))</f>
        <v>0</v>
      </c>
      <c r="JH45" s="1135" cm="1">
        <f t="array" ref="JH45">SUMPRODUCT(('02.XLS'!$A$6:$A$47=$A45)*('02.XLS'!$B$5:$JN$5=JH$5)*('02.XLS'!$B$6:$JN$47))</f>
        <v>0</v>
      </c>
      <c r="JI45" s="1135" cm="1">
        <f t="array" ref="JI45">SUMPRODUCT(('02.XLS'!$A$6:$A$47=$A45)*('02.XLS'!$B$5:$JN$5=JI$5)*('02.XLS'!$B$6:$JN$47))</f>
        <v>0</v>
      </c>
      <c r="JJ45" s="1135" cm="1">
        <f t="array" ref="JJ45">SUMPRODUCT(('02.XLS'!$A$6:$A$47=$A45)*('02.XLS'!$B$5:$JN$5=JJ$5)*('02.XLS'!$B$6:$JN$47))</f>
        <v>0</v>
      </c>
      <c r="JK45" s="1135" cm="1">
        <f t="array" ref="JK45">SUMPRODUCT(('02.XLS'!$A$6:$A$47=$A45)*('02.XLS'!$B$5:$JN$5=JK$5)*('02.XLS'!$B$6:$JN$47))</f>
        <v>0</v>
      </c>
      <c r="JL45" s="1135" cm="1">
        <f t="array" ref="JL45">SUMPRODUCT(('02.XLS'!$A$6:$A$47=$A45)*('02.XLS'!$B$5:$JN$5=JL$5)*('02.XLS'!$B$6:$JN$47))</f>
        <v>0</v>
      </c>
      <c r="JM45" s="1135" cm="1">
        <f t="array" ref="JM45">SUMPRODUCT(('02.XLS'!$A$6:$A$47=$A45)*('02.XLS'!$B$5:$JN$5=JM$5)*('02.XLS'!$B$6:$JN$47))</f>
        <v>0</v>
      </c>
      <c r="JN45" s="1136">
        <f t="shared" si="281"/>
        <v>1246</v>
      </c>
      <c r="JP45" s="1178">
        <f t="shared" si="311"/>
        <v>-100</v>
      </c>
      <c r="JQ45" s="1179">
        <f t="shared" si="312"/>
        <v>-13.428757948693148</v>
      </c>
      <c r="JR45" s="1188">
        <f t="shared" si="313"/>
        <v>20679.5</v>
      </c>
      <c r="JS45" s="1189">
        <f t="shared" si="314"/>
        <v>17902.5</v>
      </c>
      <c r="JT45" s="1153"/>
      <c r="JU45" s="1082"/>
      <c r="JV45" s="1083"/>
      <c r="JW45" s="1084"/>
    </row>
    <row r="46" spans="1:283" ht="15" customHeight="1" x14ac:dyDescent="0.2">
      <c r="A46" s="1169" t="s">
        <v>31</v>
      </c>
      <c r="B46" s="1135" cm="1">
        <f t="array" ref="B46">SUMPRODUCT(('02.XLS'!$A$6:$A$47=$A46)*('02.XLS'!$B$5:$JN$5=B$5)*('02.XLS'!$B$6:$JN$47))</f>
        <v>459</v>
      </c>
      <c r="C46" s="1135" cm="1">
        <f t="array" ref="C46">SUMPRODUCT(('02.XLS'!$A$6:$A$47=$A46)*('02.XLS'!$B$5:$JN$5=C$5)*('02.XLS'!$B$6:$JN$47))</f>
        <v>1189</v>
      </c>
      <c r="D46" s="1135" cm="1">
        <f t="array" ref="D46">SUMPRODUCT(('02.XLS'!$A$6:$A$47=$A46)*('02.XLS'!$B$5:$JN$5=D$5)*('02.XLS'!$B$6:$JN$47))</f>
        <v>942</v>
      </c>
      <c r="E46" s="1135" cm="1">
        <f t="array" ref="E46">SUMPRODUCT(('02.XLS'!$A$6:$A$47=$A46)*('02.XLS'!$B$5:$JN$5=E$5)*('02.XLS'!$B$6:$JN$47))</f>
        <v>11</v>
      </c>
      <c r="F46" s="1135" cm="1">
        <f t="array" ref="F46">SUMPRODUCT(('02.XLS'!$A$6:$A$47=$A46)*('02.XLS'!$B$5:$JN$5=F$5)*('02.XLS'!$B$6:$JN$47))</f>
        <v>0</v>
      </c>
      <c r="G46" s="1135" cm="1">
        <f t="array" ref="G46">SUMPRODUCT(('02.XLS'!$A$6:$A$47=$A46)*('02.XLS'!$B$5:$JN$5=G$5)*('02.XLS'!$B$6:$JN$47))</f>
        <v>0</v>
      </c>
      <c r="H46" s="1135" cm="1">
        <f t="array" ref="H46">SUMPRODUCT(('02.XLS'!$A$6:$A$47=$A46)*('02.XLS'!$B$5:$JN$5=H$5)*('02.XLS'!$B$6:$JN$47))</f>
        <v>0</v>
      </c>
      <c r="I46" s="1135" cm="1">
        <f t="array" ref="I46">SUMPRODUCT(('02.XLS'!$A$6:$A$47=$A46)*('02.XLS'!$B$5:$JN$5=I$5)*('02.XLS'!$B$6:$JN$47))</f>
        <v>0</v>
      </c>
      <c r="J46" s="1135" cm="1">
        <f t="array" ref="J46">SUMPRODUCT(('02.XLS'!$A$6:$A$47=$A46)*('02.XLS'!$B$5:$JN$5=J$5)*('02.XLS'!$B$6:$JN$47))</f>
        <v>0</v>
      </c>
      <c r="K46" s="1135" cm="1">
        <f t="array" ref="K46">SUMPRODUCT(('02.XLS'!$A$6:$A$47=$A46)*('02.XLS'!$B$5:$JN$5=K$5)*('02.XLS'!$B$6:$JN$47))</f>
        <v>0</v>
      </c>
      <c r="L46" s="1135" cm="1">
        <f t="array" ref="L46">SUMPRODUCT(('02.XLS'!$A$6:$A$47=$A46)*('02.XLS'!$B$5:$JN$5=L$5)*('02.XLS'!$B$6:$JN$47))</f>
        <v>0</v>
      </c>
      <c r="M46" s="1135" cm="1">
        <f t="array" ref="M46">SUMPRODUCT(('02.XLS'!$A$6:$A$47=$A46)*('02.XLS'!$B$5:$JN$5=M$5)*('02.XLS'!$B$6:$JN$47))</f>
        <v>0</v>
      </c>
      <c r="N46" s="1136">
        <f t="shared" si="21"/>
        <v>2601</v>
      </c>
      <c r="O46" s="1135" cm="1">
        <f t="array" ref="O46">SUMPRODUCT(('02.XLS'!$A$6:$A$47=$A46)*('02.XLS'!$B$5:$JN$5=O$5)*('02.XLS'!$B$6:$JN$47))</f>
        <v>598</v>
      </c>
      <c r="P46" s="1135" cm="1">
        <f t="array" ref="P46">SUMPRODUCT(('02.XLS'!$A$6:$A$47=$A46)*('02.XLS'!$B$5:$JN$5=P$5)*('02.XLS'!$B$6:$JN$47))</f>
        <v>1226</v>
      </c>
      <c r="Q46" s="1135" cm="1">
        <f t="array" ref="Q46">SUMPRODUCT(('02.XLS'!$A$6:$A$47=$A46)*('02.XLS'!$B$5:$JN$5=Q$5)*('02.XLS'!$B$6:$JN$47))</f>
        <v>689</v>
      </c>
      <c r="R46" s="1135" cm="1">
        <f t="array" ref="R46">SUMPRODUCT(('02.XLS'!$A$6:$A$47=$A46)*('02.XLS'!$B$5:$JN$5=R$5)*('02.XLS'!$B$6:$JN$47))</f>
        <v>3</v>
      </c>
      <c r="S46" s="1135" cm="1">
        <f t="array" ref="S46">SUMPRODUCT(('02.XLS'!$A$6:$A$47=$A46)*('02.XLS'!$B$5:$JN$5=S$5)*('02.XLS'!$B$6:$JN$47))</f>
        <v>0</v>
      </c>
      <c r="T46" s="1135" cm="1">
        <f t="array" ref="T46">SUMPRODUCT(('02.XLS'!$A$6:$A$47=$A46)*('02.XLS'!$B$5:$JN$5=T$5)*('02.XLS'!$B$6:$JN$47))</f>
        <v>0</v>
      </c>
      <c r="U46" s="1135" cm="1">
        <f t="array" ref="U46">SUMPRODUCT(('02.XLS'!$A$6:$A$47=$A46)*('02.XLS'!$B$5:$JN$5=U$5)*('02.XLS'!$B$6:$JN$47))</f>
        <v>0</v>
      </c>
      <c r="V46" s="1135" cm="1">
        <f t="array" ref="V46">SUMPRODUCT(('02.XLS'!$A$6:$A$47=$A46)*('02.XLS'!$B$5:$JN$5=V$5)*('02.XLS'!$B$6:$JN$47))</f>
        <v>0</v>
      </c>
      <c r="W46" s="1135" cm="1">
        <f t="array" ref="W46">SUMPRODUCT(('02.XLS'!$A$6:$A$47=$A46)*('02.XLS'!$B$5:$JN$5=W$5)*('02.XLS'!$B$6:$JN$47))</f>
        <v>0</v>
      </c>
      <c r="X46" s="1135" cm="1">
        <f t="array" ref="X46">SUMPRODUCT(('02.XLS'!$A$6:$A$47=$A46)*('02.XLS'!$B$5:$JN$5=X$5)*('02.XLS'!$B$6:$JN$47))</f>
        <v>0</v>
      </c>
      <c r="Y46" s="1135" cm="1">
        <f t="array" ref="Y46">SUMPRODUCT(('02.XLS'!$A$6:$A$47=$A46)*('02.XLS'!$B$5:$JN$5=Y$5)*('02.XLS'!$B$6:$JN$47))</f>
        <v>0</v>
      </c>
      <c r="Z46" s="1135" cm="1">
        <f t="array" ref="Z46">SUMPRODUCT(('02.XLS'!$A$6:$A$47=$A46)*('02.XLS'!$B$5:$JN$5=Z$5)*('02.XLS'!$B$6:$JN$47))</f>
        <v>1</v>
      </c>
      <c r="AA46" s="1136">
        <f t="shared" si="34"/>
        <v>2517</v>
      </c>
      <c r="AB46" s="1135" cm="1">
        <f t="array" ref="AB46">SUMPRODUCT(('02.XLS'!$A$6:$A$47=$A46)*('02.XLS'!$B$5:$JN$5=AB$5)*('02.XLS'!$B$6:$JN$47))</f>
        <v>399</v>
      </c>
      <c r="AC46" s="1135" cm="1">
        <f t="array" ref="AC46">SUMPRODUCT(('02.XLS'!$A$6:$A$47=$A46)*('02.XLS'!$B$5:$JN$5=AC$5)*('02.XLS'!$B$6:$JN$47))</f>
        <v>1019</v>
      </c>
      <c r="AD46" s="1135" cm="1">
        <f t="array" ref="AD46">SUMPRODUCT(('02.XLS'!$A$6:$A$47=$A46)*('02.XLS'!$B$5:$JN$5=AD$5)*('02.XLS'!$B$6:$JN$47))</f>
        <v>198</v>
      </c>
      <c r="AE46" s="1135" cm="1">
        <f t="array" ref="AE46">SUMPRODUCT(('02.XLS'!$A$6:$A$47=$A46)*('02.XLS'!$B$5:$JN$5=AE$5)*('02.XLS'!$B$6:$JN$47))</f>
        <v>17</v>
      </c>
      <c r="AF46" s="1135" cm="1">
        <f t="array" ref="AF46">SUMPRODUCT(('02.XLS'!$A$6:$A$47=$A46)*('02.XLS'!$B$5:$JN$5=AF$5)*('02.XLS'!$B$6:$JN$47))</f>
        <v>0</v>
      </c>
      <c r="AG46" s="1135" cm="1">
        <f t="array" ref="AG46">SUMPRODUCT(('02.XLS'!$A$6:$A$47=$A46)*('02.XLS'!$B$5:$JN$5=AG$5)*('02.XLS'!$B$6:$JN$47))</f>
        <v>0</v>
      </c>
      <c r="AH46" s="1135" cm="1">
        <f t="array" ref="AH46">SUMPRODUCT(('02.XLS'!$A$6:$A$47=$A46)*('02.XLS'!$B$5:$JN$5=AH$5)*('02.XLS'!$B$6:$JN$47))</f>
        <v>0</v>
      </c>
      <c r="AI46" s="1135" cm="1">
        <f t="array" ref="AI46">SUMPRODUCT(('02.XLS'!$A$6:$A$47=$A46)*('02.XLS'!$B$5:$JN$5=AI$5)*('02.XLS'!$B$6:$JN$47))</f>
        <v>0</v>
      </c>
      <c r="AJ46" s="1135" cm="1">
        <f t="array" ref="AJ46">SUMPRODUCT(('02.XLS'!$A$6:$A$47=$A46)*('02.XLS'!$B$5:$JN$5=AJ$5)*('02.XLS'!$B$6:$JN$47))</f>
        <v>0</v>
      </c>
      <c r="AK46" s="1135" cm="1">
        <f t="array" ref="AK46">SUMPRODUCT(('02.XLS'!$A$6:$A$47=$A46)*('02.XLS'!$B$5:$JN$5=AK$5)*('02.XLS'!$B$6:$JN$47))</f>
        <v>0</v>
      </c>
      <c r="AL46" s="1135" cm="1">
        <f t="array" ref="AL46">SUMPRODUCT(('02.XLS'!$A$6:$A$47=$A46)*('02.XLS'!$B$5:$JN$5=AL$5)*('02.XLS'!$B$6:$JN$47))</f>
        <v>0</v>
      </c>
      <c r="AM46" s="1135" cm="1">
        <f t="array" ref="AM46">SUMPRODUCT(('02.XLS'!$A$6:$A$47=$A46)*('02.XLS'!$B$5:$JN$5=AM$5)*('02.XLS'!$B$6:$JN$47))</f>
        <v>54</v>
      </c>
      <c r="AN46" s="1136">
        <f t="shared" si="47"/>
        <v>1687</v>
      </c>
      <c r="AO46" s="1135" cm="1">
        <f t="array" ref="AO46">SUMPRODUCT(('02.XLS'!$A$6:$A$47=$A46)*('02.XLS'!$B$5:$JN$5=AO$5)*('02.XLS'!$B$6:$JN$47))</f>
        <v>413</v>
      </c>
      <c r="AP46" s="1135" cm="1">
        <f t="array" ref="AP46">SUMPRODUCT(('02.XLS'!$A$6:$A$47=$A46)*('02.XLS'!$B$5:$JN$5=AP$5)*('02.XLS'!$B$6:$JN$47))</f>
        <v>1113</v>
      </c>
      <c r="AQ46" s="1135" cm="1">
        <f t="array" ref="AQ46">SUMPRODUCT(('02.XLS'!$A$6:$A$47=$A46)*('02.XLS'!$B$5:$JN$5=AQ$5)*('02.XLS'!$B$6:$JN$47))</f>
        <v>191</v>
      </c>
      <c r="AR46" s="1135" cm="1">
        <f t="array" ref="AR46">SUMPRODUCT(('02.XLS'!$A$6:$A$47=$A46)*('02.XLS'!$B$5:$JN$5=AR$5)*('02.XLS'!$B$6:$JN$47))</f>
        <v>25</v>
      </c>
      <c r="AS46" s="1135" cm="1">
        <f t="array" ref="AS46">SUMPRODUCT(('02.XLS'!$A$6:$A$47=$A46)*('02.XLS'!$B$5:$JN$5=AS$5)*('02.XLS'!$B$6:$JN$47))</f>
        <v>0</v>
      </c>
      <c r="AT46" s="1135" cm="1">
        <f t="array" ref="AT46">SUMPRODUCT(('02.XLS'!$A$6:$A$47=$A46)*('02.XLS'!$B$5:$JN$5=AT$5)*('02.XLS'!$B$6:$JN$47))</f>
        <v>0</v>
      </c>
      <c r="AU46" s="1135" cm="1">
        <f t="array" ref="AU46">SUMPRODUCT(('02.XLS'!$A$6:$A$47=$A46)*('02.XLS'!$B$5:$JN$5=AU$5)*('02.XLS'!$B$6:$JN$47))</f>
        <v>0</v>
      </c>
      <c r="AV46" s="1135" cm="1">
        <f t="array" ref="AV46">SUMPRODUCT(('02.XLS'!$A$6:$A$47=$A46)*('02.XLS'!$B$5:$JN$5=AV$5)*('02.XLS'!$B$6:$JN$47))</f>
        <v>0</v>
      </c>
      <c r="AW46" s="1135" cm="1">
        <f t="array" ref="AW46">SUMPRODUCT(('02.XLS'!$A$6:$A$47=$A46)*('02.XLS'!$B$5:$JN$5=AW$5)*('02.XLS'!$B$6:$JN$47))</f>
        <v>0</v>
      </c>
      <c r="AX46" s="1135" cm="1">
        <f t="array" ref="AX46">SUMPRODUCT(('02.XLS'!$A$6:$A$47=$A46)*('02.XLS'!$B$5:$JN$5=AX$5)*('02.XLS'!$B$6:$JN$47))</f>
        <v>0</v>
      </c>
      <c r="AY46" s="1135" cm="1">
        <f t="array" ref="AY46">SUMPRODUCT(('02.XLS'!$A$6:$A$47=$A46)*('02.XLS'!$B$5:$JN$5=AY$5)*('02.XLS'!$B$6:$JN$47))</f>
        <v>0</v>
      </c>
      <c r="AZ46" s="1135" cm="1">
        <f t="array" ref="AZ46">SUMPRODUCT(('02.XLS'!$A$6:$A$47=$A46)*('02.XLS'!$B$5:$JN$5=AZ$5)*('02.XLS'!$B$6:$JN$47))</f>
        <v>9</v>
      </c>
      <c r="BA46" s="1136">
        <f t="shared" si="60"/>
        <v>1751</v>
      </c>
      <c r="BB46" s="1135" cm="1">
        <f t="array" ref="BB46">SUMPRODUCT(('02.XLS'!$A$6:$A$47=$A46)*('02.XLS'!$B$5:$JN$5=BB$5)*('02.XLS'!$B$6:$JN$47))</f>
        <v>320</v>
      </c>
      <c r="BC46" s="1135" cm="1">
        <f t="array" ref="BC46">SUMPRODUCT(('02.XLS'!$A$6:$A$47=$A46)*('02.XLS'!$B$5:$JN$5=BC$5)*('02.XLS'!$B$6:$JN$47))</f>
        <v>650</v>
      </c>
      <c r="BD46" s="1135" cm="1">
        <f t="array" ref="BD46">SUMPRODUCT(('02.XLS'!$A$6:$A$47=$A46)*('02.XLS'!$B$5:$JN$5=BD$5)*('02.XLS'!$B$6:$JN$47))</f>
        <v>256</v>
      </c>
      <c r="BE46" s="1135" cm="1">
        <f t="array" ref="BE46">SUMPRODUCT(('02.XLS'!$A$6:$A$47=$A46)*('02.XLS'!$B$5:$JN$5=BE$5)*('02.XLS'!$B$6:$JN$47))</f>
        <v>13</v>
      </c>
      <c r="BF46" s="1135" cm="1">
        <f t="array" ref="BF46">SUMPRODUCT(('02.XLS'!$A$6:$A$47=$A46)*('02.XLS'!$B$5:$JN$5=BF$5)*('02.XLS'!$B$6:$JN$47))</f>
        <v>0</v>
      </c>
      <c r="BG46" s="1135" cm="1">
        <f t="array" ref="BG46">SUMPRODUCT(('02.XLS'!$A$6:$A$47=$A46)*('02.XLS'!$B$5:$JN$5=BG$5)*('02.XLS'!$B$6:$JN$47))</f>
        <v>0</v>
      </c>
      <c r="BH46" s="1135" cm="1">
        <f t="array" ref="BH46">SUMPRODUCT(('02.XLS'!$A$6:$A$47=$A46)*('02.XLS'!$B$5:$JN$5=BH$5)*('02.XLS'!$B$6:$JN$47))</f>
        <v>0</v>
      </c>
      <c r="BI46" s="1135" cm="1">
        <f t="array" ref="BI46">SUMPRODUCT(('02.XLS'!$A$6:$A$47=$A46)*('02.XLS'!$B$5:$JN$5=BI$5)*('02.XLS'!$B$6:$JN$47))</f>
        <v>0</v>
      </c>
      <c r="BJ46" s="1135" cm="1">
        <f t="array" ref="BJ46">SUMPRODUCT(('02.XLS'!$A$6:$A$47=$A46)*('02.XLS'!$B$5:$JN$5=BJ$5)*('02.XLS'!$B$6:$JN$47))</f>
        <v>0</v>
      </c>
      <c r="BK46" s="1135" cm="1">
        <f t="array" ref="BK46">SUMPRODUCT(('02.XLS'!$A$6:$A$47=$A46)*('02.XLS'!$B$5:$JN$5=BK$5)*('02.XLS'!$B$6:$JN$47))</f>
        <v>0</v>
      </c>
      <c r="BL46" s="1135" cm="1">
        <f t="array" ref="BL46">SUMPRODUCT(('02.XLS'!$A$6:$A$47=$A46)*('02.XLS'!$B$5:$JN$5=BL$5)*('02.XLS'!$B$6:$JN$47))</f>
        <v>0</v>
      </c>
      <c r="BM46" s="1135" cm="1">
        <f t="array" ref="BM46">SUMPRODUCT(('02.XLS'!$A$6:$A$47=$A46)*('02.XLS'!$B$5:$JN$5=BM$5)*('02.XLS'!$B$6:$JN$47))</f>
        <v>0</v>
      </c>
      <c r="BN46" s="1136">
        <f t="shared" si="73"/>
        <v>1239</v>
      </c>
      <c r="BO46" s="1135" cm="1">
        <f t="array" ref="BO46">SUMPRODUCT(('02.XLS'!$A$6:$A$47=$A46)*('02.XLS'!$B$5:$JN$5=BO$5)*('02.XLS'!$B$6:$JN$47))</f>
        <v>292</v>
      </c>
      <c r="BP46" s="1135" cm="1">
        <f t="array" ref="BP46">SUMPRODUCT(('02.XLS'!$A$6:$A$47=$A46)*('02.XLS'!$B$5:$JN$5=BP$5)*('02.XLS'!$B$6:$JN$47))</f>
        <v>655</v>
      </c>
      <c r="BQ46" s="1135" cm="1">
        <f t="array" ref="BQ46">SUMPRODUCT(('02.XLS'!$A$6:$A$47=$A46)*('02.XLS'!$B$5:$JN$5=BQ$5)*('02.XLS'!$B$6:$JN$47))</f>
        <v>287</v>
      </c>
      <c r="BR46" s="1135" cm="1">
        <f t="array" ref="BR46">SUMPRODUCT(('02.XLS'!$A$6:$A$47=$A46)*('02.XLS'!$B$5:$JN$5=BR$5)*('02.XLS'!$B$6:$JN$47))</f>
        <v>3</v>
      </c>
      <c r="BS46" s="1135" cm="1">
        <f t="array" ref="BS46">SUMPRODUCT(('02.XLS'!$A$6:$A$47=$A46)*('02.XLS'!$B$5:$JN$5=BS$5)*('02.XLS'!$B$6:$JN$47))</f>
        <v>0</v>
      </c>
      <c r="BT46" s="1135" cm="1">
        <f t="array" ref="BT46">SUMPRODUCT(('02.XLS'!$A$6:$A$47=$A46)*('02.XLS'!$B$5:$JN$5=BT$5)*('02.XLS'!$B$6:$JN$47))</f>
        <v>0</v>
      </c>
      <c r="BU46" s="1135" cm="1">
        <f t="array" ref="BU46">SUMPRODUCT(('02.XLS'!$A$6:$A$47=$A46)*('02.XLS'!$B$5:$JN$5=BU$5)*('02.XLS'!$B$6:$JN$47))</f>
        <v>0</v>
      </c>
      <c r="BV46" s="1135" cm="1">
        <f t="array" ref="BV46">SUMPRODUCT(('02.XLS'!$A$6:$A$47=$A46)*('02.XLS'!$B$5:$JN$5=BV$5)*('02.XLS'!$B$6:$JN$47))</f>
        <v>0</v>
      </c>
      <c r="BW46" s="1135" cm="1">
        <f t="array" ref="BW46">SUMPRODUCT(('02.XLS'!$A$6:$A$47=$A46)*('02.XLS'!$B$5:$JN$5=BW$5)*('02.XLS'!$B$6:$JN$47))</f>
        <v>0</v>
      </c>
      <c r="BX46" s="1135" cm="1">
        <f t="array" ref="BX46">SUMPRODUCT(('02.XLS'!$A$6:$A$47=$A46)*('02.XLS'!$B$5:$JN$5=BX$5)*('02.XLS'!$B$6:$JN$47))</f>
        <v>0</v>
      </c>
      <c r="BY46" s="1135" cm="1">
        <f t="array" ref="BY46">SUMPRODUCT(('02.XLS'!$A$6:$A$47=$A46)*('02.XLS'!$B$5:$JN$5=BY$5)*('02.XLS'!$B$6:$JN$47))</f>
        <v>1</v>
      </c>
      <c r="BZ46" s="1135" cm="1">
        <f t="array" ref="BZ46">SUMPRODUCT(('02.XLS'!$A$6:$A$47=$A46)*('02.XLS'!$B$5:$JN$5=BZ$5)*('02.XLS'!$B$6:$JN$47))</f>
        <v>34</v>
      </c>
      <c r="CA46" s="1136">
        <f t="shared" si="86"/>
        <v>1272</v>
      </c>
      <c r="CB46" s="1135" cm="1">
        <f t="array" ref="CB46">SUMPRODUCT(('02.XLS'!$A$6:$A$47=$A46)*('02.XLS'!$B$5:$JN$5=CB$5)*('02.XLS'!$B$6:$JN$47))</f>
        <v>359</v>
      </c>
      <c r="CC46" s="1135" cm="1">
        <f t="array" ref="CC46">SUMPRODUCT(('02.XLS'!$A$6:$A$47=$A46)*('02.XLS'!$B$5:$JN$5=CC$5)*('02.XLS'!$B$6:$JN$47))</f>
        <v>295</v>
      </c>
      <c r="CD46" s="1135" cm="1">
        <f t="array" ref="CD46">SUMPRODUCT(('02.XLS'!$A$6:$A$47=$A46)*('02.XLS'!$B$5:$JN$5=CD$5)*('02.XLS'!$B$6:$JN$47))</f>
        <v>68</v>
      </c>
      <c r="CE46" s="1135" cm="1">
        <f t="array" ref="CE46">SUMPRODUCT(('02.XLS'!$A$6:$A$47=$A46)*('02.XLS'!$B$5:$JN$5=CE$5)*('02.XLS'!$B$6:$JN$47))</f>
        <v>5</v>
      </c>
      <c r="CF46" s="1135" cm="1">
        <f t="array" ref="CF46">SUMPRODUCT(('02.XLS'!$A$6:$A$47=$A46)*('02.XLS'!$B$5:$JN$5=CF$5)*('02.XLS'!$B$6:$JN$47))</f>
        <v>1</v>
      </c>
      <c r="CG46" s="1135" cm="1">
        <f t="array" ref="CG46">SUMPRODUCT(('02.XLS'!$A$6:$A$47=$A46)*('02.XLS'!$B$5:$JN$5=CG$5)*('02.XLS'!$B$6:$JN$47))</f>
        <v>2</v>
      </c>
      <c r="CH46" s="1135" cm="1">
        <f t="array" ref="CH46">SUMPRODUCT(('02.XLS'!$A$6:$A$47=$A46)*('02.XLS'!$B$5:$JN$5=CH$5)*('02.XLS'!$B$6:$JN$47))</f>
        <v>0</v>
      </c>
      <c r="CI46" s="1135" cm="1">
        <f t="array" ref="CI46">SUMPRODUCT(('02.XLS'!$A$6:$A$47=$A46)*('02.XLS'!$B$5:$JN$5=CI$5)*('02.XLS'!$B$6:$JN$47))</f>
        <v>0</v>
      </c>
      <c r="CJ46" s="1135" cm="1">
        <f t="array" ref="CJ46">SUMPRODUCT(('02.XLS'!$A$6:$A$47=$A46)*('02.XLS'!$B$5:$JN$5=CJ$5)*('02.XLS'!$B$6:$JN$47))</f>
        <v>0</v>
      </c>
      <c r="CK46" s="1135" cm="1">
        <f t="array" ref="CK46">SUMPRODUCT(('02.XLS'!$A$6:$A$47=$A46)*('02.XLS'!$B$5:$JN$5=CK$5)*('02.XLS'!$B$6:$JN$47))</f>
        <v>0</v>
      </c>
      <c r="CL46" s="1135" cm="1">
        <f t="array" ref="CL46">SUMPRODUCT(('02.XLS'!$A$6:$A$47=$A46)*('02.XLS'!$B$5:$JN$5=CL$5)*('02.XLS'!$B$6:$JN$47))</f>
        <v>0</v>
      </c>
      <c r="CM46" s="1135" cm="1">
        <f t="array" ref="CM46">SUMPRODUCT(('02.XLS'!$A$6:$A$47=$A46)*('02.XLS'!$B$5:$JN$5=CM$5)*('02.XLS'!$B$6:$JN$47))</f>
        <v>9</v>
      </c>
      <c r="CN46" s="1136">
        <f t="shared" si="99"/>
        <v>739</v>
      </c>
      <c r="CO46" s="1135" cm="1">
        <f t="array" ref="CO46">SUMPRODUCT(('02.XLS'!$A$6:$A$47=$A46)*('02.XLS'!$B$5:$JN$5=CO$5)*('02.XLS'!$B$6:$JN$47))</f>
        <v>128</v>
      </c>
      <c r="CP46" s="1135" cm="1">
        <f t="array" ref="CP46">SUMPRODUCT(('02.XLS'!$A$6:$A$47=$A46)*('02.XLS'!$B$5:$JN$5=CP$5)*('02.XLS'!$B$6:$JN$47))</f>
        <v>468</v>
      </c>
      <c r="CQ46" s="1135" cm="1">
        <f t="array" ref="CQ46">SUMPRODUCT(('02.XLS'!$A$6:$A$47=$A46)*('02.XLS'!$B$5:$JN$5=CQ$5)*('02.XLS'!$B$6:$JN$47))</f>
        <v>168</v>
      </c>
      <c r="CR46" s="1135" cm="1">
        <f t="array" ref="CR46">SUMPRODUCT(('02.XLS'!$A$6:$A$47=$A46)*('02.XLS'!$B$5:$JN$5=CR$5)*('02.XLS'!$B$6:$JN$47))</f>
        <v>11</v>
      </c>
      <c r="CS46" s="1135" cm="1">
        <f t="array" ref="CS46">SUMPRODUCT(('02.XLS'!$A$6:$A$47=$A46)*('02.XLS'!$B$5:$JN$5=CS$5)*('02.XLS'!$B$6:$JN$47))</f>
        <v>5</v>
      </c>
      <c r="CT46" s="1135" cm="1">
        <f t="array" ref="CT46">SUMPRODUCT(('02.XLS'!$A$6:$A$47=$A46)*('02.XLS'!$B$5:$JN$5=CT$5)*('02.XLS'!$B$6:$JN$47))</f>
        <v>0</v>
      </c>
      <c r="CU46" s="1135" cm="1">
        <f t="array" ref="CU46">SUMPRODUCT(('02.XLS'!$A$6:$A$47=$A46)*('02.XLS'!$B$5:$JN$5=CU$5)*('02.XLS'!$B$6:$JN$47))</f>
        <v>0</v>
      </c>
      <c r="CV46" s="1135" cm="1">
        <f t="array" ref="CV46">SUMPRODUCT(('02.XLS'!$A$6:$A$47=$A46)*('02.XLS'!$B$5:$JN$5=CV$5)*('02.XLS'!$B$6:$JN$47))</f>
        <v>0</v>
      </c>
      <c r="CW46" s="1135" cm="1">
        <f t="array" ref="CW46">SUMPRODUCT(('02.XLS'!$A$6:$A$47=$A46)*('02.XLS'!$B$5:$JN$5=CW$5)*('02.XLS'!$B$6:$JN$47))</f>
        <v>0</v>
      </c>
      <c r="CX46" s="1135" cm="1">
        <f t="array" ref="CX46">SUMPRODUCT(('02.XLS'!$A$6:$A$47=$A46)*('02.XLS'!$B$5:$JN$5=CX$5)*('02.XLS'!$B$6:$JN$47))</f>
        <v>0</v>
      </c>
      <c r="CY46" s="1135" cm="1">
        <f t="array" ref="CY46">SUMPRODUCT(('02.XLS'!$A$6:$A$47=$A46)*('02.XLS'!$B$5:$JN$5=CY$5)*('02.XLS'!$B$6:$JN$47))</f>
        <v>0</v>
      </c>
      <c r="CZ46" s="1135" cm="1">
        <f t="array" ref="CZ46">SUMPRODUCT(('02.XLS'!$A$6:$A$47=$A46)*('02.XLS'!$B$5:$JN$5=CZ$5)*('02.XLS'!$B$6:$JN$47))</f>
        <v>0</v>
      </c>
      <c r="DA46" s="1136">
        <f t="shared" si="112"/>
        <v>780</v>
      </c>
      <c r="DB46" s="1135" cm="1">
        <f t="array" ref="DB46">SUMPRODUCT(('02.XLS'!$A$6:$A$47=$A46)*('02.XLS'!$B$5:$JN$5=DB$5)*('02.XLS'!$B$6:$JN$47))</f>
        <v>300</v>
      </c>
      <c r="DC46" s="1135" cm="1">
        <f t="array" ref="DC46">SUMPRODUCT(('02.XLS'!$A$6:$A$47=$A46)*('02.XLS'!$B$5:$JN$5=DC$5)*('02.XLS'!$B$6:$JN$47))</f>
        <v>497</v>
      </c>
      <c r="DD46" s="1135" cm="1">
        <f t="array" ref="DD46">SUMPRODUCT(('02.XLS'!$A$6:$A$47=$A46)*('02.XLS'!$B$5:$JN$5=DD$5)*('02.XLS'!$B$6:$JN$47))</f>
        <v>170</v>
      </c>
      <c r="DE46" s="1135" cm="1">
        <f t="array" ref="DE46">SUMPRODUCT(('02.XLS'!$A$6:$A$47=$A46)*('02.XLS'!$B$5:$JN$5=DE$5)*('02.XLS'!$B$6:$JN$47))</f>
        <v>31</v>
      </c>
      <c r="DF46" s="1135" cm="1">
        <f t="array" ref="DF46">SUMPRODUCT(('02.XLS'!$A$6:$A$47=$A46)*('02.XLS'!$B$5:$JN$5=DF$5)*('02.XLS'!$B$6:$JN$47))</f>
        <v>7</v>
      </c>
      <c r="DG46" s="1135" cm="1">
        <f t="array" ref="DG46">SUMPRODUCT(('02.XLS'!$A$6:$A$47=$A46)*('02.XLS'!$B$5:$JN$5=DG$5)*('02.XLS'!$B$6:$JN$47))</f>
        <v>0</v>
      </c>
      <c r="DH46" s="1135" cm="1">
        <f t="array" ref="DH46">SUMPRODUCT(('02.XLS'!$A$6:$A$47=$A46)*('02.XLS'!$B$5:$JN$5=DH$5)*('02.XLS'!$B$6:$JN$47))</f>
        <v>0</v>
      </c>
      <c r="DI46" s="1135" cm="1">
        <f t="array" ref="DI46">SUMPRODUCT(('02.XLS'!$A$6:$A$47=$A46)*('02.XLS'!$B$5:$JN$5=DI$5)*('02.XLS'!$B$6:$JN$47))</f>
        <v>0</v>
      </c>
      <c r="DJ46" s="1135" cm="1">
        <f t="array" ref="DJ46">SUMPRODUCT(('02.XLS'!$A$6:$A$47=$A46)*('02.XLS'!$B$5:$JN$5=DJ$5)*('02.XLS'!$B$6:$JN$47))</f>
        <v>0</v>
      </c>
      <c r="DK46" s="1135" cm="1">
        <f t="array" ref="DK46">SUMPRODUCT(('02.XLS'!$A$6:$A$47=$A46)*('02.XLS'!$B$5:$JN$5=DK$5)*('02.XLS'!$B$6:$JN$47))</f>
        <v>31</v>
      </c>
      <c r="DL46" s="1135" cm="1">
        <f t="array" ref="DL46">SUMPRODUCT(('02.XLS'!$A$6:$A$47=$A46)*('02.XLS'!$B$5:$JN$5=DL$5)*('02.XLS'!$B$6:$JN$47))</f>
        <v>39</v>
      </c>
      <c r="DM46" s="1135" cm="1">
        <f t="array" ref="DM46">SUMPRODUCT(('02.XLS'!$A$6:$A$47=$A46)*('02.XLS'!$B$5:$JN$5=DM$5)*('02.XLS'!$B$6:$JN$47))</f>
        <v>34</v>
      </c>
      <c r="DN46" s="1136">
        <f t="shared" si="125"/>
        <v>1109</v>
      </c>
      <c r="DO46" s="1135" cm="1">
        <f t="array" ref="DO46">SUMPRODUCT(('02.XLS'!$A$6:$A$47=$A46)*('02.XLS'!$B$5:$JN$5=DO$5)*('02.XLS'!$B$6:$JN$47))</f>
        <v>313</v>
      </c>
      <c r="DP46" s="1135" cm="1">
        <f t="array" ref="DP46">SUMPRODUCT(('02.XLS'!$A$6:$A$47=$A46)*('02.XLS'!$B$5:$JN$5=DP$5)*('02.XLS'!$B$6:$JN$47))</f>
        <v>579</v>
      </c>
      <c r="DQ46" s="1135" cm="1">
        <f t="array" ref="DQ46">SUMPRODUCT(('02.XLS'!$A$6:$A$47=$A46)*('02.XLS'!$B$5:$JN$5=DQ$5)*('02.XLS'!$B$6:$JN$47))</f>
        <v>198</v>
      </c>
      <c r="DR46" s="1135" cm="1">
        <f t="array" ref="DR46">SUMPRODUCT(('02.XLS'!$A$6:$A$47=$A46)*('02.XLS'!$B$5:$JN$5=DR$5)*('02.XLS'!$B$6:$JN$47))</f>
        <v>29</v>
      </c>
      <c r="DS46" s="1135" cm="1">
        <f t="array" ref="DS46">SUMPRODUCT(('02.XLS'!$A$6:$A$47=$A46)*('02.XLS'!$B$5:$JN$5=DS$5)*('02.XLS'!$B$6:$JN$47))</f>
        <v>3</v>
      </c>
      <c r="DT46" s="1135" cm="1">
        <f t="array" ref="DT46">SUMPRODUCT(('02.XLS'!$A$6:$A$47=$A46)*('02.XLS'!$B$5:$JN$5=DT$5)*('02.XLS'!$B$6:$JN$47))</f>
        <v>0</v>
      </c>
      <c r="DU46" s="1135" cm="1">
        <f t="array" ref="DU46">SUMPRODUCT(('02.XLS'!$A$6:$A$47=$A46)*('02.XLS'!$B$5:$JN$5=DU$5)*('02.XLS'!$B$6:$JN$47))</f>
        <v>0</v>
      </c>
      <c r="DV46" s="1135" cm="1">
        <f t="array" ref="DV46">SUMPRODUCT(('02.XLS'!$A$6:$A$47=$A46)*('02.XLS'!$B$5:$JN$5=DV$5)*('02.XLS'!$B$6:$JN$47))</f>
        <v>0</v>
      </c>
      <c r="DW46" s="1135" cm="1">
        <f t="array" ref="DW46">SUMPRODUCT(('02.XLS'!$A$6:$A$47=$A46)*('02.XLS'!$B$5:$JN$5=DW$5)*('02.XLS'!$B$6:$JN$47))</f>
        <v>0</v>
      </c>
      <c r="DX46" s="1135" cm="1">
        <f t="array" ref="DX46">SUMPRODUCT(('02.XLS'!$A$6:$A$47=$A46)*('02.XLS'!$B$5:$JN$5=DX$5)*('02.XLS'!$B$6:$JN$47))</f>
        <v>0</v>
      </c>
      <c r="DY46" s="1135" cm="1">
        <f t="array" ref="DY46">SUMPRODUCT(('02.XLS'!$A$6:$A$47=$A46)*('02.XLS'!$B$5:$JN$5=DY$5)*('02.XLS'!$B$6:$JN$47))</f>
        <v>0</v>
      </c>
      <c r="DZ46" s="1135" cm="1">
        <f t="array" ref="DZ46">SUMPRODUCT(('02.XLS'!$A$6:$A$47=$A46)*('02.XLS'!$B$5:$JN$5=DZ$5)*('02.XLS'!$B$6:$JN$47))</f>
        <v>1</v>
      </c>
      <c r="EA46" s="1136">
        <f t="shared" si="138"/>
        <v>1123</v>
      </c>
      <c r="EB46" s="1135" cm="1">
        <f t="array" ref="EB46">SUMPRODUCT(('02.XLS'!$A$6:$A$47=$A46)*('02.XLS'!$B$5:$JN$5=EB$5)*('02.XLS'!$B$6:$JN$47))</f>
        <v>276</v>
      </c>
      <c r="EC46" s="1135" cm="1">
        <f t="array" ref="EC46">SUMPRODUCT(('02.XLS'!$A$6:$A$47=$A46)*('02.XLS'!$B$5:$JN$5=EC$5)*('02.XLS'!$B$6:$JN$47))</f>
        <v>493</v>
      </c>
      <c r="ED46" s="1135" cm="1">
        <f t="array" ref="ED46">SUMPRODUCT(('02.XLS'!$A$6:$A$47=$A46)*('02.XLS'!$B$5:$JN$5=ED$5)*('02.XLS'!$B$6:$JN$47))</f>
        <v>136</v>
      </c>
      <c r="EE46" s="1135" cm="1">
        <f t="array" ref="EE46">SUMPRODUCT(('02.XLS'!$A$6:$A$47=$A46)*('02.XLS'!$B$5:$JN$5=EE$5)*('02.XLS'!$B$6:$JN$47))</f>
        <v>9</v>
      </c>
      <c r="EF46" s="1135" cm="1">
        <f t="array" ref="EF46">SUMPRODUCT(('02.XLS'!$A$6:$A$47=$A46)*('02.XLS'!$B$5:$JN$5=EF$5)*('02.XLS'!$B$6:$JN$47))</f>
        <v>6</v>
      </c>
      <c r="EG46" s="1135" cm="1">
        <f t="array" ref="EG46">SUMPRODUCT(('02.XLS'!$A$6:$A$47=$A46)*('02.XLS'!$B$5:$JN$5=EG$5)*('02.XLS'!$B$6:$JN$47))</f>
        <v>0</v>
      </c>
      <c r="EH46" s="1135" cm="1">
        <f t="array" ref="EH46">SUMPRODUCT(('02.XLS'!$A$6:$A$47=$A46)*('02.XLS'!$B$5:$JN$5=EH$5)*('02.XLS'!$B$6:$JN$47))</f>
        <v>0</v>
      </c>
      <c r="EI46" s="1135" cm="1">
        <f t="array" ref="EI46">SUMPRODUCT(('02.XLS'!$A$6:$A$47=$A46)*('02.XLS'!$B$5:$JN$5=EI$5)*('02.XLS'!$B$6:$JN$47))</f>
        <v>0</v>
      </c>
      <c r="EJ46" s="1135" cm="1">
        <f t="array" ref="EJ46">SUMPRODUCT(('02.XLS'!$A$6:$A$47=$A46)*('02.XLS'!$B$5:$JN$5=EJ$5)*('02.XLS'!$B$6:$JN$47))</f>
        <v>0</v>
      </c>
      <c r="EK46" s="1135" cm="1">
        <f t="array" ref="EK46">SUMPRODUCT(('02.XLS'!$A$6:$A$47=$A46)*('02.XLS'!$B$5:$JN$5=EK$5)*('02.XLS'!$B$6:$JN$47))</f>
        <v>0</v>
      </c>
      <c r="EL46" s="1135" cm="1">
        <f t="array" ref="EL46">SUMPRODUCT(('02.XLS'!$A$6:$A$47=$A46)*('02.XLS'!$B$5:$JN$5=EL$5)*('02.XLS'!$B$6:$JN$47))</f>
        <v>0</v>
      </c>
      <c r="EM46" s="1135" cm="1">
        <f t="array" ref="EM46">SUMPRODUCT(('02.XLS'!$A$6:$A$47=$A46)*('02.XLS'!$B$5:$JN$5=EM$5)*('02.XLS'!$B$6:$JN$47))</f>
        <v>2</v>
      </c>
      <c r="EN46" s="1136">
        <f t="shared" si="151"/>
        <v>922</v>
      </c>
      <c r="EO46" s="1135" cm="1">
        <f t="array" ref="EO46">SUMPRODUCT(('02.XLS'!$A$6:$A$47=$A46)*('02.XLS'!$B$5:$JN$5=EO$5)*('02.XLS'!$B$6:$JN$47))</f>
        <v>126</v>
      </c>
      <c r="EP46" s="1135" cm="1">
        <f t="array" ref="EP46">SUMPRODUCT(('02.XLS'!$A$6:$A$47=$A46)*('02.XLS'!$B$5:$JN$5=EP$5)*('02.XLS'!$B$6:$JN$47))</f>
        <v>479</v>
      </c>
      <c r="EQ46" s="1135" cm="1">
        <f t="array" ref="EQ46">SUMPRODUCT(('02.XLS'!$A$6:$A$47=$A46)*('02.XLS'!$B$5:$JN$5=EQ$5)*('02.XLS'!$B$6:$JN$47))</f>
        <v>199</v>
      </c>
      <c r="ER46" s="1135" cm="1">
        <f t="array" ref="ER46">SUMPRODUCT(('02.XLS'!$A$6:$A$47=$A46)*('02.XLS'!$B$5:$JN$5=ER$5)*('02.XLS'!$B$6:$JN$47))</f>
        <v>31</v>
      </c>
      <c r="ES46" s="1135" cm="1">
        <f t="array" ref="ES46">SUMPRODUCT(('02.XLS'!$A$6:$A$47=$A46)*('02.XLS'!$B$5:$JN$5=ES$5)*('02.XLS'!$B$6:$JN$47))</f>
        <v>3</v>
      </c>
      <c r="ET46" s="1135" cm="1">
        <f t="array" ref="ET46">SUMPRODUCT(('02.XLS'!$A$6:$A$47=$A46)*('02.XLS'!$B$5:$JN$5=ET$5)*('02.XLS'!$B$6:$JN$47))</f>
        <v>1</v>
      </c>
      <c r="EU46" s="1135" cm="1">
        <f t="array" ref="EU46">SUMPRODUCT(('02.XLS'!$A$6:$A$47=$A46)*('02.XLS'!$B$5:$JN$5=EU$5)*('02.XLS'!$B$6:$JN$47))</f>
        <v>0</v>
      </c>
      <c r="EV46" s="1135" cm="1">
        <f t="array" ref="EV46">SUMPRODUCT(('02.XLS'!$A$6:$A$47=$A46)*('02.XLS'!$B$5:$JN$5=EV$5)*('02.XLS'!$B$6:$JN$47))</f>
        <v>0</v>
      </c>
      <c r="EW46" s="1135" cm="1">
        <f t="array" ref="EW46">SUMPRODUCT(('02.XLS'!$A$6:$A$47=$A46)*('02.XLS'!$B$5:$JN$5=EW$5)*('02.XLS'!$B$6:$JN$47))</f>
        <v>0</v>
      </c>
      <c r="EX46" s="1135" cm="1">
        <f t="array" ref="EX46">SUMPRODUCT(('02.XLS'!$A$6:$A$47=$A46)*('02.XLS'!$B$5:$JN$5=EX$5)*('02.XLS'!$B$6:$JN$47))</f>
        <v>0</v>
      </c>
      <c r="EY46" s="1135" cm="1">
        <f t="array" ref="EY46">SUMPRODUCT(('02.XLS'!$A$6:$A$47=$A46)*('02.XLS'!$B$5:$JN$5=EY$5)*('02.XLS'!$B$6:$JN$47))</f>
        <v>0</v>
      </c>
      <c r="EZ46" s="1135" cm="1">
        <f t="array" ref="EZ46">SUMPRODUCT(('02.XLS'!$A$6:$A$47=$A46)*('02.XLS'!$B$5:$JN$5=EZ$5)*('02.XLS'!$B$6:$JN$47))</f>
        <v>3</v>
      </c>
      <c r="FA46" s="1136">
        <f t="shared" si="164"/>
        <v>842</v>
      </c>
      <c r="FB46" s="1135" cm="1">
        <f t="array" ref="FB46">SUMPRODUCT(('02.XLS'!$A$6:$A$47=$A46)*('02.XLS'!$B$5:$JN$5=FB$5)*('02.XLS'!$B$6:$JN$47))</f>
        <v>149</v>
      </c>
      <c r="FC46" s="1135" cm="1">
        <f t="array" ref="FC46">SUMPRODUCT(('02.XLS'!$A$6:$A$47=$A46)*('02.XLS'!$B$5:$JN$5=FC$5)*('02.XLS'!$B$6:$JN$47))</f>
        <v>450</v>
      </c>
      <c r="FD46" s="1135" cm="1">
        <f t="array" ref="FD46">SUMPRODUCT(('02.XLS'!$A$6:$A$47=$A46)*('02.XLS'!$B$5:$JN$5=FD$5)*('02.XLS'!$B$6:$JN$47))</f>
        <v>239</v>
      </c>
      <c r="FE46" s="1135" cm="1">
        <f t="array" ref="FE46">SUMPRODUCT(('02.XLS'!$A$6:$A$47=$A46)*('02.XLS'!$B$5:$JN$5=FE$5)*('02.XLS'!$B$6:$JN$47))</f>
        <v>42</v>
      </c>
      <c r="FF46" s="1135" cm="1">
        <f t="array" ref="FF46">SUMPRODUCT(('02.XLS'!$A$6:$A$47=$A46)*('02.XLS'!$B$5:$JN$5=FF$5)*('02.XLS'!$B$6:$JN$47))</f>
        <v>5</v>
      </c>
      <c r="FG46" s="1135" cm="1">
        <f t="array" ref="FG46">SUMPRODUCT(('02.XLS'!$A$6:$A$47=$A46)*('02.XLS'!$B$5:$JN$5=FG$5)*('02.XLS'!$B$6:$JN$47))</f>
        <v>2</v>
      </c>
      <c r="FH46" s="1135" cm="1">
        <f t="array" ref="FH46">SUMPRODUCT(('02.XLS'!$A$6:$A$47=$A46)*('02.XLS'!$B$5:$JN$5=FH$5)*('02.XLS'!$B$6:$JN$47))</f>
        <v>0</v>
      </c>
      <c r="FI46" s="1135" cm="1">
        <f t="array" ref="FI46">SUMPRODUCT(('02.XLS'!$A$6:$A$47=$A46)*('02.XLS'!$B$5:$JN$5=FI$5)*('02.XLS'!$B$6:$JN$47))</f>
        <v>0</v>
      </c>
      <c r="FJ46" s="1135" cm="1">
        <f t="array" ref="FJ46">SUMPRODUCT(('02.XLS'!$A$6:$A$47=$A46)*('02.XLS'!$B$5:$JN$5=FJ$5)*('02.XLS'!$B$6:$JN$47))</f>
        <v>0</v>
      </c>
      <c r="FK46" s="1135" cm="1">
        <f t="array" ref="FK46">SUMPRODUCT(('02.XLS'!$A$6:$A$47=$A46)*('02.XLS'!$B$5:$JN$5=FK$5)*('02.XLS'!$B$6:$JN$47))</f>
        <v>0</v>
      </c>
      <c r="FL46" s="1135" cm="1">
        <f t="array" ref="FL46">SUMPRODUCT(('02.XLS'!$A$6:$A$47=$A46)*('02.XLS'!$B$5:$JN$5=FL$5)*('02.XLS'!$B$6:$JN$47))</f>
        <v>0</v>
      </c>
      <c r="FM46" s="1135" cm="1">
        <f t="array" ref="FM46">SUMPRODUCT(('02.XLS'!$A$6:$A$47=$A46)*('02.XLS'!$B$5:$JN$5=FM$5)*('02.XLS'!$B$6:$JN$47))</f>
        <v>2</v>
      </c>
      <c r="FN46" s="1136">
        <f t="shared" si="177"/>
        <v>889</v>
      </c>
      <c r="FO46" s="1135" cm="1">
        <f t="array" ref="FO46">SUMPRODUCT(('02.XLS'!$A$6:$A$47=$A46)*('02.XLS'!$B$5:$JN$5=FO$5)*('02.XLS'!$B$6:$JN$47))</f>
        <v>142</v>
      </c>
      <c r="FP46" s="1135" cm="1">
        <f t="array" ref="FP46">SUMPRODUCT(('02.XLS'!$A$6:$A$47=$A46)*('02.XLS'!$B$5:$JN$5=FP$5)*('02.XLS'!$B$6:$JN$47))</f>
        <v>342</v>
      </c>
      <c r="FQ46" s="1135" cm="1">
        <f t="array" ref="FQ46">SUMPRODUCT(('02.XLS'!$A$6:$A$47=$A46)*('02.XLS'!$B$5:$JN$5=FQ$5)*('02.XLS'!$B$6:$JN$47))</f>
        <v>201</v>
      </c>
      <c r="FR46" s="1135" cm="1">
        <f t="array" ref="FR46">SUMPRODUCT(('02.XLS'!$A$6:$A$47=$A46)*('02.XLS'!$B$5:$JN$5=FR$5)*('02.XLS'!$B$6:$JN$47))</f>
        <v>57</v>
      </c>
      <c r="FS46" s="1135" cm="1">
        <f t="array" ref="FS46">SUMPRODUCT(('02.XLS'!$A$6:$A$47=$A46)*('02.XLS'!$B$5:$JN$5=FS$5)*('02.XLS'!$B$6:$JN$47))</f>
        <v>5</v>
      </c>
      <c r="FT46" s="1135" cm="1">
        <f t="array" ref="FT46">SUMPRODUCT(('02.XLS'!$A$6:$A$47=$A46)*('02.XLS'!$B$5:$JN$5=FT$5)*('02.XLS'!$B$6:$JN$47))</f>
        <v>1</v>
      </c>
      <c r="FU46" s="1135" cm="1">
        <f t="array" ref="FU46">SUMPRODUCT(('02.XLS'!$A$6:$A$47=$A46)*('02.XLS'!$B$5:$JN$5=FU$5)*('02.XLS'!$B$6:$JN$47))</f>
        <v>0</v>
      </c>
      <c r="FV46" s="1135" cm="1">
        <f t="array" ref="FV46">SUMPRODUCT(('02.XLS'!$A$6:$A$47=$A46)*('02.XLS'!$B$5:$JN$5=FV$5)*('02.XLS'!$B$6:$JN$47))</f>
        <v>0</v>
      </c>
      <c r="FW46" s="1135" cm="1">
        <f t="array" ref="FW46">SUMPRODUCT(('02.XLS'!$A$6:$A$47=$A46)*('02.XLS'!$B$5:$JN$5=FW$5)*('02.XLS'!$B$6:$JN$47))</f>
        <v>0</v>
      </c>
      <c r="FX46" s="1135" cm="1">
        <f t="array" ref="FX46">SUMPRODUCT(('02.XLS'!$A$6:$A$47=$A46)*('02.XLS'!$B$5:$JN$5=FX$5)*('02.XLS'!$B$6:$JN$47))</f>
        <v>0</v>
      </c>
      <c r="FY46" s="1135" cm="1">
        <f t="array" ref="FY46">SUMPRODUCT(('02.XLS'!$A$6:$A$47=$A46)*('02.XLS'!$B$5:$JN$5=FY$5)*('02.XLS'!$B$6:$JN$47))</f>
        <v>0</v>
      </c>
      <c r="FZ46" s="1135" cm="1">
        <f t="array" ref="FZ46">SUMPRODUCT(('02.XLS'!$A$6:$A$47=$A46)*('02.XLS'!$B$5:$JN$5=FZ$5)*('02.XLS'!$B$6:$JN$47))</f>
        <v>8</v>
      </c>
      <c r="GA46" s="1136">
        <f t="shared" si="190"/>
        <v>756</v>
      </c>
      <c r="GB46" s="1135" cm="1">
        <f t="array" ref="GB46">SUMPRODUCT(('02.XLS'!$A$6:$A$47=$A46)*('02.XLS'!$B$5:$JN$5=GB$5)*('02.XLS'!$B$6:$JN$47))</f>
        <v>87</v>
      </c>
      <c r="GC46" s="1135" cm="1">
        <f t="array" ref="GC46">SUMPRODUCT(('02.XLS'!$A$6:$A$47=$A46)*('02.XLS'!$B$5:$JN$5=GC$5)*('02.XLS'!$B$6:$JN$47))</f>
        <v>230</v>
      </c>
      <c r="GD46" s="1135" cm="1">
        <f t="array" ref="GD46">SUMPRODUCT(('02.XLS'!$A$6:$A$47=$A46)*('02.XLS'!$B$5:$JN$5=GD$5)*('02.XLS'!$B$6:$JN$47))</f>
        <v>272</v>
      </c>
      <c r="GE46" s="1135" cm="1">
        <f t="array" ref="GE46">SUMPRODUCT(('02.XLS'!$A$6:$A$47=$A46)*('02.XLS'!$B$5:$JN$5=GE$5)*('02.XLS'!$B$6:$JN$47))</f>
        <v>163</v>
      </c>
      <c r="GF46" s="1135" cm="1">
        <f t="array" ref="GF46">SUMPRODUCT(('02.XLS'!$A$6:$A$47=$A46)*('02.XLS'!$B$5:$JN$5=GF$5)*('02.XLS'!$B$6:$JN$47))</f>
        <v>19.3</v>
      </c>
      <c r="GG46" s="1135" cm="1">
        <f t="array" ref="GG46">SUMPRODUCT(('02.XLS'!$A$6:$A$47=$A46)*('02.XLS'!$B$5:$JN$5=GG$5)*('02.XLS'!$B$6:$JN$47))</f>
        <v>17</v>
      </c>
      <c r="GH46" s="1135" cm="1">
        <f t="array" ref="GH46">SUMPRODUCT(('02.XLS'!$A$6:$A$47=$A46)*('02.XLS'!$B$5:$JN$5=GH$5)*('02.XLS'!$B$6:$JN$47))</f>
        <v>3</v>
      </c>
      <c r="GI46" s="1135" cm="1">
        <f t="array" ref="GI46">SUMPRODUCT(('02.XLS'!$A$6:$A$47=$A46)*('02.XLS'!$B$5:$JN$5=GI$5)*('02.XLS'!$B$6:$JN$47))</f>
        <v>2</v>
      </c>
      <c r="GJ46" s="1135" cm="1">
        <f t="array" ref="GJ46">SUMPRODUCT(('02.XLS'!$A$6:$A$47=$A46)*('02.XLS'!$B$5:$JN$5=GJ$5)*('02.XLS'!$B$6:$JN$47))</f>
        <v>2</v>
      </c>
      <c r="GK46" s="1135" cm="1">
        <f t="array" ref="GK46">SUMPRODUCT(('02.XLS'!$A$6:$A$47=$A46)*('02.XLS'!$B$5:$JN$5=GK$5)*('02.XLS'!$B$6:$JN$47))</f>
        <v>2</v>
      </c>
      <c r="GL46" s="1135" cm="1">
        <f t="array" ref="GL46">SUMPRODUCT(('02.XLS'!$A$6:$A$47=$A46)*('02.XLS'!$B$5:$JN$5=GL$5)*('02.XLS'!$B$6:$JN$47))</f>
        <v>2</v>
      </c>
      <c r="GM46" s="1135" cm="1">
        <f t="array" ref="GM46">SUMPRODUCT(('02.XLS'!$A$6:$A$47=$A46)*('02.XLS'!$B$5:$JN$5=GM$5)*('02.XLS'!$B$6:$JN$47))</f>
        <v>167</v>
      </c>
      <c r="GN46" s="1136">
        <f t="shared" si="203"/>
        <v>966.3</v>
      </c>
      <c r="GO46" s="1135" cm="1">
        <f t="array" ref="GO46">SUMPRODUCT(('02.XLS'!$A$6:$A$47=$A46)*('02.XLS'!$B$5:$JN$5=GO$5)*('02.XLS'!$B$6:$JN$47))</f>
        <v>144</v>
      </c>
      <c r="GP46" s="1135" cm="1">
        <f t="array" ref="GP46">SUMPRODUCT(('02.XLS'!$A$6:$A$47=$A46)*('02.XLS'!$B$5:$JN$5=GP$5)*('02.XLS'!$B$6:$JN$47))</f>
        <v>445</v>
      </c>
      <c r="GQ46" s="1135" cm="1">
        <f t="array" ref="GQ46">SUMPRODUCT(('02.XLS'!$A$6:$A$47=$A46)*('02.XLS'!$B$5:$JN$5=GQ$5)*('02.XLS'!$B$6:$JN$47))</f>
        <v>299.5</v>
      </c>
      <c r="GR46" s="1135" cm="1">
        <f t="array" ref="GR46">SUMPRODUCT(('02.XLS'!$A$6:$A$47=$A46)*('02.XLS'!$B$5:$JN$5=GR$5)*('02.XLS'!$B$6:$JN$47))</f>
        <v>23</v>
      </c>
      <c r="GS46" s="1135" cm="1">
        <f t="array" ref="GS46">SUMPRODUCT(('02.XLS'!$A$6:$A$47=$A46)*('02.XLS'!$B$5:$JN$5=GS$5)*('02.XLS'!$B$6:$JN$47))</f>
        <v>4.8</v>
      </c>
      <c r="GT46" s="1135" cm="1">
        <f t="array" ref="GT46">SUMPRODUCT(('02.XLS'!$A$6:$A$47=$A46)*('02.XLS'!$B$5:$JN$5=GT$5)*('02.XLS'!$B$6:$JN$47))</f>
        <v>0.75</v>
      </c>
      <c r="GU46" s="1135" cm="1">
        <f t="array" ref="GU46">SUMPRODUCT(('02.XLS'!$A$6:$A$47=$A46)*('02.XLS'!$B$5:$JN$5=GU$5)*('02.XLS'!$B$6:$JN$47))</f>
        <v>0</v>
      </c>
      <c r="GV46" s="1135" cm="1">
        <f t="array" ref="GV46">SUMPRODUCT(('02.XLS'!$A$6:$A$47=$A46)*('02.XLS'!$B$5:$JN$5=GV$5)*('02.XLS'!$B$6:$JN$47))</f>
        <v>0</v>
      </c>
      <c r="GW46" s="1135" cm="1">
        <f t="array" ref="GW46">SUMPRODUCT(('02.XLS'!$A$6:$A$47=$A46)*('02.XLS'!$B$5:$JN$5=GW$5)*('02.XLS'!$B$6:$JN$47))</f>
        <v>0</v>
      </c>
      <c r="GX46" s="1135" cm="1">
        <f t="array" ref="GX46">SUMPRODUCT(('02.XLS'!$A$6:$A$47=$A46)*('02.XLS'!$B$5:$JN$5=GX$5)*('02.XLS'!$B$6:$JN$47))</f>
        <v>0</v>
      </c>
      <c r="GY46" s="1135" cm="1">
        <f t="array" ref="GY46">SUMPRODUCT(('02.XLS'!$A$6:$A$47=$A46)*('02.XLS'!$B$5:$JN$5=GY$5)*('02.XLS'!$B$6:$JN$47))</f>
        <v>0</v>
      </c>
      <c r="GZ46" s="1135" cm="1">
        <f t="array" ref="GZ46">SUMPRODUCT(('02.XLS'!$A$6:$A$47=$A46)*('02.XLS'!$B$5:$JN$5=GZ$5)*('02.XLS'!$B$6:$JN$47))</f>
        <v>0</v>
      </c>
      <c r="HA46" s="1136">
        <f t="shared" si="216"/>
        <v>917.05</v>
      </c>
      <c r="HB46" s="1135" cm="1">
        <f t="array" ref="HB46">SUMPRODUCT(('02.XLS'!$A$6:$A$47=$A46)*('02.XLS'!$B$5:$JN$5=HB$5)*('02.XLS'!$B$6:$JN$47))</f>
        <v>125</v>
      </c>
      <c r="HC46" s="1135" cm="1">
        <f t="array" ref="HC46">SUMPRODUCT(('02.XLS'!$A$6:$A$47=$A46)*('02.XLS'!$B$5:$JN$5=HC$5)*('02.XLS'!$B$6:$JN$47))</f>
        <v>406</v>
      </c>
      <c r="HD46" s="1135" cm="1">
        <f t="array" ref="HD46">SUMPRODUCT(('02.XLS'!$A$6:$A$47=$A46)*('02.XLS'!$B$5:$JN$5=HD$5)*('02.XLS'!$B$6:$JN$47))</f>
        <v>248</v>
      </c>
      <c r="HE46" s="1135" cm="1">
        <f t="array" ref="HE46">SUMPRODUCT(('02.XLS'!$A$6:$A$47=$A46)*('02.XLS'!$B$5:$JN$5=HE$5)*('02.XLS'!$B$6:$JN$47))</f>
        <v>11</v>
      </c>
      <c r="HF46" s="1135" cm="1">
        <f t="array" ref="HF46">SUMPRODUCT(('02.XLS'!$A$6:$A$47=$A46)*('02.XLS'!$B$5:$JN$5=HF$5)*('02.XLS'!$B$6:$JN$47))</f>
        <v>0</v>
      </c>
      <c r="HG46" s="1135" cm="1">
        <f t="array" ref="HG46">SUMPRODUCT(('02.XLS'!$A$6:$A$47=$A46)*('02.XLS'!$B$5:$JN$5=HG$5)*('02.XLS'!$B$6:$JN$47))</f>
        <v>0</v>
      </c>
      <c r="HH46" s="1135" cm="1">
        <f t="array" ref="HH46">SUMPRODUCT(('02.XLS'!$A$6:$A$47=$A46)*('02.XLS'!$B$5:$JN$5=HH$5)*('02.XLS'!$B$6:$JN$47))</f>
        <v>0</v>
      </c>
      <c r="HI46" s="1135" cm="1">
        <f t="array" ref="HI46">SUMPRODUCT(('02.XLS'!$A$6:$A$47=$A46)*('02.XLS'!$B$5:$JN$5=HI$5)*('02.XLS'!$B$6:$JN$47))</f>
        <v>0</v>
      </c>
      <c r="HJ46" s="1135" cm="1">
        <f t="array" ref="HJ46">SUMPRODUCT(('02.XLS'!$A$6:$A$47=$A46)*('02.XLS'!$B$5:$JN$5=HJ$5)*('02.XLS'!$B$6:$JN$47))</f>
        <v>0</v>
      </c>
      <c r="HK46" s="1135" cm="1">
        <f t="array" ref="HK46">SUMPRODUCT(('02.XLS'!$A$6:$A$47=$A46)*('02.XLS'!$B$5:$JN$5=HK$5)*('02.XLS'!$B$6:$JN$47))</f>
        <v>0</v>
      </c>
      <c r="HL46" s="1135" cm="1">
        <f t="array" ref="HL46">SUMPRODUCT(('02.XLS'!$A$6:$A$47=$A46)*('02.XLS'!$B$5:$JN$5=HL$5)*('02.XLS'!$B$6:$JN$47))</f>
        <v>7.5</v>
      </c>
      <c r="HM46" s="1135" cm="1">
        <f t="array" ref="HM46">SUMPRODUCT(('02.XLS'!$A$6:$A$47=$A46)*('02.XLS'!$B$5:$JN$5=HM$5)*('02.XLS'!$B$6:$JN$47))</f>
        <v>6.8</v>
      </c>
      <c r="HN46" s="1136">
        <f t="shared" si="229"/>
        <v>804.3</v>
      </c>
      <c r="HO46" s="1135" cm="1">
        <f t="array" ref="HO46">SUMPRODUCT(('02.XLS'!$A$6:$A$47=$A46)*('02.XLS'!$B$5:$JN$5=HO$5)*('02.XLS'!$B$6:$JN$47))</f>
        <v>123</v>
      </c>
      <c r="HP46" s="1135" cm="1">
        <f t="array" ref="HP46">SUMPRODUCT(('02.XLS'!$A$6:$A$47=$A46)*('02.XLS'!$B$5:$JN$5=HP$5)*('02.XLS'!$B$6:$JN$47))</f>
        <v>349</v>
      </c>
      <c r="HQ46" s="1135" cm="1">
        <f t="array" ref="HQ46">SUMPRODUCT(('02.XLS'!$A$6:$A$47=$A46)*('02.XLS'!$B$5:$JN$5=HQ$5)*('02.XLS'!$B$6:$JN$47))</f>
        <v>265</v>
      </c>
      <c r="HR46" s="1135" cm="1">
        <f t="array" ref="HR46">SUMPRODUCT(('02.XLS'!$A$6:$A$47=$A46)*('02.XLS'!$B$5:$JN$5=HR$5)*('02.XLS'!$B$6:$JN$47))</f>
        <v>84</v>
      </c>
      <c r="HS46" s="1135" cm="1">
        <f t="array" ref="HS46">SUMPRODUCT(('02.XLS'!$A$6:$A$47=$A46)*('02.XLS'!$B$5:$JN$5=HS$5)*('02.XLS'!$B$6:$JN$47))</f>
        <v>10</v>
      </c>
      <c r="HT46" s="1135" cm="1">
        <f t="array" ref="HT46">SUMPRODUCT(('02.XLS'!$A$6:$A$47=$A46)*('02.XLS'!$B$5:$JN$5=HT$5)*('02.XLS'!$B$6:$JN$47))</f>
        <v>0</v>
      </c>
      <c r="HU46" s="1135" cm="1">
        <f t="array" ref="HU46">SUMPRODUCT(('02.XLS'!$A$6:$A$47=$A46)*('02.XLS'!$B$5:$JN$5=HU$5)*('02.XLS'!$B$6:$JN$47))</f>
        <v>0</v>
      </c>
      <c r="HV46" s="1135" cm="1">
        <f t="array" ref="HV46">SUMPRODUCT(('02.XLS'!$A$6:$A$47=$A46)*('02.XLS'!$B$5:$JN$5=HV$5)*('02.XLS'!$B$6:$JN$47))</f>
        <v>0</v>
      </c>
      <c r="HW46" s="1135" cm="1">
        <f t="array" ref="HW46">SUMPRODUCT(('02.XLS'!$A$6:$A$47=$A46)*('02.XLS'!$B$5:$JN$5=HW$5)*('02.XLS'!$B$6:$JN$47))</f>
        <v>0</v>
      </c>
      <c r="HX46" s="1135" cm="1">
        <f t="array" ref="HX46">SUMPRODUCT(('02.XLS'!$A$6:$A$47=$A46)*('02.XLS'!$B$5:$JN$5=HX$5)*('02.XLS'!$B$6:$JN$47))</f>
        <v>0</v>
      </c>
      <c r="HY46" s="1135" cm="1">
        <f t="array" ref="HY46">SUMPRODUCT(('02.XLS'!$A$6:$A$47=$A46)*('02.XLS'!$B$5:$JN$5=HY$5)*('02.XLS'!$B$6:$JN$47))</f>
        <v>37</v>
      </c>
      <c r="HZ46" s="1135" cm="1">
        <f t="array" ref="HZ46">SUMPRODUCT(('02.XLS'!$A$6:$A$47=$A46)*('02.XLS'!$B$5:$JN$5=HZ$5)*('02.XLS'!$B$6:$JN$47))</f>
        <v>20</v>
      </c>
      <c r="IA46" s="1136">
        <f t="shared" si="242"/>
        <v>888</v>
      </c>
      <c r="IB46" s="1135" cm="1">
        <f t="array" ref="IB46">SUMPRODUCT(('02.XLS'!$A$6:$A$47=$A46)*('02.XLS'!$B$5:$JN$5=IB$5)*('02.XLS'!$B$6:$JN$47))</f>
        <v>196</v>
      </c>
      <c r="IC46" s="1135" cm="1">
        <f t="array" ref="IC46">SUMPRODUCT(('02.XLS'!$A$6:$A$47=$A46)*('02.XLS'!$B$5:$JN$5=IC$5)*('02.XLS'!$B$6:$JN$47))</f>
        <v>426</v>
      </c>
      <c r="ID46" s="1135" cm="1">
        <f t="array" ref="ID46">SUMPRODUCT(('02.XLS'!$A$6:$A$47=$A46)*('02.XLS'!$B$5:$JN$5=ID$5)*('02.XLS'!$B$6:$JN$47))</f>
        <v>232</v>
      </c>
      <c r="IE46" s="1135" cm="1">
        <f t="array" ref="IE46">SUMPRODUCT(('02.XLS'!$A$6:$A$47=$A46)*('02.XLS'!$B$5:$JN$5=IE$5)*('02.XLS'!$B$6:$JN$47))</f>
        <v>19</v>
      </c>
      <c r="IF46" s="1135" cm="1">
        <f t="array" ref="IF46">SUMPRODUCT(('02.XLS'!$A$6:$A$47=$A46)*('02.XLS'!$B$5:$JN$5=IF$5)*('02.XLS'!$B$6:$JN$47))</f>
        <v>0</v>
      </c>
      <c r="IG46" s="1135" cm="1">
        <f t="array" ref="IG46">SUMPRODUCT(('02.XLS'!$A$6:$A$47=$A46)*('02.XLS'!$B$5:$JN$5=IG$5)*('02.XLS'!$B$6:$JN$47))</f>
        <v>0</v>
      </c>
      <c r="IH46" s="1135" cm="1">
        <f t="array" ref="IH46">SUMPRODUCT(('02.XLS'!$A$6:$A$47=$A46)*('02.XLS'!$B$5:$JN$5=IH$5)*('02.XLS'!$B$6:$JN$47))</f>
        <v>0</v>
      </c>
      <c r="II46" s="1135" cm="1">
        <f t="array" ref="II46">SUMPRODUCT(('02.XLS'!$A$6:$A$47=$A46)*('02.XLS'!$B$5:$JN$5=II$5)*('02.XLS'!$B$6:$JN$47))</f>
        <v>0</v>
      </c>
      <c r="IJ46" s="1135" cm="1">
        <f t="array" ref="IJ46">SUMPRODUCT(('02.XLS'!$A$6:$A$47=$A46)*('02.XLS'!$B$5:$JN$5=IJ$5)*('02.XLS'!$B$6:$JN$47))</f>
        <v>0</v>
      </c>
      <c r="IK46" s="1135" cm="1">
        <f t="array" ref="IK46">SUMPRODUCT(('02.XLS'!$A$6:$A$47=$A46)*('02.XLS'!$B$5:$JN$5=IK$5)*('02.XLS'!$B$6:$JN$47))</f>
        <v>0</v>
      </c>
      <c r="IL46" s="1135" cm="1">
        <f t="array" ref="IL46">SUMPRODUCT(('02.XLS'!$A$6:$A$47=$A46)*('02.XLS'!$B$5:$JN$5=IL$5)*('02.XLS'!$B$6:$JN$47))</f>
        <v>0</v>
      </c>
      <c r="IM46" s="1135" cm="1">
        <f t="array" ref="IM46">SUMPRODUCT(('02.XLS'!$A$6:$A$47=$A46)*('02.XLS'!$B$5:$JN$5=IM$5)*('02.XLS'!$B$6:$JN$47))</f>
        <v>0</v>
      </c>
      <c r="IN46" s="1136">
        <f t="shared" si="255"/>
        <v>873</v>
      </c>
      <c r="IO46" s="1135" cm="1">
        <f t="array" ref="IO46">SUMPRODUCT(('02.XLS'!$A$6:$A$47=$A46)*('02.XLS'!$B$5:$JN$5=IO$5)*('02.XLS'!$B$6:$JN$47))</f>
        <v>85</v>
      </c>
      <c r="IP46" s="1135" cm="1">
        <f t="array" ref="IP46">SUMPRODUCT(('02.XLS'!$A$6:$A$47=$A46)*('02.XLS'!$B$5:$JN$5=IP$5)*('02.XLS'!$B$6:$JN$47))</f>
        <v>350</v>
      </c>
      <c r="IQ46" s="1135" cm="1">
        <f t="array" ref="IQ46">SUMPRODUCT(('02.XLS'!$A$6:$A$47=$A46)*('02.XLS'!$B$5:$JN$5=IQ$5)*('02.XLS'!$B$6:$JN$47))</f>
        <v>151</v>
      </c>
      <c r="IR46" s="1135" cm="1">
        <f t="array" ref="IR46">SUMPRODUCT(('02.XLS'!$A$6:$A$47=$A46)*('02.XLS'!$B$5:$JN$5=IR$5)*('02.XLS'!$B$6:$JN$47))</f>
        <v>23</v>
      </c>
      <c r="IS46" s="1135" cm="1">
        <f t="array" ref="IS46">SUMPRODUCT(('02.XLS'!$A$6:$A$47=$A46)*('02.XLS'!$B$5:$JN$5=IS$5)*('02.XLS'!$B$6:$JN$47))</f>
        <v>5</v>
      </c>
      <c r="IT46" s="1135" cm="1">
        <f t="array" ref="IT46">SUMPRODUCT(('02.XLS'!$A$6:$A$47=$A46)*('02.XLS'!$B$5:$JN$5=IT$5)*('02.XLS'!$B$6:$JN$47))</f>
        <v>0</v>
      </c>
      <c r="IU46" s="1135" cm="1">
        <f t="array" ref="IU46">SUMPRODUCT(('02.XLS'!$A$6:$A$47=$A46)*('02.XLS'!$B$5:$JN$5=IU$5)*('02.XLS'!$B$6:$JN$47))</f>
        <v>0</v>
      </c>
      <c r="IV46" s="1135" cm="1">
        <f t="array" ref="IV46">SUMPRODUCT(('02.XLS'!$A$6:$A$47=$A46)*('02.XLS'!$B$5:$JN$5=IV$5)*('02.XLS'!$B$6:$JN$47))</f>
        <v>0</v>
      </c>
      <c r="IW46" s="1135" cm="1">
        <f t="array" ref="IW46">SUMPRODUCT(('02.XLS'!$A$6:$A$47=$A46)*('02.XLS'!$B$5:$JN$5=IW$5)*('02.XLS'!$B$6:$JN$47))</f>
        <v>0</v>
      </c>
      <c r="IX46" s="1135" cm="1">
        <f t="array" ref="IX46">SUMPRODUCT(('02.XLS'!$A$6:$A$47=$A46)*('02.XLS'!$B$5:$JN$5=IX$5)*('02.XLS'!$B$6:$JN$47))</f>
        <v>0</v>
      </c>
      <c r="IY46" s="1135" cm="1">
        <f t="array" ref="IY46">SUMPRODUCT(('02.XLS'!$A$6:$A$47=$A46)*('02.XLS'!$B$5:$JN$5=IY$5)*('02.XLS'!$B$6:$JN$47))</f>
        <v>0</v>
      </c>
      <c r="IZ46" s="1135" cm="1">
        <f t="array" ref="IZ46">SUMPRODUCT(('02.XLS'!$A$6:$A$47=$A46)*('02.XLS'!$B$5:$JN$5=IZ$5)*('02.XLS'!$B$6:$JN$47))</f>
        <v>0</v>
      </c>
      <c r="JA46" s="1136">
        <f t="shared" si="268"/>
        <v>614</v>
      </c>
      <c r="JB46" s="1135" cm="1">
        <f t="array" ref="JB46">SUMPRODUCT(('02.XLS'!$A$6:$A$47=$A46)*('02.XLS'!$B$5:$JN$5=JB$5)*('02.XLS'!$B$6:$JN$47))</f>
        <v>142</v>
      </c>
      <c r="JC46" s="1135" cm="1">
        <f t="array" ref="JC46">SUMPRODUCT(('02.XLS'!$A$6:$A$47=$A46)*('02.XLS'!$B$5:$JN$5=JC$5)*('02.XLS'!$B$6:$JN$47))</f>
        <v>336</v>
      </c>
      <c r="JD46" s="1135" cm="1">
        <f t="array" ref="JD46">SUMPRODUCT(('02.XLS'!$A$6:$A$47=$A46)*('02.XLS'!$B$5:$JN$5=JD$5)*('02.XLS'!$B$6:$JN$47))</f>
        <v>0</v>
      </c>
      <c r="JE46" s="1135" cm="1">
        <f t="array" ref="JE46">SUMPRODUCT(('02.XLS'!$A$6:$A$47=$A46)*('02.XLS'!$B$5:$JN$5=JE$5)*('02.XLS'!$B$6:$JN$47))</f>
        <v>0</v>
      </c>
      <c r="JF46" s="1135" cm="1">
        <f t="array" ref="JF46">SUMPRODUCT(('02.XLS'!$A$6:$A$47=$A46)*('02.XLS'!$B$5:$JN$5=JF$5)*('02.XLS'!$B$6:$JN$47))</f>
        <v>0</v>
      </c>
      <c r="JG46" s="1135" cm="1">
        <f t="array" ref="JG46">SUMPRODUCT(('02.XLS'!$A$6:$A$47=$A46)*('02.XLS'!$B$5:$JN$5=JG$5)*('02.XLS'!$B$6:$JN$47))</f>
        <v>0</v>
      </c>
      <c r="JH46" s="1135" cm="1">
        <f t="array" ref="JH46">SUMPRODUCT(('02.XLS'!$A$6:$A$47=$A46)*('02.XLS'!$B$5:$JN$5=JH$5)*('02.XLS'!$B$6:$JN$47))</f>
        <v>0</v>
      </c>
      <c r="JI46" s="1135" cm="1">
        <f t="array" ref="JI46">SUMPRODUCT(('02.XLS'!$A$6:$A$47=$A46)*('02.XLS'!$B$5:$JN$5=JI$5)*('02.XLS'!$B$6:$JN$47))</f>
        <v>0</v>
      </c>
      <c r="JJ46" s="1135" cm="1">
        <f t="array" ref="JJ46">SUMPRODUCT(('02.XLS'!$A$6:$A$47=$A46)*('02.XLS'!$B$5:$JN$5=JJ$5)*('02.XLS'!$B$6:$JN$47))</f>
        <v>0</v>
      </c>
      <c r="JK46" s="1135" cm="1">
        <f t="array" ref="JK46">SUMPRODUCT(('02.XLS'!$A$6:$A$47=$A46)*('02.XLS'!$B$5:$JN$5=JK$5)*('02.XLS'!$B$6:$JN$47))</f>
        <v>0</v>
      </c>
      <c r="JL46" s="1135" cm="1">
        <f t="array" ref="JL46">SUMPRODUCT(('02.XLS'!$A$6:$A$47=$A46)*('02.XLS'!$B$5:$JN$5=JL$5)*('02.XLS'!$B$6:$JN$47))</f>
        <v>0</v>
      </c>
      <c r="JM46" s="1135" cm="1">
        <f t="array" ref="JM46">SUMPRODUCT(('02.XLS'!$A$6:$A$47=$A46)*('02.XLS'!$B$5:$JN$5=JM$5)*('02.XLS'!$B$6:$JN$47))</f>
        <v>0</v>
      </c>
      <c r="JN46" s="1136">
        <f t="shared" si="281"/>
        <v>478</v>
      </c>
      <c r="JP46" s="1178" t="str">
        <f t="shared" si="311"/>
        <v/>
      </c>
      <c r="JQ46" s="1179">
        <f t="shared" si="312"/>
        <v>-29.66781214203894</v>
      </c>
      <c r="JR46" s="1188">
        <f t="shared" si="313"/>
        <v>873</v>
      </c>
      <c r="JS46" s="1189">
        <f t="shared" si="314"/>
        <v>614</v>
      </c>
      <c r="JT46" s="1153"/>
      <c r="JU46" s="1082"/>
      <c r="JV46" s="1083"/>
      <c r="JW46" s="1084"/>
    </row>
    <row r="47" spans="1:283" ht="15" customHeight="1" x14ac:dyDescent="0.2">
      <c r="A47" s="1169" t="s">
        <v>41</v>
      </c>
      <c r="B47" s="1135" cm="1">
        <f t="array" ref="B47">SUMPRODUCT(('02.XLS'!$A$6:$A$47=$A47)*('02.XLS'!$B$5:$JN$5=B$5)*('02.XLS'!$B$6:$JN$47))</f>
        <v>52</v>
      </c>
      <c r="C47" s="1135" cm="1">
        <f t="array" ref="C47">SUMPRODUCT(('02.XLS'!$A$6:$A$47=$A47)*('02.XLS'!$B$5:$JN$5=C$5)*('02.XLS'!$B$6:$JN$47))</f>
        <v>63.86</v>
      </c>
      <c r="D47" s="1135" cm="1">
        <f t="array" ref="D47">SUMPRODUCT(('02.XLS'!$A$6:$A$47=$A47)*('02.XLS'!$B$5:$JN$5=D$5)*('02.XLS'!$B$6:$JN$47))</f>
        <v>94</v>
      </c>
      <c r="E47" s="1135" cm="1">
        <f t="array" ref="E47">SUMPRODUCT(('02.XLS'!$A$6:$A$47=$A47)*('02.XLS'!$B$5:$JN$5=E$5)*('02.XLS'!$B$6:$JN$47))</f>
        <v>97</v>
      </c>
      <c r="F47" s="1135" cm="1">
        <f t="array" ref="F47">SUMPRODUCT(('02.XLS'!$A$6:$A$47=$A47)*('02.XLS'!$B$5:$JN$5=F$5)*('02.XLS'!$B$6:$JN$47))</f>
        <v>98</v>
      </c>
      <c r="G47" s="1135" cm="1">
        <f t="array" ref="G47">SUMPRODUCT(('02.XLS'!$A$6:$A$47=$A47)*('02.XLS'!$B$5:$JN$5=G$5)*('02.XLS'!$B$6:$JN$47))</f>
        <v>99</v>
      </c>
      <c r="H47" s="1135" cm="1">
        <f t="array" ref="H47">SUMPRODUCT(('02.XLS'!$A$6:$A$47=$A47)*('02.XLS'!$B$5:$JN$5=H$5)*('02.XLS'!$B$6:$JN$47))</f>
        <v>99.64</v>
      </c>
      <c r="I47" s="1135" cm="1">
        <f t="array" ref="I47">SUMPRODUCT(('02.XLS'!$A$6:$A$47=$A47)*('02.XLS'!$B$5:$JN$5=I$5)*('02.XLS'!$B$6:$JN$47))</f>
        <v>94</v>
      </c>
      <c r="J47" s="1135" cm="1">
        <f t="array" ref="J47">SUMPRODUCT(('02.XLS'!$A$6:$A$47=$A47)*('02.XLS'!$B$5:$JN$5=J$5)*('02.XLS'!$B$6:$JN$47))</f>
        <v>73</v>
      </c>
      <c r="K47" s="1135" cm="1">
        <f t="array" ref="K47">SUMPRODUCT(('02.XLS'!$A$6:$A$47=$A47)*('02.XLS'!$B$5:$JN$5=K$5)*('02.XLS'!$B$6:$JN$47))</f>
        <v>65</v>
      </c>
      <c r="L47" s="1135" cm="1">
        <f t="array" ref="L47">SUMPRODUCT(('02.XLS'!$A$6:$A$47=$A47)*('02.XLS'!$B$5:$JN$5=L$5)*('02.XLS'!$B$6:$JN$47))</f>
        <v>58</v>
      </c>
      <c r="M47" s="1135" cm="1">
        <f t="array" ref="M47">SUMPRODUCT(('02.XLS'!$A$6:$A$47=$A47)*('02.XLS'!$B$5:$JN$5=M$5)*('02.XLS'!$B$6:$JN$47))</f>
        <v>63</v>
      </c>
      <c r="N47" s="1136">
        <f t="shared" si="21"/>
        <v>956.5</v>
      </c>
      <c r="O47" s="1135" cm="1">
        <f t="array" ref="O47">SUMPRODUCT(('02.XLS'!$A$6:$A$47=$A47)*('02.XLS'!$B$5:$JN$5=O$5)*('02.XLS'!$B$6:$JN$47))</f>
        <v>71</v>
      </c>
      <c r="P47" s="1135" cm="1">
        <f t="array" ref="P47">SUMPRODUCT(('02.XLS'!$A$6:$A$47=$A47)*('02.XLS'!$B$5:$JN$5=P$5)*('02.XLS'!$B$6:$JN$47))</f>
        <v>72</v>
      </c>
      <c r="Q47" s="1135" cm="1">
        <f t="array" ref="Q47">SUMPRODUCT(('02.XLS'!$A$6:$A$47=$A47)*('02.XLS'!$B$5:$JN$5=Q$5)*('02.XLS'!$B$6:$JN$47))</f>
        <v>83</v>
      </c>
      <c r="R47" s="1135" cm="1">
        <f t="array" ref="R47">SUMPRODUCT(('02.XLS'!$A$6:$A$47=$A47)*('02.XLS'!$B$5:$JN$5=R$5)*('02.XLS'!$B$6:$JN$47))</f>
        <v>84</v>
      </c>
      <c r="S47" s="1135" cm="1">
        <f t="array" ref="S47">SUMPRODUCT(('02.XLS'!$A$6:$A$47=$A47)*('02.XLS'!$B$5:$JN$5=S$5)*('02.XLS'!$B$6:$JN$47))</f>
        <v>89</v>
      </c>
      <c r="T47" s="1135" cm="1">
        <f t="array" ref="T47">SUMPRODUCT(('02.XLS'!$A$6:$A$47=$A47)*('02.XLS'!$B$5:$JN$5=T$5)*('02.XLS'!$B$6:$JN$47))</f>
        <v>90</v>
      </c>
      <c r="U47" s="1135" cm="1">
        <f t="array" ref="U47">SUMPRODUCT(('02.XLS'!$A$6:$A$47=$A47)*('02.XLS'!$B$5:$JN$5=U$5)*('02.XLS'!$B$6:$JN$47))</f>
        <v>89</v>
      </c>
      <c r="V47" s="1135" cm="1">
        <f t="array" ref="V47">SUMPRODUCT(('02.XLS'!$A$6:$A$47=$A47)*('02.XLS'!$B$5:$JN$5=V$5)*('02.XLS'!$B$6:$JN$47))</f>
        <v>74</v>
      </c>
      <c r="W47" s="1135" cm="1">
        <f t="array" ref="W47">SUMPRODUCT(('02.XLS'!$A$6:$A$47=$A47)*('02.XLS'!$B$5:$JN$5=W$5)*('02.XLS'!$B$6:$JN$47))</f>
        <v>69</v>
      </c>
      <c r="X47" s="1135" cm="1">
        <f t="array" ref="X47">SUMPRODUCT(('02.XLS'!$A$6:$A$47=$A47)*('02.XLS'!$B$5:$JN$5=X$5)*('02.XLS'!$B$6:$JN$47))</f>
        <v>74</v>
      </c>
      <c r="Y47" s="1135" cm="1">
        <f t="array" ref="Y47">SUMPRODUCT(('02.XLS'!$A$6:$A$47=$A47)*('02.XLS'!$B$5:$JN$5=Y$5)*('02.XLS'!$B$6:$JN$47))</f>
        <v>71</v>
      </c>
      <c r="Z47" s="1135" cm="1">
        <f t="array" ref="Z47">SUMPRODUCT(('02.XLS'!$A$6:$A$47=$A47)*('02.XLS'!$B$5:$JN$5=Z$5)*('02.XLS'!$B$6:$JN$47))</f>
        <v>75</v>
      </c>
      <c r="AA47" s="1136">
        <f t="shared" si="34"/>
        <v>941</v>
      </c>
      <c r="AB47" s="1135" cm="1">
        <f t="array" ref="AB47">SUMPRODUCT(('02.XLS'!$A$6:$A$47=$A47)*('02.XLS'!$B$5:$JN$5=AB$5)*('02.XLS'!$B$6:$JN$47))</f>
        <v>79</v>
      </c>
      <c r="AC47" s="1135" cm="1">
        <f t="array" ref="AC47">SUMPRODUCT(('02.XLS'!$A$6:$A$47=$A47)*('02.XLS'!$B$5:$JN$5=AC$5)*('02.XLS'!$B$6:$JN$47))</f>
        <v>71</v>
      </c>
      <c r="AD47" s="1135" cm="1">
        <f t="array" ref="AD47">SUMPRODUCT(('02.XLS'!$A$6:$A$47=$A47)*('02.XLS'!$B$5:$JN$5=AD$5)*('02.XLS'!$B$6:$JN$47))</f>
        <v>93</v>
      </c>
      <c r="AE47" s="1135" cm="1">
        <f t="array" ref="AE47">SUMPRODUCT(('02.XLS'!$A$6:$A$47=$A47)*('02.XLS'!$B$5:$JN$5=AE$5)*('02.XLS'!$B$6:$JN$47))</f>
        <v>89</v>
      </c>
      <c r="AF47" s="1135" cm="1">
        <f t="array" ref="AF47">SUMPRODUCT(('02.XLS'!$A$6:$A$47=$A47)*('02.XLS'!$B$5:$JN$5=AF$5)*('02.XLS'!$B$6:$JN$47))</f>
        <v>89</v>
      </c>
      <c r="AG47" s="1135" cm="1">
        <f t="array" ref="AG47">SUMPRODUCT(('02.XLS'!$A$6:$A$47=$A47)*('02.XLS'!$B$5:$JN$5=AG$5)*('02.XLS'!$B$6:$JN$47))</f>
        <v>86</v>
      </c>
      <c r="AH47" s="1135" cm="1">
        <f t="array" ref="AH47">SUMPRODUCT(('02.XLS'!$A$6:$A$47=$A47)*('02.XLS'!$B$5:$JN$5=AH$5)*('02.XLS'!$B$6:$JN$47))</f>
        <v>84</v>
      </c>
      <c r="AI47" s="1135" cm="1">
        <f t="array" ref="AI47">SUMPRODUCT(('02.XLS'!$A$6:$A$47=$A47)*('02.XLS'!$B$5:$JN$5=AI$5)*('02.XLS'!$B$6:$JN$47))</f>
        <v>90</v>
      </c>
      <c r="AJ47" s="1135" cm="1">
        <f t="array" ref="AJ47">SUMPRODUCT(('02.XLS'!$A$6:$A$47=$A47)*('02.XLS'!$B$5:$JN$5=AJ$5)*('02.XLS'!$B$6:$JN$47))</f>
        <v>84</v>
      </c>
      <c r="AK47" s="1135" cm="1">
        <f t="array" ref="AK47">SUMPRODUCT(('02.XLS'!$A$6:$A$47=$A47)*('02.XLS'!$B$5:$JN$5=AK$5)*('02.XLS'!$B$6:$JN$47))</f>
        <v>85</v>
      </c>
      <c r="AL47" s="1135" cm="1">
        <f t="array" ref="AL47">SUMPRODUCT(('02.XLS'!$A$6:$A$47=$A47)*('02.XLS'!$B$5:$JN$5=AL$5)*('02.XLS'!$B$6:$JN$47))</f>
        <v>85</v>
      </c>
      <c r="AM47" s="1135" cm="1">
        <f t="array" ref="AM47">SUMPRODUCT(('02.XLS'!$A$6:$A$47=$A47)*('02.XLS'!$B$5:$JN$5=AM$5)*('02.XLS'!$B$6:$JN$47))</f>
        <v>88</v>
      </c>
      <c r="AN47" s="1136">
        <f t="shared" si="47"/>
        <v>1023</v>
      </c>
      <c r="AO47" s="1135" cm="1">
        <f t="array" ref="AO47">SUMPRODUCT(('02.XLS'!$A$6:$A$47=$A47)*('02.XLS'!$B$5:$JN$5=AO$5)*('02.XLS'!$B$6:$JN$47))</f>
        <v>74</v>
      </c>
      <c r="AP47" s="1135" cm="1">
        <f t="array" ref="AP47">SUMPRODUCT(('02.XLS'!$A$6:$A$47=$A47)*('02.XLS'!$B$5:$JN$5=AP$5)*('02.XLS'!$B$6:$JN$47))</f>
        <v>102</v>
      </c>
      <c r="AQ47" s="1135" cm="1">
        <f t="array" ref="AQ47">SUMPRODUCT(('02.XLS'!$A$6:$A$47=$A47)*('02.XLS'!$B$5:$JN$5=AQ$5)*('02.XLS'!$B$6:$JN$47))</f>
        <v>103</v>
      </c>
      <c r="AR47" s="1135" cm="1">
        <f t="array" ref="AR47">SUMPRODUCT(('02.XLS'!$A$6:$A$47=$A47)*('02.XLS'!$B$5:$JN$5=AR$5)*('02.XLS'!$B$6:$JN$47))</f>
        <v>90</v>
      </c>
      <c r="AS47" s="1135" cm="1">
        <f t="array" ref="AS47">SUMPRODUCT(('02.XLS'!$A$6:$A$47=$A47)*('02.XLS'!$B$5:$JN$5=AS$5)*('02.XLS'!$B$6:$JN$47))</f>
        <v>90</v>
      </c>
      <c r="AT47" s="1135" cm="1">
        <f t="array" ref="AT47">SUMPRODUCT(('02.XLS'!$A$6:$A$47=$A47)*('02.XLS'!$B$5:$JN$5=AT$5)*('02.XLS'!$B$6:$JN$47))</f>
        <v>88</v>
      </c>
      <c r="AU47" s="1135" cm="1">
        <f t="array" ref="AU47">SUMPRODUCT(('02.XLS'!$A$6:$A$47=$A47)*('02.XLS'!$B$5:$JN$5=AU$5)*('02.XLS'!$B$6:$JN$47))</f>
        <v>82</v>
      </c>
      <c r="AV47" s="1135" cm="1">
        <f t="array" ref="AV47">SUMPRODUCT(('02.XLS'!$A$6:$A$47=$A47)*('02.XLS'!$B$5:$JN$5=AV$5)*('02.XLS'!$B$6:$JN$47))</f>
        <v>107</v>
      </c>
      <c r="AW47" s="1135" cm="1">
        <f t="array" ref="AW47">SUMPRODUCT(('02.XLS'!$A$6:$A$47=$A47)*('02.XLS'!$B$5:$JN$5=AW$5)*('02.XLS'!$B$6:$JN$47))</f>
        <v>64</v>
      </c>
      <c r="AX47" s="1135" cm="1">
        <f t="array" ref="AX47">SUMPRODUCT(('02.XLS'!$A$6:$A$47=$A47)*('02.XLS'!$B$5:$JN$5=AX$5)*('02.XLS'!$B$6:$JN$47))</f>
        <v>71</v>
      </c>
      <c r="AY47" s="1135" cm="1">
        <f t="array" ref="AY47">SUMPRODUCT(('02.XLS'!$A$6:$A$47=$A47)*('02.XLS'!$B$5:$JN$5=AY$5)*('02.XLS'!$B$6:$JN$47))</f>
        <v>54</v>
      </c>
      <c r="AZ47" s="1135" cm="1">
        <f t="array" ref="AZ47">SUMPRODUCT(('02.XLS'!$A$6:$A$47=$A47)*('02.XLS'!$B$5:$JN$5=AZ$5)*('02.XLS'!$B$6:$JN$47))</f>
        <v>64</v>
      </c>
      <c r="BA47" s="1136">
        <f t="shared" si="60"/>
        <v>989</v>
      </c>
      <c r="BB47" s="1135" cm="1">
        <f t="array" ref="BB47">SUMPRODUCT(('02.XLS'!$A$6:$A$47=$A47)*('02.XLS'!$B$5:$JN$5=BB$5)*('02.XLS'!$B$6:$JN$47))</f>
        <v>85</v>
      </c>
      <c r="BC47" s="1135" cm="1">
        <f t="array" ref="BC47">SUMPRODUCT(('02.XLS'!$A$6:$A$47=$A47)*('02.XLS'!$B$5:$JN$5=BC$5)*('02.XLS'!$B$6:$JN$47))</f>
        <v>105</v>
      </c>
      <c r="BD47" s="1135" cm="1">
        <f t="array" ref="BD47">SUMPRODUCT(('02.XLS'!$A$6:$A$47=$A47)*('02.XLS'!$B$5:$JN$5=BD$5)*('02.XLS'!$B$6:$JN$47))</f>
        <v>128</v>
      </c>
      <c r="BE47" s="1135" cm="1">
        <f t="array" ref="BE47">SUMPRODUCT(('02.XLS'!$A$6:$A$47=$A47)*('02.XLS'!$B$5:$JN$5=BE$5)*('02.XLS'!$B$6:$JN$47))</f>
        <v>143</v>
      </c>
      <c r="BF47" s="1135" cm="1">
        <f t="array" ref="BF47">SUMPRODUCT(('02.XLS'!$A$6:$A$47=$A47)*('02.XLS'!$B$5:$JN$5=BF$5)*('02.XLS'!$B$6:$JN$47))</f>
        <v>111</v>
      </c>
      <c r="BG47" s="1135" cm="1">
        <f t="array" ref="BG47">SUMPRODUCT(('02.XLS'!$A$6:$A$47=$A47)*('02.XLS'!$B$5:$JN$5=BG$5)*('02.XLS'!$B$6:$JN$47))</f>
        <v>109</v>
      </c>
      <c r="BH47" s="1135" cm="1">
        <f t="array" ref="BH47">SUMPRODUCT(('02.XLS'!$A$6:$A$47=$A47)*('02.XLS'!$B$5:$JN$5=BH$5)*('02.XLS'!$B$6:$JN$47))</f>
        <v>127</v>
      </c>
      <c r="BI47" s="1135" cm="1">
        <f t="array" ref="BI47">SUMPRODUCT(('02.XLS'!$A$6:$A$47=$A47)*('02.XLS'!$B$5:$JN$5=BI$5)*('02.XLS'!$B$6:$JN$47))</f>
        <v>121</v>
      </c>
      <c r="BJ47" s="1135" cm="1">
        <f t="array" ref="BJ47">SUMPRODUCT(('02.XLS'!$A$6:$A$47=$A47)*('02.XLS'!$B$5:$JN$5=BJ$5)*('02.XLS'!$B$6:$JN$47))</f>
        <v>96</v>
      </c>
      <c r="BK47" s="1135" cm="1">
        <f t="array" ref="BK47">SUMPRODUCT(('02.XLS'!$A$6:$A$47=$A47)*('02.XLS'!$B$5:$JN$5=BK$5)*('02.XLS'!$B$6:$JN$47))</f>
        <v>165</v>
      </c>
      <c r="BL47" s="1135" cm="1">
        <f t="array" ref="BL47">SUMPRODUCT(('02.XLS'!$A$6:$A$47=$A47)*('02.XLS'!$B$5:$JN$5=BL$5)*('02.XLS'!$B$6:$JN$47))</f>
        <v>134</v>
      </c>
      <c r="BM47" s="1135" cm="1">
        <f t="array" ref="BM47">SUMPRODUCT(('02.XLS'!$A$6:$A$47=$A47)*('02.XLS'!$B$5:$JN$5=BM$5)*('02.XLS'!$B$6:$JN$47))</f>
        <v>93</v>
      </c>
      <c r="BN47" s="1136">
        <f t="shared" si="73"/>
        <v>1417</v>
      </c>
      <c r="BO47" s="1135" cm="1">
        <f t="array" ref="BO47">SUMPRODUCT(('02.XLS'!$A$6:$A$47=$A47)*('02.XLS'!$B$5:$JN$5=BO$5)*('02.XLS'!$B$6:$JN$47))</f>
        <v>97</v>
      </c>
      <c r="BP47" s="1135" cm="1">
        <f t="array" ref="BP47">SUMPRODUCT(('02.XLS'!$A$6:$A$47=$A47)*('02.XLS'!$B$5:$JN$5=BP$5)*('02.XLS'!$B$6:$JN$47))</f>
        <v>124</v>
      </c>
      <c r="BQ47" s="1135" cm="1">
        <f t="array" ref="BQ47">SUMPRODUCT(('02.XLS'!$A$6:$A$47=$A47)*('02.XLS'!$B$5:$JN$5=BQ$5)*('02.XLS'!$B$6:$JN$47))</f>
        <v>151</v>
      </c>
      <c r="BR47" s="1135" cm="1">
        <f t="array" ref="BR47">SUMPRODUCT(('02.XLS'!$A$6:$A$47=$A47)*('02.XLS'!$B$5:$JN$5=BR$5)*('02.XLS'!$B$6:$JN$47))</f>
        <v>147</v>
      </c>
      <c r="BS47" s="1135" cm="1">
        <f t="array" ref="BS47">SUMPRODUCT(('02.XLS'!$A$6:$A$47=$A47)*('02.XLS'!$B$5:$JN$5=BS$5)*('02.XLS'!$B$6:$JN$47))</f>
        <v>145</v>
      </c>
      <c r="BT47" s="1135" cm="1">
        <f t="array" ref="BT47">SUMPRODUCT(('02.XLS'!$A$6:$A$47=$A47)*('02.XLS'!$B$5:$JN$5=BT$5)*('02.XLS'!$B$6:$JN$47))</f>
        <v>115</v>
      </c>
      <c r="BU47" s="1135" cm="1">
        <f t="array" ref="BU47">SUMPRODUCT(('02.XLS'!$A$6:$A$47=$A47)*('02.XLS'!$B$5:$JN$5=BU$5)*('02.XLS'!$B$6:$JN$47))</f>
        <v>136</v>
      </c>
      <c r="BV47" s="1135" cm="1">
        <f t="array" ref="BV47">SUMPRODUCT(('02.XLS'!$A$6:$A$47=$A47)*('02.XLS'!$B$5:$JN$5=BV$5)*('02.XLS'!$B$6:$JN$47))</f>
        <v>96</v>
      </c>
      <c r="BW47" s="1135" cm="1">
        <f t="array" ref="BW47">SUMPRODUCT(('02.XLS'!$A$6:$A$47=$A47)*('02.XLS'!$B$5:$JN$5=BW$5)*('02.XLS'!$B$6:$JN$47))</f>
        <v>125</v>
      </c>
      <c r="BX47" s="1135" cm="1">
        <f t="array" ref="BX47">SUMPRODUCT(('02.XLS'!$A$6:$A$47=$A47)*('02.XLS'!$B$5:$JN$5=BX$5)*('02.XLS'!$B$6:$JN$47))</f>
        <v>102</v>
      </c>
      <c r="BY47" s="1135" cm="1">
        <f t="array" ref="BY47">SUMPRODUCT(('02.XLS'!$A$6:$A$47=$A47)*('02.XLS'!$B$5:$JN$5=BY$5)*('02.XLS'!$B$6:$JN$47))</f>
        <v>94</v>
      </c>
      <c r="BZ47" s="1135" cm="1">
        <f t="array" ref="BZ47">SUMPRODUCT(('02.XLS'!$A$6:$A$47=$A47)*('02.XLS'!$B$5:$JN$5=BZ$5)*('02.XLS'!$B$6:$JN$47))</f>
        <v>132</v>
      </c>
      <c r="CA47" s="1136">
        <f t="shared" si="86"/>
        <v>1464</v>
      </c>
      <c r="CB47" s="1135" cm="1">
        <f t="array" ref="CB47">SUMPRODUCT(('02.XLS'!$A$6:$A$47=$A47)*('02.XLS'!$B$5:$JN$5=CB$5)*('02.XLS'!$B$6:$JN$47))</f>
        <v>123</v>
      </c>
      <c r="CC47" s="1135" cm="1">
        <f t="array" ref="CC47">SUMPRODUCT(('02.XLS'!$A$6:$A$47=$A47)*('02.XLS'!$B$5:$JN$5=CC$5)*('02.XLS'!$B$6:$JN$47))</f>
        <v>84</v>
      </c>
      <c r="CD47" s="1135" cm="1">
        <f t="array" ref="CD47">SUMPRODUCT(('02.XLS'!$A$6:$A$47=$A47)*('02.XLS'!$B$5:$JN$5=CD$5)*('02.XLS'!$B$6:$JN$47))</f>
        <v>91</v>
      </c>
      <c r="CE47" s="1135" cm="1">
        <f t="array" ref="CE47">SUMPRODUCT(('02.XLS'!$A$6:$A$47=$A47)*('02.XLS'!$B$5:$JN$5=CE$5)*('02.XLS'!$B$6:$JN$47))</f>
        <v>116</v>
      </c>
      <c r="CF47" s="1135" cm="1">
        <f t="array" ref="CF47">SUMPRODUCT(('02.XLS'!$A$6:$A$47=$A47)*('02.XLS'!$B$5:$JN$5=CF$5)*('02.XLS'!$B$6:$JN$47))</f>
        <v>116</v>
      </c>
      <c r="CG47" s="1135" cm="1">
        <f t="array" ref="CG47">SUMPRODUCT(('02.XLS'!$A$6:$A$47=$A47)*('02.XLS'!$B$5:$JN$5=CG$5)*('02.XLS'!$B$6:$JN$47))</f>
        <v>164</v>
      </c>
      <c r="CH47" s="1135" cm="1">
        <f t="array" ref="CH47">SUMPRODUCT(('02.XLS'!$A$6:$A$47=$A47)*('02.XLS'!$B$5:$JN$5=CH$5)*('02.XLS'!$B$6:$JN$47))</f>
        <v>114</v>
      </c>
      <c r="CI47" s="1135" cm="1">
        <f t="array" ref="CI47">SUMPRODUCT(('02.XLS'!$A$6:$A$47=$A47)*('02.XLS'!$B$5:$JN$5=CI$5)*('02.XLS'!$B$6:$JN$47))</f>
        <v>217</v>
      </c>
      <c r="CJ47" s="1135" cm="1">
        <f t="array" ref="CJ47">SUMPRODUCT(('02.XLS'!$A$6:$A$47=$A47)*('02.XLS'!$B$5:$JN$5=CJ$5)*('02.XLS'!$B$6:$JN$47))</f>
        <v>51</v>
      </c>
      <c r="CK47" s="1135" cm="1">
        <f t="array" ref="CK47">SUMPRODUCT(('02.XLS'!$A$6:$A$47=$A47)*('02.XLS'!$B$5:$JN$5=CK$5)*('02.XLS'!$B$6:$JN$47))</f>
        <v>51</v>
      </c>
      <c r="CL47" s="1135" cm="1">
        <f t="array" ref="CL47">SUMPRODUCT(('02.XLS'!$A$6:$A$47=$A47)*('02.XLS'!$B$5:$JN$5=CL$5)*('02.XLS'!$B$6:$JN$47))</f>
        <v>60</v>
      </c>
      <c r="CM47" s="1135" cm="1">
        <f t="array" ref="CM47">SUMPRODUCT(('02.XLS'!$A$6:$A$47=$A47)*('02.XLS'!$B$5:$JN$5=CM$5)*('02.XLS'!$B$6:$JN$47))</f>
        <v>56</v>
      </c>
      <c r="CN47" s="1136">
        <f t="shared" si="99"/>
        <v>1243</v>
      </c>
      <c r="CO47" s="1135" cm="1">
        <f t="array" ref="CO47">SUMPRODUCT(('02.XLS'!$A$6:$A$47=$A47)*('02.XLS'!$B$5:$JN$5=CO$5)*('02.XLS'!$B$6:$JN$47))</f>
        <v>120</v>
      </c>
      <c r="CP47" s="1135" cm="1">
        <f t="array" ref="CP47">SUMPRODUCT(('02.XLS'!$A$6:$A$47=$A47)*('02.XLS'!$B$5:$JN$5=CP$5)*('02.XLS'!$B$6:$JN$47))</f>
        <v>127</v>
      </c>
      <c r="CQ47" s="1135" cm="1">
        <f t="array" ref="CQ47">SUMPRODUCT(('02.XLS'!$A$6:$A$47=$A47)*('02.XLS'!$B$5:$JN$5=CQ$5)*('02.XLS'!$B$6:$JN$47))</f>
        <v>124</v>
      </c>
      <c r="CR47" s="1135" cm="1">
        <f t="array" ref="CR47">SUMPRODUCT(('02.XLS'!$A$6:$A$47=$A47)*('02.XLS'!$B$5:$JN$5=CR$5)*('02.XLS'!$B$6:$JN$47))</f>
        <v>156</v>
      </c>
      <c r="CS47" s="1135" cm="1">
        <f t="array" ref="CS47">SUMPRODUCT(('02.XLS'!$A$6:$A$47=$A47)*('02.XLS'!$B$5:$JN$5=CS$5)*('02.XLS'!$B$6:$JN$47))</f>
        <v>134</v>
      </c>
      <c r="CT47" s="1135" cm="1">
        <f t="array" ref="CT47">SUMPRODUCT(('02.XLS'!$A$6:$A$47=$A47)*('02.XLS'!$B$5:$JN$5=CT$5)*('02.XLS'!$B$6:$JN$47))</f>
        <v>140</v>
      </c>
      <c r="CU47" s="1135" cm="1">
        <f t="array" ref="CU47">SUMPRODUCT(('02.XLS'!$A$6:$A$47=$A47)*('02.XLS'!$B$5:$JN$5=CU$5)*('02.XLS'!$B$6:$JN$47))</f>
        <v>96</v>
      </c>
      <c r="CV47" s="1135" cm="1">
        <f t="array" ref="CV47">SUMPRODUCT(('02.XLS'!$A$6:$A$47=$A47)*('02.XLS'!$B$5:$JN$5=CV$5)*('02.XLS'!$B$6:$JN$47))</f>
        <v>120</v>
      </c>
      <c r="CW47" s="1135" cm="1">
        <f t="array" ref="CW47">SUMPRODUCT(('02.XLS'!$A$6:$A$47=$A47)*('02.XLS'!$B$5:$JN$5=CW$5)*('02.XLS'!$B$6:$JN$47))</f>
        <v>100</v>
      </c>
      <c r="CX47" s="1135" cm="1">
        <f t="array" ref="CX47">SUMPRODUCT(('02.XLS'!$A$6:$A$47=$A47)*('02.XLS'!$B$5:$JN$5=CX$5)*('02.XLS'!$B$6:$JN$47))</f>
        <v>108</v>
      </c>
      <c r="CY47" s="1135" cm="1">
        <f t="array" ref="CY47">SUMPRODUCT(('02.XLS'!$A$6:$A$47=$A47)*('02.XLS'!$B$5:$JN$5=CY$5)*('02.XLS'!$B$6:$JN$47))</f>
        <v>133</v>
      </c>
      <c r="CZ47" s="1135" cm="1">
        <f t="array" ref="CZ47">SUMPRODUCT(('02.XLS'!$A$6:$A$47=$A47)*('02.XLS'!$B$5:$JN$5=CZ$5)*('02.XLS'!$B$6:$JN$47))</f>
        <v>155</v>
      </c>
      <c r="DA47" s="1136">
        <f t="shared" si="112"/>
        <v>1513</v>
      </c>
      <c r="DB47" s="1135" cm="1">
        <f t="array" ref="DB47">SUMPRODUCT(('02.XLS'!$A$6:$A$47=$A47)*('02.XLS'!$B$5:$JN$5=DB$5)*('02.XLS'!$B$6:$JN$47))</f>
        <v>116</v>
      </c>
      <c r="DC47" s="1135" cm="1">
        <f t="array" ref="DC47">SUMPRODUCT(('02.XLS'!$A$6:$A$47=$A47)*('02.XLS'!$B$5:$JN$5=DC$5)*('02.XLS'!$B$6:$JN$47))</f>
        <v>113</v>
      </c>
      <c r="DD47" s="1135" cm="1">
        <f t="array" ref="DD47">SUMPRODUCT(('02.XLS'!$A$6:$A$47=$A47)*('02.XLS'!$B$5:$JN$5=DD$5)*('02.XLS'!$B$6:$JN$47))</f>
        <v>134</v>
      </c>
      <c r="DE47" s="1135" cm="1">
        <f t="array" ref="DE47">SUMPRODUCT(('02.XLS'!$A$6:$A$47=$A47)*('02.XLS'!$B$5:$JN$5=DE$5)*('02.XLS'!$B$6:$JN$47))</f>
        <v>176</v>
      </c>
      <c r="DF47" s="1135" cm="1">
        <f t="array" ref="DF47">SUMPRODUCT(('02.XLS'!$A$6:$A$47=$A47)*('02.XLS'!$B$5:$JN$5=DF$5)*('02.XLS'!$B$6:$JN$47))</f>
        <v>134</v>
      </c>
      <c r="DG47" s="1135" cm="1">
        <f t="array" ref="DG47">SUMPRODUCT(('02.XLS'!$A$6:$A$47=$A47)*('02.XLS'!$B$5:$JN$5=DG$5)*('02.XLS'!$B$6:$JN$47))</f>
        <v>129</v>
      </c>
      <c r="DH47" s="1135" cm="1">
        <f t="array" ref="DH47">SUMPRODUCT(('02.XLS'!$A$6:$A$47=$A47)*('02.XLS'!$B$5:$JN$5=DH$5)*('02.XLS'!$B$6:$JN$47))</f>
        <v>77</v>
      </c>
      <c r="DI47" s="1135" cm="1">
        <f t="array" ref="DI47">SUMPRODUCT(('02.XLS'!$A$6:$A$47=$A47)*('02.XLS'!$B$5:$JN$5=DI$5)*('02.XLS'!$B$6:$JN$47))</f>
        <v>100</v>
      </c>
      <c r="DJ47" s="1135" cm="1">
        <f t="array" ref="DJ47">SUMPRODUCT(('02.XLS'!$A$6:$A$47=$A47)*('02.XLS'!$B$5:$JN$5=DJ$5)*('02.XLS'!$B$6:$JN$47))</f>
        <v>106</v>
      </c>
      <c r="DK47" s="1135" cm="1">
        <f t="array" ref="DK47">SUMPRODUCT(('02.XLS'!$A$6:$A$47=$A47)*('02.XLS'!$B$5:$JN$5=DK$5)*('02.XLS'!$B$6:$JN$47))</f>
        <v>100</v>
      </c>
      <c r="DL47" s="1135" cm="1">
        <f t="array" ref="DL47">SUMPRODUCT(('02.XLS'!$A$6:$A$47=$A47)*('02.XLS'!$B$5:$JN$5=DL$5)*('02.XLS'!$B$6:$JN$47))</f>
        <v>107</v>
      </c>
      <c r="DM47" s="1135" cm="1">
        <f t="array" ref="DM47">SUMPRODUCT(('02.XLS'!$A$6:$A$47=$A47)*('02.XLS'!$B$5:$JN$5=DM$5)*('02.XLS'!$B$6:$JN$47))</f>
        <v>143</v>
      </c>
      <c r="DN47" s="1136">
        <f t="shared" si="125"/>
        <v>1435</v>
      </c>
      <c r="DO47" s="1135" cm="1">
        <f t="array" ref="DO47">SUMPRODUCT(('02.XLS'!$A$6:$A$47=$A47)*('02.XLS'!$B$5:$JN$5=DO$5)*('02.XLS'!$B$6:$JN$47))</f>
        <v>77</v>
      </c>
      <c r="DP47" s="1135" cm="1">
        <f t="array" ref="DP47">SUMPRODUCT(('02.XLS'!$A$6:$A$47=$A47)*('02.XLS'!$B$5:$JN$5=DP$5)*('02.XLS'!$B$6:$JN$47))</f>
        <v>96</v>
      </c>
      <c r="DQ47" s="1135" cm="1">
        <f t="array" ref="DQ47">SUMPRODUCT(('02.XLS'!$A$6:$A$47=$A47)*('02.XLS'!$B$5:$JN$5=DQ$5)*('02.XLS'!$B$6:$JN$47))</f>
        <v>96</v>
      </c>
      <c r="DR47" s="1135" cm="1">
        <f t="array" ref="DR47">SUMPRODUCT(('02.XLS'!$A$6:$A$47=$A47)*('02.XLS'!$B$5:$JN$5=DR$5)*('02.XLS'!$B$6:$JN$47))</f>
        <v>45</v>
      </c>
      <c r="DS47" s="1135" cm="1">
        <f t="array" ref="DS47">SUMPRODUCT(('02.XLS'!$A$6:$A$47=$A47)*('02.XLS'!$B$5:$JN$5=DS$5)*('02.XLS'!$B$6:$JN$47))</f>
        <v>52</v>
      </c>
      <c r="DT47" s="1135" cm="1">
        <f t="array" ref="DT47">SUMPRODUCT(('02.XLS'!$A$6:$A$47=$A47)*('02.XLS'!$B$5:$JN$5=DT$5)*('02.XLS'!$B$6:$JN$47))</f>
        <v>51</v>
      </c>
      <c r="DU47" s="1135" cm="1">
        <f t="array" ref="DU47">SUMPRODUCT(('02.XLS'!$A$6:$A$47=$A47)*('02.XLS'!$B$5:$JN$5=DU$5)*('02.XLS'!$B$6:$JN$47))</f>
        <v>62</v>
      </c>
      <c r="DV47" s="1135" cm="1">
        <f t="array" ref="DV47">SUMPRODUCT(('02.XLS'!$A$6:$A$47=$A47)*('02.XLS'!$B$5:$JN$5=DV$5)*('02.XLS'!$B$6:$JN$47))</f>
        <v>39</v>
      </c>
      <c r="DW47" s="1135" cm="1">
        <f t="array" ref="DW47">SUMPRODUCT(('02.XLS'!$A$6:$A$47=$A47)*('02.XLS'!$B$5:$JN$5=DW$5)*('02.XLS'!$B$6:$JN$47))</f>
        <v>36</v>
      </c>
      <c r="DX47" s="1135" cm="1">
        <f t="array" ref="DX47">SUMPRODUCT(('02.XLS'!$A$6:$A$47=$A47)*('02.XLS'!$B$5:$JN$5=DX$5)*('02.XLS'!$B$6:$JN$47))</f>
        <v>83</v>
      </c>
      <c r="DY47" s="1135" cm="1">
        <f t="array" ref="DY47">SUMPRODUCT(('02.XLS'!$A$6:$A$47=$A47)*('02.XLS'!$B$5:$JN$5=DY$5)*('02.XLS'!$B$6:$JN$47))</f>
        <v>89</v>
      </c>
      <c r="DZ47" s="1135" cm="1">
        <f t="array" ref="DZ47">SUMPRODUCT(('02.XLS'!$A$6:$A$47=$A47)*('02.XLS'!$B$5:$JN$5=DZ$5)*('02.XLS'!$B$6:$JN$47))</f>
        <v>96</v>
      </c>
      <c r="EA47" s="1136">
        <f t="shared" si="138"/>
        <v>822</v>
      </c>
      <c r="EB47" s="1135" cm="1">
        <f t="array" ref="EB47">SUMPRODUCT(('02.XLS'!$A$6:$A$47=$A47)*('02.XLS'!$B$5:$JN$5=EB$5)*('02.XLS'!$B$6:$JN$47))</f>
        <v>63</v>
      </c>
      <c r="EC47" s="1135" cm="1">
        <f t="array" ref="EC47">SUMPRODUCT(('02.XLS'!$A$6:$A$47=$A47)*('02.XLS'!$B$5:$JN$5=EC$5)*('02.XLS'!$B$6:$JN$47))</f>
        <v>93</v>
      </c>
      <c r="ED47" s="1135" cm="1">
        <f t="array" ref="ED47">SUMPRODUCT(('02.XLS'!$A$6:$A$47=$A47)*('02.XLS'!$B$5:$JN$5=ED$5)*('02.XLS'!$B$6:$JN$47))</f>
        <v>102</v>
      </c>
      <c r="EE47" s="1135" cm="1">
        <f t="array" ref="EE47">SUMPRODUCT(('02.XLS'!$A$6:$A$47=$A47)*('02.XLS'!$B$5:$JN$5=EE$5)*('02.XLS'!$B$6:$JN$47))</f>
        <v>119</v>
      </c>
      <c r="EF47" s="1135" cm="1">
        <f t="array" ref="EF47">SUMPRODUCT(('02.XLS'!$A$6:$A$47=$A47)*('02.XLS'!$B$5:$JN$5=EF$5)*('02.XLS'!$B$6:$JN$47))</f>
        <v>76</v>
      </c>
      <c r="EG47" s="1135" cm="1">
        <f t="array" ref="EG47">SUMPRODUCT(('02.XLS'!$A$6:$A$47=$A47)*('02.XLS'!$B$5:$JN$5=EG$5)*('02.XLS'!$B$6:$JN$47))</f>
        <v>94</v>
      </c>
      <c r="EH47" s="1135" cm="1">
        <f t="array" ref="EH47">SUMPRODUCT(('02.XLS'!$A$6:$A$47=$A47)*('02.XLS'!$B$5:$JN$5=EH$5)*('02.XLS'!$B$6:$JN$47))</f>
        <v>107</v>
      </c>
      <c r="EI47" s="1135" cm="1">
        <f t="array" ref="EI47">SUMPRODUCT(('02.XLS'!$A$6:$A$47=$A47)*('02.XLS'!$B$5:$JN$5=EI$5)*('02.XLS'!$B$6:$JN$47))</f>
        <v>76</v>
      </c>
      <c r="EJ47" s="1135" cm="1">
        <f t="array" ref="EJ47">SUMPRODUCT(('02.XLS'!$A$6:$A$47=$A47)*('02.XLS'!$B$5:$JN$5=EJ$5)*('02.XLS'!$B$6:$JN$47))</f>
        <v>83</v>
      </c>
      <c r="EK47" s="1135" cm="1">
        <f t="array" ref="EK47">SUMPRODUCT(('02.XLS'!$A$6:$A$47=$A47)*('02.XLS'!$B$5:$JN$5=EK$5)*('02.XLS'!$B$6:$JN$47))</f>
        <v>104</v>
      </c>
      <c r="EL47" s="1135" cm="1">
        <f t="array" ref="EL47">SUMPRODUCT(('02.XLS'!$A$6:$A$47=$A47)*('02.XLS'!$B$5:$JN$5=EL$5)*('02.XLS'!$B$6:$JN$47))</f>
        <v>112</v>
      </c>
      <c r="EM47" s="1135" cm="1">
        <f t="array" ref="EM47">SUMPRODUCT(('02.XLS'!$A$6:$A$47=$A47)*('02.XLS'!$B$5:$JN$5=EM$5)*('02.XLS'!$B$6:$JN$47))</f>
        <v>111</v>
      </c>
      <c r="EN47" s="1136">
        <f t="shared" si="151"/>
        <v>1140</v>
      </c>
      <c r="EO47" s="1135" cm="1">
        <f t="array" ref="EO47">SUMPRODUCT(('02.XLS'!$A$6:$A$47=$A47)*('02.XLS'!$B$5:$JN$5=EO$5)*('02.XLS'!$B$6:$JN$47))</f>
        <v>73</v>
      </c>
      <c r="EP47" s="1135" cm="1">
        <f t="array" ref="EP47">SUMPRODUCT(('02.XLS'!$A$6:$A$47=$A47)*('02.XLS'!$B$5:$JN$5=EP$5)*('02.XLS'!$B$6:$JN$47))</f>
        <v>85</v>
      </c>
      <c r="EQ47" s="1135" cm="1">
        <f t="array" ref="EQ47">SUMPRODUCT(('02.XLS'!$A$6:$A$47=$A47)*('02.XLS'!$B$5:$JN$5=EQ$5)*('02.XLS'!$B$6:$JN$47))</f>
        <v>84</v>
      </c>
      <c r="ER47" s="1135" cm="1">
        <f t="array" ref="ER47">SUMPRODUCT(('02.XLS'!$A$6:$A$47=$A47)*('02.XLS'!$B$5:$JN$5=ER$5)*('02.XLS'!$B$6:$JN$47))</f>
        <v>108</v>
      </c>
      <c r="ES47" s="1135" cm="1">
        <f t="array" ref="ES47">SUMPRODUCT(('02.XLS'!$A$6:$A$47=$A47)*('02.XLS'!$B$5:$JN$5=ES$5)*('02.XLS'!$B$6:$JN$47))</f>
        <v>119</v>
      </c>
      <c r="ET47" s="1135" cm="1">
        <f t="array" ref="ET47">SUMPRODUCT(('02.XLS'!$A$6:$A$47=$A47)*('02.XLS'!$B$5:$JN$5=ET$5)*('02.XLS'!$B$6:$JN$47))</f>
        <v>120</v>
      </c>
      <c r="EU47" s="1135" cm="1">
        <f t="array" ref="EU47">SUMPRODUCT(('02.XLS'!$A$6:$A$47=$A47)*('02.XLS'!$B$5:$JN$5=EU$5)*('02.XLS'!$B$6:$JN$47))</f>
        <v>108</v>
      </c>
      <c r="EV47" s="1135" cm="1">
        <f t="array" ref="EV47">SUMPRODUCT(('02.XLS'!$A$6:$A$47=$A47)*('02.XLS'!$B$5:$JN$5=EV$5)*('02.XLS'!$B$6:$JN$47))</f>
        <v>108</v>
      </c>
      <c r="EW47" s="1135" cm="1">
        <f t="array" ref="EW47">SUMPRODUCT(('02.XLS'!$A$6:$A$47=$A47)*('02.XLS'!$B$5:$JN$5=EW$5)*('02.XLS'!$B$6:$JN$47))</f>
        <v>111</v>
      </c>
      <c r="EX47" s="1135" cm="1">
        <f t="array" ref="EX47">SUMPRODUCT(('02.XLS'!$A$6:$A$47=$A47)*('02.XLS'!$B$5:$JN$5=EX$5)*('02.XLS'!$B$6:$JN$47))</f>
        <v>110</v>
      </c>
      <c r="EY47" s="1135" cm="1">
        <f t="array" ref="EY47">SUMPRODUCT(('02.XLS'!$A$6:$A$47=$A47)*('02.XLS'!$B$5:$JN$5=EY$5)*('02.XLS'!$B$6:$JN$47))</f>
        <v>114</v>
      </c>
      <c r="EZ47" s="1135" cm="1">
        <f t="array" ref="EZ47">SUMPRODUCT(('02.XLS'!$A$6:$A$47=$A47)*('02.XLS'!$B$5:$JN$5=EZ$5)*('02.XLS'!$B$6:$JN$47))</f>
        <v>142</v>
      </c>
      <c r="FA47" s="1136">
        <f t="shared" si="164"/>
        <v>1282</v>
      </c>
      <c r="FB47" s="1135" cm="1">
        <f t="array" ref="FB47">SUMPRODUCT(('02.XLS'!$A$6:$A$47=$A47)*('02.XLS'!$B$5:$JN$5=FB$5)*('02.XLS'!$B$6:$JN$47))</f>
        <v>84</v>
      </c>
      <c r="FC47" s="1135" cm="1">
        <f t="array" ref="FC47">SUMPRODUCT(('02.XLS'!$A$6:$A$47=$A47)*('02.XLS'!$B$5:$JN$5=FC$5)*('02.XLS'!$B$6:$JN$47))</f>
        <v>108</v>
      </c>
      <c r="FD47" s="1135" cm="1">
        <f t="array" ref="FD47">SUMPRODUCT(('02.XLS'!$A$6:$A$47=$A47)*('02.XLS'!$B$5:$JN$5=FD$5)*('02.XLS'!$B$6:$JN$47))</f>
        <v>109</v>
      </c>
      <c r="FE47" s="1135" cm="1">
        <f t="array" ref="FE47">SUMPRODUCT(('02.XLS'!$A$6:$A$47=$A47)*('02.XLS'!$B$5:$JN$5=FE$5)*('02.XLS'!$B$6:$JN$47))</f>
        <v>100</v>
      </c>
      <c r="FF47" s="1135" cm="1">
        <f t="array" ref="FF47">SUMPRODUCT(('02.XLS'!$A$6:$A$47=$A47)*('02.XLS'!$B$5:$JN$5=FF$5)*('02.XLS'!$B$6:$JN$47))</f>
        <v>120</v>
      </c>
      <c r="FG47" s="1135" cm="1">
        <f t="array" ref="FG47">SUMPRODUCT(('02.XLS'!$A$6:$A$47=$A47)*('02.XLS'!$B$5:$JN$5=FG$5)*('02.XLS'!$B$6:$JN$47))</f>
        <v>156</v>
      </c>
      <c r="FH47" s="1135" cm="1">
        <f t="array" ref="FH47">SUMPRODUCT(('02.XLS'!$A$6:$A$47=$A47)*('02.XLS'!$B$5:$JN$5=FH$5)*('02.XLS'!$B$6:$JN$47))</f>
        <v>104</v>
      </c>
      <c r="FI47" s="1135" cm="1">
        <f t="array" ref="FI47">SUMPRODUCT(('02.XLS'!$A$6:$A$47=$A47)*('02.XLS'!$B$5:$JN$5=FI$5)*('02.XLS'!$B$6:$JN$47))</f>
        <v>127</v>
      </c>
      <c r="FJ47" s="1135" cm="1">
        <f t="array" ref="FJ47">SUMPRODUCT(('02.XLS'!$A$6:$A$47=$A47)*('02.XLS'!$B$5:$JN$5=FJ$5)*('02.XLS'!$B$6:$JN$47))</f>
        <v>99</v>
      </c>
      <c r="FK47" s="1135" cm="1">
        <f t="array" ref="FK47">SUMPRODUCT(('02.XLS'!$A$6:$A$47=$A47)*('02.XLS'!$B$5:$JN$5=FK$5)*('02.XLS'!$B$6:$JN$47))</f>
        <v>106</v>
      </c>
      <c r="FL47" s="1135" cm="1">
        <f t="array" ref="FL47">SUMPRODUCT(('02.XLS'!$A$6:$A$47=$A47)*('02.XLS'!$B$5:$JN$5=FL$5)*('02.XLS'!$B$6:$JN$47))</f>
        <v>111</v>
      </c>
      <c r="FM47" s="1135" cm="1">
        <f t="array" ref="FM47">SUMPRODUCT(('02.XLS'!$A$6:$A$47=$A47)*('02.XLS'!$B$5:$JN$5=FM$5)*('02.XLS'!$B$6:$JN$47))</f>
        <v>119</v>
      </c>
      <c r="FN47" s="1136">
        <f t="shared" si="177"/>
        <v>1343</v>
      </c>
      <c r="FO47" s="1135" cm="1">
        <f t="array" ref="FO47">SUMPRODUCT(('02.XLS'!$A$6:$A$47=$A47)*('02.XLS'!$B$5:$JN$5=FO$5)*('02.XLS'!$B$6:$JN$47))</f>
        <v>96</v>
      </c>
      <c r="FP47" s="1135" cm="1">
        <f t="array" ref="FP47">SUMPRODUCT(('02.XLS'!$A$6:$A$47=$A47)*('02.XLS'!$B$5:$JN$5=FP$5)*('02.XLS'!$B$6:$JN$47))</f>
        <v>111</v>
      </c>
      <c r="FQ47" s="1135" cm="1">
        <f t="array" ref="FQ47">SUMPRODUCT(('02.XLS'!$A$6:$A$47=$A47)*('02.XLS'!$B$5:$JN$5=FQ$5)*('02.XLS'!$B$6:$JN$47))</f>
        <v>92</v>
      </c>
      <c r="FR47" s="1135" cm="1">
        <f t="array" ref="FR47">SUMPRODUCT(('02.XLS'!$A$6:$A$47=$A47)*('02.XLS'!$B$5:$JN$5=FR$5)*('02.XLS'!$B$6:$JN$47))</f>
        <v>90</v>
      </c>
      <c r="FS47" s="1135" cm="1">
        <f t="array" ref="FS47">SUMPRODUCT(('02.XLS'!$A$6:$A$47=$A47)*('02.XLS'!$B$5:$JN$5=FS$5)*('02.XLS'!$B$6:$JN$47))</f>
        <v>110</v>
      </c>
      <c r="FT47" s="1135" cm="1">
        <f t="array" ref="FT47">SUMPRODUCT(('02.XLS'!$A$6:$A$47=$A47)*('02.XLS'!$B$5:$JN$5=FT$5)*('02.XLS'!$B$6:$JN$47))</f>
        <v>152</v>
      </c>
      <c r="FU47" s="1135" cm="1">
        <f t="array" ref="FU47">SUMPRODUCT(('02.XLS'!$A$6:$A$47=$A47)*('02.XLS'!$B$5:$JN$5=FU$5)*('02.XLS'!$B$6:$JN$47))</f>
        <v>148</v>
      </c>
      <c r="FV47" s="1135" cm="1">
        <f t="array" ref="FV47">SUMPRODUCT(('02.XLS'!$A$6:$A$47=$A47)*('02.XLS'!$B$5:$JN$5=FV$5)*('02.XLS'!$B$6:$JN$47))</f>
        <v>134</v>
      </c>
      <c r="FW47" s="1135" cm="1">
        <f t="array" ref="FW47">SUMPRODUCT(('02.XLS'!$A$6:$A$47=$A47)*('02.XLS'!$B$5:$JN$5=FW$5)*('02.XLS'!$B$6:$JN$47))</f>
        <v>134</v>
      </c>
      <c r="FX47" s="1135" cm="1">
        <f t="array" ref="FX47">SUMPRODUCT(('02.XLS'!$A$6:$A$47=$A47)*('02.XLS'!$B$5:$JN$5=FX$5)*('02.XLS'!$B$6:$JN$47))</f>
        <v>182</v>
      </c>
      <c r="FY47" s="1135" cm="1">
        <f t="array" ref="FY47">SUMPRODUCT(('02.XLS'!$A$6:$A$47=$A47)*('02.XLS'!$B$5:$JN$5=FY$5)*('02.XLS'!$B$6:$JN$47))</f>
        <v>163</v>
      </c>
      <c r="FZ47" s="1135" cm="1">
        <f t="array" ref="FZ47">SUMPRODUCT(('02.XLS'!$A$6:$A$47=$A47)*('02.XLS'!$B$5:$JN$5=FZ$5)*('02.XLS'!$B$6:$JN$47))</f>
        <v>100</v>
      </c>
      <c r="GA47" s="1136">
        <f t="shared" si="190"/>
        <v>1512</v>
      </c>
      <c r="GB47" s="1135" cm="1">
        <f t="array" ref="GB47">SUMPRODUCT(('02.XLS'!$A$6:$A$47=$A47)*('02.XLS'!$B$5:$JN$5=GB$5)*('02.XLS'!$B$6:$JN$47))</f>
        <v>122</v>
      </c>
      <c r="GC47" s="1135" cm="1">
        <f t="array" ref="GC47">SUMPRODUCT(('02.XLS'!$A$6:$A$47=$A47)*('02.XLS'!$B$5:$JN$5=GC$5)*('02.XLS'!$B$6:$JN$47))</f>
        <v>138</v>
      </c>
      <c r="GD47" s="1135" cm="1">
        <f t="array" ref="GD47">SUMPRODUCT(('02.XLS'!$A$6:$A$47=$A47)*('02.XLS'!$B$5:$JN$5=GD$5)*('02.XLS'!$B$6:$JN$47))</f>
        <v>142</v>
      </c>
      <c r="GE47" s="1135" cm="1">
        <f t="array" ref="GE47">SUMPRODUCT(('02.XLS'!$A$6:$A$47=$A47)*('02.XLS'!$B$5:$JN$5=GE$5)*('02.XLS'!$B$6:$JN$47))</f>
        <v>132</v>
      </c>
      <c r="GF47" s="1135" cm="1">
        <f t="array" ref="GF47">SUMPRODUCT(('02.XLS'!$A$6:$A$47=$A47)*('02.XLS'!$B$5:$JN$5=GF$5)*('02.XLS'!$B$6:$JN$47))</f>
        <v>141.5</v>
      </c>
      <c r="GG47" s="1135" cm="1">
        <f t="array" ref="GG47">SUMPRODUCT(('02.XLS'!$A$6:$A$47=$A47)*('02.XLS'!$B$5:$JN$5=GG$5)*('02.XLS'!$B$6:$JN$47))</f>
        <v>145</v>
      </c>
      <c r="GH47" s="1135" cm="1">
        <f t="array" ref="GH47">SUMPRODUCT(('02.XLS'!$A$6:$A$47=$A47)*('02.XLS'!$B$5:$JN$5=GH$5)*('02.XLS'!$B$6:$JN$47))</f>
        <v>163</v>
      </c>
      <c r="GI47" s="1135" cm="1">
        <f t="array" ref="GI47">SUMPRODUCT(('02.XLS'!$A$6:$A$47=$A47)*('02.XLS'!$B$5:$JN$5=GI$5)*('02.XLS'!$B$6:$JN$47))</f>
        <v>123</v>
      </c>
      <c r="GJ47" s="1135" cm="1">
        <f t="array" ref="GJ47">SUMPRODUCT(('02.XLS'!$A$6:$A$47=$A47)*('02.XLS'!$B$5:$JN$5=GJ$5)*('02.XLS'!$B$6:$JN$47))</f>
        <v>111</v>
      </c>
      <c r="GK47" s="1135" cm="1">
        <f t="array" ref="GK47">SUMPRODUCT(('02.XLS'!$A$6:$A$47=$A47)*('02.XLS'!$B$5:$JN$5=GK$5)*('02.XLS'!$B$6:$JN$47))</f>
        <v>191</v>
      </c>
      <c r="GL47" s="1135" cm="1">
        <f t="array" ref="GL47">SUMPRODUCT(('02.XLS'!$A$6:$A$47=$A47)*('02.XLS'!$B$5:$JN$5=GL$5)*('02.XLS'!$B$6:$JN$47))</f>
        <v>118</v>
      </c>
      <c r="GM47" s="1135" cm="1">
        <f t="array" ref="GM47">SUMPRODUCT(('02.XLS'!$A$6:$A$47=$A47)*('02.XLS'!$B$5:$JN$5=GM$5)*('02.XLS'!$B$6:$JN$47))</f>
        <v>82</v>
      </c>
      <c r="GN47" s="1136">
        <f t="shared" si="203"/>
        <v>1608.5</v>
      </c>
      <c r="GO47" s="1135" cm="1">
        <f t="array" ref="GO47">SUMPRODUCT(('02.XLS'!$A$6:$A$47=$A47)*('02.XLS'!$B$5:$JN$5=GO$5)*('02.XLS'!$B$6:$JN$47))</f>
        <v>129.39999999999998</v>
      </c>
      <c r="GP47" s="1135" cm="1">
        <f t="array" ref="GP47">SUMPRODUCT(('02.XLS'!$A$6:$A$47=$A47)*('02.XLS'!$B$5:$JN$5=GP$5)*('02.XLS'!$B$6:$JN$47))</f>
        <v>148.80000000000001</v>
      </c>
      <c r="GQ47" s="1135" cm="1">
        <f t="array" ref="GQ47">SUMPRODUCT(('02.XLS'!$A$6:$A$47=$A47)*('02.XLS'!$B$5:$JN$5=GQ$5)*('02.XLS'!$B$6:$JN$47))</f>
        <v>126.8</v>
      </c>
      <c r="GR47" s="1135" cm="1">
        <f t="array" ref="GR47">SUMPRODUCT(('02.XLS'!$A$6:$A$47=$A47)*('02.XLS'!$B$5:$JN$5=GR$5)*('02.XLS'!$B$6:$JN$47))</f>
        <v>117.4</v>
      </c>
      <c r="GS47" s="1135" cm="1">
        <f t="array" ref="GS47">SUMPRODUCT(('02.XLS'!$A$6:$A$47=$A47)*('02.XLS'!$B$5:$JN$5=GS$5)*('02.XLS'!$B$6:$JN$47))</f>
        <v>137.9</v>
      </c>
      <c r="GT47" s="1135" cm="1">
        <f t="array" ref="GT47">SUMPRODUCT(('02.XLS'!$A$6:$A$47=$A47)*('02.XLS'!$B$5:$JN$5=GT$5)*('02.XLS'!$B$6:$JN$47))</f>
        <v>121.1</v>
      </c>
      <c r="GU47" s="1135" cm="1">
        <f t="array" ref="GU47">SUMPRODUCT(('02.XLS'!$A$6:$A$47=$A47)*('02.XLS'!$B$5:$JN$5=GU$5)*('02.XLS'!$B$6:$JN$47))</f>
        <v>150.6</v>
      </c>
      <c r="GV47" s="1135" cm="1">
        <f t="array" ref="GV47">SUMPRODUCT(('02.XLS'!$A$6:$A$47=$A47)*('02.XLS'!$B$5:$JN$5=GV$5)*('02.XLS'!$B$6:$JN$47))</f>
        <v>150.4</v>
      </c>
      <c r="GW47" s="1135" cm="1">
        <f t="array" ref="GW47">SUMPRODUCT(('02.XLS'!$A$6:$A$47=$A47)*('02.XLS'!$B$5:$JN$5=GW$5)*('02.XLS'!$B$6:$JN$47))</f>
        <v>116</v>
      </c>
      <c r="GX47" s="1135" cm="1">
        <f t="array" ref="GX47">SUMPRODUCT(('02.XLS'!$A$6:$A$47=$A47)*('02.XLS'!$B$5:$JN$5=GX$5)*('02.XLS'!$B$6:$JN$47))</f>
        <v>182.3</v>
      </c>
      <c r="GY47" s="1135" cm="1">
        <f t="array" ref="GY47">SUMPRODUCT(('02.XLS'!$A$6:$A$47=$A47)*('02.XLS'!$B$5:$JN$5=GY$5)*('02.XLS'!$B$6:$JN$47))</f>
        <v>164.6</v>
      </c>
      <c r="GZ47" s="1135" cm="1">
        <f t="array" ref="GZ47">SUMPRODUCT(('02.XLS'!$A$6:$A$47=$A47)*('02.XLS'!$B$5:$JN$5=GZ$5)*('02.XLS'!$B$6:$JN$47))</f>
        <v>157.30000000000001</v>
      </c>
      <c r="HA47" s="1136">
        <f t="shared" si="216"/>
        <v>1702.6</v>
      </c>
      <c r="HB47" s="1135" cm="1">
        <f t="array" ref="HB47">SUMPRODUCT(('02.XLS'!$A$6:$A$47=$A47)*('02.XLS'!$B$5:$JN$5=HB$5)*('02.XLS'!$B$6:$JN$47))</f>
        <v>98.899999999999991</v>
      </c>
      <c r="HC47" s="1135" cm="1">
        <f t="array" ref="HC47">SUMPRODUCT(('02.XLS'!$A$6:$A$47=$A47)*('02.XLS'!$B$5:$JN$5=HC$5)*('02.XLS'!$B$6:$JN$47))</f>
        <v>145.69999999999999</v>
      </c>
      <c r="HD47" s="1135" cm="1">
        <f t="array" ref="HD47">SUMPRODUCT(('02.XLS'!$A$6:$A$47=$A47)*('02.XLS'!$B$5:$JN$5=HD$5)*('02.XLS'!$B$6:$JN$47))</f>
        <v>119.7</v>
      </c>
      <c r="HE47" s="1135" cm="1">
        <f t="array" ref="HE47">SUMPRODUCT(('02.XLS'!$A$6:$A$47=$A47)*('02.XLS'!$B$5:$JN$5=HE$5)*('02.XLS'!$B$6:$JN$47))</f>
        <v>108.1</v>
      </c>
      <c r="HF47" s="1135" cm="1">
        <f t="array" ref="HF47">SUMPRODUCT(('02.XLS'!$A$6:$A$47=$A47)*('02.XLS'!$B$5:$JN$5=HF$5)*('02.XLS'!$B$6:$JN$47))</f>
        <v>110.1</v>
      </c>
      <c r="HG47" s="1135" cm="1">
        <f t="array" ref="HG47">SUMPRODUCT(('02.XLS'!$A$6:$A$47=$A47)*('02.XLS'!$B$5:$JN$5=HG$5)*('02.XLS'!$B$6:$JN$47))</f>
        <v>116.4</v>
      </c>
      <c r="HH47" s="1135" cm="1">
        <f t="array" ref="HH47">SUMPRODUCT(('02.XLS'!$A$6:$A$47=$A47)*('02.XLS'!$B$5:$JN$5=HH$5)*('02.XLS'!$B$6:$JN$47))</f>
        <v>117</v>
      </c>
      <c r="HI47" s="1135" cm="1">
        <f t="array" ref="HI47">SUMPRODUCT(('02.XLS'!$A$6:$A$47=$A47)*('02.XLS'!$B$5:$JN$5=HI$5)*('02.XLS'!$B$6:$JN$47))</f>
        <v>111.3</v>
      </c>
      <c r="HJ47" s="1135" cm="1">
        <f t="array" ref="HJ47">SUMPRODUCT(('02.XLS'!$A$6:$A$47=$A47)*('02.XLS'!$B$5:$JN$5=HJ$5)*('02.XLS'!$B$6:$JN$47))</f>
        <v>117</v>
      </c>
      <c r="HK47" s="1135" cm="1">
        <f t="array" ref="HK47">SUMPRODUCT(('02.XLS'!$A$6:$A$47=$A47)*('02.XLS'!$B$5:$JN$5=HK$5)*('02.XLS'!$B$6:$JN$47))</f>
        <v>118.1</v>
      </c>
      <c r="HL47" s="1135" cm="1">
        <f t="array" ref="HL47">SUMPRODUCT(('02.XLS'!$A$6:$A$47=$A47)*('02.XLS'!$B$5:$JN$5=HL$5)*('02.XLS'!$B$6:$JN$47))</f>
        <v>122.6</v>
      </c>
      <c r="HM47" s="1135" cm="1">
        <f t="array" ref="HM47">SUMPRODUCT(('02.XLS'!$A$6:$A$47=$A47)*('02.XLS'!$B$5:$JN$5=HM$5)*('02.XLS'!$B$6:$JN$47))</f>
        <v>131.69999999999999</v>
      </c>
      <c r="HN47" s="1136">
        <f t="shared" si="229"/>
        <v>1416.5999999999997</v>
      </c>
      <c r="HO47" s="1135" cm="1">
        <f t="array" ref="HO47">SUMPRODUCT(('02.XLS'!$A$6:$A$47=$A47)*('02.XLS'!$B$5:$JN$5=HO$5)*('02.XLS'!$B$6:$JN$47))</f>
        <v>77.3</v>
      </c>
      <c r="HP47" s="1135" cm="1">
        <f t="array" ref="HP47">SUMPRODUCT(('02.XLS'!$A$6:$A$47=$A47)*('02.XLS'!$B$5:$JN$5=HP$5)*('02.XLS'!$B$6:$JN$47))</f>
        <v>101.5</v>
      </c>
      <c r="HQ47" s="1135" cm="1">
        <f t="array" ref="HQ47">SUMPRODUCT(('02.XLS'!$A$6:$A$47=$A47)*('02.XLS'!$B$5:$JN$5=HQ$5)*('02.XLS'!$B$6:$JN$47))</f>
        <v>116</v>
      </c>
      <c r="HR47" s="1135" cm="1">
        <f t="array" ref="HR47">SUMPRODUCT(('02.XLS'!$A$6:$A$47=$A47)*('02.XLS'!$B$5:$JN$5=HR$5)*('02.XLS'!$B$6:$JN$47))</f>
        <v>127</v>
      </c>
      <c r="HS47" s="1135" cm="1">
        <f t="array" ref="HS47">SUMPRODUCT(('02.XLS'!$A$6:$A$47=$A47)*('02.XLS'!$B$5:$JN$5=HS$5)*('02.XLS'!$B$6:$JN$47))</f>
        <v>84</v>
      </c>
      <c r="HT47" s="1135" cm="1">
        <f t="array" ref="HT47">SUMPRODUCT(('02.XLS'!$A$6:$A$47=$A47)*('02.XLS'!$B$5:$JN$5=HT$5)*('02.XLS'!$B$6:$JN$47))</f>
        <v>83.899999999999991</v>
      </c>
      <c r="HU47" s="1135" cm="1">
        <f t="array" ref="HU47">SUMPRODUCT(('02.XLS'!$A$6:$A$47=$A47)*('02.XLS'!$B$5:$JN$5=HU$5)*('02.XLS'!$B$6:$JN$47))</f>
        <v>60.8</v>
      </c>
      <c r="HV47" s="1135" cm="1">
        <f t="array" ref="HV47">SUMPRODUCT(('02.XLS'!$A$6:$A$47=$A47)*('02.XLS'!$B$5:$JN$5=HV$5)*('02.XLS'!$B$6:$JN$47))</f>
        <v>60</v>
      </c>
      <c r="HW47" s="1135" cm="1">
        <f t="array" ref="HW47">SUMPRODUCT(('02.XLS'!$A$6:$A$47=$A47)*('02.XLS'!$B$5:$JN$5=HW$5)*('02.XLS'!$B$6:$JN$47))</f>
        <v>60.6</v>
      </c>
      <c r="HX47" s="1135" cm="1">
        <f t="array" ref="HX47">SUMPRODUCT(('02.XLS'!$A$6:$A$47=$A47)*('02.XLS'!$B$5:$JN$5=HX$5)*('02.XLS'!$B$6:$JN$47))</f>
        <v>62.8</v>
      </c>
      <c r="HY47" s="1135" cm="1">
        <f t="array" ref="HY47">SUMPRODUCT(('02.XLS'!$A$6:$A$47=$A47)*('02.XLS'!$B$5:$JN$5=HY$5)*('02.XLS'!$B$6:$JN$47))</f>
        <v>87.300000000000011</v>
      </c>
      <c r="HZ47" s="1135" cm="1">
        <f t="array" ref="HZ47">SUMPRODUCT(('02.XLS'!$A$6:$A$47=$A47)*('02.XLS'!$B$5:$JN$5=HZ$5)*('02.XLS'!$B$6:$JN$47))</f>
        <v>113</v>
      </c>
      <c r="IA47" s="1136">
        <f t="shared" si="242"/>
        <v>1034.2</v>
      </c>
      <c r="IB47" s="1135" cm="1">
        <f t="array" ref="IB47">SUMPRODUCT(('02.XLS'!$A$6:$A$47=$A47)*('02.XLS'!$B$5:$JN$5=IB$5)*('02.XLS'!$B$6:$JN$47))</f>
        <v>94.5</v>
      </c>
      <c r="IC47" s="1135" cm="1">
        <f t="array" ref="IC47">SUMPRODUCT(('02.XLS'!$A$6:$A$47=$A47)*('02.XLS'!$B$5:$JN$5=IC$5)*('02.XLS'!$B$6:$JN$47))</f>
        <v>95.5</v>
      </c>
      <c r="ID47" s="1135" cm="1">
        <f t="array" ref="ID47">SUMPRODUCT(('02.XLS'!$A$6:$A$47=$A47)*('02.XLS'!$B$5:$JN$5=ID$5)*('02.XLS'!$B$6:$JN$47))</f>
        <v>108</v>
      </c>
      <c r="IE47" s="1135" cm="1">
        <f t="array" ref="IE47">SUMPRODUCT(('02.XLS'!$A$6:$A$47=$A47)*('02.XLS'!$B$5:$JN$5=IE$5)*('02.XLS'!$B$6:$JN$47))</f>
        <v>104.4</v>
      </c>
      <c r="IF47" s="1135" cm="1">
        <f t="array" ref="IF47">SUMPRODUCT(('02.XLS'!$A$6:$A$47=$A47)*('02.XLS'!$B$5:$JN$5=IF$5)*('02.XLS'!$B$6:$JN$47))</f>
        <v>89</v>
      </c>
      <c r="IG47" s="1135" cm="1">
        <f t="array" ref="IG47">SUMPRODUCT(('02.XLS'!$A$6:$A$47=$A47)*('02.XLS'!$B$5:$JN$5=IG$5)*('02.XLS'!$B$6:$JN$47))</f>
        <v>72.5</v>
      </c>
      <c r="IH47" s="1135" cm="1">
        <f t="array" ref="IH47">SUMPRODUCT(('02.XLS'!$A$6:$A$47=$A47)*('02.XLS'!$B$5:$JN$5=IH$5)*('02.XLS'!$B$6:$JN$47))</f>
        <v>66.3</v>
      </c>
      <c r="II47" s="1135" cm="1">
        <f t="array" ref="II47">SUMPRODUCT(('02.XLS'!$A$6:$A$47=$A47)*('02.XLS'!$B$5:$JN$5=II$5)*('02.XLS'!$B$6:$JN$47))</f>
        <v>71.099999999999994</v>
      </c>
      <c r="IJ47" s="1135" cm="1">
        <f t="array" ref="IJ47">SUMPRODUCT(('02.XLS'!$A$6:$A$47=$A47)*('02.XLS'!$B$5:$JN$5=IJ$5)*('02.XLS'!$B$6:$JN$47))</f>
        <v>71.61999999999999</v>
      </c>
      <c r="IK47" s="1135" cm="1">
        <f t="array" ref="IK47">SUMPRODUCT(('02.XLS'!$A$6:$A$47=$A47)*('02.XLS'!$B$5:$JN$5=IK$5)*('02.XLS'!$B$6:$JN$47))</f>
        <v>70.45</v>
      </c>
      <c r="IL47" s="1135" cm="1">
        <f t="array" ref="IL47">SUMPRODUCT(('02.XLS'!$A$6:$A$47=$A47)*('02.XLS'!$B$5:$JN$5=IL$5)*('02.XLS'!$B$6:$JN$47))</f>
        <v>72.400000000000006</v>
      </c>
      <c r="IM47" s="1135" cm="1">
        <f t="array" ref="IM47">SUMPRODUCT(('02.XLS'!$A$6:$A$47=$A47)*('02.XLS'!$B$5:$JN$5=IM$5)*('02.XLS'!$B$6:$JN$47))</f>
        <v>84.800000000000011</v>
      </c>
      <c r="IN47" s="1136">
        <f t="shared" si="255"/>
        <v>1000.5699999999999</v>
      </c>
      <c r="IO47" s="1135" cm="1">
        <f t="array" ref="IO47">SUMPRODUCT(('02.XLS'!$A$6:$A$47=$A47)*('02.XLS'!$B$5:$JN$5=IO$5)*('02.XLS'!$B$6:$JN$47))</f>
        <v>68.5</v>
      </c>
      <c r="IP47" s="1135" cm="1">
        <f t="array" ref="IP47">SUMPRODUCT(('02.XLS'!$A$6:$A$47=$A47)*('02.XLS'!$B$5:$JN$5=IP$5)*('02.XLS'!$B$6:$JN$47))</f>
        <v>58.6</v>
      </c>
      <c r="IQ47" s="1135" cm="1">
        <f t="array" ref="IQ47">SUMPRODUCT(('02.XLS'!$A$6:$A$47=$A47)*('02.XLS'!$B$5:$JN$5=IQ$5)*('02.XLS'!$B$6:$JN$47))</f>
        <v>56</v>
      </c>
      <c r="IR47" s="1135" cm="1">
        <f t="array" ref="IR47">SUMPRODUCT(('02.XLS'!$A$6:$A$47=$A47)*('02.XLS'!$B$5:$JN$5=IR$5)*('02.XLS'!$B$6:$JN$47))</f>
        <v>51.7</v>
      </c>
      <c r="IS47" s="1135" cm="1">
        <f t="array" ref="IS47">SUMPRODUCT(('02.XLS'!$A$6:$A$47=$A47)*('02.XLS'!$B$5:$JN$5=IS$5)*('02.XLS'!$B$6:$JN$47))</f>
        <v>78.3</v>
      </c>
      <c r="IT47" s="1135" cm="1">
        <f t="array" ref="IT47">SUMPRODUCT(('02.XLS'!$A$6:$A$47=$A47)*('02.XLS'!$B$5:$JN$5=IT$5)*('02.XLS'!$B$6:$JN$47))</f>
        <v>66.900000000000006</v>
      </c>
      <c r="IU47" s="1135" cm="1">
        <f t="array" ref="IU47">SUMPRODUCT(('02.XLS'!$A$6:$A$47=$A47)*('02.XLS'!$B$5:$JN$5=IU$5)*('02.XLS'!$B$6:$JN$47))</f>
        <v>71.3</v>
      </c>
      <c r="IV47" s="1135" cm="1">
        <f t="array" ref="IV47">SUMPRODUCT(('02.XLS'!$A$6:$A$47=$A47)*('02.XLS'!$B$5:$JN$5=IV$5)*('02.XLS'!$B$6:$JN$47))</f>
        <v>84.8</v>
      </c>
      <c r="IW47" s="1135" cm="1">
        <f t="array" ref="IW47">SUMPRODUCT(('02.XLS'!$A$6:$A$47=$A47)*('02.XLS'!$B$5:$JN$5=IW$5)*('02.XLS'!$B$6:$JN$47))</f>
        <v>90</v>
      </c>
      <c r="IX47" s="1135" cm="1">
        <f t="array" ref="IX47">SUMPRODUCT(('02.XLS'!$A$6:$A$47=$A47)*('02.XLS'!$B$5:$JN$5=IX$5)*('02.XLS'!$B$6:$JN$47))</f>
        <v>95.6</v>
      </c>
      <c r="IY47" s="1135" cm="1">
        <f t="array" ref="IY47">SUMPRODUCT(('02.XLS'!$A$6:$A$47=$A47)*('02.XLS'!$B$5:$JN$5=IY$5)*('02.XLS'!$B$6:$JN$47))</f>
        <v>86.4</v>
      </c>
      <c r="IZ47" s="1135" cm="1">
        <f t="array" ref="IZ47">SUMPRODUCT(('02.XLS'!$A$6:$A$47=$A47)*('02.XLS'!$B$5:$JN$5=IZ$5)*('02.XLS'!$B$6:$JN$47))</f>
        <v>102.2</v>
      </c>
      <c r="JA47" s="1136">
        <f t="shared" si="268"/>
        <v>910.30000000000007</v>
      </c>
      <c r="JB47" s="1135" cm="1">
        <f t="array" ref="JB47">SUMPRODUCT(('02.XLS'!$A$6:$A$47=$A47)*('02.XLS'!$B$5:$JN$5=JB$5)*('02.XLS'!$B$6:$JN$47))</f>
        <v>64</v>
      </c>
      <c r="JC47" s="1135" cm="1">
        <f t="array" ref="JC47">SUMPRODUCT(('02.XLS'!$A$6:$A$47=$A47)*('02.XLS'!$B$5:$JN$5=JC$5)*('02.XLS'!$B$6:$JN$47))</f>
        <v>52.5</v>
      </c>
      <c r="JD47" s="1135" cm="1">
        <f t="array" ref="JD47">SUMPRODUCT(('02.XLS'!$A$6:$A$47=$A47)*('02.XLS'!$B$5:$JN$5=JD$5)*('02.XLS'!$B$6:$JN$47))</f>
        <v>0</v>
      </c>
      <c r="JE47" s="1135" cm="1">
        <f t="array" ref="JE47">SUMPRODUCT(('02.XLS'!$A$6:$A$47=$A47)*('02.XLS'!$B$5:$JN$5=JE$5)*('02.XLS'!$B$6:$JN$47))</f>
        <v>0</v>
      </c>
      <c r="JF47" s="1135" cm="1">
        <f t="array" ref="JF47">SUMPRODUCT(('02.XLS'!$A$6:$A$47=$A47)*('02.XLS'!$B$5:$JN$5=JF$5)*('02.XLS'!$B$6:$JN$47))</f>
        <v>0</v>
      </c>
      <c r="JG47" s="1135" cm="1">
        <f t="array" ref="JG47">SUMPRODUCT(('02.XLS'!$A$6:$A$47=$A47)*('02.XLS'!$B$5:$JN$5=JG$5)*('02.XLS'!$B$6:$JN$47))</f>
        <v>0</v>
      </c>
      <c r="JH47" s="1135" cm="1">
        <f t="array" ref="JH47">SUMPRODUCT(('02.XLS'!$A$6:$A$47=$A47)*('02.XLS'!$B$5:$JN$5=JH$5)*('02.XLS'!$B$6:$JN$47))</f>
        <v>0</v>
      </c>
      <c r="JI47" s="1135" cm="1">
        <f t="array" ref="JI47">SUMPRODUCT(('02.XLS'!$A$6:$A$47=$A47)*('02.XLS'!$B$5:$JN$5=JI$5)*('02.XLS'!$B$6:$JN$47))</f>
        <v>0</v>
      </c>
      <c r="JJ47" s="1135" cm="1">
        <f t="array" ref="JJ47">SUMPRODUCT(('02.XLS'!$A$6:$A$47=$A47)*('02.XLS'!$B$5:$JN$5=JJ$5)*('02.XLS'!$B$6:$JN$47))</f>
        <v>0</v>
      </c>
      <c r="JK47" s="1135" cm="1">
        <f t="array" ref="JK47">SUMPRODUCT(('02.XLS'!$A$6:$A$47=$A47)*('02.XLS'!$B$5:$JN$5=JK$5)*('02.XLS'!$B$6:$JN$47))</f>
        <v>0</v>
      </c>
      <c r="JL47" s="1135" cm="1">
        <f t="array" ref="JL47">SUMPRODUCT(('02.XLS'!$A$6:$A$47=$A47)*('02.XLS'!$B$5:$JN$5=JL$5)*('02.XLS'!$B$6:$JN$47))</f>
        <v>0</v>
      </c>
      <c r="JM47" s="1135" cm="1">
        <f t="array" ref="JM47">SUMPRODUCT(('02.XLS'!$A$6:$A$47=$A47)*('02.XLS'!$B$5:$JN$5=JM$5)*('02.XLS'!$B$6:$JN$47))</f>
        <v>0</v>
      </c>
      <c r="JN47" s="1136">
        <f t="shared" si="281"/>
        <v>116.5</v>
      </c>
      <c r="JP47" s="1178">
        <f t="shared" si="311"/>
        <v>20.518867924528283</v>
      </c>
      <c r="JQ47" s="1179">
        <f t="shared" si="312"/>
        <v>-9.0218575412015056</v>
      </c>
      <c r="JR47" s="1188">
        <f t="shared" si="313"/>
        <v>1000.5699999999999</v>
      </c>
      <c r="JS47" s="1189">
        <f t="shared" si="314"/>
        <v>910.30000000000007</v>
      </c>
      <c r="JT47" s="1153"/>
      <c r="JU47" s="1082"/>
      <c r="JV47" s="1083"/>
      <c r="JW47" s="1084"/>
    </row>
    <row r="48" spans="1:283" ht="15" customHeight="1" x14ac:dyDescent="0.2">
      <c r="A48" s="1169" t="s">
        <v>37</v>
      </c>
      <c r="B48" s="1135" cm="1">
        <f t="array" ref="B48">SUMPRODUCT(('02.XLS'!$A$6:$A$47=$A48)*('02.XLS'!$B$5:$JN$5=B$5)*('02.XLS'!$B$6:$JN$47))</f>
        <v>4271</v>
      </c>
      <c r="C48" s="1135" cm="1">
        <f t="array" ref="C48">SUMPRODUCT(('02.XLS'!$A$6:$A$47=$A48)*('02.XLS'!$B$5:$JN$5=C$5)*('02.XLS'!$B$6:$JN$47))</f>
        <v>8269</v>
      </c>
      <c r="D48" s="1135" cm="1">
        <f t="array" ref="D48">SUMPRODUCT(('02.XLS'!$A$6:$A$47=$A48)*('02.XLS'!$B$5:$JN$5=D$5)*('02.XLS'!$B$6:$JN$47))</f>
        <v>2601</v>
      </c>
      <c r="E48" s="1135" cm="1">
        <f t="array" ref="E48">SUMPRODUCT(('02.XLS'!$A$6:$A$47=$A48)*('02.XLS'!$B$5:$JN$5=E$5)*('02.XLS'!$B$6:$JN$47))</f>
        <v>1</v>
      </c>
      <c r="F48" s="1135" cm="1">
        <f t="array" ref="F48">SUMPRODUCT(('02.XLS'!$A$6:$A$47=$A48)*('02.XLS'!$B$5:$JN$5=F$5)*('02.XLS'!$B$6:$JN$47))</f>
        <v>0</v>
      </c>
      <c r="G48" s="1135" cm="1">
        <f t="array" ref="G48">SUMPRODUCT(('02.XLS'!$A$6:$A$47=$A48)*('02.XLS'!$B$5:$JN$5=G$5)*('02.XLS'!$B$6:$JN$47))</f>
        <v>0</v>
      </c>
      <c r="H48" s="1135" cm="1">
        <f t="array" ref="H48">SUMPRODUCT(('02.XLS'!$A$6:$A$47=$A48)*('02.XLS'!$B$5:$JN$5=H$5)*('02.XLS'!$B$6:$JN$47))</f>
        <v>0</v>
      </c>
      <c r="I48" s="1135" cm="1">
        <f t="array" ref="I48">SUMPRODUCT(('02.XLS'!$A$6:$A$47=$A48)*('02.XLS'!$B$5:$JN$5=I$5)*('02.XLS'!$B$6:$JN$47))</f>
        <v>0</v>
      </c>
      <c r="J48" s="1135" cm="1">
        <f t="array" ref="J48">SUMPRODUCT(('02.XLS'!$A$6:$A$47=$A48)*('02.XLS'!$B$5:$JN$5=J$5)*('02.XLS'!$B$6:$JN$47))</f>
        <v>0</v>
      </c>
      <c r="K48" s="1135" cm="1">
        <f t="array" ref="K48">SUMPRODUCT(('02.XLS'!$A$6:$A$47=$A48)*('02.XLS'!$B$5:$JN$5=K$5)*('02.XLS'!$B$6:$JN$47))</f>
        <v>0</v>
      </c>
      <c r="L48" s="1135" cm="1">
        <f t="array" ref="L48">SUMPRODUCT(('02.XLS'!$A$6:$A$47=$A48)*('02.XLS'!$B$5:$JN$5=L$5)*('02.XLS'!$B$6:$JN$47))</f>
        <v>0</v>
      </c>
      <c r="M48" s="1135" cm="1">
        <f t="array" ref="M48">SUMPRODUCT(('02.XLS'!$A$6:$A$47=$A48)*('02.XLS'!$B$5:$JN$5=M$5)*('02.XLS'!$B$6:$JN$47))</f>
        <v>0</v>
      </c>
      <c r="N48" s="1136">
        <f t="shared" si="21"/>
        <v>15142</v>
      </c>
      <c r="O48" s="1135" cm="1">
        <f t="array" ref="O48">SUMPRODUCT(('02.XLS'!$A$6:$A$47=$A48)*('02.XLS'!$B$5:$JN$5=O$5)*('02.XLS'!$B$6:$JN$47))</f>
        <v>4751</v>
      </c>
      <c r="P48" s="1135" cm="1">
        <f t="array" ref="P48">SUMPRODUCT(('02.XLS'!$A$6:$A$47=$A48)*('02.XLS'!$B$5:$JN$5=P$5)*('02.XLS'!$B$6:$JN$47))</f>
        <v>7642</v>
      </c>
      <c r="Q48" s="1135" cm="1">
        <f t="array" ref="Q48">SUMPRODUCT(('02.XLS'!$A$6:$A$47=$A48)*('02.XLS'!$B$5:$JN$5=Q$5)*('02.XLS'!$B$6:$JN$47))</f>
        <v>2477</v>
      </c>
      <c r="R48" s="1135" cm="1">
        <f t="array" ref="R48">SUMPRODUCT(('02.XLS'!$A$6:$A$47=$A48)*('02.XLS'!$B$5:$JN$5=R$5)*('02.XLS'!$B$6:$JN$47))</f>
        <v>65</v>
      </c>
      <c r="S48" s="1135" cm="1">
        <f t="array" ref="S48">SUMPRODUCT(('02.XLS'!$A$6:$A$47=$A48)*('02.XLS'!$B$5:$JN$5=S$5)*('02.XLS'!$B$6:$JN$47))</f>
        <v>0</v>
      </c>
      <c r="T48" s="1135" cm="1">
        <f t="array" ref="T48">SUMPRODUCT(('02.XLS'!$A$6:$A$47=$A48)*('02.XLS'!$B$5:$JN$5=T$5)*('02.XLS'!$B$6:$JN$47))</f>
        <v>0</v>
      </c>
      <c r="U48" s="1135" cm="1">
        <f t="array" ref="U48">SUMPRODUCT(('02.XLS'!$A$6:$A$47=$A48)*('02.XLS'!$B$5:$JN$5=U$5)*('02.XLS'!$B$6:$JN$47))</f>
        <v>0</v>
      </c>
      <c r="V48" s="1135" cm="1">
        <f t="array" ref="V48">SUMPRODUCT(('02.XLS'!$A$6:$A$47=$A48)*('02.XLS'!$B$5:$JN$5=V$5)*('02.XLS'!$B$6:$JN$47))</f>
        <v>0</v>
      </c>
      <c r="W48" s="1135" cm="1">
        <f t="array" ref="W48">SUMPRODUCT(('02.XLS'!$A$6:$A$47=$A48)*('02.XLS'!$B$5:$JN$5=W$5)*('02.XLS'!$B$6:$JN$47))</f>
        <v>0</v>
      </c>
      <c r="X48" s="1135" cm="1">
        <f t="array" ref="X48">SUMPRODUCT(('02.XLS'!$A$6:$A$47=$A48)*('02.XLS'!$B$5:$JN$5=X$5)*('02.XLS'!$B$6:$JN$47))</f>
        <v>0</v>
      </c>
      <c r="Y48" s="1135" cm="1">
        <f t="array" ref="Y48">SUMPRODUCT(('02.XLS'!$A$6:$A$47=$A48)*('02.XLS'!$B$5:$JN$5=Y$5)*('02.XLS'!$B$6:$JN$47))</f>
        <v>0</v>
      </c>
      <c r="Z48" s="1135" cm="1">
        <f t="array" ref="Z48">SUMPRODUCT(('02.XLS'!$A$6:$A$47=$A48)*('02.XLS'!$B$5:$JN$5=Z$5)*('02.XLS'!$B$6:$JN$47))</f>
        <v>385</v>
      </c>
      <c r="AA48" s="1136">
        <f t="shared" si="34"/>
        <v>15320</v>
      </c>
      <c r="AB48" s="1135" cm="1">
        <f t="array" ref="AB48">SUMPRODUCT(('02.XLS'!$A$6:$A$47=$A48)*('02.XLS'!$B$5:$JN$5=AB$5)*('02.XLS'!$B$6:$JN$47))</f>
        <v>4533</v>
      </c>
      <c r="AC48" s="1135" cm="1">
        <f t="array" ref="AC48">SUMPRODUCT(('02.XLS'!$A$6:$A$47=$A48)*('02.XLS'!$B$5:$JN$5=AC$5)*('02.XLS'!$B$6:$JN$47))</f>
        <v>8207</v>
      </c>
      <c r="AD48" s="1135" cm="1">
        <f t="array" ref="AD48">SUMPRODUCT(('02.XLS'!$A$6:$A$47=$A48)*('02.XLS'!$B$5:$JN$5=AD$5)*('02.XLS'!$B$6:$JN$47))</f>
        <v>2060</v>
      </c>
      <c r="AE48" s="1135" cm="1">
        <f t="array" ref="AE48">SUMPRODUCT(('02.XLS'!$A$6:$A$47=$A48)*('02.XLS'!$B$5:$JN$5=AE$5)*('02.XLS'!$B$6:$JN$47))</f>
        <v>0</v>
      </c>
      <c r="AF48" s="1135" cm="1">
        <f t="array" ref="AF48">SUMPRODUCT(('02.XLS'!$A$6:$A$47=$A48)*('02.XLS'!$B$5:$JN$5=AF$5)*('02.XLS'!$B$6:$JN$47))</f>
        <v>0</v>
      </c>
      <c r="AG48" s="1135" cm="1">
        <f t="array" ref="AG48">SUMPRODUCT(('02.XLS'!$A$6:$A$47=$A48)*('02.XLS'!$B$5:$JN$5=AG$5)*('02.XLS'!$B$6:$JN$47))</f>
        <v>0</v>
      </c>
      <c r="AH48" s="1135" cm="1">
        <f t="array" ref="AH48">SUMPRODUCT(('02.XLS'!$A$6:$A$47=$A48)*('02.XLS'!$B$5:$JN$5=AH$5)*('02.XLS'!$B$6:$JN$47))</f>
        <v>0</v>
      </c>
      <c r="AI48" s="1135" cm="1">
        <f t="array" ref="AI48">SUMPRODUCT(('02.XLS'!$A$6:$A$47=$A48)*('02.XLS'!$B$5:$JN$5=AI$5)*('02.XLS'!$B$6:$JN$47))</f>
        <v>0</v>
      </c>
      <c r="AJ48" s="1135" cm="1">
        <f t="array" ref="AJ48">SUMPRODUCT(('02.XLS'!$A$6:$A$47=$A48)*('02.XLS'!$B$5:$JN$5=AJ$5)*('02.XLS'!$B$6:$JN$47))</f>
        <v>0</v>
      </c>
      <c r="AK48" s="1135" cm="1">
        <f t="array" ref="AK48">SUMPRODUCT(('02.XLS'!$A$6:$A$47=$A48)*('02.XLS'!$B$5:$JN$5=AK$5)*('02.XLS'!$B$6:$JN$47))</f>
        <v>0</v>
      </c>
      <c r="AL48" s="1135" cm="1">
        <f t="array" ref="AL48">SUMPRODUCT(('02.XLS'!$A$6:$A$47=$A48)*('02.XLS'!$B$5:$JN$5=AL$5)*('02.XLS'!$B$6:$JN$47))</f>
        <v>0</v>
      </c>
      <c r="AM48" s="1135" cm="1">
        <f t="array" ref="AM48">SUMPRODUCT(('02.XLS'!$A$6:$A$47=$A48)*('02.XLS'!$B$5:$JN$5=AM$5)*('02.XLS'!$B$6:$JN$47))</f>
        <v>36</v>
      </c>
      <c r="AN48" s="1136">
        <f t="shared" si="47"/>
        <v>14836</v>
      </c>
      <c r="AO48" s="1135" cm="1">
        <f t="array" ref="AO48">SUMPRODUCT(('02.XLS'!$A$6:$A$47=$A48)*('02.XLS'!$B$5:$JN$5=AO$5)*('02.XLS'!$B$6:$JN$47))</f>
        <v>4431</v>
      </c>
      <c r="AP48" s="1135" cm="1">
        <f t="array" ref="AP48">SUMPRODUCT(('02.XLS'!$A$6:$A$47=$A48)*('02.XLS'!$B$5:$JN$5=AP$5)*('02.XLS'!$B$6:$JN$47))</f>
        <v>6962</v>
      </c>
      <c r="AQ48" s="1135" cm="1">
        <f t="array" ref="AQ48">SUMPRODUCT(('02.XLS'!$A$6:$A$47=$A48)*('02.XLS'!$B$5:$JN$5=AQ$5)*('02.XLS'!$B$6:$JN$47))</f>
        <v>3377</v>
      </c>
      <c r="AR48" s="1135" cm="1">
        <f t="array" ref="AR48">SUMPRODUCT(('02.XLS'!$A$6:$A$47=$A48)*('02.XLS'!$B$5:$JN$5=AR$5)*('02.XLS'!$B$6:$JN$47))</f>
        <v>26</v>
      </c>
      <c r="AS48" s="1135" cm="1">
        <f t="array" ref="AS48">SUMPRODUCT(('02.XLS'!$A$6:$A$47=$A48)*('02.XLS'!$B$5:$JN$5=AS$5)*('02.XLS'!$B$6:$JN$47))</f>
        <v>0</v>
      </c>
      <c r="AT48" s="1135" cm="1">
        <f t="array" ref="AT48">SUMPRODUCT(('02.XLS'!$A$6:$A$47=$A48)*('02.XLS'!$B$5:$JN$5=AT$5)*('02.XLS'!$B$6:$JN$47))</f>
        <v>0</v>
      </c>
      <c r="AU48" s="1135" cm="1">
        <f t="array" ref="AU48">SUMPRODUCT(('02.XLS'!$A$6:$A$47=$A48)*('02.XLS'!$B$5:$JN$5=AU$5)*('02.XLS'!$B$6:$JN$47))</f>
        <v>0</v>
      </c>
      <c r="AV48" s="1135" cm="1">
        <f t="array" ref="AV48">SUMPRODUCT(('02.XLS'!$A$6:$A$47=$A48)*('02.XLS'!$B$5:$JN$5=AV$5)*('02.XLS'!$B$6:$JN$47))</f>
        <v>0</v>
      </c>
      <c r="AW48" s="1135" cm="1">
        <f t="array" ref="AW48">SUMPRODUCT(('02.XLS'!$A$6:$A$47=$A48)*('02.XLS'!$B$5:$JN$5=AW$5)*('02.XLS'!$B$6:$JN$47))</f>
        <v>0</v>
      </c>
      <c r="AX48" s="1135" cm="1">
        <f t="array" ref="AX48">SUMPRODUCT(('02.XLS'!$A$6:$A$47=$A48)*('02.XLS'!$B$5:$JN$5=AX$5)*('02.XLS'!$B$6:$JN$47))</f>
        <v>0</v>
      </c>
      <c r="AY48" s="1135" cm="1">
        <f t="array" ref="AY48">SUMPRODUCT(('02.XLS'!$A$6:$A$47=$A48)*('02.XLS'!$B$5:$JN$5=AY$5)*('02.XLS'!$B$6:$JN$47))</f>
        <v>0</v>
      </c>
      <c r="AZ48" s="1135" cm="1">
        <f t="array" ref="AZ48">SUMPRODUCT(('02.XLS'!$A$6:$A$47=$A48)*('02.XLS'!$B$5:$JN$5=AZ$5)*('02.XLS'!$B$6:$JN$47))</f>
        <v>46</v>
      </c>
      <c r="BA48" s="1136">
        <f t="shared" si="60"/>
        <v>14842</v>
      </c>
      <c r="BB48" s="1135" cm="1">
        <f t="array" ref="BB48">SUMPRODUCT(('02.XLS'!$A$6:$A$47=$A48)*('02.XLS'!$B$5:$JN$5=BB$5)*('02.XLS'!$B$6:$JN$47))</f>
        <v>4670</v>
      </c>
      <c r="BC48" s="1135" cm="1">
        <f t="array" ref="BC48">SUMPRODUCT(('02.XLS'!$A$6:$A$47=$A48)*('02.XLS'!$B$5:$JN$5=BC$5)*('02.XLS'!$B$6:$JN$47))</f>
        <v>7346</v>
      </c>
      <c r="BD48" s="1135" cm="1">
        <f t="array" ref="BD48">SUMPRODUCT(('02.XLS'!$A$6:$A$47=$A48)*('02.XLS'!$B$5:$JN$5=BD$5)*('02.XLS'!$B$6:$JN$47))</f>
        <v>2760</v>
      </c>
      <c r="BE48" s="1135" cm="1">
        <f t="array" ref="BE48">SUMPRODUCT(('02.XLS'!$A$6:$A$47=$A48)*('02.XLS'!$B$5:$JN$5=BE$5)*('02.XLS'!$B$6:$JN$47))</f>
        <v>20</v>
      </c>
      <c r="BF48" s="1135" cm="1">
        <f t="array" ref="BF48">SUMPRODUCT(('02.XLS'!$A$6:$A$47=$A48)*('02.XLS'!$B$5:$JN$5=BF$5)*('02.XLS'!$B$6:$JN$47))</f>
        <v>0</v>
      </c>
      <c r="BG48" s="1135" cm="1">
        <f t="array" ref="BG48">SUMPRODUCT(('02.XLS'!$A$6:$A$47=$A48)*('02.XLS'!$B$5:$JN$5=BG$5)*('02.XLS'!$B$6:$JN$47))</f>
        <v>0</v>
      </c>
      <c r="BH48" s="1135" cm="1">
        <f t="array" ref="BH48">SUMPRODUCT(('02.XLS'!$A$6:$A$47=$A48)*('02.XLS'!$B$5:$JN$5=BH$5)*('02.XLS'!$B$6:$JN$47))</f>
        <v>0</v>
      </c>
      <c r="BI48" s="1135" cm="1">
        <f t="array" ref="BI48">SUMPRODUCT(('02.XLS'!$A$6:$A$47=$A48)*('02.XLS'!$B$5:$JN$5=BI$5)*('02.XLS'!$B$6:$JN$47))</f>
        <v>0</v>
      </c>
      <c r="BJ48" s="1135" cm="1">
        <f t="array" ref="BJ48">SUMPRODUCT(('02.XLS'!$A$6:$A$47=$A48)*('02.XLS'!$B$5:$JN$5=BJ$5)*('02.XLS'!$B$6:$JN$47))</f>
        <v>0</v>
      </c>
      <c r="BK48" s="1135" cm="1">
        <f t="array" ref="BK48">SUMPRODUCT(('02.XLS'!$A$6:$A$47=$A48)*('02.XLS'!$B$5:$JN$5=BK$5)*('02.XLS'!$B$6:$JN$47))</f>
        <v>0</v>
      </c>
      <c r="BL48" s="1135" cm="1">
        <f t="array" ref="BL48">SUMPRODUCT(('02.XLS'!$A$6:$A$47=$A48)*('02.XLS'!$B$5:$JN$5=BL$5)*('02.XLS'!$B$6:$JN$47))</f>
        <v>0</v>
      </c>
      <c r="BM48" s="1135" cm="1">
        <f t="array" ref="BM48">SUMPRODUCT(('02.XLS'!$A$6:$A$47=$A48)*('02.XLS'!$B$5:$JN$5=BM$5)*('02.XLS'!$B$6:$JN$47))</f>
        <v>0</v>
      </c>
      <c r="BN48" s="1136">
        <f t="shared" si="73"/>
        <v>14796</v>
      </c>
      <c r="BO48" s="1135" cm="1">
        <f t="array" ref="BO48">SUMPRODUCT(('02.XLS'!$A$6:$A$47=$A48)*('02.XLS'!$B$5:$JN$5=BO$5)*('02.XLS'!$B$6:$JN$47))</f>
        <v>4590</v>
      </c>
      <c r="BP48" s="1135" cm="1">
        <f t="array" ref="BP48">SUMPRODUCT(('02.XLS'!$A$6:$A$47=$A48)*('02.XLS'!$B$5:$JN$5=BP$5)*('02.XLS'!$B$6:$JN$47))</f>
        <v>8147</v>
      </c>
      <c r="BQ48" s="1135" cm="1">
        <f t="array" ref="BQ48">SUMPRODUCT(('02.XLS'!$A$6:$A$47=$A48)*('02.XLS'!$B$5:$JN$5=BQ$5)*('02.XLS'!$B$6:$JN$47))</f>
        <v>3600</v>
      </c>
      <c r="BR48" s="1135" cm="1">
        <f t="array" ref="BR48">SUMPRODUCT(('02.XLS'!$A$6:$A$47=$A48)*('02.XLS'!$B$5:$JN$5=BR$5)*('02.XLS'!$B$6:$JN$47))</f>
        <v>452</v>
      </c>
      <c r="BS48" s="1135" cm="1">
        <f t="array" ref="BS48">SUMPRODUCT(('02.XLS'!$A$6:$A$47=$A48)*('02.XLS'!$B$5:$JN$5=BS$5)*('02.XLS'!$B$6:$JN$47))</f>
        <v>0</v>
      </c>
      <c r="BT48" s="1135" cm="1">
        <f t="array" ref="BT48">SUMPRODUCT(('02.XLS'!$A$6:$A$47=$A48)*('02.XLS'!$B$5:$JN$5=BT$5)*('02.XLS'!$B$6:$JN$47))</f>
        <v>0</v>
      </c>
      <c r="BU48" s="1135" cm="1">
        <f t="array" ref="BU48">SUMPRODUCT(('02.XLS'!$A$6:$A$47=$A48)*('02.XLS'!$B$5:$JN$5=BU$5)*('02.XLS'!$B$6:$JN$47))</f>
        <v>0</v>
      </c>
      <c r="BV48" s="1135" cm="1">
        <f t="array" ref="BV48">SUMPRODUCT(('02.XLS'!$A$6:$A$47=$A48)*('02.XLS'!$B$5:$JN$5=BV$5)*('02.XLS'!$B$6:$JN$47))</f>
        <v>0</v>
      </c>
      <c r="BW48" s="1135" cm="1">
        <f t="array" ref="BW48">SUMPRODUCT(('02.XLS'!$A$6:$A$47=$A48)*('02.XLS'!$B$5:$JN$5=BW$5)*('02.XLS'!$B$6:$JN$47))</f>
        <v>0</v>
      </c>
      <c r="BX48" s="1135" cm="1">
        <f t="array" ref="BX48">SUMPRODUCT(('02.XLS'!$A$6:$A$47=$A48)*('02.XLS'!$B$5:$JN$5=BX$5)*('02.XLS'!$B$6:$JN$47))</f>
        <v>0</v>
      </c>
      <c r="BY48" s="1135" cm="1">
        <f t="array" ref="BY48">SUMPRODUCT(('02.XLS'!$A$6:$A$47=$A48)*('02.XLS'!$B$5:$JN$5=BY$5)*('02.XLS'!$B$6:$JN$47))</f>
        <v>0</v>
      </c>
      <c r="BZ48" s="1135" cm="1">
        <f t="array" ref="BZ48">SUMPRODUCT(('02.XLS'!$A$6:$A$47=$A48)*('02.XLS'!$B$5:$JN$5=BZ$5)*('02.XLS'!$B$6:$JN$47))</f>
        <v>14</v>
      </c>
      <c r="CA48" s="1136">
        <f t="shared" si="86"/>
        <v>16803</v>
      </c>
      <c r="CB48" s="1135" cm="1">
        <f t="array" ref="CB48">SUMPRODUCT(('02.XLS'!$A$6:$A$47=$A48)*('02.XLS'!$B$5:$JN$5=CB$5)*('02.XLS'!$B$6:$JN$47))</f>
        <v>3297</v>
      </c>
      <c r="CC48" s="1135" cm="1">
        <f t="array" ref="CC48">SUMPRODUCT(('02.XLS'!$A$6:$A$47=$A48)*('02.XLS'!$B$5:$JN$5=CC$5)*('02.XLS'!$B$6:$JN$47))</f>
        <v>8071</v>
      </c>
      <c r="CD48" s="1135" cm="1">
        <f t="array" ref="CD48">SUMPRODUCT(('02.XLS'!$A$6:$A$47=$A48)*('02.XLS'!$B$5:$JN$5=CD$5)*('02.XLS'!$B$6:$JN$47))</f>
        <v>2975</v>
      </c>
      <c r="CE48" s="1135" cm="1">
        <f t="array" ref="CE48">SUMPRODUCT(('02.XLS'!$A$6:$A$47=$A48)*('02.XLS'!$B$5:$JN$5=CE$5)*('02.XLS'!$B$6:$JN$47))</f>
        <v>375</v>
      </c>
      <c r="CF48" s="1135" cm="1">
        <f t="array" ref="CF48">SUMPRODUCT(('02.XLS'!$A$6:$A$47=$A48)*('02.XLS'!$B$5:$JN$5=CF$5)*('02.XLS'!$B$6:$JN$47))</f>
        <v>21</v>
      </c>
      <c r="CG48" s="1135" cm="1">
        <f t="array" ref="CG48">SUMPRODUCT(('02.XLS'!$A$6:$A$47=$A48)*('02.XLS'!$B$5:$JN$5=CG$5)*('02.XLS'!$B$6:$JN$47))</f>
        <v>0</v>
      </c>
      <c r="CH48" s="1135" cm="1">
        <f t="array" ref="CH48">SUMPRODUCT(('02.XLS'!$A$6:$A$47=$A48)*('02.XLS'!$B$5:$JN$5=CH$5)*('02.XLS'!$B$6:$JN$47))</f>
        <v>0</v>
      </c>
      <c r="CI48" s="1135" cm="1">
        <f t="array" ref="CI48">SUMPRODUCT(('02.XLS'!$A$6:$A$47=$A48)*('02.XLS'!$B$5:$JN$5=CI$5)*('02.XLS'!$B$6:$JN$47))</f>
        <v>0</v>
      </c>
      <c r="CJ48" s="1135" cm="1">
        <f t="array" ref="CJ48">SUMPRODUCT(('02.XLS'!$A$6:$A$47=$A48)*('02.XLS'!$B$5:$JN$5=CJ$5)*('02.XLS'!$B$6:$JN$47))</f>
        <v>0</v>
      </c>
      <c r="CK48" s="1135" cm="1">
        <f t="array" ref="CK48">SUMPRODUCT(('02.XLS'!$A$6:$A$47=$A48)*('02.XLS'!$B$5:$JN$5=CK$5)*('02.XLS'!$B$6:$JN$47))</f>
        <v>0</v>
      </c>
      <c r="CL48" s="1135" cm="1">
        <f t="array" ref="CL48">SUMPRODUCT(('02.XLS'!$A$6:$A$47=$A48)*('02.XLS'!$B$5:$JN$5=CL$5)*('02.XLS'!$B$6:$JN$47))</f>
        <v>0</v>
      </c>
      <c r="CM48" s="1135" cm="1">
        <f t="array" ref="CM48">SUMPRODUCT(('02.XLS'!$A$6:$A$47=$A48)*('02.XLS'!$B$5:$JN$5=CM$5)*('02.XLS'!$B$6:$JN$47))</f>
        <v>0</v>
      </c>
      <c r="CN48" s="1136">
        <f t="shared" si="99"/>
        <v>14739</v>
      </c>
      <c r="CO48" s="1135" cm="1">
        <f t="array" ref="CO48">SUMPRODUCT(('02.XLS'!$A$6:$A$47=$A48)*('02.XLS'!$B$5:$JN$5=CO$5)*('02.XLS'!$B$6:$JN$47))</f>
        <v>3625</v>
      </c>
      <c r="CP48" s="1135" cm="1">
        <f t="array" ref="CP48">SUMPRODUCT(('02.XLS'!$A$6:$A$47=$A48)*('02.XLS'!$B$5:$JN$5=CP$5)*('02.XLS'!$B$6:$JN$47))</f>
        <v>7836</v>
      </c>
      <c r="CQ48" s="1135" cm="1">
        <f t="array" ref="CQ48">SUMPRODUCT(('02.XLS'!$A$6:$A$47=$A48)*('02.XLS'!$B$5:$JN$5=CQ$5)*('02.XLS'!$B$6:$JN$47))</f>
        <v>3051</v>
      </c>
      <c r="CR48" s="1135" cm="1">
        <f t="array" ref="CR48">SUMPRODUCT(('02.XLS'!$A$6:$A$47=$A48)*('02.XLS'!$B$5:$JN$5=CR$5)*('02.XLS'!$B$6:$JN$47))</f>
        <v>417</v>
      </c>
      <c r="CS48" s="1135" cm="1">
        <f t="array" ref="CS48">SUMPRODUCT(('02.XLS'!$A$6:$A$47=$A48)*('02.XLS'!$B$5:$JN$5=CS$5)*('02.XLS'!$B$6:$JN$47))</f>
        <v>10</v>
      </c>
      <c r="CT48" s="1135" cm="1">
        <f t="array" ref="CT48">SUMPRODUCT(('02.XLS'!$A$6:$A$47=$A48)*('02.XLS'!$B$5:$JN$5=CT$5)*('02.XLS'!$B$6:$JN$47))</f>
        <v>0</v>
      </c>
      <c r="CU48" s="1135" cm="1">
        <f t="array" ref="CU48">SUMPRODUCT(('02.XLS'!$A$6:$A$47=$A48)*('02.XLS'!$B$5:$JN$5=CU$5)*('02.XLS'!$B$6:$JN$47))</f>
        <v>0</v>
      </c>
      <c r="CV48" s="1135" cm="1">
        <f t="array" ref="CV48">SUMPRODUCT(('02.XLS'!$A$6:$A$47=$A48)*('02.XLS'!$B$5:$JN$5=CV$5)*('02.XLS'!$B$6:$JN$47))</f>
        <v>0</v>
      </c>
      <c r="CW48" s="1135" cm="1">
        <f t="array" ref="CW48">SUMPRODUCT(('02.XLS'!$A$6:$A$47=$A48)*('02.XLS'!$B$5:$JN$5=CW$5)*('02.XLS'!$B$6:$JN$47))</f>
        <v>0</v>
      </c>
      <c r="CX48" s="1135" cm="1">
        <f t="array" ref="CX48">SUMPRODUCT(('02.XLS'!$A$6:$A$47=$A48)*('02.XLS'!$B$5:$JN$5=CX$5)*('02.XLS'!$B$6:$JN$47))</f>
        <v>0</v>
      </c>
      <c r="CY48" s="1135" cm="1">
        <f t="array" ref="CY48">SUMPRODUCT(('02.XLS'!$A$6:$A$47=$A48)*('02.XLS'!$B$5:$JN$5=CY$5)*('02.XLS'!$B$6:$JN$47))</f>
        <v>43</v>
      </c>
      <c r="CZ48" s="1135" cm="1">
        <f t="array" ref="CZ48">SUMPRODUCT(('02.XLS'!$A$6:$A$47=$A48)*('02.XLS'!$B$5:$JN$5=CZ$5)*('02.XLS'!$B$6:$JN$47))</f>
        <v>71</v>
      </c>
      <c r="DA48" s="1136">
        <f t="shared" si="112"/>
        <v>15053</v>
      </c>
      <c r="DB48" s="1135" cm="1">
        <f t="array" ref="DB48">SUMPRODUCT(('02.XLS'!$A$6:$A$47=$A48)*('02.XLS'!$B$5:$JN$5=DB$5)*('02.XLS'!$B$6:$JN$47))</f>
        <v>3828</v>
      </c>
      <c r="DC48" s="1135" cm="1">
        <f t="array" ref="DC48">SUMPRODUCT(('02.XLS'!$A$6:$A$47=$A48)*('02.XLS'!$B$5:$JN$5=DC$5)*('02.XLS'!$B$6:$JN$47))</f>
        <v>7297</v>
      </c>
      <c r="DD48" s="1135" cm="1">
        <f t="array" ref="DD48">SUMPRODUCT(('02.XLS'!$A$6:$A$47=$A48)*('02.XLS'!$B$5:$JN$5=DD$5)*('02.XLS'!$B$6:$JN$47))</f>
        <v>3458</v>
      </c>
      <c r="DE48" s="1135" cm="1">
        <f t="array" ref="DE48">SUMPRODUCT(('02.XLS'!$A$6:$A$47=$A48)*('02.XLS'!$B$5:$JN$5=DE$5)*('02.XLS'!$B$6:$JN$47))</f>
        <v>618</v>
      </c>
      <c r="DF48" s="1135" cm="1">
        <f t="array" ref="DF48">SUMPRODUCT(('02.XLS'!$A$6:$A$47=$A48)*('02.XLS'!$B$5:$JN$5=DF$5)*('02.XLS'!$B$6:$JN$47))</f>
        <v>30</v>
      </c>
      <c r="DG48" s="1135" cm="1">
        <f t="array" ref="DG48">SUMPRODUCT(('02.XLS'!$A$6:$A$47=$A48)*('02.XLS'!$B$5:$JN$5=DG$5)*('02.XLS'!$B$6:$JN$47))</f>
        <v>2</v>
      </c>
      <c r="DH48" s="1135" cm="1">
        <f t="array" ref="DH48">SUMPRODUCT(('02.XLS'!$A$6:$A$47=$A48)*('02.XLS'!$B$5:$JN$5=DH$5)*('02.XLS'!$B$6:$JN$47))</f>
        <v>0</v>
      </c>
      <c r="DI48" s="1135" cm="1">
        <f t="array" ref="DI48">SUMPRODUCT(('02.XLS'!$A$6:$A$47=$A48)*('02.XLS'!$B$5:$JN$5=DI$5)*('02.XLS'!$B$6:$JN$47))</f>
        <v>0</v>
      </c>
      <c r="DJ48" s="1135" cm="1">
        <f t="array" ref="DJ48">SUMPRODUCT(('02.XLS'!$A$6:$A$47=$A48)*('02.XLS'!$B$5:$JN$5=DJ$5)*('02.XLS'!$B$6:$JN$47))</f>
        <v>0</v>
      </c>
      <c r="DK48" s="1135" cm="1">
        <f t="array" ref="DK48">SUMPRODUCT(('02.XLS'!$A$6:$A$47=$A48)*('02.XLS'!$B$5:$JN$5=DK$5)*('02.XLS'!$B$6:$JN$47))</f>
        <v>0</v>
      </c>
      <c r="DL48" s="1135" cm="1">
        <f t="array" ref="DL48">SUMPRODUCT(('02.XLS'!$A$6:$A$47=$A48)*('02.XLS'!$B$5:$JN$5=DL$5)*('02.XLS'!$B$6:$JN$47))</f>
        <v>0</v>
      </c>
      <c r="DM48" s="1135" cm="1">
        <f t="array" ref="DM48">SUMPRODUCT(('02.XLS'!$A$6:$A$47=$A48)*('02.XLS'!$B$5:$JN$5=DM$5)*('02.XLS'!$B$6:$JN$47))</f>
        <v>202</v>
      </c>
      <c r="DN48" s="1136">
        <f t="shared" si="125"/>
        <v>15435</v>
      </c>
      <c r="DO48" s="1135" cm="1">
        <f t="array" ref="DO48">SUMPRODUCT(('02.XLS'!$A$6:$A$47=$A48)*('02.XLS'!$B$5:$JN$5=DO$5)*('02.XLS'!$B$6:$JN$47))</f>
        <v>3941</v>
      </c>
      <c r="DP48" s="1135" cm="1">
        <f t="array" ref="DP48">SUMPRODUCT(('02.XLS'!$A$6:$A$47=$A48)*('02.XLS'!$B$5:$JN$5=DP$5)*('02.XLS'!$B$6:$JN$47))</f>
        <v>7523</v>
      </c>
      <c r="DQ48" s="1135" cm="1">
        <f t="array" ref="DQ48">SUMPRODUCT(('02.XLS'!$A$6:$A$47=$A48)*('02.XLS'!$B$5:$JN$5=DQ$5)*('02.XLS'!$B$6:$JN$47))</f>
        <v>3647</v>
      </c>
      <c r="DR48" s="1135" cm="1">
        <f t="array" ref="DR48">SUMPRODUCT(('02.XLS'!$A$6:$A$47=$A48)*('02.XLS'!$B$5:$JN$5=DR$5)*('02.XLS'!$B$6:$JN$47))</f>
        <v>244</v>
      </c>
      <c r="DS48" s="1135" cm="1">
        <f t="array" ref="DS48">SUMPRODUCT(('02.XLS'!$A$6:$A$47=$A48)*('02.XLS'!$B$5:$JN$5=DS$5)*('02.XLS'!$B$6:$JN$47))</f>
        <v>18</v>
      </c>
      <c r="DT48" s="1135" cm="1">
        <f t="array" ref="DT48">SUMPRODUCT(('02.XLS'!$A$6:$A$47=$A48)*('02.XLS'!$B$5:$JN$5=DT$5)*('02.XLS'!$B$6:$JN$47))</f>
        <v>6</v>
      </c>
      <c r="DU48" s="1135" cm="1">
        <f t="array" ref="DU48">SUMPRODUCT(('02.XLS'!$A$6:$A$47=$A48)*('02.XLS'!$B$5:$JN$5=DU$5)*('02.XLS'!$B$6:$JN$47))</f>
        <v>3</v>
      </c>
      <c r="DV48" s="1135" cm="1">
        <f t="array" ref="DV48">SUMPRODUCT(('02.XLS'!$A$6:$A$47=$A48)*('02.XLS'!$B$5:$JN$5=DV$5)*('02.XLS'!$B$6:$JN$47))</f>
        <v>0</v>
      </c>
      <c r="DW48" s="1135" cm="1">
        <f t="array" ref="DW48">SUMPRODUCT(('02.XLS'!$A$6:$A$47=$A48)*('02.XLS'!$B$5:$JN$5=DW$5)*('02.XLS'!$B$6:$JN$47))</f>
        <v>0</v>
      </c>
      <c r="DX48" s="1135" cm="1">
        <f t="array" ref="DX48">SUMPRODUCT(('02.XLS'!$A$6:$A$47=$A48)*('02.XLS'!$B$5:$JN$5=DX$5)*('02.XLS'!$B$6:$JN$47))</f>
        <v>62</v>
      </c>
      <c r="DY48" s="1135" cm="1">
        <f t="array" ref="DY48">SUMPRODUCT(('02.XLS'!$A$6:$A$47=$A48)*('02.XLS'!$B$5:$JN$5=DY$5)*('02.XLS'!$B$6:$JN$47))</f>
        <v>56</v>
      </c>
      <c r="DZ48" s="1135" cm="1">
        <f t="array" ref="DZ48">SUMPRODUCT(('02.XLS'!$A$6:$A$47=$A48)*('02.XLS'!$B$5:$JN$5=DZ$5)*('02.XLS'!$B$6:$JN$47))</f>
        <v>46</v>
      </c>
      <c r="EA48" s="1136">
        <f t="shared" si="138"/>
        <v>15546</v>
      </c>
      <c r="EB48" s="1135" cm="1">
        <f t="array" ref="EB48">SUMPRODUCT(('02.XLS'!$A$6:$A$47=$A48)*('02.XLS'!$B$5:$JN$5=EB$5)*('02.XLS'!$B$6:$JN$47))</f>
        <v>3616</v>
      </c>
      <c r="EC48" s="1135" cm="1">
        <f t="array" ref="EC48">SUMPRODUCT(('02.XLS'!$A$6:$A$47=$A48)*('02.XLS'!$B$5:$JN$5=EC$5)*('02.XLS'!$B$6:$JN$47))</f>
        <v>7571</v>
      </c>
      <c r="ED48" s="1135" cm="1">
        <f t="array" ref="ED48">SUMPRODUCT(('02.XLS'!$A$6:$A$47=$A48)*('02.XLS'!$B$5:$JN$5=ED$5)*('02.XLS'!$B$6:$JN$47))</f>
        <v>3481</v>
      </c>
      <c r="EE48" s="1135" cm="1">
        <f t="array" ref="EE48">SUMPRODUCT(('02.XLS'!$A$6:$A$47=$A48)*('02.XLS'!$B$5:$JN$5=EE$5)*('02.XLS'!$B$6:$JN$47))</f>
        <v>345</v>
      </c>
      <c r="EF48" s="1135" cm="1">
        <f t="array" ref="EF48">SUMPRODUCT(('02.XLS'!$A$6:$A$47=$A48)*('02.XLS'!$B$5:$JN$5=EF$5)*('02.XLS'!$B$6:$JN$47))</f>
        <v>0</v>
      </c>
      <c r="EG48" s="1135" cm="1">
        <f t="array" ref="EG48">SUMPRODUCT(('02.XLS'!$A$6:$A$47=$A48)*('02.XLS'!$B$5:$JN$5=EG$5)*('02.XLS'!$B$6:$JN$47))</f>
        <v>0</v>
      </c>
      <c r="EH48" s="1135" cm="1">
        <f t="array" ref="EH48">SUMPRODUCT(('02.XLS'!$A$6:$A$47=$A48)*('02.XLS'!$B$5:$JN$5=EH$5)*('02.XLS'!$B$6:$JN$47))</f>
        <v>0</v>
      </c>
      <c r="EI48" s="1135" cm="1">
        <f t="array" ref="EI48">SUMPRODUCT(('02.XLS'!$A$6:$A$47=$A48)*('02.XLS'!$B$5:$JN$5=EI$5)*('02.XLS'!$B$6:$JN$47))</f>
        <v>0</v>
      </c>
      <c r="EJ48" s="1135" cm="1">
        <f t="array" ref="EJ48">SUMPRODUCT(('02.XLS'!$A$6:$A$47=$A48)*('02.XLS'!$B$5:$JN$5=EJ$5)*('02.XLS'!$B$6:$JN$47))</f>
        <v>55</v>
      </c>
      <c r="EK48" s="1135" cm="1">
        <f t="array" ref="EK48">SUMPRODUCT(('02.XLS'!$A$6:$A$47=$A48)*('02.XLS'!$B$5:$JN$5=EK$5)*('02.XLS'!$B$6:$JN$47))</f>
        <v>0</v>
      </c>
      <c r="EL48" s="1135" cm="1">
        <f t="array" ref="EL48">SUMPRODUCT(('02.XLS'!$A$6:$A$47=$A48)*('02.XLS'!$B$5:$JN$5=EL$5)*('02.XLS'!$B$6:$JN$47))</f>
        <v>0</v>
      </c>
      <c r="EM48" s="1135" cm="1">
        <f t="array" ref="EM48">SUMPRODUCT(('02.XLS'!$A$6:$A$47=$A48)*('02.XLS'!$B$5:$JN$5=EM$5)*('02.XLS'!$B$6:$JN$47))</f>
        <v>13</v>
      </c>
      <c r="EN48" s="1136">
        <f t="shared" si="151"/>
        <v>15081</v>
      </c>
      <c r="EO48" s="1135" cm="1">
        <f t="array" ref="EO48">SUMPRODUCT(('02.XLS'!$A$6:$A$47=$A48)*('02.XLS'!$B$5:$JN$5=EO$5)*('02.XLS'!$B$6:$JN$47))</f>
        <v>2824</v>
      </c>
      <c r="EP48" s="1135" cm="1">
        <f t="array" ref="EP48">SUMPRODUCT(('02.XLS'!$A$6:$A$47=$A48)*('02.XLS'!$B$5:$JN$5=EP$5)*('02.XLS'!$B$6:$JN$47))</f>
        <v>7621</v>
      </c>
      <c r="EQ48" s="1135" cm="1">
        <f t="array" ref="EQ48">SUMPRODUCT(('02.XLS'!$A$6:$A$47=$A48)*('02.XLS'!$B$5:$JN$5=EQ$5)*('02.XLS'!$B$6:$JN$47))</f>
        <v>4113</v>
      </c>
      <c r="ER48" s="1135" cm="1">
        <f t="array" ref="ER48">SUMPRODUCT(('02.XLS'!$A$6:$A$47=$A48)*('02.XLS'!$B$5:$JN$5=ER$5)*('02.XLS'!$B$6:$JN$47))</f>
        <v>577</v>
      </c>
      <c r="ES48" s="1135" cm="1">
        <f t="array" ref="ES48">SUMPRODUCT(('02.XLS'!$A$6:$A$47=$A48)*('02.XLS'!$B$5:$JN$5=ES$5)*('02.XLS'!$B$6:$JN$47))</f>
        <v>7</v>
      </c>
      <c r="ET48" s="1135" cm="1">
        <f t="array" ref="ET48">SUMPRODUCT(('02.XLS'!$A$6:$A$47=$A48)*('02.XLS'!$B$5:$JN$5=ET$5)*('02.XLS'!$B$6:$JN$47))</f>
        <v>0</v>
      </c>
      <c r="EU48" s="1135" cm="1">
        <f t="array" ref="EU48">SUMPRODUCT(('02.XLS'!$A$6:$A$47=$A48)*('02.XLS'!$B$5:$JN$5=EU$5)*('02.XLS'!$B$6:$JN$47))</f>
        <v>0</v>
      </c>
      <c r="EV48" s="1135" cm="1">
        <f t="array" ref="EV48">SUMPRODUCT(('02.XLS'!$A$6:$A$47=$A48)*('02.XLS'!$B$5:$JN$5=EV$5)*('02.XLS'!$B$6:$JN$47))</f>
        <v>0</v>
      </c>
      <c r="EW48" s="1135" cm="1">
        <f t="array" ref="EW48">SUMPRODUCT(('02.XLS'!$A$6:$A$47=$A48)*('02.XLS'!$B$5:$JN$5=EW$5)*('02.XLS'!$B$6:$JN$47))</f>
        <v>0</v>
      </c>
      <c r="EX48" s="1135" cm="1">
        <f t="array" ref="EX48">SUMPRODUCT(('02.XLS'!$A$6:$A$47=$A48)*('02.XLS'!$B$5:$JN$5=EX$5)*('02.XLS'!$B$6:$JN$47))</f>
        <v>0</v>
      </c>
      <c r="EY48" s="1135" cm="1">
        <f t="array" ref="EY48">SUMPRODUCT(('02.XLS'!$A$6:$A$47=$A48)*('02.XLS'!$B$5:$JN$5=EY$5)*('02.XLS'!$B$6:$JN$47))</f>
        <v>1</v>
      </c>
      <c r="EZ48" s="1135" cm="1">
        <f t="array" ref="EZ48">SUMPRODUCT(('02.XLS'!$A$6:$A$47=$A48)*('02.XLS'!$B$5:$JN$5=EZ$5)*('02.XLS'!$B$6:$JN$47))</f>
        <v>1</v>
      </c>
      <c r="FA48" s="1136">
        <f t="shared" si="164"/>
        <v>15144</v>
      </c>
      <c r="FB48" s="1135" cm="1">
        <f t="array" ref="FB48">SUMPRODUCT(('02.XLS'!$A$6:$A$47=$A48)*('02.XLS'!$B$5:$JN$5=FB$5)*('02.XLS'!$B$6:$JN$47))</f>
        <v>3623</v>
      </c>
      <c r="FC48" s="1135" cm="1">
        <f t="array" ref="FC48">SUMPRODUCT(('02.XLS'!$A$6:$A$47=$A48)*('02.XLS'!$B$5:$JN$5=FC$5)*('02.XLS'!$B$6:$JN$47))</f>
        <v>6806</v>
      </c>
      <c r="FD48" s="1135" cm="1">
        <f t="array" ref="FD48">SUMPRODUCT(('02.XLS'!$A$6:$A$47=$A48)*('02.XLS'!$B$5:$JN$5=FD$5)*('02.XLS'!$B$6:$JN$47))</f>
        <v>3938</v>
      </c>
      <c r="FE48" s="1135" cm="1">
        <f t="array" ref="FE48">SUMPRODUCT(('02.XLS'!$A$6:$A$47=$A48)*('02.XLS'!$B$5:$JN$5=FE$5)*('02.XLS'!$B$6:$JN$47))</f>
        <v>385</v>
      </c>
      <c r="FF48" s="1135" cm="1">
        <f t="array" ref="FF48">SUMPRODUCT(('02.XLS'!$A$6:$A$47=$A48)*('02.XLS'!$B$5:$JN$5=FF$5)*('02.XLS'!$B$6:$JN$47))</f>
        <v>233</v>
      </c>
      <c r="FG48" s="1135" cm="1">
        <f t="array" ref="FG48">SUMPRODUCT(('02.XLS'!$A$6:$A$47=$A48)*('02.XLS'!$B$5:$JN$5=FG$5)*('02.XLS'!$B$6:$JN$47))</f>
        <v>17</v>
      </c>
      <c r="FH48" s="1135" cm="1">
        <f t="array" ref="FH48">SUMPRODUCT(('02.XLS'!$A$6:$A$47=$A48)*('02.XLS'!$B$5:$JN$5=FH$5)*('02.XLS'!$B$6:$JN$47))</f>
        <v>11</v>
      </c>
      <c r="FI48" s="1135" cm="1">
        <f t="array" ref="FI48">SUMPRODUCT(('02.XLS'!$A$6:$A$47=$A48)*('02.XLS'!$B$5:$JN$5=FI$5)*('02.XLS'!$B$6:$JN$47))</f>
        <v>15</v>
      </c>
      <c r="FJ48" s="1135" cm="1">
        <f t="array" ref="FJ48">SUMPRODUCT(('02.XLS'!$A$6:$A$47=$A48)*('02.XLS'!$B$5:$JN$5=FJ$5)*('02.XLS'!$B$6:$JN$47))</f>
        <v>0</v>
      </c>
      <c r="FK48" s="1135" cm="1">
        <f t="array" ref="FK48">SUMPRODUCT(('02.XLS'!$A$6:$A$47=$A48)*('02.XLS'!$B$5:$JN$5=FK$5)*('02.XLS'!$B$6:$JN$47))</f>
        <v>0</v>
      </c>
      <c r="FL48" s="1135" cm="1">
        <f t="array" ref="FL48">SUMPRODUCT(('02.XLS'!$A$6:$A$47=$A48)*('02.XLS'!$B$5:$JN$5=FL$5)*('02.XLS'!$B$6:$JN$47))</f>
        <v>5</v>
      </c>
      <c r="FM48" s="1135" cm="1">
        <f t="array" ref="FM48">SUMPRODUCT(('02.XLS'!$A$6:$A$47=$A48)*('02.XLS'!$B$5:$JN$5=FM$5)*('02.XLS'!$B$6:$JN$47))</f>
        <v>69</v>
      </c>
      <c r="FN48" s="1136">
        <f t="shared" si="177"/>
        <v>15102</v>
      </c>
      <c r="FO48" s="1135" cm="1">
        <f t="array" ref="FO48">SUMPRODUCT(('02.XLS'!$A$6:$A$47=$A48)*('02.XLS'!$B$5:$JN$5=FO$5)*('02.XLS'!$B$6:$JN$47))</f>
        <v>3774</v>
      </c>
      <c r="FP48" s="1135" cm="1">
        <f t="array" ref="FP48">SUMPRODUCT(('02.XLS'!$A$6:$A$47=$A48)*('02.XLS'!$B$5:$JN$5=FP$5)*('02.XLS'!$B$6:$JN$47))</f>
        <v>4865</v>
      </c>
      <c r="FQ48" s="1135" cm="1">
        <f t="array" ref="FQ48">SUMPRODUCT(('02.XLS'!$A$6:$A$47=$A48)*('02.XLS'!$B$5:$JN$5=FQ$5)*('02.XLS'!$B$6:$JN$47))</f>
        <v>2807</v>
      </c>
      <c r="FR48" s="1135" cm="1">
        <f t="array" ref="FR48">SUMPRODUCT(('02.XLS'!$A$6:$A$47=$A48)*('02.XLS'!$B$5:$JN$5=FR$5)*('02.XLS'!$B$6:$JN$47))</f>
        <v>395</v>
      </c>
      <c r="FS48" s="1135" cm="1">
        <f t="array" ref="FS48">SUMPRODUCT(('02.XLS'!$A$6:$A$47=$A48)*('02.XLS'!$B$5:$JN$5=FS$5)*('02.XLS'!$B$6:$JN$47))</f>
        <v>15</v>
      </c>
      <c r="FT48" s="1135" cm="1">
        <f t="array" ref="FT48">SUMPRODUCT(('02.XLS'!$A$6:$A$47=$A48)*('02.XLS'!$B$5:$JN$5=FT$5)*('02.XLS'!$B$6:$JN$47))</f>
        <v>9</v>
      </c>
      <c r="FU48" s="1135" cm="1">
        <f t="array" ref="FU48">SUMPRODUCT(('02.XLS'!$A$6:$A$47=$A48)*('02.XLS'!$B$5:$JN$5=FU$5)*('02.XLS'!$B$6:$JN$47))</f>
        <v>3</v>
      </c>
      <c r="FV48" s="1135" cm="1">
        <f t="array" ref="FV48">SUMPRODUCT(('02.XLS'!$A$6:$A$47=$A48)*('02.XLS'!$B$5:$JN$5=FV$5)*('02.XLS'!$B$6:$JN$47))</f>
        <v>0</v>
      </c>
      <c r="FW48" s="1135" cm="1">
        <f t="array" ref="FW48">SUMPRODUCT(('02.XLS'!$A$6:$A$47=$A48)*('02.XLS'!$B$5:$JN$5=FW$5)*('02.XLS'!$B$6:$JN$47))</f>
        <v>30</v>
      </c>
      <c r="FX48" s="1135" cm="1">
        <f t="array" ref="FX48">SUMPRODUCT(('02.XLS'!$A$6:$A$47=$A48)*('02.XLS'!$B$5:$JN$5=FX$5)*('02.XLS'!$B$6:$JN$47))</f>
        <v>195</v>
      </c>
      <c r="FY48" s="1135" cm="1">
        <f t="array" ref="FY48">SUMPRODUCT(('02.XLS'!$A$6:$A$47=$A48)*('02.XLS'!$B$5:$JN$5=FY$5)*('02.XLS'!$B$6:$JN$47))</f>
        <v>252</v>
      </c>
      <c r="FZ48" s="1135" cm="1">
        <f t="array" ref="FZ48">SUMPRODUCT(('02.XLS'!$A$6:$A$47=$A48)*('02.XLS'!$B$5:$JN$5=FZ$5)*('02.XLS'!$B$6:$JN$47))</f>
        <v>477</v>
      </c>
      <c r="GA48" s="1136">
        <f t="shared" si="190"/>
        <v>12822</v>
      </c>
      <c r="GB48" s="1135" cm="1">
        <f t="array" ref="GB48">SUMPRODUCT(('02.XLS'!$A$6:$A$47=$A48)*('02.XLS'!$B$5:$JN$5=GB$5)*('02.XLS'!$B$6:$JN$47))</f>
        <v>2496.8000000000002</v>
      </c>
      <c r="GC48" s="1135" cm="1">
        <f t="array" ref="GC48">SUMPRODUCT(('02.XLS'!$A$6:$A$47=$A48)*('02.XLS'!$B$5:$JN$5=GC$5)*('02.XLS'!$B$6:$JN$47))</f>
        <v>4457</v>
      </c>
      <c r="GD48" s="1135" cm="1">
        <f t="array" ref="GD48">SUMPRODUCT(('02.XLS'!$A$6:$A$47=$A48)*('02.XLS'!$B$5:$JN$5=GD$5)*('02.XLS'!$B$6:$JN$47))</f>
        <v>3029</v>
      </c>
      <c r="GE48" s="1135" cm="1">
        <f t="array" ref="GE48">SUMPRODUCT(('02.XLS'!$A$6:$A$47=$A48)*('02.XLS'!$B$5:$JN$5=GE$5)*('02.XLS'!$B$6:$JN$47))</f>
        <v>356</v>
      </c>
      <c r="GF48" s="1135" cm="1">
        <f t="array" ref="GF48">SUMPRODUCT(('02.XLS'!$A$6:$A$47=$A48)*('02.XLS'!$B$5:$JN$5=GF$5)*('02.XLS'!$B$6:$JN$47))</f>
        <v>55</v>
      </c>
      <c r="GG48" s="1135" cm="1">
        <f t="array" ref="GG48">SUMPRODUCT(('02.XLS'!$A$6:$A$47=$A48)*('02.XLS'!$B$5:$JN$5=GG$5)*('02.XLS'!$B$6:$JN$47))</f>
        <v>42.3</v>
      </c>
      <c r="GH48" s="1135" cm="1">
        <f t="array" ref="GH48">SUMPRODUCT(('02.XLS'!$A$6:$A$47=$A48)*('02.XLS'!$B$5:$JN$5=GH$5)*('02.XLS'!$B$6:$JN$47))</f>
        <v>154.19999999999999</v>
      </c>
      <c r="GI48" s="1135" cm="1">
        <f t="array" ref="GI48">SUMPRODUCT(('02.XLS'!$A$6:$A$47=$A48)*('02.XLS'!$B$5:$JN$5=GI$5)*('02.XLS'!$B$6:$JN$47))</f>
        <v>29.75</v>
      </c>
      <c r="GJ48" s="1135" cm="1">
        <f t="array" ref="GJ48">SUMPRODUCT(('02.XLS'!$A$6:$A$47=$A48)*('02.XLS'!$B$5:$JN$5=GJ$5)*('02.XLS'!$B$6:$JN$47))</f>
        <v>131</v>
      </c>
      <c r="GK48" s="1135" cm="1">
        <f t="array" ref="GK48">SUMPRODUCT(('02.XLS'!$A$6:$A$47=$A48)*('02.XLS'!$B$5:$JN$5=GK$5)*('02.XLS'!$B$6:$JN$47))</f>
        <v>210.5</v>
      </c>
      <c r="GL48" s="1135" cm="1">
        <f t="array" ref="GL48">SUMPRODUCT(('02.XLS'!$A$6:$A$47=$A48)*('02.XLS'!$B$5:$JN$5=GL$5)*('02.XLS'!$B$6:$JN$47))</f>
        <v>359.25</v>
      </c>
      <c r="GM48" s="1135" cm="1">
        <f t="array" ref="GM48">SUMPRODUCT(('02.XLS'!$A$6:$A$47=$A48)*('02.XLS'!$B$5:$JN$5=GM$5)*('02.XLS'!$B$6:$JN$47))</f>
        <v>249.65</v>
      </c>
      <c r="GN48" s="1136">
        <f t="shared" si="203"/>
        <v>11570.449999999999</v>
      </c>
      <c r="GO48" s="1135" cm="1">
        <f t="array" ref="GO48">SUMPRODUCT(('02.XLS'!$A$6:$A$47=$A48)*('02.XLS'!$B$5:$JN$5=GO$5)*('02.XLS'!$B$6:$JN$47))</f>
        <v>3281.5</v>
      </c>
      <c r="GP48" s="1135" cm="1">
        <f t="array" ref="GP48">SUMPRODUCT(('02.XLS'!$A$6:$A$47=$A48)*('02.XLS'!$B$5:$JN$5=GP$5)*('02.XLS'!$B$6:$JN$47))</f>
        <v>4448</v>
      </c>
      <c r="GQ48" s="1135" cm="1">
        <f t="array" ref="GQ48">SUMPRODUCT(('02.XLS'!$A$6:$A$47=$A48)*('02.XLS'!$B$5:$JN$5=GQ$5)*('02.XLS'!$B$6:$JN$47))</f>
        <v>2844</v>
      </c>
      <c r="GR48" s="1135" cm="1">
        <f t="array" ref="GR48">SUMPRODUCT(('02.XLS'!$A$6:$A$47=$A48)*('02.XLS'!$B$5:$JN$5=GR$5)*('02.XLS'!$B$6:$JN$47))</f>
        <v>287.7</v>
      </c>
      <c r="GS48" s="1135" cm="1">
        <f t="array" ref="GS48">SUMPRODUCT(('02.XLS'!$A$6:$A$47=$A48)*('02.XLS'!$B$5:$JN$5=GS$5)*('02.XLS'!$B$6:$JN$47))</f>
        <v>46.45</v>
      </c>
      <c r="GT48" s="1135" cm="1">
        <f t="array" ref="GT48">SUMPRODUCT(('02.XLS'!$A$6:$A$47=$A48)*('02.XLS'!$B$5:$JN$5=GT$5)*('02.XLS'!$B$6:$JN$47))</f>
        <v>32</v>
      </c>
      <c r="GU48" s="1135" cm="1">
        <f t="array" ref="GU48">SUMPRODUCT(('02.XLS'!$A$6:$A$47=$A48)*('02.XLS'!$B$5:$JN$5=GU$5)*('02.XLS'!$B$6:$JN$47))</f>
        <v>33</v>
      </c>
      <c r="GV48" s="1135" cm="1">
        <f t="array" ref="GV48">SUMPRODUCT(('02.XLS'!$A$6:$A$47=$A48)*('02.XLS'!$B$5:$JN$5=GV$5)*('02.XLS'!$B$6:$JN$47))</f>
        <v>58</v>
      </c>
      <c r="GW48" s="1135" cm="1">
        <f t="array" ref="GW48">SUMPRODUCT(('02.XLS'!$A$6:$A$47=$A48)*('02.XLS'!$B$5:$JN$5=GW$5)*('02.XLS'!$B$6:$JN$47))</f>
        <v>30</v>
      </c>
      <c r="GX48" s="1135" cm="1">
        <f t="array" ref="GX48">SUMPRODUCT(('02.XLS'!$A$6:$A$47=$A48)*('02.XLS'!$B$5:$JN$5=GX$5)*('02.XLS'!$B$6:$JN$47))</f>
        <v>0</v>
      </c>
      <c r="GY48" s="1135" cm="1">
        <f t="array" ref="GY48">SUMPRODUCT(('02.XLS'!$A$6:$A$47=$A48)*('02.XLS'!$B$5:$JN$5=GY$5)*('02.XLS'!$B$6:$JN$47))</f>
        <v>0</v>
      </c>
      <c r="GZ48" s="1135" cm="1">
        <f t="array" ref="GZ48">SUMPRODUCT(('02.XLS'!$A$6:$A$47=$A48)*('02.XLS'!$B$5:$JN$5=GZ$5)*('02.XLS'!$B$6:$JN$47))</f>
        <v>0.5</v>
      </c>
      <c r="HA48" s="1136">
        <f t="shared" si="216"/>
        <v>11061.150000000001</v>
      </c>
      <c r="HB48" s="1135" cm="1">
        <f t="array" ref="HB48">SUMPRODUCT(('02.XLS'!$A$6:$A$47=$A48)*('02.XLS'!$B$5:$JN$5=HB$5)*('02.XLS'!$B$6:$JN$47))</f>
        <v>1837.5</v>
      </c>
      <c r="HC48" s="1135" cm="1">
        <f t="array" ref="HC48">SUMPRODUCT(('02.XLS'!$A$6:$A$47=$A48)*('02.XLS'!$B$5:$JN$5=HC$5)*('02.XLS'!$B$6:$JN$47))</f>
        <v>2813</v>
      </c>
      <c r="HD48" s="1135" cm="1">
        <f t="array" ref="HD48">SUMPRODUCT(('02.XLS'!$A$6:$A$47=$A48)*('02.XLS'!$B$5:$JN$5=HD$5)*('02.XLS'!$B$6:$JN$47))</f>
        <v>1643.5</v>
      </c>
      <c r="HE48" s="1135" cm="1">
        <f t="array" ref="HE48">SUMPRODUCT(('02.XLS'!$A$6:$A$47=$A48)*('02.XLS'!$B$5:$JN$5=HE$5)*('02.XLS'!$B$6:$JN$47))</f>
        <v>413</v>
      </c>
      <c r="HF48" s="1135" cm="1">
        <f t="array" ref="HF48">SUMPRODUCT(('02.XLS'!$A$6:$A$47=$A48)*('02.XLS'!$B$5:$JN$5=HF$5)*('02.XLS'!$B$6:$JN$47))</f>
        <v>113</v>
      </c>
      <c r="HG48" s="1135" cm="1">
        <f t="array" ref="HG48">SUMPRODUCT(('02.XLS'!$A$6:$A$47=$A48)*('02.XLS'!$B$5:$JN$5=HG$5)*('02.XLS'!$B$6:$JN$47))</f>
        <v>0</v>
      </c>
      <c r="HH48" s="1135" cm="1">
        <f t="array" ref="HH48">SUMPRODUCT(('02.XLS'!$A$6:$A$47=$A48)*('02.XLS'!$B$5:$JN$5=HH$5)*('02.XLS'!$B$6:$JN$47))</f>
        <v>0</v>
      </c>
      <c r="HI48" s="1135" cm="1">
        <f t="array" ref="HI48">SUMPRODUCT(('02.XLS'!$A$6:$A$47=$A48)*('02.XLS'!$B$5:$JN$5=HI$5)*('02.XLS'!$B$6:$JN$47))</f>
        <v>0</v>
      </c>
      <c r="HJ48" s="1135" cm="1">
        <f t="array" ref="HJ48">SUMPRODUCT(('02.XLS'!$A$6:$A$47=$A48)*('02.XLS'!$B$5:$JN$5=HJ$5)*('02.XLS'!$B$6:$JN$47))</f>
        <v>53</v>
      </c>
      <c r="HK48" s="1135" cm="1">
        <f t="array" ref="HK48">SUMPRODUCT(('02.XLS'!$A$6:$A$47=$A48)*('02.XLS'!$B$5:$JN$5=HK$5)*('02.XLS'!$B$6:$JN$47))</f>
        <v>92</v>
      </c>
      <c r="HL48" s="1135" cm="1">
        <f t="array" ref="HL48">SUMPRODUCT(('02.XLS'!$A$6:$A$47=$A48)*('02.XLS'!$B$5:$JN$5=HL$5)*('02.XLS'!$B$6:$JN$47))</f>
        <v>198</v>
      </c>
      <c r="HM48" s="1135" cm="1">
        <f t="array" ref="HM48">SUMPRODUCT(('02.XLS'!$A$6:$A$47=$A48)*('02.XLS'!$B$5:$JN$5=HM$5)*('02.XLS'!$B$6:$JN$47))</f>
        <v>65</v>
      </c>
      <c r="HN48" s="1136">
        <f t="shared" si="229"/>
        <v>7228</v>
      </c>
      <c r="HO48" s="1135" cm="1">
        <f t="array" ref="HO48">SUMPRODUCT(('02.XLS'!$A$6:$A$47=$A48)*('02.XLS'!$B$5:$JN$5=HO$5)*('02.XLS'!$B$6:$JN$47))</f>
        <v>2194.5</v>
      </c>
      <c r="HP48" s="1135" cm="1">
        <f t="array" ref="HP48">SUMPRODUCT(('02.XLS'!$A$6:$A$47=$A48)*('02.XLS'!$B$5:$JN$5=HP$5)*('02.XLS'!$B$6:$JN$47))</f>
        <v>3477</v>
      </c>
      <c r="HQ48" s="1135" cm="1">
        <f t="array" ref="HQ48">SUMPRODUCT(('02.XLS'!$A$6:$A$47=$A48)*('02.XLS'!$B$5:$JN$5=HQ$5)*('02.XLS'!$B$6:$JN$47))</f>
        <v>2036</v>
      </c>
      <c r="HR48" s="1135" cm="1">
        <f t="array" ref="HR48">SUMPRODUCT(('02.XLS'!$A$6:$A$47=$A48)*('02.XLS'!$B$5:$JN$5=HR$5)*('02.XLS'!$B$6:$JN$47))</f>
        <v>137</v>
      </c>
      <c r="HS48" s="1135" cm="1">
        <f t="array" ref="HS48">SUMPRODUCT(('02.XLS'!$A$6:$A$47=$A48)*('02.XLS'!$B$5:$JN$5=HS$5)*('02.XLS'!$B$6:$JN$47))</f>
        <v>9</v>
      </c>
      <c r="HT48" s="1135" cm="1">
        <f t="array" ref="HT48">SUMPRODUCT(('02.XLS'!$A$6:$A$47=$A48)*('02.XLS'!$B$5:$JN$5=HT$5)*('02.XLS'!$B$6:$JN$47))</f>
        <v>0</v>
      </c>
      <c r="HU48" s="1135" cm="1">
        <f t="array" ref="HU48">SUMPRODUCT(('02.XLS'!$A$6:$A$47=$A48)*('02.XLS'!$B$5:$JN$5=HU$5)*('02.XLS'!$B$6:$JN$47))</f>
        <v>0</v>
      </c>
      <c r="HV48" s="1135" cm="1">
        <f t="array" ref="HV48">SUMPRODUCT(('02.XLS'!$A$6:$A$47=$A48)*('02.XLS'!$B$5:$JN$5=HV$5)*('02.XLS'!$B$6:$JN$47))</f>
        <v>0</v>
      </c>
      <c r="HW48" s="1135" cm="1">
        <f t="array" ref="HW48">SUMPRODUCT(('02.XLS'!$A$6:$A$47=$A48)*('02.XLS'!$B$5:$JN$5=HW$5)*('02.XLS'!$B$6:$JN$47))</f>
        <v>0</v>
      </c>
      <c r="HX48" s="1135" cm="1">
        <f t="array" ref="HX48">SUMPRODUCT(('02.XLS'!$A$6:$A$47=$A48)*('02.XLS'!$B$5:$JN$5=HX$5)*('02.XLS'!$B$6:$JN$47))</f>
        <v>0</v>
      </c>
      <c r="HY48" s="1135" cm="1">
        <f t="array" ref="HY48">SUMPRODUCT(('02.XLS'!$A$6:$A$47=$A48)*('02.XLS'!$B$5:$JN$5=HY$5)*('02.XLS'!$B$6:$JN$47))</f>
        <v>0</v>
      </c>
      <c r="HZ48" s="1135" cm="1">
        <f t="array" ref="HZ48">SUMPRODUCT(('02.XLS'!$A$6:$A$47=$A48)*('02.XLS'!$B$5:$JN$5=HZ$5)*('02.XLS'!$B$6:$JN$47))</f>
        <v>6</v>
      </c>
      <c r="IA48" s="1136">
        <f t="shared" si="242"/>
        <v>7859.5</v>
      </c>
      <c r="IB48" s="1135" cm="1">
        <f t="array" ref="IB48">SUMPRODUCT(('02.XLS'!$A$6:$A$47=$A48)*('02.XLS'!$B$5:$JN$5=IB$5)*('02.XLS'!$B$6:$JN$47))</f>
        <v>1635.5</v>
      </c>
      <c r="IC48" s="1135" cm="1">
        <f t="array" ref="IC48">SUMPRODUCT(('02.XLS'!$A$6:$A$47=$A48)*('02.XLS'!$B$5:$JN$5=IC$5)*('02.XLS'!$B$6:$JN$47))</f>
        <v>3346</v>
      </c>
      <c r="ID48" s="1135" cm="1">
        <f t="array" ref="ID48">SUMPRODUCT(('02.XLS'!$A$6:$A$47=$A48)*('02.XLS'!$B$5:$JN$5=ID$5)*('02.XLS'!$B$6:$JN$47))</f>
        <v>1961</v>
      </c>
      <c r="IE48" s="1135" cm="1">
        <f t="array" ref="IE48">SUMPRODUCT(('02.XLS'!$A$6:$A$47=$A48)*('02.XLS'!$B$5:$JN$5=IE$5)*('02.XLS'!$B$6:$JN$47))</f>
        <v>286.5</v>
      </c>
      <c r="IF48" s="1135" cm="1">
        <f t="array" ref="IF48">SUMPRODUCT(('02.XLS'!$A$6:$A$47=$A48)*('02.XLS'!$B$5:$JN$5=IF$5)*('02.XLS'!$B$6:$JN$47))</f>
        <v>124</v>
      </c>
      <c r="IG48" s="1135" cm="1">
        <f t="array" ref="IG48">SUMPRODUCT(('02.XLS'!$A$6:$A$47=$A48)*('02.XLS'!$B$5:$JN$5=IG$5)*('02.XLS'!$B$6:$JN$47))</f>
        <v>0</v>
      </c>
      <c r="IH48" s="1135" cm="1">
        <f t="array" ref="IH48">SUMPRODUCT(('02.XLS'!$A$6:$A$47=$A48)*('02.XLS'!$B$5:$JN$5=IH$5)*('02.XLS'!$B$6:$JN$47))</f>
        <v>0</v>
      </c>
      <c r="II48" s="1135" cm="1">
        <f t="array" ref="II48">SUMPRODUCT(('02.XLS'!$A$6:$A$47=$A48)*('02.XLS'!$B$5:$JN$5=II$5)*('02.XLS'!$B$6:$JN$47))</f>
        <v>0</v>
      </c>
      <c r="IJ48" s="1135" cm="1">
        <f t="array" ref="IJ48">SUMPRODUCT(('02.XLS'!$A$6:$A$47=$A48)*('02.XLS'!$B$5:$JN$5=IJ$5)*('02.XLS'!$B$6:$JN$47))</f>
        <v>0</v>
      </c>
      <c r="IK48" s="1135" cm="1">
        <f t="array" ref="IK48">SUMPRODUCT(('02.XLS'!$A$6:$A$47=$A48)*('02.XLS'!$B$5:$JN$5=IK$5)*('02.XLS'!$B$6:$JN$47))</f>
        <v>0</v>
      </c>
      <c r="IL48" s="1135" cm="1">
        <f t="array" ref="IL48">SUMPRODUCT(('02.XLS'!$A$6:$A$47=$A48)*('02.XLS'!$B$5:$JN$5=IL$5)*('02.XLS'!$B$6:$JN$47))</f>
        <v>0</v>
      </c>
      <c r="IM48" s="1135" cm="1">
        <f t="array" ref="IM48">SUMPRODUCT(('02.XLS'!$A$6:$A$47=$A48)*('02.XLS'!$B$5:$JN$5=IM$5)*('02.XLS'!$B$6:$JN$47))</f>
        <v>0</v>
      </c>
      <c r="IN48" s="1136">
        <f t="shared" si="255"/>
        <v>7353</v>
      </c>
      <c r="IO48" s="1135" cm="1">
        <f t="array" ref="IO48">SUMPRODUCT(('02.XLS'!$A$6:$A$47=$A48)*('02.XLS'!$B$5:$JN$5=IO$5)*('02.XLS'!$B$6:$JN$47))</f>
        <v>1410.5</v>
      </c>
      <c r="IP48" s="1135" cm="1">
        <f t="array" ref="IP48">SUMPRODUCT(('02.XLS'!$A$6:$A$47=$A48)*('02.XLS'!$B$5:$JN$5=IP$5)*('02.XLS'!$B$6:$JN$47))</f>
        <v>3470</v>
      </c>
      <c r="IQ48" s="1135" cm="1">
        <f t="array" ref="IQ48">SUMPRODUCT(('02.XLS'!$A$6:$A$47=$A48)*('02.XLS'!$B$5:$JN$5=IQ$5)*('02.XLS'!$B$6:$JN$47))</f>
        <v>1816</v>
      </c>
      <c r="IR48" s="1135" cm="1">
        <f t="array" ref="IR48">SUMPRODUCT(('02.XLS'!$A$6:$A$47=$A48)*('02.XLS'!$B$5:$JN$5=IR$5)*('02.XLS'!$B$6:$JN$47))</f>
        <v>357.5</v>
      </c>
      <c r="IS48" s="1135" cm="1">
        <f t="array" ref="IS48">SUMPRODUCT(('02.XLS'!$A$6:$A$47=$A48)*('02.XLS'!$B$5:$JN$5=IS$5)*('02.XLS'!$B$6:$JN$47))</f>
        <v>99</v>
      </c>
      <c r="IT48" s="1135" cm="1">
        <f t="array" ref="IT48">SUMPRODUCT(('02.XLS'!$A$6:$A$47=$A48)*('02.XLS'!$B$5:$JN$5=IT$5)*('02.XLS'!$B$6:$JN$47))</f>
        <v>0</v>
      </c>
      <c r="IU48" s="1135" cm="1">
        <f t="array" ref="IU48">SUMPRODUCT(('02.XLS'!$A$6:$A$47=$A48)*('02.XLS'!$B$5:$JN$5=IU$5)*('02.XLS'!$B$6:$JN$47))</f>
        <v>0</v>
      </c>
      <c r="IV48" s="1135" cm="1">
        <f t="array" ref="IV48">SUMPRODUCT(('02.XLS'!$A$6:$A$47=$A48)*('02.XLS'!$B$5:$JN$5=IV$5)*('02.XLS'!$B$6:$JN$47))</f>
        <v>1</v>
      </c>
      <c r="IW48" s="1135" cm="1">
        <f t="array" ref="IW48">SUMPRODUCT(('02.XLS'!$A$6:$A$47=$A48)*('02.XLS'!$B$5:$JN$5=IW$5)*('02.XLS'!$B$6:$JN$47))</f>
        <v>1</v>
      </c>
      <c r="IX48" s="1135" cm="1">
        <f t="array" ref="IX48">SUMPRODUCT(('02.XLS'!$A$6:$A$47=$A48)*('02.XLS'!$B$5:$JN$5=IX$5)*('02.XLS'!$B$6:$JN$47))</f>
        <v>0</v>
      </c>
      <c r="IY48" s="1135" cm="1">
        <f t="array" ref="IY48">SUMPRODUCT(('02.XLS'!$A$6:$A$47=$A48)*('02.XLS'!$B$5:$JN$5=IY$5)*('02.XLS'!$B$6:$JN$47))</f>
        <v>0</v>
      </c>
      <c r="IZ48" s="1135" cm="1">
        <f t="array" ref="IZ48">SUMPRODUCT(('02.XLS'!$A$6:$A$47=$A48)*('02.XLS'!$B$5:$JN$5=IZ$5)*('02.XLS'!$B$6:$JN$47))</f>
        <v>0</v>
      </c>
      <c r="JA48" s="1136">
        <f t="shared" si="268"/>
        <v>7155</v>
      </c>
      <c r="JB48" s="1135" cm="1">
        <f t="array" ref="JB48">SUMPRODUCT(('02.XLS'!$A$6:$A$47=$A48)*('02.XLS'!$B$5:$JN$5=JB$5)*('02.XLS'!$B$6:$JN$47))</f>
        <v>1205.5</v>
      </c>
      <c r="JC48" s="1135" cm="1">
        <f t="array" ref="JC48">SUMPRODUCT(('02.XLS'!$A$6:$A$47=$A48)*('02.XLS'!$B$5:$JN$5=JC$5)*('02.XLS'!$B$6:$JN$47))</f>
        <v>2439</v>
      </c>
      <c r="JD48" s="1135" cm="1">
        <f t="array" ref="JD48">SUMPRODUCT(('02.XLS'!$A$6:$A$47=$A48)*('02.XLS'!$B$5:$JN$5=JD$5)*('02.XLS'!$B$6:$JN$47))</f>
        <v>0</v>
      </c>
      <c r="JE48" s="1135" cm="1">
        <f t="array" ref="JE48">SUMPRODUCT(('02.XLS'!$A$6:$A$47=$A48)*('02.XLS'!$B$5:$JN$5=JE$5)*('02.XLS'!$B$6:$JN$47))</f>
        <v>0</v>
      </c>
      <c r="JF48" s="1135" cm="1">
        <f t="array" ref="JF48">SUMPRODUCT(('02.XLS'!$A$6:$A$47=$A48)*('02.XLS'!$B$5:$JN$5=JF$5)*('02.XLS'!$B$6:$JN$47))</f>
        <v>0</v>
      </c>
      <c r="JG48" s="1135" cm="1">
        <f t="array" ref="JG48">SUMPRODUCT(('02.XLS'!$A$6:$A$47=$A48)*('02.XLS'!$B$5:$JN$5=JG$5)*('02.XLS'!$B$6:$JN$47))</f>
        <v>0</v>
      </c>
      <c r="JH48" s="1135" cm="1">
        <f t="array" ref="JH48">SUMPRODUCT(('02.XLS'!$A$6:$A$47=$A48)*('02.XLS'!$B$5:$JN$5=JH$5)*('02.XLS'!$B$6:$JN$47))</f>
        <v>0</v>
      </c>
      <c r="JI48" s="1135" cm="1">
        <f t="array" ref="JI48">SUMPRODUCT(('02.XLS'!$A$6:$A$47=$A48)*('02.XLS'!$B$5:$JN$5=JI$5)*('02.XLS'!$B$6:$JN$47))</f>
        <v>0</v>
      </c>
      <c r="JJ48" s="1135" cm="1">
        <f t="array" ref="JJ48">SUMPRODUCT(('02.XLS'!$A$6:$A$47=$A48)*('02.XLS'!$B$5:$JN$5=JJ$5)*('02.XLS'!$B$6:$JN$47))</f>
        <v>0</v>
      </c>
      <c r="JK48" s="1135" cm="1">
        <f t="array" ref="JK48">SUMPRODUCT(('02.XLS'!$A$6:$A$47=$A48)*('02.XLS'!$B$5:$JN$5=JK$5)*('02.XLS'!$B$6:$JN$47))</f>
        <v>0</v>
      </c>
      <c r="JL48" s="1135" cm="1">
        <f t="array" ref="JL48">SUMPRODUCT(('02.XLS'!$A$6:$A$47=$A48)*('02.XLS'!$B$5:$JN$5=JL$5)*('02.XLS'!$B$6:$JN$47))</f>
        <v>0</v>
      </c>
      <c r="JM48" s="1135" cm="1">
        <f t="array" ref="JM48">SUMPRODUCT(('02.XLS'!$A$6:$A$47=$A48)*('02.XLS'!$B$5:$JN$5=JM$5)*('02.XLS'!$B$6:$JN$47))</f>
        <v>0</v>
      </c>
      <c r="JN48" s="1136">
        <f t="shared" si="281"/>
        <v>3644.5</v>
      </c>
      <c r="JP48" s="1178" t="str">
        <f t="shared" si="311"/>
        <v/>
      </c>
      <c r="JQ48" s="1179">
        <f t="shared" si="312"/>
        <v>-2.6927784577723379</v>
      </c>
      <c r="JR48" s="1188">
        <f t="shared" si="313"/>
        <v>7353</v>
      </c>
      <c r="JS48" s="1189">
        <f t="shared" si="314"/>
        <v>7155</v>
      </c>
      <c r="JT48" s="1153"/>
      <c r="JU48" s="1082"/>
      <c r="JV48" s="1083"/>
      <c r="JW48" s="1084"/>
    </row>
    <row r="49" spans="1:283" ht="15" customHeight="1" x14ac:dyDescent="0.2">
      <c r="A49" s="1169" t="s">
        <v>39</v>
      </c>
      <c r="B49" s="1135" cm="1">
        <f t="array" ref="B49">SUMPRODUCT(('02.XLS'!$A$6:$A$47=$A49)*('02.XLS'!$B$5:$JN$5=B$5)*('02.XLS'!$B$6:$JN$47))</f>
        <v>13</v>
      </c>
      <c r="C49" s="1135" cm="1">
        <f t="array" ref="C49">SUMPRODUCT(('02.XLS'!$A$6:$A$47=$A49)*('02.XLS'!$B$5:$JN$5=C$5)*('02.XLS'!$B$6:$JN$47))</f>
        <v>16</v>
      </c>
      <c r="D49" s="1135" cm="1">
        <f t="array" ref="D49">SUMPRODUCT(('02.XLS'!$A$6:$A$47=$A49)*('02.XLS'!$B$5:$JN$5=D$5)*('02.XLS'!$B$6:$JN$47))</f>
        <v>24</v>
      </c>
      <c r="E49" s="1135" cm="1">
        <f t="array" ref="E49">SUMPRODUCT(('02.XLS'!$A$6:$A$47=$A49)*('02.XLS'!$B$5:$JN$5=E$5)*('02.XLS'!$B$6:$JN$47))</f>
        <v>25</v>
      </c>
      <c r="F49" s="1135" cm="1">
        <f t="array" ref="F49">SUMPRODUCT(('02.XLS'!$A$6:$A$47=$A49)*('02.XLS'!$B$5:$JN$5=F$5)*('02.XLS'!$B$6:$JN$47))</f>
        <v>27</v>
      </c>
      <c r="G49" s="1135" cm="1">
        <f t="array" ref="G49">SUMPRODUCT(('02.XLS'!$A$6:$A$47=$A49)*('02.XLS'!$B$5:$JN$5=G$5)*('02.XLS'!$B$6:$JN$47))</f>
        <v>27</v>
      </c>
      <c r="H49" s="1135" cm="1">
        <f t="array" ref="H49">SUMPRODUCT(('02.XLS'!$A$6:$A$47=$A49)*('02.XLS'!$B$5:$JN$5=H$5)*('02.XLS'!$B$6:$JN$47))</f>
        <v>24</v>
      </c>
      <c r="I49" s="1135" cm="1">
        <f t="array" ref="I49">SUMPRODUCT(('02.XLS'!$A$6:$A$47=$A49)*('02.XLS'!$B$5:$JN$5=I$5)*('02.XLS'!$B$6:$JN$47))</f>
        <v>20</v>
      </c>
      <c r="J49" s="1135" cm="1">
        <f t="array" ref="J49">SUMPRODUCT(('02.XLS'!$A$6:$A$47=$A49)*('02.XLS'!$B$5:$JN$5=J$5)*('02.XLS'!$B$6:$JN$47))</f>
        <v>21</v>
      </c>
      <c r="K49" s="1135" cm="1">
        <f t="array" ref="K49">SUMPRODUCT(('02.XLS'!$A$6:$A$47=$A49)*('02.XLS'!$B$5:$JN$5=K$5)*('02.XLS'!$B$6:$JN$47))</f>
        <v>18</v>
      </c>
      <c r="L49" s="1135" cm="1">
        <f t="array" ref="L49">SUMPRODUCT(('02.XLS'!$A$6:$A$47=$A49)*('02.XLS'!$B$5:$JN$5=L$5)*('02.XLS'!$B$6:$JN$47))</f>
        <v>17</v>
      </c>
      <c r="M49" s="1135" cm="1">
        <f t="array" ref="M49">SUMPRODUCT(('02.XLS'!$A$6:$A$47=$A49)*('02.XLS'!$B$5:$JN$5=M$5)*('02.XLS'!$B$6:$JN$47))</f>
        <v>23</v>
      </c>
      <c r="N49" s="1136">
        <f t="shared" si="21"/>
        <v>255</v>
      </c>
      <c r="O49" s="1135" cm="1">
        <f t="array" ref="O49">SUMPRODUCT(('02.XLS'!$A$6:$A$47=$A49)*('02.XLS'!$B$5:$JN$5=O$5)*('02.XLS'!$B$6:$JN$47))</f>
        <v>15</v>
      </c>
      <c r="P49" s="1135" cm="1">
        <f t="array" ref="P49">SUMPRODUCT(('02.XLS'!$A$6:$A$47=$A49)*('02.XLS'!$B$5:$JN$5=P$5)*('02.XLS'!$B$6:$JN$47))</f>
        <v>16</v>
      </c>
      <c r="Q49" s="1135" cm="1">
        <f t="array" ref="Q49">SUMPRODUCT(('02.XLS'!$A$6:$A$47=$A49)*('02.XLS'!$B$5:$JN$5=Q$5)*('02.XLS'!$B$6:$JN$47))</f>
        <v>19</v>
      </c>
      <c r="R49" s="1135" cm="1">
        <f t="array" ref="R49">SUMPRODUCT(('02.XLS'!$A$6:$A$47=$A49)*('02.XLS'!$B$5:$JN$5=R$5)*('02.XLS'!$B$6:$JN$47))</f>
        <v>22</v>
      </c>
      <c r="S49" s="1135" cm="1">
        <f t="array" ref="S49">SUMPRODUCT(('02.XLS'!$A$6:$A$47=$A49)*('02.XLS'!$B$5:$JN$5=S$5)*('02.XLS'!$B$6:$JN$47))</f>
        <v>24</v>
      </c>
      <c r="T49" s="1135" cm="1">
        <f t="array" ref="T49">SUMPRODUCT(('02.XLS'!$A$6:$A$47=$A49)*('02.XLS'!$B$5:$JN$5=T$5)*('02.XLS'!$B$6:$JN$47))</f>
        <v>35</v>
      </c>
      <c r="U49" s="1135" cm="1">
        <f t="array" ref="U49">SUMPRODUCT(('02.XLS'!$A$6:$A$47=$A49)*('02.XLS'!$B$5:$JN$5=U$5)*('02.XLS'!$B$6:$JN$47))</f>
        <v>36</v>
      </c>
      <c r="V49" s="1135" cm="1">
        <f t="array" ref="V49">SUMPRODUCT(('02.XLS'!$A$6:$A$47=$A49)*('02.XLS'!$B$5:$JN$5=V$5)*('02.XLS'!$B$6:$JN$47))</f>
        <v>27</v>
      </c>
      <c r="W49" s="1135" cm="1">
        <f t="array" ref="W49">SUMPRODUCT(('02.XLS'!$A$6:$A$47=$A49)*('02.XLS'!$B$5:$JN$5=W$5)*('02.XLS'!$B$6:$JN$47))</f>
        <v>23</v>
      </c>
      <c r="X49" s="1135" cm="1">
        <f t="array" ref="X49">SUMPRODUCT(('02.XLS'!$A$6:$A$47=$A49)*('02.XLS'!$B$5:$JN$5=X$5)*('02.XLS'!$B$6:$JN$47))</f>
        <v>27</v>
      </c>
      <c r="Y49" s="1135" cm="1">
        <f t="array" ref="Y49">SUMPRODUCT(('02.XLS'!$A$6:$A$47=$A49)*('02.XLS'!$B$5:$JN$5=Y$5)*('02.XLS'!$B$6:$JN$47))</f>
        <v>19</v>
      </c>
      <c r="Z49" s="1135" cm="1">
        <f t="array" ref="Z49">SUMPRODUCT(('02.XLS'!$A$6:$A$47=$A49)*('02.XLS'!$B$5:$JN$5=Z$5)*('02.XLS'!$B$6:$JN$47))</f>
        <v>20</v>
      </c>
      <c r="AA49" s="1136">
        <f t="shared" si="34"/>
        <v>283</v>
      </c>
      <c r="AB49" s="1135" cm="1">
        <f t="array" ref="AB49">SUMPRODUCT(('02.XLS'!$A$6:$A$47=$A49)*('02.XLS'!$B$5:$JN$5=AB$5)*('02.XLS'!$B$6:$JN$47))</f>
        <v>19</v>
      </c>
      <c r="AC49" s="1135" cm="1">
        <f t="array" ref="AC49">SUMPRODUCT(('02.XLS'!$A$6:$A$47=$A49)*('02.XLS'!$B$5:$JN$5=AC$5)*('02.XLS'!$B$6:$JN$47))</f>
        <v>24</v>
      </c>
      <c r="AD49" s="1135" cm="1">
        <f t="array" ref="AD49">SUMPRODUCT(('02.XLS'!$A$6:$A$47=$A49)*('02.XLS'!$B$5:$JN$5=AD$5)*('02.XLS'!$B$6:$JN$47))</f>
        <v>26</v>
      </c>
      <c r="AE49" s="1135" cm="1">
        <f t="array" ref="AE49">SUMPRODUCT(('02.XLS'!$A$6:$A$47=$A49)*('02.XLS'!$B$5:$JN$5=AE$5)*('02.XLS'!$B$6:$JN$47))</f>
        <v>26</v>
      </c>
      <c r="AF49" s="1135" cm="1">
        <f t="array" ref="AF49">SUMPRODUCT(('02.XLS'!$A$6:$A$47=$A49)*('02.XLS'!$B$5:$JN$5=AF$5)*('02.XLS'!$B$6:$JN$47))</f>
        <v>26</v>
      </c>
      <c r="AG49" s="1135" cm="1">
        <f t="array" ref="AG49">SUMPRODUCT(('02.XLS'!$A$6:$A$47=$A49)*('02.XLS'!$B$5:$JN$5=AG$5)*('02.XLS'!$B$6:$JN$47))</f>
        <v>31</v>
      </c>
      <c r="AH49" s="1135" cm="1">
        <f t="array" ref="AH49">SUMPRODUCT(('02.XLS'!$A$6:$A$47=$A49)*('02.XLS'!$B$5:$JN$5=AH$5)*('02.XLS'!$B$6:$JN$47))</f>
        <v>25</v>
      </c>
      <c r="AI49" s="1135" cm="1">
        <f t="array" ref="AI49">SUMPRODUCT(('02.XLS'!$A$6:$A$47=$A49)*('02.XLS'!$B$5:$JN$5=AI$5)*('02.XLS'!$B$6:$JN$47))</f>
        <v>23</v>
      </c>
      <c r="AJ49" s="1135" cm="1">
        <f t="array" ref="AJ49">SUMPRODUCT(('02.XLS'!$A$6:$A$47=$A49)*('02.XLS'!$B$5:$JN$5=AJ$5)*('02.XLS'!$B$6:$JN$47))</f>
        <v>20</v>
      </c>
      <c r="AK49" s="1135" cm="1">
        <f t="array" ref="AK49">SUMPRODUCT(('02.XLS'!$A$6:$A$47=$A49)*('02.XLS'!$B$5:$JN$5=AK$5)*('02.XLS'!$B$6:$JN$47))</f>
        <v>16</v>
      </c>
      <c r="AL49" s="1135" cm="1">
        <f t="array" ref="AL49">SUMPRODUCT(('02.XLS'!$A$6:$A$47=$A49)*('02.XLS'!$B$5:$JN$5=AL$5)*('02.XLS'!$B$6:$JN$47))</f>
        <v>15</v>
      </c>
      <c r="AM49" s="1135" cm="1">
        <f t="array" ref="AM49">SUMPRODUCT(('02.XLS'!$A$6:$A$47=$A49)*('02.XLS'!$B$5:$JN$5=AM$5)*('02.XLS'!$B$6:$JN$47))</f>
        <v>14</v>
      </c>
      <c r="AN49" s="1136">
        <f t="shared" si="47"/>
        <v>265</v>
      </c>
      <c r="AO49" s="1135" cm="1">
        <f t="array" ref="AO49">SUMPRODUCT(('02.XLS'!$A$6:$A$47=$A49)*('02.XLS'!$B$5:$JN$5=AO$5)*('02.XLS'!$B$6:$JN$47))</f>
        <v>18</v>
      </c>
      <c r="AP49" s="1135" cm="1">
        <f t="array" ref="AP49">SUMPRODUCT(('02.XLS'!$A$6:$A$47=$A49)*('02.XLS'!$B$5:$JN$5=AP$5)*('02.XLS'!$B$6:$JN$47))</f>
        <v>29</v>
      </c>
      <c r="AQ49" s="1135" cm="1">
        <f t="array" ref="AQ49">SUMPRODUCT(('02.XLS'!$A$6:$A$47=$A49)*('02.XLS'!$B$5:$JN$5=AQ$5)*('02.XLS'!$B$6:$JN$47))</f>
        <v>24</v>
      </c>
      <c r="AR49" s="1135" cm="1">
        <f t="array" ref="AR49">SUMPRODUCT(('02.XLS'!$A$6:$A$47=$A49)*('02.XLS'!$B$5:$JN$5=AR$5)*('02.XLS'!$B$6:$JN$47))</f>
        <v>28</v>
      </c>
      <c r="AS49" s="1135" cm="1">
        <f t="array" ref="AS49">SUMPRODUCT(('02.XLS'!$A$6:$A$47=$A49)*('02.XLS'!$B$5:$JN$5=AS$5)*('02.XLS'!$B$6:$JN$47))</f>
        <v>28</v>
      </c>
      <c r="AT49" s="1135" cm="1">
        <f t="array" ref="AT49">SUMPRODUCT(('02.XLS'!$A$6:$A$47=$A49)*('02.XLS'!$B$5:$JN$5=AT$5)*('02.XLS'!$B$6:$JN$47))</f>
        <v>22</v>
      </c>
      <c r="AU49" s="1135" cm="1">
        <f t="array" ref="AU49">SUMPRODUCT(('02.XLS'!$A$6:$A$47=$A49)*('02.XLS'!$B$5:$JN$5=AU$5)*('02.XLS'!$B$6:$JN$47))</f>
        <v>19</v>
      </c>
      <c r="AV49" s="1135" cm="1">
        <f t="array" ref="AV49">SUMPRODUCT(('02.XLS'!$A$6:$A$47=$A49)*('02.XLS'!$B$5:$JN$5=AV$5)*('02.XLS'!$B$6:$JN$47))</f>
        <v>18</v>
      </c>
      <c r="AW49" s="1135" cm="1">
        <f t="array" ref="AW49">SUMPRODUCT(('02.XLS'!$A$6:$A$47=$A49)*('02.XLS'!$B$5:$JN$5=AW$5)*('02.XLS'!$B$6:$JN$47))</f>
        <v>12</v>
      </c>
      <c r="AX49" s="1135" cm="1">
        <f t="array" ref="AX49">SUMPRODUCT(('02.XLS'!$A$6:$A$47=$A49)*('02.XLS'!$B$5:$JN$5=AX$5)*('02.XLS'!$B$6:$JN$47))</f>
        <v>9</v>
      </c>
      <c r="AY49" s="1135" cm="1">
        <f t="array" ref="AY49">SUMPRODUCT(('02.XLS'!$A$6:$A$47=$A49)*('02.XLS'!$B$5:$JN$5=AY$5)*('02.XLS'!$B$6:$JN$47))</f>
        <v>12</v>
      </c>
      <c r="AZ49" s="1135" cm="1">
        <f t="array" ref="AZ49">SUMPRODUCT(('02.XLS'!$A$6:$A$47=$A49)*('02.XLS'!$B$5:$JN$5=AZ$5)*('02.XLS'!$B$6:$JN$47))</f>
        <v>762</v>
      </c>
      <c r="BA49" s="1136">
        <f t="shared" si="60"/>
        <v>981</v>
      </c>
      <c r="BB49" s="1135" cm="1">
        <f t="array" ref="BB49">SUMPRODUCT(('02.XLS'!$A$6:$A$47=$A49)*('02.XLS'!$B$5:$JN$5=BB$5)*('02.XLS'!$B$6:$JN$47))</f>
        <v>18</v>
      </c>
      <c r="BC49" s="1135" cm="1">
        <f t="array" ref="BC49">SUMPRODUCT(('02.XLS'!$A$6:$A$47=$A49)*('02.XLS'!$B$5:$JN$5=BC$5)*('02.XLS'!$B$6:$JN$47))</f>
        <v>24</v>
      </c>
      <c r="BD49" s="1135" cm="1">
        <f t="array" ref="BD49">SUMPRODUCT(('02.XLS'!$A$6:$A$47=$A49)*('02.XLS'!$B$5:$JN$5=BD$5)*('02.XLS'!$B$6:$JN$47))</f>
        <v>19</v>
      </c>
      <c r="BE49" s="1135" cm="1">
        <f t="array" ref="BE49">SUMPRODUCT(('02.XLS'!$A$6:$A$47=$A49)*('02.XLS'!$B$5:$JN$5=BE$5)*('02.XLS'!$B$6:$JN$47))</f>
        <v>15</v>
      </c>
      <c r="BF49" s="1135" cm="1">
        <f t="array" ref="BF49">SUMPRODUCT(('02.XLS'!$A$6:$A$47=$A49)*('02.XLS'!$B$5:$JN$5=BF$5)*('02.XLS'!$B$6:$JN$47))</f>
        <v>18</v>
      </c>
      <c r="BG49" s="1135" cm="1">
        <f t="array" ref="BG49">SUMPRODUCT(('02.XLS'!$A$6:$A$47=$A49)*('02.XLS'!$B$5:$JN$5=BG$5)*('02.XLS'!$B$6:$JN$47))</f>
        <v>24</v>
      </c>
      <c r="BH49" s="1135" cm="1">
        <f t="array" ref="BH49">SUMPRODUCT(('02.XLS'!$A$6:$A$47=$A49)*('02.XLS'!$B$5:$JN$5=BH$5)*('02.XLS'!$B$6:$JN$47))</f>
        <v>39</v>
      </c>
      <c r="BI49" s="1135" cm="1">
        <f t="array" ref="BI49">SUMPRODUCT(('02.XLS'!$A$6:$A$47=$A49)*('02.XLS'!$B$5:$JN$5=BI$5)*('02.XLS'!$B$6:$JN$47))</f>
        <v>22</v>
      </c>
      <c r="BJ49" s="1135" cm="1">
        <f t="array" ref="BJ49">SUMPRODUCT(('02.XLS'!$A$6:$A$47=$A49)*('02.XLS'!$B$5:$JN$5=BJ$5)*('02.XLS'!$B$6:$JN$47))</f>
        <v>15</v>
      </c>
      <c r="BK49" s="1135" cm="1">
        <f t="array" ref="BK49">SUMPRODUCT(('02.XLS'!$A$6:$A$47=$A49)*('02.XLS'!$B$5:$JN$5=BK$5)*('02.XLS'!$B$6:$JN$47))</f>
        <v>16</v>
      </c>
      <c r="BL49" s="1135" cm="1">
        <f t="array" ref="BL49">SUMPRODUCT(('02.XLS'!$A$6:$A$47=$A49)*('02.XLS'!$B$5:$JN$5=BL$5)*('02.XLS'!$B$6:$JN$47))</f>
        <v>21</v>
      </c>
      <c r="BM49" s="1135" cm="1">
        <f t="array" ref="BM49">SUMPRODUCT(('02.XLS'!$A$6:$A$47=$A49)*('02.XLS'!$B$5:$JN$5=BM$5)*('02.XLS'!$B$6:$JN$47))</f>
        <v>21</v>
      </c>
      <c r="BN49" s="1136">
        <f t="shared" si="73"/>
        <v>252</v>
      </c>
      <c r="BO49" s="1135" cm="1">
        <f t="array" ref="BO49">SUMPRODUCT(('02.XLS'!$A$6:$A$47=$A49)*('02.XLS'!$B$5:$JN$5=BO$5)*('02.XLS'!$B$6:$JN$47))</f>
        <v>21</v>
      </c>
      <c r="BP49" s="1135" cm="1">
        <f t="array" ref="BP49">SUMPRODUCT(('02.XLS'!$A$6:$A$47=$A49)*('02.XLS'!$B$5:$JN$5=BP$5)*('02.XLS'!$B$6:$JN$47))</f>
        <v>40</v>
      </c>
      <c r="BQ49" s="1135" cm="1">
        <f t="array" ref="BQ49">SUMPRODUCT(('02.XLS'!$A$6:$A$47=$A49)*('02.XLS'!$B$5:$JN$5=BQ$5)*('02.XLS'!$B$6:$JN$47))</f>
        <v>43</v>
      </c>
      <c r="BR49" s="1135" cm="1">
        <f t="array" ref="BR49">SUMPRODUCT(('02.XLS'!$A$6:$A$47=$A49)*('02.XLS'!$B$5:$JN$5=BR$5)*('02.XLS'!$B$6:$JN$47))</f>
        <v>27</v>
      </c>
      <c r="BS49" s="1135" cm="1">
        <f t="array" ref="BS49">SUMPRODUCT(('02.XLS'!$A$6:$A$47=$A49)*('02.XLS'!$B$5:$JN$5=BS$5)*('02.XLS'!$B$6:$JN$47))</f>
        <v>18</v>
      </c>
      <c r="BT49" s="1135" cm="1">
        <f t="array" ref="BT49">SUMPRODUCT(('02.XLS'!$A$6:$A$47=$A49)*('02.XLS'!$B$5:$JN$5=BT$5)*('02.XLS'!$B$6:$JN$47))</f>
        <v>13</v>
      </c>
      <c r="BU49" s="1135" cm="1">
        <f t="array" ref="BU49">SUMPRODUCT(('02.XLS'!$A$6:$A$47=$A49)*('02.XLS'!$B$5:$JN$5=BU$5)*('02.XLS'!$B$6:$JN$47))</f>
        <v>11</v>
      </c>
      <c r="BV49" s="1135" cm="1">
        <f t="array" ref="BV49">SUMPRODUCT(('02.XLS'!$A$6:$A$47=$A49)*('02.XLS'!$B$5:$JN$5=BV$5)*('02.XLS'!$B$6:$JN$47))</f>
        <v>10</v>
      </c>
      <c r="BW49" s="1135" cm="1">
        <f t="array" ref="BW49">SUMPRODUCT(('02.XLS'!$A$6:$A$47=$A49)*('02.XLS'!$B$5:$JN$5=BW$5)*('02.XLS'!$B$6:$JN$47))</f>
        <v>8</v>
      </c>
      <c r="BX49" s="1135" cm="1">
        <f t="array" ref="BX49">SUMPRODUCT(('02.XLS'!$A$6:$A$47=$A49)*('02.XLS'!$B$5:$JN$5=BX$5)*('02.XLS'!$B$6:$JN$47))</f>
        <v>7</v>
      </c>
      <c r="BY49" s="1135" cm="1">
        <f t="array" ref="BY49">SUMPRODUCT(('02.XLS'!$A$6:$A$47=$A49)*('02.XLS'!$B$5:$JN$5=BY$5)*('02.XLS'!$B$6:$JN$47))</f>
        <v>9</v>
      </c>
      <c r="BZ49" s="1135" cm="1">
        <f t="array" ref="BZ49">SUMPRODUCT(('02.XLS'!$A$6:$A$47=$A49)*('02.XLS'!$B$5:$JN$5=BZ$5)*('02.XLS'!$B$6:$JN$47))</f>
        <v>8</v>
      </c>
      <c r="CA49" s="1136">
        <f t="shared" si="86"/>
        <v>215</v>
      </c>
      <c r="CB49" s="1135" cm="1">
        <f t="array" ref="CB49">SUMPRODUCT(('02.XLS'!$A$6:$A$47=$A49)*('02.XLS'!$B$5:$JN$5=CB$5)*('02.XLS'!$B$6:$JN$47))</f>
        <v>16</v>
      </c>
      <c r="CC49" s="1135" cm="1">
        <f t="array" ref="CC49">SUMPRODUCT(('02.XLS'!$A$6:$A$47=$A49)*('02.XLS'!$B$5:$JN$5=CC$5)*('02.XLS'!$B$6:$JN$47))</f>
        <v>17</v>
      </c>
      <c r="CD49" s="1135" cm="1">
        <f t="array" ref="CD49">SUMPRODUCT(('02.XLS'!$A$6:$A$47=$A49)*('02.XLS'!$B$5:$JN$5=CD$5)*('02.XLS'!$B$6:$JN$47))</f>
        <v>9</v>
      </c>
      <c r="CE49" s="1135" cm="1">
        <f t="array" ref="CE49">SUMPRODUCT(('02.XLS'!$A$6:$A$47=$A49)*('02.XLS'!$B$5:$JN$5=CE$5)*('02.XLS'!$B$6:$JN$47))</f>
        <v>12</v>
      </c>
      <c r="CF49" s="1135" cm="1">
        <f t="array" ref="CF49">SUMPRODUCT(('02.XLS'!$A$6:$A$47=$A49)*('02.XLS'!$B$5:$JN$5=CF$5)*('02.XLS'!$B$6:$JN$47))</f>
        <v>13</v>
      </c>
      <c r="CG49" s="1135" cm="1">
        <f t="array" ref="CG49">SUMPRODUCT(('02.XLS'!$A$6:$A$47=$A49)*('02.XLS'!$B$5:$JN$5=CG$5)*('02.XLS'!$B$6:$JN$47))</f>
        <v>11</v>
      </c>
      <c r="CH49" s="1135" cm="1">
        <f t="array" ref="CH49">SUMPRODUCT(('02.XLS'!$A$6:$A$47=$A49)*('02.XLS'!$B$5:$JN$5=CH$5)*('02.XLS'!$B$6:$JN$47))</f>
        <v>17</v>
      </c>
      <c r="CI49" s="1135" cm="1">
        <f t="array" ref="CI49">SUMPRODUCT(('02.XLS'!$A$6:$A$47=$A49)*('02.XLS'!$B$5:$JN$5=CI$5)*('02.XLS'!$B$6:$JN$47))</f>
        <v>12</v>
      </c>
      <c r="CJ49" s="1135" cm="1">
        <f t="array" ref="CJ49">SUMPRODUCT(('02.XLS'!$A$6:$A$47=$A49)*('02.XLS'!$B$5:$JN$5=CJ$5)*('02.XLS'!$B$6:$JN$47))</f>
        <v>4</v>
      </c>
      <c r="CK49" s="1135" cm="1">
        <f t="array" ref="CK49">SUMPRODUCT(('02.XLS'!$A$6:$A$47=$A49)*('02.XLS'!$B$5:$JN$5=CK$5)*('02.XLS'!$B$6:$JN$47))</f>
        <v>5</v>
      </c>
      <c r="CL49" s="1135" cm="1">
        <f t="array" ref="CL49">SUMPRODUCT(('02.XLS'!$A$6:$A$47=$A49)*('02.XLS'!$B$5:$JN$5=CL$5)*('02.XLS'!$B$6:$JN$47))</f>
        <v>6</v>
      </c>
      <c r="CM49" s="1135" cm="1">
        <f t="array" ref="CM49">SUMPRODUCT(('02.XLS'!$A$6:$A$47=$A49)*('02.XLS'!$B$5:$JN$5=CM$5)*('02.XLS'!$B$6:$JN$47))</f>
        <v>6</v>
      </c>
      <c r="CN49" s="1136">
        <f t="shared" si="99"/>
        <v>128</v>
      </c>
      <c r="CO49" s="1135" cm="1">
        <f t="array" ref="CO49">SUMPRODUCT(('02.XLS'!$A$6:$A$47=$A49)*('02.XLS'!$B$5:$JN$5=CO$5)*('02.XLS'!$B$6:$JN$47))</f>
        <v>24</v>
      </c>
      <c r="CP49" s="1135" cm="1">
        <f t="array" ref="CP49">SUMPRODUCT(('02.XLS'!$A$6:$A$47=$A49)*('02.XLS'!$B$5:$JN$5=CP$5)*('02.XLS'!$B$6:$JN$47))</f>
        <v>24</v>
      </c>
      <c r="CQ49" s="1135" cm="1">
        <f t="array" ref="CQ49">SUMPRODUCT(('02.XLS'!$A$6:$A$47=$A49)*('02.XLS'!$B$5:$JN$5=CQ$5)*('02.XLS'!$B$6:$JN$47))</f>
        <v>24</v>
      </c>
      <c r="CR49" s="1135" cm="1">
        <f t="array" ref="CR49">SUMPRODUCT(('02.XLS'!$A$6:$A$47=$A49)*('02.XLS'!$B$5:$JN$5=CR$5)*('02.XLS'!$B$6:$JN$47))</f>
        <v>15</v>
      </c>
      <c r="CS49" s="1135" cm="1">
        <f t="array" ref="CS49">SUMPRODUCT(('02.XLS'!$A$6:$A$47=$A49)*('02.XLS'!$B$5:$JN$5=CS$5)*('02.XLS'!$B$6:$JN$47))</f>
        <v>16</v>
      </c>
      <c r="CT49" s="1135" cm="1">
        <f t="array" ref="CT49">SUMPRODUCT(('02.XLS'!$A$6:$A$47=$A49)*('02.XLS'!$B$5:$JN$5=CT$5)*('02.XLS'!$B$6:$JN$47))</f>
        <v>16</v>
      </c>
      <c r="CU49" s="1135" cm="1">
        <f t="array" ref="CU49">SUMPRODUCT(('02.XLS'!$A$6:$A$47=$A49)*('02.XLS'!$B$5:$JN$5=CU$5)*('02.XLS'!$B$6:$JN$47))</f>
        <v>15</v>
      </c>
      <c r="CV49" s="1135" cm="1">
        <f t="array" ref="CV49">SUMPRODUCT(('02.XLS'!$A$6:$A$47=$A49)*('02.XLS'!$B$5:$JN$5=CV$5)*('02.XLS'!$B$6:$JN$47))</f>
        <v>13</v>
      </c>
      <c r="CW49" s="1135" cm="1">
        <f t="array" ref="CW49">SUMPRODUCT(('02.XLS'!$A$6:$A$47=$A49)*('02.XLS'!$B$5:$JN$5=CW$5)*('02.XLS'!$B$6:$JN$47))</f>
        <v>12</v>
      </c>
      <c r="CX49" s="1135" cm="1">
        <f t="array" ref="CX49">SUMPRODUCT(('02.XLS'!$A$6:$A$47=$A49)*('02.XLS'!$B$5:$JN$5=CX$5)*('02.XLS'!$B$6:$JN$47))</f>
        <v>12</v>
      </c>
      <c r="CY49" s="1135" cm="1">
        <f t="array" ref="CY49">SUMPRODUCT(('02.XLS'!$A$6:$A$47=$A49)*('02.XLS'!$B$5:$JN$5=CY$5)*('02.XLS'!$B$6:$JN$47))</f>
        <v>15</v>
      </c>
      <c r="CZ49" s="1135" cm="1">
        <f t="array" ref="CZ49">SUMPRODUCT(('02.XLS'!$A$6:$A$47=$A49)*('02.XLS'!$B$5:$JN$5=CZ$5)*('02.XLS'!$B$6:$JN$47))</f>
        <v>14</v>
      </c>
      <c r="DA49" s="1136">
        <f t="shared" si="112"/>
        <v>200</v>
      </c>
      <c r="DB49" s="1135" cm="1">
        <f t="array" ref="DB49">SUMPRODUCT(('02.XLS'!$A$6:$A$47=$A49)*('02.XLS'!$B$5:$JN$5=DB$5)*('02.XLS'!$B$6:$JN$47))</f>
        <v>16</v>
      </c>
      <c r="DC49" s="1135" cm="1">
        <f t="array" ref="DC49">SUMPRODUCT(('02.XLS'!$A$6:$A$47=$A49)*('02.XLS'!$B$5:$JN$5=DC$5)*('02.XLS'!$B$6:$JN$47))</f>
        <v>23</v>
      </c>
      <c r="DD49" s="1135" cm="1">
        <f t="array" ref="DD49">SUMPRODUCT(('02.XLS'!$A$6:$A$47=$A49)*('02.XLS'!$B$5:$JN$5=DD$5)*('02.XLS'!$B$6:$JN$47))</f>
        <v>22</v>
      </c>
      <c r="DE49" s="1135" cm="1">
        <f t="array" ref="DE49">SUMPRODUCT(('02.XLS'!$A$6:$A$47=$A49)*('02.XLS'!$B$5:$JN$5=DE$5)*('02.XLS'!$B$6:$JN$47))</f>
        <v>26</v>
      </c>
      <c r="DF49" s="1135" cm="1">
        <f t="array" ref="DF49">SUMPRODUCT(('02.XLS'!$A$6:$A$47=$A49)*('02.XLS'!$B$5:$JN$5=DF$5)*('02.XLS'!$B$6:$JN$47))</f>
        <v>18</v>
      </c>
      <c r="DG49" s="1135" cm="1">
        <f t="array" ref="DG49">SUMPRODUCT(('02.XLS'!$A$6:$A$47=$A49)*('02.XLS'!$B$5:$JN$5=DG$5)*('02.XLS'!$B$6:$JN$47))</f>
        <v>16</v>
      </c>
      <c r="DH49" s="1135" cm="1">
        <f t="array" ref="DH49">SUMPRODUCT(('02.XLS'!$A$6:$A$47=$A49)*('02.XLS'!$B$5:$JN$5=DH$5)*('02.XLS'!$B$6:$JN$47))</f>
        <v>21</v>
      </c>
      <c r="DI49" s="1135" cm="1">
        <f t="array" ref="DI49">SUMPRODUCT(('02.XLS'!$A$6:$A$47=$A49)*('02.XLS'!$B$5:$JN$5=DI$5)*('02.XLS'!$B$6:$JN$47))</f>
        <v>18</v>
      </c>
      <c r="DJ49" s="1135" cm="1">
        <f t="array" ref="DJ49">SUMPRODUCT(('02.XLS'!$A$6:$A$47=$A49)*('02.XLS'!$B$5:$JN$5=DJ$5)*('02.XLS'!$B$6:$JN$47))</f>
        <v>16</v>
      </c>
      <c r="DK49" s="1135" cm="1">
        <f t="array" ref="DK49">SUMPRODUCT(('02.XLS'!$A$6:$A$47=$A49)*('02.XLS'!$B$5:$JN$5=DK$5)*('02.XLS'!$B$6:$JN$47))</f>
        <v>14</v>
      </c>
      <c r="DL49" s="1135" cm="1">
        <f t="array" ref="DL49">SUMPRODUCT(('02.XLS'!$A$6:$A$47=$A49)*('02.XLS'!$B$5:$JN$5=DL$5)*('02.XLS'!$B$6:$JN$47))</f>
        <v>20</v>
      </c>
      <c r="DM49" s="1135" cm="1">
        <f t="array" ref="DM49">SUMPRODUCT(('02.XLS'!$A$6:$A$47=$A49)*('02.XLS'!$B$5:$JN$5=DM$5)*('02.XLS'!$B$6:$JN$47))</f>
        <v>18</v>
      </c>
      <c r="DN49" s="1136">
        <f t="shared" si="125"/>
        <v>228</v>
      </c>
      <c r="DO49" s="1135" cm="1">
        <f t="array" ref="DO49">SUMPRODUCT(('02.XLS'!$A$6:$A$47=$A49)*('02.XLS'!$B$5:$JN$5=DO$5)*('02.XLS'!$B$6:$JN$47))</f>
        <v>4</v>
      </c>
      <c r="DP49" s="1135" cm="1">
        <f t="array" ref="DP49">SUMPRODUCT(('02.XLS'!$A$6:$A$47=$A49)*('02.XLS'!$B$5:$JN$5=DP$5)*('02.XLS'!$B$6:$JN$47))</f>
        <v>11</v>
      </c>
      <c r="DQ49" s="1135" cm="1">
        <f t="array" ref="DQ49">SUMPRODUCT(('02.XLS'!$A$6:$A$47=$A49)*('02.XLS'!$B$5:$JN$5=DQ$5)*('02.XLS'!$B$6:$JN$47))</f>
        <v>17</v>
      </c>
      <c r="DR49" s="1135" cm="1">
        <f t="array" ref="DR49">SUMPRODUCT(('02.XLS'!$A$6:$A$47=$A49)*('02.XLS'!$B$5:$JN$5=DR$5)*('02.XLS'!$B$6:$JN$47))</f>
        <v>15</v>
      </c>
      <c r="DS49" s="1135" cm="1">
        <f t="array" ref="DS49">SUMPRODUCT(('02.XLS'!$A$6:$A$47=$A49)*('02.XLS'!$B$5:$JN$5=DS$5)*('02.XLS'!$B$6:$JN$47))</f>
        <v>16</v>
      </c>
      <c r="DT49" s="1135" cm="1">
        <f t="array" ref="DT49">SUMPRODUCT(('02.XLS'!$A$6:$A$47=$A49)*('02.XLS'!$B$5:$JN$5=DT$5)*('02.XLS'!$B$6:$JN$47))</f>
        <v>21</v>
      </c>
      <c r="DU49" s="1135" cm="1">
        <f t="array" ref="DU49">SUMPRODUCT(('02.XLS'!$A$6:$A$47=$A49)*('02.XLS'!$B$5:$JN$5=DU$5)*('02.XLS'!$B$6:$JN$47))</f>
        <v>8</v>
      </c>
      <c r="DV49" s="1135" cm="1">
        <f t="array" ref="DV49">SUMPRODUCT(('02.XLS'!$A$6:$A$47=$A49)*('02.XLS'!$B$5:$JN$5=DV$5)*('02.XLS'!$B$6:$JN$47))</f>
        <v>4</v>
      </c>
      <c r="DW49" s="1135" cm="1">
        <f t="array" ref="DW49">SUMPRODUCT(('02.XLS'!$A$6:$A$47=$A49)*('02.XLS'!$B$5:$JN$5=DW$5)*('02.XLS'!$B$6:$JN$47))</f>
        <v>3</v>
      </c>
      <c r="DX49" s="1135" cm="1">
        <f t="array" ref="DX49">SUMPRODUCT(('02.XLS'!$A$6:$A$47=$A49)*('02.XLS'!$B$5:$JN$5=DX$5)*('02.XLS'!$B$6:$JN$47))</f>
        <v>4</v>
      </c>
      <c r="DY49" s="1135" cm="1">
        <f t="array" ref="DY49">SUMPRODUCT(('02.XLS'!$A$6:$A$47=$A49)*('02.XLS'!$B$5:$JN$5=DY$5)*('02.XLS'!$B$6:$JN$47))</f>
        <v>1</v>
      </c>
      <c r="DZ49" s="1135" cm="1">
        <f t="array" ref="DZ49">SUMPRODUCT(('02.XLS'!$A$6:$A$47=$A49)*('02.XLS'!$B$5:$JN$5=DZ$5)*('02.XLS'!$B$6:$JN$47))</f>
        <v>4</v>
      </c>
      <c r="EA49" s="1136">
        <f t="shared" si="138"/>
        <v>108</v>
      </c>
      <c r="EB49" s="1135" cm="1">
        <f t="array" ref="EB49">SUMPRODUCT(('02.XLS'!$A$6:$A$47=$A49)*('02.XLS'!$B$5:$JN$5=EB$5)*('02.XLS'!$B$6:$JN$47))</f>
        <v>3</v>
      </c>
      <c r="EC49" s="1135" cm="1">
        <f t="array" ref="EC49">SUMPRODUCT(('02.XLS'!$A$6:$A$47=$A49)*('02.XLS'!$B$5:$JN$5=EC$5)*('02.XLS'!$B$6:$JN$47))</f>
        <v>5</v>
      </c>
      <c r="ED49" s="1135" cm="1">
        <f t="array" ref="ED49">SUMPRODUCT(('02.XLS'!$A$6:$A$47=$A49)*('02.XLS'!$B$5:$JN$5=ED$5)*('02.XLS'!$B$6:$JN$47))</f>
        <v>4</v>
      </c>
      <c r="EE49" s="1135" cm="1">
        <f t="array" ref="EE49">SUMPRODUCT(('02.XLS'!$A$6:$A$47=$A49)*('02.XLS'!$B$5:$JN$5=EE$5)*('02.XLS'!$B$6:$JN$47))</f>
        <v>10</v>
      </c>
      <c r="EF49" s="1135" cm="1">
        <f t="array" ref="EF49">SUMPRODUCT(('02.XLS'!$A$6:$A$47=$A49)*('02.XLS'!$B$5:$JN$5=EF$5)*('02.XLS'!$B$6:$JN$47))</f>
        <v>21</v>
      </c>
      <c r="EG49" s="1135" cm="1">
        <f t="array" ref="EG49">SUMPRODUCT(('02.XLS'!$A$6:$A$47=$A49)*('02.XLS'!$B$5:$JN$5=EG$5)*('02.XLS'!$B$6:$JN$47))</f>
        <v>17</v>
      </c>
      <c r="EH49" s="1135" cm="1">
        <f t="array" ref="EH49">SUMPRODUCT(('02.XLS'!$A$6:$A$47=$A49)*('02.XLS'!$B$5:$JN$5=EH$5)*('02.XLS'!$B$6:$JN$47))</f>
        <v>7</v>
      </c>
      <c r="EI49" s="1135" cm="1">
        <f t="array" ref="EI49">SUMPRODUCT(('02.XLS'!$A$6:$A$47=$A49)*('02.XLS'!$B$5:$JN$5=EI$5)*('02.XLS'!$B$6:$JN$47))</f>
        <v>2</v>
      </c>
      <c r="EJ49" s="1135" cm="1">
        <f t="array" ref="EJ49">SUMPRODUCT(('02.XLS'!$A$6:$A$47=$A49)*('02.XLS'!$B$5:$JN$5=EJ$5)*('02.XLS'!$B$6:$JN$47))</f>
        <v>3</v>
      </c>
      <c r="EK49" s="1135" cm="1">
        <f t="array" ref="EK49">SUMPRODUCT(('02.XLS'!$A$6:$A$47=$A49)*('02.XLS'!$B$5:$JN$5=EK$5)*('02.XLS'!$B$6:$JN$47))</f>
        <v>3</v>
      </c>
      <c r="EL49" s="1135" cm="1">
        <f t="array" ref="EL49">SUMPRODUCT(('02.XLS'!$A$6:$A$47=$A49)*('02.XLS'!$B$5:$JN$5=EL$5)*('02.XLS'!$B$6:$JN$47))</f>
        <v>2</v>
      </c>
      <c r="EM49" s="1135" cm="1">
        <f t="array" ref="EM49">SUMPRODUCT(('02.XLS'!$A$6:$A$47=$A49)*('02.XLS'!$B$5:$JN$5=EM$5)*('02.XLS'!$B$6:$JN$47))</f>
        <v>5</v>
      </c>
      <c r="EN49" s="1136">
        <f t="shared" si="151"/>
        <v>82</v>
      </c>
      <c r="EO49" s="1135" cm="1">
        <f t="array" ref="EO49">SUMPRODUCT(('02.XLS'!$A$6:$A$47=$A49)*('02.XLS'!$B$5:$JN$5=EO$5)*('02.XLS'!$B$6:$JN$47))</f>
        <v>3</v>
      </c>
      <c r="EP49" s="1135" cm="1">
        <f t="array" ref="EP49">SUMPRODUCT(('02.XLS'!$A$6:$A$47=$A49)*('02.XLS'!$B$5:$JN$5=EP$5)*('02.XLS'!$B$6:$JN$47))</f>
        <v>6</v>
      </c>
      <c r="EQ49" s="1135" cm="1">
        <f t="array" ref="EQ49">SUMPRODUCT(('02.XLS'!$A$6:$A$47=$A49)*('02.XLS'!$B$5:$JN$5=EQ$5)*('02.XLS'!$B$6:$JN$47))</f>
        <v>3</v>
      </c>
      <c r="ER49" s="1135" cm="1">
        <f t="array" ref="ER49">SUMPRODUCT(('02.XLS'!$A$6:$A$47=$A49)*('02.XLS'!$B$5:$JN$5=ER$5)*('02.XLS'!$B$6:$JN$47))</f>
        <v>12</v>
      </c>
      <c r="ES49" s="1135" cm="1">
        <f t="array" ref="ES49">SUMPRODUCT(('02.XLS'!$A$6:$A$47=$A49)*('02.XLS'!$B$5:$JN$5=ES$5)*('02.XLS'!$B$6:$JN$47))</f>
        <v>6</v>
      </c>
      <c r="ET49" s="1135" cm="1">
        <f t="array" ref="ET49">SUMPRODUCT(('02.XLS'!$A$6:$A$47=$A49)*('02.XLS'!$B$5:$JN$5=ET$5)*('02.XLS'!$B$6:$JN$47))</f>
        <v>1</v>
      </c>
      <c r="EU49" s="1135" cm="1">
        <f t="array" ref="EU49">SUMPRODUCT(('02.XLS'!$A$6:$A$47=$A49)*('02.XLS'!$B$5:$JN$5=EU$5)*('02.XLS'!$B$6:$JN$47))</f>
        <v>2</v>
      </c>
      <c r="EV49" s="1135" cm="1">
        <f t="array" ref="EV49">SUMPRODUCT(('02.XLS'!$A$6:$A$47=$A49)*('02.XLS'!$B$5:$JN$5=EV$5)*('02.XLS'!$B$6:$JN$47))</f>
        <v>4</v>
      </c>
      <c r="EW49" s="1135" cm="1">
        <f t="array" ref="EW49">SUMPRODUCT(('02.XLS'!$A$6:$A$47=$A49)*('02.XLS'!$B$5:$JN$5=EW$5)*('02.XLS'!$B$6:$JN$47))</f>
        <v>2</v>
      </c>
      <c r="EX49" s="1135" cm="1">
        <f t="array" ref="EX49">SUMPRODUCT(('02.XLS'!$A$6:$A$47=$A49)*('02.XLS'!$B$5:$JN$5=EX$5)*('02.XLS'!$B$6:$JN$47))</f>
        <v>2</v>
      </c>
      <c r="EY49" s="1135" cm="1">
        <f t="array" ref="EY49">SUMPRODUCT(('02.XLS'!$A$6:$A$47=$A49)*('02.XLS'!$B$5:$JN$5=EY$5)*('02.XLS'!$B$6:$JN$47))</f>
        <v>2</v>
      </c>
      <c r="EZ49" s="1135" cm="1">
        <f t="array" ref="EZ49">SUMPRODUCT(('02.XLS'!$A$6:$A$47=$A49)*('02.XLS'!$B$5:$JN$5=EZ$5)*('02.XLS'!$B$6:$JN$47))</f>
        <v>6</v>
      </c>
      <c r="FA49" s="1136">
        <f t="shared" si="164"/>
        <v>49</v>
      </c>
      <c r="FB49" s="1135" cm="1">
        <f t="array" ref="FB49">SUMPRODUCT(('02.XLS'!$A$6:$A$47=$A49)*('02.XLS'!$B$5:$JN$5=FB$5)*('02.XLS'!$B$6:$JN$47))</f>
        <v>4</v>
      </c>
      <c r="FC49" s="1135" cm="1">
        <f t="array" ref="FC49">SUMPRODUCT(('02.XLS'!$A$6:$A$47=$A49)*('02.XLS'!$B$5:$JN$5=FC$5)*('02.XLS'!$B$6:$JN$47))</f>
        <v>4</v>
      </c>
      <c r="FD49" s="1135" cm="1">
        <f t="array" ref="FD49">SUMPRODUCT(('02.XLS'!$A$6:$A$47=$A49)*('02.XLS'!$B$5:$JN$5=FD$5)*('02.XLS'!$B$6:$JN$47))</f>
        <v>8</v>
      </c>
      <c r="FE49" s="1135" cm="1">
        <f t="array" ref="FE49">SUMPRODUCT(('02.XLS'!$A$6:$A$47=$A49)*('02.XLS'!$B$5:$JN$5=FE$5)*('02.XLS'!$B$6:$JN$47))</f>
        <v>7</v>
      </c>
      <c r="FF49" s="1135" cm="1">
        <f t="array" ref="FF49">SUMPRODUCT(('02.XLS'!$A$6:$A$47=$A49)*('02.XLS'!$B$5:$JN$5=FF$5)*('02.XLS'!$B$6:$JN$47))</f>
        <v>2</v>
      </c>
      <c r="FG49" s="1135" cm="1">
        <f t="array" ref="FG49">SUMPRODUCT(('02.XLS'!$A$6:$A$47=$A49)*('02.XLS'!$B$5:$JN$5=FG$5)*('02.XLS'!$B$6:$JN$47))</f>
        <v>3</v>
      </c>
      <c r="FH49" s="1135" cm="1">
        <f t="array" ref="FH49">SUMPRODUCT(('02.XLS'!$A$6:$A$47=$A49)*('02.XLS'!$B$5:$JN$5=FH$5)*('02.XLS'!$B$6:$JN$47))</f>
        <v>2</v>
      </c>
      <c r="FI49" s="1135" cm="1">
        <f t="array" ref="FI49">SUMPRODUCT(('02.XLS'!$A$6:$A$47=$A49)*('02.XLS'!$B$5:$JN$5=FI$5)*('02.XLS'!$B$6:$JN$47))</f>
        <v>4</v>
      </c>
      <c r="FJ49" s="1135" cm="1">
        <f t="array" ref="FJ49">SUMPRODUCT(('02.XLS'!$A$6:$A$47=$A49)*('02.XLS'!$B$5:$JN$5=FJ$5)*('02.XLS'!$B$6:$JN$47))</f>
        <v>5</v>
      </c>
      <c r="FK49" s="1135" cm="1">
        <f t="array" ref="FK49">SUMPRODUCT(('02.XLS'!$A$6:$A$47=$A49)*('02.XLS'!$B$5:$JN$5=FK$5)*('02.XLS'!$B$6:$JN$47))</f>
        <v>2</v>
      </c>
      <c r="FL49" s="1135" cm="1">
        <f t="array" ref="FL49">SUMPRODUCT(('02.XLS'!$A$6:$A$47=$A49)*('02.XLS'!$B$5:$JN$5=FL$5)*('02.XLS'!$B$6:$JN$47))</f>
        <v>3</v>
      </c>
      <c r="FM49" s="1135" cm="1">
        <f t="array" ref="FM49">SUMPRODUCT(('02.XLS'!$A$6:$A$47=$A49)*('02.XLS'!$B$5:$JN$5=FM$5)*('02.XLS'!$B$6:$JN$47))</f>
        <v>6</v>
      </c>
      <c r="FN49" s="1136">
        <f t="shared" si="177"/>
        <v>50</v>
      </c>
      <c r="FO49" s="1135" cm="1">
        <f t="array" ref="FO49">SUMPRODUCT(('02.XLS'!$A$6:$A$47=$A49)*('02.XLS'!$B$5:$JN$5=FO$5)*('02.XLS'!$B$6:$JN$47))</f>
        <v>5</v>
      </c>
      <c r="FP49" s="1135" cm="1">
        <f t="array" ref="FP49">SUMPRODUCT(('02.XLS'!$A$6:$A$47=$A49)*('02.XLS'!$B$5:$JN$5=FP$5)*('02.XLS'!$B$6:$JN$47))</f>
        <v>5</v>
      </c>
      <c r="FQ49" s="1135" cm="1">
        <f t="array" ref="FQ49">SUMPRODUCT(('02.XLS'!$A$6:$A$47=$A49)*('02.XLS'!$B$5:$JN$5=FQ$5)*('02.XLS'!$B$6:$JN$47))</f>
        <v>3</v>
      </c>
      <c r="FR49" s="1135" cm="1">
        <f t="array" ref="FR49">SUMPRODUCT(('02.XLS'!$A$6:$A$47=$A49)*('02.XLS'!$B$5:$JN$5=FR$5)*('02.XLS'!$B$6:$JN$47))</f>
        <v>3</v>
      </c>
      <c r="FS49" s="1135" cm="1">
        <f t="array" ref="FS49">SUMPRODUCT(('02.XLS'!$A$6:$A$47=$A49)*('02.XLS'!$B$5:$JN$5=FS$5)*('02.XLS'!$B$6:$JN$47))</f>
        <v>7</v>
      </c>
      <c r="FT49" s="1135" cm="1">
        <f t="array" ref="FT49">SUMPRODUCT(('02.XLS'!$A$6:$A$47=$A49)*('02.XLS'!$B$5:$JN$5=FT$5)*('02.XLS'!$B$6:$JN$47))</f>
        <v>2</v>
      </c>
      <c r="FU49" s="1135" cm="1">
        <f t="array" ref="FU49">SUMPRODUCT(('02.XLS'!$A$6:$A$47=$A49)*('02.XLS'!$B$5:$JN$5=FU$5)*('02.XLS'!$B$6:$JN$47))</f>
        <v>1</v>
      </c>
      <c r="FV49" s="1135" cm="1">
        <f t="array" ref="FV49">SUMPRODUCT(('02.XLS'!$A$6:$A$47=$A49)*('02.XLS'!$B$5:$JN$5=FV$5)*('02.XLS'!$B$6:$JN$47))</f>
        <v>4</v>
      </c>
      <c r="FW49" s="1135" cm="1">
        <f t="array" ref="FW49">SUMPRODUCT(('02.XLS'!$A$6:$A$47=$A49)*('02.XLS'!$B$5:$JN$5=FW$5)*('02.XLS'!$B$6:$JN$47))</f>
        <v>2</v>
      </c>
      <c r="FX49" s="1135" cm="1">
        <f t="array" ref="FX49">SUMPRODUCT(('02.XLS'!$A$6:$A$47=$A49)*('02.XLS'!$B$5:$JN$5=FX$5)*('02.XLS'!$B$6:$JN$47))</f>
        <v>1</v>
      </c>
      <c r="FY49" s="1135" cm="1">
        <f t="array" ref="FY49">SUMPRODUCT(('02.XLS'!$A$6:$A$47=$A49)*('02.XLS'!$B$5:$JN$5=FY$5)*('02.XLS'!$B$6:$JN$47))</f>
        <v>1</v>
      </c>
      <c r="FZ49" s="1135" cm="1">
        <f t="array" ref="FZ49">SUMPRODUCT(('02.XLS'!$A$6:$A$47=$A49)*('02.XLS'!$B$5:$JN$5=FZ$5)*('02.XLS'!$B$6:$JN$47))</f>
        <v>5</v>
      </c>
      <c r="GA49" s="1136">
        <f t="shared" si="190"/>
        <v>39</v>
      </c>
      <c r="GB49" s="1135" cm="1">
        <f t="array" ref="GB49">SUMPRODUCT(('02.XLS'!$A$6:$A$47=$A49)*('02.XLS'!$B$5:$JN$5=GB$5)*('02.XLS'!$B$6:$JN$47))</f>
        <v>4</v>
      </c>
      <c r="GC49" s="1135" cm="1">
        <f t="array" ref="GC49">SUMPRODUCT(('02.XLS'!$A$6:$A$47=$A49)*('02.XLS'!$B$5:$JN$5=GC$5)*('02.XLS'!$B$6:$JN$47))</f>
        <v>5</v>
      </c>
      <c r="GD49" s="1135" cm="1">
        <f t="array" ref="GD49">SUMPRODUCT(('02.XLS'!$A$6:$A$47=$A49)*('02.XLS'!$B$5:$JN$5=GD$5)*('02.XLS'!$B$6:$JN$47))</f>
        <v>5</v>
      </c>
      <c r="GE49" s="1135" cm="1">
        <f t="array" ref="GE49">SUMPRODUCT(('02.XLS'!$A$6:$A$47=$A49)*('02.XLS'!$B$5:$JN$5=GE$5)*('02.XLS'!$B$6:$JN$47))</f>
        <v>9</v>
      </c>
      <c r="GF49" s="1135" cm="1">
        <f t="array" ref="GF49">SUMPRODUCT(('02.XLS'!$A$6:$A$47=$A49)*('02.XLS'!$B$5:$JN$5=GF$5)*('02.XLS'!$B$6:$JN$47))</f>
        <v>4.4000000000000004</v>
      </c>
      <c r="GG49" s="1135" cm="1">
        <f t="array" ref="GG49">SUMPRODUCT(('02.XLS'!$A$6:$A$47=$A49)*('02.XLS'!$B$5:$JN$5=GG$5)*('02.XLS'!$B$6:$JN$47))</f>
        <v>3</v>
      </c>
      <c r="GH49" s="1135" cm="1">
        <f t="array" ref="GH49">SUMPRODUCT(('02.XLS'!$A$6:$A$47=$A49)*('02.XLS'!$B$5:$JN$5=GH$5)*('02.XLS'!$B$6:$JN$47))</f>
        <v>3</v>
      </c>
      <c r="GI49" s="1135" cm="1">
        <f t="array" ref="GI49">SUMPRODUCT(('02.XLS'!$A$6:$A$47=$A49)*('02.XLS'!$B$5:$JN$5=GI$5)*('02.XLS'!$B$6:$JN$47))</f>
        <v>6</v>
      </c>
      <c r="GJ49" s="1135" cm="1">
        <f t="array" ref="GJ49">SUMPRODUCT(('02.XLS'!$A$6:$A$47=$A49)*('02.XLS'!$B$5:$JN$5=GJ$5)*('02.XLS'!$B$6:$JN$47))</f>
        <v>13</v>
      </c>
      <c r="GK49" s="1135" cm="1">
        <f t="array" ref="GK49">SUMPRODUCT(('02.XLS'!$A$6:$A$47=$A49)*('02.XLS'!$B$5:$JN$5=GK$5)*('02.XLS'!$B$6:$JN$47))</f>
        <v>5</v>
      </c>
      <c r="GL49" s="1135" cm="1">
        <f t="array" ref="GL49">SUMPRODUCT(('02.XLS'!$A$6:$A$47=$A49)*('02.XLS'!$B$5:$JN$5=GL$5)*('02.XLS'!$B$6:$JN$47))</f>
        <v>3</v>
      </c>
      <c r="GM49" s="1135" cm="1">
        <f t="array" ref="GM49">SUMPRODUCT(('02.XLS'!$A$6:$A$47=$A49)*('02.XLS'!$B$5:$JN$5=GM$5)*('02.XLS'!$B$6:$JN$47))</f>
        <v>3</v>
      </c>
      <c r="GN49" s="1136">
        <f t="shared" si="203"/>
        <v>63.4</v>
      </c>
      <c r="GO49" s="1135" cm="1">
        <f t="array" ref="GO49">SUMPRODUCT(('02.XLS'!$A$6:$A$47=$A49)*('02.XLS'!$B$5:$JN$5=GO$5)*('02.XLS'!$B$6:$JN$47))</f>
        <v>4.3</v>
      </c>
      <c r="GP49" s="1135" cm="1">
        <f t="array" ref="GP49">SUMPRODUCT(('02.XLS'!$A$6:$A$47=$A49)*('02.XLS'!$B$5:$JN$5=GP$5)*('02.XLS'!$B$6:$JN$47))</f>
        <v>5.3</v>
      </c>
      <c r="GQ49" s="1135" cm="1">
        <f t="array" ref="GQ49">SUMPRODUCT(('02.XLS'!$A$6:$A$47=$A49)*('02.XLS'!$B$5:$JN$5=GQ$5)*('02.XLS'!$B$6:$JN$47))</f>
        <v>4.0999999999999996</v>
      </c>
      <c r="GR49" s="1135" cm="1">
        <f t="array" ref="GR49">SUMPRODUCT(('02.XLS'!$A$6:$A$47=$A49)*('02.XLS'!$B$5:$JN$5=GR$5)*('02.XLS'!$B$6:$JN$47))</f>
        <v>9.4</v>
      </c>
      <c r="GS49" s="1135" cm="1">
        <f t="array" ref="GS49">SUMPRODUCT(('02.XLS'!$A$6:$A$47=$A49)*('02.XLS'!$B$5:$JN$5=GS$5)*('02.XLS'!$B$6:$JN$47))</f>
        <v>4.8</v>
      </c>
      <c r="GT49" s="1135" cm="1">
        <f t="array" ref="GT49">SUMPRODUCT(('02.XLS'!$A$6:$A$47=$A49)*('02.XLS'!$B$5:$JN$5=GT$5)*('02.XLS'!$B$6:$JN$47))</f>
        <v>2.7</v>
      </c>
      <c r="GU49" s="1135" cm="1">
        <f t="array" ref="GU49">SUMPRODUCT(('02.XLS'!$A$6:$A$47=$A49)*('02.XLS'!$B$5:$JN$5=GU$5)*('02.XLS'!$B$6:$JN$47))</f>
        <v>2.5</v>
      </c>
      <c r="GV49" s="1135" cm="1">
        <f t="array" ref="GV49">SUMPRODUCT(('02.XLS'!$A$6:$A$47=$A49)*('02.XLS'!$B$5:$JN$5=GV$5)*('02.XLS'!$B$6:$JN$47))</f>
        <v>8.1999999999999993</v>
      </c>
      <c r="GW49" s="1135" cm="1">
        <f t="array" ref="GW49">SUMPRODUCT(('02.XLS'!$A$6:$A$47=$A49)*('02.XLS'!$B$5:$JN$5=GW$5)*('02.XLS'!$B$6:$JN$47))</f>
        <v>15.3</v>
      </c>
      <c r="GX49" s="1135" cm="1">
        <f t="array" ref="GX49">SUMPRODUCT(('02.XLS'!$A$6:$A$47=$A49)*('02.XLS'!$B$5:$JN$5=GX$5)*('02.XLS'!$B$6:$JN$47))</f>
        <v>6.3000000000000007</v>
      </c>
      <c r="GY49" s="1135" cm="1">
        <f t="array" ref="GY49">SUMPRODUCT(('02.XLS'!$A$6:$A$47=$A49)*('02.XLS'!$B$5:$JN$5=GY$5)*('02.XLS'!$B$6:$JN$47))</f>
        <v>3</v>
      </c>
      <c r="GZ49" s="1135" cm="1">
        <f t="array" ref="GZ49">SUMPRODUCT(('02.XLS'!$A$6:$A$47=$A49)*('02.XLS'!$B$5:$JN$5=GZ$5)*('02.XLS'!$B$6:$JN$47))</f>
        <v>4.3100000000000005</v>
      </c>
      <c r="HA49" s="1136">
        <f t="shared" si="216"/>
        <v>70.209999999999994</v>
      </c>
      <c r="HB49" s="1135" cm="1">
        <f t="array" ref="HB49">SUMPRODUCT(('02.XLS'!$A$6:$A$47=$A49)*('02.XLS'!$B$5:$JN$5=HB$5)*('02.XLS'!$B$6:$JN$47))</f>
        <v>3</v>
      </c>
      <c r="HC49" s="1135" cm="1">
        <f t="array" ref="HC49">SUMPRODUCT(('02.XLS'!$A$6:$A$47=$A49)*('02.XLS'!$B$5:$JN$5=HC$5)*('02.XLS'!$B$6:$JN$47))</f>
        <v>4.0999999999999996</v>
      </c>
      <c r="HD49" s="1135" cm="1">
        <f t="array" ref="HD49">SUMPRODUCT(('02.XLS'!$A$6:$A$47=$A49)*('02.XLS'!$B$5:$JN$5=HD$5)*('02.XLS'!$B$6:$JN$47))</f>
        <v>3</v>
      </c>
      <c r="HE49" s="1135" cm="1">
        <f t="array" ref="HE49">SUMPRODUCT(('02.XLS'!$A$6:$A$47=$A49)*('02.XLS'!$B$5:$JN$5=HE$5)*('02.XLS'!$B$6:$JN$47))</f>
        <v>3.5</v>
      </c>
      <c r="HF49" s="1135" cm="1">
        <f t="array" ref="HF49">SUMPRODUCT(('02.XLS'!$A$6:$A$47=$A49)*('02.XLS'!$B$5:$JN$5=HF$5)*('02.XLS'!$B$6:$JN$47))</f>
        <v>3</v>
      </c>
      <c r="HG49" s="1135" cm="1">
        <f t="array" ref="HG49">SUMPRODUCT(('02.XLS'!$A$6:$A$47=$A49)*('02.XLS'!$B$5:$JN$5=HG$5)*('02.XLS'!$B$6:$JN$47))</f>
        <v>1.5</v>
      </c>
      <c r="HH49" s="1135" cm="1">
        <f t="array" ref="HH49">SUMPRODUCT(('02.XLS'!$A$6:$A$47=$A49)*('02.XLS'!$B$5:$JN$5=HH$5)*('02.XLS'!$B$6:$JN$47))</f>
        <v>1.5</v>
      </c>
      <c r="HI49" s="1135" cm="1">
        <f t="array" ref="HI49">SUMPRODUCT(('02.XLS'!$A$6:$A$47=$A49)*('02.XLS'!$B$5:$JN$5=HI$5)*('02.XLS'!$B$6:$JN$47))</f>
        <v>4</v>
      </c>
      <c r="HJ49" s="1135" cm="1">
        <f t="array" ref="HJ49">SUMPRODUCT(('02.XLS'!$A$6:$A$47=$A49)*('02.XLS'!$B$5:$JN$5=HJ$5)*('02.XLS'!$B$6:$JN$47))</f>
        <v>4</v>
      </c>
      <c r="HK49" s="1135" cm="1">
        <f t="array" ref="HK49">SUMPRODUCT(('02.XLS'!$A$6:$A$47=$A49)*('02.XLS'!$B$5:$JN$5=HK$5)*('02.XLS'!$B$6:$JN$47))</f>
        <v>5</v>
      </c>
      <c r="HL49" s="1135" cm="1">
        <f t="array" ref="HL49">SUMPRODUCT(('02.XLS'!$A$6:$A$47=$A49)*('02.XLS'!$B$5:$JN$5=HL$5)*('02.XLS'!$B$6:$JN$47))</f>
        <v>2</v>
      </c>
      <c r="HM49" s="1135" cm="1">
        <f t="array" ref="HM49">SUMPRODUCT(('02.XLS'!$A$6:$A$47=$A49)*('02.XLS'!$B$5:$JN$5=HM$5)*('02.XLS'!$B$6:$JN$47))</f>
        <v>2.35</v>
      </c>
      <c r="HN49" s="1136">
        <f t="shared" si="229"/>
        <v>36.950000000000003</v>
      </c>
      <c r="HO49" s="1135" cm="1">
        <f t="array" ref="HO49">SUMPRODUCT(('02.XLS'!$A$6:$A$47=$A49)*('02.XLS'!$B$5:$JN$5=HO$5)*('02.XLS'!$B$6:$JN$47))</f>
        <v>4</v>
      </c>
      <c r="HP49" s="1135" cm="1">
        <f t="array" ref="HP49">SUMPRODUCT(('02.XLS'!$A$6:$A$47=$A49)*('02.XLS'!$B$5:$JN$5=HP$5)*('02.XLS'!$B$6:$JN$47))</f>
        <v>4.5</v>
      </c>
      <c r="HQ49" s="1135" cm="1">
        <f t="array" ref="HQ49">SUMPRODUCT(('02.XLS'!$A$6:$A$47=$A49)*('02.XLS'!$B$5:$JN$5=HQ$5)*('02.XLS'!$B$6:$JN$47))</f>
        <v>3.5</v>
      </c>
      <c r="HR49" s="1135" cm="1">
        <f t="array" ref="HR49">SUMPRODUCT(('02.XLS'!$A$6:$A$47=$A49)*('02.XLS'!$B$5:$JN$5=HR$5)*('02.XLS'!$B$6:$JN$47))</f>
        <v>4</v>
      </c>
      <c r="HS49" s="1135" cm="1">
        <f t="array" ref="HS49">SUMPRODUCT(('02.XLS'!$A$6:$A$47=$A49)*('02.XLS'!$B$5:$JN$5=HS$5)*('02.XLS'!$B$6:$JN$47))</f>
        <v>2.5</v>
      </c>
      <c r="HT49" s="1135" cm="1">
        <f t="array" ref="HT49">SUMPRODUCT(('02.XLS'!$A$6:$A$47=$A49)*('02.XLS'!$B$5:$JN$5=HT$5)*('02.XLS'!$B$6:$JN$47))</f>
        <v>1</v>
      </c>
      <c r="HU49" s="1135" cm="1">
        <f t="array" ref="HU49">SUMPRODUCT(('02.XLS'!$A$6:$A$47=$A49)*('02.XLS'!$B$5:$JN$5=HU$5)*('02.XLS'!$B$6:$JN$47))</f>
        <v>1</v>
      </c>
      <c r="HV49" s="1135" cm="1">
        <f t="array" ref="HV49">SUMPRODUCT(('02.XLS'!$A$6:$A$47=$A49)*('02.XLS'!$B$5:$JN$5=HV$5)*('02.XLS'!$B$6:$JN$47))</f>
        <v>4.5</v>
      </c>
      <c r="HW49" s="1135" cm="1">
        <f t="array" ref="HW49">SUMPRODUCT(('02.XLS'!$A$6:$A$47=$A49)*('02.XLS'!$B$5:$JN$5=HW$5)*('02.XLS'!$B$6:$JN$47))</f>
        <v>3</v>
      </c>
      <c r="HX49" s="1135" cm="1">
        <f t="array" ref="HX49">SUMPRODUCT(('02.XLS'!$A$6:$A$47=$A49)*('02.XLS'!$B$5:$JN$5=HX$5)*('02.XLS'!$B$6:$JN$47))</f>
        <v>4</v>
      </c>
      <c r="HY49" s="1135" cm="1">
        <f t="array" ref="HY49">SUMPRODUCT(('02.XLS'!$A$6:$A$47=$A49)*('02.XLS'!$B$5:$JN$5=HY$5)*('02.XLS'!$B$6:$JN$47))</f>
        <v>1</v>
      </c>
      <c r="HZ49" s="1135" cm="1">
        <f t="array" ref="HZ49">SUMPRODUCT(('02.XLS'!$A$6:$A$47=$A49)*('02.XLS'!$B$5:$JN$5=HZ$5)*('02.XLS'!$B$6:$JN$47))</f>
        <v>2.35</v>
      </c>
      <c r="IA49" s="1136">
        <f t="shared" si="242"/>
        <v>35.35</v>
      </c>
      <c r="IB49" s="1135" cm="1">
        <f t="array" ref="IB49">SUMPRODUCT(('02.XLS'!$A$6:$A$47=$A49)*('02.XLS'!$B$5:$JN$5=IB$5)*('02.XLS'!$B$6:$JN$47))</f>
        <v>2.5</v>
      </c>
      <c r="IC49" s="1135" cm="1">
        <f t="array" ref="IC49">SUMPRODUCT(('02.XLS'!$A$6:$A$47=$A49)*('02.XLS'!$B$5:$JN$5=IC$5)*('02.XLS'!$B$6:$JN$47))</f>
        <v>4.5</v>
      </c>
      <c r="ID49" s="1135" cm="1">
        <f t="array" ref="ID49">SUMPRODUCT(('02.XLS'!$A$6:$A$47=$A49)*('02.XLS'!$B$5:$JN$5=ID$5)*('02.XLS'!$B$6:$JN$47))</f>
        <v>3.5</v>
      </c>
      <c r="IE49" s="1135" cm="1">
        <f t="array" ref="IE49">SUMPRODUCT(('02.XLS'!$A$6:$A$47=$A49)*('02.XLS'!$B$5:$JN$5=IE$5)*('02.XLS'!$B$6:$JN$47))</f>
        <v>4</v>
      </c>
      <c r="IF49" s="1135" cm="1">
        <f t="array" ref="IF49">SUMPRODUCT(('02.XLS'!$A$6:$A$47=$A49)*('02.XLS'!$B$5:$JN$5=IF$5)*('02.XLS'!$B$6:$JN$47))</f>
        <v>3</v>
      </c>
      <c r="IG49" s="1135" cm="1">
        <f t="array" ref="IG49">SUMPRODUCT(('02.XLS'!$A$6:$A$47=$A49)*('02.XLS'!$B$5:$JN$5=IG$5)*('02.XLS'!$B$6:$JN$47))</f>
        <v>1</v>
      </c>
      <c r="IH49" s="1135" cm="1">
        <f t="array" ref="IH49">SUMPRODUCT(('02.XLS'!$A$6:$A$47=$A49)*('02.XLS'!$B$5:$JN$5=IH$5)*('02.XLS'!$B$6:$JN$47))</f>
        <v>1</v>
      </c>
      <c r="II49" s="1135" cm="1">
        <f t="array" ref="II49">SUMPRODUCT(('02.XLS'!$A$6:$A$47=$A49)*('02.XLS'!$B$5:$JN$5=II$5)*('02.XLS'!$B$6:$JN$47))</f>
        <v>2</v>
      </c>
      <c r="IJ49" s="1135" cm="1">
        <f t="array" ref="IJ49">SUMPRODUCT(('02.XLS'!$A$6:$A$47=$A49)*('02.XLS'!$B$5:$JN$5=IJ$5)*('02.XLS'!$B$6:$JN$47))</f>
        <v>2</v>
      </c>
      <c r="IK49" s="1135" cm="1">
        <f t="array" ref="IK49">SUMPRODUCT(('02.XLS'!$A$6:$A$47=$A49)*('02.XLS'!$B$5:$JN$5=IK$5)*('02.XLS'!$B$6:$JN$47))</f>
        <v>3</v>
      </c>
      <c r="IL49" s="1135" cm="1">
        <f t="array" ref="IL49">SUMPRODUCT(('02.XLS'!$A$6:$A$47=$A49)*('02.XLS'!$B$5:$JN$5=IL$5)*('02.XLS'!$B$6:$JN$47))</f>
        <v>1</v>
      </c>
      <c r="IM49" s="1135" cm="1">
        <f t="array" ref="IM49">SUMPRODUCT(('02.XLS'!$A$6:$A$47=$A49)*('02.XLS'!$B$5:$JN$5=IM$5)*('02.XLS'!$B$6:$JN$47))</f>
        <v>2.35</v>
      </c>
      <c r="IN49" s="1136">
        <f t="shared" si="255"/>
        <v>29.85</v>
      </c>
      <c r="IO49" s="1135" cm="1">
        <f t="array" ref="IO49">SUMPRODUCT(('02.XLS'!$A$6:$A$47=$A49)*('02.XLS'!$B$5:$JN$5=IO$5)*('02.XLS'!$B$6:$JN$47))</f>
        <v>2</v>
      </c>
      <c r="IP49" s="1135" cm="1">
        <f t="array" ref="IP49">SUMPRODUCT(('02.XLS'!$A$6:$A$47=$A49)*('02.XLS'!$B$5:$JN$5=IP$5)*('02.XLS'!$B$6:$JN$47))</f>
        <v>4</v>
      </c>
      <c r="IQ49" s="1135" cm="1">
        <f t="array" ref="IQ49">SUMPRODUCT(('02.XLS'!$A$6:$A$47=$A49)*('02.XLS'!$B$5:$JN$5=IQ$5)*('02.XLS'!$B$6:$JN$47))</f>
        <v>3</v>
      </c>
      <c r="IR49" s="1135" cm="1">
        <f t="array" ref="IR49">SUMPRODUCT(('02.XLS'!$A$6:$A$47=$A49)*('02.XLS'!$B$5:$JN$5=IR$5)*('02.XLS'!$B$6:$JN$47))</f>
        <v>3.5</v>
      </c>
      <c r="IS49" s="1135" cm="1">
        <f t="array" ref="IS49">SUMPRODUCT(('02.XLS'!$A$6:$A$47=$A49)*('02.XLS'!$B$5:$JN$5=IS$5)*('02.XLS'!$B$6:$JN$47))</f>
        <v>4</v>
      </c>
      <c r="IT49" s="1135" cm="1">
        <f t="array" ref="IT49">SUMPRODUCT(('02.XLS'!$A$6:$A$47=$A49)*('02.XLS'!$B$5:$JN$5=IT$5)*('02.XLS'!$B$6:$JN$47))</f>
        <v>1</v>
      </c>
      <c r="IU49" s="1135" cm="1">
        <f t="array" ref="IU49">SUMPRODUCT(('02.XLS'!$A$6:$A$47=$A49)*('02.XLS'!$B$5:$JN$5=IU$5)*('02.XLS'!$B$6:$JN$47))</f>
        <v>1</v>
      </c>
      <c r="IV49" s="1135" cm="1">
        <f t="array" ref="IV49">SUMPRODUCT(('02.XLS'!$A$6:$A$47=$A49)*('02.XLS'!$B$5:$JN$5=IV$5)*('02.XLS'!$B$6:$JN$47))</f>
        <v>2</v>
      </c>
      <c r="IW49" s="1135" cm="1">
        <f t="array" ref="IW49">SUMPRODUCT(('02.XLS'!$A$6:$A$47=$A49)*('02.XLS'!$B$5:$JN$5=IW$5)*('02.XLS'!$B$6:$JN$47))</f>
        <v>1.5</v>
      </c>
      <c r="IX49" s="1135" cm="1">
        <f t="array" ref="IX49">SUMPRODUCT(('02.XLS'!$A$6:$A$47=$A49)*('02.XLS'!$B$5:$JN$5=IX$5)*('02.XLS'!$B$6:$JN$47))</f>
        <v>2</v>
      </c>
      <c r="IY49" s="1135" cm="1">
        <f t="array" ref="IY49">SUMPRODUCT(('02.XLS'!$A$6:$A$47=$A49)*('02.XLS'!$B$5:$JN$5=IY$5)*('02.XLS'!$B$6:$JN$47))</f>
        <v>1</v>
      </c>
      <c r="IZ49" s="1135" cm="1">
        <f t="array" ref="IZ49">SUMPRODUCT(('02.XLS'!$A$6:$A$47=$A49)*('02.XLS'!$B$5:$JN$5=IZ$5)*('02.XLS'!$B$6:$JN$47))</f>
        <v>1.35</v>
      </c>
      <c r="JA49" s="1136">
        <f t="shared" si="268"/>
        <v>26.35</v>
      </c>
      <c r="JB49" s="1135" cm="1">
        <f t="array" ref="JB49">SUMPRODUCT(('02.XLS'!$A$6:$A$47=$A49)*('02.XLS'!$B$5:$JN$5=JB$5)*('02.XLS'!$B$6:$JN$47))</f>
        <v>2</v>
      </c>
      <c r="JC49" s="1135" cm="1">
        <f t="array" ref="JC49">SUMPRODUCT(('02.XLS'!$A$6:$A$47=$A49)*('02.XLS'!$B$5:$JN$5=JC$5)*('02.XLS'!$B$6:$JN$47))</f>
        <v>4.5</v>
      </c>
      <c r="JD49" s="1135" cm="1">
        <f t="array" ref="JD49">SUMPRODUCT(('02.XLS'!$A$6:$A$47=$A49)*('02.XLS'!$B$5:$JN$5=JD$5)*('02.XLS'!$B$6:$JN$47))</f>
        <v>0</v>
      </c>
      <c r="JE49" s="1135" cm="1">
        <f t="array" ref="JE49">SUMPRODUCT(('02.XLS'!$A$6:$A$47=$A49)*('02.XLS'!$B$5:$JN$5=JE$5)*('02.XLS'!$B$6:$JN$47))</f>
        <v>0</v>
      </c>
      <c r="JF49" s="1135" cm="1">
        <f t="array" ref="JF49">SUMPRODUCT(('02.XLS'!$A$6:$A$47=$A49)*('02.XLS'!$B$5:$JN$5=JF$5)*('02.XLS'!$B$6:$JN$47))</f>
        <v>0</v>
      </c>
      <c r="JG49" s="1135" cm="1">
        <f t="array" ref="JG49">SUMPRODUCT(('02.XLS'!$A$6:$A$47=$A49)*('02.XLS'!$B$5:$JN$5=JG$5)*('02.XLS'!$B$6:$JN$47))</f>
        <v>0</v>
      </c>
      <c r="JH49" s="1135" cm="1">
        <f t="array" ref="JH49">SUMPRODUCT(('02.XLS'!$A$6:$A$47=$A49)*('02.XLS'!$B$5:$JN$5=JH$5)*('02.XLS'!$B$6:$JN$47))</f>
        <v>0</v>
      </c>
      <c r="JI49" s="1135" cm="1">
        <f t="array" ref="JI49">SUMPRODUCT(('02.XLS'!$A$6:$A$47=$A49)*('02.XLS'!$B$5:$JN$5=JI$5)*('02.XLS'!$B$6:$JN$47))</f>
        <v>0</v>
      </c>
      <c r="JJ49" s="1135" cm="1">
        <f t="array" ref="JJ49">SUMPRODUCT(('02.XLS'!$A$6:$A$47=$A49)*('02.XLS'!$B$5:$JN$5=JJ$5)*('02.XLS'!$B$6:$JN$47))</f>
        <v>0</v>
      </c>
      <c r="JK49" s="1135" cm="1">
        <f t="array" ref="JK49">SUMPRODUCT(('02.XLS'!$A$6:$A$47=$A49)*('02.XLS'!$B$5:$JN$5=JK$5)*('02.XLS'!$B$6:$JN$47))</f>
        <v>0</v>
      </c>
      <c r="JL49" s="1135" cm="1">
        <f t="array" ref="JL49">SUMPRODUCT(('02.XLS'!$A$6:$A$47=$A49)*('02.XLS'!$B$5:$JN$5=JL$5)*('02.XLS'!$B$6:$JN$47))</f>
        <v>0</v>
      </c>
      <c r="JM49" s="1135" cm="1">
        <f t="array" ref="JM49">SUMPRODUCT(('02.XLS'!$A$6:$A$47=$A49)*('02.XLS'!$B$5:$JN$5=JM$5)*('02.XLS'!$B$6:$JN$47))</f>
        <v>0</v>
      </c>
      <c r="JN49" s="1136">
        <f t="shared" si="281"/>
        <v>6.5</v>
      </c>
      <c r="JP49" s="1178">
        <f t="shared" si="311"/>
        <v>-42.553191489361694</v>
      </c>
      <c r="JQ49" s="1179">
        <f t="shared" si="312"/>
        <v>-11.725293132328307</v>
      </c>
      <c r="JR49" s="1188">
        <f t="shared" si="313"/>
        <v>29.85</v>
      </c>
      <c r="JS49" s="1189">
        <f t="shared" si="314"/>
        <v>26.35</v>
      </c>
      <c r="JT49" s="1153"/>
      <c r="JU49" s="1082"/>
      <c r="JV49" s="1083"/>
      <c r="JW49" s="1084"/>
    </row>
    <row r="50" spans="1:283" ht="15" customHeight="1" x14ac:dyDescent="0.2">
      <c r="A50" s="1164"/>
      <c r="B50" s="1154"/>
      <c r="C50" s="1154"/>
      <c r="D50" s="1154"/>
      <c r="E50" s="1154"/>
      <c r="F50" s="1154"/>
      <c r="G50" s="1154"/>
      <c r="H50" s="1154"/>
      <c r="I50" s="1154"/>
      <c r="J50" s="1154"/>
      <c r="K50" s="1154"/>
      <c r="L50" s="1154"/>
      <c r="M50" s="1154"/>
      <c r="N50" s="1155"/>
      <c r="O50" s="1154"/>
      <c r="P50" s="1154"/>
      <c r="Q50" s="1154"/>
      <c r="R50" s="1154"/>
      <c r="S50" s="1154"/>
      <c r="T50" s="1154"/>
      <c r="U50" s="1154"/>
      <c r="V50" s="1154"/>
      <c r="W50" s="1154"/>
      <c r="X50" s="1154"/>
      <c r="Y50" s="1154"/>
      <c r="Z50" s="1154"/>
      <c r="AA50" s="1155"/>
      <c r="AB50" s="1154"/>
      <c r="AC50" s="1154"/>
      <c r="AD50" s="1154"/>
      <c r="AE50" s="1154"/>
      <c r="AF50" s="1154"/>
      <c r="AG50" s="1154"/>
      <c r="AH50" s="1154"/>
      <c r="AI50" s="1154"/>
      <c r="AJ50" s="1154"/>
      <c r="AK50" s="1154"/>
      <c r="AL50" s="1154"/>
      <c r="AM50" s="1154"/>
      <c r="AN50" s="1155"/>
      <c r="AO50" s="1154"/>
      <c r="AP50" s="1154"/>
      <c r="AQ50" s="1154"/>
      <c r="AR50" s="1154"/>
      <c r="AS50" s="1154"/>
      <c r="AT50" s="1154"/>
      <c r="AU50" s="1154"/>
      <c r="AV50" s="1154"/>
      <c r="AW50" s="1154"/>
      <c r="AX50" s="1154"/>
      <c r="AY50" s="1154"/>
      <c r="AZ50" s="1154"/>
      <c r="BA50" s="1155"/>
      <c r="BB50" s="1154"/>
      <c r="BC50" s="1154"/>
      <c r="BD50" s="1154"/>
      <c r="BE50" s="1154"/>
      <c r="BF50" s="1154"/>
      <c r="BG50" s="1154"/>
      <c r="BH50" s="1154"/>
      <c r="BI50" s="1154"/>
      <c r="BJ50" s="1154"/>
      <c r="BK50" s="1154"/>
      <c r="BL50" s="1154"/>
      <c r="BM50" s="1154"/>
      <c r="BN50" s="1155"/>
      <c r="BO50" s="1154"/>
      <c r="BP50" s="1154"/>
      <c r="BQ50" s="1154"/>
      <c r="BR50" s="1154"/>
      <c r="BS50" s="1154"/>
      <c r="BT50" s="1154"/>
      <c r="BU50" s="1154"/>
      <c r="BV50" s="1154"/>
      <c r="BW50" s="1154"/>
      <c r="BX50" s="1154"/>
      <c r="BY50" s="1154"/>
      <c r="BZ50" s="1154"/>
      <c r="CA50" s="1155"/>
      <c r="CB50" s="1154"/>
      <c r="CC50" s="1154"/>
      <c r="CD50" s="1154"/>
      <c r="CE50" s="1154"/>
      <c r="CF50" s="1154"/>
      <c r="CG50" s="1154"/>
      <c r="CH50" s="1154"/>
      <c r="CI50" s="1154"/>
      <c r="CJ50" s="1154"/>
      <c r="CK50" s="1154"/>
      <c r="CL50" s="1154"/>
      <c r="CM50" s="1154"/>
      <c r="CN50" s="1155"/>
      <c r="CO50" s="1154"/>
      <c r="CP50" s="1154"/>
      <c r="CQ50" s="1154"/>
      <c r="CR50" s="1154"/>
      <c r="CS50" s="1154"/>
      <c r="CT50" s="1154"/>
      <c r="CU50" s="1154"/>
      <c r="CV50" s="1154"/>
      <c r="CW50" s="1154"/>
      <c r="CX50" s="1154"/>
      <c r="CY50" s="1154"/>
      <c r="CZ50" s="1154"/>
      <c r="DA50" s="1155"/>
      <c r="DB50" s="1154"/>
      <c r="DC50" s="1154"/>
      <c r="DD50" s="1154"/>
      <c r="DE50" s="1154"/>
      <c r="DF50" s="1154"/>
      <c r="DG50" s="1154"/>
      <c r="DH50" s="1154"/>
      <c r="DI50" s="1154"/>
      <c r="DJ50" s="1154"/>
      <c r="DK50" s="1154"/>
      <c r="DL50" s="1154"/>
      <c r="DM50" s="1154"/>
      <c r="DN50" s="1155"/>
      <c r="DO50" s="1154"/>
      <c r="DP50" s="1154"/>
      <c r="DQ50" s="1154"/>
      <c r="DR50" s="1154"/>
      <c r="DS50" s="1154"/>
      <c r="DT50" s="1154"/>
      <c r="DU50" s="1154"/>
      <c r="DV50" s="1154"/>
      <c r="DW50" s="1154"/>
      <c r="DX50" s="1154"/>
      <c r="DY50" s="1154"/>
      <c r="DZ50" s="1154"/>
      <c r="EA50" s="1155"/>
      <c r="EB50" s="1154"/>
      <c r="EC50" s="1154"/>
      <c r="ED50" s="1154"/>
      <c r="EE50" s="1154"/>
      <c r="EF50" s="1154"/>
      <c r="EG50" s="1154"/>
      <c r="EH50" s="1154"/>
      <c r="EI50" s="1154"/>
      <c r="EJ50" s="1154"/>
      <c r="EK50" s="1154"/>
      <c r="EL50" s="1154"/>
      <c r="EM50" s="1154"/>
      <c r="EN50" s="1155"/>
      <c r="EO50" s="1154"/>
      <c r="EP50" s="1154"/>
      <c r="EQ50" s="1154"/>
      <c r="ER50" s="1154"/>
      <c r="ES50" s="1154"/>
      <c r="ET50" s="1154"/>
      <c r="EU50" s="1154"/>
      <c r="EV50" s="1154"/>
      <c r="EW50" s="1154"/>
      <c r="EX50" s="1154"/>
      <c r="EY50" s="1154"/>
      <c r="EZ50" s="1154"/>
      <c r="FA50" s="1155"/>
      <c r="FB50" s="1154"/>
      <c r="FC50" s="1154"/>
      <c r="FD50" s="1154"/>
      <c r="FE50" s="1154"/>
      <c r="FF50" s="1154"/>
      <c r="FG50" s="1154"/>
      <c r="FH50" s="1154"/>
      <c r="FI50" s="1154"/>
      <c r="FJ50" s="1154"/>
      <c r="FK50" s="1154"/>
      <c r="FL50" s="1154"/>
      <c r="FM50" s="1154"/>
      <c r="FN50" s="1155"/>
      <c r="FO50" s="1154"/>
      <c r="FP50" s="1154"/>
      <c r="FQ50" s="1154"/>
      <c r="FR50" s="1154"/>
      <c r="FS50" s="1154"/>
      <c r="FT50" s="1154"/>
      <c r="FU50" s="1154"/>
      <c r="FV50" s="1154"/>
      <c r="FW50" s="1154"/>
      <c r="FX50" s="1154"/>
      <c r="FY50" s="1154"/>
      <c r="FZ50" s="1154"/>
      <c r="GA50" s="1155"/>
      <c r="GB50" s="1154"/>
      <c r="GC50" s="1154"/>
      <c r="GD50" s="1154"/>
      <c r="GE50" s="1154"/>
      <c r="GF50" s="1154"/>
      <c r="GG50" s="1154"/>
      <c r="GH50" s="1154"/>
      <c r="GI50" s="1154"/>
      <c r="GJ50" s="1154"/>
      <c r="GK50" s="1154"/>
      <c r="GL50" s="1154"/>
      <c r="GM50" s="1154"/>
      <c r="GN50" s="1155"/>
      <c r="GO50" s="1154"/>
      <c r="GP50" s="1154"/>
      <c r="GQ50" s="1154"/>
      <c r="GR50" s="1154"/>
      <c r="GS50" s="1154"/>
      <c r="GT50" s="1154"/>
      <c r="GU50" s="1154"/>
      <c r="GV50" s="1154"/>
      <c r="GW50" s="1154"/>
      <c r="GX50" s="1154"/>
      <c r="GY50" s="1154"/>
      <c r="GZ50" s="1154"/>
      <c r="HA50" s="1155"/>
      <c r="HB50" s="1154"/>
      <c r="HC50" s="1154"/>
      <c r="HD50" s="1154"/>
      <c r="HE50" s="1154"/>
      <c r="HF50" s="1154"/>
      <c r="HG50" s="1154"/>
      <c r="HH50" s="1154"/>
      <c r="HI50" s="1154"/>
      <c r="HJ50" s="1154"/>
      <c r="HK50" s="1154"/>
      <c r="HL50" s="1154"/>
      <c r="HM50" s="1154"/>
      <c r="HN50" s="1155"/>
      <c r="HO50" s="1154"/>
      <c r="HP50" s="1154"/>
      <c r="HQ50" s="1154"/>
      <c r="HR50" s="1154"/>
      <c r="HS50" s="1154"/>
      <c r="HT50" s="1154"/>
      <c r="HU50" s="1154"/>
      <c r="HV50" s="1154"/>
      <c r="HW50" s="1154"/>
      <c r="HX50" s="1154"/>
      <c r="HY50" s="1154"/>
      <c r="HZ50" s="1154"/>
      <c r="IA50" s="1155"/>
      <c r="IB50" s="1154"/>
      <c r="IC50" s="1154"/>
      <c r="ID50" s="1154"/>
      <c r="IE50" s="1154"/>
      <c r="IF50" s="1154"/>
      <c r="IG50" s="1154"/>
      <c r="IH50" s="1154"/>
      <c r="II50" s="1154"/>
      <c r="IJ50" s="1154"/>
      <c r="IK50" s="1154"/>
      <c r="IL50" s="1154"/>
      <c r="IM50" s="1154"/>
      <c r="IN50" s="1155"/>
      <c r="IO50" s="1154"/>
      <c r="IP50" s="1154"/>
      <c r="IQ50" s="1154"/>
      <c r="IR50" s="1154"/>
      <c r="IS50" s="1154"/>
      <c r="IT50" s="1154"/>
      <c r="IU50" s="1154"/>
      <c r="IV50" s="1154"/>
      <c r="IW50" s="1154"/>
      <c r="IX50" s="1154"/>
      <c r="IY50" s="1154"/>
      <c r="IZ50" s="1154"/>
      <c r="JA50" s="1155"/>
      <c r="JB50" s="1154"/>
      <c r="JC50" s="1154"/>
      <c r="JD50" s="1154"/>
      <c r="JE50" s="1154"/>
      <c r="JF50" s="1154"/>
      <c r="JG50" s="1154"/>
      <c r="JH50" s="1154"/>
      <c r="JI50" s="1154"/>
      <c r="JJ50" s="1154"/>
      <c r="JK50" s="1154"/>
      <c r="JL50" s="1154"/>
      <c r="JM50" s="1154"/>
      <c r="JN50" s="1155"/>
      <c r="JP50" s="1178" t="str">
        <f t="shared" si="311"/>
        <v/>
      </c>
      <c r="JQ50" s="1179" t="str">
        <f t="shared" si="312"/>
        <v/>
      </c>
      <c r="JR50" s="1188">
        <f t="shared" si="313"/>
        <v>0</v>
      </c>
      <c r="JS50" s="1189">
        <f t="shared" si="314"/>
        <v>0</v>
      </c>
      <c r="JT50" s="1153"/>
      <c r="JU50" s="1219"/>
      <c r="JV50" s="1220"/>
      <c r="JW50" s="1084"/>
    </row>
    <row r="51" spans="1:283" ht="15" customHeight="1" x14ac:dyDescent="0.2">
      <c r="A51" s="1161" t="s">
        <v>531</v>
      </c>
      <c r="B51" s="1094">
        <f t="shared" ref="B51:M51" si="315">SUM(B53,B58:B59)</f>
        <v>3423</v>
      </c>
      <c r="C51" s="1094">
        <f t="shared" si="315"/>
        <v>3353</v>
      </c>
      <c r="D51" s="1094">
        <f t="shared" si="315"/>
        <v>3535</v>
      </c>
      <c r="E51" s="1094">
        <f t="shared" si="315"/>
        <v>3381</v>
      </c>
      <c r="F51" s="1094">
        <f t="shared" si="315"/>
        <v>3308</v>
      </c>
      <c r="G51" s="1094">
        <f t="shared" si="315"/>
        <v>3505</v>
      </c>
      <c r="H51" s="1094">
        <f t="shared" si="315"/>
        <v>3278</v>
      </c>
      <c r="I51" s="1094">
        <f t="shared" si="315"/>
        <v>3510</v>
      </c>
      <c r="J51" s="1094">
        <f t="shared" si="315"/>
        <v>3612</v>
      </c>
      <c r="K51" s="1094">
        <f t="shared" si="315"/>
        <v>3485</v>
      </c>
      <c r="L51" s="1094">
        <f t="shared" si="315"/>
        <v>3604</v>
      </c>
      <c r="M51" s="1094">
        <f t="shared" si="315"/>
        <v>3759</v>
      </c>
      <c r="N51" s="1095">
        <f t="shared" si="21"/>
        <v>41753</v>
      </c>
      <c r="O51" s="1094">
        <f t="shared" ref="O51:Z51" si="316">SUM(O53,O58:O59)</f>
        <v>3655</v>
      </c>
      <c r="P51" s="1094">
        <f t="shared" si="316"/>
        <v>3477</v>
      </c>
      <c r="Q51" s="1094">
        <f t="shared" si="316"/>
        <v>3839</v>
      </c>
      <c r="R51" s="1094">
        <f t="shared" si="316"/>
        <v>3927</v>
      </c>
      <c r="S51" s="1094">
        <f t="shared" si="316"/>
        <v>4025</v>
      </c>
      <c r="T51" s="1094">
        <f t="shared" si="316"/>
        <v>4435</v>
      </c>
      <c r="U51" s="1094">
        <f t="shared" si="316"/>
        <v>4244</v>
      </c>
      <c r="V51" s="1094">
        <f t="shared" si="316"/>
        <v>4252</v>
      </c>
      <c r="W51" s="1094">
        <f t="shared" si="316"/>
        <v>4296</v>
      </c>
      <c r="X51" s="1094">
        <f t="shared" si="316"/>
        <v>4276</v>
      </c>
      <c r="Y51" s="1094">
        <f t="shared" si="316"/>
        <v>4266</v>
      </c>
      <c r="Z51" s="1094">
        <f t="shared" si="316"/>
        <v>4545</v>
      </c>
      <c r="AA51" s="1095">
        <f t="shared" si="34"/>
        <v>49237</v>
      </c>
      <c r="AB51" s="1094">
        <f t="shared" ref="AB51:AM51" si="317">SUM(AB53,AB58:AB59)</f>
        <v>5380</v>
      </c>
      <c r="AC51" s="1094">
        <f t="shared" si="317"/>
        <v>5565</v>
      </c>
      <c r="AD51" s="1094">
        <f t="shared" si="317"/>
        <v>5920</v>
      </c>
      <c r="AE51" s="1094">
        <f t="shared" si="317"/>
        <v>5665</v>
      </c>
      <c r="AF51" s="1094">
        <f t="shared" si="317"/>
        <v>5762</v>
      </c>
      <c r="AG51" s="1094">
        <f t="shared" si="317"/>
        <v>6036</v>
      </c>
      <c r="AH51" s="1094">
        <f t="shared" si="317"/>
        <v>5723</v>
      </c>
      <c r="AI51" s="1094">
        <f t="shared" si="317"/>
        <v>5853</v>
      </c>
      <c r="AJ51" s="1094">
        <f t="shared" si="317"/>
        <v>5961</v>
      </c>
      <c r="AK51" s="1094">
        <f t="shared" si="317"/>
        <v>6218</v>
      </c>
      <c r="AL51" s="1094">
        <f t="shared" si="317"/>
        <v>6024</v>
      </c>
      <c r="AM51" s="1094">
        <f t="shared" si="317"/>
        <v>6604</v>
      </c>
      <c r="AN51" s="1095">
        <f t="shared" si="47"/>
        <v>70711</v>
      </c>
      <c r="AO51" s="1094">
        <f t="shared" ref="AO51:AZ51" si="318">SUM(AO53,AO58:AO59)</f>
        <v>6500</v>
      </c>
      <c r="AP51" s="1094">
        <f t="shared" si="318"/>
        <v>6872</v>
      </c>
      <c r="AQ51" s="1094">
        <f t="shared" si="318"/>
        <v>7494</v>
      </c>
      <c r="AR51" s="1094">
        <f t="shared" si="318"/>
        <v>7051</v>
      </c>
      <c r="AS51" s="1094">
        <f t="shared" si="318"/>
        <v>7542</v>
      </c>
      <c r="AT51" s="1094">
        <f t="shared" si="318"/>
        <v>7857</v>
      </c>
      <c r="AU51" s="1094">
        <f t="shared" si="318"/>
        <v>7273</v>
      </c>
      <c r="AV51" s="1094">
        <f t="shared" si="318"/>
        <v>6673</v>
      </c>
      <c r="AW51" s="1094">
        <f t="shared" si="318"/>
        <v>6483</v>
      </c>
      <c r="AX51" s="1094">
        <f t="shared" si="318"/>
        <v>6169.27</v>
      </c>
      <c r="AY51" s="1094">
        <f t="shared" si="318"/>
        <v>6379.3</v>
      </c>
      <c r="AZ51" s="1094">
        <f t="shared" si="318"/>
        <v>7113</v>
      </c>
      <c r="BA51" s="1095">
        <f t="shared" si="60"/>
        <v>83406.570000000007</v>
      </c>
      <c r="BB51" s="1094">
        <f t="shared" ref="BB51:BM51" si="319">SUM(BB53,BB58:BB59)</f>
        <v>5147</v>
      </c>
      <c r="BC51" s="1094">
        <f t="shared" si="319"/>
        <v>5354</v>
      </c>
      <c r="BD51" s="1094">
        <f t="shared" si="319"/>
        <v>5351</v>
      </c>
      <c r="BE51" s="1094">
        <f t="shared" si="319"/>
        <v>5440</v>
      </c>
      <c r="BF51" s="1094">
        <f t="shared" si="319"/>
        <v>5637</v>
      </c>
      <c r="BG51" s="1094">
        <f t="shared" si="319"/>
        <v>5820</v>
      </c>
      <c r="BH51" s="1094">
        <f t="shared" si="319"/>
        <v>5550</v>
      </c>
      <c r="BI51" s="1094">
        <f t="shared" si="319"/>
        <v>5695</v>
      </c>
      <c r="BJ51" s="1094">
        <f t="shared" si="319"/>
        <v>6259</v>
      </c>
      <c r="BK51" s="1094">
        <f t="shared" si="319"/>
        <v>5769</v>
      </c>
      <c r="BL51" s="1094">
        <f t="shared" si="319"/>
        <v>5330</v>
      </c>
      <c r="BM51" s="1094">
        <f t="shared" si="319"/>
        <v>5484</v>
      </c>
      <c r="BN51" s="1095">
        <f t="shared" si="73"/>
        <v>66836</v>
      </c>
      <c r="BO51" s="1094">
        <f t="shared" ref="BO51:BZ51" si="320">SUM(BO53,BO58:BO59)</f>
        <v>5879</v>
      </c>
      <c r="BP51" s="1094">
        <f t="shared" si="320"/>
        <v>6003</v>
      </c>
      <c r="BQ51" s="1094">
        <f t="shared" si="320"/>
        <v>6320</v>
      </c>
      <c r="BR51" s="1094">
        <f t="shared" si="320"/>
        <v>6255</v>
      </c>
      <c r="BS51" s="1094">
        <f t="shared" si="320"/>
        <v>6426</v>
      </c>
      <c r="BT51" s="1094">
        <f t="shared" si="320"/>
        <v>6670</v>
      </c>
      <c r="BU51" s="1094">
        <f t="shared" si="320"/>
        <v>6631</v>
      </c>
      <c r="BV51" s="1094">
        <f t="shared" si="320"/>
        <v>6521</v>
      </c>
      <c r="BW51" s="1094">
        <f t="shared" si="320"/>
        <v>6213</v>
      </c>
      <c r="BX51" s="1094">
        <f t="shared" si="320"/>
        <v>6015</v>
      </c>
      <c r="BY51" s="1094">
        <f t="shared" si="320"/>
        <v>6703</v>
      </c>
      <c r="BZ51" s="1094">
        <f t="shared" si="320"/>
        <v>7097</v>
      </c>
      <c r="CA51" s="1095">
        <f t="shared" si="86"/>
        <v>76733</v>
      </c>
      <c r="CB51" s="1094">
        <f t="shared" ref="CB51:CM51" si="321">SUM(CB53,CB58:CB59)</f>
        <v>6758</v>
      </c>
      <c r="CC51" s="1094">
        <f t="shared" si="321"/>
        <v>6657</v>
      </c>
      <c r="CD51" s="1094">
        <f t="shared" si="321"/>
        <v>6567</v>
      </c>
      <c r="CE51" s="1094">
        <f t="shared" si="321"/>
        <v>6506</v>
      </c>
      <c r="CF51" s="1094">
        <f t="shared" si="321"/>
        <v>7209</v>
      </c>
      <c r="CG51" s="1094">
        <f t="shared" si="321"/>
        <v>7032</v>
      </c>
      <c r="CH51" s="1094">
        <f t="shared" si="321"/>
        <v>6957</v>
      </c>
      <c r="CI51" s="1094">
        <f t="shared" si="321"/>
        <v>6570</v>
      </c>
      <c r="CJ51" s="1094">
        <f t="shared" si="321"/>
        <v>6914</v>
      </c>
      <c r="CK51" s="1094">
        <f t="shared" si="321"/>
        <v>5665</v>
      </c>
      <c r="CL51" s="1094">
        <f t="shared" si="321"/>
        <v>6337</v>
      </c>
      <c r="CM51" s="1094">
        <f t="shared" si="321"/>
        <v>6015</v>
      </c>
      <c r="CN51" s="1095">
        <f t="shared" si="99"/>
        <v>79187</v>
      </c>
      <c r="CO51" s="1094">
        <f t="shared" ref="CO51:CZ51" si="322">SUM(CO53,CO58:CO59)</f>
        <v>6320</v>
      </c>
      <c r="CP51" s="1094">
        <f t="shared" si="322"/>
        <v>6595</v>
      </c>
      <c r="CQ51" s="1094">
        <f t="shared" si="322"/>
        <v>6522</v>
      </c>
      <c r="CR51" s="1094">
        <f t="shared" si="322"/>
        <v>6809</v>
      </c>
      <c r="CS51" s="1094">
        <f t="shared" si="322"/>
        <v>6606</v>
      </c>
      <c r="CT51" s="1094">
        <f t="shared" si="322"/>
        <v>6726</v>
      </c>
      <c r="CU51" s="1094">
        <f t="shared" si="322"/>
        <v>6561</v>
      </c>
      <c r="CV51" s="1094">
        <f t="shared" si="322"/>
        <v>6151</v>
      </c>
      <c r="CW51" s="1094">
        <f t="shared" si="322"/>
        <v>6116</v>
      </c>
      <c r="CX51" s="1094">
        <f t="shared" si="322"/>
        <v>6215</v>
      </c>
      <c r="CY51" s="1094">
        <f t="shared" si="322"/>
        <v>6537</v>
      </c>
      <c r="CZ51" s="1094">
        <f t="shared" si="322"/>
        <v>6577</v>
      </c>
      <c r="DA51" s="1095">
        <f t="shared" si="112"/>
        <v>77735</v>
      </c>
      <c r="DB51" s="1094">
        <f t="shared" ref="DB51:DM51" si="323">SUM(DB53,DB58:DB59)</f>
        <v>6798</v>
      </c>
      <c r="DC51" s="1094">
        <f t="shared" si="323"/>
        <v>6530</v>
      </c>
      <c r="DD51" s="1094">
        <f t="shared" si="323"/>
        <v>7305</v>
      </c>
      <c r="DE51" s="1094">
        <f t="shared" si="323"/>
        <v>7204</v>
      </c>
      <c r="DF51" s="1094">
        <f t="shared" si="323"/>
        <v>6923</v>
      </c>
      <c r="DG51" s="1094">
        <f t="shared" si="323"/>
        <v>6778</v>
      </c>
      <c r="DH51" s="1094">
        <f t="shared" si="323"/>
        <v>7243</v>
      </c>
      <c r="DI51" s="1094">
        <f t="shared" si="323"/>
        <v>7191</v>
      </c>
      <c r="DJ51" s="1094">
        <f t="shared" si="323"/>
        <v>6746</v>
      </c>
      <c r="DK51" s="1094">
        <f t="shared" si="323"/>
        <v>6518</v>
      </c>
      <c r="DL51" s="1094">
        <f t="shared" si="323"/>
        <v>6497</v>
      </c>
      <c r="DM51" s="1094">
        <f t="shared" si="323"/>
        <v>6712</v>
      </c>
      <c r="DN51" s="1095">
        <f t="shared" si="125"/>
        <v>82445</v>
      </c>
      <c r="DO51" s="1094">
        <f t="shared" ref="DO51:DZ51" si="324">SUM(DO53,DO58:DO59)</f>
        <v>6831</v>
      </c>
      <c r="DP51" s="1094">
        <f t="shared" si="324"/>
        <v>6742</v>
      </c>
      <c r="DQ51" s="1094">
        <f t="shared" si="324"/>
        <v>7408</v>
      </c>
      <c r="DR51" s="1094">
        <f t="shared" si="324"/>
        <v>7045</v>
      </c>
      <c r="DS51" s="1094">
        <f t="shared" si="324"/>
        <v>7474</v>
      </c>
      <c r="DT51" s="1094">
        <f t="shared" si="324"/>
        <v>7099</v>
      </c>
      <c r="DU51" s="1094">
        <f t="shared" si="324"/>
        <v>7533</v>
      </c>
      <c r="DV51" s="1094">
        <f t="shared" si="324"/>
        <v>7201</v>
      </c>
      <c r="DW51" s="1094">
        <f t="shared" si="324"/>
        <v>7131</v>
      </c>
      <c r="DX51" s="1094">
        <f t="shared" si="324"/>
        <v>7258</v>
      </c>
      <c r="DY51" s="1094">
        <f t="shared" si="324"/>
        <v>7109</v>
      </c>
      <c r="DZ51" s="1094">
        <f t="shared" si="324"/>
        <v>7449</v>
      </c>
      <c r="EA51" s="1095">
        <f t="shared" si="138"/>
        <v>86280</v>
      </c>
      <c r="EB51" s="1094">
        <f t="shared" ref="EB51:EM51" si="325">SUM(EB53,EB58:EB59)</f>
        <v>7018</v>
      </c>
      <c r="EC51" s="1094">
        <f t="shared" si="325"/>
        <v>7045</v>
      </c>
      <c r="ED51" s="1094">
        <f t="shared" si="325"/>
        <v>7679</v>
      </c>
      <c r="EE51" s="1094">
        <f t="shared" si="325"/>
        <v>7643</v>
      </c>
      <c r="EF51" s="1094">
        <f t="shared" si="325"/>
        <v>7485</v>
      </c>
      <c r="EG51" s="1094">
        <f t="shared" si="325"/>
        <v>7842</v>
      </c>
      <c r="EH51" s="1094">
        <f t="shared" si="325"/>
        <v>7942</v>
      </c>
      <c r="EI51" s="1094">
        <f t="shared" si="325"/>
        <v>7737</v>
      </c>
      <c r="EJ51" s="1094">
        <f t="shared" si="325"/>
        <v>7505</v>
      </c>
      <c r="EK51" s="1094">
        <f t="shared" si="325"/>
        <v>7523</v>
      </c>
      <c r="EL51" s="1094">
        <f t="shared" si="325"/>
        <v>7490</v>
      </c>
      <c r="EM51" s="1094">
        <f t="shared" si="325"/>
        <v>8050</v>
      </c>
      <c r="EN51" s="1095">
        <f t="shared" si="151"/>
        <v>90959</v>
      </c>
      <c r="EO51" s="1094">
        <f t="shared" ref="EO51:EZ51" si="326">SUM(EO53,EO58:EO59)</f>
        <v>7612</v>
      </c>
      <c r="EP51" s="1094">
        <f t="shared" si="326"/>
        <v>7353</v>
      </c>
      <c r="EQ51" s="1094">
        <f t="shared" si="326"/>
        <v>7494</v>
      </c>
      <c r="ER51" s="1094">
        <f t="shared" si="326"/>
        <v>7982</v>
      </c>
      <c r="ES51" s="1094">
        <f t="shared" si="326"/>
        <v>8099</v>
      </c>
      <c r="ET51" s="1094">
        <f t="shared" si="326"/>
        <v>7814</v>
      </c>
      <c r="EU51" s="1094">
        <f t="shared" si="326"/>
        <v>7918</v>
      </c>
      <c r="EV51" s="1094">
        <f t="shared" si="326"/>
        <v>8014</v>
      </c>
      <c r="EW51" s="1094">
        <f t="shared" si="326"/>
        <v>7842</v>
      </c>
      <c r="EX51" s="1094">
        <f t="shared" si="326"/>
        <v>7614</v>
      </c>
      <c r="EY51" s="1094">
        <f t="shared" si="326"/>
        <v>7512</v>
      </c>
      <c r="EZ51" s="1094">
        <f t="shared" si="326"/>
        <v>8229</v>
      </c>
      <c r="FA51" s="1095">
        <f t="shared" si="164"/>
        <v>93483</v>
      </c>
      <c r="FB51" s="1094">
        <f t="shared" ref="FB51:FM51" si="327">SUM(FB53,FB58:FB59)</f>
        <v>7819</v>
      </c>
      <c r="FC51" s="1094">
        <f t="shared" si="327"/>
        <v>7740.4001359267731</v>
      </c>
      <c r="FD51" s="1094">
        <f t="shared" si="327"/>
        <v>8357.9532955210307</v>
      </c>
      <c r="FE51" s="1094">
        <f t="shared" si="327"/>
        <v>8303</v>
      </c>
      <c r="FF51" s="1094">
        <f t="shared" si="327"/>
        <v>8488</v>
      </c>
      <c r="FG51" s="1094">
        <f t="shared" si="327"/>
        <v>8197.5640553761168</v>
      </c>
      <c r="FH51" s="1094">
        <f t="shared" si="327"/>
        <v>8383</v>
      </c>
      <c r="FI51" s="1094">
        <f t="shared" si="327"/>
        <v>8147</v>
      </c>
      <c r="FJ51" s="1094">
        <f t="shared" si="327"/>
        <v>7787</v>
      </c>
      <c r="FK51" s="1094">
        <f t="shared" si="327"/>
        <v>7696</v>
      </c>
      <c r="FL51" s="1094">
        <f t="shared" si="327"/>
        <v>7570.66</v>
      </c>
      <c r="FM51" s="1094">
        <f t="shared" si="327"/>
        <v>8205</v>
      </c>
      <c r="FN51" s="1095">
        <f t="shared" si="177"/>
        <v>96694.577486823924</v>
      </c>
      <c r="FO51" s="1094">
        <f t="shared" ref="FO51:FZ51" si="328">SUM(FO53,FO58:FO59)</f>
        <v>9206.9030000000002</v>
      </c>
      <c r="FP51" s="1094">
        <f t="shared" si="328"/>
        <v>9088.4150000000009</v>
      </c>
      <c r="FQ51" s="1094">
        <f t="shared" si="328"/>
        <v>9547.9170000000013</v>
      </c>
      <c r="FR51" s="1094">
        <f t="shared" si="328"/>
        <v>9853.6840000000011</v>
      </c>
      <c r="FS51" s="1094">
        <f t="shared" si="328"/>
        <v>9809.75</v>
      </c>
      <c r="FT51" s="1094">
        <f t="shared" si="328"/>
        <v>9499.1549999999988</v>
      </c>
      <c r="FU51" s="1094">
        <f t="shared" si="328"/>
        <v>9859.3060000000005</v>
      </c>
      <c r="FV51" s="1094">
        <f t="shared" si="328"/>
        <v>9567.5570000000007</v>
      </c>
      <c r="FW51" s="1094">
        <f t="shared" si="328"/>
        <v>9230.155999999999</v>
      </c>
      <c r="FX51" s="1094">
        <f t="shared" si="328"/>
        <v>9141.89</v>
      </c>
      <c r="FY51" s="1094">
        <f t="shared" si="328"/>
        <v>8937.259</v>
      </c>
      <c r="FZ51" s="1094">
        <f t="shared" si="328"/>
        <v>9666.4419999999991</v>
      </c>
      <c r="GA51" s="1095">
        <f t="shared" si="190"/>
        <v>113408.43400000001</v>
      </c>
      <c r="GB51" s="1094">
        <f t="shared" ref="GB51:GM51" si="329">SUM(GB53,GB58:GB59)</f>
        <v>8641.7047733993495</v>
      </c>
      <c r="GC51" s="1094">
        <f t="shared" si="329"/>
        <v>9410.3781575376343</v>
      </c>
      <c r="GD51" s="1094">
        <f t="shared" si="329"/>
        <v>9289.4046595804884</v>
      </c>
      <c r="GE51" s="1094">
        <f t="shared" si="329"/>
        <v>9592.9375690609759</v>
      </c>
      <c r="GF51" s="1094">
        <f t="shared" si="329"/>
        <v>9507.2277039536602</v>
      </c>
      <c r="GG51" s="1094">
        <f t="shared" si="329"/>
        <v>9000.0531371975594</v>
      </c>
      <c r="GH51" s="1094">
        <f t="shared" si="329"/>
        <v>9313.7063976658537</v>
      </c>
      <c r="GI51" s="1094">
        <f t="shared" si="329"/>
        <v>8962.8836133829263</v>
      </c>
      <c r="GJ51" s="1094">
        <f t="shared" si="329"/>
        <v>8973.9744464024388</v>
      </c>
      <c r="GK51" s="1094">
        <f t="shared" si="329"/>
        <v>8677.2985899078158</v>
      </c>
      <c r="GL51" s="1094">
        <f t="shared" si="329"/>
        <v>8517.8837276097565</v>
      </c>
      <c r="GM51" s="1094">
        <f t="shared" si="329"/>
        <v>9559.6907251936736</v>
      </c>
      <c r="GN51" s="1095">
        <f t="shared" si="203"/>
        <v>109447.14350089214</v>
      </c>
      <c r="GO51" s="1094">
        <f t="shared" ref="GO51:GZ51" si="330">SUM(GO53,GO58:GO59)</f>
        <v>8776.2059919024396</v>
      </c>
      <c r="GP51" s="1094">
        <f t="shared" si="330"/>
        <v>9132.9791354804875</v>
      </c>
      <c r="GQ51" s="1094">
        <f t="shared" si="330"/>
        <v>9507.4008642268309</v>
      </c>
      <c r="GR51" s="1094">
        <f t="shared" si="330"/>
        <v>9821.5932597024403</v>
      </c>
      <c r="GS51" s="1094">
        <f t="shared" si="330"/>
        <v>9924.7748623829266</v>
      </c>
      <c r="GT51" s="1094">
        <f t="shared" si="330"/>
        <v>9538.5252326121954</v>
      </c>
      <c r="GU51" s="1094">
        <f t="shared" si="330"/>
        <v>9785.9872152682929</v>
      </c>
      <c r="GV51" s="1094">
        <f t="shared" si="330"/>
        <v>9089.0269032578508</v>
      </c>
      <c r="GW51" s="1094">
        <f t="shared" si="330"/>
        <v>8886.526144069805</v>
      </c>
      <c r="GX51" s="1094">
        <f t="shared" si="330"/>
        <v>8924.6182049022609</v>
      </c>
      <c r="GY51" s="1094">
        <f t="shared" si="330"/>
        <v>8847.0424358786968</v>
      </c>
      <c r="GZ51" s="1094">
        <f t="shared" si="330"/>
        <v>9896.6967587350791</v>
      </c>
      <c r="HA51" s="1095">
        <f t="shared" si="216"/>
        <v>112131.37700841931</v>
      </c>
      <c r="HB51" s="1094">
        <f t="shared" ref="HB51:HM51" si="331">SUM(HB53,HB58:HB59)</f>
        <v>9135.1159827444753</v>
      </c>
      <c r="HC51" s="1094">
        <f t="shared" si="331"/>
        <v>9387.6783146162797</v>
      </c>
      <c r="HD51" s="1094">
        <f t="shared" si="331"/>
        <v>9823.2806904441986</v>
      </c>
      <c r="HE51" s="1094">
        <f t="shared" si="331"/>
        <v>9956.5545881330527</v>
      </c>
      <c r="HF51" s="1094">
        <f t="shared" si="331"/>
        <v>9896.4548594890239</v>
      </c>
      <c r="HG51" s="1094">
        <f t="shared" si="331"/>
        <v>9593.0514236377312</v>
      </c>
      <c r="HH51" s="1094">
        <f t="shared" si="331"/>
        <v>9330.352932193704</v>
      </c>
      <c r="HI51" s="1094">
        <f t="shared" si="331"/>
        <v>9024.6360905099464</v>
      </c>
      <c r="HJ51" s="1094">
        <f t="shared" si="331"/>
        <v>8847.7016853894365</v>
      </c>
      <c r="HK51" s="1094">
        <f t="shared" si="331"/>
        <v>8739.2787213459578</v>
      </c>
      <c r="HL51" s="1094">
        <f t="shared" si="331"/>
        <v>8688.2846874813476</v>
      </c>
      <c r="HM51" s="1094">
        <f t="shared" si="331"/>
        <v>9494.3588958983055</v>
      </c>
      <c r="HN51" s="1095">
        <f t="shared" si="229"/>
        <v>111916.74887188344</v>
      </c>
      <c r="HO51" s="1094">
        <f t="shared" ref="HO51:HZ51" si="332">SUM(HO53,HO58:HO59)</f>
        <v>8964.1517410451379</v>
      </c>
      <c r="HP51" s="1094">
        <f t="shared" si="332"/>
        <v>9114.1591772472784</v>
      </c>
      <c r="HQ51" s="1094">
        <f t="shared" si="332"/>
        <v>9580.3743829810155</v>
      </c>
      <c r="HR51" s="1094">
        <f t="shared" si="332"/>
        <v>9769.2844829316819</v>
      </c>
      <c r="HS51" s="1094">
        <f t="shared" si="332"/>
        <v>9944.0157651098052</v>
      </c>
      <c r="HT51" s="1094">
        <f t="shared" si="332"/>
        <v>9455.8344876922183</v>
      </c>
      <c r="HU51" s="1094">
        <f t="shared" si="332"/>
        <v>9400.0398690000711</v>
      </c>
      <c r="HV51" s="1094">
        <f t="shared" si="332"/>
        <v>8515.6168817145935</v>
      </c>
      <c r="HW51" s="1094">
        <f t="shared" si="332"/>
        <v>8513.070893740025</v>
      </c>
      <c r="HX51" s="1094">
        <f t="shared" si="332"/>
        <v>8492.4686641007593</v>
      </c>
      <c r="HY51" s="1094">
        <f t="shared" si="332"/>
        <v>8561.5211016014291</v>
      </c>
      <c r="HZ51" s="1094">
        <f t="shared" si="332"/>
        <v>9374.6367609801273</v>
      </c>
      <c r="IA51" s="1095">
        <f t="shared" si="242"/>
        <v>109685.17420814413</v>
      </c>
      <c r="IB51" s="1094">
        <f t="shared" ref="IB51:IM51" si="333">SUM(IB53,IB58:IB59)</f>
        <v>8804.5425871955777</v>
      </c>
      <c r="IC51" s="1094">
        <f t="shared" si="333"/>
        <v>8882.0445450261377</v>
      </c>
      <c r="ID51" s="1094">
        <f t="shared" si="333"/>
        <v>9277.3994134118675</v>
      </c>
      <c r="IE51" s="1094">
        <f t="shared" si="333"/>
        <v>9778.5299327552693</v>
      </c>
      <c r="IF51" s="1094">
        <f t="shared" si="333"/>
        <v>9938.4161625040269</v>
      </c>
      <c r="IG51" s="1094">
        <f t="shared" si="333"/>
        <v>9603.8291758561063</v>
      </c>
      <c r="IH51" s="1094">
        <f t="shared" si="333"/>
        <v>9535.5794688251335</v>
      </c>
      <c r="II51" s="1094">
        <f t="shared" si="333"/>
        <v>8663.6358118737444</v>
      </c>
      <c r="IJ51" s="1094">
        <f t="shared" si="333"/>
        <v>8655.2853101318015</v>
      </c>
      <c r="IK51" s="1094">
        <f t="shared" si="333"/>
        <v>8563.3119270227198</v>
      </c>
      <c r="IL51" s="1094">
        <f t="shared" si="333"/>
        <v>8676.9346621713048</v>
      </c>
      <c r="IM51" s="1094">
        <f t="shared" si="333"/>
        <v>9331.4181856575851</v>
      </c>
      <c r="IN51" s="1095">
        <f t="shared" si="255"/>
        <v>109710.92718243127</v>
      </c>
      <c r="IO51" s="1094">
        <f t="shared" ref="IO51:IZ51" si="334">SUM(IO53,IO58:IO59)</f>
        <v>9232.0063796906488</v>
      </c>
      <c r="IP51" s="1094">
        <f t="shared" si="334"/>
        <v>9082.4250451496573</v>
      </c>
      <c r="IQ51" s="1094">
        <f t="shared" si="334"/>
        <v>9527.7607773385425</v>
      </c>
      <c r="IR51" s="1094">
        <f t="shared" si="334"/>
        <v>10123.802811284426</v>
      </c>
      <c r="IS51" s="1094">
        <f t="shared" si="334"/>
        <v>10344.748740647337</v>
      </c>
      <c r="IT51" s="1094">
        <f t="shared" si="334"/>
        <v>9767.3265569105679</v>
      </c>
      <c r="IU51" s="1094">
        <f t="shared" si="334"/>
        <v>9772.3620323481573</v>
      </c>
      <c r="IV51" s="1094">
        <f t="shared" si="334"/>
        <v>8796.8141447632715</v>
      </c>
      <c r="IW51" s="1094">
        <f t="shared" si="334"/>
        <v>8649.4985661770552</v>
      </c>
      <c r="IX51" s="1094">
        <f t="shared" si="334"/>
        <v>8748.6544168340497</v>
      </c>
      <c r="IY51" s="1094">
        <f t="shared" si="334"/>
        <v>8798.1792090826402</v>
      </c>
      <c r="IZ51" s="1094">
        <f t="shared" si="334"/>
        <v>9608.4142692237838</v>
      </c>
      <c r="JA51" s="1095">
        <f t="shared" si="268"/>
        <v>112451.99294945013</v>
      </c>
      <c r="JB51" s="1094">
        <f t="shared" ref="JB51:JM51" si="335">SUM(JB53,JB58:JB59)</f>
        <v>9546.9886824676869</v>
      </c>
      <c r="JC51" s="1094">
        <f t="shared" si="335"/>
        <v>9398.5969273950577</v>
      </c>
      <c r="JD51" s="1094">
        <f t="shared" si="335"/>
        <v>0</v>
      </c>
      <c r="JE51" s="1094">
        <f t="shared" si="335"/>
        <v>0</v>
      </c>
      <c r="JF51" s="1094">
        <f t="shared" si="335"/>
        <v>0</v>
      </c>
      <c r="JG51" s="1094">
        <f t="shared" si="335"/>
        <v>0</v>
      </c>
      <c r="JH51" s="1094">
        <f t="shared" si="335"/>
        <v>0</v>
      </c>
      <c r="JI51" s="1094">
        <f t="shared" si="335"/>
        <v>0</v>
      </c>
      <c r="JJ51" s="1094">
        <f t="shared" si="335"/>
        <v>0</v>
      </c>
      <c r="JK51" s="1094">
        <f t="shared" si="335"/>
        <v>0</v>
      </c>
      <c r="JL51" s="1094">
        <f t="shared" si="335"/>
        <v>0</v>
      </c>
      <c r="JM51" s="1094">
        <f t="shared" si="335"/>
        <v>0</v>
      </c>
      <c r="JN51" s="1095">
        <f t="shared" si="281"/>
        <v>18945.585609862745</v>
      </c>
      <c r="JO51" s="72"/>
      <c r="JP51" s="1172">
        <f t="shared" si="311"/>
        <v>2.9684242850882336</v>
      </c>
      <c r="JQ51" s="1173">
        <f t="shared" si="312"/>
        <v>2.4984437169698781</v>
      </c>
      <c r="JR51" s="1182">
        <f t="shared" si="313"/>
        <v>109710.92718243127</v>
      </c>
      <c r="JS51" s="1183">
        <f t="shared" si="314"/>
        <v>112451.99294945013</v>
      </c>
      <c r="JT51" s="38"/>
      <c r="JU51" s="1221"/>
      <c r="JV51" s="38"/>
      <c r="JW51" s="1222"/>
    </row>
    <row r="52" spans="1:283" ht="15" customHeight="1" x14ac:dyDescent="0.2">
      <c r="A52" s="1192"/>
      <c r="B52" s="1193"/>
      <c r="C52" s="1193"/>
      <c r="D52" s="1193"/>
      <c r="E52" s="1193"/>
      <c r="F52" s="1193"/>
      <c r="G52" s="1193"/>
      <c r="H52" s="1193"/>
      <c r="I52" s="1193"/>
      <c r="J52" s="1193"/>
      <c r="K52" s="1193"/>
      <c r="L52" s="1193"/>
      <c r="M52" s="1193"/>
      <c r="N52" s="1194"/>
      <c r="O52" s="1193"/>
      <c r="P52" s="1193"/>
      <c r="Q52" s="1193"/>
      <c r="R52" s="1193"/>
      <c r="S52" s="1193"/>
      <c r="T52" s="1193"/>
      <c r="U52" s="1193"/>
      <c r="V52" s="1193"/>
      <c r="W52" s="1193"/>
      <c r="X52" s="1193"/>
      <c r="Y52" s="1193"/>
      <c r="Z52" s="1193"/>
      <c r="AA52" s="1194"/>
      <c r="AB52" s="1193"/>
      <c r="AC52" s="1193"/>
      <c r="AD52" s="1193"/>
      <c r="AE52" s="1193"/>
      <c r="AF52" s="1193"/>
      <c r="AG52" s="1193"/>
      <c r="AH52" s="1193"/>
      <c r="AI52" s="1193"/>
      <c r="AJ52" s="1193"/>
      <c r="AK52" s="1193"/>
      <c r="AL52" s="1193"/>
      <c r="AM52" s="1193"/>
      <c r="AN52" s="1194"/>
      <c r="AO52" s="1193"/>
      <c r="AP52" s="1193"/>
      <c r="AQ52" s="1193"/>
      <c r="AR52" s="1193"/>
      <c r="AS52" s="1193"/>
      <c r="AT52" s="1193"/>
      <c r="AU52" s="1193"/>
      <c r="AV52" s="1193"/>
      <c r="AW52" s="1193"/>
      <c r="AX52" s="1193"/>
      <c r="AY52" s="1193"/>
      <c r="AZ52" s="1193"/>
      <c r="BA52" s="1194"/>
      <c r="BB52" s="1193"/>
      <c r="BC52" s="1193"/>
      <c r="BD52" s="1193"/>
      <c r="BE52" s="1193"/>
      <c r="BF52" s="1193"/>
      <c r="BG52" s="1193"/>
      <c r="BH52" s="1193"/>
      <c r="BI52" s="1193"/>
      <c r="BJ52" s="1193"/>
      <c r="BK52" s="1193"/>
      <c r="BL52" s="1193"/>
      <c r="BM52" s="1193"/>
      <c r="BN52" s="1194"/>
      <c r="BO52" s="1193"/>
      <c r="BP52" s="1193"/>
      <c r="BQ52" s="1193"/>
      <c r="BR52" s="1193"/>
      <c r="BS52" s="1193"/>
      <c r="BT52" s="1193"/>
      <c r="BU52" s="1193"/>
      <c r="BV52" s="1193"/>
      <c r="BW52" s="1193"/>
      <c r="BX52" s="1193"/>
      <c r="BY52" s="1193"/>
      <c r="BZ52" s="1193"/>
      <c r="CA52" s="1194"/>
      <c r="CB52" s="1193"/>
      <c r="CC52" s="1193"/>
      <c r="CD52" s="1193"/>
      <c r="CE52" s="1193"/>
      <c r="CF52" s="1193"/>
      <c r="CG52" s="1193"/>
      <c r="CH52" s="1193"/>
      <c r="CI52" s="1193"/>
      <c r="CJ52" s="1193"/>
      <c r="CK52" s="1193"/>
      <c r="CL52" s="1193"/>
      <c r="CM52" s="1193"/>
      <c r="CN52" s="1194"/>
      <c r="CO52" s="1193"/>
      <c r="CP52" s="1193"/>
      <c r="CQ52" s="1193"/>
      <c r="CR52" s="1193"/>
      <c r="CS52" s="1193"/>
      <c r="CT52" s="1193"/>
      <c r="CU52" s="1193"/>
      <c r="CV52" s="1193"/>
      <c r="CW52" s="1193"/>
      <c r="CX52" s="1193"/>
      <c r="CY52" s="1193"/>
      <c r="CZ52" s="1193"/>
      <c r="DA52" s="1194"/>
      <c r="DB52" s="1193"/>
      <c r="DC52" s="1193"/>
      <c r="DD52" s="1193"/>
      <c r="DE52" s="1193"/>
      <c r="DF52" s="1193"/>
      <c r="DG52" s="1193"/>
      <c r="DH52" s="1193"/>
      <c r="DI52" s="1193"/>
      <c r="DJ52" s="1193"/>
      <c r="DK52" s="1193"/>
      <c r="DL52" s="1193"/>
      <c r="DM52" s="1193"/>
      <c r="DN52" s="1194"/>
      <c r="DO52" s="1193"/>
      <c r="DP52" s="1193"/>
      <c r="DQ52" s="1193"/>
      <c r="DR52" s="1193"/>
      <c r="DS52" s="1193"/>
      <c r="DT52" s="1193"/>
      <c r="DU52" s="1193"/>
      <c r="DV52" s="1193"/>
      <c r="DW52" s="1193"/>
      <c r="DX52" s="1193"/>
      <c r="DY52" s="1193"/>
      <c r="DZ52" s="1193"/>
      <c r="EA52" s="1194"/>
      <c r="EB52" s="1193"/>
      <c r="EC52" s="1193"/>
      <c r="ED52" s="1193"/>
      <c r="EE52" s="1193"/>
      <c r="EF52" s="1193"/>
      <c r="EG52" s="1193"/>
      <c r="EH52" s="1193"/>
      <c r="EI52" s="1193"/>
      <c r="EJ52" s="1193"/>
      <c r="EK52" s="1193"/>
      <c r="EL52" s="1193"/>
      <c r="EM52" s="1193"/>
      <c r="EN52" s="1194"/>
      <c r="EO52" s="1193"/>
      <c r="EP52" s="1193"/>
      <c r="EQ52" s="1193"/>
      <c r="ER52" s="1193"/>
      <c r="ES52" s="1193"/>
      <c r="ET52" s="1193"/>
      <c r="EU52" s="1193"/>
      <c r="EV52" s="1193"/>
      <c r="EW52" s="1193"/>
      <c r="EX52" s="1193"/>
      <c r="EY52" s="1193"/>
      <c r="EZ52" s="1193"/>
      <c r="FA52" s="1194"/>
      <c r="FB52" s="1193"/>
      <c r="FC52" s="1193"/>
      <c r="FD52" s="1193"/>
      <c r="FE52" s="1193"/>
      <c r="FF52" s="1193"/>
      <c r="FG52" s="1193"/>
      <c r="FH52" s="1193"/>
      <c r="FI52" s="1193"/>
      <c r="FJ52" s="1193"/>
      <c r="FK52" s="1193"/>
      <c r="FL52" s="1193"/>
      <c r="FM52" s="1193"/>
      <c r="FN52" s="1194"/>
      <c r="FO52" s="1193"/>
      <c r="FP52" s="1193"/>
      <c r="FQ52" s="1193"/>
      <c r="FR52" s="1193"/>
      <c r="FS52" s="1193"/>
      <c r="FT52" s="1193"/>
      <c r="FU52" s="1193"/>
      <c r="FV52" s="1193"/>
      <c r="FW52" s="1193"/>
      <c r="FX52" s="1193"/>
      <c r="FY52" s="1193"/>
      <c r="FZ52" s="1193"/>
      <c r="GA52" s="1194"/>
      <c r="GB52" s="1193"/>
      <c r="GC52" s="1193"/>
      <c r="GD52" s="1193"/>
      <c r="GE52" s="1193"/>
      <c r="GF52" s="1193"/>
      <c r="GG52" s="1193"/>
      <c r="GH52" s="1193"/>
      <c r="GI52" s="1193"/>
      <c r="GJ52" s="1193"/>
      <c r="GK52" s="1193"/>
      <c r="GL52" s="1193"/>
      <c r="GM52" s="1193"/>
      <c r="GN52" s="1194"/>
      <c r="GO52" s="1193"/>
      <c r="GP52" s="1193"/>
      <c r="GQ52" s="1193"/>
      <c r="GR52" s="1193"/>
      <c r="GS52" s="1193"/>
      <c r="GT52" s="1193"/>
      <c r="GU52" s="1193"/>
      <c r="GV52" s="1193"/>
      <c r="GW52" s="1193"/>
      <c r="GX52" s="1193"/>
      <c r="GY52" s="1193"/>
      <c r="GZ52" s="1193"/>
      <c r="HA52" s="1194"/>
      <c r="HB52" s="1193"/>
      <c r="HC52" s="1193"/>
      <c r="HD52" s="1193"/>
      <c r="HE52" s="1193"/>
      <c r="HF52" s="1193"/>
      <c r="HG52" s="1193"/>
      <c r="HH52" s="1193"/>
      <c r="HI52" s="1193"/>
      <c r="HJ52" s="1193"/>
      <c r="HK52" s="1193"/>
      <c r="HL52" s="1193"/>
      <c r="HM52" s="1193"/>
      <c r="HN52" s="1194"/>
      <c r="HO52" s="1193"/>
      <c r="HP52" s="1193"/>
      <c r="HQ52" s="1193"/>
      <c r="HR52" s="1193"/>
      <c r="HS52" s="1193"/>
      <c r="HT52" s="1193"/>
      <c r="HU52" s="1193"/>
      <c r="HV52" s="1193"/>
      <c r="HW52" s="1193"/>
      <c r="HX52" s="1193"/>
      <c r="HY52" s="1193"/>
      <c r="HZ52" s="1193"/>
      <c r="IA52" s="1194"/>
      <c r="IB52" s="1193"/>
      <c r="IC52" s="1193"/>
      <c r="ID52" s="1193"/>
      <c r="IE52" s="1193"/>
      <c r="IF52" s="1193"/>
      <c r="IG52" s="1193"/>
      <c r="IH52" s="1193"/>
      <c r="II52" s="1193"/>
      <c r="IJ52" s="1193"/>
      <c r="IK52" s="1193"/>
      <c r="IL52" s="1193"/>
      <c r="IM52" s="1193"/>
      <c r="IN52" s="1194"/>
      <c r="IO52" s="1193"/>
      <c r="IP52" s="1193"/>
      <c r="IQ52" s="1193"/>
      <c r="IR52" s="1193"/>
      <c r="IS52" s="1193"/>
      <c r="IT52" s="1193"/>
      <c r="IU52" s="1193"/>
      <c r="IV52" s="1193"/>
      <c r="IW52" s="1193"/>
      <c r="IX52" s="1193"/>
      <c r="IY52" s="1193"/>
      <c r="IZ52" s="1193"/>
      <c r="JA52" s="1194"/>
      <c r="JB52" s="1193"/>
      <c r="JC52" s="1193"/>
      <c r="JD52" s="1193"/>
      <c r="JE52" s="1193"/>
      <c r="JF52" s="1193"/>
      <c r="JG52" s="1193"/>
      <c r="JH52" s="1193"/>
      <c r="JI52" s="1193"/>
      <c r="JJ52" s="1193"/>
      <c r="JK52" s="1193"/>
      <c r="JL52" s="1193"/>
      <c r="JM52" s="1193"/>
      <c r="JN52" s="1194"/>
      <c r="JO52" s="1195"/>
      <c r="JP52" s="1174"/>
      <c r="JQ52" s="1175"/>
      <c r="JR52" s="1184"/>
      <c r="JS52" s="1185"/>
      <c r="JT52" s="1"/>
      <c r="JU52" s="49"/>
      <c r="JV52" s="1"/>
      <c r="JW52" s="1217"/>
    </row>
    <row r="53" spans="1:283" ht="15" customHeight="1" x14ac:dyDescent="0.2">
      <c r="A53" s="1163" t="s">
        <v>584</v>
      </c>
      <c r="B53" s="1099">
        <f t="shared" ref="B53" si="336">SUM(B54:B57)</f>
        <v>1905</v>
      </c>
      <c r="C53" s="1099">
        <f t="shared" ref="C53" si="337">SUM(C54:C57)</f>
        <v>1860</v>
      </c>
      <c r="D53" s="1099">
        <f t="shared" ref="D53" si="338">SUM(D54:D57)</f>
        <v>2032</v>
      </c>
      <c r="E53" s="1099">
        <f t="shared" ref="E53" si="339">SUM(E54:E57)</f>
        <v>2109</v>
      </c>
      <c r="F53" s="1099">
        <f t="shared" ref="F53" si="340">SUM(F54:F57)</f>
        <v>2022</v>
      </c>
      <c r="G53" s="1099">
        <f t="shared" ref="G53" si="341">SUM(G54:G57)</f>
        <v>2222</v>
      </c>
      <c r="H53" s="1099">
        <f t="shared" ref="H53" si="342">SUM(H54:H57)</f>
        <v>1998</v>
      </c>
      <c r="I53" s="1099">
        <f t="shared" ref="I53" si="343">SUM(I54:I57)</f>
        <v>2158</v>
      </c>
      <c r="J53" s="1099">
        <f t="shared" ref="J53" si="344">SUM(J54:J57)</f>
        <v>2220</v>
      </c>
      <c r="K53" s="1099">
        <f t="shared" ref="K53" si="345">SUM(K54:K57)</f>
        <v>2145</v>
      </c>
      <c r="L53" s="1099">
        <f t="shared" ref="L53" si="346">SUM(L54:L57)</f>
        <v>2178</v>
      </c>
      <c r="M53" s="1099">
        <f t="shared" ref="M53" si="347">SUM(M54:M57)</f>
        <v>2404</v>
      </c>
      <c r="N53" s="1100">
        <f t="shared" si="21"/>
        <v>25253</v>
      </c>
      <c r="O53" s="1099">
        <f t="shared" ref="O53" si="348">SUM(O54:O57)</f>
        <v>2247</v>
      </c>
      <c r="P53" s="1099">
        <f t="shared" ref="P53" si="349">SUM(P54:P57)</f>
        <v>2099</v>
      </c>
      <c r="Q53" s="1099">
        <f t="shared" ref="Q53" si="350">SUM(Q54:Q57)</f>
        <v>2370</v>
      </c>
      <c r="R53" s="1099">
        <f t="shared" ref="R53" si="351">SUM(R54:R57)</f>
        <v>2405</v>
      </c>
      <c r="S53" s="1099">
        <f t="shared" ref="S53" si="352">SUM(S54:S57)</f>
        <v>2374</v>
      </c>
      <c r="T53" s="1099">
        <f t="shared" ref="T53" si="353">SUM(T54:T57)</f>
        <v>2689</v>
      </c>
      <c r="U53" s="1099">
        <f t="shared" ref="U53" si="354">SUM(U54:U57)</f>
        <v>2535</v>
      </c>
      <c r="V53" s="1099">
        <f t="shared" ref="V53" si="355">SUM(V54:V57)</f>
        <v>2603</v>
      </c>
      <c r="W53" s="1099">
        <f t="shared" ref="W53" si="356">SUM(W54:W57)</f>
        <v>2614</v>
      </c>
      <c r="X53" s="1099">
        <f t="shared" ref="X53" si="357">SUM(X54:X57)</f>
        <v>2569</v>
      </c>
      <c r="Y53" s="1099">
        <f t="shared" ref="Y53" si="358">SUM(Y54:Y57)</f>
        <v>2573</v>
      </c>
      <c r="Z53" s="1099">
        <f t="shared" ref="Z53" si="359">SUM(Z54:Z57)</f>
        <v>2806</v>
      </c>
      <c r="AA53" s="1100">
        <f t="shared" si="34"/>
        <v>29884</v>
      </c>
      <c r="AB53" s="1099">
        <f t="shared" ref="AB53" si="360">SUM(AB54:AB57)</f>
        <v>2623</v>
      </c>
      <c r="AC53" s="1099">
        <f t="shared" ref="AC53" si="361">SUM(AC54:AC57)</f>
        <v>2741</v>
      </c>
      <c r="AD53" s="1099">
        <f t="shared" ref="AD53" si="362">SUM(AD54:AD57)</f>
        <v>2825</v>
      </c>
      <c r="AE53" s="1099">
        <f t="shared" ref="AE53" si="363">SUM(AE54:AE57)</f>
        <v>2777</v>
      </c>
      <c r="AF53" s="1099">
        <f t="shared" ref="AF53" si="364">SUM(AF54:AF57)</f>
        <v>2827</v>
      </c>
      <c r="AG53" s="1099">
        <f t="shared" ref="AG53" si="365">SUM(AG54:AG57)</f>
        <v>3085</v>
      </c>
      <c r="AH53" s="1099">
        <f t="shared" ref="AH53" si="366">SUM(AH54:AH57)</f>
        <v>2822</v>
      </c>
      <c r="AI53" s="1099">
        <f t="shared" ref="AI53" si="367">SUM(AI54:AI57)</f>
        <v>2984</v>
      </c>
      <c r="AJ53" s="1099">
        <f t="shared" ref="AJ53" si="368">SUM(AJ54:AJ57)</f>
        <v>3096</v>
      </c>
      <c r="AK53" s="1099">
        <f t="shared" ref="AK53" si="369">SUM(AK54:AK57)</f>
        <v>3316</v>
      </c>
      <c r="AL53" s="1099">
        <f t="shared" ref="AL53" si="370">SUM(AL54:AL57)</f>
        <v>3082</v>
      </c>
      <c r="AM53" s="1099">
        <f t="shared" ref="AM53" si="371">SUM(AM54:AM57)</f>
        <v>3582</v>
      </c>
      <c r="AN53" s="1100">
        <f t="shared" si="47"/>
        <v>35760</v>
      </c>
      <c r="AO53" s="1099">
        <f t="shared" ref="AO53" si="372">SUM(AO54:AO57)</f>
        <v>3144</v>
      </c>
      <c r="AP53" s="1099">
        <f t="shared" ref="AP53" si="373">SUM(AP54:AP57)</f>
        <v>3267</v>
      </c>
      <c r="AQ53" s="1099">
        <f t="shared" ref="AQ53" si="374">SUM(AQ54:AQ57)</f>
        <v>3370</v>
      </c>
      <c r="AR53" s="1099">
        <f t="shared" ref="AR53" si="375">SUM(AR54:AR57)</f>
        <v>2930</v>
      </c>
      <c r="AS53" s="1099">
        <f t="shared" ref="AS53" si="376">SUM(AS54:AS57)</f>
        <v>3321</v>
      </c>
      <c r="AT53" s="1099">
        <f t="shared" ref="AT53" si="377">SUM(AT54:AT57)</f>
        <v>3904</v>
      </c>
      <c r="AU53" s="1099">
        <f t="shared" ref="AU53" si="378">SUM(AU54:AU57)</f>
        <v>3443</v>
      </c>
      <c r="AV53" s="1099">
        <f t="shared" ref="AV53" si="379">SUM(AV54:AV57)</f>
        <v>3198</v>
      </c>
      <c r="AW53" s="1099">
        <f t="shared" ref="AW53" si="380">SUM(AW54:AW57)</f>
        <v>2836</v>
      </c>
      <c r="AX53" s="1099">
        <f t="shared" ref="AX53" si="381">SUM(AX54:AX57)</f>
        <v>2712.2700000000004</v>
      </c>
      <c r="AY53" s="1099">
        <f t="shared" ref="AY53" si="382">SUM(AY54:AY57)</f>
        <v>2798.3</v>
      </c>
      <c r="AZ53" s="1099">
        <f t="shared" ref="AZ53" si="383">SUM(AZ54:AZ57)</f>
        <v>3577</v>
      </c>
      <c r="BA53" s="1100">
        <f t="shared" si="60"/>
        <v>38500.57</v>
      </c>
      <c r="BB53" s="1099">
        <f t="shared" ref="BB53" si="384">SUM(BB54:BB57)</f>
        <v>2251</v>
      </c>
      <c r="BC53" s="1099">
        <f t="shared" ref="BC53" si="385">SUM(BC54:BC57)</f>
        <v>2417</v>
      </c>
      <c r="BD53" s="1099">
        <f t="shared" ref="BD53" si="386">SUM(BD54:BD57)</f>
        <v>2316</v>
      </c>
      <c r="BE53" s="1099">
        <f t="shared" ref="BE53" si="387">SUM(BE54:BE57)</f>
        <v>2289</v>
      </c>
      <c r="BF53" s="1099">
        <f t="shared" ref="BF53" si="388">SUM(BF54:BF57)</f>
        <v>2499</v>
      </c>
      <c r="BG53" s="1099">
        <f t="shared" ref="BG53" si="389">SUM(BG54:BG57)</f>
        <v>2408</v>
      </c>
      <c r="BH53" s="1099">
        <f t="shared" ref="BH53" si="390">SUM(BH54:BH57)</f>
        <v>2219</v>
      </c>
      <c r="BI53" s="1099">
        <f t="shared" ref="BI53" si="391">SUM(BI54:BI57)</f>
        <v>2282</v>
      </c>
      <c r="BJ53" s="1099">
        <f t="shared" ref="BJ53" si="392">SUM(BJ54:BJ57)</f>
        <v>2387</v>
      </c>
      <c r="BK53" s="1099">
        <f t="shared" ref="BK53" si="393">SUM(BK54:BK57)</f>
        <v>2511</v>
      </c>
      <c r="BL53" s="1099">
        <f t="shared" ref="BL53" si="394">SUM(BL54:BL57)</f>
        <v>2355</v>
      </c>
      <c r="BM53" s="1099">
        <f t="shared" ref="BM53" si="395">SUM(BM54:BM57)</f>
        <v>2439</v>
      </c>
      <c r="BN53" s="1100">
        <f t="shared" si="73"/>
        <v>28373</v>
      </c>
      <c r="BO53" s="1099">
        <f t="shared" ref="BO53" si="396">SUM(BO54:BO57)</f>
        <v>2503</v>
      </c>
      <c r="BP53" s="1099">
        <f t="shared" ref="BP53" si="397">SUM(BP54:BP57)</f>
        <v>2516</v>
      </c>
      <c r="BQ53" s="1099">
        <f t="shared" ref="BQ53" si="398">SUM(BQ54:BQ57)</f>
        <v>2566</v>
      </c>
      <c r="BR53" s="1099">
        <f t="shared" ref="BR53" si="399">SUM(BR54:BR57)</f>
        <v>2513</v>
      </c>
      <c r="BS53" s="1099">
        <f t="shared" ref="BS53" si="400">SUM(BS54:BS57)</f>
        <v>2594</v>
      </c>
      <c r="BT53" s="1099">
        <f t="shared" ref="BT53" si="401">SUM(BT54:BT57)</f>
        <v>2859</v>
      </c>
      <c r="BU53" s="1099">
        <f t="shared" ref="BU53" si="402">SUM(BU54:BU57)</f>
        <v>2772</v>
      </c>
      <c r="BV53" s="1099">
        <f t="shared" ref="BV53" si="403">SUM(BV54:BV57)</f>
        <v>2832</v>
      </c>
      <c r="BW53" s="1099">
        <f t="shared" ref="BW53" si="404">SUM(BW54:BW57)</f>
        <v>2989</v>
      </c>
      <c r="BX53" s="1099">
        <f t="shared" ref="BX53" si="405">SUM(BX54:BX57)</f>
        <v>2955</v>
      </c>
      <c r="BY53" s="1099">
        <f t="shared" ref="BY53" si="406">SUM(BY54:BY57)</f>
        <v>2947</v>
      </c>
      <c r="BZ53" s="1099">
        <f t="shared" ref="BZ53" si="407">SUM(BZ54:BZ57)</f>
        <v>2991</v>
      </c>
      <c r="CA53" s="1100">
        <f t="shared" si="86"/>
        <v>33037</v>
      </c>
      <c r="CB53" s="1099">
        <f t="shared" ref="CB53" si="408">SUM(CB54:CB57)</f>
        <v>2983</v>
      </c>
      <c r="CC53" s="1099">
        <f t="shared" ref="CC53" si="409">SUM(CC54:CC57)</f>
        <v>2857</v>
      </c>
      <c r="CD53" s="1099">
        <f t="shared" ref="CD53" si="410">SUM(CD54:CD57)</f>
        <v>2584</v>
      </c>
      <c r="CE53" s="1099">
        <f t="shared" ref="CE53" si="411">SUM(CE54:CE57)</f>
        <v>2534</v>
      </c>
      <c r="CF53" s="1099">
        <f t="shared" ref="CF53" si="412">SUM(CF54:CF57)</f>
        <v>3186</v>
      </c>
      <c r="CG53" s="1099">
        <f t="shared" ref="CG53" si="413">SUM(CG54:CG57)</f>
        <v>2934</v>
      </c>
      <c r="CH53" s="1099">
        <f t="shared" ref="CH53" si="414">SUM(CH54:CH57)</f>
        <v>3519</v>
      </c>
      <c r="CI53" s="1099">
        <f t="shared" ref="CI53" si="415">SUM(CI54:CI57)</f>
        <v>3193</v>
      </c>
      <c r="CJ53" s="1099">
        <f t="shared" ref="CJ53" si="416">SUM(CJ54:CJ57)</f>
        <v>2923</v>
      </c>
      <c r="CK53" s="1099">
        <f t="shared" ref="CK53" si="417">SUM(CK54:CK57)</f>
        <v>3088</v>
      </c>
      <c r="CL53" s="1099">
        <f t="shared" ref="CL53" si="418">SUM(CL54:CL57)</f>
        <v>3018</v>
      </c>
      <c r="CM53" s="1099">
        <f t="shared" ref="CM53" si="419">SUM(CM54:CM57)</f>
        <v>3043</v>
      </c>
      <c r="CN53" s="1100">
        <f t="shared" si="99"/>
        <v>35862</v>
      </c>
      <c r="CO53" s="1099">
        <f t="shared" ref="CO53" si="420">SUM(CO54:CO57)</f>
        <v>3071</v>
      </c>
      <c r="CP53" s="1099">
        <f t="shared" ref="CP53" si="421">SUM(CP54:CP57)</f>
        <v>3151</v>
      </c>
      <c r="CQ53" s="1099">
        <f t="shared" ref="CQ53" si="422">SUM(CQ54:CQ57)</f>
        <v>2855</v>
      </c>
      <c r="CR53" s="1099">
        <f t="shared" ref="CR53" si="423">SUM(CR54:CR57)</f>
        <v>2848</v>
      </c>
      <c r="CS53" s="1099">
        <f t="shared" ref="CS53" si="424">SUM(CS54:CS57)</f>
        <v>2831</v>
      </c>
      <c r="CT53" s="1099">
        <f t="shared" ref="CT53" si="425">SUM(CT54:CT57)</f>
        <v>2912</v>
      </c>
      <c r="CU53" s="1099">
        <f t="shared" ref="CU53" si="426">SUM(CU54:CU57)</f>
        <v>2890</v>
      </c>
      <c r="CV53" s="1099">
        <f t="shared" ref="CV53" si="427">SUM(CV54:CV57)</f>
        <v>2827</v>
      </c>
      <c r="CW53" s="1099">
        <f t="shared" ref="CW53" si="428">SUM(CW54:CW57)</f>
        <v>2905</v>
      </c>
      <c r="CX53" s="1099">
        <f t="shared" ref="CX53" si="429">SUM(CX54:CX57)</f>
        <v>3033</v>
      </c>
      <c r="CY53" s="1099">
        <f t="shared" ref="CY53" si="430">SUM(CY54:CY57)</f>
        <v>3297</v>
      </c>
      <c r="CZ53" s="1099">
        <f t="shared" ref="CZ53" si="431">SUM(CZ54:CZ57)</f>
        <v>3354</v>
      </c>
      <c r="DA53" s="1100">
        <f t="shared" si="112"/>
        <v>35974</v>
      </c>
      <c r="DB53" s="1099">
        <f t="shared" ref="DB53" si="432">SUM(DB54:DB57)</f>
        <v>3207</v>
      </c>
      <c r="DC53" s="1099">
        <f t="shared" ref="DC53" si="433">SUM(DC54:DC57)</f>
        <v>3175</v>
      </c>
      <c r="DD53" s="1099">
        <f t="shared" ref="DD53" si="434">SUM(DD54:DD57)</f>
        <v>3526</v>
      </c>
      <c r="DE53" s="1099">
        <f t="shared" ref="DE53" si="435">SUM(DE54:DE57)</f>
        <v>3377</v>
      </c>
      <c r="DF53" s="1099">
        <f t="shared" ref="DF53" si="436">SUM(DF54:DF57)</f>
        <v>3451</v>
      </c>
      <c r="DG53" s="1099">
        <f t="shared" ref="DG53" si="437">SUM(DG54:DG57)</f>
        <v>3556</v>
      </c>
      <c r="DH53" s="1099">
        <f t="shared" ref="DH53" si="438">SUM(DH54:DH57)</f>
        <v>3822</v>
      </c>
      <c r="DI53" s="1099">
        <f t="shared" ref="DI53" si="439">SUM(DI54:DI57)</f>
        <v>3857</v>
      </c>
      <c r="DJ53" s="1099">
        <f t="shared" ref="DJ53" si="440">SUM(DJ54:DJ57)</f>
        <v>3515</v>
      </c>
      <c r="DK53" s="1099">
        <f t="shared" ref="DK53" si="441">SUM(DK54:DK57)</f>
        <v>3384</v>
      </c>
      <c r="DL53" s="1099">
        <f t="shared" ref="DL53" si="442">SUM(DL54:DL57)</f>
        <v>3325</v>
      </c>
      <c r="DM53" s="1099">
        <f t="shared" ref="DM53" si="443">SUM(DM54:DM57)</f>
        <v>3499</v>
      </c>
      <c r="DN53" s="1100">
        <f t="shared" si="125"/>
        <v>41694</v>
      </c>
      <c r="DO53" s="1099">
        <f t="shared" ref="DO53" si="444">SUM(DO54:DO57)</f>
        <v>3486</v>
      </c>
      <c r="DP53" s="1099">
        <f t="shared" ref="DP53" si="445">SUM(DP54:DP57)</f>
        <v>3278</v>
      </c>
      <c r="DQ53" s="1099">
        <f t="shared" ref="DQ53" si="446">SUM(DQ54:DQ57)</f>
        <v>3598</v>
      </c>
      <c r="DR53" s="1099">
        <f t="shared" ref="DR53" si="447">SUM(DR54:DR57)</f>
        <v>3506</v>
      </c>
      <c r="DS53" s="1099">
        <f t="shared" ref="DS53" si="448">SUM(DS54:DS57)</f>
        <v>3672</v>
      </c>
      <c r="DT53" s="1099">
        <f t="shared" ref="DT53" si="449">SUM(DT54:DT57)</f>
        <v>3594</v>
      </c>
      <c r="DU53" s="1099">
        <f t="shared" ref="DU53" si="450">SUM(DU54:DU57)</f>
        <v>3712</v>
      </c>
      <c r="DV53" s="1099">
        <f t="shared" ref="DV53" si="451">SUM(DV54:DV57)</f>
        <v>3666</v>
      </c>
      <c r="DW53" s="1099">
        <f t="shared" ref="DW53" si="452">SUM(DW54:DW57)</f>
        <v>3705</v>
      </c>
      <c r="DX53" s="1099">
        <f t="shared" ref="DX53" si="453">SUM(DX54:DX57)</f>
        <v>3915</v>
      </c>
      <c r="DY53" s="1099">
        <f t="shared" ref="DY53" si="454">SUM(DY54:DY57)</f>
        <v>3747</v>
      </c>
      <c r="DZ53" s="1099">
        <f t="shared" ref="DZ53" si="455">SUM(DZ54:DZ57)</f>
        <v>3939</v>
      </c>
      <c r="EA53" s="1100">
        <f t="shared" si="138"/>
        <v>43818</v>
      </c>
      <c r="EB53" s="1099">
        <f t="shared" ref="EB53" si="456">SUM(EB54:EB57)</f>
        <v>3381</v>
      </c>
      <c r="EC53" s="1099">
        <f t="shared" ref="EC53" si="457">SUM(EC54:EC57)</f>
        <v>3235</v>
      </c>
      <c r="ED53" s="1099">
        <f t="shared" ref="ED53" si="458">SUM(ED54:ED57)</f>
        <v>3494</v>
      </c>
      <c r="EE53" s="1099">
        <f t="shared" ref="EE53" si="459">SUM(EE54:EE57)</f>
        <v>3608</v>
      </c>
      <c r="EF53" s="1099">
        <f t="shared" ref="EF53" si="460">SUM(EF54:EF57)</f>
        <v>3640</v>
      </c>
      <c r="EG53" s="1099">
        <f t="shared" ref="EG53" si="461">SUM(EG54:EG57)</f>
        <v>3772</v>
      </c>
      <c r="EH53" s="1099">
        <f t="shared" ref="EH53" si="462">SUM(EH54:EH57)</f>
        <v>3965</v>
      </c>
      <c r="EI53" s="1099">
        <f t="shared" ref="EI53" si="463">SUM(EI54:EI57)</f>
        <v>3970</v>
      </c>
      <c r="EJ53" s="1099">
        <f t="shared" ref="EJ53" si="464">SUM(EJ54:EJ57)</f>
        <v>3787</v>
      </c>
      <c r="EK53" s="1099">
        <f t="shared" ref="EK53" si="465">SUM(EK54:EK57)</f>
        <v>3809</v>
      </c>
      <c r="EL53" s="1099">
        <f t="shared" ref="EL53" si="466">SUM(EL54:EL57)</f>
        <v>3729</v>
      </c>
      <c r="EM53" s="1099">
        <f t="shared" ref="EM53" si="467">SUM(EM54:EM57)</f>
        <v>4360</v>
      </c>
      <c r="EN53" s="1100">
        <f t="shared" si="151"/>
        <v>44750</v>
      </c>
      <c r="EO53" s="1099">
        <f t="shared" ref="EO53" si="468">SUM(EO54:EO57)</f>
        <v>3772</v>
      </c>
      <c r="EP53" s="1099">
        <f t="shared" ref="EP53" si="469">SUM(EP54:EP57)</f>
        <v>3639</v>
      </c>
      <c r="EQ53" s="1099">
        <f t="shared" ref="EQ53" si="470">SUM(EQ54:EQ57)</f>
        <v>3798</v>
      </c>
      <c r="ER53" s="1099">
        <f t="shared" ref="ER53" si="471">SUM(ER54:ER57)</f>
        <v>3882</v>
      </c>
      <c r="ES53" s="1099">
        <f t="shared" ref="ES53" si="472">SUM(ES54:ES57)</f>
        <v>3747</v>
      </c>
      <c r="ET53" s="1099">
        <f t="shared" ref="ET53" si="473">SUM(ET54:ET57)</f>
        <v>3642</v>
      </c>
      <c r="EU53" s="1099">
        <f t="shared" ref="EU53" si="474">SUM(EU54:EU57)</f>
        <v>3861</v>
      </c>
      <c r="EV53" s="1099">
        <f t="shared" ref="EV53" si="475">SUM(EV54:EV57)</f>
        <v>3991</v>
      </c>
      <c r="EW53" s="1099">
        <f t="shared" ref="EW53" si="476">SUM(EW54:EW57)</f>
        <v>3938</v>
      </c>
      <c r="EX53" s="1099">
        <f t="shared" ref="EX53" si="477">SUM(EX54:EX57)</f>
        <v>3938</v>
      </c>
      <c r="EY53" s="1099">
        <f t="shared" ref="EY53" si="478">SUM(EY54:EY57)</f>
        <v>3928</v>
      </c>
      <c r="EZ53" s="1099">
        <f t="shared" ref="EZ53" si="479">SUM(EZ54:EZ57)</f>
        <v>4322</v>
      </c>
      <c r="FA53" s="1100">
        <f t="shared" si="164"/>
        <v>46458</v>
      </c>
      <c r="FB53" s="1099">
        <f t="shared" ref="FB53" si="480">SUM(FB54:FB57)</f>
        <v>3905</v>
      </c>
      <c r="FC53" s="1099">
        <f t="shared" ref="FC53" si="481">SUM(FC54:FC57)</f>
        <v>3744</v>
      </c>
      <c r="FD53" s="1099">
        <f t="shared" ref="FD53" si="482">SUM(FD54:FD57)</f>
        <v>4009</v>
      </c>
      <c r="FE53" s="1099">
        <f t="shared" ref="FE53" si="483">SUM(FE54:FE57)</f>
        <v>3921</v>
      </c>
      <c r="FF53" s="1099">
        <f t="shared" ref="FF53" si="484">SUM(FF54:FF57)</f>
        <v>4231</v>
      </c>
      <c r="FG53" s="1099">
        <f t="shared" ref="FG53" si="485">SUM(FG54:FG57)</f>
        <v>4013</v>
      </c>
      <c r="FH53" s="1099">
        <f t="shared" ref="FH53" si="486">SUM(FH54:FH57)</f>
        <v>4263</v>
      </c>
      <c r="FI53" s="1099">
        <f t="shared" ref="FI53" si="487">SUM(FI54:FI57)</f>
        <v>4138</v>
      </c>
      <c r="FJ53" s="1099">
        <f t="shared" ref="FJ53" si="488">SUM(FJ54:FJ57)</f>
        <v>3935</v>
      </c>
      <c r="FK53" s="1099">
        <f t="shared" ref="FK53" si="489">SUM(FK54:FK57)</f>
        <v>3909</v>
      </c>
      <c r="FL53" s="1099">
        <f t="shared" ref="FL53" si="490">SUM(FL54:FL57)</f>
        <v>3768.66</v>
      </c>
      <c r="FM53" s="1099">
        <f t="shared" ref="FM53" si="491">SUM(FM54:FM57)</f>
        <v>4403</v>
      </c>
      <c r="FN53" s="1100">
        <f t="shared" si="177"/>
        <v>48239.66</v>
      </c>
      <c r="FO53" s="1099">
        <f t="shared" ref="FO53" si="492">SUM(FO54:FO57)</f>
        <v>5384.9030000000002</v>
      </c>
      <c r="FP53" s="1099">
        <f t="shared" ref="FP53" si="493">SUM(FP54:FP57)</f>
        <v>5126.415</v>
      </c>
      <c r="FQ53" s="1099">
        <f t="shared" ref="FQ53" si="494">SUM(FQ54:FQ57)</f>
        <v>5173.9170000000004</v>
      </c>
      <c r="FR53" s="1099">
        <f t="shared" ref="FR53" si="495">SUM(FR54:FR57)</f>
        <v>5628.6840000000002</v>
      </c>
      <c r="FS53" s="1099">
        <f t="shared" ref="FS53" si="496">SUM(FS54:FS57)</f>
        <v>5689.75</v>
      </c>
      <c r="FT53" s="1099">
        <f t="shared" ref="FT53" si="497">SUM(FT54:FT57)</f>
        <v>5432.1549999999997</v>
      </c>
      <c r="FU53" s="1099">
        <f t="shared" ref="FU53" si="498">SUM(FU54:FU57)</f>
        <v>5836.3059999999996</v>
      </c>
      <c r="FV53" s="1099">
        <f t="shared" ref="FV53" si="499">SUM(FV54:FV57)</f>
        <v>5655.5569999999998</v>
      </c>
      <c r="FW53" s="1099">
        <f t="shared" ref="FW53" si="500">SUM(FW54:FW57)</f>
        <v>5410.1559999999999</v>
      </c>
      <c r="FX53" s="1099">
        <f t="shared" ref="FX53" si="501">SUM(FX54:FX57)</f>
        <v>5321.89</v>
      </c>
      <c r="FY53" s="1099">
        <f t="shared" ref="FY53" si="502">SUM(FY54:FY57)</f>
        <v>5153.259</v>
      </c>
      <c r="FZ53" s="1099">
        <f t="shared" ref="FZ53" si="503">SUM(FZ54:FZ57)</f>
        <v>5968.442</v>
      </c>
      <c r="GA53" s="1100">
        <f t="shared" si="190"/>
        <v>65781.433999999994</v>
      </c>
      <c r="GB53" s="1099">
        <f t="shared" ref="GB53" si="504">SUM(GB54:GB57)</f>
        <v>5047.8910393901124</v>
      </c>
      <c r="GC53" s="1099">
        <f t="shared" ref="GC53" si="505">SUM(GC54:GC57)</f>
        <v>5300.5186486388639</v>
      </c>
      <c r="GD53" s="1099">
        <f t="shared" ref="GD53" si="506">SUM(GD54:GD57)</f>
        <v>5090.4063987804875</v>
      </c>
      <c r="GE53" s="1099">
        <f t="shared" ref="GE53" si="507">SUM(GE54:GE57)</f>
        <v>5361.1178475609768</v>
      </c>
      <c r="GF53" s="1099">
        <f t="shared" ref="GF53" si="508">SUM(GF54:GF57)</f>
        <v>5504.441936353659</v>
      </c>
      <c r="GG53" s="1099">
        <f t="shared" ref="GG53" si="509">SUM(GG54:GG57)</f>
        <v>5123.5827560975604</v>
      </c>
      <c r="GH53" s="1099">
        <f t="shared" ref="GH53" si="510">SUM(GH54:GH57)</f>
        <v>5514.594335365854</v>
      </c>
      <c r="GI53" s="1099">
        <f t="shared" ref="GI53" si="511">SUM(GI54:GI57)</f>
        <v>5155.0035926829269</v>
      </c>
      <c r="GJ53" s="1099">
        <f t="shared" ref="GJ53" si="512">SUM(GJ54:GJ57)</f>
        <v>5082.6799939024386</v>
      </c>
      <c r="GK53" s="1099">
        <f t="shared" ref="GK53" si="513">SUM(GK54:GK57)</f>
        <v>4988.1329270078168</v>
      </c>
      <c r="GL53" s="1099">
        <f t="shared" ref="GL53" si="514">SUM(GL54:GL57)</f>
        <v>4844.4679756097566</v>
      </c>
      <c r="GM53" s="1099">
        <f t="shared" ref="GM53" si="515">SUM(GM54:GM57)</f>
        <v>5757.141973193673</v>
      </c>
      <c r="GN53" s="1100">
        <f t="shared" si="203"/>
        <v>62769.979424584119</v>
      </c>
      <c r="GO53" s="1099">
        <f t="shared" ref="GO53" si="516">SUM(GO54:GO57)</f>
        <v>4867.1769939024389</v>
      </c>
      <c r="GP53" s="1099">
        <f t="shared" ref="GP53" si="517">SUM(GP54:GP57)</f>
        <v>5130.9391987804875</v>
      </c>
      <c r="GQ53" s="1099">
        <f t="shared" ref="GQ53" si="518">SUM(GQ54:GQ57)</f>
        <v>5147.8666829268295</v>
      </c>
      <c r="GR53" s="1099">
        <f t="shared" ref="GR53" si="519">SUM(GR54:GR57)</f>
        <v>5467.7962439024395</v>
      </c>
      <c r="GS53" s="1099">
        <f t="shared" ref="GS53" si="520">SUM(GS54:GS57)</f>
        <v>5769.2852926829273</v>
      </c>
      <c r="GT53" s="1099">
        <f t="shared" ref="GT53" si="521">SUM(GT54:GT57)</f>
        <v>5367.8107195121956</v>
      </c>
      <c r="GU53" s="1099">
        <f t="shared" ref="GU53" si="522">SUM(GU54:GU57)</f>
        <v>5708.2831292682931</v>
      </c>
      <c r="GV53" s="1099">
        <f t="shared" ref="GV53" si="523">SUM(GV54:GV57)</f>
        <v>5050.5324736768498</v>
      </c>
      <c r="GW53" s="1099">
        <f t="shared" ref="GW53" si="524">SUM(GW54:GW57)</f>
        <v>4965.9701343968036</v>
      </c>
      <c r="GX53" s="1099">
        <f t="shared" ref="GX53" si="525">SUM(GX54:GX57)</f>
        <v>5121.2872435212612</v>
      </c>
      <c r="GY53" s="1099">
        <f t="shared" ref="GY53" si="526">SUM(GY54:GY57)</f>
        <v>5047.2879449956981</v>
      </c>
      <c r="GZ53" s="1099">
        <f t="shared" ref="GZ53" si="527">SUM(GZ54:GZ57)</f>
        <v>6064.1617440380796</v>
      </c>
      <c r="HA53" s="1100">
        <f t="shared" si="216"/>
        <v>63708.397801604311</v>
      </c>
      <c r="HB53" s="1099">
        <f t="shared" ref="HB53" si="528">SUM(HB54:HB57)</f>
        <v>5148.7121699364761</v>
      </c>
      <c r="HC53" s="1099">
        <f t="shared" ref="HC53" si="529">SUM(HC54:HC57)</f>
        <v>5219.2992760552806</v>
      </c>
      <c r="HD53" s="1099">
        <f t="shared" ref="HD53" si="530">SUM(HD54:HD57)</f>
        <v>5339.8197195410003</v>
      </c>
      <c r="HE53" s="1099">
        <f t="shared" ref="HE53" si="531">SUM(HE54:HE57)</f>
        <v>5576.1272177298524</v>
      </c>
      <c r="HF53" s="1099">
        <f t="shared" ref="HF53" si="532">SUM(HF54:HF57)</f>
        <v>5723.4835409940742</v>
      </c>
      <c r="HG53" s="1099">
        <f t="shared" ref="HG53" si="533">SUM(HG54:HG57)</f>
        <v>5416.8685170460794</v>
      </c>
      <c r="HH53" s="1099">
        <f t="shared" ref="HH53" si="534">SUM(HH54:HH57)</f>
        <v>5455.0952351557189</v>
      </c>
      <c r="HI53" s="1099">
        <f t="shared" ref="HI53" si="535">SUM(HI54:HI57)</f>
        <v>4977.3599645235454</v>
      </c>
      <c r="HJ53" s="1099">
        <f t="shared" ref="HJ53" si="536">SUM(HJ54:HJ57)</f>
        <v>4925.6358885246373</v>
      </c>
      <c r="HK53" s="1099">
        <f t="shared" ref="HK53" si="537">SUM(HK54:HK57)</f>
        <v>5023.4934920651585</v>
      </c>
      <c r="HL53" s="1099">
        <f t="shared" ref="HL53" si="538">SUM(HL54:HL57)</f>
        <v>4876.1167150789479</v>
      </c>
      <c r="HM53" s="1099">
        <f t="shared" ref="HM53" si="539">SUM(HM54:HM57)</f>
        <v>5715.2113119515052</v>
      </c>
      <c r="HN53" s="1100">
        <f t="shared" si="229"/>
        <v>63397.223048602275</v>
      </c>
      <c r="HO53" s="1099">
        <f t="shared" ref="HO53" si="540">SUM(HO54:HO57)</f>
        <v>4986.6584406991387</v>
      </c>
      <c r="HP53" s="1099">
        <f t="shared" ref="HP53" si="541">SUM(HP54:HP57)</f>
        <v>5041.1825154152775</v>
      </c>
      <c r="HQ53" s="1099">
        <f t="shared" ref="HQ53" si="542">SUM(HQ54:HQ57)</f>
        <v>5155.8665410890153</v>
      </c>
      <c r="HR53" s="1099">
        <f t="shared" ref="HR53" si="543">SUM(HR54:HR57)</f>
        <v>5404.2083274116812</v>
      </c>
      <c r="HS53" s="1099">
        <f t="shared" ref="HS53" si="544">SUM(HS54:HS57)</f>
        <v>5676.0545164508067</v>
      </c>
      <c r="HT53" s="1099">
        <f t="shared" ref="HT53" si="545">SUM(HT54:HT57)</f>
        <v>5210.8776463182185</v>
      </c>
      <c r="HU53" s="1099">
        <f t="shared" ref="HU53" si="546">SUM(HU54:HU57)</f>
        <v>5180.0660352124187</v>
      </c>
      <c r="HV53" s="1099">
        <f t="shared" ref="HV53" si="547">SUM(HV54:HV57)</f>
        <v>4715.9414990805944</v>
      </c>
      <c r="HW53" s="1099">
        <f t="shared" ref="HW53" si="548">SUM(HW54:HW57)</f>
        <v>4690.7583207170246</v>
      </c>
      <c r="HX53" s="1099">
        <f t="shared" ref="HX53" si="549">SUM(HX54:HX57)</f>
        <v>4832.712345554758</v>
      </c>
      <c r="HY53" s="1099">
        <f t="shared" ref="HY53" si="550">SUM(HY54:HY57)</f>
        <v>4789.9186273554287</v>
      </c>
      <c r="HZ53" s="1099">
        <f t="shared" ref="HZ53" si="551">SUM(HZ54:HZ57)</f>
        <v>5578.0831786519047</v>
      </c>
      <c r="IA53" s="1100">
        <f t="shared" si="242"/>
        <v>61262.327993956271</v>
      </c>
      <c r="IB53" s="1099">
        <f t="shared" ref="IB53" si="552">SUM(IB54:IB57)</f>
        <v>4957.0517058077285</v>
      </c>
      <c r="IC53" s="1099">
        <f t="shared" ref="IC53" si="553">SUM(IC54:IC57)</f>
        <v>4865.8751850261378</v>
      </c>
      <c r="ID53" s="1099">
        <f t="shared" ref="ID53" si="554">SUM(ID54:ID57)</f>
        <v>5124.7278598528674</v>
      </c>
      <c r="IE53" s="1099">
        <f t="shared" ref="IE53" si="555">SUM(IE54:IE57)</f>
        <v>5567.5532887552699</v>
      </c>
      <c r="IF53" s="1099">
        <f t="shared" ref="IF53" si="556">SUM(IF54:IF57)</f>
        <v>5692.9900905040258</v>
      </c>
      <c r="IG53" s="1099">
        <f t="shared" ref="IG53" si="557">SUM(IG54:IG57)</f>
        <v>5392.3881758561056</v>
      </c>
      <c r="IH53" s="1099">
        <f t="shared" ref="IH53" si="558">SUM(IH54:IH57)</f>
        <v>5326.340716425133</v>
      </c>
      <c r="II53" s="1099">
        <f t="shared" ref="II53" si="559">SUM(II54:II57)</f>
        <v>4866.8953438737453</v>
      </c>
      <c r="IJ53" s="1099">
        <f t="shared" ref="IJ53" si="560">SUM(IJ54:IJ57)</f>
        <v>4831.5447101318023</v>
      </c>
      <c r="IK53" s="1099">
        <f t="shared" ref="IK53" si="561">SUM(IK54:IK57)</f>
        <v>4911.4501476977202</v>
      </c>
      <c r="IL53" s="1099">
        <f t="shared" ref="IL53" si="562">SUM(IL54:IL57)</f>
        <v>4897.2984621713058</v>
      </c>
      <c r="IM53" s="1099">
        <f t="shared" ref="IM53" si="563">SUM(IM54:IM57)</f>
        <v>5524.1319856575856</v>
      </c>
      <c r="IN53" s="1100">
        <f t="shared" si="255"/>
        <v>61958.247671759418</v>
      </c>
      <c r="IO53" s="1099">
        <f t="shared" ref="IO53" si="564">SUM(IO54:IO57)</f>
        <v>5275.0798796906492</v>
      </c>
      <c r="IP53" s="1099">
        <f t="shared" ref="IP53" si="565">SUM(IP54:IP57)</f>
        <v>5048.2983948386573</v>
      </c>
      <c r="IQ53" s="1099">
        <f t="shared" ref="IQ53" si="566">SUM(IQ54:IQ57)</f>
        <v>5367.1408080545125</v>
      </c>
      <c r="IR53" s="1099">
        <f t="shared" ref="IR53" si="567">SUM(IR54:IR57)</f>
        <v>5838.9201112844266</v>
      </c>
      <c r="IS53" s="1099">
        <f t="shared" ref="IS53" si="568">SUM(IS54:IS57)</f>
        <v>6146.6403406473382</v>
      </c>
      <c r="IT53" s="1099">
        <f t="shared" ref="IT53" si="569">SUM(IT54:IT57)</f>
        <v>5629.6654569105694</v>
      </c>
      <c r="IU53" s="1099">
        <f t="shared" ref="IU53" si="570">SUM(IU54:IU57)</f>
        <v>5542.0423923481585</v>
      </c>
      <c r="IV53" s="1099">
        <f t="shared" ref="IV53" si="571">SUM(IV54:IV57)</f>
        <v>4984.5964447632714</v>
      </c>
      <c r="IW53" s="1099">
        <f t="shared" ref="IW53" si="572">SUM(IW54:IW57)</f>
        <v>4916.8546445093543</v>
      </c>
      <c r="IX53" s="1099">
        <f t="shared" ref="IX53" si="573">SUM(IX54:IX57)</f>
        <v>5044.4371168340504</v>
      </c>
      <c r="IY53" s="1099">
        <f t="shared" ref="IY53" si="574">SUM(IY54:IY57)</f>
        <v>4986.0339808826411</v>
      </c>
      <c r="IZ53" s="1099">
        <f t="shared" ref="IZ53" si="575">SUM(IZ54:IZ57)</f>
        <v>5753.1298172867046</v>
      </c>
      <c r="JA53" s="1100">
        <f t="shared" si="268"/>
        <v>64532.839388050328</v>
      </c>
      <c r="JB53" s="1099">
        <f t="shared" ref="JB53" si="576">SUM(JB54:JB57)</f>
        <v>5516.4500708315372</v>
      </c>
      <c r="JC53" s="1099">
        <f t="shared" ref="JC53" si="577">SUM(JC54:JC57)</f>
        <v>5313.2826473950581</v>
      </c>
      <c r="JD53" s="1099">
        <f t="shared" ref="JD53" si="578">SUM(JD54:JD57)</f>
        <v>0</v>
      </c>
      <c r="JE53" s="1099">
        <f t="shared" ref="JE53" si="579">SUM(JE54:JE57)</f>
        <v>0</v>
      </c>
      <c r="JF53" s="1099">
        <f t="shared" ref="JF53" si="580">SUM(JF54:JF57)</f>
        <v>0</v>
      </c>
      <c r="JG53" s="1099">
        <f t="shared" ref="JG53" si="581">SUM(JG54:JG57)</f>
        <v>0</v>
      </c>
      <c r="JH53" s="1099">
        <f t="shared" ref="JH53" si="582">SUM(JH54:JH57)</f>
        <v>0</v>
      </c>
      <c r="JI53" s="1099">
        <f t="shared" ref="JI53" si="583">SUM(JI54:JI57)</f>
        <v>0</v>
      </c>
      <c r="JJ53" s="1099">
        <f t="shared" ref="JJ53" si="584">SUM(JJ54:JJ57)</f>
        <v>0</v>
      </c>
      <c r="JK53" s="1099">
        <f t="shared" ref="JK53" si="585">SUM(JK54:JK57)</f>
        <v>0</v>
      </c>
      <c r="JL53" s="1099">
        <f t="shared" ref="JL53" si="586">SUM(JL54:JL57)</f>
        <v>0</v>
      </c>
      <c r="JM53" s="1099">
        <f t="shared" ref="JM53" si="587">SUM(JM54:JM57)</f>
        <v>0</v>
      </c>
      <c r="JN53" s="1100">
        <f t="shared" si="281"/>
        <v>10829.732718226594</v>
      </c>
      <c r="JP53" s="1176">
        <f t="shared" ref="JP53:JP59" si="588">IFERROR(((
_xlfn.XLOOKUP((DATE(YEAR($JP$5),MONTH($JP$5),1)),SMN.AGRO.DATE,$B53:$JN53) /
_xlfn.XLOOKUP((DATE(YEAR($JP$5)-1,MONTH($JP$5),1)),SMN.AGRO.DATE,$B53:$JN53)
)-1)*100,"")</f>
        <v>4.1454084048619944</v>
      </c>
      <c r="JQ53" s="1177">
        <f t="shared" si="312"/>
        <v>4.1553656099677205</v>
      </c>
      <c r="JR53" s="1186">
        <f t="shared" ref="JR53:JR59" si="589">SUMIFS($B53:$JN53,SMN.AGRO.DATE,"&gt;="&amp;DATE(YEAR($JP$5)-1,1,1),SMN.AGRO.DATE,"&lt;="&amp;DATE(YEAR($JP$5)-1,MONTH($JP$5),1))</f>
        <v>61958.247671759418</v>
      </c>
      <c r="JS53" s="1187">
        <f t="shared" ref="JS53:JS59" si="590">SUMIFS($B53:$JN53,SMN.AGRO.DATE,"&gt;="&amp;DATE(YEAR($JP$5),1,1),SMN.AGRO.DATE,"&lt;="&amp;$JP$5)</f>
        <v>64532.839388050328</v>
      </c>
      <c r="JT53" s="29"/>
      <c r="JU53" s="51"/>
      <c r="JV53" s="29"/>
      <c r="JW53" s="15"/>
    </row>
    <row r="54" spans="1:283" ht="15" customHeight="1" x14ac:dyDescent="0.2">
      <c r="A54" s="1162" t="s">
        <v>532</v>
      </c>
      <c r="B54" s="1098">
        <v>1172</v>
      </c>
      <c r="C54" s="1098">
        <v>1194</v>
      </c>
      <c r="D54" s="1098">
        <v>1339</v>
      </c>
      <c r="E54" s="1098">
        <v>1406</v>
      </c>
      <c r="F54" s="1098">
        <v>1339</v>
      </c>
      <c r="G54" s="1098">
        <v>1480</v>
      </c>
      <c r="H54" s="1098">
        <v>1289</v>
      </c>
      <c r="I54" s="1098">
        <v>1381</v>
      </c>
      <c r="J54" s="1098">
        <v>1443</v>
      </c>
      <c r="K54" s="1098">
        <v>1434</v>
      </c>
      <c r="L54" s="1098">
        <v>1455</v>
      </c>
      <c r="M54" s="1098">
        <v>1643</v>
      </c>
      <c r="N54" s="1097">
        <f t="shared" si="21"/>
        <v>16575</v>
      </c>
      <c r="O54" s="1098">
        <v>1534</v>
      </c>
      <c r="P54" s="1098">
        <v>1379</v>
      </c>
      <c r="Q54" s="1098">
        <v>1639</v>
      </c>
      <c r="R54" s="1098">
        <v>1629</v>
      </c>
      <c r="S54" s="1098">
        <v>1648</v>
      </c>
      <c r="T54" s="1098">
        <v>1953</v>
      </c>
      <c r="U54" s="1098">
        <v>1806</v>
      </c>
      <c r="V54" s="1098">
        <v>1835</v>
      </c>
      <c r="W54" s="1098">
        <v>1889</v>
      </c>
      <c r="X54" s="1098">
        <v>1831</v>
      </c>
      <c r="Y54" s="1098">
        <v>1805</v>
      </c>
      <c r="Z54" s="1098">
        <v>2005</v>
      </c>
      <c r="AA54" s="1097">
        <f t="shared" si="34"/>
        <v>20953</v>
      </c>
      <c r="AB54" s="1098">
        <v>1610</v>
      </c>
      <c r="AC54" s="1098">
        <v>1644</v>
      </c>
      <c r="AD54" s="1098">
        <v>1650</v>
      </c>
      <c r="AE54" s="1098">
        <v>1688</v>
      </c>
      <c r="AF54" s="1098">
        <v>1775</v>
      </c>
      <c r="AG54" s="1098">
        <v>1999</v>
      </c>
      <c r="AH54" s="1098">
        <v>1809</v>
      </c>
      <c r="AI54" s="1098">
        <v>1969</v>
      </c>
      <c r="AJ54" s="1098">
        <v>2037</v>
      </c>
      <c r="AK54" s="1098">
        <v>2163</v>
      </c>
      <c r="AL54" s="1098">
        <v>2058</v>
      </c>
      <c r="AM54" s="1098">
        <v>2348</v>
      </c>
      <c r="AN54" s="1097">
        <f t="shared" si="47"/>
        <v>22750</v>
      </c>
      <c r="AO54" s="1098">
        <v>1908</v>
      </c>
      <c r="AP54" s="1098">
        <v>1972</v>
      </c>
      <c r="AQ54" s="1098">
        <v>2109</v>
      </c>
      <c r="AR54" s="1098">
        <v>1617</v>
      </c>
      <c r="AS54" s="1098">
        <v>1992</v>
      </c>
      <c r="AT54" s="1098">
        <v>2548</v>
      </c>
      <c r="AU54" s="1098">
        <v>2222</v>
      </c>
      <c r="AV54" s="1098">
        <v>2080</v>
      </c>
      <c r="AW54" s="1098">
        <v>1600</v>
      </c>
      <c r="AX54" s="1098">
        <v>1541</v>
      </c>
      <c r="AY54" s="1098">
        <v>1580</v>
      </c>
      <c r="AZ54" s="1098">
        <v>2289</v>
      </c>
      <c r="BA54" s="1097">
        <f t="shared" si="60"/>
        <v>23458</v>
      </c>
      <c r="BB54" s="1098">
        <v>1560</v>
      </c>
      <c r="BC54" s="1098">
        <v>1683</v>
      </c>
      <c r="BD54" s="1098">
        <v>1589</v>
      </c>
      <c r="BE54" s="1098">
        <v>1575</v>
      </c>
      <c r="BF54" s="1098">
        <v>1779</v>
      </c>
      <c r="BG54" s="1098">
        <v>1685</v>
      </c>
      <c r="BH54" s="1098">
        <v>1510</v>
      </c>
      <c r="BI54" s="1098">
        <v>1603</v>
      </c>
      <c r="BJ54" s="1098">
        <v>1707</v>
      </c>
      <c r="BK54" s="1098">
        <v>1840</v>
      </c>
      <c r="BL54" s="1098">
        <v>1754</v>
      </c>
      <c r="BM54" s="1098">
        <v>1721</v>
      </c>
      <c r="BN54" s="1097">
        <f t="shared" si="73"/>
        <v>20006</v>
      </c>
      <c r="BO54" s="1098">
        <v>1787</v>
      </c>
      <c r="BP54" s="1098">
        <v>1825</v>
      </c>
      <c r="BQ54" s="1098">
        <v>1870</v>
      </c>
      <c r="BR54" s="1098">
        <v>1816</v>
      </c>
      <c r="BS54" s="1098">
        <v>1909</v>
      </c>
      <c r="BT54" s="1098">
        <v>2102</v>
      </c>
      <c r="BU54" s="1098">
        <v>2102</v>
      </c>
      <c r="BV54" s="1098">
        <v>2161</v>
      </c>
      <c r="BW54" s="1098">
        <v>2293</v>
      </c>
      <c r="BX54" s="1098">
        <v>2232</v>
      </c>
      <c r="BY54" s="1098">
        <v>2243</v>
      </c>
      <c r="BZ54" s="1098">
        <v>2209</v>
      </c>
      <c r="CA54" s="1097">
        <f t="shared" si="86"/>
        <v>24549</v>
      </c>
      <c r="CB54" s="1098">
        <v>2266</v>
      </c>
      <c r="CC54" s="1098">
        <v>2200</v>
      </c>
      <c r="CD54" s="1098">
        <v>1933</v>
      </c>
      <c r="CE54" s="1098">
        <v>1873</v>
      </c>
      <c r="CF54" s="1098">
        <v>2536</v>
      </c>
      <c r="CG54" s="1098">
        <v>2219</v>
      </c>
      <c r="CH54" s="1098">
        <v>2845</v>
      </c>
      <c r="CI54" s="1098">
        <v>2443</v>
      </c>
      <c r="CJ54" s="1098">
        <v>2193</v>
      </c>
      <c r="CK54" s="1098">
        <v>2476</v>
      </c>
      <c r="CL54" s="1098">
        <v>2304</v>
      </c>
      <c r="CM54" s="1098">
        <v>2365</v>
      </c>
      <c r="CN54" s="1097">
        <f t="shared" si="99"/>
        <v>27653</v>
      </c>
      <c r="CO54" s="1098">
        <v>2373</v>
      </c>
      <c r="CP54" s="1098">
        <v>2440</v>
      </c>
      <c r="CQ54" s="1098">
        <v>2179</v>
      </c>
      <c r="CR54" s="1098">
        <v>2121</v>
      </c>
      <c r="CS54" s="1098">
        <v>2100</v>
      </c>
      <c r="CT54" s="1098">
        <v>2245</v>
      </c>
      <c r="CU54" s="1098">
        <v>2219</v>
      </c>
      <c r="CV54" s="1098">
        <v>2203</v>
      </c>
      <c r="CW54" s="1098">
        <v>2272</v>
      </c>
      <c r="CX54" s="1098">
        <v>2391</v>
      </c>
      <c r="CY54" s="1098">
        <v>2649</v>
      </c>
      <c r="CZ54" s="1098">
        <v>2706</v>
      </c>
      <c r="DA54" s="1097">
        <f t="shared" si="112"/>
        <v>27898</v>
      </c>
      <c r="DB54" s="1098">
        <v>2526</v>
      </c>
      <c r="DC54" s="1098">
        <v>2467</v>
      </c>
      <c r="DD54" s="1098">
        <v>2772</v>
      </c>
      <c r="DE54" s="1098">
        <v>2685</v>
      </c>
      <c r="DF54" s="1098">
        <v>2780</v>
      </c>
      <c r="DG54" s="1098">
        <v>2921</v>
      </c>
      <c r="DH54" s="1098">
        <v>3080</v>
      </c>
      <c r="DI54" s="1098">
        <v>3130</v>
      </c>
      <c r="DJ54" s="1098">
        <v>2784</v>
      </c>
      <c r="DK54" s="1098">
        <v>2639</v>
      </c>
      <c r="DL54" s="1098">
        <v>2573</v>
      </c>
      <c r="DM54" s="1098">
        <v>2695</v>
      </c>
      <c r="DN54" s="1097">
        <f t="shared" si="125"/>
        <v>33052</v>
      </c>
      <c r="DO54" s="1098">
        <v>2805</v>
      </c>
      <c r="DP54" s="1098">
        <v>2550</v>
      </c>
      <c r="DQ54" s="1098">
        <v>2837</v>
      </c>
      <c r="DR54" s="1098">
        <v>2836</v>
      </c>
      <c r="DS54" s="1098">
        <v>3014</v>
      </c>
      <c r="DT54" s="1098">
        <v>3014</v>
      </c>
      <c r="DU54" s="1098">
        <v>2964</v>
      </c>
      <c r="DV54" s="1098">
        <v>2982</v>
      </c>
      <c r="DW54" s="1098">
        <v>2963</v>
      </c>
      <c r="DX54" s="1098">
        <v>3166</v>
      </c>
      <c r="DY54" s="1098">
        <v>2993</v>
      </c>
      <c r="DZ54" s="1098">
        <v>3091</v>
      </c>
      <c r="EA54" s="1097">
        <f t="shared" si="138"/>
        <v>35215</v>
      </c>
      <c r="EB54" s="1098">
        <v>2662</v>
      </c>
      <c r="EC54" s="1098">
        <v>2506</v>
      </c>
      <c r="ED54" s="1098">
        <v>2736</v>
      </c>
      <c r="EE54" s="1098">
        <v>2869</v>
      </c>
      <c r="EF54" s="1098">
        <v>2936</v>
      </c>
      <c r="EG54" s="1098">
        <v>3010</v>
      </c>
      <c r="EH54" s="1098">
        <v>3196</v>
      </c>
      <c r="EI54" s="1098">
        <v>3273</v>
      </c>
      <c r="EJ54" s="1098">
        <v>3074</v>
      </c>
      <c r="EK54" s="1098">
        <v>3089</v>
      </c>
      <c r="EL54" s="1098">
        <v>2992</v>
      </c>
      <c r="EM54" s="1098">
        <v>3449</v>
      </c>
      <c r="EN54" s="1097">
        <f t="shared" si="151"/>
        <v>35792</v>
      </c>
      <c r="EO54" s="1098">
        <v>3062</v>
      </c>
      <c r="EP54" s="1098">
        <v>2897</v>
      </c>
      <c r="EQ54" s="1098">
        <v>3044</v>
      </c>
      <c r="ER54" s="1098">
        <v>3114</v>
      </c>
      <c r="ES54" s="1098">
        <v>3014</v>
      </c>
      <c r="ET54" s="1098">
        <v>3076</v>
      </c>
      <c r="EU54" s="1098">
        <v>3194</v>
      </c>
      <c r="EV54" s="1098">
        <v>3291</v>
      </c>
      <c r="EW54" s="1098">
        <v>3274</v>
      </c>
      <c r="EX54" s="1098">
        <v>3283</v>
      </c>
      <c r="EY54" s="1098">
        <v>3278</v>
      </c>
      <c r="EZ54" s="1098">
        <v>3434</v>
      </c>
      <c r="FA54" s="1097">
        <f t="shared" si="164"/>
        <v>37961</v>
      </c>
      <c r="FB54" s="1098">
        <v>3118</v>
      </c>
      <c r="FC54" s="1098">
        <v>3019</v>
      </c>
      <c r="FD54" s="1098">
        <v>3278</v>
      </c>
      <c r="FE54" s="1098">
        <v>3158</v>
      </c>
      <c r="FF54" s="1098">
        <v>3468</v>
      </c>
      <c r="FG54" s="1098">
        <v>3214</v>
      </c>
      <c r="FH54" s="1098">
        <v>3506</v>
      </c>
      <c r="FI54" s="1098">
        <v>3374</v>
      </c>
      <c r="FJ54" s="1098">
        <v>3199</v>
      </c>
      <c r="FK54" s="1098">
        <v>3137</v>
      </c>
      <c r="FL54" s="1098">
        <v>3003.66</v>
      </c>
      <c r="FM54" s="1098">
        <v>3474</v>
      </c>
      <c r="FN54" s="1097">
        <f t="shared" si="177"/>
        <v>38948.660000000003</v>
      </c>
      <c r="FO54" s="1098">
        <v>4007</v>
      </c>
      <c r="FP54" s="1098">
        <v>3802</v>
      </c>
      <c r="FQ54" s="1098">
        <v>3860</v>
      </c>
      <c r="FR54" s="1098">
        <v>4274</v>
      </c>
      <c r="FS54" s="1098">
        <v>4351</v>
      </c>
      <c r="FT54" s="1098">
        <v>3967</v>
      </c>
      <c r="FU54" s="1098">
        <v>4428</v>
      </c>
      <c r="FV54" s="1098">
        <v>4356</v>
      </c>
      <c r="FW54" s="1098">
        <v>4140</v>
      </c>
      <c r="FX54" s="1098">
        <v>3952</v>
      </c>
      <c r="FY54" s="1098">
        <v>3768</v>
      </c>
      <c r="FZ54" s="1098">
        <v>4391</v>
      </c>
      <c r="GA54" s="1097">
        <f t="shared" si="190"/>
        <v>49296</v>
      </c>
      <c r="GB54" s="1098">
        <v>3706.9300393901117</v>
      </c>
      <c r="GC54" s="1098">
        <v>3949.2376486388644</v>
      </c>
      <c r="GD54" s="1098">
        <v>3939.0611487804877</v>
      </c>
      <c r="GE54" s="1098">
        <v>4313.0991475609762</v>
      </c>
      <c r="GF54" s="1098">
        <v>4391.3519363536598</v>
      </c>
      <c r="GG54" s="1098">
        <v>3961.6675560975609</v>
      </c>
      <c r="GH54" s="1098">
        <v>4338.5005303658536</v>
      </c>
      <c r="GI54" s="1098">
        <v>3993.2622926829267</v>
      </c>
      <c r="GJ54" s="1098">
        <v>3922.9229939024394</v>
      </c>
      <c r="GK54" s="1098">
        <v>3703.1896152937961</v>
      </c>
      <c r="GL54" s="1098">
        <v>3614.0509756097563</v>
      </c>
      <c r="GM54" s="1098">
        <v>4336.6709146341464</v>
      </c>
      <c r="GN54" s="1097">
        <f t="shared" si="203"/>
        <v>48169.944799310586</v>
      </c>
      <c r="GO54" s="1098">
        <v>3558.0709939024391</v>
      </c>
      <c r="GP54" s="1098">
        <v>3838.0941987804881</v>
      </c>
      <c r="GQ54" s="1098">
        <v>3860.7876829268293</v>
      </c>
      <c r="GR54" s="1098">
        <v>4219.5652439024389</v>
      </c>
      <c r="GS54" s="1098">
        <v>4450.6032926829275</v>
      </c>
      <c r="GT54" s="1098">
        <v>4076.3257195121955</v>
      </c>
      <c r="GU54" s="1098">
        <v>4479.1203292682931</v>
      </c>
      <c r="GV54" s="1098">
        <v>3796.9694736768497</v>
      </c>
      <c r="GW54" s="1098">
        <v>3716.4101343968036</v>
      </c>
      <c r="GX54" s="1098">
        <v>3858.1842435212611</v>
      </c>
      <c r="GY54" s="1098">
        <v>3784.4349449956981</v>
      </c>
      <c r="GZ54" s="1098">
        <v>4510.5219440380788</v>
      </c>
      <c r="HA54" s="1097">
        <f t="shared" si="216"/>
        <v>48149.088201604303</v>
      </c>
      <c r="HB54" s="1098">
        <v>3793.5684699364765</v>
      </c>
      <c r="HC54" s="1098">
        <v>3909.6516760552804</v>
      </c>
      <c r="HD54" s="1098">
        <v>4004.7843862076666</v>
      </c>
      <c r="HE54" s="1098">
        <v>4323.2961282771075</v>
      </c>
      <c r="HF54" s="1098">
        <v>4536.1280954848589</v>
      </c>
      <c r="HG54" s="1098">
        <v>4124.5522320172731</v>
      </c>
      <c r="HH54" s="1098">
        <v>4325.6277891318932</v>
      </c>
      <c r="HI54" s="1098">
        <v>3723.3267745062126</v>
      </c>
      <c r="HJ54" s="1098">
        <v>3675.9052697520883</v>
      </c>
      <c r="HK54" s="1098">
        <v>3884.3828727220216</v>
      </c>
      <c r="HL54" s="1098">
        <v>3599.685620588752</v>
      </c>
      <c r="HM54" s="1098">
        <v>4158.8753308162113</v>
      </c>
      <c r="HN54" s="1097">
        <f t="shared" si="229"/>
        <v>48059.784645495842</v>
      </c>
      <c r="HO54" s="1098">
        <v>3630.6506691305117</v>
      </c>
      <c r="HP54" s="1098">
        <v>3731.4154997290029</v>
      </c>
      <c r="HQ54" s="1098">
        <v>3820.4218942007788</v>
      </c>
      <c r="HR54" s="1098">
        <v>4149.0794546795041</v>
      </c>
      <c r="HS54" s="1098">
        <v>4486.825849293944</v>
      </c>
      <c r="HT54" s="1098">
        <v>3919.2568345535119</v>
      </c>
      <c r="HU54" s="1098">
        <v>4050.7293692688768</v>
      </c>
      <c r="HV54" s="1098">
        <v>3457.534366912751</v>
      </c>
      <c r="HW54" s="1098">
        <v>3426.9676829268292</v>
      </c>
      <c r="HX54" s="1098">
        <v>3697.5279268292679</v>
      </c>
      <c r="HY54" s="1098">
        <v>3483.583070492683</v>
      </c>
      <c r="HZ54" s="1098">
        <v>4018.0946942783739</v>
      </c>
      <c r="IA54" s="1097">
        <f t="shared" si="242"/>
        <v>45872.087312296033</v>
      </c>
      <c r="IB54" s="1098">
        <v>3592.8563196540749</v>
      </c>
      <c r="IC54" s="1098">
        <v>3556.107113644076</v>
      </c>
      <c r="ID54" s="1098">
        <v>3823.520652990122</v>
      </c>
      <c r="IE54" s="1098">
        <v>4306.935487804878</v>
      </c>
      <c r="IF54" s="1098">
        <v>4497.1158536585363</v>
      </c>
      <c r="IG54" s="1098">
        <v>4073.7658536585368</v>
      </c>
      <c r="IH54" s="1098">
        <v>4096.8222680487806</v>
      </c>
      <c r="II54" s="1098">
        <v>3568.8306097560981</v>
      </c>
      <c r="IJ54" s="1098">
        <v>3469.233719512195</v>
      </c>
      <c r="IK54" s="1098">
        <v>3743.7202163251709</v>
      </c>
      <c r="IL54" s="1098">
        <v>3485.0091680536589</v>
      </c>
      <c r="IM54" s="1098">
        <v>3908.1550325203302</v>
      </c>
      <c r="IN54" s="1097">
        <v>46122.072295626458</v>
      </c>
      <c r="IO54" s="1098">
        <v>3818.4858885141789</v>
      </c>
      <c r="IP54" s="1098">
        <v>3708.664184016634</v>
      </c>
      <c r="IQ54" s="1098">
        <v>3959.9075609756101</v>
      </c>
      <c r="IR54" s="1098">
        <v>4458.1042682926836</v>
      </c>
      <c r="IS54" s="1098">
        <v>4740.5506896669467</v>
      </c>
      <c r="IT54" s="1098">
        <v>4306.6593902439026</v>
      </c>
      <c r="IU54" s="1098">
        <v>4243.3075609756097</v>
      </c>
      <c r="IV54" s="1098">
        <v>3695.7792682926829</v>
      </c>
      <c r="IW54" s="1098">
        <v>3627.6232484309239</v>
      </c>
      <c r="IX54" s="1098">
        <v>3789.8953658536579</v>
      </c>
      <c r="IY54" s="1098">
        <v>3555.5413024512691</v>
      </c>
      <c r="IZ54" s="1098">
        <v>4149.9642195121951</v>
      </c>
      <c r="JA54" s="1097">
        <v>48054.482947226279</v>
      </c>
      <c r="JB54" s="1098">
        <v>4024.5653308073538</v>
      </c>
      <c r="JC54" s="1098">
        <v>3853.742646341464</v>
      </c>
      <c r="JD54" s="1098"/>
      <c r="JE54" s="1098"/>
      <c r="JF54" s="1098"/>
      <c r="JG54" s="1098"/>
      <c r="JH54" s="1098"/>
      <c r="JI54" s="1098"/>
      <c r="JJ54" s="1098"/>
      <c r="JK54" s="1098"/>
      <c r="JL54" s="1098"/>
      <c r="JM54" s="1098"/>
      <c r="JN54" s="1097">
        <f t="shared" si="281"/>
        <v>7878.3079771488174</v>
      </c>
      <c r="JP54" s="1178">
        <f t="shared" si="588"/>
        <v>6.1872977141320007</v>
      </c>
      <c r="JQ54" s="1179">
        <f t="shared" si="312"/>
        <v>4.1897741263960064</v>
      </c>
      <c r="JR54" s="1188">
        <f t="shared" si="589"/>
        <v>46122.072295626458</v>
      </c>
      <c r="JS54" s="1189">
        <f t="shared" si="590"/>
        <v>48054.482947226279</v>
      </c>
      <c r="JT54" s="1"/>
      <c r="JU54" s="49"/>
      <c r="JV54" s="1"/>
      <c r="JW54" s="1217"/>
    </row>
    <row r="55" spans="1:283" ht="15" customHeight="1" x14ac:dyDescent="0.2">
      <c r="A55" s="1162" t="s">
        <v>533</v>
      </c>
      <c r="B55" s="1098">
        <v>275</v>
      </c>
      <c r="C55" s="1098">
        <v>234</v>
      </c>
      <c r="D55" s="1098">
        <v>241</v>
      </c>
      <c r="E55" s="1098">
        <v>219</v>
      </c>
      <c r="F55" s="1098">
        <v>228</v>
      </c>
      <c r="G55" s="1098">
        <v>259</v>
      </c>
      <c r="H55" s="1098">
        <v>244</v>
      </c>
      <c r="I55" s="1098">
        <v>285</v>
      </c>
      <c r="J55" s="1098">
        <v>273</v>
      </c>
      <c r="K55" s="1098">
        <v>264</v>
      </c>
      <c r="L55" s="1098">
        <v>251</v>
      </c>
      <c r="M55" s="1098">
        <v>244</v>
      </c>
      <c r="N55" s="1097">
        <f t="shared" si="21"/>
        <v>3017</v>
      </c>
      <c r="O55" s="1098">
        <v>248</v>
      </c>
      <c r="P55" s="1098">
        <v>242</v>
      </c>
      <c r="Q55" s="1098">
        <v>266</v>
      </c>
      <c r="R55" s="1098">
        <v>281</v>
      </c>
      <c r="S55" s="1098">
        <v>262</v>
      </c>
      <c r="T55" s="1098">
        <v>263</v>
      </c>
      <c r="U55" s="1098">
        <v>255</v>
      </c>
      <c r="V55" s="1098">
        <v>289</v>
      </c>
      <c r="W55" s="1098">
        <v>253</v>
      </c>
      <c r="X55" s="1098">
        <v>256</v>
      </c>
      <c r="Y55" s="1098">
        <v>294</v>
      </c>
      <c r="Z55" s="1098">
        <v>320</v>
      </c>
      <c r="AA55" s="1097">
        <f t="shared" si="34"/>
        <v>3229</v>
      </c>
      <c r="AB55" s="1098">
        <v>225</v>
      </c>
      <c r="AC55" s="1098">
        <v>215</v>
      </c>
      <c r="AD55" s="1098">
        <v>259</v>
      </c>
      <c r="AE55" s="1098">
        <v>202</v>
      </c>
      <c r="AF55" s="1098">
        <v>192</v>
      </c>
      <c r="AG55" s="1098">
        <v>188</v>
      </c>
      <c r="AH55" s="1098">
        <v>174</v>
      </c>
      <c r="AI55" s="1098">
        <v>166</v>
      </c>
      <c r="AJ55" s="1098">
        <v>193</v>
      </c>
      <c r="AK55" s="1098">
        <v>326</v>
      </c>
      <c r="AL55" s="1098">
        <v>250</v>
      </c>
      <c r="AM55" s="1098">
        <v>380</v>
      </c>
      <c r="AN55" s="1097">
        <f t="shared" si="47"/>
        <v>2770</v>
      </c>
      <c r="AO55" s="1098">
        <v>344</v>
      </c>
      <c r="AP55" s="1098">
        <v>353</v>
      </c>
      <c r="AQ55" s="1098">
        <v>338</v>
      </c>
      <c r="AR55" s="1098">
        <v>358</v>
      </c>
      <c r="AS55" s="1098">
        <v>324</v>
      </c>
      <c r="AT55" s="1098">
        <v>347</v>
      </c>
      <c r="AU55" s="1098">
        <v>290</v>
      </c>
      <c r="AV55" s="1098">
        <v>310</v>
      </c>
      <c r="AW55" s="1098">
        <v>308</v>
      </c>
      <c r="AX55" s="1098">
        <v>306.26</v>
      </c>
      <c r="AY55" s="1098">
        <v>322</v>
      </c>
      <c r="AZ55" s="1098">
        <v>378</v>
      </c>
      <c r="BA55" s="1097">
        <f t="shared" si="60"/>
        <v>3978.26</v>
      </c>
      <c r="BB55" s="1098">
        <v>264</v>
      </c>
      <c r="BC55" s="1098">
        <v>255</v>
      </c>
      <c r="BD55" s="1098">
        <v>253</v>
      </c>
      <c r="BE55" s="1098">
        <v>241</v>
      </c>
      <c r="BF55" s="1098">
        <v>241</v>
      </c>
      <c r="BG55" s="1098">
        <v>251</v>
      </c>
      <c r="BH55" s="1098">
        <v>243</v>
      </c>
      <c r="BI55" s="1098">
        <v>227</v>
      </c>
      <c r="BJ55" s="1098">
        <v>234</v>
      </c>
      <c r="BK55" s="1098">
        <v>236</v>
      </c>
      <c r="BL55" s="1098">
        <v>230</v>
      </c>
      <c r="BM55" s="1098">
        <v>264</v>
      </c>
      <c r="BN55" s="1097">
        <f t="shared" si="73"/>
        <v>2939</v>
      </c>
      <c r="BO55" s="1098">
        <v>239</v>
      </c>
      <c r="BP55" s="1098">
        <v>232</v>
      </c>
      <c r="BQ55" s="1098">
        <v>223</v>
      </c>
      <c r="BR55" s="1098">
        <v>217</v>
      </c>
      <c r="BS55" s="1098">
        <v>215</v>
      </c>
      <c r="BT55" s="1098">
        <v>227</v>
      </c>
      <c r="BU55" s="1098">
        <v>220</v>
      </c>
      <c r="BV55" s="1098">
        <v>215</v>
      </c>
      <c r="BW55" s="1098">
        <v>230</v>
      </c>
      <c r="BX55" s="1098">
        <v>231</v>
      </c>
      <c r="BY55" s="1098">
        <v>229</v>
      </c>
      <c r="BZ55" s="1098">
        <v>284</v>
      </c>
      <c r="CA55" s="1097">
        <f t="shared" si="86"/>
        <v>2762</v>
      </c>
      <c r="CB55" s="1098">
        <v>235</v>
      </c>
      <c r="CC55" s="1098">
        <v>179</v>
      </c>
      <c r="CD55" s="1098">
        <v>172</v>
      </c>
      <c r="CE55" s="1098">
        <v>169</v>
      </c>
      <c r="CF55" s="1098">
        <v>162</v>
      </c>
      <c r="CG55" s="1098">
        <v>176</v>
      </c>
      <c r="CH55" s="1098">
        <v>168</v>
      </c>
      <c r="CI55" s="1098">
        <v>237</v>
      </c>
      <c r="CJ55" s="1098">
        <v>240</v>
      </c>
      <c r="CK55" s="1098">
        <v>150</v>
      </c>
      <c r="CL55" s="1098">
        <v>220</v>
      </c>
      <c r="CM55" s="1098">
        <v>195</v>
      </c>
      <c r="CN55" s="1097">
        <f t="shared" si="99"/>
        <v>2303</v>
      </c>
      <c r="CO55" s="1098">
        <v>221</v>
      </c>
      <c r="CP55" s="1098">
        <v>224</v>
      </c>
      <c r="CQ55" s="1098">
        <v>173</v>
      </c>
      <c r="CR55" s="1098">
        <v>218</v>
      </c>
      <c r="CS55" s="1098">
        <v>229</v>
      </c>
      <c r="CT55" s="1098">
        <v>181</v>
      </c>
      <c r="CU55" s="1098">
        <v>178</v>
      </c>
      <c r="CV55" s="1098">
        <v>166</v>
      </c>
      <c r="CW55" s="1098">
        <v>177</v>
      </c>
      <c r="CX55" s="1098">
        <v>175</v>
      </c>
      <c r="CY55" s="1098">
        <v>169</v>
      </c>
      <c r="CZ55" s="1098">
        <v>216</v>
      </c>
      <c r="DA55" s="1097">
        <f t="shared" si="112"/>
        <v>2327</v>
      </c>
      <c r="DB55" s="1098">
        <v>179</v>
      </c>
      <c r="DC55" s="1098">
        <v>226</v>
      </c>
      <c r="DD55" s="1098">
        <v>231</v>
      </c>
      <c r="DE55" s="1098">
        <v>195</v>
      </c>
      <c r="DF55" s="1098">
        <v>207</v>
      </c>
      <c r="DG55" s="1098">
        <v>206</v>
      </c>
      <c r="DH55" s="1098">
        <v>239</v>
      </c>
      <c r="DI55" s="1098">
        <v>233</v>
      </c>
      <c r="DJ55" s="1098">
        <v>231</v>
      </c>
      <c r="DK55" s="1098">
        <v>235</v>
      </c>
      <c r="DL55" s="1098">
        <v>236</v>
      </c>
      <c r="DM55" s="1098">
        <v>233</v>
      </c>
      <c r="DN55" s="1097">
        <f t="shared" si="125"/>
        <v>2651</v>
      </c>
      <c r="DO55" s="1098">
        <v>193</v>
      </c>
      <c r="DP55" s="1098">
        <v>229</v>
      </c>
      <c r="DQ55" s="1098">
        <v>235</v>
      </c>
      <c r="DR55" s="1098">
        <v>227</v>
      </c>
      <c r="DS55" s="1098">
        <v>170</v>
      </c>
      <c r="DT55" s="1098">
        <v>196</v>
      </c>
      <c r="DU55" s="1098">
        <v>239</v>
      </c>
      <c r="DV55" s="1098">
        <v>188</v>
      </c>
      <c r="DW55" s="1098">
        <v>233</v>
      </c>
      <c r="DX55" s="1098">
        <v>236</v>
      </c>
      <c r="DY55" s="1098">
        <v>236</v>
      </c>
      <c r="DZ55" s="1098">
        <v>226</v>
      </c>
      <c r="EA55" s="1097">
        <f t="shared" si="138"/>
        <v>2608</v>
      </c>
      <c r="EB55" s="1098">
        <v>190</v>
      </c>
      <c r="EC55" s="1098">
        <v>227</v>
      </c>
      <c r="ED55" s="1098">
        <v>248</v>
      </c>
      <c r="EE55" s="1098">
        <v>240</v>
      </c>
      <c r="EF55" s="1098">
        <v>219</v>
      </c>
      <c r="EG55" s="1098">
        <v>248</v>
      </c>
      <c r="EH55" s="1098">
        <v>284</v>
      </c>
      <c r="EI55" s="1098">
        <v>221</v>
      </c>
      <c r="EJ55" s="1098">
        <v>235</v>
      </c>
      <c r="EK55" s="1098">
        <v>229</v>
      </c>
      <c r="EL55" s="1098">
        <v>230</v>
      </c>
      <c r="EM55" s="1098">
        <v>291</v>
      </c>
      <c r="EN55" s="1097">
        <f t="shared" si="151"/>
        <v>2862</v>
      </c>
      <c r="EO55" s="1098">
        <v>216</v>
      </c>
      <c r="EP55" s="1098">
        <v>236</v>
      </c>
      <c r="EQ55" s="1098">
        <v>248</v>
      </c>
      <c r="ER55" s="1098">
        <v>275</v>
      </c>
      <c r="ES55" s="1098">
        <v>222</v>
      </c>
      <c r="ET55" s="1098">
        <v>161</v>
      </c>
      <c r="EU55" s="1098">
        <v>191</v>
      </c>
      <c r="EV55" s="1098">
        <v>212</v>
      </c>
      <c r="EW55" s="1098">
        <v>195</v>
      </c>
      <c r="EX55" s="1098">
        <v>192</v>
      </c>
      <c r="EY55" s="1098">
        <v>198</v>
      </c>
      <c r="EZ55" s="1098">
        <v>291</v>
      </c>
      <c r="FA55" s="1097">
        <f t="shared" si="164"/>
        <v>2637</v>
      </c>
      <c r="FB55" s="1098">
        <v>257</v>
      </c>
      <c r="FC55" s="1098">
        <v>221</v>
      </c>
      <c r="FD55" s="1098">
        <v>230</v>
      </c>
      <c r="FE55" s="1098">
        <v>239</v>
      </c>
      <c r="FF55" s="1098">
        <v>232</v>
      </c>
      <c r="FG55" s="1098">
        <v>260</v>
      </c>
      <c r="FH55" s="1098">
        <v>240</v>
      </c>
      <c r="FI55" s="1098">
        <v>237</v>
      </c>
      <c r="FJ55" s="1098">
        <v>216</v>
      </c>
      <c r="FK55" s="1098">
        <v>234</v>
      </c>
      <c r="FL55" s="1098">
        <v>242</v>
      </c>
      <c r="FM55" s="1098">
        <v>326</v>
      </c>
      <c r="FN55" s="1097">
        <f t="shared" si="177"/>
        <v>2934</v>
      </c>
      <c r="FO55" s="1098">
        <v>333.90299999999996</v>
      </c>
      <c r="FP55" s="1098">
        <v>315.41500000000008</v>
      </c>
      <c r="FQ55" s="1098">
        <v>308.91700000000003</v>
      </c>
      <c r="FR55" s="1098">
        <v>327.68400000000003</v>
      </c>
      <c r="FS55" s="1098">
        <v>312.74999999999989</v>
      </c>
      <c r="FT55" s="1098">
        <v>358.15499999999997</v>
      </c>
      <c r="FU55" s="1098">
        <v>348.30599999999987</v>
      </c>
      <c r="FV55" s="1098">
        <v>312.5569999999999</v>
      </c>
      <c r="FW55" s="1098">
        <v>315.15600000000012</v>
      </c>
      <c r="FX55" s="1098">
        <v>336.89</v>
      </c>
      <c r="FY55" s="1098">
        <v>320.25900000000001</v>
      </c>
      <c r="FZ55" s="1098">
        <v>455.44199999999995</v>
      </c>
      <c r="GA55" s="1097">
        <f t="shared" si="190"/>
        <v>4045.4339999999993</v>
      </c>
      <c r="GB55" s="1098">
        <v>323.20500000000004</v>
      </c>
      <c r="GC55" s="1098">
        <v>318.70699999999999</v>
      </c>
      <c r="GD55" s="1098">
        <v>320.29200000000003</v>
      </c>
      <c r="GE55" s="1098">
        <v>282.13900000000007</v>
      </c>
      <c r="GF55" s="1098">
        <v>288.30200000000002</v>
      </c>
      <c r="GG55" s="1098">
        <v>308.46699999999987</v>
      </c>
      <c r="GH55" s="1098">
        <v>294.10000000000008</v>
      </c>
      <c r="GI55" s="1098">
        <v>284.899</v>
      </c>
      <c r="GJ55" s="1098">
        <v>285.60499999999985</v>
      </c>
      <c r="GK55" s="1098">
        <v>311.96699999999987</v>
      </c>
      <c r="GL55" s="1098">
        <v>308.62199999999996</v>
      </c>
      <c r="GM55" s="1098">
        <v>434.07050240000007</v>
      </c>
      <c r="GN55" s="1097">
        <f t="shared" si="203"/>
        <v>3760.3755023999997</v>
      </c>
      <c r="GO55" s="1098">
        <v>334.31</v>
      </c>
      <c r="GP55" s="1098">
        <v>329.66400000000004</v>
      </c>
      <c r="GQ55" s="1098">
        <v>328.80099999999993</v>
      </c>
      <c r="GR55" s="1098">
        <v>317.13600000000008</v>
      </c>
      <c r="GS55" s="1098">
        <v>356.31800000000015</v>
      </c>
      <c r="GT55" s="1098">
        <v>339.04599999999999</v>
      </c>
      <c r="GU55" s="1098">
        <v>319.60379999999992</v>
      </c>
      <c r="GV55" s="1098">
        <v>310.25900000000007</v>
      </c>
      <c r="GW55" s="1098">
        <v>311.887</v>
      </c>
      <c r="GX55" s="1098">
        <v>322.23800000000011</v>
      </c>
      <c r="GY55" s="1098">
        <v>322.23800000000011</v>
      </c>
      <c r="GZ55" s="1098">
        <v>511.55210000000005</v>
      </c>
      <c r="HA55" s="1097">
        <f t="shared" si="216"/>
        <v>4103.0529000000015</v>
      </c>
      <c r="HB55" s="1098">
        <v>360.74099999999993</v>
      </c>
      <c r="HC55" s="1098">
        <v>342.32599999999996</v>
      </c>
      <c r="HD55" s="1098">
        <v>345.66533333333336</v>
      </c>
      <c r="HE55" s="1098">
        <v>322.23800000000011</v>
      </c>
      <c r="HF55" s="1098">
        <v>321.33149746999999</v>
      </c>
      <c r="HG55" s="1098">
        <v>339.21246312604313</v>
      </c>
      <c r="HH55" s="1098">
        <v>280.10491405149708</v>
      </c>
      <c r="HI55" s="1098">
        <v>310.41784338400004</v>
      </c>
      <c r="HJ55" s="1098">
        <v>311.94577626666666</v>
      </c>
      <c r="HK55" s="1098">
        <v>277.72639999999996</v>
      </c>
      <c r="HL55" s="1098">
        <v>322.3966253333333</v>
      </c>
      <c r="HM55" s="1098">
        <v>514.33039999999994</v>
      </c>
      <c r="HN55" s="1097">
        <f t="shared" si="229"/>
        <v>4048.4362529648733</v>
      </c>
      <c r="HO55" s="1098">
        <v>360.79293333333334</v>
      </c>
      <c r="HP55" s="1098">
        <v>342.49946666666665</v>
      </c>
      <c r="HQ55" s="1098">
        <v>348.40386666666672</v>
      </c>
      <c r="HR55" s="1098">
        <v>323.38240000000002</v>
      </c>
      <c r="HS55" s="1098">
        <v>321.68133333333333</v>
      </c>
      <c r="HT55" s="1098">
        <v>339.2124</v>
      </c>
      <c r="HU55" s="1098">
        <v>280.29480000000001</v>
      </c>
      <c r="HV55" s="1098">
        <v>312.17173333333329</v>
      </c>
      <c r="HW55" s="1098">
        <v>312.22458666666671</v>
      </c>
      <c r="HX55" s="1098">
        <v>282.81797333333333</v>
      </c>
      <c r="HY55" s="1098">
        <v>333.15719999999999</v>
      </c>
      <c r="HZ55" s="1098">
        <v>517.42487906666668</v>
      </c>
      <c r="IA55" s="1097">
        <f t="shared" si="242"/>
        <v>4074.0635723999999</v>
      </c>
      <c r="IB55" s="1098">
        <v>369.46994666666671</v>
      </c>
      <c r="IC55" s="1098">
        <v>342.49952975999997</v>
      </c>
      <c r="ID55" s="1098">
        <v>313.89946666666668</v>
      </c>
      <c r="IE55" s="1098">
        <v>327.41498978666669</v>
      </c>
      <c r="IF55" s="1098">
        <v>327.41498978666669</v>
      </c>
      <c r="IG55" s="1098">
        <v>345.38759733333342</v>
      </c>
      <c r="IH55" s="1098">
        <v>296.57283840000002</v>
      </c>
      <c r="II55" s="1098">
        <v>339.065</v>
      </c>
      <c r="IJ55" s="1098">
        <v>320.9854416</v>
      </c>
      <c r="IK55" s="1098">
        <v>284.32799999999997</v>
      </c>
      <c r="IL55" s="1098">
        <v>336.33066666666667</v>
      </c>
      <c r="IM55" s="1098">
        <v>530.80162666666672</v>
      </c>
      <c r="IN55" s="1097">
        <v>4134.1700933333332</v>
      </c>
      <c r="IO55" s="1098">
        <v>394.00146666666672</v>
      </c>
      <c r="IP55" s="1098">
        <v>350.39259023999989</v>
      </c>
      <c r="IQ55" s="1098">
        <v>367.56015408716138</v>
      </c>
      <c r="IR55" s="1098">
        <v>339.91199999999998</v>
      </c>
      <c r="IS55" s="1098">
        <v>369.49786666666671</v>
      </c>
      <c r="IT55" s="1098">
        <v>349.50639999999999</v>
      </c>
      <c r="IU55" s="1098">
        <v>364.17173333333329</v>
      </c>
      <c r="IV55" s="1098">
        <v>328.19</v>
      </c>
      <c r="IW55" s="1098">
        <v>325.49786666666671</v>
      </c>
      <c r="IX55" s="1098">
        <v>294.96613333333329</v>
      </c>
      <c r="IY55" s="1098">
        <v>349.89493333333331</v>
      </c>
      <c r="IZ55" s="1098">
        <v>518.81493333333333</v>
      </c>
      <c r="JA55" s="1097">
        <v>4352.4060776604947</v>
      </c>
      <c r="JB55" s="1098">
        <v>408.188469844444</v>
      </c>
      <c r="JC55" s="1098">
        <v>394.85513651111069</v>
      </c>
      <c r="JD55" s="1098"/>
      <c r="JE55" s="1098"/>
      <c r="JF55" s="1098"/>
      <c r="JG55" s="1098"/>
      <c r="JH55" s="1098"/>
      <c r="JI55" s="1098"/>
      <c r="JJ55" s="1098"/>
      <c r="JK55" s="1098"/>
      <c r="JL55" s="1098"/>
      <c r="JM55" s="1098"/>
      <c r="JN55" s="1097">
        <f t="shared" si="281"/>
        <v>803.04360635555463</v>
      </c>
      <c r="JP55" s="1178">
        <f t="shared" si="588"/>
        <v>-2.2582246796430394</v>
      </c>
      <c r="JQ55" s="1179">
        <f t="shared" si="312"/>
        <v>5.2788341892145096</v>
      </c>
      <c r="JR55" s="1188">
        <f t="shared" si="589"/>
        <v>4134.1700933333332</v>
      </c>
      <c r="JS55" s="1189">
        <f t="shared" si="590"/>
        <v>4352.4060776604947</v>
      </c>
      <c r="JT55" s="1"/>
      <c r="JU55" s="49"/>
      <c r="JV55" s="1"/>
      <c r="JW55" s="1217"/>
    </row>
    <row r="56" spans="1:283" ht="15" customHeight="1" x14ac:dyDescent="0.2">
      <c r="A56" s="1162" t="s">
        <v>534</v>
      </c>
      <c r="B56" s="1098">
        <v>450</v>
      </c>
      <c r="C56" s="1098">
        <v>425</v>
      </c>
      <c r="D56" s="1098">
        <v>445</v>
      </c>
      <c r="E56" s="1098">
        <v>477</v>
      </c>
      <c r="F56" s="1098">
        <v>448</v>
      </c>
      <c r="G56" s="1098">
        <v>475</v>
      </c>
      <c r="H56" s="1098">
        <v>457</v>
      </c>
      <c r="I56" s="1098">
        <v>483</v>
      </c>
      <c r="J56" s="1098">
        <v>495</v>
      </c>
      <c r="K56" s="1098">
        <v>440</v>
      </c>
      <c r="L56" s="1098">
        <v>465</v>
      </c>
      <c r="M56" s="1098">
        <v>507</v>
      </c>
      <c r="N56" s="1097">
        <f t="shared" si="21"/>
        <v>5567</v>
      </c>
      <c r="O56" s="1098">
        <v>458</v>
      </c>
      <c r="P56" s="1098">
        <v>471</v>
      </c>
      <c r="Q56" s="1098">
        <v>459</v>
      </c>
      <c r="R56" s="1098">
        <v>489</v>
      </c>
      <c r="S56" s="1098">
        <v>457</v>
      </c>
      <c r="T56" s="1098">
        <v>465</v>
      </c>
      <c r="U56" s="1098">
        <v>466</v>
      </c>
      <c r="V56" s="1098">
        <v>470</v>
      </c>
      <c r="W56" s="1098">
        <v>464</v>
      </c>
      <c r="X56" s="1098">
        <v>473</v>
      </c>
      <c r="Y56" s="1098">
        <v>466</v>
      </c>
      <c r="Z56" s="1098">
        <v>474</v>
      </c>
      <c r="AA56" s="1097">
        <f t="shared" si="34"/>
        <v>5612</v>
      </c>
      <c r="AB56" s="1098">
        <v>766</v>
      </c>
      <c r="AC56" s="1098">
        <v>856</v>
      </c>
      <c r="AD56" s="1098">
        <v>882</v>
      </c>
      <c r="AE56" s="1098">
        <v>864</v>
      </c>
      <c r="AF56" s="1098">
        <v>836</v>
      </c>
      <c r="AG56" s="1098">
        <v>875</v>
      </c>
      <c r="AH56" s="1098">
        <v>819</v>
      </c>
      <c r="AI56" s="1098">
        <v>829</v>
      </c>
      <c r="AJ56" s="1098">
        <v>845</v>
      </c>
      <c r="AK56" s="1098">
        <v>808</v>
      </c>
      <c r="AL56" s="1098">
        <v>755</v>
      </c>
      <c r="AM56" s="1098">
        <v>835</v>
      </c>
      <c r="AN56" s="1097">
        <f t="shared" si="47"/>
        <v>9970</v>
      </c>
      <c r="AO56" s="1098">
        <v>877</v>
      </c>
      <c r="AP56" s="1098">
        <v>925</v>
      </c>
      <c r="AQ56" s="1098">
        <v>904</v>
      </c>
      <c r="AR56" s="1098">
        <v>935</v>
      </c>
      <c r="AS56" s="1098">
        <v>984</v>
      </c>
      <c r="AT56" s="1098">
        <v>987</v>
      </c>
      <c r="AU56" s="1098">
        <v>911</v>
      </c>
      <c r="AV56" s="1098">
        <v>787</v>
      </c>
      <c r="AW56" s="1098">
        <v>908</v>
      </c>
      <c r="AX56" s="1098">
        <v>847</v>
      </c>
      <c r="AY56" s="1098">
        <v>876</v>
      </c>
      <c r="AZ56" s="1098">
        <v>888</v>
      </c>
      <c r="BA56" s="1097">
        <f t="shared" si="60"/>
        <v>10829</v>
      </c>
      <c r="BB56" s="1098">
        <v>419</v>
      </c>
      <c r="BC56" s="1098">
        <v>472</v>
      </c>
      <c r="BD56" s="1098">
        <v>467</v>
      </c>
      <c r="BE56" s="1098">
        <v>467</v>
      </c>
      <c r="BF56" s="1098">
        <v>473</v>
      </c>
      <c r="BG56" s="1098">
        <v>466</v>
      </c>
      <c r="BH56" s="1098">
        <v>460</v>
      </c>
      <c r="BI56" s="1098">
        <v>446</v>
      </c>
      <c r="BJ56" s="1098">
        <v>439</v>
      </c>
      <c r="BK56" s="1098">
        <v>427</v>
      </c>
      <c r="BL56" s="1098">
        <v>364</v>
      </c>
      <c r="BM56" s="1098">
        <v>445</v>
      </c>
      <c r="BN56" s="1097">
        <f t="shared" si="73"/>
        <v>5345</v>
      </c>
      <c r="BO56" s="1098">
        <v>468</v>
      </c>
      <c r="BP56" s="1098">
        <v>451</v>
      </c>
      <c r="BQ56" s="1098">
        <v>464</v>
      </c>
      <c r="BR56" s="1098">
        <v>471</v>
      </c>
      <c r="BS56" s="1098">
        <v>461</v>
      </c>
      <c r="BT56" s="1098">
        <v>520</v>
      </c>
      <c r="BU56" s="1098">
        <v>441</v>
      </c>
      <c r="BV56" s="1098">
        <v>447</v>
      </c>
      <c r="BW56" s="1098">
        <v>458</v>
      </c>
      <c r="BX56" s="1098">
        <v>483</v>
      </c>
      <c r="BY56" s="1098">
        <v>467</v>
      </c>
      <c r="BZ56" s="1098">
        <v>489</v>
      </c>
      <c r="CA56" s="1097">
        <f t="shared" si="86"/>
        <v>5620</v>
      </c>
      <c r="CB56" s="1098">
        <v>474</v>
      </c>
      <c r="CC56" s="1098">
        <v>469</v>
      </c>
      <c r="CD56" s="1098">
        <v>469</v>
      </c>
      <c r="CE56" s="1098">
        <v>483</v>
      </c>
      <c r="CF56" s="1098">
        <v>480</v>
      </c>
      <c r="CG56" s="1098">
        <v>531</v>
      </c>
      <c r="CH56" s="1098">
        <v>499</v>
      </c>
      <c r="CI56" s="1098">
        <v>506</v>
      </c>
      <c r="CJ56" s="1098">
        <v>483</v>
      </c>
      <c r="CK56" s="1098">
        <v>456</v>
      </c>
      <c r="CL56" s="1098">
        <v>487</v>
      </c>
      <c r="CM56" s="1098">
        <v>476</v>
      </c>
      <c r="CN56" s="1097">
        <f t="shared" si="99"/>
        <v>5813</v>
      </c>
      <c r="CO56" s="1098">
        <v>470</v>
      </c>
      <c r="CP56" s="1098">
        <v>480</v>
      </c>
      <c r="CQ56" s="1098">
        <v>496</v>
      </c>
      <c r="CR56" s="1098">
        <v>502</v>
      </c>
      <c r="CS56" s="1098">
        <v>495</v>
      </c>
      <c r="CT56" s="1098">
        <v>480</v>
      </c>
      <c r="CU56" s="1098">
        <v>487</v>
      </c>
      <c r="CV56" s="1098">
        <v>453</v>
      </c>
      <c r="CW56" s="1098">
        <v>451</v>
      </c>
      <c r="CX56" s="1098">
        <v>462</v>
      </c>
      <c r="CY56" s="1098">
        <v>473</v>
      </c>
      <c r="CZ56" s="1098">
        <v>426</v>
      </c>
      <c r="DA56" s="1097">
        <f t="shared" si="112"/>
        <v>5675</v>
      </c>
      <c r="DB56" s="1098">
        <v>496</v>
      </c>
      <c r="DC56" s="1098">
        <v>477</v>
      </c>
      <c r="DD56" s="1098">
        <v>517</v>
      </c>
      <c r="DE56" s="1098">
        <v>492</v>
      </c>
      <c r="DF56" s="1098">
        <v>459</v>
      </c>
      <c r="DG56" s="1098">
        <v>424</v>
      </c>
      <c r="DH56" s="1098">
        <v>498</v>
      </c>
      <c r="DI56" s="1098">
        <v>489</v>
      </c>
      <c r="DJ56" s="1098">
        <v>495</v>
      </c>
      <c r="DK56" s="1098">
        <v>505</v>
      </c>
      <c r="DL56" s="1098">
        <v>511</v>
      </c>
      <c r="DM56" s="1098">
        <v>565</v>
      </c>
      <c r="DN56" s="1097">
        <f t="shared" si="125"/>
        <v>5928</v>
      </c>
      <c r="DO56" s="1098">
        <v>483</v>
      </c>
      <c r="DP56" s="1098">
        <v>494</v>
      </c>
      <c r="DQ56" s="1098">
        <v>520</v>
      </c>
      <c r="DR56" s="1098">
        <v>437</v>
      </c>
      <c r="DS56" s="1098">
        <v>483</v>
      </c>
      <c r="DT56" s="1098">
        <v>379</v>
      </c>
      <c r="DU56" s="1098">
        <v>504</v>
      </c>
      <c r="DV56" s="1098">
        <v>491</v>
      </c>
      <c r="DW56" s="1098">
        <v>504</v>
      </c>
      <c r="DX56" s="1098">
        <v>508</v>
      </c>
      <c r="DY56" s="1098">
        <v>513</v>
      </c>
      <c r="DZ56" s="1098">
        <v>616</v>
      </c>
      <c r="EA56" s="1097">
        <f t="shared" si="138"/>
        <v>5932</v>
      </c>
      <c r="EB56" s="1098">
        <v>524</v>
      </c>
      <c r="EC56" s="1098">
        <v>498</v>
      </c>
      <c r="ED56" s="1098">
        <v>505</v>
      </c>
      <c r="EE56" s="1098">
        <v>494</v>
      </c>
      <c r="EF56" s="1098">
        <v>480</v>
      </c>
      <c r="EG56" s="1098">
        <v>509</v>
      </c>
      <c r="EH56" s="1098">
        <v>481</v>
      </c>
      <c r="EI56" s="1098">
        <v>472</v>
      </c>
      <c r="EJ56" s="1098">
        <v>474</v>
      </c>
      <c r="EK56" s="1098">
        <v>487</v>
      </c>
      <c r="EL56" s="1098">
        <v>502</v>
      </c>
      <c r="EM56" s="1098">
        <v>614</v>
      </c>
      <c r="EN56" s="1097">
        <f t="shared" si="151"/>
        <v>6040</v>
      </c>
      <c r="EO56" s="1098">
        <v>489</v>
      </c>
      <c r="EP56" s="1098">
        <v>500</v>
      </c>
      <c r="EQ56" s="1098">
        <v>501</v>
      </c>
      <c r="ER56" s="1098">
        <v>489</v>
      </c>
      <c r="ES56" s="1098">
        <v>506</v>
      </c>
      <c r="ET56" s="1098">
        <v>400</v>
      </c>
      <c r="EU56" s="1098">
        <v>471</v>
      </c>
      <c r="EV56" s="1098">
        <v>483</v>
      </c>
      <c r="EW56" s="1098">
        <v>465</v>
      </c>
      <c r="EX56" s="1098">
        <v>459</v>
      </c>
      <c r="EY56" s="1098">
        <v>447</v>
      </c>
      <c r="EZ56" s="1098">
        <v>591</v>
      </c>
      <c r="FA56" s="1097">
        <f t="shared" si="164"/>
        <v>5801</v>
      </c>
      <c r="FB56" s="1098">
        <v>524</v>
      </c>
      <c r="FC56" s="1098">
        <v>499</v>
      </c>
      <c r="FD56" s="1098">
        <v>495</v>
      </c>
      <c r="FE56" s="1098">
        <v>518</v>
      </c>
      <c r="FF56" s="1098">
        <v>526</v>
      </c>
      <c r="FG56" s="1098">
        <v>533</v>
      </c>
      <c r="FH56" s="1098">
        <v>512</v>
      </c>
      <c r="FI56" s="1098">
        <v>522</v>
      </c>
      <c r="FJ56" s="1098">
        <v>514</v>
      </c>
      <c r="FK56" s="1098">
        <v>532</v>
      </c>
      <c r="FL56" s="1098">
        <v>517</v>
      </c>
      <c r="FM56" s="1098">
        <v>596</v>
      </c>
      <c r="FN56" s="1097">
        <f t="shared" si="177"/>
        <v>6288</v>
      </c>
      <c r="FO56" s="1098">
        <v>1030</v>
      </c>
      <c r="FP56" s="1098">
        <v>996</v>
      </c>
      <c r="FQ56" s="1098">
        <v>991</v>
      </c>
      <c r="FR56" s="1098">
        <v>1013</v>
      </c>
      <c r="FS56" s="1098">
        <v>1011</v>
      </c>
      <c r="FT56" s="1098">
        <v>1091</v>
      </c>
      <c r="FU56" s="1098">
        <v>1045</v>
      </c>
      <c r="FV56" s="1098">
        <v>973</v>
      </c>
      <c r="FW56" s="1098">
        <v>941</v>
      </c>
      <c r="FX56" s="1098">
        <v>1016</v>
      </c>
      <c r="FY56" s="1098">
        <v>1052</v>
      </c>
      <c r="FZ56" s="1098">
        <v>1104</v>
      </c>
      <c r="GA56" s="1097">
        <f t="shared" si="190"/>
        <v>12263</v>
      </c>
      <c r="GB56" s="1098">
        <v>1003.3310000000001</v>
      </c>
      <c r="GC56" s="1098">
        <v>1020.1239999999998</v>
      </c>
      <c r="GD56" s="1098">
        <v>816.77699999999982</v>
      </c>
      <c r="GE56" s="1098">
        <v>752.69100000000026</v>
      </c>
      <c r="GF56" s="1098">
        <v>810.81299999999953</v>
      </c>
      <c r="GG56" s="1098">
        <v>837.70699999999977</v>
      </c>
      <c r="GH56" s="1098">
        <v>866.93599999999992</v>
      </c>
      <c r="GI56" s="1098">
        <v>863.85800000000017</v>
      </c>
      <c r="GJ56" s="1098">
        <v>861.01099999999997</v>
      </c>
      <c r="GK56" s="1098">
        <v>958.29400000000021</v>
      </c>
      <c r="GL56" s="1098">
        <v>910.61500000000046</v>
      </c>
      <c r="GM56" s="1098">
        <v>969.60099999999989</v>
      </c>
      <c r="GN56" s="1097">
        <f t="shared" si="203"/>
        <v>10671.758</v>
      </c>
      <c r="GO56" s="1098">
        <v>962.03099999999995</v>
      </c>
      <c r="GP56" s="1098">
        <v>950.32499999999959</v>
      </c>
      <c r="GQ56" s="1098">
        <v>945.60299999999995</v>
      </c>
      <c r="GR56" s="1098">
        <v>918.62199999999996</v>
      </c>
      <c r="GS56" s="1098">
        <v>950.20499999999993</v>
      </c>
      <c r="GT56" s="1098">
        <v>940.23900000000026</v>
      </c>
      <c r="GU56" s="1098">
        <v>896.79300000000023</v>
      </c>
      <c r="GV56" s="1098">
        <v>930.92200000000025</v>
      </c>
      <c r="GW56" s="1098">
        <v>925.37199999999984</v>
      </c>
      <c r="GX56" s="1098">
        <v>928.69099999999969</v>
      </c>
      <c r="GY56" s="1098">
        <v>928.69099999999969</v>
      </c>
      <c r="GZ56" s="1098">
        <v>1027.3074000000001</v>
      </c>
      <c r="HA56" s="1097">
        <f t="shared" si="216"/>
        <v>11304.801399999998</v>
      </c>
      <c r="HB56" s="1098">
        <v>982.62799999999993</v>
      </c>
      <c r="HC56" s="1098">
        <v>955.29500000000019</v>
      </c>
      <c r="HD56" s="1098">
        <v>977.17499999999995</v>
      </c>
      <c r="HE56" s="1098">
        <v>918.25558945274508</v>
      </c>
      <c r="HF56" s="1098">
        <v>854.69867303921569</v>
      </c>
      <c r="HG56" s="1098">
        <v>941.05364940276297</v>
      </c>
      <c r="HH56" s="1098">
        <v>837.85569026673136</v>
      </c>
      <c r="HI56" s="1098">
        <v>931.04589333333331</v>
      </c>
      <c r="HJ56" s="1098">
        <v>925.47613270588238</v>
      </c>
      <c r="HK56" s="1098">
        <v>850.1085978431372</v>
      </c>
      <c r="HL56" s="1098">
        <v>942.59559215686272</v>
      </c>
      <c r="HM56" s="1098">
        <v>1027.3095882352941</v>
      </c>
      <c r="HN56" s="1097">
        <f t="shared" si="229"/>
        <v>11143.497406435963</v>
      </c>
      <c r="HO56" s="1098">
        <v>984.20558823529416</v>
      </c>
      <c r="HP56" s="1098">
        <v>955.32254901960778</v>
      </c>
      <c r="HQ56" s="1098">
        <v>977.24853022156867</v>
      </c>
      <c r="HR56" s="1098">
        <v>920.66769773217652</v>
      </c>
      <c r="HS56" s="1098">
        <v>856.22205882352944</v>
      </c>
      <c r="HT56" s="1098">
        <v>941.07841176470595</v>
      </c>
      <c r="HU56" s="1098">
        <v>837.48841594354121</v>
      </c>
      <c r="HV56" s="1098">
        <v>931.61339883450978</v>
      </c>
      <c r="HW56" s="1098">
        <v>939.11073882352946</v>
      </c>
      <c r="HX56" s="1098">
        <v>840.91098039215683</v>
      </c>
      <c r="HY56" s="1098">
        <v>961.612156862745</v>
      </c>
      <c r="HZ56" s="1098">
        <v>1027.511542156863</v>
      </c>
      <c r="IA56" s="1097">
        <f t="shared" si="242"/>
        <v>11172.992068810228</v>
      </c>
      <c r="IB56" s="1098">
        <v>983.66375607843145</v>
      </c>
      <c r="IC56" s="1098">
        <v>955.32254901960778</v>
      </c>
      <c r="ID56" s="1098">
        <v>977.26549019607842</v>
      </c>
      <c r="IE56" s="1098">
        <v>921.80869431372548</v>
      </c>
      <c r="IF56" s="1098">
        <v>857.06364705882356</v>
      </c>
      <c r="IG56" s="1098">
        <v>960.71460186423519</v>
      </c>
      <c r="IH56" s="1098">
        <v>920.42960997635282</v>
      </c>
      <c r="II56" s="1098">
        <v>944.14723411764703</v>
      </c>
      <c r="IJ56" s="1098">
        <v>1027.6525490196079</v>
      </c>
      <c r="IK56" s="1098">
        <v>870.82443137254893</v>
      </c>
      <c r="IL56" s="1098">
        <v>1063.808627450981</v>
      </c>
      <c r="IM56" s="1098">
        <v>1069.4723264705881</v>
      </c>
      <c r="IN56" s="1097">
        <v>11552.173516938627</v>
      </c>
      <c r="IO56" s="1098">
        <v>1051.2862745098039</v>
      </c>
      <c r="IP56" s="1098">
        <v>976.88249673202347</v>
      </c>
      <c r="IQ56" s="1098">
        <v>1029.3438429917419</v>
      </c>
      <c r="IR56" s="1098">
        <v>1029.3438429917419</v>
      </c>
      <c r="IS56" s="1098">
        <v>1023.780784313725</v>
      </c>
      <c r="IT56" s="1098">
        <v>961.02666666666664</v>
      </c>
      <c r="IU56" s="1098">
        <v>921.76509803921567</v>
      </c>
      <c r="IV56" s="1098">
        <v>944.88117647058823</v>
      </c>
      <c r="IW56" s="1098">
        <v>949.5035294117647</v>
      </c>
      <c r="IX56" s="1098">
        <v>946.75411764705882</v>
      </c>
      <c r="IY56" s="1098">
        <v>1068.1027450980389</v>
      </c>
      <c r="IZ56" s="1098">
        <v>1067.547664441176</v>
      </c>
      <c r="JA56" s="1097">
        <v>11970.218239313543</v>
      </c>
      <c r="JB56" s="1098">
        <v>1072.2958326797391</v>
      </c>
      <c r="JC56" s="1098">
        <v>1052.687989542484</v>
      </c>
      <c r="JD56" s="1098"/>
      <c r="JE56" s="1098"/>
      <c r="JF56" s="1098"/>
      <c r="JG56" s="1098"/>
      <c r="JH56" s="1098"/>
      <c r="JI56" s="1098"/>
      <c r="JJ56" s="1098"/>
      <c r="JK56" s="1098"/>
      <c r="JL56" s="1098"/>
      <c r="JM56" s="1098"/>
      <c r="JN56" s="1097">
        <f t="shared" si="281"/>
        <v>2124.9838222222234</v>
      </c>
      <c r="JP56" s="1178">
        <f t="shared" si="588"/>
        <v>-0.17996370563077013</v>
      </c>
      <c r="JQ56" s="1179">
        <f t="shared" si="312"/>
        <v>3.6187538367732142</v>
      </c>
      <c r="JR56" s="1188">
        <f t="shared" si="589"/>
        <v>11552.173516938627</v>
      </c>
      <c r="JS56" s="1189">
        <f t="shared" si="590"/>
        <v>11970.218239313543</v>
      </c>
      <c r="JT56" s="1"/>
      <c r="JU56" s="49"/>
      <c r="JV56" s="1"/>
      <c r="JW56" s="1217"/>
    </row>
    <row r="57" spans="1:283" ht="15" customHeight="1" x14ac:dyDescent="0.2">
      <c r="A57" s="1162" t="s">
        <v>535</v>
      </c>
      <c r="B57" s="1098">
        <v>8</v>
      </c>
      <c r="C57" s="1098">
        <v>7</v>
      </c>
      <c r="D57" s="1098">
        <v>7</v>
      </c>
      <c r="E57" s="1098">
        <v>7</v>
      </c>
      <c r="F57" s="1098">
        <v>7</v>
      </c>
      <c r="G57" s="1098">
        <v>8</v>
      </c>
      <c r="H57" s="1098">
        <v>8</v>
      </c>
      <c r="I57" s="1098">
        <v>9</v>
      </c>
      <c r="J57" s="1098">
        <v>9</v>
      </c>
      <c r="K57" s="1098">
        <v>7</v>
      </c>
      <c r="L57" s="1098">
        <v>7</v>
      </c>
      <c r="M57" s="1098">
        <v>10</v>
      </c>
      <c r="N57" s="1097">
        <f t="shared" si="21"/>
        <v>94</v>
      </c>
      <c r="O57" s="1098">
        <v>7</v>
      </c>
      <c r="P57" s="1098">
        <v>7</v>
      </c>
      <c r="Q57" s="1098">
        <v>6</v>
      </c>
      <c r="R57" s="1098">
        <v>6</v>
      </c>
      <c r="S57" s="1098">
        <v>7</v>
      </c>
      <c r="T57" s="1098">
        <v>8</v>
      </c>
      <c r="U57" s="1098">
        <v>8</v>
      </c>
      <c r="V57" s="1098">
        <v>9</v>
      </c>
      <c r="W57" s="1098">
        <v>8</v>
      </c>
      <c r="X57" s="1098">
        <v>9</v>
      </c>
      <c r="Y57" s="1098">
        <v>8</v>
      </c>
      <c r="Z57" s="1098">
        <v>7</v>
      </c>
      <c r="AA57" s="1097">
        <f t="shared" si="34"/>
        <v>90</v>
      </c>
      <c r="AB57" s="1098">
        <v>22</v>
      </c>
      <c r="AC57" s="1098">
        <v>26</v>
      </c>
      <c r="AD57" s="1098">
        <v>34</v>
      </c>
      <c r="AE57" s="1098">
        <v>23</v>
      </c>
      <c r="AF57" s="1098">
        <v>24</v>
      </c>
      <c r="AG57" s="1098">
        <v>23</v>
      </c>
      <c r="AH57" s="1098">
        <v>20</v>
      </c>
      <c r="AI57" s="1098">
        <v>20</v>
      </c>
      <c r="AJ57" s="1098">
        <v>21</v>
      </c>
      <c r="AK57" s="1098">
        <v>19</v>
      </c>
      <c r="AL57" s="1098">
        <v>19</v>
      </c>
      <c r="AM57" s="1098">
        <v>19</v>
      </c>
      <c r="AN57" s="1097">
        <f t="shared" si="47"/>
        <v>270</v>
      </c>
      <c r="AO57" s="1098">
        <v>15</v>
      </c>
      <c r="AP57" s="1098">
        <v>17</v>
      </c>
      <c r="AQ57" s="1098">
        <v>19</v>
      </c>
      <c r="AR57" s="1098">
        <v>20</v>
      </c>
      <c r="AS57" s="1098">
        <v>21</v>
      </c>
      <c r="AT57" s="1098">
        <v>22</v>
      </c>
      <c r="AU57" s="1098">
        <v>20</v>
      </c>
      <c r="AV57" s="1098">
        <v>21</v>
      </c>
      <c r="AW57" s="1098">
        <v>20</v>
      </c>
      <c r="AX57" s="1098">
        <v>18.010000000000002</v>
      </c>
      <c r="AY57" s="1098">
        <v>20.3</v>
      </c>
      <c r="AZ57" s="1098">
        <v>22</v>
      </c>
      <c r="BA57" s="1097">
        <f t="shared" si="60"/>
        <v>235.31</v>
      </c>
      <c r="BB57" s="1098">
        <v>8</v>
      </c>
      <c r="BC57" s="1098">
        <v>7</v>
      </c>
      <c r="BD57" s="1098">
        <v>7</v>
      </c>
      <c r="BE57" s="1098">
        <v>6</v>
      </c>
      <c r="BF57" s="1098">
        <v>6</v>
      </c>
      <c r="BG57" s="1098">
        <v>6</v>
      </c>
      <c r="BH57" s="1098">
        <v>6</v>
      </c>
      <c r="BI57" s="1098">
        <v>6</v>
      </c>
      <c r="BJ57" s="1098">
        <v>7</v>
      </c>
      <c r="BK57" s="1098">
        <v>8</v>
      </c>
      <c r="BL57" s="1098">
        <v>7</v>
      </c>
      <c r="BM57" s="1098">
        <v>9</v>
      </c>
      <c r="BN57" s="1097">
        <f t="shared" si="73"/>
        <v>83</v>
      </c>
      <c r="BO57" s="1098">
        <v>9</v>
      </c>
      <c r="BP57" s="1098">
        <v>8</v>
      </c>
      <c r="BQ57" s="1098">
        <v>9</v>
      </c>
      <c r="BR57" s="1098">
        <v>9</v>
      </c>
      <c r="BS57" s="1098">
        <v>9</v>
      </c>
      <c r="BT57" s="1098">
        <v>10</v>
      </c>
      <c r="BU57" s="1098">
        <v>9</v>
      </c>
      <c r="BV57" s="1098">
        <v>9</v>
      </c>
      <c r="BW57" s="1098">
        <v>8</v>
      </c>
      <c r="BX57" s="1098">
        <v>9</v>
      </c>
      <c r="BY57" s="1098">
        <v>8</v>
      </c>
      <c r="BZ57" s="1098">
        <v>9</v>
      </c>
      <c r="CA57" s="1097">
        <f t="shared" si="86"/>
        <v>106</v>
      </c>
      <c r="CB57" s="1098">
        <v>8</v>
      </c>
      <c r="CC57" s="1098">
        <v>9</v>
      </c>
      <c r="CD57" s="1098">
        <v>10</v>
      </c>
      <c r="CE57" s="1098">
        <v>9</v>
      </c>
      <c r="CF57" s="1098">
        <v>8</v>
      </c>
      <c r="CG57" s="1098">
        <v>8</v>
      </c>
      <c r="CH57" s="1098">
        <v>7</v>
      </c>
      <c r="CI57" s="1098">
        <v>7</v>
      </c>
      <c r="CJ57" s="1098">
        <v>7</v>
      </c>
      <c r="CK57" s="1098">
        <v>6</v>
      </c>
      <c r="CL57" s="1098">
        <v>7</v>
      </c>
      <c r="CM57" s="1098">
        <v>7</v>
      </c>
      <c r="CN57" s="1097">
        <f t="shared" si="99"/>
        <v>93</v>
      </c>
      <c r="CO57" s="1098">
        <v>7</v>
      </c>
      <c r="CP57" s="1098">
        <v>7</v>
      </c>
      <c r="CQ57" s="1098">
        <v>7</v>
      </c>
      <c r="CR57" s="1098">
        <v>7</v>
      </c>
      <c r="CS57" s="1098">
        <v>7</v>
      </c>
      <c r="CT57" s="1098">
        <v>6</v>
      </c>
      <c r="CU57" s="1098">
        <v>6</v>
      </c>
      <c r="CV57" s="1098">
        <v>5</v>
      </c>
      <c r="CW57" s="1098">
        <v>5</v>
      </c>
      <c r="CX57" s="1098">
        <v>5</v>
      </c>
      <c r="CY57" s="1098">
        <v>6</v>
      </c>
      <c r="CZ57" s="1098">
        <v>6</v>
      </c>
      <c r="DA57" s="1097">
        <f t="shared" si="112"/>
        <v>74</v>
      </c>
      <c r="DB57" s="1098">
        <v>6</v>
      </c>
      <c r="DC57" s="1098">
        <v>5</v>
      </c>
      <c r="DD57" s="1098">
        <v>6</v>
      </c>
      <c r="DE57" s="1098">
        <v>5</v>
      </c>
      <c r="DF57" s="1098">
        <v>5</v>
      </c>
      <c r="DG57" s="1098">
        <v>5</v>
      </c>
      <c r="DH57" s="1098">
        <v>5</v>
      </c>
      <c r="DI57" s="1098">
        <v>5</v>
      </c>
      <c r="DJ57" s="1098">
        <v>5</v>
      </c>
      <c r="DK57" s="1098">
        <v>5</v>
      </c>
      <c r="DL57" s="1098">
        <v>5</v>
      </c>
      <c r="DM57" s="1098">
        <v>6</v>
      </c>
      <c r="DN57" s="1097">
        <f t="shared" si="125"/>
        <v>63</v>
      </c>
      <c r="DO57" s="1098">
        <v>5</v>
      </c>
      <c r="DP57" s="1098">
        <v>5</v>
      </c>
      <c r="DQ57" s="1098">
        <v>6</v>
      </c>
      <c r="DR57" s="1098">
        <v>6</v>
      </c>
      <c r="DS57" s="1098">
        <v>5</v>
      </c>
      <c r="DT57" s="1098">
        <v>5</v>
      </c>
      <c r="DU57" s="1098">
        <v>5</v>
      </c>
      <c r="DV57" s="1098">
        <v>5</v>
      </c>
      <c r="DW57" s="1098">
        <v>5</v>
      </c>
      <c r="DX57" s="1098">
        <v>5</v>
      </c>
      <c r="DY57" s="1098">
        <v>5</v>
      </c>
      <c r="DZ57" s="1098">
        <v>6</v>
      </c>
      <c r="EA57" s="1097">
        <f t="shared" si="138"/>
        <v>63</v>
      </c>
      <c r="EB57" s="1098">
        <v>5</v>
      </c>
      <c r="EC57" s="1098">
        <v>4</v>
      </c>
      <c r="ED57" s="1098">
        <v>5</v>
      </c>
      <c r="EE57" s="1098">
        <v>5</v>
      </c>
      <c r="EF57" s="1098">
        <v>5</v>
      </c>
      <c r="EG57" s="1098">
        <v>5</v>
      </c>
      <c r="EH57" s="1098">
        <v>4</v>
      </c>
      <c r="EI57" s="1098">
        <v>4</v>
      </c>
      <c r="EJ57" s="1098">
        <v>4</v>
      </c>
      <c r="EK57" s="1098">
        <v>4</v>
      </c>
      <c r="EL57" s="1098">
        <v>5</v>
      </c>
      <c r="EM57" s="1098">
        <v>6</v>
      </c>
      <c r="EN57" s="1097">
        <f t="shared" si="151"/>
        <v>56</v>
      </c>
      <c r="EO57" s="1098">
        <v>5</v>
      </c>
      <c r="EP57" s="1098">
        <v>6</v>
      </c>
      <c r="EQ57" s="1098">
        <v>5</v>
      </c>
      <c r="ER57" s="1098">
        <v>4</v>
      </c>
      <c r="ES57" s="1098">
        <v>5</v>
      </c>
      <c r="ET57" s="1098">
        <v>5</v>
      </c>
      <c r="EU57" s="1098">
        <v>5</v>
      </c>
      <c r="EV57" s="1098">
        <v>5</v>
      </c>
      <c r="EW57" s="1098">
        <v>4</v>
      </c>
      <c r="EX57" s="1098">
        <v>4</v>
      </c>
      <c r="EY57" s="1098">
        <v>5</v>
      </c>
      <c r="EZ57" s="1098">
        <v>6</v>
      </c>
      <c r="FA57" s="1097">
        <f t="shared" si="164"/>
        <v>59</v>
      </c>
      <c r="FB57" s="1098">
        <v>6</v>
      </c>
      <c r="FC57" s="1098">
        <v>5</v>
      </c>
      <c r="FD57" s="1098">
        <v>6</v>
      </c>
      <c r="FE57" s="1098">
        <v>6</v>
      </c>
      <c r="FF57" s="1098">
        <v>5</v>
      </c>
      <c r="FG57" s="1098">
        <v>6</v>
      </c>
      <c r="FH57" s="1098">
        <v>5</v>
      </c>
      <c r="FI57" s="1098">
        <v>5</v>
      </c>
      <c r="FJ57" s="1098">
        <v>6</v>
      </c>
      <c r="FK57" s="1098">
        <v>6</v>
      </c>
      <c r="FL57" s="1098">
        <v>6</v>
      </c>
      <c r="FM57" s="1098">
        <v>7</v>
      </c>
      <c r="FN57" s="1097">
        <f t="shared" si="177"/>
        <v>69</v>
      </c>
      <c r="FO57" s="1098">
        <v>14</v>
      </c>
      <c r="FP57" s="1098">
        <v>13</v>
      </c>
      <c r="FQ57" s="1098">
        <v>14</v>
      </c>
      <c r="FR57" s="1098">
        <v>14</v>
      </c>
      <c r="FS57" s="1098">
        <v>15</v>
      </c>
      <c r="FT57" s="1098">
        <v>16</v>
      </c>
      <c r="FU57" s="1098">
        <v>15</v>
      </c>
      <c r="FV57" s="1098">
        <v>14</v>
      </c>
      <c r="FW57" s="1098">
        <v>14</v>
      </c>
      <c r="FX57" s="1098">
        <v>17</v>
      </c>
      <c r="FY57" s="1098">
        <v>13</v>
      </c>
      <c r="FZ57" s="1098">
        <v>18</v>
      </c>
      <c r="GA57" s="1097">
        <f t="shared" si="190"/>
        <v>177</v>
      </c>
      <c r="GB57" s="1098">
        <v>14.424999999999999</v>
      </c>
      <c r="GC57" s="1098">
        <v>12.450000000000001</v>
      </c>
      <c r="GD57" s="1098">
        <v>14.276249999999999</v>
      </c>
      <c r="GE57" s="1098">
        <v>13.188699999999999</v>
      </c>
      <c r="GF57" s="1098">
        <v>13.975</v>
      </c>
      <c r="GG57" s="1098">
        <v>15.741199999999999</v>
      </c>
      <c r="GH57" s="1098">
        <v>15.057804999999998</v>
      </c>
      <c r="GI57" s="1098">
        <v>12.984299999999999</v>
      </c>
      <c r="GJ57" s="1098">
        <v>13.141</v>
      </c>
      <c r="GK57" s="1098">
        <v>14.68231171402155</v>
      </c>
      <c r="GL57" s="1098">
        <v>11.18</v>
      </c>
      <c r="GM57" s="1098">
        <v>16.799556159527196</v>
      </c>
      <c r="GN57" s="1097">
        <f t="shared" si="203"/>
        <v>167.90112287354876</v>
      </c>
      <c r="GO57" s="1098">
        <v>12.764999999999999</v>
      </c>
      <c r="GP57" s="1098">
        <v>12.856</v>
      </c>
      <c r="GQ57" s="1098">
        <v>12.675000000000001</v>
      </c>
      <c r="GR57" s="1098">
        <v>12.473000000000001</v>
      </c>
      <c r="GS57" s="1098">
        <v>12.158999999999999</v>
      </c>
      <c r="GT57" s="1098">
        <v>12.2</v>
      </c>
      <c r="GU57" s="1098">
        <v>12.765999999999998</v>
      </c>
      <c r="GV57" s="1098">
        <v>12.381999999999994</v>
      </c>
      <c r="GW57" s="1098">
        <v>12.300999999999993</v>
      </c>
      <c r="GX57" s="1098">
        <v>12.173999999999999</v>
      </c>
      <c r="GY57" s="1098">
        <v>11.923999999999998</v>
      </c>
      <c r="GZ57" s="1098">
        <v>14.7803</v>
      </c>
      <c r="HA57" s="1097">
        <f t="shared" si="216"/>
        <v>151.45529999999999</v>
      </c>
      <c r="HB57" s="1098">
        <v>11.774699999999999</v>
      </c>
      <c r="HC57" s="1098">
        <v>12.0266</v>
      </c>
      <c r="HD57" s="1098">
        <v>12.195</v>
      </c>
      <c r="HE57" s="1098">
        <v>12.337499999999999</v>
      </c>
      <c r="HF57" s="1098">
        <v>11.325274999999998</v>
      </c>
      <c r="HG57" s="1098">
        <v>12.0501725</v>
      </c>
      <c r="HH57" s="1098">
        <v>11.506841705596999</v>
      </c>
      <c r="HI57" s="1098">
        <v>12.569453299999999</v>
      </c>
      <c r="HJ57" s="1098">
        <v>12.308709800000001</v>
      </c>
      <c r="HK57" s="1098">
        <v>11.275621499999998</v>
      </c>
      <c r="HL57" s="1098">
        <v>11.438877</v>
      </c>
      <c r="HM57" s="1098">
        <v>14.695992899999998</v>
      </c>
      <c r="HN57" s="1097">
        <f t="shared" si="229"/>
        <v>145.50474370559698</v>
      </c>
      <c r="HO57" s="1098">
        <v>11.009249999999998</v>
      </c>
      <c r="HP57" s="1098">
        <v>11.944999999999999</v>
      </c>
      <c r="HQ57" s="1098">
        <v>9.7922499999999992</v>
      </c>
      <c r="HR57" s="1098">
        <v>11.078775</v>
      </c>
      <c r="HS57" s="1098">
        <v>11.325275</v>
      </c>
      <c r="HT57" s="1098">
        <v>11.33</v>
      </c>
      <c r="HU57" s="1098">
        <v>11.55345</v>
      </c>
      <c r="HV57" s="1098">
        <v>14.622</v>
      </c>
      <c r="HW57" s="1098">
        <v>12.455312299999999</v>
      </c>
      <c r="HX57" s="1098">
        <v>11.455465</v>
      </c>
      <c r="HY57" s="1098">
        <v>11.5662</v>
      </c>
      <c r="HZ57" s="1098">
        <v>15.05206315</v>
      </c>
      <c r="IA57" s="1097">
        <f t="shared" si="242"/>
        <v>143.18504045</v>
      </c>
      <c r="IB57" s="1098">
        <v>11.061683408556251</v>
      </c>
      <c r="IC57" s="1098">
        <v>11.945992602453749</v>
      </c>
      <c r="ID57" s="1098">
        <v>10.042249999999999</v>
      </c>
      <c r="IE57" s="1098">
        <v>11.39411685</v>
      </c>
      <c r="IF57" s="1098">
        <v>11.3956</v>
      </c>
      <c r="IG57" s="1098">
        <v>12.520123</v>
      </c>
      <c r="IH57" s="1098">
        <v>12.516</v>
      </c>
      <c r="II57" s="1098">
        <v>14.852499999999999</v>
      </c>
      <c r="IJ57" s="1098">
        <v>13.673</v>
      </c>
      <c r="IK57" s="1098">
        <v>12.577500000000001</v>
      </c>
      <c r="IL57" s="1098">
        <v>12.15</v>
      </c>
      <c r="IM57" s="1098">
        <v>15.702999999999999</v>
      </c>
      <c r="IN57" s="1097">
        <v>149.83176586101001</v>
      </c>
      <c r="IO57" s="1098">
        <v>11.30625</v>
      </c>
      <c r="IP57" s="1098">
        <v>12.35912385</v>
      </c>
      <c r="IQ57" s="1098">
        <v>10.32925</v>
      </c>
      <c r="IR57" s="1098">
        <v>11.56</v>
      </c>
      <c r="IS57" s="1098">
        <v>12.811</v>
      </c>
      <c r="IT57" s="1098">
        <v>12.473000000000001</v>
      </c>
      <c r="IU57" s="1098">
        <v>12.798</v>
      </c>
      <c r="IV57" s="1098">
        <v>15.746</v>
      </c>
      <c r="IW57" s="1098">
        <v>14.23</v>
      </c>
      <c r="IX57" s="1098">
        <v>12.8215</v>
      </c>
      <c r="IY57" s="1098">
        <v>12.494999999999999</v>
      </c>
      <c r="IZ57" s="1098">
        <v>16.803000000000001</v>
      </c>
      <c r="JA57" s="1097">
        <v>155.73212384999999</v>
      </c>
      <c r="JB57" s="1098">
        <v>11.400437500000001</v>
      </c>
      <c r="JC57" s="1098">
        <v>11.996874999999999</v>
      </c>
      <c r="JD57" s="1098"/>
      <c r="JE57" s="1098"/>
      <c r="JF57" s="1098"/>
      <c r="JG57" s="1098"/>
      <c r="JH57" s="1098"/>
      <c r="JI57" s="1098"/>
      <c r="JJ57" s="1098"/>
      <c r="JK57" s="1098"/>
      <c r="JL57" s="1098"/>
      <c r="JM57" s="1098"/>
      <c r="JN57" s="1097">
        <f t="shared" si="281"/>
        <v>23.397312499999998</v>
      </c>
      <c r="JP57" s="1178">
        <f t="shared" si="588"/>
        <v>7.0050308858180088</v>
      </c>
      <c r="JQ57" s="1179">
        <f t="shared" si="312"/>
        <v>3.9379886869006064</v>
      </c>
      <c r="JR57" s="1188">
        <f t="shared" si="589"/>
        <v>149.83176586101001</v>
      </c>
      <c r="JS57" s="1189">
        <f t="shared" si="590"/>
        <v>155.73212384999999</v>
      </c>
      <c r="JT57" s="1"/>
      <c r="JU57" s="49"/>
      <c r="JV57" s="1"/>
      <c r="JW57" s="1217"/>
    </row>
    <row r="58" spans="1:283" ht="15" customHeight="1" x14ac:dyDescent="0.2">
      <c r="A58" s="1163" t="s">
        <v>536</v>
      </c>
      <c r="B58" s="1099">
        <v>1207</v>
      </c>
      <c r="C58" s="1099">
        <v>1178</v>
      </c>
      <c r="D58" s="1099">
        <v>1143</v>
      </c>
      <c r="E58" s="1099">
        <v>906</v>
      </c>
      <c r="F58" s="1099">
        <v>910</v>
      </c>
      <c r="G58" s="1099">
        <v>927</v>
      </c>
      <c r="H58" s="1099">
        <v>906</v>
      </c>
      <c r="I58" s="1099">
        <v>964</v>
      </c>
      <c r="J58" s="1099">
        <v>954</v>
      </c>
      <c r="K58" s="1099">
        <v>919</v>
      </c>
      <c r="L58" s="1099">
        <v>982</v>
      </c>
      <c r="M58" s="1099">
        <v>1045</v>
      </c>
      <c r="N58" s="1100">
        <f t="shared" si="21"/>
        <v>12041</v>
      </c>
      <c r="O58" s="1099">
        <v>955</v>
      </c>
      <c r="P58" s="1099">
        <v>928</v>
      </c>
      <c r="Q58" s="1099">
        <v>996</v>
      </c>
      <c r="R58" s="1099">
        <v>1060</v>
      </c>
      <c r="S58" s="1099">
        <v>1192</v>
      </c>
      <c r="T58" s="1099">
        <v>1282</v>
      </c>
      <c r="U58" s="1099">
        <v>1233</v>
      </c>
      <c r="V58" s="1099">
        <v>1169</v>
      </c>
      <c r="W58" s="1099">
        <v>1213</v>
      </c>
      <c r="X58" s="1099">
        <v>1241</v>
      </c>
      <c r="Y58" s="1099">
        <v>1244</v>
      </c>
      <c r="Z58" s="1099">
        <v>1327</v>
      </c>
      <c r="AA58" s="1100">
        <f t="shared" si="34"/>
        <v>13840</v>
      </c>
      <c r="AB58" s="1099">
        <v>1795</v>
      </c>
      <c r="AC58" s="1099">
        <v>1919</v>
      </c>
      <c r="AD58" s="1099">
        <v>2189</v>
      </c>
      <c r="AE58" s="1099">
        <v>1850</v>
      </c>
      <c r="AF58" s="1099">
        <v>1862</v>
      </c>
      <c r="AG58" s="1099">
        <v>1872</v>
      </c>
      <c r="AH58" s="1099">
        <v>1852</v>
      </c>
      <c r="AI58" s="1099">
        <v>1847</v>
      </c>
      <c r="AJ58" s="1099">
        <v>1824</v>
      </c>
      <c r="AK58" s="1099">
        <v>1828</v>
      </c>
      <c r="AL58" s="1099">
        <v>1897</v>
      </c>
      <c r="AM58" s="1099">
        <v>1926</v>
      </c>
      <c r="AN58" s="1100">
        <f t="shared" si="47"/>
        <v>22661</v>
      </c>
      <c r="AO58" s="1099">
        <v>2282</v>
      </c>
      <c r="AP58" s="1099">
        <v>2562</v>
      </c>
      <c r="AQ58" s="1099">
        <v>3017</v>
      </c>
      <c r="AR58" s="1099">
        <v>3027</v>
      </c>
      <c r="AS58" s="1099">
        <v>3132</v>
      </c>
      <c r="AT58" s="1099">
        <v>2843</v>
      </c>
      <c r="AU58" s="1099">
        <v>2749</v>
      </c>
      <c r="AV58" s="1099">
        <v>2756</v>
      </c>
      <c r="AW58" s="1099">
        <v>2373</v>
      </c>
      <c r="AX58" s="1099">
        <v>2260</v>
      </c>
      <c r="AY58" s="1099">
        <v>2422</v>
      </c>
      <c r="AZ58" s="1099">
        <v>2426</v>
      </c>
      <c r="BA58" s="1100">
        <f t="shared" si="60"/>
        <v>31849</v>
      </c>
      <c r="BB58" s="1099">
        <v>2141</v>
      </c>
      <c r="BC58" s="1099">
        <v>2198</v>
      </c>
      <c r="BD58" s="1099">
        <v>2274</v>
      </c>
      <c r="BE58" s="1099">
        <v>2406</v>
      </c>
      <c r="BF58" s="1099">
        <v>2423</v>
      </c>
      <c r="BG58" s="1099">
        <v>2732</v>
      </c>
      <c r="BH58" s="1099">
        <v>2636</v>
      </c>
      <c r="BI58" s="1099">
        <v>2666</v>
      </c>
      <c r="BJ58" s="1099">
        <v>3095</v>
      </c>
      <c r="BK58" s="1099">
        <v>2454</v>
      </c>
      <c r="BL58" s="1099">
        <v>2133</v>
      </c>
      <c r="BM58" s="1099">
        <v>2163</v>
      </c>
      <c r="BN58" s="1100">
        <f t="shared" si="73"/>
        <v>29321</v>
      </c>
      <c r="BO58" s="1099">
        <v>2518</v>
      </c>
      <c r="BP58" s="1099">
        <v>2625</v>
      </c>
      <c r="BQ58" s="1099">
        <v>2897</v>
      </c>
      <c r="BR58" s="1099">
        <v>2899</v>
      </c>
      <c r="BS58" s="1099">
        <v>2982</v>
      </c>
      <c r="BT58" s="1099">
        <v>2953</v>
      </c>
      <c r="BU58" s="1099">
        <v>2967</v>
      </c>
      <c r="BV58" s="1099">
        <v>2767</v>
      </c>
      <c r="BW58" s="1099">
        <v>2498</v>
      </c>
      <c r="BX58" s="1099">
        <v>2421</v>
      </c>
      <c r="BY58" s="1099">
        <v>2564</v>
      </c>
      <c r="BZ58" s="1099">
        <v>2857</v>
      </c>
      <c r="CA58" s="1100">
        <f t="shared" si="86"/>
        <v>32948</v>
      </c>
      <c r="CB58" s="1099">
        <v>2813</v>
      </c>
      <c r="CC58" s="1099">
        <v>2742</v>
      </c>
      <c r="CD58" s="1099">
        <v>2930</v>
      </c>
      <c r="CE58" s="1099">
        <v>2918</v>
      </c>
      <c r="CF58" s="1099">
        <v>3003</v>
      </c>
      <c r="CG58" s="1099">
        <v>3021</v>
      </c>
      <c r="CH58" s="1099">
        <v>2878</v>
      </c>
      <c r="CI58" s="1099">
        <v>2671</v>
      </c>
      <c r="CJ58" s="1099">
        <v>2347</v>
      </c>
      <c r="CK58" s="1099">
        <v>2071</v>
      </c>
      <c r="CL58" s="1099">
        <v>2319</v>
      </c>
      <c r="CM58" s="1099">
        <v>2330</v>
      </c>
      <c r="CN58" s="1100">
        <f t="shared" si="99"/>
        <v>32043</v>
      </c>
      <c r="CO58" s="1099">
        <v>2631</v>
      </c>
      <c r="CP58" s="1099">
        <v>2735</v>
      </c>
      <c r="CQ58" s="1099">
        <v>2967</v>
      </c>
      <c r="CR58" s="1099">
        <v>2941</v>
      </c>
      <c r="CS58" s="1099">
        <v>2988</v>
      </c>
      <c r="CT58" s="1099">
        <v>2865</v>
      </c>
      <c r="CU58" s="1099">
        <v>2741</v>
      </c>
      <c r="CV58" s="1099">
        <v>2560</v>
      </c>
      <c r="CW58" s="1099">
        <v>2306</v>
      </c>
      <c r="CX58" s="1099">
        <v>2284</v>
      </c>
      <c r="CY58" s="1099">
        <v>2324</v>
      </c>
      <c r="CZ58" s="1099">
        <v>2388</v>
      </c>
      <c r="DA58" s="1100">
        <f t="shared" si="112"/>
        <v>31730</v>
      </c>
      <c r="DB58" s="1099">
        <v>2623</v>
      </c>
      <c r="DC58" s="1099">
        <v>2441</v>
      </c>
      <c r="DD58" s="1099">
        <v>2899</v>
      </c>
      <c r="DE58" s="1099">
        <v>3014</v>
      </c>
      <c r="DF58" s="1099">
        <v>2677</v>
      </c>
      <c r="DG58" s="1099">
        <v>2596</v>
      </c>
      <c r="DH58" s="1099">
        <v>2762</v>
      </c>
      <c r="DI58" s="1099">
        <v>2606</v>
      </c>
      <c r="DJ58" s="1099">
        <v>2469</v>
      </c>
      <c r="DK58" s="1099">
        <v>2394</v>
      </c>
      <c r="DL58" s="1099">
        <v>2413</v>
      </c>
      <c r="DM58" s="1099">
        <v>2446</v>
      </c>
      <c r="DN58" s="1100">
        <f t="shared" si="125"/>
        <v>31340</v>
      </c>
      <c r="DO58" s="1099">
        <v>2596</v>
      </c>
      <c r="DP58" s="1099">
        <v>2686</v>
      </c>
      <c r="DQ58" s="1099">
        <v>2970</v>
      </c>
      <c r="DR58" s="1099">
        <v>2641</v>
      </c>
      <c r="DS58" s="1099">
        <v>2912</v>
      </c>
      <c r="DT58" s="1099">
        <v>2542</v>
      </c>
      <c r="DU58" s="1099">
        <v>2771</v>
      </c>
      <c r="DV58" s="1099">
        <v>2531</v>
      </c>
      <c r="DW58" s="1099">
        <v>2423</v>
      </c>
      <c r="DX58" s="1099">
        <v>2316</v>
      </c>
      <c r="DY58" s="1099">
        <v>2252</v>
      </c>
      <c r="DZ58" s="1099">
        <v>2398</v>
      </c>
      <c r="EA58" s="1100">
        <f t="shared" si="138"/>
        <v>31038</v>
      </c>
      <c r="EB58" s="1099">
        <v>2506</v>
      </c>
      <c r="EC58" s="1099">
        <v>2661</v>
      </c>
      <c r="ED58" s="1099">
        <v>3027</v>
      </c>
      <c r="EE58" s="1099">
        <v>2956</v>
      </c>
      <c r="EF58" s="1099">
        <v>2758</v>
      </c>
      <c r="EG58" s="1099">
        <v>2947</v>
      </c>
      <c r="EH58" s="1099">
        <v>2891</v>
      </c>
      <c r="EI58" s="1099">
        <v>2704</v>
      </c>
      <c r="EJ58" s="1099">
        <v>2587</v>
      </c>
      <c r="EK58" s="1099">
        <v>2541</v>
      </c>
      <c r="EL58" s="1099">
        <v>2602</v>
      </c>
      <c r="EM58" s="1099">
        <v>2630</v>
      </c>
      <c r="EN58" s="1100">
        <f t="shared" si="151"/>
        <v>32810</v>
      </c>
      <c r="EO58" s="1099">
        <v>2790</v>
      </c>
      <c r="EP58" s="1099">
        <v>2684</v>
      </c>
      <c r="EQ58" s="1099">
        <v>2650</v>
      </c>
      <c r="ER58" s="1099">
        <v>2950</v>
      </c>
      <c r="ES58" s="1099">
        <v>3124</v>
      </c>
      <c r="ET58" s="1099">
        <v>2948</v>
      </c>
      <c r="EU58" s="1099">
        <v>2920</v>
      </c>
      <c r="EV58" s="1099">
        <v>2893</v>
      </c>
      <c r="EW58" s="1099">
        <v>2759</v>
      </c>
      <c r="EX58" s="1099">
        <v>2624</v>
      </c>
      <c r="EY58" s="1099">
        <v>2592</v>
      </c>
      <c r="EZ58" s="1099">
        <v>2830</v>
      </c>
      <c r="FA58" s="1100">
        <f t="shared" si="164"/>
        <v>33764</v>
      </c>
      <c r="FB58" s="1099">
        <v>2778</v>
      </c>
      <c r="FC58" s="1099">
        <v>2873</v>
      </c>
      <c r="FD58" s="1099">
        <v>3176</v>
      </c>
      <c r="FE58" s="1099">
        <v>3234</v>
      </c>
      <c r="FF58" s="1099">
        <v>3205</v>
      </c>
      <c r="FG58" s="1099">
        <v>3134</v>
      </c>
      <c r="FH58" s="1099">
        <v>3035</v>
      </c>
      <c r="FI58" s="1099">
        <v>2862</v>
      </c>
      <c r="FJ58" s="1099">
        <v>2734</v>
      </c>
      <c r="FK58" s="1099">
        <v>2677</v>
      </c>
      <c r="FL58" s="1099">
        <v>2640</v>
      </c>
      <c r="FM58" s="1099">
        <v>2641</v>
      </c>
      <c r="FN58" s="1100">
        <f t="shared" si="177"/>
        <v>34989</v>
      </c>
      <c r="FO58" s="1099">
        <v>2624</v>
      </c>
      <c r="FP58" s="1099">
        <v>2809</v>
      </c>
      <c r="FQ58" s="1099">
        <v>3155</v>
      </c>
      <c r="FR58" s="1099">
        <v>2980</v>
      </c>
      <c r="FS58" s="1099">
        <v>3056</v>
      </c>
      <c r="FT58" s="1099">
        <v>3085</v>
      </c>
      <c r="FU58" s="1099">
        <v>2958</v>
      </c>
      <c r="FV58" s="1099">
        <v>2762</v>
      </c>
      <c r="FW58" s="1099">
        <v>2606</v>
      </c>
      <c r="FX58" s="1099">
        <v>2669</v>
      </c>
      <c r="FY58" s="1099">
        <v>2619</v>
      </c>
      <c r="FZ58" s="1099">
        <v>2442</v>
      </c>
      <c r="GA58" s="1100">
        <f t="shared" si="190"/>
        <v>33765</v>
      </c>
      <c r="GB58" s="1099">
        <v>2485.4934852000006</v>
      </c>
      <c r="GC58" s="1099">
        <v>2929.6942397999997</v>
      </c>
      <c r="GD58" s="1099">
        <v>2958.5470248000011</v>
      </c>
      <c r="GE58" s="1099">
        <v>2993.6958074999998</v>
      </c>
      <c r="GF58" s="1099">
        <v>2922.3287793000004</v>
      </c>
      <c r="GG58" s="1099">
        <v>2882.9238237</v>
      </c>
      <c r="GH58" s="1099">
        <v>2718.4598523</v>
      </c>
      <c r="GI58" s="1099">
        <v>2627.3160206999987</v>
      </c>
      <c r="GJ58" s="1099">
        <v>2649.0624525000003</v>
      </c>
      <c r="GK58" s="1099">
        <v>2508.9256628999997</v>
      </c>
      <c r="GL58" s="1099">
        <v>2488.0907520000001</v>
      </c>
      <c r="GM58" s="1099">
        <v>2532.0907520000001</v>
      </c>
      <c r="GN58" s="1100">
        <f t="shared" si="203"/>
        <v>32696.628652700005</v>
      </c>
      <c r="GO58" s="1099">
        <v>2758.5739980000008</v>
      </c>
      <c r="GP58" s="1099">
        <v>2861.5655367000008</v>
      </c>
      <c r="GQ58" s="1099">
        <v>3114.0681813000006</v>
      </c>
      <c r="GR58" s="1099">
        <v>3097.0507158000005</v>
      </c>
      <c r="GS58" s="1099">
        <v>3045.0155696999982</v>
      </c>
      <c r="GT58" s="1099">
        <v>3160.5898130999994</v>
      </c>
      <c r="GU58" s="1099">
        <v>2979.0319860000004</v>
      </c>
      <c r="GV58" s="1099">
        <v>2836.928664900001</v>
      </c>
      <c r="GW58" s="1099">
        <v>2656.9481922</v>
      </c>
      <c r="GX58" s="1099">
        <v>2559.1078304999992</v>
      </c>
      <c r="GY58" s="1099">
        <v>2559.1078304999992</v>
      </c>
      <c r="GZ58" s="1099">
        <v>2554.7448145500007</v>
      </c>
      <c r="HA58" s="1100">
        <f t="shared" si="216"/>
        <v>34182.733133250003</v>
      </c>
      <c r="HB58" s="1099">
        <v>2776.934485799999</v>
      </c>
      <c r="HC58" s="1099">
        <v>2966.039458199999</v>
      </c>
      <c r="HD58" s="1099">
        <v>3168.9886058999996</v>
      </c>
      <c r="HE58" s="1099">
        <v>3100.0507158</v>
      </c>
      <c r="HF58" s="1099">
        <v>3043.7925789701499</v>
      </c>
      <c r="HG58" s="1099">
        <v>3158.8827283536525</v>
      </c>
      <c r="HH58" s="1099">
        <v>2775.5306436219857</v>
      </c>
      <c r="HI58" s="1099">
        <v>2836.5842772000001</v>
      </c>
      <c r="HJ58" s="1099">
        <v>2656.9481922</v>
      </c>
      <c r="HK58" s="1099">
        <v>2464.3584000000001</v>
      </c>
      <c r="HL58" s="1099">
        <v>2557.8139930000002</v>
      </c>
      <c r="HM58" s="1099">
        <v>2504.7455</v>
      </c>
      <c r="HN58" s="1100">
        <f t="shared" si="229"/>
        <v>34010.669579045789</v>
      </c>
      <c r="HO58" s="1099">
        <v>2776.934485799999</v>
      </c>
      <c r="HP58" s="1099">
        <v>2966.04736</v>
      </c>
      <c r="HQ58" s="1099">
        <v>3168.63456</v>
      </c>
      <c r="HR58" s="1099">
        <v>3134.9713199999997</v>
      </c>
      <c r="HS58" s="1099">
        <v>3158.8998353649999</v>
      </c>
      <c r="HT58" s="1099">
        <v>3247.1320000000001</v>
      </c>
      <c r="HU58" s="1099">
        <v>3158.882728353653</v>
      </c>
      <c r="HV58" s="1099">
        <v>2648.5842772000001</v>
      </c>
      <c r="HW58" s="1099">
        <v>2612.8644359999998</v>
      </c>
      <c r="HX58" s="1099">
        <v>2458.1975040000002</v>
      </c>
      <c r="HY58" s="1099">
        <v>2561.1124</v>
      </c>
      <c r="HZ58" s="1099">
        <v>2554.994767782222</v>
      </c>
      <c r="IA58" s="1100">
        <f t="shared" si="242"/>
        <v>34447.25567450087</v>
      </c>
      <c r="IB58" s="1099">
        <v>2657.0768813878481</v>
      </c>
      <c r="IC58" s="1099">
        <v>2966.04736</v>
      </c>
      <c r="ID58" s="1099">
        <v>2967.1022200000002</v>
      </c>
      <c r="IE58" s="1099">
        <v>3006.9946439999999</v>
      </c>
      <c r="IF58" s="1099">
        <v>3140.3700720000002</v>
      </c>
      <c r="IG58" s="1099">
        <v>3221.0279999999998</v>
      </c>
      <c r="IH58" s="1099">
        <v>3158.5447524000001</v>
      </c>
      <c r="II58" s="1099">
        <v>2651.046468</v>
      </c>
      <c r="IJ58" s="1099">
        <v>2622.1235999999999</v>
      </c>
      <c r="IK58" s="1099">
        <v>2460.2120399999999</v>
      </c>
      <c r="IL58" s="1099">
        <v>2574.4881999999998</v>
      </c>
      <c r="IM58" s="1099">
        <v>2577.1122</v>
      </c>
      <c r="IN58" s="1100">
        <v>34002.146437787851</v>
      </c>
      <c r="IO58" s="1099">
        <v>2758.2485000000001</v>
      </c>
      <c r="IP58" s="1099">
        <v>2982.1417934000001</v>
      </c>
      <c r="IQ58" s="1099">
        <v>2968.8219692840298</v>
      </c>
      <c r="IR58" s="1099">
        <v>3054.0243999999998</v>
      </c>
      <c r="IS58" s="1099">
        <v>3060.1214</v>
      </c>
      <c r="IT58" s="1099">
        <v>3111.1421999999998</v>
      </c>
      <c r="IU58" s="1099">
        <v>3166.01424</v>
      </c>
      <c r="IV58" s="1099">
        <v>2652.7628</v>
      </c>
      <c r="IW58" s="1099">
        <v>2512.1421999999998</v>
      </c>
      <c r="IX58" s="1099">
        <v>2492.404</v>
      </c>
      <c r="IY58" s="1099">
        <v>2585.1248282000001</v>
      </c>
      <c r="IZ58" s="1099">
        <v>2618.614</v>
      </c>
      <c r="JA58" s="1100">
        <v>33961.56233088403</v>
      </c>
      <c r="JB58" s="1099">
        <v>2860.2485000000001</v>
      </c>
      <c r="JC58" s="1099">
        <v>3012.47</v>
      </c>
      <c r="JD58" s="1099"/>
      <c r="JE58" s="1099"/>
      <c r="JF58" s="1099"/>
      <c r="JG58" s="1099"/>
      <c r="JH58" s="1099"/>
      <c r="JI58" s="1099"/>
      <c r="JJ58" s="1099"/>
      <c r="JK58" s="1099"/>
      <c r="JL58" s="1099"/>
      <c r="JM58" s="1099"/>
      <c r="JN58" s="1100">
        <f t="shared" si="281"/>
        <v>5872.7184999999999</v>
      </c>
      <c r="JP58" s="1176">
        <f t="shared" si="588"/>
        <v>1.6103994230441288</v>
      </c>
      <c r="JQ58" s="1177">
        <f t="shared" si="312"/>
        <v>-0.11935748520487399</v>
      </c>
      <c r="JR58" s="1186">
        <f t="shared" si="589"/>
        <v>34002.146437787851</v>
      </c>
      <c r="JS58" s="1187">
        <f t="shared" si="590"/>
        <v>33961.56233088403</v>
      </c>
      <c r="JT58" s="1"/>
      <c r="JU58" s="49"/>
      <c r="JV58" s="1"/>
      <c r="JW58" s="1217"/>
    </row>
    <row r="59" spans="1:283" ht="15" customHeight="1" x14ac:dyDescent="0.2">
      <c r="A59" s="1163" t="s">
        <v>537</v>
      </c>
      <c r="B59" s="1099">
        <v>311</v>
      </c>
      <c r="C59" s="1099">
        <v>315</v>
      </c>
      <c r="D59" s="1099">
        <v>360</v>
      </c>
      <c r="E59" s="1099">
        <v>366</v>
      </c>
      <c r="F59" s="1099">
        <v>376</v>
      </c>
      <c r="G59" s="1099">
        <v>356</v>
      </c>
      <c r="H59" s="1099">
        <v>374</v>
      </c>
      <c r="I59" s="1099">
        <v>388</v>
      </c>
      <c r="J59" s="1099">
        <v>438</v>
      </c>
      <c r="K59" s="1099">
        <v>421</v>
      </c>
      <c r="L59" s="1099">
        <v>444</v>
      </c>
      <c r="M59" s="1099">
        <v>310</v>
      </c>
      <c r="N59" s="1100">
        <f t="shared" si="21"/>
        <v>4459</v>
      </c>
      <c r="O59" s="1099">
        <v>453</v>
      </c>
      <c r="P59" s="1099">
        <v>450</v>
      </c>
      <c r="Q59" s="1099">
        <v>473</v>
      </c>
      <c r="R59" s="1099">
        <v>462</v>
      </c>
      <c r="S59" s="1099">
        <v>459</v>
      </c>
      <c r="T59" s="1099">
        <v>464</v>
      </c>
      <c r="U59" s="1099">
        <v>476</v>
      </c>
      <c r="V59" s="1099">
        <v>480</v>
      </c>
      <c r="W59" s="1099">
        <v>469</v>
      </c>
      <c r="X59" s="1099">
        <v>466</v>
      </c>
      <c r="Y59" s="1099">
        <v>449</v>
      </c>
      <c r="Z59" s="1099">
        <v>412</v>
      </c>
      <c r="AA59" s="1100">
        <f t="shared" si="34"/>
        <v>5513</v>
      </c>
      <c r="AB59" s="1099">
        <v>962</v>
      </c>
      <c r="AC59" s="1099">
        <v>905</v>
      </c>
      <c r="AD59" s="1099">
        <v>906</v>
      </c>
      <c r="AE59" s="1099">
        <v>1038</v>
      </c>
      <c r="AF59" s="1099">
        <v>1073</v>
      </c>
      <c r="AG59" s="1099">
        <v>1079</v>
      </c>
      <c r="AH59" s="1099">
        <v>1049</v>
      </c>
      <c r="AI59" s="1099">
        <v>1022</v>
      </c>
      <c r="AJ59" s="1099">
        <v>1041</v>
      </c>
      <c r="AK59" s="1099">
        <v>1074</v>
      </c>
      <c r="AL59" s="1099">
        <v>1045</v>
      </c>
      <c r="AM59" s="1099">
        <v>1096</v>
      </c>
      <c r="AN59" s="1100">
        <f t="shared" si="47"/>
        <v>12290</v>
      </c>
      <c r="AO59" s="1099">
        <v>1074</v>
      </c>
      <c r="AP59" s="1099">
        <v>1043</v>
      </c>
      <c r="AQ59" s="1099">
        <v>1107</v>
      </c>
      <c r="AR59" s="1099">
        <v>1094</v>
      </c>
      <c r="AS59" s="1099">
        <v>1089</v>
      </c>
      <c r="AT59" s="1099">
        <v>1110</v>
      </c>
      <c r="AU59" s="1099">
        <v>1081</v>
      </c>
      <c r="AV59" s="1099">
        <v>719</v>
      </c>
      <c r="AW59" s="1099">
        <v>1274</v>
      </c>
      <c r="AX59" s="1099">
        <v>1197</v>
      </c>
      <c r="AY59" s="1099">
        <v>1159</v>
      </c>
      <c r="AZ59" s="1099">
        <v>1110</v>
      </c>
      <c r="BA59" s="1100">
        <f t="shared" si="60"/>
        <v>13057</v>
      </c>
      <c r="BB59" s="1099">
        <v>755</v>
      </c>
      <c r="BC59" s="1099">
        <v>739</v>
      </c>
      <c r="BD59" s="1099">
        <v>761</v>
      </c>
      <c r="BE59" s="1099">
        <v>745</v>
      </c>
      <c r="BF59" s="1099">
        <v>715</v>
      </c>
      <c r="BG59" s="1099">
        <v>680</v>
      </c>
      <c r="BH59" s="1099">
        <v>695</v>
      </c>
      <c r="BI59" s="1099">
        <v>747</v>
      </c>
      <c r="BJ59" s="1099">
        <v>777</v>
      </c>
      <c r="BK59" s="1099">
        <v>804</v>
      </c>
      <c r="BL59" s="1099">
        <v>842</v>
      </c>
      <c r="BM59" s="1099">
        <v>882</v>
      </c>
      <c r="BN59" s="1100">
        <f t="shared" si="73"/>
        <v>9142</v>
      </c>
      <c r="BO59" s="1099">
        <v>858</v>
      </c>
      <c r="BP59" s="1099">
        <v>862</v>
      </c>
      <c r="BQ59" s="1099">
        <v>857</v>
      </c>
      <c r="BR59" s="1099">
        <v>843</v>
      </c>
      <c r="BS59" s="1099">
        <v>850</v>
      </c>
      <c r="BT59" s="1099">
        <v>858</v>
      </c>
      <c r="BU59" s="1099">
        <v>892</v>
      </c>
      <c r="BV59" s="1099">
        <v>922</v>
      </c>
      <c r="BW59" s="1099">
        <v>726</v>
      </c>
      <c r="BX59" s="1099">
        <v>639</v>
      </c>
      <c r="BY59" s="1099">
        <v>1192</v>
      </c>
      <c r="BZ59" s="1099">
        <v>1249</v>
      </c>
      <c r="CA59" s="1100">
        <f t="shared" si="86"/>
        <v>10748</v>
      </c>
      <c r="CB59" s="1099">
        <v>962</v>
      </c>
      <c r="CC59" s="1099">
        <v>1058</v>
      </c>
      <c r="CD59" s="1099">
        <v>1053</v>
      </c>
      <c r="CE59" s="1099">
        <v>1054</v>
      </c>
      <c r="CF59" s="1099">
        <v>1020</v>
      </c>
      <c r="CG59" s="1099">
        <v>1077</v>
      </c>
      <c r="CH59" s="1099">
        <v>560</v>
      </c>
      <c r="CI59" s="1099">
        <v>706</v>
      </c>
      <c r="CJ59" s="1099">
        <v>1644</v>
      </c>
      <c r="CK59" s="1099">
        <v>506</v>
      </c>
      <c r="CL59" s="1099">
        <v>1000</v>
      </c>
      <c r="CM59" s="1099">
        <v>642</v>
      </c>
      <c r="CN59" s="1100">
        <f t="shared" si="99"/>
        <v>11282</v>
      </c>
      <c r="CO59" s="1099">
        <v>618</v>
      </c>
      <c r="CP59" s="1099">
        <v>709</v>
      </c>
      <c r="CQ59" s="1099">
        <v>700</v>
      </c>
      <c r="CR59" s="1099">
        <v>1020</v>
      </c>
      <c r="CS59" s="1099">
        <v>787</v>
      </c>
      <c r="CT59" s="1099">
        <v>949</v>
      </c>
      <c r="CU59" s="1099">
        <v>930</v>
      </c>
      <c r="CV59" s="1099">
        <v>764</v>
      </c>
      <c r="CW59" s="1099">
        <v>905</v>
      </c>
      <c r="CX59" s="1099">
        <v>898</v>
      </c>
      <c r="CY59" s="1099">
        <v>916</v>
      </c>
      <c r="CZ59" s="1099">
        <v>835</v>
      </c>
      <c r="DA59" s="1100">
        <f t="shared" si="112"/>
        <v>10031</v>
      </c>
      <c r="DB59" s="1099">
        <v>968</v>
      </c>
      <c r="DC59" s="1099">
        <v>914</v>
      </c>
      <c r="DD59" s="1099">
        <v>880</v>
      </c>
      <c r="DE59" s="1099">
        <v>813</v>
      </c>
      <c r="DF59" s="1099">
        <v>795</v>
      </c>
      <c r="DG59" s="1099">
        <v>626</v>
      </c>
      <c r="DH59" s="1099">
        <v>659</v>
      </c>
      <c r="DI59" s="1099">
        <v>728</v>
      </c>
      <c r="DJ59" s="1099">
        <v>762</v>
      </c>
      <c r="DK59" s="1099">
        <v>740</v>
      </c>
      <c r="DL59" s="1099">
        <v>759</v>
      </c>
      <c r="DM59" s="1099">
        <v>767</v>
      </c>
      <c r="DN59" s="1100">
        <f t="shared" si="125"/>
        <v>9411</v>
      </c>
      <c r="DO59" s="1099">
        <v>749</v>
      </c>
      <c r="DP59" s="1099">
        <v>778</v>
      </c>
      <c r="DQ59" s="1099">
        <v>840</v>
      </c>
      <c r="DR59" s="1099">
        <v>898</v>
      </c>
      <c r="DS59" s="1099">
        <v>890</v>
      </c>
      <c r="DT59" s="1099">
        <v>963</v>
      </c>
      <c r="DU59" s="1099">
        <v>1050</v>
      </c>
      <c r="DV59" s="1099">
        <v>1004</v>
      </c>
      <c r="DW59" s="1099">
        <v>1003</v>
      </c>
      <c r="DX59" s="1099">
        <v>1027</v>
      </c>
      <c r="DY59" s="1099">
        <v>1110</v>
      </c>
      <c r="DZ59" s="1099">
        <v>1112</v>
      </c>
      <c r="EA59" s="1100">
        <f t="shared" si="138"/>
        <v>11424</v>
      </c>
      <c r="EB59" s="1099">
        <v>1131</v>
      </c>
      <c r="EC59" s="1099">
        <v>1149</v>
      </c>
      <c r="ED59" s="1099">
        <v>1158</v>
      </c>
      <c r="EE59" s="1099">
        <v>1079</v>
      </c>
      <c r="EF59" s="1099">
        <v>1087</v>
      </c>
      <c r="EG59" s="1099">
        <v>1123</v>
      </c>
      <c r="EH59" s="1099">
        <v>1086</v>
      </c>
      <c r="EI59" s="1099">
        <v>1063</v>
      </c>
      <c r="EJ59" s="1099">
        <v>1131</v>
      </c>
      <c r="EK59" s="1099">
        <v>1173</v>
      </c>
      <c r="EL59" s="1099">
        <v>1159</v>
      </c>
      <c r="EM59" s="1099">
        <v>1060</v>
      </c>
      <c r="EN59" s="1100">
        <f t="shared" si="151"/>
        <v>13399</v>
      </c>
      <c r="EO59" s="1099">
        <v>1050</v>
      </c>
      <c r="EP59" s="1099">
        <v>1030</v>
      </c>
      <c r="EQ59" s="1099">
        <v>1046</v>
      </c>
      <c r="ER59" s="1099">
        <v>1150</v>
      </c>
      <c r="ES59" s="1099">
        <v>1228</v>
      </c>
      <c r="ET59" s="1099">
        <v>1224</v>
      </c>
      <c r="EU59" s="1099">
        <v>1137</v>
      </c>
      <c r="EV59" s="1099">
        <v>1130</v>
      </c>
      <c r="EW59" s="1099">
        <v>1145</v>
      </c>
      <c r="EX59" s="1099">
        <v>1052</v>
      </c>
      <c r="EY59" s="1099">
        <v>992</v>
      </c>
      <c r="EZ59" s="1099">
        <v>1077</v>
      </c>
      <c r="FA59" s="1100">
        <f t="shared" si="164"/>
        <v>13261</v>
      </c>
      <c r="FB59" s="1099">
        <v>1136</v>
      </c>
      <c r="FC59" s="1099">
        <v>1123.4001359267727</v>
      </c>
      <c r="FD59" s="1099">
        <v>1172.9532955210316</v>
      </c>
      <c r="FE59" s="1099">
        <v>1148</v>
      </c>
      <c r="FF59" s="1099">
        <v>1052</v>
      </c>
      <c r="FG59" s="1099">
        <v>1050.5640553761168</v>
      </c>
      <c r="FH59" s="1099">
        <v>1085</v>
      </c>
      <c r="FI59" s="1099">
        <v>1147</v>
      </c>
      <c r="FJ59" s="1099">
        <v>1118</v>
      </c>
      <c r="FK59" s="1099">
        <v>1110</v>
      </c>
      <c r="FL59" s="1099">
        <v>1162</v>
      </c>
      <c r="FM59" s="1099">
        <v>1161</v>
      </c>
      <c r="FN59" s="1100">
        <f t="shared" si="177"/>
        <v>13465.917486823921</v>
      </c>
      <c r="FO59" s="1099">
        <v>1198</v>
      </c>
      <c r="FP59" s="1099">
        <v>1153</v>
      </c>
      <c r="FQ59" s="1099">
        <v>1219</v>
      </c>
      <c r="FR59" s="1099">
        <v>1245</v>
      </c>
      <c r="FS59" s="1099">
        <v>1064</v>
      </c>
      <c r="FT59" s="1099">
        <v>982</v>
      </c>
      <c r="FU59" s="1099">
        <v>1065</v>
      </c>
      <c r="FV59" s="1099">
        <v>1150</v>
      </c>
      <c r="FW59" s="1099">
        <v>1214</v>
      </c>
      <c r="FX59" s="1099">
        <v>1151</v>
      </c>
      <c r="FY59" s="1099">
        <v>1165</v>
      </c>
      <c r="FZ59" s="1099">
        <v>1256</v>
      </c>
      <c r="GA59" s="1100">
        <f t="shared" si="190"/>
        <v>13862</v>
      </c>
      <c r="GB59" s="1099">
        <v>1108.320248809237</v>
      </c>
      <c r="GC59" s="1099">
        <v>1180.1652690987701</v>
      </c>
      <c r="GD59" s="1099">
        <v>1240.4512360000001</v>
      </c>
      <c r="GE59" s="1099">
        <v>1238.123914</v>
      </c>
      <c r="GF59" s="1099">
        <v>1080.4569882999999</v>
      </c>
      <c r="GG59" s="1099">
        <v>993.54655739999998</v>
      </c>
      <c r="GH59" s="1099">
        <v>1080.65221</v>
      </c>
      <c r="GI59" s="1099">
        <v>1180.5640000000001</v>
      </c>
      <c r="GJ59" s="1099">
        <v>1242.232</v>
      </c>
      <c r="GK59" s="1099">
        <v>1180.24</v>
      </c>
      <c r="GL59" s="1099">
        <v>1185.325</v>
      </c>
      <c r="GM59" s="1099">
        <v>1270.4580000000001</v>
      </c>
      <c r="GN59" s="1100">
        <f t="shared" si="203"/>
        <v>13980.535423608007</v>
      </c>
      <c r="GO59" s="1099">
        <v>1150.4549999999999</v>
      </c>
      <c r="GP59" s="1099">
        <v>1140.4744000000001</v>
      </c>
      <c r="GQ59" s="1099">
        <v>1245.4659999999999</v>
      </c>
      <c r="GR59" s="1099">
        <v>1256.7463</v>
      </c>
      <c r="GS59" s="1099">
        <v>1110.4739999999999</v>
      </c>
      <c r="GT59" s="1099">
        <v>1010.1247</v>
      </c>
      <c r="GU59" s="1099">
        <v>1098.6721</v>
      </c>
      <c r="GV59" s="1099">
        <v>1201.565764681</v>
      </c>
      <c r="GW59" s="1099">
        <v>1263.6078174730001</v>
      </c>
      <c r="GX59" s="1099">
        <v>1244.2231308810001</v>
      </c>
      <c r="GY59" s="1099">
        <v>1240.6466603829999</v>
      </c>
      <c r="GZ59" s="1099">
        <v>1277.790200147</v>
      </c>
      <c r="HA59" s="1100">
        <f t="shared" si="216"/>
        <v>14240.246073565</v>
      </c>
      <c r="HB59" s="1099">
        <v>1209.4693270079999</v>
      </c>
      <c r="HC59" s="1099">
        <v>1202.3395803609999</v>
      </c>
      <c r="HD59" s="1099">
        <v>1314.4723650031999</v>
      </c>
      <c r="HE59" s="1099">
        <v>1280.3766546032</v>
      </c>
      <c r="HF59" s="1099">
        <v>1129.1787395248</v>
      </c>
      <c r="HG59" s="1099">
        <v>1017.3001782379999</v>
      </c>
      <c r="HH59" s="1099">
        <v>1099.727053416</v>
      </c>
      <c r="HI59" s="1099">
        <v>1210.6918487864</v>
      </c>
      <c r="HJ59" s="1099">
        <v>1265.1176046648</v>
      </c>
      <c r="HK59" s="1099">
        <v>1251.4268292807999</v>
      </c>
      <c r="HL59" s="1099">
        <v>1254.3539794024</v>
      </c>
      <c r="HM59" s="1099">
        <v>1274.4020839468001</v>
      </c>
      <c r="HN59" s="1100">
        <f t="shared" si="229"/>
        <v>14508.8562442354</v>
      </c>
      <c r="HO59" s="1099">
        <v>1200.5588145459999</v>
      </c>
      <c r="HP59" s="1099">
        <v>1106.929301832</v>
      </c>
      <c r="HQ59" s="1099">
        <v>1255.873281892</v>
      </c>
      <c r="HR59" s="1099">
        <v>1230.1048355200001</v>
      </c>
      <c r="HS59" s="1099">
        <v>1109.061413294</v>
      </c>
      <c r="HT59" s="1099">
        <v>997.82484137400002</v>
      </c>
      <c r="HU59" s="1099">
        <v>1061.0911054339999</v>
      </c>
      <c r="HV59" s="1099">
        <v>1151.0911054339999</v>
      </c>
      <c r="HW59" s="1099">
        <v>1209.4481370230001</v>
      </c>
      <c r="HX59" s="1099">
        <v>1201.5588145459999</v>
      </c>
      <c r="HY59" s="1099">
        <v>1210.4900742459999</v>
      </c>
      <c r="HZ59" s="1099">
        <v>1241.5588145459999</v>
      </c>
      <c r="IA59" s="1100">
        <f t="shared" si="242"/>
        <v>13975.590539687</v>
      </c>
      <c r="IB59" s="1099">
        <v>1190.414</v>
      </c>
      <c r="IC59" s="1099">
        <v>1050.1220000000001</v>
      </c>
      <c r="ID59" s="1099">
        <v>1185.5693335589999</v>
      </c>
      <c r="IE59" s="1099">
        <v>1203.982</v>
      </c>
      <c r="IF59" s="1099">
        <v>1105.056</v>
      </c>
      <c r="IG59" s="1099">
        <v>990.41300000000001</v>
      </c>
      <c r="IH59" s="1099">
        <v>1050.694</v>
      </c>
      <c r="II59" s="1099">
        <v>1145.694</v>
      </c>
      <c r="IJ59" s="1099">
        <v>1201.617</v>
      </c>
      <c r="IK59" s="1099">
        <v>1191.6497393249999</v>
      </c>
      <c r="IL59" s="1099">
        <v>1205.1479999999999</v>
      </c>
      <c r="IM59" s="1099">
        <v>1230.174</v>
      </c>
      <c r="IN59" s="1100">
        <v>13750.533072883998</v>
      </c>
      <c r="IO59" s="1099">
        <v>1198.6780000000001</v>
      </c>
      <c r="IP59" s="1099">
        <v>1051.984856911</v>
      </c>
      <c r="IQ59" s="1099">
        <v>1191.798</v>
      </c>
      <c r="IR59" s="1099">
        <v>1230.8583000000001</v>
      </c>
      <c r="IS59" s="1099">
        <v>1137.9870000000001</v>
      </c>
      <c r="IT59" s="1099">
        <v>1026.5189</v>
      </c>
      <c r="IU59" s="1099">
        <v>1064.3054</v>
      </c>
      <c r="IV59" s="1099">
        <v>1159.4549</v>
      </c>
      <c r="IW59" s="1099">
        <v>1220.5017216676999</v>
      </c>
      <c r="IX59" s="1099">
        <v>1211.8133</v>
      </c>
      <c r="IY59" s="1099">
        <v>1227.0204000000001</v>
      </c>
      <c r="IZ59" s="1099">
        <v>1236.6704519370801</v>
      </c>
      <c r="JA59" s="1100">
        <v>13957.59123051578</v>
      </c>
      <c r="JB59" s="1099">
        <v>1170.29011163615</v>
      </c>
      <c r="JC59" s="1099">
        <v>1072.84428</v>
      </c>
      <c r="JD59" s="1099"/>
      <c r="JE59" s="1099"/>
      <c r="JF59" s="1099"/>
      <c r="JG59" s="1099"/>
      <c r="JH59" s="1099"/>
      <c r="JI59" s="1099"/>
      <c r="JJ59" s="1099"/>
      <c r="JK59" s="1099"/>
      <c r="JL59" s="1099"/>
      <c r="JM59" s="1099"/>
      <c r="JN59" s="1100">
        <f t="shared" si="281"/>
        <v>2243.1343916361502</v>
      </c>
      <c r="JP59" s="1176">
        <f t="shared" si="588"/>
        <v>0.52809211843853898</v>
      </c>
      <c r="JQ59" s="1177">
        <f t="shared" si="312"/>
        <v>1.5058191310422631</v>
      </c>
      <c r="JR59" s="1186">
        <f t="shared" si="589"/>
        <v>13750.533072883998</v>
      </c>
      <c r="JS59" s="1187">
        <f t="shared" si="590"/>
        <v>13957.59123051578</v>
      </c>
      <c r="JT59" s="1"/>
      <c r="JU59" s="49"/>
      <c r="JV59" s="1"/>
      <c r="JW59" s="1217"/>
    </row>
    <row r="60" spans="1:283" ht="15" customHeight="1" x14ac:dyDescent="0.2">
      <c r="A60" s="1165"/>
      <c r="B60" s="1101"/>
      <c r="C60" s="1101"/>
      <c r="D60" s="1101"/>
      <c r="E60" s="1101"/>
      <c r="F60" s="1101"/>
      <c r="G60" s="1101"/>
      <c r="H60" s="1101"/>
      <c r="I60" s="1101"/>
      <c r="J60" s="1101"/>
      <c r="K60" s="1101"/>
      <c r="L60" s="1101"/>
      <c r="M60" s="1101"/>
      <c r="N60" s="1102"/>
      <c r="O60" s="1101"/>
      <c r="P60" s="1101"/>
      <c r="Q60" s="1101"/>
      <c r="R60" s="1101"/>
      <c r="S60" s="1101"/>
      <c r="T60" s="1101"/>
      <c r="U60" s="1101"/>
      <c r="V60" s="1101"/>
      <c r="W60" s="1101"/>
      <c r="X60" s="1101"/>
      <c r="Y60" s="1101"/>
      <c r="Z60" s="1101"/>
      <c r="AA60" s="1102"/>
      <c r="AB60" s="1101"/>
      <c r="AC60" s="1101"/>
      <c r="AD60" s="1101"/>
      <c r="AE60" s="1101"/>
      <c r="AF60" s="1101"/>
      <c r="AG60" s="1101"/>
      <c r="AH60" s="1101"/>
      <c r="AI60" s="1101"/>
      <c r="AJ60" s="1101"/>
      <c r="AK60" s="1101"/>
      <c r="AL60" s="1101"/>
      <c r="AM60" s="1101"/>
      <c r="AN60" s="1102"/>
      <c r="AO60" s="1101"/>
      <c r="AP60" s="1101"/>
      <c r="AQ60" s="1101"/>
      <c r="AR60" s="1101"/>
      <c r="AS60" s="1101"/>
      <c r="AT60" s="1101"/>
      <c r="AU60" s="1101"/>
      <c r="AV60" s="1101"/>
      <c r="AW60" s="1101"/>
      <c r="AX60" s="1101"/>
      <c r="AY60" s="1101"/>
      <c r="AZ60" s="1101"/>
      <c r="BA60" s="1102"/>
      <c r="BB60" s="1101"/>
      <c r="BC60" s="1101"/>
      <c r="BD60" s="1101"/>
      <c r="BE60" s="1101"/>
      <c r="BF60" s="1101"/>
      <c r="BG60" s="1101"/>
      <c r="BH60" s="1101"/>
      <c r="BI60" s="1101"/>
      <c r="BJ60" s="1101"/>
      <c r="BK60" s="1101"/>
      <c r="BL60" s="1101"/>
      <c r="BM60" s="1101"/>
      <c r="BN60" s="1102"/>
      <c r="BO60" s="1101"/>
      <c r="BP60" s="1101"/>
      <c r="BQ60" s="1101"/>
      <c r="BR60" s="1101"/>
      <c r="BS60" s="1101"/>
      <c r="BT60" s="1101"/>
      <c r="BU60" s="1101"/>
      <c r="BV60" s="1101"/>
      <c r="BW60" s="1101"/>
      <c r="BX60" s="1101"/>
      <c r="BY60" s="1101"/>
      <c r="BZ60" s="1101"/>
      <c r="CA60" s="1102"/>
      <c r="CB60" s="1101"/>
      <c r="CC60" s="1101"/>
      <c r="CD60" s="1101"/>
      <c r="CE60" s="1101"/>
      <c r="CF60" s="1101"/>
      <c r="CG60" s="1101"/>
      <c r="CH60" s="1101"/>
      <c r="CI60" s="1101"/>
      <c r="CJ60" s="1101"/>
      <c r="CK60" s="1101"/>
      <c r="CL60" s="1101"/>
      <c r="CM60" s="1101"/>
      <c r="CN60" s="1102"/>
      <c r="CO60" s="1101"/>
      <c r="CP60" s="1101"/>
      <c r="CQ60" s="1101"/>
      <c r="CR60" s="1101"/>
      <c r="CS60" s="1101"/>
      <c r="CT60" s="1101"/>
      <c r="CU60" s="1101"/>
      <c r="CV60" s="1101"/>
      <c r="CW60" s="1101"/>
      <c r="CX60" s="1101"/>
      <c r="CY60" s="1101"/>
      <c r="CZ60" s="1101"/>
      <c r="DA60" s="1102"/>
      <c r="DB60" s="1101"/>
      <c r="DC60" s="1101"/>
      <c r="DD60" s="1101"/>
      <c r="DE60" s="1101"/>
      <c r="DF60" s="1101"/>
      <c r="DG60" s="1101"/>
      <c r="DH60" s="1101"/>
      <c r="DI60" s="1101"/>
      <c r="DJ60" s="1101"/>
      <c r="DK60" s="1101"/>
      <c r="DL60" s="1101"/>
      <c r="DM60" s="1101"/>
      <c r="DN60" s="1102"/>
      <c r="DO60" s="1101"/>
      <c r="DP60" s="1101"/>
      <c r="DQ60" s="1101"/>
      <c r="DR60" s="1101"/>
      <c r="DS60" s="1101"/>
      <c r="DT60" s="1101"/>
      <c r="DU60" s="1101"/>
      <c r="DV60" s="1101"/>
      <c r="DW60" s="1101"/>
      <c r="DX60" s="1101"/>
      <c r="DY60" s="1101"/>
      <c r="DZ60" s="1101"/>
      <c r="EA60" s="1102"/>
      <c r="EB60" s="1101"/>
      <c r="EC60" s="1101"/>
      <c r="ED60" s="1101"/>
      <c r="EE60" s="1101"/>
      <c r="EF60" s="1101"/>
      <c r="EG60" s="1101"/>
      <c r="EH60" s="1101"/>
      <c r="EI60" s="1101"/>
      <c r="EJ60" s="1101"/>
      <c r="EK60" s="1101"/>
      <c r="EL60" s="1101"/>
      <c r="EM60" s="1101"/>
      <c r="EN60" s="1102"/>
      <c r="EO60" s="1101"/>
      <c r="EP60" s="1101"/>
      <c r="EQ60" s="1101"/>
      <c r="ER60" s="1101"/>
      <c r="ES60" s="1101"/>
      <c r="ET60" s="1101"/>
      <c r="EU60" s="1101"/>
      <c r="EV60" s="1101"/>
      <c r="EW60" s="1101"/>
      <c r="EX60" s="1101"/>
      <c r="EY60" s="1101"/>
      <c r="EZ60" s="1101"/>
      <c r="FA60" s="1102"/>
      <c r="FB60" s="1101"/>
      <c r="FC60" s="1101"/>
      <c r="FD60" s="1101"/>
      <c r="FE60" s="1101"/>
      <c r="FF60" s="1101"/>
      <c r="FG60" s="1101"/>
      <c r="FH60" s="1101"/>
      <c r="FI60" s="1101"/>
      <c r="FJ60" s="1101"/>
      <c r="FK60" s="1101"/>
      <c r="FL60" s="1101"/>
      <c r="FM60" s="1101"/>
      <c r="FN60" s="1102"/>
      <c r="FO60" s="1101"/>
      <c r="FP60" s="1101"/>
      <c r="FQ60" s="1101"/>
      <c r="FR60" s="1101"/>
      <c r="FS60" s="1101"/>
      <c r="FT60" s="1101"/>
      <c r="FU60" s="1101"/>
      <c r="FV60" s="1101"/>
      <c r="FW60" s="1101"/>
      <c r="FX60" s="1101"/>
      <c r="FY60" s="1101"/>
      <c r="FZ60" s="1101"/>
      <c r="GA60" s="1102"/>
      <c r="GB60" s="1101"/>
      <c r="GC60" s="1101"/>
      <c r="GD60" s="1101"/>
      <c r="GE60" s="1101"/>
      <c r="GF60" s="1101"/>
      <c r="GG60" s="1101"/>
      <c r="GH60" s="1101"/>
      <c r="GI60" s="1101"/>
      <c r="GJ60" s="1101"/>
      <c r="GK60" s="1101"/>
      <c r="GL60" s="1101"/>
      <c r="GM60" s="1101"/>
      <c r="GN60" s="1102"/>
      <c r="GO60" s="1101"/>
      <c r="GP60" s="1101"/>
      <c r="GQ60" s="1101"/>
      <c r="GR60" s="1101"/>
      <c r="GS60" s="1101"/>
      <c r="GT60" s="1101"/>
      <c r="GU60" s="1101"/>
      <c r="GV60" s="1101"/>
      <c r="GW60" s="1101"/>
      <c r="GX60" s="1101"/>
      <c r="GY60" s="1101"/>
      <c r="GZ60" s="1101"/>
      <c r="HA60" s="1102"/>
      <c r="HB60" s="1101"/>
      <c r="HC60" s="1101"/>
      <c r="HD60" s="1101"/>
      <c r="HE60" s="1101"/>
      <c r="HF60" s="1101"/>
      <c r="HG60" s="1101"/>
      <c r="HH60" s="1101"/>
      <c r="HI60" s="1101"/>
      <c r="HJ60" s="1101"/>
      <c r="HK60" s="1101"/>
      <c r="HL60" s="1101"/>
      <c r="HM60" s="1101"/>
      <c r="HN60" s="1102"/>
      <c r="HO60" s="1101"/>
      <c r="HP60" s="1101"/>
      <c r="HQ60" s="1101"/>
      <c r="HR60" s="1101"/>
      <c r="HS60" s="1101"/>
      <c r="HT60" s="1101"/>
      <c r="HU60" s="1101"/>
      <c r="HV60" s="1101"/>
      <c r="HW60" s="1101"/>
      <c r="HX60" s="1101"/>
      <c r="HY60" s="1101"/>
      <c r="HZ60" s="1101"/>
      <c r="IA60" s="1102"/>
      <c r="IB60" s="1101"/>
      <c r="IC60" s="1101"/>
      <c r="ID60" s="1101"/>
      <c r="IE60" s="1101"/>
      <c r="IF60" s="1101"/>
      <c r="IG60" s="1101"/>
      <c r="IH60" s="1101"/>
      <c r="II60" s="1101"/>
      <c r="IJ60" s="1101"/>
      <c r="IK60" s="1101"/>
      <c r="IL60" s="1101"/>
      <c r="IM60" s="1101"/>
      <c r="IN60" s="1102"/>
      <c r="IO60" s="1101"/>
      <c r="IP60" s="1101"/>
      <c r="IQ60" s="1101"/>
      <c r="IR60" s="1101"/>
      <c r="IS60" s="1101"/>
      <c r="IT60" s="1101"/>
      <c r="IU60" s="1101"/>
      <c r="IV60" s="1101"/>
      <c r="IW60" s="1101"/>
      <c r="IX60" s="1101"/>
      <c r="IY60" s="1101"/>
      <c r="IZ60" s="1101"/>
      <c r="JA60" s="1102"/>
      <c r="JB60" s="1101"/>
      <c r="JC60" s="1101"/>
      <c r="JD60" s="1101"/>
      <c r="JE60" s="1101"/>
      <c r="JF60" s="1101"/>
      <c r="JG60" s="1101"/>
      <c r="JH60" s="1101"/>
      <c r="JI60" s="1101"/>
      <c r="JJ60" s="1101"/>
      <c r="JK60" s="1101"/>
      <c r="JL60" s="1101"/>
      <c r="JM60" s="1101"/>
      <c r="JN60" s="1102"/>
      <c r="JP60" s="1180"/>
      <c r="JQ60" s="1181"/>
      <c r="JR60" s="1190"/>
      <c r="JS60" s="1191"/>
      <c r="JT60" s="1"/>
      <c r="JU60" s="67"/>
      <c r="JV60" s="2"/>
      <c r="JW60" s="1223"/>
    </row>
    <row r="61" spans="1:283" ht="15" customHeight="1" x14ac:dyDescent="0.2">
      <c r="A61" s="34" t="s">
        <v>121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34"/>
      <c r="AW61" s="1"/>
      <c r="AX61" s="1"/>
      <c r="AY61" s="1"/>
      <c r="AZ61" s="1"/>
      <c r="BA61" s="34"/>
      <c r="BB61" s="34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P61" s="1"/>
      <c r="JQ61" s="1"/>
      <c r="JR61" s="1"/>
      <c r="JS61" s="1"/>
      <c r="JT61" s="1"/>
      <c r="JU61" s="1"/>
      <c r="JV61" s="1"/>
      <c r="JW61" s="1"/>
    </row>
    <row r="62" spans="1:283" ht="15" customHeight="1" x14ac:dyDescent="0.2">
      <c r="A62" s="1" t="s">
        <v>127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P62" s="1"/>
      <c r="JQ62" s="1"/>
      <c r="JR62" s="1"/>
      <c r="JS62" s="1"/>
      <c r="JT62" s="1"/>
      <c r="JU62" s="1"/>
      <c r="JV62" s="1"/>
      <c r="JW62" s="1"/>
    </row>
    <row r="63" spans="1:283" ht="15" customHeight="1" x14ac:dyDescent="0.2">
      <c r="A63" s="1" t="s">
        <v>613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P63" s="1"/>
      <c r="JQ63" s="1"/>
      <c r="JR63" s="1"/>
      <c r="JS63" s="1"/>
      <c r="JT63" s="1"/>
      <c r="JU63" s="1"/>
      <c r="JV63" s="1"/>
      <c r="JW63" s="1"/>
    </row>
  </sheetData>
  <sortState xmlns:xlrd2="http://schemas.microsoft.com/office/spreadsheetml/2017/richdata2" ref="A13:JW41">
    <sortCondition ref="A41"/>
  </sortState>
  <phoneticPr fontId="3" type="noConversion"/>
  <conditionalFormatting sqref="A1:A63 A68:A1048576">
    <cfRule type="duplicateValues" dxfId="6" priority="1"/>
  </conditionalFormatting>
  <printOptions horizontalCentered="1" verticalCentered="1"/>
  <pageMargins left="0.74803149606299213" right="0.74803149606299213" top="0.35433070866141736" bottom="0.27559055118110237" header="0" footer="0"/>
  <pageSetup paperSize="9" scale="10" orientation="landscape" r:id="rId1"/>
  <headerFooter alignWithMargins="0"/>
  <colBreaks count="1" manualBreakCount="1">
    <brk id="144" max="6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6" tint="-0.249977111117893"/>
  </sheetPr>
  <dimension ref="A1:JW55"/>
  <sheetViews>
    <sheetView showGridLines="0" view="pageBreakPreview" zoomScale="85" zoomScaleNormal="75" zoomScaleSheetLayoutView="85" workbookViewId="0">
      <pane xSplit="1" topLeftCell="IB1" activePane="topRight" state="frozen"/>
      <selection activeCell="IB59" sqref="IB59:JB59"/>
      <selection pane="topRight" activeCell="IB7" sqref="IB7:JC7"/>
    </sheetView>
  </sheetViews>
  <sheetFormatPr baseColWidth="10" defaultColWidth="9.7109375" defaultRowHeight="15" customHeight="1" x14ac:dyDescent="0.2"/>
  <cols>
    <col min="1" max="1" width="20.7109375" customWidth="1"/>
    <col min="275" max="275" width="9.7109375" customWidth="1"/>
    <col min="281" max="281" width="10.7109375" bestFit="1" customWidth="1"/>
  </cols>
  <sheetData>
    <row r="1" spans="1:283" ht="15" customHeight="1" x14ac:dyDescent="0.25">
      <c r="A1" s="1170" t="s">
        <v>168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P1" s="1"/>
      <c r="JQ1" s="1"/>
      <c r="JR1" s="1"/>
      <c r="JS1" s="1"/>
      <c r="JT1" s="1"/>
    </row>
    <row r="2" spans="1:283" ht="15" customHeight="1" x14ac:dyDescent="0.25">
      <c r="A2" s="1170" t="s">
        <v>353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P2" s="1"/>
      <c r="JQ2" s="1"/>
      <c r="JR2" s="1"/>
      <c r="JS2" s="1"/>
      <c r="JT2" s="1"/>
    </row>
    <row r="3" spans="1:283" ht="15" customHeight="1" x14ac:dyDescent="0.25">
      <c r="A3" s="1170" t="s">
        <v>92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P3" s="3"/>
      <c r="JQ3" s="1"/>
      <c r="JR3" s="1"/>
      <c r="JS3" s="1"/>
      <c r="JT3" s="1"/>
    </row>
    <row r="4" spans="1:283" ht="15" customHeight="1" x14ac:dyDescent="0.2">
      <c r="A4" s="1158"/>
      <c r="B4" s="1088">
        <v>2006</v>
      </c>
      <c r="C4" s="1088"/>
      <c r="D4" s="1088"/>
      <c r="E4" s="1088"/>
      <c r="F4" s="1088"/>
      <c r="G4" s="1088"/>
      <c r="H4" s="1088"/>
      <c r="I4" s="1088"/>
      <c r="J4" s="1088"/>
      <c r="K4" s="1088"/>
      <c r="L4" s="1088"/>
      <c r="M4" s="1088"/>
      <c r="N4" s="1089" t="s">
        <v>29</v>
      </c>
      <c r="O4" s="1088">
        <v>2007</v>
      </c>
      <c r="P4" s="1088"/>
      <c r="Q4" s="1088"/>
      <c r="R4" s="1088"/>
      <c r="S4" s="1088"/>
      <c r="T4" s="1088"/>
      <c r="U4" s="1088"/>
      <c r="V4" s="1088"/>
      <c r="W4" s="1088"/>
      <c r="X4" s="1088"/>
      <c r="Y4" s="1088"/>
      <c r="Z4" s="1088"/>
      <c r="AA4" s="1089" t="s">
        <v>29</v>
      </c>
      <c r="AB4" s="1088">
        <v>2008</v>
      </c>
      <c r="AC4" s="1088"/>
      <c r="AD4" s="1088"/>
      <c r="AE4" s="1088"/>
      <c r="AF4" s="1088"/>
      <c r="AG4" s="1088"/>
      <c r="AH4" s="1088"/>
      <c r="AI4" s="1088"/>
      <c r="AJ4" s="1088"/>
      <c r="AK4" s="1088"/>
      <c r="AL4" s="1088"/>
      <c r="AM4" s="1088"/>
      <c r="AN4" s="1089" t="s">
        <v>29</v>
      </c>
      <c r="AO4" s="1088">
        <v>2009</v>
      </c>
      <c r="AP4" s="1088"/>
      <c r="AQ4" s="1088"/>
      <c r="AR4" s="1088"/>
      <c r="AS4" s="1088"/>
      <c r="AT4" s="1088"/>
      <c r="AU4" s="1088"/>
      <c r="AV4" s="1088"/>
      <c r="AW4" s="1088"/>
      <c r="AX4" s="1088"/>
      <c r="AY4" s="1088"/>
      <c r="AZ4" s="1088"/>
      <c r="BA4" s="1089" t="s">
        <v>29</v>
      </c>
      <c r="BB4" s="1088">
        <v>2010</v>
      </c>
      <c r="BC4" s="1088"/>
      <c r="BD4" s="1088"/>
      <c r="BE4" s="1088"/>
      <c r="BF4" s="1088"/>
      <c r="BG4" s="1088"/>
      <c r="BH4" s="1088"/>
      <c r="BI4" s="1088"/>
      <c r="BJ4" s="1088"/>
      <c r="BK4" s="1088"/>
      <c r="BL4" s="1088"/>
      <c r="BM4" s="1088"/>
      <c r="BN4" s="1089" t="s">
        <v>29</v>
      </c>
      <c r="BO4" s="1088">
        <v>2011</v>
      </c>
      <c r="BP4" s="1088"/>
      <c r="BQ4" s="1088"/>
      <c r="BR4" s="1088"/>
      <c r="BS4" s="1088"/>
      <c r="BT4" s="1088"/>
      <c r="BU4" s="1088"/>
      <c r="BV4" s="1088"/>
      <c r="BW4" s="1088"/>
      <c r="BX4" s="1088"/>
      <c r="BY4" s="1088"/>
      <c r="BZ4" s="1088"/>
      <c r="CA4" s="1089" t="s">
        <v>29</v>
      </c>
      <c r="CB4" s="1088">
        <v>2012</v>
      </c>
      <c r="CC4" s="1088"/>
      <c r="CD4" s="1088"/>
      <c r="CE4" s="1088"/>
      <c r="CF4" s="1088"/>
      <c r="CG4" s="1088"/>
      <c r="CH4" s="1088"/>
      <c r="CI4" s="1088"/>
      <c r="CJ4" s="1088"/>
      <c r="CK4" s="1088"/>
      <c r="CL4" s="1088"/>
      <c r="CM4" s="1088"/>
      <c r="CN4" s="1089" t="s">
        <v>29</v>
      </c>
      <c r="CO4" s="1088">
        <v>2013</v>
      </c>
      <c r="CP4" s="1088"/>
      <c r="CQ4" s="1088"/>
      <c r="CR4" s="1088"/>
      <c r="CS4" s="1088"/>
      <c r="CT4" s="1088"/>
      <c r="CU4" s="1088"/>
      <c r="CV4" s="1088"/>
      <c r="CW4" s="1088"/>
      <c r="CX4" s="1088"/>
      <c r="CY4" s="1088"/>
      <c r="CZ4" s="1088"/>
      <c r="DA4" s="1089" t="s">
        <v>29</v>
      </c>
      <c r="DB4" s="1088">
        <v>2014</v>
      </c>
      <c r="DC4" s="1088"/>
      <c r="DD4" s="1088"/>
      <c r="DE4" s="1088"/>
      <c r="DF4" s="1088"/>
      <c r="DG4" s="1088"/>
      <c r="DH4" s="1088"/>
      <c r="DI4" s="1088"/>
      <c r="DJ4" s="1088"/>
      <c r="DK4" s="1088"/>
      <c r="DL4" s="1088"/>
      <c r="DM4" s="1088"/>
      <c r="DN4" s="1089" t="s">
        <v>29</v>
      </c>
      <c r="DO4" s="1088">
        <v>2015</v>
      </c>
      <c r="DP4" s="1088"/>
      <c r="DQ4" s="1088"/>
      <c r="DR4" s="1088"/>
      <c r="DS4" s="1088"/>
      <c r="DT4" s="1088"/>
      <c r="DU4" s="1088"/>
      <c r="DV4" s="1088"/>
      <c r="DW4" s="1088"/>
      <c r="DX4" s="1088"/>
      <c r="DY4" s="1088"/>
      <c r="DZ4" s="1088"/>
      <c r="EA4" s="1089" t="s">
        <v>29</v>
      </c>
      <c r="EB4" s="1088">
        <v>2016</v>
      </c>
      <c r="EC4" s="1088"/>
      <c r="ED4" s="1088"/>
      <c r="EE4" s="1088"/>
      <c r="EF4" s="1088"/>
      <c r="EG4" s="1088"/>
      <c r="EH4" s="1088"/>
      <c r="EI4" s="1088"/>
      <c r="EJ4" s="1088"/>
      <c r="EK4" s="1088"/>
      <c r="EL4" s="1088"/>
      <c r="EM4" s="1088"/>
      <c r="EN4" s="1089" t="s">
        <v>29</v>
      </c>
      <c r="EO4" s="1088">
        <v>2017</v>
      </c>
      <c r="EP4" s="1088"/>
      <c r="EQ4" s="1088"/>
      <c r="ER4" s="1088"/>
      <c r="ES4" s="1088"/>
      <c r="ET4" s="1088"/>
      <c r="EU4" s="1088"/>
      <c r="EV4" s="1088"/>
      <c r="EW4" s="1088"/>
      <c r="EX4" s="1088"/>
      <c r="EY4" s="1088"/>
      <c r="EZ4" s="1088"/>
      <c r="FA4" s="1089" t="s">
        <v>29</v>
      </c>
      <c r="FB4" s="1088">
        <v>2018</v>
      </c>
      <c r="FC4" s="1088"/>
      <c r="FD4" s="1088"/>
      <c r="FE4" s="1088"/>
      <c r="FF4" s="1088"/>
      <c r="FG4" s="1088"/>
      <c r="FH4" s="1088"/>
      <c r="FI4" s="1088"/>
      <c r="FJ4" s="1088"/>
      <c r="FK4" s="1088"/>
      <c r="FL4" s="1088"/>
      <c r="FM4" s="1088"/>
      <c r="FN4" s="1089" t="s">
        <v>29</v>
      </c>
      <c r="FO4" s="1088">
        <v>2019</v>
      </c>
      <c r="FP4" s="1088"/>
      <c r="FQ4" s="1088"/>
      <c r="FR4" s="1088"/>
      <c r="FS4" s="1088"/>
      <c r="FT4" s="1088"/>
      <c r="FU4" s="1088"/>
      <c r="FV4" s="1088"/>
      <c r="FW4" s="1088"/>
      <c r="FX4" s="1088"/>
      <c r="FY4" s="1088"/>
      <c r="FZ4" s="1088"/>
      <c r="GA4" s="1089" t="s">
        <v>29</v>
      </c>
      <c r="GB4" s="1088">
        <v>2020</v>
      </c>
      <c r="GC4" s="1088"/>
      <c r="GD4" s="1088"/>
      <c r="GE4" s="1088"/>
      <c r="GF4" s="1088"/>
      <c r="GG4" s="1088"/>
      <c r="GH4" s="1088"/>
      <c r="GI4" s="1088"/>
      <c r="GJ4" s="1088"/>
      <c r="GK4" s="1088"/>
      <c r="GL4" s="1088"/>
      <c r="GM4" s="1088"/>
      <c r="GN4" s="1089" t="s">
        <v>29</v>
      </c>
      <c r="GO4" s="1088">
        <v>2021</v>
      </c>
      <c r="GP4" s="1088"/>
      <c r="GQ4" s="1088"/>
      <c r="GR4" s="1088"/>
      <c r="GS4" s="1088"/>
      <c r="GT4" s="1088"/>
      <c r="GU4" s="1088"/>
      <c r="GV4" s="1088"/>
      <c r="GW4" s="1088"/>
      <c r="GX4" s="1088"/>
      <c r="GY4" s="1088"/>
      <c r="GZ4" s="1088"/>
      <c r="HA4" s="1089" t="s">
        <v>29</v>
      </c>
      <c r="HB4" s="1088">
        <v>2022</v>
      </c>
      <c r="HC4" s="1088"/>
      <c r="HD4" s="1088"/>
      <c r="HE4" s="1088"/>
      <c r="HF4" s="1088"/>
      <c r="HG4" s="1088"/>
      <c r="HH4" s="1088"/>
      <c r="HI4" s="1088"/>
      <c r="HJ4" s="1088"/>
      <c r="HK4" s="1088"/>
      <c r="HL4" s="1088"/>
      <c r="HM4" s="1088"/>
      <c r="HN4" s="1089" t="s">
        <v>29</v>
      </c>
      <c r="HO4" s="1088">
        <v>2023</v>
      </c>
      <c r="HP4" s="1088"/>
      <c r="HQ4" s="1088"/>
      <c r="HR4" s="1088"/>
      <c r="HS4" s="1088"/>
      <c r="HT4" s="1088"/>
      <c r="HU4" s="1088"/>
      <c r="HV4" s="1088"/>
      <c r="HW4" s="1088"/>
      <c r="HX4" s="1088"/>
      <c r="HY4" s="1088"/>
      <c r="HZ4" s="1088"/>
      <c r="IA4" s="1089" t="s">
        <v>29</v>
      </c>
      <c r="IB4" s="1088">
        <v>2024</v>
      </c>
      <c r="IC4" s="1088"/>
      <c r="ID4" s="1088"/>
      <c r="IE4" s="1088"/>
      <c r="IF4" s="1088"/>
      <c r="IG4" s="1088"/>
      <c r="IH4" s="1088"/>
      <c r="II4" s="1088"/>
      <c r="IJ4" s="1088"/>
      <c r="IK4" s="1088"/>
      <c r="IL4" s="1088"/>
      <c r="IM4" s="1088"/>
      <c r="IN4" s="1089" t="s">
        <v>29</v>
      </c>
      <c r="IO4" s="1088">
        <v>2025</v>
      </c>
      <c r="IP4" s="1088"/>
      <c r="IQ4" s="1088"/>
      <c r="IR4" s="1088"/>
      <c r="IS4" s="1088"/>
      <c r="IT4" s="1088"/>
      <c r="IU4" s="1088"/>
      <c r="IV4" s="1088"/>
      <c r="IW4" s="1088"/>
      <c r="IX4" s="1088"/>
      <c r="IY4" s="1088"/>
      <c r="IZ4" s="1088"/>
      <c r="JA4" s="1089" t="s">
        <v>29</v>
      </c>
      <c r="JB4" s="1088">
        <v>2026</v>
      </c>
      <c r="JC4" s="1088"/>
      <c r="JD4" s="1088"/>
      <c r="JE4" s="1088"/>
      <c r="JF4" s="1088"/>
      <c r="JG4" s="1088"/>
      <c r="JH4" s="1088"/>
      <c r="JI4" s="1088"/>
      <c r="JJ4" s="1088"/>
      <c r="JK4" s="1088"/>
      <c r="JL4" s="1088"/>
      <c r="JM4" s="1088"/>
      <c r="JN4" s="1089" t="s">
        <v>29</v>
      </c>
      <c r="JP4" s="1103" t="str">
        <f>CONCATENATE("Var.% ",JS4,"/",JS4-1)</f>
        <v>Var.% 2025/2024</v>
      </c>
      <c r="JQ4" s="1104"/>
      <c r="JR4" s="1105">
        <f>JS4-1</f>
        <v>2024</v>
      </c>
      <c r="JS4" s="1105">
        <f>YEAR(JP5)</f>
        <v>2025</v>
      </c>
      <c r="JT4" s="1"/>
      <c r="JU4" s="1073" t="s">
        <v>562</v>
      </c>
      <c r="JV4" s="1074"/>
      <c r="JW4" s="1075"/>
    </row>
    <row r="5" spans="1:283" ht="15" customHeight="1" x14ac:dyDescent="0.2">
      <c r="A5" s="1159"/>
      <c r="B5" s="1090">
        <v>38718</v>
      </c>
      <c r="C5" s="1090">
        <v>38749</v>
      </c>
      <c r="D5" s="1090">
        <v>38777</v>
      </c>
      <c r="E5" s="1090">
        <v>38808</v>
      </c>
      <c r="F5" s="1090">
        <v>38838</v>
      </c>
      <c r="G5" s="1090">
        <v>38869</v>
      </c>
      <c r="H5" s="1090">
        <v>38899</v>
      </c>
      <c r="I5" s="1090">
        <v>38930</v>
      </c>
      <c r="J5" s="1090">
        <v>38961</v>
      </c>
      <c r="K5" s="1090">
        <v>38991</v>
      </c>
      <c r="L5" s="1090">
        <v>39022</v>
      </c>
      <c r="M5" s="1090">
        <v>39052</v>
      </c>
      <c r="N5" s="1091">
        <f>YEAR(M5)</f>
        <v>2006</v>
      </c>
      <c r="O5" s="1090">
        <v>39083</v>
      </c>
      <c r="P5" s="1090">
        <v>39114</v>
      </c>
      <c r="Q5" s="1090">
        <v>39142</v>
      </c>
      <c r="R5" s="1090">
        <v>39173</v>
      </c>
      <c r="S5" s="1090">
        <v>39203</v>
      </c>
      <c r="T5" s="1090">
        <v>39234</v>
      </c>
      <c r="U5" s="1090">
        <v>39264</v>
      </c>
      <c r="V5" s="1090">
        <v>39295</v>
      </c>
      <c r="W5" s="1090">
        <v>39326</v>
      </c>
      <c r="X5" s="1090">
        <v>39356</v>
      </c>
      <c r="Y5" s="1090">
        <v>39387</v>
      </c>
      <c r="Z5" s="1090">
        <v>39417</v>
      </c>
      <c r="AA5" s="1091">
        <f>YEAR(Z5)</f>
        <v>2007</v>
      </c>
      <c r="AB5" s="1090">
        <v>39448</v>
      </c>
      <c r="AC5" s="1090">
        <v>39479</v>
      </c>
      <c r="AD5" s="1090">
        <v>39508</v>
      </c>
      <c r="AE5" s="1090">
        <v>39539</v>
      </c>
      <c r="AF5" s="1090">
        <v>39569</v>
      </c>
      <c r="AG5" s="1090">
        <v>39600</v>
      </c>
      <c r="AH5" s="1090">
        <v>39630</v>
      </c>
      <c r="AI5" s="1090">
        <v>39661</v>
      </c>
      <c r="AJ5" s="1090">
        <v>39692</v>
      </c>
      <c r="AK5" s="1090">
        <v>39722</v>
      </c>
      <c r="AL5" s="1090">
        <v>39753</v>
      </c>
      <c r="AM5" s="1090">
        <v>39783</v>
      </c>
      <c r="AN5" s="1091">
        <f>YEAR(AM5)</f>
        <v>2008</v>
      </c>
      <c r="AO5" s="1090">
        <v>39814</v>
      </c>
      <c r="AP5" s="1090">
        <v>39845</v>
      </c>
      <c r="AQ5" s="1090">
        <v>39873</v>
      </c>
      <c r="AR5" s="1090">
        <v>39904</v>
      </c>
      <c r="AS5" s="1090">
        <v>39934</v>
      </c>
      <c r="AT5" s="1090">
        <v>39965</v>
      </c>
      <c r="AU5" s="1090">
        <v>39995</v>
      </c>
      <c r="AV5" s="1090">
        <v>40026</v>
      </c>
      <c r="AW5" s="1090">
        <v>40057</v>
      </c>
      <c r="AX5" s="1090">
        <v>40087</v>
      </c>
      <c r="AY5" s="1090">
        <v>40118</v>
      </c>
      <c r="AZ5" s="1090">
        <v>40148</v>
      </c>
      <c r="BA5" s="1091">
        <f>YEAR(AZ5)</f>
        <v>2009</v>
      </c>
      <c r="BB5" s="1090">
        <v>40179</v>
      </c>
      <c r="BC5" s="1090">
        <v>40210</v>
      </c>
      <c r="BD5" s="1090">
        <v>40238</v>
      </c>
      <c r="BE5" s="1090">
        <v>40269</v>
      </c>
      <c r="BF5" s="1090">
        <v>40299</v>
      </c>
      <c r="BG5" s="1090">
        <v>40330</v>
      </c>
      <c r="BH5" s="1090">
        <v>40360</v>
      </c>
      <c r="BI5" s="1090">
        <v>40391</v>
      </c>
      <c r="BJ5" s="1090">
        <v>40422</v>
      </c>
      <c r="BK5" s="1090">
        <v>40452</v>
      </c>
      <c r="BL5" s="1090">
        <v>40483</v>
      </c>
      <c r="BM5" s="1090">
        <v>40513</v>
      </c>
      <c r="BN5" s="1091">
        <f>YEAR(BM5)</f>
        <v>2010</v>
      </c>
      <c r="BO5" s="1090">
        <v>40544</v>
      </c>
      <c r="BP5" s="1090">
        <v>40575</v>
      </c>
      <c r="BQ5" s="1090">
        <v>40603</v>
      </c>
      <c r="BR5" s="1090">
        <v>40634</v>
      </c>
      <c r="BS5" s="1090">
        <v>40664</v>
      </c>
      <c r="BT5" s="1090">
        <v>40695</v>
      </c>
      <c r="BU5" s="1090">
        <v>40725</v>
      </c>
      <c r="BV5" s="1090">
        <v>40756</v>
      </c>
      <c r="BW5" s="1090">
        <v>40787</v>
      </c>
      <c r="BX5" s="1090">
        <v>40817</v>
      </c>
      <c r="BY5" s="1090">
        <v>40848</v>
      </c>
      <c r="BZ5" s="1090">
        <v>40878</v>
      </c>
      <c r="CA5" s="1091">
        <f>YEAR(BZ5)</f>
        <v>2011</v>
      </c>
      <c r="CB5" s="1090">
        <v>40909</v>
      </c>
      <c r="CC5" s="1090">
        <v>40940</v>
      </c>
      <c r="CD5" s="1090">
        <v>40969</v>
      </c>
      <c r="CE5" s="1090">
        <v>41000</v>
      </c>
      <c r="CF5" s="1090">
        <v>41030</v>
      </c>
      <c r="CG5" s="1090">
        <v>41061</v>
      </c>
      <c r="CH5" s="1090">
        <v>41091</v>
      </c>
      <c r="CI5" s="1090">
        <v>41122</v>
      </c>
      <c r="CJ5" s="1090">
        <v>41153</v>
      </c>
      <c r="CK5" s="1090">
        <v>41183</v>
      </c>
      <c r="CL5" s="1090">
        <v>41214</v>
      </c>
      <c r="CM5" s="1090">
        <v>41244</v>
      </c>
      <c r="CN5" s="1091">
        <f>YEAR(CM5)</f>
        <v>2012</v>
      </c>
      <c r="CO5" s="1090">
        <v>41275</v>
      </c>
      <c r="CP5" s="1090">
        <v>41306</v>
      </c>
      <c r="CQ5" s="1090">
        <v>41334</v>
      </c>
      <c r="CR5" s="1090">
        <v>41365</v>
      </c>
      <c r="CS5" s="1090">
        <v>41395</v>
      </c>
      <c r="CT5" s="1090">
        <v>41426</v>
      </c>
      <c r="CU5" s="1090">
        <v>41456</v>
      </c>
      <c r="CV5" s="1090">
        <v>41487</v>
      </c>
      <c r="CW5" s="1090">
        <v>41518</v>
      </c>
      <c r="CX5" s="1090">
        <v>41548</v>
      </c>
      <c r="CY5" s="1090">
        <v>41579</v>
      </c>
      <c r="CZ5" s="1090">
        <v>41609</v>
      </c>
      <c r="DA5" s="1091">
        <f>YEAR(CZ5)</f>
        <v>2013</v>
      </c>
      <c r="DB5" s="1090">
        <v>41640</v>
      </c>
      <c r="DC5" s="1090">
        <v>41671</v>
      </c>
      <c r="DD5" s="1090">
        <v>41699</v>
      </c>
      <c r="DE5" s="1090">
        <v>41730</v>
      </c>
      <c r="DF5" s="1090">
        <v>41760</v>
      </c>
      <c r="DG5" s="1090">
        <v>41791</v>
      </c>
      <c r="DH5" s="1090">
        <v>41821</v>
      </c>
      <c r="DI5" s="1090">
        <v>41852</v>
      </c>
      <c r="DJ5" s="1090">
        <v>41883</v>
      </c>
      <c r="DK5" s="1090">
        <v>41913</v>
      </c>
      <c r="DL5" s="1090">
        <v>41944</v>
      </c>
      <c r="DM5" s="1090">
        <v>41974</v>
      </c>
      <c r="DN5" s="1091">
        <f>YEAR(DM5)</f>
        <v>2014</v>
      </c>
      <c r="DO5" s="1090">
        <v>42005</v>
      </c>
      <c r="DP5" s="1090">
        <v>42036</v>
      </c>
      <c r="DQ5" s="1090">
        <v>42064</v>
      </c>
      <c r="DR5" s="1090">
        <v>42095</v>
      </c>
      <c r="DS5" s="1090">
        <v>42125</v>
      </c>
      <c r="DT5" s="1090">
        <v>42156</v>
      </c>
      <c r="DU5" s="1090">
        <v>42186</v>
      </c>
      <c r="DV5" s="1090">
        <v>42217</v>
      </c>
      <c r="DW5" s="1090">
        <v>42248</v>
      </c>
      <c r="DX5" s="1090">
        <v>42278</v>
      </c>
      <c r="DY5" s="1090">
        <v>42309</v>
      </c>
      <c r="DZ5" s="1090">
        <v>42339</v>
      </c>
      <c r="EA5" s="1091">
        <f>YEAR(DZ5)</f>
        <v>2015</v>
      </c>
      <c r="EB5" s="1090">
        <v>42370</v>
      </c>
      <c r="EC5" s="1090">
        <v>42401</v>
      </c>
      <c r="ED5" s="1090">
        <v>42430</v>
      </c>
      <c r="EE5" s="1090">
        <v>42461</v>
      </c>
      <c r="EF5" s="1090">
        <v>42491</v>
      </c>
      <c r="EG5" s="1090">
        <v>42522</v>
      </c>
      <c r="EH5" s="1090">
        <v>42552</v>
      </c>
      <c r="EI5" s="1090">
        <v>42583</v>
      </c>
      <c r="EJ5" s="1090">
        <v>42614</v>
      </c>
      <c r="EK5" s="1090">
        <v>42644</v>
      </c>
      <c r="EL5" s="1090">
        <v>42675</v>
      </c>
      <c r="EM5" s="1090">
        <v>42705</v>
      </c>
      <c r="EN5" s="1091">
        <f>YEAR(EM5)</f>
        <v>2016</v>
      </c>
      <c r="EO5" s="1090">
        <v>42736</v>
      </c>
      <c r="EP5" s="1090">
        <v>42767</v>
      </c>
      <c r="EQ5" s="1090">
        <v>42795</v>
      </c>
      <c r="ER5" s="1090">
        <v>42826</v>
      </c>
      <c r="ES5" s="1090">
        <v>42856</v>
      </c>
      <c r="ET5" s="1090">
        <v>42887</v>
      </c>
      <c r="EU5" s="1090">
        <v>42917</v>
      </c>
      <c r="EV5" s="1090">
        <v>42948</v>
      </c>
      <c r="EW5" s="1090">
        <v>42979</v>
      </c>
      <c r="EX5" s="1090">
        <v>43009</v>
      </c>
      <c r="EY5" s="1090">
        <v>43040</v>
      </c>
      <c r="EZ5" s="1090">
        <v>43070</v>
      </c>
      <c r="FA5" s="1091">
        <f>YEAR(EZ5)</f>
        <v>2017</v>
      </c>
      <c r="FB5" s="1090">
        <v>43101</v>
      </c>
      <c r="FC5" s="1090">
        <v>43132</v>
      </c>
      <c r="FD5" s="1090">
        <v>43160</v>
      </c>
      <c r="FE5" s="1090">
        <v>43191</v>
      </c>
      <c r="FF5" s="1090">
        <v>43221</v>
      </c>
      <c r="FG5" s="1090">
        <v>43252</v>
      </c>
      <c r="FH5" s="1090">
        <v>43282</v>
      </c>
      <c r="FI5" s="1090">
        <v>43313</v>
      </c>
      <c r="FJ5" s="1090">
        <v>43344</v>
      </c>
      <c r="FK5" s="1090">
        <v>43374</v>
      </c>
      <c r="FL5" s="1090">
        <v>43405</v>
      </c>
      <c r="FM5" s="1090">
        <v>43435</v>
      </c>
      <c r="FN5" s="1091">
        <f>YEAR(FM5)</f>
        <v>2018</v>
      </c>
      <c r="FO5" s="1090">
        <v>43466</v>
      </c>
      <c r="FP5" s="1090">
        <v>43497</v>
      </c>
      <c r="FQ5" s="1090">
        <v>43525</v>
      </c>
      <c r="FR5" s="1090">
        <v>43556</v>
      </c>
      <c r="FS5" s="1090">
        <v>43586</v>
      </c>
      <c r="FT5" s="1090">
        <v>43617</v>
      </c>
      <c r="FU5" s="1090">
        <v>43647</v>
      </c>
      <c r="FV5" s="1090">
        <v>43678</v>
      </c>
      <c r="FW5" s="1090">
        <v>43709</v>
      </c>
      <c r="FX5" s="1090">
        <v>43739</v>
      </c>
      <c r="FY5" s="1090">
        <v>43770</v>
      </c>
      <c r="FZ5" s="1090">
        <v>43800</v>
      </c>
      <c r="GA5" s="1091">
        <f>YEAR(FZ5)</f>
        <v>2019</v>
      </c>
      <c r="GB5" s="1090">
        <v>43831</v>
      </c>
      <c r="GC5" s="1090">
        <v>43862</v>
      </c>
      <c r="GD5" s="1090">
        <v>43891</v>
      </c>
      <c r="GE5" s="1090">
        <v>43922</v>
      </c>
      <c r="GF5" s="1090">
        <v>43952</v>
      </c>
      <c r="GG5" s="1090">
        <v>43983</v>
      </c>
      <c r="GH5" s="1090">
        <v>44013</v>
      </c>
      <c r="GI5" s="1090">
        <v>44044</v>
      </c>
      <c r="GJ5" s="1090">
        <v>44075</v>
      </c>
      <c r="GK5" s="1090">
        <v>44105</v>
      </c>
      <c r="GL5" s="1090">
        <v>44136</v>
      </c>
      <c r="GM5" s="1090">
        <v>44166</v>
      </c>
      <c r="GN5" s="1091">
        <f>YEAR(GM5)</f>
        <v>2020</v>
      </c>
      <c r="GO5" s="1090">
        <v>44197</v>
      </c>
      <c r="GP5" s="1090">
        <v>44228</v>
      </c>
      <c r="GQ5" s="1090">
        <v>44256</v>
      </c>
      <c r="GR5" s="1090">
        <v>44287</v>
      </c>
      <c r="GS5" s="1090">
        <v>44317</v>
      </c>
      <c r="GT5" s="1090">
        <v>44348</v>
      </c>
      <c r="GU5" s="1090">
        <v>44378</v>
      </c>
      <c r="GV5" s="1090">
        <v>44409</v>
      </c>
      <c r="GW5" s="1090">
        <v>44440</v>
      </c>
      <c r="GX5" s="1090">
        <v>44470</v>
      </c>
      <c r="GY5" s="1090">
        <v>44501</v>
      </c>
      <c r="GZ5" s="1090">
        <v>44531</v>
      </c>
      <c r="HA5" s="1091">
        <f>YEAR(GZ5)</f>
        <v>2021</v>
      </c>
      <c r="HB5" s="1090">
        <v>44562</v>
      </c>
      <c r="HC5" s="1090">
        <v>44593</v>
      </c>
      <c r="HD5" s="1090">
        <v>44621</v>
      </c>
      <c r="HE5" s="1090">
        <v>44652</v>
      </c>
      <c r="HF5" s="1090">
        <v>44682</v>
      </c>
      <c r="HG5" s="1090">
        <v>44713</v>
      </c>
      <c r="HH5" s="1090">
        <v>44743</v>
      </c>
      <c r="HI5" s="1090">
        <v>44774</v>
      </c>
      <c r="HJ5" s="1090">
        <v>44805</v>
      </c>
      <c r="HK5" s="1090">
        <v>44835</v>
      </c>
      <c r="HL5" s="1090">
        <v>44866</v>
      </c>
      <c r="HM5" s="1090">
        <v>44896</v>
      </c>
      <c r="HN5" s="1091">
        <f>YEAR(HM5)</f>
        <v>2022</v>
      </c>
      <c r="HO5" s="1090">
        <v>44927</v>
      </c>
      <c r="HP5" s="1090">
        <v>44958</v>
      </c>
      <c r="HQ5" s="1090">
        <v>44986</v>
      </c>
      <c r="HR5" s="1090">
        <v>45017</v>
      </c>
      <c r="HS5" s="1090">
        <v>45047</v>
      </c>
      <c r="HT5" s="1090">
        <v>45078</v>
      </c>
      <c r="HU5" s="1090">
        <v>45108</v>
      </c>
      <c r="HV5" s="1090">
        <v>45139</v>
      </c>
      <c r="HW5" s="1090">
        <v>45170</v>
      </c>
      <c r="HX5" s="1090">
        <v>45200</v>
      </c>
      <c r="HY5" s="1090">
        <v>45231</v>
      </c>
      <c r="HZ5" s="1090">
        <v>45261</v>
      </c>
      <c r="IA5" s="1091">
        <f>YEAR(HZ5)</f>
        <v>2023</v>
      </c>
      <c r="IB5" s="1090">
        <v>45292</v>
      </c>
      <c r="IC5" s="1090">
        <v>45323</v>
      </c>
      <c r="ID5" s="1090">
        <v>45352</v>
      </c>
      <c r="IE5" s="1090">
        <v>45383</v>
      </c>
      <c r="IF5" s="1090">
        <v>45413</v>
      </c>
      <c r="IG5" s="1090">
        <v>45444</v>
      </c>
      <c r="IH5" s="1090">
        <v>45474</v>
      </c>
      <c r="II5" s="1090">
        <v>45505</v>
      </c>
      <c r="IJ5" s="1090">
        <v>45536</v>
      </c>
      <c r="IK5" s="1090">
        <v>45566</v>
      </c>
      <c r="IL5" s="1090">
        <v>45597</v>
      </c>
      <c r="IM5" s="1090">
        <v>45627</v>
      </c>
      <c r="IN5" s="1091">
        <f>YEAR(IM5)</f>
        <v>2024</v>
      </c>
      <c r="IO5" s="1090">
        <v>45658</v>
      </c>
      <c r="IP5" s="1090">
        <v>45689</v>
      </c>
      <c r="IQ5" s="1090">
        <v>45717</v>
      </c>
      <c r="IR5" s="1090">
        <v>45748</v>
      </c>
      <c r="IS5" s="1090">
        <v>45778</v>
      </c>
      <c r="IT5" s="1090">
        <v>45809</v>
      </c>
      <c r="IU5" s="1090">
        <v>45839</v>
      </c>
      <c r="IV5" s="1090">
        <v>45870</v>
      </c>
      <c r="IW5" s="1090">
        <v>45901</v>
      </c>
      <c r="IX5" s="1090">
        <v>45931</v>
      </c>
      <c r="IY5" s="1090">
        <v>45962</v>
      </c>
      <c r="IZ5" s="1090">
        <v>45992</v>
      </c>
      <c r="JA5" s="1091">
        <f>YEAR(IZ5)</f>
        <v>2025</v>
      </c>
      <c r="JB5" s="1090">
        <v>46023</v>
      </c>
      <c r="JC5" s="1090">
        <v>46054</v>
      </c>
      <c r="JD5" s="1090">
        <v>46082</v>
      </c>
      <c r="JE5" s="1090">
        <v>46113</v>
      </c>
      <c r="JF5" s="1090">
        <v>46143</v>
      </c>
      <c r="JG5" s="1090">
        <v>46174</v>
      </c>
      <c r="JH5" s="1090">
        <v>46204</v>
      </c>
      <c r="JI5" s="1090">
        <v>46235</v>
      </c>
      <c r="JJ5" s="1090">
        <v>46266</v>
      </c>
      <c r="JK5" s="1090">
        <v>46296</v>
      </c>
      <c r="JL5" s="1090">
        <v>46327</v>
      </c>
      <c r="JM5" s="1090">
        <v>46357</v>
      </c>
      <c r="JN5" s="1091">
        <f>YEAR(JM5)</f>
        <v>2026</v>
      </c>
      <c r="JP5" s="1106">
        <f>IZ5</f>
        <v>45992</v>
      </c>
      <c r="JQ5" s="1107" t="str">
        <f>CONCATENATE("Ene.-",TEXT(JP5,"MMM."))</f>
        <v>Ene.-Dic.</v>
      </c>
      <c r="JR5" s="1108" t="str">
        <f>JQ5</f>
        <v>Ene.-Dic.</v>
      </c>
      <c r="JS5" s="1108" t="str">
        <f>JQ5</f>
        <v>Ene.-Dic.</v>
      </c>
      <c r="JT5" s="1"/>
      <c r="JU5" s="1076" t="s">
        <v>563</v>
      </c>
      <c r="JV5" s="1077"/>
      <c r="JW5" s="1078"/>
    </row>
    <row r="6" spans="1:283" ht="15" customHeight="1" x14ac:dyDescent="0.2">
      <c r="A6" s="1160"/>
      <c r="B6" s="1092"/>
      <c r="C6" s="1092"/>
      <c r="D6" s="1092"/>
      <c r="E6" s="1092"/>
      <c r="F6" s="1092"/>
      <c r="G6" s="1092"/>
      <c r="H6" s="1092"/>
      <c r="I6" s="1092"/>
      <c r="J6" s="1092"/>
      <c r="K6" s="1092"/>
      <c r="L6" s="1092"/>
      <c r="M6" s="1092"/>
      <c r="N6" s="1093"/>
      <c r="O6" s="1092"/>
      <c r="P6" s="1092"/>
      <c r="Q6" s="1092"/>
      <c r="R6" s="1092"/>
      <c r="S6" s="1092"/>
      <c r="T6" s="1092"/>
      <c r="U6" s="1092"/>
      <c r="V6" s="1092"/>
      <c r="W6" s="1092"/>
      <c r="X6" s="1092"/>
      <c r="Y6" s="1092"/>
      <c r="Z6" s="1092"/>
      <c r="AA6" s="1093"/>
      <c r="AB6" s="1092"/>
      <c r="AC6" s="1092"/>
      <c r="AD6" s="1092"/>
      <c r="AE6" s="1092"/>
      <c r="AF6" s="1092"/>
      <c r="AG6" s="1092"/>
      <c r="AH6" s="1092"/>
      <c r="AI6" s="1092"/>
      <c r="AJ6" s="1092"/>
      <c r="AK6" s="1092"/>
      <c r="AL6" s="1092"/>
      <c r="AM6" s="1092"/>
      <c r="AN6" s="1093"/>
      <c r="AO6" s="1092"/>
      <c r="AP6" s="1092"/>
      <c r="AQ6" s="1092"/>
      <c r="AR6" s="1092"/>
      <c r="AS6" s="1092"/>
      <c r="AT6" s="1092"/>
      <c r="AU6" s="1092"/>
      <c r="AV6" s="1092"/>
      <c r="AW6" s="1092"/>
      <c r="AX6" s="1092"/>
      <c r="AY6" s="1092"/>
      <c r="AZ6" s="1092"/>
      <c r="BA6" s="1093"/>
      <c r="BB6" s="1092"/>
      <c r="BC6" s="1092"/>
      <c r="BD6" s="1092"/>
      <c r="BE6" s="1092"/>
      <c r="BF6" s="1092"/>
      <c r="BG6" s="1092"/>
      <c r="BH6" s="1092"/>
      <c r="BI6" s="1092"/>
      <c r="BJ6" s="1092"/>
      <c r="BK6" s="1092"/>
      <c r="BL6" s="1092"/>
      <c r="BM6" s="1092"/>
      <c r="BN6" s="1093"/>
      <c r="BO6" s="1092"/>
      <c r="BP6" s="1092"/>
      <c r="BQ6" s="1092"/>
      <c r="BR6" s="1092"/>
      <c r="BS6" s="1092"/>
      <c r="BT6" s="1092"/>
      <c r="BU6" s="1092"/>
      <c r="BV6" s="1092"/>
      <c r="BW6" s="1092"/>
      <c r="BX6" s="1092"/>
      <c r="BY6" s="1092"/>
      <c r="BZ6" s="1092"/>
      <c r="CA6" s="1093"/>
      <c r="CB6" s="1092"/>
      <c r="CC6" s="1092"/>
      <c r="CD6" s="1092"/>
      <c r="CE6" s="1092"/>
      <c r="CF6" s="1092"/>
      <c r="CG6" s="1092"/>
      <c r="CH6" s="1092"/>
      <c r="CI6" s="1092"/>
      <c r="CJ6" s="1092"/>
      <c r="CK6" s="1092"/>
      <c r="CL6" s="1092"/>
      <c r="CM6" s="1092"/>
      <c r="CN6" s="1093"/>
      <c r="CO6" s="1092"/>
      <c r="CP6" s="1092"/>
      <c r="CQ6" s="1092"/>
      <c r="CR6" s="1092"/>
      <c r="CS6" s="1092"/>
      <c r="CT6" s="1092"/>
      <c r="CU6" s="1092"/>
      <c r="CV6" s="1092"/>
      <c r="CW6" s="1092"/>
      <c r="CX6" s="1092"/>
      <c r="CY6" s="1092"/>
      <c r="CZ6" s="1092"/>
      <c r="DA6" s="1093"/>
      <c r="DB6" s="1092"/>
      <c r="DC6" s="1092"/>
      <c r="DD6" s="1092"/>
      <c r="DE6" s="1092"/>
      <c r="DF6" s="1092"/>
      <c r="DG6" s="1092"/>
      <c r="DH6" s="1092"/>
      <c r="DI6" s="1092"/>
      <c r="DJ6" s="1092"/>
      <c r="DK6" s="1092"/>
      <c r="DL6" s="1092"/>
      <c r="DM6" s="1092"/>
      <c r="DN6" s="1093"/>
      <c r="DO6" s="1092"/>
      <c r="DP6" s="1092"/>
      <c r="DQ6" s="1092"/>
      <c r="DR6" s="1092"/>
      <c r="DS6" s="1092"/>
      <c r="DT6" s="1092"/>
      <c r="DU6" s="1092"/>
      <c r="DV6" s="1092"/>
      <c r="DW6" s="1092"/>
      <c r="DX6" s="1092"/>
      <c r="DY6" s="1092"/>
      <c r="DZ6" s="1092"/>
      <c r="EA6" s="1093"/>
      <c r="EB6" s="1092"/>
      <c r="EC6" s="1092"/>
      <c r="ED6" s="1092"/>
      <c r="EE6" s="1092"/>
      <c r="EF6" s="1092"/>
      <c r="EG6" s="1092"/>
      <c r="EH6" s="1092"/>
      <c r="EI6" s="1092"/>
      <c r="EJ6" s="1092"/>
      <c r="EK6" s="1092"/>
      <c r="EL6" s="1092"/>
      <c r="EM6" s="1092"/>
      <c r="EN6" s="1093"/>
      <c r="EO6" s="1092"/>
      <c r="EP6" s="1092"/>
      <c r="EQ6" s="1092"/>
      <c r="ER6" s="1092"/>
      <c r="ES6" s="1092"/>
      <c r="ET6" s="1092"/>
      <c r="EU6" s="1092"/>
      <c r="EV6" s="1092"/>
      <c r="EW6" s="1092"/>
      <c r="EX6" s="1092"/>
      <c r="EY6" s="1092"/>
      <c r="EZ6" s="1092"/>
      <c r="FA6" s="1093"/>
      <c r="FB6" s="1092"/>
      <c r="FC6" s="1092"/>
      <c r="FD6" s="1092"/>
      <c r="FE6" s="1092"/>
      <c r="FF6" s="1092"/>
      <c r="FG6" s="1092"/>
      <c r="FH6" s="1092"/>
      <c r="FI6" s="1092"/>
      <c r="FJ6" s="1092"/>
      <c r="FK6" s="1092"/>
      <c r="FL6" s="1092"/>
      <c r="FM6" s="1092"/>
      <c r="FN6" s="1093"/>
      <c r="FO6" s="1092"/>
      <c r="FP6" s="1092"/>
      <c r="FQ6" s="1092"/>
      <c r="FR6" s="1092"/>
      <c r="FS6" s="1092"/>
      <c r="FT6" s="1092"/>
      <c r="FU6" s="1092"/>
      <c r="FV6" s="1092"/>
      <c r="FW6" s="1092"/>
      <c r="FX6" s="1092"/>
      <c r="FY6" s="1092"/>
      <c r="FZ6" s="1092"/>
      <c r="GA6" s="1093"/>
      <c r="GB6" s="1092"/>
      <c r="GC6" s="1092"/>
      <c r="GD6" s="1092"/>
      <c r="GE6" s="1092"/>
      <c r="GF6" s="1092"/>
      <c r="GG6" s="1092"/>
      <c r="GH6" s="1092"/>
      <c r="GI6" s="1092"/>
      <c r="GJ6" s="1092"/>
      <c r="GK6" s="1092"/>
      <c r="GL6" s="1092"/>
      <c r="GM6" s="1092"/>
      <c r="GN6" s="1093"/>
      <c r="GO6" s="1092"/>
      <c r="GP6" s="1092"/>
      <c r="GQ6" s="1092"/>
      <c r="GR6" s="1092"/>
      <c r="GS6" s="1092"/>
      <c r="GT6" s="1092"/>
      <c r="GU6" s="1092"/>
      <c r="GV6" s="1092"/>
      <c r="GW6" s="1092"/>
      <c r="GX6" s="1092"/>
      <c r="GY6" s="1092"/>
      <c r="GZ6" s="1092"/>
      <c r="HA6" s="1093"/>
      <c r="HB6" s="1092"/>
      <c r="HC6" s="1092"/>
      <c r="HD6" s="1092"/>
      <c r="HE6" s="1092"/>
      <c r="HF6" s="1092"/>
      <c r="HG6" s="1092"/>
      <c r="HH6" s="1092"/>
      <c r="HI6" s="1092"/>
      <c r="HJ6" s="1092"/>
      <c r="HK6" s="1092"/>
      <c r="HL6" s="1092"/>
      <c r="HM6" s="1092"/>
      <c r="HN6" s="1093"/>
      <c r="HO6" s="1092"/>
      <c r="HP6" s="1092"/>
      <c r="HQ6" s="1092"/>
      <c r="HR6" s="1092"/>
      <c r="HS6" s="1092"/>
      <c r="HT6" s="1092"/>
      <c r="HU6" s="1092"/>
      <c r="HV6" s="1092"/>
      <c r="HW6" s="1092"/>
      <c r="HX6" s="1092"/>
      <c r="HY6" s="1092"/>
      <c r="HZ6" s="1092"/>
      <c r="IA6" s="1093"/>
      <c r="IB6" s="1092"/>
      <c r="IC6" s="1092"/>
      <c r="ID6" s="1092"/>
      <c r="IE6" s="1092"/>
      <c r="IF6" s="1092"/>
      <c r="IG6" s="1092"/>
      <c r="IH6" s="1092"/>
      <c r="II6" s="1092"/>
      <c r="IJ6" s="1092"/>
      <c r="IK6" s="1092"/>
      <c r="IL6" s="1092"/>
      <c r="IM6" s="1092"/>
      <c r="IN6" s="1093"/>
      <c r="IO6" s="1092"/>
      <c r="IP6" s="1092"/>
      <c r="IQ6" s="1092"/>
      <c r="IR6" s="1092"/>
      <c r="IS6" s="1092"/>
      <c r="IT6" s="1092"/>
      <c r="IU6" s="1092"/>
      <c r="IV6" s="1092"/>
      <c r="IW6" s="1092"/>
      <c r="IX6" s="1092"/>
      <c r="IY6" s="1092"/>
      <c r="IZ6" s="1092"/>
      <c r="JA6" s="1093"/>
      <c r="JB6" s="1092"/>
      <c r="JC6" s="1092"/>
      <c r="JD6" s="1092"/>
      <c r="JE6" s="1092"/>
      <c r="JF6" s="1092"/>
      <c r="JG6" s="1092"/>
      <c r="JH6" s="1092"/>
      <c r="JI6" s="1092"/>
      <c r="JJ6" s="1092"/>
      <c r="JK6" s="1092"/>
      <c r="JL6" s="1092"/>
      <c r="JM6" s="1092"/>
      <c r="JN6" s="1093"/>
      <c r="JP6" s="1109"/>
      <c r="JQ6" s="1110"/>
      <c r="JR6" s="1111"/>
      <c r="JS6" s="1112"/>
      <c r="JU6" s="1079"/>
      <c r="JV6" s="1080"/>
      <c r="JW6" s="1081"/>
    </row>
    <row r="7" spans="1:283" ht="15" customHeight="1" x14ac:dyDescent="0.2">
      <c r="A7" s="1198" t="s">
        <v>588</v>
      </c>
      <c r="B7" s="1199">
        <v>8921.3815202526202</v>
      </c>
      <c r="C7" s="1199">
        <v>11081.12990337526</v>
      </c>
      <c r="D7" s="1199">
        <v>8803.5746575397679</v>
      </c>
      <c r="E7" s="1199">
        <v>7338.4208530318456</v>
      </c>
      <c r="F7" s="1199">
        <v>6855.8062535506806</v>
      </c>
      <c r="G7" s="1199">
        <v>6720.3248433934168</v>
      </c>
      <c r="H7" s="1199">
        <v>6618.0657931166734</v>
      </c>
      <c r="I7" s="1199">
        <v>6493.3092735669452</v>
      </c>
      <c r="J7" s="1199">
        <v>6234.3261818271212</v>
      </c>
      <c r="K7" s="1199">
        <v>6041.0489084210494</v>
      </c>
      <c r="L7" s="1199">
        <v>6144.2546920155974</v>
      </c>
      <c r="M7" s="1199">
        <v>6316.6394004252033</v>
      </c>
      <c r="N7" s="1156">
        <f t="shared" ref="N7:N47" si="0">SUM(B7:M7)</f>
        <v>87568.2822805162</v>
      </c>
      <c r="O7" s="1199">
        <v>9498.5380433674436</v>
      </c>
      <c r="P7" s="1199">
        <v>11267.085701322796</v>
      </c>
      <c r="Q7" s="1199">
        <v>9386.0580860406862</v>
      </c>
      <c r="R7" s="1199">
        <v>7706.9326969004687</v>
      </c>
      <c r="S7" s="1199">
        <v>7630.4205714793588</v>
      </c>
      <c r="T7" s="1199">
        <v>7554.4622051177421</v>
      </c>
      <c r="U7" s="1199">
        <v>7168.0770317070701</v>
      </c>
      <c r="V7" s="1199">
        <v>7224.6178430061209</v>
      </c>
      <c r="W7" s="1199">
        <v>6978.4652839366463</v>
      </c>
      <c r="X7" s="1199">
        <v>7006.6677739466622</v>
      </c>
      <c r="Y7" s="1199">
        <v>6626.3646610715514</v>
      </c>
      <c r="Z7" s="1199">
        <v>6849.2901306649246</v>
      </c>
      <c r="AA7" s="1156">
        <f t="shared" ref="AA7:AA47" si="1">SUM(O7:Z7)</f>
        <v>94896.980028561477</v>
      </c>
      <c r="AB7" s="1199">
        <v>9419.2674734607281</v>
      </c>
      <c r="AC7" s="1199">
        <v>11441.938882776578</v>
      </c>
      <c r="AD7" s="1199">
        <v>8568.8437215038757</v>
      </c>
      <c r="AE7" s="1199">
        <v>7711.4011650561015</v>
      </c>
      <c r="AF7" s="1199">
        <v>7769.4368223520141</v>
      </c>
      <c r="AG7" s="1199">
        <v>7722.9353435530993</v>
      </c>
      <c r="AH7" s="1199">
        <v>7836.7149457332616</v>
      </c>
      <c r="AI7" s="1199">
        <v>7791.3958090825035</v>
      </c>
      <c r="AJ7" s="1199">
        <v>7849.4122658181395</v>
      </c>
      <c r="AK7" s="1199">
        <v>7922.1212967741831</v>
      </c>
      <c r="AL7" s="1199">
        <v>7768.1519001659744</v>
      </c>
      <c r="AM7" s="1199">
        <v>7286.6580200690078</v>
      </c>
      <c r="AN7" s="1156">
        <f t="shared" ref="AN7:AN47" si="2">SUM(AB7:AM7)</f>
        <v>99088.277646345479</v>
      </c>
      <c r="AO7" s="1199">
        <v>9652.1994711608677</v>
      </c>
      <c r="AP7" s="1199">
        <v>11699.503247391334</v>
      </c>
      <c r="AQ7" s="1199">
        <v>9739.6553121293618</v>
      </c>
      <c r="AR7" s="1199">
        <v>8232.3426090634348</v>
      </c>
      <c r="AS7" s="1199">
        <v>8106.2955830185347</v>
      </c>
      <c r="AT7" s="1199">
        <v>7850.8125364591633</v>
      </c>
      <c r="AU7" s="1199">
        <v>7824.742311465131</v>
      </c>
      <c r="AV7" s="1199">
        <v>7752.6027126548761</v>
      </c>
      <c r="AW7" s="1199">
        <v>7979.4677178030825</v>
      </c>
      <c r="AX7" s="1199">
        <v>7638.4790794899245</v>
      </c>
      <c r="AY7" s="1199">
        <v>7841.9630019029091</v>
      </c>
      <c r="AZ7" s="1199">
        <v>8210.6252933952983</v>
      </c>
      <c r="BA7" s="1156">
        <f t="shared" ref="BA7:BA47" si="3">SUM(AO7:AZ7)</f>
        <v>102528.68887593393</v>
      </c>
      <c r="BB7" s="1199">
        <v>9159.0095774021465</v>
      </c>
      <c r="BC7" s="1199">
        <v>11142.499098385022</v>
      </c>
      <c r="BD7" s="1199">
        <v>9266.9738099078586</v>
      </c>
      <c r="BE7" s="1199">
        <v>7816.0234890123629</v>
      </c>
      <c r="BF7" s="1199">
        <v>7946.5580995308073</v>
      </c>
      <c r="BG7" s="1199">
        <v>7654.2820041067271</v>
      </c>
      <c r="BH7" s="1199">
        <v>7619.3557270028577</v>
      </c>
      <c r="BI7" s="1199">
        <v>7756.3168197334144</v>
      </c>
      <c r="BJ7" s="1199">
        <v>7572.8048314493635</v>
      </c>
      <c r="BK7" s="1199">
        <v>8086.8495363551474</v>
      </c>
      <c r="BL7" s="1199">
        <v>8385.9711332423558</v>
      </c>
      <c r="BM7" s="1199">
        <v>8600.8707442068699</v>
      </c>
      <c r="BN7" s="1156">
        <f t="shared" ref="BN7:BN47" si="4">SUM(BB7:BM7)</f>
        <v>101007.51487033494</v>
      </c>
      <c r="BO7" s="1199">
        <v>10010.930777974279</v>
      </c>
      <c r="BP7" s="1199">
        <v>12581.494079722373</v>
      </c>
      <c r="BQ7" s="1199">
        <v>10505.561477981055</v>
      </c>
      <c r="BR7" s="1199">
        <v>9484.026024396615</v>
      </c>
      <c r="BS7" s="1199">
        <v>8780.4097722546303</v>
      </c>
      <c r="BT7" s="1199">
        <v>8780.6000478206115</v>
      </c>
      <c r="BU7" s="1199">
        <v>8768.5989899041197</v>
      </c>
      <c r="BV7" s="1199">
        <v>9048.3780861856703</v>
      </c>
      <c r="BW7" s="1199">
        <v>8767.4584071161044</v>
      </c>
      <c r="BX7" s="1199">
        <v>9156.7013308673359</v>
      </c>
      <c r="BY7" s="1199">
        <v>9039.718414820516</v>
      </c>
      <c r="BZ7" s="1199">
        <v>9722.3890055721822</v>
      </c>
      <c r="CA7" s="1156">
        <f t="shared" ref="CA7:CA47" si="5">SUM(BO7:BZ7)</f>
        <v>114646.26641461549</v>
      </c>
      <c r="CB7" s="1199">
        <v>9173.3204382343574</v>
      </c>
      <c r="CC7" s="1199">
        <v>10842.485064043667</v>
      </c>
      <c r="CD7" s="1199">
        <v>9204.7652407792448</v>
      </c>
      <c r="CE7" s="1199">
        <v>8254.5176750605206</v>
      </c>
      <c r="CF7" s="1199">
        <v>7954.0540838485376</v>
      </c>
      <c r="CG7" s="1199">
        <v>7955.0253818572346</v>
      </c>
      <c r="CH7" s="1199">
        <v>7995.3005813105401</v>
      </c>
      <c r="CI7" s="1199">
        <v>7825.3707125981764</v>
      </c>
      <c r="CJ7" s="1199">
        <v>8048.3521072839012</v>
      </c>
      <c r="CK7" s="1199">
        <v>8247.8888957078289</v>
      </c>
      <c r="CL7" s="1199">
        <v>8687.4353570295079</v>
      </c>
      <c r="CM7" s="1199">
        <v>8874.6049778404977</v>
      </c>
      <c r="CN7" s="1156">
        <f t="shared" ref="CN7:CN47" si="6">SUM(CB7:CM7)</f>
        <v>103063.12051559403</v>
      </c>
      <c r="CO7" s="1199">
        <v>9562.7101461905295</v>
      </c>
      <c r="CP7" s="1199">
        <v>12040.383137543728</v>
      </c>
      <c r="CQ7" s="1199">
        <v>9934.2572799122154</v>
      </c>
      <c r="CR7" s="1199">
        <v>9142.6320252663845</v>
      </c>
      <c r="CS7" s="1199">
        <v>8252.4332593875843</v>
      </c>
      <c r="CT7" s="1199">
        <v>8639.3662351762287</v>
      </c>
      <c r="CU7" s="1199">
        <v>8561.3597825408797</v>
      </c>
      <c r="CV7" s="1199">
        <v>8399.616567615094</v>
      </c>
      <c r="CW7" s="1199">
        <v>8157.4379493428232</v>
      </c>
      <c r="CX7" s="1199">
        <v>8088.9016596115735</v>
      </c>
      <c r="CY7" s="1199">
        <v>8457.1263062151993</v>
      </c>
      <c r="CZ7" s="1199">
        <v>9580.3932947871635</v>
      </c>
      <c r="DA7" s="1156">
        <f t="shared" ref="DA7:DA47" si="7">SUM(CO7:CZ7)</f>
        <v>108816.61764358942</v>
      </c>
      <c r="DB7" s="1199">
        <v>17701.283758307207</v>
      </c>
      <c r="DC7" s="1199">
        <v>12129.063557927906</v>
      </c>
      <c r="DD7" s="1199">
        <v>10645.908100520071</v>
      </c>
      <c r="DE7" s="1199">
        <v>9263.8721697676792</v>
      </c>
      <c r="DF7" s="1199">
        <v>8847.6350660571279</v>
      </c>
      <c r="DG7" s="1199">
        <v>8990.4312367341663</v>
      </c>
      <c r="DH7" s="1199">
        <v>8930.3976437046531</v>
      </c>
      <c r="DI7" s="1199">
        <v>8642.8078982439911</v>
      </c>
      <c r="DJ7" s="1199">
        <v>8532.0822097820928</v>
      </c>
      <c r="DK7" s="1199">
        <v>8792.8464391531106</v>
      </c>
      <c r="DL7" s="1199">
        <v>9294.7448829409896</v>
      </c>
      <c r="DM7" s="1199">
        <v>9328.2419460208894</v>
      </c>
      <c r="DN7" s="1156">
        <f t="shared" ref="DN7:DN47" si="8">SUM(DB7:DM7)</f>
        <v>121099.31490915989</v>
      </c>
      <c r="DO7" s="1199">
        <v>10897.847389539871</v>
      </c>
      <c r="DP7" s="1199">
        <v>12663.201614120331</v>
      </c>
      <c r="DQ7" s="1199">
        <v>11379.213093301218</v>
      </c>
      <c r="DR7" s="1199">
        <v>9631.2561493384201</v>
      </c>
      <c r="DS7" s="1199">
        <v>9049.7590292625464</v>
      </c>
      <c r="DT7" s="1199">
        <v>9587.0641466923717</v>
      </c>
      <c r="DU7" s="1199">
        <v>9389.3417567491615</v>
      </c>
      <c r="DV7" s="1199">
        <v>9564.8101506642597</v>
      </c>
      <c r="DW7" s="1199">
        <v>9525.936153361723</v>
      </c>
      <c r="DX7" s="1199">
        <v>9631.1274372887765</v>
      </c>
      <c r="DY7" s="1199">
        <v>10187.506338051366</v>
      </c>
      <c r="DZ7" s="1199">
        <v>9951.9690589446018</v>
      </c>
      <c r="EA7" s="1156">
        <f t="shared" ref="EA7:EA47" si="9">SUM(DO7:DZ7)</f>
        <v>121459.03231731462</v>
      </c>
      <c r="EB7" s="1199">
        <v>11028.21927700651</v>
      </c>
      <c r="EC7" s="1199">
        <v>13458.440021413158</v>
      </c>
      <c r="ED7" s="1199">
        <v>10891.71332536796</v>
      </c>
      <c r="EE7" s="1199">
        <v>9912.2492660387616</v>
      </c>
      <c r="EF7" s="1199">
        <v>8871.4288829978523</v>
      </c>
      <c r="EG7" s="1199">
        <v>9232.3916721205405</v>
      </c>
      <c r="EH7" s="1199">
        <v>10110.238118449366</v>
      </c>
      <c r="EI7" s="1199">
        <v>9477.0902720457343</v>
      </c>
      <c r="EJ7" s="1199">
        <v>9060.0202973732848</v>
      </c>
      <c r="EK7" s="1199">
        <v>10552.255226167747</v>
      </c>
      <c r="EL7" s="1199">
        <v>10953.273033675701</v>
      </c>
      <c r="EM7" s="1199">
        <v>10645.225327204233</v>
      </c>
      <c r="EN7" s="1156">
        <f t="shared" ref="EN7:EN47" si="10">SUM(EB7:EM7)</f>
        <v>124192.54471986085</v>
      </c>
      <c r="EO7" s="1199">
        <v>11793.886187176973</v>
      </c>
      <c r="EP7" s="1199">
        <v>14279.186195757678</v>
      </c>
      <c r="EQ7" s="1199">
        <v>12873.419100774856</v>
      </c>
      <c r="ER7" s="1199">
        <v>11461.657248611515</v>
      </c>
      <c r="ES7" s="1199">
        <v>10655.057593152458</v>
      </c>
      <c r="ET7" s="1199">
        <v>11234.951214771714</v>
      </c>
      <c r="EU7" s="1199">
        <v>11239.373774828649</v>
      </c>
      <c r="EV7" s="1199">
        <v>11281.058245260812</v>
      </c>
      <c r="EW7" s="1199">
        <v>11440.832093908741</v>
      </c>
      <c r="EX7" s="1199">
        <v>11958.518396863998</v>
      </c>
      <c r="EY7" s="1199">
        <v>12335.286362009494</v>
      </c>
      <c r="EZ7" s="1199">
        <v>12394.242781570154</v>
      </c>
      <c r="FA7" s="1156">
        <f t="shared" ref="FA7:FA47" si="11">SUM(EO7:EZ7)</f>
        <v>142947.46919468706</v>
      </c>
      <c r="FB7" s="1199">
        <v>12725.699778683638</v>
      </c>
      <c r="FC7" s="1199">
        <v>14263.929445296762</v>
      </c>
      <c r="FD7" s="1199">
        <v>12973.162193887712</v>
      </c>
      <c r="FE7" s="1199">
        <v>11290.136364327007</v>
      </c>
      <c r="FF7" s="1199">
        <v>12195.021241401006</v>
      </c>
      <c r="FG7" s="1199">
        <v>10936.351755265801</v>
      </c>
      <c r="FH7" s="1199">
        <v>11073.012397256458</v>
      </c>
      <c r="FI7" s="1199">
        <v>11265.353918226579</v>
      </c>
      <c r="FJ7" s="1199">
        <v>11143.756711070188</v>
      </c>
      <c r="FK7" s="1199">
        <v>11233.44123734847</v>
      </c>
      <c r="FL7" s="1199">
        <v>12031.957294719556</v>
      </c>
      <c r="FM7" s="1199">
        <v>12017.329649366229</v>
      </c>
      <c r="FN7" s="1156">
        <f t="shared" ref="FN7:FN47" si="12">SUM(FB7:FM7)</f>
        <v>143149.15198684941</v>
      </c>
      <c r="FO7" s="1199">
        <v>11982.185112777172</v>
      </c>
      <c r="FP7" s="1199">
        <v>12733.15342881072</v>
      </c>
      <c r="FQ7" s="1199">
        <v>11534.16322265182</v>
      </c>
      <c r="FR7" s="1199">
        <v>10229.111372405814</v>
      </c>
      <c r="FS7" s="1199">
        <v>10193.948095796952</v>
      </c>
      <c r="FT7" s="1199">
        <v>9899.9799578873408</v>
      </c>
      <c r="FU7" s="1199">
        <v>9808.7355033534059</v>
      </c>
      <c r="FV7" s="1199">
        <v>9724.0094483630473</v>
      </c>
      <c r="FW7" s="1199">
        <v>9493.82713269128</v>
      </c>
      <c r="FX7" s="1199">
        <v>9580.9796930894536</v>
      </c>
      <c r="FY7" s="1199">
        <v>10592.343614909469</v>
      </c>
      <c r="FZ7" s="1199">
        <v>10789.877399222329</v>
      </c>
      <c r="GA7" s="1156">
        <f t="shared" ref="GA7:GA47" si="13">SUM(FO7:FZ7)</f>
        <v>126562.31398195881</v>
      </c>
      <c r="GB7" s="1199">
        <v>12666.493783953687</v>
      </c>
      <c r="GC7" s="1199">
        <v>13508.757277713647</v>
      </c>
      <c r="GD7" s="1199">
        <v>12728.787165807482</v>
      </c>
      <c r="GE7" s="1199">
        <v>11500.480826294186</v>
      </c>
      <c r="GF7" s="1199">
        <v>11819.538114163448</v>
      </c>
      <c r="GG7" s="1199">
        <v>11125.271830433283</v>
      </c>
      <c r="GH7" s="1199">
        <v>11014.985016689894</v>
      </c>
      <c r="GI7" s="1199">
        <v>11155.349664176449</v>
      </c>
      <c r="GJ7" s="1199">
        <v>10988.671161520222</v>
      </c>
      <c r="GK7" s="1199">
        <v>11312.162202764795</v>
      </c>
      <c r="GL7" s="1199">
        <v>12058.38679818546</v>
      </c>
      <c r="GM7" s="1199">
        <v>12463.642469412353</v>
      </c>
      <c r="GN7" s="1156">
        <f t="shared" ref="GN7:GN47" si="14">SUM(GB7:GM7)</f>
        <v>142342.5263111149</v>
      </c>
      <c r="GO7" s="1199">
        <v>13273.449517044204</v>
      </c>
      <c r="GP7" s="1199">
        <v>13678.918823930871</v>
      </c>
      <c r="GQ7" s="1199">
        <v>13036.842566296042</v>
      </c>
      <c r="GR7" s="1199">
        <v>11417.999888044025</v>
      </c>
      <c r="GS7" s="1199">
        <v>11740.948510239637</v>
      </c>
      <c r="GT7" s="1199">
        <v>11059.455252656548</v>
      </c>
      <c r="GU7" s="1199">
        <v>11218.566761225897</v>
      </c>
      <c r="GV7" s="1199">
        <v>12043.435182306484</v>
      </c>
      <c r="GW7" s="1199">
        <v>11241.609935946995</v>
      </c>
      <c r="GX7" s="1199">
        <v>11699.578668014781</v>
      </c>
      <c r="GY7" s="1199">
        <v>12463.642589082921</v>
      </c>
      <c r="GZ7" s="1199">
        <v>12473.163830215193</v>
      </c>
      <c r="HA7" s="1156">
        <f t="shared" ref="HA7:HA47" si="15">SUM(GO7:GZ7)</f>
        <v>145347.61152500359</v>
      </c>
      <c r="HB7" s="1199">
        <v>12717.592844073821</v>
      </c>
      <c r="HC7" s="1199">
        <v>12908.13039327429</v>
      </c>
      <c r="HD7" s="1199">
        <v>12339.415902812236</v>
      </c>
      <c r="HE7" s="1199">
        <v>11485.378214507022</v>
      </c>
      <c r="HF7" s="1199">
        <v>11396.71999519885</v>
      </c>
      <c r="HG7" s="1199">
        <v>10597.574009079077</v>
      </c>
      <c r="HH7" s="1199">
        <v>10619.816240108212</v>
      </c>
      <c r="HI7" s="1199">
        <v>10577.798604729409</v>
      </c>
      <c r="HJ7" s="1199">
        <v>10176.072049464976</v>
      </c>
      <c r="HK7" s="1199">
        <v>10389.069679924181</v>
      </c>
      <c r="HL7" s="1199">
        <v>11287.65646177388</v>
      </c>
      <c r="HM7" s="1199">
        <v>11557.915585847895</v>
      </c>
      <c r="HN7" s="1156">
        <f t="shared" ref="HN7:HN47" si="16">SUM(HB7:HM7)</f>
        <v>136053.13998079384</v>
      </c>
      <c r="HO7" s="1199">
        <v>12483.196747592086</v>
      </c>
      <c r="HP7" s="1199">
        <v>13509.362329271144</v>
      </c>
      <c r="HQ7" s="1199">
        <v>12801.712118889018</v>
      </c>
      <c r="HR7" s="1199">
        <v>11977.316640707235</v>
      </c>
      <c r="HS7" s="1199">
        <v>12138.946825885823</v>
      </c>
      <c r="HT7" s="1199">
        <v>11359.842985840414</v>
      </c>
      <c r="HU7" s="1199">
        <v>11996.504781414176</v>
      </c>
      <c r="HV7" s="1199">
        <v>11596.589326218878</v>
      </c>
      <c r="HW7" s="1199">
        <v>11010.151640981741</v>
      </c>
      <c r="HX7" s="1199">
        <v>11153.534768682997</v>
      </c>
      <c r="HY7" s="1199">
        <v>12274.990113223004</v>
      </c>
      <c r="HZ7" s="1199">
        <v>12891.93949923525</v>
      </c>
      <c r="IA7" s="1156">
        <f t="shared" ref="IA7:IA47" si="17">SUM(HO7:HZ7)</f>
        <v>145194.08777794175</v>
      </c>
      <c r="IB7" s="1199">
        <v>13247.589050362452</v>
      </c>
      <c r="IC7" s="1199">
        <v>14509.549159225111</v>
      </c>
      <c r="ID7" s="1199">
        <v>13093.999620407616</v>
      </c>
      <c r="IE7" s="1199">
        <v>12810.906256164213</v>
      </c>
      <c r="IF7" s="1199">
        <v>12241.995445800971</v>
      </c>
      <c r="IG7" s="1199">
        <v>11427.304647365874</v>
      </c>
      <c r="IH7" s="1199">
        <v>11003.741517280376</v>
      </c>
      <c r="II7" s="1199">
        <v>10829.716405912834</v>
      </c>
      <c r="IJ7" s="1199">
        <v>10998.124490776658</v>
      </c>
      <c r="IK7" s="1199">
        <v>11288.909854370469</v>
      </c>
      <c r="IL7" s="1199">
        <v>11913.750445154208</v>
      </c>
      <c r="IM7" s="1199">
        <v>13278.834772548887</v>
      </c>
      <c r="IN7" s="1156">
        <v>146644.42166536965</v>
      </c>
      <c r="IO7" s="1199">
        <v>13152.719741820601</v>
      </c>
      <c r="IP7" s="1199">
        <v>14343.587846352348</v>
      </c>
      <c r="IQ7" s="1199">
        <v>13954.534202159088</v>
      </c>
      <c r="IR7" s="1199">
        <v>13362.819884057015</v>
      </c>
      <c r="IS7" s="1199">
        <v>13329.509893321478</v>
      </c>
      <c r="IT7" s="1199">
        <v>11957.594794371935</v>
      </c>
      <c r="IU7" s="1199">
        <v>11517.113612886302</v>
      </c>
      <c r="IV7" s="1199">
        <v>11194.018688357684</v>
      </c>
      <c r="IW7" s="1199">
        <v>11213.023692761171</v>
      </c>
      <c r="IX7" s="1199">
        <v>11930.710582432721</v>
      </c>
      <c r="IY7" s="1199">
        <v>13350.616884440225</v>
      </c>
      <c r="IZ7" s="1199">
        <v>13519.787191944053</v>
      </c>
      <c r="JA7" s="1156">
        <v>152826.03701490466</v>
      </c>
      <c r="JB7" s="1199">
        <v>12046.605742578608</v>
      </c>
      <c r="JC7" s="1199">
        <v>13614.310082299191</v>
      </c>
      <c r="JD7" s="1199"/>
      <c r="JE7" s="1199"/>
      <c r="JF7" s="1199"/>
      <c r="JG7" s="1199"/>
      <c r="JH7" s="1199"/>
      <c r="JI7" s="1199"/>
      <c r="JJ7" s="1199"/>
      <c r="JK7" s="1199"/>
      <c r="JL7" s="1199"/>
      <c r="JM7" s="1199"/>
      <c r="JN7" s="1156">
        <f t="shared" ref="JN7:JN47" si="18">SUM(JB7:JM7)</f>
        <v>25660.915824877797</v>
      </c>
      <c r="JO7" s="1200"/>
      <c r="JP7" s="1201">
        <f>IFERROR(((
_xlfn.XLOOKUP((DATE(YEAR($JP$5),MONTH($JP$5),1)),$B$5:$JN$5,$B7:$JN7) /
_xlfn.XLOOKUP((DATE(YEAR($JP$5)-1,MONTH($JP$5),1)),$B$5:$JN$5,$B7:$JN7)
)-1)*100,"")</f>
        <v>1.8145599634486143</v>
      </c>
      <c r="JQ7" s="1202">
        <f>IFERROR(((JS7/JR7)-1)*100,"")</f>
        <v>4.2153770865153373</v>
      </c>
      <c r="JR7" s="1157">
        <f>SUMIFS($B7:$JN7,$B$5:$JN$5,"&gt;="&amp;DATE(YEAR($JP$5)-1,1,1),$B$5:$JN$5,"&lt;="&amp;DATE(YEAR($JP$5)-1,MONTH($JP$5),1))</f>
        <v>146644.42166536968</v>
      </c>
      <c r="JS7" s="1203">
        <f>SUMIFS($B7:$JN7,$B$5:$JN$5,"&gt;="&amp;DATE(YEAR($JP$5),1,1),$B$5:$JN$5,"&lt;="&amp;$JP$5)</f>
        <v>152826.03701490461</v>
      </c>
      <c r="JT7" s="38"/>
      <c r="JU7" s="1139"/>
      <c r="JV7" s="1146"/>
      <c r="JW7" s="1147"/>
    </row>
    <row r="8" spans="1:283" ht="15" customHeight="1" x14ac:dyDescent="0.2">
      <c r="A8" s="1166"/>
      <c r="B8" s="1098"/>
      <c r="C8" s="1098"/>
      <c r="D8" s="1098"/>
      <c r="E8" s="1098"/>
      <c r="F8" s="1098"/>
      <c r="G8" s="1098"/>
      <c r="H8" s="1098"/>
      <c r="I8" s="1098"/>
      <c r="J8" s="1098"/>
      <c r="K8" s="1098"/>
      <c r="L8" s="1098"/>
      <c r="M8" s="1098"/>
      <c r="N8" s="1097"/>
      <c r="O8" s="1098"/>
      <c r="P8" s="1098"/>
      <c r="Q8" s="1098"/>
      <c r="R8" s="1098"/>
      <c r="S8" s="1098"/>
      <c r="T8" s="1098"/>
      <c r="U8" s="1098"/>
      <c r="V8" s="1098"/>
      <c r="W8" s="1098"/>
      <c r="X8" s="1098"/>
      <c r="Y8" s="1098"/>
      <c r="Z8" s="1098"/>
      <c r="AA8" s="1097"/>
      <c r="AB8" s="1098"/>
      <c r="AC8" s="1098"/>
      <c r="AD8" s="1098"/>
      <c r="AE8" s="1098"/>
      <c r="AF8" s="1098"/>
      <c r="AG8" s="1098"/>
      <c r="AH8" s="1098"/>
      <c r="AI8" s="1098"/>
      <c r="AJ8" s="1098"/>
      <c r="AK8" s="1098"/>
      <c r="AL8" s="1098"/>
      <c r="AM8" s="1098"/>
      <c r="AN8" s="1097"/>
      <c r="AO8" s="1098"/>
      <c r="AP8" s="1098"/>
      <c r="AQ8" s="1098"/>
      <c r="AR8" s="1098"/>
      <c r="AS8" s="1098"/>
      <c r="AT8" s="1098"/>
      <c r="AU8" s="1098"/>
      <c r="AV8" s="1098"/>
      <c r="AW8" s="1098"/>
      <c r="AX8" s="1098"/>
      <c r="AY8" s="1098"/>
      <c r="AZ8" s="1098"/>
      <c r="BA8" s="1097"/>
      <c r="BB8" s="1098"/>
      <c r="BC8" s="1098"/>
      <c r="BD8" s="1098"/>
      <c r="BE8" s="1098"/>
      <c r="BF8" s="1098"/>
      <c r="BG8" s="1098"/>
      <c r="BH8" s="1098"/>
      <c r="BI8" s="1098"/>
      <c r="BJ8" s="1098"/>
      <c r="BK8" s="1098"/>
      <c r="BL8" s="1098"/>
      <c r="BM8" s="1098"/>
      <c r="BN8" s="1097"/>
      <c r="BO8" s="1098"/>
      <c r="BP8" s="1098"/>
      <c r="BQ8" s="1098"/>
      <c r="BR8" s="1098"/>
      <c r="BS8" s="1098"/>
      <c r="BT8" s="1098"/>
      <c r="BU8" s="1098"/>
      <c r="BV8" s="1098"/>
      <c r="BW8" s="1098"/>
      <c r="BX8" s="1098"/>
      <c r="BY8" s="1098"/>
      <c r="BZ8" s="1098"/>
      <c r="CA8" s="1097"/>
      <c r="CB8" s="1098"/>
      <c r="CC8" s="1098"/>
      <c r="CD8" s="1098"/>
      <c r="CE8" s="1098"/>
      <c r="CF8" s="1098"/>
      <c r="CG8" s="1098"/>
      <c r="CH8" s="1098"/>
      <c r="CI8" s="1098"/>
      <c r="CJ8" s="1098"/>
      <c r="CK8" s="1098"/>
      <c r="CL8" s="1098"/>
      <c r="CM8" s="1098"/>
      <c r="CN8" s="1097"/>
      <c r="CO8" s="1098"/>
      <c r="CP8" s="1098"/>
      <c r="CQ8" s="1098"/>
      <c r="CR8" s="1098"/>
      <c r="CS8" s="1098"/>
      <c r="CT8" s="1098"/>
      <c r="CU8" s="1098"/>
      <c r="CV8" s="1098"/>
      <c r="CW8" s="1098"/>
      <c r="CX8" s="1098"/>
      <c r="CY8" s="1098"/>
      <c r="CZ8" s="1098"/>
      <c r="DA8" s="1097"/>
      <c r="DB8" s="1098"/>
      <c r="DC8" s="1098"/>
      <c r="DD8" s="1098"/>
      <c r="DE8" s="1098"/>
      <c r="DF8" s="1098"/>
      <c r="DG8" s="1098"/>
      <c r="DH8" s="1098"/>
      <c r="DI8" s="1098"/>
      <c r="DJ8" s="1098"/>
      <c r="DK8" s="1098"/>
      <c r="DL8" s="1098"/>
      <c r="DM8" s="1098"/>
      <c r="DN8" s="1097"/>
      <c r="DO8" s="1098"/>
      <c r="DP8" s="1098"/>
      <c r="DQ8" s="1098"/>
      <c r="DR8" s="1098"/>
      <c r="DS8" s="1098"/>
      <c r="DT8" s="1098"/>
      <c r="DU8" s="1098"/>
      <c r="DV8" s="1098"/>
      <c r="DW8" s="1098"/>
      <c r="DX8" s="1098"/>
      <c r="DY8" s="1098"/>
      <c r="DZ8" s="1098"/>
      <c r="EA8" s="1097"/>
      <c r="EB8" s="1098"/>
      <c r="EC8" s="1098"/>
      <c r="ED8" s="1098"/>
      <c r="EE8" s="1098"/>
      <c r="EF8" s="1098"/>
      <c r="EG8" s="1098"/>
      <c r="EH8" s="1098"/>
      <c r="EI8" s="1098"/>
      <c r="EJ8" s="1098"/>
      <c r="EK8" s="1098"/>
      <c r="EL8" s="1098"/>
      <c r="EM8" s="1098"/>
      <c r="EN8" s="1097"/>
      <c r="EO8" s="1098"/>
      <c r="EP8" s="1098"/>
      <c r="EQ8" s="1098"/>
      <c r="ER8" s="1098"/>
      <c r="ES8" s="1098"/>
      <c r="ET8" s="1098"/>
      <c r="EU8" s="1098"/>
      <c r="EV8" s="1098"/>
      <c r="EW8" s="1098"/>
      <c r="EX8" s="1098"/>
      <c r="EY8" s="1098"/>
      <c r="EZ8" s="1098"/>
      <c r="FA8" s="1097"/>
      <c r="FB8" s="1098"/>
      <c r="FC8" s="1098"/>
      <c r="FD8" s="1098"/>
      <c r="FE8" s="1098"/>
      <c r="FF8" s="1098"/>
      <c r="FG8" s="1098"/>
      <c r="FH8" s="1098"/>
      <c r="FI8" s="1098"/>
      <c r="FJ8" s="1098"/>
      <c r="FK8" s="1098"/>
      <c r="FL8" s="1098"/>
      <c r="FM8" s="1098"/>
      <c r="FN8" s="1097"/>
      <c r="FO8" s="1098"/>
      <c r="FP8" s="1098"/>
      <c r="FQ8" s="1098"/>
      <c r="FR8" s="1098"/>
      <c r="FS8" s="1098"/>
      <c r="FT8" s="1098"/>
      <c r="FU8" s="1098"/>
      <c r="FV8" s="1098"/>
      <c r="FW8" s="1098"/>
      <c r="FX8" s="1098"/>
      <c r="FY8" s="1098"/>
      <c r="FZ8" s="1098"/>
      <c r="GA8" s="1097"/>
      <c r="GB8" s="1098"/>
      <c r="GC8" s="1098"/>
      <c r="GD8" s="1098"/>
      <c r="GE8" s="1098"/>
      <c r="GF8" s="1098"/>
      <c r="GG8" s="1098"/>
      <c r="GH8" s="1098"/>
      <c r="GI8" s="1098"/>
      <c r="GJ8" s="1098"/>
      <c r="GK8" s="1098"/>
      <c r="GL8" s="1098"/>
      <c r="GM8" s="1098"/>
      <c r="GN8" s="1097"/>
      <c r="GO8" s="1098"/>
      <c r="GP8" s="1098"/>
      <c r="GQ8" s="1098"/>
      <c r="GR8" s="1098"/>
      <c r="GS8" s="1098"/>
      <c r="GT8" s="1098"/>
      <c r="GU8" s="1098"/>
      <c r="GV8" s="1098"/>
      <c r="GW8" s="1098"/>
      <c r="GX8" s="1098"/>
      <c r="GY8" s="1098"/>
      <c r="GZ8" s="1098"/>
      <c r="HA8" s="1097"/>
      <c r="HB8" s="1098"/>
      <c r="HC8" s="1098"/>
      <c r="HD8" s="1098"/>
      <c r="HE8" s="1098"/>
      <c r="HF8" s="1098"/>
      <c r="HG8" s="1098"/>
      <c r="HH8" s="1098"/>
      <c r="HI8" s="1098"/>
      <c r="HJ8" s="1098"/>
      <c r="HK8" s="1098"/>
      <c r="HL8" s="1098"/>
      <c r="HM8" s="1098"/>
      <c r="HN8" s="1097"/>
      <c r="HO8" s="1098"/>
      <c r="HP8" s="1098"/>
      <c r="HQ8" s="1098"/>
      <c r="HR8" s="1098"/>
      <c r="HS8" s="1098"/>
      <c r="HT8" s="1098"/>
      <c r="HU8" s="1098"/>
      <c r="HV8" s="1098"/>
      <c r="HW8" s="1098"/>
      <c r="HX8" s="1098"/>
      <c r="HY8" s="1098"/>
      <c r="HZ8" s="1098"/>
      <c r="IA8" s="1097"/>
      <c r="IB8" s="1098"/>
      <c r="IC8" s="1098"/>
      <c r="ID8" s="1098"/>
      <c r="IE8" s="1098"/>
      <c r="IF8" s="1098"/>
      <c r="IG8" s="1098"/>
      <c r="IH8" s="1098"/>
      <c r="II8" s="1098"/>
      <c r="IJ8" s="1098"/>
      <c r="IK8" s="1098"/>
      <c r="IL8" s="1098"/>
      <c r="IM8" s="1098"/>
      <c r="IN8" s="1097"/>
      <c r="IO8" s="1098"/>
      <c r="IP8" s="1098"/>
      <c r="IQ8" s="1098"/>
      <c r="IR8" s="1098"/>
      <c r="IS8" s="1098"/>
      <c r="IT8" s="1098"/>
      <c r="IU8" s="1098"/>
      <c r="IV8" s="1098"/>
      <c r="IW8" s="1098"/>
      <c r="IX8" s="1098"/>
      <c r="IY8" s="1098"/>
      <c r="IZ8" s="1098"/>
      <c r="JA8" s="1097"/>
      <c r="JB8" s="1098"/>
      <c r="JC8" s="1098"/>
      <c r="JD8" s="1098"/>
      <c r="JE8" s="1098"/>
      <c r="JF8" s="1098"/>
      <c r="JG8" s="1098"/>
      <c r="JH8" s="1098"/>
      <c r="JI8" s="1098"/>
      <c r="JJ8" s="1098"/>
      <c r="JK8" s="1098"/>
      <c r="JL8" s="1098"/>
      <c r="JM8" s="1098"/>
      <c r="JN8" s="1097"/>
      <c r="JP8" s="1174"/>
      <c r="JQ8" s="1175"/>
      <c r="JR8" s="1184"/>
      <c r="JS8" s="1185"/>
      <c r="JT8" s="1"/>
      <c r="JU8" s="1121"/>
      <c r="JV8" s="1215"/>
      <c r="JW8" s="1149"/>
    </row>
    <row r="9" spans="1:283" ht="15" customHeight="1" x14ac:dyDescent="0.2">
      <c r="A9" s="1207" t="s">
        <v>530</v>
      </c>
      <c r="B9" s="1208">
        <f t="shared" ref="B9:BM9" si="19">SUM(B11:B47)</f>
        <v>176532</v>
      </c>
      <c r="C9" s="1208">
        <f t="shared" si="19"/>
        <v>184164.03</v>
      </c>
      <c r="D9" s="1208">
        <f t="shared" si="19"/>
        <v>180503</v>
      </c>
      <c r="E9" s="1208">
        <f t="shared" si="19"/>
        <v>176746</v>
      </c>
      <c r="F9" s="1208">
        <f t="shared" si="19"/>
        <v>164905</v>
      </c>
      <c r="G9" s="1208">
        <f t="shared" si="19"/>
        <v>162476.5</v>
      </c>
      <c r="H9" s="1208">
        <f t="shared" si="19"/>
        <v>162019.99</v>
      </c>
      <c r="I9" s="1208">
        <f t="shared" si="19"/>
        <v>159294.5</v>
      </c>
      <c r="J9" s="1208">
        <f t="shared" si="19"/>
        <v>154544</v>
      </c>
      <c r="K9" s="1208">
        <f t="shared" si="19"/>
        <v>150353.5</v>
      </c>
      <c r="L9" s="1208">
        <f t="shared" si="19"/>
        <v>153340</v>
      </c>
      <c r="M9" s="1208">
        <f t="shared" si="19"/>
        <v>156256.5</v>
      </c>
      <c r="N9" s="1095">
        <f t="shared" si="0"/>
        <v>1981135.02</v>
      </c>
      <c r="O9" s="1208">
        <f t="shared" ref="O9" si="20">SUM(O11:O47)</f>
        <v>184992</v>
      </c>
      <c r="P9" s="1208">
        <f t="shared" si="19"/>
        <v>191954</v>
      </c>
      <c r="Q9" s="1208">
        <f t="shared" si="19"/>
        <v>205476</v>
      </c>
      <c r="R9" s="1208">
        <f t="shared" si="19"/>
        <v>187071</v>
      </c>
      <c r="S9" s="1208">
        <f t="shared" si="19"/>
        <v>185449</v>
      </c>
      <c r="T9" s="1208">
        <f t="shared" si="19"/>
        <v>183927</v>
      </c>
      <c r="U9" s="1208">
        <f t="shared" si="19"/>
        <v>174147.5</v>
      </c>
      <c r="V9" s="1208">
        <f t="shared" si="19"/>
        <v>176754</v>
      </c>
      <c r="W9" s="1208">
        <f t="shared" si="19"/>
        <v>169768</v>
      </c>
      <c r="X9" s="1208">
        <f t="shared" si="19"/>
        <v>170078</v>
      </c>
      <c r="Y9" s="1208">
        <f t="shared" si="19"/>
        <v>160695</v>
      </c>
      <c r="Z9" s="1208">
        <f t="shared" si="19"/>
        <v>163834</v>
      </c>
      <c r="AA9" s="1095">
        <f t="shared" si="1"/>
        <v>2154145.5</v>
      </c>
      <c r="AB9" s="1208">
        <f t="shared" ref="AB9" si="21">SUM(AB11:AB47)</f>
        <v>185286</v>
      </c>
      <c r="AC9" s="1208">
        <f t="shared" si="19"/>
        <v>193075</v>
      </c>
      <c r="AD9" s="1208">
        <f t="shared" si="19"/>
        <v>187899</v>
      </c>
      <c r="AE9" s="1208">
        <f t="shared" si="19"/>
        <v>186570</v>
      </c>
      <c r="AF9" s="1208">
        <f t="shared" si="19"/>
        <v>185914</v>
      </c>
      <c r="AG9" s="1208">
        <f t="shared" si="19"/>
        <v>184343</v>
      </c>
      <c r="AH9" s="1208">
        <f t="shared" si="19"/>
        <v>188275</v>
      </c>
      <c r="AI9" s="1208">
        <f t="shared" si="19"/>
        <v>184048</v>
      </c>
      <c r="AJ9" s="1208">
        <f t="shared" si="19"/>
        <v>187497</v>
      </c>
      <c r="AK9" s="1208">
        <f t="shared" si="19"/>
        <v>191084</v>
      </c>
      <c r="AL9" s="1208">
        <f t="shared" si="19"/>
        <v>187430</v>
      </c>
      <c r="AM9" s="1208">
        <f t="shared" si="19"/>
        <v>175174</v>
      </c>
      <c r="AN9" s="1095">
        <f t="shared" si="2"/>
        <v>2236595</v>
      </c>
      <c r="AO9" s="1208">
        <f t="shared" ref="AO9" si="22">SUM(AO11:AO47)</f>
        <v>189704.5</v>
      </c>
      <c r="AP9" s="1208">
        <f t="shared" si="19"/>
        <v>207298</v>
      </c>
      <c r="AQ9" s="1208">
        <f t="shared" si="19"/>
        <v>198697.25</v>
      </c>
      <c r="AR9" s="1208">
        <f t="shared" si="19"/>
        <v>198164</v>
      </c>
      <c r="AS9" s="1208">
        <f t="shared" si="19"/>
        <v>193266.9</v>
      </c>
      <c r="AT9" s="1208">
        <f t="shared" si="19"/>
        <v>189415</v>
      </c>
      <c r="AU9" s="1208">
        <f t="shared" si="19"/>
        <v>188568</v>
      </c>
      <c r="AV9" s="1208">
        <f t="shared" si="19"/>
        <v>188659.33000000002</v>
      </c>
      <c r="AW9" s="1208">
        <f t="shared" si="19"/>
        <v>193275</v>
      </c>
      <c r="AX9" s="1208">
        <f t="shared" si="19"/>
        <v>188120</v>
      </c>
      <c r="AY9" s="1208">
        <f t="shared" si="19"/>
        <v>192748</v>
      </c>
      <c r="AZ9" s="1208">
        <f t="shared" si="19"/>
        <v>196066</v>
      </c>
      <c r="BA9" s="1095">
        <f t="shared" si="3"/>
        <v>2323981.98</v>
      </c>
      <c r="BB9" s="1208">
        <f t="shared" ref="BB9" si="23">SUM(BB11:BB47)</f>
        <v>190937.95</v>
      </c>
      <c r="BC9" s="1208">
        <f t="shared" si="19"/>
        <v>208483.4</v>
      </c>
      <c r="BD9" s="1208">
        <f t="shared" si="19"/>
        <v>209057.87</v>
      </c>
      <c r="BE9" s="1208">
        <f t="shared" si="19"/>
        <v>202296.17</v>
      </c>
      <c r="BF9" s="1208">
        <f t="shared" si="19"/>
        <v>205736.50999999998</v>
      </c>
      <c r="BG9" s="1208">
        <f t="shared" si="19"/>
        <v>199175.3</v>
      </c>
      <c r="BH9" s="1208">
        <f t="shared" si="19"/>
        <v>197575.22999999998</v>
      </c>
      <c r="BI9" s="1208">
        <f t="shared" si="19"/>
        <v>200951.08</v>
      </c>
      <c r="BJ9" s="1208">
        <f t="shared" si="19"/>
        <v>198367.95</v>
      </c>
      <c r="BK9" s="1208">
        <f t="shared" si="19"/>
        <v>210855.35</v>
      </c>
      <c r="BL9" s="1208">
        <f t="shared" si="19"/>
        <v>219494.41</v>
      </c>
      <c r="BM9" s="1208">
        <f t="shared" si="19"/>
        <v>224533.16</v>
      </c>
      <c r="BN9" s="1095">
        <f t="shared" si="4"/>
        <v>2467464.3800000004</v>
      </c>
      <c r="BO9" s="1208">
        <f t="shared" ref="BO9:DZ9" si="24">SUM(BO11:BO47)</f>
        <v>214546.7</v>
      </c>
      <c r="BP9" s="1208">
        <f t="shared" si="24"/>
        <v>237049.06900000002</v>
      </c>
      <c r="BQ9" s="1208">
        <f t="shared" si="24"/>
        <v>232130.5</v>
      </c>
      <c r="BR9" s="1208">
        <f t="shared" si="24"/>
        <v>243674</v>
      </c>
      <c r="BS9" s="1208">
        <f t="shared" si="24"/>
        <v>229798.2</v>
      </c>
      <c r="BT9" s="1208">
        <f t="shared" si="24"/>
        <v>230444.4</v>
      </c>
      <c r="BU9" s="1208">
        <f t="shared" si="24"/>
        <v>228114</v>
      </c>
      <c r="BV9" s="1208">
        <f t="shared" si="24"/>
        <v>237959</v>
      </c>
      <c r="BW9" s="1208">
        <f t="shared" si="24"/>
        <v>231246</v>
      </c>
      <c r="BX9" s="1208">
        <f t="shared" si="24"/>
        <v>241745.15999999997</v>
      </c>
      <c r="BY9" s="1208">
        <f t="shared" si="24"/>
        <v>237538</v>
      </c>
      <c r="BZ9" s="1208">
        <f t="shared" si="24"/>
        <v>254432.35</v>
      </c>
      <c r="CA9" s="1095">
        <f t="shared" si="5"/>
        <v>2818677.3790000002</v>
      </c>
      <c r="CB9" s="1208">
        <f t="shared" ref="CB9" si="25">SUM(CB11:CB47)</f>
        <v>212375</v>
      </c>
      <c r="CC9" s="1208">
        <f t="shared" si="24"/>
        <v>214454</v>
      </c>
      <c r="CD9" s="1208">
        <f t="shared" si="24"/>
        <v>217615</v>
      </c>
      <c r="CE9" s="1208">
        <f t="shared" si="24"/>
        <v>216900</v>
      </c>
      <c r="CF9" s="1208">
        <f t="shared" si="24"/>
        <v>213175</v>
      </c>
      <c r="CG9" s="1208">
        <f t="shared" si="24"/>
        <v>213993</v>
      </c>
      <c r="CH9" s="1208">
        <f t="shared" si="24"/>
        <v>215370</v>
      </c>
      <c r="CI9" s="1208">
        <f t="shared" si="24"/>
        <v>211879</v>
      </c>
      <c r="CJ9" s="1208">
        <f t="shared" si="24"/>
        <v>217236</v>
      </c>
      <c r="CK9" s="1208">
        <f t="shared" si="24"/>
        <v>221497</v>
      </c>
      <c r="CL9" s="1208">
        <f t="shared" si="24"/>
        <v>233623</v>
      </c>
      <c r="CM9" s="1208">
        <f t="shared" si="24"/>
        <v>239665</v>
      </c>
      <c r="CN9" s="1095">
        <f t="shared" si="6"/>
        <v>2627782</v>
      </c>
      <c r="CO9" s="1208">
        <f t="shared" ref="CO9" si="26">SUM(CO11:CO47)</f>
        <v>218444.25</v>
      </c>
      <c r="CP9" s="1208">
        <f t="shared" si="24"/>
        <v>238114.1</v>
      </c>
      <c r="CQ9" s="1208">
        <f t="shared" si="24"/>
        <v>230502.15</v>
      </c>
      <c r="CR9" s="1208">
        <f t="shared" si="24"/>
        <v>237042.2</v>
      </c>
      <c r="CS9" s="1208">
        <f t="shared" si="24"/>
        <v>217629.2</v>
      </c>
      <c r="CT9" s="1208">
        <f t="shared" si="24"/>
        <v>229253</v>
      </c>
      <c r="CU9" s="1208">
        <f t="shared" si="24"/>
        <v>226611.94999999998</v>
      </c>
      <c r="CV9" s="1208">
        <f t="shared" si="24"/>
        <v>222595.95</v>
      </c>
      <c r="CW9" s="1208">
        <f t="shared" si="24"/>
        <v>216423.15</v>
      </c>
      <c r="CX9" s="1208">
        <f t="shared" si="24"/>
        <v>215077.4</v>
      </c>
      <c r="CY9" s="1208">
        <f t="shared" si="24"/>
        <v>224213.33000000002</v>
      </c>
      <c r="CZ9" s="1208">
        <f t="shared" si="24"/>
        <v>256230.9</v>
      </c>
      <c r="DA9" s="1095">
        <f t="shared" si="7"/>
        <v>2732137.5799999996</v>
      </c>
      <c r="DB9" s="1208">
        <f t="shared" ref="DB9" si="27">SUM(DB11:DB47)</f>
        <v>229427.44999999998</v>
      </c>
      <c r="DC9" s="1208">
        <f t="shared" si="24"/>
        <v>245138.5</v>
      </c>
      <c r="DD9" s="1208">
        <f t="shared" si="24"/>
        <v>245069.4</v>
      </c>
      <c r="DE9" s="1208">
        <f t="shared" si="24"/>
        <v>237327.15</v>
      </c>
      <c r="DF9" s="1208">
        <f t="shared" si="24"/>
        <v>232311</v>
      </c>
      <c r="DG9" s="1208">
        <f t="shared" si="24"/>
        <v>235419</v>
      </c>
      <c r="DH9" s="1208">
        <f t="shared" si="24"/>
        <v>236845</v>
      </c>
      <c r="DI9" s="1208">
        <f t="shared" si="24"/>
        <v>228276</v>
      </c>
      <c r="DJ9" s="1208">
        <f t="shared" si="24"/>
        <v>225251</v>
      </c>
      <c r="DK9" s="1208">
        <f t="shared" si="24"/>
        <v>232479</v>
      </c>
      <c r="DL9" s="1208">
        <f t="shared" si="24"/>
        <v>245819</v>
      </c>
      <c r="DM9" s="1208">
        <f t="shared" si="24"/>
        <v>246955</v>
      </c>
      <c r="DN9" s="1095">
        <f t="shared" si="8"/>
        <v>2840317.5</v>
      </c>
      <c r="DO9" s="1208">
        <f t="shared" ref="DO9" si="28">SUM(DO11:DO47)</f>
        <v>246857</v>
      </c>
      <c r="DP9" s="1208">
        <f t="shared" si="24"/>
        <v>257263.2</v>
      </c>
      <c r="DQ9" s="1208">
        <f t="shared" si="24"/>
        <v>262094.4</v>
      </c>
      <c r="DR9" s="1208">
        <f t="shared" si="24"/>
        <v>252199.4</v>
      </c>
      <c r="DS9" s="1208">
        <f t="shared" si="24"/>
        <v>240387.1</v>
      </c>
      <c r="DT9" s="1208">
        <f t="shared" si="24"/>
        <v>256941.2</v>
      </c>
      <c r="DU9" s="1208">
        <f t="shared" si="24"/>
        <v>246991.8</v>
      </c>
      <c r="DV9" s="1208">
        <f t="shared" si="24"/>
        <v>256173.4</v>
      </c>
      <c r="DW9" s="1208">
        <f t="shared" si="24"/>
        <v>252974.2</v>
      </c>
      <c r="DX9" s="1208">
        <f t="shared" si="24"/>
        <v>255681.5</v>
      </c>
      <c r="DY9" s="1208">
        <f t="shared" si="24"/>
        <v>270826.90000000002</v>
      </c>
      <c r="DZ9" s="1208">
        <f t="shared" si="24"/>
        <v>264717.75</v>
      </c>
      <c r="EA9" s="1095">
        <f t="shared" si="9"/>
        <v>3063107.85</v>
      </c>
      <c r="EB9" s="1208">
        <f t="shared" ref="EB9:GM9" si="29">SUM(EB11:EB47)</f>
        <v>257381</v>
      </c>
      <c r="EC9" s="1208">
        <f t="shared" si="29"/>
        <v>282125</v>
      </c>
      <c r="ED9" s="1208">
        <f t="shared" si="29"/>
        <v>255339</v>
      </c>
      <c r="EE9" s="1208">
        <f t="shared" si="29"/>
        <v>256247.65600000002</v>
      </c>
      <c r="EF9" s="1208">
        <f t="shared" si="29"/>
        <v>237373</v>
      </c>
      <c r="EG9" s="1208">
        <f t="shared" si="29"/>
        <v>249010</v>
      </c>
      <c r="EH9" s="1208">
        <f t="shared" si="29"/>
        <v>273030</v>
      </c>
      <c r="EI9" s="1208">
        <f t="shared" si="29"/>
        <v>251112</v>
      </c>
      <c r="EJ9" s="1208">
        <f t="shared" si="29"/>
        <v>241990</v>
      </c>
      <c r="EK9" s="1208">
        <f t="shared" si="29"/>
        <v>288799</v>
      </c>
      <c r="EL9" s="1208">
        <f t="shared" si="29"/>
        <v>285667</v>
      </c>
      <c r="EM9" s="1208">
        <f t="shared" si="29"/>
        <v>292994.7</v>
      </c>
      <c r="EN9" s="1095">
        <f t="shared" si="10"/>
        <v>3171068.3560000001</v>
      </c>
      <c r="EO9" s="1208">
        <f t="shared" ref="EO9" si="30">SUM(EO11:EO47)</f>
        <v>291689.2</v>
      </c>
      <c r="EP9" s="1208">
        <f t="shared" si="29"/>
        <v>306338.2</v>
      </c>
      <c r="EQ9" s="1208">
        <f t="shared" si="29"/>
        <v>301407</v>
      </c>
      <c r="ER9" s="1208">
        <f t="shared" si="29"/>
        <v>295679</v>
      </c>
      <c r="ES9" s="1208">
        <f t="shared" si="29"/>
        <v>283509</v>
      </c>
      <c r="ET9" s="1208">
        <f t="shared" si="29"/>
        <v>301326</v>
      </c>
      <c r="EU9" s="1208">
        <f t="shared" si="29"/>
        <v>302450</v>
      </c>
      <c r="EV9" s="1208">
        <f t="shared" si="29"/>
        <v>299239</v>
      </c>
      <c r="EW9" s="1208">
        <f t="shared" si="29"/>
        <v>302571</v>
      </c>
      <c r="EX9" s="1208">
        <f t="shared" si="29"/>
        <v>314479</v>
      </c>
      <c r="EY9" s="1208">
        <f t="shared" si="29"/>
        <v>329849</v>
      </c>
      <c r="EZ9" s="1208">
        <f t="shared" si="29"/>
        <v>331684.2</v>
      </c>
      <c r="FA9" s="1095">
        <f t="shared" si="11"/>
        <v>3660220.6</v>
      </c>
      <c r="FB9" s="1208">
        <f t="shared" ref="FB9" si="31">SUM(FB11:FB47)</f>
        <v>311573</v>
      </c>
      <c r="FC9" s="1208">
        <f t="shared" si="29"/>
        <v>311607</v>
      </c>
      <c r="FD9" s="1208">
        <f t="shared" si="29"/>
        <v>307300</v>
      </c>
      <c r="FE9" s="1208">
        <f t="shared" si="29"/>
        <v>292965</v>
      </c>
      <c r="FF9" s="1208">
        <f t="shared" si="29"/>
        <v>323385</v>
      </c>
      <c r="FG9" s="1208">
        <f t="shared" si="29"/>
        <v>295070</v>
      </c>
      <c r="FH9" s="1208">
        <f t="shared" si="29"/>
        <v>298825</v>
      </c>
      <c r="FI9" s="1208">
        <f t="shared" si="29"/>
        <v>298909</v>
      </c>
      <c r="FJ9" s="1208">
        <f t="shared" si="29"/>
        <v>297503</v>
      </c>
      <c r="FK9" s="1208">
        <f t="shared" si="29"/>
        <v>297214</v>
      </c>
      <c r="FL9" s="1208">
        <f t="shared" si="29"/>
        <v>319312</v>
      </c>
      <c r="FM9" s="1208">
        <f t="shared" si="29"/>
        <v>317286</v>
      </c>
      <c r="FN9" s="1095">
        <f t="shared" si="12"/>
        <v>3670949</v>
      </c>
      <c r="FO9" s="1208">
        <f t="shared" ref="FO9" si="32">SUM(FO11:FO47)</f>
        <v>293338</v>
      </c>
      <c r="FP9" s="1208">
        <f t="shared" si="29"/>
        <v>295653</v>
      </c>
      <c r="FQ9" s="1208">
        <f t="shared" si="29"/>
        <v>287244</v>
      </c>
      <c r="FR9" s="1208">
        <f t="shared" si="29"/>
        <v>274431</v>
      </c>
      <c r="FS9" s="1208">
        <f t="shared" si="29"/>
        <v>277478</v>
      </c>
      <c r="FT9" s="1208">
        <f t="shared" si="29"/>
        <v>270675</v>
      </c>
      <c r="FU9" s="1208">
        <f t="shared" si="29"/>
        <v>266596</v>
      </c>
      <c r="FV9" s="1208">
        <f t="shared" si="29"/>
        <v>265885</v>
      </c>
      <c r="FW9" s="1208">
        <f t="shared" si="29"/>
        <v>258307</v>
      </c>
      <c r="FX9" s="1208">
        <f t="shared" si="29"/>
        <v>258960</v>
      </c>
      <c r="FY9" s="1208">
        <f t="shared" si="29"/>
        <v>286065</v>
      </c>
      <c r="FZ9" s="1208">
        <f t="shared" si="29"/>
        <v>292667</v>
      </c>
      <c r="GA9" s="1095">
        <f t="shared" si="13"/>
        <v>3327299</v>
      </c>
      <c r="GB9" s="1208">
        <f t="shared" ref="GB9" si="33">SUM(GB11:GB47)</f>
        <v>318949.8</v>
      </c>
      <c r="GC9" s="1208">
        <f t="shared" si="29"/>
        <v>322681.45</v>
      </c>
      <c r="GD9" s="1208">
        <f t="shared" si="29"/>
        <v>311412.90000000002</v>
      </c>
      <c r="GE9" s="1208">
        <f t="shared" si="29"/>
        <v>301645.45</v>
      </c>
      <c r="GF9" s="1208">
        <f t="shared" si="29"/>
        <v>316267.60000000003</v>
      </c>
      <c r="GG9" s="1208">
        <f t="shared" si="29"/>
        <v>303205.44999999995</v>
      </c>
      <c r="GH9" s="1208">
        <f t="shared" si="29"/>
        <v>298059.40000000002</v>
      </c>
      <c r="GI9" s="1208">
        <f t="shared" si="29"/>
        <v>296715.75</v>
      </c>
      <c r="GJ9" s="1208">
        <f t="shared" si="29"/>
        <v>292996</v>
      </c>
      <c r="GK9" s="1208">
        <f t="shared" si="29"/>
        <v>299413.65000000002</v>
      </c>
      <c r="GL9" s="1208">
        <f t="shared" si="29"/>
        <v>319530.25</v>
      </c>
      <c r="GM9" s="1208">
        <f t="shared" si="29"/>
        <v>326512.65000000002</v>
      </c>
      <c r="GN9" s="1095">
        <f t="shared" si="14"/>
        <v>3707390.35</v>
      </c>
      <c r="GO9" s="1208">
        <f t="shared" ref="GO9:IZ9" si="34">SUM(GO11:GO47)</f>
        <v>318717.8</v>
      </c>
      <c r="GP9" s="1208">
        <f t="shared" si="34"/>
        <v>323878.09999999992</v>
      </c>
      <c r="GQ9" s="1208">
        <f t="shared" si="34"/>
        <v>317696.89999999997</v>
      </c>
      <c r="GR9" s="1208">
        <f t="shared" si="34"/>
        <v>299467.5</v>
      </c>
      <c r="GS9" s="1208">
        <f t="shared" si="34"/>
        <v>310438.49999999994</v>
      </c>
      <c r="GT9" s="1208">
        <f t="shared" si="34"/>
        <v>297502.10000000003</v>
      </c>
      <c r="GU9" s="1208">
        <f t="shared" si="34"/>
        <v>301907.09999999998</v>
      </c>
      <c r="GV9" s="1208">
        <f t="shared" si="34"/>
        <v>315457.10000000003</v>
      </c>
      <c r="GW9" s="1208">
        <f t="shared" si="34"/>
        <v>292596.39999999997</v>
      </c>
      <c r="GX9" s="1208">
        <f t="shared" si="34"/>
        <v>300011.2</v>
      </c>
      <c r="GY9" s="1208">
        <f t="shared" si="34"/>
        <v>323818.59999999998</v>
      </c>
      <c r="GZ9" s="1208">
        <f t="shared" si="34"/>
        <v>324379.90999999997</v>
      </c>
      <c r="HA9" s="1095">
        <f t="shared" si="15"/>
        <v>3725871.2100000004</v>
      </c>
      <c r="HB9" s="1208">
        <f t="shared" ref="HB9" si="35">SUM(HB11:HB47)</f>
        <v>322340.55000000005</v>
      </c>
      <c r="HC9" s="1208">
        <f t="shared" si="34"/>
        <v>317969.99999999994</v>
      </c>
      <c r="HD9" s="1208">
        <f t="shared" si="34"/>
        <v>313114.5</v>
      </c>
      <c r="HE9" s="1208">
        <f t="shared" si="34"/>
        <v>301551.30000000005</v>
      </c>
      <c r="HF9" s="1208">
        <f t="shared" si="34"/>
        <v>305589.70000000007</v>
      </c>
      <c r="HG9" s="1208">
        <f t="shared" si="34"/>
        <v>286621.59999999998</v>
      </c>
      <c r="HH9" s="1208">
        <f t="shared" si="34"/>
        <v>288386</v>
      </c>
      <c r="HI9" s="1208">
        <f t="shared" si="34"/>
        <v>286230.3</v>
      </c>
      <c r="HJ9" s="1208">
        <f t="shared" si="34"/>
        <v>278604.09999999998</v>
      </c>
      <c r="HK9" s="1208">
        <f t="shared" si="34"/>
        <v>283638</v>
      </c>
      <c r="HL9" s="1208">
        <f t="shared" si="34"/>
        <v>308905.39999999997</v>
      </c>
      <c r="HM9" s="1208">
        <f t="shared" si="34"/>
        <v>316021.64999999997</v>
      </c>
      <c r="HN9" s="1095">
        <f t="shared" si="16"/>
        <v>3608973.1</v>
      </c>
      <c r="HO9" s="1208">
        <f t="shared" ref="HO9" si="36">SUM(HO11:HO47)</f>
        <v>317331.59999999998</v>
      </c>
      <c r="HP9" s="1208">
        <f t="shared" si="34"/>
        <v>329146.90000000002</v>
      </c>
      <c r="HQ9" s="1208">
        <f t="shared" si="34"/>
        <v>324198.5</v>
      </c>
      <c r="HR9" s="1208">
        <f t="shared" si="34"/>
        <v>319716.2</v>
      </c>
      <c r="HS9" s="1208">
        <f t="shared" si="34"/>
        <v>325640.7</v>
      </c>
      <c r="HT9" s="1208">
        <f t="shared" si="34"/>
        <v>303329.69999999995</v>
      </c>
      <c r="HU9" s="1208">
        <f t="shared" si="34"/>
        <v>310062.3</v>
      </c>
      <c r="HV9" s="1208">
        <f t="shared" si="34"/>
        <v>302830</v>
      </c>
      <c r="HW9" s="1208">
        <f t="shared" si="34"/>
        <v>287012.59999999998</v>
      </c>
      <c r="HX9" s="1208">
        <f t="shared" si="34"/>
        <v>295986.82999999996</v>
      </c>
      <c r="HY9" s="1208">
        <f t="shared" si="34"/>
        <v>325968</v>
      </c>
      <c r="HZ9" s="1208">
        <f t="shared" si="34"/>
        <v>348633.05</v>
      </c>
      <c r="IA9" s="1095">
        <f t="shared" si="17"/>
        <v>3789856.38</v>
      </c>
      <c r="IB9" s="1208">
        <f t="shared" ref="IB9" si="37">SUM(IB11:IB47)</f>
        <v>343114</v>
      </c>
      <c r="IC9" s="1208">
        <f t="shared" si="34"/>
        <v>357948.5</v>
      </c>
      <c r="ID9" s="1208">
        <f t="shared" si="34"/>
        <v>331288</v>
      </c>
      <c r="IE9" s="1208">
        <f t="shared" si="34"/>
        <v>343036.2</v>
      </c>
      <c r="IF9" s="1208">
        <f t="shared" si="34"/>
        <v>328617.34999999998</v>
      </c>
      <c r="IG9" s="1208">
        <f t="shared" si="34"/>
        <v>299623.05</v>
      </c>
      <c r="IH9" s="1208">
        <f t="shared" si="34"/>
        <v>283635.3</v>
      </c>
      <c r="II9" s="1208">
        <f t="shared" si="34"/>
        <v>278943.09999999998</v>
      </c>
      <c r="IJ9" s="1208">
        <f t="shared" si="34"/>
        <v>283966.92</v>
      </c>
      <c r="IK9" s="1208">
        <f t="shared" si="34"/>
        <v>291871.05</v>
      </c>
      <c r="IL9" s="1208">
        <f t="shared" si="34"/>
        <v>323647.10000000003</v>
      </c>
      <c r="IM9" s="1208">
        <f t="shared" si="34"/>
        <v>357639.94999999995</v>
      </c>
      <c r="IN9" s="1095">
        <f t="shared" ref="IN9:IN47" si="38">SUM(IB9:IM9)</f>
        <v>3823330.5199999996</v>
      </c>
      <c r="IO9" s="1208">
        <f t="shared" ref="IO9" si="39">SUM(IO11:IO47)</f>
        <v>344775</v>
      </c>
      <c r="IP9" s="1208">
        <f t="shared" si="34"/>
        <v>354291.1</v>
      </c>
      <c r="IQ9" s="1208">
        <f t="shared" si="34"/>
        <v>359439</v>
      </c>
      <c r="IR9" s="1208">
        <f t="shared" si="34"/>
        <v>358409.3</v>
      </c>
      <c r="IS9" s="1208">
        <f t="shared" si="34"/>
        <v>360546.7</v>
      </c>
      <c r="IT9" s="1208">
        <f t="shared" si="34"/>
        <v>324045.90000000002</v>
      </c>
      <c r="IU9" s="1208">
        <f t="shared" si="34"/>
        <v>311172.3</v>
      </c>
      <c r="IV9" s="1208">
        <f t="shared" si="34"/>
        <v>302200.8</v>
      </c>
      <c r="IW9" s="1208">
        <f t="shared" si="34"/>
        <v>303934</v>
      </c>
      <c r="IX9" s="1208">
        <f t="shared" si="34"/>
        <v>323610.09999999998</v>
      </c>
      <c r="IY9" s="1208">
        <f t="shared" si="34"/>
        <v>363292.9</v>
      </c>
      <c r="IZ9" s="1208">
        <f t="shared" si="34"/>
        <v>364052.55</v>
      </c>
      <c r="JA9" s="1095">
        <f t="shared" ref="JA9:JA47" si="40">SUM(IO9:IZ9)</f>
        <v>4069769.6499999994</v>
      </c>
      <c r="JB9" s="1208">
        <f t="shared" ref="JB9:JM9" si="41">SUM(JB11:JB47)</f>
        <v>312288</v>
      </c>
      <c r="JC9" s="1208">
        <f t="shared" si="41"/>
        <v>339471.5</v>
      </c>
      <c r="JD9" s="1208">
        <f t="shared" si="41"/>
        <v>0</v>
      </c>
      <c r="JE9" s="1208">
        <f t="shared" si="41"/>
        <v>0</v>
      </c>
      <c r="JF9" s="1208">
        <f t="shared" si="41"/>
        <v>0</v>
      </c>
      <c r="JG9" s="1208">
        <f t="shared" si="41"/>
        <v>0</v>
      </c>
      <c r="JH9" s="1208">
        <f t="shared" si="41"/>
        <v>0</v>
      </c>
      <c r="JI9" s="1208">
        <f t="shared" si="41"/>
        <v>0</v>
      </c>
      <c r="JJ9" s="1208">
        <f t="shared" si="41"/>
        <v>0</v>
      </c>
      <c r="JK9" s="1208">
        <f t="shared" si="41"/>
        <v>0</v>
      </c>
      <c r="JL9" s="1208">
        <f t="shared" si="41"/>
        <v>0</v>
      </c>
      <c r="JM9" s="1208">
        <f t="shared" si="41"/>
        <v>0</v>
      </c>
      <c r="JN9" s="1095">
        <f t="shared" si="18"/>
        <v>651759.5</v>
      </c>
      <c r="JO9" s="1209"/>
      <c r="JP9" s="1210">
        <f>IFERROR(((
_xlfn.XLOOKUP((DATE(YEAR($JP$5),MONTH($JP$5),1)),$B$5:$JN$5,$B9:$JN9) /
_xlfn.XLOOKUP((DATE(YEAR($JP$5)-1,MONTH($JP$5),1)),$B$5:$JN$5,$B9:$JN9)
)-1)*100,"")</f>
        <v>1.7930323499933509</v>
      </c>
      <c r="JQ9" s="1211">
        <f>IFERROR(((JS9/JR9)-1)*100,"")</f>
        <v>6.4456663819899118</v>
      </c>
      <c r="JR9" s="1212">
        <f>SUMIFS($B9:$JN9,$B$5:$JN$5,"&gt;="&amp;DATE(YEAR($JP$5)-1,1,1),$B$5:$JN$5,"&lt;="&amp;DATE(YEAR($JP$5)-1,MONTH($JP$5),1))</f>
        <v>3823330.5199999996</v>
      </c>
      <c r="JS9" s="1213">
        <f>SUMIFS($B9:$JN9,$B$5:$JN$5,"&gt;="&amp;DATE(YEAR($JP$5),1,1),$B$5:$JN$5,"&lt;="&amp;$JP$5)</f>
        <v>4069769.6499999994</v>
      </c>
      <c r="JT9" s="1214"/>
      <c r="JU9" s="1079"/>
      <c r="JV9" s="1080"/>
      <c r="JW9" s="1081"/>
    </row>
    <row r="10" spans="1:283" ht="15" customHeight="1" x14ac:dyDescent="0.2">
      <c r="A10" s="1166"/>
      <c r="B10" s="1098"/>
      <c r="C10" s="1098"/>
      <c r="D10" s="1098"/>
      <c r="E10" s="1098"/>
      <c r="F10" s="1098"/>
      <c r="G10" s="1098"/>
      <c r="H10" s="1098"/>
      <c r="I10" s="1098"/>
      <c r="J10" s="1098"/>
      <c r="K10" s="1098"/>
      <c r="L10" s="1098"/>
      <c r="M10" s="1098"/>
      <c r="N10" s="1097"/>
      <c r="O10" s="1098"/>
      <c r="P10" s="1098"/>
      <c r="Q10" s="1098"/>
      <c r="R10" s="1098"/>
      <c r="S10" s="1098"/>
      <c r="T10" s="1098"/>
      <c r="U10" s="1098"/>
      <c r="V10" s="1098"/>
      <c r="W10" s="1098"/>
      <c r="X10" s="1098"/>
      <c r="Y10" s="1098"/>
      <c r="Z10" s="1098"/>
      <c r="AA10" s="1097"/>
      <c r="AB10" s="1098"/>
      <c r="AC10" s="1098"/>
      <c r="AD10" s="1098"/>
      <c r="AE10" s="1098"/>
      <c r="AF10" s="1098"/>
      <c r="AG10" s="1098"/>
      <c r="AH10" s="1098"/>
      <c r="AI10" s="1098"/>
      <c r="AJ10" s="1098"/>
      <c r="AK10" s="1098"/>
      <c r="AL10" s="1098"/>
      <c r="AM10" s="1098"/>
      <c r="AN10" s="1097"/>
      <c r="AO10" s="1098"/>
      <c r="AP10" s="1098"/>
      <c r="AQ10" s="1098"/>
      <c r="AR10" s="1098"/>
      <c r="AS10" s="1098"/>
      <c r="AT10" s="1098"/>
      <c r="AU10" s="1098"/>
      <c r="AV10" s="1098"/>
      <c r="AW10" s="1098"/>
      <c r="AX10" s="1098"/>
      <c r="AY10" s="1098"/>
      <c r="AZ10" s="1098"/>
      <c r="BA10" s="1097"/>
      <c r="BB10" s="1098"/>
      <c r="BC10" s="1098"/>
      <c r="BD10" s="1098"/>
      <c r="BE10" s="1098"/>
      <c r="BF10" s="1098"/>
      <c r="BG10" s="1098"/>
      <c r="BH10" s="1098"/>
      <c r="BI10" s="1098"/>
      <c r="BJ10" s="1098"/>
      <c r="BK10" s="1098"/>
      <c r="BL10" s="1098"/>
      <c r="BM10" s="1098"/>
      <c r="BN10" s="1097"/>
      <c r="BO10" s="1098"/>
      <c r="BP10" s="1098"/>
      <c r="BQ10" s="1098"/>
      <c r="BR10" s="1098"/>
      <c r="BS10" s="1098"/>
      <c r="BT10" s="1098"/>
      <c r="BU10" s="1098"/>
      <c r="BV10" s="1098"/>
      <c r="BW10" s="1098"/>
      <c r="BX10" s="1098"/>
      <c r="BY10" s="1098"/>
      <c r="BZ10" s="1098"/>
      <c r="CA10" s="1097"/>
      <c r="CB10" s="1098"/>
      <c r="CC10" s="1098"/>
      <c r="CD10" s="1098"/>
      <c r="CE10" s="1098"/>
      <c r="CF10" s="1098"/>
      <c r="CG10" s="1098"/>
      <c r="CH10" s="1098"/>
      <c r="CI10" s="1098"/>
      <c r="CJ10" s="1098"/>
      <c r="CK10" s="1098"/>
      <c r="CL10" s="1098"/>
      <c r="CM10" s="1098"/>
      <c r="CN10" s="1097"/>
      <c r="CO10" s="1098"/>
      <c r="CP10" s="1098"/>
      <c r="CQ10" s="1098"/>
      <c r="CR10" s="1098"/>
      <c r="CS10" s="1098"/>
      <c r="CT10" s="1098"/>
      <c r="CU10" s="1098"/>
      <c r="CV10" s="1098"/>
      <c r="CW10" s="1098"/>
      <c r="CX10" s="1098"/>
      <c r="CY10" s="1098"/>
      <c r="CZ10" s="1098"/>
      <c r="DA10" s="1097"/>
      <c r="DB10" s="1098"/>
      <c r="DC10" s="1098"/>
      <c r="DD10" s="1098"/>
      <c r="DE10" s="1098"/>
      <c r="DF10" s="1098"/>
      <c r="DG10" s="1098"/>
      <c r="DH10" s="1098"/>
      <c r="DI10" s="1098"/>
      <c r="DJ10" s="1098"/>
      <c r="DK10" s="1098"/>
      <c r="DL10" s="1098"/>
      <c r="DM10" s="1098"/>
      <c r="DN10" s="1097"/>
      <c r="DO10" s="1098"/>
      <c r="DP10" s="1098"/>
      <c r="DQ10" s="1098"/>
      <c r="DR10" s="1098"/>
      <c r="DS10" s="1098"/>
      <c r="DT10" s="1098"/>
      <c r="DU10" s="1098"/>
      <c r="DV10" s="1098"/>
      <c r="DW10" s="1098"/>
      <c r="DX10" s="1098"/>
      <c r="DY10" s="1098"/>
      <c r="DZ10" s="1098"/>
      <c r="EA10" s="1097"/>
      <c r="EB10" s="1098"/>
      <c r="EC10" s="1098"/>
      <c r="ED10" s="1098"/>
      <c r="EE10" s="1098"/>
      <c r="EF10" s="1098"/>
      <c r="EG10" s="1098"/>
      <c r="EH10" s="1098"/>
      <c r="EI10" s="1098"/>
      <c r="EJ10" s="1098"/>
      <c r="EK10" s="1098"/>
      <c r="EL10" s="1098"/>
      <c r="EM10" s="1098"/>
      <c r="EN10" s="1097"/>
      <c r="EO10" s="1098"/>
      <c r="EP10" s="1098"/>
      <c r="EQ10" s="1098"/>
      <c r="ER10" s="1098"/>
      <c r="ES10" s="1098"/>
      <c r="ET10" s="1098"/>
      <c r="EU10" s="1098"/>
      <c r="EV10" s="1098"/>
      <c r="EW10" s="1098"/>
      <c r="EX10" s="1098"/>
      <c r="EY10" s="1098"/>
      <c r="EZ10" s="1098"/>
      <c r="FA10" s="1097"/>
      <c r="FB10" s="1098"/>
      <c r="FC10" s="1098"/>
      <c r="FD10" s="1098"/>
      <c r="FE10" s="1098"/>
      <c r="FF10" s="1098"/>
      <c r="FG10" s="1098"/>
      <c r="FH10" s="1098"/>
      <c r="FI10" s="1098"/>
      <c r="FJ10" s="1098"/>
      <c r="FK10" s="1098"/>
      <c r="FL10" s="1098"/>
      <c r="FM10" s="1098"/>
      <c r="FN10" s="1097"/>
      <c r="FO10" s="1098"/>
      <c r="FP10" s="1098"/>
      <c r="FQ10" s="1098"/>
      <c r="FR10" s="1098"/>
      <c r="FS10" s="1098"/>
      <c r="FT10" s="1098"/>
      <c r="FU10" s="1098"/>
      <c r="FV10" s="1098"/>
      <c r="FW10" s="1098"/>
      <c r="FX10" s="1098"/>
      <c r="FY10" s="1098"/>
      <c r="FZ10" s="1098"/>
      <c r="GA10" s="1097"/>
      <c r="GB10" s="1098"/>
      <c r="GC10" s="1098"/>
      <c r="GD10" s="1098"/>
      <c r="GE10" s="1098"/>
      <c r="GF10" s="1098"/>
      <c r="GG10" s="1098"/>
      <c r="GH10" s="1098"/>
      <c r="GI10" s="1098"/>
      <c r="GJ10" s="1098"/>
      <c r="GK10" s="1098"/>
      <c r="GL10" s="1098"/>
      <c r="GM10" s="1098"/>
      <c r="GN10" s="1097"/>
      <c r="GO10" s="1098"/>
      <c r="GP10" s="1098"/>
      <c r="GQ10" s="1098"/>
      <c r="GR10" s="1098"/>
      <c r="GS10" s="1098"/>
      <c r="GT10" s="1098"/>
      <c r="GU10" s="1098"/>
      <c r="GV10" s="1098"/>
      <c r="GW10" s="1098"/>
      <c r="GX10" s="1098"/>
      <c r="GY10" s="1098"/>
      <c r="GZ10" s="1098"/>
      <c r="HA10" s="1097"/>
      <c r="HB10" s="1098"/>
      <c r="HC10" s="1098"/>
      <c r="HD10" s="1098"/>
      <c r="HE10" s="1098"/>
      <c r="HF10" s="1098"/>
      <c r="HG10" s="1098"/>
      <c r="HH10" s="1098"/>
      <c r="HI10" s="1098"/>
      <c r="HJ10" s="1098"/>
      <c r="HK10" s="1098"/>
      <c r="HL10" s="1098"/>
      <c r="HM10" s="1098"/>
      <c r="HN10" s="1097"/>
      <c r="HO10" s="1098"/>
      <c r="HP10" s="1098"/>
      <c r="HQ10" s="1098"/>
      <c r="HR10" s="1098"/>
      <c r="HS10" s="1098"/>
      <c r="HT10" s="1098"/>
      <c r="HU10" s="1098"/>
      <c r="HV10" s="1098"/>
      <c r="HW10" s="1098"/>
      <c r="HX10" s="1098"/>
      <c r="HY10" s="1098"/>
      <c r="HZ10" s="1098"/>
      <c r="IA10" s="1097"/>
      <c r="IB10" s="1098"/>
      <c r="IC10" s="1098"/>
      <c r="ID10" s="1098"/>
      <c r="IE10" s="1098"/>
      <c r="IF10" s="1098"/>
      <c r="IG10" s="1098"/>
      <c r="IH10" s="1098"/>
      <c r="II10" s="1098"/>
      <c r="IJ10" s="1098"/>
      <c r="IK10" s="1098"/>
      <c r="IL10" s="1098"/>
      <c r="IM10" s="1098"/>
      <c r="IN10" s="1097"/>
      <c r="IO10" s="1098"/>
      <c r="IP10" s="1098"/>
      <c r="IQ10" s="1098"/>
      <c r="IR10" s="1098"/>
      <c r="IS10" s="1098"/>
      <c r="IT10" s="1098"/>
      <c r="IU10" s="1098"/>
      <c r="IV10" s="1098"/>
      <c r="IW10" s="1098"/>
      <c r="IX10" s="1098"/>
      <c r="IY10" s="1098"/>
      <c r="IZ10" s="1098"/>
      <c r="JA10" s="1097"/>
      <c r="JB10" s="1098"/>
      <c r="JC10" s="1098"/>
      <c r="JD10" s="1098"/>
      <c r="JE10" s="1098"/>
      <c r="JF10" s="1098"/>
      <c r="JG10" s="1098"/>
      <c r="JH10" s="1098"/>
      <c r="JI10" s="1098"/>
      <c r="JJ10" s="1098"/>
      <c r="JK10" s="1098"/>
      <c r="JL10" s="1098"/>
      <c r="JM10" s="1098"/>
      <c r="JN10" s="1097"/>
      <c r="JP10" s="1174"/>
      <c r="JQ10" s="1175"/>
      <c r="JR10" s="1184"/>
      <c r="JS10" s="1185"/>
      <c r="JT10" s="1"/>
      <c r="JU10" s="1079"/>
      <c r="JV10" s="1080"/>
      <c r="JW10" s="1081"/>
    </row>
    <row r="11" spans="1:283" ht="15" customHeight="1" x14ac:dyDescent="0.2">
      <c r="A11" s="1166" t="s">
        <v>45</v>
      </c>
      <c r="B11" s="1098"/>
      <c r="C11" s="1098"/>
      <c r="D11" s="1098"/>
      <c r="E11" s="1098"/>
      <c r="F11" s="1098"/>
      <c r="G11" s="1098"/>
      <c r="H11" s="1098"/>
      <c r="I11" s="1098"/>
      <c r="J11" s="1098"/>
      <c r="K11" s="1098"/>
      <c r="L11" s="1098"/>
      <c r="M11" s="1098"/>
      <c r="N11" s="1097">
        <f t="shared" si="0"/>
        <v>0</v>
      </c>
      <c r="O11" s="1098"/>
      <c r="P11" s="1098"/>
      <c r="Q11" s="1098"/>
      <c r="R11" s="1098"/>
      <c r="S11" s="1098"/>
      <c r="T11" s="1098"/>
      <c r="U11" s="1098"/>
      <c r="V11" s="1098"/>
      <c r="W11" s="1098"/>
      <c r="X11" s="1098"/>
      <c r="Y11" s="1098"/>
      <c r="Z11" s="1098"/>
      <c r="AA11" s="1097">
        <f t="shared" si="1"/>
        <v>0</v>
      </c>
      <c r="AB11" s="1098"/>
      <c r="AC11" s="1098"/>
      <c r="AD11" s="1098"/>
      <c r="AE11" s="1098"/>
      <c r="AF11" s="1098"/>
      <c r="AG11" s="1098"/>
      <c r="AH11" s="1098"/>
      <c r="AI11" s="1098"/>
      <c r="AJ11" s="1098"/>
      <c r="AK11" s="1098"/>
      <c r="AL11" s="1098"/>
      <c r="AM11" s="1098"/>
      <c r="AN11" s="1097">
        <f t="shared" si="2"/>
        <v>0</v>
      </c>
      <c r="AO11" s="1098"/>
      <c r="AP11" s="1098"/>
      <c r="AQ11" s="1098"/>
      <c r="AR11" s="1098"/>
      <c r="AS11" s="1098"/>
      <c r="AT11" s="1098"/>
      <c r="AU11" s="1098"/>
      <c r="AV11" s="1098"/>
      <c r="AW11" s="1098"/>
      <c r="AX11" s="1098"/>
      <c r="AY11" s="1098"/>
      <c r="AZ11" s="1098"/>
      <c r="BA11" s="1097">
        <f t="shared" si="3"/>
        <v>0</v>
      </c>
      <c r="BB11" s="1098"/>
      <c r="BC11" s="1098"/>
      <c r="BD11" s="1098"/>
      <c r="BE11" s="1098"/>
      <c r="BF11" s="1098"/>
      <c r="BG11" s="1098"/>
      <c r="BH11" s="1098"/>
      <c r="BI11" s="1098"/>
      <c r="BJ11" s="1098"/>
      <c r="BK11" s="1098"/>
      <c r="BL11" s="1098"/>
      <c r="BM11" s="1098"/>
      <c r="BN11" s="1097">
        <f t="shared" si="4"/>
        <v>0</v>
      </c>
      <c r="BO11" s="1098"/>
      <c r="BP11" s="1098"/>
      <c r="BQ11" s="1098"/>
      <c r="BR11" s="1098"/>
      <c r="BS11" s="1098"/>
      <c r="BT11" s="1098"/>
      <c r="BU11" s="1098"/>
      <c r="BV11" s="1098"/>
      <c r="BW11" s="1098"/>
      <c r="BX11" s="1098"/>
      <c r="BY11" s="1098"/>
      <c r="BZ11" s="1098"/>
      <c r="CA11" s="1097">
        <f t="shared" si="5"/>
        <v>0</v>
      </c>
      <c r="CB11" s="1098"/>
      <c r="CC11" s="1098"/>
      <c r="CD11" s="1098"/>
      <c r="CE11" s="1098"/>
      <c r="CF11" s="1098"/>
      <c r="CG11" s="1098"/>
      <c r="CH11" s="1098"/>
      <c r="CI11" s="1098"/>
      <c r="CJ11" s="1098"/>
      <c r="CK11" s="1098"/>
      <c r="CL11" s="1098"/>
      <c r="CM11" s="1098"/>
      <c r="CN11" s="1097">
        <f t="shared" si="6"/>
        <v>0</v>
      </c>
      <c r="CO11" s="1098"/>
      <c r="CP11" s="1098"/>
      <c r="CQ11" s="1098"/>
      <c r="CR11" s="1098"/>
      <c r="CS11" s="1098"/>
      <c r="CT11" s="1098"/>
      <c r="CU11" s="1098"/>
      <c r="CV11" s="1098"/>
      <c r="CW11" s="1098"/>
      <c r="CX11" s="1098"/>
      <c r="CY11" s="1098"/>
      <c r="CZ11" s="1098"/>
      <c r="DA11" s="1097">
        <f t="shared" si="7"/>
        <v>0</v>
      </c>
      <c r="DB11" s="1098"/>
      <c r="DC11" s="1098"/>
      <c r="DD11" s="1098"/>
      <c r="DE11" s="1098"/>
      <c r="DF11" s="1098"/>
      <c r="DG11" s="1098"/>
      <c r="DH11" s="1098"/>
      <c r="DI11" s="1098"/>
      <c r="DJ11" s="1098"/>
      <c r="DK11" s="1098"/>
      <c r="DL11" s="1098"/>
      <c r="DM11" s="1098"/>
      <c r="DN11" s="1097">
        <f t="shared" si="8"/>
        <v>0</v>
      </c>
      <c r="DO11" s="1098"/>
      <c r="DP11" s="1098"/>
      <c r="DQ11" s="1098"/>
      <c r="DR11" s="1098"/>
      <c r="DS11" s="1098"/>
      <c r="DT11" s="1098"/>
      <c r="DU11" s="1098"/>
      <c r="DV11" s="1098"/>
      <c r="DW11" s="1098"/>
      <c r="DX11" s="1098"/>
      <c r="DY11" s="1098"/>
      <c r="DZ11" s="1098"/>
      <c r="EA11" s="1097">
        <f t="shared" si="9"/>
        <v>0</v>
      </c>
      <c r="EB11" s="1098"/>
      <c r="EC11" s="1098"/>
      <c r="ED11" s="1098"/>
      <c r="EE11" s="1098"/>
      <c r="EF11" s="1098"/>
      <c r="EG11" s="1098"/>
      <c r="EH11" s="1098"/>
      <c r="EI11" s="1098"/>
      <c r="EJ11" s="1098"/>
      <c r="EK11" s="1098"/>
      <c r="EL11" s="1098"/>
      <c r="EM11" s="1098"/>
      <c r="EN11" s="1097">
        <f t="shared" si="10"/>
        <v>0</v>
      </c>
      <c r="EO11" s="1098"/>
      <c r="EP11" s="1098"/>
      <c r="EQ11" s="1098"/>
      <c r="ER11" s="1098"/>
      <c r="ES11" s="1098"/>
      <c r="ET11" s="1098"/>
      <c r="EU11" s="1098"/>
      <c r="EV11" s="1098"/>
      <c r="EW11" s="1098"/>
      <c r="EX11" s="1098"/>
      <c r="EY11" s="1098"/>
      <c r="EZ11" s="1098"/>
      <c r="FA11" s="1097">
        <f t="shared" si="11"/>
        <v>0</v>
      </c>
      <c r="FB11" s="1098"/>
      <c r="FC11" s="1098"/>
      <c r="FD11" s="1098"/>
      <c r="FE11" s="1098"/>
      <c r="FF11" s="1098"/>
      <c r="FG11" s="1098"/>
      <c r="FH11" s="1098"/>
      <c r="FI11" s="1098"/>
      <c r="FJ11" s="1098"/>
      <c r="FK11" s="1098"/>
      <c r="FL11" s="1098"/>
      <c r="FM11" s="1098"/>
      <c r="FN11" s="1097">
        <f t="shared" si="12"/>
        <v>0</v>
      </c>
      <c r="FO11" s="1098"/>
      <c r="FP11" s="1098"/>
      <c r="FQ11" s="1098"/>
      <c r="FR11" s="1098">
        <v>1</v>
      </c>
      <c r="FS11" s="1098">
        <v>1</v>
      </c>
      <c r="FT11" s="1098">
        <v>1</v>
      </c>
      <c r="FU11" s="1098">
        <v>1</v>
      </c>
      <c r="FV11" s="1098"/>
      <c r="FW11" s="1098"/>
      <c r="FX11" s="1098"/>
      <c r="FY11" s="1098"/>
      <c r="FZ11" s="1098"/>
      <c r="GA11" s="1097">
        <f t="shared" si="13"/>
        <v>4</v>
      </c>
      <c r="GB11" s="1098"/>
      <c r="GC11" s="1098"/>
      <c r="GD11" s="1098"/>
      <c r="GE11" s="1098"/>
      <c r="GF11" s="1098"/>
      <c r="GG11" s="1098"/>
      <c r="GH11" s="1098"/>
      <c r="GI11" s="1098"/>
      <c r="GJ11" s="1098"/>
      <c r="GK11" s="1098"/>
      <c r="GL11" s="1098"/>
      <c r="GM11" s="1098">
        <v>158</v>
      </c>
      <c r="GN11" s="1097">
        <f t="shared" si="14"/>
        <v>158</v>
      </c>
      <c r="GO11" s="1098">
        <v>268</v>
      </c>
      <c r="GP11" s="1098">
        <v>40</v>
      </c>
      <c r="GQ11" s="1098">
        <v>121</v>
      </c>
      <c r="GR11" s="1098">
        <v>50</v>
      </c>
      <c r="GS11" s="1098">
        <v>83</v>
      </c>
      <c r="GT11" s="1098">
        <v>83</v>
      </c>
      <c r="GU11" s="1098">
        <v>89</v>
      </c>
      <c r="GV11" s="1098">
        <v>119</v>
      </c>
      <c r="GW11" s="1098">
        <v>169</v>
      </c>
      <c r="GX11" s="1098">
        <v>259</v>
      </c>
      <c r="GY11" s="1098">
        <v>254</v>
      </c>
      <c r="GZ11" s="1098">
        <v>320</v>
      </c>
      <c r="HA11" s="1097">
        <f t="shared" si="15"/>
        <v>1855</v>
      </c>
      <c r="HB11" s="1098">
        <v>80</v>
      </c>
      <c r="HC11" s="1098">
        <v>34</v>
      </c>
      <c r="HD11" s="1098">
        <v>15</v>
      </c>
      <c r="HE11" s="1098">
        <v>40</v>
      </c>
      <c r="HF11" s="1098">
        <v>25</v>
      </c>
      <c r="HG11" s="1098">
        <v>50</v>
      </c>
      <c r="HH11" s="1098">
        <v>68</v>
      </c>
      <c r="HI11" s="1098">
        <v>69</v>
      </c>
      <c r="HJ11" s="1098"/>
      <c r="HK11" s="1098"/>
      <c r="HL11" s="1098"/>
      <c r="HM11" s="1098"/>
      <c r="HN11" s="1097">
        <f t="shared" si="16"/>
        <v>381</v>
      </c>
      <c r="HO11" s="1098"/>
      <c r="HP11" s="1098"/>
      <c r="HQ11" s="1098"/>
      <c r="HR11" s="1098"/>
      <c r="HS11" s="1098">
        <v>25</v>
      </c>
      <c r="HT11" s="1098">
        <v>25</v>
      </c>
      <c r="HU11" s="1098">
        <v>375</v>
      </c>
      <c r="HV11" s="1098">
        <v>250</v>
      </c>
      <c r="HW11" s="1098">
        <v>250</v>
      </c>
      <c r="HX11" s="1098">
        <v>125</v>
      </c>
      <c r="HY11" s="1098">
        <v>200</v>
      </c>
      <c r="HZ11" s="1098">
        <v>75</v>
      </c>
      <c r="IA11" s="1097">
        <f t="shared" si="17"/>
        <v>1325</v>
      </c>
      <c r="IB11" s="1098">
        <v>0</v>
      </c>
      <c r="IC11" s="1098">
        <v>0</v>
      </c>
      <c r="ID11" s="1098">
        <v>0</v>
      </c>
      <c r="IE11" s="1098">
        <v>0</v>
      </c>
      <c r="IF11" s="1098">
        <v>0</v>
      </c>
      <c r="IG11" s="1098">
        <v>200</v>
      </c>
      <c r="IH11" s="1098">
        <v>350</v>
      </c>
      <c r="II11" s="1098">
        <v>375</v>
      </c>
      <c r="IJ11" s="1098">
        <v>375</v>
      </c>
      <c r="IK11" s="1098">
        <v>375</v>
      </c>
      <c r="IL11" s="1098">
        <v>0</v>
      </c>
      <c r="IM11" s="1098">
        <v>0</v>
      </c>
      <c r="IN11" s="1097">
        <v>1675</v>
      </c>
      <c r="IO11" s="1098">
        <v>0</v>
      </c>
      <c r="IP11" s="1098">
        <v>0</v>
      </c>
      <c r="IQ11" s="1098">
        <v>0</v>
      </c>
      <c r="IR11" s="1098">
        <v>0</v>
      </c>
      <c r="IS11" s="1098">
        <v>0</v>
      </c>
      <c r="IT11" s="1098">
        <v>0</v>
      </c>
      <c r="IU11" s="1098">
        <v>0</v>
      </c>
      <c r="IV11" s="1098">
        <v>0</v>
      </c>
      <c r="IW11" s="1098">
        <v>0</v>
      </c>
      <c r="IX11" s="1098">
        <v>0</v>
      </c>
      <c r="IY11" s="1098">
        <v>0</v>
      </c>
      <c r="IZ11" s="1098">
        <v>0</v>
      </c>
      <c r="JA11" s="1097">
        <v>0</v>
      </c>
      <c r="JB11" s="1098">
        <v>0</v>
      </c>
      <c r="JC11" s="1098">
        <v>0</v>
      </c>
      <c r="JD11" s="1098"/>
      <c r="JE11" s="1098"/>
      <c r="JF11" s="1098"/>
      <c r="JG11" s="1098"/>
      <c r="JH11" s="1098"/>
      <c r="JI11" s="1098"/>
      <c r="JJ11" s="1098"/>
      <c r="JK11" s="1098"/>
      <c r="JL11" s="1098"/>
      <c r="JM11" s="1098"/>
      <c r="JN11" s="1097">
        <f t="shared" si="18"/>
        <v>0</v>
      </c>
      <c r="JP11" s="1174" t="str">
        <f t="shared" ref="JP11:JP40" si="42">IFERROR(((
_xlfn.XLOOKUP((DATE(YEAR($JP$5),MONTH($JP$5),1)),$B$5:$JN$5,$B11:$JN11) /
_xlfn.XLOOKUP((DATE(YEAR($JP$5)-1,MONTH($JP$5),1)),$B$5:$JN$5,$B11:$JN11)
)-1)*100,"")</f>
        <v/>
      </c>
      <c r="JQ11" s="1175">
        <f t="shared" ref="JQ11:JQ40" si="43">IFERROR(((JS11/JR11)-1)*100,"")</f>
        <v>-100</v>
      </c>
      <c r="JR11" s="1184">
        <f t="shared" ref="JR11:JR40" si="44">SUMIFS($B11:$JN11,$B$5:$JN$5,"&gt;="&amp;DATE(YEAR($JP$5)-1,1,1),$B$5:$JN$5,"&lt;="&amp;DATE(YEAR($JP$5)-1,MONTH($JP$5),1))</f>
        <v>1675</v>
      </c>
      <c r="JS11" s="1185">
        <f t="shared" ref="JS11:JS40" si="45">SUMIFS($B11:$JN11,$B$5:$JN$5,"&gt;="&amp;DATE(YEAR($JP$5),1,1),$B$5:$JN$5,"&lt;="&amp;$JP$5)</f>
        <v>0</v>
      </c>
      <c r="JT11" s="1"/>
      <c r="JU11" s="1079">
        <f t="shared" ref="JU11:JU47" si="46">SUM(B11:JN11)</f>
        <v>10796</v>
      </c>
      <c r="JV11" s="1080" t="s">
        <v>45</v>
      </c>
      <c r="JW11" s="1081" t="str">
        <f t="shared" ref="JW11:JW47" si="47">IF(EXACT(A11,JV11)=TRUE,"OK","VER")</f>
        <v>OK</v>
      </c>
    </row>
    <row r="12" spans="1:283" ht="15" customHeight="1" x14ac:dyDescent="0.2">
      <c r="A12" s="1166" t="s">
        <v>30</v>
      </c>
      <c r="B12" s="1098">
        <v>6</v>
      </c>
      <c r="C12" s="1098">
        <v>23</v>
      </c>
      <c r="D12" s="1098">
        <v>52</v>
      </c>
      <c r="E12" s="1098">
        <v>44</v>
      </c>
      <c r="F12" s="1098">
        <v>63</v>
      </c>
      <c r="G12" s="1098">
        <v>32</v>
      </c>
      <c r="H12" s="1098">
        <v>19</v>
      </c>
      <c r="I12" s="1098">
        <v>10</v>
      </c>
      <c r="J12" s="1098"/>
      <c r="K12" s="1098"/>
      <c r="L12" s="1098"/>
      <c r="M12" s="1098"/>
      <c r="N12" s="1097">
        <f t="shared" si="0"/>
        <v>249</v>
      </c>
      <c r="O12" s="1098">
        <v>7</v>
      </c>
      <c r="P12" s="1098">
        <v>30</v>
      </c>
      <c r="Q12" s="1098">
        <v>48</v>
      </c>
      <c r="R12" s="1098">
        <v>29</v>
      </c>
      <c r="S12" s="1098">
        <v>27</v>
      </c>
      <c r="T12" s="1098">
        <v>32</v>
      </c>
      <c r="U12" s="1098">
        <v>43</v>
      </c>
      <c r="V12" s="1098">
        <v>17</v>
      </c>
      <c r="W12" s="1098">
        <v>24</v>
      </c>
      <c r="X12" s="1098">
        <v>5</v>
      </c>
      <c r="Y12" s="1098">
        <v>3</v>
      </c>
      <c r="Z12" s="1098">
        <v>3</v>
      </c>
      <c r="AA12" s="1097">
        <f t="shared" si="1"/>
        <v>268</v>
      </c>
      <c r="AB12" s="1098">
        <v>11</v>
      </c>
      <c r="AC12" s="1098">
        <v>30</v>
      </c>
      <c r="AD12" s="1098">
        <v>55</v>
      </c>
      <c r="AE12" s="1098">
        <v>24</v>
      </c>
      <c r="AF12" s="1098">
        <v>19</v>
      </c>
      <c r="AG12" s="1098">
        <v>8</v>
      </c>
      <c r="AH12" s="1098">
        <v>22</v>
      </c>
      <c r="AI12" s="1098">
        <v>20</v>
      </c>
      <c r="AJ12" s="1098">
        <v>19</v>
      </c>
      <c r="AK12" s="1098">
        <v>20</v>
      </c>
      <c r="AL12" s="1098">
        <v>17</v>
      </c>
      <c r="AM12" s="1098">
        <v>17</v>
      </c>
      <c r="AN12" s="1097">
        <f t="shared" si="2"/>
        <v>262</v>
      </c>
      <c r="AO12" s="1098">
        <v>11</v>
      </c>
      <c r="AP12" s="1098">
        <v>34</v>
      </c>
      <c r="AQ12" s="1098">
        <v>58</v>
      </c>
      <c r="AR12" s="1098">
        <v>26</v>
      </c>
      <c r="AS12" s="1098">
        <v>20</v>
      </c>
      <c r="AT12" s="1098"/>
      <c r="AU12" s="1098"/>
      <c r="AV12" s="1098"/>
      <c r="AW12" s="1098"/>
      <c r="AX12" s="1098"/>
      <c r="AY12" s="1098"/>
      <c r="AZ12" s="1098">
        <v>2</v>
      </c>
      <c r="BA12" s="1097">
        <f t="shared" si="3"/>
        <v>151</v>
      </c>
      <c r="BB12" s="1098">
        <v>13</v>
      </c>
      <c r="BC12" s="1098">
        <v>34</v>
      </c>
      <c r="BD12" s="1098">
        <v>34</v>
      </c>
      <c r="BE12" s="1098">
        <v>8</v>
      </c>
      <c r="BF12" s="1098">
        <v>5</v>
      </c>
      <c r="BG12" s="1098"/>
      <c r="BH12" s="1098"/>
      <c r="BI12" s="1098"/>
      <c r="BJ12" s="1098"/>
      <c r="BK12" s="1098"/>
      <c r="BL12" s="1098"/>
      <c r="BM12" s="1098"/>
      <c r="BN12" s="1097">
        <f t="shared" si="4"/>
        <v>94</v>
      </c>
      <c r="BO12" s="1098">
        <v>9</v>
      </c>
      <c r="BP12" s="1098">
        <v>37</v>
      </c>
      <c r="BQ12" s="1098">
        <v>29</v>
      </c>
      <c r="BR12" s="1098">
        <v>11</v>
      </c>
      <c r="BS12" s="1098">
        <v>2</v>
      </c>
      <c r="BT12" s="1098"/>
      <c r="BU12" s="1098"/>
      <c r="BV12" s="1098"/>
      <c r="BW12" s="1098"/>
      <c r="BX12" s="1098"/>
      <c r="BY12" s="1098"/>
      <c r="BZ12" s="1098"/>
      <c r="CA12" s="1097">
        <f t="shared" si="5"/>
        <v>88</v>
      </c>
      <c r="CB12" s="1098">
        <v>4</v>
      </c>
      <c r="CC12" s="1098">
        <v>7</v>
      </c>
      <c r="CD12" s="1098">
        <v>5</v>
      </c>
      <c r="CE12" s="1098">
        <v>5</v>
      </c>
      <c r="CF12" s="1098">
        <v>5</v>
      </c>
      <c r="CG12" s="1098">
        <v>1</v>
      </c>
      <c r="CH12" s="1098"/>
      <c r="CI12" s="1098"/>
      <c r="CJ12" s="1098"/>
      <c r="CK12" s="1098"/>
      <c r="CL12" s="1098"/>
      <c r="CM12" s="1098"/>
      <c r="CN12" s="1097">
        <f t="shared" si="6"/>
        <v>27</v>
      </c>
      <c r="CO12" s="1098">
        <v>17</v>
      </c>
      <c r="CP12" s="1098">
        <v>27</v>
      </c>
      <c r="CQ12" s="1098">
        <v>23</v>
      </c>
      <c r="CR12" s="1098">
        <v>10</v>
      </c>
      <c r="CS12" s="1098">
        <v>2</v>
      </c>
      <c r="CT12" s="1098">
        <v>1</v>
      </c>
      <c r="CU12" s="1098"/>
      <c r="CV12" s="1098"/>
      <c r="CW12" s="1098"/>
      <c r="CX12" s="1098"/>
      <c r="CY12" s="1098"/>
      <c r="CZ12" s="1098"/>
      <c r="DA12" s="1097">
        <f t="shared" si="7"/>
        <v>80</v>
      </c>
      <c r="DB12" s="1098">
        <v>18</v>
      </c>
      <c r="DC12" s="1098">
        <v>28</v>
      </c>
      <c r="DD12" s="1098">
        <v>18</v>
      </c>
      <c r="DE12" s="1098">
        <v>6</v>
      </c>
      <c r="DF12" s="1098">
        <v>2</v>
      </c>
      <c r="DG12" s="1098">
        <v>1</v>
      </c>
      <c r="DH12" s="1098"/>
      <c r="DI12" s="1098"/>
      <c r="DJ12" s="1098"/>
      <c r="DK12" s="1098"/>
      <c r="DL12" s="1098"/>
      <c r="DM12" s="1098"/>
      <c r="DN12" s="1097">
        <f t="shared" si="8"/>
        <v>73</v>
      </c>
      <c r="DO12" s="1098">
        <v>15</v>
      </c>
      <c r="DP12" s="1098">
        <v>22</v>
      </c>
      <c r="DQ12" s="1098">
        <v>15</v>
      </c>
      <c r="DR12" s="1098">
        <v>4</v>
      </c>
      <c r="DS12" s="1098"/>
      <c r="DT12" s="1098"/>
      <c r="DU12" s="1098"/>
      <c r="DV12" s="1098"/>
      <c r="DW12" s="1098"/>
      <c r="DX12" s="1098"/>
      <c r="DY12" s="1098"/>
      <c r="DZ12" s="1098"/>
      <c r="EA12" s="1097">
        <f t="shared" si="9"/>
        <v>56</v>
      </c>
      <c r="EB12" s="1098">
        <v>3</v>
      </c>
      <c r="EC12" s="1098">
        <v>15</v>
      </c>
      <c r="ED12" s="1098">
        <v>11</v>
      </c>
      <c r="EE12" s="1098">
        <v>3</v>
      </c>
      <c r="EF12" s="1098"/>
      <c r="EG12" s="1098"/>
      <c r="EH12" s="1098"/>
      <c r="EI12" s="1098"/>
      <c r="EJ12" s="1098"/>
      <c r="EK12" s="1098"/>
      <c r="EL12" s="1098"/>
      <c r="EM12" s="1098"/>
      <c r="EN12" s="1097">
        <f t="shared" si="10"/>
        <v>32</v>
      </c>
      <c r="EO12" s="1098">
        <v>4</v>
      </c>
      <c r="EP12" s="1098">
        <v>14</v>
      </c>
      <c r="EQ12" s="1098">
        <v>12</v>
      </c>
      <c r="ER12" s="1098">
        <v>4</v>
      </c>
      <c r="ES12" s="1098">
        <v>1</v>
      </c>
      <c r="ET12" s="1098"/>
      <c r="EU12" s="1098"/>
      <c r="EV12" s="1098"/>
      <c r="EW12" s="1098"/>
      <c r="EX12" s="1098"/>
      <c r="EY12" s="1098"/>
      <c r="EZ12" s="1098"/>
      <c r="FA12" s="1097">
        <f t="shared" si="11"/>
        <v>35</v>
      </c>
      <c r="FB12" s="1098">
        <v>2</v>
      </c>
      <c r="FC12" s="1098">
        <v>10</v>
      </c>
      <c r="FD12" s="1098">
        <v>12</v>
      </c>
      <c r="FE12" s="1098">
        <v>9</v>
      </c>
      <c r="FF12" s="1098">
        <v>3</v>
      </c>
      <c r="FG12" s="1098"/>
      <c r="FH12" s="1098"/>
      <c r="FI12" s="1098"/>
      <c r="FJ12" s="1098"/>
      <c r="FK12" s="1098"/>
      <c r="FL12" s="1098"/>
      <c r="FM12" s="1098"/>
      <c r="FN12" s="1097">
        <f t="shared" si="12"/>
        <v>36</v>
      </c>
      <c r="FO12" s="1098">
        <v>5</v>
      </c>
      <c r="FP12" s="1098">
        <v>7</v>
      </c>
      <c r="FQ12" s="1098">
        <v>11</v>
      </c>
      <c r="FR12" s="1098">
        <v>8</v>
      </c>
      <c r="FS12" s="1098">
        <v>2</v>
      </c>
      <c r="FT12" s="1098"/>
      <c r="FU12" s="1098"/>
      <c r="FV12" s="1098"/>
      <c r="FW12" s="1098"/>
      <c r="FX12" s="1098"/>
      <c r="FY12" s="1098"/>
      <c r="FZ12" s="1098"/>
      <c r="GA12" s="1097">
        <f t="shared" si="13"/>
        <v>33</v>
      </c>
      <c r="GB12" s="1098">
        <v>4</v>
      </c>
      <c r="GC12" s="1098">
        <v>6</v>
      </c>
      <c r="GD12" s="1098">
        <v>10</v>
      </c>
      <c r="GE12" s="1098">
        <v>6</v>
      </c>
      <c r="GF12" s="1098">
        <v>3</v>
      </c>
      <c r="GG12" s="1098"/>
      <c r="GH12" s="1098"/>
      <c r="GI12" s="1098"/>
      <c r="GJ12" s="1098"/>
      <c r="GK12" s="1098"/>
      <c r="GL12" s="1098"/>
      <c r="GM12" s="1098"/>
      <c r="GN12" s="1097">
        <f t="shared" si="14"/>
        <v>29</v>
      </c>
      <c r="GO12" s="1098">
        <v>6</v>
      </c>
      <c r="GP12" s="1098">
        <v>9</v>
      </c>
      <c r="GQ12" s="1098">
        <v>11</v>
      </c>
      <c r="GR12" s="1098">
        <v>6</v>
      </c>
      <c r="GS12" s="1098">
        <v>3</v>
      </c>
      <c r="GT12" s="1098"/>
      <c r="GU12" s="1098"/>
      <c r="GV12" s="1098"/>
      <c r="GW12" s="1098"/>
      <c r="GX12" s="1098"/>
      <c r="GY12" s="1098"/>
      <c r="GZ12" s="1098"/>
      <c r="HA12" s="1097">
        <f t="shared" si="15"/>
        <v>35</v>
      </c>
      <c r="HB12" s="1098">
        <v>2</v>
      </c>
      <c r="HC12" s="1098">
        <v>4</v>
      </c>
      <c r="HD12" s="1098">
        <v>9</v>
      </c>
      <c r="HE12" s="1098">
        <v>5</v>
      </c>
      <c r="HF12" s="1098"/>
      <c r="HG12" s="1098"/>
      <c r="HH12" s="1098"/>
      <c r="HI12" s="1098"/>
      <c r="HJ12" s="1098"/>
      <c r="HK12" s="1098"/>
      <c r="HL12" s="1098"/>
      <c r="HM12" s="1098"/>
      <c r="HN12" s="1097">
        <f t="shared" si="16"/>
        <v>20</v>
      </c>
      <c r="HO12" s="1098">
        <v>2</v>
      </c>
      <c r="HP12" s="1098">
        <v>10</v>
      </c>
      <c r="HQ12" s="1098">
        <v>6</v>
      </c>
      <c r="HR12" s="1098">
        <v>2</v>
      </c>
      <c r="HS12" s="1098"/>
      <c r="HT12" s="1098"/>
      <c r="HU12" s="1098"/>
      <c r="HV12" s="1098"/>
      <c r="HW12" s="1098"/>
      <c r="HX12" s="1098"/>
      <c r="HY12" s="1098"/>
      <c r="HZ12" s="1098"/>
      <c r="IA12" s="1097">
        <f t="shared" si="17"/>
        <v>20</v>
      </c>
      <c r="IB12" s="1098">
        <v>2.5</v>
      </c>
      <c r="IC12" s="1098">
        <v>8</v>
      </c>
      <c r="ID12" s="1098">
        <v>3</v>
      </c>
      <c r="IE12" s="1098">
        <v>3</v>
      </c>
      <c r="IF12" s="1098">
        <v>1</v>
      </c>
      <c r="IG12" s="1098">
        <v>1</v>
      </c>
      <c r="IH12" s="1098">
        <v>1</v>
      </c>
      <c r="II12" s="1098">
        <v>0.5</v>
      </c>
      <c r="IJ12" s="1098">
        <v>0</v>
      </c>
      <c r="IK12" s="1098">
        <v>0</v>
      </c>
      <c r="IL12" s="1098">
        <v>0</v>
      </c>
      <c r="IM12" s="1098">
        <v>0</v>
      </c>
      <c r="IN12" s="1097">
        <v>20</v>
      </c>
      <c r="IO12" s="1098">
        <v>2.5</v>
      </c>
      <c r="IP12" s="1098">
        <v>9</v>
      </c>
      <c r="IQ12" s="1098">
        <v>2.5</v>
      </c>
      <c r="IR12" s="1098">
        <v>2.6</v>
      </c>
      <c r="IS12" s="1098">
        <v>0.4</v>
      </c>
      <c r="IT12" s="1098">
        <v>0</v>
      </c>
      <c r="IU12" s="1098">
        <v>0</v>
      </c>
      <c r="IV12" s="1098">
        <v>0</v>
      </c>
      <c r="IW12" s="1098">
        <v>0</v>
      </c>
      <c r="IX12" s="1098">
        <v>0</v>
      </c>
      <c r="IY12" s="1098">
        <v>0</v>
      </c>
      <c r="IZ12" s="1098">
        <v>0</v>
      </c>
      <c r="JA12" s="1097">
        <v>17</v>
      </c>
      <c r="JB12" s="1098">
        <v>3</v>
      </c>
      <c r="JC12" s="1098">
        <v>10</v>
      </c>
      <c r="JD12" s="1098"/>
      <c r="JE12" s="1098"/>
      <c r="JF12" s="1098"/>
      <c r="JG12" s="1098"/>
      <c r="JH12" s="1098"/>
      <c r="JI12" s="1098"/>
      <c r="JJ12" s="1098"/>
      <c r="JK12" s="1098"/>
      <c r="JL12" s="1098"/>
      <c r="JM12" s="1098"/>
      <c r="JN12" s="1097">
        <f t="shared" si="18"/>
        <v>13</v>
      </c>
      <c r="JP12" s="1174" t="str">
        <f t="shared" si="42"/>
        <v/>
      </c>
      <c r="JQ12" s="1175">
        <f t="shared" si="43"/>
        <v>-15.000000000000002</v>
      </c>
      <c r="JR12" s="1184">
        <f t="shared" si="44"/>
        <v>20</v>
      </c>
      <c r="JS12" s="1185">
        <f t="shared" si="45"/>
        <v>17</v>
      </c>
      <c r="JT12" s="1"/>
      <c r="JU12" s="1079">
        <f t="shared" si="46"/>
        <v>3276</v>
      </c>
      <c r="JV12" s="1080" t="s">
        <v>30</v>
      </c>
      <c r="JW12" s="1081" t="str">
        <f t="shared" si="47"/>
        <v>OK</v>
      </c>
    </row>
    <row r="13" spans="1:283" ht="15" customHeight="1" x14ac:dyDescent="0.2">
      <c r="A13" s="1166" t="s">
        <v>46</v>
      </c>
      <c r="B13" s="1098"/>
      <c r="C13" s="1098"/>
      <c r="D13" s="1098"/>
      <c r="E13" s="1098"/>
      <c r="F13" s="1098"/>
      <c r="G13" s="1098"/>
      <c r="H13" s="1098"/>
      <c r="I13" s="1098"/>
      <c r="J13" s="1098"/>
      <c r="K13" s="1098"/>
      <c r="L13" s="1098"/>
      <c r="M13" s="1098"/>
      <c r="N13" s="1097">
        <f t="shared" si="0"/>
        <v>0</v>
      </c>
      <c r="O13" s="1098"/>
      <c r="P13" s="1098"/>
      <c r="Q13" s="1098"/>
      <c r="R13" s="1098"/>
      <c r="S13" s="1098"/>
      <c r="T13" s="1098"/>
      <c r="U13" s="1098"/>
      <c r="V13" s="1098"/>
      <c r="W13" s="1098"/>
      <c r="X13" s="1098"/>
      <c r="Y13" s="1098"/>
      <c r="Z13" s="1098"/>
      <c r="AA13" s="1097">
        <f t="shared" si="1"/>
        <v>0</v>
      </c>
      <c r="AB13" s="1098"/>
      <c r="AC13" s="1098"/>
      <c r="AD13" s="1098"/>
      <c r="AE13" s="1098"/>
      <c r="AF13" s="1098"/>
      <c r="AG13" s="1098"/>
      <c r="AH13" s="1098"/>
      <c r="AI13" s="1098"/>
      <c r="AJ13" s="1098"/>
      <c r="AK13" s="1098"/>
      <c r="AL13" s="1098"/>
      <c r="AM13" s="1098"/>
      <c r="AN13" s="1097">
        <f t="shared" si="2"/>
        <v>0</v>
      </c>
      <c r="AO13" s="1098"/>
      <c r="AP13" s="1098"/>
      <c r="AQ13" s="1098"/>
      <c r="AR13" s="1098"/>
      <c r="AS13" s="1098"/>
      <c r="AT13" s="1098"/>
      <c r="AU13" s="1098"/>
      <c r="AV13" s="1098"/>
      <c r="AW13" s="1098"/>
      <c r="AX13" s="1098"/>
      <c r="AY13" s="1098"/>
      <c r="AZ13" s="1098"/>
      <c r="BA13" s="1097">
        <f t="shared" si="3"/>
        <v>0</v>
      </c>
      <c r="BB13" s="1098"/>
      <c r="BC13" s="1098"/>
      <c r="BD13" s="1098"/>
      <c r="BE13" s="1098"/>
      <c r="BF13" s="1098"/>
      <c r="BG13" s="1098"/>
      <c r="BH13" s="1098"/>
      <c r="BI13" s="1098"/>
      <c r="BJ13" s="1098"/>
      <c r="BK13" s="1098"/>
      <c r="BL13" s="1098"/>
      <c r="BM13" s="1098"/>
      <c r="BN13" s="1097">
        <f t="shared" si="4"/>
        <v>0</v>
      </c>
      <c r="BO13" s="1098"/>
      <c r="BP13" s="1098"/>
      <c r="BQ13" s="1098"/>
      <c r="BR13" s="1098"/>
      <c r="BS13" s="1098"/>
      <c r="BT13" s="1098"/>
      <c r="BU13" s="1098"/>
      <c r="BV13" s="1098"/>
      <c r="BW13" s="1098"/>
      <c r="BX13" s="1098"/>
      <c r="BY13" s="1098"/>
      <c r="BZ13" s="1098"/>
      <c r="CA13" s="1097">
        <f t="shared" si="5"/>
        <v>0</v>
      </c>
      <c r="CB13" s="1098"/>
      <c r="CC13" s="1098"/>
      <c r="CD13" s="1098"/>
      <c r="CE13" s="1098"/>
      <c r="CF13" s="1098"/>
      <c r="CG13" s="1098"/>
      <c r="CH13" s="1098"/>
      <c r="CI13" s="1098"/>
      <c r="CJ13" s="1098"/>
      <c r="CK13" s="1098"/>
      <c r="CL13" s="1098"/>
      <c r="CM13" s="1098"/>
      <c r="CN13" s="1097">
        <f t="shared" si="6"/>
        <v>0</v>
      </c>
      <c r="CO13" s="1098"/>
      <c r="CP13" s="1098"/>
      <c r="CQ13" s="1098"/>
      <c r="CR13" s="1098"/>
      <c r="CS13" s="1098"/>
      <c r="CT13" s="1098"/>
      <c r="CU13" s="1098"/>
      <c r="CV13" s="1098"/>
      <c r="CW13" s="1098"/>
      <c r="CX13" s="1098"/>
      <c r="CY13" s="1098"/>
      <c r="CZ13" s="1098"/>
      <c r="DA13" s="1097">
        <f t="shared" si="7"/>
        <v>0</v>
      </c>
      <c r="DB13" s="1098"/>
      <c r="DC13" s="1098"/>
      <c r="DD13" s="1098"/>
      <c r="DE13" s="1098"/>
      <c r="DF13" s="1098"/>
      <c r="DG13" s="1098"/>
      <c r="DH13" s="1098"/>
      <c r="DI13" s="1098"/>
      <c r="DJ13" s="1098"/>
      <c r="DK13" s="1098"/>
      <c r="DL13" s="1098"/>
      <c r="DM13" s="1098"/>
      <c r="DN13" s="1097">
        <f t="shared" si="8"/>
        <v>0</v>
      </c>
      <c r="DO13" s="1098"/>
      <c r="DP13" s="1098"/>
      <c r="DQ13" s="1098"/>
      <c r="DR13" s="1098"/>
      <c r="DS13" s="1098"/>
      <c r="DT13" s="1098"/>
      <c r="DU13" s="1098"/>
      <c r="DV13" s="1098"/>
      <c r="DW13" s="1098"/>
      <c r="DX13" s="1098"/>
      <c r="DY13" s="1098"/>
      <c r="DZ13" s="1098"/>
      <c r="EA13" s="1097">
        <f t="shared" si="9"/>
        <v>0</v>
      </c>
      <c r="EB13" s="1098"/>
      <c r="EC13" s="1098"/>
      <c r="ED13" s="1098"/>
      <c r="EE13" s="1098"/>
      <c r="EF13" s="1098"/>
      <c r="EG13" s="1098"/>
      <c r="EH13" s="1098"/>
      <c r="EI13" s="1098"/>
      <c r="EJ13" s="1098"/>
      <c r="EK13" s="1098"/>
      <c r="EL13" s="1098"/>
      <c r="EM13" s="1098"/>
      <c r="EN13" s="1097">
        <f t="shared" si="10"/>
        <v>0</v>
      </c>
      <c r="EO13" s="1098"/>
      <c r="EP13" s="1098"/>
      <c r="EQ13" s="1098"/>
      <c r="ER13" s="1098"/>
      <c r="ES13" s="1098"/>
      <c r="ET13" s="1098"/>
      <c r="EU13" s="1098"/>
      <c r="EV13" s="1098"/>
      <c r="EW13" s="1098"/>
      <c r="EX13" s="1098"/>
      <c r="EY13" s="1098"/>
      <c r="EZ13" s="1098"/>
      <c r="FA13" s="1097">
        <f t="shared" si="11"/>
        <v>0</v>
      </c>
      <c r="FB13" s="1098"/>
      <c r="FC13" s="1098"/>
      <c r="FD13" s="1098"/>
      <c r="FE13" s="1098"/>
      <c r="FF13" s="1098"/>
      <c r="FG13" s="1098"/>
      <c r="FH13" s="1098"/>
      <c r="FI13" s="1098"/>
      <c r="FJ13" s="1098"/>
      <c r="FK13" s="1098"/>
      <c r="FL13" s="1098"/>
      <c r="FM13" s="1098"/>
      <c r="FN13" s="1097">
        <f t="shared" si="12"/>
        <v>0</v>
      </c>
      <c r="FO13" s="1098"/>
      <c r="FP13" s="1098"/>
      <c r="FQ13" s="1098"/>
      <c r="FR13" s="1098"/>
      <c r="FS13" s="1098"/>
      <c r="FT13" s="1098"/>
      <c r="FU13" s="1098"/>
      <c r="FV13" s="1098"/>
      <c r="FW13" s="1098"/>
      <c r="FX13" s="1098"/>
      <c r="FY13" s="1098"/>
      <c r="FZ13" s="1098"/>
      <c r="GA13" s="1097">
        <f t="shared" si="13"/>
        <v>0</v>
      </c>
      <c r="GB13" s="1098"/>
      <c r="GC13" s="1098"/>
      <c r="GD13" s="1098"/>
      <c r="GE13" s="1098"/>
      <c r="GF13" s="1098"/>
      <c r="GG13" s="1098"/>
      <c r="GH13" s="1098"/>
      <c r="GI13" s="1098"/>
      <c r="GJ13" s="1098"/>
      <c r="GK13" s="1098"/>
      <c r="GL13" s="1098"/>
      <c r="GM13" s="1098"/>
      <c r="GN13" s="1097">
        <f t="shared" si="14"/>
        <v>0</v>
      </c>
      <c r="GO13" s="1098"/>
      <c r="GP13" s="1098"/>
      <c r="GQ13" s="1098"/>
      <c r="GR13" s="1098"/>
      <c r="GS13" s="1098"/>
      <c r="GT13" s="1098"/>
      <c r="GU13" s="1098"/>
      <c r="GV13" s="1098"/>
      <c r="GW13" s="1098"/>
      <c r="GX13" s="1098"/>
      <c r="GY13" s="1098"/>
      <c r="GZ13" s="1098"/>
      <c r="HA13" s="1097">
        <f t="shared" si="15"/>
        <v>0</v>
      </c>
      <c r="HB13" s="1098"/>
      <c r="HC13" s="1098"/>
      <c r="HD13" s="1098"/>
      <c r="HE13" s="1098"/>
      <c r="HF13" s="1098"/>
      <c r="HG13" s="1098"/>
      <c r="HH13" s="1098"/>
      <c r="HI13" s="1098"/>
      <c r="HJ13" s="1098"/>
      <c r="HK13" s="1098"/>
      <c r="HL13" s="1098"/>
      <c r="HM13" s="1098"/>
      <c r="HN13" s="1097">
        <f t="shared" si="16"/>
        <v>0</v>
      </c>
      <c r="HO13" s="1098"/>
      <c r="HP13" s="1098"/>
      <c r="HQ13" s="1098"/>
      <c r="HR13" s="1098"/>
      <c r="HS13" s="1098"/>
      <c r="HT13" s="1098"/>
      <c r="HU13" s="1098"/>
      <c r="HV13" s="1098"/>
      <c r="HW13" s="1098"/>
      <c r="HX13" s="1098"/>
      <c r="HY13" s="1098"/>
      <c r="HZ13" s="1098"/>
      <c r="IA13" s="1097">
        <f t="shared" si="17"/>
        <v>0</v>
      </c>
      <c r="IB13" s="1098">
        <v>0</v>
      </c>
      <c r="IC13" s="1098">
        <v>0</v>
      </c>
      <c r="ID13" s="1098">
        <v>0</v>
      </c>
      <c r="IE13" s="1098">
        <v>0</v>
      </c>
      <c r="IF13" s="1098">
        <v>0</v>
      </c>
      <c r="IG13" s="1098">
        <v>0</v>
      </c>
      <c r="IH13" s="1098">
        <v>0</v>
      </c>
      <c r="II13" s="1098">
        <v>0</v>
      </c>
      <c r="IJ13" s="1098">
        <v>0</v>
      </c>
      <c r="IK13" s="1098">
        <v>0</v>
      </c>
      <c r="IL13" s="1098">
        <v>0</v>
      </c>
      <c r="IM13" s="1098">
        <v>0</v>
      </c>
      <c r="IN13" s="1097">
        <v>0</v>
      </c>
      <c r="IO13" s="1098">
        <v>0</v>
      </c>
      <c r="IP13" s="1098">
        <v>0</v>
      </c>
      <c r="IQ13" s="1098">
        <v>0</v>
      </c>
      <c r="IR13" s="1098">
        <v>0</v>
      </c>
      <c r="IS13" s="1098">
        <v>0</v>
      </c>
      <c r="IT13" s="1098">
        <v>0</v>
      </c>
      <c r="IU13" s="1098">
        <v>0</v>
      </c>
      <c r="IV13" s="1098">
        <v>0</v>
      </c>
      <c r="IW13" s="1098">
        <v>0</v>
      </c>
      <c r="IX13" s="1098">
        <v>0</v>
      </c>
      <c r="IY13" s="1098">
        <v>0</v>
      </c>
      <c r="IZ13" s="1098">
        <v>0</v>
      </c>
      <c r="JA13" s="1097">
        <v>0</v>
      </c>
      <c r="JB13" s="1098">
        <v>0</v>
      </c>
      <c r="JC13" s="1098">
        <v>0</v>
      </c>
      <c r="JD13" s="1098"/>
      <c r="JE13" s="1098"/>
      <c r="JF13" s="1098"/>
      <c r="JG13" s="1098"/>
      <c r="JH13" s="1098"/>
      <c r="JI13" s="1098"/>
      <c r="JJ13" s="1098"/>
      <c r="JK13" s="1098"/>
      <c r="JL13" s="1098"/>
      <c r="JM13" s="1098"/>
      <c r="JN13" s="1097">
        <f t="shared" si="18"/>
        <v>0</v>
      </c>
      <c r="JP13" s="1174" t="str">
        <f t="shared" si="42"/>
        <v/>
      </c>
      <c r="JQ13" s="1175" t="str">
        <f t="shared" si="43"/>
        <v/>
      </c>
      <c r="JR13" s="1184">
        <f t="shared" si="44"/>
        <v>0</v>
      </c>
      <c r="JS13" s="1185">
        <f t="shared" si="45"/>
        <v>0</v>
      </c>
      <c r="JT13" s="1"/>
      <c r="JU13" s="1079">
        <f t="shared" si="46"/>
        <v>0</v>
      </c>
      <c r="JV13" s="1080" t="s">
        <v>46</v>
      </c>
      <c r="JW13" s="1081" t="str">
        <f t="shared" si="47"/>
        <v>OK</v>
      </c>
    </row>
    <row r="14" spans="1:283" ht="15" customHeight="1" x14ac:dyDescent="0.2">
      <c r="A14" s="1166" t="s">
        <v>574</v>
      </c>
      <c r="B14" s="1098">
        <v>106615</v>
      </c>
      <c r="C14" s="1098">
        <v>108108</v>
      </c>
      <c r="D14" s="1098">
        <v>111039</v>
      </c>
      <c r="E14" s="1098">
        <v>111766</v>
      </c>
      <c r="F14" s="1098">
        <v>112223</v>
      </c>
      <c r="G14" s="1098">
        <v>110560</v>
      </c>
      <c r="H14" s="1098">
        <v>110364</v>
      </c>
      <c r="I14" s="1098">
        <v>107440</v>
      </c>
      <c r="J14" s="1098">
        <v>104081</v>
      </c>
      <c r="K14" s="1098">
        <v>101549</v>
      </c>
      <c r="L14" s="1098">
        <v>104401</v>
      </c>
      <c r="M14" s="1098">
        <v>101466</v>
      </c>
      <c r="N14" s="1097">
        <f t="shared" si="0"/>
        <v>1289612</v>
      </c>
      <c r="O14" s="1098">
        <v>118026</v>
      </c>
      <c r="P14" s="1098">
        <v>116761</v>
      </c>
      <c r="Q14" s="1098">
        <v>136572</v>
      </c>
      <c r="R14" s="1098">
        <v>119662</v>
      </c>
      <c r="S14" s="1098">
        <v>120347</v>
      </c>
      <c r="T14" s="1098">
        <v>114940</v>
      </c>
      <c r="U14" s="1098">
        <v>113076</v>
      </c>
      <c r="V14" s="1098">
        <v>113188</v>
      </c>
      <c r="W14" s="1098">
        <v>109877</v>
      </c>
      <c r="X14" s="1098">
        <v>108208</v>
      </c>
      <c r="Y14" s="1098">
        <v>105721</v>
      </c>
      <c r="Z14" s="1098">
        <v>106697</v>
      </c>
      <c r="AA14" s="1097">
        <f t="shared" si="1"/>
        <v>1383075</v>
      </c>
      <c r="AB14" s="1098">
        <v>114360</v>
      </c>
      <c r="AC14" s="1098">
        <v>117011</v>
      </c>
      <c r="AD14" s="1098">
        <v>116776</v>
      </c>
      <c r="AE14" s="1098">
        <v>120689</v>
      </c>
      <c r="AF14" s="1098">
        <v>119352</v>
      </c>
      <c r="AG14" s="1098">
        <v>117819</v>
      </c>
      <c r="AH14" s="1098">
        <v>118093</v>
      </c>
      <c r="AI14" s="1098">
        <v>119042</v>
      </c>
      <c r="AJ14" s="1098">
        <v>122391</v>
      </c>
      <c r="AK14" s="1098">
        <v>121840</v>
      </c>
      <c r="AL14" s="1098">
        <v>122278</v>
      </c>
      <c r="AM14" s="1098">
        <v>121604</v>
      </c>
      <c r="AN14" s="1097">
        <f t="shared" si="2"/>
        <v>1431255</v>
      </c>
      <c r="AO14" s="1098">
        <v>119574</v>
      </c>
      <c r="AP14" s="1098">
        <v>130953</v>
      </c>
      <c r="AQ14" s="1098">
        <v>125331.25</v>
      </c>
      <c r="AR14" s="1098">
        <v>130364</v>
      </c>
      <c r="AS14" s="1098">
        <v>126389.9</v>
      </c>
      <c r="AT14" s="1098">
        <v>124849</v>
      </c>
      <c r="AU14" s="1098">
        <v>124093</v>
      </c>
      <c r="AV14" s="1098">
        <v>124843.33</v>
      </c>
      <c r="AW14" s="1098">
        <v>127767</v>
      </c>
      <c r="AX14" s="1098">
        <v>126440</v>
      </c>
      <c r="AY14" s="1098">
        <v>129571</v>
      </c>
      <c r="AZ14" s="1098">
        <v>129297</v>
      </c>
      <c r="BA14" s="1097">
        <f t="shared" si="3"/>
        <v>1519472.48</v>
      </c>
      <c r="BB14" s="1098">
        <v>129068.95</v>
      </c>
      <c r="BC14" s="1098">
        <v>137881.4</v>
      </c>
      <c r="BD14" s="1098">
        <v>140041</v>
      </c>
      <c r="BE14" s="1098">
        <v>140905</v>
      </c>
      <c r="BF14" s="1098">
        <v>141660.65</v>
      </c>
      <c r="BG14" s="1098">
        <v>138765.29999999999</v>
      </c>
      <c r="BH14" s="1098">
        <v>129338.4</v>
      </c>
      <c r="BI14" s="1098">
        <v>132777</v>
      </c>
      <c r="BJ14" s="1098">
        <v>138590.95000000001</v>
      </c>
      <c r="BK14" s="1098">
        <v>139886.35</v>
      </c>
      <c r="BL14" s="1098">
        <v>146573.41</v>
      </c>
      <c r="BM14" s="1098">
        <v>146912.16</v>
      </c>
      <c r="BN14" s="1097">
        <f t="shared" si="4"/>
        <v>1662400.57</v>
      </c>
      <c r="BO14" s="1098">
        <v>142273.70000000001</v>
      </c>
      <c r="BP14" s="1098">
        <v>141620.06900000002</v>
      </c>
      <c r="BQ14" s="1098">
        <v>147748.5</v>
      </c>
      <c r="BR14" s="1098">
        <v>169029</v>
      </c>
      <c r="BS14" s="1098">
        <v>160741.20000000001</v>
      </c>
      <c r="BT14" s="1098">
        <v>162657.4</v>
      </c>
      <c r="BU14" s="1098">
        <v>163009</v>
      </c>
      <c r="BV14" s="1098">
        <v>174336</v>
      </c>
      <c r="BW14" s="1098">
        <v>165517</v>
      </c>
      <c r="BX14" s="1098">
        <v>175556.15999999997</v>
      </c>
      <c r="BY14" s="1098">
        <v>173748</v>
      </c>
      <c r="BZ14" s="1098">
        <v>189633.35</v>
      </c>
      <c r="CA14" s="1097">
        <f t="shared" si="5"/>
        <v>1965869.379</v>
      </c>
      <c r="CB14" s="1098">
        <v>152850</v>
      </c>
      <c r="CC14" s="1098">
        <v>153517</v>
      </c>
      <c r="CD14" s="1098">
        <v>158698</v>
      </c>
      <c r="CE14" s="1098">
        <v>163445</v>
      </c>
      <c r="CF14" s="1098">
        <v>159182</v>
      </c>
      <c r="CG14" s="1098">
        <v>163168</v>
      </c>
      <c r="CH14" s="1098">
        <v>163387</v>
      </c>
      <c r="CI14" s="1098">
        <v>161295</v>
      </c>
      <c r="CJ14" s="1098">
        <v>163730</v>
      </c>
      <c r="CK14" s="1098">
        <v>170122</v>
      </c>
      <c r="CL14" s="1098">
        <v>183164</v>
      </c>
      <c r="CM14" s="1098">
        <v>188973</v>
      </c>
      <c r="CN14" s="1097">
        <f t="shared" si="6"/>
        <v>1981531</v>
      </c>
      <c r="CO14" s="1098">
        <v>159884.75</v>
      </c>
      <c r="CP14" s="1098">
        <v>172903.5</v>
      </c>
      <c r="CQ14" s="1098">
        <v>172413</v>
      </c>
      <c r="CR14" s="1098">
        <v>179950.95</v>
      </c>
      <c r="CS14" s="1098">
        <v>165464</v>
      </c>
      <c r="CT14" s="1098">
        <v>172872</v>
      </c>
      <c r="CU14" s="1098">
        <v>171260.09999999998</v>
      </c>
      <c r="CV14" s="1098">
        <v>166827.5</v>
      </c>
      <c r="CW14" s="1098">
        <v>162098</v>
      </c>
      <c r="CX14" s="1098">
        <v>161007</v>
      </c>
      <c r="CY14" s="1098">
        <v>171526.57</v>
      </c>
      <c r="CZ14" s="1098">
        <v>199585</v>
      </c>
      <c r="DA14" s="1097">
        <f t="shared" si="7"/>
        <v>2055792.3699999999</v>
      </c>
      <c r="DB14" s="1098">
        <v>169937.05</v>
      </c>
      <c r="DC14" s="1098">
        <v>178856</v>
      </c>
      <c r="DD14" s="1098">
        <v>181715.9</v>
      </c>
      <c r="DE14" s="1098">
        <v>178202.35</v>
      </c>
      <c r="DF14" s="1098">
        <v>175395</v>
      </c>
      <c r="DG14" s="1098">
        <v>177175</v>
      </c>
      <c r="DH14" s="1098">
        <v>179560</v>
      </c>
      <c r="DI14" s="1098">
        <v>173716</v>
      </c>
      <c r="DJ14" s="1098">
        <v>170690</v>
      </c>
      <c r="DK14" s="1098">
        <v>174688</v>
      </c>
      <c r="DL14" s="1098">
        <v>189516</v>
      </c>
      <c r="DM14" s="1098">
        <v>194807</v>
      </c>
      <c r="DN14" s="1097">
        <f t="shared" si="8"/>
        <v>2144258.2999999998</v>
      </c>
      <c r="DO14" s="1098">
        <v>185598</v>
      </c>
      <c r="DP14" s="1098">
        <v>192863</v>
      </c>
      <c r="DQ14" s="1098">
        <v>197186</v>
      </c>
      <c r="DR14" s="1098">
        <v>196240</v>
      </c>
      <c r="DS14" s="1098">
        <v>185451</v>
      </c>
      <c r="DT14" s="1098">
        <v>197897</v>
      </c>
      <c r="DU14" s="1098">
        <v>187977</v>
      </c>
      <c r="DV14" s="1098">
        <v>196436</v>
      </c>
      <c r="DW14" s="1098">
        <v>194966</v>
      </c>
      <c r="DX14" s="1098">
        <v>197559</v>
      </c>
      <c r="DY14" s="1098">
        <v>210804</v>
      </c>
      <c r="DZ14" s="1098">
        <v>204446.25</v>
      </c>
      <c r="EA14" s="1097">
        <f t="shared" si="9"/>
        <v>2347423.25</v>
      </c>
      <c r="EB14" s="1098">
        <v>203172</v>
      </c>
      <c r="EC14" s="1098">
        <v>220780</v>
      </c>
      <c r="ED14" s="1098">
        <v>200916</v>
      </c>
      <c r="EE14" s="1098">
        <v>205579.65600000002</v>
      </c>
      <c r="EF14" s="1098">
        <v>191528</v>
      </c>
      <c r="EG14" s="1098">
        <v>198386</v>
      </c>
      <c r="EH14" s="1098">
        <v>222581</v>
      </c>
      <c r="EI14" s="1098">
        <v>200900</v>
      </c>
      <c r="EJ14" s="1098">
        <v>198920</v>
      </c>
      <c r="EK14" s="1098">
        <v>247688</v>
      </c>
      <c r="EL14" s="1098">
        <v>240591</v>
      </c>
      <c r="EM14" s="1098">
        <v>248039.7</v>
      </c>
      <c r="EN14" s="1097">
        <f t="shared" si="10"/>
        <v>2579081.3560000001</v>
      </c>
      <c r="EO14" s="1098">
        <v>242537.2</v>
      </c>
      <c r="EP14" s="1098">
        <v>243104.2</v>
      </c>
      <c r="EQ14" s="1098">
        <v>241176</v>
      </c>
      <c r="ER14" s="1098">
        <v>240184</v>
      </c>
      <c r="ES14" s="1098">
        <v>228737</v>
      </c>
      <c r="ET14" s="1098">
        <v>250777</v>
      </c>
      <c r="EU14" s="1098">
        <v>253406</v>
      </c>
      <c r="EV14" s="1098">
        <v>247722</v>
      </c>
      <c r="EW14" s="1098">
        <v>248607</v>
      </c>
      <c r="EX14" s="1098">
        <v>254366</v>
      </c>
      <c r="EY14" s="1098">
        <v>274406</v>
      </c>
      <c r="EZ14" s="1098">
        <v>275961.2</v>
      </c>
      <c r="FA14" s="1097">
        <f t="shared" si="11"/>
        <v>3000983.6</v>
      </c>
      <c r="FB14" s="1098">
        <v>259896</v>
      </c>
      <c r="FC14" s="1098">
        <v>251006</v>
      </c>
      <c r="FD14" s="1098">
        <v>250582</v>
      </c>
      <c r="FE14" s="1098">
        <v>240614</v>
      </c>
      <c r="FF14" s="1098">
        <v>266280</v>
      </c>
      <c r="FG14" s="1098">
        <v>243898</v>
      </c>
      <c r="FH14" s="1098">
        <v>246449</v>
      </c>
      <c r="FI14" s="1098">
        <v>254590</v>
      </c>
      <c r="FJ14" s="1098">
        <v>252658</v>
      </c>
      <c r="FK14" s="1098">
        <v>250098</v>
      </c>
      <c r="FL14" s="1098">
        <v>273352</v>
      </c>
      <c r="FM14" s="1098">
        <v>266765</v>
      </c>
      <c r="FN14" s="1097">
        <f t="shared" si="12"/>
        <v>3056188</v>
      </c>
      <c r="FO14" s="1098">
        <v>242015</v>
      </c>
      <c r="FP14" s="1098">
        <v>240172</v>
      </c>
      <c r="FQ14" s="1098">
        <v>235482</v>
      </c>
      <c r="FR14" s="1098">
        <v>227475</v>
      </c>
      <c r="FS14" s="1098">
        <v>232380</v>
      </c>
      <c r="FT14" s="1098">
        <v>225949</v>
      </c>
      <c r="FU14" s="1098">
        <v>223431</v>
      </c>
      <c r="FV14" s="1098">
        <v>224424</v>
      </c>
      <c r="FW14" s="1098">
        <v>216775</v>
      </c>
      <c r="FX14" s="1098">
        <v>220165</v>
      </c>
      <c r="FY14" s="1098">
        <v>244379</v>
      </c>
      <c r="FZ14" s="1098">
        <v>252151</v>
      </c>
      <c r="GA14" s="1097">
        <f t="shared" si="13"/>
        <v>2784798</v>
      </c>
      <c r="GB14" s="1098">
        <v>267060</v>
      </c>
      <c r="GC14" s="1098">
        <v>265168</v>
      </c>
      <c r="GD14" s="1098">
        <v>255577</v>
      </c>
      <c r="GE14" s="1098">
        <v>251876</v>
      </c>
      <c r="GF14" s="1098">
        <v>262218</v>
      </c>
      <c r="GG14" s="1098">
        <v>250707</v>
      </c>
      <c r="GH14" s="1098">
        <v>249818</v>
      </c>
      <c r="GI14" s="1098">
        <v>249091</v>
      </c>
      <c r="GJ14" s="1098">
        <v>246410</v>
      </c>
      <c r="GK14" s="1098">
        <v>254512</v>
      </c>
      <c r="GL14" s="1098">
        <v>275846</v>
      </c>
      <c r="GM14" s="1098">
        <v>283790</v>
      </c>
      <c r="GN14" s="1097">
        <f t="shared" si="14"/>
        <v>3112073</v>
      </c>
      <c r="GO14" s="1098">
        <v>261598</v>
      </c>
      <c r="GP14" s="1098">
        <v>264179</v>
      </c>
      <c r="GQ14" s="1098">
        <v>257798</v>
      </c>
      <c r="GR14" s="1098">
        <v>249060</v>
      </c>
      <c r="GS14" s="1098">
        <v>260676</v>
      </c>
      <c r="GT14" s="1098">
        <v>247181</v>
      </c>
      <c r="GU14" s="1098">
        <v>256319</v>
      </c>
      <c r="GV14" s="1098">
        <v>263974</v>
      </c>
      <c r="GW14" s="1098">
        <v>243294</v>
      </c>
      <c r="GX14" s="1098">
        <v>252253</v>
      </c>
      <c r="GY14" s="1098">
        <v>278378</v>
      </c>
      <c r="GZ14" s="1098">
        <v>283475</v>
      </c>
      <c r="HA14" s="1097">
        <f t="shared" si="15"/>
        <v>3118185</v>
      </c>
      <c r="HB14" s="1098">
        <v>267298</v>
      </c>
      <c r="HC14" s="1098">
        <v>260877</v>
      </c>
      <c r="HD14" s="1098">
        <v>258781</v>
      </c>
      <c r="HE14" s="1098">
        <v>250125</v>
      </c>
      <c r="HF14" s="1098">
        <v>257227</v>
      </c>
      <c r="HG14" s="1098">
        <v>241197</v>
      </c>
      <c r="HH14" s="1098">
        <v>246114</v>
      </c>
      <c r="HI14" s="1098">
        <v>239969</v>
      </c>
      <c r="HJ14" s="1098">
        <v>234974</v>
      </c>
      <c r="HK14" s="1098">
        <v>238500</v>
      </c>
      <c r="HL14" s="1098">
        <v>263696</v>
      </c>
      <c r="HM14" s="1098">
        <v>272757</v>
      </c>
      <c r="HN14" s="1097">
        <f t="shared" si="16"/>
        <v>3031515</v>
      </c>
      <c r="HO14" s="1098">
        <v>266984</v>
      </c>
      <c r="HP14" s="1098">
        <v>276315</v>
      </c>
      <c r="HQ14" s="1098">
        <v>275591</v>
      </c>
      <c r="HR14" s="1098">
        <v>272058</v>
      </c>
      <c r="HS14" s="1098">
        <v>276869</v>
      </c>
      <c r="HT14" s="1098">
        <v>258281</v>
      </c>
      <c r="HU14" s="1098">
        <v>262538</v>
      </c>
      <c r="HV14" s="1098">
        <v>256140</v>
      </c>
      <c r="HW14" s="1098">
        <v>242677</v>
      </c>
      <c r="HX14" s="1098">
        <v>251851.53</v>
      </c>
      <c r="HY14" s="1098">
        <v>281709</v>
      </c>
      <c r="HZ14" s="1098">
        <v>303628</v>
      </c>
      <c r="IA14" s="1097">
        <f t="shared" si="17"/>
        <v>3224641.53</v>
      </c>
      <c r="IB14" s="1098">
        <v>292878</v>
      </c>
      <c r="IC14" s="1098">
        <v>298936</v>
      </c>
      <c r="ID14" s="1098">
        <v>274399</v>
      </c>
      <c r="IE14" s="1098">
        <v>290042</v>
      </c>
      <c r="IF14" s="1098">
        <v>276496</v>
      </c>
      <c r="IG14" s="1098">
        <v>250988</v>
      </c>
      <c r="IH14" s="1098">
        <v>237605</v>
      </c>
      <c r="II14" s="1098">
        <v>235670</v>
      </c>
      <c r="IJ14" s="1098">
        <v>240286</v>
      </c>
      <c r="IK14" s="1098">
        <v>247316</v>
      </c>
      <c r="IL14" s="1098">
        <v>281343</v>
      </c>
      <c r="IM14" s="1098">
        <v>309424</v>
      </c>
      <c r="IN14" s="1097">
        <v>3235383</v>
      </c>
      <c r="IO14" s="1098">
        <v>299286</v>
      </c>
      <c r="IP14" s="1098">
        <v>298076</v>
      </c>
      <c r="IQ14" s="1098">
        <v>306818</v>
      </c>
      <c r="IR14" s="1098">
        <v>305658</v>
      </c>
      <c r="IS14" s="1098">
        <v>308726</v>
      </c>
      <c r="IT14" s="1098">
        <v>274790</v>
      </c>
      <c r="IU14" s="1098">
        <v>265272</v>
      </c>
      <c r="IV14" s="1098">
        <v>258848</v>
      </c>
      <c r="IW14" s="1098">
        <v>258986</v>
      </c>
      <c r="IX14" s="1098">
        <v>276567</v>
      </c>
      <c r="IY14" s="1098">
        <v>316038</v>
      </c>
      <c r="IZ14" s="1098">
        <v>319028</v>
      </c>
      <c r="JA14" s="1097">
        <v>3488093</v>
      </c>
      <c r="JB14" s="1098">
        <v>265844</v>
      </c>
      <c r="JC14" s="1098">
        <v>293506</v>
      </c>
      <c r="JD14" s="1098"/>
      <c r="JE14" s="1098"/>
      <c r="JF14" s="1098"/>
      <c r="JG14" s="1098"/>
      <c r="JH14" s="1098"/>
      <c r="JI14" s="1098"/>
      <c r="JJ14" s="1098"/>
      <c r="JK14" s="1098"/>
      <c r="JL14" s="1098"/>
      <c r="JM14" s="1098"/>
      <c r="JN14" s="1097">
        <f t="shared" si="18"/>
        <v>559350</v>
      </c>
      <c r="JP14" s="1174">
        <f t="shared" si="42"/>
        <v>3.1038316355550988</v>
      </c>
      <c r="JQ14" s="1175">
        <f t="shared" si="43"/>
        <v>7.8108217790598511</v>
      </c>
      <c r="JR14" s="1184">
        <f t="shared" si="44"/>
        <v>3235383</v>
      </c>
      <c r="JS14" s="1185">
        <f t="shared" si="45"/>
        <v>3488093</v>
      </c>
      <c r="JT14" s="1"/>
      <c r="JU14" s="1079">
        <f t="shared" si="46"/>
        <v>97941961.670000017</v>
      </c>
      <c r="JV14" s="1080" t="s">
        <v>574</v>
      </c>
      <c r="JW14" s="1081" t="str">
        <f t="shared" si="47"/>
        <v>OK</v>
      </c>
    </row>
    <row r="15" spans="1:283" ht="15" customHeight="1" x14ac:dyDescent="0.2">
      <c r="A15" s="1166" t="s">
        <v>47</v>
      </c>
      <c r="B15" s="1098"/>
      <c r="C15" s="1098"/>
      <c r="D15" s="1098"/>
      <c r="E15" s="1098"/>
      <c r="F15" s="1098"/>
      <c r="G15" s="1098"/>
      <c r="H15" s="1098"/>
      <c r="I15" s="1098"/>
      <c r="J15" s="1098"/>
      <c r="K15" s="1098"/>
      <c r="L15" s="1098"/>
      <c r="M15" s="1098"/>
      <c r="N15" s="1097">
        <f t="shared" si="0"/>
        <v>0</v>
      </c>
      <c r="O15" s="1098"/>
      <c r="P15" s="1098"/>
      <c r="Q15" s="1098"/>
      <c r="R15" s="1098"/>
      <c r="S15" s="1098"/>
      <c r="T15" s="1098"/>
      <c r="U15" s="1098"/>
      <c r="V15" s="1098"/>
      <c r="W15" s="1098"/>
      <c r="X15" s="1098"/>
      <c r="Y15" s="1098"/>
      <c r="Z15" s="1098"/>
      <c r="AA15" s="1097">
        <f t="shared" si="1"/>
        <v>0</v>
      </c>
      <c r="AB15" s="1098"/>
      <c r="AC15" s="1098"/>
      <c r="AD15" s="1098"/>
      <c r="AE15" s="1098"/>
      <c r="AF15" s="1098"/>
      <c r="AG15" s="1098"/>
      <c r="AH15" s="1098"/>
      <c r="AI15" s="1098"/>
      <c r="AJ15" s="1098"/>
      <c r="AK15" s="1098"/>
      <c r="AL15" s="1098"/>
      <c r="AM15" s="1098"/>
      <c r="AN15" s="1097">
        <f t="shared" si="2"/>
        <v>0</v>
      </c>
      <c r="AO15" s="1098"/>
      <c r="AP15" s="1098"/>
      <c r="AQ15" s="1098"/>
      <c r="AR15" s="1098"/>
      <c r="AS15" s="1098"/>
      <c r="AT15" s="1098">
        <v>2</v>
      </c>
      <c r="AU15" s="1098"/>
      <c r="AV15" s="1098"/>
      <c r="AW15" s="1098"/>
      <c r="AX15" s="1098"/>
      <c r="AY15" s="1098"/>
      <c r="AZ15" s="1098"/>
      <c r="BA15" s="1097">
        <f t="shared" si="3"/>
        <v>2</v>
      </c>
      <c r="BB15" s="1098"/>
      <c r="BC15" s="1098"/>
      <c r="BD15" s="1098"/>
      <c r="BE15" s="1098"/>
      <c r="BF15" s="1098"/>
      <c r="BG15" s="1098"/>
      <c r="BH15" s="1098"/>
      <c r="BI15" s="1098"/>
      <c r="BJ15" s="1098"/>
      <c r="BK15" s="1098"/>
      <c r="BL15" s="1098"/>
      <c r="BM15" s="1098"/>
      <c r="BN15" s="1097">
        <f t="shared" si="4"/>
        <v>0</v>
      </c>
      <c r="BO15" s="1098"/>
      <c r="BP15" s="1098"/>
      <c r="BQ15" s="1098"/>
      <c r="BR15" s="1098"/>
      <c r="BS15" s="1098"/>
      <c r="BT15" s="1098"/>
      <c r="BU15" s="1098"/>
      <c r="BV15" s="1098"/>
      <c r="BW15" s="1098"/>
      <c r="BX15" s="1098"/>
      <c r="BY15" s="1098"/>
      <c r="BZ15" s="1098"/>
      <c r="CA15" s="1097">
        <f t="shared" si="5"/>
        <v>0</v>
      </c>
      <c r="CB15" s="1098"/>
      <c r="CC15" s="1098"/>
      <c r="CD15" s="1098"/>
      <c r="CE15" s="1098"/>
      <c r="CF15" s="1098"/>
      <c r="CG15" s="1098"/>
      <c r="CH15" s="1098"/>
      <c r="CI15" s="1098"/>
      <c r="CJ15" s="1098"/>
      <c r="CK15" s="1098"/>
      <c r="CL15" s="1098"/>
      <c r="CM15" s="1098"/>
      <c r="CN15" s="1097">
        <f t="shared" si="6"/>
        <v>0</v>
      </c>
      <c r="CO15" s="1098"/>
      <c r="CP15" s="1098"/>
      <c r="CQ15" s="1098"/>
      <c r="CR15" s="1098"/>
      <c r="CS15" s="1098"/>
      <c r="CT15" s="1098"/>
      <c r="CU15" s="1098"/>
      <c r="CV15" s="1098"/>
      <c r="CW15" s="1098"/>
      <c r="CX15" s="1098"/>
      <c r="CY15" s="1098"/>
      <c r="CZ15" s="1098"/>
      <c r="DA15" s="1097">
        <f t="shared" si="7"/>
        <v>0</v>
      </c>
      <c r="DB15" s="1098"/>
      <c r="DC15" s="1098"/>
      <c r="DD15" s="1098"/>
      <c r="DE15" s="1098"/>
      <c r="DF15" s="1098"/>
      <c r="DG15" s="1098"/>
      <c r="DH15" s="1098"/>
      <c r="DI15" s="1098"/>
      <c r="DJ15" s="1098"/>
      <c r="DK15" s="1098"/>
      <c r="DL15" s="1098"/>
      <c r="DM15" s="1098"/>
      <c r="DN15" s="1097">
        <f t="shared" si="8"/>
        <v>0</v>
      </c>
      <c r="DO15" s="1098"/>
      <c r="DP15" s="1098"/>
      <c r="DQ15" s="1098"/>
      <c r="DR15" s="1098"/>
      <c r="DS15" s="1098"/>
      <c r="DT15" s="1098"/>
      <c r="DU15" s="1098"/>
      <c r="DV15" s="1098"/>
      <c r="DW15" s="1098"/>
      <c r="DX15" s="1098"/>
      <c r="DY15" s="1098"/>
      <c r="DZ15" s="1098"/>
      <c r="EA15" s="1097">
        <f t="shared" si="9"/>
        <v>0</v>
      </c>
      <c r="EB15" s="1098"/>
      <c r="EC15" s="1098"/>
      <c r="ED15" s="1098"/>
      <c r="EE15" s="1098"/>
      <c r="EF15" s="1098"/>
      <c r="EG15" s="1098"/>
      <c r="EH15" s="1098"/>
      <c r="EI15" s="1098"/>
      <c r="EJ15" s="1098"/>
      <c r="EK15" s="1098"/>
      <c r="EL15" s="1098"/>
      <c r="EM15" s="1098"/>
      <c r="EN15" s="1097">
        <f t="shared" si="10"/>
        <v>0</v>
      </c>
      <c r="EO15" s="1098"/>
      <c r="EP15" s="1098"/>
      <c r="EQ15" s="1098"/>
      <c r="ER15" s="1098"/>
      <c r="ES15" s="1098"/>
      <c r="ET15" s="1098"/>
      <c r="EU15" s="1098"/>
      <c r="EV15" s="1098"/>
      <c r="EW15" s="1098"/>
      <c r="EX15" s="1098"/>
      <c r="EY15" s="1098"/>
      <c r="EZ15" s="1098"/>
      <c r="FA15" s="1097">
        <f t="shared" si="11"/>
        <v>0</v>
      </c>
      <c r="FB15" s="1098"/>
      <c r="FC15" s="1098"/>
      <c r="FD15" s="1098"/>
      <c r="FE15" s="1098"/>
      <c r="FF15" s="1098"/>
      <c r="FG15" s="1098"/>
      <c r="FH15" s="1098"/>
      <c r="FI15" s="1098"/>
      <c r="FJ15" s="1098"/>
      <c r="FK15" s="1098"/>
      <c r="FL15" s="1098"/>
      <c r="FM15" s="1098"/>
      <c r="FN15" s="1097">
        <f t="shared" si="12"/>
        <v>0</v>
      </c>
      <c r="FO15" s="1098"/>
      <c r="FP15" s="1098"/>
      <c r="FQ15" s="1098"/>
      <c r="FR15" s="1098"/>
      <c r="FS15" s="1098"/>
      <c r="FT15" s="1098"/>
      <c r="FU15" s="1098"/>
      <c r="FV15" s="1098"/>
      <c r="FW15" s="1098"/>
      <c r="FX15" s="1098"/>
      <c r="FY15" s="1098"/>
      <c r="FZ15" s="1098"/>
      <c r="GA15" s="1097">
        <f t="shared" si="13"/>
        <v>0</v>
      </c>
      <c r="GB15" s="1098"/>
      <c r="GC15" s="1098"/>
      <c r="GD15" s="1098"/>
      <c r="GE15" s="1098"/>
      <c r="GF15" s="1098"/>
      <c r="GG15" s="1098"/>
      <c r="GH15" s="1098"/>
      <c r="GI15" s="1098"/>
      <c r="GJ15" s="1098"/>
      <c r="GK15" s="1098"/>
      <c r="GL15" s="1098">
        <v>1</v>
      </c>
      <c r="GM15" s="1098"/>
      <c r="GN15" s="1097">
        <f t="shared" si="14"/>
        <v>1</v>
      </c>
      <c r="GO15" s="1098"/>
      <c r="GP15" s="1098"/>
      <c r="GQ15" s="1098"/>
      <c r="GR15" s="1098"/>
      <c r="GS15" s="1098">
        <v>2.5</v>
      </c>
      <c r="GT15" s="1098"/>
      <c r="GU15" s="1098"/>
      <c r="GV15" s="1098"/>
      <c r="GW15" s="1098"/>
      <c r="GX15" s="1098"/>
      <c r="GY15" s="1098"/>
      <c r="GZ15" s="1098">
        <v>0.3</v>
      </c>
      <c r="HA15" s="1097">
        <f t="shared" si="15"/>
        <v>2.8</v>
      </c>
      <c r="HB15" s="1098"/>
      <c r="HC15" s="1098"/>
      <c r="HD15" s="1098"/>
      <c r="HE15" s="1098"/>
      <c r="HF15" s="1098">
        <v>1.5</v>
      </c>
      <c r="HG15" s="1098">
        <v>1</v>
      </c>
      <c r="HH15" s="1098"/>
      <c r="HI15" s="1098"/>
      <c r="HJ15" s="1098"/>
      <c r="HK15" s="1098">
        <v>10.8</v>
      </c>
      <c r="HL15" s="1098"/>
      <c r="HM15" s="1098">
        <v>0.3</v>
      </c>
      <c r="HN15" s="1097">
        <f t="shared" si="16"/>
        <v>13.600000000000001</v>
      </c>
      <c r="HO15" s="1098"/>
      <c r="HP15" s="1098">
        <v>11</v>
      </c>
      <c r="HQ15" s="1098">
        <v>5</v>
      </c>
      <c r="HR15" s="1098">
        <v>24</v>
      </c>
      <c r="HS15" s="1098"/>
      <c r="HT15" s="1098">
        <v>2</v>
      </c>
      <c r="HU15" s="1098"/>
      <c r="HV15" s="1098">
        <v>2</v>
      </c>
      <c r="HW15" s="1098"/>
      <c r="HX15" s="1098">
        <v>8.5</v>
      </c>
      <c r="HY15" s="1098"/>
      <c r="HZ15" s="1098"/>
      <c r="IA15" s="1097">
        <f t="shared" si="17"/>
        <v>52.5</v>
      </c>
      <c r="IB15" s="1098">
        <v>0</v>
      </c>
      <c r="IC15" s="1098">
        <v>0</v>
      </c>
      <c r="ID15" s="1098">
        <v>0</v>
      </c>
      <c r="IE15" s="1098">
        <v>0</v>
      </c>
      <c r="IF15" s="1098">
        <v>0</v>
      </c>
      <c r="IG15" s="1098">
        <v>4</v>
      </c>
      <c r="IH15" s="1098">
        <v>2</v>
      </c>
      <c r="II15" s="1098">
        <v>0</v>
      </c>
      <c r="IJ15" s="1098">
        <v>0</v>
      </c>
      <c r="IK15" s="1098">
        <v>0</v>
      </c>
      <c r="IL15" s="1098">
        <v>0</v>
      </c>
      <c r="IM15" s="1098">
        <v>4</v>
      </c>
      <c r="IN15" s="1097">
        <v>10</v>
      </c>
      <c r="IO15" s="1098">
        <v>0</v>
      </c>
      <c r="IP15" s="1098">
        <v>0</v>
      </c>
      <c r="IQ15" s="1098">
        <v>0</v>
      </c>
      <c r="IR15" s="1098">
        <v>0</v>
      </c>
      <c r="IS15" s="1098">
        <v>0</v>
      </c>
      <c r="IT15" s="1098">
        <v>4</v>
      </c>
      <c r="IU15" s="1098">
        <v>4</v>
      </c>
      <c r="IV15" s="1098">
        <v>0</v>
      </c>
      <c r="IW15" s="1098">
        <v>0</v>
      </c>
      <c r="IX15" s="1098">
        <v>0</v>
      </c>
      <c r="IY15" s="1098">
        <v>0</v>
      </c>
      <c r="IZ15" s="1098">
        <v>4</v>
      </c>
      <c r="JA15" s="1097">
        <v>12</v>
      </c>
      <c r="JB15" s="1098">
        <v>0</v>
      </c>
      <c r="JC15" s="1098">
        <v>0</v>
      </c>
      <c r="JD15" s="1098"/>
      <c r="JE15" s="1098"/>
      <c r="JF15" s="1098"/>
      <c r="JG15" s="1098"/>
      <c r="JH15" s="1098"/>
      <c r="JI15" s="1098"/>
      <c r="JJ15" s="1098"/>
      <c r="JK15" s="1098"/>
      <c r="JL15" s="1098"/>
      <c r="JM15" s="1098"/>
      <c r="JN15" s="1097">
        <f t="shared" si="18"/>
        <v>0</v>
      </c>
      <c r="JP15" s="1174">
        <f t="shared" si="42"/>
        <v>0</v>
      </c>
      <c r="JQ15" s="1175">
        <f t="shared" si="43"/>
        <v>19.999999999999996</v>
      </c>
      <c r="JR15" s="1184">
        <f t="shared" si="44"/>
        <v>10</v>
      </c>
      <c r="JS15" s="1185">
        <f t="shared" si="45"/>
        <v>12</v>
      </c>
      <c r="JT15" s="1"/>
      <c r="JU15" s="1079">
        <f t="shared" si="46"/>
        <v>187.8</v>
      </c>
      <c r="JV15" s="1080" t="s">
        <v>47</v>
      </c>
      <c r="JW15" s="1081" t="str">
        <f t="shared" si="47"/>
        <v>OK</v>
      </c>
    </row>
    <row r="16" spans="1:283" ht="15" customHeight="1" x14ac:dyDescent="0.2">
      <c r="A16" s="1166" t="s">
        <v>31</v>
      </c>
      <c r="B16" s="1098">
        <v>459</v>
      </c>
      <c r="C16" s="1098">
        <v>1189</v>
      </c>
      <c r="D16" s="1098">
        <v>942</v>
      </c>
      <c r="E16" s="1098">
        <v>11</v>
      </c>
      <c r="F16" s="1098"/>
      <c r="G16" s="1098"/>
      <c r="H16" s="1098"/>
      <c r="I16" s="1098"/>
      <c r="J16" s="1098"/>
      <c r="K16" s="1098"/>
      <c r="L16" s="1098"/>
      <c r="M16" s="1098"/>
      <c r="N16" s="1097">
        <f t="shared" si="0"/>
        <v>2601</v>
      </c>
      <c r="O16" s="1098">
        <v>598</v>
      </c>
      <c r="P16" s="1098">
        <v>1226</v>
      </c>
      <c r="Q16" s="1098">
        <v>689</v>
      </c>
      <c r="R16" s="1098">
        <v>3</v>
      </c>
      <c r="S16" s="1098"/>
      <c r="T16" s="1098"/>
      <c r="U16" s="1098"/>
      <c r="V16" s="1098"/>
      <c r="W16" s="1098"/>
      <c r="X16" s="1098"/>
      <c r="Y16" s="1098"/>
      <c r="Z16" s="1098">
        <v>1</v>
      </c>
      <c r="AA16" s="1097">
        <f t="shared" si="1"/>
        <v>2517</v>
      </c>
      <c r="AB16" s="1098">
        <v>399</v>
      </c>
      <c r="AC16" s="1098">
        <v>1019</v>
      </c>
      <c r="AD16" s="1098">
        <v>198</v>
      </c>
      <c r="AE16" s="1098">
        <v>17</v>
      </c>
      <c r="AF16" s="1098"/>
      <c r="AG16" s="1098"/>
      <c r="AH16" s="1098"/>
      <c r="AI16" s="1098"/>
      <c r="AJ16" s="1098"/>
      <c r="AK16" s="1098"/>
      <c r="AL16" s="1098"/>
      <c r="AM16" s="1098">
        <v>54</v>
      </c>
      <c r="AN16" s="1097">
        <f t="shared" si="2"/>
        <v>1687</v>
      </c>
      <c r="AO16" s="1098">
        <v>413</v>
      </c>
      <c r="AP16" s="1098">
        <v>1113</v>
      </c>
      <c r="AQ16" s="1098">
        <v>191</v>
      </c>
      <c r="AR16" s="1098">
        <v>25</v>
      </c>
      <c r="AS16" s="1098"/>
      <c r="AT16" s="1098"/>
      <c r="AU16" s="1098"/>
      <c r="AV16" s="1098"/>
      <c r="AW16" s="1098"/>
      <c r="AX16" s="1098"/>
      <c r="AY16" s="1098"/>
      <c r="AZ16" s="1098">
        <v>9</v>
      </c>
      <c r="BA16" s="1097">
        <f t="shared" si="3"/>
        <v>1751</v>
      </c>
      <c r="BB16" s="1098">
        <v>320</v>
      </c>
      <c r="BC16" s="1098">
        <v>650</v>
      </c>
      <c r="BD16" s="1098">
        <v>256</v>
      </c>
      <c r="BE16" s="1098">
        <v>13</v>
      </c>
      <c r="BF16" s="1098"/>
      <c r="BG16" s="1098"/>
      <c r="BH16" s="1098"/>
      <c r="BI16" s="1098"/>
      <c r="BJ16" s="1098"/>
      <c r="BK16" s="1098"/>
      <c r="BL16" s="1098"/>
      <c r="BM16" s="1098"/>
      <c r="BN16" s="1097">
        <f t="shared" si="4"/>
        <v>1239</v>
      </c>
      <c r="BO16" s="1098">
        <v>292</v>
      </c>
      <c r="BP16" s="1098">
        <v>655</v>
      </c>
      <c r="BQ16" s="1098">
        <v>287</v>
      </c>
      <c r="BR16" s="1098">
        <v>3</v>
      </c>
      <c r="BS16" s="1098"/>
      <c r="BT16" s="1098"/>
      <c r="BU16" s="1098"/>
      <c r="BV16" s="1098"/>
      <c r="BW16" s="1098"/>
      <c r="BX16" s="1098"/>
      <c r="BY16" s="1098">
        <v>1</v>
      </c>
      <c r="BZ16" s="1098">
        <v>34</v>
      </c>
      <c r="CA16" s="1097">
        <f t="shared" si="5"/>
        <v>1272</v>
      </c>
      <c r="CB16" s="1098">
        <v>359</v>
      </c>
      <c r="CC16" s="1098">
        <v>295</v>
      </c>
      <c r="CD16" s="1098">
        <v>68</v>
      </c>
      <c r="CE16" s="1098">
        <v>5</v>
      </c>
      <c r="CF16" s="1098">
        <v>1</v>
      </c>
      <c r="CG16" s="1098">
        <v>2</v>
      </c>
      <c r="CH16" s="1098"/>
      <c r="CI16" s="1098"/>
      <c r="CJ16" s="1098"/>
      <c r="CK16" s="1098"/>
      <c r="CL16" s="1098"/>
      <c r="CM16" s="1098">
        <v>9</v>
      </c>
      <c r="CN16" s="1097">
        <f t="shared" si="6"/>
        <v>739</v>
      </c>
      <c r="CO16" s="1098">
        <v>128</v>
      </c>
      <c r="CP16" s="1098">
        <v>468</v>
      </c>
      <c r="CQ16" s="1098">
        <v>168</v>
      </c>
      <c r="CR16" s="1098">
        <v>11</v>
      </c>
      <c r="CS16" s="1098">
        <v>5</v>
      </c>
      <c r="CT16" s="1098"/>
      <c r="CU16" s="1098"/>
      <c r="CV16" s="1098"/>
      <c r="CW16" s="1098"/>
      <c r="CX16" s="1098"/>
      <c r="CY16" s="1098"/>
      <c r="CZ16" s="1098"/>
      <c r="DA16" s="1097">
        <f t="shared" si="7"/>
        <v>780</v>
      </c>
      <c r="DB16" s="1098">
        <v>300</v>
      </c>
      <c r="DC16" s="1098">
        <v>497</v>
      </c>
      <c r="DD16" s="1098">
        <v>170</v>
      </c>
      <c r="DE16" s="1098">
        <v>31</v>
      </c>
      <c r="DF16" s="1098">
        <v>7</v>
      </c>
      <c r="DG16" s="1098"/>
      <c r="DH16" s="1098"/>
      <c r="DI16" s="1098"/>
      <c r="DJ16" s="1098"/>
      <c r="DK16" s="1098">
        <v>31</v>
      </c>
      <c r="DL16" s="1098">
        <v>39</v>
      </c>
      <c r="DM16" s="1098">
        <v>34</v>
      </c>
      <c r="DN16" s="1097">
        <f t="shared" si="8"/>
        <v>1109</v>
      </c>
      <c r="DO16" s="1098">
        <v>313</v>
      </c>
      <c r="DP16" s="1098">
        <v>579</v>
      </c>
      <c r="DQ16" s="1098">
        <v>198</v>
      </c>
      <c r="DR16" s="1098">
        <v>29</v>
      </c>
      <c r="DS16" s="1098">
        <v>3</v>
      </c>
      <c r="DT16" s="1098"/>
      <c r="DU16" s="1098"/>
      <c r="DV16" s="1098"/>
      <c r="DW16" s="1098"/>
      <c r="DX16" s="1098"/>
      <c r="DY16" s="1098"/>
      <c r="DZ16" s="1098">
        <v>1</v>
      </c>
      <c r="EA16" s="1097">
        <f t="shared" si="9"/>
        <v>1123</v>
      </c>
      <c r="EB16" s="1098">
        <v>276</v>
      </c>
      <c r="EC16" s="1098">
        <v>493</v>
      </c>
      <c r="ED16" s="1098">
        <v>136</v>
      </c>
      <c r="EE16" s="1098">
        <v>9</v>
      </c>
      <c r="EF16" s="1098">
        <v>6</v>
      </c>
      <c r="EG16" s="1098"/>
      <c r="EH16" s="1098"/>
      <c r="EI16" s="1098"/>
      <c r="EJ16" s="1098"/>
      <c r="EK16" s="1098"/>
      <c r="EL16" s="1098"/>
      <c r="EM16" s="1098">
        <v>2</v>
      </c>
      <c r="EN16" s="1097">
        <f t="shared" si="10"/>
        <v>922</v>
      </c>
      <c r="EO16" s="1098">
        <v>126</v>
      </c>
      <c r="EP16" s="1098">
        <v>479</v>
      </c>
      <c r="EQ16" s="1098">
        <v>199</v>
      </c>
      <c r="ER16" s="1098">
        <v>31</v>
      </c>
      <c r="ES16" s="1098">
        <v>3</v>
      </c>
      <c r="ET16" s="1098">
        <v>1</v>
      </c>
      <c r="EU16" s="1098"/>
      <c r="EV16" s="1098"/>
      <c r="EW16" s="1098"/>
      <c r="EX16" s="1098"/>
      <c r="EY16" s="1098"/>
      <c r="EZ16" s="1098">
        <v>3</v>
      </c>
      <c r="FA16" s="1097">
        <f t="shared" si="11"/>
        <v>842</v>
      </c>
      <c r="FB16" s="1098">
        <v>149</v>
      </c>
      <c r="FC16" s="1098">
        <v>450</v>
      </c>
      <c r="FD16" s="1098">
        <v>239</v>
      </c>
      <c r="FE16" s="1098">
        <v>42</v>
      </c>
      <c r="FF16" s="1098">
        <v>5</v>
      </c>
      <c r="FG16" s="1098">
        <v>2</v>
      </c>
      <c r="FH16" s="1098"/>
      <c r="FI16" s="1098"/>
      <c r="FJ16" s="1098"/>
      <c r="FK16" s="1098"/>
      <c r="FL16" s="1098"/>
      <c r="FM16" s="1098">
        <v>2</v>
      </c>
      <c r="FN16" s="1097">
        <f t="shared" si="12"/>
        <v>889</v>
      </c>
      <c r="FO16" s="1098">
        <v>142</v>
      </c>
      <c r="FP16" s="1098">
        <v>342</v>
      </c>
      <c r="FQ16" s="1098">
        <v>201</v>
      </c>
      <c r="FR16" s="1098">
        <v>57</v>
      </c>
      <c r="FS16" s="1098">
        <v>5</v>
      </c>
      <c r="FT16" s="1098">
        <v>1</v>
      </c>
      <c r="FU16" s="1098"/>
      <c r="FV16" s="1098"/>
      <c r="FW16" s="1098"/>
      <c r="FX16" s="1098"/>
      <c r="FY16" s="1098"/>
      <c r="FZ16" s="1098">
        <v>8</v>
      </c>
      <c r="GA16" s="1097">
        <f t="shared" si="13"/>
        <v>756</v>
      </c>
      <c r="GB16" s="1098">
        <v>87</v>
      </c>
      <c r="GC16" s="1098">
        <v>230</v>
      </c>
      <c r="GD16" s="1098">
        <v>272</v>
      </c>
      <c r="GE16" s="1098">
        <v>163</v>
      </c>
      <c r="GF16" s="1098">
        <v>19.3</v>
      </c>
      <c r="GG16" s="1098">
        <v>17</v>
      </c>
      <c r="GH16" s="1098">
        <v>3</v>
      </c>
      <c r="GI16" s="1098">
        <v>2</v>
      </c>
      <c r="GJ16" s="1098">
        <v>2</v>
      </c>
      <c r="GK16" s="1098">
        <v>2</v>
      </c>
      <c r="GL16" s="1098">
        <v>2</v>
      </c>
      <c r="GM16" s="1098">
        <v>167</v>
      </c>
      <c r="GN16" s="1097">
        <f t="shared" si="14"/>
        <v>966.3</v>
      </c>
      <c r="GO16" s="1098">
        <v>144</v>
      </c>
      <c r="GP16" s="1098">
        <v>445</v>
      </c>
      <c r="GQ16" s="1098">
        <v>299.5</v>
      </c>
      <c r="GR16" s="1098">
        <v>23</v>
      </c>
      <c r="GS16" s="1098">
        <v>4.8</v>
      </c>
      <c r="GT16" s="1098">
        <v>0.75</v>
      </c>
      <c r="GU16" s="1098"/>
      <c r="GV16" s="1098"/>
      <c r="GW16" s="1098"/>
      <c r="GX16" s="1098"/>
      <c r="GY16" s="1098"/>
      <c r="GZ16" s="1098"/>
      <c r="HA16" s="1097">
        <f t="shared" si="15"/>
        <v>917.05</v>
      </c>
      <c r="HB16" s="1098">
        <v>125</v>
      </c>
      <c r="HC16" s="1098">
        <v>406</v>
      </c>
      <c r="HD16" s="1098">
        <v>248</v>
      </c>
      <c r="HE16" s="1098">
        <v>11</v>
      </c>
      <c r="HF16" s="1098"/>
      <c r="HG16" s="1098"/>
      <c r="HH16" s="1098"/>
      <c r="HI16" s="1098"/>
      <c r="HJ16" s="1098"/>
      <c r="HK16" s="1098"/>
      <c r="HL16" s="1098">
        <v>7.5</v>
      </c>
      <c r="HM16" s="1098">
        <v>6.8</v>
      </c>
      <c r="HN16" s="1097">
        <f t="shared" si="16"/>
        <v>804.3</v>
      </c>
      <c r="HO16" s="1098">
        <v>123</v>
      </c>
      <c r="HP16" s="1098">
        <v>349</v>
      </c>
      <c r="HQ16" s="1098">
        <v>265</v>
      </c>
      <c r="HR16" s="1098">
        <v>84</v>
      </c>
      <c r="HS16" s="1098">
        <v>10</v>
      </c>
      <c r="HT16" s="1098"/>
      <c r="HU16" s="1098"/>
      <c r="HV16" s="1098"/>
      <c r="HW16" s="1098"/>
      <c r="HX16" s="1098"/>
      <c r="HY16" s="1098">
        <v>37</v>
      </c>
      <c r="HZ16" s="1098">
        <v>20</v>
      </c>
      <c r="IA16" s="1097">
        <f t="shared" si="17"/>
        <v>888</v>
      </c>
      <c r="IB16" s="1098">
        <v>196</v>
      </c>
      <c r="IC16" s="1098">
        <v>426</v>
      </c>
      <c r="ID16" s="1098">
        <v>232</v>
      </c>
      <c r="IE16" s="1098">
        <v>19</v>
      </c>
      <c r="IF16" s="1098">
        <v>0</v>
      </c>
      <c r="IG16" s="1098">
        <v>0</v>
      </c>
      <c r="IH16" s="1098">
        <v>0</v>
      </c>
      <c r="II16" s="1098">
        <v>0</v>
      </c>
      <c r="IJ16" s="1098">
        <v>0</v>
      </c>
      <c r="IK16" s="1098">
        <v>0</v>
      </c>
      <c r="IL16" s="1098">
        <v>0</v>
      </c>
      <c r="IM16" s="1098">
        <v>0</v>
      </c>
      <c r="IN16" s="1097">
        <v>873</v>
      </c>
      <c r="IO16" s="1098">
        <v>85</v>
      </c>
      <c r="IP16" s="1098">
        <v>350</v>
      </c>
      <c r="IQ16" s="1098">
        <v>151</v>
      </c>
      <c r="IR16" s="1098">
        <v>23</v>
      </c>
      <c r="IS16" s="1098">
        <v>5</v>
      </c>
      <c r="IT16" s="1098">
        <v>0</v>
      </c>
      <c r="IU16" s="1098">
        <v>0</v>
      </c>
      <c r="IV16" s="1098">
        <v>0</v>
      </c>
      <c r="IW16" s="1098">
        <v>0</v>
      </c>
      <c r="IX16" s="1098">
        <v>0</v>
      </c>
      <c r="IY16" s="1098">
        <v>0</v>
      </c>
      <c r="IZ16" s="1098">
        <v>0</v>
      </c>
      <c r="JA16" s="1097">
        <v>614</v>
      </c>
      <c r="JB16" s="1098">
        <v>142</v>
      </c>
      <c r="JC16" s="1098">
        <v>336</v>
      </c>
      <c r="JD16" s="1098"/>
      <c r="JE16" s="1098"/>
      <c r="JF16" s="1098"/>
      <c r="JG16" s="1098"/>
      <c r="JH16" s="1098"/>
      <c r="JI16" s="1098"/>
      <c r="JJ16" s="1098"/>
      <c r="JK16" s="1098"/>
      <c r="JL16" s="1098"/>
      <c r="JM16" s="1098"/>
      <c r="JN16" s="1097">
        <f t="shared" si="18"/>
        <v>478</v>
      </c>
      <c r="JP16" s="1174" t="str">
        <f t="shared" si="42"/>
        <v/>
      </c>
      <c r="JQ16" s="1175">
        <f t="shared" si="43"/>
        <v>-29.66781214203894</v>
      </c>
      <c r="JR16" s="1184">
        <f t="shared" si="44"/>
        <v>873</v>
      </c>
      <c r="JS16" s="1185">
        <f t="shared" si="45"/>
        <v>614</v>
      </c>
      <c r="JT16" s="1"/>
      <c r="JU16" s="1079">
        <f t="shared" si="46"/>
        <v>47535.300000000017</v>
      </c>
      <c r="JV16" s="1080" t="s">
        <v>31</v>
      </c>
      <c r="JW16" s="1081" t="str">
        <f t="shared" si="47"/>
        <v>OK</v>
      </c>
    </row>
    <row r="17" spans="1:283" ht="15" customHeight="1" x14ac:dyDescent="0.2">
      <c r="A17" s="1166" t="s">
        <v>91</v>
      </c>
      <c r="B17" s="1098">
        <v>42</v>
      </c>
      <c r="C17" s="1098">
        <v>84</v>
      </c>
      <c r="D17" s="1098">
        <v>79</v>
      </c>
      <c r="E17" s="1098">
        <v>49</v>
      </c>
      <c r="F17" s="1098">
        <v>39</v>
      </c>
      <c r="G17" s="1098">
        <v>32</v>
      </c>
      <c r="H17" s="1098">
        <v>11</v>
      </c>
      <c r="I17" s="1098"/>
      <c r="J17" s="1098"/>
      <c r="K17" s="1098">
        <v>5</v>
      </c>
      <c r="L17" s="1098">
        <v>9</v>
      </c>
      <c r="M17" s="1098">
        <v>4</v>
      </c>
      <c r="N17" s="1097">
        <f t="shared" si="0"/>
        <v>354</v>
      </c>
      <c r="O17" s="1098">
        <v>50</v>
      </c>
      <c r="P17" s="1098">
        <v>73</v>
      </c>
      <c r="Q17" s="1098">
        <v>49</v>
      </c>
      <c r="R17" s="1098">
        <v>16</v>
      </c>
      <c r="S17" s="1098">
        <v>7</v>
      </c>
      <c r="T17" s="1098">
        <v>6</v>
      </c>
      <c r="U17" s="1098">
        <v>3</v>
      </c>
      <c r="V17" s="1098"/>
      <c r="W17" s="1098"/>
      <c r="X17" s="1098">
        <v>5</v>
      </c>
      <c r="Y17" s="1098">
        <v>7</v>
      </c>
      <c r="Z17" s="1098">
        <v>6</v>
      </c>
      <c r="AA17" s="1097">
        <f t="shared" si="1"/>
        <v>222</v>
      </c>
      <c r="AB17" s="1098">
        <v>53</v>
      </c>
      <c r="AC17" s="1098">
        <v>86</v>
      </c>
      <c r="AD17" s="1098">
        <v>47</v>
      </c>
      <c r="AE17" s="1098">
        <v>11</v>
      </c>
      <c r="AF17" s="1098">
        <v>3</v>
      </c>
      <c r="AG17" s="1098">
        <v>1</v>
      </c>
      <c r="AH17" s="1098"/>
      <c r="AI17" s="1098"/>
      <c r="AJ17" s="1098"/>
      <c r="AK17" s="1098">
        <v>5</v>
      </c>
      <c r="AL17" s="1098">
        <v>8</v>
      </c>
      <c r="AM17" s="1098">
        <v>5</v>
      </c>
      <c r="AN17" s="1097">
        <f t="shared" si="2"/>
        <v>219</v>
      </c>
      <c r="AO17" s="1098">
        <v>22</v>
      </c>
      <c r="AP17" s="1098">
        <v>92</v>
      </c>
      <c r="AQ17" s="1098">
        <v>88</v>
      </c>
      <c r="AR17" s="1098">
        <v>2</v>
      </c>
      <c r="AS17" s="1098">
        <v>4</v>
      </c>
      <c r="AT17" s="1098">
        <v>3</v>
      </c>
      <c r="AU17" s="1098"/>
      <c r="AV17" s="1098"/>
      <c r="AW17" s="1098">
        <v>32</v>
      </c>
      <c r="AX17" s="1098"/>
      <c r="AY17" s="1098">
        <v>5</v>
      </c>
      <c r="AZ17" s="1098">
        <v>5</v>
      </c>
      <c r="BA17" s="1097">
        <f t="shared" si="3"/>
        <v>253</v>
      </c>
      <c r="BB17" s="1098">
        <v>21</v>
      </c>
      <c r="BC17" s="1098">
        <v>111</v>
      </c>
      <c r="BD17" s="1098">
        <v>74</v>
      </c>
      <c r="BE17" s="1098">
        <v>4</v>
      </c>
      <c r="BF17" s="1098">
        <v>3</v>
      </c>
      <c r="BG17" s="1098">
        <v>1</v>
      </c>
      <c r="BH17" s="1098">
        <v>3</v>
      </c>
      <c r="BI17" s="1098"/>
      <c r="BJ17" s="1098"/>
      <c r="BK17" s="1098"/>
      <c r="BL17" s="1098">
        <v>3</v>
      </c>
      <c r="BM17" s="1098">
        <v>7</v>
      </c>
      <c r="BN17" s="1097">
        <f t="shared" si="4"/>
        <v>227</v>
      </c>
      <c r="BO17" s="1098">
        <v>32</v>
      </c>
      <c r="BP17" s="1098">
        <v>120</v>
      </c>
      <c r="BQ17" s="1098">
        <v>68</v>
      </c>
      <c r="BR17" s="1098">
        <v>3</v>
      </c>
      <c r="BS17" s="1098">
        <v>5</v>
      </c>
      <c r="BT17" s="1098">
        <v>1</v>
      </c>
      <c r="BU17" s="1098">
        <v>1</v>
      </c>
      <c r="BV17" s="1098"/>
      <c r="BW17" s="1098"/>
      <c r="BX17" s="1098">
        <v>4</v>
      </c>
      <c r="BY17" s="1098">
        <v>8</v>
      </c>
      <c r="BZ17" s="1098">
        <v>2</v>
      </c>
      <c r="CA17" s="1097">
        <f t="shared" si="5"/>
        <v>244</v>
      </c>
      <c r="CB17" s="1098">
        <v>21</v>
      </c>
      <c r="CC17" s="1098">
        <v>60</v>
      </c>
      <c r="CD17" s="1098">
        <v>6</v>
      </c>
      <c r="CE17" s="1098">
        <v>7</v>
      </c>
      <c r="CF17" s="1098">
        <v>3</v>
      </c>
      <c r="CG17" s="1098">
        <v>1</v>
      </c>
      <c r="CH17" s="1098"/>
      <c r="CI17" s="1098"/>
      <c r="CJ17" s="1098"/>
      <c r="CK17" s="1098"/>
      <c r="CL17" s="1098"/>
      <c r="CM17" s="1098"/>
      <c r="CN17" s="1097">
        <f t="shared" si="6"/>
        <v>98</v>
      </c>
      <c r="CO17" s="1098">
        <v>34</v>
      </c>
      <c r="CP17" s="1098">
        <v>77</v>
      </c>
      <c r="CQ17" s="1098">
        <v>71</v>
      </c>
      <c r="CR17" s="1098">
        <v>31</v>
      </c>
      <c r="CS17" s="1098">
        <v>2</v>
      </c>
      <c r="CT17" s="1098">
        <v>5</v>
      </c>
      <c r="CU17" s="1098"/>
      <c r="CV17" s="1098"/>
      <c r="CW17" s="1098"/>
      <c r="CX17" s="1098"/>
      <c r="CY17" s="1098"/>
      <c r="CZ17" s="1098"/>
      <c r="DA17" s="1097">
        <f t="shared" si="7"/>
        <v>220</v>
      </c>
      <c r="DB17" s="1098">
        <v>57</v>
      </c>
      <c r="DC17" s="1098">
        <v>76</v>
      </c>
      <c r="DD17" s="1098">
        <v>43</v>
      </c>
      <c r="DE17" s="1098">
        <v>30</v>
      </c>
      <c r="DF17" s="1098">
        <v>9</v>
      </c>
      <c r="DG17" s="1098">
        <v>4</v>
      </c>
      <c r="DH17" s="1098"/>
      <c r="DI17" s="1098"/>
      <c r="DJ17" s="1098"/>
      <c r="DK17" s="1098"/>
      <c r="DL17" s="1098"/>
      <c r="DM17" s="1098"/>
      <c r="DN17" s="1097">
        <f t="shared" si="8"/>
        <v>219</v>
      </c>
      <c r="DO17" s="1098">
        <v>50</v>
      </c>
      <c r="DP17" s="1098">
        <v>59</v>
      </c>
      <c r="DQ17" s="1098">
        <v>35</v>
      </c>
      <c r="DR17" s="1098">
        <v>14</v>
      </c>
      <c r="DS17" s="1098">
        <v>5</v>
      </c>
      <c r="DT17" s="1098">
        <v>2</v>
      </c>
      <c r="DU17" s="1098"/>
      <c r="DV17" s="1098"/>
      <c r="DW17" s="1098"/>
      <c r="DX17" s="1098"/>
      <c r="DY17" s="1098"/>
      <c r="DZ17" s="1098"/>
      <c r="EA17" s="1097">
        <f t="shared" si="9"/>
        <v>165</v>
      </c>
      <c r="EB17" s="1098">
        <v>55</v>
      </c>
      <c r="EC17" s="1098">
        <v>86</v>
      </c>
      <c r="ED17" s="1098">
        <v>37</v>
      </c>
      <c r="EE17" s="1098">
        <v>5</v>
      </c>
      <c r="EF17" s="1098">
        <v>3</v>
      </c>
      <c r="EG17" s="1098"/>
      <c r="EH17" s="1098"/>
      <c r="EI17" s="1098"/>
      <c r="EJ17" s="1098"/>
      <c r="EK17" s="1098"/>
      <c r="EL17" s="1098"/>
      <c r="EM17" s="1098"/>
      <c r="EN17" s="1097">
        <f t="shared" si="10"/>
        <v>186</v>
      </c>
      <c r="EO17" s="1098">
        <v>20</v>
      </c>
      <c r="EP17" s="1098">
        <v>97</v>
      </c>
      <c r="EQ17" s="1098">
        <v>55</v>
      </c>
      <c r="ER17" s="1098">
        <v>7</v>
      </c>
      <c r="ES17" s="1098">
        <v>3</v>
      </c>
      <c r="ET17" s="1098">
        <v>1</v>
      </c>
      <c r="EU17" s="1098"/>
      <c r="EV17" s="1098"/>
      <c r="EW17" s="1098"/>
      <c r="EX17" s="1098"/>
      <c r="EY17" s="1098"/>
      <c r="EZ17" s="1098"/>
      <c r="FA17" s="1097">
        <f t="shared" si="11"/>
        <v>183</v>
      </c>
      <c r="FB17" s="1098">
        <v>26</v>
      </c>
      <c r="FC17" s="1098">
        <v>59</v>
      </c>
      <c r="FD17" s="1098">
        <v>57</v>
      </c>
      <c r="FE17" s="1098">
        <v>7</v>
      </c>
      <c r="FF17" s="1098">
        <v>6</v>
      </c>
      <c r="FG17" s="1098">
        <v>2</v>
      </c>
      <c r="FH17" s="1098">
        <v>1</v>
      </c>
      <c r="FI17" s="1098"/>
      <c r="FJ17" s="1098"/>
      <c r="FK17" s="1098"/>
      <c r="FL17" s="1098"/>
      <c r="FM17" s="1098"/>
      <c r="FN17" s="1097">
        <f t="shared" si="12"/>
        <v>158</v>
      </c>
      <c r="FO17" s="1098">
        <v>13</v>
      </c>
      <c r="FP17" s="1098">
        <v>17</v>
      </c>
      <c r="FQ17" s="1098">
        <v>11</v>
      </c>
      <c r="FR17" s="1098">
        <v>4</v>
      </c>
      <c r="FS17" s="1098">
        <v>2</v>
      </c>
      <c r="FT17" s="1098"/>
      <c r="FU17" s="1098"/>
      <c r="FV17" s="1098"/>
      <c r="FW17" s="1098"/>
      <c r="FX17" s="1098"/>
      <c r="FY17" s="1098"/>
      <c r="FZ17" s="1098">
        <v>2</v>
      </c>
      <c r="GA17" s="1097">
        <f t="shared" si="13"/>
        <v>49</v>
      </c>
      <c r="GB17" s="1098">
        <v>32</v>
      </c>
      <c r="GC17" s="1098">
        <v>58</v>
      </c>
      <c r="GD17" s="1098">
        <v>28</v>
      </c>
      <c r="GE17" s="1098">
        <v>9</v>
      </c>
      <c r="GF17" s="1098">
        <v>2</v>
      </c>
      <c r="GG17" s="1098"/>
      <c r="GH17" s="1098">
        <v>4</v>
      </c>
      <c r="GI17" s="1098"/>
      <c r="GJ17" s="1098"/>
      <c r="GK17" s="1098"/>
      <c r="GL17" s="1098"/>
      <c r="GM17" s="1098"/>
      <c r="GN17" s="1097">
        <f t="shared" si="14"/>
        <v>133</v>
      </c>
      <c r="GO17" s="1098">
        <v>10</v>
      </c>
      <c r="GP17" s="1098">
        <v>17.100000000000001</v>
      </c>
      <c r="GQ17" s="1098">
        <v>13.5</v>
      </c>
      <c r="GR17" s="1098">
        <v>5.8</v>
      </c>
      <c r="GS17" s="1098">
        <v>2.8</v>
      </c>
      <c r="GT17" s="1098">
        <v>2.4</v>
      </c>
      <c r="GU17" s="1098">
        <v>0.8</v>
      </c>
      <c r="GV17" s="1098">
        <v>6.5</v>
      </c>
      <c r="GW17" s="1098">
        <v>3.1</v>
      </c>
      <c r="GX17" s="1098">
        <v>1.6</v>
      </c>
      <c r="GY17" s="1098"/>
      <c r="GZ17" s="1098">
        <v>3.5</v>
      </c>
      <c r="HA17" s="1097">
        <f t="shared" si="15"/>
        <v>67.099999999999994</v>
      </c>
      <c r="HB17" s="1098">
        <v>16</v>
      </c>
      <c r="HC17" s="1098">
        <v>20.100000000000001</v>
      </c>
      <c r="HD17" s="1098">
        <v>12.3</v>
      </c>
      <c r="HE17" s="1098">
        <v>2</v>
      </c>
      <c r="HF17" s="1098"/>
      <c r="HG17" s="1098">
        <v>0.8</v>
      </c>
      <c r="HH17" s="1098"/>
      <c r="HI17" s="1098">
        <v>1</v>
      </c>
      <c r="HJ17" s="1098"/>
      <c r="HK17" s="1098"/>
      <c r="HL17" s="1098">
        <v>2</v>
      </c>
      <c r="HM17" s="1098"/>
      <c r="HN17" s="1097">
        <f t="shared" si="16"/>
        <v>54.2</v>
      </c>
      <c r="HO17" s="1098">
        <v>2</v>
      </c>
      <c r="HP17" s="1098">
        <v>2</v>
      </c>
      <c r="HQ17" s="1098">
        <v>4.5</v>
      </c>
      <c r="HR17" s="1098">
        <v>2.5</v>
      </c>
      <c r="HS17" s="1098">
        <v>3</v>
      </c>
      <c r="HT17" s="1098">
        <v>3</v>
      </c>
      <c r="HU17" s="1098">
        <v>2.2000000000000002</v>
      </c>
      <c r="HV17" s="1098">
        <v>3</v>
      </c>
      <c r="HW17" s="1098">
        <v>2.5</v>
      </c>
      <c r="HX17" s="1098">
        <v>3</v>
      </c>
      <c r="HY17" s="1098">
        <v>3</v>
      </c>
      <c r="HZ17" s="1098">
        <v>2.5</v>
      </c>
      <c r="IA17" s="1097">
        <f t="shared" si="17"/>
        <v>33.200000000000003</v>
      </c>
      <c r="IB17" s="1098">
        <v>0</v>
      </c>
      <c r="IC17" s="1098">
        <v>0</v>
      </c>
      <c r="ID17" s="1098">
        <v>0</v>
      </c>
      <c r="IE17" s="1098">
        <v>0</v>
      </c>
      <c r="IF17" s="1098">
        <v>0</v>
      </c>
      <c r="IG17" s="1098">
        <v>0</v>
      </c>
      <c r="IH17" s="1098">
        <v>0</v>
      </c>
      <c r="II17" s="1098">
        <v>0</v>
      </c>
      <c r="IJ17" s="1098">
        <v>0</v>
      </c>
      <c r="IK17" s="1098">
        <v>0</v>
      </c>
      <c r="IL17" s="1098">
        <v>0</v>
      </c>
      <c r="IM17" s="1098">
        <v>0</v>
      </c>
      <c r="IN17" s="1097">
        <v>0</v>
      </c>
      <c r="IO17" s="1098">
        <v>0</v>
      </c>
      <c r="IP17" s="1098">
        <v>0</v>
      </c>
      <c r="IQ17" s="1098">
        <v>0</v>
      </c>
      <c r="IR17" s="1098">
        <v>0</v>
      </c>
      <c r="IS17" s="1098">
        <v>0</v>
      </c>
      <c r="IT17" s="1098">
        <v>0</v>
      </c>
      <c r="IU17" s="1098">
        <v>0</v>
      </c>
      <c r="IV17" s="1098">
        <v>0</v>
      </c>
      <c r="IW17" s="1098">
        <v>0</v>
      </c>
      <c r="IX17" s="1098">
        <v>0</v>
      </c>
      <c r="IY17" s="1098">
        <v>0</v>
      </c>
      <c r="IZ17" s="1098">
        <v>0</v>
      </c>
      <c r="JA17" s="1097">
        <v>0</v>
      </c>
      <c r="JB17" s="1098">
        <v>0</v>
      </c>
      <c r="JC17" s="1098">
        <v>0</v>
      </c>
      <c r="JD17" s="1098"/>
      <c r="JE17" s="1098"/>
      <c r="JF17" s="1098"/>
      <c r="JG17" s="1098"/>
      <c r="JH17" s="1098"/>
      <c r="JI17" s="1098"/>
      <c r="JJ17" s="1098"/>
      <c r="JK17" s="1098"/>
      <c r="JL17" s="1098"/>
      <c r="JM17" s="1098"/>
      <c r="JN17" s="1097">
        <f t="shared" si="18"/>
        <v>0</v>
      </c>
      <c r="JP17" s="1174" t="str">
        <f t="shared" si="42"/>
        <v/>
      </c>
      <c r="JQ17" s="1175" t="str">
        <f t="shared" si="43"/>
        <v/>
      </c>
      <c r="JR17" s="1184">
        <f t="shared" si="44"/>
        <v>0</v>
      </c>
      <c r="JS17" s="1185">
        <f t="shared" si="45"/>
        <v>0</v>
      </c>
      <c r="JT17" s="1"/>
      <c r="JU17" s="1079">
        <f t="shared" si="46"/>
        <v>6169.0000000000018</v>
      </c>
      <c r="JV17" s="1080" t="s">
        <v>91</v>
      </c>
      <c r="JW17" s="1081" t="str">
        <f t="shared" si="47"/>
        <v>OK</v>
      </c>
    </row>
    <row r="18" spans="1:283" ht="15" customHeight="1" x14ac:dyDescent="0.2">
      <c r="A18" s="1166" t="s">
        <v>32</v>
      </c>
      <c r="B18" s="1098">
        <v>22</v>
      </c>
      <c r="C18" s="1098">
        <v>41</v>
      </c>
      <c r="D18" s="1098">
        <v>83</v>
      </c>
      <c r="E18" s="1098">
        <v>35</v>
      </c>
      <c r="F18" s="1098">
        <v>24</v>
      </c>
      <c r="G18" s="1098">
        <v>18</v>
      </c>
      <c r="H18" s="1098">
        <v>4</v>
      </c>
      <c r="I18" s="1098"/>
      <c r="J18" s="1098"/>
      <c r="K18" s="1098"/>
      <c r="L18" s="1098"/>
      <c r="M18" s="1098"/>
      <c r="N18" s="1097">
        <f t="shared" si="0"/>
        <v>227</v>
      </c>
      <c r="O18" s="1098">
        <v>31</v>
      </c>
      <c r="P18" s="1098">
        <v>58</v>
      </c>
      <c r="Q18" s="1098">
        <v>65</v>
      </c>
      <c r="R18" s="1098">
        <v>26</v>
      </c>
      <c r="S18" s="1098">
        <v>13</v>
      </c>
      <c r="T18" s="1098">
        <v>19</v>
      </c>
      <c r="U18" s="1098">
        <v>21</v>
      </c>
      <c r="V18" s="1098">
        <v>2</v>
      </c>
      <c r="W18" s="1098"/>
      <c r="X18" s="1098"/>
      <c r="Y18" s="1098"/>
      <c r="Z18" s="1098">
        <v>1</v>
      </c>
      <c r="AA18" s="1097">
        <f t="shared" si="1"/>
        <v>236</v>
      </c>
      <c r="AB18" s="1098">
        <v>28</v>
      </c>
      <c r="AC18" s="1098">
        <v>87</v>
      </c>
      <c r="AD18" s="1098">
        <v>49</v>
      </c>
      <c r="AE18" s="1098">
        <v>20</v>
      </c>
      <c r="AF18" s="1098">
        <v>8</v>
      </c>
      <c r="AG18" s="1098">
        <v>11</v>
      </c>
      <c r="AH18" s="1098">
        <v>23</v>
      </c>
      <c r="AI18" s="1098">
        <v>8</v>
      </c>
      <c r="AJ18" s="1098"/>
      <c r="AK18" s="1098"/>
      <c r="AL18" s="1098"/>
      <c r="AM18" s="1098">
        <v>2</v>
      </c>
      <c r="AN18" s="1097">
        <f t="shared" si="2"/>
        <v>236</v>
      </c>
      <c r="AO18" s="1098">
        <v>25</v>
      </c>
      <c r="AP18" s="1098">
        <v>90</v>
      </c>
      <c r="AQ18" s="1098">
        <v>53</v>
      </c>
      <c r="AR18" s="1098">
        <v>2</v>
      </c>
      <c r="AS18" s="1098">
        <v>1</v>
      </c>
      <c r="AT18" s="1098">
        <v>10</v>
      </c>
      <c r="AU18" s="1098"/>
      <c r="AV18" s="1098"/>
      <c r="AW18" s="1098"/>
      <c r="AX18" s="1098"/>
      <c r="AY18" s="1098"/>
      <c r="AZ18" s="1098">
        <v>2</v>
      </c>
      <c r="BA18" s="1097">
        <f t="shared" si="3"/>
        <v>183</v>
      </c>
      <c r="BB18" s="1098">
        <v>17</v>
      </c>
      <c r="BC18" s="1098">
        <v>66</v>
      </c>
      <c r="BD18" s="1098">
        <v>32</v>
      </c>
      <c r="BE18" s="1098">
        <v>3</v>
      </c>
      <c r="BF18" s="1098"/>
      <c r="BG18" s="1098">
        <v>1</v>
      </c>
      <c r="BH18" s="1098"/>
      <c r="BI18" s="1098"/>
      <c r="BJ18" s="1098"/>
      <c r="BK18" s="1098"/>
      <c r="BL18" s="1098"/>
      <c r="BM18" s="1098"/>
      <c r="BN18" s="1097">
        <f t="shared" si="4"/>
        <v>119</v>
      </c>
      <c r="BO18" s="1098">
        <v>17</v>
      </c>
      <c r="BP18" s="1098">
        <v>73</v>
      </c>
      <c r="BQ18" s="1098">
        <v>30</v>
      </c>
      <c r="BR18" s="1098">
        <v>5</v>
      </c>
      <c r="BS18" s="1098">
        <v>1</v>
      </c>
      <c r="BT18" s="1098">
        <v>1</v>
      </c>
      <c r="BU18" s="1098">
        <v>1</v>
      </c>
      <c r="BV18" s="1098"/>
      <c r="BW18" s="1098"/>
      <c r="BX18" s="1098">
        <v>2</v>
      </c>
      <c r="BY18" s="1098">
        <v>1</v>
      </c>
      <c r="BZ18" s="1098">
        <v>1</v>
      </c>
      <c r="CA18" s="1097">
        <f t="shared" si="5"/>
        <v>132</v>
      </c>
      <c r="CB18" s="1098">
        <v>20</v>
      </c>
      <c r="CC18" s="1098">
        <v>23</v>
      </c>
      <c r="CD18" s="1098">
        <v>22</v>
      </c>
      <c r="CE18" s="1098">
        <v>12</v>
      </c>
      <c r="CF18" s="1098">
        <v>3</v>
      </c>
      <c r="CG18" s="1098">
        <v>1</v>
      </c>
      <c r="CH18" s="1098">
        <v>1</v>
      </c>
      <c r="CI18" s="1098"/>
      <c r="CJ18" s="1098"/>
      <c r="CK18" s="1098"/>
      <c r="CL18" s="1098"/>
      <c r="CM18" s="1098">
        <v>1</v>
      </c>
      <c r="CN18" s="1097">
        <f t="shared" si="6"/>
        <v>83</v>
      </c>
      <c r="CO18" s="1098">
        <v>7</v>
      </c>
      <c r="CP18" s="1098">
        <v>15</v>
      </c>
      <c r="CQ18" s="1098">
        <v>15</v>
      </c>
      <c r="CR18" s="1098">
        <v>7</v>
      </c>
      <c r="CS18" s="1098">
        <v>4</v>
      </c>
      <c r="CT18" s="1098"/>
      <c r="CU18" s="1098"/>
      <c r="CV18" s="1098"/>
      <c r="CW18" s="1098"/>
      <c r="CX18" s="1098"/>
      <c r="CY18" s="1098"/>
      <c r="CZ18" s="1098"/>
      <c r="DA18" s="1097">
        <f t="shared" si="7"/>
        <v>48</v>
      </c>
      <c r="DB18" s="1098">
        <v>7</v>
      </c>
      <c r="DC18" s="1098">
        <v>15</v>
      </c>
      <c r="DD18" s="1098">
        <v>9</v>
      </c>
      <c r="DE18" s="1098">
        <v>2</v>
      </c>
      <c r="DF18" s="1098">
        <v>3</v>
      </c>
      <c r="DG18" s="1098">
        <v>1</v>
      </c>
      <c r="DH18" s="1098">
        <v>1</v>
      </c>
      <c r="DI18" s="1098"/>
      <c r="DJ18" s="1098"/>
      <c r="DK18" s="1098"/>
      <c r="DL18" s="1098"/>
      <c r="DM18" s="1098"/>
      <c r="DN18" s="1097">
        <f t="shared" si="8"/>
        <v>38</v>
      </c>
      <c r="DO18" s="1098">
        <v>7</v>
      </c>
      <c r="DP18" s="1098">
        <v>15</v>
      </c>
      <c r="DQ18" s="1098">
        <v>6</v>
      </c>
      <c r="DR18" s="1098">
        <v>5</v>
      </c>
      <c r="DS18" s="1098">
        <v>3</v>
      </c>
      <c r="DT18" s="1098">
        <v>1</v>
      </c>
      <c r="DU18" s="1098">
        <v>0.5</v>
      </c>
      <c r="DV18" s="1098"/>
      <c r="DW18" s="1098"/>
      <c r="DX18" s="1098"/>
      <c r="DY18" s="1098"/>
      <c r="DZ18" s="1098"/>
      <c r="EA18" s="1097">
        <f t="shared" si="9"/>
        <v>37.5</v>
      </c>
      <c r="EB18" s="1098">
        <v>13</v>
      </c>
      <c r="EC18" s="1098">
        <v>14</v>
      </c>
      <c r="ED18" s="1098">
        <v>10</v>
      </c>
      <c r="EE18" s="1098">
        <v>4</v>
      </c>
      <c r="EF18" s="1098"/>
      <c r="EG18" s="1098"/>
      <c r="EH18" s="1098"/>
      <c r="EI18" s="1098"/>
      <c r="EJ18" s="1098"/>
      <c r="EK18" s="1098"/>
      <c r="EL18" s="1098"/>
      <c r="EM18" s="1098"/>
      <c r="EN18" s="1097">
        <f t="shared" si="10"/>
        <v>41</v>
      </c>
      <c r="EO18" s="1098">
        <v>3</v>
      </c>
      <c r="EP18" s="1098">
        <v>12</v>
      </c>
      <c r="EQ18" s="1098">
        <v>8</v>
      </c>
      <c r="ER18" s="1098">
        <v>1</v>
      </c>
      <c r="ES18" s="1098">
        <v>2</v>
      </c>
      <c r="ET18" s="1098">
        <v>1</v>
      </c>
      <c r="EU18" s="1098"/>
      <c r="EV18" s="1098"/>
      <c r="EW18" s="1098"/>
      <c r="EX18" s="1098"/>
      <c r="EY18" s="1098"/>
      <c r="EZ18" s="1098">
        <v>2</v>
      </c>
      <c r="FA18" s="1097">
        <f t="shared" si="11"/>
        <v>29</v>
      </c>
      <c r="FB18" s="1098">
        <v>5</v>
      </c>
      <c r="FC18" s="1098">
        <v>14</v>
      </c>
      <c r="FD18" s="1098">
        <v>9</v>
      </c>
      <c r="FE18" s="1098">
        <v>2</v>
      </c>
      <c r="FF18" s="1098">
        <v>1</v>
      </c>
      <c r="FG18" s="1098"/>
      <c r="FH18" s="1098"/>
      <c r="FI18" s="1098"/>
      <c r="FJ18" s="1098"/>
      <c r="FK18" s="1098"/>
      <c r="FL18" s="1098"/>
      <c r="FM18" s="1098"/>
      <c r="FN18" s="1097">
        <f t="shared" si="12"/>
        <v>31</v>
      </c>
      <c r="FO18" s="1098">
        <v>5</v>
      </c>
      <c r="FP18" s="1098">
        <v>12</v>
      </c>
      <c r="FQ18" s="1098">
        <v>6</v>
      </c>
      <c r="FR18" s="1098">
        <v>3</v>
      </c>
      <c r="FS18" s="1098">
        <v>1</v>
      </c>
      <c r="FT18" s="1098"/>
      <c r="FU18" s="1098"/>
      <c r="FV18" s="1098"/>
      <c r="FW18" s="1098"/>
      <c r="FX18" s="1098"/>
      <c r="FY18" s="1098"/>
      <c r="FZ18" s="1098"/>
      <c r="GA18" s="1097">
        <f t="shared" si="13"/>
        <v>27</v>
      </c>
      <c r="GB18" s="1098">
        <v>11</v>
      </c>
      <c r="GC18" s="1098">
        <v>14.45</v>
      </c>
      <c r="GD18" s="1098">
        <v>4.9000000000000004</v>
      </c>
      <c r="GE18" s="1098">
        <v>2.4500000000000002</v>
      </c>
      <c r="GF18" s="1098">
        <v>1.1499999999999999</v>
      </c>
      <c r="GG18" s="1098">
        <v>0.15</v>
      </c>
      <c r="GH18" s="1098">
        <v>0.2</v>
      </c>
      <c r="GI18" s="1098"/>
      <c r="GJ18" s="1098"/>
      <c r="GK18" s="1098">
        <v>0.15</v>
      </c>
      <c r="GL18" s="1098"/>
      <c r="GM18" s="1098"/>
      <c r="GN18" s="1097">
        <f t="shared" si="14"/>
        <v>34.450000000000003</v>
      </c>
      <c r="GO18" s="1098">
        <v>6</v>
      </c>
      <c r="GP18" s="1098">
        <v>10.8</v>
      </c>
      <c r="GQ18" s="1098">
        <v>6.5</v>
      </c>
      <c r="GR18" s="1098">
        <v>3.2</v>
      </c>
      <c r="GS18" s="1098">
        <v>1.75</v>
      </c>
      <c r="GT18" s="1098">
        <v>0.25</v>
      </c>
      <c r="GU18" s="1098">
        <v>0.2</v>
      </c>
      <c r="GV18" s="1098"/>
      <c r="GW18" s="1098"/>
      <c r="GX18" s="1098"/>
      <c r="GY18" s="1098"/>
      <c r="GZ18" s="1098"/>
      <c r="HA18" s="1097">
        <f t="shared" si="15"/>
        <v>28.7</v>
      </c>
      <c r="HB18" s="1098">
        <v>6</v>
      </c>
      <c r="HC18" s="1098">
        <v>11.8</v>
      </c>
      <c r="HD18" s="1098">
        <v>5.8</v>
      </c>
      <c r="HE18" s="1098">
        <v>3.7</v>
      </c>
      <c r="HF18" s="1098">
        <v>1</v>
      </c>
      <c r="HG18" s="1098">
        <v>0.4</v>
      </c>
      <c r="HH18" s="1098">
        <v>0.5</v>
      </c>
      <c r="HI18" s="1098"/>
      <c r="HJ18" s="1098">
        <v>0.3</v>
      </c>
      <c r="HK18" s="1098">
        <v>0.1</v>
      </c>
      <c r="HL18" s="1098">
        <v>0.3</v>
      </c>
      <c r="HM18" s="1098"/>
      <c r="HN18" s="1097">
        <f t="shared" si="16"/>
        <v>29.900000000000002</v>
      </c>
      <c r="HO18" s="1098">
        <v>6.3</v>
      </c>
      <c r="HP18" s="1098">
        <v>10.7</v>
      </c>
      <c r="HQ18" s="1098">
        <v>7.5</v>
      </c>
      <c r="HR18" s="1098">
        <v>3.8</v>
      </c>
      <c r="HS18" s="1098">
        <v>1</v>
      </c>
      <c r="HT18" s="1098">
        <v>0.5</v>
      </c>
      <c r="HU18" s="1098">
        <v>0.8</v>
      </c>
      <c r="HV18" s="1098"/>
      <c r="HW18" s="1098"/>
      <c r="HX18" s="1098"/>
      <c r="HY18" s="1098">
        <v>0.5</v>
      </c>
      <c r="HZ18" s="1098">
        <v>0.5</v>
      </c>
      <c r="IA18" s="1097">
        <f t="shared" si="17"/>
        <v>31.6</v>
      </c>
      <c r="IB18" s="1098">
        <v>9.5</v>
      </c>
      <c r="IC18" s="1098">
        <v>12.5</v>
      </c>
      <c r="ID18" s="1098">
        <v>10</v>
      </c>
      <c r="IE18" s="1098">
        <v>4.8</v>
      </c>
      <c r="IF18" s="1098">
        <v>1</v>
      </c>
      <c r="IG18" s="1098">
        <v>0</v>
      </c>
      <c r="IH18" s="1098">
        <v>0</v>
      </c>
      <c r="II18" s="1098">
        <v>0</v>
      </c>
      <c r="IJ18" s="1098">
        <v>0</v>
      </c>
      <c r="IK18" s="1098">
        <v>0</v>
      </c>
      <c r="IL18" s="1098">
        <v>1</v>
      </c>
      <c r="IM18" s="1098">
        <v>1.5</v>
      </c>
      <c r="IN18" s="1097">
        <v>40.299999999999997</v>
      </c>
      <c r="IO18" s="1098">
        <v>7</v>
      </c>
      <c r="IP18" s="1098">
        <v>12.5</v>
      </c>
      <c r="IQ18" s="1098">
        <v>12</v>
      </c>
      <c r="IR18" s="1098">
        <v>5</v>
      </c>
      <c r="IS18" s="1098">
        <v>1</v>
      </c>
      <c r="IT18" s="1098">
        <v>0</v>
      </c>
      <c r="IU18" s="1098">
        <v>0</v>
      </c>
      <c r="IV18" s="1098">
        <v>0</v>
      </c>
      <c r="IW18" s="1098">
        <v>0</v>
      </c>
      <c r="IX18" s="1098">
        <v>0</v>
      </c>
      <c r="IY18" s="1098">
        <v>1</v>
      </c>
      <c r="IZ18" s="1098">
        <v>2</v>
      </c>
      <c r="JA18" s="1097">
        <v>40.5</v>
      </c>
      <c r="JB18" s="1098">
        <v>7</v>
      </c>
      <c r="JC18" s="1098">
        <v>9.5</v>
      </c>
      <c r="JD18" s="1098"/>
      <c r="JE18" s="1098"/>
      <c r="JF18" s="1098"/>
      <c r="JG18" s="1098"/>
      <c r="JH18" s="1098"/>
      <c r="JI18" s="1098"/>
      <c r="JJ18" s="1098"/>
      <c r="JK18" s="1098"/>
      <c r="JL18" s="1098"/>
      <c r="JM18" s="1098"/>
      <c r="JN18" s="1097">
        <f t="shared" si="18"/>
        <v>16.5</v>
      </c>
      <c r="JP18" s="1174">
        <f t="shared" si="42"/>
        <v>33.333333333333329</v>
      </c>
      <c r="JQ18" s="1175">
        <f t="shared" si="43"/>
        <v>0.49627791563275903</v>
      </c>
      <c r="JR18" s="1184">
        <f t="shared" si="44"/>
        <v>40.299999999999997</v>
      </c>
      <c r="JS18" s="1185">
        <f t="shared" si="45"/>
        <v>40.5</v>
      </c>
      <c r="JT18" s="1"/>
      <c r="JU18" s="1079">
        <f t="shared" si="46"/>
        <v>3378.9000000000005</v>
      </c>
      <c r="JV18" s="1080" t="s">
        <v>32</v>
      </c>
      <c r="JW18" s="1081" t="str">
        <f t="shared" si="47"/>
        <v>OK</v>
      </c>
    </row>
    <row r="19" spans="1:283" ht="15" customHeight="1" x14ac:dyDescent="0.2">
      <c r="A19" s="1166" t="s">
        <v>43</v>
      </c>
      <c r="B19" s="1098">
        <v>99</v>
      </c>
      <c r="C19" s="1098">
        <v>192</v>
      </c>
      <c r="D19" s="1098">
        <v>119</v>
      </c>
      <c r="E19" s="1098">
        <v>10</v>
      </c>
      <c r="F19" s="1098">
        <v>4</v>
      </c>
      <c r="G19" s="1098">
        <v>2</v>
      </c>
      <c r="H19" s="1098"/>
      <c r="I19" s="1098"/>
      <c r="J19" s="1098"/>
      <c r="K19" s="1098"/>
      <c r="L19" s="1098"/>
      <c r="M19" s="1098"/>
      <c r="N19" s="1097">
        <f t="shared" si="0"/>
        <v>426</v>
      </c>
      <c r="O19" s="1098">
        <v>111</v>
      </c>
      <c r="P19" s="1098">
        <v>185</v>
      </c>
      <c r="Q19" s="1098">
        <v>116</v>
      </c>
      <c r="R19" s="1098">
        <v>18</v>
      </c>
      <c r="S19" s="1098">
        <v>2</v>
      </c>
      <c r="T19" s="1098"/>
      <c r="U19" s="1098"/>
      <c r="V19" s="1098"/>
      <c r="W19" s="1098"/>
      <c r="X19" s="1098"/>
      <c r="Y19" s="1098"/>
      <c r="Z19" s="1098">
        <v>6</v>
      </c>
      <c r="AA19" s="1097">
        <f t="shared" si="1"/>
        <v>438</v>
      </c>
      <c r="AB19" s="1098">
        <v>110</v>
      </c>
      <c r="AC19" s="1098">
        <v>172</v>
      </c>
      <c r="AD19" s="1098">
        <v>83</v>
      </c>
      <c r="AE19" s="1098">
        <v>5</v>
      </c>
      <c r="AF19" s="1098"/>
      <c r="AG19" s="1098"/>
      <c r="AH19" s="1098"/>
      <c r="AI19" s="1098"/>
      <c r="AJ19" s="1098"/>
      <c r="AK19" s="1098"/>
      <c r="AL19" s="1098"/>
      <c r="AM19" s="1098">
        <v>32</v>
      </c>
      <c r="AN19" s="1097">
        <f t="shared" si="2"/>
        <v>402</v>
      </c>
      <c r="AO19" s="1098">
        <v>140</v>
      </c>
      <c r="AP19" s="1098">
        <v>165</v>
      </c>
      <c r="AQ19" s="1098">
        <v>92</v>
      </c>
      <c r="AR19" s="1098">
        <v>3</v>
      </c>
      <c r="AS19" s="1098"/>
      <c r="AT19" s="1098"/>
      <c r="AU19" s="1098"/>
      <c r="AV19" s="1098"/>
      <c r="AW19" s="1098"/>
      <c r="AX19" s="1098"/>
      <c r="AY19" s="1098"/>
      <c r="AZ19" s="1098">
        <v>5</v>
      </c>
      <c r="BA19" s="1097">
        <f t="shared" si="3"/>
        <v>405</v>
      </c>
      <c r="BB19" s="1098">
        <v>120</v>
      </c>
      <c r="BC19" s="1098">
        <v>160</v>
      </c>
      <c r="BD19" s="1098">
        <v>97</v>
      </c>
      <c r="BE19" s="1098">
        <v>1</v>
      </c>
      <c r="BF19" s="1098"/>
      <c r="BG19" s="1098"/>
      <c r="BH19" s="1098"/>
      <c r="BI19" s="1098"/>
      <c r="BJ19" s="1098"/>
      <c r="BK19" s="1098"/>
      <c r="BL19" s="1098"/>
      <c r="BM19" s="1098"/>
      <c r="BN19" s="1097">
        <f t="shared" si="4"/>
        <v>378</v>
      </c>
      <c r="BO19" s="1098">
        <v>126</v>
      </c>
      <c r="BP19" s="1098">
        <v>185</v>
      </c>
      <c r="BQ19" s="1098">
        <v>67</v>
      </c>
      <c r="BR19" s="1098">
        <v>3</v>
      </c>
      <c r="BS19" s="1098"/>
      <c r="BT19" s="1098"/>
      <c r="BU19" s="1098"/>
      <c r="BV19" s="1098"/>
      <c r="BW19" s="1098"/>
      <c r="BX19" s="1098"/>
      <c r="BY19" s="1098"/>
      <c r="BZ19" s="1098"/>
      <c r="CA19" s="1097">
        <f t="shared" si="5"/>
        <v>381</v>
      </c>
      <c r="CB19" s="1098">
        <v>130</v>
      </c>
      <c r="CC19" s="1098">
        <v>138</v>
      </c>
      <c r="CD19" s="1098">
        <v>57</v>
      </c>
      <c r="CE19" s="1098">
        <v>6</v>
      </c>
      <c r="CF19" s="1098">
        <v>2</v>
      </c>
      <c r="CG19" s="1098">
        <v>2</v>
      </c>
      <c r="CH19" s="1098"/>
      <c r="CI19" s="1098"/>
      <c r="CJ19" s="1098"/>
      <c r="CK19" s="1098"/>
      <c r="CL19" s="1098"/>
      <c r="CM19" s="1098"/>
      <c r="CN19" s="1097">
        <f t="shared" si="6"/>
        <v>335</v>
      </c>
      <c r="CO19" s="1098">
        <v>113</v>
      </c>
      <c r="CP19" s="1098">
        <v>109</v>
      </c>
      <c r="CQ19" s="1098">
        <v>49</v>
      </c>
      <c r="CR19" s="1098">
        <v>10</v>
      </c>
      <c r="CS19" s="1098">
        <v>3</v>
      </c>
      <c r="CT19" s="1098"/>
      <c r="CU19" s="1098"/>
      <c r="CV19" s="1098"/>
      <c r="CW19" s="1098"/>
      <c r="CX19" s="1098"/>
      <c r="CY19" s="1098"/>
      <c r="CZ19" s="1098"/>
      <c r="DA19" s="1097">
        <f t="shared" si="7"/>
        <v>284</v>
      </c>
      <c r="DB19" s="1098">
        <v>137</v>
      </c>
      <c r="DC19" s="1098">
        <v>123</v>
      </c>
      <c r="DD19" s="1098">
        <v>48</v>
      </c>
      <c r="DE19" s="1098">
        <v>16</v>
      </c>
      <c r="DF19" s="1098">
        <v>4</v>
      </c>
      <c r="DG19" s="1098">
        <v>1</v>
      </c>
      <c r="DH19" s="1098"/>
      <c r="DI19" s="1098"/>
      <c r="DJ19" s="1098"/>
      <c r="DK19" s="1098">
        <v>2</v>
      </c>
      <c r="DL19" s="1098">
        <v>2</v>
      </c>
      <c r="DM19" s="1098">
        <v>1</v>
      </c>
      <c r="DN19" s="1097">
        <f t="shared" si="8"/>
        <v>334</v>
      </c>
      <c r="DO19" s="1098">
        <v>133</v>
      </c>
      <c r="DP19" s="1098">
        <v>121</v>
      </c>
      <c r="DQ19" s="1098">
        <v>52</v>
      </c>
      <c r="DR19" s="1098">
        <v>6</v>
      </c>
      <c r="DS19" s="1098">
        <v>3</v>
      </c>
      <c r="DT19" s="1098"/>
      <c r="DU19" s="1098"/>
      <c r="DV19" s="1098"/>
      <c r="DW19" s="1098"/>
      <c r="DX19" s="1098">
        <v>2</v>
      </c>
      <c r="DY19" s="1098">
        <v>9</v>
      </c>
      <c r="DZ19" s="1098">
        <v>7</v>
      </c>
      <c r="EA19" s="1097">
        <f t="shared" si="9"/>
        <v>333</v>
      </c>
      <c r="EB19" s="1098">
        <v>89</v>
      </c>
      <c r="EC19" s="1098">
        <v>79</v>
      </c>
      <c r="ED19" s="1098">
        <v>21</v>
      </c>
      <c r="EE19" s="1098">
        <v>2</v>
      </c>
      <c r="EF19" s="1098">
        <v>1</v>
      </c>
      <c r="EG19" s="1098"/>
      <c r="EH19" s="1098"/>
      <c r="EI19" s="1098"/>
      <c r="EJ19" s="1098"/>
      <c r="EK19" s="1098">
        <v>1</v>
      </c>
      <c r="EL19" s="1098">
        <v>3</v>
      </c>
      <c r="EM19" s="1098">
        <v>4</v>
      </c>
      <c r="EN19" s="1097">
        <f t="shared" si="10"/>
        <v>200</v>
      </c>
      <c r="EO19" s="1098">
        <v>18</v>
      </c>
      <c r="EP19" s="1098">
        <v>65</v>
      </c>
      <c r="EQ19" s="1098">
        <v>34</v>
      </c>
      <c r="ER19" s="1098">
        <v>1</v>
      </c>
      <c r="ES19" s="1098">
        <v>1</v>
      </c>
      <c r="ET19" s="1098"/>
      <c r="EU19" s="1098"/>
      <c r="EV19" s="1098"/>
      <c r="EW19" s="1098"/>
      <c r="EX19" s="1098"/>
      <c r="EY19" s="1098">
        <v>2</v>
      </c>
      <c r="EZ19" s="1098">
        <v>3</v>
      </c>
      <c r="FA19" s="1097">
        <f t="shared" si="11"/>
        <v>124</v>
      </c>
      <c r="FB19" s="1098">
        <v>20</v>
      </c>
      <c r="FC19" s="1098">
        <v>55</v>
      </c>
      <c r="FD19" s="1098">
        <v>36</v>
      </c>
      <c r="FE19" s="1098">
        <v>1</v>
      </c>
      <c r="FF19" s="1098"/>
      <c r="FG19" s="1098"/>
      <c r="FH19" s="1098"/>
      <c r="FI19" s="1098"/>
      <c r="FJ19" s="1098"/>
      <c r="FK19" s="1098"/>
      <c r="FL19" s="1098">
        <v>3</v>
      </c>
      <c r="FM19" s="1098">
        <v>7</v>
      </c>
      <c r="FN19" s="1097">
        <f t="shared" si="12"/>
        <v>122</v>
      </c>
      <c r="FO19" s="1098"/>
      <c r="FP19" s="1098"/>
      <c r="FQ19" s="1098"/>
      <c r="FR19" s="1098"/>
      <c r="FS19" s="1098"/>
      <c r="FT19" s="1098"/>
      <c r="FU19" s="1098"/>
      <c r="FV19" s="1098"/>
      <c r="FW19" s="1098"/>
      <c r="FX19" s="1098"/>
      <c r="FY19" s="1098"/>
      <c r="FZ19" s="1098"/>
      <c r="GA19" s="1097">
        <f t="shared" si="13"/>
        <v>0</v>
      </c>
      <c r="GB19" s="1098"/>
      <c r="GC19" s="1098"/>
      <c r="GD19" s="1098"/>
      <c r="GE19" s="1098"/>
      <c r="GF19" s="1098"/>
      <c r="GG19" s="1098">
        <v>1</v>
      </c>
      <c r="GH19" s="1098"/>
      <c r="GI19" s="1098"/>
      <c r="GJ19" s="1098"/>
      <c r="GK19" s="1098"/>
      <c r="GL19" s="1098"/>
      <c r="GM19" s="1098">
        <v>3</v>
      </c>
      <c r="GN19" s="1097">
        <f t="shared" si="14"/>
        <v>4</v>
      </c>
      <c r="GO19" s="1098"/>
      <c r="GP19" s="1098">
        <v>1.1000000000000001</v>
      </c>
      <c r="GQ19" s="1098">
        <v>3</v>
      </c>
      <c r="GR19" s="1098">
        <v>2.5</v>
      </c>
      <c r="GS19" s="1098">
        <v>1.9</v>
      </c>
      <c r="GT19" s="1098"/>
      <c r="GU19" s="1098"/>
      <c r="GV19" s="1098"/>
      <c r="GW19" s="1098"/>
      <c r="GX19" s="1098"/>
      <c r="GY19" s="1098"/>
      <c r="GZ19" s="1098"/>
      <c r="HA19" s="1097">
        <f t="shared" si="15"/>
        <v>8.5</v>
      </c>
      <c r="HB19" s="1098"/>
      <c r="HC19" s="1098"/>
      <c r="HD19" s="1098"/>
      <c r="HE19" s="1098"/>
      <c r="HF19" s="1098"/>
      <c r="HG19" s="1098"/>
      <c r="HH19" s="1098"/>
      <c r="HI19" s="1098"/>
      <c r="HJ19" s="1098"/>
      <c r="HK19" s="1098"/>
      <c r="HL19" s="1098"/>
      <c r="HM19" s="1098"/>
      <c r="HN19" s="1097">
        <f t="shared" si="16"/>
        <v>0</v>
      </c>
      <c r="HO19" s="1098"/>
      <c r="HP19" s="1098"/>
      <c r="HQ19" s="1098"/>
      <c r="HR19" s="1098"/>
      <c r="HS19" s="1098"/>
      <c r="HT19" s="1098"/>
      <c r="HU19" s="1098"/>
      <c r="HV19" s="1098"/>
      <c r="HW19" s="1098"/>
      <c r="HX19" s="1098"/>
      <c r="HY19" s="1098"/>
      <c r="HZ19" s="1098"/>
      <c r="IA19" s="1097">
        <f t="shared" si="17"/>
        <v>0</v>
      </c>
      <c r="IB19" s="1098">
        <v>0</v>
      </c>
      <c r="IC19" s="1098">
        <v>0</v>
      </c>
      <c r="ID19" s="1098">
        <v>0</v>
      </c>
      <c r="IE19" s="1098">
        <v>0</v>
      </c>
      <c r="IF19" s="1098">
        <v>0</v>
      </c>
      <c r="IG19" s="1098">
        <v>0</v>
      </c>
      <c r="IH19" s="1098">
        <v>0</v>
      </c>
      <c r="II19" s="1098">
        <v>0</v>
      </c>
      <c r="IJ19" s="1098">
        <v>0</v>
      </c>
      <c r="IK19" s="1098">
        <v>0</v>
      </c>
      <c r="IL19" s="1098">
        <v>0</v>
      </c>
      <c r="IM19" s="1098">
        <v>0</v>
      </c>
      <c r="IN19" s="1097">
        <v>0</v>
      </c>
      <c r="IO19" s="1098">
        <v>0</v>
      </c>
      <c r="IP19" s="1098">
        <v>0</v>
      </c>
      <c r="IQ19" s="1098">
        <v>0</v>
      </c>
      <c r="IR19" s="1098">
        <v>0</v>
      </c>
      <c r="IS19" s="1098">
        <v>0</v>
      </c>
      <c r="IT19" s="1098">
        <v>0</v>
      </c>
      <c r="IU19" s="1098">
        <v>0</v>
      </c>
      <c r="IV19" s="1098">
        <v>0</v>
      </c>
      <c r="IW19" s="1098">
        <v>0</v>
      </c>
      <c r="IX19" s="1098">
        <v>0</v>
      </c>
      <c r="IY19" s="1098">
        <v>0</v>
      </c>
      <c r="IZ19" s="1098">
        <v>0</v>
      </c>
      <c r="JA19" s="1097">
        <v>0</v>
      </c>
      <c r="JB19" s="1098">
        <v>0</v>
      </c>
      <c r="JC19" s="1098">
        <v>0</v>
      </c>
      <c r="JD19" s="1098"/>
      <c r="JE19" s="1098"/>
      <c r="JF19" s="1098"/>
      <c r="JG19" s="1098"/>
      <c r="JH19" s="1098"/>
      <c r="JI19" s="1098"/>
      <c r="JJ19" s="1098"/>
      <c r="JK19" s="1098"/>
      <c r="JL19" s="1098"/>
      <c r="JM19" s="1098"/>
      <c r="JN19" s="1097">
        <f t="shared" si="18"/>
        <v>0</v>
      </c>
      <c r="JP19" s="1174" t="str">
        <f t="shared" si="42"/>
        <v/>
      </c>
      <c r="JQ19" s="1175" t="str">
        <f t="shared" si="43"/>
        <v/>
      </c>
      <c r="JR19" s="1184">
        <f t="shared" si="44"/>
        <v>0</v>
      </c>
      <c r="JS19" s="1185">
        <f t="shared" si="45"/>
        <v>0</v>
      </c>
      <c r="JT19" s="1"/>
      <c r="JU19" s="1079">
        <f t="shared" si="46"/>
        <v>8349</v>
      </c>
      <c r="JV19" s="1080" t="s">
        <v>43</v>
      </c>
      <c r="JW19" s="1081" t="str">
        <f t="shared" si="47"/>
        <v>OK</v>
      </c>
    </row>
    <row r="20" spans="1:283" ht="15" customHeight="1" x14ac:dyDescent="0.2">
      <c r="A20" s="1166" t="s">
        <v>41</v>
      </c>
      <c r="B20" s="1098">
        <v>52</v>
      </c>
      <c r="C20" s="1098">
        <v>63.86</v>
      </c>
      <c r="D20" s="1098">
        <v>94</v>
      </c>
      <c r="E20" s="1098">
        <v>97</v>
      </c>
      <c r="F20" s="1098">
        <v>98</v>
      </c>
      <c r="G20" s="1098">
        <v>99</v>
      </c>
      <c r="H20" s="1098">
        <v>99.64</v>
      </c>
      <c r="I20" s="1098">
        <v>94</v>
      </c>
      <c r="J20" s="1098">
        <v>73</v>
      </c>
      <c r="K20" s="1098">
        <v>65</v>
      </c>
      <c r="L20" s="1098">
        <v>58</v>
      </c>
      <c r="M20" s="1098">
        <v>63</v>
      </c>
      <c r="N20" s="1097">
        <f t="shared" si="0"/>
        <v>956.5</v>
      </c>
      <c r="O20" s="1098">
        <v>71</v>
      </c>
      <c r="P20" s="1098">
        <v>72</v>
      </c>
      <c r="Q20" s="1098">
        <v>83</v>
      </c>
      <c r="R20" s="1098">
        <v>84</v>
      </c>
      <c r="S20" s="1098">
        <v>89</v>
      </c>
      <c r="T20" s="1098">
        <v>90</v>
      </c>
      <c r="U20" s="1098">
        <v>89</v>
      </c>
      <c r="V20" s="1098">
        <v>74</v>
      </c>
      <c r="W20" s="1098">
        <v>69</v>
      </c>
      <c r="X20" s="1098">
        <v>74</v>
      </c>
      <c r="Y20" s="1098">
        <v>71</v>
      </c>
      <c r="Z20" s="1098">
        <v>75</v>
      </c>
      <c r="AA20" s="1097">
        <f t="shared" si="1"/>
        <v>941</v>
      </c>
      <c r="AB20" s="1098">
        <v>79</v>
      </c>
      <c r="AC20" s="1098">
        <v>71</v>
      </c>
      <c r="AD20" s="1098">
        <v>93</v>
      </c>
      <c r="AE20" s="1098">
        <v>89</v>
      </c>
      <c r="AF20" s="1098">
        <v>89</v>
      </c>
      <c r="AG20" s="1098">
        <v>86</v>
      </c>
      <c r="AH20" s="1098">
        <v>84</v>
      </c>
      <c r="AI20" s="1098">
        <v>90</v>
      </c>
      <c r="AJ20" s="1098">
        <v>84</v>
      </c>
      <c r="AK20" s="1098">
        <v>85</v>
      </c>
      <c r="AL20" s="1098">
        <v>85</v>
      </c>
      <c r="AM20" s="1098">
        <v>88</v>
      </c>
      <c r="AN20" s="1097">
        <f t="shared" si="2"/>
        <v>1023</v>
      </c>
      <c r="AO20" s="1098">
        <v>74</v>
      </c>
      <c r="AP20" s="1098">
        <v>102</v>
      </c>
      <c r="AQ20" s="1098">
        <v>103</v>
      </c>
      <c r="AR20" s="1098">
        <v>90</v>
      </c>
      <c r="AS20" s="1098">
        <v>90</v>
      </c>
      <c r="AT20" s="1098">
        <v>88</v>
      </c>
      <c r="AU20" s="1098">
        <v>82</v>
      </c>
      <c r="AV20" s="1098">
        <v>107</v>
      </c>
      <c r="AW20" s="1098">
        <v>64</v>
      </c>
      <c r="AX20" s="1098">
        <v>71</v>
      </c>
      <c r="AY20" s="1098">
        <v>54</v>
      </c>
      <c r="AZ20" s="1098">
        <v>64</v>
      </c>
      <c r="BA20" s="1097">
        <f t="shared" si="3"/>
        <v>989</v>
      </c>
      <c r="BB20" s="1098">
        <v>85</v>
      </c>
      <c r="BC20" s="1098">
        <v>105</v>
      </c>
      <c r="BD20" s="1098">
        <v>128</v>
      </c>
      <c r="BE20" s="1098">
        <v>143</v>
      </c>
      <c r="BF20" s="1098">
        <v>111</v>
      </c>
      <c r="BG20" s="1098">
        <v>109</v>
      </c>
      <c r="BH20" s="1098">
        <v>127</v>
      </c>
      <c r="BI20" s="1098">
        <v>121</v>
      </c>
      <c r="BJ20" s="1098">
        <v>96</v>
      </c>
      <c r="BK20" s="1098">
        <v>165</v>
      </c>
      <c r="BL20" s="1098">
        <v>134</v>
      </c>
      <c r="BM20" s="1098">
        <v>93</v>
      </c>
      <c r="BN20" s="1097">
        <f t="shared" si="4"/>
        <v>1417</v>
      </c>
      <c r="BO20" s="1098">
        <v>97</v>
      </c>
      <c r="BP20" s="1098">
        <v>124</v>
      </c>
      <c r="BQ20" s="1098">
        <v>151</v>
      </c>
      <c r="BR20" s="1098">
        <v>147</v>
      </c>
      <c r="BS20" s="1098">
        <v>145</v>
      </c>
      <c r="BT20" s="1098">
        <v>115</v>
      </c>
      <c r="BU20" s="1098">
        <v>136</v>
      </c>
      <c r="BV20" s="1098">
        <v>96</v>
      </c>
      <c r="BW20" s="1098">
        <v>125</v>
      </c>
      <c r="BX20" s="1098">
        <v>102</v>
      </c>
      <c r="BY20" s="1098">
        <v>94</v>
      </c>
      <c r="BZ20" s="1098">
        <v>132</v>
      </c>
      <c r="CA20" s="1097">
        <f t="shared" si="5"/>
        <v>1464</v>
      </c>
      <c r="CB20" s="1098">
        <v>123</v>
      </c>
      <c r="CC20" s="1098">
        <v>84</v>
      </c>
      <c r="CD20" s="1098">
        <v>91</v>
      </c>
      <c r="CE20" s="1098">
        <v>116</v>
      </c>
      <c r="CF20" s="1098">
        <v>116</v>
      </c>
      <c r="CG20" s="1098">
        <v>164</v>
      </c>
      <c r="CH20" s="1098">
        <v>114</v>
      </c>
      <c r="CI20" s="1098">
        <v>217</v>
      </c>
      <c r="CJ20" s="1098">
        <v>51</v>
      </c>
      <c r="CK20" s="1098">
        <v>51</v>
      </c>
      <c r="CL20" s="1098">
        <v>60</v>
      </c>
      <c r="CM20" s="1098">
        <v>56</v>
      </c>
      <c r="CN20" s="1097">
        <f t="shared" si="6"/>
        <v>1243</v>
      </c>
      <c r="CO20" s="1098">
        <v>120</v>
      </c>
      <c r="CP20" s="1098">
        <v>127</v>
      </c>
      <c r="CQ20" s="1098">
        <v>124</v>
      </c>
      <c r="CR20" s="1098">
        <v>156</v>
      </c>
      <c r="CS20" s="1098">
        <v>134</v>
      </c>
      <c r="CT20" s="1098">
        <v>140</v>
      </c>
      <c r="CU20" s="1098">
        <v>96</v>
      </c>
      <c r="CV20" s="1098">
        <v>120</v>
      </c>
      <c r="CW20" s="1098">
        <v>100</v>
      </c>
      <c r="CX20" s="1098">
        <v>108</v>
      </c>
      <c r="CY20" s="1098">
        <v>133</v>
      </c>
      <c r="CZ20" s="1098">
        <v>155</v>
      </c>
      <c r="DA20" s="1097">
        <f t="shared" si="7"/>
        <v>1513</v>
      </c>
      <c r="DB20" s="1098">
        <v>116</v>
      </c>
      <c r="DC20" s="1098">
        <v>113</v>
      </c>
      <c r="DD20" s="1098">
        <v>134</v>
      </c>
      <c r="DE20" s="1098">
        <v>176</v>
      </c>
      <c r="DF20" s="1098">
        <v>134</v>
      </c>
      <c r="DG20" s="1098">
        <v>129</v>
      </c>
      <c r="DH20" s="1098">
        <v>77</v>
      </c>
      <c r="DI20" s="1098">
        <v>100</v>
      </c>
      <c r="DJ20" s="1098">
        <v>106</v>
      </c>
      <c r="DK20" s="1098">
        <v>100</v>
      </c>
      <c r="DL20" s="1098">
        <v>107</v>
      </c>
      <c r="DM20" s="1098">
        <v>143</v>
      </c>
      <c r="DN20" s="1097">
        <f t="shared" si="8"/>
        <v>1435</v>
      </c>
      <c r="DO20" s="1098">
        <v>77</v>
      </c>
      <c r="DP20" s="1098">
        <v>96</v>
      </c>
      <c r="DQ20" s="1098">
        <v>96</v>
      </c>
      <c r="DR20" s="1098">
        <v>45</v>
      </c>
      <c r="DS20" s="1098">
        <v>52</v>
      </c>
      <c r="DT20" s="1098">
        <v>51</v>
      </c>
      <c r="DU20" s="1098">
        <v>62</v>
      </c>
      <c r="DV20" s="1098">
        <v>39</v>
      </c>
      <c r="DW20" s="1098">
        <v>36</v>
      </c>
      <c r="DX20" s="1098">
        <v>83</v>
      </c>
      <c r="DY20" s="1098">
        <v>89</v>
      </c>
      <c r="DZ20" s="1098">
        <v>96</v>
      </c>
      <c r="EA20" s="1097">
        <f t="shared" si="9"/>
        <v>822</v>
      </c>
      <c r="EB20" s="1098">
        <v>63</v>
      </c>
      <c r="EC20" s="1098">
        <v>93</v>
      </c>
      <c r="ED20" s="1098">
        <v>102</v>
      </c>
      <c r="EE20" s="1098">
        <v>119</v>
      </c>
      <c r="EF20" s="1098">
        <v>76</v>
      </c>
      <c r="EG20" s="1098">
        <v>94</v>
      </c>
      <c r="EH20" s="1098">
        <v>107</v>
      </c>
      <c r="EI20" s="1098">
        <v>76</v>
      </c>
      <c r="EJ20" s="1098">
        <v>83</v>
      </c>
      <c r="EK20" s="1098">
        <v>104</v>
      </c>
      <c r="EL20" s="1098">
        <v>112</v>
      </c>
      <c r="EM20" s="1098">
        <v>111</v>
      </c>
      <c r="EN20" s="1097">
        <f t="shared" si="10"/>
        <v>1140</v>
      </c>
      <c r="EO20" s="1098">
        <v>73</v>
      </c>
      <c r="EP20" s="1098">
        <v>85</v>
      </c>
      <c r="EQ20" s="1098">
        <v>84</v>
      </c>
      <c r="ER20" s="1098">
        <v>108</v>
      </c>
      <c r="ES20" s="1098">
        <v>119</v>
      </c>
      <c r="ET20" s="1098">
        <v>120</v>
      </c>
      <c r="EU20" s="1098">
        <v>108</v>
      </c>
      <c r="EV20" s="1098">
        <v>108</v>
      </c>
      <c r="EW20" s="1098">
        <v>111</v>
      </c>
      <c r="EX20" s="1098">
        <v>110</v>
      </c>
      <c r="EY20" s="1098">
        <v>114</v>
      </c>
      <c r="EZ20" s="1098">
        <v>142</v>
      </c>
      <c r="FA20" s="1097">
        <f t="shared" si="11"/>
        <v>1282</v>
      </c>
      <c r="FB20" s="1098">
        <v>84</v>
      </c>
      <c r="FC20" s="1098">
        <v>108</v>
      </c>
      <c r="FD20" s="1098">
        <v>109</v>
      </c>
      <c r="FE20" s="1098">
        <v>100</v>
      </c>
      <c r="FF20" s="1098">
        <v>120</v>
      </c>
      <c r="FG20" s="1098">
        <v>156</v>
      </c>
      <c r="FH20" s="1098">
        <v>104</v>
      </c>
      <c r="FI20" s="1098">
        <v>127</v>
      </c>
      <c r="FJ20" s="1098">
        <v>99</v>
      </c>
      <c r="FK20" s="1098">
        <v>106</v>
      </c>
      <c r="FL20" s="1098">
        <v>111</v>
      </c>
      <c r="FM20" s="1098">
        <v>119</v>
      </c>
      <c r="FN20" s="1097">
        <f t="shared" si="12"/>
        <v>1343</v>
      </c>
      <c r="FO20" s="1098">
        <v>96</v>
      </c>
      <c r="FP20" s="1098">
        <v>111</v>
      </c>
      <c r="FQ20" s="1098">
        <v>92</v>
      </c>
      <c r="FR20" s="1098">
        <v>90</v>
      </c>
      <c r="FS20" s="1098">
        <v>110</v>
      </c>
      <c r="FT20" s="1098">
        <v>152</v>
      </c>
      <c r="FU20" s="1098">
        <v>148</v>
      </c>
      <c r="FV20" s="1098">
        <v>134</v>
      </c>
      <c r="FW20" s="1098">
        <v>134</v>
      </c>
      <c r="FX20" s="1098">
        <v>182</v>
      </c>
      <c r="FY20" s="1098">
        <v>163</v>
      </c>
      <c r="FZ20" s="1098">
        <v>100</v>
      </c>
      <c r="GA20" s="1097">
        <f t="shared" si="13"/>
        <v>1512</v>
      </c>
      <c r="GB20" s="1098">
        <v>122</v>
      </c>
      <c r="GC20" s="1098">
        <v>138</v>
      </c>
      <c r="GD20" s="1098">
        <v>142</v>
      </c>
      <c r="GE20" s="1098">
        <v>132</v>
      </c>
      <c r="GF20" s="1098">
        <v>141.5</v>
      </c>
      <c r="GG20" s="1098">
        <v>145</v>
      </c>
      <c r="GH20" s="1098">
        <v>163</v>
      </c>
      <c r="GI20" s="1098">
        <v>123</v>
      </c>
      <c r="GJ20" s="1098">
        <v>111</v>
      </c>
      <c r="GK20" s="1098">
        <v>191</v>
      </c>
      <c r="GL20" s="1098">
        <v>118</v>
      </c>
      <c r="GM20" s="1098">
        <v>82</v>
      </c>
      <c r="GN20" s="1097">
        <f t="shared" si="14"/>
        <v>1608.5</v>
      </c>
      <c r="GO20" s="1098">
        <v>129.39999999999998</v>
      </c>
      <c r="GP20" s="1098">
        <v>148.80000000000001</v>
      </c>
      <c r="GQ20" s="1098">
        <v>126.8</v>
      </c>
      <c r="GR20" s="1098">
        <v>117.4</v>
      </c>
      <c r="GS20" s="1098">
        <v>137.9</v>
      </c>
      <c r="GT20" s="1098">
        <v>121.1</v>
      </c>
      <c r="GU20" s="1098">
        <v>150.6</v>
      </c>
      <c r="GV20" s="1098">
        <v>150.4</v>
      </c>
      <c r="GW20" s="1098">
        <v>116</v>
      </c>
      <c r="GX20" s="1098">
        <v>182.3</v>
      </c>
      <c r="GY20" s="1098">
        <v>164.6</v>
      </c>
      <c r="GZ20" s="1098">
        <v>157.30000000000001</v>
      </c>
      <c r="HA20" s="1097">
        <f t="shared" si="15"/>
        <v>1702.6</v>
      </c>
      <c r="HB20" s="1098">
        <v>98.899999999999991</v>
      </c>
      <c r="HC20" s="1098">
        <v>145.69999999999999</v>
      </c>
      <c r="HD20" s="1098">
        <v>119.7</v>
      </c>
      <c r="HE20" s="1098">
        <v>108.1</v>
      </c>
      <c r="HF20" s="1098">
        <v>110.1</v>
      </c>
      <c r="HG20" s="1098">
        <v>116.4</v>
      </c>
      <c r="HH20" s="1098">
        <v>117</v>
      </c>
      <c r="HI20" s="1098">
        <v>111.3</v>
      </c>
      <c r="HJ20" s="1098">
        <v>117</v>
      </c>
      <c r="HK20" s="1098">
        <v>118.1</v>
      </c>
      <c r="HL20" s="1098">
        <v>122.6</v>
      </c>
      <c r="HM20" s="1098">
        <v>131.69999999999999</v>
      </c>
      <c r="HN20" s="1097">
        <f t="shared" si="16"/>
        <v>1416.5999999999997</v>
      </c>
      <c r="HO20" s="1098">
        <v>77.3</v>
      </c>
      <c r="HP20" s="1098">
        <v>101.5</v>
      </c>
      <c r="HQ20" s="1098">
        <v>116</v>
      </c>
      <c r="HR20" s="1098">
        <v>127</v>
      </c>
      <c r="HS20" s="1098">
        <v>84</v>
      </c>
      <c r="HT20" s="1098">
        <v>83.899999999999991</v>
      </c>
      <c r="HU20" s="1098">
        <v>60.8</v>
      </c>
      <c r="HV20" s="1098">
        <v>60</v>
      </c>
      <c r="HW20" s="1098">
        <v>60.6</v>
      </c>
      <c r="HX20" s="1098">
        <v>62.8</v>
      </c>
      <c r="HY20" s="1098">
        <v>87.300000000000011</v>
      </c>
      <c r="HZ20" s="1098">
        <v>113</v>
      </c>
      <c r="IA20" s="1097">
        <f t="shared" si="17"/>
        <v>1034.2</v>
      </c>
      <c r="IB20" s="1098">
        <v>94.5</v>
      </c>
      <c r="IC20" s="1098">
        <v>95.5</v>
      </c>
      <c r="ID20" s="1098">
        <v>108</v>
      </c>
      <c r="IE20" s="1098">
        <v>104.4</v>
      </c>
      <c r="IF20" s="1098">
        <v>89</v>
      </c>
      <c r="IG20" s="1098">
        <v>72.5</v>
      </c>
      <c r="IH20" s="1098">
        <v>66.3</v>
      </c>
      <c r="II20" s="1098">
        <v>71.099999999999994</v>
      </c>
      <c r="IJ20" s="1098">
        <v>71.61999999999999</v>
      </c>
      <c r="IK20" s="1098">
        <v>70.45</v>
      </c>
      <c r="IL20" s="1098">
        <v>72.400000000000006</v>
      </c>
      <c r="IM20" s="1098">
        <v>84.800000000000011</v>
      </c>
      <c r="IN20" s="1097">
        <v>1000.5699999999999</v>
      </c>
      <c r="IO20" s="1098">
        <v>68.5</v>
      </c>
      <c r="IP20" s="1098">
        <v>58.6</v>
      </c>
      <c r="IQ20" s="1098">
        <v>56</v>
      </c>
      <c r="IR20" s="1098">
        <v>51.7</v>
      </c>
      <c r="IS20" s="1098">
        <v>78.3</v>
      </c>
      <c r="IT20" s="1098">
        <v>66.900000000000006</v>
      </c>
      <c r="IU20" s="1098">
        <v>71.3</v>
      </c>
      <c r="IV20" s="1098">
        <v>84.8</v>
      </c>
      <c r="IW20" s="1098">
        <v>90</v>
      </c>
      <c r="IX20" s="1098">
        <v>95.6</v>
      </c>
      <c r="IY20" s="1098">
        <v>86.4</v>
      </c>
      <c r="IZ20" s="1098">
        <v>102.2</v>
      </c>
      <c r="JA20" s="1097">
        <v>910.30000000000007</v>
      </c>
      <c r="JB20" s="1098">
        <v>64</v>
      </c>
      <c r="JC20" s="1098">
        <v>52.5</v>
      </c>
      <c r="JD20" s="1098"/>
      <c r="JE20" s="1098"/>
      <c r="JF20" s="1098"/>
      <c r="JG20" s="1098"/>
      <c r="JH20" s="1098"/>
      <c r="JI20" s="1098"/>
      <c r="JJ20" s="1098"/>
      <c r="JK20" s="1098"/>
      <c r="JL20" s="1098"/>
      <c r="JM20" s="1098"/>
      <c r="JN20" s="1097">
        <f t="shared" si="18"/>
        <v>116.5</v>
      </c>
      <c r="JP20" s="1174">
        <f t="shared" si="42"/>
        <v>20.518867924528283</v>
      </c>
      <c r="JQ20" s="1175">
        <f t="shared" si="43"/>
        <v>-9.0218575412015056</v>
      </c>
      <c r="JR20" s="1184">
        <f t="shared" si="44"/>
        <v>1000.5699999999999</v>
      </c>
      <c r="JS20" s="1185">
        <f t="shared" si="45"/>
        <v>910.30000000000007</v>
      </c>
      <c r="JT20" s="1"/>
      <c r="JU20" s="1079">
        <f t="shared" si="46"/>
        <v>49739.540000000023</v>
      </c>
      <c r="JV20" s="1080" t="s">
        <v>41</v>
      </c>
      <c r="JW20" s="1081" t="str">
        <f t="shared" si="47"/>
        <v>OK</v>
      </c>
    </row>
    <row r="21" spans="1:283" ht="15" customHeight="1" x14ac:dyDescent="0.2">
      <c r="A21" s="1166" t="s">
        <v>575</v>
      </c>
      <c r="B21" s="1098">
        <v>39</v>
      </c>
      <c r="C21" s="1098">
        <v>26</v>
      </c>
      <c r="D21" s="1098">
        <v>20</v>
      </c>
      <c r="E21" s="1098">
        <v>20</v>
      </c>
      <c r="F21" s="1098">
        <v>89</v>
      </c>
      <c r="G21" s="1098">
        <v>40</v>
      </c>
      <c r="H21" s="1098">
        <v>62</v>
      </c>
      <c r="I21" s="1098">
        <v>34</v>
      </c>
      <c r="J21" s="1098">
        <v>34</v>
      </c>
      <c r="K21" s="1098">
        <v>14</v>
      </c>
      <c r="L21" s="1098">
        <v>34</v>
      </c>
      <c r="M21" s="1098">
        <v>42</v>
      </c>
      <c r="N21" s="1097">
        <f t="shared" si="0"/>
        <v>454</v>
      </c>
      <c r="O21" s="1098">
        <v>21</v>
      </c>
      <c r="P21" s="1098">
        <v>7</v>
      </c>
      <c r="Q21" s="1098">
        <v>28</v>
      </c>
      <c r="R21" s="1098">
        <v>70</v>
      </c>
      <c r="S21" s="1098">
        <v>22</v>
      </c>
      <c r="T21" s="1098">
        <v>38</v>
      </c>
      <c r="U21" s="1098">
        <v>60</v>
      </c>
      <c r="V21" s="1098">
        <v>37</v>
      </c>
      <c r="W21" s="1098">
        <v>52</v>
      </c>
      <c r="X21" s="1098">
        <v>42</v>
      </c>
      <c r="Y21" s="1098">
        <v>26</v>
      </c>
      <c r="Z21" s="1098">
        <v>54</v>
      </c>
      <c r="AA21" s="1097">
        <f t="shared" si="1"/>
        <v>457</v>
      </c>
      <c r="AB21" s="1098">
        <v>45</v>
      </c>
      <c r="AC21" s="1098">
        <v>36</v>
      </c>
      <c r="AD21" s="1098">
        <v>66</v>
      </c>
      <c r="AE21" s="1098">
        <v>75</v>
      </c>
      <c r="AF21" s="1098">
        <v>61</v>
      </c>
      <c r="AG21" s="1098">
        <v>24</v>
      </c>
      <c r="AH21" s="1098">
        <v>67</v>
      </c>
      <c r="AI21" s="1098">
        <v>73</v>
      </c>
      <c r="AJ21" s="1098">
        <v>78</v>
      </c>
      <c r="AK21" s="1098">
        <v>38</v>
      </c>
      <c r="AL21" s="1098">
        <v>43</v>
      </c>
      <c r="AM21" s="1098">
        <v>50</v>
      </c>
      <c r="AN21" s="1097">
        <f t="shared" si="2"/>
        <v>656</v>
      </c>
      <c r="AO21" s="1098">
        <v>60</v>
      </c>
      <c r="AP21" s="1098">
        <v>64</v>
      </c>
      <c r="AQ21" s="1098">
        <v>46</v>
      </c>
      <c r="AR21" s="1098">
        <v>63</v>
      </c>
      <c r="AS21" s="1098">
        <v>69</v>
      </c>
      <c r="AT21" s="1098">
        <v>53</v>
      </c>
      <c r="AU21" s="1098">
        <v>91</v>
      </c>
      <c r="AV21" s="1098">
        <v>51</v>
      </c>
      <c r="AW21" s="1098">
        <v>62</v>
      </c>
      <c r="AX21" s="1098">
        <v>43</v>
      </c>
      <c r="AY21" s="1098">
        <v>58</v>
      </c>
      <c r="AZ21" s="1098">
        <v>80</v>
      </c>
      <c r="BA21" s="1097">
        <f t="shared" si="3"/>
        <v>740</v>
      </c>
      <c r="BB21" s="1098">
        <v>43</v>
      </c>
      <c r="BC21" s="1098">
        <v>13</v>
      </c>
      <c r="BD21" s="1098">
        <v>19</v>
      </c>
      <c r="BE21" s="1098">
        <v>27</v>
      </c>
      <c r="BF21" s="1098">
        <v>40</v>
      </c>
      <c r="BG21" s="1098">
        <v>26</v>
      </c>
      <c r="BH21" s="1098">
        <v>22</v>
      </c>
      <c r="BI21" s="1098">
        <v>28</v>
      </c>
      <c r="BJ21" s="1098">
        <v>23</v>
      </c>
      <c r="BK21" s="1098">
        <v>30</v>
      </c>
      <c r="BL21" s="1098">
        <v>14</v>
      </c>
      <c r="BM21" s="1098">
        <v>12</v>
      </c>
      <c r="BN21" s="1097">
        <f t="shared" si="4"/>
        <v>297</v>
      </c>
      <c r="BO21" s="1098">
        <v>22</v>
      </c>
      <c r="BP21" s="1098">
        <v>24</v>
      </c>
      <c r="BQ21" s="1098">
        <v>26</v>
      </c>
      <c r="BR21" s="1098">
        <v>20</v>
      </c>
      <c r="BS21" s="1098">
        <v>25</v>
      </c>
      <c r="BT21" s="1098">
        <v>23</v>
      </c>
      <c r="BU21" s="1098">
        <v>18</v>
      </c>
      <c r="BV21" s="1098">
        <v>14</v>
      </c>
      <c r="BW21" s="1098">
        <v>16</v>
      </c>
      <c r="BX21" s="1098">
        <v>9</v>
      </c>
      <c r="BY21" s="1098">
        <v>15</v>
      </c>
      <c r="BZ21" s="1098">
        <v>14</v>
      </c>
      <c r="CA21" s="1097">
        <f t="shared" si="5"/>
        <v>226</v>
      </c>
      <c r="CB21" s="1098">
        <v>20</v>
      </c>
      <c r="CC21" s="1098">
        <v>21</v>
      </c>
      <c r="CD21" s="1098">
        <v>18</v>
      </c>
      <c r="CE21" s="1098">
        <v>8</v>
      </c>
      <c r="CF21" s="1098">
        <v>16</v>
      </c>
      <c r="CG21" s="1098">
        <v>14</v>
      </c>
      <c r="CH21" s="1098">
        <v>17</v>
      </c>
      <c r="CI21" s="1098">
        <v>20</v>
      </c>
      <c r="CJ21" s="1098">
        <v>9</v>
      </c>
      <c r="CK21" s="1098">
        <v>10</v>
      </c>
      <c r="CL21" s="1098">
        <v>15</v>
      </c>
      <c r="CM21" s="1098">
        <v>36</v>
      </c>
      <c r="CN21" s="1097">
        <f t="shared" si="6"/>
        <v>204</v>
      </c>
      <c r="CO21" s="1098">
        <v>14</v>
      </c>
      <c r="CP21" s="1098">
        <v>4</v>
      </c>
      <c r="CQ21" s="1098"/>
      <c r="CR21" s="1098">
        <v>4</v>
      </c>
      <c r="CS21" s="1098">
        <v>4</v>
      </c>
      <c r="CT21" s="1098">
        <v>4</v>
      </c>
      <c r="CU21" s="1098">
        <v>5</v>
      </c>
      <c r="CV21" s="1098">
        <v>4</v>
      </c>
      <c r="CW21" s="1098">
        <v>14</v>
      </c>
      <c r="CX21" s="1098">
        <v>18</v>
      </c>
      <c r="CY21" s="1098"/>
      <c r="CZ21" s="1098">
        <v>7</v>
      </c>
      <c r="DA21" s="1097">
        <f t="shared" si="7"/>
        <v>78</v>
      </c>
      <c r="DB21" s="1098">
        <v>7</v>
      </c>
      <c r="DC21" s="1098">
        <v>14</v>
      </c>
      <c r="DD21" s="1098">
        <v>7</v>
      </c>
      <c r="DE21" s="1098"/>
      <c r="DF21" s="1098"/>
      <c r="DG21" s="1098"/>
      <c r="DH21" s="1098"/>
      <c r="DI21" s="1098"/>
      <c r="DJ21" s="1098"/>
      <c r="DK21" s="1098"/>
      <c r="DL21" s="1098"/>
      <c r="DM21" s="1098"/>
      <c r="DN21" s="1097">
        <f t="shared" si="8"/>
        <v>28</v>
      </c>
      <c r="DO21" s="1098"/>
      <c r="DP21" s="1098"/>
      <c r="DQ21" s="1098"/>
      <c r="DR21" s="1098"/>
      <c r="DS21" s="1098"/>
      <c r="DT21" s="1098"/>
      <c r="DU21" s="1098"/>
      <c r="DV21" s="1098"/>
      <c r="DW21" s="1098"/>
      <c r="DX21" s="1098"/>
      <c r="DY21" s="1098"/>
      <c r="DZ21" s="1098"/>
      <c r="EA21" s="1097">
        <f t="shared" si="9"/>
        <v>0</v>
      </c>
      <c r="EB21" s="1098"/>
      <c r="EC21" s="1098"/>
      <c r="ED21" s="1098"/>
      <c r="EE21" s="1098"/>
      <c r="EF21" s="1098"/>
      <c r="EG21" s="1098"/>
      <c r="EH21" s="1098"/>
      <c r="EI21" s="1098"/>
      <c r="EJ21" s="1098"/>
      <c r="EK21" s="1098"/>
      <c r="EL21" s="1098"/>
      <c r="EM21" s="1098"/>
      <c r="EN21" s="1097">
        <f t="shared" si="10"/>
        <v>0</v>
      </c>
      <c r="EO21" s="1098"/>
      <c r="EP21" s="1098"/>
      <c r="EQ21" s="1098"/>
      <c r="ER21" s="1098"/>
      <c r="ES21" s="1098"/>
      <c r="ET21" s="1098"/>
      <c r="EU21" s="1098"/>
      <c r="EV21" s="1098"/>
      <c r="EW21" s="1098"/>
      <c r="EX21" s="1098"/>
      <c r="EY21" s="1098"/>
      <c r="EZ21" s="1098"/>
      <c r="FA21" s="1097">
        <f t="shared" si="11"/>
        <v>0</v>
      </c>
      <c r="FB21" s="1098"/>
      <c r="FC21" s="1098"/>
      <c r="FD21" s="1098"/>
      <c r="FE21" s="1098"/>
      <c r="FF21" s="1098"/>
      <c r="FG21" s="1098"/>
      <c r="FH21" s="1098"/>
      <c r="FI21" s="1098"/>
      <c r="FJ21" s="1098"/>
      <c r="FK21" s="1098"/>
      <c r="FL21" s="1098"/>
      <c r="FM21" s="1098"/>
      <c r="FN21" s="1097">
        <f t="shared" si="12"/>
        <v>0</v>
      </c>
      <c r="FO21" s="1098"/>
      <c r="FP21" s="1098"/>
      <c r="FQ21" s="1098"/>
      <c r="FR21" s="1098"/>
      <c r="FS21" s="1098"/>
      <c r="FT21" s="1098"/>
      <c r="FU21" s="1098"/>
      <c r="FV21" s="1098"/>
      <c r="FW21" s="1098"/>
      <c r="FX21" s="1098"/>
      <c r="FY21" s="1098"/>
      <c r="FZ21" s="1098"/>
      <c r="GA21" s="1097">
        <f t="shared" si="13"/>
        <v>0</v>
      </c>
      <c r="GB21" s="1098"/>
      <c r="GC21" s="1098"/>
      <c r="GD21" s="1098"/>
      <c r="GE21" s="1098"/>
      <c r="GF21" s="1098"/>
      <c r="GG21" s="1098"/>
      <c r="GH21" s="1098"/>
      <c r="GI21" s="1098"/>
      <c r="GJ21" s="1098"/>
      <c r="GK21" s="1098"/>
      <c r="GL21" s="1098"/>
      <c r="GM21" s="1098"/>
      <c r="GN21" s="1097">
        <f t="shared" si="14"/>
        <v>0</v>
      </c>
      <c r="GO21" s="1098"/>
      <c r="GP21" s="1098"/>
      <c r="GQ21" s="1098"/>
      <c r="GR21" s="1098"/>
      <c r="GS21" s="1098"/>
      <c r="GT21" s="1098"/>
      <c r="GU21" s="1098"/>
      <c r="GV21" s="1098"/>
      <c r="GW21" s="1098"/>
      <c r="GX21" s="1098"/>
      <c r="GY21" s="1098"/>
      <c r="GZ21" s="1098"/>
      <c r="HA21" s="1097">
        <f t="shared" si="15"/>
        <v>0</v>
      </c>
      <c r="HB21" s="1098"/>
      <c r="HC21" s="1098"/>
      <c r="HD21" s="1098"/>
      <c r="HE21" s="1098"/>
      <c r="HF21" s="1098"/>
      <c r="HG21" s="1098"/>
      <c r="HH21" s="1098"/>
      <c r="HI21" s="1098"/>
      <c r="HJ21" s="1098"/>
      <c r="HK21" s="1098"/>
      <c r="HL21" s="1098"/>
      <c r="HM21" s="1098"/>
      <c r="HN21" s="1097">
        <f t="shared" si="16"/>
        <v>0</v>
      </c>
      <c r="HO21" s="1098"/>
      <c r="HP21" s="1098"/>
      <c r="HQ21" s="1098"/>
      <c r="HR21" s="1098"/>
      <c r="HS21" s="1098"/>
      <c r="HT21" s="1098"/>
      <c r="HU21" s="1098"/>
      <c r="HV21" s="1098"/>
      <c r="HW21" s="1098"/>
      <c r="HX21" s="1098"/>
      <c r="HY21" s="1098"/>
      <c r="HZ21" s="1098"/>
      <c r="IA21" s="1097">
        <f t="shared" si="17"/>
        <v>0</v>
      </c>
      <c r="IB21" s="1098">
        <v>0</v>
      </c>
      <c r="IC21" s="1098">
        <v>0</v>
      </c>
      <c r="ID21" s="1098">
        <v>0</v>
      </c>
      <c r="IE21" s="1098">
        <v>0</v>
      </c>
      <c r="IF21" s="1098">
        <v>0</v>
      </c>
      <c r="IG21" s="1098">
        <v>0</v>
      </c>
      <c r="IH21" s="1098">
        <v>0</v>
      </c>
      <c r="II21" s="1098">
        <v>0</v>
      </c>
      <c r="IJ21" s="1098">
        <v>0</v>
      </c>
      <c r="IK21" s="1098">
        <v>0</v>
      </c>
      <c r="IL21" s="1098">
        <v>0</v>
      </c>
      <c r="IM21" s="1098">
        <v>0</v>
      </c>
      <c r="IN21" s="1097">
        <v>0</v>
      </c>
      <c r="IO21" s="1098">
        <v>0</v>
      </c>
      <c r="IP21" s="1098">
        <v>0</v>
      </c>
      <c r="IQ21" s="1098">
        <v>0</v>
      </c>
      <c r="IR21" s="1098">
        <v>0</v>
      </c>
      <c r="IS21" s="1098">
        <v>0</v>
      </c>
      <c r="IT21" s="1098">
        <v>0</v>
      </c>
      <c r="IU21" s="1098">
        <v>0</v>
      </c>
      <c r="IV21" s="1098">
        <v>0</v>
      </c>
      <c r="IW21" s="1098">
        <v>0</v>
      </c>
      <c r="IX21" s="1098">
        <v>0</v>
      </c>
      <c r="IY21" s="1098">
        <v>0</v>
      </c>
      <c r="IZ21" s="1098">
        <v>0</v>
      </c>
      <c r="JA21" s="1097">
        <v>0</v>
      </c>
      <c r="JB21" s="1098">
        <v>0</v>
      </c>
      <c r="JC21" s="1098">
        <v>0</v>
      </c>
      <c r="JD21" s="1098"/>
      <c r="JE21" s="1098"/>
      <c r="JF21" s="1098"/>
      <c r="JG21" s="1098"/>
      <c r="JH21" s="1098"/>
      <c r="JI21" s="1098"/>
      <c r="JJ21" s="1098"/>
      <c r="JK21" s="1098"/>
      <c r="JL21" s="1098"/>
      <c r="JM21" s="1098"/>
      <c r="JN21" s="1097">
        <f t="shared" si="18"/>
        <v>0</v>
      </c>
      <c r="JP21" s="1174" t="str">
        <f t="shared" si="42"/>
        <v/>
      </c>
      <c r="JQ21" s="1175" t="str">
        <f t="shared" si="43"/>
        <v/>
      </c>
      <c r="JR21" s="1184">
        <f t="shared" si="44"/>
        <v>0</v>
      </c>
      <c r="JS21" s="1185">
        <f t="shared" si="45"/>
        <v>0</v>
      </c>
      <c r="JT21" s="1"/>
      <c r="JU21" s="1079">
        <f t="shared" si="46"/>
        <v>6280</v>
      </c>
      <c r="JV21" s="1080" t="s">
        <v>575</v>
      </c>
      <c r="JW21" s="1081" t="str">
        <f t="shared" si="47"/>
        <v>OK</v>
      </c>
    </row>
    <row r="22" spans="1:283" ht="15" customHeight="1" x14ac:dyDescent="0.2">
      <c r="A22" s="1166" t="s">
        <v>576</v>
      </c>
      <c r="B22" s="1098">
        <v>54</v>
      </c>
      <c r="C22" s="1098">
        <v>69.5</v>
      </c>
      <c r="D22" s="1098">
        <v>112</v>
      </c>
      <c r="E22" s="1098">
        <v>59</v>
      </c>
      <c r="F22" s="1098">
        <v>44</v>
      </c>
      <c r="G22" s="1098">
        <v>28</v>
      </c>
      <c r="H22" s="1098">
        <v>4.5</v>
      </c>
      <c r="I22" s="1098">
        <v>4</v>
      </c>
      <c r="J22" s="1098">
        <v>3</v>
      </c>
      <c r="K22" s="1098">
        <v>2</v>
      </c>
      <c r="L22" s="1098">
        <v>1</v>
      </c>
      <c r="M22" s="1098">
        <v>1</v>
      </c>
      <c r="N22" s="1097">
        <f t="shared" si="0"/>
        <v>382</v>
      </c>
      <c r="O22" s="1098">
        <v>42</v>
      </c>
      <c r="P22" s="1098">
        <v>70</v>
      </c>
      <c r="Q22" s="1098">
        <v>77</v>
      </c>
      <c r="R22" s="1098">
        <v>37</v>
      </c>
      <c r="S22" s="1098">
        <v>29</v>
      </c>
      <c r="T22" s="1098">
        <v>29</v>
      </c>
      <c r="U22" s="1098">
        <v>8</v>
      </c>
      <c r="V22" s="1098">
        <v>5</v>
      </c>
      <c r="W22" s="1098">
        <v>1</v>
      </c>
      <c r="X22" s="1098">
        <v>1</v>
      </c>
      <c r="Y22" s="1098">
        <v>1</v>
      </c>
      <c r="Z22" s="1098">
        <v>1</v>
      </c>
      <c r="AA22" s="1097">
        <f t="shared" si="1"/>
        <v>301</v>
      </c>
      <c r="AB22" s="1098">
        <v>41</v>
      </c>
      <c r="AC22" s="1098">
        <v>68</v>
      </c>
      <c r="AD22" s="1098">
        <v>87</v>
      </c>
      <c r="AE22" s="1098">
        <v>37</v>
      </c>
      <c r="AF22" s="1098">
        <v>30</v>
      </c>
      <c r="AG22" s="1098">
        <v>19</v>
      </c>
      <c r="AH22" s="1098">
        <v>9</v>
      </c>
      <c r="AI22" s="1098">
        <v>8</v>
      </c>
      <c r="AJ22" s="1098">
        <v>2</v>
      </c>
      <c r="AK22" s="1098">
        <v>3</v>
      </c>
      <c r="AL22" s="1098">
        <v>13</v>
      </c>
      <c r="AM22" s="1098">
        <v>14</v>
      </c>
      <c r="AN22" s="1097">
        <f t="shared" si="2"/>
        <v>331</v>
      </c>
      <c r="AO22" s="1098">
        <v>19</v>
      </c>
      <c r="AP22" s="1098">
        <v>72</v>
      </c>
      <c r="AQ22" s="1098">
        <v>80</v>
      </c>
      <c r="AR22" s="1098">
        <v>54</v>
      </c>
      <c r="AS22" s="1098">
        <v>20</v>
      </c>
      <c r="AT22" s="1098">
        <v>13</v>
      </c>
      <c r="AU22" s="1098">
        <v>4</v>
      </c>
      <c r="AV22" s="1098">
        <v>2</v>
      </c>
      <c r="AW22" s="1098">
        <v>2</v>
      </c>
      <c r="AX22" s="1098">
        <v>2</v>
      </c>
      <c r="AY22" s="1098">
        <v>3</v>
      </c>
      <c r="AZ22" s="1098">
        <v>4</v>
      </c>
      <c r="BA22" s="1097">
        <f t="shared" si="3"/>
        <v>275</v>
      </c>
      <c r="BB22" s="1098">
        <v>19</v>
      </c>
      <c r="BC22" s="1098">
        <v>53</v>
      </c>
      <c r="BD22" s="1098">
        <v>40</v>
      </c>
      <c r="BE22" s="1098">
        <v>35</v>
      </c>
      <c r="BF22" s="1098">
        <v>19</v>
      </c>
      <c r="BG22" s="1098">
        <v>16</v>
      </c>
      <c r="BH22" s="1098">
        <v>19</v>
      </c>
      <c r="BI22" s="1098">
        <v>4</v>
      </c>
      <c r="BJ22" s="1098">
        <v>2</v>
      </c>
      <c r="BK22" s="1098">
        <v>2</v>
      </c>
      <c r="BL22" s="1098">
        <v>2</v>
      </c>
      <c r="BM22" s="1098">
        <v>2</v>
      </c>
      <c r="BN22" s="1097">
        <f t="shared" si="4"/>
        <v>213</v>
      </c>
      <c r="BO22" s="1098">
        <v>20</v>
      </c>
      <c r="BP22" s="1098">
        <v>58</v>
      </c>
      <c r="BQ22" s="1098">
        <v>31</v>
      </c>
      <c r="BR22" s="1098">
        <v>25</v>
      </c>
      <c r="BS22" s="1098">
        <v>10</v>
      </c>
      <c r="BT22" s="1098">
        <v>12</v>
      </c>
      <c r="BU22" s="1098">
        <v>8</v>
      </c>
      <c r="BV22" s="1098">
        <v>5</v>
      </c>
      <c r="BW22" s="1098"/>
      <c r="BX22" s="1098"/>
      <c r="BY22" s="1098"/>
      <c r="BZ22" s="1098">
        <v>1</v>
      </c>
      <c r="CA22" s="1097">
        <f t="shared" si="5"/>
        <v>170</v>
      </c>
      <c r="CB22" s="1098">
        <v>12</v>
      </c>
      <c r="CC22" s="1098">
        <v>11</v>
      </c>
      <c r="CD22" s="1098">
        <v>13</v>
      </c>
      <c r="CE22" s="1098">
        <v>6</v>
      </c>
      <c r="CF22" s="1098">
        <v>3</v>
      </c>
      <c r="CG22" s="1098">
        <v>3</v>
      </c>
      <c r="CH22" s="1098">
        <v>3</v>
      </c>
      <c r="CI22" s="1098">
        <v>1</v>
      </c>
      <c r="CJ22" s="1098"/>
      <c r="CK22" s="1098"/>
      <c r="CL22" s="1098"/>
      <c r="CM22" s="1098"/>
      <c r="CN22" s="1097">
        <f t="shared" si="6"/>
        <v>52</v>
      </c>
      <c r="CO22" s="1098">
        <v>24</v>
      </c>
      <c r="CP22" s="1098">
        <v>44</v>
      </c>
      <c r="CQ22" s="1098">
        <v>37</v>
      </c>
      <c r="CR22" s="1098">
        <v>15</v>
      </c>
      <c r="CS22" s="1098">
        <v>11</v>
      </c>
      <c r="CT22" s="1098">
        <v>11</v>
      </c>
      <c r="CU22" s="1098">
        <v>7</v>
      </c>
      <c r="CV22" s="1098">
        <v>9</v>
      </c>
      <c r="CW22" s="1098">
        <v>5</v>
      </c>
      <c r="CX22" s="1098">
        <v>16</v>
      </c>
      <c r="CY22" s="1098">
        <v>13</v>
      </c>
      <c r="CZ22" s="1098">
        <v>3</v>
      </c>
      <c r="DA22" s="1097">
        <f t="shared" si="7"/>
        <v>195</v>
      </c>
      <c r="DB22" s="1098">
        <v>24</v>
      </c>
      <c r="DC22" s="1098">
        <v>41</v>
      </c>
      <c r="DD22" s="1098">
        <v>38</v>
      </c>
      <c r="DE22" s="1098">
        <v>16</v>
      </c>
      <c r="DF22" s="1098">
        <v>14</v>
      </c>
      <c r="DG22" s="1098">
        <v>5</v>
      </c>
      <c r="DH22" s="1098">
        <v>6</v>
      </c>
      <c r="DI22" s="1098">
        <v>5</v>
      </c>
      <c r="DJ22" s="1098">
        <v>6</v>
      </c>
      <c r="DK22" s="1098">
        <v>7</v>
      </c>
      <c r="DL22" s="1098">
        <v>7</v>
      </c>
      <c r="DM22" s="1098">
        <v>5</v>
      </c>
      <c r="DN22" s="1097">
        <f t="shared" si="8"/>
        <v>174</v>
      </c>
      <c r="DO22" s="1098">
        <v>12</v>
      </c>
      <c r="DP22" s="1098">
        <v>52</v>
      </c>
      <c r="DQ22" s="1098">
        <v>27</v>
      </c>
      <c r="DR22" s="1098">
        <v>1</v>
      </c>
      <c r="DS22" s="1098"/>
      <c r="DT22" s="1098"/>
      <c r="DU22" s="1098"/>
      <c r="DV22" s="1098"/>
      <c r="DW22" s="1098"/>
      <c r="DX22" s="1098"/>
      <c r="DY22" s="1098">
        <v>1</v>
      </c>
      <c r="DZ22" s="1098">
        <v>2</v>
      </c>
      <c r="EA22" s="1097">
        <f t="shared" si="9"/>
        <v>95</v>
      </c>
      <c r="EB22" s="1098">
        <v>15</v>
      </c>
      <c r="EC22" s="1098">
        <v>4</v>
      </c>
      <c r="ED22" s="1098">
        <v>7</v>
      </c>
      <c r="EE22" s="1098">
        <v>2</v>
      </c>
      <c r="EF22" s="1098"/>
      <c r="EG22" s="1098"/>
      <c r="EH22" s="1098"/>
      <c r="EI22" s="1098"/>
      <c r="EJ22" s="1098"/>
      <c r="EK22" s="1098"/>
      <c r="EL22" s="1098"/>
      <c r="EM22" s="1098">
        <v>2</v>
      </c>
      <c r="EN22" s="1097">
        <f t="shared" si="10"/>
        <v>30</v>
      </c>
      <c r="EO22" s="1098">
        <v>3</v>
      </c>
      <c r="EP22" s="1098">
        <v>3</v>
      </c>
      <c r="EQ22" s="1098">
        <v>2</v>
      </c>
      <c r="ER22" s="1098">
        <v>1</v>
      </c>
      <c r="ES22" s="1098"/>
      <c r="ET22" s="1098"/>
      <c r="EU22" s="1098"/>
      <c r="EV22" s="1098"/>
      <c r="EW22" s="1098"/>
      <c r="EX22" s="1098"/>
      <c r="EY22" s="1098"/>
      <c r="EZ22" s="1098"/>
      <c r="FA22" s="1097">
        <f t="shared" si="11"/>
        <v>9</v>
      </c>
      <c r="FB22" s="1098">
        <v>1</v>
      </c>
      <c r="FC22" s="1098">
        <v>2</v>
      </c>
      <c r="FD22" s="1098">
        <v>3</v>
      </c>
      <c r="FE22" s="1098">
        <v>1</v>
      </c>
      <c r="FF22" s="1098">
        <v>1</v>
      </c>
      <c r="FG22" s="1098"/>
      <c r="FH22" s="1098"/>
      <c r="FI22" s="1098"/>
      <c r="FJ22" s="1098"/>
      <c r="FK22" s="1098"/>
      <c r="FL22" s="1098"/>
      <c r="FM22" s="1098"/>
      <c r="FN22" s="1097">
        <f t="shared" si="12"/>
        <v>8</v>
      </c>
      <c r="FO22" s="1098">
        <v>3</v>
      </c>
      <c r="FP22" s="1098">
        <v>3</v>
      </c>
      <c r="FQ22" s="1098">
        <v>2</v>
      </c>
      <c r="FR22" s="1098"/>
      <c r="FS22" s="1098"/>
      <c r="FT22" s="1098"/>
      <c r="FU22" s="1098"/>
      <c r="FV22" s="1098"/>
      <c r="FW22" s="1098"/>
      <c r="FX22" s="1098"/>
      <c r="FY22" s="1098"/>
      <c r="FZ22" s="1098"/>
      <c r="GA22" s="1097">
        <f t="shared" si="13"/>
        <v>8</v>
      </c>
      <c r="GB22" s="1098">
        <v>2</v>
      </c>
      <c r="GC22" s="1098">
        <v>2</v>
      </c>
      <c r="GD22" s="1098">
        <v>1</v>
      </c>
      <c r="GE22" s="1098">
        <v>1</v>
      </c>
      <c r="GF22" s="1098">
        <v>0.45</v>
      </c>
      <c r="GG22" s="1098"/>
      <c r="GH22" s="1098"/>
      <c r="GI22" s="1098"/>
      <c r="GJ22" s="1098"/>
      <c r="GK22" s="1098"/>
      <c r="GL22" s="1098"/>
      <c r="GM22" s="1098"/>
      <c r="GN22" s="1097">
        <f t="shared" si="14"/>
        <v>6.45</v>
      </c>
      <c r="GO22" s="1098">
        <v>2</v>
      </c>
      <c r="GP22" s="1098">
        <v>1.5</v>
      </c>
      <c r="GQ22" s="1098">
        <v>2</v>
      </c>
      <c r="GR22" s="1098">
        <v>0.5</v>
      </c>
      <c r="GS22" s="1098">
        <v>0.6</v>
      </c>
      <c r="GT22" s="1098">
        <v>0.4</v>
      </c>
      <c r="GU22" s="1098"/>
      <c r="GV22" s="1098"/>
      <c r="GW22" s="1098"/>
      <c r="GX22" s="1098"/>
      <c r="GY22" s="1098"/>
      <c r="GZ22" s="1098"/>
      <c r="HA22" s="1097">
        <f t="shared" si="15"/>
        <v>7</v>
      </c>
      <c r="HB22" s="1098">
        <v>2</v>
      </c>
      <c r="HC22" s="1098">
        <v>1.5</v>
      </c>
      <c r="HD22" s="1098">
        <v>2.2000000000000002</v>
      </c>
      <c r="HE22" s="1098">
        <v>0.6</v>
      </c>
      <c r="HF22" s="1098">
        <v>0.7</v>
      </c>
      <c r="HG22" s="1098">
        <v>0.5</v>
      </c>
      <c r="HH22" s="1098"/>
      <c r="HI22" s="1098"/>
      <c r="HJ22" s="1098"/>
      <c r="HK22" s="1098"/>
      <c r="HL22" s="1098"/>
      <c r="HM22" s="1098">
        <v>0.5</v>
      </c>
      <c r="HN22" s="1097">
        <f t="shared" si="16"/>
        <v>8</v>
      </c>
      <c r="HO22" s="1098"/>
      <c r="HP22" s="1098">
        <v>3</v>
      </c>
      <c r="HQ22" s="1098">
        <v>1.5</v>
      </c>
      <c r="HR22" s="1098">
        <v>0.9</v>
      </c>
      <c r="HS22" s="1098">
        <v>0.5</v>
      </c>
      <c r="HT22" s="1098">
        <v>0.8</v>
      </c>
      <c r="HU22" s="1098"/>
      <c r="HV22" s="1098"/>
      <c r="HW22" s="1098"/>
      <c r="HX22" s="1098"/>
      <c r="HY22" s="1098"/>
      <c r="HZ22" s="1098">
        <v>0.7</v>
      </c>
      <c r="IA22" s="1097">
        <f t="shared" si="17"/>
        <v>7.4</v>
      </c>
      <c r="IB22" s="1098">
        <v>3</v>
      </c>
      <c r="IC22" s="1098">
        <v>1</v>
      </c>
      <c r="ID22" s="1098">
        <v>1.5</v>
      </c>
      <c r="IE22" s="1098">
        <v>1</v>
      </c>
      <c r="IF22" s="1098">
        <v>0</v>
      </c>
      <c r="IG22" s="1098">
        <v>0</v>
      </c>
      <c r="IH22" s="1098">
        <v>0</v>
      </c>
      <c r="II22" s="1098">
        <v>0</v>
      </c>
      <c r="IJ22" s="1098">
        <v>0</v>
      </c>
      <c r="IK22" s="1098">
        <v>0</v>
      </c>
      <c r="IL22" s="1098">
        <v>0</v>
      </c>
      <c r="IM22" s="1098">
        <v>1</v>
      </c>
      <c r="IN22" s="1097">
        <v>7.5</v>
      </c>
      <c r="IO22" s="1098">
        <v>2</v>
      </c>
      <c r="IP22" s="1098">
        <v>1</v>
      </c>
      <c r="IQ22" s="1098">
        <v>1</v>
      </c>
      <c r="IR22" s="1098">
        <v>0</v>
      </c>
      <c r="IS22" s="1098">
        <v>0</v>
      </c>
      <c r="IT22" s="1098">
        <v>0</v>
      </c>
      <c r="IU22" s="1098">
        <v>0</v>
      </c>
      <c r="IV22" s="1098">
        <v>0</v>
      </c>
      <c r="IW22" s="1098">
        <v>0</v>
      </c>
      <c r="IX22" s="1098">
        <v>0</v>
      </c>
      <c r="IY22" s="1098">
        <v>0</v>
      </c>
      <c r="IZ22" s="1098">
        <v>0</v>
      </c>
      <c r="JA22" s="1097">
        <v>4</v>
      </c>
      <c r="JB22" s="1098">
        <v>0</v>
      </c>
      <c r="JC22" s="1098">
        <v>0</v>
      </c>
      <c r="JD22" s="1098"/>
      <c r="JE22" s="1098"/>
      <c r="JF22" s="1098"/>
      <c r="JG22" s="1098"/>
      <c r="JH22" s="1098"/>
      <c r="JI22" s="1098"/>
      <c r="JJ22" s="1098"/>
      <c r="JK22" s="1098"/>
      <c r="JL22" s="1098"/>
      <c r="JM22" s="1098"/>
      <c r="JN22" s="1097">
        <f t="shared" si="18"/>
        <v>0</v>
      </c>
      <c r="JP22" s="1174">
        <f t="shared" si="42"/>
        <v>-100</v>
      </c>
      <c r="JQ22" s="1175">
        <f t="shared" si="43"/>
        <v>-46.666666666666664</v>
      </c>
      <c r="JR22" s="1184">
        <f t="shared" si="44"/>
        <v>7.5</v>
      </c>
      <c r="JS22" s="1185">
        <f t="shared" si="45"/>
        <v>4</v>
      </c>
      <c r="JT22" s="1"/>
      <c r="JU22" s="1079">
        <f t="shared" si="46"/>
        <v>4566.6999999999989</v>
      </c>
      <c r="JV22" s="1080" t="s">
        <v>576</v>
      </c>
      <c r="JW22" s="1081" t="str">
        <f t="shared" si="47"/>
        <v>OK</v>
      </c>
    </row>
    <row r="23" spans="1:283" ht="15" customHeight="1" x14ac:dyDescent="0.2">
      <c r="A23" s="1166" t="s">
        <v>33</v>
      </c>
      <c r="B23" s="1098">
        <v>219</v>
      </c>
      <c r="C23" s="1098">
        <v>661</v>
      </c>
      <c r="D23" s="1098">
        <v>68</v>
      </c>
      <c r="E23" s="1098"/>
      <c r="F23" s="1098"/>
      <c r="G23" s="1098"/>
      <c r="H23" s="1098"/>
      <c r="I23" s="1098"/>
      <c r="J23" s="1098"/>
      <c r="K23" s="1098"/>
      <c r="L23" s="1098"/>
      <c r="M23" s="1098"/>
      <c r="N23" s="1097">
        <f t="shared" si="0"/>
        <v>948</v>
      </c>
      <c r="O23" s="1098">
        <v>236</v>
      </c>
      <c r="P23" s="1098">
        <v>637</v>
      </c>
      <c r="Q23" s="1098">
        <v>75</v>
      </c>
      <c r="R23" s="1098"/>
      <c r="S23" s="1098"/>
      <c r="T23" s="1098"/>
      <c r="U23" s="1098"/>
      <c r="V23" s="1098"/>
      <c r="W23" s="1098"/>
      <c r="X23" s="1098"/>
      <c r="Y23" s="1098"/>
      <c r="Z23" s="1098">
        <v>7</v>
      </c>
      <c r="AA23" s="1097">
        <f t="shared" si="1"/>
        <v>955</v>
      </c>
      <c r="AB23" s="1098">
        <v>212</v>
      </c>
      <c r="AC23" s="1098">
        <v>517</v>
      </c>
      <c r="AD23" s="1098">
        <v>219</v>
      </c>
      <c r="AE23" s="1098"/>
      <c r="AF23" s="1098"/>
      <c r="AG23" s="1098"/>
      <c r="AH23" s="1098"/>
      <c r="AI23" s="1098"/>
      <c r="AJ23" s="1098"/>
      <c r="AK23" s="1098"/>
      <c r="AL23" s="1098"/>
      <c r="AM23" s="1098"/>
      <c r="AN23" s="1097">
        <f t="shared" si="2"/>
        <v>948</v>
      </c>
      <c r="AO23" s="1098">
        <v>235</v>
      </c>
      <c r="AP23" s="1098">
        <v>549</v>
      </c>
      <c r="AQ23" s="1098">
        <v>357</v>
      </c>
      <c r="AR23" s="1098"/>
      <c r="AS23" s="1098"/>
      <c r="AT23" s="1098"/>
      <c r="AU23" s="1098"/>
      <c r="AV23" s="1098"/>
      <c r="AW23" s="1098"/>
      <c r="AX23" s="1098"/>
      <c r="AY23" s="1098"/>
      <c r="AZ23" s="1098"/>
      <c r="BA23" s="1097">
        <f t="shared" si="3"/>
        <v>1141</v>
      </c>
      <c r="BB23" s="1098">
        <v>228</v>
      </c>
      <c r="BC23" s="1098">
        <v>517</v>
      </c>
      <c r="BD23" s="1098">
        <v>65</v>
      </c>
      <c r="BE23" s="1098"/>
      <c r="BF23" s="1098"/>
      <c r="BG23" s="1098"/>
      <c r="BH23" s="1098"/>
      <c r="BI23" s="1098"/>
      <c r="BJ23" s="1098"/>
      <c r="BK23" s="1098"/>
      <c r="BL23" s="1098"/>
      <c r="BM23" s="1098"/>
      <c r="BN23" s="1097">
        <f t="shared" si="4"/>
        <v>810</v>
      </c>
      <c r="BO23" s="1098">
        <v>164</v>
      </c>
      <c r="BP23" s="1098">
        <v>494</v>
      </c>
      <c r="BQ23" s="1098">
        <v>160</v>
      </c>
      <c r="BR23" s="1098">
        <v>10</v>
      </c>
      <c r="BS23" s="1098"/>
      <c r="BT23" s="1098"/>
      <c r="BU23" s="1098"/>
      <c r="BV23" s="1098"/>
      <c r="BW23" s="1098"/>
      <c r="BX23" s="1098"/>
      <c r="BY23" s="1098"/>
      <c r="BZ23" s="1098"/>
      <c r="CA23" s="1097">
        <f t="shared" si="5"/>
        <v>828</v>
      </c>
      <c r="CB23" s="1098">
        <v>162</v>
      </c>
      <c r="CC23" s="1098"/>
      <c r="CD23" s="1098">
        <v>178</v>
      </c>
      <c r="CE23" s="1098"/>
      <c r="CF23" s="1098"/>
      <c r="CG23" s="1098"/>
      <c r="CH23" s="1098"/>
      <c r="CI23" s="1098"/>
      <c r="CJ23" s="1098"/>
      <c r="CK23" s="1098"/>
      <c r="CL23" s="1098"/>
      <c r="CM23" s="1098"/>
      <c r="CN23" s="1097">
        <f t="shared" si="6"/>
        <v>340</v>
      </c>
      <c r="CO23" s="1098">
        <v>168</v>
      </c>
      <c r="CP23" s="1098">
        <v>288</v>
      </c>
      <c r="CQ23" s="1098">
        <v>113</v>
      </c>
      <c r="CR23" s="1098">
        <v>5</v>
      </c>
      <c r="CS23" s="1098"/>
      <c r="CT23" s="1098"/>
      <c r="CU23" s="1098"/>
      <c r="CV23" s="1098"/>
      <c r="CW23" s="1098"/>
      <c r="CX23" s="1098"/>
      <c r="CY23" s="1098"/>
      <c r="CZ23" s="1098"/>
      <c r="DA23" s="1097">
        <f t="shared" si="7"/>
        <v>574</v>
      </c>
      <c r="DB23" s="1098">
        <v>173</v>
      </c>
      <c r="DC23" s="1098">
        <v>398</v>
      </c>
      <c r="DD23" s="1098">
        <v>237</v>
      </c>
      <c r="DE23" s="1098">
        <v>48</v>
      </c>
      <c r="DF23" s="1098"/>
      <c r="DG23" s="1098"/>
      <c r="DH23" s="1098"/>
      <c r="DI23" s="1098"/>
      <c r="DJ23" s="1098"/>
      <c r="DK23" s="1098"/>
      <c r="DL23" s="1098"/>
      <c r="DM23" s="1098">
        <v>32</v>
      </c>
      <c r="DN23" s="1097">
        <f t="shared" si="8"/>
        <v>888</v>
      </c>
      <c r="DO23" s="1098">
        <v>230</v>
      </c>
      <c r="DP23" s="1098">
        <v>391</v>
      </c>
      <c r="DQ23" s="1098">
        <v>257</v>
      </c>
      <c r="DR23" s="1098"/>
      <c r="DS23" s="1098"/>
      <c r="DT23" s="1098"/>
      <c r="DU23" s="1098"/>
      <c r="DV23" s="1098"/>
      <c r="DW23" s="1098"/>
      <c r="DX23" s="1098"/>
      <c r="DY23" s="1098"/>
      <c r="DZ23" s="1098"/>
      <c r="EA23" s="1097">
        <f t="shared" si="9"/>
        <v>878</v>
      </c>
      <c r="EB23" s="1098">
        <v>53</v>
      </c>
      <c r="EC23" s="1098">
        <v>312</v>
      </c>
      <c r="ED23" s="1098">
        <v>220</v>
      </c>
      <c r="EE23" s="1098"/>
      <c r="EF23" s="1098"/>
      <c r="EG23" s="1098"/>
      <c r="EH23" s="1098"/>
      <c r="EI23" s="1098"/>
      <c r="EJ23" s="1098"/>
      <c r="EK23" s="1098"/>
      <c r="EL23" s="1098"/>
      <c r="EM23" s="1098"/>
      <c r="EN23" s="1097">
        <f t="shared" si="10"/>
        <v>585</v>
      </c>
      <c r="EO23" s="1098"/>
      <c r="EP23" s="1098">
        <v>298</v>
      </c>
      <c r="EQ23" s="1098">
        <v>247</v>
      </c>
      <c r="ER23" s="1098"/>
      <c r="ES23" s="1098"/>
      <c r="ET23" s="1098"/>
      <c r="EU23" s="1098"/>
      <c r="EV23" s="1098"/>
      <c r="EW23" s="1098"/>
      <c r="EX23" s="1098"/>
      <c r="EY23" s="1098"/>
      <c r="EZ23" s="1098"/>
      <c r="FA23" s="1097">
        <f t="shared" si="11"/>
        <v>545</v>
      </c>
      <c r="FB23" s="1098"/>
      <c r="FC23" s="1098">
        <v>335</v>
      </c>
      <c r="FD23" s="1098">
        <v>230</v>
      </c>
      <c r="FE23" s="1098"/>
      <c r="FF23" s="1098"/>
      <c r="FG23" s="1098"/>
      <c r="FH23" s="1098"/>
      <c r="FI23" s="1098"/>
      <c r="FJ23" s="1098"/>
      <c r="FK23" s="1098"/>
      <c r="FL23" s="1098"/>
      <c r="FM23" s="1098"/>
      <c r="FN23" s="1097">
        <f t="shared" si="12"/>
        <v>565</v>
      </c>
      <c r="FO23" s="1098"/>
      <c r="FP23" s="1098"/>
      <c r="FQ23" s="1098"/>
      <c r="FR23" s="1098"/>
      <c r="FS23" s="1098"/>
      <c r="FT23" s="1098"/>
      <c r="FU23" s="1098"/>
      <c r="FV23" s="1098"/>
      <c r="FW23" s="1098"/>
      <c r="FX23" s="1098"/>
      <c r="FY23" s="1098"/>
      <c r="FZ23" s="1098"/>
      <c r="GA23" s="1097">
        <f t="shared" si="13"/>
        <v>0</v>
      </c>
      <c r="GB23" s="1098"/>
      <c r="GC23" s="1098"/>
      <c r="GD23" s="1098"/>
      <c r="GE23" s="1098"/>
      <c r="GF23" s="1098"/>
      <c r="GG23" s="1098"/>
      <c r="GH23" s="1098"/>
      <c r="GI23" s="1098"/>
      <c r="GJ23" s="1098"/>
      <c r="GK23" s="1098"/>
      <c r="GL23" s="1098"/>
      <c r="GM23" s="1098"/>
      <c r="GN23" s="1097">
        <f t="shared" si="14"/>
        <v>0</v>
      </c>
      <c r="GO23" s="1098"/>
      <c r="GP23" s="1098">
        <v>120</v>
      </c>
      <c r="GQ23" s="1098">
        <v>80</v>
      </c>
      <c r="GR23" s="1098"/>
      <c r="GS23" s="1098"/>
      <c r="GT23" s="1098"/>
      <c r="GU23" s="1098"/>
      <c r="GV23" s="1098"/>
      <c r="GW23" s="1098"/>
      <c r="GX23" s="1098"/>
      <c r="GY23" s="1098"/>
      <c r="GZ23" s="1098"/>
      <c r="HA23" s="1097">
        <f t="shared" si="15"/>
        <v>200</v>
      </c>
      <c r="HB23" s="1098"/>
      <c r="HC23" s="1098"/>
      <c r="HD23" s="1098"/>
      <c r="HE23" s="1098"/>
      <c r="HF23" s="1098"/>
      <c r="HG23" s="1098"/>
      <c r="HH23" s="1098"/>
      <c r="HI23" s="1098"/>
      <c r="HJ23" s="1098"/>
      <c r="HK23" s="1098"/>
      <c r="HL23" s="1098"/>
      <c r="HM23" s="1098"/>
      <c r="HN23" s="1097">
        <f t="shared" si="16"/>
        <v>0</v>
      </c>
      <c r="HO23" s="1098">
        <v>140</v>
      </c>
      <c r="HP23" s="1098">
        <v>225</v>
      </c>
      <c r="HQ23" s="1098">
        <v>120</v>
      </c>
      <c r="HR23" s="1098"/>
      <c r="HS23" s="1098"/>
      <c r="HT23" s="1098"/>
      <c r="HU23" s="1098"/>
      <c r="HV23" s="1098"/>
      <c r="HW23" s="1098"/>
      <c r="HX23" s="1098"/>
      <c r="HY23" s="1098"/>
      <c r="HZ23" s="1098">
        <v>130</v>
      </c>
      <c r="IA23" s="1097">
        <f t="shared" si="17"/>
        <v>615</v>
      </c>
      <c r="IB23" s="1098">
        <v>0</v>
      </c>
      <c r="IC23" s="1098">
        <v>123</v>
      </c>
      <c r="ID23" s="1098">
        <v>280</v>
      </c>
      <c r="IE23" s="1098">
        <v>200</v>
      </c>
      <c r="IF23" s="1098">
        <v>0</v>
      </c>
      <c r="IG23" s="1098">
        <v>0</v>
      </c>
      <c r="IH23" s="1098">
        <v>0</v>
      </c>
      <c r="II23" s="1098">
        <v>0</v>
      </c>
      <c r="IJ23" s="1098">
        <v>0</v>
      </c>
      <c r="IK23" s="1098">
        <v>0</v>
      </c>
      <c r="IL23" s="1098">
        <v>0</v>
      </c>
      <c r="IM23" s="1098">
        <v>18</v>
      </c>
      <c r="IN23" s="1097">
        <v>621</v>
      </c>
      <c r="IO23" s="1098">
        <v>0</v>
      </c>
      <c r="IP23" s="1098">
        <v>115</v>
      </c>
      <c r="IQ23" s="1098">
        <v>273</v>
      </c>
      <c r="IR23" s="1098">
        <v>237</v>
      </c>
      <c r="IS23" s="1098">
        <v>0</v>
      </c>
      <c r="IT23" s="1098">
        <v>0</v>
      </c>
      <c r="IU23" s="1098">
        <v>0</v>
      </c>
      <c r="IV23" s="1098">
        <v>0</v>
      </c>
      <c r="IW23" s="1098">
        <v>0</v>
      </c>
      <c r="IX23" s="1098">
        <v>0</v>
      </c>
      <c r="IY23" s="1098">
        <v>0</v>
      </c>
      <c r="IZ23" s="1098">
        <v>10</v>
      </c>
      <c r="JA23" s="1097">
        <v>635</v>
      </c>
      <c r="JB23" s="1098">
        <v>0</v>
      </c>
      <c r="JC23" s="1098">
        <v>130</v>
      </c>
      <c r="JD23" s="1098"/>
      <c r="JE23" s="1098"/>
      <c r="JF23" s="1098"/>
      <c r="JG23" s="1098"/>
      <c r="JH23" s="1098"/>
      <c r="JI23" s="1098"/>
      <c r="JJ23" s="1098"/>
      <c r="JK23" s="1098"/>
      <c r="JL23" s="1098"/>
      <c r="JM23" s="1098"/>
      <c r="JN23" s="1097">
        <f t="shared" si="18"/>
        <v>130</v>
      </c>
      <c r="JP23" s="1174">
        <f t="shared" si="42"/>
        <v>-44.444444444444443</v>
      </c>
      <c r="JQ23" s="1175">
        <f t="shared" si="43"/>
        <v>2.2544283413848731</v>
      </c>
      <c r="JR23" s="1184">
        <f t="shared" si="44"/>
        <v>621</v>
      </c>
      <c r="JS23" s="1185">
        <f t="shared" si="45"/>
        <v>635</v>
      </c>
      <c r="JT23" s="1"/>
      <c r="JU23" s="1079">
        <f t="shared" si="46"/>
        <v>24412</v>
      </c>
      <c r="JV23" s="1080" t="s">
        <v>33</v>
      </c>
      <c r="JW23" s="1081" t="str">
        <f t="shared" si="47"/>
        <v>OK</v>
      </c>
    </row>
    <row r="24" spans="1:283" ht="15" customHeight="1" x14ac:dyDescent="0.2">
      <c r="A24" s="1166" t="s">
        <v>577</v>
      </c>
      <c r="B24" s="1098">
        <v>1993</v>
      </c>
      <c r="C24" s="1098">
        <v>2062</v>
      </c>
      <c r="D24" s="1098">
        <v>2098</v>
      </c>
      <c r="E24" s="1098">
        <v>2093</v>
      </c>
      <c r="F24" s="1098">
        <v>2071</v>
      </c>
      <c r="G24" s="1098">
        <v>2054</v>
      </c>
      <c r="H24" s="1098">
        <v>1991</v>
      </c>
      <c r="I24" s="1098">
        <v>1888</v>
      </c>
      <c r="J24" s="1098">
        <v>1803</v>
      </c>
      <c r="K24" s="1098">
        <v>1747</v>
      </c>
      <c r="L24" s="1098">
        <v>1734</v>
      </c>
      <c r="M24" s="1098">
        <v>2135</v>
      </c>
      <c r="N24" s="1097">
        <f t="shared" si="0"/>
        <v>23669</v>
      </c>
      <c r="O24" s="1098">
        <v>752</v>
      </c>
      <c r="P24" s="1098">
        <v>736</v>
      </c>
      <c r="Q24" s="1098">
        <v>802</v>
      </c>
      <c r="R24" s="1098">
        <v>794</v>
      </c>
      <c r="S24" s="1098">
        <v>915</v>
      </c>
      <c r="T24" s="1098">
        <v>890</v>
      </c>
      <c r="U24" s="1098">
        <v>855</v>
      </c>
      <c r="V24" s="1098">
        <v>716</v>
      </c>
      <c r="W24" s="1098">
        <v>635</v>
      </c>
      <c r="X24" s="1098">
        <v>974</v>
      </c>
      <c r="Y24" s="1098">
        <v>1318</v>
      </c>
      <c r="Z24" s="1098">
        <v>1325</v>
      </c>
      <c r="AA24" s="1097">
        <f t="shared" si="1"/>
        <v>10712</v>
      </c>
      <c r="AB24" s="1098">
        <v>675</v>
      </c>
      <c r="AC24" s="1098">
        <v>706</v>
      </c>
      <c r="AD24" s="1098">
        <v>638</v>
      </c>
      <c r="AE24" s="1098">
        <v>729</v>
      </c>
      <c r="AF24" s="1098">
        <v>621</v>
      </c>
      <c r="AG24" s="1098">
        <v>635</v>
      </c>
      <c r="AH24" s="1098">
        <v>697</v>
      </c>
      <c r="AI24" s="1098">
        <v>661</v>
      </c>
      <c r="AJ24" s="1098">
        <v>712</v>
      </c>
      <c r="AK24" s="1098">
        <v>1120</v>
      </c>
      <c r="AL24" s="1098">
        <v>1161</v>
      </c>
      <c r="AM24" s="1098">
        <v>1130</v>
      </c>
      <c r="AN24" s="1097">
        <f t="shared" si="2"/>
        <v>9485</v>
      </c>
      <c r="AO24" s="1098">
        <v>746</v>
      </c>
      <c r="AP24" s="1098">
        <v>867</v>
      </c>
      <c r="AQ24" s="1098">
        <v>800</v>
      </c>
      <c r="AR24" s="1098">
        <v>842</v>
      </c>
      <c r="AS24" s="1098">
        <v>882</v>
      </c>
      <c r="AT24" s="1098">
        <v>957</v>
      </c>
      <c r="AU24" s="1098">
        <v>919</v>
      </c>
      <c r="AV24" s="1098">
        <v>920</v>
      </c>
      <c r="AW24" s="1098">
        <v>991</v>
      </c>
      <c r="AX24" s="1098">
        <v>1082</v>
      </c>
      <c r="AY24" s="1098">
        <v>1106</v>
      </c>
      <c r="AZ24" s="1098">
        <v>1025</v>
      </c>
      <c r="BA24" s="1097">
        <f t="shared" si="3"/>
        <v>11137</v>
      </c>
      <c r="BB24" s="1098">
        <v>681</v>
      </c>
      <c r="BC24" s="1098">
        <v>750</v>
      </c>
      <c r="BD24" s="1098">
        <v>616</v>
      </c>
      <c r="BE24" s="1098">
        <v>731</v>
      </c>
      <c r="BF24" s="1098">
        <v>813</v>
      </c>
      <c r="BG24" s="1098">
        <v>794</v>
      </c>
      <c r="BH24" s="1098">
        <v>763</v>
      </c>
      <c r="BI24" s="1098">
        <v>734</v>
      </c>
      <c r="BJ24" s="1098">
        <v>800</v>
      </c>
      <c r="BK24" s="1098">
        <v>699</v>
      </c>
      <c r="BL24" s="1098">
        <v>852</v>
      </c>
      <c r="BM24" s="1098">
        <v>853</v>
      </c>
      <c r="BN24" s="1097">
        <f t="shared" si="4"/>
        <v>9086</v>
      </c>
      <c r="BO24" s="1098">
        <v>721</v>
      </c>
      <c r="BP24" s="1098">
        <v>811</v>
      </c>
      <c r="BQ24" s="1098">
        <v>956</v>
      </c>
      <c r="BR24" s="1098">
        <v>884</v>
      </c>
      <c r="BS24" s="1098">
        <v>957</v>
      </c>
      <c r="BT24" s="1098">
        <v>608</v>
      </c>
      <c r="BU24" s="1098">
        <v>594</v>
      </c>
      <c r="BV24" s="1098">
        <v>582</v>
      </c>
      <c r="BW24" s="1098">
        <v>609</v>
      </c>
      <c r="BX24" s="1098">
        <v>706</v>
      </c>
      <c r="BY24" s="1098">
        <v>768</v>
      </c>
      <c r="BZ24" s="1098">
        <v>731</v>
      </c>
      <c r="CA24" s="1097">
        <f t="shared" si="5"/>
        <v>8927</v>
      </c>
      <c r="CB24" s="1098">
        <v>780</v>
      </c>
      <c r="CC24" s="1098">
        <v>700</v>
      </c>
      <c r="CD24" s="1098">
        <v>700</v>
      </c>
      <c r="CE24" s="1098">
        <v>666</v>
      </c>
      <c r="CF24" s="1098">
        <v>668</v>
      </c>
      <c r="CG24" s="1098">
        <v>507</v>
      </c>
      <c r="CH24" s="1098">
        <v>500</v>
      </c>
      <c r="CI24" s="1098">
        <v>492</v>
      </c>
      <c r="CJ24" s="1098">
        <v>536</v>
      </c>
      <c r="CK24" s="1098">
        <v>708</v>
      </c>
      <c r="CL24" s="1098">
        <v>725</v>
      </c>
      <c r="CM24" s="1098">
        <v>578</v>
      </c>
      <c r="CN24" s="1097">
        <f t="shared" si="6"/>
        <v>7560</v>
      </c>
      <c r="CO24" s="1098">
        <v>1039</v>
      </c>
      <c r="CP24" s="1098">
        <v>954</v>
      </c>
      <c r="CQ24" s="1098">
        <v>932</v>
      </c>
      <c r="CR24" s="1098">
        <v>965</v>
      </c>
      <c r="CS24" s="1098">
        <v>975</v>
      </c>
      <c r="CT24" s="1098">
        <v>1029</v>
      </c>
      <c r="CU24" s="1098">
        <v>1171</v>
      </c>
      <c r="CV24" s="1098">
        <v>1020</v>
      </c>
      <c r="CW24" s="1098">
        <v>1141</v>
      </c>
      <c r="CX24" s="1098">
        <v>1259</v>
      </c>
      <c r="CY24" s="1098">
        <v>1336</v>
      </c>
      <c r="CZ24" s="1098">
        <v>1251</v>
      </c>
      <c r="DA24" s="1097">
        <f t="shared" si="7"/>
        <v>13072</v>
      </c>
      <c r="DB24" s="1098">
        <v>1220</v>
      </c>
      <c r="DC24" s="1098">
        <v>1195</v>
      </c>
      <c r="DD24" s="1098">
        <v>1455</v>
      </c>
      <c r="DE24" s="1098">
        <v>1246</v>
      </c>
      <c r="DF24" s="1098">
        <v>1384</v>
      </c>
      <c r="DG24" s="1098">
        <v>1367</v>
      </c>
      <c r="DH24" s="1098">
        <v>1373</v>
      </c>
      <c r="DI24" s="1098">
        <v>1425</v>
      </c>
      <c r="DJ24" s="1098">
        <v>1340</v>
      </c>
      <c r="DK24" s="1098">
        <v>1361</v>
      </c>
      <c r="DL24" s="1098">
        <v>1465</v>
      </c>
      <c r="DM24" s="1098">
        <v>1848</v>
      </c>
      <c r="DN24" s="1097">
        <f t="shared" si="8"/>
        <v>16679</v>
      </c>
      <c r="DO24" s="1098">
        <v>1783</v>
      </c>
      <c r="DP24" s="1098">
        <v>1640</v>
      </c>
      <c r="DQ24" s="1098">
        <v>1412</v>
      </c>
      <c r="DR24" s="1098">
        <v>1195</v>
      </c>
      <c r="DS24" s="1098">
        <v>1184</v>
      </c>
      <c r="DT24" s="1098">
        <v>1308</v>
      </c>
      <c r="DU24" s="1098">
        <v>911</v>
      </c>
      <c r="DV24" s="1098">
        <v>1393</v>
      </c>
      <c r="DW24" s="1098">
        <v>991</v>
      </c>
      <c r="DX24" s="1098">
        <v>1417</v>
      </c>
      <c r="DY24" s="1098">
        <v>1728</v>
      </c>
      <c r="DZ24" s="1098">
        <v>1619</v>
      </c>
      <c r="EA24" s="1097">
        <f t="shared" si="9"/>
        <v>16581</v>
      </c>
      <c r="EB24" s="1098">
        <v>1393</v>
      </c>
      <c r="EC24" s="1098">
        <v>1304</v>
      </c>
      <c r="ED24" s="1098">
        <v>1446</v>
      </c>
      <c r="EE24" s="1098">
        <v>1127</v>
      </c>
      <c r="EF24" s="1098">
        <v>1261</v>
      </c>
      <c r="EG24" s="1098">
        <v>876</v>
      </c>
      <c r="EH24" s="1098">
        <v>1454</v>
      </c>
      <c r="EI24" s="1098">
        <v>1068</v>
      </c>
      <c r="EJ24" s="1098">
        <v>898</v>
      </c>
      <c r="EK24" s="1098">
        <v>743</v>
      </c>
      <c r="EL24" s="1098">
        <v>614</v>
      </c>
      <c r="EM24" s="1098">
        <v>948</v>
      </c>
      <c r="EN24" s="1097">
        <f t="shared" si="10"/>
        <v>13132</v>
      </c>
      <c r="EO24" s="1098">
        <v>1321</v>
      </c>
      <c r="EP24" s="1098">
        <v>1369</v>
      </c>
      <c r="EQ24" s="1098">
        <v>1311</v>
      </c>
      <c r="ER24" s="1098">
        <v>1526</v>
      </c>
      <c r="ES24" s="1098">
        <v>932</v>
      </c>
      <c r="ET24" s="1098">
        <v>1160</v>
      </c>
      <c r="EU24" s="1098">
        <v>970</v>
      </c>
      <c r="EV24" s="1098">
        <v>1081</v>
      </c>
      <c r="EW24" s="1098">
        <v>1007</v>
      </c>
      <c r="EX24" s="1098">
        <v>1066</v>
      </c>
      <c r="EY24" s="1098">
        <v>1042</v>
      </c>
      <c r="EZ24" s="1098">
        <v>1020</v>
      </c>
      <c r="FA24" s="1097">
        <f t="shared" si="11"/>
        <v>13805</v>
      </c>
      <c r="FB24" s="1098">
        <v>1306</v>
      </c>
      <c r="FC24" s="1098">
        <v>1210</v>
      </c>
      <c r="FD24" s="1098">
        <v>1377</v>
      </c>
      <c r="FE24" s="1098">
        <v>1497</v>
      </c>
      <c r="FF24" s="1098">
        <v>1172</v>
      </c>
      <c r="FG24" s="1098">
        <v>1200</v>
      </c>
      <c r="FH24" s="1098">
        <v>1263</v>
      </c>
      <c r="FI24" s="1098">
        <v>1292</v>
      </c>
      <c r="FJ24" s="1098">
        <v>1019</v>
      </c>
      <c r="FK24" s="1098">
        <v>1042</v>
      </c>
      <c r="FL24" s="1098">
        <v>1300</v>
      </c>
      <c r="FM24" s="1098">
        <v>1725</v>
      </c>
      <c r="FN24" s="1097">
        <f t="shared" si="12"/>
        <v>15403</v>
      </c>
      <c r="FO24" s="1098">
        <v>1391</v>
      </c>
      <c r="FP24" s="1098">
        <v>1240</v>
      </c>
      <c r="FQ24" s="1098">
        <v>905</v>
      </c>
      <c r="FR24" s="1098">
        <v>960</v>
      </c>
      <c r="FS24" s="1098">
        <v>898</v>
      </c>
      <c r="FT24" s="1098">
        <v>934</v>
      </c>
      <c r="FU24" s="1098">
        <v>776</v>
      </c>
      <c r="FV24" s="1098">
        <v>801</v>
      </c>
      <c r="FW24" s="1098">
        <v>796</v>
      </c>
      <c r="FX24" s="1098">
        <v>971</v>
      </c>
      <c r="FY24" s="1098">
        <v>841</v>
      </c>
      <c r="FZ24" s="1098">
        <v>994</v>
      </c>
      <c r="GA24" s="1097">
        <f t="shared" si="13"/>
        <v>11507</v>
      </c>
      <c r="GB24" s="1098">
        <v>1215</v>
      </c>
      <c r="GC24" s="1098">
        <v>1606</v>
      </c>
      <c r="GD24" s="1098">
        <v>1330</v>
      </c>
      <c r="GE24" s="1098">
        <v>1141</v>
      </c>
      <c r="GF24" s="1098">
        <v>1330</v>
      </c>
      <c r="GG24" s="1098">
        <v>1057</v>
      </c>
      <c r="GH24" s="1098">
        <v>991</v>
      </c>
      <c r="GI24" s="1098">
        <v>824</v>
      </c>
      <c r="GJ24" s="1098">
        <v>801</v>
      </c>
      <c r="GK24" s="1098">
        <v>929</v>
      </c>
      <c r="GL24" s="1098">
        <v>757</v>
      </c>
      <c r="GM24" s="1098">
        <v>637</v>
      </c>
      <c r="GN24" s="1097">
        <f t="shared" si="14"/>
        <v>12618</v>
      </c>
      <c r="GO24" s="1098">
        <v>1098</v>
      </c>
      <c r="GP24" s="1098">
        <v>929</v>
      </c>
      <c r="GQ24" s="1098">
        <v>964</v>
      </c>
      <c r="GR24" s="1098">
        <v>931</v>
      </c>
      <c r="GS24" s="1098">
        <v>683</v>
      </c>
      <c r="GT24" s="1098">
        <v>850</v>
      </c>
      <c r="GU24" s="1098">
        <v>693</v>
      </c>
      <c r="GV24" s="1098">
        <v>800</v>
      </c>
      <c r="GW24" s="1098">
        <v>689</v>
      </c>
      <c r="GX24" s="1098">
        <v>800</v>
      </c>
      <c r="GY24" s="1098">
        <v>751</v>
      </c>
      <c r="GZ24" s="1098">
        <v>670</v>
      </c>
      <c r="HA24" s="1097">
        <f t="shared" si="15"/>
        <v>9858</v>
      </c>
      <c r="HB24" s="1098">
        <v>1115</v>
      </c>
      <c r="HC24" s="1098">
        <v>1037</v>
      </c>
      <c r="HD24" s="1098">
        <v>1000</v>
      </c>
      <c r="HE24" s="1098">
        <v>937</v>
      </c>
      <c r="HF24" s="1098">
        <v>755</v>
      </c>
      <c r="HG24" s="1098">
        <v>855</v>
      </c>
      <c r="HH24" s="1098">
        <v>735</v>
      </c>
      <c r="HI24" s="1098">
        <v>507</v>
      </c>
      <c r="HJ24" s="1098">
        <v>465</v>
      </c>
      <c r="HK24" s="1098">
        <v>531</v>
      </c>
      <c r="HL24" s="1098">
        <v>470</v>
      </c>
      <c r="HM24" s="1098">
        <v>464</v>
      </c>
      <c r="HN24" s="1097">
        <f t="shared" si="16"/>
        <v>8871</v>
      </c>
      <c r="HO24" s="1098">
        <v>974</v>
      </c>
      <c r="HP24" s="1098">
        <v>1033</v>
      </c>
      <c r="HQ24" s="1098">
        <v>1105</v>
      </c>
      <c r="HR24" s="1098">
        <v>1207</v>
      </c>
      <c r="HS24" s="1098">
        <v>800</v>
      </c>
      <c r="HT24" s="1098">
        <v>1050</v>
      </c>
      <c r="HU24" s="1098">
        <v>853</v>
      </c>
      <c r="HV24" s="1098">
        <v>819</v>
      </c>
      <c r="HW24" s="1098">
        <v>708</v>
      </c>
      <c r="HX24" s="1098">
        <v>780</v>
      </c>
      <c r="HY24" s="1098">
        <v>732</v>
      </c>
      <c r="HZ24" s="1098">
        <v>828</v>
      </c>
      <c r="IA24" s="1097">
        <f t="shared" si="17"/>
        <v>10889</v>
      </c>
      <c r="IB24" s="1098">
        <v>1057</v>
      </c>
      <c r="IC24" s="1098">
        <v>1074</v>
      </c>
      <c r="ID24" s="1098">
        <v>1077</v>
      </c>
      <c r="IE24" s="1098">
        <v>1132</v>
      </c>
      <c r="IF24" s="1098">
        <v>1000</v>
      </c>
      <c r="IG24" s="1098">
        <v>968</v>
      </c>
      <c r="IH24" s="1098">
        <v>893</v>
      </c>
      <c r="II24" s="1098">
        <v>865</v>
      </c>
      <c r="IJ24" s="1098">
        <v>625</v>
      </c>
      <c r="IK24" s="1098">
        <v>792</v>
      </c>
      <c r="IL24" s="1098">
        <v>740</v>
      </c>
      <c r="IM24" s="1098">
        <v>685</v>
      </c>
      <c r="IN24" s="1097">
        <v>10908</v>
      </c>
      <c r="IO24" s="1098">
        <v>1075</v>
      </c>
      <c r="IP24" s="1098">
        <v>1015</v>
      </c>
      <c r="IQ24" s="1098">
        <v>717</v>
      </c>
      <c r="IR24" s="1098">
        <v>874</v>
      </c>
      <c r="IS24" s="1098">
        <v>987</v>
      </c>
      <c r="IT24" s="1098">
        <v>830</v>
      </c>
      <c r="IU24" s="1098">
        <v>907</v>
      </c>
      <c r="IV24" s="1098">
        <v>654</v>
      </c>
      <c r="IW24" s="1098">
        <v>671</v>
      </c>
      <c r="IX24" s="1098">
        <v>755</v>
      </c>
      <c r="IY24" s="1098">
        <v>793</v>
      </c>
      <c r="IZ24" s="1098">
        <v>742</v>
      </c>
      <c r="JA24" s="1097">
        <v>10020</v>
      </c>
      <c r="JB24" s="1098">
        <v>541</v>
      </c>
      <c r="JC24" s="1098">
        <v>850</v>
      </c>
      <c r="JD24" s="1098"/>
      <c r="JE24" s="1098"/>
      <c r="JF24" s="1098"/>
      <c r="JG24" s="1098"/>
      <c r="JH24" s="1098"/>
      <c r="JI24" s="1098"/>
      <c r="JJ24" s="1098"/>
      <c r="JK24" s="1098"/>
      <c r="JL24" s="1098"/>
      <c r="JM24" s="1098"/>
      <c r="JN24" s="1097">
        <f t="shared" si="18"/>
        <v>1391</v>
      </c>
      <c r="JP24" s="1174">
        <f t="shared" si="42"/>
        <v>8.3211678832116895</v>
      </c>
      <c r="JQ24" s="1175">
        <f t="shared" si="43"/>
        <v>-8.1408140814081431</v>
      </c>
      <c r="JR24" s="1184">
        <f t="shared" si="44"/>
        <v>10908</v>
      </c>
      <c r="JS24" s="1185">
        <f t="shared" si="45"/>
        <v>10020</v>
      </c>
      <c r="JT24" s="1"/>
      <c r="JU24" s="1079">
        <f t="shared" si="46"/>
        <v>490620</v>
      </c>
      <c r="JV24" s="1080" t="s">
        <v>577</v>
      </c>
      <c r="JW24" s="1081" t="str">
        <f t="shared" si="47"/>
        <v>OK</v>
      </c>
    </row>
    <row r="25" spans="1:283" ht="15" customHeight="1" x14ac:dyDescent="0.2">
      <c r="A25" s="1166" t="s">
        <v>34</v>
      </c>
      <c r="B25" s="1098">
        <v>9</v>
      </c>
      <c r="C25" s="1098">
        <v>13.2</v>
      </c>
      <c r="D25" s="1098">
        <v>17</v>
      </c>
      <c r="E25" s="1098">
        <v>18</v>
      </c>
      <c r="F25" s="1098">
        <v>22</v>
      </c>
      <c r="G25" s="1098">
        <v>19</v>
      </c>
      <c r="H25" s="1098">
        <v>15.87</v>
      </c>
      <c r="I25" s="1098">
        <v>15</v>
      </c>
      <c r="J25" s="1098">
        <v>11</v>
      </c>
      <c r="K25" s="1098">
        <v>9</v>
      </c>
      <c r="L25" s="1098">
        <v>8</v>
      </c>
      <c r="M25" s="1098">
        <v>13</v>
      </c>
      <c r="N25" s="1097">
        <f t="shared" si="0"/>
        <v>170.07</v>
      </c>
      <c r="O25" s="1098">
        <v>10</v>
      </c>
      <c r="P25" s="1098">
        <v>16</v>
      </c>
      <c r="Q25" s="1098">
        <v>15</v>
      </c>
      <c r="R25" s="1098">
        <v>16</v>
      </c>
      <c r="S25" s="1098">
        <v>17</v>
      </c>
      <c r="T25" s="1098">
        <v>16</v>
      </c>
      <c r="U25" s="1098">
        <v>11</v>
      </c>
      <c r="V25" s="1098">
        <v>16</v>
      </c>
      <c r="W25" s="1098">
        <v>16</v>
      </c>
      <c r="X25" s="1098">
        <v>11</v>
      </c>
      <c r="Y25" s="1098">
        <v>18</v>
      </c>
      <c r="Z25" s="1098">
        <v>14</v>
      </c>
      <c r="AA25" s="1097">
        <f t="shared" si="1"/>
        <v>176</v>
      </c>
      <c r="AB25" s="1098">
        <v>16</v>
      </c>
      <c r="AC25" s="1098">
        <v>17</v>
      </c>
      <c r="AD25" s="1098">
        <v>23</v>
      </c>
      <c r="AE25" s="1098">
        <v>26</v>
      </c>
      <c r="AF25" s="1098">
        <v>23</v>
      </c>
      <c r="AG25" s="1098">
        <v>18</v>
      </c>
      <c r="AH25" s="1098">
        <v>16</v>
      </c>
      <c r="AI25" s="1098">
        <v>13</v>
      </c>
      <c r="AJ25" s="1098">
        <v>8</v>
      </c>
      <c r="AK25" s="1098">
        <v>7</v>
      </c>
      <c r="AL25" s="1098">
        <v>7</v>
      </c>
      <c r="AM25" s="1098">
        <v>7</v>
      </c>
      <c r="AN25" s="1097">
        <f t="shared" si="2"/>
        <v>181</v>
      </c>
      <c r="AO25" s="1098">
        <v>12</v>
      </c>
      <c r="AP25" s="1098">
        <v>6</v>
      </c>
      <c r="AQ25" s="1098">
        <v>11</v>
      </c>
      <c r="AR25" s="1098">
        <v>7</v>
      </c>
      <c r="AS25" s="1098">
        <v>22</v>
      </c>
      <c r="AT25" s="1098">
        <v>21</v>
      </c>
      <c r="AU25" s="1098">
        <v>9</v>
      </c>
      <c r="AV25" s="1098">
        <v>7</v>
      </c>
      <c r="AW25" s="1098">
        <v>7</v>
      </c>
      <c r="AX25" s="1098">
        <v>12</v>
      </c>
      <c r="AY25" s="1098">
        <v>6</v>
      </c>
      <c r="AZ25" s="1098">
        <v>8</v>
      </c>
      <c r="BA25" s="1097">
        <f t="shared" si="3"/>
        <v>128</v>
      </c>
      <c r="BB25" s="1098">
        <v>14</v>
      </c>
      <c r="BC25" s="1098">
        <v>20</v>
      </c>
      <c r="BD25" s="1098">
        <v>22</v>
      </c>
      <c r="BE25" s="1098">
        <v>44</v>
      </c>
      <c r="BF25" s="1098">
        <v>33</v>
      </c>
      <c r="BG25" s="1098">
        <v>22</v>
      </c>
      <c r="BH25" s="1098">
        <v>7</v>
      </c>
      <c r="BI25" s="1098">
        <v>11</v>
      </c>
      <c r="BJ25" s="1098">
        <v>7</v>
      </c>
      <c r="BK25" s="1098">
        <v>6</v>
      </c>
      <c r="BL25" s="1098">
        <v>6</v>
      </c>
      <c r="BM25" s="1098">
        <v>7</v>
      </c>
      <c r="BN25" s="1097">
        <f t="shared" si="4"/>
        <v>199</v>
      </c>
      <c r="BO25" s="1098">
        <v>12</v>
      </c>
      <c r="BP25" s="1098">
        <v>24</v>
      </c>
      <c r="BQ25" s="1098">
        <v>41</v>
      </c>
      <c r="BR25" s="1098">
        <v>56</v>
      </c>
      <c r="BS25" s="1098">
        <v>15</v>
      </c>
      <c r="BT25" s="1098">
        <v>15</v>
      </c>
      <c r="BU25" s="1098">
        <v>10</v>
      </c>
      <c r="BV25" s="1098">
        <v>9</v>
      </c>
      <c r="BW25" s="1098">
        <v>7</v>
      </c>
      <c r="BX25" s="1098">
        <v>5</v>
      </c>
      <c r="BY25" s="1098">
        <v>6</v>
      </c>
      <c r="BZ25" s="1098">
        <v>4</v>
      </c>
      <c r="CA25" s="1097">
        <f t="shared" si="5"/>
        <v>204</v>
      </c>
      <c r="CB25" s="1098">
        <v>11</v>
      </c>
      <c r="CC25" s="1098">
        <v>10</v>
      </c>
      <c r="CD25" s="1098">
        <v>12</v>
      </c>
      <c r="CE25" s="1098">
        <v>35</v>
      </c>
      <c r="CF25" s="1098">
        <v>33</v>
      </c>
      <c r="CG25" s="1098">
        <v>29</v>
      </c>
      <c r="CH25" s="1098">
        <v>7</v>
      </c>
      <c r="CI25" s="1098">
        <v>12</v>
      </c>
      <c r="CJ25" s="1098">
        <v>4</v>
      </c>
      <c r="CK25" s="1098">
        <v>6</v>
      </c>
      <c r="CL25" s="1098">
        <v>22</v>
      </c>
      <c r="CM25" s="1098">
        <v>19</v>
      </c>
      <c r="CN25" s="1097">
        <f t="shared" si="6"/>
        <v>200</v>
      </c>
      <c r="CO25" s="1098">
        <v>10</v>
      </c>
      <c r="CP25" s="1098">
        <v>11</v>
      </c>
      <c r="CQ25" s="1098">
        <v>11</v>
      </c>
      <c r="CR25" s="1098">
        <v>25</v>
      </c>
      <c r="CS25" s="1098">
        <v>15</v>
      </c>
      <c r="CT25" s="1098">
        <v>31</v>
      </c>
      <c r="CU25" s="1098">
        <v>10</v>
      </c>
      <c r="CV25" s="1098">
        <v>13</v>
      </c>
      <c r="CW25" s="1098">
        <v>12</v>
      </c>
      <c r="CX25" s="1098">
        <v>9</v>
      </c>
      <c r="CY25" s="1098">
        <v>11</v>
      </c>
      <c r="CZ25" s="1098">
        <v>9</v>
      </c>
      <c r="DA25" s="1097">
        <f t="shared" si="7"/>
        <v>167</v>
      </c>
      <c r="DB25" s="1098">
        <v>10</v>
      </c>
      <c r="DC25" s="1098">
        <v>12</v>
      </c>
      <c r="DD25" s="1098">
        <v>15</v>
      </c>
      <c r="DE25" s="1098">
        <v>23</v>
      </c>
      <c r="DF25" s="1098">
        <v>42</v>
      </c>
      <c r="DG25" s="1098">
        <v>39</v>
      </c>
      <c r="DH25" s="1098">
        <v>11</v>
      </c>
      <c r="DI25" s="1098">
        <v>10</v>
      </c>
      <c r="DJ25" s="1098">
        <v>12</v>
      </c>
      <c r="DK25" s="1098">
        <v>13</v>
      </c>
      <c r="DL25" s="1098">
        <v>10</v>
      </c>
      <c r="DM25" s="1098">
        <v>11</v>
      </c>
      <c r="DN25" s="1097">
        <f t="shared" si="8"/>
        <v>208</v>
      </c>
      <c r="DO25" s="1098">
        <v>6</v>
      </c>
      <c r="DP25" s="1098">
        <v>18</v>
      </c>
      <c r="DQ25" s="1098">
        <v>64</v>
      </c>
      <c r="DR25" s="1098">
        <v>30</v>
      </c>
      <c r="DS25" s="1098">
        <v>34</v>
      </c>
      <c r="DT25" s="1098">
        <v>1</v>
      </c>
      <c r="DU25" s="1098">
        <v>1</v>
      </c>
      <c r="DV25" s="1098">
        <v>2</v>
      </c>
      <c r="DW25" s="1098">
        <v>1</v>
      </c>
      <c r="DX25" s="1098"/>
      <c r="DY25" s="1098">
        <v>1</v>
      </c>
      <c r="DZ25" s="1098">
        <v>1</v>
      </c>
      <c r="EA25" s="1097">
        <f t="shared" si="9"/>
        <v>159</v>
      </c>
      <c r="EB25" s="1098"/>
      <c r="EC25" s="1098"/>
      <c r="ED25" s="1098"/>
      <c r="EE25" s="1098"/>
      <c r="EF25" s="1098"/>
      <c r="EG25" s="1098"/>
      <c r="EH25" s="1098"/>
      <c r="EI25" s="1098"/>
      <c r="EJ25" s="1098"/>
      <c r="EK25" s="1098"/>
      <c r="EL25" s="1098"/>
      <c r="EM25" s="1098"/>
      <c r="EN25" s="1097">
        <f t="shared" si="10"/>
        <v>0</v>
      </c>
      <c r="EO25" s="1098"/>
      <c r="EP25" s="1098"/>
      <c r="EQ25" s="1098"/>
      <c r="ER25" s="1098"/>
      <c r="ES25" s="1098"/>
      <c r="ET25" s="1098"/>
      <c r="EU25" s="1098"/>
      <c r="EV25" s="1098"/>
      <c r="EW25" s="1098"/>
      <c r="EX25" s="1098"/>
      <c r="EY25" s="1098"/>
      <c r="EZ25" s="1098"/>
      <c r="FA25" s="1097">
        <f t="shared" si="11"/>
        <v>0</v>
      </c>
      <c r="FB25" s="1098"/>
      <c r="FC25" s="1098"/>
      <c r="FD25" s="1098"/>
      <c r="FE25" s="1098"/>
      <c r="FF25" s="1098"/>
      <c r="FG25" s="1098"/>
      <c r="FH25" s="1098"/>
      <c r="FI25" s="1098"/>
      <c r="FJ25" s="1098"/>
      <c r="FK25" s="1098"/>
      <c r="FL25" s="1098"/>
      <c r="FM25" s="1098"/>
      <c r="FN25" s="1097">
        <f t="shared" si="12"/>
        <v>0</v>
      </c>
      <c r="FO25" s="1098"/>
      <c r="FP25" s="1098"/>
      <c r="FQ25" s="1098">
        <v>1</v>
      </c>
      <c r="FR25" s="1098">
        <v>3</v>
      </c>
      <c r="FS25" s="1098">
        <v>3</v>
      </c>
      <c r="FT25" s="1098">
        <v>3</v>
      </c>
      <c r="FU25" s="1098">
        <v>2</v>
      </c>
      <c r="FV25" s="1098">
        <v>1</v>
      </c>
      <c r="FW25" s="1098"/>
      <c r="FX25" s="1098"/>
      <c r="FY25" s="1098"/>
      <c r="FZ25" s="1098"/>
      <c r="GA25" s="1097">
        <f t="shared" si="13"/>
        <v>13</v>
      </c>
      <c r="GB25" s="1098"/>
      <c r="GC25" s="1098"/>
      <c r="GD25" s="1098"/>
      <c r="GE25" s="1098">
        <v>2</v>
      </c>
      <c r="GF25" s="1098">
        <v>1.3</v>
      </c>
      <c r="GG25" s="1098">
        <v>1</v>
      </c>
      <c r="GH25" s="1098">
        <v>2</v>
      </c>
      <c r="GI25" s="1098">
        <v>6</v>
      </c>
      <c r="GJ25" s="1098"/>
      <c r="GK25" s="1098"/>
      <c r="GL25" s="1098"/>
      <c r="GM25" s="1098"/>
      <c r="GN25" s="1097">
        <f t="shared" si="14"/>
        <v>12.3</v>
      </c>
      <c r="GO25" s="1098"/>
      <c r="GP25" s="1098"/>
      <c r="GQ25" s="1098"/>
      <c r="GR25" s="1098"/>
      <c r="GS25" s="1098"/>
      <c r="GT25" s="1098"/>
      <c r="GU25" s="1098"/>
      <c r="GV25" s="1098"/>
      <c r="GW25" s="1098"/>
      <c r="GX25" s="1098"/>
      <c r="GY25" s="1098"/>
      <c r="GZ25" s="1098"/>
      <c r="HA25" s="1097">
        <f t="shared" si="15"/>
        <v>0</v>
      </c>
      <c r="HB25" s="1098"/>
      <c r="HC25" s="1098"/>
      <c r="HD25" s="1098"/>
      <c r="HE25" s="1098"/>
      <c r="HF25" s="1098"/>
      <c r="HG25" s="1098"/>
      <c r="HH25" s="1098"/>
      <c r="HI25" s="1098"/>
      <c r="HJ25" s="1098"/>
      <c r="HK25" s="1098"/>
      <c r="HL25" s="1098"/>
      <c r="HM25" s="1098">
        <v>30</v>
      </c>
      <c r="HN25" s="1097">
        <f t="shared" si="16"/>
        <v>30</v>
      </c>
      <c r="HO25" s="1098"/>
      <c r="HP25" s="1098"/>
      <c r="HQ25" s="1098"/>
      <c r="HR25" s="1098"/>
      <c r="HS25" s="1098"/>
      <c r="HT25" s="1098"/>
      <c r="HU25" s="1098"/>
      <c r="HV25" s="1098"/>
      <c r="HW25" s="1098"/>
      <c r="HX25" s="1098"/>
      <c r="HY25" s="1098"/>
      <c r="HZ25" s="1098"/>
      <c r="IA25" s="1097">
        <f t="shared" si="17"/>
        <v>0</v>
      </c>
      <c r="IB25" s="1098">
        <v>0</v>
      </c>
      <c r="IC25" s="1098">
        <v>0</v>
      </c>
      <c r="ID25" s="1098">
        <v>0</v>
      </c>
      <c r="IE25" s="1098">
        <v>0</v>
      </c>
      <c r="IF25" s="1098">
        <v>0</v>
      </c>
      <c r="IG25" s="1098">
        <v>0</v>
      </c>
      <c r="IH25" s="1098">
        <v>0</v>
      </c>
      <c r="II25" s="1098">
        <v>0</v>
      </c>
      <c r="IJ25" s="1098">
        <v>0</v>
      </c>
      <c r="IK25" s="1098">
        <v>0</v>
      </c>
      <c r="IL25" s="1098">
        <v>0</v>
      </c>
      <c r="IM25" s="1098">
        <v>0</v>
      </c>
      <c r="IN25" s="1097">
        <v>0</v>
      </c>
      <c r="IO25" s="1098">
        <v>0</v>
      </c>
      <c r="IP25" s="1098">
        <v>0</v>
      </c>
      <c r="IQ25" s="1098">
        <v>0</v>
      </c>
      <c r="IR25" s="1098">
        <v>0</v>
      </c>
      <c r="IS25" s="1098">
        <v>0</v>
      </c>
      <c r="IT25" s="1098">
        <v>0</v>
      </c>
      <c r="IU25" s="1098">
        <v>0</v>
      </c>
      <c r="IV25" s="1098">
        <v>0</v>
      </c>
      <c r="IW25" s="1098">
        <v>0</v>
      </c>
      <c r="IX25" s="1098">
        <v>0</v>
      </c>
      <c r="IY25" s="1098">
        <v>0</v>
      </c>
      <c r="IZ25" s="1098">
        <v>0</v>
      </c>
      <c r="JA25" s="1097">
        <v>0</v>
      </c>
      <c r="JB25" s="1098">
        <v>0</v>
      </c>
      <c r="JC25" s="1098">
        <v>0</v>
      </c>
      <c r="JD25" s="1098"/>
      <c r="JE25" s="1098"/>
      <c r="JF25" s="1098"/>
      <c r="JG25" s="1098"/>
      <c r="JH25" s="1098"/>
      <c r="JI25" s="1098"/>
      <c r="JJ25" s="1098"/>
      <c r="JK25" s="1098"/>
      <c r="JL25" s="1098"/>
      <c r="JM25" s="1098"/>
      <c r="JN25" s="1097">
        <f t="shared" si="18"/>
        <v>0</v>
      </c>
      <c r="JP25" s="1174" t="str">
        <f t="shared" si="42"/>
        <v/>
      </c>
      <c r="JQ25" s="1175" t="str">
        <f t="shared" si="43"/>
        <v/>
      </c>
      <c r="JR25" s="1184">
        <f t="shared" si="44"/>
        <v>0</v>
      </c>
      <c r="JS25" s="1185">
        <f t="shared" si="45"/>
        <v>0</v>
      </c>
      <c r="JT25" s="1"/>
      <c r="JU25" s="1079">
        <f t="shared" si="46"/>
        <v>3694.7400000000002</v>
      </c>
      <c r="JV25" s="1080" t="s">
        <v>34</v>
      </c>
      <c r="JW25" s="1081" t="str">
        <f t="shared" si="47"/>
        <v>OK</v>
      </c>
    </row>
    <row r="26" spans="1:283" ht="15" customHeight="1" x14ac:dyDescent="0.2">
      <c r="A26" s="1166" t="s">
        <v>35</v>
      </c>
      <c r="B26" s="1098">
        <v>5</v>
      </c>
      <c r="C26" s="1098">
        <v>6.6</v>
      </c>
      <c r="D26" s="1098">
        <v>7</v>
      </c>
      <c r="E26" s="1098">
        <v>8</v>
      </c>
      <c r="F26" s="1098">
        <v>6</v>
      </c>
      <c r="G26" s="1098">
        <v>6</v>
      </c>
      <c r="H26" s="1098">
        <v>5.61</v>
      </c>
      <c r="I26" s="1098">
        <v>6</v>
      </c>
      <c r="J26" s="1098">
        <v>5</v>
      </c>
      <c r="K26" s="1098">
        <v>4</v>
      </c>
      <c r="L26" s="1098">
        <v>4</v>
      </c>
      <c r="M26" s="1098">
        <v>5</v>
      </c>
      <c r="N26" s="1097">
        <f t="shared" si="0"/>
        <v>68.210000000000008</v>
      </c>
      <c r="O26" s="1098">
        <v>6</v>
      </c>
      <c r="P26" s="1098">
        <v>6</v>
      </c>
      <c r="Q26" s="1098">
        <v>6</v>
      </c>
      <c r="R26" s="1098">
        <v>4</v>
      </c>
      <c r="S26" s="1098">
        <v>5</v>
      </c>
      <c r="T26" s="1098">
        <v>5</v>
      </c>
      <c r="U26" s="1098">
        <v>5</v>
      </c>
      <c r="V26" s="1098">
        <v>6</v>
      </c>
      <c r="W26" s="1098">
        <v>4</v>
      </c>
      <c r="X26" s="1098">
        <v>4</v>
      </c>
      <c r="Y26" s="1098">
        <v>6</v>
      </c>
      <c r="Z26" s="1098">
        <v>5</v>
      </c>
      <c r="AA26" s="1097">
        <f t="shared" si="1"/>
        <v>62</v>
      </c>
      <c r="AB26" s="1098">
        <v>12</v>
      </c>
      <c r="AC26" s="1098">
        <v>16</v>
      </c>
      <c r="AD26" s="1098">
        <v>11</v>
      </c>
      <c r="AE26" s="1098">
        <v>13</v>
      </c>
      <c r="AF26" s="1098">
        <v>7</v>
      </c>
      <c r="AG26" s="1098">
        <v>17</v>
      </c>
      <c r="AH26" s="1098">
        <v>11</v>
      </c>
      <c r="AI26" s="1098">
        <v>12</v>
      </c>
      <c r="AJ26" s="1098">
        <v>14</v>
      </c>
      <c r="AK26" s="1098">
        <v>10</v>
      </c>
      <c r="AL26" s="1098">
        <v>14</v>
      </c>
      <c r="AM26" s="1098">
        <v>14</v>
      </c>
      <c r="AN26" s="1097">
        <f t="shared" si="2"/>
        <v>151</v>
      </c>
      <c r="AO26" s="1098">
        <v>14</v>
      </c>
      <c r="AP26" s="1098">
        <v>12</v>
      </c>
      <c r="AQ26" s="1098">
        <v>12</v>
      </c>
      <c r="AR26" s="1098">
        <v>9</v>
      </c>
      <c r="AS26" s="1098">
        <v>4</v>
      </c>
      <c r="AT26" s="1098">
        <v>4</v>
      </c>
      <c r="AU26" s="1098">
        <v>7</v>
      </c>
      <c r="AV26" s="1098">
        <v>5</v>
      </c>
      <c r="AW26" s="1098">
        <v>6</v>
      </c>
      <c r="AX26" s="1098">
        <v>5</v>
      </c>
      <c r="AY26" s="1098">
        <v>5</v>
      </c>
      <c r="AZ26" s="1098">
        <v>7</v>
      </c>
      <c r="BA26" s="1097">
        <f t="shared" si="3"/>
        <v>90</v>
      </c>
      <c r="BB26" s="1098">
        <v>8</v>
      </c>
      <c r="BC26" s="1098">
        <v>6</v>
      </c>
      <c r="BD26" s="1098">
        <v>7</v>
      </c>
      <c r="BE26" s="1098">
        <v>7</v>
      </c>
      <c r="BF26" s="1098">
        <v>9</v>
      </c>
      <c r="BG26" s="1098">
        <v>8</v>
      </c>
      <c r="BH26" s="1098">
        <v>8</v>
      </c>
      <c r="BI26" s="1098">
        <v>5</v>
      </c>
      <c r="BJ26" s="1098">
        <v>8</v>
      </c>
      <c r="BK26" s="1098">
        <v>23</v>
      </c>
      <c r="BL26" s="1098">
        <v>16</v>
      </c>
      <c r="BM26" s="1098">
        <v>17</v>
      </c>
      <c r="BN26" s="1097">
        <f t="shared" si="4"/>
        <v>122</v>
      </c>
      <c r="BO26" s="1098">
        <v>13</v>
      </c>
      <c r="BP26" s="1098">
        <v>11</v>
      </c>
      <c r="BQ26" s="1098">
        <v>17</v>
      </c>
      <c r="BR26" s="1098">
        <v>26</v>
      </c>
      <c r="BS26" s="1098">
        <v>33</v>
      </c>
      <c r="BT26" s="1098">
        <v>17</v>
      </c>
      <c r="BU26" s="1098">
        <v>25</v>
      </c>
      <c r="BV26" s="1098">
        <v>50</v>
      </c>
      <c r="BW26" s="1098">
        <v>46</v>
      </c>
      <c r="BX26" s="1098">
        <v>41</v>
      </c>
      <c r="BY26" s="1098">
        <v>35</v>
      </c>
      <c r="BZ26" s="1098">
        <v>41</v>
      </c>
      <c r="CA26" s="1097">
        <f t="shared" si="5"/>
        <v>355</v>
      </c>
      <c r="CB26" s="1098">
        <v>10</v>
      </c>
      <c r="CC26" s="1098">
        <v>7</v>
      </c>
      <c r="CD26" s="1098">
        <v>6</v>
      </c>
      <c r="CE26" s="1098">
        <v>14</v>
      </c>
      <c r="CF26" s="1098">
        <v>16</v>
      </c>
      <c r="CG26" s="1098">
        <v>13</v>
      </c>
      <c r="CH26" s="1098">
        <v>11</v>
      </c>
      <c r="CI26" s="1098">
        <v>13</v>
      </c>
      <c r="CJ26" s="1098">
        <v>4</v>
      </c>
      <c r="CK26" s="1098">
        <v>9</v>
      </c>
      <c r="CL26" s="1098">
        <v>10</v>
      </c>
      <c r="CM26" s="1098">
        <v>4</v>
      </c>
      <c r="CN26" s="1097">
        <f t="shared" si="6"/>
        <v>117</v>
      </c>
      <c r="CO26" s="1098">
        <v>7</v>
      </c>
      <c r="CP26" s="1098">
        <v>12</v>
      </c>
      <c r="CQ26" s="1098">
        <v>7</v>
      </c>
      <c r="CR26" s="1098">
        <v>10</v>
      </c>
      <c r="CS26" s="1098">
        <v>10</v>
      </c>
      <c r="CT26" s="1098">
        <v>8</v>
      </c>
      <c r="CU26" s="1098">
        <v>10</v>
      </c>
      <c r="CV26" s="1098">
        <v>16</v>
      </c>
      <c r="CW26" s="1098">
        <v>9</v>
      </c>
      <c r="CX26" s="1098">
        <v>12</v>
      </c>
      <c r="CY26" s="1098">
        <v>6</v>
      </c>
      <c r="CZ26" s="1098">
        <v>10</v>
      </c>
      <c r="DA26" s="1097">
        <f t="shared" si="7"/>
        <v>117</v>
      </c>
      <c r="DB26" s="1098">
        <v>7</v>
      </c>
      <c r="DC26" s="1098">
        <v>9</v>
      </c>
      <c r="DD26" s="1098">
        <v>8</v>
      </c>
      <c r="DE26" s="1098">
        <v>12</v>
      </c>
      <c r="DF26" s="1098">
        <v>10</v>
      </c>
      <c r="DG26" s="1098">
        <v>12</v>
      </c>
      <c r="DH26" s="1098">
        <v>14</v>
      </c>
      <c r="DI26" s="1098">
        <v>8</v>
      </c>
      <c r="DJ26" s="1098">
        <v>13</v>
      </c>
      <c r="DK26" s="1098">
        <v>9</v>
      </c>
      <c r="DL26" s="1098">
        <v>12</v>
      </c>
      <c r="DM26" s="1098">
        <v>15</v>
      </c>
      <c r="DN26" s="1097">
        <f t="shared" si="8"/>
        <v>129</v>
      </c>
      <c r="DO26" s="1098">
        <v>3</v>
      </c>
      <c r="DP26" s="1098">
        <v>6.2</v>
      </c>
      <c r="DQ26" s="1098">
        <v>6.4</v>
      </c>
      <c r="DR26" s="1098">
        <v>0.4</v>
      </c>
      <c r="DS26" s="1098">
        <v>0.1</v>
      </c>
      <c r="DT26" s="1098">
        <v>0.2</v>
      </c>
      <c r="DU26" s="1098">
        <v>0.3</v>
      </c>
      <c r="DV26" s="1098">
        <v>0.4</v>
      </c>
      <c r="DW26" s="1098">
        <v>0.2</v>
      </c>
      <c r="DX26" s="1098">
        <v>0.5</v>
      </c>
      <c r="DY26" s="1098">
        <v>0.4</v>
      </c>
      <c r="DZ26" s="1098">
        <v>0.5</v>
      </c>
      <c r="EA26" s="1097">
        <f t="shared" si="9"/>
        <v>18.599999999999998</v>
      </c>
      <c r="EB26" s="1098"/>
      <c r="EC26" s="1098"/>
      <c r="ED26" s="1098"/>
      <c r="EE26" s="1098"/>
      <c r="EF26" s="1098"/>
      <c r="EG26" s="1098"/>
      <c r="EH26" s="1098"/>
      <c r="EI26" s="1098"/>
      <c r="EJ26" s="1098"/>
      <c r="EK26" s="1098"/>
      <c r="EL26" s="1098"/>
      <c r="EM26" s="1098"/>
      <c r="EN26" s="1097">
        <f t="shared" si="10"/>
        <v>0</v>
      </c>
      <c r="EO26" s="1098"/>
      <c r="EP26" s="1098"/>
      <c r="EQ26" s="1098"/>
      <c r="ER26" s="1098"/>
      <c r="ES26" s="1098"/>
      <c r="ET26" s="1098"/>
      <c r="EU26" s="1098"/>
      <c r="EV26" s="1098"/>
      <c r="EW26" s="1098"/>
      <c r="EX26" s="1098"/>
      <c r="EY26" s="1098"/>
      <c r="EZ26" s="1098"/>
      <c r="FA26" s="1097">
        <f t="shared" si="11"/>
        <v>0</v>
      </c>
      <c r="FB26" s="1098"/>
      <c r="FC26" s="1098"/>
      <c r="FD26" s="1098"/>
      <c r="FE26" s="1098"/>
      <c r="FF26" s="1098"/>
      <c r="FG26" s="1098"/>
      <c r="FH26" s="1098"/>
      <c r="FI26" s="1098"/>
      <c r="FJ26" s="1098"/>
      <c r="FK26" s="1098"/>
      <c r="FL26" s="1098"/>
      <c r="FM26" s="1098"/>
      <c r="FN26" s="1097">
        <f t="shared" si="12"/>
        <v>0</v>
      </c>
      <c r="FO26" s="1098"/>
      <c r="FP26" s="1098"/>
      <c r="FQ26" s="1098"/>
      <c r="FR26" s="1098"/>
      <c r="FS26" s="1098"/>
      <c r="FT26" s="1098"/>
      <c r="FU26" s="1098"/>
      <c r="FV26" s="1098"/>
      <c r="FW26" s="1098"/>
      <c r="FX26" s="1098"/>
      <c r="FY26" s="1098"/>
      <c r="FZ26" s="1098"/>
      <c r="GA26" s="1097">
        <f t="shared" si="13"/>
        <v>0</v>
      </c>
      <c r="GB26" s="1098"/>
      <c r="GC26" s="1098"/>
      <c r="GD26" s="1098"/>
      <c r="GE26" s="1098"/>
      <c r="GF26" s="1098"/>
      <c r="GG26" s="1098"/>
      <c r="GH26" s="1098"/>
      <c r="GI26" s="1098"/>
      <c r="GJ26" s="1098"/>
      <c r="GK26" s="1098"/>
      <c r="GL26" s="1098"/>
      <c r="GM26" s="1098"/>
      <c r="GN26" s="1097">
        <f t="shared" si="14"/>
        <v>0</v>
      </c>
      <c r="GO26" s="1098"/>
      <c r="GP26" s="1098"/>
      <c r="GQ26" s="1098"/>
      <c r="GR26" s="1098"/>
      <c r="GS26" s="1098"/>
      <c r="GT26" s="1098"/>
      <c r="GU26" s="1098"/>
      <c r="GV26" s="1098">
        <v>2</v>
      </c>
      <c r="GW26" s="1098">
        <v>3</v>
      </c>
      <c r="GX26" s="1098">
        <v>5</v>
      </c>
      <c r="GY26" s="1098">
        <v>4</v>
      </c>
      <c r="GZ26" s="1098">
        <v>2</v>
      </c>
      <c r="HA26" s="1097">
        <f t="shared" si="15"/>
        <v>16</v>
      </c>
      <c r="HB26" s="1098"/>
      <c r="HC26" s="1098"/>
      <c r="HD26" s="1098"/>
      <c r="HE26" s="1098"/>
      <c r="HF26" s="1098"/>
      <c r="HG26" s="1098"/>
      <c r="HH26" s="1098"/>
      <c r="HI26" s="1098"/>
      <c r="HJ26" s="1098"/>
      <c r="HK26" s="1098"/>
      <c r="HL26" s="1098"/>
      <c r="HM26" s="1098"/>
      <c r="HN26" s="1097">
        <f t="shared" si="16"/>
        <v>0</v>
      </c>
      <c r="HO26" s="1098"/>
      <c r="HP26" s="1098"/>
      <c r="HQ26" s="1098"/>
      <c r="HR26" s="1098"/>
      <c r="HS26" s="1098"/>
      <c r="HT26" s="1098"/>
      <c r="HU26" s="1098"/>
      <c r="HV26" s="1098"/>
      <c r="HW26" s="1098"/>
      <c r="HX26" s="1098"/>
      <c r="HY26" s="1098"/>
      <c r="HZ26" s="1098"/>
      <c r="IA26" s="1097">
        <f t="shared" si="17"/>
        <v>0</v>
      </c>
      <c r="IB26" s="1098">
        <v>0</v>
      </c>
      <c r="IC26" s="1098">
        <v>0</v>
      </c>
      <c r="ID26" s="1098">
        <v>17.5</v>
      </c>
      <c r="IE26" s="1098">
        <v>0</v>
      </c>
      <c r="IF26" s="1098">
        <v>0</v>
      </c>
      <c r="IG26" s="1098">
        <v>0</v>
      </c>
      <c r="IH26" s="1098">
        <v>0</v>
      </c>
      <c r="II26" s="1098">
        <v>0</v>
      </c>
      <c r="IJ26" s="1098">
        <v>0</v>
      </c>
      <c r="IK26" s="1098">
        <v>0</v>
      </c>
      <c r="IL26" s="1098">
        <v>0</v>
      </c>
      <c r="IM26" s="1098">
        <v>0</v>
      </c>
      <c r="IN26" s="1097">
        <v>17.5</v>
      </c>
      <c r="IO26" s="1098">
        <v>0</v>
      </c>
      <c r="IP26" s="1098">
        <v>0</v>
      </c>
      <c r="IQ26" s="1098">
        <v>0</v>
      </c>
      <c r="IR26" s="1098">
        <v>0</v>
      </c>
      <c r="IS26" s="1098">
        <v>0</v>
      </c>
      <c r="IT26" s="1098">
        <v>0</v>
      </c>
      <c r="IU26" s="1098">
        <v>0</v>
      </c>
      <c r="IV26" s="1098">
        <v>0</v>
      </c>
      <c r="IW26" s="1098">
        <v>0</v>
      </c>
      <c r="IX26" s="1098">
        <v>0</v>
      </c>
      <c r="IY26" s="1098">
        <v>0</v>
      </c>
      <c r="IZ26" s="1098">
        <v>0</v>
      </c>
      <c r="JA26" s="1097">
        <v>0</v>
      </c>
      <c r="JB26" s="1098">
        <v>0</v>
      </c>
      <c r="JC26" s="1098">
        <v>0</v>
      </c>
      <c r="JD26" s="1098"/>
      <c r="JE26" s="1098"/>
      <c r="JF26" s="1098"/>
      <c r="JG26" s="1098"/>
      <c r="JH26" s="1098"/>
      <c r="JI26" s="1098"/>
      <c r="JJ26" s="1098"/>
      <c r="JK26" s="1098"/>
      <c r="JL26" s="1098"/>
      <c r="JM26" s="1098"/>
      <c r="JN26" s="1097">
        <f t="shared" si="18"/>
        <v>0</v>
      </c>
      <c r="JP26" s="1174" t="str">
        <f t="shared" si="42"/>
        <v/>
      </c>
      <c r="JQ26" s="1175">
        <f t="shared" si="43"/>
        <v>-100</v>
      </c>
      <c r="JR26" s="1184">
        <f t="shared" si="44"/>
        <v>17.5</v>
      </c>
      <c r="JS26" s="1185">
        <f t="shared" si="45"/>
        <v>0</v>
      </c>
      <c r="JT26" s="1"/>
      <c r="JU26" s="1079">
        <f t="shared" si="46"/>
        <v>2526.62</v>
      </c>
      <c r="JV26" s="1080" t="s">
        <v>35</v>
      </c>
      <c r="JW26" s="1081" t="str">
        <f t="shared" si="47"/>
        <v>OK</v>
      </c>
    </row>
    <row r="27" spans="1:283" ht="15" customHeight="1" x14ac:dyDescent="0.2">
      <c r="A27" s="1166" t="s">
        <v>36</v>
      </c>
      <c r="B27" s="1098">
        <v>4</v>
      </c>
      <c r="C27" s="1098">
        <v>5</v>
      </c>
      <c r="D27" s="1098">
        <v>6</v>
      </c>
      <c r="E27" s="1098">
        <v>110</v>
      </c>
      <c r="F27" s="1098">
        <v>84</v>
      </c>
      <c r="G27" s="1098">
        <v>81</v>
      </c>
      <c r="H27" s="1098">
        <v>101</v>
      </c>
      <c r="I27" s="1098">
        <v>65</v>
      </c>
      <c r="J27" s="1098">
        <v>71</v>
      </c>
      <c r="K27" s="1098">
        <v>23</v>
      </c>
      <c r="L27" s="1098">
        <v>9</v>
      </c>
      <c r="M27" s="1098">
        <v>4</v>
      </c>
      <c r="N27" s="1097">
        <f t="shared" si="0"/>
        <v>563</v>
      </c>
      <c r="O27" s="1098">
        <v>5</v>
      </c>
      <c r="P27" s="1098">
        <v>6</v>
      </c>
      <c r="Q27" s="1098">
        <v>12</v>
      </c>
      <c r="R27" s="1098"/>
      <c r="S27" s="1098">
        <v>4</v>
      </c>
      <c r="T27" s="1098">
        <v>14</v>
      </c>
      <c r="U27" s="1098">
        <v>38</v>
      </c>
      <c r="V27" s="1098">
        <v>71</v>
      </c>
      <c r="W27" s="1098">
        <v>104</v>
      </c>
      <c r="X27" s="1098">
        <v>11</v>
      </c>
      <c r="Y27" s="1098">
        <v>4</v>
      </c>
      <c r="Z27" s="1098">
        <v>1</v>
      </c>
      <c r="AA27" s="1097">
        <f t="shared" si="1"/>
        <v>270</v>
      </c>
      <c r="AB27" s="1098">
        <v>6</v>
      </c>
      <c r="AC27" s="1098">
        <v>7</v>
      </c>
      <c r="AD27" s="1098">
        <v>10</v>
      </c>
      <c r="AE27" s="1098"/>
      <c r="AF27" s="1098">
        <v>2</v>
      </c>
      <c r="AG27" s="1098">
        <v>5</v>
      </c>
      <c r="AH27" s="1098">
        <v>5</v>
      </c>
      <c r="AI27" s="1098">
        <v>32</v>
      </c>
      <c r="AJ27" s="1098">
        <v>30</v>
      </c>
      <c r="AK27" s="1098">
        <v>8</v>
      </c>
      <c r="AL27" s="1098">
        <v>21</v>
      </c>
      <c r="AM27" s="1098">
        <v>18</v>
      </c>
      <c r="AN27" s="1097">
        <f t="shared" si="2"/>
        <v>144</v>
      </c>
      <c r="AO27" s="1098">
        <v>4</v>
      </c>
      <c r="AP27" s="1098">
        <v>11</v>
      </c>
      <c r="AQ27" s="1098">
        <v>8</v>
      </c>
      <c r="AR27" s="1098">
        <v>3</v>
      </c>
      <c r="AS27" s="1098">
        <v>2</v>
      </c>
      <c r="AT27" s="1098">
        <v>6</v>
      </c>
      <c r="AU27" s="1098">
        <v>4</v>
      </c>
      <c r="AV27" s="1098">
        <v>22</v>
      </c>
      <c r="AW27" s="1098">
        <v>9</v>
      </c>
      <c r="AX27" s="1098">
        <v>14</v>
      </c>
      <c r="AY27" s="1098">
        <v>1</v>
      </c>
      <c r="AZ27" s="1098"/>
      <c r="BA27" s="1097">
        <f t="shared" si="3"/>
        <v>84</v>
      </c>
      <c r="BB27" s="1098">
        <v>2</v>
      </c>
      <c r="BC27" s="1098">
        <v>5</v>
      </c>
      <c r="BD27" s="1098">
        <v>10</v>
      </c>
      <c r="BE27" s="1098">
        <v>8</v>
      </c>
      <c r="BF27" s="1098">
        <v>3</v>
      </c>
      <c r="BG27" s="1098">
        <v>3</v>
      </c>
      <c r="BH27" s="1098">
        <v>1</v>
      </c>
      <c r="BI27" s="1098">
        <v>19</v>
      </c>
      <c r="BJ27" s="1098">
        <v>9</v>
      </c>
      <c r="BK27" s="1098">
        <v>6</v>
      </c>
      <c r="BL27" s="1098">
        <v>4</v>
      </c>
      <c r="BM27" s="1098"/>
      <c r="BN27" s="1097">
        <f t="shared" si="4"/>
        <v>70</v>
      </c>
      <c r="BO27" s="1098">
        <v>1</v>
      </c>
      <c r="BP27" s="1098">
        <v>2</v>
      </c>
      <c r="BQ27" s="1098">
        <v>3</v>
      </c>
      <c r="BR27" s="1098">
        <v>2</v>
      </c>
      <c r="BS27" s="1098">
        <v>2</v>
      </c>
      <c r="BT27" s="1098">
        <v>3</v>
      </c>
      <c r="BU27" s="1098">
        <v>2</v>
      </c>
      <c r="BV27" s="1098">
        <v>20</v>
      </c>
      <c r="BW27" s="1098">
        <v>6</v>
      </c>
      <c r="BX27" s="1098">
        <v>1</v>
      </c>
      <c r="BY27" s="1098"/>
      <c r="BZ27" s="1098"/>
      <c r="CA27" s="1097">
        <f t="shared" si="5"/>
        <v>42</v>
      </c>
      <c r="CB27" s="1098">
        <v>1</v>
      </c>
      <c r="CC27" s="1098">
        <v>2</v>
      </c>
      <c r="CD27" s="1098">
        <v>3</v>
      </c>
      <c r="CE27" s="1098">
        <v>1</v>
      </c>
      <c r="CF27" s="1098">
        <v>1</v>
      </c>
      <c r="CG27" s="1098">
        <v>3</v>
      </c>
      <c r="CH27" s="1098">
        <v>2</v>
      </c>
      <c r="CI27" s="1098">
        <v>20</v>
      </c>
      <c r="CJ27" s="1098">
        <v>9</v>
      </c>
      <c r="CK27" s="1098">
        <v>1</v>
      </c>
      <c r="CL27" s="1098">
        <v>1</v>
      </c>
      <c r="CM27" s="1098"/>
      <c r="CN27" s="1097">
        <f t="shared" si="6"/>
        <v>44</v>
      </c>
      <c r="CO27" s="1098">
        <v>1</v>
      </c>
      <c r="CP27" s="1098">
        <v>2</v>
      </c>
      <c r="CQ27" s="1098">
        <v>2</v>
      </c>
      <c r="CR27" s="1098">
        <v>1</v>
      </c>
      <c r="CS27" s="1098">
        <v>1</v>
      </c>
      <c r="CT27" s="1098">
        <v>8</v>
      </c>
      <c r="CU27" s="1098">
        <v>15</v>
      </c>
      <c r="CV27" s="1098">
        <v>19</v>
      </c>
      <c r="CW27" s="1098">
        <v>8</v>
      </c>
      <c r="CX27" s="1098"/>
      <c r="CY27" s="1098"/>
      <c r="CZ27" s="1098"/>
      <c r="DA27" s="1097">
        <f t="shared" si="7"/>
        <v>57</v>
      </c>
      <c r="DB27" s="1098">
        <v>1</v>
      </c>
      <c r="DC27" s="1098">
        <v>1</v>
      </c>
      <c r="DD27" s="1098">
        <v>3</v>
      </c>
      <c r="DE27" s="1098">
        <v>1</v>
      </c>
      <c r="DF27" s="1098">
        <v>1</v>
      </c>
      <c r="DG27" s="1098">
        <v>5</v>
      </c>
      <c r="DH27" s="1098">
        <v>2</v>
      </c>
      <c r="DI27" s="1098">
        <v>19</v>
      </c>
      <c r="DJ27" s="1098">
        <v>9</v>
      </c>
      <c r="DK27" s="1098"/>
      <c r="DL27" s="1098"/>
      <c r="DM27" s="1098"/>
      <c r="DN27" s="1097">
        <f t="shared" si="8"/>
        <v>42</v>
      </c>
      <c r="DO27" s="1098"/>
      <c r="DP27" s="1098"/>
      <c r="DQ27" s="1098"/>
      <c r="DR27" s="1098"/>
      <c r="DS27" s="1098"/>
      <c r="DT27" s="1098"/>
      <c r="DU27" s="1098"/>
      <c r="DV27" s="1098">
        <v>14</v>
      </c>
      <c r="DW27" s="1098">
        <v>7</v>
      </c>
      <c r="DX27" s="1098"/>
      <c r="DY27" s="1098"/>
      <c r="DZ27" s="1098"/>
      <c r="EA27" s="1097">
        <f t="shared" si="9"/>
        <v>21</v>
      </c>
      <c r="EB27" s="1098"/>
      <c r="EC27" s="1098"/>
      <c r="ED27" s="1098"/>
      <c r="EE27" s="1098"/>
      <c r="EF27" s="1098"/>
      <c r="EG27" s="1098"/>
      <c r="EH27" s="1098"/>
      <c r="EI27" s="1098"/>
      <c r="EJ27" s="1098"/>
      <c r="EK27" s="1098"/>
      <c r="EL27" s="1098"/>
      <c r="EM27" s="1098"/>
      <c r="EN27" s="1097">
        <f t="shared" si="10"/>
        <v>0</v>
      </c>
      <c r="EO27" s="1098"/>
      <c r="EP27" s="1098"/>
      <c r="EQ27" s="1098"/>
      <c r="ER27" s="1098"/>
      <c r="ES27" s="1098"/>
      <c r="ET27" s="1098"/>
      <c r="EU27" s="1098"/>
      <c r="EV27" s="1098"/>
      <c r="EW27" s="1098"/>
      <c r="EX27" s="1098"/>
      <c r="EY27" s="1098"/>
      <c r="EZ27" s="1098"/>
      <c r="FA27" s="1097">
        <f t="shared" si="11"/>
        <v>0</v>
      </c>
      <c r="FB27" s="1098"/>
      <c r="FC27" s="1098"/>
      <c r="FD27" s="1098"/>
      <c r="FE27" s="1098"/>
      <c r="FF27" s="1098"/>
      <c r="FG27" s="1098"/>
      <c r="FH27" s="1098"/>
      <c r="FI27" s="1098"/>
      <c r="FJ27" s="1098"/>
      <c r="FK27" s="1098"/>
      <c r="FL27" s="1098"/>
      <c r="FM27" s="1098"/>
      <c r="FN27" s="1097">
        <f t="shared" si="12"/>
        <v>0</v>
      </c>
      <c r="FO27" s="1098"/>
      <c r="FP27" s="1098"/>
      <c r="FQ27" s="1098"/>
      <c r="FR27" s="1098"/>
      <c r="FS27" s="1098"/>
      <c r="FT27" s="1098"/>
      <c r="FU27" s="1098"/>
      <c r="FV27" s="1098"/>
      <c r="FW27" s="1098"/>
      <c r="FX27" s="1098"/>
      <c r="FY27" s="1098"/>
      <c r="FZ27" s="1098"/>
      <c r="GA27" s="1097">
        <f t="shared" si="13"/>
        <v>0</v>
      </c>
      <c r="GB27" s="1098"/>
      <c r="GC27" s="1098"/>
      <c r="GD27" s="1098"/>
      <c r="GE27" s="1098"/>
      <c r="GF27" s="1098"/>
      <c r="GG27" s="1098"/>
      <c r="GH27" s="1098"/>
      <c r="GI27" s="1098"/>
      <c r="GJ27" s="1098"/>
      <c r="GK27" s="1098"/>
      <c r="GL27" s="1098"/>
      <c r="GM27" s="1098"/>
      <c r="GN27" s="1097">
        <f t="shared" si="14"/>
        <v>0</v>
      </c>
      <c r="GO27" s="1098"/>
      <c r="GP27" s="1098"/>
      <c r="GQ27" s="1098"/>
      <c r="GR27" s="1098"/>
      <c r="GS27" s="1098"/>
      <c r="GT27" s="1098"/>
      <c r="GU27" s="1098"/>
      <c r="GV27" s="1098"/>
      <c r="GW27" s="1098"/>
      <c r="GX27" s="1098"/>
      <c r="GY27" s="1098"/>
      <c r="GZ27" s="1098"/>
      <c r="HA27" s="1097">
        <f t="shared" si="15"/>
        <v>0</v>
      </c>
      <c r="HB27" s="1098"/>
      <c r="HC27" s="1098"/>
      <c r="HD27" s="1098"/>
      <c r="HE27" s="1098"/>
      <c r="HF27" s="1098"/>
      <c r="HG27" s="1098"/>
      <c r="HH27" s="1098"/>
      <c r="HI27" s="1098"/>
      <c r="HJ27" s="1098"/>
      <c r="HK27" s="1098"/>
      <c r="HL27" s="1098"/>
      <c r="HM27" s="1098"/>
      <c r="HN27" s="1097">
        <f t="shared" si="16"/>
        <v>0</v>
      </c>
      <c r="HO27" s="1098"/>
      <c r="HP27" s="1098"/>
      <c r="HQ27" s="1098"/>
      <c r="HR27" s="1098"/>
      <c r="HS27" s="1098"/>
      <c r="HT27" s="1098"/>
      <c r="HU27" s="1098"/>
      <c r="HV27" s="1098"/>
      <c r="HW27" s="1098"/>
      <c r="HX27" s="1098"/>
      <c r="HY27" s="1098"/>
      <c r="HZ27" s="1098"/>
      <c r="IA27" s="1097">
        <f t="shared" si="17"/>
        <v>0</v>
      </c>
      <c r="IB27" s="1098">
        <v>0</v>
      </c>
      <c r="IC27" s="1098">
        <v>0</v>
      </c>
      <c r="ID27" s="1098">
        <v>0</v>
      </c>
      <c r="IE27" s="1098">
        <v>0</v>
      </c>
      <c r="IF27" s="1098">
        <v>0</v>
      </c>
      <c r="IG27" s="1098">
        <v>0</v>
      </c>
      <c r="IH27" s="1098">
        <v>0</v>
      </c>
      <c r="II27" s="1098">
        <v>0</v>
      </c>
      <c r="IJ27" s="1098">
        <v>0</v>
      </c>
      <c r="IK27" s="1098">
        <v>0</v>
      </c>
      <c r="IL27" s="1098">
        <v>0</v>
      </c>
      <c r="IM27" s="1098">
        <v>0</v>
      </c>
      <c r="IN27" s="1097">
        <v>0</v>
      </c>
      <c r="IO27" s="1098">
        <v>0</v>
      </c>
      <c r="IP27" s="1098">
        <v>0</v>
      </c>
      <c r="IQ27" s="1098">
        <v>0</v>
      </c>
      <c r="IR27" s="1098">
        <v>0</v>
      </c>
      <c r="IS27" s="1098">
        <v>0</v>
      </c>
      <c r="IT27" s="1098">
        <v>0</v>
      </c>
      <c r="IU27" s="1098">
        <v>0</v>
      </c>
      <c r="IV27" s="1098">
        <v>0</v>
      </c>
      <c r="IW27" s="1098">
        <v>0</v>
      </c>
      <c r="IX27" s="1098">
        <v>0</v>
      </c>
      <c r="IY27" s="1098">
        <v>0</v>
      </c>
      <c r="IZ27" s="1098">
        <v>0</v>
      </c>
      <c r="JA27" s="1097">
        <v>0</v>
      </c>
      <c r="JB27" s="1098">
        <v>0</v>
      </c>
      <c r="JC27" s="1098">
        <v>0</v>
      </c>
      <c r="JD27" s="1098"/>
      <c r="JE27" s="1098"/>
      <c r="JF27" s="1098"/>
      <c r="JG27" s="1098"/>
      <c r="JH27" s="1098"/>
      <c r="JI27" s="1098"/>
      <c r="JJ27" s="1098"/>
      <c r="JK27" s="1098"/>
      <c r="JL27" s="1098"/>
      <c r="JM27" s="1098"/>
      <c r="JN27" s="1097">
        <f t="shared" si="18"/>
        <v>0</v>
      </c>
      <c r="JP27" s="1174" t="str">
        <f t="shared" si="42"/>
        <v/>
      </c>
      <c r="JQ27" s="1175" t="str">
        <f t="shared" si="43"/>
        <v/>
      </c>
      <c r="JR27" s="1184">
        <f t="shared" si="44"/>
        <v>0</v>
      </c>
      <c r="JS27" s="1185">
        <f t="shared" si="45"/>
        <v>0</v>
      </c>
      <c r="JT27" s="1"/>
      <c r="JU27" s="1079">
        <f t="shared" si="46"/>
        <v>2674</v>
      </c>
      <c r="JV27" s="1080" t="s">
        <v>36</v>
      </c>
      <c r="JW27" s="1081" t="str">
        <f t="shared" si="47"/>
        <v>OK</v>
      </c>
    </row>
    <row r="28" spans="1:283" ht="15" customHeight="1" x14ac:dyDescent="0.2">
      <c r="A28" s="1166" t="s">
        <v>48</v>
      </c>
      <c r="B28" s="1098"/>
      <c r="C28" s="1098"/>
      <c r="D28" s="1098"/>
      <c r="E28" s="1098"/>
      <c r="F28" s="1098"/>
      <c r="G28" s="1098"/>
      <c r="H28" s="1098"/>
      <c r="I28" s="1098"/>
      <c r="J28" s="1098"/>
      <c r="K28" s="1098"/>
      <c r="L28" s="1098"/>
      <c r="M28" s="1098"/>
      <c r="N28" s="1097">
        <f t="shared" si="0"/>
        <v>0</v>
      </c>
      <c r="O28" s="1098"/>
      <c r="P28" s="1098"/>
      <c r="Q28" s="1098"/>
      <c r="R28" s="1098"/>
      <c r="S28" s="1098"/>
      <c r="T28" s="1098"/>
      <c r="U28" s="1098"/>
      <c r="V28" s="1098"/>
      <c r="W28" s="1098"/>
      <c r="X28" s="1098"/>
      <c r="Y28" s="1098"/>
      <c r="Z28" s="1098"/>
      <c r="AA28" s="1097">
        <f t="shared" si="1"/>
        <v>0</v>
      </c>
      <c r="AB28" s="1098"/>
      <c r="AC28" s="1098"/>
      <c r="AD28" s="1098"/>
      <c r="AE28" s="1098"/>
      <c r="AF28" s="1098"/>
      <c r="AG28" s="1098"/>
      <c r="AH28" s="1098"/>
      <c r="AI28" s="1098"/>
      <c r="AJ28" s="1098"/>
      <c r="AK28" s="1098"/>
      <c r="AL28" s="1098"/>
      <c r="AM28" s="1098"/>
      <c r="AN28" s="1097">
        <f t="shared" si="2"/>
        <v>0</v>
      </c>
      <c r="AO28" s="1098"/>
      <c r="AP28" s="1098"/>
      <c r="AQ28" s="1098"/>
      <c r="AR28" s="1098"/>
      <c r="AS28" s="1098"/>
      <c r="AT28" s="1098"/>
      <c r="AU28" s="1098"/>
      <c r="AV28" s="1098"/>
      <c r="AW28" s="1098"/>
      <c r="AX28" s="1098"/>
      <c r="AY28" s="1098"/>
      <c r="AZ28" s="1098"/>
      <c r="BA28" s="1097">
        <f t="shared" si="3"/>
        <v>0</v>
      </c>
      <c r="BB28" s="1098"/>
      <c r="BC28" s="1098"/>
      <c r="BD28" s="1098"/>
      <c r="BE28" s="1098"/>
      <c r="BF28" s="1098"/>
      <c r="BG28" s="1098"/>
      <c r="BH28" s="1098"/>
      <c r="BI28" s="1098"/>
      <c r="BJ28" s="1098"/>
      <c r="BK28" s="1098"/>
      <c r="BL28" s="1098"/>
      <c r="BM28" s="1098"/>
      <c r="BN28" s="1097">
        <f t="shared" si="4"/>
        <v>0</v>
      </c>
      <c r="BO28" s="1098"/>
      <c r="BP28" s="1098"/>
      <c r="BQ28" s="1098"/>
      <c r="BR28" s="1098"/>
      <c r="BS28" s="1098"/>
      <c r="BT28" s="1098"/>
      <c r="BU28" s="1098"/>
      <c r="BV28" s="1098"/>
      <c r="BW28" s="1098"/>
      <c r="BX28" s="1098"/>
      <c r="BY28" s="1098"/>
      <c r="BZ28" s="1098"/>
      <c r="CA28" s="1097">
        <f t="shared" si="5"/>
        <v>0</v>
      </c>
      <c r="CB28" s="1098"/>
      <c r="CC28" s="1098"/>
      <c r="CD28" s="1098"/>
      <c r="CE28" s="1098"/>
      <c r="CF28" s="1098"/>
      <c r="CG28" s="1098"/>
      <c r="CH28" s="1098"/>
      <c r="CI28" s="1098"/>
      <c r="CJ28" s="1098"/>
      <c r="CK28" s="1098"/>
      <c r="CL28" s="1098"/>
      <c r="CM28" s="1098"/>
      <c r="CN28" s="1097">
        <f t="shared" si="6"/>
        <v>0</v>
      </c>
      <c r="CO28" s="1098"/>
      <c r="CP28" s="1098"/>
      <c r="CQ28" s="1098"/>
      <c r="CR28" s="1098"/>
      <c r="CS28" s="1098"/>
      <c r="CT28" s="1098"/>
      <c r="CU28" s="1098"/>
      <c r="CV28" s="1098"/>
      <c r="CW28" s="1098"/>
      <c r="CX28" s="1098"/>
      <c r="CY28" s="1098"/>
      <c r="CZ28" s="1098"/>
      <c r="DA28" s="1097">
        <f t="shared" si="7"/>
        <v>0</v>
      </c>
      <c r="DB28" s="1098"/>
      <c r="DC28" s="1098"/>
      <c r="DD28" s="1098"/>
      <c r="DE28" s="1098"/>
      <c r="DF28" s="1098"/>
      <c r="DG28" s="1098"/>
      <c r="DH28" s="1098"/>
      <c r="DI28" s="1098"/>
      <c r="DJ28" s="1098"/>
      <c r="DK28" s="1098"/>
      <c r="DL28" s="1098"/>
      <c r="DM28" s="1098"/>
      <c r="DN28" s="1097">
        <f t="shared" si="8"/>
        <v>0</v>
      </c>
      <c r="DO28" s="1098"/>
      <c r="DP28" s="1098"/>
      <c r="DQ28" s="1098"/>
      <c r="DR28" s="1098"/>
      <c r="DS28" s="1098"/>
      <c r="DT28" s="1098"/>
      <c r="DU28" s="1098"/>
      <c r="DV28" s="1098"/>
      <c r="DW28" s="1098"/>
      <c r="DX28" s="1098"/>
      <c r="DY28" s="1098"/>
      <c r="DZ28" s="1098"/>
      <c r="EA28" s="1097">
        <f t="shared" si="9"/>
        <v>0</v>
      </c>
      <c r="EB28" s="1098"/>
      <c r="EC28" s="1098"/>
      <c r="ED28" s="1098"/>
      <c r="EE28" s="1098"/>
      <c r="EF28" s="1098"/>
      <c r="EG28" s="1098"/>
      <c r="EH28" s="1098"/>
      <c r="EI28" s="1098"/>
      <c r="EJ28" s="1098"/>
      <c r="EK28" s="1098"/>
      <c r="EL28" s="1098"/>
      <c r="EM28" s="1098"/>
      <c r="EN28" s="1097">
        <f t="shared" si="10"/>
        <v>0</v>
      </c>
      <c r="EO28" s="1098"/>
      <c r="EP28" s="1098"/>
      <c r="EQ28" s="1098"/>
      <c r="ER28" s="1098"/>
      <c r="ES28" s="1098"/>
      <c r="ET28" s="1098"/>
      <c r="EU28" s="1098"/>
      <c r="EV28" s="1098"/>
      <c r="EW28" s="1098"/>
      <c r="EX28" s="1098"/>
      <c r="EY28" s="1098"/>
      <c r="EZ28" s="1098"/>
      <c r="FA28" s="1097">
        <f t="shared" si="11"/>
        <v>0</v>
      </c>
      <c r="FB28" s="1098"/>
      <c r="FC28" s="1098"/>
      <c r="FD28" s="1098"/>
      <c r="FE28" s="1098"/>
      <c r="FF28" s="1098"/>
      <c r="FG28" s="1098"/>
      <c r="FH28" s="1098"/>
      <c r="FI28" s="1098"/>
      <c r="FJ28" s="1098"/>
      <c r="FK28" s="1098"/>
      <c r="FL28" s="1098"/>
      <c r="FM28" s="1098"/>
      <c r="FN28" s="1097">
        <f t="shared" si="12"/>
        <v>0</v>
      </c>
      <c r="FO28" s="1098"/>
      <c r="FP28" s="1098"/>
      <c r="FQ28" s="1098"/>
      <c r="FR28" s="1098"/>
      <c r="FS28" s="1098"/>
      <c r="FT28" s="1098"/>
      <c r="FU28" s="1098"/>
      <c r="FV28" s="1098"/>
      <c r="FW28" s="1098"/>
      <c r="FX28" s="1098"/>
      <c r="FY28" s="1098"/>
      <c r="FZ28" s="1098"/>
      <c r="GA28" s="1097">
        <f t="shared" si="13"/>
        <v>0</v>
      </c>
      <c r="GB28" s="1098"/>
      <c r="GC28" s="1098"/>
      <c r="GD28" s="1098"/>
      <c r="GE28" s="1098"/>
      <c r="GF28" s="1098"/>
      <c r="GG28" s="1098"/>
      <c r="GH28" s="1098"/>
      <c r="GI28" s="1098"/>
      <c r="GJ28" s="1098"/>
      <c r="GK28" s="1098"/>
      <c r="GL28" s="1098"/>
      <c r="GM28" s="1098"/>
      <c r="GN28" s="1097">
        <f t="shared" si="14"/>
        <v>0</v>
      </c>
      <c r="GO28" s="1098"/>
      <c r="GP28" s="1098"/>
      <c r="GQ28" s="1098"/>
      <c r="GR28" s="1098"/>
      <c r="GS28" s="1098"/>
      <c r="GT28" s="1098"/>
      <c r="GU28" s="1098"/>
      <c r="GV28" s="1098"/>
      <c r="GW28" s="1098"/>
      <c r="GX28" s="1098"/>
      <c r="GY28" s="1098"/>
      <c r="GZ28" s="1098"/>
      <c r="HA28" s="1097">
        <f t="shared" si="15"/>
        <v>0</v>
      </c>
      <c r="HB28" s="1098"/>
      <c r="HC28" s="1098"/>
      <c r="HD28" s="1098"/>
      <c r="HE28" s="1098"/>
      <c r="HF28" s="1098"/>
      <c r="HG28" s="1098"/>
      <c r="HH28" s="1098"/>
      <c r="HI28" s="1098"/>
      <c r="HJ28" s="1098"/>
      <c r="HK28" s="1098"/>
      <c r="HL28" s="1098"/>
      <c r="HM28" s="1098"/>
      <c r="HN28" s="1097">
        <f t="shared" si="16"/>
        <v>0</v>
      </c>
      <c r="HO28" s="1098"/>
      <c r="HP28" s="1098"/>
      <c r="HQ28" s="1098"/>
      <c r="HR28" s="1098"/>
      <c r="HS28" s="1098"/>
      <c r="HT28" s="1098"/>
      <c r="HU28" s="1098"/>
      <c r="HV28" s="1098"/>
      <c r="HW28" s="1098"/>
      <c r="HX28" s="1098"/>
      <c r="HY28" s="1098"/>
      <c r="HZ28" s="1098"/>
      <c r="IA28" s="1097">
        <f t="shared" si="17"/>
        <v>0</v>
      </c>
      <c r="IB28" s="1098">
        <v>0</v>
      </c>
      <c r="IC28" s="1098">
        <v>0</v>
      </c>
      <c r="ID28" s="1098">
        <v>0</v>
      </c>
      <c r="IE28" s="1098">
        <v>0</v>
      </c>
      <c r="IF28" s="1098">
        <v>0</v>
      </c>
      <c r="IG28" s="1098">
        <v>0</v>
      </c>
      <c r="IH28" s="1098">
        <v>0</v>
      </c>
      <c r="II28" s="1098">
        <v>0</v>
      </c>
      <c r="IJ28" s="1098">
        <v>0</v>
      </c>
      <c r="IK28" s="1098">
        <v>0</v>
      </c>
      <c r="IL28" s="1098">
        <v>0</v>
      </c>
      <c r="IM28" s="1098">
        <v>0</v>
      </c>
      <c r="IN28" s="1097">
        <v>0</v>
      </c>
      <c r="IO28" s="1098">
        <v>0</v>
      </c>
      <c r="IP28" s="1098">
        <v>0</v>
      </c>
      <c r="IQ28" s="1098">
        <v>0</v>
      </c>
      <c r="IR28" s="1098">
        <v>0</v>
      </c>
      <c r="IS28" s="1098">
        <v>0</v>
      </c>
      <c r="IT28" s="1098">
        <v>0</v>
      </c>
      <c r="IU28" s="1098">
        <v>0</v>
      </c>
      <c r="IV28" s="1098">
        <v>0</v>
      </c>
      <c r="IW28" s="1098">
        <v>0</v>
      </c>
      <c r="IX28" s="1098">
        <v>0</v>
      </c>
      <c r="IY28" s="1098">
        <v>0</v>
      </c>
      <c r="IZ28" s="1098">
        <v>0</v>
      </c>
      <c r="JA28" s="1097">
        <v>0</v>
      </c>
      <c r="JB28" s="1098">
        <v>0</v>
      </c>
      <c r="JC28" s="1098">
        <v>0</v>
      </c>
      <c r="JD28" s="1098"/>
      <c r="JE28" s="1098"/>
      <c r="JF28" s="1098"/>
      <c r="JG28" s="1098"/>
      <c r="JH28" s="1098"/>
      <c r="JI28" s="1098"/>
      <c r="JJ28" s="1098"/>
      <c r="JK28" s="1098"/>
      <c r="JL28" s="1098"/>
      <c r="JM28" s="1098"/>
      <c r="JN28" s="1097">
        <f t="shared" si="18"/>
        <v>0</v>
      </c>
      <c r="JP28" s="1174" t="str">
        <f t="shared" si="42"/>
        <v/>
      </c>
      <c r="JQ28" s="1175" t="str">
        <f t="shared" si="43"/>
        <v/>
      </c>
      <c r="JR28" s="1184">
        <f t="shared" si="44"/>
        <v>0</v>
      </c>
      <c r="JS28" s="1185">
        <f t="shared" si="45"/>
        <v>0</v>
      </c>
      <c r="JT28" s="1"/>
      <c r="JU28" s="1079">
        <f t="shared" si="46"/>
        <v>0</v>
      </c>
      <c r="JV28" s="1080" t="s">
        <v>48</v>
      </c>
      <c r="JW28" s="1081" t="str">
        <f t="shared" si="47"/>
        <v>OK</v>
      </c>
    </row>
    <row r="29" spans="1:283" ht="15" customHeight="1" x14ac:dyDescent="0.2">
      <c r="A29" s="1166" t="s">
        <v>37</v>
      </c>
      <c r="B29" s="1098">
        <v>4271</v>
      </c>
      <c r="C29" s="1098">
        <v>8269</v>
      </c>
      <c r="D29" s="1098">
        <v>2601</v>
      </c>
      <c r="E29" s="1098">
        <v>1</v>
      </c>
      <c r="F29" s="1098"/>
      <c r="G29" s="1098"/>
      <c r="H29" s="1098"/>
      <c r="I29" s="1098"/>
      <c r="J29" s="1098"/>
      <c r="K29" s="1098"/>
      <c r="L29" s="1098"/>
      <c r="M29" s="1098"/>
      <c r="N29" s="1097">
        <f t="shared" si="0"/>
        <v>15142</v>
      </c>
      <c r="O29" s="1098">
        <v>4751</v>
      </c>
      <c r="P29" s="1098">
        <v>7642</v>
      </c>
      <c r="Q29" s="1098">
        <v>2477</v>
      </c>
      <c r="R29" s="1098">
        <v>65</v>
      </c>
      <c r="S29" s="1098"/>
      <c r="T29" s="1098"/>
      <c r="U29" s="1098"/>
      <c r="V29" s="1098"/>
      <c r="W29" s="1098"/>
      <c r="X29" s="1098"/>
      <c r="Y29" s="1098"/>
      <c r="Z29" s="1098">
        <v>385</v>
      </c>
      <c r="AA29" s="1097">
        <f t="shared" si="1"/>
        <v>15320</v>
      </c>
      <c r="AB29" s="1098">
        <v>4533</v>
      </c>
      <c r="AC29" s="1098">
        <v>8207</v>
      </c>
      <c r="AD29" s="1098">
        <v>2060</v>
      </c>
      <c r="AE29" s="1098"/>
      <c r="AF29" s="1098"/>
      <c r="AG29" s="1098"/>
      <c r="AH29" s="1098"/>
      <c r="AI29" s="1098"/>
      <c r="AJ29" s="1098"/>
      <c r="AK29" s="1098"/>
      <c r="AL29" s="1098"/>
      <c r="AM29" s="1098">
        <v>36</v>
      </c>
      <c r="AN29" s="1097">
        <f t="shared" si="2"/>
        <v>14836</v>
      </c>
      <c r="AO29" s="1098">
        <v>4431</v>
      </c>
      <c r="AP29" s="1098">
        <v>6962</v>
      </c>
      <c r="AQ29" s="1098">
        <v>3377</v>
      </c>
      <c r="AR29" s="1098">
        <v>26</v>
      </c>
      <c r="AS29" s="1098"/>
      <c r="AT29" s="1098"/>
      <c r="AU29" s="1098"/>
      <c r="AV29" s="1098"/>
      <c r="AW29" s="1098"/>
      <c r="AX29" s="1098"/>
      <c r="AY29" s="1098"/>
      <c r="AZ29" s="1098">
        <v>46</v>
      </c>
      <c r="BA29" s="1097">
        <f t="shared" si="3"/>
        <v>14842</v>
      </c>
      <c r="BB29" s="1098">
        <v>4670</v>
      </c>
      <c r="BC29" s="1098">
        <v>7346</v>
      </c>
      <c r="BD29" s="1098">
        <v>2760</v>
      </c>
      <c r="BE29" s="1098">
        <v>20</v>
      </c>
      <c r="BF29" s="1098"/>
      <c r="BG29" s="1098"/>
      <c r="BH29" s="1098"/>
      <c r="BI29" s="1098"/>
      <c r="BJ29" s="1098"/>
      <c r="BK29" s="1098"/>
      <c r="BL29" s="1098"/>
      <c r="BM29" s="1098"/>
      <c r="BN29" s="1097">
        <f t="shared" si="4"/>
        <v>14796</v>
      </c>
      <c r="BO29" s="1098">
        <v>4590</v>
      </c>
      <c r="BP29" s="1098">
        <v>8147</v>
      </c>
      <c r="BQ29" s="1098">
        <v>3600</v>
      </c>
      <c r="BR29" s="1098">
        <v>452</v>
      </c>
      <c r="BS29" s="1098"/>
      <c r="BT29" s="1098"/>
      <c r="BU29" s="1098"/>
      <c r="BV29" s="1098"/>
      <c r="BW29" s="1098"/>
      <c r="BX29" s="1098"/>
      <c r="BY29" s="1098"/>
      <c r="BZ29" s="1098">
        <v>14</v>
      </c>
      <c r="CA29" s="1097">
        <f t="shared" si="5"/>
        <v>16803</v>
      </c>
      <c r="CB29" s="1098">
        <v>3297</v>
      </c>
      <c r="CC29" s="1098">
        <v>8071</v>
      </c>
      <c r="CD29" s="1098">
        <v>2975</v>
      </c>
      <c r="CE29" s="1098">
        <v>375</v>
      </c>
      <c r="CF29" s="1098">
        <v>21</v>
      </c>
      <c r="CG29" s="1098"/>
      <c r="CH29" s="1098"/>
      <c r="CI29" s="1098"/>
      <c r="CJ29" s="1098"/>
      <c r="CK29" s="1098"/>
      <c r="CL29" s="1098"/>
      <c r="CM29" s="1098"/>
      <c r="CN29" s="1097">
        <f t="shared" si="6"/>
        <v>14739</v>
      </c>
      <c r="CO29" s="1098">
        <v>3625</v>
      </c>
      <c r="CP29" s="1098">
        <v>7836</v>
      </c>
      <c r="CQ29" s="1098">
        <v>3051</v>
      </c>
      <c r="CR29" s="1098">
        <v>417</v>
      </c>
      <c r="CS29" s="1098">
        <v>10</v>
      </c>
      <c r="CT29" s="1098"/>
      <c r="CU29" s="1098"/>
      <c r="CV29" s="1098"/>
      <c r="CW29" s="1098"/>
      <c r="CX29" s="1098"/>
      <c r="CY29" s="1098">
        <v>43</v>
      </c>
      <c r="CZ29" s="1098">
        <v>71</v>
      </c>
      <c r="DA29" s="1097">
        <f t="shared" si="7"/>
        <v>15053</v>
      </c>
      <c r="DB29" s="1098">
        <v>3828</v>
      </c>
      <c r="DC29" s="1098">
        <v>7297</v>
      </c>
      <c r="DD29" s="1098">
        <v>3458</v>
      </c>
      <c r="DE29" s="1098">
        <v>618</v>
      </c>
      <c r="DF29" s="1098">
        <v>30</v>
      </c>
      <c r="DG29" s="1098">
        <v>2</v>
      </c>
      <c r="DH29" s="1098"/>
      <c r="DI29" s="1098"/>
      <c r="DJ29" s="1098"/>
      <c r="DK29" s="1098"/>
      <c r="DL29" s="1098"/>
      <c r="DM29" s="1098">
        <v>202</v>
      </c>
      <c r="DN29" s="1097">
        <f t="shared" si="8"/>
        <v>15435</v>
      </c>
      <c r="DO29" s="1098">
        <v>3941</v>
      </c>
      <c r="DP29" s="1098">
        <v>7523</v>
      </c>
      <c r="DQ29" s="1098">
        <v>3647</v>
      </c>
      <c r="DR29" s="1098">
        <v>244</v>
      </c>
      <c r="DS29" s="1098">
        <v>18</v>
      </c>
      <c r="DT29" s="1098">
        <v>6</v>
      </c>
      <c r="DU29" s="1098">
        <v>3</v>
      </c>
      <c r="DV29" s="1098"/>
      <c r="DW29" s="1098"/>
      <c r="DX29" s="1098">
        <v>62</v>
      </c>
      <c r="DY29" s="1098">
        <v>56</v>
      </c>
      <c r="DZ29" s="1098">
        <v>46</v>
      </c>
      <c r="EA29" s="1097">
        <f t="shared" si="9"/>
        <v>15546</v>
      </c>
      <c r="EB29" s="1098">
        <v>3616</v>
      </c>
      <c r="EC29" s="1098">
        <v>7571</v>
      </c>
      <c r="ED29" s="1098">
        <v>3481</v>
      </c>
      <c r="EE29" s="1098">
        <v>345</v>
      </c>
      <c r="EF29" s="1098"/>
      <c r="EG29" s="1098"/>
      <c r="EH29" s="1098"/>
      <c r="EI29" s="1098"/>
      <c r="EJ29" s="1098">
        <v>55</v>
      </c>
      <c r="EK29" s="1098"/>
      <c r="EL29" s="1098"/>
      <c r="EM29" s="1098">
        <v>13</v>
      </c>
      <c r="EN29" s="1097">
        <f t="shared" si="10"/>
        <v>15081</v>
      </c>
      <c r="EO29" s="1098">
        <v>2824</v>
      </c>
      <c r="EP29" s="1098">
        <v>7621</v>
      </c>
      <c r="EQ29" s="1098">
        <v>4113</v>
      </c>
      <c r="ER29" s="1098">
        <v>577</v>
      </c>
      <c r="ES29" s="1098">
        <v>7</v>
      </c>
      <c r="ET29" s="1098"/>
      <c r="EU29" s="1098"/>
      <c r="EV29" s="1098"/>
      <c r="EW29" s="1098"/>
      <c r="EX29" s="1098"/>
      <c r="EY29" s="1098">
        <v>1</v>
      </c>
      <c r="EZ29" s="1098">
        <v>1</v>
      </c>
      <c r="FA29" s="1097">
        <f t="shared" si="11"/>
        <v>15144</v>
      </c>
      <c r="FB29" s="1098">
        <v>3623</v>
      </c>
      <c r="FC29" s="1098">
        <v>6806</v>
      </c>
      <c r="FD29" s="1098">
        <v>3938</v>
      </c>
      <c r="FE29" s="1098">
        <v>385</v>
      </c>
      <c r="FF29" s="1098">
        <v>233</v>
      </c>
      <c r="FG29" s="1098">
        <v>17</v>
      </c>
      <c r="FH29" s="1098">
        <v>11</v>
      </c>
      <c r="FI29" s="1098">
        <v>15</v>
      </c>
      <c r="FJ29" s="1098"/>
      <c r="FK29" s="1098"/>
      <c r="FL29" s="1098">
        <v>5</v>
      </c>
      <c r="FM29" s="1098">
        <v>69</v>
      </c>
      <c r="FN29" s="1097">
        <f t="shared" si="12"/>
        <v>15102</v>
      </c>
      <c r="FO29" s="1098">
        <v>3774</v>
      </c>
      <c r="FP29" s="1098">
        <v>4865</v>
      </c>
      <c r="FQ29" s="1098">
        <v>2807</v>
      </c>
      <c r="FR29" s="1098">
        <v>395</v>
      </c>
      <c r="FS29" s="1098">
        <v>15</v>
      </c>
      <c r="FT29" s="1098">
        <v>9</v>
      </c>
      <c r="FU29" s="1098">
        <v>3</v>
      </c>
      <c r="FV29" s="1098"/>
      <c r="FW29" s="1098">
        <v>30</v>
      </c>
      <c r="FX29" s="1098">
        <v>195</v>
      </c>
      <c r="FY29" s="1098">
        <v>252</v>
      </c>
      <c r="FZ29" s="1098">
        <v>477</v>
      </c>
      <c r="GA29" s="1097">
        <f t="shared" si="13"/>
        <v>12822</v>
      </c>
      <c r="GB29" s="1098">
        <v>2496.8000000000002</v>
      </c>
      <c r="GC29" s="1098">
        <v>4457</v>
      </c>
      <c r="GD29" s="1098">
        <v>3029</v>
      </c>
      <c r="GE29" s="1098">
        <v>356</v>
      </c>
      <c r="GF29" s="1098">
        <v>55</v>
      </c>
      <c r="GG29" s="1098">
        <v>42.3</v>
      </c>
      <c r="GH29" s="1098">
        <v>154.19999999999999</v>
      </c>
      <c r="GI29" s="1098">
        <v>29.75</v>
      </c>
      <c r="GJ29" s="1098">
        <v>131</v>
      </c>
      <c r="GK29" s="1098">
        <v>210.5</v>
      </c>
      <c r="GL29" s="1098">
        <v>359.25</v>
      </c>
      <c r="GM29" s="1098">
        <v>249.65</v>
      </c>
      <c r="GN29" s="1097">
        <f t="shared" si="14"/>
        <v>11570.449999999999</v>
      </c>
      <c r="GO29" s="1098">
        <v>3281.5</v>
      </c>
      <c r="GP29" s="1098">
        <v>4448</v>
      </c>
      <c r="GQ29" s="1098">
        <v>2844</v>
      </c>
      <c r="GR29" s="1098">
        <v>287.7</v>
      </c>
      <c r="GS29" s="1098">
        <v>46.45</v>
      </c>
      <c r="GT29" s="1098">
        <v>32</v>
      </c>
      <c r="GU29" s="1098">
        <v>33</v>
      </c>
      <c r="GV29" s="1098">
        <v>58</v>
      </c>
      <c r="GW29" s="1098">
        <v>30</v>
      </c>
      <c r="GX29" s="1098"/>
      <c r="GY29" s="1098"/>
      <c r="GZ29" s="1098">
        <v>0.5</v>
      </c>
      <c r="HA29" s="1097">
        <f t="shared" si="15"/>
        <v>11061.150000000001</v>
      </c>
      <c r="HB29" s="1098">
        <v>1837.5</v>
      </c>
      <c r="HC29" s="1098">
        <v>2813</v>
      </c>
      <c r="HD29" s="1098">
        <v>1643.5</v>
      </c>
      <c r="HE29" s="1098">
        <v>413</v>
      </c>
      <c r="HF29" s="1098">
        <v>113</v>
      </c>
      <c r="HG29" s="1098"/>
      <c r="HH29" s="1098"/>
      <c r="HI29" s="1098"/>
      <c r="HJ29" s="1098">
        <v>53</v>
      </c>
      <c r="HK29" s="1098">
        <v>92</v>
      </c>
      <c r="HL29" s="1098">
        <v>198</v>
      </c>
      <c r="HM29" s="1098">
        <v>65</v>
      </c>
      <c r="HN29" s="1097">
        <f t="shared" si="16"/>
        <v>7228</v>
      </c>
      <c r="HO29" s="1098">
        <v>2194.5</v>
      </c>
      <c r="HP29" s="1098">
        <v>3477</v>
      </c>
      <c r="HQ29" s="1098">
        <v>2036</v>
      </c>
      <c r="HR29" s="1098">
        <v>137</v>
      </c>
      <c r="HS29" s="1098">
        <v>9</v>
      </c>
      <c r="HT29" s="1098"/>
      <c r="HU29" s="1098"/>
      <c r="HV29" s="1098"/>
      <c r="HW29" s="1098"/>
      <c r="HX29" s="1098"/>
      <c r="HY29" s="1098"/>
      <c r="HZ29" s="1098">
        <v>6</v>
      </c>
      <c r="IA29" s="1097">
        <f t="shared" si="17"/>
        <v>7859.5</v>
      </c>
      <c r="IB29" s="1098">
        <v>1635.5</v>
      </c>
      <c r="IC29" s="1098">
        <v>3346</v>
      </c>
      <c r="ID29" s="1098">
        <v>1961</v>
      </c>
      <c r="IE29" s="1098">
        <v>286.5</v>
      </c>
      <c r="IF29" s="1098">
        <v>124</v>
      </c>
      <c r="IG29" s="1098">
        <v>0</v>
      </c>
      <c r="IH29" s="1098">
        <v>0</v>
      </c>
      <c r="II29" s="1098">
        <v>0</v>
      </c>
      <c r="IJ29" s="1098">
        <v>0</v>
      </c>
      <c r="IK29" s="1098">
        <v>0</v>
      </c>
      <c r="IL29" s="1098">
        <v>0</v>
      </c>
      <c r="IM29" s="1098">
        <v>0</v>
      </c>
      <c r="IN29" s="1097">
        <v>7353</v>
      </c>
      <c r="IO29" s="1098">
        <v>1410.5</v>
      </c>
      <c r="IP29" s="1098">
        <v>3470</v>
      </c>
      <c r="IQ29" s="1098">
        <v>1816</v>
      </c>
      <c r="IR29" s="1098">
        <v>357.5</v>
      </c>
      <c r="IS29" s="1098">
        <v>99</v>
      </c>
      <c r="IT29" s="1098">
        <v>0</v>
      </c>
      <c r="IU29" s="1098">
        <v>0</v>
      </c>
      <c r="IV29" s="1098">
        <v>1</v>
      </c>
      <c r="IW29" s="1098">
        <v>1</v>
      </c>
      <c r="IX29" s="1098">
        <v>0</v>
      </c>
      <c r="IY29" s="1098">
        <v>0</v>
      </c>
      <c r="IZ29" s="1098">
        <v>0</v>
      </c>
      <c r="JA29" s="1097">
        <v>7155</v>
      </c>
      <c r="JB29" s="1098">
        <v>1205.5</v>
      </c>
      <c r="JC29" s="1098">
        <v>2439</v>
      </c>
      <c r="JD29" s="1098"/>
      <c r="JE29" s="1098"/>
      <c r="JF29" s="1098"/>
      <c r="JG29" s="1098"/>
      <c r="JH29" s="1098"/>
      <c r="JI29" s="1098"/>
      <c r="JJ29" s="1098"/>
      <c r="JK29" s="1098"/>
      <c r="JL29" s="1098"/>
      <c r="JM29" s="1098"/>
      <c r="JN29" s="1097">
        <f t="shared" si="18"/>
        <v>3644.5</v>
      </c>
      <c r="JP29" s="1174" t="str">
        <f t="shared" si="42"/>
        <v/>
      </c>
      <c r="JQ29" s="1175">
        <f t="shared" si="43"/>
        <v>-2.6927784577723379</v>
      </c>
      <c r="JR29" s="1184">
        <f t="shared" si="44"/>
        <v>7353</v>
      </c>
      <c r="JS29" s="1185">
        <f t="shared" si="45"/>
        <v>7155</v>
      </c>
      <c r="JT29" s="1"/>
      <c r="JU29" s="1079">
        <f t="shared" si="46"/>
        <v>533065.20000000007</v>
      </c>
      <c r="JV29" s="1080" t="s">
        <v>37</v>
      </c>
      <c r="JW29" s="1081" t="str">
        <f t="shared" si="47"/>
        <v>OK</v>
      </c>
    </row>
    <row r="30" spans="1:283" ht="15" customHeight="1" x14ac:dyDescent="0.2">
      <c r="A30" s="1166" t="s">
        <v>281</v>
      </c>
      <c r="B30" s="1098">
        <v>57562</v>
      </c>
      <c r="C30" s="1098">
        <v>57418</v>
      </c>
      <c r="D30" s="1098">
        <v>58687</v>
      </c>
      <c r="E30" s="1098">
        <v>58381</v>
      </c>
      <c r="F30" s="1098">
        <v>46141</v>
      </c>
      <c r="G30" s="1098">
        <v>45577</v>
      </c>
      <c r="H30" s="1098">
        <v>45586</v>
      </c>
      <c r="I30" s="1098">
        <v>46084</v>
      </c>
      <c r="J30" s="1098">
        <v>45139</v>
      </c>
      <c r="K30" s="1098">
        <v>43463</v>
      </c>
      <c r="L30" s="1098">
        <v>43722</v>
      </c>
      <c r="M30" s="1098">
        <v>49286</v>
      </c>
      <c r="N30" s="1097">
        <f t="shared" si="0"/>
        <v>597046</v>
      </c>
      <c r="O30" s="1098">
        <v>54727</v>
      </c>
      <c r="P30" s="1098">
        <v>58670</v>
      </c>
      <c r="Q30" s="1098">
        <v>60075</v>
      </c>
      <c r="R30" s="1098">
        <v>61917</v>
      </c>
      <c r="S30" s="1098">
        <v>59373</v>
      </c>
      <c r="T30" s="1098">
        <v>63848</v>
      </c>
      <c r="U30" s="1098">
        <v>56280</v>
      </c>
      <c r="V30" s="1098">
        <v>58868</v>
      </c>
      <c r="W30" s="1098">
        <v>54823</v>
      </c>
      <c r="X30" s="1098">
        <v>56694</v>
      </c>
      <c r="Y30" s="1098">
        <v>49574</v>
      </c>
      <c r="Z30" s="1098">
        <v>50506</v>
      </c>
      <c r="AA30" s="1097">
        <f t="shared" si="1"/>
        <v>685355</v>
      </c>
      <c r="AB30" s="1098">
        <v>59492</v>
      </c>
      <c r="AC30" s="1098">
        <v>58929</v>
      </c>
      <c r="AD30" s="1098">
        <v>62785</v>
      </c>
      <c r="AE30" s="1098">
        <v>60267</v>
      </c>
      <c r="AF30" s="1098">
        <v>61293</v>
      </c>
      <c r="AG30" s="1098">
        <v>61034</v>
      </c>
      <c r="AH30" s="1098">
        <v>64448</v>
      </c>
      <c r="AI30" s="1098">
        <v>59572</v>
      </c>
      <c r="AJ30" s="1098">
        <v>59309</v>
      </c>
      <c r="AK30" s="1098">
        <v>63162</v>
      </c>
      <c r="AL30" s="1098">
        <v>59019</v>
      </c>
      <c r="AM30" s="1098">
        <v>47673</v>
      </c>
      <c r="AN30" s="1097">
        <f t="shared" si="2"/>
        <v>716983</v>
      </c>
      <c r="AO30" s="1098">
        <v>58401</v>
      </c>
      <c r="AP30" s="1098">
        <v>58913</v>
      </c>
      <c r="AQ30" s="1098">
        <v>61992</v>
      </c>
      <c r="AR30" s="1098">
        <v>60609</v>
      </c>
      <c r="AS30" s="1098">
        <v>59602</v>
      </c>
      <c r="AT30" s="1098">
        <v>57667</v>
      </c>
      <c r="AU30" s="1098">
        <v>57692</v>
      </c>
      <c r="AV30" s="1098">
        <v>57157</v>
      </c>
      <c r="AW30" s="1098">
        <v>58098</v>
      </c>
      <c r="AX30" s="1098">
        <v>54777</v>
      </c>
      <c r="AY30" s="1098">
        <v>56095</v>
      </c>
      <c r="AZ30" s="1098">
        <v>58724</v>
      </c>
      <c r="BA30" s="1097">
        <f t="shared" si="3"/>
        <v>699727</v>
      </c>
      <c r="BB30" s="1098">
        <v>51640</v>
      </c>
      <c r="BC30" s="1098">
        <v>55613</v>
      </c>
      <c r="BD30" s="1098">
        <v>60534</v>
      </c>
      <c r="BE30" s="1098">
        <v>56759</v>
      </c>
      <c r="BF30" s="1098">
        <v>59268</v>
      </c>
      <c r="BG30" s="1098">
        <v>55485</v>
      </c>
      <c r="BH30" s="1098">
        <v>63258</v>
      </c>
      <c r="BI30" s="1098">
        <v>63437</v>
      </c>
      <c r="BJ30" s="1098">
        <v>54620</v>
      </c>
      <c r="BK30" s="1098">
        <v>65160</v>
      </c>
      <c r="BL30" s="1098">
        <v>66469</v>
      </c>
      <c r="BM30" s="1098">
        <v>71318</v>
      </c>
      <c r="BN30" s="1097">
        <f t="shared" si="4"/>
        <v>723561</v>
      </c>
      <c r="BO30" s="1098">
        <v>62294</v>
      </c>
      <c r="BP30" s="1098">
        <v>79870</v>
      </c>
      <c r="BQ30" s="1098">
        <v>74388</v>
      </c>
      <c r="BR30" s="1098">
        <v>68590</v>
      </c>
      <c r="BS30" s="1098">
        <v>63539</v>
      </c>
      <c r="BT30" s="1098">
        <v>63151</v>
      </c>
      <c r="BU30" s="1098">
        <v>60417</v>
      </c>
      <c r="BV30" s="1098">
        <v>58995</v>
      </c>
      <c r="BW30" s="1098">
        <v>59430</v>
      </c>
      <c r="BX30" s="1098">
        <v>60313</v>
      </c>
      <c r="BY30" s="1098">
        <v>56746</v>
      </c>
      <c r="BZ30" s="1098">
        <v>58853</v>
      </c>
      <c r="CA30" s="1097">
        <f t="shared" si="5"/>
        <v>766586</v>
      </c>
      <c r="CB30" s="1098">
        <v>48161</v>
      </c>
      <c r="CC30" s="1098">
        <v>48380</v>
      </c>
      <c r="CD30" s="1098">
        <v>50882</v>
      </c>
      <c r="CE30" s="1098">
        <v>48476</v>
      </c>
      <c r="CF30" s="1098">
        <v>49825</v>
      </c>
      <c r="CG30" s="1098">
        <v>46980</v>
      </c>
      <c r="CH30" s="1098">
        <v>48394</v>
      </c>
      <c r="CI30" s="1098">
        <v>45633</v>
      </c>
      <c r="CJ30" s="1098">
        <v>50439</v>
      </c>
      <c r="CK30" s="1098">
        <v>47616</v>
      </c>
      <c r="CL30" s="1098">
        <v>46967</v>
      </c>
      <c r="CM30" s="1098">
        <v>46579</v>
      </c>
      <c r="CN30" s="1097">
        <f t="shared" si="6"/>
        <v>578332</v>
      </c>
      <c r="CO30" s="1098">
        <v>48702.500000000007</v>
      </c>
      <c r="CP30" s="1098">
        <v>49851.6</v>
      </c>
      <c r="CQ30" s="1098">
        <v>48849.15</v>
      </c>
      <c r="CR30" s="1098">
        <v>51045.25</v>
      </c>
      <c r="CS30" s="1098">
        <v>46623.199999999997</v>
      </c>
      <c r="CT30" s="1098">
        <v>51348</v>
      </c>
      <c r="CU30" s="1098">
        <v>50203.85</v>
      </c>
      <c r="CV30" s="1098">
        <v>50462.450000000004</v>
      </c>
      <c r="CW30" s="1098">
        <v>48698.15</v>
      </c>
      <c r="CX30" s="1098">
        <v>48141.4</v>
      </c>
      <c r="CY30" s="1098">
        <v>46153.759999999995</v>
      </c>
      <c r="CZ30" s="1098">
        <v>50001.9</v>
      </c>
      <c r="DA30" s="1097">
        <f t="shared" si="7"/>
        <v>590081.21000000008</v>
      </c>
      <c r="DB30" s="1098">
        <v>48478.400000000001</v>
      </c>
      <c r="DC30" s="1098">
        <v>50787.5</v>
      </c>
      <c r="DD30" s="1098">
        <v>52257.5</v>
      </c>
      <c r="DE30" s="1098">
        <v>51764.799999999996</v>
      </c>
      <c r="DF30" s="1098">
        <v>50086.5</v>
      </c>
      <c r="DG30" s="1098">
        <v>51814</v>
      </c>
      <c r="DH30" s="1098">
        <v>51139</v>
      </c>
      <c r="DI30" s="1098">
        <v>48556</v>
      </c>
      <c r="DJ30" s="1098">
        <v>48607</v>
      </c>
      <c r="DK30" s="1098">
        <v>51233</v>
      </c>
      <c r="DL30" s="1098">
        <v>49342</v>
      </c>
      <c r="DM30" s="1098">
        <v>44350</v>
      </c>
      <c r="DN30" s="1097">
        <f t="shared" si="8"/>
        <v>598415.69999999995</v>
      </c>
      <c r="DO30" s="1098">
        <v>49242</v>
      </c>
      <c r="DP30" s="1098">
        <v>47948</v>
      </c>
      <c r="DQ30" s="1098">
        <v>53491</v>
      </c>
      <c r="DR30" s="1098">
        <v>49825</v>
      </c>
      <c r="DS30" s="1098">
        <v>49014</v>
      </c>
      <c r="DT30" s="1098">
        <v>53167.5</v>
      </c>
      <c r="DU30" s="1098">
        <v>53079</v>
      </c>
      <c r="DV30" s="1098">
        <v>52168</v>
      </c>
      <c r="DW30" s="1098">
        <v>51856</v>
      </c>
      <c r="DX30" s="1098">
        <v>51758</v>
      </c>
      <c r="DY30" s="1098">
        <v>52664</v>
      </c>
      <c r="DZ30" s="1098">
        <v>52933</v>
      </c>
      <c r="EA30" s="1097">
        <f t="shared" si="9"/>
        <v>617145.5</v>
      </c>
      <c r="EB30" s="1098">
        <v>43580</v>
      </c>
      <c r="EC30" s="1098">
        <v>45689</v>
      </c>
      <c r="ED30" s="1098">
        <v>44083</v>
      </c>
      <c r="EE30" s="1098">
        <v>43653</v>
      </c>
      <c r="EF30" s="1098">
        <v>39619</v>
      </c>
      <c r="EG30" s="1098">
        <v>44143</v>
      </c>
      <c r="EH30" s="1098">
        <v>44282</v>
      </c>
      <c r="EI30" s="1098">
        <v>44156</v>
      </c>
      <c r="EJ30" s="1098">
        <v>36461</v>
      </c>
      <c r="EK30" s="1098">
        <v>35693</v>
      </c>
      <c r="EL30" s="1098">
        <v>38242</v>
      </c>
      <c r="EM30" s="1098">
        <v>37711</v>
      </c>
      <c r="EN30" s="1097">
        <f t="shared" si="10"/>
        <v>497312</v>
      </c>
      <c r="EO30" s="1098">
        <v>41258</v>
      </c>
      <c r="EP30" s="1098">
        <v>47131</v>
      </c>
      <c r="EQ30" s="1098">
        <v>48298</v>
      </c>
      <c r="ER30" s="1098">
        <v>47358</v>
      </c>
      <c r="ES30" s="1098">
        <v>48610</v>
      </c>
      <c r="ET30" s="1098">
        <v>44228</v>
      </c>
      <c r="EU30" s="1098">
        <v>43396</v>
      </c>
      <c r="EV30" s="1098">
        <v>45603</v>
      </c>
      <c r="EW30" s="1098">
        <v>47453</v>
      </c>
      <c r="EX30" s="1098">
        <v>53177</v>
      </c>
      <c r="EY30" s="1098">
        <v>49065</v>
      </c>
      <c r="EZ30" s="1098">
        <v>49052</v>
      </c>
      <c r="FA30" s="1097">
        <f t="shared" si="11"/>
        <v>564629</v>
      </c>
      <c r="FB30" s="1098">
        <v>40595</v>
      </c>
      <c r="FC30" s="1098">
        <v>44647</v>
      </c>
      <c r="FD30" s="1098">
        <v>43724</v>
      </c>
      <c r="FE30" s="1098">
        <v>44671</v>
      </c>
      <c r="FF30" s="1098">
        <v>49184</v>
      </c>
      <c r="FG30" s="1098">
        <v>43722</v>
      </c>
      <c r="FH30" s="1098">
        <v>45562</v>
      </c>
      <c r="FI30" s="1098">
        <v>37513</v>
      </c>
      <c r="FJ30" s="1098">
        <v>37493</v>
      </c>
      <c r="FK30" s="1098">
        <v>40841</v>
      </c>
      <c r="FL30" s="1098">
        <v>39511</v>
      </c>
      <c r="FM30" s="1098">
        <v>43053</v>
      </c>
      <c r="FN30" s="1097">
        <f t="shared" si="12"/>
        <v>510516</v>
      </c>
      <c r="FO30" s="1098">
        <v>40405</v>
      </c>
      <c r="FP30" s="1098">
        <v>42707</v>
      </c>
      <c r="FQ30" s="1098">
        <v>41449</v>
      </c>
      <c r="FR30" s="1098">
        <v>40627</v>
      </c>
      <c r="FS30" s="1098">
        <v>39165</v>
      </c>
      <c r="FT30" s="1098">
        <v>37644</v>
      </c>
      <c r="FU30" s="1098">
        <v>37119</v>
      </c>
      <c r="FV30" s="1098">
        <v>36062</v>
      </c>
      <c r="FW30" s="1098">
        <v>35420</v>
      </c>
      <c r="FX30" s="1098">
        <v>33271</v>
      </c>
      <c r="FY30" s="1098">
        <v>36137</v>
      </c>
      <c r="FZ30" s="1098">
        <v>34430</v>
      </c>
      <c r="GA30" s="1097">
        <f t="shared" si="13"/>
        <v>454436</v>
      </c>
      <c r="GB30" s="1098">
        <v>42255</v>
      </c>
      <c r="GC30" s="1098">
        <v>45373</v>
      </c>
      <c r="GD30" s="1098">
        <v>44024</v>
      </c>
      <c r="GE30" s="1098">
        <v>42316</v>
      </c>
      <c r="GF30" s="1098">
        <v>47028</v>
      </c>
      <c r="GG30" s="1098">
        <v>45420</v>
      </c>
      <c r="GH30" s="1098">
        <v>41795</v>
      </c>
      <c r="GI30" s="1098">
        <v>41229</v>
      </c>
      <c r="GJ30" s="1098">
        <v>39599</v>
      </c>
      <c r="GK30" s="1098">
        <v>38302</v>
      </c>
      <c r="GL30" s="1098">
        <v>37820</v>
      </c>
      <c r="GM30" s="1098">
        <v>37115</v>
      </c>
      <c r="GN30" s="1097">
        <f t="shared" si="14"/>
        <v>502276</v>
      </c>
      <c r="GO30" s="1098">
        <v>46701</v>
      </c>
      <c r="GP30" s="1098">
        <v>47238</v>
      </c>
      <c r="GQ30" s="1098">
        <v>47828</v>
      </c>
      <c r="GR30" s="1098">
        <v>43136</v>
      </c>
      <c r="GS30" s="1098">
        <v>44904</v>
      </c>
      <c r="GT30" s="1098">
        <v>44806</v>
      </c>
      <c r="GU30" s="1098">
        <v>40995</v>
      </c>
      <c r="GV30" s="1098">
        <v>46492</v>
      </c>
      <c r="GW30" s="1098">
        <v>43612</v>
      </c>
      <c r="GX30" s="1098">
        <v>42056</v>
      </c>
      <c r="GY30" s="1098">
        <v>40456</v>
      </c>
      <c r="GZ30" s="1098">
        <v>36199</v>
      </c>
      <c r="HA30" s="1097">
        <f t="shared" si="15"/>
        <v>524423</v>
      </c>
      <c r="HB30" s="1098">
        <v>48259</v>
      </c>
      <c r="HC30" s="1098">
        <v>48305</v>
      </c>
      <c r="HD30" s="1098">
        <v>46123</v>
      </c>
      <c r="HE30" s="1098">
        <v>45834</v>
      </c>
      <c r="HF30" s="1098">
        <v>44042</v>
      </c>
      <c r="HG30" s="1098">
        <v>42145</v>
      </c>
      <c r="HH30" s="1098">
        <v>39129</v>
      </c>
      <c r="HI30" s="1098">
        <v>43422</v>
      </c>
      <c r="HJ30" s="1098">
        <v>40689</v>
      </c>
      <c r="HK30" s="1098">
        <v>41903</v>
      </c>
      <c r="HL30" s="1098">
        <v>41822</v>
      </c>
      <c r="HM30" s="1098">
        <v>40719</v>
      </c>
      <c r="HN30" s="1097">
        <f t="shared" si="16"/>
        <v>522392</v>
      </c>
      <c r="HO30" s="1098">
        <v>44390</v>
      </c>
      <c r="HP30" s="1098">
        <v>45290</v>
      </c>
      <c r="HQ30" s="1098">
        <v>42546</v>
      </c>
      <c r="HR30" s="1098">
        <v>43584</v>
      </c>
      <c r="HS30" s="1098">
        <v>45263</v>
      </c>
      <c r="HT30" s="1098">
        <v>41426</v>
      </c>
      <c r="HU30" s="1098">
        <v>43168</v>
      </c>
      <c r="HV30" s="1098">
        <v>42916</v>
      </c>
      <c r="HW30" s="1098">
        <v>40713</v>
      </c>
      <c r="HX30" s="1098">
        <v>40016</v>
      </c>
      <c r="HY30" s="1098">
        <v>40177.199999999997</v>
      </c>
      <c r="HZ30" s="1098">
        <v>39736</v>
      </c>
      <c r="IA30" s="1097">
        <f t="shared" si="17"/>
        <v>509225.2</v>
      </c>
      <c r="IB30" s="1098">
        <v>43758</v>
      </c>
      <c r="IC30" s="1098">
        <v>49841</v>
      </c>
      <c r="ID30" s="1098">
        <v>49204</v>
      </c>
      <c r="IE30" s="1098">
        <v>47143</v>
      </c>
      <c r="IF30" s="1098">
        <v>47480</v>
      </c>
      <c r="IG30" s="1098">
        <v>43566</v>
      </c>
      <c r="IH30" s="1098">
        <v>40857</v>
      </c>
      <c r="II30" s="1098">
        <v>38188</v>
      </c>
      <c r="IJ30" s="1098">
        <v>39023</v>
      </c>
      <c r="IK30" s="1098">
        <v>39598</v>
      </c>
      <c r="IL30" s="1098">
        <v>37587</v>
      </c>
      <c r="IM30" s="1098">
        <v>46057</v>
      </c>
      <c r="IN30" s="1097">
        <v>522302</v>
      </c>
      <c r="IO30" s="1098">
        <v>39471</v>
      </c>
      <c r="IP30" s="1098">
        <v>47044</v>
      </c>
      <c r="IQ30" s="1098">
        <v>45564</v>
      </c>
      <c r="IR30" s="1098">
        <v>46979</v>
      </c>
      <c r="IS30" s="1098">
        <v>46996</v>
      </c>
      <c r="IT30" s="1098">
        <v>44818</v>
      </c>
      <c r="IU30" s="1098">
        <v>42222</v>
      </c>
      <c r="IV30" s="1098">
        <v>39791</v>
      </c>
      <c r="IW30" s="1098">
        <v>40011</v>
      </c>
      <c r="IX30" s="1098">
        <v>41989</v>
      </c>
      <c r="IY30" s="1098">
        <v>42289</v>
      </c>
      <c r="IZ30" s="1098">
        <v>43415</v>
      </c>
      <c r="JA30" s="1097">
        <v>520589</v>
      </c>
      <c r="JB30" s="1098">
        <v>40949</v>
      </c>
      <c r="JC30" s="1098">
        <v>41037</v>
      </c>
      <c r="JD30" s="1098"/>
      <c r="JE30" s="1098"/>
      <c r="JF30" s="1098"/>
      <c r="JG30" s="1098"/>
      <c r="JH30" s="1098"/>
      <c r="JI30" s="1098"/>
      <c r="JJ30" s="1098"/>
      <c r="JK30" s="1098"/>
      <c r="JL30" s="1098"/>
      <c r="JM30" s="1098"/>
      <c r="JN30" s="1097">
        <f t="shared" si="18"/>
        <v>81986</v>
      </c>
      <c r="JP30" s="1174">
        <f t="shared" si="42"/>
        <v>-5.7363701500314779</v>
      </c>
      <c r="JQ30" s="1175">
        <f t="shared" si="43"/>
        <v>-0.32797117376537344</v>
      </c>
      <c r="JR30" s="1184">
        <f t="shared" si="44"/>
        <v>522302</v>
      </c>
      <c r="JS30" s="1185">
        <f t="shared" si="45"/>
        <v>520589</v>
      </c>
      <c r="JT30" s="1"/>
      <c r="JU30" s="1079">
        <f t="shared" si="46"/>
        <v>23566637.219999999</v>
      </c>
      <c r="JV30" s="1080" t="s">
        <v>281</v>
      </c>
      <c r="JW30" s="1081" t="str">
        <f t="shared" si="47"/>
        <v>OK</v>
      </c>
    </row>
    <row r="31" spans="1:283" ht="15" customHeight="1" x14ac:dyDescent="0.2">
      <c r="A31" s="1166" t="s">
        <v>44</v>
      </c>
      <c r="B31" s="1098">
        <v>14</v>
      </c>
      <c r="C31" s="1098">
        <v>7</v>
      </c>
      <c r="D31" s="1098">
        <v>14</v>
      </c>
      <c r="E31" s="1098">
        <v>8</v>
      </c>
      <c r="F31" s="1098">
        <v>43</v>
      </c>
      <c r="G31" s="1098">
        <v>28</v>
      </c>
      <c r="H31" s="1098">
        <v>43</v>
      </c>
      <c r="I31" s="1098">
        <v>7</v>
      </c>
      <c r="J31" s="1098">
        <v>29</v>
      </c>
      <c r="K31" s="1098">
        <v>22</v>
      </c>
      <c r="L31" s="1098">
        <v>31</v>
      </c>
      <c r="M31" s="1098"/>
      <c r="N31" s="1097">
        <f t="shared" si="0"/>
        <v>246</v>
      </c>
      <c r="O31" s="1098"/>
      <c r="P31" s="1098">
        <v>14</v>
      </c>
      <c r="Q31" s="1098">
        <v>21</v>
      </c>
      <c r="R31" s="1098">
        <v>49</v>
      </c>
      <c r="S31" s="1098"/>
      <c r="T31" s="1098">
        <v>7</v>
      </c>
      <c r="U31" s="1098">
        <v>14</v>
      </c>
      <c r="V31" s="1098">
        <v>21</v>
      </c>
      <c r="W31" s="1098">
        <v>16</v>
      </c>
      <c r="X31" s="1098">
        <v>16</v>
      </c>
      <c r="Y31" s="1098"/>
      <c r="Z31" s="1098">
        <v>57</v>
      </c>
      <c r="AA31" s="1097">
        <f t="shared" si="1"/>
        <v>215</v>
      </c>
      <c r="AB31" s="1098">
        <v>7</v>
      </c>
      <c r="AC31" s="1098">
        <v>44</v>
      </c>
      <c r="AD31" s="1098">
        <v>22</v>
      </c>
      <c r="AE31" s="1098">
        <v>86</v>
      </c>
      <c r="AF31" s="1098">
        <v>51</v>
      </c>
      <c r="AG31" s="1098">
        <v>37</v>
      </c>
      <c r="AH31" s="1098">
        <v>42</v>
      </c>
      <c r="AI31" s="1098">
        <v>71</v>
      </c>
      <c r="AJ31" s="1098">
        <v>77</v>
      </c>
      <c r="AK31" s="1098">
        <v>49</v>
      </c>
      <c r="AL31" s="1098">
        <v>50</v>
      </c>
      <c r="AM31" s="1098">
        <v>51</v>
      </c>
      <c r="AN31" s="1097">
        <f t="shared" si="2"/>
        <v>587</v>
      </c>
      <c r="AO31" s="1098">
        <v>31</v>
      </c>
      <c r="AP31" s="1098">
        <v>35</v>
      </c>
      <c r="AQ31" s="1098">
        <v>26</v>
      </c>
      <c r="AR31" s="1098">
        <v>45</v>
      </c>
      <c r="AS31" s="1098">
        <v>61</v>
      </c>
      <c r="AT31" s="1098">
        <v>33</v>
      </c>
      <c r="AU31" s="1098">
        <v>51</v>
      </c>
      <c r="AV31" s="1098">
        <v>25</v>
      </c>
      <c r="AW31" s="1098">
        <v>31</v>
      </c>
      <c r="AX31" s="1098">
        <v>54</v>
      </c>
      <c r="AY31" s="1098">
        <v>43</v>
      </c>
      <c r="AZ31" s="1098">
        <v>75</v>
      </c>
      <c r="BA31" s="1097">
        <f t="shared" si="3"/>
        <v>510</v>
      </c>
      <c r="BB31" s="1098">
        <v>50</v>
      </c>
      <c r="BC31" s="1098">
        <v>36</v>
      </c>
      <c r="BD31" s="1098">
        <v>30</v>
      </c>
      <c r="BE31" s="1098">
        <v>6</v>
      </c>
      <c r="BF31" s="1098">
        <v>40</v>
      </c>
      <c r="BG31" s="1098">
        <v>46</v>
      </c>
      <c r="BH31" s="1098">
        <v>28</v>
      </c>
      <c r="BI31" s="1098">
        <v>31</v>
      </c>
      <c r="BJ31" s="1098">
        <v>26</v>
      </c>
      <c r="BK31" s="1098">
        <v>18</v>
      </c>
      <c r="BL31" s="1098">
        <v>10</v>
      </c>
      <c r="BM31" s="1098"/>
      <c r="BN31" s="1097">
        <f t="shared" si="4"/>
        <v>321</v>
      </c>
      <c r="BO31" s="1098">
        <v>33</v>
      </c>
      <c r="BP31" s="1098">
        <v>17</v>
      </c>
      <c r="BQ31" s="1098">
        <v>19</v>
      </c>
      <c r="BR31" s="1098">
        <v>26</v>
      </c>
      <c r="BS31" s="1098">
        <v>12</v>
      </c>
      <c r="BT31" s="1098">
        <v>18</v>
      </c>
      <c r="BU31" s="1098">
        <v>20</v>
      </c>
      <c r="BV31" s="1098">
        <v>13</v>
      </c>
      <c r="BW31" s="1098">
        <v>9</v>
      </c>
      <c r="BX31" s="1098">
        <v>4</v>
      </c>
      <c r="BY31" s="1098">
        <v>10</v>
      </c>
      <c r="BZ31" s="1098">
        <v>14</v>
      </c>
      <c r="CA31" s="1097">
        <f t="shared" si="5"/>
        <v>195</v>
      </c>
      <c r="CB31" s="1098">
        <v>7</v>
      </c>
      <c r="CC31" s="1098">
        <v>11</v>
      </c>
      <c r="CD31" s="1098">
        <v>16</v>
      </c>
      <c r="CE31" s="1098">
        <v>6</v>
      </c>
      <c r="CF31" s="1098">
        <v>7</v>
      </c>
      <c r="CG31" s="1098"/>
      <c r="CH31" s="1098">
        <v>29</v>
      </c>
      <c r="CI31" s="1098">
        <v>22</v>
      </c>
      <c r="CJ31" s="1098">
        <v>7</v>
      </c>
      <c r="CK31" s="1098">
        <v>11</v>
      </c>
      <c r="CL31" s="1098">
        <v>10</v>
      </c>
      <c r="CM31" s="1098">
        <v>11</v>
      </c>
      <c r="CN31" s="1097">
        <f t="shared" si="6"/>
        <v>137</v>
      </c>
      <c r="CO31" s="1098">
        <v>18</v>
      </c>
      <c r="CP31" s="1098">
        <v>5</v>
      </c>
      <c r="CQ31" s="1098">
        <v>4</v>
      </c>
      <c r="CR31" s="1098">
        <v>3</v>
      </c>
      <c r="CS31" s="1098">
        <v>6</v>
      </c>
      <c r="CT31" s="1098">
        <v>4</v>
      </c>
      <c r="CU31" s="1098">
        <v>5</v>
      </c>
      <c r="CV31" s="1098">
        <v>12</v>
      </c>
      <c r="CW31" s="1098">
        <v>7</v>
      </c>
      <c r="CX31" s="1098"/>
      <c r="CY31" s="1098"/>
      <c r="CZ31" s="1098"/>
      <c r="DA31" s="1097">
        <f t="shared" si="7"/>
        <v>64</v>
      </c>
      <c r="DB31" s="1098"/>
      <c r="DC31" s="1098"/>
      <c r="DD31" s="1098"/>
      <c r="DE31" s="1098"/>
      <c r="DF31" s="1098"/>
      <c r="DG31" s="1098"/>
      <c r="DH31" s="1098"/>
      <c r="DI31" s="1098"/>
      <c r="DJ31" s="1098"/>
      <c r="DK31" s="1098"/>
      <c r="DL31" s="1098"/>
      <c r="DM31" s="1098"/>
      <c r="DN31" s="1097">
        <f t="shared" si="8"/>
        <v>0</v>
      </c>
      <c r="DO31" s="1098"/>
      <c r="DP31" s="1098"/>
      <c r="DQ31" s="1098"/>
      <c r="DR31" s="1098"/>
      <c r="DS31" s="1098"/>
      <c r="DT31" s="1098"/>
      <c r="DU31" s="1098"/>
      <c r="DV31" s="1098"/>
      <c r="DW31" s="1098"/>
      <c r="DX31" s="1098"/>
      <c r="DY31" s="1098"/>
      <c r="DZ31" s="1098"/>
      <c r="EA31" s="1097">
        <f t="shared" si="9"/>
        <v>0</v>
      </c>
      <c r="EB31" s="1098"/>
      <c r="EC31" s="1098"/>
      <c r="ED31" s="1098"/>
      <c r="EE31" s="1098"/>
      <c r="EF31" s="1098"/>
      <c r="EG31" s="1098"/>
      <c r="EH31" s="1098"/>
      <c r="EI31" s="1098"/>
      <c r="EJ31" s="1098"/>
      <c r="EK31" s="1098"/>
      <c r="EL31" s="1098"/>
      <c r="EM31" s="1098"/>
      <c r="EN31" s="1097">
        <f t="shared" si="10"/>
        <v>0</v>
      </c>
      <c r="EO31" s="1098"/>
      <c r="EP31" s="1098"/>
      <c r="EQ31" s="1098"/>
      <c r="ER31" s="1098"/>
      <c r="ES31" s="1098"/>
      <c r="ET31" s="1098"/>
      <c r="EU31" s="1098"/>
      <c r="EV31" s="1098"/>
      <c r="EW31" s="1098"/>
      <c r="EX31" s="1098"/>
      <c r="EY31" s="1098"/>
      <c r="EZ31" s="1098"/>
      <c r="FA31" s="1097">
        <f t="shared" si="11"/>
        <v>0</v>
      </c>
      <c r="FB31" s="1098"/>
      <c r="FC31" s="1098"/>
      <c r="FD31" s="1098"/>
      <c r="FE31" s="1098"/>
      <c r="FF31" s="1098"/>
      <c r="FG31" s="1098"/>
      <c r="FH31" s="1098"/>
      <c r="FI31" s="1098"/>
      <c r="FJ31" s="1098"/>
      <c r="FK31" s="1098"/>
      <c r="FL31" s="1098"/>
      <c r="FM31" s="1098"/>
      <c r="FN31" s="1097">
        <f t="shared" si="12"/>
        <v>0</v>
      </c>
      <c r="FO31" s="1098"/>
      <c r="FP31" s="1098"/>
      <c r="FQ31" s="1098"/>
      <c r="FR31" s="1098"/>
      <c r="FS31" s="1098"/>
      <c r="FT31" s="1098"/>
      <c r="FU31" s="1098"/>
      <c r="FV31" s="1098"/>
      <c r="FW31" s="1098"/>
      <c r="FX31" s="1098"/>
      <c r="FY31" s="1098"/>
      <c r="FZ31" s="1098"/>
      <c r="GA31" s="1097">
        <f t="shared" si="13"/>
        <v>0</v>
      </c>
      <c r="GB31" s="1098"/>
      <c r="GC31" s="1098"/>
      <c r="GD31" s="1098"/>
      <c r="GE31" s="1098"/>
      <c r="GF31" s="1098"/>
      <c r="GG31" s="1098"/>
      <c r="GH31" s="1098"/>
      <c r="GI31" s="1098"/>
      <c r="GJ31" s="1098"/>
      <c r="GK31" s="1098"/>
      <c r="GL31" s="1098"/>
      <c r="GM31" s="1098"/>
      <c r="GN31" s="1097">
        <f t="shared" si="14"/>
        <v>0</v>
      </c>
      <c r="GO31" s="1098"/>
      <c r="GP31" s="1098"/>
      <c r="GQ31" s="1098"/>
      <c r="GR31" s="1098"/>
      <c r="GS31" s="1098"/>
      <c r="GT31" s="1098"/>
      <c r="GU31" s="1098"/>
      <c r="GV31" s="1098"/>
      <c r="GW31" s="1098"/>
      <c r="GX31" s="1098"/>
      <c r="GY31" s="1098"/>
      <c r="GZ31" s="1098"/>
      <c r="HA31" s="1097">
        <f t="shared" si="15"/>
        <v>0</v>
      </c>
      <c r="HB31" s="1098"/>
      <c r="HC31" s="1098"/>
      <c r="HD31" s="1098"/>
      <c r="HE31" s="1098"/>
      <c r="HF31" s="1098"/>
      <c r="HG31" s="1098"/>
      <c r="HH31" s="1098"/>
      <c r="HI31" s="1098"/>
      <c r="HJ31" s="1098"/>
      <c r="HK31" s="1098">
        <v>55.5</v>
      </c>
      <c r="HL31" s="1098"/>
      <c r="HM31" s="1098"/>
      <c r="HN31" s="1097">
        <f t="shared" si="16"/>
        <v>55.5</v>
      </c>
      <c r="HO31" s="1098"/>
      <c r="HP31" s="1098"/>
      <c r="HQ31" s="1098"/>
      <c r="HR31" s="1098">
        <v>20</v>
      </c>
      <c r="HS31" s="1098">
        <v>2.7</v>
      </c>
      <c r="HT31" s="1098">
        <v>9.5</v>
      </c>
      <c r="HU31" s="1098">
        <v>4.5</v>
      </c>
      <c r="HV31" s="1098"/>
      <c r="HW31" s="1098">
        <v>6.5</v>
      </c>
      <c r="HX31" s="1098"/>
      <c r="HY31" s="1098"/>
      <c r="HZ31" s="1098"/>
      <c r="IA31" s="1097">
        <f t="shared" si="17"/>
        <v>43.2</v>
      </c>
      <c r="IB31" s="1098">
        <v>6</v>
      </c>
      <c r="IC31" s="1098">
        <v>0</v>
      </c>
      <c r="ID31" s="1098">
        <v>0</v>
      </c>
      <c r="IE31" s="1098">
        <v>0</v>
      </c>
      <c r="IF31" s="1098">
        <v>12</v>
      </c>
      <c r="IG31" s="1098">
        <v>0</v>
      </c>
      <c r="IH31" s="1098">
        <v>0</v>
      </c>
      <c r="II31" s="1098">
        <v>24</v>
      </c>
      <c r="IJ31" s="1098">
        <v>18</v>
      </c>
      <c r="IK31" s="1098">
        <v>0</v>
      </c>
      <c r="IL31" s="1098">
        <v>0</v>
      </c>
      <c r="IM31" s="1098">
        <v>0</v>
      </c>
      <c r="IN31" s="1097">
        <v>60</v>
      </c>
      <c r="IO31" s="1098">
        <v>0</v>
      </c>
      <c r="IP31" s="1098">
        <v>0</v>
      </c>
      <c r="IQ31" s="1098">
        <v>0</v>
      </c>
      <c r="IR31" s="1098">
        <v>6</v>
      </c>
      <c r="IS31" s="1098">
        <v>6</v>
      </c>
      <c r="IT31" s="1098">
        <v>12</v>
      </c>
      <c r="IU31" s="1098">
        <v>0</v>
      </c>
      <c r="IV31" s="1098">
        <v>0</v>
      </c>
      <c r="IW31" s="1098">
        <v>6</v>
      </c>
      <c r="IX31" s="1098">
        <v>12</v>
      </c>
      <c r="IY31" s="1098">
        <v>6</v>
      </c>
      <c r="IZ31" s="1098">
        <v>6</v>
      </c>
      <c r="JA31" s="1097">
        <v>54</v>
      </c>
      <c r="JB31" s="1098">
        <v>0</v>
      </c>
      <c r="JC31" s="1098">
        <v>0</v>
      </c>
      <c r="JD31" s="1098"/>
      <c r="JE31" s="1098"/>
      <c r="JF31" s="1098"/>
      <c r="JG31" s="1098"/>
      <c r="JH31" s="1098"/>
      <c r="JI31" s="1098"/>
      <c r="JJ31" s="1098"/>
      <c r="JK31" s="1098"/>
      <c r="JL31" s="1098"/>
      <c r="JM31" s="1098"/>
      <c r="JN31" s="1097">
        <f t="shared" si="18"/>
        <v>0</v>
      </c>
      <c r="JP31" s="1174" t="str">
        <f t="shared" si="42"/>
        <v/>
      </c>
      <c r="JQ31" s="1175">
        <f t="shared" si="43"/>
        <v>-9.9999999999999982</v>
      </c>
      <c r="JR31" s="1184">
        <f t="shared" si="44"/>
        <v>60</v>
      </c>
      <c r="JS31" s="1185">
        <f t="shared" si="45"/>
        <v>54</v>
      </c>
      <c r="JT31" s="1"/>
      <c r="JU31" s="1079">
        <f t="shared" si="46"/>
        <v>4975.3999999999996</v>
      </c>
      <c r="JV31" s="1080" t="s">
        <v>44</v>
      </c>
      <c r="JW31" s="1081" t="str">
        <f t="shared" si="47"/>
        <v>OK</v>
      </c>
    </row>
    <row r="32" spans="1:283" ht="15" customHeight="1" x14ac:dyDescent="0.2">
      <c r="A32" s="1166" t="s">
        <v>132</v>
      </c>
      <c r="B32" s="1098">
        <v>1042</v>
      </c>
      <c r="C32" s="1098">
        <v>1109</v>
      </c>
      <c r="D32" s="1098">
        <v>1119</v>
      </c>
      <c r="E32" s="1098">
        <v>1114</v>
      </c>
      <c r="F32" s="1098">
        <v>1136</v>
      </c>
      <c r="G32" s="1098">
        <v>1100</v>
      </c>
      <c r="H32" s="1098">
        <v>1096</v>
      </c>
      <c r="I32" s="1098">
        <v>1162</v>
      </c>
      <c r="J32" s="1098">
        <v>953</v>
      </c>
      <c r="K32" s="1098">
        <v>949</v>
      </c>
      <c r="L32" s="1098">
        <v>918</v>
      </c>
      <c r="M32" s="1098">
        <v>972</v>
      </c>
      <c r="N32" s="1097">
        <f t="shared" si="0"/>
        <v>12670</v>
      </c>
      <c r="O32" s="1098">
        <v>1252</v>
      </c>
      <c r="P32" s="1098">
        <v>1292</v>
      </c>
      <c r="Q32" s="1098">
        <v>891</v>
      </c>
      <c r="R32" s="1098">
        <v>1191</v>
      </c>
      <c r="S32" s="1098">
        <v>1385</v>
      </c>
      <c r="T32" s="1098">
        <v>1157</v>
      </c>
      <c r="U32" s="1098">
        <v>1163</v>
      </c>
      <c r="V32" s="1098">
        <v>1142</v>
      </c>
      <c r="W32" s="1098">
        <v>1279</v>
      </c>
      <c r="X32" s="1098">
        <v>1354</v>
      </c>
      <c r="Y32" s="1098">
        <v>1383</v>
      </c>
      <c r="Z32" s="1098">
        <v>1314</v>
      </c>
      <c r="AA32" s="1097">
        <f t="shared" si="1"/>
        <v>14803</v>
      </c>
      <c r="AB32" s="1098">
        <v>1412</v>
      </c>
      <c r="AC32" s="1098">
        <v>1475</v>
      </c>
      <c r="AD32" s="1098">
        <v>901</v>
      </c>
      <c r="AE32" s="1098">
        <v>1255</v>
      </c>
      <c r="AF32" s="1098">
        <v>1528</v>
      </c>
      <c r="AG32" s="1098">
        <v>1630</v>
      </c>
      <c r="AH32" s="1098">
        <v>1536</v>
      </c>
      <c r="AI32" s="1098">
        <v>1855</v>
      </c>
      <c r="AJ32" s="1098">
        <v>1773</v>
      </c>
      <c r="AK32" s="1098">
        <v>1637</v>
      </c>
      <c r="AL32" s="1098">
        <v>1633</v>
      </c>
      <c r="AM32" s="1098">
        <v>1569</v>
      </c>
      <c r="AN32" s="1097">
        <f t="shared" si="2"/>
        <v>18204</v>
      </c>
      <c r="AO32" s="1098">
        <v>1669</v>
      </c>
      <c r="AP32" s="1098">
        <v>1831</v>
      </c>
      <c r="AQ32" s="1098">
        <v>1752</v>
      </c>
      <c r="AR32" s="1098">
        <v>1744</v>
      </c>
      <c r="AS32" s="1098">
        <v>1895</v>
      </c>
      <c r="AT32" s="1098">
        <v>1659</v>
      </c>
      <c r="AU32" s="1098">
        <v>1764</v>
      </c>
      <c r="AV32" s="1098">
        <v>1638</v>
      </c>
      <c r="AW32" s="1098">
        <v>1803</v>
      </c>
      <c r="AX32" s="1098">
        <v>1474</v>
      </c>
      <c r="AY32" s="1098">
        <v>1577</v>
      </c>
      <c r="AZ32" s="1098">
        <v>1477</v>
      </c>
      <c r="BA32" s="1097">
        <f t="shared" si="3"/>
        <v>20283</v>
      </c>
      <c r="BB32" s="1098">
        <v>484</v>
      </c>
      <c r="BC32" s="1098">
        <v>518</v>
      </c>
      <c r="BD32" s="1098">
        <v>461.87</v>
      </c>
      <c r="BE32" s="1098">
        <v>434.17</v>
      </c>
      <c r="BF32" s="1098">
        <v>465.86</v>
      </c>
      <c r="BG32" s="1098">
        <v>482</v>
      </c>
      <c r="BH32" s="1098">
        <v>437.83</v>
      </c>
      <c r="BI32" s="1098">
        <v>462.08</v>
      </c>
      <c r="BJ32" s="1098">
        <v>492</v>
      </c>
      <c r="BK32" s="1098">
        <v>477</v>
      </c>
      <c r="BL32" s="1098">
        <v>508</v>
      </c>
      <c r="BM32" s="1098">
        <v>516</v>
      </c>
      <c r="BN32" s="1097">
        <f t="shared" si="4"/>
        <v>5738.8099999999995</v>
      </c>
      <c r="BO32" s="1098">
        <v>457</v>
      </c>
      <c r="BP32" s="1098">
        <v>504</v>
      </c>
      <c r="BQ32" s="1098">
        <v>422</v>
      </c>
      <c r="BR32" s="1098">
        <v>441</v>
      </c>
      <c r="BS32" s="1098">
        <v>479</v>
      </c>
      <c r="BT32" s="1098">
        <v>433</v>
      </c>
      <c r="BU32" s="1098">
        <v>670</v>
      </c>
      <c r="BV32" s="1098">
        <v>573</v>
      </c>
      <c r="BW32" s="1098">
        <v>596</v>
      </c>
      <c r="BX32" s="1098">
        <v>599</v>
      </c>
      <c r="BY32" s="1098">
        <v>806</v>
      </c>
      <c r="BZ32" s="1098">
        <v>825</v>
      </c>
      <c r="CA32" s="1097">
        <f t="shared" si="5"/>
        <v>6805</v>
      </c>
      <c r="CB32" s="1098">
        <v>118</v>
      </c>
      <c r="CC32" s="1098">
        <v>113</v>
      </c>
      <c r="CD32" s="1098">
        <v>110</v>
      </c>
      <c r="CE32" s="1098">
        <v>109</v>
      </c>
      <c r="CF32" s="1098">
        <v>115</v>
      </c>
      <c r="CG32" s="1098">
        <v>123</v>
      </c>
      <c r="CH32" s="1098">
        <v>104</v>
      </c>
      <c r="CI32" s="1098">
        <v>114</v>
      </c>
      <c r="CJ32" s="1098">
        <v>96</v>
      </c>
      <c r="CK32" s="1098">
        <v>287</v>
      </c>
      <c r="CL32" s="1098">
        <v>120</v>
      </c>
      <c r="CM32" s="1098">
        <v>278</v>
      </c>
      <c r="CN32" s="1097">
        <f t="shared" si="6"/>
        <v>1687</v>
      </c>
      <c r="CO32" s="1098">
        <v>397</v>
      </c>
      <c r="CP32" s="1098">
        <v>752</v>
      </c>
      <c r="CQ32" s="1098">
        <v>492</v>
      </c>
      <c r="CR32" s="1098">
        <v>531</v>
      </c>
      <c r="CS32" s="1098">
        <v>574</v>
      </c>
      <c r="CT32" s="1098">
        <v>416</v>
      </c>
      <c r="CU32" s="1098">
        <v>536</v>
      </c>
      <c r="CV32" s="1098">
        <v>495</v>
      </c>
      <c r="CW32" s="1098">
        <v>503</v>
      </c>
      <c r="CX32" s="1098">
        <v>482</v>
      </c>
      <c r="CY32" s="1098">
        <v>623</v>
      </c>
      <c r="CZ32" s="1098">
        <v>522</v>
      </c>
      <c r="DA32" s="1097">
        <f t="shared" si="7"/>
        <v>6323</v>
      </c>
      <c r="DB32" s="1098">
        <v>551</v>
      </c>
      <c r="DC32" s="1098">
        <v>554</v>
      </c>
      <c r="DD32" s="1098">
        <v>594</v>
      </c>
      <c r="DE32" s="1098">
        <v>643</v>
      </c>
      <c r="DF32" s="1098">
        <v>680</v>
      </c>
      <c r="DG32" s="1098">
        <v>780</v>
      </c>
      <c r="DH32" s="1098">
        <v>608</v>
      </c>
      <c r="DI32" s="1098">
        <v>663</v>
      </c>
      <c r="DJ32" s="1098">
        <v>659</v>
      </c>
      <c r="DK32" s="1098">
        <v>654</v>
      </c>
      <c r="DL32" s="1098">
        <v>767</v>
      </c>
      <c r="DM32" s="1098">
        <v>674</v>
      </c>
      <c r="DN32" s="1097">
        <f t="shared" si="8"/>
        <v>7827</v>
      </c>
      <c r="DO32" s="1098">
        <v>760</v>
      </c>
      <c r="DP32" s="1098">
        <v>651</v>
      </c>
      <c r="DQ32" s="1098">
        <v>736</v>
      </c>
      <c r="DR32" s="1098">
        <v>659</v>
      </c>
      <c r="DS32" s="1098">
        <v>566</v>
      </c>
      <c r="DT32" s="1098">
        <v>461</v>
      </c>
      <c r="DU32" s="1098">
        <v>880</v>
      </c>
      <c r="DV32" s="1098">
        <v>657</v>
      </c>
      <c r="DW32" s="1098">
        <v>767</v>
      </c>
      <c r="DX32" s="1098">
        <v>689</v>
      </c>
      <c r="DY32" s="1098">
        <v>752</v>
      </c>
      <c r="DZ32" s="1098">
        <v>713</v>
      </c>
      <c r="EA32" s="1097">
        <f t="shared" si="9"/>
        <v>8291</v>
      </c>
      <c r="EB32" s="1098">
        <v>746</v>
      </c>
      <c r="EC32" s="1098">
        <v>832</v>
      </c>
      <c r="ED32" s="1098">
        <v>715</v>
      </c>
      <c r="EE32" s="1098">
        <v>1135</v>
      </c>
      <c r="EF32" s="1098">
        <v>665</v>
      </c>
      <c r="EG32" s="1098">
        <v>562</v>
      </c>
      <c r="EH32" s="1098">
        <v>554</v>
      </c>
      <c r="EI32" s="1098">
        <v>910</v>
      </c>
      <c r="EJ32" s="1098">
        <v>854</v>
      </c>
      <c r="EK32" s="1098">
        <v>482</v>
      </c>
      <c r="EL32" s="1098">
        <v>1648</v>
      </c>
      <c r="EM32" s="1098">
        <v>410</v>
      </c>
      <c r="EN32" s="1097">
        <f t="shared" si="10"/>
        <v>9513</v>
      </c>
      <c r="EO32" s="1098">
        <v>637</v>
      </c>
      <c r="EP32" s="1098">
        <v>788</v>
      </c>
      <c r="EQ32" s="1098">
        <v>926</v>
      </c>
      <c r="ER32" s="1098">
        <v>1277</v>
      </c>
      <c r="ES32" s="1098">
        <v>882</v>
      </c>
      <c r="ET32" s="1098">
        <v>868</v>
      </c>
      <c r="EU32" s="1098">
        <v>771</v>
      </c>
      <c r="EV32" s="1098">
        <v>1079</v>
      </c>
      <c r="EW32" s="1098">
        <v>1201</v>
      </c>
      <c r="EX32" s="1098">
        <v>1345</v>
      </c>
      <c r="EY32" s="1098">
        <v>1019</v>
      </c>
      <c r="EZ32" s="1098">
        <v>1005</v>
      </c>
      <c r="FA32" s="1097">
        <f t="shared" si="11"/>
        <v>11798</v>
      </c>
      <c r="FB32" s="1098">
        <v>703</v>
      </c>
      <c r="FC32" s="1098">
        <v>981</v>
      </c>
      <c r="FD32" s="1098">
        <v>958</v>
      </c>
      <c r="FE32" s="1098">
        <v>1276</v>
      </c>
      <c r="FF32" s="1098">
        <v>1079</v>
      </c>
      <c r="FG32" s="1098">
        <v>746</v>
      </c>
      <c r="FH32" s="1098">
        <v>716</v>
      </c>
      <c r="FI32" s="1098">
        <v>1254</v>
      </c>
      <c r="FJ32" s="1098">
        <v>1196</v>
      </c>
      <c r="FK32" s="1098">
        <v>1266</v>
      </c>
      <c r="FL32" s="1098">
        <v>1311</v>
      </c>
      <c r="FM32" s="1098">
        <v>1311</v>
      </c>
      <c r="FN32" s="1097">
        <f t="shared" si="12"/>
        <v>12797</v>
      </c>
      <c r="FO32" s="1098">
        <v>371</v>
      </c>
      <c r="FP32" s="1098">
        <v>540</v>
      </c>
      <c r="FQ32" s="1098">
        <v>449</v>
      </c>
      <c r="FR32" s="1098">
        <v>441</v>
      </c>
      <c r="FS32" s="1098">
        <v>478</v>
      </c>
      <c r="FT32" s="1098">
        <v>478</v>
      </c>
      <c r="FU32" s="1098">
        <v>557</v>
      </c>
      <c r="FV32" s="1098">
        <v>407</v>
      </c>
      <c r="FW32" s="1098">
        <v>532</v>
      </c>
      <c r="FX32" s="1098">
        <v>495</v>
      </c>
      <c r="FY32" s="1098">
        <v>539</v>
      </c>
      <c r="FZ32" s="1098">
        <v>383</v>
      </c>
      <c r="GA32" s="1097">
        <f t="shared" si="13"/>
        <v>5670</v>
      </c>
      <c r="GB32" s="1098">
        <v>766</v>
      </c>
      <c r="GC32" s="1098">
        <v>535</v>
      </c>
      <c r="GD32" s="1098">
        <v>892</v>
      </c>
      <c r="GE32" s="1098">
        <v>1071</v>
      </c>
      <c r="GF32" s="1098">
        <v>900</v>
      </c>
      <c r="GG32" s="1098">
        <v>476</v>
      </c>
      <c r="GH32" s="1098">
        <v>570</v>
      </c>
      <c r="GI32" s="1098">
        <v>1116</v>
      </c>
      <c r="GJ32" s="1098">
        <v>1048</v>
      </c>
      <c r="GK32" s="1098">
        <v>1137</v>
      </c>
      <c r="GL32" s="1098">
        <v>1125</v>
      </c>
      <c r="GM32" s="1098">
        <v>937</v>
      </c>
      <c r="GN32" s="1097">
        <f t="shared" si="14"/>
        <v>10573</v>
      </c>
      <c r="GO32" s="1098">
        <v>695</v>
      </c>
      <c r="GP32" s="1098">
        <v>560</v>
      </c>
      <c r="GQ32" s="1098">
        <v>838</v>
      </c>
      <c r="GR32" s="1098">
        <v>1005</v>
      </c>
      <c r="GS32" s="1098">
        <v>891</v>
      </c>
      <c r="GT32" s="1098">
        <v>470</v>
      </c>
      <c r="GU32" s="1098">
        <v>470</v>
      </c>
      <c r="GV32" s="1098">
        <v>1041</v>
      </c>
      <c r="GW32" s="1098">
        <v>1060</v>
      </c>
      <c r="GX32" s="1098">
        <v>1240</v>
      </c>
      <c r="GY32" s="1098">
        <v>1088</v>
      </c>
      <c r="GZ32" s="1098">
        <v>945</v>
      </c>
      <c r="HA32" s="1097">
        <f t="shared" si="15"/>
        <v>10303</v>
      </c>
      <c r="HB32" s="1098">
        <v>610</v>
      </c>
      <c r="HC32" s="1098">
        <v>369</v>
      </c>
      <c r="HD32" s="1098">
        <v>705</v>
      </c>
      <c r="HE32" s="1098">
        <v>811</v>
      </c>
      <c r="HF32" s="1098">
        <v>621</v>
      </c>
      <c r="HG32" s="1098">
        <v>291</v>
      </c>
      <c r="HH32" s="1098">
        <v>229</v>
      </c>
      <c r="HI32" s="1098">
        <v>227</v>
      </c>
      <c r="HJ32" s="1098">
        <v>147</v>
      </c>
      <c r="HK32" s="1098">
        <v>145</v>
      </c>
      <c r="HL32" s="1098">
        <v>151</v>
      </c>
      <c r="HM32" s="1098">
        <v>214</v>
      </c>
      <c r="HN32" s="1097">
        <f t="shared" si="16"/>
        <v>4520</v>
      </c>
      <c r="HO32" s="1098">
        <v>513</v>
      </c>
      <c r="HP32" s="1098">
        <v>543</v>
      </c>
      <c r="HQ32" s="1098">
        <v>635</v>
      </c>
      <c r="HR32" s="1098">
        <v>660</v>
      </c>
      <c r="HS32" s="1098">
        <v>697</v>
      </c>
      <c r="HT32" s="1098">
        <v>769</v>
      </c>
      <c r="HU32" s="1098">
        <v>727</v>
      </c>
      <c r="HV32" s="1098">
        <v>732</v>
      </c>
      <c r="HW32" s="1098">
        <v>705</v>
      </c>
      <c r="HX32" s="1098">
        <v>725</v>
      </c>
      <c r="HY32" s="1098">
        <v>625</v>
      </c>
      <c r="HZ32" s="1098">
        <v>670</v>
      </c>
      <c r="IA32" s="1097">
        <f t="shared" si="17"/>
        <v>8001</v>
      </c>
      <c r="IB32" s="1098">
        <v>628</v>
      </c>
      <c r="IC32" s="1098">
        <v>596</v>
      </c>
      <c r="ID32" s="1098">
        <v>680</v>
      </c>
      <c r="IE32" s="1098">
        <v>662</v>
      </c>
      <c r="IF32" s="1098">
        <v>691</v>
      </c>
      <c r="IG32" s="1098">
        <v>792</v>
      </c>
      <c r="IH32" s="1098">
        <v>760</v>
      </c>
      <c r="II32" s="1098">
        <v>686</v>
      </c>
      <c r="IJ32" s="1098">
        <v>651</v>
      </c>
      <c r="IK32" s="1098">
        <v>669</v>
      </c>
      <c r="IL32" s="1098">
        <v>694</v>
      </c>
      <c r="IM32" s="1098">
        <v>705</v>
      </c>
      <c r="IN32" s="1097">
        <v>8214</v>
      </c>
      <c r="IO32" s="1098">
        <v>624</v>
      </c>
      <c r="IP32" s="1098">
        <v>610</v>
      </c>
      <c r="IQ32" s="1098">
        <v>688</v>
      </c>
      <c r="IR32" s="1098">
        <v>657</v>
      </c>
      <c r="IS32" s="1098">
        <v>676</v>
      </c>
      <c r="IT32" s="1098">
        <v>596</v>
      </c>
      <c r="IU32" s="1098">
        <v>605</v>
      </c>
      <c r="IV32" s="1098">
        <v>666</v>
      </c>
      <c r="IW32" s="1098">
        <v>663</v>
      </c>
      <c r="IX32" s="1098">
        <v>681</v>
      </c>
      <c r="IY32" s="1098">
        <v>725</v>
      </c>
      <c r="IZ32" s="1098">
        <v>742</v>
      </c>
      <c r="JA32" s="1097">
        <v>7933</v>
      </c>
      <c r="JB32" s="1098">
        <v>800</v>
      </c>
      <c r="JC32" s="1098">
        <v>764</v>
      </c>
      <c r="JD32" s="1098"/>
      <c r="JE32" s="1098"/>
      <c r="JF32" s="1098"/>
      <c r="JG32" s="1098"/>
      <c r="JH32" s="1098"/>
      <c r="JI32" s="1098"/>
      <c r="JJ32" s="1098"/>
      <c r="JK32" s="1098"/>
      <c r="JL32" s="1098"/>
      <c r="JM32" s="1098"/>
      <c r="JN32" s="1097">
        <f t="shared" si="18"/>
        <v>1564</v>
      </c>
      <c r="JP32" s="1174">
        <f t="shared" si="42"/>
        <v>5.2482269503546064</v>
      </c>
      <c r="JQ32" s="1175">
        <f t="shared" si="43"/>
        <v>-3.4209885561236941</v>
      </c>
      <c r="JR32" s="1184">
        <f t="shared" si="44"/>
        <v>8214</v>
      </c>
      <c r="JS32" s="1185">
        <f t="shared" si="45"/>
        <v>7933</v>
      </c>
      <c r="JT32" s="1"/>
      <c r="JU32" s="1079">
        <f t="shared" si="46"/>
        <v>387035.62</v>
      </c>
      <c r="JV32" s="1080" t="s">
        <v>132</v>
      </c>
      <c r="JW32" s="1081" t="str">
        <f t="shared" si="47"/>
        <v>OK</v>
      </c>
    </row>
    <row r="33" spans="1:283" ht="15" customHeight="1" x14ac:dyDescent="0.2">
      <c r="A33" s="1166" t="s">
        <v>578</v>
      </c>
      <c r="B33" s="1098">
        <v>74</v>
      </c>
      <c r="C33" s="1098">
        <v>123.5</v>
      </c>
      <c r="D33" s="1098">
        <v>132</v>
      </c>
      <c r="E33" s="1098">
        <v>46</v>
      </c>
      <c r="F33" s="1098">
        <v>20</v>
      </c>
      <c r="G33" s="1098">
        <v>15</v>
      </c>
      <c r="H33" s="1098">
        <v>15</v>
      </c>
      <c r="I33" s="1098">
        <v>8</v>
      </c>
      <c r="J33" s="1098">
        <v>6</v>
      </c>
      <c r="K33" s="1098">
        <v>7</v>
      </c>
      <c r="L33" s="1098">
        <v>12</v>
      </c>
      <c r="M33" s="1098">
        <v>6</v>
      </c>
      <c r="N33" s="1097">
        <f t="shared" si="0"/>
        <v>464.5</v>
      </c>
      <c r="O33" s="1098">
        <v>95</v>
      </c>
      <c r="P33" s="1098">
        <v>120</v>
      </c>
      <c r="Q33" s="1098">
        <v>104</v>
      </c>
      <c r="R33" s="1098">
        <v>47</v>
      </c>
      <c r="S33" s="1098">
        <v>24</v>
      </c>
      <c r="T33" s="1098">
        <v>18</v>
      </c>
      <c r="U33" s="1098">
        <v>9</v>
      </c>
      <c r="V33" s="1098">
        <v>6</v>
      </c>
      <c r="W33" s="1098">
        <v>6</v>
      </c>
      <c r="X33" s="1098">
        <v>3</v>
      </c>
      <c r="Y33" s="1098">
        <v>3</v>
      </c>
      <c r="Z33" s="1098">
        <v>5</v>
      </c>
      <c r="AA33" s="1097">
        <f t="shared" si="1"/>
        <v>440</v>
      </c>
      <c r="AB33" s="1098">
        <v>103</v>
      </c>
      <c r="AC33" s="1098">
        <v>163</v>
      </c>
      <c r="AD33" s="1098">
        <v>103</v>
      </c>
      <c r="AE33" s="1098">
        <v>45</v>
      </c>
      <c r="AF33" s="1098">
        <v>10</v>
      </c>
      <c r="AG33" s="1098">
        <v>10</v>
      </c>
      <c r="AH33" s="1098">
        <v>9</v>
      </c>
      <c r="AI33" s="1098">
        <v>4</v>
      </c>
      <c r="AJ33" s="1098">
        <v>5</v>
      </c>
      <c r="AK33" s="1098">
        <v>2</v>
      </c>
      <c r="AL33" s="1098">
        <v>5</v>
      </c>
      <c r="AM33" s="1098">
        <v>69</v>
      </c>
      <c r="AN33" s="1097">
        <f t="shared" si="2"/>
        <v>528</v>
      </c>
      <c r="AO33" s="1098">
        <v>73</v>
      </c>
      <c r="AP33" s="1098">
        <v>127</v>
      </c>
      <c r="AQ33" s="1098">
        <v>95</v>
      </c>
      <c r="AR33" s="1098">
        <v>21</v>
      </c>
      <c r="AS33" s="1098">
        <v>16</v>
      </c>
      <c r="AT33" s="1098">
        <v>12</v>
      </c>
      <c r="AU33" s="1098">
        <v>1</v>
      </c>
      <c r="AV33" s="1098">
        <v>1</v>
      </c>
      <c r="AW33" s="1098">
        <v>2</v>
      </c>
      <c r="AX33" s="1098">
        <v>5</v>
      </c>
      <c r="AY33" s="1098">
        <v>1</v>
      </c>
      <c r="AZ33" s="1098">
        <v>18</v>
      </c>
      <c r="BA33" s="1097">
        <f t="shared" si="3"/>
        <v>372</v>
      </c>
      <c r="BB33" s="1098">
        <v>61</v>
      </c>
      <c r="BC33" s="1098">
        <v>160</v>
      </c>
      <c r="BD33" s="1098">
        <v>141</v>
      </c>
      <c r="BE33" s="1098">
        <v>30</v>
      </c>
      <c r="BF33" s="1098">
        <v>15</v>
      </c>
      <c r="BG33" s="1098">
        <v>7</v>
      </c>
      <c r="BH33" s="1098">
        <v>4</v>
      </c>
      <c r="BI33" s="1098">
        <v>2</v>
      </c>
      <c r="BJ33" s="1098">
        <v>1</v>
      </c>
      <c r="BK33" s="1098">
        <v>18</v>
      </c>
      <c r="BL33" s="1098">
        <v>17</v>
      </c>
      <c r="BM33" s="1098">
        <v>25</v>
      </c>
      <c r="BN33" s="1097">
        <f t="shared" si="4"/>
        <v>481</v>
      </c>
      <c r="BO33" s="1098">
        <v>62</v>
      </c>
      <c r="BP33" s="1098">
        <v>112</v>
      </c>
      <c r="BQ33" s="1098">
        <v>102</v>
      </c>
      <c r="BR33" s="1098">
        <v>10</v>
      </c>
      <c r="BS33" s="1098"/>
      <c r="BT33" s="1098"/>
      <c r="BU33" s="1098"/>
      <c r="BV33" s="1098">
        <v>1</v>
      </c>
      <c r="BW33" s="1098">
        <v>2</v>
      </c>
      <c r="BX33" s="1098">
        <v>8</v>
      </c>
      <c r="BY33" s="1098">
        <v>7</v>
      </c>
      <c r="BZ33" s="1098">
        <v>8</v>
      </c>
      <c r="CA33" s="1097">
        <f t="shared" si="5"/>
        <v>312</v>
      </c>
      <c r="CB33" s="1098">
        <v>127</v>
      </c>
      <c r="CC33" s="1098">
        <v>39</v>
      </c>
      <c r="CD33" s="1098">
        <v>11</v>
      </c>
      <c r="CE33" s="1098">
        <v>5</v>
      </c>
      <c r="CF33" s="1098">
        <v>4</v>
      </c>
      <c r="CG33" s="1098">
        <v>3</v>
      </c>
      <c r="CH33" s="1098">
        <v>2</v>
      </c>
      <c r="CI33" s="1098">
        <v>1</v>
      </c>
      <c r="CJ33" s="1098">
        <v>1</v>
      </c>
      <c r="CK33" s="1098"/>
      <c r="CL33" s="1098">
        <v>8</v>
      </c>
      <c r="CM33" s="1098"/>
      <c r="CN33" s="1097">
        <f t="shared" si="6"/>
        <v>201</v>
      </c>
      <c r="CO33" s="1098">
        <v>47</v>
      </c>
      <c r="CP33" s="1098">
        <v>119</v>
      </c>
      <c r="CQ33" s="1098">
        <v>40</v>
      </c>
      <c r="CR33" s="1098">
        <v>7</v>
      </c>
      <c r="CS33" s="1098">
        <v>1</v>
      </c>
      <c r="CT33" s="1098"/>
      <c r="CU33" s="1098"/>
      <c r="CV33" s="1098"/>
      <c r="CW33" s="1098"/>
      <c r="CX33" s="1098"/>
      <c r="CY33" s="1098"/>
      <c r="CZ33" s="1098"/>
      <c r="DA33" s="1097">
        <f t="shared" si="7"/>
        <v>214</v>
      </c>
      <c r="DB33" s="1098">
        <v>54</v>
      </c>
      <c r="DC33" s="1098">
        <v>113</v>
      </c>
      <c r="DD33" s="1098">
        <v>67</v>
      </c>
      <c r="DE33" s="1098">
        <v>12</v>
      </c>
      <c r="DF33" s="1098">
        <v>9</v>
      </c>
      <c r="DG33" s="1098">
        <v>11</v>
      </c>
      <c r="DH33" s="1098">
        <v>9</v>
      </c>
      <c r="DI33" s="1098"/>
      <c r="DJ33" s="1098"/>
      <c r="DK33" s="1098">
        <v>4</v>
      </c>
      <c r="DL33" s="1098">
        <v>3</v>
      </c>
      <c r="DM33" s="1098">
        <v>3</v>
      </c>
      <c r="DN33" s="1097">
        <f t="shared" si="8"/>
        <v>285</v>
      </c>
      <c r="DO33" s="1098">
        <v>47</v>
      </c>
      <c r="DP33" s="1098">
        <v>89</v>
      </c>
      <c r="DQ33" s="1098">
        <v>60</v>
      </c>
      <c r="DR33" s="1098">
        <v>15</v>
      </c>
      <c r="DS33" s="1098">
        <v>1</v>
      </c>
      <c r="DT33" s="1098"/>
      <c r="DU33" s="1098"/>
      <c r="DV33" s="1098"/>
      <c r="DW33" s="1098"/>
      <c r="DX33" s="1098"/>
      <c r="DY33" s="1098">
        <v>15</v>
      </c>
      <c r="DZ33" s="1098">
        <v>18</v>
      </c>
      <c r="EA33" s="1097">
        <f t="shared" si="9"/>
        <v>245</v>
      </c>
      <c r="EB33" s="1098">
        <v>1</v>
      </c>
      <c r="EC33" s="1098">
        <v>20</v>
      </c>
      <c r="ED33" s="1098">
        <v>2</v>
      </c>
      <c r="EE33" s="1098">
        <v>12</v>
      </c>
      <c r="EF33" s="1098">
        <v>31</v>
      </c>
      <c r="EG33" s="1098">
        <v>10</v>
      </c>
      <c r="EH33" s="1098"/>
      <c r="EI33" s="1098"/>
      <c r="EJ33" s="1098"/>
      <c r="EK33" s="1098"/>
      <c r="EL33" s="1098">
        <v>37</v>
      </c>
      <c r="EM33" s="1098">
        <v>34</v>
      </c>
      <c r="EN33" s="1097">
        <f t="shared" si="10"/>
        <v>147</v>
      </c>
      <c r="EO33" s="1098"/>
      <c r="EP33" s="1098">
        <v>7</v>
      </c>
      <c r="EQ33" s="1098">
        <v>3</v>
      </c>
      <c r="ER33" s="1098">
        <v>1</v>
      </c>
      <c r="ES33" s="1098">
        <v>6</v>
      </c>
      <c r="ET33" s="1098">
        <v>7</v>
      </c>
      <c r="EU33" s="1098">
        <v>37</v>
      </c>
      <c r="EV33" s="1098">
        <v>27</v>
      </c>
      <c r="EW33" s="1098">
        <v>11</v>
      </c>
      <c r="EX33" s="1098">
        <v>1</v>
      </c>
      <c r="EY33" s="1098">
        <v>1</v>
      </c>
      <c r="EZ33" s="1098"/>
      <c r="FA33" s="1097">
        <f t="shared" si="11"/>
        <v>101</v>
      </c>
      <c r="FB33" s="1098">
        <v>12</v>
      </c>
      <c r="FC33" s="1098"/>
      <c r="FD33" s="1098"/>
      <c r="FE33" s="1098"/>
      <c r="FF33" s="1098">
        <v>13</v>
      </c>
      <c r="FG33" s="1098">
        <v>7</v>
      </c>
      <c r="FH33" s="1098"/>
      <c r="FI33" s="1098"/>
      <c r="FJ33" s="1098"/>
      <c r="FK33" s="1098"/>
      <c r="FL33" s="1098"/>
      <c r="FM33" s="1098">
        <v>50</v>
      </c>
      <c r="FN33" s="1097">
        <f t="shared" si="12"/>
        <v>82</v>
      </c>
      <c r="FO33" s="1098">
        <v>10</v>
      </c>
      <c r="FP33" s="1098">
        <v>15</v>
      </c>
      <c r="FQ33" s="1098">
        <v>23</v>
      </c>
      <c r="FR33" s="1098">
        <v>10</v>
      </c>
      <c r="FS33" s="1098"/>
      <c r="FT33" s="1098"/>
      <c r="FU33" s="1098"/>
      <c r="FV33" s="1098"/>
      <c r="FW33" s="1098"/>
      <c r="FX33" s="1098"/>
      <c r="FY33" s="1098">
        <v>25</v>
      </c>
      <c r="FZ33" s="1098"/>
      <c r="GA33" s="1097">
        <f t="shared" si="13"/>
        <v>83</v>
      </c>
      <c r="GB33" s="1098">
        <v>82</v>
      </c>
      <c r="GC33" s="1098"/>
      <c r="GD33" s="1098">
        <v>2</v>
      </c>
      <c r="GE33" s="1098"/>
      <c r="GF33" s="1098"/>
      <c r="GG33" s="1098"/>
      <c r="GH33" s="1098"/>
      <c r="GI33" s="1098"/>
      <c r="GJ33" s="1098"/>
      <c r="GK33" s="1098"/>
      <c r="GL33" s="1098"/>
      <c r="GM33" s="1098">
        <v>124</v>
      </c>
      <c r="GN33" s="1097">
        <f t="shared" si="14"/>
        <v>208</v>
      </c>
      <c r="GO33" s="1098">
        <v>40</v>
      </c>
      <c r="GP33" s="1098">
        <v>43</v>
      </c>
      <c r="GQ33" s="1098">
        <v>4</v>
      </c>
      <c r="GR33" s="1098"/>
      <c r="GS33" s="1098"/>
      <c r="GT33" s="1098"/>
      <c r="GU33" s="1098"/>
      <c r="GV33" s="1098"/>
      <c r="GW33" s="1098"/>
      <c r="GX33" s="1098"/>
      <c r="GY33" s="1098"/>
      <c r="GZ33" s="1098">
        <v>1</v>
      </c>
      <c r="HA33" s="1097">
        <f t="shared" si="15"/>
        <v>88</v>
      </c>
      <c r="HB33" s="1098"/>
      <c r="HC33" s="1098"/>
      <c r="HD33" s="1098"/>
      <c r="HE33" s="1098">
        <v>0.4</v>
      </c>
      <c r="HF33" s="1098">
        <v>0.4</v>
      </c>
      <c r="HG33" s="1098"/>
      <c r="HH33" s="1098"/>
      <c r="HI33" s="1098"/>
      <c r="HJ33" s="1098"/>
      <c r="HK33" s="1098">
        <v>0.5</v>
      </c>
      <c r="HL33" s="1098"/>
      <c r="HM33" s="1098"/>
      <c r="HN33" s="1097">
        <f t="shared" si="16"/>
        <v>1.3</v>
      </c>
      <c r="HO33" s="1098">
        <v>69</v>
      </c>
      <c r="HP33" s="1098">
        <v>87</v>
      </c>
      <c r="HQ33" s="1098">
        <v>33</v>
      </c>
      <c r="HR33" s="1098">
        <v>16</v>
      </c>
      <c r="HS33" s="1098"/>
      <c r="HT33" s="1098"/>
      <c r="HU33" s="1098">
        <v>1</v>
      </c>
      <c r="HV33" s="1098">
        <v>1</v>
      </c>
      <c r="HW33" s="1098">
        <v>1</v>
      </c>
      <c r="HX33" s="1098"/>
      <c r="HY33" s="1098"/>
      <c r="HZ33" s="1098"/>
      <c r="IA33" s="1097">
        <f t="shared" si="17"/>
        <v>208</v>
      </c>
      <c r="IB33" s="1098">
        <v>14</v>
      </c>
      <c r="IC33" s="1098">
        <v>22</v>
      </c>
      <c r="ID33" s="1098">
        <v>26</v>
      </c>
      <c r="IE33" s="1098">
        <v>4.5</v>
      </c>
      <c r="IF33" s="1098">
        <v>0</v>
      </c>
      <c r="IG33" s="1098">
        <v>0</v>
      </c>
      <c r="IH33" s="1098">
        <v>0</v>
      </c>
      <c r="II33" s="1098">
        <v>5</v>
      </c>
      <c r="IJ33" s="1098">
        <v>6</v>
      </c>
      <c r="IK33" s="1098">
        <v>0</v>
      </c>
      <c r="IL33" s="1098">
        <v>0</v>
      </c>
      <c r="IM33" s="1098">
        <v>0</v>
      </c>
      <c r="IN33" s="1097">
        <v>77.5</v>
      </c>
      <c r="IO33" s="1098">
        <v>23</v>
      </c>
      <c r="IP33" s="1098">
        <v>37</v>
      </c>
      <c r="IQ33" s="1098">
        <v>26</v>
      </c>
      <c r="IR33" s="1098">
        <v>0</v>
      </c>
      <c r="IS33" s="1098">
        <v>0</v>
      </c>
      <c r="IT33" s="1098">
        <v>0</v>
      </c>
      <c r="IU33" s="1098">
        <v>0</v>
      </c>
      <c r="IV33" s="1098">
        <v>0</v>
      </c>
      <c r="IW33" s="1098">
        <v>0</v>
      </c>
      <c r="IX33" s="1098">
        <v>0</v>
      </c>
      <c r="IY33" s="1098">
        <v>0</v>
      </c>
      <c r="IZ33" s="1098">
        <v>0</v>
      </c>
      <c r="JA33" s="1097">
        <v>86</v>
      </c>
      <c r="JB33" s="1098">
        <v>0</v>
      </c>
      <c r="JC33" s="1098">
        <v>0</v>
      </c>
      <c r="JD33" s="1098"/>
      <c r="JE33" s="1098"/>
      <c r="JF33" s="1098"/>
      <c r="JG33" s="1098"/>
      <c r="JH33" s="1098"/>
      <c r="JI33" s="1098"/>
      <c r="JJ33" s="1098"/>
      <c r="JK33" s="1098"/>
      <c r="JL33" s="1098"/>
      <c r="JM33" s="1098"/>
      <c r="JN33" s="1097">
        <f t="shared" si="18"/>
        <v>0</v>
      </c>
      <c r="JP33" s="1174" t="str">
        <f t="shared" si="42"/>
        <v/>
      </c>
      <c r="JQ33" s="1175">
        <f t="shared" si="43"/>
        <v>10.967741935483865</v>
      </c>
      <c r="JR33" s="1184">
        <f t="shared" si="44"/>
        <v>77.5</v>
      </c>
      <c r="JS33" s="1185">
        <f t="shared" si="45"/>
        <v>86</v>
      </c>
      <c r="JT33" s="1"/>
      <c r="JU33" s="1079">
        <f t="shared" si="46"/>
        <v>9248.5999999999985</v>
      </c>
      <c r="JV33" s="1080" t="s">
        <v>578</v>
      </c>
      <c r="JW33" s="1081" t="str">
        <f t="shared" si="47"/>
        <v>OK</v>
      </c>
    </row>
    <row r="34" spans="1:283" ht="15" customHeight="1" x14ac:dyDescent="0.2">
      <c r="A34" s="1166" t="s">
        <v>579</v>
      </c>
      <c r="B34" s="1098"/>
      <c r="C34" s="1098"/>
      <c r="D34" s="1098"/>
      <c r="E34" s="1098"/>
      <c r="F34" s="1098"/>
      <c r="G34" s="1098"/>
      <c r="H34" s="1098"/>
      <c r="I34" s="1098"/>
      <c r="J34" s="1098"/>
      <c r="K34" s="1098"/>
      <c r="L34" s="1098"/>
      <c r="M34" s="1098"/>
      <c r="N34" s="1097">
        <f t="shared" si="0"/>
        <v>0</v>
      </c>
      <c r="O34" s="1098"/>
      <c r="P34" s="1098"/>
      <c r="Q34" s="1098"/>
      <c r="R34" s="1098"/>
      <c r="S34" s="1098"/>
      <c r="T34" s="1098"/>
      <c r="U34" s="1098"/>
      <c r="V34" s="1098"/>
      <c r="W34" s="1098"/>
      <c r="X34" s="1098"/>
      <c r="Y34" s="1098"/>
      <c r="Z34" s="1098"/>
      <c r="AA34" s="1097">
        <f t="shared" si="1"/>
        <v>0</v>
      </c>
      <c r="AB34" s="1098"/>
      <c r="AC34" s="1098"/>
      <c r="AD34" s="1098"/>
      <c r="AE34" s="1098"/>
      <c r="AF34" s="1098"/>
      <c r="AG34" s="1098"/>
      <c r="AH34" s="1098"/>
      <c r="AI34" s="1098"/>
      <c r="AJ34" s="1098"/>
      <c r="AK34" s="1098"/>
      <c r="AL34" s="1098"/>
      <c r="AM34" s="1098"/>
      <c r="AN34" s="1097">
        <f t="shared" si="2"/>
        <v>0</v>
      </c>
      <c r="AO34" s="1098"/>
      <c r="AP34" s="1098"/>
      <c r="AQ34" s="1098"/>
      <c r="AR34" s="1098"/>
      <c r="AS34" s="1098"/>
      <c r="AT34" s="1098"/>
      <c r="AU34" s="1098"/>
      <c r="AV34" s="1098"/>
      <c r="AW34" s="1098"/>
      <c r="AX34" s="1098"/>
      <c r="AY34" s="1098"/>
      <c r="AZ34" s="1098"/>
      <c r="BA34" s="1097">
        <f t="shared" si="3"/>
        <v>0</v>
      </c>
      <c r="BB34" s="1098"/>
      <c r="BC34" s="1098"/>
      <c r="BD34" s="1098"/>
      <c r="BE34" s="1098"/>
      <c r="BF34" s="1098"/>
      <c r="BG34" s="1098"/>
      <c r="BH34" s="1098"/>
      <c r="BI34" s="1098"/>
      <c r="BJ34" s="1098"/>
      <c r="BK34" s="1098"/>
      <c r="BL34" s="1098"/>
      <c r="BM34" s="1098"/>
      <c r="BN34" s="1097">
        <f t="shared" si="4"/>
        <v>0</v>
      </c>
      <c r="BO34" s="1098"/>
      <c r="BP34" s="1098"/>
      <c r="BQ34" s="1098"/>
      <c r="BR34" s="1098"/>
      <c r="BS34" s="1098"/>
      <c r="BT34" s="1098"/>
      <c r="BU34" s="1098"/>
      <c r="BV34" s="1098"/>
      <c r="BW34" s="1098"/>
      <c r="BX34" s="1098"/>
      <c r="BY34" s="1098"/>
      <c r="BZ34" s="1098"/>
      <c r="CA34" s="1097">
        <f t="shared" si="5"/>
        <v>0</v>
      </c>
      <c r="CB34" s="1098"/>
      <c r="CC34" s="1098"/>
      <c r="CD34" s="1098"/>
      <c r="CE34" s="1098"/>
      <c r="CF34" s="1098"/>
      <c r="CG34" s="1098"/>
      <c r="CH34" s="1098"/>
      <c r="CI34" s="1098"/>
      <c r="CJ34" s="1098"/>
      <c r="CK34" s="1098"/>
      <c r="CL34" s="1098"/>
      <c r="CM34" s="1098"/>
      <c r="CN34" s="1097">
        <f t="shared" si="6"/>
        <v>0</v>
      </c>
      <c r="CO34" s="1098"/>
      <c r="CP34" s="1098"/>
      <c r="CQ34" s="1098"/>
      <c r="CR34" s="1098"/>
      <c r="CS34" s="1098"/>
      <c r="CT34" s="1098"/>
      <c r="CU34" s="1098"/>
      <c r="CV34" s="1098"/>
      <c r="CW34" s="1098"/>
      <c r="CX34" s="1098"/>
      <c r="CY34" s="1098"/>
      <c r="CZ34" s="1098"/>
      <c r="DA34" s="1097">
        <f t="shared" si="7"/>
        <v>0</v>
      </c>
      <c r="DB34" s="1098"/>
      <c r="DC34" s="1098"/>
      <c r="DD34" s="1098"/>
      <c r="DE34" s="1098"/>
      <c r="DF34" s="1098"/>
      <c r="DG34" s="1098"/>
      <c r="DH34" s="1098"/>
      <c r="DI34" s="1098"/>
      <c r="DJ34" s="1098"/>
      <c r="DK34" s="1098"/>
      <c r="DL34" s="1098"/>
      <c r="DM34" s="1098"/>
      <c r="DN34" s="1097">
        <f t="shared" si="8"/>
        <v>0</v>
      </c>
      <c r="DO34" s="1098"/>
      <c r="DP34" s="1098"/>
      <c r="DQ34" s="1098"/>
      <c r="DR34" s="1098"/>
      <c r="DS34" s="1098"/>
      <c r="DT34" s="1098"/>
      <c r="DU34" s="1098"/>
      <c r="DV34" s="1098"/>
      <c r="DW34" s="1098"/>
      <c r="DX34" s="1098"/>
      <c r="DY34" s="1098"/>
      <c r="DZ34" s="1098"/>
      <c r="EA34" s="1097">
        <f t="shared" si="9"/>
        <v>0</v>
      </c>
      <c r="EB34" s="1098"/>
      <c r="EC34" s="1098"/>
      <c r="ED34" s="1098"/>
      <c r="EE34" s="1098"/>
      <c r="EF34" s="1098"/>
      <c r="EG34" s="1098"/>
      <c r="EH34" s="1098"/>
      <c r="EI34" s="1098"/>
      <c r="EJ34" s="1098"/>
      <c r="EK34" s="1098"/>
      <c r="EL34" s="1098"/>
      <c r="EM34" s="1098"/>
      <c r="EN34" s="1097">
        <f t="shared" si="10"/>
        <v>0</v>
      </c>
      <c r="EO34" s="1098"/>
      <c r="EP34" s="1098"/>
      <c r="EQ34" s="1098"/>
      <c r="ER34" s="1098"/>
      <c r="ES34" s="1098"/>
      <c r="ET34" s="1098"/>
      <c r="EU34" s="1098"/>
      <c r="EV34" s="1098"/>
      <c r="EW34" s="1098"/>
      <c r="EX34" s="1098"/>
      <c r="EY34" s="1098"/>
      <c r="EZ34" s="1098"/>
      <c r="FA34" s="1097">
        <f t="shared" si="11"/>
        <v>0</v>
      </c>
      <c r="FB34" s="1098"/>
      <c r="FC34" s="1098"/>
      <c r="FD34" s="1098"/>
      <c r="FE34" s="1098"/>
      <c r="FF34" s="1098"/>
      <c r="FG34" s="1098"/>
      <c r="FH34" s="1098"/>
      <c r="FI34" s="1098"/>
      <c r="FJ34" s="1098"/>
      <c r="FK34" s="1098"/>
      <c r="FL34" s="1098"/>
      <c r="FM34" s="1098"/>
      <c r="FN34" s="1097">
        <f t="shared" si="12"/>
        <v>0</v>
      </c>
      <c r="FO34" s="1098"/>
      <c r="FP34" s="1098"/>
      <c r="FQ34" s="1098"/>
      <c r="FR34" s="1098"/>
      <c r="FS34" s="1098"/>
      <c r="FT34" s="1098"/>
      <c r="FU34" s="1098"/>
      <c r="FV34" s="1098"/>
      <c r="FW34" s="1098"/>
      <c r="FX34" s="1098"/>
      <c r="FY34" s="1098"/>
      <c r="FZ34" s="1098"/>
      <c r="GA34" s="1097">
        <f t="shared" si="13"/>
        <v>0</v>
      </c>
      <c r="GB34" s="1098"/>
      <c r="GC34" s="1098"/>
      <c r="GD34" s="1098"/>
      <c r="GE34" s="1098"/>
      <c r="GF34" s="1098"/>
      <c r="GG34" s="1098"/>
      <c r="GH34" s="1098"/>
      <c r="GI34" s="1098"/>
      <c r="GJ34" s="1098"/>
      <c r="GK34" s="1098"/>
      <c r="GL34" s="1098"/>
      <c r="GM34" s="1098"/>
      <c r="GN34" s="1097">
        <f t="shared" si="14"/>
        <v>0</v>
      </c>
      <c r="GO34" s="1098"/>
      <c r="GP34" s="1098"/>
      <c r="GQ34" s="1098"/>
      <c r="GR34" s="1098"/>
      <c r="GS34" s="1098"/>
      <c r="GT34" s="1098"/>
      <c r="GU34" s="1098"/>
      <c r="GV34" s="1098"/>
      <c r="GW34" s="1098"/>
      <c r="GX34" s="1098"/>
      <c r="GY34" s="1098"/>
      <c r="GZ34" s="1098"/>
      <c r="HA34" s="1097">
        <f t="shared" si="15"/>
        <v>0</v>
      </c>
      <c r="HB34" s="1098"/>
      <c r="HC34" s="1098"/>
      <c r="HD34" s="1098"/>
      <c r="HE34" s="1098"/>
      <c r="HF34" s="1098"/>
      <c r="HG34" s="1098"/>
      <c r="HH34" s="1098"/>
      <c r="HI34" s="1098"/>
      <c r="HJ34" s="1098"/>
      <c r="HK34" s="1098"/>
      <c r="HL34" s="1098"/>
      <c r="HM34" s="1098"/>
      <c r="HN34" s="1097">
        <f t="shared" si="16"/>
        <v>0</v>
      </c>
      <c r="HO34" s="1098"/>
      <c r="HP34" s="1098"/>
      <c r="HQ34" s="1098"/>
      <c r="HR34" s="1098"/>
      <c r="HS34" s="1098"/>
      <c r="HT34" s="1098"/>
      <c r="HU34" s="1098"/>
      <c r="HV34" s="1098"/>
      <c r="HW34" s="1098"/>
      <c r="HX34" s="1098"/>
      <c r="HY34" s="1098"/>
      <c r="HZ34" s="1098"/>
      <c r="IA34" s="1097">
        <f t="shared" si="17"/>
        <v>0</v>
      </c>
      <c r="IB34" s="1098">
        <v>0</v>
      </c>
      <c r="IC34" s="1098">
        <v>0</v>
      </c>
      <c r="ID34" s="1098">
        <v>0</v>
      </c>
      <c r="IE34" s="1098">
        <v>0</v>
      </c>
      <c r="IF34" s="1098">
        <v>0</v>
      </c>
      <c r="IG34" s="1098">
        <v>0</v>
      </c>
      <c r="IH34" s="1098">
        <v>0</v>
      </c>
      <c r="II34" s="1098">
        <v>0</v>
      </c>
      <c r="IJ34" s="1098">
        <v>0</v>
      </c>
      <c r="IK34" s="1098">
        <v>0</v>
      </c>
      <c r="IL34" s="1098">
        <v>0</v>
      </c>
      <c r="IM34" s="1098">
        <v>0</v>
      </c>
      <c r="IN34" s="1097">
        <v>0</v>
      </c>
      <c r="IO34" s="1098">
        <v>0</v>
      </c>
      <c r="IP34" s="1098">
        <v>0</v>
      </c>
      <c r="IQ34" s="1098">
        <v>0</v>
      </c>
      <c r="IR34" s="1098">
        <v>0</v>
      </c>
      <c r="IS34" s="1098">
        <v>0</v>
      </c>
      <c r="IT34" s="1098">
        <v>0</v>
      </c>
      <c r="IU34" s="1098">
        <v>0</v>
      </c>
      <c r="IV34" s="1098">
        <v>0</v>
      </c>
      <c r="IW34" s="1098">
        <v>0</v>
      </c>
      <c r="IX34" s="1098">
        <v>0</v>
      </c>
      <c r="IY34" s="1098">
        <v>0</v>
      </c>
      <c r="IZ34" s="1098">
        <v>0</v>
      </c>
      <c r="JA34" s="1097">
        <v>0</v>
      </c>
      <c r="JB34" s="1098">
        <v>0</v>
      </c>
      <c r="JC34" s="1098">
        <v>0</v>
      </c>
      <c r="JD34" s="1098"/>
      <c r="JE34" s="1098"/>
      <c r="JF34" s="1098"/>
      <c r="JG34" s="1098"/>
      <c r="JH34" s="1098"/>
      <c r="JI34" s="1098"/>
      <c r="JJ34" s="1098"/>
      <c r="JK34" s="1098"/>
      <c r="JL34" s="1098"/>
      <c r="JM34" s="1098"/>
      <c r="JN34" s="1097">
        <f t="shared" si="18"/>
        <v>0</v>
      </c>
      <c r="JP34" s="1174" t="str">
        <f t="shared" si="42"/>
        <v/>
      </c>
      <c r="JQ34" s="1175" t="str">
        <f t="shared" si="43"/>
        <v/>
      </c>
      <c r="JR34" s="1184">
        <f t="shared" si="44"/>
        <v>0</v>
      </c>
      <c r="JS34" s="1185">
        <f t="shared" si="45"/>
        <v>0</v>
      </c>
      <c r="JT34" s="1"/>
      <c r="JU34" s="1079">
        <f t="shared" si="46"/>
        <v>0</v>
      </c>
      <c r="JV34" s="1080" t="s">
        <v>579</v>
      </c>
      <c r="JW34" s="1081" t="str">
        <f t="shared" si="47"/>
        <v>OK</v>
      </c>
    </row>
    <row r="35" spans="1:283" ht="15" customHeight="1" x14ac:dyDescent="0.2">
      <c r="A35" s="1166" t="s">
        <v>38</v>
      </c>
      <c r="B35" s="1098">
        <v>52</v>
      </c>
      <c r="C35" s="1098">
        <v>154</v>
      </c>
      <c r="D35" s="1098">
        <v>165</v>
      </c>
      <c r="E35" s="1098">
        <v>109</v>
      </c>
      <c r="F35" s="1098">
        <v>162</v>
      </c>
      <c r="G35" s="1098">
        <v>209</v>
      </c>
      <c r="H35" s="1098">
        <v>33</v>
      </c>
      <c r="I35" s="1098"/>
      <c r="J35" s="1098"/>
      <c r="K35" s="1098"/>
      <c r="L35" s="1098"/>
      <c r="M35" s="1098"/>
      <c r="N35" s="1097">
        <f t="shared" si="0"/>
        <v>884</v>
      </c>
      <c r="O35" s="1098">
        <v>66</v>
      </c>
      <c r="P35" s="1098">
        <v>217</v>
      </c>
      <c r="Q35" s="1098">
        <v>131</v>
      </c>
      <c r="R35" s="1098">
        <v>74</v>
      </c>
      <c r="S35" s="1098">
        <v>101</v>
      </c>
      <c r="T35" s="1098">
        <v>112</v>
      </c>
      <c r="U35" s="1098">
        <v>99</v>
      </c>
      <c r="V35" s="1098">
        <v>78</v>
      </c>
      <c r="W35" s="1098">
        <v>24</v>
      </c>
      <c r="X35" s="1098"/>
      <c r="Y35" s="1098"/>
      <c r="Z35" s="1098"/>
      <c r="AA35" s="1097">
        <f t="shared" si="1"/>
        <v>902</v>
      </c>
      <c r="AB35" s="1098">
        <v>118</v>
      </c>
      <c r="AC35" s="1098">
        <v>177</v>
      </c>
      <c r="AD35" s="1098">
        <v>155</v>
      </c>
      <c r="AE35" s="1098">
        <v>126</v>
      </c>
      <c r="AF35" s="1098">
        <v>138</v>
      </c>
      <c r="AG35" s="1098">
        <v>118</v>
      </c>
      <c r="AH35" s="1098">
        <v>35</v>
      </c>
      <c r="AI35" s="1098"/>
      <c r="AJ35" s="1098"/>
      <c r="AK35" s="1098"/>
      <c r="AL35" s="1098"/>
      <c r="AM35" s="1098"/>
      <c r="AN35" s="1097">
        <f t="shared" si="2"/>
        <v>867</v>
      </c>
      <c r="AO35" s="1098">
        <v>85</v>
      </c>
      <c r="AP35" s="1098">
        <v>162</v>
      </c>
      <c r="AQ35" s="1098">
        <v>141</v>
      </c>
      <c r="AR35" s="1098">
        <v>71</v>
      </c>
      <c r="AS35" s="1098">
        <v>94</v>
      </c>
      <c r="AT35" s="1098">
        <v>109</v>
      </c>
      <c r="AU35" s="1098">
        <v>11</v>
      </c>
      <c r="AV35" s="1098">
        <v>7</v>
      </c>
      <c r="AW35" s="1098">
        <v>6</v>
      </c>
      <c r="AX35" s="1098">
        <v>8</v>
      </c>
      <c r="AY35" s="1098"/>
      <c r="AZ35" s="1098"/>
      <c r="BA35" s="1097">
        <f t="shared" si="3"/>
        <v>694</v>
      </c>
      <c r="BB35" s="1098">
        <v>69</v>
      </c>
      <c r="BC35" s="1098">
        <v>243</v>
      </c>
      <c r="BD35" s="1098">
        <v>134</v>
      </c>
      <c r="BE35" s="1098">
        <v>93</v>
      </c>
      <c r="BF35" s="1098">
        <v>87</v>
      </c>
      <c r="BG35" s="1098">
        <v>32</v>
      </c>
      <c r="BH35" s="1098">
        <v>5</v>
      </c>
      <c r="BI35" s="1098"/>
      <c r="BJ35" s="1098"/>
      <c r="BK35" s="1098"/>
      <c r="BL35" s="1098">
        <v>3</v>
      </c>
      <c r="BM35" s="1098">
        <v>6</v>
      </c>
      <c r="BN35" s="1097">
        <f t="shared" si="4"/>
        <v>672</v>
      </c>
      <c r="BO35" s="1098">
        <v>88</v>
      </c>
      <c r="BP35" s="1098">
        <v>226</v>
      </c>
      <c r="BQ35" s="1098">
        <v>152</v>
      </c>
      <c r="BR35" s="1098">
        <v>55</v>
      </c>
      <c r="BS35" s="1098">
        <v>47</v>
      </c>
      <c r="BT35" s="1098">
        <v>49</v>
      </c>
      <c r="BU35" s="1098">
        <v>9</v>
      </c>
      <c r="BV35" s="1098"/>
      <c r="BW35" s="1098"/>
      <c r="BX35" s="1098"/>
      <c r="BY35" s="1098"/>
      <c r="BZ35" s="1098"/>
      <c r="CA35" s="1097">
        <f t="shared" si="5"/>
        <v>626</v>
      </c>
      <c r="CB35" s="1098">
        <v>72</v>
      </c>
      <c r="CC35" s="1098">
        <v>55</v>
      </c>
      <c r="CD35" s="1098">
        <v>91</v>
      </c>
      <c r="CE35" s="1098">
        <v>96</v>
      </c>
      <c r="CF35" s="1098">
        <v>58</v>
      </c>
      <c r="CG35" s="1098">
        <v>47</v>
      </c>
      <c r="CH35" s="1098">
        <v>26</v>
      </c>
      <c r="CI35" s="1098">
        <v>2</v>
      </c>
      <c r="CJ35" s="1098">
        <v>3</v>
      </c>
      <c r="CK35" s="1098"/>
      <c r="CL35" s="1098"/>
      <c r="CM35" s="1098"/>
      <c r="CN35" s="1097">
        <f t="shared" si="6"/>
        <v>450</v>
      </c>
      <c r="CO35" s="1098">
        <v>82</v>
      </c>
      <c r="CP35" s="1098">
        <v>169</v>
      </c>
      <c r="CQ35" s="1098">
        <v>190</v>
      </c>
      <c r="CR35" s="1098">
        <v>63</v>
      </c>
      <c r="CS35" s="1098">
        <v>51</v>
      </c>
      <c r="CT35" s="1098">
        <v>38</v>
      </c>
      <c r="CU35" s="1098">
        <v>9</v>
      </c>
      <c r="CV35" s="1098"/>
      <c r="CW35" s="1098">
        <v>5</v>
      </c>
      <c r="CX35" s="1098"/>
      <c r="CY35" s="1098"/>
      <c r="CZ35" s="1098">
        <v>4</v>
      </c>
      <c r="DA35" s="1097">
        <f t="shared" si="7"/>
        <v>611</v>
      </c>
      <c r="DB35" s="1098">
        <v>86</v>
      </c>
      <c r="DC35" s="1098">
        <v>132</v>
      </c>
      <c r="DD35" s="1098">
        <v>199</v>
      </c>
      <c r="DE35" s="1098">
        <v>82</v>
      </c>
      <c r="DF35" s="1098">
        <v>55</v>
      </c>
      <c r="DG35" s="1098">
        <v>21</v>
      </c>
      <c r="DH35" s="1098">
        <v>7</v>
      </c>
      <c r="DI35" s="1098">
        <v>1</v>
      </c>
      <c r="DJ35" s="1098"/>
      <c r="DK35" s="1098"/>
      <c r="DL35" s="1098"/>
      <c r="DM35" s="1098"/>
      <c r="DN35" s="1097">
        <f t="shared" si="8"/>
        <v>583</v>
      </c>
      <c r="DO35" s="1098">
        <v>88</v>
      </c>
      <c r="DP35" s="1098">
        <v>164</v>
      </c>
      <c r="DQ35" s="1098">
        <v>182</v>
      </c>
      <c r="DR35" s="1098">
        <v>76</v>
      </c>
      <c r="DS35" s="1098">
        <v>67</v>
      </c>
      <c r="DT35" s="1098">
        <v>35</v>
      </c>
      <c r="DU35" s="1098"/>
      <c r="DV35" s="1098"/>
      <c r="DW35" s="1098"/>
      <c r="DX35" s="1098"/>
      <c r="DY35" s="1098"/>
      <c r="DZ35" s="1098"/>
      <c r="EA35" s="1097">
        <f t="shared" si="9"/>
        <v>612</v>
      </c>
      <c r="EB35" s="1098">
        <v>89</v>
      </c>
      <c r="EC35" s="1098">
        <v>187</v>
      </c>
      <c r="ED35" s="1098">
        <v>70</v>
      </c>
      <c r="EE35" s="1098">
        <v>18</v>
      </c>
      <c r="EF35" s="1098">
        <v>14</v>
      </c>
      <c r="EG35" s="1098">
        <v>5</v>
      </c>
      <c r="EH35" s="1098"/>
      <c r="EI35" s="1098"/>
      <c r="EJ35" s="1098"/>
      <c r="EK35" s="1098">
        <v>1</v>
      </c>
      <c r="EL35" s="1098"/>
      <c r="EM35" s="1098"/>
      <c r="EN35" s="1097">
        <f t="shared" si="10"/>
        <v>384</v>
      </c>
      <c r="EO35" s="1098">
        <v>12</v>
      </c>
      <c r="EP35" s="1098">
        <v>162</v>
      </c>
      <c r="EQ35" s="1098">
        <v>94</v>
      </c>
      <c r="ER35" s="1098">
        <v>21</v>
      </c>
      <c r="ES35" s="1098">
        <v>11</v>
      </c>
      <c r="ET35" s="1098">
        <v>5</v>
      </c>
      <c r="EU35" s="1098"/>
      <c r="EV35" s="1098"/>
      <c r="EW35" s="1098"/>
      <c r="EX35" s="1098"/>
      <c r="EY35" s="1098"/>
      <c r="EZ35" s="1098"/>
      <c r="FA35" s="1097">
        <f t="shared" si="11"/>
        <v>305</v>
      </c>
      <c r="FB35" s="1098">
        <v>49</v>
      </c>
      <c r="FC35" s="1098">
        <v>134</v>
      </c>
      <c r="FD35" s="1098">
        <v>52</v>
      </c>
      <c r="FE35" s="1098">
        <v>30</v>
      </c>
      <c r="FF35" s="1098">
        <v>33</v>
      </c>
      <c r="FG35" s="1098">
        <v>12</v>
      </c>
      <c r="FH35" s="1098">
        <v>3</v>
      </c>
      <c r="FI35" s="1098"/>
      <c r="FJ35" s="1098"/>
      <c r="FK35" s="1098"/>
      <c r="FL35" s="1098"/>
      <c r="FM35" s="1098"/>
      <c r="FN35" s="1097">
        <f t="shared" si="12"/>
        <v>313</v>
      </c>
      <c r="FO35" s="1098">
        <v>43</v>
      </c>
      <c r="FP35" s="1098">
        <v>93</v>
      </c>
      <c r="FQ35" s="1098">
        <v>66</v>
      </c>
      <c r="FR35" s="1098">
        <v>8</v>
      </c>
      <c r="FS35" s="1098">
        <v>19</v>
      </c>
      <c r="FT35" s="1098">
        <v>13</v>
      </c>
      <c r="FU35" s="1098">
        <v>3</v>
      </c>
      <c r="FV35" s="1098">
        <v>2</v>
      </c>
      <c r="FW35" s="1098">
        <v>2</v>
      </c>
      <c r="FX35" s="1098">
        <v>1</v>
      </c>
      <c r="FY35" s="1098">
        <v>1</v>
      </c>
      <c r="FZ35" s="1098">
        <v>2</v>
      </c>
      <c r="GA35" s="1097">
        <f t="shared" si="13"/>
        <v>253</v>
      </c>
      <c r="GB35" s="1098">
        <v>32</v>
      </c>
      <c r="GC35" s="1098">
        <v>67</v>
      </c>
      <c r="GD35" s="1098">
        <v>106</v>
      </c>
      <c r="GE35" s="1098">
        <v>6</v>
      </c>
      <c r="GF35" s="1098">
        <v>15.5</v>
      </c>
      <c r="GG35" s="1098">
        <v>7</v>
      </c>
      <c r="GH35" s="1098">
        <v>5</v>
      </c>
      <c r="GI35" s="1098">
        <v>2</v>
      </c>
      <c r="GJ35" s="1098"/>
      <c r="GK35" s="1098"/>
      <c r="GL35" s="1098"/>
      <c r="GM35" s="1098">
        <v>2</v>
      </c>
      <c r="GN35" s="1097">
        <f t="shared" si="14"/>
        <v>242.5</v>
      </c>
      <c r="GO35" s="1098">
        <v>36</v>
      </c>
      <c r="GP35" s="1098">
        <v>66</v>
      </c>
      <c r="GQ35" s="1098">
        <v>102.5</v>
      </c>
      <c r="GR35" s="1098">
        <v>30</v>
      </c>
      <c r="GS35" s="1098">
        <v>22.5</v>
      </c>
      <c r="GT35" s="1098">
        <v>20.5</v>
      </c>
      <c r="GU35" s="1098">
        <v>10.5</v>
      </c>
      <c r="GV35" s="1098">
        <v>5.5</v>
      </c>
      <c r="GW35" s="1098"/>
      <c r="GX35" s="1098"/>
      <c r="GY35" s="1098"/>
      <c r="GZ35" s="1098"/>
      <c r="HA35" s="1097">
        <f t="shared" si="15"/>
        <v>293.5</v>
      </c>
      <c r="HB35" s="1098">
        <v>37</v>
      </c>
      <c r="HC35" s="1098">
        <v>69</v>
      </c>
      <c r="HD35" s="1098">
        <v>95.5</v>
      </c>
      <c r="HE35" s="1098">
        <v>27</v>
      </c>
      <c r="HF35" s="1098">
        <v>24</v>
      </c>
      <c r="HG35" s="1098">
        <v>26</v>
      </c>
      <c r="HH35" s="1098">
        <v>5</v>
      </c>
      <c r="HI35" s="1098">
        <v>5</v>
      </c>
      <c r="HJ35" s="1098"/>
      <c r="HK35" s="1098"/>
      <c r="HL35" s="1098"/>
      <c r="HM35" s="1098"/>
      <c r="HN35" s="1097">
        <f t="shared" si="16"/>
        <v>288.5</v>
      </c>
      <c r="HO35" s="1098">
        <v>2</v>
      </c>
      <c r="HP35" s="1098">
        <v>5</v>
      </c>
      <c r="HQ35" s="1098">
        <v>7.5</v>
      </c>
      <c r="HR35" s="1098">
        <v>22</v>
      </c>
      <c r="HS35" s="1098">
        <v>27</v>
      </c>
      <c r="HT35" s="1098">
        <v>27</v>
      </c>
      <c r="HU35" s="1098"/>
      <c r="HV35" s="1098"/>
      <c r="HW35" s="1098"/>
      <c r="HX35" s="1098"/>
      <c r="HY35" s="1098"/>
      <c r="HZ35" s="1098"/>
      <c r="IA35" s="1097">
        <f t="shared" si="17"/>
        <v>90.5</v>
      </c>
      <c r="IB35" s="1098">
        <v>2</v>
      </c>
      <c r="IC35" s="1098">
        <v>5</v>
      </c>
      <c r="ID35" s="1098">
        <v>7.5</v>
      </c>
      <c r="IE35" s="1098">
        <v>7</v>
      </c>
      <c r="IF35" s="1098">
        <v>21</v>
      </c>
      <c r="IG35" s="1098">
        <v>20</v>
      </c>
      <c r="IH35" s="1098">
        <v>0</v>
      </c>
      <c r="II35" s="1098">
        <v>9</v>
      </c>
      <c r="IJ35" s="1098">
        <v>0</v>
      </c>
      <c r="IK35" s="1098">
        <v>0</v>
      </c>
      <c r="IL35" s="1098">
        <v>0</v>
      </c>
      <c r="IM35" s="1098">
        <v>0</v>
      </c>
      <c r="IN35" s="1097">
        <v>71.5</v>
      </c>
      <c r="IO35" s="1098">
        <v>2</v>
      </c>
      <c r="IP35" s="1098">
        <v>5</v>
      </c>
      <c r="IQ35" s="1098">
        <v>7.5</v>
      </c>
      <c r="IR35" s="1098">
        <v>7</v>
      </c>
      <c r="IS35" s="1098">
        <v>6</v>
      </c>
      <c r="IT35" s="1098">
        <v>5</v>
      </c>
      <c r="IU35" s="1098">
        <v>0</v>
      </c>
      <c r="IV35" s="1098">
        <v>0</v>
      </c>
      <c r="IW35" s="1098">
        <v>0</v>
      </c>
      <c r="IX35" s="1098">
        <v>0</v>
      </c>
      <c r="IY35" s="1098">
        <v>0</v>
      </c>
      <c r="IZ35" s="1098">
        <v>0</v>
      </c>
      <c r="JA35" s="1097">
        <v>32.5</v>
      </c>
      <c r="JB35" s="1098">
        <v>7</v>
      </c>
      <c r="JC35" s="1098">
        <v>5</v>
      </c>
      <c r="JD35" s="1098"/>
      <c r="JE35" s="1098"/>
      <c r="JF35" s="1098"/>
      <c r="JG35" s="1098"/>
      <c r="JH35" s="1098"/>
      <c r="JI35" s="1098"/>
      <c r="JJ35" s="1098"/>
      <c r="JK35" s="1098"/>
      <c r="JL35" s="1098"/>
      <c r="JM35" s="1098"/>
      <c r="JN35" s="1097">
        <f t="shared" si="18"/>
        <v>12</v>
      </c>
      <c r="JP35" s="1174" t="str">
        <f t="shared" si="42"/>
        <v/>
      </c>
      <c r="JQ35" s="1175">
        <f t="shared" si="43"/>
        <v>-54.54545454545454</v>
      </c>
      <c r="JR35" s="1184">
        <f t="shared" si="44"/>
        <v>71.5</v>
      </c>
      <c r="JS35" s="1185">
        <f t="shared" si="45"/>
        <v>32.5</v>
      </c>
      <c r="JT35" s="1"/>
      <c r="JU35" s="1079">
        <f t="shared" si="46"/>
        <v>18374</v>
      </c>
      <c r="JV35" s="1080" t="s">
        <v>38</v>
      </c>
      <c r="JW35" s="1081" t="str">
        <f t="shared" si="47"/>
        <v>OK</v>
      </c>
    </row>
    <row r="36" spans="1:283" ht="15" customHeight="1" x14ac:dyDescent="0.2">
      <c r="A36" s="1166" t="s">
        <v>39</v>
      </c>
      <c r="B36" s="1098">
        <v>13</v>
      </c>
      <c r="C36" s="1098">
        <v>16</v>
      </c>
      <c r="D36" s="1098">
        <v>24</v>
      </c>
      <c r="E36" s="1098">
        <v>25</v>
      </c>
      <c r="F36" s="1098">
        <v>27</v>
      </c>
      <c r="G36" s="1098">
        <v>27</v>
      </c>
      <c r="H36" s="1098">
        <v>24</v>
      </c>
      <c r="I36" s="1098">
        <v>20</v>
      </c>
      <c r="J36" s="1098">
        <v>21</v>
      </c>
      <c r="K36" s="1098">
        <v>18</v>
      </c>
      <c r="L36" s="1098">
        <v>17</v>
      </c>
      <c r="M36" s="1098">
        <v>23</v>
      </c>
      <c r="N36" s="1097">
        <f t="shared" si="0"/>
        <v>255</v>
      </c>
      <c r="O36" s="1098">
        <v>15</v>
      </c>
      <c r="P36" s="1098">
        <v>16</v>
      </c>
      <c r="Q36" s="1098">
        <v>19</v>
      </c>
      <c r="R36" s="1098">
        <v>22</v>
      </c>
      <c r="S36" s="1098">
        <v>24</v>
      </c>
      <c r="T36" s="1098">
        <v>35</v>
      </c>
      <c r="U36" s="1098">
        <v>36</v>
      </c>
      <c r="V36" s="1098">
        <v>27</v>
      </c>
      <c r="W36" s="1098">
        <v>23</v>
      </c>
      <c r="X36" s="1098">
        <v>27</v>
      </c>
      <c r="Y36" s="1098">
        <v>19</v>
      </c>
      <c r="Z36" s="1098">
        <v>20</v>
      </c>
      <c r="AA36" s="1097">
        <f t="shared" si="1"/>
        <v>283</v>
      </c>
      <c r="AB36" s="1098">
        <v>19</v>
      </c>
      <c r="AC36" s="1098">
        <v>24</v>
      </c>
      <c r="AD36" s="1098">
        <v>26</v>
      </c>
      <c r="AE36" s="1098">
        <v>26</v>
      </c>
      <c r="AF36" s="1098">
        <v>26</v>
      </c>
      <c r="AG36" s="1098">
        <v>31</v>
      </c>
      <c r="AH36" s="1098">
        <v>25</v>
      </c>
      <c r="AI36" s="1098">
        <v>23</v>
      </c>
      <c r="AJ36" s="1098">
        <v>20</v>
      </c>
      <c r="AK36" s="1098">
        <v>16</v>
      </c>
      <c r="AL36" s="1098">
        <v>15</v>
      </c>
      <c r="AM36" s="1098">
        <v>14</v>
      </c>
      <c r="AN36" s="1097">
        <f t="shared" si="2"/>
        <v>265</v>
      </c>
      <c r="AO36" s="1098">
        <v>18</v>
      </c>
      <c r="AP36" s="1098">
        <v>29</v>
      </c>
      <c r="AQ36" s="1098">
        <v>24</v>
      </c>
      <c r="AR36" s="1098">
        <v>28</v>
      </c>
      <c r="AS36" s="1098">
        <v>28</v>
      </c>
      <c r="AT36" s="1098">
        <v>22</v>
      </c>
      <c r="AU36" s="1098">
        <v>19</v>
      </c>
      <c r="AV36" s="1098">
        <v>18</v>
      </c>
      <c r="AW36" s="1098">
        <v>12</v>
      </c>
      <c r="AX36" s="1098">
        <v>9</v>
      </c>
      <c r="AY36" s="1098">
        <v>12</v>
      </c>
      <c r="AZ36" s="1098">
        <v>762</v>
      </c>
      <c r="BA36" s="1097">
        <f t="shared" si="3"/>
        <v>981</v>
      </c>
      <c r="BB36" s="1098">
        <v>18</v>
      </c>
      <c r="BC36" s="1098">
        <v>24</v>
      </c>
      <c r="BD36" s="1098">
        <v>19</v>
      </c>
      <c r="BE36" s="1098">
        <v>15</v>
      </c>
      <c r="BF36" s="1098">
        <v>18</v>
      </c>
      <c r="BG36" s="1098">
        <v>24</v>
      </c>
      <c r="BH36" s="1098">
        <v>39</v>
      </c>
      <c r="BI36" s="1098">
        <v>22</v>
      </c>
      <c r="BJ36" s="1098">
        <v>15</v>
      </c>
      <c r="BK36" s="1098">
        <v>16</v>
      </c>
      <c r="BL36" s="1098">
        <v>21</v>
      </c>
      <c r="BM36" s="1098">
        <v>21</v>
      </c>
      <c r="BN36" s="1097">
        <f t="shared" si="4"/>
        <v>252</v>
      </c>
      <c r="BO36" s="1098">
        <v>21</v>
      </c>
      <c r="BP36" s="1098">
        <v>40</v>
      </c>
      <c r="BQ36" s="1098">
        <v>43</v>
      </c>
      <c r="BR36" s="1098">
        <v>27</v>
      </c>
      <c r="BS36" s="1098">
        <v>18</v>
      </c>
      <c r="BT36" s="1098">
        <v>13</v>
      </c>
      <c r="BU36" s="1098">
        <v>11</v>
      </c>
      <c r="BV36" s="1098">
        <v>10</v>
      </c>
      <c r="BW36" s="1098">
        <v>8</v>
      </c>
      <c r="BX36" s="1098">
        <v>7</v>
      </c>
      <c r="BY36" s="1098">
        <v>9</v>
      </c>
      <c r="BZ36" s="1098">
        <v>8</v>
      </c>
      <c r="CA36" s="1097">
        <f t="shared" si="5"/>
        <v>215</v>
      </c>
      <c r="CB36" s="1098">
        <v>16</v>
      </c>
      <c r="CC36" s="1098">
        <v>17</v>
      </c>
      <c r="CD36" s="1098">
        <v>9</v>
      </c>
      <c r="CE36" s="1098">
        <v>12</v>
      </c>
      <c r="CF36" s="1098">
        <v>13</v>
      </c>
      <c r="CG36" s="1098">
        <v>11</v>
      </c>
      <c r="CH36" s="1098">
        <v>17</v>
      </c>
      <c r="CI36" s="1098">
        <v>12</v>
      </c>
      <c r="CJ36" s="1098">
        <v>4</v>
      </c>
      <c r="CK36" s="1098">
        <v>5</v>
      </c>
      <c r="CL36" s="1098">
        <v>6</v>
      </c>
      <c r="CM36" s="1098">
        <v>6</v>
      </c>
      <c r="CN36" s="1097">
        <f t="shared" si="6"/>
        <v>128</v>
      </c>
      <c r="CO36" s="1098">
        <v>24</v>
      </c>
      <c r="CP36" s="1098">
        <v>24</v>
      </c>
      <c r="CQ36" s="1098">
        <v>24</v>
      </c>
      <c r="CR36" s="1098">
        <v>15</v>
      </c>
      <c r="CS36" s="1098">
        <v>16</v>
      </c>
      <c r="CT36" s="1098">
        <v>16</v>
      </c>
      <c r="CU36" s="1098">
        <v>15</v>
      </c>
      <c r="CV36" s="1098">
        <v>13</v>
      </c>
      <c r="CW36" s="1098">
        <v>12</v>
      </c>
      <c r="CX36" s="1098">
        <v>12</v>
      </c>
      <c r="CY36" s="1098">
        <v>15</v>
      </c>
      <c r="CZ36" s="1098">
        <v>14</v>
      </c>
      <c r="DA36" s="1097">
        <f t="shared" si="7"/>
        <v>200</v>
      </c>
      <c r="DB36" s="1098">
        <v>16</v>
      </c>
      <c r="DC36" s="1098">
        <v>23</v>
      </c>
      <c r="DD36" s="1098">
        <v>22</v>
      </c>
      <c r="DE36" s="1098">
        <v>26</v>
      </c>
      <c r="DF36" s="1098">
        <v>18</v>
      </c>
      <c r="DG36" s="1098">
        <v>16</v>
      </c>
      <c r="DH36" s="1098">
        <v>21</v>
      </c>
      <c r="DI36" s="1098">
        <v>18</v>
      </c>
      <c r="DJ36" s="1098">
        <v>16</v>
      </c>
      <c r="DK36" s="1098">
        <v>14</v>
      </c>
      <c r="DL36" s="1098">
        <v>20</v>
      </c>
      <c r="DM36" s="1098">
        <v>18</v>
      </c>
      <c r="DN36" s="1097">
        <f t="shared" si="8"/>
        <v>228</v>
      </c>
      <c r="DO36" s="1098">
        <v>4</v>
      </c>
      <c r="DP36" s="1098">
        <v>11</v>
      </c>
      <c r="DQ36" s="1098">
        <v>17</v>
      </c>
      <c r="DR36" s="1098">
        <v>15</v>
      </c>
      <c r="DS36" s="1098">
        <v>16</v>
      </c>
      <c r="DT36" s="1098">
        <v>21</v>
      </c>
      <c r="DU36" s="1098">
        <v>8</v>
      </c>
      <c r="DV36" s="1098">
        <v>4</v>
      </c>
      <c r="DW36" s="1098">
        <v>3</v>
      </c>
      <c r="DX36" s="1098">
        <v>4</v>
      </c>
      <c r="DY36" s="1098">
        <v>1</v>
      </c>
      <c r="DZ36" s="1098">
        <v>4</v>
      </c>
      <c r="EA36" s="1097">
        <f t="shared" si="9"/>
        <v>108</v>
      </c>
      <c r="EB36" s="1098">
        <v>3</v>
      </c>
      <c r="EC36" s="1098">
        <v>5</v>
      </c>
      <c r="ED36" s="1098">
        <v>4</v>
      </c>
      <c r="EE36" s="1098">
        <v>10</v>
      </c>
      <c r="EF36" s="1098">
        <v>21</v>
      </c>
      <c r="EG36" s="1098">
        <v>17</v>
      </c>
      <c r="EH36" s="1098">
        <v>7</v>
      </c>
      <c r="EI36" s="1098">
        <v>2</v>
      </c>
      <c r="EJ36" s="1098">
        <v>3</v>
      </c>
      <c r="EK36" s="1098">
        <v>3</v>
      </c>
      <c r="EL36" s="1098">
        <v>2</v>
      </c>
      <c r="EM36" s="1098">
        <v>5</v>
      </c>
      <c r="EN36" s="1097">
        <f t="shared" si="10"/>
        <v>82</v>
      </c>
      <c r="EO36" s="1098">
        <v>3</v>
      </c>
      <c r="EP36" s="1098">
        <v>6</v>
      </c>
      <c r="EQ36" s="1098">
        <v>3</v>
      </c>
      <c r="ER36" s="1098">
        <v>12</v>
      </c>
      <c r="ES36" s="1098">
        <v>6</v>
      </c>
      <c r="ET36" s="1098">
        <v>1</v>
      </c>
      <c r="EU36" s="1098">
        <v>2</v>
      </c>
      <c r="EV36" s="1098">
        <v>4</v>
      </c>
      <c r="EW36" s="1098">
        <v>2</v>
      </c>
      <c r="EX36" s="1098">
        <v>2</v>
      </c>
      <c r="EY36" s="1098">
        <v>2</v>
      </c>
      <c r="EZ36" s="1098">
        <v>6</v>
      </c>
      <c r="FA36" s="1097">
        <f t="shared" si="11"/>
        <v>49</v>
      </c>
      <c r="FB36" s="1098">
        <v>4</v>
      </c>
      <c r="FC36" s="1098">
        <v>4</v>
      </c>
      <c r="FD36" s="1098">
        <v>8</v>
      </c>
      <c r="FE36" s="1098">
        <v>7</v>
      </c>
      <c r="FF36" s="1098">
        <v>2</v>
      </c>
      <c r="FG36" s="1098">
        <v>3</v>
      </c>
      <c r="FH36" s="1098">
        <v>2</v>
      </c>
      <c r="FI36" s="1098">
        <v>4</v>
      </c>
      <c r="FJ36" s="1098">
        <v>5</v>
      </c>
      <c r="FK36" s="1098">
        <v>2</v>
      </c>
      <c r="FL36" s="1098">
        <v>3</v>
      </c>
      <c r="FM36" s="1098">
        <v>6</v>
      </c>
      <c r="FN36" s="1097">
        <f t="shared" si="12"/>
        <v>50</v>
      </c>
      <c r="FO36" s="1098">
        <v>5</v>
      </c>
      <c r="FP36" s="1098">
        <v>5</v>
      </c>
      <c r="FQ36" s="1098">
        <v>3</v>
      </c>
      <c r="FR36" s="1098">
        <v>3</v>
      </c>
      <c r="FS36" s="1098">
        <v>7</v>
      </c>
      <c r="FT36" s="1098">
        <v>2</v>
      </c>
      <c r="FU36" s="1098">
        <v>1</v>
      </c>
      <c r="FV36" s="1098">
        <v>4</v>
      </c>
      <c r="FW36" s="1098">
        <v>2</v>
      </c>
      <c r="FX36" s="1098">
        <v>1</v>
      </c>
      <c r="FY36" s="1098">
        <v>1</v>
      </c>
      <c r="FZ36" s="1098">
        <v>5</v>
      </c>
      <c r="GA36" s="1097">
        <f t="shared" si="13"/>
        <v>39</v>
      </c>
      <c r="GB36" s="1098">
        <v>4</v>
      </c>
      <c r="GC36" s="1098">
        <v>5</v>
      </c>
      <c r="GD36" s="1098">
        <v>5</v>
      </c>
      <c r="GE36" s="1098">
        <v>9</v>
      </c>
      <c r="GF36" s="1098">
        <v>4.4000000000000004</v>
      </c>
      <c r="GG36" s="1098">
        <v>3</v>
      </c>
      <c r="GH36" s="1098">
        <v>3</v>
      </c>
      <c r="GI36" s="1098">
        <v>6</v>
      </c>
      <c r="GJ36" s="1098">
        <v>13</v>
      </c>
      <c r="GK36" s="1098">
        <v>5</v>
      </c>
      <c r="GL36" s="1098">
        <v>3</v>
      </c>
      <c r="GM36" s="1098">
        <v>3</v>
      </c>
      <c r="GN36" s="1097">
        <f t="shared" si="14"/>
        <v>63.4</v>
      </c>
      <c r="GO36" s="1098">
        <v>4.3</v>
      </c>
      <c r="GP36" s="1098">
        <v>5.3</v>
      </c>
      <c r="GQ36" s="1098">
        <v>4.0999999999999996</v>
      </c>
      <c r="GR36" s="1098">
        <v>9.4</v>
      </c>
      <c r="GS36" s="1098">
        <v>4.8</v>
      </c>
      <c r="GT36" s="1098">
        <v>2.7</v>
      </c>
      <c r="GU36" s="1098">
        <v>2.5</v>
      </c>
      <c r="GV36" s="1098">
        <v>8.1999999999999993</v>
      </c>
      <c r="GW36" s="1098">
        <v>15.3</v>
      </c>
      <c r="GX36" s="1098">
        <v>6.3000000000000007</v>
      </c>
      <c r="GY36" s="1098">
        <v>3</v>
      </c>
      <c r="GZ36" s="1098">
        <v>4.3100000000000005</v>
      </c>
      <c r="HA36" s="1097">
        <f t="shared" si="15"/>
        <v>70.209999999999994</v>
      </c>
      <c r="HB36" s="1098">
        <v>3</v>
      </c>
      <c r="HC36" s="1098">
        <v>4.0999999999999996</v>
      </c>
      <c r="HD36" s="1098">
        <v>3</v>
      </c>
      <c r="HE36" s="1098">
        <v>3.5</v>
      </c>
      <c r="HF36" s="1098">
        <v>3</v>
      </c>
      <c r="HG36" s="1098">
        <v>1.5</v>
      </c>
      <c r="HH36" s="1098">
        <v>1.5</v>
      </c>
      <c r="HI36" s="1098">
        <v>4</v>
      </c>
      <c r="HJ36" s="1098">
        <v>4</v>
      </c>
      <c r="HK36" s="1098">
        <v>5</v>
      </c>
      <c r="HL36" s="1098">
        <v>2</v>
      </c>
      <c r="HM36" s="1098">
        <v>2.35</v>
      </c>
      <c r="HN36" s="1097">
        <f t="shared" si="16"/>
        <v>36.950000000000003</v>
      </c>
      <c r="HO36" s="1098">
        <v>4</v>
      </c>
      <c r="HP36" s="1098">
        <v>4.5</v>
      </c>
      <c r="HQ36" s="1098">
        <v>3.5</v>
      </c>
      <c r="HR36" s="1098">
        <v>4</v>
      </c>
      <c r="HS36" s="1098">
        <v>2.5</v>
      </c>
      <c r="HT36" s="1098">
        <v>1</v>
      </c>
      <c r="HU36" s="1098">
        <v>1</v>
      </c>
      <c r="HV36" s="1098">
        <v>4.5</v>
      </c>
      <c r="HW36" s="1098">
        <v>3</v>
      </c>
      <c r="HX36" s="1098">
        <v>4</v>
      </c>
      <c r="HY36" s="1098">
        <v>1</v>
      </c>
      <c r="HZ36" s="1098">
        <v>2.35</v>
      </c>
      <c r="IA36" s="1097">
        <f t="shared" si="17"/>
        <v>35.35</v>
      </c>
      <c r="IB36" s="1098">
        <v>2.5</v>
      </c>
      <c r="IC36" s="1098">
        <v>4.5</v>
      </c>
      <c r="ID36" s="1098">
        <v>3.5</v>
      </c>
      <c r="IE36" s="1098">
        <v>4</v>
      </c>
      <c r="IF36" s="1098">
        <v>3</v>
      </c>
      <c r="IG36" s="1098">
        <v>1</v>
      </c>
      <c r="IH36" s="1098">
        <v>1</v>
      </c>
      <c r="II36" s="1098">
        <v>2</v>
      </c>
      <c r="IJ36" s="1098">
        <v>2</v>
      </c>
      <c r="IK36" s="1098">
        <v>3</v>
      </c>
      <c r="IL36" s="1098">
        <v>1</v>
      </c>
      <c r="IM36" s="1098">
        <v>2.35</v>
      </c>
      <c r="IN36" s="1097">
        <v>29.85</v>
      </c>
      <c r="IO36" s="1098">
        <v>2</v>
      </c>
      <c r="IP36" s="1098">
        <v>4</v>
      </c>
      <c r="IQ36" s="1098">
        <v>3</v>
      </c>
      <c r="IR36" s="1098">
        <v>3.5</v>
      </c>
      <c r="IS36" s="1098">
        <v>4</v>
      </c>
      <c r="IT36" s="1098">
        <v>1</v>
      </c>
      <c r="IU36" s="1098">
        <v>1</v>
      </c>
      <c r="IV36" s="1098">
        <v>2</v>
      </c>
      <c r="IW36" s="1098">
        <v>1.5</v>
      </c>
      <c r="IX36" s="1098">
        <v>2</v>
      </c>
      <c r="IY36" s="1098">
        <v>1</v>
      </c>
      <c r="IZ36" s="1098">
        <v>1.35</v>
      </c>
      <c r="JA36" s="1097">
        <v>26.35</v>
      </c>
      <c r="JB36" s="1098">
        <v>2</v>
      </c>
      <c r="JC36" s="1098">
        <v>4.5</v>
      </c>
      <c r="JD36" s="1098"/>
      <c r="JE36" s="1098"/>
      <c r="JF36" s="1098"/>
      <c r="JG36" s="1098"/>
      <c r="JH36" s="1098"/>
      <c r="JI36" s="1098"/>
      <c r="JJ36" s="1098"/>
      <c r="JK36" s="1098"/>
      <c r="JL36" s="1098"/>
      <c r="JM36" s="1098"/>
      <c r="JN36" s="1097">
        <f t="shared" si="18"/>
        <v>6.5</v>
      </c>
      <c r="JP36" s="1174">
        <f t="shared" si="42"/>
        <v>-42.553191489361694</v>
      </c>
      <c r="JQ36" s="1175">
        <f t="shared" si="43"/>
        <v>-11.725293132328307</v>
      </c>
      <c r="JR36" s="1184">
        <f t="shared" si="44"/>
        <v>29.85</v>
      </c>
      <c r="JS36" s="1185">
        <f t="shared" si="45"/>
        <v>26.35</v>
      </c>
      <c r="JT36" s="1"/>
      <c r="JU36" s="1079">
        <f t="shared" si="46"/>
        <v>6807.220000000003</v>
      </c>
      <c r="JV36" s="1080" t="s">
        <v>39</v>
      </c>
      <c r="JW36" s="1081" t="str">
        <f t="shared" si="47"/>
        <v>OK</v>
      </c>
    </row>
    <row r="37" spans="1:283" ht="15" customHeight="1" x14ac:dyDescent="0.2">
      <c r="A37" s="1166" t="s">
        <v>227</v>
      </c>
      <c r="B37" s="1098"/>
      <c r="C37" s="1098"/>
      <c r="D37" s="1098"/>
      <c r="E37" s="1098"/>
      <c r="F37" s="1098"/>
      <c r="G37" s="1098"/>
      <c r="H37" s="1098"/>
      <c r="I37" s="1098"/>
      <c r="J37" s="1098"/>
      <c r="K37" s="1098"/>
      <c r="L37" s="1098"/>
      <c r="M37" s="1098"/>
      <c r="N37" s="1097">
        <f t="shared" si="0"/>
        <v>0</v>
      </c>
      <c r="O37" s="1098"/>
      <c r="P37" s="1098"/>
      <c r="Q37" s="1098"/>
      <c r="R37" s="1098"/>
      <c r="S37" s="1098"/>
      <c r="T37" s="1098"/>
      <c r="U37" s="1098"/>
      <c r="V37" s="1098"/>
      <c r="W37" s="1098"/>
      <c r="X37" s="1098"/>
      <c r="Y37" s="1098"/>
      <c r="Z37" s="1098"/>
      <c r="AA37" s="1097">
        <f t="shared" si="1"/>
        <v>0</v>
      </c>
      <c r="AB37" s="1098"/>
      <c r="AC37" s="1098"/>
      <c r="AD37" s="1098"/>
      <c r="AE37" s="1098"/>
      <c r="AF37" s="1098"/>
      <c r="AG37" s="1098"/>
      <c r="AH37" s="1098"/>
      <c r="AI37" s="1098"/>
      <c r="AJ37" s="1098"/>
      <c r="AK37" s="1098"/>
      <c r="AL37" s="1098"/>
      <c r="AM37" s="1098"/>
      <c r="AN37" s="1097">
        <f t="shared" si="2"/>
        <v>0</v>
      </c>
      <c r="AO37" s="1098"/>
      <c r="AP37" s="1098"/>
      <c r="AQ37" s="1098"/>
      <c r="AR37" s="1098"/>
      <c r="AS37" s="1098"/>
      <c r="AT37" s="1098"/>
      <c r="AU37" s="1098"/>
      <c r="AV37" s="1098"/>
      <c r="AW37" s="1098"/>
      <c r="AX37" s="1098"/>
      <c r="AY37" s="1098"/>
      <c r="AZ37" s="1098"/>
      <c r="BA37" s="1097">
        <f t="shared" si="3"/>
        <v>0</v>
      </c>
      <c r="BB37" s="1098"/>
      <c r="BC37" s="1098"/>
      <c r="BD37" s="1098"/>
      <c r="BE37" s="1098"/>
      <c r="BF37" s="1098"/>
      <c r="BG37" s="1098"/>
      <c r="BH37" s="1098"/>
      <c r="BI37" s="1098"/>
      <c r="BJ37" s="1098"/>
      <c r="BK37" s="1098"/>
      <c r="BL37" s="1098"/>
      <c r="BM37" s="1098"/>
      <c r="BN37" s="1097">
        <f t="shared" si="4"/>
        <v>0</v>
      </c>
      <c r="BO37" s="1098"/>
      <c r="BP37" s="1098"/>
      <c r="BQ37" s="1098"/>
      <c r="BR37" s="1098"/>
      <c r="BS37" s="1098"/>
      <c r="BT37" s="1098"/>
      <c r="BU37" s="1098"/>
      <c r="BV37" s="1098"/>
      <c r="BW37" s="1098"/>
      <c r="BX37" s="1098"/>
      <c r="BY37" s="1098"/>
      <c r="BZ37" s="1098"/>
      <c r="CA37" s="1097">
        <f t="shared" si="5"/>
        <v>0</v>
      </c>
      <c r="CB37" s="1098"/>
      <c r="CC37" s="1098"/>
      <c r="CD37" s="1098"/>
      <c r="CE37" s="1098"/>
      <c r="CF37" s="1098"/>
      <c r="CG37" s="1098"/>
      <c r="CH37" s="1098"/>
      <c r="CI37" s="1098"/>
      <c r="CJ37" s="1098"/>
      <c r="CK37" s="1098"/>
      <c r="CL37" s="1098">
        <v>140</v>
      </c>
      <c r="CM37" s="1098"/>
      <c r="CN37" s="1097">
        <f t="shared" si="6"/>
        <v>140</v>
      </c>
      <c r="CO37" s="1098"/>
      <c r="CP37" s="1098"/>
      <c r="CQ37" s="1098"/>
      <c r="CR37" s="1098"/>
      <c r="CS37" s="1098"/>
      <c r="CT37" s="1098"/>
      <c r="CU37" s="1098"/>
      <c r="CV37" s="1098"/>
      <c r="CW37" s="1098"/>
      <c r="CX37" s="1098"/>
      <c r="CY37" s="1098"/>
      <c r="CZ37" s="1098"/>
      <c r="DA37" s="1097">
        <f t="shared" si="7"/>
        <v>0</v>
      </c>
      <c r="DB37" s="1098"/>
      <c r="DC37" s="1098"/>
      <c r="DD37" s="1098"/>
      <c r="DE37" s="1098"/>
      <c r="DF37" s="1098"/>
      <c r="DG37" s="1098"/>
      <c r="DH37" s="1098"/>
      <c r="DI37" s="1098"/>
      <c r="DJ37" s="1098"/>
      <c r="DK37" s="1098"/>
      <c r="DL37" s="1098"/>
      <c r="DM37" s="1098"/>
      <c r="DN37" s="1097">
        <f t="shared" si="8"/>
        <v>0</v>
      </c>
      <c r="DO37" s="1098"/>
      <c r="DP37" s="1098"/>
      <c r="DQ37" s="1098"/>
      <c r="DR37" s="1098"/>
      <c r="DS37" s="1098"/>
      <c r="DT37" s="1098"/>
      <c r="DU37" s="1098"/>
      <c r="DV37" s="1098"/>
      <c r="DW37" s="1098"/>
      <c r="DX37" s="1098"/>
      <c r="DY37" s="1098"/>
      <c r="DZ37" s="1098"/>
      <c r="EA37" s="1097">
        <f t="shared" si="9"/>
        <v>0</v>
      </c>
      <c r="EB37" s="1098"/>
      <c r="EC37" s="1098"/>
      <c r="ED37" s="1098"/>
      <c r="EE37" s="1098"/>
      <c r="EF37" s="1098"/>
      <c r="EG37" s="1098"/>
      <c r="EH37" s="1098"/>
      <c r="EI37" s="1098"/>
      <c r="EJ37" s="1098"/>
      <c r="EK37" s="1098"/>
      <c r="EL37" s="1098"/>
      <c r="EM37" s="1098"/>
      <c r="EN37" s="1097">
        <f t="shared" si="10"/>
        <v>0</v>
      </c>
      <c r="EO37" s="1098"/>
      <c r="EP37" s="1098"/>
      <c r="EQ37" s="1098"/>
      <c r="ER37" s="1098"/>
      <c r="ES37" s="1098"/>
      <c r="ET37" s="1098"/>
      <c r="EU37" s="1098"/>
      <c r="EV37" s="1098"/>
      <c r="EW37" s="1098"/>
      <c r="EX37" s="1098"/>
      <c r="EY37" s="1098"/>
      <c r="EZ37" s="1098"/>
      <c r="FA37" s="1097">
        <f t="shared" si="11"/>
        <v>0</v>
      </c>
      <c r="FB37" s="1098"/>
      <c r="FC37" s="1098"/>
      <c r="FD37" s="1098"/>
      <c r="FE37" s="1098"/>
      <c r="FF37" s="1098"/>
      <c r="FG37" s="1098"/>
      <c r="FH37" s="1098"/>
      <c r="FI37" s="1098"/>
      <c r="FJ37" s="1098"/>
      <c r="FK37" s="1098"/>
      <c r="FL37" s="1098"/>
      <c r="FM37" s="1098"/>
      <c r="FN37" s="1097">
        <f t="shared" si="12"/>
        <v>0</v>
      </c>
      <c r="FO37" s="1098"/>
      <c r="FP37" s="1098"/>
      <c r="FQ37" s="1098"/>
      <c r="FR37" s="1098"/>
      <c r="FS37" s="1098"/>
      <c r="FT37" s="1098"/>
      <c r="FU37" s="1098"/>
      <c r="FV37" s="1098"/>
      <c r="FW37" s="1098"/>
      <c r="FX37" s="1098"/>
      <c r="FY37" s="1098"/>
      <c r="FZ37" s="1098"/>
      <c r="GA37" s="1097">
        <f t="shared" si="13"/>
        <v>0</v>
      </c>
      <c r="GB37" s="1098"/>
      <c r="GC37" s="1098"/>
      <c r="GD37" s="1098"/>
      <c r="GE37" s="1098"/>
      <c r="GF37" s="1098"/>
      <c r="GG37" s="1098"/>
      <c r="GH37" s="1098"/>
      <c r="GI37" s="1098"/>
      <c r="GJ37" s="1098"/>
      <c r="GK37" s="1098"/>
      <c r="GL37" s="1098"/>
      <c r="GM37" s="1098"/>
      <c r="GN37" s="1097">
        <f t="shared" si="14"/>
        <v>0</v>
      </c>
      <c r="GO37" s="1098"/>
      <c r="GP37" s="1098"/>
      <c r="GQ37" s="1098"/>
      <c r="GR37" s="1098"/>
      <c r="GS37" s="1098"/>
      <c r="GT37" s="1098"/>
      <c r="GU37" s="1098"/>
      <c r="GV37" s="1098"/>
      <c r="GW37" s="1098"/>
      <c r="GX37" s="1098"/>
      <c r="GY37" s="1098"/>
      <c r="GZ37" s="1098"/>
      <c r="HA37" s="1097">
        <f t="shared" si="15"/>
        <v>0</v>
      </c>
      <c r="HB37" s="1098"/>
      <c r="HC37" s="1098"/>
      <c r="HD37" s="1098"/>
      <c r="HE37" s="1098"/>
      <c r="HF37" s="1098"/>
      <c r="HG37" s="1098"/>
      <c r="HH37" s="1098"/>
      <c r="HI37" s="1098"/>
      <c r="HJ37" s="1098"/>
      <c r="HK37" s="1098"/>
      <c r="HL37" s="1098"/>
      <c r="HM37" s="1098"/>
      <c r="HN37" s="1097">
        <f t="shared" si="16"/>
        <v>0</v>
      </c>
      <c r="HO37" s="1098"/>
      <c r="HP37" s="1098"/>
      <c r="HQ37" s="1098"/>
      <c r="HR37" s="1098"/>
      <c r="HS37" s="1098"/>
      <c r="HT37" s="1098"/>
      <c r="HU37" s="1098"/>
      <c r="HV37" s="1098"/>
      <c r="HW37" s="1098"/>
      <c r="HX37" s="1098"/>
      <c r="HY37" s="1098"/>
      <c r="HZ37" s="1098"/>
      <c r="IA37" s="1097">
        <f t="shared" si="17"/>
        <v>0</v>
      </c>
      <c r="IB37" s="1098">
        <v>0</v>
      </c>
      <c r="IC37" s="1098">
        <v>0</v>
      </c>
      <c r="ID37" s="1098">
        <v>0</v>
      </c>
      <c r="IE37" s="1098">
        <v>0</v>
      </c>
      <c r="IF37" s="1098">
        <v>0</v>
      </c>
      <c r="IG37" s="1098">
        <v>0</v>
      </c>
      <c r="IH37" s="1098">
        <v>0</v>
      </c>
      <c r="II37" s="1098">
        <v>0</v>
      </c>
      <c r="IJ37" s="1098">
        <v>0</v>
      </c>
      <c r="IK37" s="1098">
        <v>0</v>
      </c>
      <c r="IL37" s="1098">
        <v>0</v>
      </c>
      <c r="IM37" s="1098">
        <v>0</v>
      </c>
      <c r="IN37" s="1097">
        <v>0</v>
      </c>
      <c r="IO37" s="1098">
        <v>0</v>
      </c>
      <c r="IP37" s="1098">
        <v>0</v>
      </c>
      <c r="IQ37" s="1098">
        <v>0</v>
      </c>
      <c r="IR37" s="1098">
        <v>0</v>
      </c>
      <c r="IS37" s="1098">
        <v>0</v>
      </c>
      <c r="IT37" s="1098">
        <v>0</v>
      </c>
      <c r="IU37" s="1098">
        <v>0</v>
      </c>
      <c r="IV37" s="1098">
        <v>0</v>
      </c>
      <c r="IW37" s="1098">
        <v>0</v>
      </c>
      <c r="IX37" s="1098">
        <v>0</v>
      </c>
      <c r="IY37" s="1098">
        <v>0</v>
      </c>
      <c r="IZ37" s="1098">
        <v>0</v>
      </c>
      <c r="JA37" s="1097">
        <v>0</v>
      </c>
      <c r="JB37" s="1098">
        <v>0</v>
      </c>
      <c r="JC37" s="1098">
        <v>0</v>
      </c>
      <c r="JD37" s="1098"/>
      <c r="JE37" s="1098"/>
      <c r="JF37" s="1098"/>
      <c r="JG37" s="1098"/>
      <c r="JH37" s="1098"/>
      <c r="JI37" s="1098"/>
      <c r="JJ37" s="1098"/>
      <c r="JK37" s="1098"/>
      <c r="JL37" s="1098"/>
      <c r="JM37" s="1098"/>
      <c r="JN37" s="1097">
        <f t="shared" si="18"/>
        <v>0</v>
      </c>
      <c r="JP37" s="1174" t="str">
        <f t="shared" si="42"/>
        <v/>
      </c>
      <c r="JQ37" s="1175" t="str">
        <f t="shared" si="43"/>
        <v/>
      </c>
      <c r="JR37" s="1184">
        <f t="shared" si="44"/>
        <v>0</v>
      </c>
      <c r="JS37" s="1185">
        <f t="shared" si="45"/>
        <v>0</v>
      </c>
      <c r="JT37" s="1"/>
      <c r="JU37" s="1079">
        <f t="shared" si="46"/>
        <v>280</v>
      </c>
      <c r="JV37" s="1080" t="s">
        <v>227</v>
      </c>
      <c r="JW37" s="1081" t="str">
        <f t="shared" si="47"/>
        <v>OK</v>
      </c>
    </row>
    <row r="38" spans="1:283" ht="15" customHeight="1" x14ac:dyDescent="0.2">
      <c r="A38" s="1166" t="s">
        <v>49</v>
      </c>
      <c r="B38" s="1098"/>
      <c r="C38" s="1098"/>
      <c r="D38" s="1098"/>
      <c r="E38" s="1098"/>
      <c r="F38" s="1098"/>
      <c r="G38" s="1098"/>
      <c r="H38" s="1098"/>
      <c r="I38" s="1098"/>
      <c r="J38" s="1098"/>
      <c r="K38" s="1098"/>
      <c r="L38" s="1098"/>
      <c r="M38" s="1098"/>
      <c r="N38" s="1097">
        <f t="shared" si="0"/>
        <v>0</v>
      </c>
      <c r="O38" s="1098"/>
      <c r="P38" s="1098"/>
      <c r="Q38" s="1098"/>
      <c r="R38" s="1098"/>
      <c r="S38" s="1098"/>
      <c r="T38" s="1098"/>
      <c r="U38" s="1098"/>
      <c r="V38" s="1098"/>
      <c r="W38" s="1098"/>
      <c r="X38" s="1098"/>
      <c r="Y38" s="1098"/>
      <c r="Z38" s="1098"/>
      <c r="AA38" s="1097">
        <f t="shared" si="1"/>
        <v>0</v>
      </c>
      <c r="AB38" s="1098"/>
      <c r="AC38" s="1098"/>
      <c r="AD38" s="1098"/>
      <c r="AE38" s="1098"/>
      <c r="AF38" s="1098"/>
      <c r="AG38" s="1098"/>
      <c r="AH38" s="1098"/>
      <c r="AI38" s="1098"/>
      <c r="AJ38" s="1098"/>
      <c r="AK38" s="1098"/>
      <c r="AL38" s="1098"/>
      <c r="AM38" s="1098"/>
      <c r="AN38" s="1097">
        <f t="shared" si="2"/>
        <v>0</v>
      </c>
      <c r="AO38" s="1098"/>
      <c r="AP38" s="1098"/>
      <c r="AQ38" s="1098"/>
      <c r="AR38" s="1098"/>
      <c r="AS38" s="1098"/>
      <c r="AT38" s="1098"/>
      <c r="AU38" s="1098"/>
      <c r="AV38" s="1098"/>
      <c r="AW38" s="1098"/>
      <c r="AX38" s="1098"/>
      <c r="AY38" s="1098"/>
      <c r="AZ38" s="1098"/>
      <c r="BA38" s="1097">
        <f t="shared" si="3"/>
        <v>0</v>
      </c>
      <c r="BB38" s="1098"/>
      <c r="BC38" s="1098"/>
      <c r="BD38" s="1098"/>
      <c r="BE38" s="1098"/>
      <c r="BF38" s="1098"/>
      <c r="BG38" s="1098"/>
      <c r="BH38" s="1098"/>
      <c r="BI38" s="1098">
        <v>4</v>
      </c>
      <c r="BJ38" s="1098"/>
      <c r="BK38" s="1098"/>
      <c r="BL38" s="1098"/>
      <c r="BM38" s="1098"/>
      <c r="BN38" s="1097">
        <f t="shared" si="4"/>
        <v>4</v>
      </c>
      <c r="BO38" s="1098"/>
      <c r="BP38" s="1098"/>
      <c r="BQ38" s="1098"/>
      <c r="BR38" s="1098"/>
      <c r="BS38" s="1098"/>
      <c r="BT38" s="1098"/>
      <c r="BU38" s="1098"/>
      <c r="BV38" s="1098"/>
      <c r="BW38" s="1098"/>
      <c r="BX38" s="1098"/>
      <c r="BY38" s="1098"/>
      <c r="BZ38" s="1098"/>
      <c r="CA38" s="1097">
        <f t="shared" si="5"/>
        <v>0</v>
      </c>
      <c r="CB38" s="1098"/>
      <c r="CC38" s="1098"/>
      <c r="CD38" s="1098"/>
      <c r="CE38" s="1098"/>
      <c r="CF38" s="1098"/>
      <c r="CG38" s="1098"/>
      <c r="CH38" s="1098"/>
      <c r="CI38" s="1098"/>
      <c r="CJ38" s="1098"/>
      <c r="CK38" s="1098"/>
      <c r="CL38" s="1098"/>
      <c r="CM38" s="1098"/>
      <c r="CN38" s="1097">
        <f t="shared" si="6"/>
        <v>0</v>
      </c>
      <c r="CO38" s="1098"/>
      <c r="CP38" s="1098"/>
      <c r="CQ38" s="1098"/>
      <c r="CR38" s="1098"/>
      <c r="CS38" s="1098"/>
      <c r="CT38" s="1098"/>
      <c r="CU38" s="1098"/>
      <c r="CV38" s="1098"/>
      <c r="CW38" s="1098"/>
      <c r="CX38" s="1098"/>
      <c r="CY38" s="1098"/>
      <c r="CZ38" s="1098"/>
      <c r="DA38" s="1097">
        <f t="shared" si="7"/>
        <v>0</v>
      </c>
      <c r="DB38" s="1098"/>
      <c r="DC38" s="1098"/>
      <c r="DD38" s="1098"/>
      <c r="DE38" s="1098"/>
      <c r="DF38" s="1098"/>
      <c r="DG38" s="1098"/>
      <c r="DH38" s="1098"/>
      <c r="DI38" s="1098"/>
      <c r="DJ38" s="1098"/>
      <c r="DK38" s="1098"/>
      <c r="DL38" s="1098"/>
      <c r="DM38" s="1098"/>
      <c r="DN38" s="1097">
        <f t="shared" si="8"/>
        <v>0</v>
      </c>
      <c r="DO38" s="1098"/>
      <c r="DP38" s="1098"/>
      <c r="DQ38" s="1098"/>
      <c r="DR38" s="1098"/>
      <c r="DS38" s="1098"/>
      <c r="DT38" s="1098"/>
      <c r="DU38" s="1098"/>
      <c r="DV38" s="1098"/>
      <c r="DW38" s="1098"/>
      <c r="DX38" s="1098"/>
      <c r="DY38" s="1098"/>
      <c r="DZ38" s="1098"/>
      <c r="EA38" s="1097">
        <f t="shared" si="9"/>
        <v>0</v>
      </c>
      <c r="EB38" s="1098"/>
      <c r="EC38" s="1098"/>
      <c r="ED38" s="1098"/>
      <c r="EE38" s="1098"/>
      <c r="EF38" s="1098"/>
      <c r="EG38" s="1098"/>
      <c r="EH38" s="1098"/>
      <c r="EI38" s="1098"/>
      <c r="EJ38" s="1098"/>
      <c r="EK38" s="1098"/>
      <c r="EL38" s="1098"/>
      <c r="EM38" s="1098"/>
      <c r="EN38" s="1097">
        <f t="shared" si="10"/>
        <v>0</v>
      </c>
      <c r="EO38" s="1098"/>
      <c r="EP38" s="1098"/>
      <c r="EQ38" s="1098"/>
      <c r="ER38" s="1098"/>
      <c r="ES38" s="1098"/>
      <c r="ET38" s="1098"/>
      <c r="EU38" s="1098"/>
      <c r="EV38" s="1098"/>
      <c r="EW38" s="1098"/>
      <c r="EX38" s="1098"/>
      <c r="EY38" s="1098"/>
      <c r="EZ38" s="1098"/>
      <c r="FA38" s="1097">
        <f t="shared" si="11"/>
        <v>0</v>
      </c>
      <c r="FB38" s="1098"/>
      <c r="FC38" s="1098"/>
      <c r="FD38" s="1098"/>
      <c r="FE38" s="1098"/>
      <c r="FF38" s="1098"/>
      <c r="FG38" s="1098"/>
      <c r="FH38" s="1098"/>
      <c r="FI38" s="1098"/>
      <c r="FJ38" s="1098"/>
      <c r="FK38" s="1098"/>
      <c r="FL38" s="1098"/>
      <c r="FM38" s="1098"/>
      <c r="FN38" s="1097">
        <f t="shared" si="12"/>
        <v>0</v>
      </c>
      <c r="FO38" s="1098"/>
      <c r="FP38" s="1098"/>
      <c r="FQ38" s="1098"/>
      <c r="FR38" s="1098"/>
      <c r="FS38" s="1098"/>
      <c r="FT38" s="1098"/>
      <c r="FU38" s="1098"/>
      <c r="FV38" s="1098"/>
      <c r="FW38" s="1098"/>
      <c r="FX38" s="1098"/>
      <c r="FY38" s="1098"/>
      <c r="FZ38" s="1098"/>
      <c r="GA38" s="1097">
        <f t="shared" si="13"/>
        <v>0</v>
      </c>
      <c r="GB38" s="1098"/>
      <c r="GC38" s="1098"/>
      <c r="GD38" s="1098"/>
      <c r="GE38" s="1098"/>
      <c r="GF38" s="1098"/>
      <c r="GG38" s="1098"/>
      <c r="GH38" s="1098"/>
      <c r="GI38" s="1098"/>
      <c r="GJ38" s="1098"/>
      <c r="GK38" s="1098"/>
      <c r="GL38" s="1098"/>
      <c r="GM38" s="1098"/>
      <c r="GN38" s="1097">
        <f t="shared" si="14"/>
        <v>0</v>
      </c>
      <c r="GO38" s="1098"/>
      <c r="GP38" s="1098"/>
      <c r="GQ38" s="1098"/>
      <c r="GR38" s="1098"/>
      <c r="GS38" s="1098"/>
      <c r="GT38" s="1098"/>
      <c r="GU38" s="1098"/>
      <c r="GV38" s="1098"/>
      <c r="GW38" s="1098"/>
      <c r="GX38" s="1098"/>
      <c r="GY38" s="1098"/>
      <c r="GZ38" s="1098"/>
      <c r="HA38" s="1097">
        <f t="shared" si="15"/>
        <v>0</v>
      </c>
      <c r="HB38" s="1098"/>
      <c r="HC38" s="1098"/>
      <c r="HD38" s="1098"/>
      <c r="HE38" s="1098"/>
      <c r="HF38" s="1098"/>
      <c r="HG38" s="1098"/>
      <c r="HH38" s="1098"/>
      <c r="HI38" s="1098"/>
      <c r="HJ38" s="1098">
        <v>8.8000000000000007</v>
      </c>
      <c r="HK38" s="1098">
        <v>5</v>
      </c>
      <c r="HL38" s="1098"/>
      <c r="HM38" s="1098"/>
      <c r="HN38" s="1097">
        <f t="shared" si="16"/>
        <v>13.8</v>
      </c>
      <c r="HO38" s="1098"/>
      <c r="HP38" s="1098">
        <v>27.2</v>
      </c>
      <c r="HQ38" s="1098">
        <v>13</v>
      </c>
      <c r="HR38" s="1098"/>
      <c r="HS38" s="1098"/>
      <c r="HT38" s="1098"/>
      <c r="HU38" s="1098"/>
      <c r="HV38" s="1098"/>
      <c r="HW38" s="1098"/>
      <c r="HX38" s="1098"/>
      <c r="HY38" s="1098"/>
      <c r="HZ38" s="1098"/>
      <c r="IA38" s="1097">
        <f t="shared" si="17"/>
        <v>40.200000000000003</v>
      </c>
      <c r="IB38" s="1098">
        <v>0</v>
      </c>
      <c r="IC38" s="1098">
        <v>0</v>
      </c>
      <c r="ID38" s="1098">
        <v>0</v>
      </c>
      <c r="IE38" s="1098">
        <v>0</v>
      </c>
      <c r="IF38" s="1098">
        <v>14.35</v>
      </c>
      <c r="IG38" s="1098">
        <v>7.55</v>
      </c>
      <c r="IH38" s="1098">
        <v>0</v>
      </c>
      <c r="II38" s="1098">
        <v>0</v>
      </c>
      <c r="IJ38" s="1098">
        <v>7.8</v>
      </c>
      <c r="IK38" s="1098">
        <v>28.6</v>
      </c>
      <c r="IL38" s="1098">
        <v>23.2</v>
      </c>
      <c r="IM38" s="1098">
        <v>14.3</v>
      </c>
      <c r="IN38" s="1097">
        <v>95.8</v>
      </c>
      <c r="IO38" s="1098">
        <v>0</v>
      </c>
      <c r="IP38" s="1098">
        <v>0</v>
      </c>
      <c r="IQ38" s="1098">
        <v>0</v>
      </c>
      <c r="IR38" s="1098">
        <v>0</v>
      </c>
      <c r="IS38" s="1098">
        <v>15</v>
      </c>
      <c r="IT38" s="1098">
        <v>14</v>
      </c>
      <c r="IU38" s="1098">
        <v>22</v>
      </c>
      <c r="IV38" s="1098">
        <v>0</v>
      </c>
      <c r="IW38" s="1098">
        <v>5</v>
      </c>
      <c r="IX38" s="1098">
        <v>0</v>
      </c>
      <c r="IY38" s="1098">
        <v>0</v>
      </c>
      <c r="IZ38" s="1098">
        <v>0</v>
      </c>
      <c r="JA38" s="1097">
        <v>56</v>
      </c>
      <c r="JB38" s="1098">
        <v>35</v>
      </c>
      <c r="JC38" s="1098">
        <v>0</v>
      </c>
      <c r="JD38" s="1098"/>
      <c r="JE38" s="1098"/>
      <c r="JF38" s="1098"/>
      <c r="JG38" s="1098"/>
      <c r="JH38" s="1098"/>
      <c r="JI38" s="1098"/>
      <c r="JJ38" s="1098"/>
      <c r="JK38" s="1098"/>
      <c r="JL38" s="1098"/>
      <c r="JM38" s="1098"/>
      <c r="JN38" s="1097">
        <f t="shared" si="18"/>
        <v>35</v>
      </c>
      <c r="JP38" s="1174">
        <f t="shared" si="42"/>
        <v>-100</v>
      </c>
      <c r="JQ38" s="1175">
        <f t="shared" si="43"/>
        <v>-41.544885177453025</v>
      </c>
      <c r="JR38" s="1184">
        <f t="shared" si="44"/>
        <v>95.8</v>
      </c>
      <c r="JS38" s="1185">
        <f t="shared" si="45"/>
        <v>56</v>
      </c>
      <c r="JT38" s="1"/>
      <c r="JU38" s="1079">
        <f t="shared" si="46"/>
        <v>489.6</v>
      </c>
      <c r="JV38" s="1080" t="s">
        <v>49</v>
      </c>
      <c r="JW38" s="1081" t="str">
        <f t="shared" si="47"/>
        <v>OK</v>
      </c>
    </row>
    <row r="39" spans="1:283" ht="15" customHeight="1" x14ac:dyDescent="0.2">
      <c r="A39" s="1166" t="s">
        <v>40</v>
      </c>
      <c r="B39" s="1098">
        <v>759</v>
      </c>
      <c r="C39" s="1098">
        <v>1437</v>
      </c>
      <c r="D39" s="1098">
        <v>319</v>
      </c>
      <c r="E39" s="1098"/>
      <c r="F39" s="1098"/>
      <c r="G39" s="1098"/>
      <c r="H39" s="1098"/>
      <c r="I39" s="1098"/>
      <c r="J39" s="1098"/>
      <c r="K39" s="1098"/>
      <c r="L39" s="1098"/>
      <c r="M39" s="1098"/>
      <c r="N39" s="1097">
        <f t="shared" si="0"/>
        <v>2515</v>
      </c>
      <c r="O39" s="1098">
        <v>855</v>
      </c>
      <c r="P39" s="1098">
        <v>1368</v>
      </c>
      <c r="Q39" s="1098">
        <v>276</v>
      </c>
      <c r="R39" s="1098"/>
      <c r="S39" s="1098"/>
      <c r="T39" s="1098"/>
      <c r="U39" s="1098"/>
      <c r="V39" s="1098"/>
      <c r="W39" s="1098"/>
      <c r="X39" s="1098"/>
      <c r="Y39" s="1098"/>
      <c r="Z39" s="1098">
        <v>15</v>
      </c>
      <c r="AA39" s="1097">
        <f t="shared" si="1"/>
        <v>2514</v>
      </c>
      <c r="AB39" s="1098">
        <v>376</v>
      </c>
      <c r="AC39" s="1098">
        <v>1016</v>
      </c>
      <c r="AD39" s="1098">
        <v>420</v>
      </c>
      <c r="AE39" s="1098">
        <v>4</v>
      </c>
      <c r="AF39" s="1098"/>
      <c r="AG39" s="1098"/>
      <c r="AH39" s="1098"/>
      <c r="AI39" s="1098"/>
      <c r="AJ39" s="1098"/>
      <c r="AK39" s="1098"/>
      <c r="AL39" s="1098"/>
      <c r="AM39" s="1098">
        <v>1</v>
      </c>
      <c r="AN39" s="1097">
        <f t="shared" si="2"/>
        <v>1817</v>
      </c>
      <c r="AO39" s="1098">
        <v>451</v>
      </c>
      <c r="AP39" s="1098">
        <v>985</v>
      </c>
      <c r="AQ39" s="1098">
        <v>410</v>
      </c>
      <c r="AR39" s="1098">
        <v>29</v>
      </c>
      <c r="AS39" s="1098"/>
      <c r="AT39" s="1098"/>
      <c r="AU39" s="1098"/>
      <c r="AV39" s="1098"/>
      <c r="AW39" s="1098"/>
      <c r="AX39" s="1098"/>
      <c r="AY39" s="1098"/>
      <c r="AZ39" s="1098"/>
      <c r="BA39" s="1097">
        <f t="shared" si="3"/>
        <v>1875</v>
      </c>
      <c r="BB39" s="1098">
        <v>404</v>
      </c>
      <c r="BC39" s="1098">
        <v>923</v>
      </c>
      <c r="BD39" s="1098">
        <v>367</v>
      </c>
      <c r="BE39" s="1098">
        <v>13</v>
      </c>
      <c r="BF39" s="1098">
        <v>3</v>
      </c>
      <c r="BG39" s="1098"/>
      <c r="BH39" s="1098"/>
      <c r="BI39" s="1098"/>
      <c r="BJ39" s="1098"/>
      <c r="BK39" s="1098"/>
      <c r="BL39" s="1098"/>
      <c r="BM39" s="1098"/>
      <c r="BN39" s="1097">
        <f t="shared" si="4"/>
        <v>1710</v>
      </c>
      <c r="BO39" s="1098">
        <v>350</v>
      </c>
      <c r="BP39" s="1098">
        <v>786</v>
      </c>
      <c r="BQ39" s="1098">
        <v>538</v>
      </c>
      <c r="BR39" s="1098">
        <v>20</v>
      </c>
      <c r="BS39" s="1098">
        <v>1</v>
      </c>
      <c r="BT39" s="1098"/>
      <c r="BU39" s="1098"/>
      <c r="BV39" s="1098"/>
      <c r="BW39" s="1098"/>
      <c r="BX39" s="1098"/>
      <c r="BY39" s="1098"/>
      <c r="BZ39" s="1098">
        <v>3</v>
      </c>
      <c r="CA39" s="1097">
        <f t="shared" si="5"/>
        <v>1698</v>
      </c>
      <c r="CB39" s="1098">
        <v>311</v>
      </c>
      <c r="CC39" s="1098">
        <v>506</v>
      </c>
      <c r="CD39" s="1098">
        <v>260</v>
      </c>
      <c r="CE39" s="1098">
        <v>241</v>
      </c>
      <c r="CF39" s="1098">
        <v>5</v>
      </c>
      <c r="CG39" s="1098">
        <v>4</v>
      </c>
      <c r="CH39" s="1098"/>
      <c r="CI39" s="1098"/>
      <c r="CJ39" s="1098"/>
      <c r="CK39" s="1098"/>
      <c r="CL39" s="1098"/>
      <c r="CM39" s="1098"/>
      <c r="CN39" s="1097">
        <f t="shared" si="6"/>
        <v>1327</v>
      </c>
      <c r="CO39" s="1098">
        <v>154</v>
      </c>
      <c r="CP39" s="1098">
        <v>582</v>
      </c>
      <c r="CQ39" s="1098">
        <v>376</v>
      </c>
      <c r="CR39" s="1098">
        <v>110</v>
      </c>
      <c r="CS39" s="1098">
        <v>13</v>
      </c>
      <c r="CT39" s="1098"/>
      <c r="CU39" s="1098"/>
      <c r="CV39" s="1098"/>
      <c r="CW39" s="1098"/>
      <c r="CX39" s="1098"/>
      <c r="CY39" s="1098"/>
      <c r="CZ39" s="1098">
        <v>18</v>
      </c>
      <c r="DA39" s="1097">
        <f t="shared" si="7"/>
        <v>1253</v>
      </c>
      <c r="DB39" s="1098">
        <v>264</v>
      </c>
      <c r="DC39" s="1098">
        <v>912</v>
      </c>
      <c r="DD39" s="1098">
        <v>345</v>
      </c>
      <c r="DE39" s="1098">
        <v>60</v>
      </c>
      <c r="DF39" s="1098">
        <v>17</v>
      </c>
      <c r="DG39" s="1098"/>
      <c r="DH39" s="1098"/>
      <c r="DI39" s="1098"/>
      <c r="DJ39" s="1098"/>
      <c r="DK39" s="1098"/>
      <c r="DL39" s="1098"/>
      <c r="DM39" s="1098">
        <v>5</v>
      </c>
      <c r="DN39" s="1097">
        <f t="shared" si="8"/>
        <v>1603</v>
      </c>
      <c r="DO39" s="1098">
        <v>288</v>
      </c>
      <c r="DP39" s="1098">
        <v>933</v>
      </c>
      <c r="DQ39" s="1098">
        <v>344</v>
      </c>
      <c r="DR39" s="1098">
        <v>93</v>
      </c>
      <c r="DS39" s="1098"/>
      <c r="DT39" s="1098"/>
      <c r="DU39" s="1098"/>
      <c r="DV39" s="1098"/>
      <c r="DW39" s="1098"/>
      <c r="DX39" s="1098"/>
      <c r="DY39" s="1098"/>
      <c r="DZ39" s="1098"/>
      <c r="EA39" s="1097">
        <f t="shared" si="9"/>
        <v>1658</v>
      </c>
      <c r="EB39" s="1098">
        <v>255</v>
      </c>
      <c r="EC39" s="1098">
        <v>631</v>
      </c>
      <c r="ED39" s="1098">
        <v>337</v>
      </c>
      <c r="EE39" s="1098">
        <v>113</v>
      </c>
      <c r="EF39" s="1098"/>
      <c r="EG39" s="1098"/>
      <c r="EH39" s="1098"/>
      <c r="EI39" s="1098"/>
      <c r="EJ39" s="1098"/>
      <c r="EK39" s="1098">
        <v>13</v>
      </c>
      <c r="EL39" s="1098"/>
      <c r="EM39" s="1098">
        <v>2</v>
      </c>
      <c r="EN39" s="1097">
        <f t="shared" si="10"/>
        <v>1351</v>
      </c>
      <c r="EO39" s="1098">
        <v>149</v>
      </c>
      <c r="EP39" s="1098">
        <v>694</v>
      </c>
      <c r="EQ39" s="1098">
        <v>493</v>
      </c>
      <c r="ER39" s="1098">
        <v>137</v>
      </c>
      <c r="ES39" s="1098">
        <v>6</v>
      </c>
      <c r="ET39" s="1098"/>
      <c r="EU39" s="1098"/>
      <c r="EV39" s="1098"/>
      <c r="EW39" s="1098"/>
      <c r="EX39" s="1098"/>
      <c r="EY39" s="1098"/>
      <c r="EZ39" s="1098"/>
      <c r="FA39" s="1097">
        <f t="shared" si="11"/>
        <v>1479</v>
      </c>
      <c r="FB39" s="1098">
        <v>162</v>
      </c>
      <c r="FC39" s="1098">
        <v>826</v>
      </c>
      <c r="FD39" s="1098">
        <v>483</v>
      </c>
      <c r="FE39" s="1098">
        <v>104</v>
      </c>
      <c r="FF39" s="1098">
        <v>4</v>
      </c>
      <c r="FG39" s="1098"/>
      <c r="FH39" s="1098"/>
      <c r="FI39" s="1098"/>
      <c r="FJ39" s="1098"/>
      <c r="FK39" s="1098"/>
      <c r="FL39" s="1098"/>
      <c r="FM39" s="1098"/>
      <c r="FN39" s="1097">
        <f t="shared" si="12"/>
        <v>1579</v>
      </c>
      <c r="FO39" s="1098">
        <v>203</v>
      </c>
      <c r="FP39" s="1098">
        <v>862</v>
      </c>
      <c r="FQ39" s="1098">
        <v>325</v>
      </c>
      <c r="FR39" s="1098">
        <v>65</v>
      </c>
      <c r="FS39" s="1098">
        <v>20</v>
      </c>
      <c r="FT39" s="1098"/>
      <c r="FU39" s="1098"/>
      <c r="FV39" s="1098"/>
      <c r="FW39" s="1098"/>
      <c r="FX39" s="1098"/>
      <c r="FY39" s="1098"/>
      <c r="FZ39" s="1098">
        <v>9</v>
      </c>
      <c r="GA39" s="1097">
        <f t="shared" si="13"/>
        <v>1484</v>
      </c>
      <c r="GB39" s="1098">
        <v>152</v>
      </c>
      <c r="GC39" s="1098">
        <v>656</v>
      </c>
      <c r="GD39" s="1098">
        <v>438</v>
      </c>
      <c r="GE39" s="1098">
        <v>115</v>
      </c>
      <c r="GF39" s="1098"/>
      <c r="GG39" s="1098"/>
      <c r="GH39" s="1098"/>
      <c r="GI39" s="1098"/>
      <c r="GJ39" s="1098"/>
      <c r="GK39" s="1098">
        <v>6</v>
      </c>
      <c r="GL39" s="1098"/>
      <c r="GM39" s="1098"/>
      <c r="GN39" s="1097">
        <f t="shared" si="14"/>
        <v>1367</v>
      </c>
      <c r="GO39" s="1098">
        <v>203</v>
      </c>
      <c r="GP39" s="1098">
        <v>719</v>
      </c>
      <c r="GQ39" s="1098">
        <v>463</v>
      </c>
      <c r="GR39" s="1098">
        <v>197</v>
      </c>
      <c r="GS39" s="1098"/>
      <c r="GT39" s="1098"/>
      <c r="GU39" s="1098"/>
      <c r="GV39" s="1098"/>
      <c r="GW39" s="1098"/>
      <c r="GX39" s="1098"/>
      <c r="GY39" s="1098"/>
      <c r="GZ39" s="1098"/>
      <c r="HA39" s="1097">
        <f t="shared" si="15"/>
        <v>1582</v>
      </c>
      <c r="HB39" s="1098">
        <v>175.5</v>
      </c>
      <c r="HC39" s="1098">
        <v>668.8</v>
      </c>
      <c r="HD39" s="1098">
        <v>411.5</v>
      </c>
      <c r="HE39" s="1098">
        <v>121</v>
      </c>
      <c r="HF39" s="1098"/>
      <c r="HG39" s="1098"/>
      <c r="HH39" s="1098"/>
      <c r="HI39" s="1098"/>
      <c r="HJ39" s="1098"/>
      <c r="HK39" s="1098"/>
      <c r="HL39" s="1098"/>
      <c r="HM39" s="1098"/>
      <c r="HN39" s="1097">
        <f t="shared" si="16"/>
        <v>1376.8</v>
      </c>
      <c r="HO39" s="1098">
        <v>85.5</v>
      </c>
      <c r="HP39" s="1098">
        <v>410</v>
      </c>
      <c r="HQ39" s="1098">
        <v>200</v>
      </c>
      <c r="HR39" s="1098">
        <v>27</v>
      </c>
      <c r="HS39" s="1098"/>
      <c r="HT39" s="1098"/>
      <c r="HU39" s="1098"/>
      <c r="HV39" s="1098"/>
      <c r="HW39" s="1098"/>
      <c r="HX39" s="1098"/>
      <c r="HY39" s="1098"/>
      <c r="HZ39" s="1098"/>
      <c r="IA39" s="1097">
        <f t="shared" si="17"/>
        <v>722.5</v>
      </c>
      <c r="IB39" s="1098">
        <v>83.5</v>
      </c>
      <c r="IC39" s="1098">
        <v>415</v>
      </c>
      <c r="ID39" s="1098">
        <v>137</v>
      </c>
      <c r="IE39" s="1098">
        <v>0</v>
      </c>
      <c r="IF39" s="1098">
        <v>0</v>
      </c>
      <c r="IG39" s="1098">
        <v>0</v>
      </c>
      <c r="IH39" s="1098">
        <v>0</v>
      </c>
      <c r="II39" s="1098">
        <v>0</v>
      </c>
      <c r="IJ39" s="1098">
        <v>0</v>
      </c>
      <c r="IK39" s="1098">
        <v>0</v>
      </c>
      <c r="IL39" s="1098">
        <v>0</v>
      </c>
      <c r="IM39" s="1098">
        <v>0</v>
      </c>
      <c r="IN39" s="1097">
        <v>635.5</v>
      </c>
      <c r="IO39" s="1098">
        <v>53.5</v>
      </c>
      <c r="IP39" s="1098">
        <v>300</v>
      </c>
      <c r="IQ39" s="1098">
        <v>120</v>
      </c>
      <c r="IR39" s="1098">
        <v>10</v>
      </c>
      <c r="IS39" s="1098">
        <v>0</v>
      </c>
      <c r="IT39" s="1098">
        <v>0</v>
      </c>
      <c r="IU39" s="1098">
        <v>0</v>
      </c>
      <c r="IV39" s="1098">
        <v>0</v>
      </c>
      <c r="IW39" s="1098">
        <v>0</v>
      </c>
      <c r="IX39" s="1098">
        <v>0</v>
      </c>
      <c r="IY39" s="1098">
        <v>0</v>
      </c>
      <c r="IZ39" s="1098">
        <v>0</v>
      </c>
      <c r="JA39" s="1097">
        <v>483.5</v>
      </c>
      <c r="JB39" s="1098">
        <v>35</v>
      </c>
      <c r="JC39" s="1098">
        <v>328</v>
      </c>
      <c r="JD39" s="1098"/>
      <c r="JE39" s="1098"/>
      <c r="JF39" s="1098"/>
      <c r="JG39" s="1098"/>
      <c r="JH39" s="1098"/>
      <c r="JI39" s="1098"/>
      <c r="JJ39" s="1098"/>
      <c r="JK39" s="1098"/>
      <c r="JL39" s="1098"/>
      <c r="JM39" s="1098"/>
      <c r="JN39" s="1097">
        <f t="shared" si="18"/>
        <v>363</v>
      </c>
      <c r="JP39" s="1174" t="str">
        <f t="shared" si="42"/>
        <v/>
      </c>
      <c r="JQ39" s="1175">
        <f t="shared" si="43"/>
        <v>-23.91817466561762</v>
      </c>
      <c r="JR39" s="1184">
        <f t="shared" si="44"/>
        <v>635.5</v>
      </c>
      <c r="JS39" s="1185">
        <f t="shared" si="45"/>
        <v>483.5</v>
      </c>
      <c r="JT39" s="1"/>
      <c r="JU39" s="1079">
        <f t="shared" si="46"/>
        <v>60786.600000000006</v>
      </c>
      <c r="JV39" s="1080" t="s">
        <v>40</v>
      </c>
      <c r="JW39" s="1081" t="str">
        <f t="shared" si="47"/>
        <v>OK</v>
      </c>
    </row>
    <row r="40" spans="1:283" ht="15" customHeight="1" x14ac:dyDescent="0.2">
      <c r="A40" s="1224" t="s">
        <v>42</v>
      </c>
      <c r="B40" s="1098">
        <v>2117</v>
      </c>
      <c r="C40" s="1098">
        <v>2072.37</v>
      </c>
      <c r="D40" s="1098">
        <v>1638</v>
      </c>
      <c r="E40" s="1098">
        <v>1570</v>
      </c>
      <c r="F40" s="1098">
        <v>1498</v>
      </c>
      <c r="G40" s="1098">
        <v>1489</v>
      </c>
      <c r="H40" s="1098">
        <v>1478.37</v>
      </c>
      <c r="I40" s="1098">
        <v>1448</v>
      </c>
      <c r="J40" s="1098">
        <v>1401</v>
      </c>
      <c r="K40" s="1098">
        <v>1501</v>
      </c>
      <c r="L40" s="1098">
        <v>1517</v>
      </c>
      <c r="M40" s="1098">
        <v>1448</v>
      </c>
      <c r="N40" s="1097">
        <f t="shared" si="0"/>
        <v>19177.739999999998</v>
      </c>
      <c r="O40" s="1098">
        <v>2208</v>
      </c>
      <c r="P40" s="1098">
        <v>1697</v>
      </c>
      <c r="Q40" s="1098">
        <v>1705</v>
      </c>
      <c r="R40" s="1098">
        <v>1769</v>
      </c>
      <c r="S40" s="1098">
        <v>1998</v>
      </c>
      <c r="T40" s="1098">
        <v>1591</v>
      </c>
      <c r="U40" s="1098">
        <v>1318</v>
      </c>
      <c r="V40" s="1098">
        <v>1550</v>
      </c>
      <c r="W40" s="1098">
        <v>1907</v>
      </c>
      <c r="X40" s="1098">
        <v>1682</v>
      </c>
      <c r="Y40" s="1098">
        <v>1563</v>
      </c>
      <c r="Z40" s="1098">
        <v>2341</v>
      </c>
      <c r="AA40" s="1097">
        <f t="shared" si="1"/>
        <v>21329</v>
      </c>
      <c r="AB40" s="1098">
        <v>2171</v>
      </c>
      <c r="AC40" s="1098">
        <v>2153</v>
      </c>
      <c r="AD40" s="1098">
        <v>2117</v>
      </c>
      <c r="AE40" s="1098">
        <v>2037</v>
      </c>
      <c r="AF40" s="1098">
        <v>1821</v>
      </c>
      <c r="AG40" s="1098">
        <v>1798</v>
      </c>
      <c r="AH40" s="1098">
        <v>2122</v>
      </c>
      <c r="AI40" s="1098">
        <v>1569</v>
      </c>
      <c r="AJ40" s="1098">
        <v>1919</v>
      </c>
      <c r="AK40" s="1098">
        <v>2001</v>
      </c>
      <c r="AL40" s="1098">
        <v>1961</v>
      </c>
      <c r="AM40" s="1098">
        <v>1609</v>
      </c>
      <c r="AN40" s="1097">
        <f t="shared" si="2"/>
        <v>23278</v>
      </c>
      <c r="AO40" s="1098">
        <v>1991</v>
      </c>
      <c r="AP40" s="1098">
        <v>2653</v>
      </c>
      <c r="AQ40" s="1098">
        <v>1918</v>
      </c>
      <c r="AR40" s="1098">
        <v>2581</v>
      </c>
      <c r="AS40" s="1098">
        <v>2322</v>
      </c>
      <c r="AT40" s="1098">
        <v>2078</v>
      </c>
      <c r="AU40" s="1098">
        <v>2079</v>
      </c>
      <c r="AV40" s="1098">
        <v>2174</v>
      </c>
      <c r="AW40" s="1098">
        <v>2601</v>
      </c>
      <c r="AX40" s="1098">
        <v>2231</v>
      </c>
      <c r="AY40" s="1098">
        <v>2271</v>
      </c>
      <c r="AZ40" s="1098">
        <v>1975</v>
      </c>
      <c r="BA40" s="1097">
        <f t="shared" si="3"/>
        <v>26874</v>
      </c>
      <c r="BB40" s="1098">
        <v>1913</v>
      </c>
      <c r="BC40" s="1098">
        <v>1868</v>
      </c>
      <c r="BD40" s="1098">
        <v>1920</v>
      </c>
      <c r="BE40" s="1098">
        <v>1861</v>
      </c>
      <c r="BF40" s="1098">
        <v>1725</v>
      </c>
      <c r="BG40" s="1098">
        <v>1868</v>
      </c>
      <c r="BH40" s="1098">
        <v>1637</v>
      </c>
      <c r="BI40" s="1098">
        <v>1631</v>
      </c>
      <c r="BJ40" s="1098">
        <v>1861</v>
      </c>
      <c r="BK40" s="1098">
        <v>2494</v>
      </c>
      <c r="BL40" s="1098">
        <v>2768</v>
      </c>
      <c r="BM40" s="1098">
        <v>2762</v>
      </c>
      <c r="BN40" s="1097">
        <f t="shared" si="4"/>
        <v>24308</v>
      </c>
      <c r="BO40" s="1098">
        <v>1784</v>
      </c>
      <c r="BP40" s="1098">
        <v>1796</v>
      </c>
      <c r="BQ40" s="1098">
        <v>1895</v>
      </c>
      <c r="BR40" s="1098">
        <v>2293</v>
      </c>
      <c r="BS40" s="1098">
        <v>2356</v>
      </c>
      <c r="BT40" s="1098">
        <v>1919</v>
      </c>
      <c r="BU40" s="1098">
        <v>1884</v>
      </c>
      <c r="BV40" s="1098">
        <v>1863</v>
      </c>
      <c r="BW40" s="1098">
        <v>3033</v>
      </c>
      <c r="BX40" s="1098">
        <v>2604</v>
      </c>
      <c r="BY40" s="1098">
        <v>3222</v>
      </c>
      <c r="BZ40" s="1098">
        <v>2448</v>
      </c>
      <c r="CA40" s="1097">
        <f t="shared" si="5"/>
        <v>27097</v>
      </c>
      <c r="CB40" s="1098">
        <v>3453</v>
      </c>
      <c r="CC40" s="1098">
        <v>6</v>
      </c>
      <c r="CD40" s="1098">
        <v>852</v>
      </c>
      <c r="CE40" s="1098">
        <v>633</v>
      </c>
      <c r="CF40" s="1098">
        <v>577</v>
      </c>
      <c r="CG40" s="1098">
        <v>449</v>
      </c>
      <c r="CH40" s="1098">
        <v>475</v>
      </c>
      <c r="CI40" s="1098">
        <v>4</v>
      </c>
      <c r="CJ40" s="1098"/>
      <c r="CK40" s="1098">
        <v>88</v>
      </c>
      <c r="CL40" s="1098">
        <v>65</v>
      </c>
      <c r="CM40" s="1098">
        <v>622</v>
      </c>
      <c r="CN40" s="1097">
        <f t="shared" si="6"/>
        <v>7224</v>
      </c>
      <c r="CO40" s="1098">
        <v>2422</v>
      </c>
      <c r="CP40" s="1098">
        <v>1548</v>
      </c>
      <c r="CQ40" s="1098">
        <v>1883</v>
      </c>
      <c r="CR40" s="1098">
        <v>2188</v>
      </c>
      <c r="CS40" s="1098">
        <v>2115</v>
      </c>
      <c r="CT40" s="1098">
        <v>1776</v>
      </c>
      <c r="CU40" s="1098">
        <v>1761</v>
      </c>
      <c r="CV40" s="1098">
        <v>1973</v>
      </c>
      <c r="CW40" s="1098">
        <v>1816</v>
      </c>
      <c r="CX40" s="1098">
        <v>1815</v>
      </c>
      <c r="CY40" s="1098">
        <v>1920</v>
      </c>
      <c r="CZ40" s="1098">
        <v>2200</v>
      </c>
      <c r="DA40" s="1097">
        <f t="shared" si="7"/>
        <v>23417</v>
      </c>
      <c r="DB40" s="1098">
        <v>2025</v>
      </c>
      <c r="DC40" s="1098">
        <v>1974</v>
      </c>
      <c r="DD40" s="1098">
        <v>2181</v>
      </c>
      <c r="DE40" s="1098">
        <v>2455</v>
      </c>
      <c r="DF40" s="1098">
        <v>2657</v>
      </c>
      <c r="DG40" s="1098">
        <v>2152</v>
      </c>
      <c r="DH40" s="1098">
        <v>2235</v>
      </c>
      <c r="DI40" s="1098">
        <v>2194</v>
      </c>
      <c r="DJ40" s="1098">
        <v>2239</v>
      </c>
      <c r="DK40" s="1098">
        <v>2292</v>
      </c>
      <c r="DL40" s="1098">
        <v>2367</v>
      </c>
      <c r="DM40" s="1098">
        <v>2530</v>
      </c>
      <c r="DN40" s="1097">
        <f t="shared" si="8"/>
        <v>27301</v>
      </c>
      <c r="DO40" s="1098">
        <v>2040</v>
      </c>
      <c r="DP40" s="1098">
        <v>2218</v>
      </c>
      <c r="DQ40" s="1098">
        <v>2297</v>
      </c>
      <c r="DR40" s="1098">
        <v>2057</v>
      </c>
      <c r="DS40" s="1098">
        <v>1958</v>
      </c>
      <c r="DT40" s="1098">
        <v>2355</v>
      </c>
      <c r="DU40" s="1098">
        <v>2082</v>
      </c>
      <c r="DV40" s="1098">
        <v>1953</v>
      </c>
      <c r="DW40" s="1098">
        <v>2394</v>
      </c>
      <c r="DX40" s="1098">
        <v>2445</v>
      </c>
      <c r="DY40" s="1098">
        <v>2383</v>
      </c>
      <c r="DZ40" s="1098">
        <v>2418</v>
      </c>
      <c r="EA40" s="1097">
        <f t="shared" si="9"/>
        <v>26600</v>
      </c>
      <c r="EB40" s="1098">
        <v>2520</v>
      </c>
      <c r="EC40" s="1098">
        <v>2339</v>
      </c>
      <c r="ED40" s="1098">
        <v>2132</v>
      </c>
      <c r="EE40" s="1098">
        <v>2472</v>
      </c>
      <c r="EF40" s="1098">
        <v>2165</v>
      </c>
      <c r="EG40" s="1098">
        <v>2369</v>
      </c>
      <c r="EH40" s="1098">
        <v>2028</v>
      </c>
      <c r="EI40" s="1098">
        <v>2125</v>
      </c>
      <c r="EJ40" s="1098">
        <v>1965</v>
      </c>
      <c r="EK40" s="1098">
        <v>2129</v>
      </c>
      <c r="EL40" s="1098">
        <v>2315</v>
      </c>
      <c r="EM40" s="1098">
        <v>2430</v>
      </c>
      <c r="EN40" s="1097">
        <f t="shared" si="10"/>
        <v>26989</v>
      </c>
      <c r="EO40" s="1098">
        <v>1199</v>
      </c>
      <c r="EP40" s="1098">
        <v>2632</v>
      </c>
      <c r="EQ40" s="1098">
        <v>2812</v>
      </c>
      <c r="ER40" s="1098">
        <v>2417</v>
      </c>
      <c r="ES40" s="1098">
        <v>2502</v>
      </c>
      <c r="ET40" s="1098">
        <v>2281</v>
      </c>
      <c r="EU40" s="1098">
        <v>2276</v>
      </c>
      <c r="EV40" s="1098">
        <v>2073</v>
      </c>
      <c r="EW40" s="1098">
        <v>2536</v>
      </c>
      <c r="EX40" s="1098">
        <v>2336</v>
      </c>
      <c r="EY40" s="1098">
        <v>2396</v>
      </c>
      <c r="EZ40" s="1098">
        <v>2484</v>
      </c>
      <c r="FA40" s="1097">
        <f t="shared" si="11"/>
        <v>27944</v>
      </c>
      <c r="FB40" s="1098">
        <v>2643</v>
      </c>
      <c r="FC40" s="1098">
        <v>2900</v>
      </c>
      <c r="FD40" s="1098">
        <v>3270</v>
      </c>
      <c r="FE40" s="1098">
        <v>2172</v>
      </c>
      <c r="FF40" s="1098">
        <v>2491</v>
      </c>
      <c r="FG40" s="1098">
        <v>3136</v>
      </c>
      <c r="FH40" s="1098">
        <v>2473</v>
      </c>
      <c r="FI40" s="1098">
        <v>2231</v>
      </c>
      <c r="FJ40" s="1098">
        <v>2771</v>
      </c>
      <c r="FK40" s="1098">
        <v>1723</v>
      </c>
      <c r="FL40" s="1098">
        <v>1428</v>
      </c>
      <c r="FM40" s="1098">
        <v>1583</v>
      </c>
      <c r="FN40" s="1097">
        <f t="shared" si="12"/>
        <v>28821</v>
      </c>
      <c r="FO40" s="1098">
        <v>2558</v>
      </c>
      <c r="FP40" s="1098">
        <v>2484</v>
      </c>
      <c r="FQ40" s="1098">
        <v>3173</v>
      </c>
      <c r="FR40" s="1098">
        <v>2105</v>
      </c>
      <c r="FS40" s="1098">
        <v>2220</v>
      </c>
      <c r="FT40" s="1098">
        <v>3362</v>
      </c>
      <c r="FU40" s="1098">
        <v>2527</v>
      </c>
      <c r="FV40" s="1098">
        <v>2179</v>
      </c>
      <c r="FW40" s="1098">
        <v>2562</v>
      </c>
      <c r="FX40" s="1098">
        <v>1453</v>
      </c>
      <c r="FY40" s="1098">
        <v>1547</v>
      </c>
      <c r="FZ40" s="1098">
        <v>1589</v>
      </c>
      <c r="GA40" s="1097">
        <f t="shared" si="13"/>
        <v>27759</v>
      </c>
      <c r="GB40" s="1098">
        <v>2549</v>
      </c>
      <c r="GC40" s="1098">
        <v>2447</v>
      </c>
      <c r="GD40" s="1098">
        <v>3517</v>
      </c>
      <c r="GE40" s="1098">
        <v>2607</v>
      </c>
      <c r="GF40" s="1098">
        <v>2695</v>
      </c>
      <c r="GG40" s="1098">
        <v>3495</v>
      </c>
      <c r="GH40" s="1098">
        <v>2763</v>
      </c>
      <c r="GI40" s="1098">
        <v>2402</v>
      </c>
      <c r="GJ40" s="1098">
        <v>3049</v>
      </c>
      <c r="GK40" s="1098">
        <v>2193</v>
      </c>
      <c r="GL40" s="1098">
        <v>1457</v>
      </c>
      <c r="GM40" s="1098">
        <v>1068</v>
      </c>
      <c r="GN40" s="1097">
        <f t="shared" si="14"/>
        <v>30242</v>
      </c>
      <c r="GO40" s="1098">
        <v>3206.6</v>
      </c>
      <c r="GP40" s="1098">
        <v>3751.5</v>
      </c>
      <c r="GQ40" s="1098">
        <v>4945</v>
      </c>
      <c r="GR40" s="1098">
        <v>3339</v>
      </c>
      <c r="GS40" s="1098">
        <v>1746.5</v>
      </c>
      <c r="GT40" s="1098">
        <v>2860</v>
      </c>
      <c r="GU40" s="1098">
        <v>2211.5</v>
      </c>
      <c r="GV40" s="1098">
        <v>1833</v>
      </c>
      <c r="GW40" s="1098">
        <v>2638</v>
      </c>
      <c r="GX40" s="1098">
        <v>2058</v>
      </c>
      <c r="GY40" s="1098">
        <v>1440</v>
      </c>
      <c r="GZ40" s="1098">
        <v>969</v>
      </c>
      <c r="HA40" s="1097">
        <f t="shared" si="15"/>
        <v>30998.1</v>
      </c>
      <c r="HB40" s="1098">
        <v>1486.65</v>
      </c>
      <c r="HC40" s="1098">
        <v>2121</v>
      </c>
      <c r="HD40" s="1098">
        <v>2689</v>
      </c>
      <c r="HE40" s="1098">
        <v>1816</v>
      </c>
      <c r="HF40" s="1098">
        <v>1623</v>
      </c>
      <c r="HG40" s="1098">
        <v>1018</v>
      </c>
      <c r="HH40" s="1098">
        <v>1086</v>
      </c>
      <c r="HI40" s="1098">
        <v>990</v>
      </c>
      <c r="HJ40" s="1098">
        <v>1171</v>
      </c>
      <c r="HK40" s="1098">
        <v>1136</v>
      </c>
      <c r="HL40" s="1098">
        <v>1030</v>
      </c>
      <c r="HM40" s="1098">
        <v>785</v>
      </c>
      <c r="HN40" s="1097">
        <f t="shared" si="16"/>
        <v>16951.650000000001</v>
      </c>
      <c r="HO40" s="1098">
        <v>681</v>
      </c>
      <c r="HP40" s="1098">
        <v>325</v>
      </c>
      <c r="HQ40" s="1098">
        <v>411</v>
      </c>
      <c r="HR40" s="1098">
        <v>530</v>
      </c>
      <c r="HS40" s="1098">
        <v>466</v>
      </c>
      <c r="HT40" s="1098">
        <v>660</v>
      </c>
      <c r="HU40" s="1098">
        <v>1268</v>
      </c>
      <c r="HV40" s="1098">
        <v>1376</v>
      </c>
      <c r="HW40" s="1098">
        <v>1324</v>
      </c>
      <c r="HX40" s="1098">
        <v>1149</v>
      </c>
      <c r="HY40" s="1098">
        <v>977</v>
      </c>
      <c r="HZ40" s="1098">
        <v>1409</v>
      </c>
      <c r="IA40" s="1097">
        <f t="shared" si="17"/>
        <v>10576</v>
      </c>
      <c r="IB40" s="1098">
        <v>1699</v>
      </c>
      <c r="IC40" s="1098">
        <v>1757</v>
      </c>
      <c r="ID40" s="1098">
        <v>1672</v>
      </c>
      <c r="IE40" s="1098">
        <v>1932</v>
      </c>
      <c r="IF40" s="1098">
        <v>1466</v>
      </c>
      <c r="IG40" s="1098">
        <v>2168</v>
      </c>
      <c r="IH40" s="1098">
        <v>2192</v>
      </c>
      <c r="II40" s="1098">
        <v>2141</v>
      </c>
      <c r="IJ40" s="1098">
        <v>1911</v>
      </c>
      <c r="IK40" s="1098">
        <v>1581</v>
      </c>
      <c r="IL40" s="1098">
        <v>1608.5</v>
      </c>
      <c r="IM40" s="1098">
        <v>552</v>
      </c>
      <c r="IN40" s="1097">
        <f t="shared" si="38"/>
        <v>20679.5</v>
      </c>
      <c r="IO40" s="1098">
        <v>1364</v>
      </c>
      <c r="IP40" s="1098">
        <v>1512</v>
      </c>
      <c r="IQ40" s="1098">
        <v>1512</v>
      </c>
      <c r="IR40" s="1098">
        <v>1504</v>
      </c>
      <c r="IS40" s="1098">
        <v>1540</v>
      </c>
      <c r="IT40" s="1098">
        <v>1752</v>
      </c>
      <c r="IU40" s="1098">
        <v>1119</v>
      </c>
      <c r="IV40" s="1098">
        <v>1392.5</v>
      </c>
      <c r="IW40" s="1098">
        <v>2314</v>
      </c>
      <c r="IX40" s="1098">
        <v>2318</v>
      </c>
      <c r="IY40" s="1098">
        <v>1575</v>
      </c>
      <c r="IZ40" s="1098"/>
      <c r="JA40" s="1097">
        <f t="shared" si="40"/>
        <v>17902.5</v>
      </c>
      <c r="JB40" s="1098">
        <v>1246</v>
      </c>
      <c r="JC40" s="1098"/>
      <c r="JD40" s="1098"/>
      <c r="JE40" s="1098"/>
      <c r="JF40" s="1098"/>
      <c r="JG40" s="1098"/>
      <c r="JH40" s="1098"/>
      <c r="JI40" s="1098"/>
      <c r="JJ40" s="1098"/>
      <c r="JK40" s="1098"/>
      <c r="JL40" s="1098"/>
      <c r="JM40" s="1098"/>
      <c r="JN40" s="1097">
        <f t="shared" si="18"/>
        <v>1246</v>
      </c>
      <c r="JP40" s="1174">
        <f t="shared" si="42"/>
        <v>-100</v>
      </c>
      <c r="JQ40" s="1175">
        <f t="shared" si="43"/>
        <v>-13.428757948693148</v>
      </c>
      <c r="JR40" s="1184">
        <f t="shared" si="44"/>
        <v>20679.5</v>
      </c>
      <c r="JS40" s="1185">
        <f t="shared" si="45"/>
        <v>17902.5</v>
      </c>
      <c r="JT40" s="1"/>
      <c r="JU40" s="1079">
        <f t="shared" si="46"/>
        <v>933428.98</v>
      </c>
      <c r="JV40" s="1150" t="s">
        <v>42</v>
      </c>
      <c r="JW40" s="1081" t="str">
        <f t="shared" si="47"/>
        <v>OK</v>
      </c>
    </row>
    <row r="41" spans="1:283" ht="15" customHeight="1" x14ac:dyDescent="0.2">
      <c r="A41" s="1224" t="s">
        <v>580</v>
      </c>
      <c r="B41" s="1098"/>
      <c r="C41" s="1098"/>
      <c r="D41" s="1098"/>
      <c r="E41" s="1098"/>
      <c r="F41" s="1098"/>
      <c r="G41" s="1098"/>
      <c r="H41" s="1098"/>
      <c r="I41" s="1098"/>
      <c r="J41" s="1098"/>
      <c r="K41" s="1098"/>
      <c r="L41" s="1098"/>
      <c r="M41" s="1098"/>
      <c r="N41" s="1097">
        <f t="shared" si="0"/>
        <v>0</v>
      </c>
      <c r="O41" s="1098"/>
      <c r="P41" s="1098"/>
      <c r="Q41" s="1098"/>
      <c r="R41" s="1098"/>
      <c r="S41" s="1098"/>
      <c r="T41" s="1098"/>
      <c r="U41" s="1098"/>
      <c r="V41" s="1098"/>
      <c r="W41" s="1098"/>
      <c r="X41" s="1098"/>
      <c r="Y41" s="1098"/>
      <c r="Z41" s="1098"/>
      <c r="AA41" s="1097">
        <f t="shared" si="1"/>
        <v>0</v>
      </c>
      <c r="AB41" s="1098"/>
      <c r="AC41" s="1098"/>
      <c r="AD41" s="1098"/>
      <c r="AE41" s="1098"/>
      <c r="AF41" s="1098"/>
      <c r="AG41" s="1098"/>
      <c r="AH41" s="1098"/>
      <c r="AI41" s="1098"/>
      <c r="AJ41" s="1098"/>
      <c r="AK41" s="1098"/>
      <c r="AL41" s="1098"/>
      <c r="AM41" s="1098"/>
      <c r="AN41" s="1097">
        <f t="shared" si="2"/>
        <v>0</v>
      </c>
      <c r="AO41" s="1098"/>
      <c r="AP41" s="1098"/>
      <c r="AQ41" s="1098"/>
      <c r="AR41" s="1098"/>
      <c r="AS41" s="1098"/>
      <c r="AT41" s="1098"/>
      <c r="AU41" s="1098"/>
      <c r="AV41" s="1098"/>
      <c r="AW41" s="1098"/>
      <c r="AX41" s="1098"/>
      <c r="AY41" s="1098"/>
      <c r="AZ41" s="1098"/>
      <c r="BA41" s="1097">
        <f t="shared" si="3"/>
        <v>0</v>
      </c>
      <c r="BB41" s="1098"/>
      <c r="BC41" s="1098"/>
      <c r="BD41" s="1098"/>
      <c r="BE41" s="1098"/>
      <c r="BF41" s="1098"/>
      <c r="BG41" s="1098"/>
      <c r="BH41" s="1098"/>
      <c r="BI41" s="1098"/>
      <c r="BJ41" s="1098"/>
      <c r="BK41" s="1098"/>
      <c r="BL41" s="1098"/>
      <c r="BM41" s="1098"/>
      <c r="BN41" s="1097">
        <f t="shared" si="4"/>
        <v>0</v>
      </c>
      <c r="BO41" s="1098"/>
      <c r="BP41" s="1098"/>
      <c r="BQ41" s="1098"/>
      <c r="BR41" s="1098"/>
      <c r="BS41" s="1098"/>
      <c r="BT41" s="1098"/>
      <c r="BU41" s="1098"/>
      <c r="BV41" s="1098"/>
      <c r="BW41" s="1098"/>
      <c r="BX41" s="1098"/>
      <c r="BY41" s="1098"/>
      <c r="BZ41" s="1098"/>
      <c r="CA41" s="1097">
        <f t="shared" si="5"/>
        <v>0</v>
      </c>
      <c r="CB41" s="1098"/>
      <c r="CC41" s="1098"/>
      <c r="CD41" s="1098"/>
      <c r="CE41" s="1098"/>
      <c r="CF41" s="1098"/>
      <c r="CG41" s="1098"/>
      <c r="CH41" s="1098"/>
      <c r="CI41" s="1098"/>
      <c r="CJ41" s="1098"/>
      <c r="CK41" s="1098"/>
      <c r="CL41" s="1098"/>
      <c r="CM41" s="1098"/>
      <c r="CN41" s="1097">
        <f t="shared" si="6"/>
        <v>0</v>
      </c>
      <c r="CO41" s="1098"/>
      <c r="CP41" s="1098"/>
      <c r="CQ41" s="1098"/>
      <c r="CR41" s="1098"/>
      <c r="CS41" s="1098"/>
      <c r="CT41" s="1098"/>
      <c r="CU41" s="1098"/>
      <c r="CV41" s="1098"/>
      <c r="CW41" s="1098"/>
      <c r="CX41" s="1098"/>
      <c r="CY41" s="1098"/>
      <c r="CZ41" s="1098"/>
      <c r="DA41" s="1097">
        <f t="shared" si="7"/>
        <v>0</v>
      </c>
      <c r="DB41" s="1098"/>
      <c r="DC41" s="1098"/>
      <c r="DD41" s="1098"/>
      <c r="DE41" s="1098"/>
      <c r="DF41" s="1098"/>
      <c r="DG41" s="1098"/>
      <c r="DH41" s="1098"/>
      <c r="DI41" s="1098"/>
      <c r="DJ41" s="1098"/>
      <c r="DK41" s="1098"/>
      <c r="DL41" s="1098"/>
      <c r="DM41" s="1098"/>
      <c r="DN41" s="1097">
        <f t="shared" si="8"/>
        <v>0</v>
      </c>
      <c r="DO41" s="1098"/>
      <c r="DP41" s="1098"/>
      <c r="DQ41" s="1098"/>
      <c r="DR41" s="1098"/>
      <c r="DS41" s="1098"/>
      <c r="DT41" s="1098"/>
      <c r="DU41" s="1098"/>
      <c r="DV41" s="1098"/>
      <c r="DW41" s="1098"/>
      <c r="DX41" s="1098"/>
      <c r="DY41" s="1098"/>
      <c r="DZ41" s="1098"/>
      <c r="EA41" s="1097">
        <f t="shared" si="9"/>
        <v>0</v>
      </c>
      <c r="EB41" s="1098"/>
      <c r="EC41" s="1098"/>
      <c r="ED41" s="1098"/>
      <c r="EE41" s="1098"/>
      <c r="EF41" s="1098"/>
      <c r="EG41" s="1098"/>
      <c r="EH41" s="1098"/>
      <c r="EI41" s="1098"/>
      <c r="EJ41" s="1098"/>
      <c r="EK41" s="1098"/>
      <c r="EL41" s="1098"/>
      <c r="EM41" s="1098"/>
      <c r="EN41" s="1097">
        <f t="shared" si="10"/>
        <v>0</v>
      </c>
      <c r="EO41" s="1098"/>
      <c r="EP41" s="1098"/>
      <c r="EQ41" s="1098"/>
      <c r="ER41" s="1098"/>
      <c r="ES41" s="1098"/>
      <c r="ET41" s="1098"/>
      <c r="EU41" s="1098"/>
      <c r="EV41" s="1098"/>
      <c r="EW41" s="1098"/>
      <c r="EX41" s="1098"/>
      <c r="EY41" s="1098"/>
      <c r="EZ41" s="1098"/>
      <c r="FA41" s="1097">
        <f t="shared" si="11"/>
        <v>0</v>
      </c>
      <c r="FB41" s="1098"/>
      <c r="FC41" s="1098"/>
      <c r="FD41" s="1098"/>
      <c r="FE41" s="1098"/>
      <c r="FF41" s="1098"/>
      <c r="FG41" s="1098"/>
      <c r="FH41" s="1098"/>
      <c r="FI41" s="1098"/>
      <c r="FJ41" s="1098"/>
      <c r="FK41" s="1098"/>
      <c r="FL41" s="1098"/>
      <c r="FM41" s="1098"/>
      <c r="FN41" s="1097">
        <f t="shared" si="12"/>
        <v>0</v>
      </c>
      <c r="FO41" s="1098"/>
      <c r="FP41" s="1098"/>
      <c r="FQ41" s="1098"/>
      <c r="FR41" s="1098"/>
      <c r="FS41" s="1098"/>
      <c r="FT41" s="1098"/>
      <c r="FU41" s="1098"/>
      <c r="FV41" s="1098"/>
      <c r="FW41" s="1098"/>
      <c r="FX41" s="1098"/>
      <c r="FY41" s="1098"/>
      <c r="FZ41" s="1098"/>
      <c r="GA41" s="1097">
        <f t="shared" si="13"/>
        <v>0</v>
      </c>
      <c r="GB41" s="1098"/>
      <c r="GC41" s="1098"/>
      <c r="GD41" s="1098"/>
      <c r="GE41" s="1098"/>
      <c r="GF41" s="1098"/>
      <c r="GG41" s="1098"/>
      <c r="GH41" s="1098"/>
      <c r="GI41" s="1098"/>
      <c r="GJ41" s="1098"/>
      <c r="GK41" s="1098"/>
      <c r="GL41" s="1098"/>
      <c r="GM41" s="1098"/>
      <c r="GN41" s="1097">
        <f t="shared" si="14"/>
        <v>0</v>
      </c>
      <c r="GO41" s="1098"/>
      <c r="GP41" s="1098"/>
      <c r="GQ41" s="1098"/>
      <c r="GR41" s="1098"/>
      <c r="GS41" s="1098"/>
      <c r="GT41" s="1098"/>
      <c r="GU41" s="1098"/>
      <c r="GV41" s="1098"/>
      <c r="GW41" s="1098"/>
      <c r="GX41" s="1098"/>
      <c r="GY41" s="1098"/>
      <c r="GZ41" s="1098"/>
      <c r="HA41" s="1097">
        <f t="shared" si="15"/>
        <v>0</v>
      </c>
      <c r="HB41" s="1098"/>
      <c r="HC41" s="1098"/>
      <c r="HD41" s="1098"/>
      <c r="HE41" s="1098"/>
      <c r="HF41" s="1098"/>
      <c r="HG41" s="1098"/>
      <c r="HH41" s="1098"/>
      <c r="HI41" s="1098"/>
      <c r="HJ41" s="1098"/>
      <c r="HK41" s="1098"/>
      <c r="HL41" s="1098"/>
      <c r="HM41" s="1098"/>
      <c r="HN41" s="1097">
        <f t="shared" si="16"/>
        <v>0</v>
      </c>
      <c r="HO41" s="1098"/>
      <c r="HP41" s="1098"/>
      <c r="HQ41" s="1098"/>
      <c r="HR41" s="1098"/>
      <c r="HS41" s="1098"/>
      <c r="HT41" s="1098"/>
      <c r="HU41" s="1098"/>
      <c r="HV41" s="1098"/>
      <c r="HW41" s="1098"/>
      <c r="HX41" s="1098"/>
      <c r="HY41" s="1098"/>
      <c r="HZ41" s="1098"/>
      <c r="IA41" s="1097">
        <f t="shared" si="17"/>
        <v>0</v>
      </c>
      <c r="IB41" s="1098"/>
      <c r="IC41" s="1098"/>
      <c r="ID41" s="1098"/>
      <c r="IE41" s="1098"/>
      <c r="IF41" s="1098"/>
      <c r="IG41" s="1098"/>
      <c r="IH41" s="1098"/>
      <c r="II41" s="1098"/>
      <c r="IJ41" s="1098"/>
      <c r="IK41" s="1098"/>
      <c r="IL41" s="1098"/>
      <c r="IM41" s="1098"/>
      <c r="IN41" s="1097">
        <f t="shared" si="38"/>
        <v>0</v>
      </c>
      <c r="IO41" s="1098"/>
      <c r="IP41" s="1098"/>
      <c r="IQ41" s="1098"/>
      <c r="IR41" s="1098"/>
      <c r="IS41" s="1098"/>
      <c r="IT41" s="1098"/>
      <c r="IU41" s="1098"/>
      <c r="IV41" s="1098"/>
      <c r="IW41" s="1098"/>
      <c r="IX41" s="1098"/>
      <c r="IY41" s="1098"/>
      <c r="IZ41" s="1098"/>
      <c r="JA41" s="1097">
        <f t="shared" si="40"/>
        <v>0</v>
      </c>
      <c r="JB41" s="1098">
        <v>0</v>
      </c>
      <c r="JC41" s="1098"/>
      <c r="JD41" s="1098"/>
      <c r="JE41" s="1098"/>
      <c r="JF41" s="1098"/>
      <c r="JG41" s="1098"/>
      <c r="JH41" s="1098"/>
      <c r="JI41" s="1098"/>
      <c r="JJ41" s="1098"/>
      <c r="JK41" s="1098"/>
      <c r="JL41" s="1098"/>
      <c r="JM41" s="1098"/>
      <c r="JN41" s="1097">
        <f t="shared" si="18"/>
        <v>0</v>
      </c>
      <c r="JP41" s="1174"/>
      <c r="JQ41" s="1175"/>
      <c r="JR41" s="1184"/>
      <c r="JS41" s="1185"/>
      <c r="JT41" s="1"/>
      <c r="JU41" s="1079">
        <f t="shared" si="46"/>
        <v>0</v>
      </c>
      <c r="JV41" s="1150" t="s">
        <v>580</v>
      </c>
      <c r="JW41" s="1081" t="str">
        <f t="shared" si="47"/>
        <v>OK</v>
      </c>
    </row>
    <row r="42" spans="1:283" ht="15" customHeight="1" x14ac:dyDescent="0.2">
      <c r="A42" s="1224" t="s">
        <v>581</v>
      </c>
      <c r="B42" s="1098"/>
      <c r="C42" s="1098"/>
      <c r="D42" s="1098"/>
      <c r="E42" s="1098"/>
      <c r="F42" s="1098"/>
      <c r="G42" s="1098"/>
      <c r="H42" s="1098"/>
      <c r="I42" s="1098"/>
      <c r="J42" s="1098"/>
      <c r="K42" s="1098"/>
      <c r="L42" s="1098"/>
      <c r="M42" s="1098"/>
      <c r="N42" s="1097">
        <f t="shared" si="0"/>
        <v>0</v>
      </c>
      <c r="O42" s="1098"/>
      <c r="P42" s="1098"/>
      <c r="Q42" s="1098"/>
      <c r="R42" s="1098"/>
      <c r="S42" s="1098"/>
      <c r="T42" s="1098"/>
      <c r="U42" s="1098"/>
      <c r="V42" s="1098"/>
      <c r="W42" s="1098"/>
      <c r="X42" s="1098"/>
      <c r="Y42" s="1098"/>
      <c r="Z42" s="1098"/>
      <c r="AA42" s="1097">
        <f t="shared" si="1"/>
        <v>0</v>
      </c>
      <c r="AB42" s="1098"/>
      <c r="AC42" s="1098"/>
      <c r="AD42" s="1098"/>
      <c r="AE42" s="1098"/>
      <c r="AF42" s="1098"/>
      <c r="AG42" s="1098"/>
      <c r="AH42" s="1098"/>
      <c r="AI42" s="1098"/>
      <c r="AJ42" s="1098"/>
      <c r="AK42" s="1098"/>
      <c r="AL42" s="1098"/>
      <c r="AM42" s="1098"/>
      <c r="AN42" s="1097">
        <f t="shared" si="2"/>
        <v>0</v>
      </c>
      <c r="AO42" s="1098"/>
      <c r="AP42" s="1098"/>
      <c r="AQ42" s="1098"/>
      <c r="AR42" s="1098"/>
      <c r="AS42" s="1098"/>
      <c r="AT42" s="1098"/>
      <c r="AU42" s="1098"/>
      <c r="AV42" s="1098"/>
      <c r="AW42" s="1098"/>
      <c r="AX42" s="1098"/>
      <c r="AY42" s="1098"/>
      <c r="AZ42" s="1098"/>
      <c r="BA42" s="1097">
        <f t="shared" si="3"/>
        <v>0</v>
      </c>
      <c r="BB42" s="1098"/>
      <c r="BC42" s="1098"/>
      <c r="BD42" s="1098"/>
      <c r="BE42" s="1098"/>
      <c r="BF42" s="1098"/>
      <c r="BG42" s="1098"/>
      <c r="BH42" s="1098"/>
      <c r="BI42" s="1098"/>
      <c r="BJ42" s="1098"/>
      <c r="BK42" s="1098"/>
      <c r="BL42" s="1098"/>
      <c r="BM42" s="1098"/>
      <c r="BN42" s="1097">
        <f t="shared" si="4"/>
        <v>0</v>
      </c>
      <c r="BO42" s="1098"/>
      <c r="BP42" s="1098"/>
      <c r="BQ42" s="1098"/>
      <c r="BR42" s="1098"/>
      <c r="BS42" s="1098"/>
      <c r="BT42" s="1098"/>
      <c r="BU42" s="1098"/>
      <c r="BV42" s="1098"/>
      <c r="BW42" s="1098"/>
      <c r="BX42" s="1098"/>
      <c r="BY42" s="1098"/>
      <c r="BZ42" s="1098"/>
      <c r="CA42" s="1097">
        <f t="shared" si="5"/>
        <v>0</v>
      </c>
      <c r="CB42" s="1098"/>
      <c r="CC42" s="1098"/>
      <c r="CD42" s="1098"/>
      <c r="CE42" s="1098"/>
      <c r="CF42" s="1098"/>
      <c r="CG42" s="1098"/>
      <c r="CH42" s="1098"/>
      <c r="CI42" s="1098"/>
      <c r="CJ42" s="1098"/>
      <c r="CK42" s="1098"/>
      <c r="CL42" s="1098"/>
      <c r="CM42" s="1098"/>
      <c r="CN42" s="1097">
        <f t="shared" si="6"/>
        <v>0</v>
      </c>
      <c r="CO42" s="1098"/>
      <c r="CP42" s="1098"/>
      <c r="CQ42" s="1098"/>
      <c r="CR42" s="1098"/>
      <c r="CS42" s="1098"/>
      <c r="CT42" s="1098"/>
      <c r="CU42" s="1098"/>
      <c r="CV42" s="1098"/>
      <c r="CW42" s="1098"/>
      <c r="CX42" s="1098"/>
      <c r="CY42" s="1098"/>
      <c r="CZ42" s="1098"/>
      <c r="DA42" s="1097">
        <f t="shared" si="7"/>
        <v>0</v>
      </c>
      <c r="DB42" s="1098"/>
      <c r="DC42" s="1098"/>
      <c r="DD42" s="1098"/>
      <c r="DE42" s="1098"/>
      <c r="DF42" s="1098"/>
      <c r="DG42" s="1098"/>
      <c r="DH42" s="1098"/>
      <c r="DI42" s="1098"/>
      <c r="DJ42" s="1098"/>
      <c r="DK42" s="1098"/>
      <c r="DL42" s="1098"/>
      <c r="DM42" s="1098"/>
      <c r="DN42" s="1097">
        <f t="shared" si="8"/>
        <v>0</v>
      </c>
      <c r="DO42" s="1098"/>
      <c r="DP42" s="1098"/>
      <c r="DQ42" s="1098"/>
      <c r="DR42" s="1098"/>
      <c r="DS42" s="1098"/>
      <c r="DT42" s="1098"/>
      <c r="DU42" s="1098"/>
      <c r="DV42" s="1098"/>
      <c r="DW42" s="1098"/>
      <c r="DX42" s="1098"/>
      <c r="DY42" s="1098"/>
      <c r="DZ42" s="1098"/>
      <c r="EA42" s="1097">
        <f t="shared" si="9"/>
        <v>0</v>
      </c>
      <c r="EB42" s="1098"/>
      <c r="EC42" s="1098"/>
      <c r="ED42" s="1098"/>
      <c r="EE42" s="1098"/>
      <c r="EF42" s="1098"/>
      <c r="EG42" s="1098"/>
      <c r="EH42" s="1098"/>
      <c r="EI42" s="1098"/>
      <c r="EJ42" s="1098"/>
      <c r="EK42" s="1098"/>
      <c r="EL42" s="1098"/>
      <c r="EM42" s="1098"/>
      <c r="EN42" s="1097">
        <f t="shared" si="10"/>
        <v>0</v>
      </c>
      <c r="EO42" s="1098"/>
      <c r="EP42" s="1098"/>
      <c r="EQ42" s="1098"/>
      <c r="ER42" s="1098"/>
      <c r="ES42" s="1098"/>
      <c r="ET42" s="1098"/>
      <c r="EU42" s="1098"/>
      <c r="EV42" s="1098"/>
      <c r="EW42" s="1098"/>
      <c r="EX42" s="1098"/>
      <c r="EY42" s="1098"/>
      <c r="EZ42" s="1098"/>
      <c r="FA42" s="1097">
        <f t="shared" si="11"/>
        <v>0</v>
      </c>
      <c r="FB42" s="1098"/>
      <c r="FC42" s="1098"/>
      <c r="FD42" s="1098"/>
      <c r="FE42" s="1098"/>
      <c r="FF42" s="1098"/>
      <c r="FG42" s="1098"/>
      <c r="FH42" s="1098"/>
      <c r="FI42" s="1098"/>
      <c r="FJ42" s="1098"/>
      <c r="FK42" s="1098"/>
      <c r="FL42" s="1098"/>
      <c r="FM42" s="1098"/>
      <c r="FN42" s="1097">
        <f t="shared" si="12"/>
        <v>0</v>
      </c>
      <c r="FO42" s="1098"/>
      <c r="FP42" s="1098"/>
      <c r="FQ42" s="1098"/>
      <c r="FR42" s="1098"/>
      <c r="FS42" s="1098"/>
      <c r="FT42" s="1098"/>
      <c r="FU42" s="1098"/>
      <c r="FV42" s="1098"/>
      <c r="FW42" s="1098"/>
      <c r="FX42" s="1098"/>
      <c r="FY42" s="1098"/>
      <c r="FZ42" s="1098"/>
      <c r="GA42" s="1097">
        <f t="shared" si="13"/>
        <v>0</v>
      </c>
      <c r="GB42" s="1098"/>
      <c r="GC42" s="1098"/>
      <c r="GD42" s="1098"/>
      <c r="GE42" s="1098"/>
      <c r="GF42" s="1098"/>
      <c r="GG42" s="1098"/>
      <c r="GH42" s="1098"/>
      <c r="GI42" s="1098"/>
      <c r="GJ42" s="1098"/>
      <c r="GK42" s="1098"/>
      <c r="GL42" s="1098"/>
      <c r="GM42" s="1098"/>
      <c r="GN42" s="1097">
        <f t="shared" si="14"/>
        <v>0</v>
      </c>
      <c r="GO42" s="1098"/>
      <c r="GP42" s="1098"/>
      <c r="GQ42" s="1098"/>
      <c r="GR42" s="1098"/>
      <c r="GS42" s="1098"/>
      <c r="GT42" s="1098"/>
      <c r="GU42" s="1098"/>
      <c r="GV42" s="1098"/>
      <c r="GW42" s="1098"/>
      <c r="GX42" s="1098"/>
      <c r="GY42" s="1098"/>
      <c r="GZ42" s="1098"/>
      <c r="HA42" s="1097">
        <f t="shared" si="15"/>
        <v>0</v>
      </c>
      <c r="HB42" s="1098"/>
      <c r="HC42" s="1098"/>
      <c r="HD42" s="1098"/>
      <c r="HE42" s="1098"/>
      <c r="HF42" s="1098"/>
      <c r="HG42" s="1098"/>
      <c r="HH42" s="1098"/>
      <c r="HI42" s="1098"/>
      <c r="HJ42" s="1098"/>
      <c r="HK42" s="1098"/>
      <c r="HL42" s="1098"/>
      <c r="HM42" s="1098"/>
      <c r="HN42" s="1097">
        <f t="shared" si="16"/>
        <v>0</v>
      </c>
      <c r="HO42" s="1098"/>
      <c r="HP42" s="1098"/>
      <c r="HQ42" s="1098"/>
      <c r="HR42" s="1098"/>
      <c r="HS42" s="1098"/>
      <c r="HT42" s="1098"/>
      <c r="HU42" s="1098"/>
      <c r="HV42" s="1098"/>
      <c r="HW42" s="1098"/>
      <c r="HX42" s="1098"/>
      <c r="HY42" s="1098"/>
      <c r="HZ42" s="1098"/>
      <c r="IA42" s="1097">
        <f t="shared" si="17"/>
        <v>0</v>
      </c>
      <c r="IB42" s="1098"/>
      <c r="IC42" s="1098"/>
      <c r="ID42" s="1098"/>
      <c r="IE42" s="1098"/>
      <c r="IF42" s="1098"/>
      <c r="IG42" s="1098"/>
      <c r="IH42" s="1098"/>
      <c r="II42" s="1098"/>
      <c r="IJ42" s="1098"/>
      <c r="IK42" s="1098"/>
      <c r="IL42" s="1098"/>
      <c r="IM42" s="1098"/>
      <c r="IN42" s="1097">
        <f t="shared" si="38"/>
        <v>0</v>
      </c>
      <c r="IO42" s="1098"/>
      <c r="IP42" s="1098"/>
      <c r="IQ42" s="1098"/>
      <c r="IR42" s="1098"/>
      <c r="IS42" s="1098"/>
      <c r="IT42" s="1098"/>
      <c r="IU42" s="1098"/>
      <c r="IV42" s="1098"/>
      <c r="IW42" s="1098"/>
      <c r="IX42" s="1098"/>
      <c r="IY42" s="1098"/>
      <c r="IZ42" s="1098"/>
      <c r="JA42" s="1097">
        <f t="shared" si="40"/>
        <v>0</v>
      </c>
      <c r="JB42" s="1098">
        <v>15</v>
      </c>
      <c r="JC42" s="1098"/>
      <c r="JD42" s="1098"/>
      <c r="JE42" s="1098"/>
      <c r="JF42" s="1098"/>
      <c r="JG42" s="1098"/>
      <c r="JH42" s="1098"/>
      <c r="JI42" s="1098"/>
      <c r="JJ42" s="1098"/>
      <c r="JK42" s="1098"/>
      <c r="JL42" s="1098"/>
      <c r="JM42" s="1098"/>
      <c r="JN42" s="1097">
        <f t="shared" si="18"/>
        <v>15</v>
      </c>
      <c r="JP42" s="1174"/>
      <c r="JQ42" s="1175"/>
      <c r="JR42" s="1184"/>
      <c r="JS42" s="1185"/>
      <c r="JT42" s="1"/>
      <c r="JU42" s="1079">
        <f t="shared" si="46"/>
        <v>30</v>
      </c>
      <c r="JV42" s="1150" t="s">
        <v>581</v>
      </c>
      <c r="JW42" s="1081" t="str">
        <f t="shared" si="47"/>
        <v>OK</v>
      </c>
    </row>
    <row r="43" spans="1:283" ht="15" customHeight="1" x14ac:dyDescent="0.2">
      <c r="A43" s="1224" t="s">
        <v>284</v>
      </c>
      <c r="B43" s="1098">
        <v>7</v>
      </c>
      <c r="C43" s="1098">
        <v>8</v>
      </c>
      <c r="D43" s="1098">
        <v>22</v>
      </c>
      <c r="E43" s="1098">
        <v>20</v>
      </c>
      <c r="F43" s="1098">
        <v>23</v>
      </c>
      <c r="G43" s="1098">
        <v>19</v>
      </c>
      <c r="H43" s="1098">
        <v>19</v>
      </c>
      <c r="I43" s="1098">
        <v>7</v>
      </c>
      <c r="J43" s="1098">
        <v>6</v>
      </c>
      <c r="K43" s="1098">
        <v>5</v>
      </c>
      <c r="L43" s="1098">
        <v>5</v>
      </c>
      <c r="M43" s="1098">
        <v>8</v>
      </c>
      <c r="N43" s="1097">
        <f t="shared" si="0"/>
        <v>149</v>
      </c>
      <c r="O43" s="1098">
        <v>5</v>
      </c>
      <c r="P43" s="1098">
        <v>8</v>
      </c>
      <c r="Q43" s="1098">
        <v>10</v>
      </c>
      <c r="R43" s="1098">
        <v>10</v>
      </c>
      <c r="S43" s="1098">
        <v>19</v>
      </c>
      <c r="T43" s="1098">
        <v>14</v>
      </c>
      <c r="U43" s="1098">
        <v>15.5</v>
      </c>
      <c r="V43" s="1098">
        <v>15</v>
      </c>
      <c r="W43" s="1098">
        <v>14</v>
      </c>
      <c r="X43" s="1098">
        <v>24</v>
      </c>
      <c r="Y43" s="1098">
        <v>10</v>
      </c>
      <c r="Z43" s="1098">
        <v>10</v>
      </c>
      <c r="AA43" s="1097">
        <f t="shared" si="1"/>
        <v>154.5</v>
      </c>
      <c r="AB43" s="1098">
        <v>6</v>
      </c>
      <c r="AC43" s="1098">
        <v>8</v>
      </c>
      <c r="AD43" s="1098">
        <v>11</v>
      </c>
      <c r="AE43" s="1098">
        <v>15</v>
      </c>
      <c r="AF43" s="1098">
        <v>13</v>
      </c>
      <c r="AG43" s="1098">
        <v>16</v>
      </c>
      <c r="AH43" s="1098">
        <v>18</v>
      </c>
      <c r="AI43" s="1098">
        <v>14</v>
      </c>
      <c r="AJ43" s="1098">
        <v>14</v>
      </c>
      <c r="AK43" s="1098">
        <v>13</v>
      </c>
      <c r="AL43" s="1098">
        <v>12</v>
      </c>
      <c r="AM43" s="1098">
        <v>31</v>
      </c>
      <c r="AN43" s="1097">
        <f t="shared" si="2"/>
        <v>171</v>
      </c>
      <c r="AO43" s="1098">
        <v>6.5</v>
      </c>
      <c r="AP43" s="1098">
        <v>8</v>
      </c>
      <c r="AQ43" s="1098">
        <v>12</v>
      </c>
      <c r="AR43" s="1098">
        <v>18</v>
      </c>
      <c r="AS43" s="1098">
        <v>13</v>
      </c>
      <c r="AT43" s="1098">
        <v>6</v>
      </c>
      <c r="AU43" s="1098">
        <v>10</v>
      </c>
      <c r="AV43" s="1098">
        <v>16</v>
      </c>
      <c r="AW43" s="1098">
        <v>15</v>
      </c>
      <c r="AX43" s="1098">
        <v>8</v>
      </c>
      <c r="AY43" s="1098">
        <v>8</v>
      </c>
      <c r="AZ43" s="1098">
        <v>9</v>
      </c>
      <c r="BA43" s="1097">
        <f t="shared" si="3"/>
        <v>129.5</v>
      </c>
      <c r="BB43" s="1098">
        <v>2</v>
      </c>
      <c r="BC43" s="1098">
        <v>10</v>
      </c>
      <c r="BD43" s="1098">
        <v>3</v>
      </c>
      <c r="BE43" s="1098">
        <v>3</v>
      </c>
      <c r="BF43" s="1098">
        <v>10</v>
      </c>
      <c r="BG43" s="1098">
        <v>2</v>
      </c>
      <c r="BH43" s="1098">
        <v>4</v>
      </c>
      <c r="BI43" s="1098">
        <v>5</v>
      </c>
      <c r="BJ43" s="1098">
        <v>6</v>
      </c>
      <c r="BK43" s="1098">
        <v>4</v>
      </c>
      <c r="BL43" s="1098">
        <v>6</v>
      </c>
      <c r="BM43" s="1098">
        <v>6</v>
      </c>
      <c r="BN43" s="1097">
        <f t="shared" si="4"/>
        <v>61</v>
      </c>
      <c r="BO43" s="1098">
        <v>6</v>
      </c>
      <c r="BP43" s="1098">
        <v>4</v>
      </c>
      <c r="BQ43" s="1098">
        <v>6</v>
      </c>
      <c r="BR43" s="1098">
        <v>10</v>
      </c>
      <c r="BS43" s="1098">
        <v>3</v>
      </c>
      <c r="BT43" s="1098">
        <v>5</v>
      </c>
      <c r="BU43" s="1098">
        <v>5</v>
      </c>
      <c r="BV43" s="1098">
        <v>4</v>
      </c>
      <c r="BW43" s="1098">
        <v>4</v>
      </c>
      <c r="BX43" s="1098">
        <v>5</v>
      </c>
      <c r="BY43" s="1098">
        <v>3</v>
      </c>
      <c r="BZ43" s="1098">
        <v>5</v>
      </c>
      <c r="CA43" s="1097">
        <f t="shared" si="5"/>
        <v>60</v>
      </c>
      <c r="CB43" s="1098">
        <v>2</v>
      </c>
      <c r="CC43" s="1098">
        <v>5</v>
      </c>
      <c r="CD43" s="1098">
        <v>10</v>
      </c>
      <c r="CE43" s="1098">
        <v>11</v>
      </c>
      <c r="CF43" s="1098">
        <v>2</v>
      </c>
      <c r="CG43" s="1098">
        <v>5</v>
      </c>
      <c r="CH43" s="1098">
        <v>5</v>
      </c>
      <c r="CI43" s="1098">
        <v>4</v>
      </c>
      <c r="CJ43" s="1098">
        <v>4</v>
      </c>
      <c r="CK43" s="1098">
        <v>5</v>
      </c>
      <c r="CL43" s="1098">
        <v>4</v>
      </c>
      <c r="CM43" s="1098">
        <v>4</v>
      </c>
      <c r="CN43" s="1097">
        <f t="shared" si="6"/>
        <v>61</v>
      </c>
      <c r="CO43" s="1098">
        <v>5</v>
      </c>
      <c r="CP43" s="1098">
        <v>4</v>
      </c>
      <c r="CQ43" s="1098">
        <v>5</v>
      </c>
      <c r="CR43" s="1098">
        <v>5</v>
      </c>
      <c r="CS43" s="1098">
        <v>5</v>
      </c>
      <c r="CT43" s="1098">
        <v>3</v>
      </c>
      <c r="CU43" s="1098">
        <v>4</v>
      </c>
      <c r="CV43" s="1098">
        <v>4</v>
      </c>
      <c r="CW43" s="1098">
        <v>5</v>
      </c>
      <c r="CX43" s="1098">
        <v>4</v>
      </c>
      <c r="CY43" s="1098">
        <v>3</v>
      </c>
      <c r="CZ43" s="1098">
        <v>4</v>
      </c>
      <c r="DA43" s="1097">
        <f t="shared" si="7"/>
        <v>51</v>
      </c>
      <c r="DB43" s="1098">
        <v>3</v>
      </c>
      <c r="DC43" s="1098">
        <v>4</v>
      </c>
      <c r="DD43" s="1098">
        <v>5</v>
      </c>
      <c r="DE43" s="1098">
        <v>3</v>
      </c>
      <c r="DF43" s="1098">
        <v>4.5</v>
      </c>
      <c r="DG43" s="1098">
        <v>4</v>
      </c>
      <c r="DH43" s="1098">
        <v>3</v>
      </c>
      <c r="DI43" s="1098">
        <v>8</v>
      </c>
      <c r="DJ43" s="1098">
        <v>2</v>
      </c>
      <c r="DK43" s="1098">
        <v>6</v>
      </c>
      <c r="DL43" s="1098">
        <v>3</v>
      </c>
      <c r="DM43" s="1098">
        <v>7</v>
      </c>
      <c r="DN43" s="1097">
        <f t="shared" si="8"/>
        <v>52.5</v>
      </c>
      <c r="DO43" s="1098">
        <v>4</v>
      </c>
      <c r="DP43" s="1098">
        <v>3</v>
      </c>
      <c r="DQ43" s="1098">
        <v>3</v>
      </c>
      <c r="DR43" s="1098">
        <v>3</v>
      </c>
      <c r="DS43" s="1098">
        <v>4</v>
      </c>
      <c r="DT43" s="1098">
        <v>3.5</v>
      </c>
      <c r="DU43" s="1098">
        <v>3</v>
      </c>
      <c r="DV43" s="1098">
        <v>6</v>
      </c>
      <c r="DW43" s="1098">
        <v>3</v>
      </c>
      <c r="DX43" s="1098">
        <v>7</v>
      </c>
      <c r="DY43" s="1098">
        <v>6.5</v>
      </c>
      <c r="DZ43" s="1098">
        <v>6</v>
      </c>
      <c r="EA43" s="1097">
        <f t="shared" si="9"/>
        <v>52</v>
      </c>
      <c r="EB43" s="1098">
        <v>4</v>
      </c>
      <c r="EC43" s="1098">
        <v>4</v>
      </c>
      <c r="ED43" s="1098">
        <v>3</v>
      </c>
      <c r="EE43" s="1098">
        <v>2</v>
      </c>
      <c r="EF43" s="1098">
        <v>5</v>
      </c>
      <c r="EG43" s="1098">
        <v>3</v>
      </c>
      <c r="EH43" s="1098">
        <v>3</v>
      </c>
      <c r="EI43" s="1098">
        <v>8</v>
      </c>
      <c r="EJ43" s="1098">
        <v>3</v>
      </c>
      <c r="EK43" s="1098">
        <v>7</v>
      </c>
      <c r="EL43" s="1098">
        <v>3</v>
      </c>
      <c r="EM43" s="1098">
        <v>8</v>
      </c>
      <c r="EN43" s="1097">
        <f t="shared" si="10"/>
        <v>53</v>
      </c>
      <c r="EO43" s="1098">
        <v>3</v>
      </c>
      <c r="EP43" s="1098">
        <v>3</v>
      </c>
      <c r="EQ43" s="1098">
        <v>9</v>
      </c>
      <c r="ER43" s="1098">
        <v>3</v>
      </c>
      <c r="ES43" s="1098">
        <v>3</v>
      </c>
      <c r="ET43" s="1098">
        <v>6</v>
      </c>
      <c r="EU43" s="1098">
        <v>3</v>
      </c>
      <c r="EV43" s="1098">
        <v>3</v>
      </c>
      <c r="EW43" s="1098">
        <v>6</v>
      </c>
      <c r="EX43" s="1098">
        <v>3</v>
      </c>
      <c r="EY43" s="1098">
        <v>3</v>
      </c>
      <c r="EZ43" s="1098">
        <v>7</v>
      </c>
      <c r="FA43" s="1097">
        <f t="shared" si="11"/>
        <v>52</v>
      </c>
      <c r="FB43" s="1098">
        <v>3</v>
      </c>
      <c r="FC43" s="1098">
        <v>3</v>
      </c>
      <c r="FD43" s="1098">
        <v>7</v>
      </c>
      <c r="FE43" s="1098">
        <v>4</v>
      </c>
      <c r="FF43" s="1098">
        <v>10</v>
      </c>
      <c r="FG43" s="1098">
        <v>5</v>
      </c>
      <c r="FH43" s="1098">
        <v>3</v>
      </c>
      <c r="FI43" s="1098">
        <v>3</v>
      </c>
      <c r="FJ43" s="1098">
        <v>5</v>
      </c>
      <c r="FK43" s="1098">
        <v>4</v>
      </c>
      <c r="FL43" s="1098">
        <v>3</v>
      </c>
      <c r="FM43" s="1098">
        <v>3</v>
      </c>
      <c r="FN43" s="1097">
        <f t="shared" si="12"/>
        <v>53</v>
      </c>
      <c r="FO43" s="1098">
        <v>3</v>
      </c>
      <c r="FP43" s="1098">
        <v>3</v>
      </c>
      <c r="FQ43" s="1098">
        <v>10</v>
      </c>
      <c r="FR43" s="1098">
        <v>9</v>
      </c>
      <c r="FS43" s="1098">
        <v>19</v>
      </c>
      <c r="FT43" s="1098">
        <v>7</v>
      </c>
      <c r="FU43" s="1098">
        <v>6</v>
      </c>
      <c r="FV43" s="1098">
        <v>6</v>
      </c>
      <c r="FW43" s="1098">
        <v>9</v>
      </c>
      <c r="FX43" s="1098">
        <v>10</v>
      </c>
      <c r="FY43" s="1098">
        <v>4</v>
      </c>
      <c r="FZ43" s="1098">
        <v>10</v>
      </c>
      <c r="GA43" s="1097">
        <f t="shared" si="13"/>
        <v>96</v>
      </c>
      <c r="GB43" s="1098">
        <v>4</v>
      </c>
      <c r="GC43" s="1098">
        <v>5</v>
      </c>
      <c r="GD43" s="1098">
        <v>6</v>
      </c>
      <c r="GE43" s="1098">
        <v>5</v>
      </c>
      <c r="GF43" s="1098">
        <v>3</v>
      </c>
      <c r="GG43" s="1098">
        <v>5</v>
      </c>
      <c r="GH43" s="1098">
        <v>6</v>
      </c>
      <c r="GI43" s="1098"/>
      <c r="GJ43" s="1098">
        <v>4</v>
      </c>
      <c r="GK43" s="1098">
        <v>5</v>
      </c>
      <c r="GL43" s="1098">
        <v>6</v>
      </c>
      <c r="GM43" s="1098">
        <v>5</v>
      </c>
      <c r="GN43" s="1097">
        <f t="shared" si="14"/>
        <v>54</v>
      </c>
      <c r="GO43" s="1098">
        <v>5</v>
      </c>
      <c r="GP43" s="1098">
        <v>6</v>
      </c>
      <c r="GQ43" s="1098">
        <v>5</v>
      </c>
      <c r="GR43" s="1098">
        <v>6</v>
      </c>
      <c r="GS43" s="1098">
        <v>6</v>
      </c>
      <c r="GT43" s="1098">
        <v>6</v>
      </c>
      <c r="GU43" s="1098">
        <v>7</v>
      </c>
      <c r="GV43" s="1098"/>
      <c r="GW43" s="1098">
        <v>4</v>
      </c>
      <c r="GX43" s="1098">
        <v>4</v>
      </c>
      <c r="GY43" s="1098">
        <v>5</v>
      </c>
      <c r="GZ43" s="1098">
        <v>6</v>
      </c>
      <c r="HA43" s="1097">
        <f t="shared" si="15"/>
        <v>60</v>
      </c>
      <c r="HB43" s="1098">
        <v>6</v>
      </c>
      <c r="HC43" s="1098">
        <v>6</v>
      </c>
      <c r="HD43" s="1098">
        <v>7</v>
      </c>
      <c r="HE43" s="1098">
        <v>7</v>
      </c>
      <c r="HF43" s="1098">
        <v>6</v>
      </c>
      <c r="HG43" s="1098">
        <v>5</v>
      </c>
      <c r="HH43" s="1098">
        <v>8</v>
      </c>
      <c r="HI43" s="1098">
        <v>2</v>
      </c>
      <c r="HJ43" s="1098">
        <v>6</v>
      </c>
      <c r="HK43" s="1098">
        <v>4</v>
      </c>
      <c r="HL43" s="1098">
        <v>4</v>
      </c>
      <c r="HM43" s="1098"/>
      <c r="HN43" s="1097">
        <f t="shared" si="16"/>
        <v>61</v>
      </c>
      <c r="HO43" s="1098">
        <v>5</v>
      </c>
      <c r="HP43" s="1098">
        <v>5</v>
      </c>
      <c r="HQ43" s="1098">
        <v>8</v>
      </c>
      <c r="HR43" s="1098">
        <v>9</v>
      </c>
      <c r="HS43" s="1098">
        <v>7</v>
      </c>
      <c r="HT43" s="1098">
        <v>8</v>
      </c>
      <c r="HU43" s="1098">
        <v>7</v>
      </c>
      <c r="HV43" s="1098">
        <v>1</v>
      </c>
      <c r="HW43" s="1098">
        <v>4</v>
      </c>
      <c r="HX43" s="1098">
        <v>3</v>
      </c>
      <c r="HY43" s="1098">
        <v>5</v>
      </c>
      <c r="HZ43" s="1098">
        <v>7</v>
      </c>
      <c r="IA43" s="1097">
        <f t="shared" si="17"/>
        <v>69</v>
      </c>
      <c r="IB43" s="1098">
        <v>4</v>
      </c>
      <c r="IC43" s="1098">
        <v>4</v>
      </c>
      <c r="ID43" s="1098">
        <v>6</v>
      </c>
      <c r="IE43" s="1098">
        <v>7</v>
      </c>
      <c r="IF43" s="1098">
        <v>5</v>
      </c>
      <c r="IG43" s="1098">
        <v>6</v>
      </c>
      <c r="IH43" s="1098">
        <v>6</v>
      </c>
      <c r="II43" s="1098">
        <v>6</v>
      </c>
      <c r="IJ43" s="1098">
        <v>3</v>
      </c>
      <c r="IK43" s="1098">
        <v>2</v>
      </c>
      <c r="IL43" s="1098">
        <v>4</v>
      </c>
      <c r="IM43" s="1098">
        <v>3</v>
      </c>
      <c r="IN43" s="1097">
        <f t="shared" si="38"/>
        <v>56</v>
      </c>
      <c r="IO43" s="1098">
        <v>3</v>
      </c>
      <c r="IP43" s="1098">
        <v>3</v>
      </c>
      <c r="IQ43" s="1098">
        <v>3</v>
      </c>
      <c r="IR43" s="1098">
        <v>5</v>
      </c>
      <c r="IS43" s="1098">
        <v>6</v>
      </c>
      <c r="IT43" s="1098">
        <v>5</v>
      </c>
      <c r="IU43" s="1098">
        <v>8</v>
      </c>
      <c r="IV43" s="1098">
        <v>1</v>
      </c>
      <c r="IW43" s="1098">
        <v>2</v>
      </c>
      <c r="IX43" s="1098">
        <v>2</v>
      </c>
      <c r="IY43" s="1098">
        <v>3</v>
      </c>
      <c r="IZ43" s="1098"/>
      <c r="JA43" s="1097">
        <f t="shared" si="40"/>
        <v>41</v>
      </c>
      <c r="JB43" s="1098">
        <v>2</v>
      </c>
      <c r="JC43" s="1098"/>
      <c r="JD43" s="1098"/>
      <c r="JE43" s="1098"/>
      <c r="JF43" s="1098"/>
      <c r="JG43" s="1098"/>
      <c r="JH43" s="1098"/>
      <c r="JI43" s="1098"/>
      <c r="JJ43" s="1098"/>
      <c r="JK43" s="1098"/>
      <c r="JL43" s="1098"/>
      <c r="JM43" s="1098"/>
      <c r="JN43" s="1097">
        <f t="shared" si="18"/>
        <v>2</v>
      </c>
      <c r="JP43" s="1174">
        <f>IFERROR(((
_xlfn.XLOOKUP((DATE(YEAR($JP$5),MONTH($JP$5),1)),$B$5:$JN$5,$B43:$JN43) /
_xlfn.XLOOKUP((DATE(YEAR($JP$5)-1,MONTH($JP$5),1)),$B$5:$JN$5,$B43:$JN43)
)-1)*100,"")</f>
        <v>-100</v>
      </c>
      <c r="JQ43" s="1175">
        <f>IFERROR(((JS43/JR43)-1)*100,"")</f>
        <v>-26.785714285714292</v>
      </c>
      <c r="JR43" s="1184">
        <f>SUMIFS($B43:$JN43,$B$5:$JN$5,"&gt;="&amp;DATE(YEAR($JP$5)-1,1,1),$B$5:$JN$5,"&lt;="&amp;DATE(YEAR($JP$5)-1,MONTH($JP$5),1))</f>
        <v>56</v>
      </c>
      <c r="JS43" s="1185">
        <f>SUMIFS($B43:$JN43,$B$5:$JN$5,"&gt;="&amp;DATE(YEAR($JP$5),1,1),$B$5:$JN$5,"&lt;="&amp;$JP$5)</f>
        <v>41</v>
      </c>
      <c r="JT43" s="1"/>
      <c r="JU43" s="1079">
        <f t="shared" si="46"/>
        <v>3077</v>
      </c>
      <c r="JV43" s="1150" t="s">
        <v>284</v>
      </c>
      <c r="JW43" s="1081" t="str">
        <f t="shared" si="47"/>
        <v>OK</v>
      </c>
    </row>
    <row r="44" spans="1:283" ht="15" customHeight="1" x14ac:dyDescent="0.2">
      <c r="A44" s="1224" t="s">
        <v>181</v>
      </c>
      <c r="B44" s="1098">
        <v>1003</v>
      </c>
      <c r="C44" s="1098">
        <v>1006</v>
      </c>
      <c r="D44" s="1098">
        <v>1046</v>
      </c>
      <c r="E44" s="1098">
        <v>1152</v>
      </c>
      <c r="F44" s="1098">
        <v>1088</v>
      </c>
      <c r="G44" s="1098">
        <v>1041.5</v>
      </c>
      <c r="H44" s="1098">
        <v>1048</v>
      </c>
      <c r="I44" s="1098">
        <v>1002.5</v>
      </c>
      <c r="J44" s="1098">
        <v>908</v>
      </c>
      <c r="K44" s="1098">
        <v>970.5</v>
      </c>
      <c r="L44" s="1098">
        <v>860</v>
      </c>
      <c r="M44" s="1098">
        <v>780.5</v>
      </c>
      <c r="N44" s="1097">
        <f t="shared" si="0"/>
        <v>11906</v>
      </c>
      <c r="O44" s="1098">
        <v>1052</v>
      </c>
      <c r="P44" s="1098">
        <v>1027</v>
      </c>
      <c r="Q44" s="1098">
        <v>1130</v>
      </c>
      <c r="R44" s="1098">
        <v>1168</v>
      </c>
      <c r="S44" s="1098">
        <v>1048</v>
      </c>
      <c r="T44" s="1098">
        <v>1066</v>
      </c>
      <c r="U44" s="1098">
        <v>1004</v>
      </c>
      <c r="V44" s="1098">
        <v>915</v>
      </c>
      <c r="W44" s="1098">
        <v>894</v>
      </c>
      <c r="X44" s="1098">
        <v>943</v>
      </c>
      <c r="Y44" s="1098">
        <v>968</v>
      </c>
      <c r="Z44" s="1098">
        <v>985</v>
      </c>
      <c r="AA44" s="1097">
        <f t="shared" si="1"/>
        <v>12200</v>
      </c>
      <c r="AB44" s="1098">
        <v>1002</v>
      </c>
      <c r="AC44" s="1098">
        <v>1036</v>
      </c>
      <c r="AD44" s="1098">
        <v>944</v>
      </c>
      <c r="AE44" s="1098">
        <v>974</v>
      </c>
      <c r="AF44" s="1098">
        <v>819</v>
      </c>
      <c r="AG44" s="1098">
        <v>1026</v>
      </c>
      <c r="AH44" s="1098">
        <v>1013</v>
      </c>
      <c r="AI44" s="1098">
        <v>981</v>
      </c>
      <c r="AJ44" s="1098">
        <v>1042</v>
      </c>
      <c r="AK44" s="1098">
        <v>1068</v>
      </c>
      <c r="AL44" s="1098">
        <v>1088</v>
      </c>
      <c r="AM44" s="1098">
        <v>1086</v>
      </c>
      <c r="AN44" s="1097">
        <f t="shared" si="2"/>
        <v>12079</v>
      </c>
      <c r="AO44" s="1098">
        <v>1199</v>
      </c>
      <c r="AP44" s="1098">
        <v>1463</v>
      </c>
      <c r="AQ44" s="1098">
        <v>1720</v>
      </c>
      <c r="AR44" s="1098">
        <v>1502</v>
      </c>
      <c r="AS44" s="1098">
        <v>1732</v>
      </c>
      <c r="AT44" s="1098">
        <v>1823</v>
      </c>
      <c r="AU44" s="1098">
        <v>1732</v>
      </c>
      <c r="AV44" s="1098">
        <v>1666</v>
      </c>
      <c r="AW44" s="1098">
        <v>1767</v>
      </c>
      <c r="AX44" s="1098">
        <v>1885</v>
      </c>
      <c r="AY44" s="1098">
        <v>1932</v>
      </c>
      <c r="AZ44" s="1098">
        <v>2472</v>
      </c>
      <c r="BA44" s="1097">
        <f t="shared" si="3"/>
        <v>20893</v>
      </c>
      <c r="BB44" s="1098">
        <v>987</v>
      </c>
      <c r="BC44" s="1098">
        <v>1371</v>
      </c>
      <c r="BD44" s="1098">
        <v>1247</v>
      </c>
      <c r="BE44" s="1098">
        <v>1133</v>
      </c>
      <c r="BF44" s="1098">
        <v>1408</v>
      </c>
      <c r="BG44" s="1098">
        <v>1484</v>
      </c>
      <c r="BH44" s="1098">
        <v>1874</v>
      </c>
      <c r="BI44" s="1098">
        <v>1658</v>
      </c>
      <c r="BJ44" s="1098">
        <v>1811</v>
      </c>
      <c r="BK44" s="1098">
        <v>1851</v>
      </c>
      <c r="BL44" s="1098">
        <v>2088</v>
      </c>
      <c r="BM44" s="1098">
        <v>1976</v>
      </c>
      <c r="BN44" s="1097">
        <f t="shared" si="4"/>
        <v>18888</v>
      </c>
      <c r="BO44" s="1098">
        <v>1062</v>
      </c>
      <c r="BP44" s="1098">
        <v>1309</v>
      </c>
      <c r="BQ44" s="1098">
        <v>1351</v>
      </c>
      <c r="BR44" s="1098">
        <v>1526</v>
      </c>
      <c r="BS44" s="1098">
        <v>1407</v>
      </c>
      <c r="BT44" s="1098">
        <v>1404</v>
      </c>
      <c r="BU44" s="1098">
        <v>1294</v>
      </c>
      <c r="BV44" s="1098">
        <v>1388</v>
      </c>
      <c r="BW44" s="1098">
        <v>1838</v>
      </c>
      <c r="BX44" s="1098">
        <v>1779</v>
      </c>
      <c r="BY44" s="1098">
        <v>2059</v>
      </c>
      <c r="BZ44" s="1098">
        <v>1661</v>
      </c>
      <c r="CA44" s="1097">
        <f t="shared" si="5"/>
        <v>18078</v>
      </c>
      <c r="CB44" s="1098">
        <v>2308</v>
      </c>
      <c r="CC44" s="1098">
        <v>2376</v>
      </c>
      <c r="CD44" s="1098">
        <v>2522</v>
      </c>
      <c r="CE44" s="1098">
        <v>2583</v>
      </c>
      <c r="CF44" s="1098">
        <v>2461</v>
      </c>
      <c r="CG44" s="1098">
        <v>2305</v>
      </c>
      <c r="CH44" s="1098">
        <v>2228</v>
      </c>
      <c r="CI44" s="1098">
        <v>3992</v>
      </c>
      <c r="CJ44" s="1098">
        <v>2317</v>
      </c>
      <c r="CK44" s="1098">
        <v>2548</v>
      </c>
      <c r="CL44" s="1098">
        <v>2236</v>
      </c>
      <c r="CM44" s="1098">
        <v>2406</v>
      </c>
      <c r="CN44" s="1097">
        <f t="shared" si="6"/>
        <v>30282</v>
      </c>
      <c r="CO44" s="1098">
        <v>1389</v>
      </c>
      <c r="CP44" s="1098">
        <v>2167</v>
      </c>
      <c r="CQ44" s="1098">
        <v>1609</v>
      </c>
      <c r="CR44" s="1098">
        <v>1437</v>
      </c>
      <c r="CS44" s="1098">
        <v>1567</v>
      </c>
      <c r="CT44" s="1098">
        <v>1518</v>
      </c>
      <c r="CU44" s="1098">
        <v>1424</v>
      </c>
      <c r="CV44" s="1098">
        <v>1520</v>
      </c>
      <c r="CW44" s="1098">
        <v>1895</v>
      </c>
      <c r="CX44" s="1098">
        <v>2074</v>
      </c>
      <c r="CY44" s="1098">
        <v>2149</v>
      </c>
      <c r="CZ44" s="1098">
        <v>2191</v>
      </c>
      <c r="DA44" s="1097">
        <f t="shared" si="7"/>
        <v>20940</v>
      </c>
      <c r="DB44" s="1098">
        <v>2108</v>
      </c>
      <c r="DC44" s="1098">
        <v>1962</v>
      </c>
      <c r="DD44" s="1098">
        <v>2040</v>
      </c>
      <c r="DE44" s="1098">
        <v>1787</v>
      </c>
      <c r="DF44" s="1098">
        <v>1604</v>
      </c>
      <c r="DG44" s="1098">
        <v>1580</v>
      </c>
      <c r="DH44" s="1098">
        <v>1504</v>
      </c>
      <c r="DI44" s="1098">
        <v>1381</v>
      </c>
      <c r="DJ44" s="1098">
        <v>1372</v>
      </c>
      <c r="DK44" s="1098">
        <v>1867</v>
      </c>
      <c r="DL44" s="1098">
        <v>1959</v>
      </c>
      <c r="DM44" s="1098">
        <v>2070</v>
      </c>
      <c r="DN44" s="1097">
        <f t="shared" si="8"/>
        <v>21234</v>
      </c>
      <c r="DO44" s="1098">
        <v>2104</v>
      </c>
      <c r="DP44" s="1098">
        <v>1811</v>
      </c>
      <c r="DQ44" s="1098">
        <v>1913</v>
      </c>
      <c r="DR44" s="1098">
        <v>1578</v>
      </c>
      <c r="DS44" s="1098">
        <v>1878</v>
      </c>
      <c r="DT44" s="1098">
        <v>1480</v>
      </c>
      <c r="DU44" s="1098">
        <v>1825</v>
      </c>
      <c r="DV44" s="1098">
        <v>3331</v>
      </c>
      <c r="DW44" s="1098">
        <v>1750</v>
      </c>
      <c r="DX44" s="1098">
        <v>1475</v>
      </c>
      <c r="DY44" s="1098">
        <v>2137</v>
      </c>
      <c r="DZ44" s="1098">
        <v>2187</v>
      </c>
      <c r="EA44" s="1097">
        <f t="shared" si="9"/>
        <v>23469</v>
      </c>
      <c r="EB44" s="1098">
        <v>1295</v>
      </c>
      <c r="EC44" s="1098">
        <v>1517</v>
      </c>
      <c r="ED44" s="1098">
        <v>1516</v>
      </c>
      <c r="EE44" s="1098">
        <v>1559</v>
      </c>
      <c r="EF44" s="1098">
        <v>1728</v>
      </c>
      <c r="EG44" s="1098">
        <v>2385</v>
      </c>
      <c r="EH44" s="1098">
        <v>1794</v>
      </c>
      <c r="EI44" s="1098">
        <v>1637</v>
      </c>
      <c r="EJ44" s="1098">
        <v>2568</v>
      </c>
      <c r="EK44" s="1098">
        <v>1785</v>
      </c>
      <c r="EL44" s="1098">
        <v>1912</v>
      </c>
      <c r="EM44" s="1098">
        <v>3027</v>
      </c>
      <c r="EN44" s="1097">
        <f t="shared" si="10"/>
        <v>22723</v>
      </c>
      <c r="EO44" s="1098">
        <v>1347</v>
      </c>
      <c r="EP44" s="1098">
        <v>1648</v>
      </c>
      <c r="EQ44" s="1098">
        <v>1398</v>
      </c>
      <c r="ER44" s="1098">
        <v>1863</v>
      </c>
      <c r="ES44" s="1098">
        <v>1498</v>
      </c>
      <c r="ET44" s="1098">
        <v>1690</v>
      </c>
      <c r="EU44" s="1098">
        <v>1296</v>
      </c>
      <c r="EV44" s="1098">
        <v>1289</v>
      </c>
      <c r="EW44" s="1098">
        <v>1477</v>
      </c>
      <c r="EX44" s="1098">
        <v>1833</v>
      </c>
      <c r="EY44" s="1098">
        <v>1598</v>
      </c>
      <c r="EZ44" s="1098">
        <v>1803</v>
      </c>
      <c r="FA44" s="1097">
        <f t="shared" si="11"/>
        <v>18740</v>
      </c>
      <c r="FB44" s="1098">
        <v>2105</v>
      </c>
      <c r="FC44" s="1098">
        <v>1857</v>
      </c>
      <c r="FD44" s="1098">
        <v>2056</v>
      </c>
      <c r="FE44" s="1098">
        <v>1863</v>
      </c>
      <c r="FF44" s="1098">
        <v>2556</v>
      </c>
      <c r="FG44" s="1098">
        <v>1964</v>
      </c>
      <c r="FH44" s="1098">
        <v>2043</v>
      </c>
      <c r="FI44" s="1098">
        <v>1670</v>
      </c>
      <c r="FJ44" s="1098">
        <v>2077</v>
      </c>
      <c r="FK44" s="1098">
        <v>1882</v>
      </c>
      <c r="FL44" s="1098">
        <v>2050</v>
      </c>
      <c r="FM44" s="1098">
        <v>2361</v>
      </c>
      <c r="FN44" s="1097">
        <f t="shared" si="12"/>
        <v>24484</v>
      </c>
      <c r="FO44" s="1098">
        <v>2096</v>
      </c>
      <c r="FP44" s="1098">
        <v>1945</v>
      </c>
      <c r="FQ44" s="1098">
        <v>1993</v>
      </c>
      <c r="FR44" s="1098">
        <v>1907</v>
      </c>
      <c r="FS44" s="1098">
        <v>1928</v>
      </c>
      <c r="FT44" s="1098">
        <v>1890</v>
      </c>
      <c r="FU44" s="1098">
        <v>1802</v>
      </c>
      <c r="FV44" s="1098">
        <v>1730</v>
      </c>
      <c r="FW44" s="1098">
        <v>1795</v>
      </c>
      <c r="FX44" s="1098">
        <v>2016</v>
      </c>
      <c r="FY44" s="1098">
        <v>2056</v>
      </c>
      <c r="FZ44" s="1098">
        <v>2317</v>
      </c>
      <c r="GA44" s="1097">
        <f t="shared" si="13"/>
        <v>23475</v>
      </c>
      <c r="GB44" s="1098">
        <v>2076</v>
      </c>
      <c r="GC44" s="1098">
        <v>1914</v>
      </c>
      <c r="GD44" s="1098">
        <v>2029</v>
      </c>
      <c r="GE44" s="1098">
        <v>1828</v>
      </c>
      <c r="GF44" s="1098">
        <v>1850</v>
      </c>
      <c r="GG44" s="1098">
        <v>1829</v>
      </c>
      <c r="GH44" s="1098">
        <v>1782</v>
      </c>
      <c r="GI44" s="1098">
        <v>1885</v>
      </c>
      <c r="GJ44" s="1098">
        <v>1828</v>
      </c>
      <c r="GK44" s="1098">
        <v>1921</v>
      </c>
      <c r="GL44" s="1098">
        <v>2036</v>
      </c>
      <c r="GM44" s="1098">
        <v>2172</v>
      </c>
      <c r="GN44" s="1097">
        <f t="shared" si="14"/>
        <v>23150</v>
      </c>
      <c r="GO44" s="1098">
        <v>1284</v>
      </c>
      <c r="GP44" s="1098">
        <v>1140</v>
      </c>
      <c r="GQ44" s="1098">
        <v>1238</v>
      </c>
      <c r="GR44" s="1098">
        <v>1258</v>
      </c>
      <c r="GS44" s="1098">
        <v>1220</v>
      </c>
      <c r="GT44" s="1098">
        <v>1066</v>
      </c>
      <c r="GU44" s="1098">
        <v>925</v>
      </c>
      <c r="GV44" s="1098">
        <v>967.5</v>
      </c>
      <c r="GW44" s="1098">
        <v>963</v>
      </c>
      <c r="GX44" s="1098">
        <v>1146</v>
      </c>
      <c r="GY44" s="1098">
        <v>1275</v>
      </c>
      <c r="GZ44" s="1098">
        <v>1627</v>
      </c>
      <c r="HA44" s="1097">
        <f t="shared" si="15"/>
        <v>14109.5</v>
      </c>
      <c r="HB44" s="1098">
        <v>1183</v>
      </c>
      <c r="HC44" s="1098">
        <v>1077</v>
      </c>
      <c r="HD44" s="1098">
        <v>1244</v>
      </c>
      <c r="HE44" s="1098">
        <v>1286</v>
      </c>
      <c r="HF44" s="1098">
        <v>1037</v>
      </c>
      <c r="HG44" s="1098">
        <v>914</v>
      </c>
      <c r="HH44" s="1098">
        <v>893</v>
      </c>
      <c r="HI44" s="1098">
        <v>923</v>
      </c>
      <c r="HJ44" s="1098">
        <v>969</v>
      </c>
      <c r="HK44" s="1098">
        <v>1132</v>
      </c>
      <c r="HL44" s="1098">
        <v>1400</v>
      </c>
      <c r="HM44" s="1098">
        <v>846</v>
      </c>
      <c r="HN44" s="1097">
        <f t="shared" si="16"/>
        <v>12904</v>
      </c>
      <c r="HO44" s="1098">
        <v>1079</v>
      </c>
      <c r="HP44" s="1098">
        <v>913</v>
      </c>
      <c r="HQ44" s="1098">
        <v>1084</v>
      </c>
      <c r="HR44" s="1098">
        <v>1198</v>
      </c>
      <c r="HS44" s="1098">
        <v>1374</v>
      </c>
      <c r="HT44" s="1098">
        <v>983</v>
      </c>
      <c r="HU44" s="1098">
        <v>1056</v>
      </c>
      <c r="HV44" s="1098">
        <v>525.5</v>
      </c>
      <c r="HW44" s="1098">
        <v>558</v>
      </c>
      <c r="HX44" s="1098">
        <v>1259</v>
      </c>
      <c r="HY44" s="1098">
        <v>1414</v>
      </c>
      <c r="HZ44" s="1098">
        <v>2005</v>
      </c>
      <c r="IA44" s="1097">
        <f t="shared" si="17"/>
        <v>13448.5</v>
      </c>
      <c r="IB44" s="1098">
        <v>1041</v>
      </c>
      <c r="IC44" s="1098">
        <v>1282</v>
      </c>
      <c r="ID44" s="1098">
        <v>1463</v>
      </c>
      <c r="IE44" s="1098">
        <v>1484</v>
      </c>
      <c r="IF44" s="1098">
        <v>1214</v>
      </c>
      <c r="IG44" s="1098">
        <v>829</v>
      </c>
      <c r="IH44" s="1098">
        <v>902</v>
      </c>
      <c r="II44" s="1098">
        <v>900.5</v>
      </c>
      <c r="IJ44" s="1098">
        <v>987.5</v>
      </c>
      <c r="IK44" s="1098">
        <v>1436</v>
      </c>
      <c r="IL44" s="1098">
        <v>1573</v>
      </c>
      <c r="IM44" s="1098">
        <v>88</v>
      </c>
      <c r="IN44" s="1097">
        <f t="shared" si="38"/>
        <v>13200</v>
      </c>
      <c r="IO44" s="1098">
        <v>1296</v>
      </c>
      <c r="IP44" s="1098">
        <v>1669</v>
      </c>
      <c r="IQ44" s="1098">
        <v>1669</v>
      </c>
      <c r="IR44" s="1098">
        <v>2029</v>
      </c>
      <c r="IS44" s="1098">
        <v>1401</v>
      </c>
      <c r="IT44" s="1098">
        <v>1152</v>
      </c>
      <c r="IU44" s="1098">
        <v>941</v>
      </c>
      <c r="IV44" s="1098">
        <v>760.5</v>
      </c>
      <c r="IW44" s="1098">
        <v>1183.5</v>
      </c>
      <c r="IX44" s="1098">
        <v>1188.5</v>
      </c>
      <c r="IY44" s="1098">
        <v>1775.5</v>
      </c>
      <c r="IZ44" s="1098"/>
      <c r="JA44" s="1097">
        <f t="shared" si="40"/>
        <v>15065</v>
      </c>
      <c r="JB44" s="1098">
        <v>1390.5</v>
      </c>
      <c r="JC44" s="1098"/>
      <c r="JD44" s="1098"/>
      <c r="JE44" s="1098"/>
      <c r="JF44" s="1098"/>
      <c r="JG44" s="1098"/>
      <c r="JH44" s="1098"/>
      <c r="JI44" s="1098"/>
      <c r="JJ44" s="1098"/>
      <c r="JK44" s="1098"/>
      <c r="JL44" s="1098"/>
      <c r="JM44" s="1098"/>
      <c r="JN44" s="1097">
        <f t="shared" si="18"/>
        <v>1390.5</v>
      </c>
      <c r="JP44" s="1174">
        <f>IFERROR(((
_xlfn.XLOOKUP((DATE(YEAR($JP$5),MONTH($JP$5),1)),$B$5:$JN$5,$B44:$JN44) /
_xlfn.XLOOKUP((DATE(YEAR($JP$5)-1,MONTH($JP$5),1)),$B$5:$JN$5,$B44:$JN44)
)-1)*100,"")</f>
        <v>-100</v>
      </c>
      <c r="JQ44" s="1175">
        <f>IFERROR(((JS44/JR44)-1)*100,"")</f>
        <v>14.128787878787886</v>
      </c>
      <c r="JR44" s="1184">
        <f>SUMIFS($B44:$JN44,$B$5:$JN$5,"&gt;="&amp;DATE(YEAR($JP$5)-1,1,1),$B$5:$JN$5,"&lt;="&amp;DATE(YEAR($JP$5)-1,MONTH($JP$5),1))</f>
        <v>13200</v>
      </c>
      <c r="JS44" s="1185">
        <f>SUMIFS($B44:$JN44,$B$5:$JN$5,"&gt;="&amp;DATE(YEAR($JP$5),1,1),$B$5:$JN$5,"&lt;="&amp;$JP$5)</f>
        <v>15065</v>
      </c>
      <c r="JT44" s="1"/>
      <c r="JU44" s="1079">
        <f t="shared" si="46"/>
        <v>745317</v>
      </c>
      <c r="JV44" s="1150" t="s">
        <v>181</v>
      </c>
      <c r="JW44" s="1081" t="str">
        <f t="shared" si="47"/>
        <v>OK</v>
      </c>
    </row>
    <row r="45" spans="1:283" ht="15" customHeight="1" x14ac:dyDescent="0.2">
      <c r="A45" s="1224" t="s">
        <v>582</v>
      </c>
      <c r="B45" s="1098"/>
      <c r="C45" s="1098"/>
      <c r="D45" s="1098"/>
      <c r="E45" s="1098"/>
      <c r="F45" s="1098"/>
      <c r="G45" s="1098"/>
      <c r="H45" s="1098"/>
      <c r="I45" s="1098"/>
      <c r="J45" s="1098"/>
      <c r="K45" s="1098"/>
      <c r="L45" s="1098"/>
      <c r="M45" s="1098"/>
      <c r="N45" s="1097">
        <f t="shared" si="0"/>
        <v>0</v>
      </c>
      <c r="O45" s="1098"/>
      <c r="P45" s="1098"/>
      <c r="Q45" s="1098"/>
      <c r="R45" s="1098"/>
      <c r="S45" s="1098"/>
      <c r="T45" s="1098"/>
      <c r="U45" s="1098"/>
      <c r="V45" s="1098"/>
      <c r="W45" s="1098"/>
      <c r="X45" s="1098"/>
      <c r="Y45" s="1098"/>
      <c r="Z45" s="1098"/>
      <c r="AA45" s="1097">
        <f t="shared" si="1"/>
        <v>0</v>
      </c>
      <c r="AB45" s="1098"/>
      <c r="AC45" s="1098"/>
      <c r="AD45" s="1098"/>
      <c r="AE45" s="1098"/>
      <c r="AF45" s="1098"/>
      <c r="AG45" s="1098"/>
      <c r="AH45" s="1098"/>
      <c r="AI45" s="1098"/>
      <c r="AJ45" s="1098"/>
      <c r="AK45" s="1098"/>
      <c r="AL45" s="1098"/>
      <c r="AM45" s="1098"/>
      <c r="AN45" s="1097">
        <f t="shared" si="2"/>
        <v>0</v>
      </c>
      <c r="AO45" s="1098"/>
      <c r="AP45" s="1098"/>
      <c r="AQ45" s="1098"/>
      <c r="AR45" s="1098"/>
      <c r="AS45" s="1098"/>
      <c r="AT45" s="1098"/>
      <c r="AU45" s="1098"/>
      <c r="AV45" s="1098"/>
      <c r="AW45" s="1098"/>
      <c r="AX45" s="1098"/>
      <c r="AY45" s="1098"/>
      <c r="AZ45" s="1098"/>
      <c r="BA45" s="1097">
        <f t="shared" si="3"/>
        <v>0</v>
      </c>
      <c r="BB45" s="1098"/>
      <c r="BC45" s="1098"/>
      <c r="BD45" s="1098"/>
      <c r="BE45" s="1098"/>
      <c r="BF45" s="1098"/>
      <c r="BG45" s="1098"/>
      <c r="BH45" s="1098"/>
      <c r="BI45" s="1098"/>
      <c r="BJ45" s="1098"/>
      <c r="BK45" s="1098"/>
      <c r="BL45" s="1098"/>
      <c r="BM45" s="1098"/>
      <c r="BN45" s="1097">
        <f t="shared" si="4"/>
        <v>0</v>
      </c>
      <c r="BO45" s="1098"/>
      <c r="BP45" s="1098"/>
      <c r="BQ45" s="1098"/>
      <c r="BR45" s="1098"/>
      <c r="BS45" s="1098"/>
      <c r="BT45" s="1098"/>
      <c r="BU45" s="1098"/>
      <c r="BV45" s="1098"/>
      <c r="BW45" s="1098"/>
      <c r="BX45" s="1098"/>
      <c r="BY45" s="1098"/>
      <c r="BZ45" s="1098"/>
      <c r="CA45" s="1097">
        <f t="shared" si="5"/>
        <v>0</v>
      </c>
      <c r="CB45" s="1098"/>
      <c r="CC45" s="1098"/>
      <c r="CD45" s="1098"/>
      <c r="CE45" s="1098"/>
      <c r="CF45" s="1098"/>
      <c r="CG45" s="1098">
        <v>113</v>
      </c>
      <c r="CH45" s="1098"/>
      <c r="CI45" s="1098"/>
      <c r="CJ45" s="1098"/>
      <c r="CK45" s="1098"/>
      <c r="CL45" s="1098"/>
      <c r="CM45" s="1098">
        <v>3</v>
      </c>
      <c r="CN45" s="1097">
        <f t="shared" si="6"/>
        <v>116</v>
      </c>
      <c r="CO45" s="1098">
        <v>2</v>
      </c>
      <c r="CP45" s="1098">
        <v>3</v>
      </c>
      <c r="CQ45" s="1098">
        <v>4</v>
      </c>
      <c r="CR45" s="1098"/>
      <c r="CS45" s="1098"/>
      <c r="CT45" s="1098"/>
      <c r="CU45" s="1098"/>
      <c r="CV45" s="1098"/>
      <c r="CW45" s="1098"/>
      <c r="CX45" s="1098"/>
      <c r="CY45" s="1098">
        <v>1</v>
      </c>
      <c r="CZ45" s="1098"/>
      <c r="DA45" s="1097">
        <f t="shared" si="7"/>
        <v>10</v>
      </c>
      <c r="DB45" s="1098"/>
      <c r="DC45" s="1098">
        <v>2</v>
      </c>
      <c r="DD45" s="1098"/>
      <c r="DE45" s="1098"/>
      <c r="DF45" s="1098"/>
      <c r="DG45" s="1098"/>
      <c r="DH45" s="1098"/>
      <c r="DI45" s="1098"/>
      <c r="DJ45" s="1098"/>
      <c r="DK45" s="1098"/>
      <c r="DL45" s="1098"/>
      <c r="DM45" s="1098"/>
      <c r="DN45" s="1097">
        <f t="shared" si="8"/>
        <v>2</v>
      </c>
      <c r="DO45" s="1098"/>
      <c r="DP45" s="1098"/>
      <c r="DQ45" s="1098"/>
      <c r="DR45" s="1098"/>
      <c r="DS45" s="1098"/>
      <c r="DT45" s="1098"/>
      <c r="DU45" s="1098"/>
      <c r="DV45" s="1098"/>
      <c r="DW45" s="1098"/>
      <c r="DX45" s="1098"/>
      <c r="DY45" s="1098"/>
      <c r="DZ45" s="1098"/>
      <c r="EA45" s="1097">
        <f t="shared" si="9"/>
        <v>0</v>
      </c>
      <c r="EB45" s="1098"/>
      <c r="EC45" s="1098"/>
      <c r="ED45" s="1098"/>
      <c r="EE45" s="1098"/>
      <c r="EF45" s="1098"/>
      <c r="EG45" s="1098"/>
      <c r="EH45" s="1098"/>
      <c r="EI45" s="1098"/>
      <c r="EJ45" s="1098"/>
      <c r="EK45" s="1098"/>
      <c r="EL45" s="1098"/>
      <c r="EM45" s="1098"/>
      <c r="EN45" s="1097">
        <f t="shared" si="10"/>
        <v>0</v>
      </c>
      <c r="EO45" s="1098"/>
      <c r="EP45" s="1098"/>
      <c r="EQ45" s="1098"/>
      <c r="ER45" s="1098"/>
      <c r="ES45" s="1098"/>
      <c r="ET45" s="1098"/>
      <c r="EU45" s="1098"/>
      <c r="EV45" s="1098"/>
      <c r="EW45" s="1098"/>
      <c r="EX45" s="1098"/>
      <c r="EY45" s="1098"/>
      <c r="EZ45" s="1098"/>
      <c r="FA45" s="1097">
        <f t="shared" si="11"/>
        <v>0</v>
      </c>
      <c r="FB45" s="1098"/>
      <c r="FC45" s="1098"/>
      <c r="FD45" s="1098"/>
      <c r="FE45" s="1098"/>
      <c r="FF45" s="1098"/>
      <c r="FG45" s="1098"/>
      <c r="FH45" s="1098"/>
      <c r="FI45" s="1098"/>
      <c r="FJ45" s="1098"/>
      <c r="FK45" s="1098"/>
      <c r="FL45" s="1098"/>
      <c r="FM45" s="1098"/>
      <c r="FN45" s="1097">
        <f t="shared" si="12"/>
        <v>0</v>
      </c>
      <c r="FO45" s="1098"/>
      <c r="FP45" s="1098"/>
      <c r="FQ45" s="1098"/>
      <c r="FR45" s="1098"/>
      <c r="FS45" s="1098"/>
      <c r="FT45" s="1098"/>
      <c r="FU45" s="1098"/>
      <c r="FV45" s="1098"/>
      <c r="FW45" s="1098"/>
      <c r="FX45" s="1098"/>
      <c r="FY45" s="1098"/>
      <c r="FZ45" s="1098"/>
      <c r="GA45" s="1097">
        <f t="shared" si="13"/>
        <v>0</v>
      </c>
      <c r="GB45" s="1098"/>
      <c r="GC45" s="1098"/>
      <c r="GD45" s="1098"/>
      <c r="GE45" s="1098"/>
      <c r="GF45" s="1098"/>
      <c r="GG45" s="1098"/>
      <c r="GH45" s="1098"/>
      <c r="GI45" s="1098"/>
      <c r="GJ45" s="1098"/>
      <c r="GK45" s="1098"/>
      <c r="GL45" s="1098"/>
      <c r="GM45" s="1098"/>
      <c r="GN45" s="1097">
        <f t="shared" si="14"/>
        <v>0</v>
      </c>
      <c r="GO45" s="1098"/>
      <c r="GP45" s="1098"/>
      <c r="GQ45" s="1098"/>
      <c r="GR45" s="1098"/>
      <c r="GS45" s="1098"/>
      <c r="GT45" s="1098"/>
      <c r="GU45" s="1098"/>
      <c r="GV45" s="1098"/>
      <c r="GW45" s="1098"/>
      <c r="GX45" s="1098"/>
      <c r="GY45" s="1098"/>
      <c r="GZ45" s="1098"/>
      <c r="HA45" s="1097">
        <f t="shared" si="15"/>
        <v>0</v>
      </c>
      <c r="HB45" s="1098"/>
      <c r="HC45" s="1098"/>
      <c r="HD45" s="1098"/>
      <c r="HE45" s="1098"/>
      <c r="HF45" s="1098"/>
      <c r="HG45" s="1098"/>
      <c r="HH45" s="1098"/>
      <c r="HI45" s="1098"/>
      <c r="HJ45" s="1098"/>
      <c r="HK45" s="1098"/>
      <c r="HL45" s="1098"/>
      <c r="HM45" s="1098"/>
      <c r="HN45" s="1097">
        <f t="shared" si="16"/>
        <v>0</v>
      </c>
      <c r="HO45" s="1098"/>
      <c r="HP45" s="1098"/>
      <c r="HQ45" s="1098"/>
      <c r="HR45" s="1098"/>
      <c r="HS45" s="1098"/>
      <c r="HT45" s="1098"/>
      <c r="HU45" s="1098"/>
      <c r="HV45" s="1098"/>
      <c r="HW45" s="1098"/>
      <c r="HX45" s="1098"/>
      <c r="HY45" s="1098"/>
      <c r="HZ45" s="1098"/>
      <c r="IA45" s="1097">
        <f t="shared" si="17"/>
        <v>0</v>
      </c>
      <c r="IB45" s="1098"/>
      <c r="IC45" s="1098"/>
      <c r="ID45" s="1098"/>
      <c r="IE45" s="1098"/>
      <c r="IF45" s="1098"/>
      <c r="IG45" s="1098"/>
      <c r="IH45" s="1098"/>
      <c r="II45" s="1098"/>
      <c r="IJ45" s="1098"/>
      <c r="IK45" s="1098"/>
      <c r="IL45" s="1098"/>
      <c r="IM45" s="1098"/>
      <c r="IN45" s="1097">
        <f t="shared" si="38"/>
        <v>0</v>
      </c>
      <c r="IO45" s="1098"/>
      <c r="IP45" s="1098"/>
      <c r="IQ45" s="1098"/>
      <c r="IR45" s="1098"/>
      <c r="IS45" s="1098"/>
      <c r="IT45" s="1098"/>
      <c r="IU45" s="1098"/>
      <c r="IV45" s="1098"/>
      <c r="IW45" s="1098"/>
      <c r="IX45" s="1098"/>
      <c r="IY45" s="1098"/>
      <c r="IZ45" s="1098"/>
      <c r="JA45" s="1097">
        <f t="shared" si="40"/>
        <v>0</v>
      </c>
      <c r="JB45" s="1098">
        <v>0</v>
      </c>
      <c r="JC45" s="1098"/>
      <c r="JD45" s="1098"/>
      <c r="JE45" s="1098"/>
      <c r="JF45" s="1098"/>
      <c r="JG45" s="1098"/>
      <c r="JH45" s="1098"/>
      <c r="JI45" s="1098"/>
      <c r="JJ45" s="1098"/>
      <c r="JK45" s="1098"/>
      <c r="JL45" s="1098"/>
      <c r="JM45" s="1098"/>
      <c r="JN45" s="1097">
        <f t="shared" si="18"/>
        <v>0</v>
      </c>
      <c r="JP45" s="1174" t="str">
        <f>IFERROR(((
_xlfn.XLOOKUP((DATE(YEAR($JP$5),MONTH($JP$5),1)),$B$5:$JN$5,$B45:$JN45) /
_xlfn.XLOOKUP((DATE(YEAR($JP$5)-1,MONTH($JP$5),1)),$B$5:$JN$5,$B45:$JN45)
)-1)*100,"")</f>
        <v/>
      </c>
      <c r="JQ45" s="1175" t="str">
        <f>IFERROR(((JS45/JR45)-1)*100,"")</f>
        <v/>
      </c>
      <c r="JR45" s="1184">
        <f>SUMIFS($B45:$JN45,$B$5:$JN$5,"&gt;="&amp;DATE(YEAR($JP$5)-1,1,1),$B$5:$JN$5,"&lt;="&amp;DATE(YEAR($JP$5)-1,MONTH($JP$5),1))</f>
        <v>0</v>
      </c>
      <c r="JS45" s="1185">
        <f>SUMIFS($B45:$JN45,$B$5:$JN$5,"&gt;="&amp;DATE(YEAR($JP$5),1,1),$B$5:$JN$5,"&lt;="&amp;$JP$5)</f>
        <v>0</v>
      </c>
      <c r="JT45" s="1"/>
      <c r="JU45" s="1079">
        <f t="shared" si="46"/>
        <v>256</v>
      </c>
      <c r="JV45" s="1150" t="s">
        <v>582</v>
      </c>
      <c r="JW45" s="1081" t="str">
        <f t="shared" si="47"/>
        <v>OK</v>
      </c>
    </row>
    <row r="46" spans="1:283" ht="15" customHeight="1" x14ac:dyDescent="0.2">
      <c r="A46" s="1224" t="s">
        <v>215</v>
      </c>
      <c r="B46" s="1098"/>
      <c r="C46" s="1098"/>
      <c r="D46" s="1098"/>
      <c r="E46" s="1098"/>
      <c r="F46" s="1098"/>
      <c r="G46" s="1098"/>
      <c r="H46" s="1098"/>
      <c r="I46" s="1098"/>
      <c r="J46" s="1098"/>
      <c r="K46" s="1098"/>
      <c r="L46" s="1098"/>
      <c r="M46" s="1098"/>
      <c r="N46" s="1097">
        <f t="shared" si="0"/>
        <v>0</v>
      </c>
      <c r="O46" s="1098"/>
      <c r="P46" s="1098"/>
      <c r="Q46" s="1098"/>
      <c r="R46" s="1098"/>
      <c r="S46" s="1098"/>
      <c r="T46" s="1098"/>
      <c r="U46" s="1098"/>
      <c r="V46" s="1098"/>
      <c r="W46" s="1098"/>
      <c r="X46" s="1098"/>
      <c r="Y46" s="1098"/>
      <c r="Z46" s="1098"/>
      <c r="AA46" s="1097">
        <f t="shared" si="1"/>
        <v>0</v>
      </c>
      <c r="AB46" s="1098"/>
      <c r="AC46" s="1098"/>
      <c r="AD46" s="1098"/>
      <c r="AE46" s="1098"/>
      <c r="AF46" s="1098"/>
      <c r="AG46" s="1098"/>
      <c r="AH46" s="1098"/>
      <c r="AI46" s="1098"/>
      <c r="AJ46" s="1098"/>
      <c r="AK46" s="1098"/>
      <c r="AL46" s="1098"/>
      <c r="AM46" s="1098"/>
      <c r="AN46" s="1097">
        <f t="shared" si="2"/>
        <v>0</v>
      </c>
      <c r="AO46" s="1098"/>
      <c r="AP46" s="1098"/>
      <c r="AQ46" s="1098"/>
      <c r="AR46" s="1098"/>
      <c r="AS46" s="1098"/>
      <c r="AT46" s="1098"/>
      <c r="AU46" s="1098"/>
      <c r="AV46" s="1098"/>
      <c r="AW46" s="1098"/>
      <c r="AX46" s="1098"/>
      <c r="AY46" s="1098"/>
      <c r="AZ46" s="1098"/>
      <c r="BA46" s="1097">
        <f t="shared" si="3"/>
        <v>0</v>
      </c>
      <c r="BB46" s="1098"/>
      <c r="BC46" s="1098"/>
      <c r="BD46" s="1098"/>
      <c r="BE46" s="1098"/>
      <c r="BF46" s="1098"/>
      <c r="BG46" s="1098"/>
      <c r="BH46" s="1098"/>
      <c r="BI46" s="1098"/>
      <c r="BJ46" s="1098"/>
      <c r="BK46" s="1098"/>
      <c r="BL46" s="1098"/>
      <c r="BM46" s="1098"/>
      <c r="BN46" s="1097">
        <f t="shared" si="4"/>
        <v>0</v>
      </c>
      <c r="BO46" s="1098"/>
      <c r="BP46" s="1098"/>
      <c r="BQ46" s="1098"/>
      <c r="BR46" s="1098"/>
      <c r="BS46" s="1098"/>
      <c r="BT46" s="1098"/>
      <c r="BU46" s="1098"/>
      <c r="BV46" s="1098"/>
      <c r="BW46" s="1098"/>
      <c r="BX46" s="1098"/>
      <c r="BY46" s="1098"/>
      <c r="BZ46" s="1098"/>
      <c r="CA46" s="1097">
        <f t="shared" si="5"/>
        <v>0</v>
      </c>
      <c r="CB46" s="1098"/>
      <c r="CC46" s="1098"/>
      <c r="CD46" s="1098"/>
      <c r="CE46" s="1098">
        <v>27</v>
      </c>
      <c r="CF46" s="1098">
        <v>38</v>
      </c>
      <c r="CG46" s="1098">
        <v>45</v>
      </c>
      <c r="CH46" s="1098">
        <v>48</v>
      </c>
      <c r="CI46" s="1098">
        <v>25</v>
      </c>
      <c r="CJ46" s="1098">
        <v>22</v>
      </c>
      <c r="CK46" s="1098">
        <v>30</v>
      </c>
      <c r="CL46" s="1098">
        <v>70</v>
      </c>
      <c r="CM46" s="1098">
        <v>80</v>
      </c>
      <c r="CN46" s="1097">
        <f t="shared" si="6"/>
        <v>385</v>
      </c>
      <c r="CO46" s="1098">
        <v>10</v>
      </c>
      <c r="CP46" s="1098">
        <v>12</v>
      </c>
      <c r="CQ46" s="1098">
        <v>10</v>
      </c>
      <c r="CR46" s="1098">
        <v>20</v>
      </c>
      <c r="CS46" s="1098">
        <v>18</v>
      </c>
      <c r="CT46" s="1098">
        <v>25</v>
      </c>
      <c r="CU46" s="1098">
        <v>80</v>
      </c>
      <c r="CV46" s="1098">
        <v>88</v>
      </c>
      <c r="CW46" s="1098">
        <v>95</v>
      </c>
      <c r="CX46" s="1098">
        <v>120</v>
      </c>
      <c r="CY46" s="1098">
        <v>280</v>
      </c>
      <c r="CZ46" s="1098">
        <v>185</v>
      </c>
      <c r="DA46" s="1097">
        <f t="shared" si="7"/>
        <v>943</v>
      </c>
      <c r="DB46" s="1098"/>
      <c r="DC46" s="1098"/>
      <c r="DD46" s="1098"/>
      <c r="DE46" s="1098">
        <v>67</v>
      </c>
      <c r="DF46" s="1098">
        <v>145</v>
      </c>
      <c r="DG46" s="1098">
        <v>300</v>
      </c>
      <c r="DH46" s="1098">
        <v>275</v>
      </c>
      <c r="DI46" s="1098">
        <v>172</v>
      </c>
      <c r="DJ46" s="1098">
        <v>180</v>
      </c>
      <c r="DK46" s="1098">
        <v>198</v>
      </c>
      <c r="DL46" s="1098">
        <v>200</v>
      </c>
      <c r="DM46" s="1098">
        <v>200</v>
      </c>
      <c r="DN46" s="1097">
        <f t="shared" si="8"/>
        <v>1737</v>
      </c>
      <c r="DO46" s="1098">
        <v>112</v>
      </c>
      <c r="DP46" s="1098">
        <v>50</v>
      </c>
      <c r="DQ46" s="1098">
        <v>50</v>
      </c>
      <c r="DR46" s="1098">
        <v>65</v>
      </c>
      <c r="DS46" s="1098">
        <v>130</v>
      </c>
      <c r="DT46" s="1098">
        <v>152</v>
      </c>
      <c r="DU46" s="1098">
        <v>160</v>
      </c>
      <c r="DV46" s="1098">
        <v>170</v>
      </c>
      <c r="DW46" s="1098">
        <v>200</v>
      </c>
      <c r="DX46" s="1098">
        <v>180</v>
      </c>
      <c r="DY46" s="1098">
        <v>180</v>
      </c>
      <c r="DZ46" s="1098">
        <v>220</v>
      </c>
      <c r="EA46" s="1097">
        <f t="shared" si="9"/>
        <v>1669</v>
      </c>
      <c r="EB46" s="1098">
        <v>140</v>
      </c>
      <c r="EC46" s="1098">
        <v>150</v>
      </c>
      <c r="ED46" s="1098">
        <v>90</v>
      </c>
      <c r="EE46" s="1098">
        <v>78</v>
      </c>
      <c r="EF46" s="1098">
        <v>250</v>
      </c>
      <c r="EG46" s="1098">
        <v>160</v>
      </c>
      <c r="EH46" s="1098">
        <v>220</v>
      </c>
      <c r="EI46" s="1098">
        <v>230</v>
      </c>
      <c r="EJ46" s="1098">
        <v>180</v>
      </c>
      <c r="EK46" s="1098">
        <v>150</v>
      </c>
      <c r="EL46" s="1098">
        <v>188</v>
      </c>
      <c r="EM46" s="1098">
        <v>248</v>
      </c>
      <c r="EN46" s="1097">
        <f t="shared" si="10"/>
        <v>2084</v>
      </c>
      <c r="EO46" s="1098">
        <v>152</v>
      </c>
      <c r="EP46" s="1098">
        <v>120</v>
      </c>
      <c r="EQ46" s="1098">
        <v>130</v>
      </c>
      <c r="ER46" s="1098">
        <v>150</v>
      </c>
      <c r="ES46" s="1098">
        <v>180</v>
      </c>
      <c r="ET46" s="1098">
        <v>180</v>
      </c>
      <c r="EU46" s="1098">
        <v>185</v>
      </c>
      <c r="EV46" s="1098">
        <v>250</v>
      </c>
      <c r="EW46" s="1098">
        <v>160</v>
      </c>
      <c r="EX46" s="1098">
        <v>240</v>
      </c>
      <c r="EY46" s="1098">
        <v>200</v>
      </c>
      <c r="EZ46" s="1098">
        <v>195</v>
      </c>
      <c r="FA46" s="1097">
        <f t="shared" si="11"/>
        <v>2142</v>
      </c>
      <c r="FB46" s="1098">
        <v>185</v>
      </c>
      <c r="FC46" s="1098">
        <v>200</v>
      </c>
      <c r="FD46" s="1098">
        <v>150</v>
      </c>
      <c r="FE46" s="1098">
        <v>180</v>
      </c>
      <c r="FF46" s="1098">
        <v>192</v>
      </c>
      <c r="FG46" s="1098">
        <v>200</v>
      </c>
      <c r="FH46" s="1098">
        <v>195</v>
      </c>
      <c r="FI46" s="1098">
        <v>210</v>
      </c>
      <c r="FJ46" s="1098">
        <v>180</v>
      </c>
      <c r="FK46" s="1098">
        <v>250</v>
      </c>
      <c r="FL46" s="1098">
        <v>235</v>
      </c>
      <c r="FM46" s="1098">
        <v>232</v>
      </c>
      <c r="FN46" s="1097">
        <f t="shared" si="12"/>
        <v>2409</v>
      </c>
      <c r="FO46" s="1098">
        <v>200</v>
      </c>
      <c r="FP46" s="1098">
        <v>230</v>
      </c>
      <c r="FQ46" s="1098">
        <v>235</v>
      </c>
      <c r="FR46" s="1098">
        <v>260</v>
      </c>
      <c r="FS46" s="1098">
        <v>205</v>
      </c>
      <c r="FT46" s="1098">
        <v>230</v>
      </c>
      <c r="FU46" s="1098">
        <v>220</v>
      </c>
      <c r="FV46" s="1098">
        <v>135</v>
      </c>
      <c r="FW46" s="1098">
        <v>250</v>
      </c>
      <c r="FX46" s="1098">
        <v>200</v>
      </c>
      <c r="FY46" s="1098">
        <v>120</v>
      </c>
      <c r="FZ46" s="1098">
        <v>190</v>
      </c>
      <c r="GA46" s="1097">
        <f t="shared" si="13"/>
        <v>2475</v>
      </c>
      <c r="GB46" s="1098"/>
      <c r="GC46" s="1098"/>
      <c r="GD46" s="1098"/>
      <c r="GE46" s="1098"/>
      <c r="GF46" s="1098"/>
      <c r="GG46" s="1098"/>
      <c r="GH46" s="1098"/>
      <c r="GI46" s="1098"/>
      <c r="GJ46" s="1098"/>
      <c r="GK46" s="1098"/>
      <c r="GL46" s="1098"/>
      <c r="GM46" s="1098"/>
      <c r="GN46" s="1097">
        <f t="shared" si="14"/>
        <v>0</v>
      </c>
      <c r="GO46" s="1098"/>
      <c r="GP46" s="1098"/>
      <c r="GQ46" s="1098"/>
      <c r="GR46" s="1098"/>
      <c r="GS46" s="1098"/>
      <c r="GT46" s="1098"/>
      <c r="GU46" s="1098"/>
      <c r="GV46" s="1098"/>
      <c r="GW46" s="1098"/>
      <c r="GX46" s="1098"/>
      <c r="GY46" s="1098"/>
      <c r="GZ46" s="1098"/>
      <c r="HA46" s="1097">
        <f t="shared" si="15"/>
        <v>0</v>
      </c>
      <c r="HB46" s="1098"/>
      <c r="HC46" s="1098"/>
      <c r="HD46" s="1098"/>
      <c r="HE46" s="1098"/>
      <c r="HF46" s="1098"/>
      <c r="HG46" s="1098"/>
      <c r="HH46" s="1098"/>
      <c r="HI46" s="1098"/>
      <c r="HJ46" s="1098"/>
      <c r="HK46" s="1098"/>
      <c r="HL46" s="1098"/>
      <c r="HM46" s="1098"/>
      <c r="HN46" s="1097">
        <f t="shared" si="16"/>
        <v>0</v>
      </c>
      <c r="HO46" s="1098"/>
      <c r="HP46" s="1098"/>
      <c r="HQ46" s="1098"/>
      <c r="HR46" s="1098"/>
      <c r="HS46" s="1098"/>
      <c r="HT46" s="1098"/>
      <c r="HU46" s="1098"/>
      <c r="HV46" s="1098"/>
      <c r="HW46" s="1098"/>
      <c r="HX46" s="1098"/>
      <c r="HY46" s="1098"/>
      <c r="HZ46" s="1098"/>
      <c r="IA46" s="1097">
        <f t="shared" si="17"/>
        <v>0</v>
      </c>
      <c r="IB46" s="1098"/>
      <c r="IC46" s="1098"/>
      <c r="ID46" s="1098"/>
      <c r="IE46" s="1098"/>
      <c r="IF46" s="1098"/>
      <c r="IG46" s="1098"/>
      <c r="IH46" s="1098"/>
      <c r="II46" s="1098"/>
      <c r="IJ46" s="1098"/>
      <c r="IK46" s="1098"/>
      <c r="IL46" s="1098"/>
      <c r="IM46" s="1098"/>
      <c r="IN46" s="1097">
        <f t="shared" si="38"/>
        <v>0</v>
      </c>
      <c r="IO46" s="1098"/>
      <c r="IP46" s="1098"/>
      <c r="IQ46" s="1098"/>
      <c r="IR46" s="1098"/>
      <c r="IS46" s="1098"/>
      <c r="IT46" s="1098"/>
      <c r="IU46" s="1098"/>
      <c r="IV46" s="1098"/>
      <c r="IW46" s="1098"/>
      <c r="IX46" s="1098"/>
      <c r="IY46" s="1098"/>
      <c r="IZ46" s="1098"/>
      <c r="JA46" s="1097">
        <f t="shared" si="40"/>
        <v>0</v>
      </c>
      <c r="JB46" s="1098"/>
      <c r="JC46" s="1098"/>
      <c r="JD46" s="1098"/>
      <c r="JE46" s="1098"/>
      <c r="JF46" s="1098"/>
      <c r="JG46" s="1098"/>
      <c r="JH46" s="1098"/>
      <c r="JI46" s="1098"/>
      <c r="JJ46" s="1098"/>
      <c r="JK46" s="1098"/>
      <c r="JL46" s="1098"/>
      <c r="JM46" s="1098"/>
      <c r="JN46" s="1097">
        <f t="shared" si="18"/>
        <v>0</v>
      </c>
      <c r="JP46" s="1174" t="str">
        <f>IFERROR(((
_xlfn.XLOOKUP((DATE(YEAR($JP$5),MONTH($JP$5),1)),$B$5:$JN$5,$B46:$JN46) /
_xlfn.XLOOKUP((DATE(YEAR($JP$5)-1,MONTH($JP$5),1)),$B$5:$JN$5,$B46:$JN46)
)-1)*100,"")</f>
        <v/>
      </c>
      <c r="JQ46" s="1175" t="str">
        <f>IFERROR(((JS46/JR46)-1)*100,"")</f>
        <v/>
      </c>
      <c r="JR46" s="1184">
        <f>SUMIFS($B46:$JN46,$B$5:$JN$5,"&gt;="&amp;DATE(YEAR($JP$5)-1,1,1),$B$5:$JN$5,"&lt;="&amp;DATE(YEAR($JP$5)-1,MONTH($JP$5),1))</f>
        <v>0</v>
      </c>
      <c r="JS46" s="1185">
        <f>SUMIFS($B46:$JN46,$B$5:$JN$5,"&gt;="&amp;DATE(YEAR($JP$5),1,1),$B$5:$JN$5,"&lt;="&amp;$JP$5)</f>
        <v>0</v>
      </c>
      <c r="JT46" s="1"/>
      <c r="JU46" s="1079">
        <f t="shared" si="46"/>
        <v>27688</v>
      </c>
      <c r="JV46" s="1150" t="s">
        <v>215</v>
      </c>
      <c r="JW46" s="1081" t="str">
        <f t="shared" si="47"/>
        <v>OK</v>
      </c>
    </row>
    <row r="47" spans="1:283" ht="15" customHeight="1" x14ac:dyDescent="0.2">
      <c r="A47" s="1224" t="s">
        <v>583</v>
      </c>
      <c r="B47" s="1098"/>
      <c r="C47" s="1098"/>
      <c r="D47" s="1098"/>
      <c r="E47" s="1098"/>
      <c r="F47" s="1098"/>
      <c r="G47" s="1098"/>
      <c r="H47" s="1098"/>
      <c r="I47" s="1098"/>
      <c r="J47" s="1098"/>
      <c r="K47" s="1098"/>
      <c r="L47" s="1098"/>
      <c r="M47" s="1098"/>
      <c r="N47" s="1097">
        <f t="shared" si="0"/>
        <v>0</v>
      </c>
      <c r="O47" s="1098"/>
      <c r="P47" s="1098"/>
      <c r="Q47" s="1098"/>
      <c r="R47" s="1098"/>
      <c r="S47" s="1098"/>
      <c r="T47" s="1098"/>
      <c r="U47" s="1098"/>
      <c r="V47" s="1098"/>
      <c r="W47" s="1098"/>
      <c r="X47" s="1098"/>
      <c r="Y47" s="1098"/>
      <c r="Z47" s="1098"/>
      <c r="AA47" s="1097">
        <f t="shared" si="1"/>
        <v>0</v>
      </c>
      <c r="AB47" s="1098"/>
      <c r="AC47" s="1098"/>
      <c r="AD47" s="1098"/>
      <c r="AE47" s="1098"/>
      <c r="AF47" s="1098"/>
      <c r="AG47" s="1098"/>
      <c r="AH47" s="1098"/>
      <c r="AI47" s="1098"/>
      <c r="AJ47" s="1098"/>
      <c r="AK47" s="1098"/>
      <c r="AL47" s="1098"/>
      <c r="AM47" s="1098"/>
      <c r="AN47" s="1097">
        <f t="shared" si="2"/>
        <v>0</v>
      </c>
      <c r="AO47" s="1098"/>
      <c r="AP47" s="1098"/>
      <c r="AQ47" s="1098"/>
      <c r="AR47" s="1098"/>
      <c r="AS47" s="1098"/>
      <c r="AT47" s="1098"/>
      <c r="AU47" s="1098"/>
      <c r="AV47" s="1098"/>
      <c r="AW47" s="1098"/>
      <c r="AX47" s="1098"/>
      <c r="AY47" s="1098"/>
      <c r="AZ47" s="1098"/>
      <c r="BA47" s="1097">
        <f t="shared" si="3"/>
        <v>0</v>
      </c>
      <c r="BB47" s="1098"/>
      <c r="BC47" s="1098"/>
      <c r="BD47" s="1098"/>
      <c r="BE47" s="1098"/>
      <c r="BF47" s="1098"/>
      <c r="BG47" s="1098"/>
      <c r="BH47" s="1098"/>
      <c r="BI47" s="1098"/>
      <c r="BJ47" s="1098"/>
      <c r="BK47" s="1098"/>
      <c r="BL47" s="1098"/>
      <c r="BM47" s="1098"/>
      <c r="BN47" s="1097">
        <f t="shared" si="4"/>
        <v>0</v>
      </c>
      <c r="BO47" s="1098"/>
      <c r="BP47" s="1098"/>
      <c r="BQ47" s="1098"/>
      <c r="BR47" s="1098"/>
      <c r="BS47" s="1098"/>
      <c r="BT47" s="1098"/>
      <c r="BU47" s="1098"/>
      <c r="BV47" s="1098"/>
      <c r="BW47" s="1098"/>
      <c r="BX47" s="1098"/>
      <c r="BY47" s="1098"/>
      <c r="BZ47" s="1098"/>
      <c r="CA47" s="1097">
        <f t="shared" si="5"/>
        <v>0</v>
      </c>
      <c r="CB47" s="1098"/>
      <c r="CC47" s="1098"/>
      <c r="CD47" s="1098"/>
      <c r="CE47" s="1098"/>
      <c r="CF47" s="1098"/>
      <c r="CG47" s="1098"/>
      <c r="CH47" s="1098"/>
      <c r="CI47" s="1098"/>
      <c r="CJ47" s="1098"/>
      <c r="CK47" s="1098"/>
      <c r="CL47" s="1098"/>
      <c r="CM47" s="1098"/>
      <c r="CN47" s="1097">
        <f t="shared" si="6"/>
        <v>0</v>
      </c>
      <c r="CO47" s="1098"/>
      <c r="CP47" s="1098"/>
      <c r="CQ47" s="1098"/>
      <c r="CR47" s="1098"/>
      <c r="CS47" s="1098"/>
      <c r="CT47" s="1098"/>
      <c r="CU47" s="1098"/>
      <c r="CV47" s="1098"/>
      <c r="CW47" s="1098"/>
      <c r="CX47" s="1098"/>
      <c r="CY47" s="1098"/>
      <c r="CZ47" s="1098"/>
      <c r="DA47" s="1097">
        <f t="shared" si="7"/>
        <v>0</v>
      </c>
      <c r="DB47" s="1098"/>
      <c r="DC47" s="1098"/>
      <c r="DD47" s="1098"/>
      <c r="DE47" s="1098"/>
      <c r="DF47" s="1098"/>
      <c r="DG47" s="1098"/>
      <c r="DH47" s="1098"/>
      <c r="DI47" s="1098"/>
      <c r="DJ47" s="1098"/>
      <c r="DK47" s="1098"/>
      <c r="DL47" s="1098"/>
      <c r="DM47" s="1098"/>
      <c r="DN47" s="1097">
        <f t="shared" si="8"/>
        <v>0</v>
      </c>
      <c r="DO47" s="1098"/>
      <c r="DP47" s="1098"/>
      <c r="DQ47" s="1098"/>
      <c r="DR47" s="1098"/>
      <c r="DS47" s="1098"/>
      <c r="DT47" s="1098"/>
      <c r="DU47" s="1098"/>
      <c r="DV47" s="1098"/>
      <c r="DW47" s="1098"/>
      <c r="DX47" s="1098"/>
      <c r="DY47" s="1098"/>
      <c r="DZ47" s="1098"/>
      <c r="EA47" s="1097">
        <f t="shared" si="9"/>
        <v>0</v>
      </c>
      <c r="EB47" s="1098"/>
      <c r="EC47" s="1098"/>
      <c r="ED47" s="1098"/>
      <c r="EE47" s="1098"/>
      <c r="EF47" s="1098"/>
      <c r="EG47" s="1098"/>
      <c r="EH47" s="1098"/>
      <c r="EI47" s="1098"/>
      <c r="EJ47" s="1098"/>
      <c r="EK47" s="1098"/>
      <c r="EL47" s="1098"/>
      <c r="EM47" s="1098"/>
      <c r="EN47" s="1097">
        <f t="shared" si="10"/>
        <v>0</v>
      </c>
      <c r="EO47" s="1098"/>
      <c r="EP47" s="1098"/>
      <c r="EQ47" s="1098"/>
      <c r="ER47" s="1098"/>
      <c r="ES47" s="1098"/>
      <c r="ET47" s="1098"/>
      <c r="EU47" s="1098"/>
      <c r="EV47" s="1098"/>
      <c r="EW47" s="1098"/>
      <c r="EX47" s="1098"/>
      <c r="EY47" s="1098"/>
      <c r="EZ47" s="1098"/>
      <c r="FA47" s="1097">
        <f t="shared" si="11"/>
        <v>0</v>
      </c>
      <c r="FB47" s="1098"/>
      <c r="FC47" s="1098"/>
      <c r="FD47" s="1098"/>
      <c r="FE47" s="1098"/>
      <c r="FF47" s="1098"/>
      <c r="FG47" s="1098"/>
      <c r="FH47" s="1098"/>
      <c r="FI47" s="1098"/>
      <c r="FJ47" s="1098"/>
      <c r="FK47" s="1098"/>
      <c r="FL47" s="1098"/>
      <c r="FM47" s="1098"/>
      <c r="FN47" s="1097">
        <f t="shared" si="12"/>
        <v>0</v>
      </c>
      <c r="FO47" s="1098"/>
      <c r="FP47" s="1098"/>
      <c r="FQ47" s="1098"/>
      <c r="FR47" s="1098"/>
      <c r="FS47" s="1098"/>
      <c r="FT47" s="1098"/>
      <c r="FU47" s="1098"/>
      <c r="FV47" s="1098"/>
      <c r="FW47" s="1098"/>
      <c r="FX47" s="1098"/>
      <c r="FY47" s="1098"/>
      <c r="FZ47" s="1098"/>
      <c r="GA47" s="1097">
        <f t="shared" si="13"/>
        <v>0</v>
      </c>
      <c r="GB47" s="1098"/>
      <c r="GC47" s="1098"/>
      <c r="GD47" s="1098"/>
      <c r="GE47" s="1098"/>
      <c r="GF47" s="1098"/>
      <c r="GG47" s="1098"/>
      <c r="GH47" s="1098"/>
      <c r="GI47" s="1098"/>
      <c r="GJ47" s="1098"/>
      <c r="GK47" s="1098"/>
      <c r="GL47" s="1098"/>
      <c r="GM47" s="1098"/>
      <c r="GN47" s="1097">
        <f t="shared" si="14"/>
        <v>0</v>
      </c>
      <c r="GO47" s="1098"/>
      <c r="GP47" s="1098"/>
      <c r="GQ47" s="1098"/>
      <c r="GR47" s="1098"/>
      <c r="GS47" s="1098"/>
      <c r="GT47" s="1098"/>
      <c r="GU47" s="1098"/>
      <c r="GV47" s="1098"/>
      <c r="GW47" s="1098"/>
      <c r="GX47" s="1098"/>
      <c r="GY47" s="1098"/>
      <c r="GZ47" s="1098"/>
      <c r="HA47" s="1097">
        <f t="shared" si="15"/>
        <v>0</v>
      </c>
      <c r="HB47" s="1098"/>
      <c r="HC47" s="1098"/>
      <c r="HD47" s="1098"/>
      <c r="HE47" s="1098"/>
      <c r="HF47" s="1098"/>
      <c r="HG47" s="1098"/>
      <c r="HH47" s="1098"/>
      <c r="HI47" s="1098"/>
      <c r="HJ47" s="1098"/>
      <c r="HK47" s="1098"/>
      <c r="HL47" s="1098"/>
      <c r="HM47" s="1098"/>
      <c r="HN47" s="1097">
        <f t="shared" si="16"/>
        <v>0</v>
      </c>
      <c r="HO47" s="1098"/>
      <c r="HP47" s="1098"/>
      <c r="HQ47" s="1098"/>
      <c r="HR47" s="1098"/>
      <c r="HS47" s="1098"/>
      <c r="HT47" s="1098"/>
      <c r="HU47" s="1098"/>
      <c r="HV47" s="1098"/>
      <c r="HW47" s="1098"/>
      <c r="HX47" s="1098"/>
      <c r="HY47" s="1098"/>
      <c r="HZ47" s="1098"/>
      <c r="IA47" s="1097">
        <f t="shared" si="17"/>
        <v>0</v>
      </c>
      <c r="IB47" s="1098"/>
      <c r="IC47" s="1098"/>
      <c r="ID47" s="1098"/>
      <c r="IE47" s="1098"/>
      <c r="IF47" s="1098"/>
      <c r="IG47" s="1098"/>
      <c r="IH47" s="1098"/>
      <c r="II47" s="1098"/>
      <c r="IJ47" s="1098"/>
      <c r="IK47" s="1098"/>
      <c r="IL47" s="1098"/>
      <c r="IM47" s="1098"/>
      <c r="IN47" s="1097">
        <f t="shared" si="38"/>
        <v>0</v>
      </c>
      <c r="IO47" s="1098"/>
      <c r="IP47" s="1098"/>
      <c r="IQ47" s="1098"/>
      <c r="IR47" s="1098"/>
      <c r="IS47" s="1098"/>
      <c r="IT47" s="1098"/>
      <c r="IU47" s="1098"/>
      <c r="IV47" s="1098"/>
      <c r="IW47" s="1098"/>
      <c r="IX47" s="1098"/>
      <c r="IY47" s="1098"/>
      <c r="IZ47" s="1098"/>
      <c r="JA47" s="1097">
        <f t="shared" si="40"/>
        <v>0</v>
      </c>
      <c r="JB47" s="1098">
        <v>0</v>
      </c>
      <c r="JC47" s="1098"/>
      <c r="JD47" s="1098"/>
      <c r="JE47" s="1098"/>
      <c r="JF47" s="1098"/>
      <c r="JG47" s="1098"/>
      <c r="JH47" s="1098"/>
      <c r="JI47" s="1098"/>
      <c r="JJ47" s="1098"/>
      <c r="JK47" s="1098"/>
      <c r="JL47" s="1098"/>
      <c r="JM47" s="1098"/>
      <c r="JN47" s="1097">
        <f t="shared" si="18"/>
        <v>0</v>
      </c>
      <c r="JP47" s="1174"/>
      <c r="JQ47" s="1175"/>
      <c r="JR47" s="1184"/>
      <c r="JS47" s="1185"/>
      <c r="JT47" s="1"/>
      <c r="JU47" s="1079">
        <f t="shared" si="46"/>
        <v>0</v>
      </c>
      <c r="JV47" s="1150" t="s">
        <v>583</v>
      </c>
      <c r="JW47" s="1081" t="str">
        <f t="shared" si="47"/>
        <v>OK</v>
      </c>
    </row>
    <row r="48" spans="1:283" ht="15" customHeight="1" x14ac:dyDescent="0.2">
      <c r="A48" s="1165"/>
      <c r="B48" s="1101"/>
      <c r="C48" s="1101"/>
      <c r="D48" s="1101"/>
      <c r="E48" s="1101"/>
      <c r="F48" s="1101"/>
      <c r="G48" s="1101"/>
      <c r="H48" s="1101"/>
      <c r="I48" s="1101"/>
      <c r="J48" s="1101"/>
      <c r="K48" s="1101"/>
      <c r="L48" s="1101"/>
      <c r="M48" s="1101"/>
      <c r="N48" s="1102"/>
      <c r="O48" s="1101"/>
      <c r="P48" s="1101"/>
      <c r="Q48" s="1101"/>
      <c r="R48" s="1101"/>
      <c r="S48" s="1101"/>
      <c r="T48" s="1101"/>
      <c r="U48" s="1101"/>
      <c r="V48" s="1101"/>
      <c r="W48" s="1101"/>
      <c r="X48" s="1101"/>
      <c r="Y48" s="1101"/>
      <c r="Z48" s="1101"/>
      <c r="AA48" s="1102"/>
      <c r="AB48" s="1101"/>
      <c r="AC48" s="1101"/>
      <c r="AD48" s="1101"/>
      <c r="AE48" s="1101"/>
      <c r="AF48" s="1101"/>
      <c r="AG48" s="1101"/>
      <c r="AH48" s="1101"/>
      <c r="AI48" s="1101"/>
      <c r="AJ48" s="1101"/>
      <c r="AK48" s="1101"/>
      <c r="AL48" s="1101"/>
      <c r="AM48" s="1101"/>
      <c r="AN48" s="1102"/>
      <c r="AO48" s="1101"/>
      <c r="AP48" s="1101"/>
      <c r="AQ48" s="1101"/>
      <c r="AR48" s="1101"/>
      <c r="AS48" s="1101"/>
      <c r="AT48" s="1101"/>
      <c r="AU48" s="1101"/>
      <c r="AV48" s="1101"/>
      <c r="AW48" s="1101"/>
      <c r="AX48" s="1101"/>
      <c r="AY48" s="1101"/>
      <c r="AZ48" s="1101"/>
      <c r="BA48" s="1102"/>
      <c r="BB48" s="1101"/>
      <c r="BC48" s="1101"/>
      <c r="BD48" s="1101"/>
      <c r="BE48" s="1101"/>
      <c r="BF48" s="1101"/>
      <c r="BG48" s="1101"/>
      <c r="BH48" s="1101"/>
      <c r="BI48" s="1101"/>
      <c r="BJ48" s="1101"/>
      <c r="BK48" s="1101"/>
      <c r="BL48" s="1101"/>
      <c r="BM48" s="1101"/>
      <c r="BN48" s="1102"/>
      <c r="BO48" s="1101"/>
      <c r="BP48" s="1101"/>
      <c r="BQ48" s="1101"/>
      <c r="BR48" s="1101"/>
      <c r="BS48" s="1101"/>
      <c r="BT48" s="1101"/>
      <c r="BU48" s="1101"/>
      <c r="BV48" s="1101"/>
      <c r="BW48" s="1101"/>
      <c r="BX48" s="1101"/>
      <c r="BY48" s="1101"/>
      <c r="BZ48" s="1101"/>
      <c r="CA48" s="1102"/>
      <c r="CB48" s="1101"/>
      <c r="CC48" s="1101"/>
      <c r="CD48" s="1101"/>
      <c r="CE48" s="1101"/>
      <c r="CF48" s="1101"/>
      <c r="CG48" s="1101"/>
      <c r="CH48" s="1101"/>
      <c r="CI48" s="1101"/>
      <c r="CJ48" s="1101"/>
      <c r="CK48" s="1101"/>
      <c r="CL48" s="1101"/>
      <c r="CM48" s="1101"/>
      <c r="CN48" s="1102"/>
      <c r="CO48" s="1101"/>
      <c r="CP48" s="1101"/>
      <c r="CQ48" s="1101"/>
      <c r="CR48" s="1101"/>
      <c r="CS48" s="1101"/>
      <c r="CT48" s="1101"/>
      <c r="CU48" s="1101"/>
      <c r="CV48" s="1101"/>
      <c r="CW48" s="1101"/>
      <c r="CX48" s="1101"/>
      <c r="CY48" s="1101"/>
      <c r="CZ48" s="1101"/>
      <c r="DA48" s="1102"/>
      <c r="DB48" s="1101"/>
      <c r="DC48" s="1101"/>
      <c r="DD48" s="1101"/>
      <c r="DE48" s="1101"/>
      <c r="DF48" s="1101"/>
      <c r="DG48" s="1101"/>
      <c r="DH48" s="1101"/>
      <c r="DI48" s="1101"/>
      <c r="DJ48" s="1101"/>
      <c r="DK48" s="1101"/>
      <c r="DL48" s="1101"/>
      <c r="DM48" s="1101"/>
      <c r="DN48" s="1102"/>
      <c r="DO48" s="1101"/>
      <c r="DP48" s="1101"/>
      <c r="DQ48" s="1101"/>
      <c r="DR48" s="1101"/>
      <c r="DS48" s="1101"/>
      <c r="DT48" s="1101"/>
      <c r="DU48" s="1101"/>
      <c r="DV48" s="1101"/>
      <c r="DW48" s="1101"/>
      <c r="DX48" s="1101"/>
      <c r="DY48" s="1101"/>
      <c r="DZ48" s="1101"/>
      <c r="EA48" s="1102"/>
      <c r="EB48" s="1101"/>
      <c r="EC48" s="1101"/>
      <c r="ED48" s="1101"/>
      <c r="EE48" s="1101"/>
      <c r="EF48" s="1101"/>
      <c r="EG48" s="1101"/>
      <c r="EH48" s="1101"/>
      <c r="EI48" s="1101"/>
      <c r="EJ48" s="1101"/>
      <c r="EK48" s="1101"/>
      <c r="EL48" s="1101"/>
      <c r="EM48" s="1101"/>
      <c r="EN48" s="1102"/>
      <c r="EO48" s="1101"/>
      <c r="EP48" s="1101"/>
      <c r="EQ48" s="1101"/>
      <c r="ER48" s="1101"/>
      <c r="ES48" s="1101"/>
      <c r="ET48" s="1101"/>
      <c r="EU48" s="1101"/>
      <c r="EV48" s="1101"/>
      <c r="EW48" s="1101"/>
      <c r="EX48" s="1101"/>
      <c r="EY48" s="1101"/>
      <c r="EZ48" s="1101"/>
      <c r="FA48" s="1102"/>
      <c r="FB48" s="1101"/>
      <c r="FC48" s="1101"/>
      <c r="FD48" s="1101"/>
      <c r="FE48" s="1101"/>
      <c r="FF48" s="1101"/>
      <c r="FG48" s="1101"/>
      <c r="FH48" s="1101"/>
      <c r="FI48" s="1101"/>
      <c r="FJ48" s="1101"/>
      <c r="FK48" s="1101"/>
      <c r="FL48" s="1101"/>
      <c r="FM48" s="1101"/>
      <c r="FN48" s="1102"/>
      <c r="FO48" s="1101"/>
      <c r="FP48" s="1101"/>
      <c r="FQ48" s="1101"/>
      <c r="FR48" s="1101"/>
      <c r="FS48" s="1101"/>
      <c r="FT48" s="1101"/>
      <c r="FU48" s="1101"/>
      <c r="FV48" s="1101"/>
      <c r="FW48" s="1101"/>
      <c r="FX48" s="1101"/>
      <c r="FY48" s="1101"/>
      <c r="FZ48" s="1101"/>
      <c r="GA48" s="1102"/>
      <c r="GB48" s="1101"/>
      <c r="GC48" s="1101"/>
      <c r="GD48" s="1101"/>
      <c r="GE48" s="1101"/>
      <c r="GF48" s="1101"/>
      <c r="GG48" s="1101"/>
      <c r="GH48" s="1101"/>
      <c r="GI48" s="1101"/>
      <c r="GJ48" s="1101"/>
      <c r="GK48" s="1101"/>
      <c r="GL48" s="1101"/>
      <c r="GM48" s="1101"/>
      <c r="GN48" s="1102"/>
      <c r="GO48" s="1101"/>
      <c r="GP48" s="1101"/>
      <c r="GQ48" s="1101"/>
      <c r="GR48" s="1101"/>
      <c r="GS48" s="1101"/>
      <c r="GT48" s="1101"/>
      <c r="GU48" s="1101"/>
      <c r="GV48" s="1101"/>
      <c r="GW48" s="1101"/>
      <c r="GX48" s="1101"/>
      <c r="GY48" s="1101"/>
      <c r="GZ48" s="1101"/>
      <c r="HA48" s="1102"/>
      <c r="HB48" s="1101"/>
      <c r="HC48" s="1101"/>
      <c r="HD48" s="1101"/>
      <c r="HE48" s="1101"/>
      <c r="HF48" s="1101"/>
      <c r="HG48" s="1101"/>
      <c r="HH48" s="1101"/>
      <c r="HI48" s="1101"/>
      <c r="HJ48" s="1101"/>
      <c r="HK48" s="1101"/>
      <c r="HL48" s="1101"/>
      <c r="HM48" s="1101"/>
      <c r="HN48" s="1102"/>
      <c r="HO48" s="1101"/>
      <c r="HP48" s="1101"/>
      <c r="HQ48" s="1101"/>
      <c r="HR48" s="1101"/>
      <c r="HS48" s="1101"/>
      <c r="HT48" s="1101"/>
      <c r="HU48" s="1101"/>
      <c r="HV48" s="1101"/>
      <c r="HW48" s="1101"/>
      <c r="HX48" s="1101"/>
      <c r="HY48" s="1101"/>
      <c r="HZ48" s="1101"/>
      <c r="IA48" s="1102"/>
      <c r="IB48" s="1101"/>
      <c r="IC48" s="1101"/>
      <c r="ID48" s="1101"/>
      <c r="IE48" s="1101"/>
      <c r="IF48" s="1101"/>
      <c r="IG48" s="1101"/>
      <c r="IH48" s="1101"/>
      <c r="II48" s="1101"/>
      <c r="IJ48" s="1101"/>
      <c r="IK48" s="1101"/>
      <c r="IL48" s="1101"/>
      <c r="IM48" s="1101"/>
      <c r="IN48" s="1102"/>
      <c r="IO48" s="1101"/>
      <c r="IP48" s="1101"/>
      <c r="IQ48" s="1101"/>
      <c r="IR48" s="1101"/>
      <c r="IS48" s="1101"/>
      <c r="IT48" s="1101"/>
      <c r="IU48" s="1101"/>
      <c r="IV48" s="1101"/>
      <c r="IW48" s="1101"/>
      <c r="IX48" s="1101"/>
      <c r="IY48" s="1101"/>
      <c r="IZ48" s="1101"/>
      <c r="JA48" s="1102"/>
      <c r="JB48" s="1101"/>
      <c r="JC48" s="1101"/>
      <c r="JD48" s="1101"/>
      <c r="JE48" s="1101"/>
      <c r="JF48" s="1101"/>
      <c r="JG48" s="1101"/>
      <c r="JH48" s="1101"/>
      <c r="JI48" s="1101"/>
      <c r="JJ48" s="1101"/>
      <c r="JK48" s="1101"/>
      <c r="JL48" s="1101"/>
      <c r="JM48" s="1101"/>
      <c r="JN48" s="1102"/>
      <c r="JP48" s="1180"/>
      <c r="JQ48" s="1181"/>
      <c r="JR48" s="1190"/>
      <c r="JS48" s="1191"/>
      <c r="JT48" s="1"/>
      <c r="JU48" s="1125"/>
      <c r="JV48" s="1225"/>
      <c r="JW48" s="1226"/>
    </row>
    <row r="49" spans="1:280" ht="15" customHeight="1" x14ac:dyDescent="0.2">
      <c r="A49" s="34" t="s">
        <v>122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P49" s="1"/>
      <c r="JQ49" s="1"/>
      <c r="JR49" s="1"/>
      <c r="JS49" s="1"/>
      <c r="JT49" s="1"/>
    </row>
    <row r="50" spans="1:280" ht="15" customHeight="1" x14ac:dyDescent="0.2">
      <c r="A50" s="1" t="s">
        <v>127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P50" s="1"/>
      <c r="JQ50" s="1"/>
      <c r="JR50" s="1"/>
      <c r="JS50" s="1"/>
      <c r="JT50" s="1"/>
    </row>
    <row r="51" spans="1:280" ht="15" customHeight="1" x14ac:dyDescent="0.2">
      <c r="A51" s="1" t="s">
        <v>613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P51" s="1"/>
      <c r="JQ51" s="1"/>
      <c r="JR51" s="1"/>
      <c r="JS51" s="1"/>
      <c r="JT51" s="1"/>
    </row>
    <row r="52" spans="1:280" ht="1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P52" s="1"/>
      <c r="JQ52" s="1"/>
      <c r="JR52" s="1"/>
      <c r="JS52" s="1"/>
      <c r="JT52" s="1"/>
    </row>
    <row r="54" spans="1:280" ht="15" customHeight="1" x14ac:dyDescent="0.2">
      <c r="IO54">
        <v>342112</v>
      </c>
      <c r="IP54">
        <v>351107.1</v>
      </c>
      <c r="IQ54">
        <v>356255</v>
      </c>
      <c r="IR54">
        <v>354871.3</v>
      </c>
      <c r="IS54">
        <v>357599.7</v>
      </c>
      <c r="IT54">
        <v>321136.90000000002</v>
      </c>
      <c r="IU54">
        <v>309104.3</v>
      </c>
      <c r="IV54">
        <v>300046.8</v>
      </c>
      <c r="IW54">
        <v>300434.5</v>
      </c>
      <c r="IX54">
        <v>320101.59999999998</v>
      </c>
      <c r="IY54">
        <v>359939.4</v>
      </c>
      <c r="IZ54">
        <v>364052.55</v>
      </c>
      <c r="JA54">
        <v>4036761.1499999994</v>
      </c>
    </row>
    <row r="55" spans="1:280" ht="15" customHeight="1" x14ac:dyDescent="0.2">
      <c r="IO55">
        <f t="shared" ref="IO55:JA55" si="48">IO9-IO54</f>
        <v>2663</v>
      </c>
      <c r="IP55">
        <f t="shared" si="48"/>
        <v>3184</v>
      </c>
      <c r="IQ55">
        <f t="shared" si="48"/>
        <v>3184</v>
      </c>
      <c r="IR55">
        <f t="shared" si="48"/>
        <v>3538</v>
      </c>
      <c r="IS55">
        <f t="shared" si="48"/>
        <v>2947</v>
      </c>
      <c r="IT55">
        <f t="shared" si="48"/>
        <v>2909</v>
      </c>
      <c r="IU55">
        <f t="shared" si="48"/>
        <v>2068</v>
      </c>
      <c r="IV55">
        <f t="shared" si="48"/>
        <v>2154</v>
      </c>
      <c r="IW55">
        <f t="shared" si="48"/>
        <v>3499.5</v>
      </c>
      <c r="IX55">
        <f t="shared" si="48"/>
        <v>3508.5</v>
      </c>
      <c r="IY55">
        <f t="shared" si="48"/>
        <v>3353.5</v>
      </c>
      <c r="IZ55">
        <f t="shared" si="48"/>
        <v>0</v>
      </c>
      <c r="JA55">
        <f t="shared" si="48"/>
        <v>33008.5</v>
      </c>
    </row>
  </sheetData>
  <sortState xmlns:xlrd2="http://schemas.microsoft.com/office/spreadsheetml/2017/richdata2" ref="A11:JW47">
    <sortCondition descending="1" sortBy="cellColor" ref="A11:A47" dxfId="9"/>
    <sortCondition ref="A11:A47"/>
  </sortState>
  <phoneticPr fontId="3" type="noConversion"/>
  <printOptions horizontalCentered="1" verticalCentered="1"/>
  <pageMargins left="0.31496062992125984" right="0.35433070866141736" top="0.47" bottom="0.56999999999999995" header="0" footer="0"/>
  <pageSetup paperSize="9" scale="10" orientation="landscape" r:id="rId1"/>
  <headerFooter alignWithMargins="0"/>
  <colBreaks count="1" manualBreakCount="1">
    <brk id="131" max="6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275F-282E-4407-ACF9-600294165155}">
  <sheetPr>
    <tabColor theme="6" tint="-0.249977111117893"/>
  </sheetPr>
  <dimension ref="A1:JW48"/>
  <sheetViews>
    <sheetView showGridLines="0" view="pageBreakPreview" zoomScaleNormal="75" zoomScaleSheetLayoutView="100" workbookViewId="0">
      <pane xSplit="1" topLeftCell="JB1" activePane="topRight" state="frozen"/>
      <selection activeCell="IB59" sqref="IB59:JB59"/>
      <selection pane="topRight" activeCell="JP4" sqref="JP4:JS5"/>
    </sheetView>
  </sheetViews>
  <sheetFormatPr baseColWidth="10" defaultColWidth="9.7109375" defaultRowHeight="15" customHeight="1" x14ac:dyDescent="0.2"/>
  <cols>
    <col min="1" max="1" width="20.7109375" style="1" customWidth="1"/>
    <col min="2" max="274" width="9.7109375" style="1"/>
    <col min="275" max="275" width="9.7109375" customWidth="1"/>
    <col min="276" max="16384" width="9.7109375" style="1"/>
  </cols>
  <sheetData>
    <row r="1" spans="1:283" ht="15" customHeight="1" x14ac:dyDescent="0.25">
      <c r="A1" s="1170" t="s">
        <v>169</v>
      </c>
      <c r="JU1"/>
      <c r="JV1"/>
      <c r="JW1"/>
    </row>
    <row r="2" spans="1:283" ht="15" customHeight="1" x14ac:dyDescent="0.25">
      <c r="A2" s="1170" t="s">
        <v>130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JU2"/>
      <c r="JV2"/>
      <c r="JW2"/>
    </row>
    <row r="3" spans="1:283" ht="15" customHeight="1" x14ac:dyDescent="0.25">
      <c r="A3" s="1170" t="s">
        <v>81</v>
      </c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JP3" s="3"/>
      <c r="JU3"/>
      <c r="JV3"/>
      <c r="JW3"/>
    </row>
    <row r="4" spans="1:283" ht="15" customHeight="1" x14ac:dyDescent="0.2">
      <c r="A4" s="1240"/>
      <c r="B4" s="1088" t="str">
        <f>CONCATENATE("CAMPAÑA ",(YEAR(B5)),"-",(YEAR(M5)))</f>
        <v>CAMPAÑA 2005-2006</v>
      </c>
      <c r="C4" s="1088"/>
      <c r="D4" s="1088"/>
      <c r="E4" s="1088"/>
      <c r="F4" s="1088"/>
      <c r="G4" s="1088"/>
      <c r="H4" s="1088"/>
      <c r="I4" s="1088"/>
      <c r="J4" s="1088"/>
      <c r="K4" s="1088"/>
      <c r="L4" s="1088"/>
      <c r="M4" s="1088"/>
      <c r="N4" s="1089" t="s">
        <v>29</v>
      </c>
      <c r="O4" s="1088" t="str">
        <f>CONCATENATE("CAMPAÑA ",(YEAR(O5)),"-",(YEAR(Z5)))</f>
        <v>CAMPAÑA 2006-2007</v>
      </c>
      <c r="P4" s="1088"/>
      <c r="Q4" s="1088"/>
      <c r="R4" s="1088"/>
      <c r="S4" s="1088"/>
      <c r="T4" s="1088"/>
      <c r="U4" s="1088"/>
      <c r="V4" s="1088"/>
      <c r="W4" s="1088"/>
      <c r="X4" s="1088"/>
      <c r="Y4" s="1088"/>
      <c r="Z4" s="1088"/>
      <c r="AA4" s="1089" t="s">
        <v>29</v>
      </c>
      <c r="AB4" s="1088" t="str">
        <f>CONCATENATE("CAMPAÑA ",(YEAR(AB5)),"-",(YEAR(AM5)))</f>
        <v>CAMPAÑA 2007-2008</v>
      </c>
      <c r="AC4" s="1088"/>
      <c r="AD4" s="1088"/>
      <c r="AE4" s="1088"/>
      <c r="AF4" s="1088"/>
      <c r="AG4" s="1088"/>
      <c r="AH4" s="1088"/>
      <c r="AI4" s="1088"/>
      <c r="AJ4" s="1088"/>
      <c r="AK4" s="1088"/>
      <c r="AL4" s="1088"/>
      <c r="AM4" s="1088"/>
      <c r="AN4" s="1089" t="s">
        <v>29</v>
      </c>
      <c r="AO4" s="1088" t="str">
        <f>CONCATENATE("CAMPAÑA ",(YEAR(AO5)),"-",(YEAR(AZ5)))</f>
        <v>CAMPAÑA 2008-2009</v>
      </c>
      <c r="AP4" s="1088"/>
      <c r="AQ4" s="1088"/>
      <c r="AR4" s="1088"/>
      <c r="AS4" s="1088"/>
      <c r="AT4" s="1088"/>
      <c r="AU4" s="1088"/>
      <c r="AV4" s="1088"/>
      <c r="AW4" s="1088"/>
      <c r="AX4" s="1088"/>
      <c r="AY4" s="1088"/>
      <c r="AZ4" s="1088"/>
      <c r="BA4" s="1089" t="s">
        <v>29</v>
      </c>
      <c r="BB4" s="1088" t="str">
        <f>CONCATENATE("CAMPAÑA ",(YEAR(BB5)),"-",(YEAR(BM5)))</f>
        <v>CAMPAÑA 2009-2010</v>
      </c>
      <c r="BC4" s="1088"/>
      <c r="BD4" s="1088"/>
      <c r="BE4" s="1088"/>
      <c r="BF4" s="1088"/>
      <c r="BG4" s="1088"/>
      <c r="BH4" s="1088"/>
      <c r="BI4" s="1088"/>
      <c r="BJ4" s="1088"/>
      <c r="BK4" s="1088"/>
      <c r="BL4" s="1088"/>
      <c r="BM4" s="1088"/>
      <c r="BN4" s="1089" t="s">
        <v>29</v>
      </c>
      <c r="BO4" s="1088" t="str">
        <f>CONCATENATE("CAMPAÑA ",(YEAR(BO5)),"-",(YEAR(BZ5)))</f>
        <v>CAMPAÑA 2010-2011</v>
      </c>
      <c r="BP4" s="1088"/>
      <c r="BQ4" s="1088"/>
      <c r="BR4" s="1088"/>
      <c r="BS4" s="1088"/>
      <c r="BT4" s="1088"/>
      <c r="BU4" s="1088"/>
      <c r="BV4" s="1088"/>
      <c r="BW4" s="1088"/>
      <c r="BX4" s="1088"/>
      <c r="BY4" s="1088"/>
      <c r="BZ4" s="1088"/>
      <c r="CA4" s="1089" t="s">
        <v>29</v>
      </c>
      <c r="CB4" s="1088" t="str">
        <f>CONCATENATE("CAMPAÑA ",(YEAR(CB5)),"-",(YEAR(CM5)))</f>
        <v>CAMPAÑA 2011-2012</v>
      </c>
      <c r="CC4" s="1088"/>
      <c r="CD4" s="1088"/>
      <c r="CE4" s="1088"/>
      <c r="CF4" s="1088"/>
      <c r="CG4" s="1088"/>
      <c r="CH4" s="1088"/>
      <c r="CI4" s="1088"/>
      <c r="CJ4" s="1088"/>
      <c r="CK4" s="1088"/>
      <c r="CL4" s="1088"/>
      <c r="CM4" s="1088"/>
      <c r="CN4" s="1089" t="s">
        <v>29</v>
      </c>
      <c r="CO4" s="1088" t="str">
        <f>CONCATENATE("CAMPAÑA ",(YEAR(CO5)),"-",(YEAR(CZ5)))</f>
        <v>CAMPAÑA 2012-2013</v>
      </c>
      <c r="CP4" s="1088"/>
      <c r="CQ4" s="1088"/>
      <c r="CR4" s="1088"/>
      <c r="CS4" s="1088"/>
      <c r="CT4" s="1088"/>
      <c r="CU4" s="1088"/>
      <c r="CV4" s="1088"/>
      <c r="CW4" s="1088"/>
      <c r="CX4" s="1088"/>
      <c r="CY4" s="1088"/>
      <c r="CZ4" s="1088"/>
      <c r="DA4" s="1089" t="s">
        <v>29</v>
      </c>
      <c r="DB4" s="1088" t="str">
        <f>CONCATENATE("CAMPAÑA ",(YEAR(DB5)),"-",(YEAR(DM5)))</f>
        <v>CAMPAÑA 2013-2014</v>
      </c>
      <c r="DC4" s="1088"/>
      <c r="DD4" s="1088"/>
      <c r="DE4" s="1088"/>
      <c r="DF4" s="1088"/>
      <c r="DG4" s="1088"/>
      <c r="DH4" s="1088"/>
      <c r="DI4" s="1088"/>
      <c r="DJ4" s="1088"/>
      <c r="DK4" s="1088"/>
      <c r="DL4" s="1088"/>
      <c r="DM4" s="1088"/>
      <c r="DN4" s="1089" t="s">
        <v>29</v>
      </c>
      <c r="DO4" s="1088" t="str">
        <f>CONCATENATE("CAMPAÑA ",(YEAR(DO5)),"-",(YEAR(DZ5)))</f>
        <v>CAMPAÑA 2014-2015</v>
      </c>
      <c r="DP4" s="1088"/>
      <c r="DQ4" s="1088"/>
      <c r="DR4" s="1088"/>
      <c r="DS4" s="1088"/>
      <c r="DT4" s="1088"/>
      <c r="DU4" s="1088"/>
      <c r="DV4" s="1088"/>
      <c r="DW4" s="1088"/>
      <c r="DX4" s="1088"/>
      <c r="DY4" s="1088"/>
      <c r="DZ4" s="1088"/>
      <c r="EA4" s="1089" t="s">
        <v>29</v>
      </c>
      <c r="EB4" s="1088" t="str">
        <f>CONCATENATE("CAMPAÑA ",(YEAR(EB5)),"-",(YEAR(EM5)))</f>
        <v>CAMPAÑA 2015-2016</v>
      </c>
      <c r="EC4" s="1088"/>
      <c r="ED4" s="1088"/>
      <c r="EE4" s="1088"/>
      <c r="EF4" s="1088"/>
      <c r="EG4" s="1088"/>
      <c r="EH4" s="1088"/>
      <c r="EI4" s="1088"/>
      <c r="EJ4" s="1088"/>
      <c r="EK4" s="1088"/>
      <c r="EL4" s="1088"/>
      <c r="EM4" s="1088"/>
      <c r="EN4" s="1089" t="s">
        <v>29</v>
      </c>
      <c r="EO4" s="1088" t="str">
        <f>CONCATENATE("CAMPAÑA ",(YEAR(EO5)),"-",(YEAR(EZ5)))</f>
        <v>CAMPAÑA 2016-2017</v>
      </c>
      <c r="EP4" s="1088"/>
      <c r="EQ4" s="1088"/>
      <c r="ER4" s="1088"/>
      <c r="ES4" s="1088"/>
      <c r="ET4" s="1088"/>
      <c r="EU4" s="1088"/>
      <c r="EV4" s="1088"/>
      <c r="EW4" s="1088"/>
      <c r="EX4" s="1088"/>
      <c r="EY4" s="1088"/>
      <c r="EZ4" s="1088"/>
      <c r="FA4" s="1089" t="s">
        <v>29</v>
      </c>
      <c r="FB4" s="1088" t="str">
        <f>CONCATENATE("CAMPAÑA ",(YEAR(FB5)),"-",(YEAR(FM5)))</f>
        <v>CAMPAÑA 2017-2018</v>
      </c>
      <c r="FC4" s="1088"/>
      <c r="FD4" s="1088"/>
      <c r="FE4" s="1088"/>
      <c r="FF4" s="1088"/>
      <c r="FG4" s="1088"/>
      <c r="FH4" s="1088"/>
      <c r="FI4" s="1088"/>
      <c r="FJ4" s="1088"/>
      <c r="FK4" s="1088"/>
      <c r="FL4" s="1088"/>
      <c r="FM4" s="1088"/>
      <c r="FN4" s="1089" t="s">
        <v>29</v>
      </c>
      <c r="FO4" s="1088" t="str">
        <f>CONCATENATE("CAMPAÑA ",(YEAR(FO5)),"-",(YEAR(FZ5)))</f>
        <v>CAMPAÑA 2018-2019</v>
      </c>
      <c r="FP4" s="1088"/>
      <c r="FQ4" s="1088"/>
      <c r="FR4" s="1088"/>
      <c r="FS4" s="1088"/>
      <c r="FT4" s="1088"/>
      <c r="FU4" s="1088"/>
      <c r="FV4" s="1088"/>
      <c r="FW4" s="1088"/>
      <c r="FX4" s="1088"/>
      <c r="FY4" s="1088"/>
      <c r="FZ4" s="1088"/>
      <c r="GA4" s="1089" t="s">
        <v>29</v>
      </c>
      <c r="GB4" s="1088" t="str">
        <f>CONCATENATE("CAMPAÑA ",(YEAR(GB5)),"-",(YEAR(GM5)))</f>
        <v>CAMPAÑA 2019-2020</v>
      </c>
      <c r="GC4" s="1088"/>
      <c r="GD4" s="1088"/>
      <c r="GE4" s="1088"/>
      <c r="GF4" s="1088"/>
      <c r="GG4" s="1088"/>
      <c r="GH4" s="1088"/>
      <c r="GI4" s="1088"/>
      <c r="GJ4" s="1088"/>
      <c r="GK4" s="1088"/>
      <c r="GL4" s="1088"/>
      <c r="GM4" s="1088"/>
      <c r="GN4" s="1089" t="s">
        <v>29</v>
      </c>
      <c r="GO4" s="1088" t="str">
        <f>CONCATENATE("CAMPAÑA ",(YEAR(GO5)),"-",(YEAR(GZ5)))</f>
        <v>CAMPAÑA 2020-2021</v>
      </c>
      <c r="GP4" s="1088"/>
      <c r="GQ4" s="1088"/>
      <c r="GR4" s="1088"/>
      <c r="GS4" s="1088"/>
      <c r="GT4" s="1088"/>
      <c r="GU4" s="1088"/>
      <c r="GV4" s="1088"/>
      <c r="GW4" s="1088"/>
      <c r="GX4" s="1088"/>
      <c r="GY4" s="1088"/>
      <c r="GZ4" s="1088"/>
      <c r="HA4" s="1089" t="s">
        <v>29</v>
      </c>
      <c r="HB4" s="1088" t="str">
        <f>CONCATENATE("CAMPAÑA ",(YEAR(HB5)),"-",(YEAR(HM5)))</f>
        <v>CAMPAÑA 2021-2022</v>
      </c>
      <c r="HC4" s="1088"/>
      <c r="HD4" s="1088"/>
      <c r="HE4" s="1088"/>
      <c r="HF4" s="1088"/>
      <c r="HG4" s="1088"/>
      <c r="HH4" s="1088"/>
      <c r="HI4" s="1088"/>
      <c r="HJ4" s="1088"/>
      <c r="HK4" s="1088"/>
      <c r="HL4" s="1088"/>
      <c r="HM4" s="1088"/>
      <c r="HN4" s="1089" t="s">
        <v>29</v>
      </c>
      <c r="HO4" s="1088" t="str">
        <f>CONCATENATE("CAMPAÑA ",(YEAR(HO5)),"-",(YEAR(HZ5)))</f>
        <v>CAMPAÑA 2022-2023</v>
      </c>
      <c r="HP4" s="1088"/>
      <c r="HQ4" s="1088"/>
      <c r="HR4" s="1088"/>
      <c r="HS4" s="1088"/>
      <c r="HT4" s="1088"/>
      <c r="HU4" s="1088"/>
      <c r="HV4" s="1088"/>
      <c r="HW4" s="1088"/>
      <c r="HX4" s="1088"/>
      <c r="HY4" s="1088"/>
      <c r="HZ4" s="1088"/>
      <c r="IA4" s="1089" t="s">
        <v>29</v>
      </c>
      <c r="IB4" s="1088" t="str">
        <f>CONCATENATE("CAMPAÑA ",(YEAR(IB5)),"-",(YEAR(IM5)))</f>
        <v>CAMPAÑA 2023-2024</v>
      </c>
      <c r="IC4" s="1088"/>
      <c r="ID4" s="1088"/>
      <c r="IE4" s="1088"/>
      <c r="IF4" s="1088"/>
      <c r="IG4" s="1088"/>
      <c r="IH4" s="1088"/>
      <c r="II4" s="1088"/>
      <c r="IJ4" s="1088"/>
      <c r="IK4" s="1088"/>
      <c r="IL4" s="1088"/>
      <c r="IM4" s="1088"/>
      <c r="IN4" s="1089" t="s">
        <v>29</v>
      </c>
      <c r="IO4" s="1088" t="str">
        <f>CONCATENATE("CAMPAÑA ",(YEAR(IO5)),"-",(YEAR(IZ5)))</f>
        <v>CAMPAÑA 2024-2025</v>
      </c>
      <c r="IP4" s="1088"/>
      <c r="IQ4" s="1088"/>
      <c r="IR4" s="1088"/>
      <c r="IS4" s="1088"/>
      <c r="IT4" s="1088"/>
      <c r="IU4" s="1088"/>
      <c r="IV4" s="1088"/>
      <c r="IW4" s="1088"/>
      <c r="IX4" s="1088"/>
      <c r="IY4" s="1088"/>
      <c r="IZ4" s="1088"/>
      <c r="JA4" s="1089" t="s">
        <v>29</v>
      </c>
      <c r="JB4" s="1088" t="str">
        <f>CONCATENATE("CAMPAÑA ",(YEAR(JB5)),"-",(YEAR(JM5)))</f>
        <v>CAMPAÑA 2025-2026</v>
      </c>
      <c r="JC4" s="1088"/>
      <c r="JD4" s="1088"/>
      <c r="JE4" s="1088"/>
      <c r="JF4" s="1088"/>
      <c r="JG4" s="1088"/>
      <c r="JH4" s="1088"/>
      <c r="JI4" s="1088"/>
      <c r="JJ4" s="1088"/>
      <c r="JK4" s="1088"/>
      <c r="JL4" s="1088"/>
      <c r="JM4" s="1088"/>
      <c r="JN4" s="1089" t="s">
        <v>29</v>
      </c>
      <c r="JO4" s="1266"/>
      <c r="JP4" s="1103" t="str">
        <f>CONCATENATE("Var.% ",JS4,"/",JR4)</f>
        <v>Var.% 2025/2024</v>
      </c>
      <c r="JQ4" s="1104"/>
      <c r="JR4" s="1105">
        <f>JS4-1</f>
        <v>2024</v>
      </c>
      <c r="JS4" s="1105">
        <f>YEAR(JP5)</f>
        <v>2025</v>
      </c>
      <c r="JU4" s="1073" t="s">
        <v>562</v>
      </c>
      <c r="JV4" s="1074"/>
      <c r="JW4" s="1075"/>
    </row>
    <row r="5" spans="1:283" ht="15" customHeight="1" x14ac:dyDescent="0.2">
      <c r="A5" s="1241"/>
      <c r="B5" s="1090">
        <v>38565</v>
      </c>
      <c r="C5" s="1090">
        <v>38596</v>
      </c>
      <c r="D5" s="1090">
        <v>38626</v>
      </c>
      <c r="E5" s="1090">
        <v>38657</v>
      </c>
      <c r="F5" s="1090">
        <v>38687</v>
      </c>
      <c r="G5" s="1090">
        <v>38718</v>
      </c>
      <c r="H5" s="1090">
        <v>38749</v>
      </c>
      <c r="I5" s="1090">
        <v>38777</v>
      </c>
      <c r="J5" s="1090">
        <v>38808</v>
      </c>
      <c r="K5" s="1090">
        <v>38838</v>
      </c>
      <c r="L5" s="1090">
        <v>38869</v>
      </c>
      <c r="M5" s="1090">
        <v>38899</v>
      </c>
      <c r="N5" s="1091">
        <f>YEAR(M5)</f>
        <v>2006</v>
      </c>
      <c r="O5" s="1090">
        <v>38930</v>
      </c>
      <c r="P5" s="1090">
        <v>38961</v>
      </c>
      <c r="Q5" s="1090">
        <v>38991</v>
      </c>
      <c r="R5" s="1090">
        <v>39022</v>
      </c>
      <c r="S5" s="1090">
        <v>39052</v>
      </c>
      <c r="T5" s="1090">
        <v>39083</v>
      </c>
      <c r="U5" s="1090">
        <v>39114</v>
      </c>
      <c r="V5" s="1090">
        <v>39142</v>
      </c>
      <c r="W5" s="1090">
        <v>39173</v>
      </c>
      <c r="X5" s="1090">
        <v>39203</v>
      </c>
      <c r="Y5" s="1090">
        <v>39234</v>
      </c>
      <c r="Z5" s="1090">
        <v>39264</v>
      </c>
      <c r="AA5" s="1091">
        <f>YEAR(Z5)</f>
        <v>2007</v>
      </c>
      <c r="AB5" s="1090">
        <v>39295</v>
      </c>
      <c r="AC5" s="1090">
        <v>39326</v>
      </c>
      <c r="AD5" s="1090">
        <v>39356</v>
      </c>
      <c r="AE5" s="1090">
        <v>39387</v>
      </c>
      <c r="AF5" s="1090">
        <v>39417</v>
      </c>
      <c r="AG5" s="1090">
        <v>39448</v>
      </c>
      <c r="AH5" s="1090">
        <v>39479</v>
      </c>
      <c r="AI5" s="1090">
        <v>39508</v>
      </c>
      <c r="AJ5" s="1090">
        <v>39539</v>
      </c>
      <c r="AK5" s="1090">
        <v>39569</v>
      </c>
      <c r="AL5" s="1090">
        <v>39600</v>
      </c>
      <c r="AM5" s="1090">
        <v>39630</v>
      </c>
      <c r="AN5" s="1091">
        <f>YEAR(AM5)</f>
        <v>2008</v>
      </c>
      <c r="AO5" s="1090">
        <v>39661</v>
      </c>
      <c r="AP5" s="1090">
        <v>39692</v>
      </c>
      <c r="AQ5" s="1090">
        <v>39722</v>
      </c>
      <c r="AR5" s="1090">
        <v>39753</v>
      </c>
      <c r="AS5" s="1090">
        <v>39783</v>
      </c>
      <c r="AT5" s="1090">
        <v>39814</v>
      </c>
      <c r="AU5" s="1090">
        <v>39845</v>
      </c>
      <c r="AV5" s="1090">
        <v>39873</v>
      </c>
      <c r="AW5" s="1090">
        <v>39904</v>
      </c>
      <c r="AX5" s="1090">
        <v>39934</v>
      </c>
      <c r="AY5" s="1090">
        <v>39965</v>
      </c>
      <c r="AZ5" s="1090">
        <v>39995</v>
      </c>
      <c r="BA5" s="1091">
        <f>YEAR(AZ5)</f>
        <v>2009</v>
      </c>
      <c r="BB5" s="1090">
        <v>40026</v>
      </c>
      <c r="BC5" s="1090">
        <v>40057</v>
      </c>
      <c r="BD5" s="1090">
        <v>40087</v>
      </c>
      <c r="BE5" s="1090">
        <v>40118</v>
      </c>
      <c r="BF5" s="1090">
        <v>40148</v>
      </c>
      <c r="BG5" s="1090">
        <v>40179</v>
      </c>
      <c r="BH5" s="1090">
        <v>40210</v>
      </c>
      <c r="BI5" s="1090">
        <v>40238</v>
      </c>
      <c r="BJ5" s="1090">
        <v>40269</v>
      </c>
      <c r="BK5" s="1090">
        <v>40299</v>
      </c>
      <c r="BL5" s="1090">
        <v>40330</v>
      </c>
      <c r="BM5" s="1090">
        <v>40360</v>
      </c>
      <c r="BN5" s="1091">
        <f>YEAR(BM5)</f>
        <v>2010</v>
      </c>
      <c r="BO5" s="1090">
        <v>40391</v>
      </c>
      <c r="BP5" s="1090">
        <v>40422</v>
      </c>
      <c r="BQ5" s="1090">
        <v>40452</v>
      </c>
      <c r="BR5" s="1090">
        <v>40483</v>
      </c>
      <c r="BS5" s="1090">
        <v>40513</v>
      </c>
      <c r="BT5" s="1090">
        <v>40544</v>
      </c>
      <c r="BU5" s="1090">
        <v>40575</v>
      </c>
      <c r="BV5" s="1090">
        <v>40603</v>
      </c>
      <c r="BW5" s="1090">
        <v>40634</v>
      </c>
      <c r="BX5" s="1090">
        <v>40664</v>
      </c>
      <c r="BY5" s="1090">
        <v>40695</v>
      </c>
      <c r="BZ5" s="1090">
        <v>40725</v>
      </c>
      <c r="CA5" s="1091">
        <f>YEAR(BZ5)</f>
        <v>2011</v>
      </c>
      <c r="CB5" s="1090">
        <v>40756</v>
      </c>
      <c r="CC5" s="1090">
        <v>40787</v>
      </c>
      <c r="CD5" s="1090">
        <v>40817</v>
      </c>
      <c r="CE5" s="1090">
        <v>40848</v>
      </c>
      <c r="CF5" s="1090">
        <v>40878</v>
      </c>
      <c r="CG5" s="1090">
        <v>40909</v>
      </c>
      <c r="CH5" s="1090">
        <v>40940</v>
      </c>
      <c r="CI5" s="1090">
        <v>40969</v>
      </c>
      <c r="CJ5" s="1090">
        <v>41000</v>
      </c>
      <c r="CK5" s="1090">
        <v>41030</v>
      </c>
      <c r="CL5" s="1090">
        <v>41061</v>
      </c>
      <c r="CM5" s="1090">
        <v>41091</v>
      </c>
      <c r="CN5" s="1091">
        <f>YEAR(CM5)</f>
        <v>2012</v>
      </c>
      <c r="CO5" s="1090">
        <v>41122</v>
      </c>
      <c r="CP5" s="1090">
        <v>41153</v>
      </c>
      <c r="CQ5" s="1090">
        <v>41183</v>
      </c>
      <c r="CR5" s="1090">
        <v>41214</v>
      </c>
      <c r="CS5" s="1090">
        <v>41244</v>
      </c>
      <c r="CT5" s="1090">
        <v>41275</v>
      </c>
      <c r="CU5" s="1090">
        <v>41306</v>
      </c>
      <c r="CV5" s="1090">
        <v>41334</v>
      </c>
      <c r="CW5" s="1090">
        <v>41365</v>
      </c>
      <c r="CX5" s="1090">
        <v>41395</v>
      </c>
      <c r="CY5" s="1090">
        <v>41426</v>
      </c>
      <c r="CZ5" s="1090">
        <v>41456</v>
      </c>
      <c r="DA5" s="1091">
        <f>YEAR(CZ5)</f>
        <v>2013</v>
      </c>
      <c r="DB5" s="1090">
        <v>41487</v>
      </c>
      <c r="DC5" s="1090">
        <v>41518</v>
      </c>
      <c r="DD5" s="1090">
        <v>41548</v>
      </c>
      <c r="DE5" s="1090">
        <v>41579</v>
      </c>
      <c r="DF5" s="1090">
        <v>41609</v>
      </c>
      <c r="DG5" s="1090">
        <v>41640</v>
      </c>
      <c r="DH5" s="1090">
        <v>41671</v>
      </c>
      <c r="DI5" s="1090">
        <v>41699</v>
      </c>
      <c r="DJ5" s="1090">
        <v>41730</v>
      </c>
      <c r="DK5" s="1090">
        <v>41760</v>
      </c>
      <c r="DL5" s="1090">
        <v>41791</v>
      </c>
      <c r="DM5" s="1090">
        <v>41821</v>
      </c>
      <c r="DN5" s="1091">
        <f>YEAR(DM5)</f>
        <v>2014</v>
      </c>
      <c r="DO5" s="1090">
        <v>41852</v>
      </c>
      <c r="DP5" s="1090">
        <v>41883</v>
      </c>
      <c r="DQ5" s="1090">
        <v>41913</v>
      </c>
      <c r="DR5" s="1090">
        <v>41944</v>
      </c>
      <c r="DS5" s="1090">
        <v>41974</v>
      </c>
      <c r="DT5" s="1090">
        <v>42005</v>
      </c>
      <c r="DU5" s="1090">
        <v>42036</v>
      </c>
      <c r="DV5" s="1090">
        <v>42064</v>
      </c>
      <c r="DW5" s="1090">
        <v>42095</v>
      </c>
      <c r="DX5" s="1090">
        <v>42125</v>
      </c>
      <c r="DY5" s="1090">
        <v>42156</v>
      </c>
      <c r="DZ5" s="1090">
        <v>42186</v>
      </c>
      <c r="EA5" s="1091">
        <f>YEAR(DZ5)</f>
        <v>2015</v>
      </c>
      <c r="EB5" s="1090">
        <v>42217</v>
      </c>
      <c r="EC5" s="1090">
        <v>42248</v>
      </c>
      <c r="ED5" s="1090">
        <v>42278</v>
      </c>
      <c r="EE5" s="1090">
        <v>42309</v>
      </c>
      <c r="EF5" s="1090">
        <v>42339</v>
      </c>
      <c r="EG5" s="1090">
        <v>42370</v>
      </c>
      <c r="EH5" s="1090">
        <v>42401</v>
      </c>
      <c r="EI5" s="1090">
        <v>42430</v>
      </c>
      <c r="EJ5" s="1090">
        <v>42461</v>
      </c>
      <c r="EK5" s="1090">
        <v>42491</v>
      </c>
      <c r="EL5" s="1090">
        <v>42522</v>
      </c>
      <c r="EM5" s="1090">
        <v>42552</v>
      </c>
      <c r="EN5" s="1091">
        <f>YEAR(EM5)</f>
        <v>2016</v>
      </c>
      <c r="EO5" s="1090">
        <v>42583</v>
      </c>
      <c r="EP5" s="1090">
        <v>42614</v>
      </c>
      <c r="EQ5" s="1090">
        <v>42644</v>
      </c>
      <c r="ER5" s="1090">
        <v>42675</v>
      </c>
      <c r="ES5" s="1090">
        <v>42705</v>
      </c>
      <c r="ET5" s="1090">
        <v>42736</v>
      </c>
      <c r="EU5" s="1090">
        <v>42767</v>
      </c>
      <c r="EV5" s="1090">
        <v>42795</v>
      </c>
      <c r="EW5" s="1090">
        <v>42826</v>
      </c>
      <c r="EX5" s="1090">
        <v>42856</v>
      </c>
      <c r="EY5" s="1090">
        <v>42887</v>
      </c>
      <c r="EZ5" s="1090">
        <v>42917</v>
      </c>
      <c r="FA5" s="1091">
        <f>YEAR(EZ5)</f>
        <v>2017</v>
      </c>
      <c r="FB5" s="1090">
        <v>42948</v>
      </c>
      <c r="FC5" s="1090">
        <v>42979</v>
      </c>
      <c r="FD5" s="1090">
        <v>43009</v>
      </c>
      <c r="FE5" s="1090">
        <v>43040</v>
      </c>
      <c r="FF5" s="1090">
        <v>43070</v>
      </c>
      <c r="FG5" s="1090">
        <v>43101</v>
      </c>
      <c r="FH5" s="1090">
        <v>43132</v>
      </c>
      <c r="FI5" s="1090">
        <v>43160</v>
      </c>
      <c r="FJ5" s="1090">
        <v>43191</v>
      </c>
      <c r="FK5" s="1090">
        <v>43221</v>
      </c>
      <c r="FL5" s="1090">
        <v>43252</v>
      </c>
      <c r="FM5" s="1090">
        <v>43282</v>
      </c>
      <c r="FN5" s="1091">
        <f>YEAR(FM5)</f>
        <v>2018</v>
      </c>
      <c r="FO5" s="1090">
        <v>43313</v>
      </c>
      <c r="FP5" s="1090">
        <v>43344</v>
      </c>
      <c r="FQ5" s="1090">
        <v>43374</v>
      </c>
      <c r="FR5" s="1090">
        <v>43405</v>
      </c>
      <c r="FS5" s="1090">
        <v>43435</v>
      </c>
      <c r="FT5" s="1090">
        <v>43466</v>
      </c>
      <c r="FU5" s="1090">
        <v>43497</v>
      </c>
      <c r="FV5" s="1090">
        <v>43525</v>
      </c>
      <c r="FW5" s="1090">
        <v>43556</v>
      </c>
      <c r="FX5" s="1090">
        <v>43586</v>
      </c>
      <c r="FY5" s="1090">
        <v>43617</v>
      </c>
      <c r="FZ5" s="1090">
        <v>43647</v>
      </c>
      <c r="GA5" s="1091">
        <f>YEAR(FZ5)</f>
        <v>2019</v>
      </c>
      <c r="GB5" s="1090">
        <v>43678</v>
      </c>
      <c r="GC5" s="1090">
        <v>43709</v>
      </c>
      <c r="GD5" s="1090">
        <v>43739</v>
      </c>
      <c r="GE5" s="1090">
        <v>43770</v>
      </c>
      <c r="GF5" s="1090">
        <v>43800</v>
      </c>
      <c r="GG5" s="1090">
        <v>43831</v>
      </c>
      <c r="GH5" s="1090">
        <v>43862</v>
      </c>
      <c r="GI5" s="1090">
        <v>43891</v>
      </c>
      <c r="GJ5" s="1090">
        <v>43922</v>
      </c>
      <c r="GK5" s="1090">
        <v>43952</v>
      </c>
      <c r="GL5" s="1090">
        <v>43983</v>
      </c>
      <c r="GM5" s="1090">
        <v>44013</v>
      </c>
      <c r="GN5" s="1091">
        <f>YEAR(GM5)</f>
        <v>2020</v>
      </c>
      <c r="GO5" s="1090">
        <v>44044</v>
      </c>
      <c r="GP5" s="1090">
        <v>44075</v>
      </c>
      <c r="GQ5" s="1090">
        <v>44105</v>
      </c>
      <c r="GR5" s="1090">
        <v>44136</v>
      </c>
      <c r="GS5" s="1090">
        <v>44166</v>
      </c>
      <c r="GT5" s="1090">
        <v>44197</v>
      </c>
      <c r="GU5" s="1090">
        <v>44228</v>
      </c>
      <c r="GV5" s="1090">
        <v>44256</v>
      </c>
      <c r="GW5" s="1090">
        <v>44287</v>
      </c>
      <c r="GX5" s="1090">
        <v>44317</v>
      </c>
      <c r="GY5" s="1090">
        <v>44348</v>
      </c>
      <c r="GZ5" s="1090">
        <v>44378</v>
      </c>
      <c r="HA5" s="1091">
        <f>YEAR(GZ5)</f>
        <v>2021</v>
      </c>
      <c r="HB5" s="1090">
        <v>44409</v>
      </c>
      <c r="HC5" s="1090">
        <v>44440</v>
      </c>
      <c r="HD5" s="1090">
        <v>44470</v>
      </c>
      <c r="HE5" s="1090">
        <v>44501</v>
      </c>
      <c r="HF5" s="1090">
        <v>44531</v>
      </c>
      <c r="HG5" s="1090">
        <v>44562</v>
      </c>
      <c r="HH5" s="1090">
        <v>44593</v>
      </c>
      <c r="HI5" s="1090">
        <v>44621</v>
      </c>
      <c r="HJ5" s="1090">
        <v>44652</v>
      </c>
      <c r="HK5" s="1090">
        <v>44682</v>
      </c>
      <c r="HL5" s="1090">
        <v>44713</v>
      </c>
      <c r="HM5" s="1090">
        <v>44743</v>
      </c>
      <c r="HN5" s="1091">
        <f>YEAR(HM5)</f>
        <v>2022</v>
      </c>
      <c r="HO5" s="1090">
        <v>44774</v>
      </c>
      <c r="HP5" s="1090">
        <v>44805</v>
      </c>
      <c r="HQ5" s="1090">
        <v>44835</v>
      </c>
      <c r="HR5" s="1090">
        <v>44866</v>
      </c>
      <c r="HS5" s="1090">
        <v>44896</v>
      </c>
      <c r="HT5" s="1090">
        <v>44927</v>
      </c>
      <c r="HU5" s="1090">
        <v>44958</v>
      </c>
      <c r="HV5" s="1090">
        <v>44986</v>
      </c>
      <c r="HW5" s="1090">
        <v>45017</v>
      </c>
      <c r="HX5" s="1090">
        <v>45047</v>
      </c>
      <c r="HY5" s="1090">
        <v>45078</v>
      </c>
      <c r="HZ5" s="1090">
        <v>45108</v>
      </c>
      <c r="IA5" s="1091">
        <f>YEAR(HZ5)</f>
        <v>2023</v>
      </c>
      <c r="IB5" s="1090">
        <v>45139</v>
      </c>
      <c r="IC5" s="1090">
        <v>45170</v>
      </c>
      <c r="ID5" s="1090">
        <v>45200</v>
      </c>
      <c r="IE5" s="1090">
        <v>45231</v>
      </c>
      <c r="IF5" s="1090">
        <v>45261</v>
      </c>
      <c r="IG5" s="1090">
        <v>45292</v>
      </c>
      <c r="IH5" s="1090">
        <v>45323</v>
      </c>
      <c r="II5" s="1090">
        <v>45352</v>
      </c>
      <c r="IJ5" s="1090">
        <v>45383</v>
      </c>
      <c r="IK5" s="1090">
        <v>45413</v>
      </c>
      <c r="IL5" s="1090">
        <v>45444</v>
      </c>
      <c r="IM5" s="1090">
        <v>45474</v>
      </c>
      <c r="IN5" s="1091">
        <f>YEAR(IM5)</f>
        <v>2024</v>
      </c>
      <c r="IO5" s="1090">
        <v>45505</v>
      </c>
      <c r="IP5" s="1090">
        <v>45536</v>
      </c>
      <c r="IQ5" s="1090">
        <v>45566</v>
      </c>
      <c r="IR5" s="1090">
        <v>45597</v>
      </c>
      <c r="IS5" s="1090">
        <v>45627</v>
      </c>
      <c r="IT5" s="1090">
        <v>45658</v>
      </c>
      <c r="IU5" s="1090">
        <v>45689</v>
      </c>
      <c r="IV5" s="1090">
        <v>45717</v>
      </c>
      <c r="IW5" s="1090">
        <v>45748</v>
      </c>
      <c r="IX5" s="1090">
        <v>45778</v>
      </c>
      <c r="IY5" s="1090">
        <v>45809</v>
      </c>
      <c r="IZ5" s="1090">
        <v>45839</v>
      </c>
      <c r="JA5" s="1091">
        <f>YEAR(IZ5)</f>
        <v>2025</v>
      </c>
      <c r="JB5" s="1090">
        <v>45870</v>
      </c>
      <c r="JC5" s="1090">
        <v>45901</v>
      </c>
      <c r="JD5" s="1090">
        <v>45931</v>
      </c>
      <c r="JE5" s="1090">
        <v>45962</v>
      </c>
      <c r="JF5" s="1090">
        <v>45992</v>
      </c>
      <c r="JG5" s="1090">
        <v>46023</v>
      </c>
      <c r="JH5" s="1090">
        <v>46054</v>
      </c>
      <c r="JI5" s="1090">
        <v>46082</v>
      </c>
      <c r="JJ5" s="1090">
        <v>46113</v>
      </c>
      <c r="JK5" s="1090">
        <v>46143</v>
      </c>
      <c r="JL5" s="1090">
        <v>46174</v>
      </c>
      <c r="JM5" s="1090">
        <v>46204</v>
      </c>
      <c r="JN5" s="1091">
        <f>YEAR(JM5)</f>
        <v>2026</v>
      </c>
      <c r="JO5" s="1266"/>
      <c r="JP5" s="1106">
        <f>JE5</f>
        <v>45962</v>
      </c>
      <c r="JQ5" s="1107" t="str">
        <f>CONCATENATE(TEXT(IO5,"MMM."),"-",TEXT(JP5,"MMM."))</f>
        <v>Ago.-Nov.</v>
      </c>
      <c r="JR5" s="1108" t="str">
        <f>JQ5</f>
        <v>Ago.-Nov.</v>
      </c>
      <c r="JS5" s="1108" t="str">
        <f>JQ5</f>
        <v>Ago.-Nov.</v>
      </c>
      <c r="JU5" s="1076" t="s">
        <v>563</v>
      </c>
      <c r="JV5" s="1077"/>
      <c r="JW5" s="1078"/>
    </row>
    <row r="6" spans="1:283" ht="15" customHeight="1" x14ac:dyDescent="0.2">
      <c r="A6" s="1257"/>
      <c r="B6" s="1092"/>
      <c r="C6" s="1092"/>
      <c r="D6" s="1092"/>
      <c r="E6" s="1092"/>
      <c r="F6" s="1092"/>
      <c r="G6" s="1092"/>
      <c r="H6" s="1092"/>
      <c r="I6" s="1092"/>
      <c r="J6" s="1092"/>
      <c r="K6" s="1092"/>
      <c r="L6" s="1092"/>
      <c r="M6" s="1092"/>
      <c r="N6" s="1093"/>
      <c r="O6" s="1092"/>
      <c r="P6" s="1092"/>
      <c r="Q6" s="1092"/>
      <c r="R6" s="1092"/>
      <c r="S6" s="1092"/>
      <c r="T6" s="1092"/>
      <c r="U6" s="1092"/>
      <c r="V6" s="1092"/>
      <c r="W6" s="1092"/>
      <c r="X6" s="1092"/>
      <c r="Y6" s="1092"/>
      <c r="Z6" s="1092"/>
      <c r="AA6" s="1093"/>
      <c r="AB6" s="1092"/>
      <c r="AC6" s="1092"/>
      <c r="AD6" s="1092"/>
      <c r="AE6" s="1092"/>
      <c r="AF6" s="1092"/>
      <c r="AG6" s="1092"/>
      <c r="AH6" s="1092"/>
      <c r="AI6" s="1092"/>
      <c r="AJ6" s="1092"/>
      <c r="AK6" s="1092"/>
      <c r="AL6" s="1092"/>
      <c r="AM6" s="1092"/>
      <c r="AN6" s="1093"/>
      <c r="AO6" s="1092"/>
      <c r="AP6" s="1092"/>
      <c r="AQ6" s="1092"/>
      <c r="AR6" s="1092"/>
      <c r="AS6" s="1092"/>
      <c r="AT6" s="1092"/>
      <c r="AU6" s="1092"/>
      <c r="AV6" s="1092"/>
      <c r="AW6" s="1092"/>
      <c r="AX6" s="1092"/>
      <c r="AY6" s="1092"/>
      <c r="AZ6" s="1092"/>
      <c r="BA6" s="1093"/>
      <c r="BB6" s="1092"/>
      <c r="BC6" s="1092"/>
      <c r="BD6" s="1092"/>
      <c r="BE6" s="1092"/>
      <c r="BF6" s="1092"/>
      <c r="BG6" s="1092"/>
      <c r="BH6" s="1092"/>
      <c r="BI6" s="1092"/>
      <c r="BJ6" s="1092"/>
      <c r="BK6" s="1092"/>
      <c r="BL6" s="1092"/>
      <c r="BM6" s="1092"/>
      <c r="BN6" s="1093"/>
      <c r="BO6" s="1092"/>
      <c r="BP6" s="1092"/>
      <c r="BQ6" s="1092"/>
      <c r="BR6" s="1092"/>
      <c r="BS6" s="1092"/>
      <c r="BT6" s="1092"/>
      <c r="BU6" s="1092"/>
      <c r="BV6" s="1092"/>
      <c r="BW6" s="1092"/>
      <c r="BX6" s="1092"/>
      <c r="BY6" s="1092"/>
      <c r="BZ6" s="1092"/>
      <c r="CA6" s="1093"/>
      <c r="CB6" s="1092"/>
      <c r="CC6" s="1092"/>
      <c r="CD6" s="1092"/>
      <c r="CE6" s="1092"/>
      <c r="CF6" s="1092"/>
      <c r="CG6" s="1092"/>
      <c r="CH6" s="1092"/>
      <c r="CI6" s="1092"/>
      <c r="CJ6" s="1092"/>
      <c r="CK6" s="1092"/>
      <c r="CL6" s="1092"/>
      <c r="CM6" s="1092"/>
      <c r="CN6" s="1093"/>
      <c r="CO6" s="1092"/>
      <c r="CP6" s="1092"/>
      <c r="CQ6" s="1092"/>
      <c r="CR6" s="1092"/>
      <c r="CS6" s="1092"/>
      <c r="CT6" s="1092"/>
      <c r="CU6" s="1092"/>
      <c r="CV6" s="1092"/>
      <c r="CW6" s="1092"/>
      <c r="CX6" s="1092"/>
      <c r="CY6" s="1092"/>
      <c r="CZ6" s="1092"/>
      <c r="DA6" s="1093"/>
      <c r="DB6" s="1092"/>
      <c r="DC6" s="1092"/>
      <c r="DD6" s="1092"/>
      <c r="DE6" s="1092"/>
      <c r="DF6" s="1092"/>
      <c r="DG6" s="1092"/>
      <c r="DH6" s="1092"/>
      <c r="DI6" s="1092"/>
      <c r="DJ6" s="1092"/>
      <c r="DK6" s="1092"/>
      <c r="DL6" s="1092"/>
      <c r="DM6" s="1092"/>
      <c r="DN6" s="1093"/>
      <c r="DO6" s="1092"/>
      <c r="DP6" s="1092"/>
      <c r="DQ6" s="1092"/>
      <c r="DR6" s="1092"/>
      <c r="DS6" s="1092"/>
      <c r="DT6" s="1092"/>
      <c r="DU6" s="1092"/>
      <c r="DV6" s="1092"/>
      <c r="DW6" s="1092"/>
      <c r="DX6" s="1092"/>
      <c r="DY6" s="1092"/>
      <c r="DZ6" s="1092"/>
      <c r="EA6" s="1093"/>
      <c r="EB6" s="1092"/>
      <c r="EC6" s="1092"/>
      <c r="ED6" s="1092"/>
      <c r="EE6" s="1092"/>
      <c r="EF6" s="1092"/>
      <c r="EG6" s="1092"/>
      <c r="EH6" s="1092"/>
      <c r="EI6" s="1092"/>
      <c r="EJ6" s="1092"/>
      <c r="EK6" s="1092"/>
      <c r="EL6" s="1092"/>
      <c r="EM6" s="1092"/>
      <c r="EN6" s="1093"/>
      <c r="EO6" s="1092"/>
      <c r="EP6" s="1092"/>
      <c r="EQ6" s="1092"/>
      <c r="ER6" s="1092"/>
      <c r="ES6" s="1092"/>
      <c r="ET6" s="1092"/>
      <c r="EU6" s="1092"/>
      <c r="EV6" s="1092"/>
      <c r="EW6" s="1092"/>
      <c r="EX6" s="1092"/>
      <c r="EY6" s="1092"/>
      <c r="EZ6" s="1092"/>
      <c r="FA6" s="1093"/>
      <c r="FB6" s="1092"/>
      <c r="FC6" s="1092"/>
      <c r="FD6" s="1092"/>
      <c r="FE6" s="1092"/>
      <c r="FF6" s="1092"/>
      <c r="FG6" s="1092"/>
      <c r="FH6" s="1092"/>
      <c r="FI6" s="1092"/>
      <c r="FJ6" s="1092"/>
      <c r="FK6" s="1092"/>
      <c r="FL6" s="1092"/>
      <c r="FM6" s="1092"/>
      <c r="FN6" s="1093"/>
      <c r="FO6" s="1092"/>
      <c r="FP6" s="1092"/>
      <c r="FQ6" s="1092"/>
      <c r="FR6" s="1092"/>
      <c r="FS6" s="1092"/>
      <c r="FT6" s="1092"/>
      <c r="FU6" s="1092"/>
      <c r="FV6" s="1092"/>
      <c r="FW6" s="1092"/>
      <c r="FX6" s="1092"/>
      <c r="FY6" s="1092"/>
      <c r="FZ6" s="1092"/>
      <c r="GA6" s="1093"/>
      <c r="GB6" s="1092"/>
      <c r="GC6" s="1092"/>
      <c r="GD6" s="1092"/>
      <c r="GE6" s="1092"/>
      <c r="GF6" s="1092"/>
      <c r="GG6" s="1092"/>
      <c r="GH6" s="1092"/>
      <c r="GI6" s="1092"/>
      <c r="GJ6" s="1092"/>
      <c r="GK6" s="1092"/>
      <c r="GL6" s="1092"/>
      <c r="GM6" s="1092"/>
      <c r="GN6" s="1093"/>
      <c r="GO6" s="1092"/>
      <c r="GP6" s="1092"/>
      <c r="GQ6" s="1092"/>
      <c r="GR6" s="1092"/>
      <c r="GS6" s="1092"/>
      <c r="GT6" s="1092"/>
      <c r="GU6" s="1092"/>
      <c r="GV6" s="1092"/>
      <c r="GW6" s="1092"/>
      <c r="GX6" s="1092"/>
      <c r="GY6" s="1092"/>
      <c r="GZ6" s="1092"/>
      <c r="HA6" s="1093"/>
      <c r="HB6" s="1092"/>
      <c r="HC6" s="1092"/>
      <c r="HD6" s="1092"/>
      <c r="HE6" s="1092"/>
      <c r="HF6" s="1092"/>
      <c r="HG6" s="1092"/>
      <c r="HH6" s="1092"/>
      <c r="HI6" s="1092"/>
      <c r="HJ6" s="1092"/>
      <c r="HK6" s="1092"/>
      <c r="HL6" s="1092"/>
      <c r="HM6" s="1092"/>
      <c r="HN6" s="1093"/>
      <c r="HO6" s="1092"/>
      <c r="HP6" s="1092"/>
      <c r="HQ6" s="1092"/>
      <c r="HR6" s="1092"/>
      <c r="HS6" s="1092"/>
      <c r="HT6" s="1092"/>
      <c r="HU6" s="1092"/>
      <c r="HV6" s="1092"/>
      <c r="HW6" s="1092"/>
      <c r="HX6" s="1092"/>
      <c r="HY6" s="1092"/>
      <c r="HZ6" s="1092"/>
      <c r="IA6" s="1093"/>
      <c r="IB6" s="1092"/>
      <c r="IC6" s="1092"/>
      <c r="ID6" s="1092"/>
      <c r="IE6" s="1092"/>
      <c r="IF6" s="1092"/>
      <c r="IG6" s="1092"/>
      <c r="IH6" s="1092"/>
      <c r="II6" s="1092"/>
      <c r="IJ6" s="1092"/>
      <c r="IK6" s="1092"/>
      <c r="IL6" s="1092"/>
      <c r="IM6" s="1092"/>
      <c r="IN6" s="1093"/>
      <c r="IO6" s="1092"/>
      <c r="IP6" s="1092"/>
      <c r="IQ6" s="1092"/>
      <c r="IR6" s="1092"/>
      <c r="IS6" s="1092"/>
      <c r="IT6" s="1092"/>
      <c r="IU6" s="1092"/>
      <c r="IV6" s="1092"/>
      <c r="IW6" s="1092"/>
      <c r="IX6" s="1092"/>
      <c r="IY6" s="1092"/>
      <c r="IZ6" s="1092"/>
      <c r="JA6" s="1093"/>
      <c r="JB6" s="1092"/>
      <c r="JC6" s="1092"/>
      <c r="JD6" s="1092"/>
      <c r="JE6" s="1092"/>
      <c r="JF6" s="1092"/>
      <c r="JG6" s="1092"/>
      <c r="JH6" s="1092"/>
      <c r="JI6" s="1092"/>
      <c r="JJ6" s="1092"/>
      <c r="JK6" s="1092"/>
      <c r="JL6" s="1092"/>
      <c r="JM6" s="1092"/>
      <c r="JN6" s="1093"/>
      <c r="JO6" s="1267"/>
      <c r="JP6" s="1109"/>
      <c r="JQ6" s="1110"/>
      <c r="JR6" s="1111"/>
      <c r="JS6" s="1112"/>
      <c r="JU6" s="1079"/>
      <c r="JV6" s="1080"/>
      <c r="JW6" s="1081"/>
    </row>
    <row r="7" spans="1:283" ht="15" customHeight="1" x14ac:dyDescent="0.2">
      <c r="A7" s="1258" t="s">
        <v>123</v>
      </c>
      <c r="B7" s="1094">
        <f t="shared" ref="B7:BM7" si="0">SUM(B9:B37,B38)</f>
        <v>13966</v>
      </c>
      <c r="C7" s="1094">
        <f t="shared" si="0"/>
        <v>22562</v>
      </c>
      <c r="D7" s="1094">
        <f t="shared" si="0"/>
        <v>13456</v>
      </c>
      <c r="E7" s="1094">
        <f t="shared" si="0"/>
        <v>5513</v>
      </c>
      <c r="F7" s="1094">
        <f t="shared" si="0"/>
        <v>5555</v>
      </c>
      <c r="G7" s="1094">
        <f t="shared" si="0"/>
        <v>17242</v>
      </c>
      <c r="H7" s="1094">
        <f t="shared" si="0"/>
        <v>35231</v>
      </c>
      <c r="I7" s="1094">
        <f t="shared" si="0"/>
        <v>15620</v>
      </c>
      <c r="J7" s="1094">
        <f t="shared" si="0"/>
        <v>7049</v>
      </c>
      <c r="K7" s="1094">
        <f t="shared" si="0"/>
        <v>5306</v>
      </c>
      <c r="L7" s="1094">
        <f t="shared" si="0"/>
        <v>9861</v>
      </c>
      <c r="M7" s="1094">
        <f t="shared" si="0"/>
        <v>12326</v>
      </c>
      <c r="N7" s="1095">
        <f>SUM(B7:M7)</f>
        <v>163687</v>
      </c>
      <c r="O7" s="1094">
        <f t="shared" si="0"/>
        <v>13292</v>
      </c>
      <c r="P7" s="1094">
        <f t="shared" si="0"/>
        <v>21691</v>
      </c>
      <c r="Q7" s="1094">
        <f t="shared" si="0"/>
        <v>10300</v>
      </c>
      <c r="R7" s="1094">
        <f t="shared" si="0"/>
        <v>5998</v>
      </c>
      <c r="S7" s="1094">
        <f t="shared" si="0"/>
        <v>5541</v>
      </c>
      <c r="T7" s="1094">
        <f t="shared" si="0"/>
        <v>12289</v>
      </c>
      <c r="U7" s="1094">
        <f t="shared" si="0"/>
        <v>15497</v>
      </c>
      <c r="V7" s="1094">
        <f t="shared" si="0"/>
        <v>39513</v>
      </c>
      <c r="W7" s="1094">
        <f t="shared" si="0"/>
        <v>8417</v>
      </c>
      <c r="X7" s="1094">
        <f t="shared" si="0"/>
        <v>9552</v>
      </c>
      <c r="Y7" s="1094">
        <f t="shared" si="0"/>
        <v>9100</v>
      </c>
      <c r="Z7" s="1094">
        <f t="shared" si="0"/>
        <v>13097</v>
      </c>
      <c r="AA7" s="1095">
        <f>SUM(O7:Z7)</f>
        <v>164287</v>
      </c>
      <c r="AB7" s="1094">
        <f t="shared" si="0"/>
        <v>13576</v>
      </c>
      <c r="AC7" s="1094">
        <f t="shared" si="0"/>
        <v>24186</v>
      </c>
      <c r="AD7" s="1094">
        <f t="shared" si="0"/>
        <v>13010</v>
      </c>
      <c r="AE7" s="1094">
        <f t="shared" si="0"/>
        <v>7814.5</v>
      </c>
      <c r="AF7" s="1094">
        <f t="shared" si="0"/>
        <v>7460</v>
      </c>
      <c r="AG7" s="1094">
        <f t="shared" si="0"/>
        <v>14470</v>
      </c>
      <c r="AH7" s="1094">
        <f t="shared" si="0"/>
        <v>30041</v>
      </c>
      <c r="AI7" s="1094">
        <f t="shared" si="0"/>
        <v>19789</v>
      </c>
      <c r="AJ7" s="1094">
        <f t="shared" si="0"/>
        <v>6834</v>
      </c>
      <c r="AK7" s="1094">
        <f t="shared" si="0"/>
        <v>8466</v>
      </c>
      <c r="AL7" s="1094">
        <f t="shared" si="0"/>
        <v>11889</v>
      </c>
      <c r="AM7" s="1094">
        <f t="shared" si="0"/>
        <v>13550</v>
      </c>
      <c r="AN7" s="1095">
        <f>SUM(AB7:AM7)</f>
        <v>171085.5</v>
      </c>
      <c r="AO7" s="1094">
        <f t="shared" si="0"/>
        <v>14638</v>
      </c>
      <c r="AP7" s="1094">
        <f t="shared" si="0"/>
        <v>27063</v>
      </c>
      <c r="AQ7" s="1094">
        <f t="shared" si="0"/>
        <v>19151</v>
      </c>
      <c r="AR7" s="1094">
        <f t="shared" si="0"/>
        <v>8199</v>
      </c>
      <c r="AS7" s="1094">
        <f t="shared" si="0"/>
        <v>10602</v>
      </c>
      <c r="AT7" s="1094">
        <f t="shared" si="0"/>
        <v>13724</v>
      </c>
      <c r="AU7" s="1094">
        <f t="shared" si="0"/>
        <v>26974</v>
      </c>
      <c r="AV7" s="1094">
        <f t="shared" si="0"/>
        <v>21261</v>
      </c>
      <c r="AW7" s="1094">
        <f t="shared" si="0"/>
        <v>8325</v>
      </c>
      <c r="AX7" s="1094">
        <f t="shared" si="0"/>
        <v>8937</v>
      </c>
      <c r="AY7" s="1094">
        <f t="shared" si="0"/>
        <v>11537</v>
      </c>
      <c r="AZ7" s="1094">
        <f t="shared" si="0"/>
        <v>16091</v>
      </c>
      <c r="BA7" s="1095">
        <f>SUM(AO7:AZ7)</f>
        <v>186502</v>
      </c>
      <c r="BB7" s="1094">
        <f t="shared" si="0"/>
        <v>12263</v>
      </c>
      <c r="BC7" s="1094">
        <f t="shared" si="0"/>
        <v>26829.5</v>
      </c>
      <c r="BD7" s="1094">
        <f t="shared" si="0"/>
        <v>16021</v>
      </c>
      <c r="BE7" s="1094">
        <f t="shared" si="0"/>
        <v>7228</v>
      </c>
      <c r="BF7" s="1094">
        <f t="shared" si="0"/>
        <v>7750</v>
      </c>
      <c r="BG7" s="1094">
        <f t="shared" si="0"/>
        <v>10388</v>
      </c>
      <c r="BH7" s="1094">
        <f t="shared" si="0"/>
        <v>27282</v>
      </c>
      <c r="BI7" s="1094">
        <f t="shared" si="0"/>
        <v>17146</v>
      </c>
      <c r="BJ7" s="1094">
        <f t="shared" si="0"/>
        <v>8887</v>
      </c>
      <c r="BK7" s="1094">
        <f t="shared" si="0"/>
        <v>9360</v>
      </c>
      <c r="BL7" s="1094">
        <f t="shared" si="0"/>
        <v>12467</v>
      </c>
      <c r="BM7" s="1094">
        <f t="shared" si="0"/>
        <v>13715</v>
      </c>
      <c r="BN7" s="1095">
        <f>SUM(BB7:BM7)</f>
        <v>169336.5</v>
      </c>
      <c r="BO7" s="1094">
        <f t="shared" ref="BO7:DZ7" si="1">SUM(BO9:BO37,BO38)</f>
        <v>14306</v>
      </c>
      <c r="BP7" s="1094">
        <f t="shared" si="1"/>
        <v>23242</v>
      </c>
      <c r="BQ7" s="1094">
        <f t="shared" si="1"/>
        <v>15187.5</v>
      </c>
      <c r="BR7" s="1094">
        <f t="shared" si="1"/>
        <v>7915</v>
      </c>
      <c r="BS7" s="1094">
        <f t="shared" si="1"/>
        <v>11354</v>
      </c>
      <c r="BT7" s="1094">
        <f t="shared" si="1"/>
        <v>12991.333333333334</v>
      </c>
      <c r="BU7" s="1094">
        <f t="shared" si="1"/>
        <v>18218</v>
      </c>
      <c r="BV7" s="1094">
        <f t="shared" si="1"/>
        <v>20221</v>
      </c>
      <c r="BW7" s="1094">
        <f t="shared" si="1"/>
        <v>11968</v>
      </c>
      <c r="BX7" s="1094">
        <f t="shared" si="1"/>
        <v>13554</v>
      </c>
      <c r="BY7" s="1094">
        <f t="shared" si="1"/>
        <v>13872</v>
      </c>
      <c r="BZ7" s="1094">
        <f t="shared" si="1"/>
        <v>12404</v>
      </c>
      <c r="CA7" s="1095">
        <f>SUM(BO7:BZ7)</f>
        <v>175232.83333333331</v>
      </c>
      <c r="CB7" s="1094">
        <f t="shared" si="1"/>
        <v>16459.150000000001</v>
      </c>
      <c r="CC7" s="1094">
        <f t="shared" si="1"/>
        <v>33139</v>
      </c>
      <c r="CD7" s="1094">
        <f t="shared" si="1"/>
        <v>16365</v>
      </c>
      <c r="CE7" s="1094">
        <f t="shared" si="1"/>
        <v>8313</v>
      </c>
      <c r="CF7" s="1094">
        <f t="shared" si="1"/>
        <v>10220</v>
      </c>
      <c r="CG7" s="1094">
        <f t="shared" si="1"/>
        <v>13665</v>
      </c>
      <c r="CH7" s="1094">
        <f t="shared" si="1"/>
        <v>22551</v>
      </c>
      <c r="CI7" s="1094">
        <f t="shared" si="1"/>
        <v>16122</v>
      </c>
      <c r="CJ7" s="1094">
        <f t="shared" si="1"/>
        <v>10027</v>
      </c>
      <c r="CK7" s="1094">
        <f t="shared" si="1"/>
        <v>10544</v>
      </c>
      <c r="CL7" s="1094">
        <f t="shared" si="1"/>
        <v>11534</v>
      </c>
      <c r="CM7" s="1094">
        <f t="shared" si="1"/>
        <v>15492</v>
      </c>
      <c r="CN7" s="1095">
        <f>SUM(CB7:CM7)</f>
        <v>184431.15</v>
      </c>
      <c r="CO7" s="1094">
        <f t="shared" si="1"/>
        <v>9660</v>
      </c>
      <c r="CP7" s="1094">
        <f t="shared" si="1"/>
        <v>23611</v>
      </c>
      <c r="CQ7" s="1094">
        <f t="shared" si="1"/>
        <v>20696</v>
      </c>
      <c r="CR7" s="1094">
        <f t="shared" si="1"/>
        <v>9597</v>
      </c>
      <c r="CS7" s="1094">
        <f t="shared" si="1"/>
        <v>9918</v>
      </c>
      <c r="CT7" s="1094">
        <f t="shared" si="1"/>
        <v>13990</v>
      </c>
      <c r="CU7" s="1094">
        <f t="shared" si="1"/>
        <v>24008</v>
      </c>
      <c r="CV7" s="1094">
        <f t="shared" si="1"/>
        <v>19309</v>
      </c>
      <c r="CW7" s="1094">
        <f t="shared" si="1"/>
        <v>8727</v>
      </c>
      <c r="CX7" s="1094">
        <f t="shared" si="1"/>
        <v>8982</v>
      </c>
      <c r="CY7" s="1094">
        <f t="shared" si="1"/>
        <v>11233</v>
      </c>
      <c r="CZ7" s="1094">
        <f t="shared" si="1"/>
        <v>13050</v>
      </c>
      <c r="DA7" s="1095">
        <f>SUM(CO7:CZ7)</f>
        <v>172781</v>
      </c>
      <c r="DB7" s="1094">
        <f t="shared" si="1"/>
        <v>11672</v>
      </c>
      <c r="DC7" s="1094">
        <f t="shared" si="1"/>
        <v>26669</v>
      </c>
      <c r="DD7" s="1094">
        <f t="shared" si="1"/>
        <v>15591</v>
      </c>
      <c r="DE7" s="1094">
        <f t="shared" si="1"/>
        <v>9095</v>
      </c>
      <c r="DF7" s="1094">
        <f t="shared" si="1"/>
        <v>8474</v>
      </c>
      <c r="DG7" s="1094">
        <f t="shared" si="1"/>
        <v>13410</v>
      </c>
      <c r="DH7" s="1094">
        <f t="shared" si="1"/>
        <v>23370</v>
      </c>
      <c r="DI7" s="1094">
        <f t="shared" si="1"/>
        <v>20597</v>
      </c>
      <c r="DJ7" s="1094">
        <f t="shared" si="1"/>
        <v>11108</v>
      </c>
      <c r="DK7" s="1094">
        <f t="shared" si="1"/>
        <v>9405</v>
      </c>
      <c r="DL7" s="1094">
        <f t="shared" si="1"/>
        <v>11921</v>
      </c>
      <c r="DM7" s="1094">
        <f t="shared" si="1"/>
        <v>10506</v>
      </c>
      <c r="DN7" s="1095">
        <f>SUM(DB7:DM7)</f>
        <v>171818</v>
      </c>
      <c r="DO7" s="1094">
        <f t="shared" si="1"/>
        <v>10422.4</v>
      </c>
      <c r="DP7" s="1094">
        <f t="shared" si="1"/>
        <v>3994.4</v>
      </c>
      <c r="DQ7" s="1094">
        <f t="shared" si="1"/>
        <v>3702.1</v>
      </c>
      <c r="DR7" s="1094">
        <f t="shared" si="1"/>
        <v>2539.1999999999998</v>
      </c>
      <c r="DS7" s="1094">
        <f t="shared" si="1"/>
        <v>2417.8000000000002</v>
      </c>
      <c r="DT7" s="1094">
        <f t="shared" si="1"/>
        <v>4371.3999999999996</v>
      </c>
      <c r="DU7" s="1094">
        <f t="shared" si="1"/>
        <v>2342.1999999999998</v>
      </c>
      <c r="DV7" s="1094">
        <f t="shared" si="1"/>
        <v>3092.5</v>
      </c>
      <c r="DW7" s="1094">
        <f t="shared" si="1"/>
        <v>3689.4</v>
      </c>
      <c r="DX7" s="1094">
        <f t="shared" si="1"/>
        <v>3430.5</v>
      </c>
      <c r="DY7" s="1094">
        <f t="shared" si="1"/>
        <v>11427</v>
      </c>
      <c r="DZ7" s="1094">
        <f t="shared" si="1"/>
        <v>9805</v>
      </c>
      <c r="EA7" s="1095">
        <f>SUM(DO7:DZ7)</f>
        <v>61233.9</v>
      </c>
      <c r="EB7" s="1094">
        <f t="shared" ref="EB7:GM7" si="2">SUM(EB9:EB37,EB38)</f>
        <v>12649</v>
      </c>
      <c r="EC7" s="1094">
        <f t="shared" si="2"/>
        <v>19260</v>
      </c>
      <c r="ED7" s="1094">
        <f t="shared" si="2"/>
        <v>18047</v>
      </c>
      <c r="EE7" s="1094">
        <f t="shared" si="2"/>
        <v>9488</v>
      </c>
      <c r="EF7" s="1094">
        <f t="shared" si="2"/>
        <v>11024</v>
      </c>
      <c r="EG7" s="1094">
        <f t="shared" si="2"/>
        <v>13210</v>
      </c>
      <c r="EH7" s="1094">
        <f t="shared" si="2"/>
        <v>20966</v>
      </c>
      <c r="EI7" s="1094">
        <f t="shared" si="2"/>
        <v>23271</v>
      </c>
      <c r="EJ7" s="1094">
        <f t="shared" si="2"/>
        <v>12976</v>
      </c>
      <c r="EK7" s="1094">
        <f t="shared" si="2"/>
        <v>12421</v>
      </c>
      <c r="EL7" s="1094">
        <f t="shared" si="2"/>
        <v>12083</v>
      </c>
      <c r="EM7" s="1094">
        <f t="shared" si="2"/>
        <v>12944</v>
      </c>
      <c r="EN7" s="1095">
        <f>SUM(EB7:EM7)</f>
        <v>178339</v>
      </c>
      <c r="EO7" s="1094">
        <f t="shared" si="2"/>
        <v>12753</v>
      </c>
      <c r="EP7" s="1094">
        <f t="shared" si="2"/>
        <v>20763</v>
      </c>
      <c r="EQ7" s="1094">
        <f t="shared" si="2"/>
        <v>17412</v>
      </c>
      <c r="ER7" s="1094">
        <f t="shared" si="2"/>
        <v>10128</v>
      </c>
      <c r="ES7" s="1094">
        <f t="shared" si="2"/>
        <v>10610</v>
      </c>
      <c r="ET7" s="1094">
        <f t="shared" si="2"/>
        <v>14722</v>
      </c>
      <c r="EU7" s="1094">
        <f t="shared" si="2"/>
        <v>20059</v>
      </c>
      <c r="EV7" s="1094">
        <f t="shared" si="2"/>
        <v>21251</v>
      </c>
      <c r="EW7" s="1094">
        <f t="shared" si="2"/>
        <v>12559</v>
      </c>
      <c r="EX7" s="1094">
        <f t="shared" si="2"/>
        <v>15128</v>
      </c>
      <c r="EY7" s="1094">
        <f t="shared" si="2"/>
        <v>13077</v>
      </c>
      <c r="EZ7" s="1094">
        <f t="shared" si="2"/>
        <v>12255</v>
      </c>
      <c r="FA7" s="1095">
        <f>SUM(EO7:EZ7)</f>
        <v>180717</v>
      </c>
      <c r="FB7" s="1094">
        <f t="shared" si="2"/>
        <v>12927</v>
      </c>
      <c r="FC7" s="1094">
        <f t="shared" si="2"/>
        <v>20961</v>
      </c>
      <c r="FD7" s="1094">
        <f t="shared" si="2"/>
        <v>18743</v>
      </c>
      <c r="FE7" s="1094">
        <f t="shared" si="2"/>
        <v>10826</v>
      </c>
      <c r="FF7" s="1094">
        <f t="shared" si="2"/>
        <v>11765</v>
      </c>
      <c r="FG7" s="1094">
        <f t="shared" si="2"/>
        <v>13193</v>
      </c>
      <c r="FH7" s="1094">
        <f t="shared" si="2"/>
        <v>19568</v>
      </c>
      <c r="FI7" s="1094">
        <f t="shared" si="2"/>
        <v>21793</v>
      </c>
      <c r="FJ7" s="1094">
        <f t="shared" si="2"/>
        <v>12666</v>
      </c>
      <c r="FK7" s="1094">
        <f t="shared" si="2"/>
        <v>9966</v>
      </c>
      <c r="FL7" s="1094">
        <f t="shared" si="2"/>
        <v>11675</v>
      </c>
      <c r="FM7" s="1094">
        <f t="shared" si="2"/>
        <v>11008</v>
      </c>
      <c r="FN7" s="1095">
        <f>SUM(FB7:FM7)</f>
        <v>175091</v>
      </c>
      <c r="FO7" s="1094">
        <f t="shared" si="2"/>
        <v>13933</v>
      </c>
      <c r="FP7" s="1094">
        <f t="shared" si="2"/>
        <v>20141</v>
      </c>
      <c r="FQ7" s="1094">
        <f t="shared" si="2"/>
        <v>15124</v>
      </c>
      <c r="FR7" s="1094">
        <f t="shared" si="2"/>
        <v>9963</v>
      </c>
      <c r="FS7" s="1094">
        <f t="shared" si="2"/>
        <v>10364</v>
      </c>
      <c r="FT7" s="1094">
        <f t="shared" si="2"/>
        <v>13806</v>
      </c>
      <c r="FU7" s="1094">
        <f t="shared" si="2"/>
        <v>20814</v>
      </c>
      <c r="FV7" s="1094">
        <f t="shared" si="2"/>
        <v>21235</v>
      </c>
      <c r="FW7" s="1094">
        <f t="shared" si="2"/>
        <v>11923</v>
      </c>
      <c r="FX7" s="1094">
        <f t="shared" si="2"/>
        <v>9178</v>
      </c>
      <c r="FY7" s="1094">
        <f t="shared" si="2"/>
        <v>9291</v>
      </c>
      <c r="FZ7" s="1094">
        <f t="shared" si="2"/>
        <v>10564</v>
      </c>
      <c r="GA7" s="1095">
        <f>SUM(FO7:FZ7)</f>
        <v>166336</v>
      </c>
      <c r="GB7" s="1094">
        <f t="shared" si="2"/>
        <v>16349</v>
      </c>
      <c r="GC7" s="1094">
        <f t="shared" si="2"/>
        <v>21165</v>
      </c>
      <c r="GD7" s="1094">
        <f t="shared" si="2"/>
        <v>17229</v>
      </c>
      <c r="GE7" s="1094">
        <f t="shared" si="2"/>
        <v>13544</v>
      </c>
      <c r="GF7" s="1094">
        <f t="shared" si="2"/>
        <v>11227</v>
      </c>
      <c r="GG7" s="1094">
        <f t="shared" si="2"/>
        <v>14704</v>
      </c>
      <c r="GH7" s="1094">
        <f t="shared" si="2"/>
        <v>20732</v>
      </c>
      <c r="GI7" s="1094">
        <f t="shared" si="2"/>
        <v>18779</v>
      </c>
      <c r="GJ7" s="1094">
        <f t="shared" si="2"/>
        <v>11747</v>
      </c>
      <c r="GK7" s="1094">
        <f t="shared" si="2"/>
        <v>9980</v>
      </c>
      <c r="GL7" s="1094">
        <f t="shared" si="2"/>
        <v>10452</v>
      </c>
      <c r="GM7" s="1094">
        <f t="shared" si="2"/>
        <v>13683</v>
      </c>
      <c r="GN7" s="1095">
        <f>SUM(GB7:GM7)</f>
        <v>179591</v>
      </c>
      <c r="GO7" s="1094">
        <f t="shared" ref="GO7:IZ7" si="3">SUM(GO9:GO37,GO38)</f>
        <v>13060</v>
      </c>
      <c r="GP7" s="1094">
        <f t="shared" si="3"/>
        <v>21044.5</v>
      </c>
      <c r="GQ7" s="1094">
        <f t="shared" si="3"/>
        <v>14477</v>
      </c>
      <c r="GR7" s="1094">
        <f t="shared" si="3"/>
        <v>9529.75</v>
      </c>
      <c r="GS7" s="1094">
        <f t="shared" si="3"/>
        <v>11549.6</v>
      </c>
      <c r="GT7" s="1094">
        <f t="shared" si="3"/>
        <v>14539.5</v>
      </c>
      <c r="GU7" s="1094">
        <f t="shared" si="3"/>
        <v>21568.25</v>
      </c>
      <c r="GV7" s="1094">
        <f t="shared" si="3"/>
        <v>20079.5</v>
      </c>
      <c r="GW7" s="1094">
        <f t="shared" si="3"/>
        <v>11652.5</v>
      </c>
      <c r="GX7" s="1094">
        <f t="shared" si="3"/>
        <v>12555.5</v>
      </c>
      <c r="GY7" s="1094">
        <f t="shared" si="3"/>
        <v>12508</v>
      </c>
      <c r="GZ7" s="1094">
        <f t="shared" si="3"/>
        <v>15502.55</v>
      </c>
      <c r="HA7" s="1095">
        <f>SUM(GO7:GZ7)</f>
        <v>178066.65</v>
      </c>
      <c r="HB7" s="1094">
        <f t="shared" si="3"/>
        <v>16454.5</v>
      </c>
      <c r="HC7" s="1094">
        <f t="shared" si="3"/>
        <v>24069.5</v>
      </c>
      <c r="HD7" s="1094">
        <f t="shared" si="3"/>
        <v>17565</v>
      </c>
      <c r="HE7" s="1094">
        <f t="shared" si="3"/>
        <v>10767.25</v>
      </c>
      <c r="HF7" s="1094">
        <f t="shared" si="3"/>
        <v>11963.25</v>
      </c>
      <c r="HG7" s="1094">
        <f t="shared" si="3"/>
        <v>14573.75</v>
      </c>
      <c r="HH7" s="1094">
        <f t="shared" si="3"/>
        <v>24401.45</v>
      </c>
      <c r="HI7" s="1094">
        <f t="shared" si="3"/>
        <v>21550.5</v>
      </c>
      <c r="HJ7" s="1094">
        <f t="shared" si="3"/>
        <v>12747.15</v>
      </c>
      <c r="HK7" s="1094">
        <f t="shared" si="3"/>
        <v>10195.65</v>
      </c>
      <c r="HL7" s="1094">
        <f t="shared" si="3"/>
        <v>11594.25</v>
      </c>
      <c r="HM7" s="1094">
        <f t="shared" si="3"/>
        <v>12635.25</v>
      </c>
      <c r="HN7" s="1095">
        <f>SUM(HB7:HM7)</f>
        <v>188517.5</v>
      </c>
      <c r="HO7" s="1094">
        <f t="shared" si="3"/>
        <v>11844.75</v>
      </c>
      <c r="HP7" s="1094">
        <f t="shared" si="3"/>
        <v>25676.25</v>
      </c>
      <c r="HQ7" s="1094">
        <f t="shared" si="3"/>
        <v>11737.75</v>
      </c>
      <c r="HR7" s="1094">
        <f t="shared" si="3"/>
        <v>11627.25</v>
      </c>
      <c r="HS7" s="1094">
        <f t="shared" si="3"/>
        <v>7748.75</v>
      </c>
      <c r="HT7" s="1094">
        <f t="shared" si="3"/>
        <v>15104.22</v>
      </c>
      <c r="HU7" s="1094">
        <f t="shared" si="3"/>
        <v>21969.25</v>
      </c>
      <c r="HV7" s="1094">
        <f t="shared" si="3"/>
        <v>21646.25</v>
      </c>
      <c r="HW7" s="1094">
        <f t="shared" si="3"/>
        <v>12537</v>
      </c>
      <c r="HX7" s="1094">
        <f t="shared" si="3"/>
        <v>10804.75</v>
      </c>
      <c r="HY7" s="1094">
        <f t="shared" si="3"/>
        <v>16033.75</v>
      </c>
      <c r="HZ7" s="1094">
        <f t="shared" si="3"/>
        <v>14775.35</v>
      </c>
      <c r="IA7" s="1095">
        <f>SUM(HO7:HZ7)</f>
        <v>181505.32</v>
      </c>
      <c r="IB7" s="1094">
        <f t="shared" si="3"/>
        <v>13527.2</v>
      </c>
      <c r="IC7" s="1094">
        <f t="shared" si="3"/>
        <v>12465.55</v>
      </c>
      <c r="ID7" s="1094">
        <f t="shared" si="3"/>
        <v>12082.25</v>
      </c>
      <c r="IE7" s="1094">
        <f t="shared" si="3"/>
        <v>15901.25</v>
      </c>
      <c r="IF7" s="1094">
        <f t="shared" si="3"/>
        <v>15428.25</v>
      </c>
      <c r="IG7" s="1094">
        <f t="shared" si="3"/>
        <v>15399.75</v>
      </c>
      <c r="IH7" s="1094">
        <f t="shared" si="3"/>
        <v>28371.25</v>
      </c>
      <c r="II7" s="1094">
        <f t="shared" si="3"/>
        <v>24023.45</v>
      </c>
      <c r="IJ7" s="1094">
        <f t="shared" si="3"/>
        <v>13302.75</v>
      </c>
      <c r="IK7" s="1094">
        <f t="shared" si="3"/>
        <v>9195.75</v>
      </c>
      <c r="IL7" s="1094">
        <f t="shared" si="3"/>
        <v>11286.25</v>
      </c>
      <c r="IM7" s="1094">
        <f t="shared" si="3"/>
        <v>11734.5</v>
      </c>
      <c r="IN7" s="1095">
        <f>SUM(IB7:IM7)</f>
        <v>182718.2</v>
      </c>
      <c r="IO7" s="1094">
        <f t="shared" si="3"/>
        <v>10348.800000000001</v>
      </c>
      <c r="IP7" s="1094">
        <f t="shared" si="3"/>
        <v>13890.55</v>
      </c>
      <c r="IQ7" s="1094">
        <f t="shared" si="3"/>
        <v>17536.400000000001</v>
      </c>
      <c r="IR7" s="1094">
        <f t="shared" si="3"/>
        <v>13479.75</v>
      </c>
      <c r="IS7" s="1094">
        <f t="shared" si="3"/>
        <v>14852.75</v>
      </c>
      <c r="IT7" s="1094">
        <f t="shared" si="3"/>
        <v>15042.15</v>
      </c>
      <c r="IU7" s="1094">
        <f t="shared" si="3"/>
        <v>23338.2</v>
      </c>
      <c r="IV7" s="1094">
        <f t="shared" si="3"/>
        <v>21651.599999999999</v>
      </c>
      <c r="IW7" s="1094">
        <f t="shared" si="3"/>
        <v>14683.75</v>
      </c>
      <c r="IX7" s="1094">
        <f t="shared" si="3"/>
        <v>11193</v>
      </c>
      <c r="IY7" s="1094">
        <f t="shared" si="3"/>
        <v>12207.5</v>
      </c>
      <c r="IZ7" s="1094">
        <f t="shared" si="3"/>
        <v>12733.55</v>
      </c>
      <c r="JA7" s="1095">
        <f>SUM(IO7:IZ7)</f>
        <v>180957.99999999997</v>
      </c>
      <c r="JB7" s="1094">
        <f t="shared" ref="JB7:JM7" si="4">SUM(JB9:JB37,JB38)</f>
        <v>14221.5</v>
      </c>
      <c r="JC7" s="1094">
        <f t="shared" si="4"/>
        <v>20526.7</v>
      </c>
      <c r="JD7" s="1094">
        <f t="shared" si="4"/>
        <v>20529.75</v>
      </c>
      <c r="JE7" s="1094">
        <f t="shared" si="4"/>
        <v>17010</v>
      </c>
      <c r="JF7" s="1094">
        <f t="shared" si="4"/>
        <v>10451.5</v>
      </c>
      <c r="JG7" s="1094">
        <f t="shared" si="4"/>
        <v>12770.3</v>
      </c>
      <c r="JH7" s="1094">
        <f t="shared" si="4"/>
        <v>0</v>
      </c>
      <c r="JI7" s="1094">
        <f t="shared" si="4"/>
        <v>0</v>
      </c>
      <c r="JJ7" s="1094">
        <f t="shared" si="4"/>
        <v>0</v>
      </c>
      <c r="JK7" s="1094">
        <f t="shared" si="4"/>
        <v>0</v>
      </c>
      <c r="JL7" s="1094">
        <f t="shared" si="4"/>
        <v>0</v>
      </c>
      <c r="JM7" s="1094">
        <f t="shared" si="4"/>
        <v>0</v>
      </c>
      <c r="JN7" s="1095">
        <f>SUM(JB7:JM7)</f>
        <v>95509.75</v>
      </c>
      <c r="JO7" s="1266"/>
      <c r="JP7" s="1113">
        <f>IFERROR(((
_xlfn.XLOOKUP((DATE(YEAR($JP$5),MONTH($JP$5),1)),$B$5:$JN$5,$B7:$JN7) /
_xlfn.XLOOKUP((DATE(YEAR($JP$5)-1,MONTH($JP$5),1)),$B$5:$JN$5,$B7:$JN7)
)-1)*100,"")</f>
        <v>26.189283925888841</v>
      </c>
      <c r="JQ7" s="1171">
        <f>IFERROR(((JS7/JR7)-1)*100,"")</f>
        <v>30.824895259295459</v>
      </c>
      <c r="JR7" s="1114">
        <f>SUMIFS(
  $B7:$JN7,
  $B$5:$JN$5,"&gt;="&amp;DATE(IF(MONTH($JP$5)&gt;=8,YEAR($JP$5)-1,YEAR($JP$5)-2),8,1),
  $B$5:$JN$5,"&lt;="&amp;DATE(IF(MONTH($JP$5)&gt;=8,YEAR($JP$5)-1,YEAR($JP$5)-1),MONTH($JP$5),1)
)</f>
        <v>55255.5</v>
      </c>
      <c r="JS7" s="1115">
        <f>SUMIFS(
  $B7:$JN7,
  $B$5:$JN$5,"&gt;="&amp;DATE(IF(MONTH($JP$5)&gt;=8,YEAR($JP$5),YEAR($JP$5)-1),8,1),
  $B$5:$JN$5,"&lt;="&amp;DATE(YEAR($JP$5),MONTH($JP$5),1)
)</f>
        <v>72287.95</v>
      </c>
      <c r="JU7" s="1079"/>
      <c r="JV7" s="1080"/>
      <c r="JW7" s="1081"/>
    </row>
    <row r="8" spans="1:283" ht="15" customHeight="1" x14ac:dyDescent="0.2">
      <c r="A8" s="1259"/>
      <c r="B8" s="1096"/>
      <c r="C8" s="1096"/>
      <c r="D8" s="1096"/>
      <c r="E8" s="1096"/>
      <c r="F8" s="1096"/>
      <c r="G8" s="1096"/>
      <c r="H8" s="1096"/>
      <c r="I8" s="1096"/>
      <c r="J8" s="1096"/>
      <c r="K8" s="1096"/>
      <c r="L8" s="1096"/>
      <c r="M8" s="1096"/>
      <c r="N8" s="1097"/>
      <c r="O8" s="1096"/>
      <c r="P8" s="1096"/>
      <c r="Q8" s="1096"/>
      <c r="R8" s="1096"/>
      <c r="S8" s="1096"/>
      <c r="T8" s="1096"/>
      <c r="U8" s="1096"/>
      <c r="V8" s="1096"/>
      <c r="W8" s="1096"/>
      <c r="X8" s="1096"/>
      <c r="Y8" s="1096"/>
      <c r="Z8" s="1096"/>
      <c r="AA8" s="1097"/>
      <c r="AB8" s="1096"/>
      <c r="AC8" s="1096"/>
      <c r="AD8" s="1096"/>
      <c r="AE8" s="1096"/>
      <c r="AF8" s="1096"/>
      <c r="AG8" s="1096"/>
      <c r="AH8" s="1096"/>
      <c r="AI8" s="1096"/>
      <c r="AJ8" s="1096"/>
      <c r="AK8" s="1096"/>
      <c r="AL8" s="1096"/>
      <c r="AM8" s="1096"/>
      <c r="AN8" s="1097"/>
      <c r="AO8" s="1096"/>
      <c r="AP8" s="1096"/>
      <c r="AQ8" s="1096"/>
      <c r="AR8" s="1096"/>
      <c r="AS8" s="1096"/>
      <c r="AT8" s="1096"/>
      <c r="AU8" s="1096"/>
      <c r="AV8" s="1096"/>
      <c r="AW8" s="1096"/>
      <c r="AX8" s="1096"/>
      <c r="AY8" s="1096"/>
      <c r="AZ8" s="1096"/>
      <c r="BA8" s="1097"/>
      <c r="BB8" s="1096"/>
      <c r="BC8" s="1096"/>
      <c r="BD8" s="1096"/>
      <c r="BE8" s="1096"/>
      <c r="BF8" s="1096"/>
      <c r="BG8" s="1096"/>
      <c r="BH8" s="1096"/>
      <c r="BI8" s="1096"/>
      <c r="BJ8" s="1096"/>
      <c r="BK8" s="1096"/>
      <c r="BL8" s="1096"/>
      <c r="BM8" s="1096"/>
      <c r="BN8" s="1097"/>
      <c r="BO8" s="1096"/>
      <c r="BP8" s="1096"/>
      <c r="BQ8" s="1096"/>
      <c r="BR8" s="1096"/>
      <c r="BS8" s="1096"/>
      <c r="BT8" s="1096"/>
      <c r="BU8" s="1096"/>
      <c r="BV8" s="1096"/>
      <c r="BW8" s="1096"/>
      <c r="BX8" s="1096"/>
      <c r="BY8" s="1096"/>
      <c r="BZ8" s="1096"/>
      <c r="CA8" s="1097"/>
      <c r="CB8" s="1096"/>
      <c r="CC8" s="1096"/>
      <c r="CD8" s="1096"/>
      <c r="CE8" s="1096"/>
      <c r="CF8" s="1096"/>
      <c r="CG8" s="1096"/>
      <c r="CH8" s="1096"/>
      <c r="CI8" s="1096"/>
      <c r="CJ8" s="1096"/>
      <c r="CK8" s="1096"/>
      <c r="CL8" s="1096"/>
      <c r="CM8" s="1096"/>
      <c r="CN8" s="1097"/>
      <c r="CO8" s="1096"/>
      <c r="CP8" s="1096"/>
      <c r="CQ8" s="1096"/>
      <c r="CR8" s="1096"/>
      <c r="CS8" s="1096"/>
      <c r="CT8" s="1096"/>
      <c r="CU8" s="1096"/>
      <c r="CV8" s="1096"/>
      <c r="CW8" s="1096"/>
      <c r="CX8" s="1096"/>
      <c r="CY8" s="1096"/>
      <c r="CZ8" s="1096"/>
      <c r="DA8" s="1097"/>
      <c r="DB8" s="1096"/>
      <c r="DC8" s="1096"/>
      <c r="DD8" s="1096"/>
      <c r="DE8" s="1096"/>
      <c r="DF8" s="1096"/>
      <c r="DG8" s="1096"/>
      <c r="DH8" s="1096"/>
      <c r="DI8" s="1096"/>
      <c r="DJ8" s="1096"/>
      <c r="DK8" s="1096"/>
      <c r="DL8" s="1096"/>
      <c r="DM8" s="1096"/>
      <c r="DN8" s="1097"/>
      <c r="DO8" s="1096"/>
      <c r="DP8" s="1096"/>
      <c r="DQ8" s="1096"/>
      <c r="DR8" s="1096"/>
      <c r="DS8" s="1096"/>
      <c r="DT8" s="1096"/>
      <c r="DU8" s="1096"/>
      <c r="DV8" s="1096"/>
      <c r="DW8" s="1096"/>
      <c r="DX8" s="1096"/>
      <c r="DY8" s="1096"/>
      <c r="DZ8" s="1096"/>
      <c r="EA8" s="1097"/>
      <c r="EB8" s="1096"/>
      <c r="EC8" s="1096"/>
      <c r="ED8" s="1096"/>
      <c r="EE8" s="1096"/>
      <c r="EF8" s="1096"/>
      <c r="EG8" s="1096"/>
      <c r="EH8" s="1096"/>
      <c r="EI8" s="1096"/>
      <c r="EJ8" s="1096"/>
      <c r="EK8" s="1096"/>
      <c r="EL8" s="1096"/>
      <c r="EM8" s="1096"/>
      <c r="EN8" s="1097"/>
      <c r="EO8" s="1096"/>
      <c r="EP8" s="1096"/>
      <c r="EQ8" s="1096"/>
      <c r="ER8" s="1096"/>
      <c r="ES8" s="1096"/>
      <c r="ET8" s="1096"/>
      <c r="EU8" s="1096"/>
      <c r="EV8" s="1096"/>
      <c r="EW8" s="1096"/>
      <c r="EX8" s="1096"/>
      <c r="EY8" s="1096"/>
      <c r="EZ8" s="1096"/>
      <c r="FA8" s="1097"/>
      <c r="FB8" s="1096"/>
      <c r="FC8" s="1096"/>
      <c r="FD8" s="1096"/>
      <c r="FE8" s="1096"/>
      <c r="FF8" s="1096"/>
      <c r="FG8" s="1096"/>
      <c r="FH8" s="1096"/>
      <c r="FI8" s="1096"/>
      <c r="FJ8" s="1096"/>
      <c r="FK8" s="1096"/>
      <c r="FL8" s="1096"/>
      <c r="FM8" s="1096"/>
      <c r="FN8" s="1097"/>
      <c r="FO8" s="1096"/>
      <c r="FP8" s="1096"/>
      <c r="FQ8" s="1096"/>
      <c r="FR8" s="1096"/>
      <c r="FS8" s="1096"/>
      <c r="FT8" s="1096"/>
      <c r="FU8" s="1096"/>
      <c r="FV8" s="1096"/>
      <c r="FW8" s="1096"/>
      <c r="FX8" s="1096"/>
      <c r="FY8" s="1096"/>
      <c r="FZ8" s="1096"/>
      <c r="GA8" s="1097"/>
      <c r="GB8" s="1096"/>
      <c r="GC8" s="1096"/>
      <c r="GD8" s="1096"/>
      <c r="GE8" s="1096"/>
      <c r="GF8" s="1096"/>
      <c r="GG8" s="1096"/>
      <c r="GH8" s="1096"/>
      <c r="GI8" s="1096"/>
      <c r="GJ8" s="1096"/>
      <c r="GK8" s="1096"/>
      <c r="GL8" s="1096"/>
      <c r="GM8" s="1096"/>
      <c r="GN8" s="1097"/>
      <c r="GO8" s="1096"/>
      <c r="GP8" s="1096"/>
      <c r="GQ8" s="1096"/>
      <c r="GR8" s="1096"/>
      <c r="GS8" s="1096"/>
      <c r="GT8" s="1096"/>
      <c r="GU8" s="1096"/>
      <c r="GV8" s="1096"/>
      <c r="GW8" s="1096"/>
      <c r="GX8" s="1096"/>
      <c r="GY8" s="1096"/>
      <c r="GZ8" s="1096"/>
      <c r="HA8" s="1097"/>
      <c r="HB8" s="1096"/>
      <c r="HC8" s="1096"/>
      <c r="HD8" s="1096"/>
      <c r="HE8" s="1096"/>
      <c r="HF8" s="1096"/>
      <c r="HG8" s="1096"/>
      <c r="HH8" s="1096"/>
      <c r="HI8" s="1096"/>
      <c r="HJ8" s="1096"/>
      <c r="HK8" s="1096"/>
      <c r="HL8" s="1096"/>
      <c r="HM8" s="1096"/>
      <c r="HN8" s="1097"/>
      <c r="HO8" s="1096"/>
      <c r="HP8" s="1096"/>
      <c r="HQ8" s="1096"/>
      <c r="HR8" s="1096"/>
      <c r="HS8" s="1096"/>
      <c r="HT8" s="1096"/>
      <c r="HU8" s="1096"/>
      <c r="HV8" s="1096"/>
      <c r="HW8" s="1096"/>
      <c r="HX8" s="1096"/>
      <c r="HY8" s="1096"/>
      <c r="HZ8" s="1096"/>
      <c r="IA8" s="1097"/>
      <c r="IB8" s="1096"/>
      <c r="IC8" s="1096"/>
      <c r="ID8" s="1096"/>
      <c r="IE8" s="1096"/>
      <c r="IF8" s="1096"/>
      <c r="IG8" s="1096"/>
      <c r="IH8" s="1096"/>
      <c r="II8" s="1096"/>
      <c r="IJ8" s="1096"/>
      <c r="IK8" s="1096"/>
      <c r="IL8" s="1096"/>
      <c r="IM8" s="1096"/>
      <c r="IN8" s="1097"/>
      <c r="IO8" s="1096"/>
      <c r="IP8" s="1096"/>
      <c r="IQ8" s="1096"/>
      <c r="IR8" s="1096"/>
      <c r="IS8" s="1096"/>
      <c r="IT8" s="1096"/>
      <c r="IU8" s="1096"/>
      <c r="IV8" s="1096"/>
      <c r="IW8" s="1096"/>
      <c r="IX8" s="1096"/>
      <c r="IY8" s="1096"/>
      <c r="IZ8" s="1096"/>
      <c r="JA8" s="1097"/>
      <c r="JB8" s="1096"/>
      <c r="JC8" s="1096"/>
      <c r="JD8" s="1096"/>
      <c r="JE8" s="1096"/>
      <c r="JF8" s="1096"/>
      <c r="JG8" s="1096"/>
      <c r="JH8" s="1096"/>
      <c r="JI8" s="1096"/>
      <c r="JJ8" s="1096"/>
      <c r="JK8" s="1096"/>
      <c r="JL8" s="1096"/>
      <c r="JM8" s="1096"/>
      <c r="JN8" s="1097"/>
      <c r="JO8" s="1266"/>
      <c r="JP8" s="1137"/>
      <c r="JQ8" s="1138"/>
      <c r="JR8" s="1139"/>
      <c r="JS8" s="1140"/>
      <c r="JU8" s="1079"/>
      <c r="JV8" s="1080"/>
      <c r="JW8" s="1081"/>
    </row>
    <row r="9" spans="1:283" ht="15" customHeight="1" x14ac:dyDescent="0.2">
      <c r="A9" s="1261" t="s">
        <v>116</v>
      </c>
      <c r="B9" s="1098"/>
      <c r="C9" s="1098"/>
      <c r="D9" s="1098"/>
      <c r="E9" s="1098">
        <v>10</v>
      </c>
      <c r="F9" s="1098">
        <v>823</v>
      </c>
      <c r="G9" s="1098">
        <v>4066</v>
      </c>
      <c r="H9" s="1098">
        <v>2276</v>
      </c>
      <c r="I9" s="1098">
        <v>706</v>
      </c>
      <c r="J9" s="1098">
        <v>782</v>
      </c>
      <c r="K9" s="1098"/>
      <c r="L9" s="1098"/>
      <c r="M9" s="1098"/>
      <c r="N9" s="1097">
        <f t="shared" ref="N9:N37" si="5">SUM(B9:M9)</f>
        <v>8663</v>
      </c>
      <c r="O9" s="1098"/>
      <c r="P9" s="1098"/>
      <c r="Q9" s="1098"/>
      <c r="R9" s="1098">
        <v>66</v>
      </c>
      <c r="S9" s="1098">
        <v>500</v>
      </c>
      <c r="T9" s="1098">
        <v>2885</v>
      </c>
      <c r="U9" s="1098">
        <v>1552</v>
      </c>
      <c r="V9" s="1098">
        <v>1488</v>
      </c>
      <c r="W9" s="1098">
        <v>130</v>
      </c>
      <c r="X9" s="1098"/>
      <c r="Y9" s="1098"/>
      <c r="Z9" s="1098"/>
      <c r="AA9" s="1097">
        <f t="shared" ref="AA9:AA37" si="6">SUM(O9:Z9)</f>
        <v>6621</v>
      </c>
      <c r="AB9" s="1098"/>
      <c r="AC9" s="1098"/>
      <c r="AD9" s="1098"/>
      <c r="AE9" s="1098"/>
      <c r="AF9" s="1098">
        <v>71</v>
      </c>
      <c r="AG9" s="1098">
        <v>2259</v>
      </c>
      <c r="AH9" s="1098">
        <v>1615</v>
      </c>
      <c r="AI9" s="1098">
        <v>450</v>
      </c>
      <c r="AJ9" s="1098">
        <v>57</v>
      </c>
      <c r="AK9" s="1098"/>
      <c r="AL9" s="1098"/>
      <c r="AM9" s="1098"/>
      <c r="AN9" s="1097">
        <f t="shared" ref="AN9:AN37" si="7">SUM(AB9:AM9)</f>
        <v>4452</v>
      </c>
      <c r="AO9" s="1098"/>
      <c r="AP9" s="1098"/>
      <c r="AQ9" s="1098"/>
      <c r="AR9" s="1098">
        <v>85</v>
      </c>
      <c r="AS9" s="1098">
        <v>112</v>
      </c>
      <c r="AT9" s="1098">
        <v>1489</v>
      </c>
      <c r="AU9" s="1098">
        <v>1022</v>
      </c>
      <c r="AV9" s="1098">
        <v>512</v>
      </c>
      <c r="AW9" s="1098">
        <v>283</v>
      </c>
      <c r="AX9" s="1098"/>
      <c r="AY9" s="1098"/>
      <c r="AZ9" s="1098"/>
      <c r="BA9" s="1097">
        <f t="shared" ref="BA9:BA37" si="8">SUM(AO9:AZ9)</f>
        <v>3503</v>
      </c>
      <c r="BB9" s="1098"/>
      <c r="BC9" s="1098"/>
      <c r="BD9" s="1098"/>
      <c r="BE9" s="1098"/>
      <c r="BF9" s="1098">
        <v>133</v>
      </c>
      <c r="BG9" s="1098">
        <v>270</v>
      </c>
      <c r="BH9" s="1098">
        <v>1036</v>
      </c>
      <c r="BI9" s="1098">
        <v>161</v>
      </c>
      <c r="BJ9" s="1098">
        <v>355</v>
      </c>
      <c r="BK9" s="1098"/>
      <c r="BL9" s="1098"/>
      <c r="BM9" s="1098"/>
      <c r="BN9" s="1097">
        <f t="shared" ref="BN9:BN37" si="9">SUM(BB9:BM9)</f>
        <v>1955</v>
      </c>
      <c r="BO9" s="1098"/>
      <c r="BP9" s="1098"/>
      <c r="BQ9" s="1098"/>
      <c r="BR9" s="1098">
        <v>73</v>
      </c>
      <c r="BS9" s="1098">
        <v>608</v>
      </c>
      <c r="BT9" s="1098">
        <v>1529</v>
      </c>
      <c r="BU9" s="1098">
        <v>939</v>
      </c>
      <c r="BV9" s="1098">
        <v>564</v>
      </c>
      <c r="BW9" s="1098">
        <v>122</v>
      </c>
      <c r="BX9" s="1098"/>
      <c r="BY9" s="1098"/>
      <c r="BZ9" s="1098"/>
      <c r="CA9" s="1097">
        <f t="shared" ref="CA9:CA37" si="10">SUM(BO9:BZ9)</f>
        <v>3835</v>
      </c>
      <c r="CB9" s="1098"/>
      <c r="CC9" s="1098"/>
      <c r="CD9" s="1098"/>
      <c r="CE9" s="1098">
        <v>120</v>
      </c>
      <c r="CF9" s="1098">
        <v>283</v>
      </c>
      <c r="CG9" s="1098">
        <v>988</v>
      </c>
      <c r="CH9" s="1098">
        <v>479</v>
      </c>
      <c r="CI9" s="1098">
        <v>171</v>
      </c>
      <c r="CJ9" s="1098">
        <v>2</v>
      </c>
      <c r="CK9" s="1098"/>
      <c r="CL9" s="1098">
        <v>9</v>
      </c>
      <c r="CM9" s="1098"/>
      <c r="CN9" s="1097">
        <f t="shared" ref="CN9:CN37" si="11">SUM(CB9:CM9)</f>
        <v>2052</v>
      </c>
      <c r="CO9" s="1098"/>
      <c r="CP9" s="1098"/>
      <c r="CQ9" s="1098"/>
      <c r="CR9" s="1098"/>
      <c r="CS9" s="1098">
        <v>120</v>
      </c>
      <c r="CT9" s="1098">
        <v>665</v>
      </c>
      <c r="CU9" s="1098">
        <v>581</v>
      </c>
      <c r="CV9" s="1098">
        <v>138</v>
      </c>
      <c r="CW9" s="1098"/>
      <c r="CX9" s="1098"/>
      <c r="CY9" s="1098"/>
      <c r="CZ9" s="1098"/>
      <c r="DA9" s="1097">
        <f t="shared" ref="DA9:DA37" si="12">SUM(CO9:CZ9)</f>
        <v>1504</v>
      </c>
      <c r="DB9" s="1098"/>
      <c r="DC9" s="1098"/>
      <c r="DD9" s="1098"/>
      <c r="DE9" s="1098">
        <v>43</v>
      </c>
      <c r="DF9" s="1098">
        <v>44</v>
      </c>
      <c r="DG9" s="1098">
        <v>338</v>
      </c>
      <c r="DH9" s="1098">
        <v>106</v>
      </c>
      <c r="DI9" s="1098">
        <v>46</v>
      </c>
      <c r="DJ9" s="1098"/>
      <c r="DK9" s="1098"/>
      <c r="DL9" s="1098"/>
      <c r="DM9" s="1098"/>
      <c r="DN9" s="1097">
        <f t="shared" ref="DN9:DN37" si="13">SUM(DB9:DM9)</f>
        <v>577</v>
      </c>
      <c r="DO9" s="1098"/>
      <c r="DP9" s="1098"/>
      <c r="DQ9" s="1098"/>
      <c r="DR9" s="1098"/>
      <c r="DS9" s="1098"/>
      <c r="DT9" s="1098"/>
      <c r="DU9" s="1098"/>
      <c r="DV9" s="1098"/>
      <c r="DW9" s="1098"/>
      <c r="DX9" s="1098"/>
      <c r="DY9" s="1098"/>
      <c r="DZ9" s="1098"/>
      <c r="EA9" s="1097">
        <f t="shared" ref="EA9:EA37" si="14">SUM(DO9:DZ9)</f>
        <v>0</v>
      </c>
      <c r="EB9" s="1098"/>
      <c r="EC9" s="1098"/>
      <c r="ED9" s="1098"/>
      <c r="EE9" s="1098">
        <v>23</v>
      </c>
      <c r="EF9" s="1098"/>
      <c r="EG9" s="1098">
        <v>50</v>
      </c>
      <c r="EH9" s="1098">
        <v>25</v>
      </c>
      <c r="EI9" s="1098">
        <v>36</v>
      </c>
      <c r="EJ9" s="1098"/>
      <c r="EK9" s="1098"/>
      <c r="EL9" s="1098"/>
      <c r="EM9" s="1098"/>
      <c r="EN9" s="1097">
        <f t="shared" ref="EN9:EN37" si="15">SUM(EB9:EM9)</f>
        <v>134</v>
      </c>
      <c r="EO9" s="1098"/>
      <c r="EP9" s="1098"/>
      <c r="EQ9" s="1098">
        <v>1</v>
      </c>
      <c r="ER9" s="1098"/>
      <c r="ES9" s="1098"/>
      <c r="ET9" s="1098"/>
      <c r="EU9" s="1098"/>
      <c r="EV9" s="1098"/>
      <c r="EW9" s="1098"/>
      <c r="EX9" s="1098"/>
      <c r="EY9" s="1098"/>
      <c r="EZ9" s="1098"/>
      <c r="FA9" s="1097">
        <f t="shared" ref="FA9:FA37" si="16">SUM(EO9:EZ9)</f>
        <v>1</v>
      </c>
      <c r="FB9" s="1098"/>
      <c r="FC9" s="1098"/>
      <c r="FD9" s="1098"/>
      <c r="FE9" s="1098"/>
      <c r="FF9" s="1098"/>
      <c r="FG9" s="1098"/>
      <c r="FH9" s="1098"/>
      <c r="FI9" s="1098"/>
      <c r="FJ9" s="1098"/>
      <c r="FK9" s="1098"/>
      <c r="FL9" s="1098"/>
      <c r="FM9" s="1098"/>
      <c r="FN9" s="1097">
        <f t="shared" ref="FN9:FN37" si="17">SUM(FB9:FM9)</f>
        <v>0</v>
      </c>
      <c r="FO9" s="1098"/>
      <c r="FP9" s="1098"/>
      <c r="FQ9" s="1098"/>
      <c r="FR9" s="1098"/>
      <c r="FS9" s="1098"/>
      <c r="FT9" s="1098"/>
      <c r="FU9" s="1098"/>
      <c r="FV9" s="1098"/>
      <c r="FW9" s="1098"/>
      <c r="FX9" s="1098"/>
      <c r="FY9" s="1098"/>
      <c r="FZ9" s="1098"/>
      <c r="GA9" s="1097">
        <f t="shared" ref="GA9:GA37" si="18">SUM(FO9:FZ9)</f>
        <v>0</v>
      </c>
      <c r="GB9" s="1098"/>
      <c r="GC9" s="1098"/>
      <c r="GD9" s="1098"/>
      <c r="GE9" s="1098"/>
      <c r="GF9" s="1098"/>
      <c r="GG9" s="1098"/>
      <c r="GH9" s="1098"/>
      <c r="GI9" s="1098"/>
      <c r="GJ9" s="1098"/>
      <c r="GK9" s="1098"/>
      <c r="GL9" s="1098"/>
      <c r="GM9" s="1098"/>
      <c r="GN9" s="1097">
        <f t="shared" ref="GN9:GN37" si="19">SUM(GB9:GM9)</f>
        <v>0</v>
      </c>
      <c r="GO9" s="1098"/>
      <c r="GP9" s="1098"/>
      <c r="GQ9" s="1098"/>
      <c r="GR9" s="1098"/>
      <c r="GS9" s="1098"/>
      <c r="GT9" s="1098"/>
      <c r="GU9" s="1098"/>
      <c r="GV9" s="1098">
        <v>5</v>
      </c>
      <c r="GW9" s="1098">
        <v>12</v>
      </c>
      <c r="GX9" s="1098"/>
      <c r="GY9" s="1098"/>
      <c r="GZ9" s="1098"/>
      <c r="HA9" s="1097">
        <f t="shared" ref="HA9:HA37" si="20">SUM(GO9:GZ9)</f>
        <v>17</v>
      </c>
      <c r="HB9" s="1098"/>
      <c r="HC9" s="1098"/>
      <c r="HD9" s="1098"/>
      <c r="HE9" s="1098"/>
      <c r="HF9" s="1098"/>
      <c r="HG9" s="1098"/>
      <c r="HH9" s="1098"/>
      <c r="HI9" s="1098">
        <v>341</v>
      </c>
      <c r="HJ9" s="1098"/>
      <c r="HK9" s="1098"/>
      <c r="HL9" s="1098"/>
      <c r="HM9" s="1098"/>
      <c r="HN9" s="1097">
        <f t="shared" ref="HN9:HN37" si="21">SUM(HB9:HM9)</f>
        <v>341</v>
      </c>
      <c r="HO9" s="1098"/>
      <c r="HP9" s="1098"/>
      <c r="HQ9" s="1098"/>
      <c r="HR9" s="1098"/>
      <c r="HS9" s="1098"/>
      <c r="HT9" s="1098"/>
      <c r="HU9" s="1098">
        <v>175</v>
      </c>
      <c r="HV9" s="1098">
        <v>267</v>
      </c>
      <c r="HW9" s="1098">
        <v>210</v>
      </c>
      <c r="HX9" s="1098">
        <v>205</v>
      </c>
      <c r="HY9" s="1098">
        <v>212</v>
      </c>
      <c r="HZ9" s="1098">
        <v>210</v>
      </c>
      <c r="IA9" s="1097">
        <f t="shared" ref="IA9:IA37" si="22">SUM(HO9:HZ9)</f>
        <v>1279</v>
      </c>
      <c r="IB9" s="1098">
        <v>317</v>
      </c>
      <c r="IC9" s="1098">
        <v>290</v>
      </c>
      <c r="ID9" s="1098">
        <v>305</v>
      </c>
      <c r="IE9" s="1098"/>
      <c r="IF9" s="1098"/>
      <c r="IG9" s="1098"/>
      <c r="IH9" s="1098">
        <v>179</v>
      </c>
      <c r="II9" s="1098">
        <v>38.700000000000003</v>
      </c>
      <c r="IJ9" s="1098">
        <v>142</v>
      </c>
      <c r="IK9" s="1098">
        <v>40</v>
      </c>
      <c r="IL9" s="1098"/>
      <c r="IM9" s="1098"/>
      <c r="IN9" s="1097">
        <f t="shared" ref="IN9:IN37" si="23">SUM(IB9:IM9)</f>
        <v>1311.7</v>
      </c>
      <c r="IO9" s="1098"/>
      <c r="IP9" s="1098"/>
      <c r="IQ9" s="1098"/>
      <c r="IR9" s="1098"/>
      <c r="IS9" s="1098"/>
      <c r="IT9" s="1098">
        <v>60</v>
      </c>
      <c r="IU9" s="1098">
        <v>73.5</v>
      </c>
      <c r="IV9" s="1098">
        <v>141</v>
      </c>
      <c r="IW9" s="1098">
        <v>166</v>
      </c>
      <c r="IX9" s="1098">
        <v>152</v>
      </c>
      <c r="IY9" s="1098"/>
      <c r="IZ9" s="1098"/>
      <c r="JA9" s="1097">
        <f t="shared" ref="JA9:JA37" si="24">SUM(IO9:IZ9)</f>
        <v>592.5</v>
      </c>
      <c r="JB9" s="1098">
        <v>141</v>
      </c>
      <c r="JC9" s="1098"/>
      <c r="JD9" s="1098"/>
      <c r="JE9" s="1098"/>
      <c r="JF9" s="1098"/>
      <c r="JG9" s="1098">
        <v>0</v>
      </c>
      <c r="JH9" s="1098"/>
      <c r="JI9" s="1098"/>
      <c r="JJ9" s="1098"/>
      <c r="JK9" s="1098"/>
      <c r="JL9" s="1098"/>
      <c r="JM9" s="1098"/>
      <c r="JN9" s="1097">
        <f t="shared" ref="JN9:JN37" si="25">SUM(JB9:JM9)</f>
        <v>141</v>
      </c>
      <c r="JO9" s="1266"/>
      <c r="JP9" s="1116" t="str">
        <f>IFERROR(((
_xlfn.XLOOKUP((DATE(YEAR($JP$5),MONTH($JP$5),1)),$B$5:$JN$5,$B9:$JN9) /
_xlfn.XLOOKUP((DATE(YEAR($JP$5)-1,MONTH($JP$5),1)),$B$5:$JN$5,$B9:$JN9)
)-1)*100,"")</f>
        <v/>
      </c>
      <c r="JQ9" s="1117" t="str">
        <f>IFERROR(((JS9/JR9)-1)*100,"")</f>
        <v/>
      </c>
      <c r="JR9" s="1079">
        <f>SUMIFS(
  $B9:$JN9,
  $B$5:$JN$5,"&gt;="&amp;DATE(IF(MONTH($JP$5)&gt;=8,YEAR($JP$5)-1,YEAR($JP$5)-2),8,1),
  $B$5:$JN$5,"&lt;="&amp;DATE(IF(MONTH($JP$5)&gt;=8,YEAR($JP$5)-1,YEAR($JP$5)-1),MONTH($JP$5),1)
)</f>
        <v>0</v>
      </c>
      <c r="JS9" s="1118">
        <f>SUMIFS(
  $B9:$JN9,
  $B$5:$JN$5,"&gt;="&amp;DATE(IF(MONTH($JP$5)&gt;=8,YEAR($JP$5),YEAR($JP$5)-1),8,1),
  $B$5:$JN$5,"&lt;="&amp;DATE(YEAR($JP$5),MONTH($JP$5),1)
)</f>
        <v>141</v>
      </c>
      <c r="JU9" s="1079">
        <f t="shared" ref="JU9:JU37" si="26">SUM(O9:JN9)</f>
        <v>56632.399999999994</v>
      </c>
      <c r="JV9" s="1080" t="s">
        <v>116</v>
      </c>
      <c r="JW9" s="1081" t="str">
        <f t="shared" ref="JW9:JW37" si="27">IF(EXACT(A9,JV9)=TRUE,"OK","VER")</f>
        <v>OK</v>
      </c>
    </row>
    <row r="10" spans="1:283" ht="15" customHeight="1" x14ac:dyDescent="0.2">
      <c r="A10" s="1261" t="s">
        <v>134</v>
      </c>
      <c r="B10" s="1098">
        <v>8559</v>
      </c>
      <c r="C10" s="1098">
        <v>4134</v>
      </c>
      <c r="D10" s="1098">
        <v>4526</v>
      </c>
      <c r="E10" s="1098">
        <v>3646</v>
      </c>
      <c r="F10" s="1098">
        <v>3788</v>
      </c>
      <c r="G10" s="1098">
        <v>8138</v>
      </c>
      <c r="H10" s="1098">
        <v>8428</v>
      </c>
      <c r="I10" s="1098">
        <v>4736</v>
      </c>
      <c r="J10" s="1098">
        <v>3478</v>
      </c>
      <c r="K10" s="1098">
        <v>3863</v>
      </c>
      <c r="L10" s="1098">
        <v>6128</v>
      </c>
      <c r="M10" s="1098">
        <v>9369</v>
      </c>
      <c r="N10" s="1097">
        <f t="shared" si="5"/>
        <v>68793</v>
      </c>
      <c r="O10" s="1098">
        <v>6571</v>
      </c>
      <c r="P10" s="1098">
        <v>4415</v>
      </c>
      <c r="Q10" s="1098">
        <v>4305</v>
      </c>
      <c r="R10" s="1098">
        <v>3716</v>
      </c>
      <c r="S10" s="1098">
        <v>3312</v>
      </c>
      <c r="T10" s="1098">
        <v>5577</v>
      </c>
      <c r="U10" s="1098">
        <v>7016</v>
      </c>
      <c r="V10" s="1098">
        <v>5957</v>
      </c>
      <c r="W10" s="1098">
        <v>4557</v>
      </c>
      <c r="X10" s="1098">
        <v>4904</v>
      </c>
      <c r="Y10" s="1098">
        <v>4536</v>
      </c>
      <c r="Z10" s="1098">
        <v>8207</v>
      </c>
      <c r="AA10" s="1097">
        <f t="shared" si="6"/>
        <v>63073</v>
      </c>
      <c r="AB10" s="1098">
        <v>6432</v>
      </c>
      <c r="AC10" s="1098">
        <v>4911</v>
      </c>
      <c r="AD10" s="1098">
        <v>4428</v>
      </c>
      <c r="AE10" s="1098">
        <v>5390</v>
      </c>
      <c r="AF10" s="1098">
        <v>5418</v>
      </c>
      <c r="AG10" s="1098">
        <v>7722</v>
      </c>
      <c r="AH10" s="1098">
        <v>8039</v>
      </c>
      <c r="AI10" s="1098">
        <v>6785</v>
      </c>
      <c r="AJ10" s="1098">
        <v>3993</v>
      </c>
      <c r="AK10" s="1098">
        <v>5329</v>
      </c>
      <c r="AL10" s="1098">
        <v>5661</v>
      </c>
      <c r="AM10" s="1098">
        <v>10034</v>
      </c>
      <c r="AN10" s="1097">
        <f t="shared" si="7"/>
        <v>74142</v>
      </c>
      <c r="AO10" s="1098">
        <v>6573</v>
      </c>
      <c r="AP10" s="1098">
        <v>5110</v>
      </c>
      <c r="AQ10" s="1098">
        <v>5707</v>
      </c>
      <c r="AR10" s="1098">
        <v>5127</v>
      </c>
      <c r="AS10" s="1098">
        <v>8334</v>
      </c>
      <c r="AT10" s="1098">
        <v>8642</v>
      </c>
      <c r="AU10" s="1098">
        <v>9434</v>
      </c>
      <c r="AV10" s="1098">
        <v>6519</v>
      </c>
      <c r="AW10" s="1098">
        <v>4609</v>
      </c>
      <c r="AX10" s="1098">
        <v>5552</v>
      </c>
      <c r="AY10" s="1098">
        <v>7130</v>
      </c>
      <c r="AZ10" s="1098">
        <v>10471</v>
      </c>
      <c r="BA10" s="1097">
        <f t="shared" si="8"/>
        <v>83208</v>
      </c>
      <c r="BB10" s="1098">
        <v>6427</v>
      </c>
      <c r="BC10" s="1098">
        <v>5487.5</v>
      </c>
      <c r="BD10" s="1098">
        <v>6355</v>
      </c>
      <c r="BE10" s="1098">
        <v>4885</v>
      </c>
      <c r="BF10" s="1098">
        <v>5755</v>
      </c>
      <c r="BG10" s="1098">
        <v>8308</v>
      </c>
      <c r="BH10" s="1098">
        <v>8412</v>
      </c>
      <c r="BI10" s="1098">
        <v>5706</v>
      </c>
      <c r="BJ10" s="1098">
        <v>5105</v>
      </c>
      <c r="BK10" s="1098">
        <v>5298</v>
      </c>
      <c r="BL10" s="1098">
        <v>6143</v>
      </c>
      <c r="BM10" s="1098">
        <v>9194</v>
      </c>
      <c r="BN10" s="1097">
        <f t="shared" si="9"/>
        <v>77075.5</v>
      </c>
      <c r="BO10" s="1098">
        <v>6303</v>
      </c>
      <c r="BP10" s="1098">
        <v>5015</v>
      </c>
      <c r="BQ10" s="1098">
        <v>5082</v>
      </c>
      <c r="BR10" s="1098">
        <v>5349</v>
      </c>
      <c r="BS10" s="1098">
        <v>8562</v>
      </c>
      <c r="BT10" s="1098">
        <v>8205</v>
      </c>
      <c r="BU10" s="1098">
        <v>7120</v>
      </c>
      <c r="BV10" s="1098">
        <v>6325</v>
      </c>
      <c r="BW10" s="1098">
        <v>5821</v>
      </c>
      <c r="BX10" s="1098">
        <v>6121</v>
      </c>
      <c r="BY10" s="1098">
        <v>6855</v>
      </c>
      <c r="BZ10" s="1098">
        <v>7158</v>
      </c>
      <c r="CA10" s="1097">
        <f t="shared" si="10"/>
        <v>77916</v>
      </c>
      <c r="CB10" s="1098">
        <v>6929</v>
      </c>
      <c r="CC10" s="1098">
        <v>9162</v>
      </c>
      <c r="CD10" s="1098">
        <v>6695</v>
      </c>
      <c r="CE10" s="1098">
        <v>5527</v>
      </c>
      <c r="CF10" s="1098">
        <v>7441</v>
      </c>
      <c r="CG10" s="1098">
        <v>7654</v>
      </c>
      <c r="CH10" s="1098">
        <v>10202</v>
      </c>
      <c r="CI10" s="1098">
        <v>6199</v>
      </c>
      <c r="CJ10" s="1098">
        <v>5307</v>
      </c>
      <c r="CK10" s="1098">
        <v>4945</v>
      </c>
      <c r="CL10" s="1098">
        <v>5457</v>
      </c>
      <c r="CM10" s="1098">
        <v>9798</v>
      </c>
      <c r="CN10" s="1097">
        <f t="shared" si="11"/>
        <v>85316</v>
      </c>
      <c r="CO10" s="1098">
        <v>6232</v>
      </c>
      <c r="CP10" s="1098">
        <v>5244</v>
      </c>
      <c r="CQ10" s="1098">
        <v>5729</v>
      </c>
      <c r="CR10" s="1098">
        <v>7409</v>
      </c>
      <c r="CS10" s="1098">
        <v>6807</v>
      </c>
      <c r="CT10" s="1098">
        <v>8346</v>
      </c>
      <c r="CU10" s="1098">
        <v>8787</v>
      </c>
      <c r="CV10" s="1098">
        <v>6496</v>
      </c>
      <c r="CW10" s="1098">
        <v>5703</v>
      </c>
      <c r="CX10" s="1098">
        <v>5701</v>
      </c>
      <c r="CY10" s="1098">
        <v>7358</v>
      </c>
      <c r="CZ10" s="1098">
        <v>7843</v>
      </c>
      <c r="DA10" s="1097">
        <f t="shared" si="12"/>
        <v>81655</v>
      </c>
      <c r="DB10" s="1098">
        <v>7221</v>
      </c>
      <c r="DC10" s="1098">
        <v>5527</v>
      </c>
      <c r="DD10" s="1098">
        <v>6800</v>
      </c>
      <c r="DE10" s="1098">
        <v>7400</v>
      </c>
      <c r="DF10" s="1098">
        <v>6908</v>
      </c>
      <c r="DG10" s="1098">
        <v>8383</v>
      </c>
      <c r="DH10" s="1098">
        <v>9699</v>
      </c>
      <c r="DI10" s="1098">
        <v>8134</v>
      </c>
      <c r="DJ10" s="1098">
        <v>6794</v>
      </c>
      <c r="DK10" s="1098">
        <v>5506</v>
      </c>
      <c r="DL10" s="1098">
        <v>7559</v>
      </c>
      <c r="DM10" s="1098">
        <v>1776</v>
      </c>
      <c r="DN10" s="1097">
        <f t="shared" si="13"/>
        <v>81707</v>
      </c>
      <c r="DO10" s="1098">
        <v>1587</v>
      </c>
      <c r="DP10" s="1098">
        <v>761</v>
      </c>
      <c r="DQ10" s="1098"/>
      <c r="DR10" s="1098"/>
      <c r="DS10" s="1098"/>
      <c r="DT10" s="1098"/>
      <c r="DU10" s="1098"/>
      <c r="DV10" s="1098">
        <v>490</v>
      </c>
      <c r="DW10" s="1098">
        <v>310</v>
      </c>
      <c r="DX10" s="1098">
        <v>430</v>
      </c>
      <c r="DY10" s="1098">
        <v>7250</v>
      </c>
      <c r="DZ10" s="1098">
        <v>2480</v>
      </c>
      <c r="EA10" s="1097">
        <f t="shared" si="14"/>
        <v>13308</v>
      </c>
      <c r="EB10" s="1098">
        <v>8390</v>
      </c>
      <c r="EC10" s="1098">
        <v>6798</v>
      </c>
      <c r="ED10" s="1098">
        <v>6896</v>
      </c>
      <c r="EE10" s="1098">
        <v>7205</v>
      </c>
      <c r="EF10" s="1098">
        <v>9219</v>
      </c>
      <c r="EG10" s="1098">
        <v>9035</v>
      </c>
      <c r="EH10" s="1098">
        <v>9895</v>
      </c>
      <c r="EI10" s="1098">
        <v>9254</v>
      </c>
      <c r="EJ10" s="1098">
        <v>8453</v>
      </c>
      <c r="EK10" s="1098">
        <v>8221</v>
      </c>
      <c r="EL10" s="1098">
        <v>8263</v>
      </c>
      <c r="EM10" s="1098">
        <v>9716</v>
      </c>
      <c r="EN10" s="1097">
        <f t="shared" si="15"/>
        <v>101345</v>
      </c>
      <c r="EO10" s="1098">
        <v>9873</v>
      </c>
      <c r="EP10" s="1098">
        <v>7760</v>
      </c>
      <c r="EQ10" s="1098">
        <v>8026</v>
      </c>
      <c r="ER10" s="1098">
        <v>8564</v>
      </c>
      <c r="ES10" s="1098">
        <v>8629</v>
      </c>
      <c r="ET10" s="1098">
        <v>11285</v>
      </c>
      <c r="EU10" s="1098">
        <v>8674</v>
      </c>
      <c r="EV10" s="1098">
        <v>9261</v>
      </c>
      <c r="EW10" s="1098">
        <v>9102</v>
      </c>
      <c r="EX10" s="1098">
        <v>11506</v>
      </c>
      <c r="EY10" s="1098">
        <v>9774</v>
      </c>
      <c r="EZ10" s="1098">
        <v>9600</v>
      </c>
      <c r="FA10" s="1097">
        <f t="shared" si="16"/>
        <v>112054</v>
      </c>
      <c r="FB10" s="1098">
        <v>9724</v>
      </c>
      <c r="FC10" s="1098">
        <v>7669</v>
      </c>
      <c r="FD10" s="1098">
        <v>9726</v>
      </c>
      <c r="FE10" s="1098">
        <v>7922</v>
      </c>
      <c r="FF10" s="1098">
        <v>9335</v>
      </c>
      <c r="FG10" s="1098">
        <v>10103</v>
      </c>
      <c r="FH10" s="1098">
        <v>8794</v>
      </c>
      <c r="FI10" s="1098">
        <v>8964</v>
      </c>
      <c r="FJ10" s="1098">
        <v>8495</v>
      </c>
      <c r="FK10" s="1098">
        <v>6993</v>
      </c>
      <c r="FL10" s="1098">
        <v>8894</v>
      </c>
      <c r="FM10" s="1098">
        <v>8683</v>
      </c>
      <c r="FN10" s="1097">
        <f t="shared" si="17"/>
        <v>105302</v>
      </c>
      <c r="FO10" s="1098">
        <v>10357</v>
      </c>
      <c r="FP10" s="1098">
        <v>8695</v>
      </c>
      <c r="FQ10" s="1098">
        <v>7448</v>
      </c>
      <c r="FR10" s="1098">
        <v>7776</v>
      </c>
      <c r="FS10" s="1098">
        <v>8892</v>
      </c>
      <c r="FT10" s="1098">
        <v>9956</v>
      </c>
      <c r="FU10" s="1098">
        <v>10266</v>
      </c>
      <c r="FV10" s="1098">
        <v>9659</v>
      </c>
      <c r="FW10" s="1098">
        <v>7907</v>
      </c>
      <c r="FX10" s="1098">
        <v>6812</v>
      </c>
      <c r="FY10" s="1098">
        <v>6456</v>
      </c>
      <c r="FZ10" s="1098">
        <v>7904</v>
      </c>
      <c r="GA10" s="1097">
        <f t="shared" si="18"/>
        <v>102128</v>
      </c>
      <c r="GB10" s="1098">
        <v>11143</v>
      </c>
      <c r="GC10" s="1098">
        <v>8401</v>
      </c>
      <c r="GD10" s="1098">
        <v>9558</v>
      </c>
      <c r="GE10" s="1098">
        <v>10378</v>
      </c>
      <c r="GF10" s="1098">
        <v>9804</v>
      </c>
      <c r="GG10" s="1098">
        <v>10387</v>
      </c>
      <c r="GH10" s="1098">
        <v>11658</v>
      </c>
      <c r="GI10" s="1098">
        <v>8130</v>
      </c>
      <c r="GJ10" s="1098">
        <v>8157</v>
      </c>
      <c r="GK10" s="1098">
        <v>7029</v>
      </c>
      <c r="GL10" s="1098">
        <v>7200</v>
      </c>
      <c r="GM10" s="1098">
        <v>10515</v>
      </c>
      <c r="GN10" s="1097">
        <f t="shared" si="19"/>
        <v>112360</v>
      </c>
      <c r="GO10" s="1098">
        <v>9008</v>
      </c>
      <c r="GP10" s="1098">
        <v>6905</v>
      </c>
      <c r="GQ10" s="1098">
        <v>8247</v>
      </c>
      <c r="GR10" s="1098">
        <v>7687</v>
      </c>
      <c r="GS10" s="1098">
        <v>9936</v>
      </c>
      <c r="GT10" s="1098">
        <v>10809</v>
      </c>
      <c r="GU10" s="1098">
        <v>11219</v>
      </c>
      <c r="GV10" s="1098">
        <v>9180</v>
      </c>
      <c r="GW10" s="1098">
        <v>7747</v>
      </c>
      <c r="GX10" s="1098">
        <v>8635.5</v>
      </c>
      <c r="GY10" s="1098">
        <v>8771</v>
      </c>
      <c r="GZ10" s="1098">
        <v>10286</v>
      </c>
      <c r="HA10" s="1097">
        <f t="shared" si="20"/>
        <v>108430.5</v>
      </c>
      <c r="HB10" s="1098">
        <v>11073</v>
      </c>
      <c r="HC10" s="1098">
        <v>7658</v>
      </c>
      <c r="HD10" s="1098">
        <v>8743</v>
      </c>
      <c r="HE10" s="1098">
        <v>9156</v>
      </c>
      <c r="HF10" s="1098">
        <v>10568</v>
      </c>
      <c r="HG10" s="1098">
        <v>10666</v>
      </c>
      <c r="HH10" s="1098">
        <v>10941</v>
      </c>
      <c r="HI10" s="1098">
        <v>9186</v>
      </c>
      <c r="HJ10" s="1098">
        <v>8596</v>
      </c>
      <c r="HK10" s="1098">
        <v>7861</v>
      </c>
      <c r="HL10" s="1098">
        <v>7944</v>
      </c>
      <c r="HM10" s="1098">
        <v>10034</v>
      </c>
      <c r="HN10" s="1097">
        <f t="shared" si="21"/>
        <v>112426</v>
      </c>
      <c r="HO10" s="1098">
        <v>10285</v>
      </c>
      <c r="HP10" s="1098">
        <v>8097</v>
      </c>
      <c r="HQ10" s="1098">
        <v>8942</v>
      </c>
      <c r="HR10" s="1098">
        <v>7944</v>
      </c>
      <c r="HS10" s="1098">
        <v>6449</v>
      </c>
      <c r="HT10" s="1098">
        <v>10466</v>
      </c>
      <c r="HU10" s="1098">
        <v>10829</v>
      </c>
      <c r="HV10" s="1098">
        <v>7129</v>
      </c>
      <c r="HW10" s="1098">
        <v>9115</v>
      </c>
      <c r="HX10" s="1098">
        <v>7562</v>
      </c>
      <c r="HY10" s="1098">
        <v>11192</v>
      </c>
      <c r="HZ10" s="1098">
        <v>10603</v>
      </c>
      <c r="IA10" s="1097">
        <f t="shared" si="22"/>
        <v>108613</v>
      </c>
      <c r="IB10" s="1098">
        <v>9264</v>
      </c>
      <c r="IC10" s="1098">
        <v>8509</v>
      </c>
      <c r="ID10" s="1098">
        <v>8529</v>
      </c>
      <c r="IE10" s="1098">
        <v>11192</v>
      </c>
      <c r="IF10" s="1098">
        <v>10751</v>
      </c>
      <c r="IG10" s="1098">
        <v>10676</v>
      </c>
      <c r="IH10" s="1098">
        <v>10715</v>
      </c>
      <c r="II10" s="1098">
        <v>10426</v>
      </c>
      <c r="IJ10" s="1098">
        <v>8114</v>
      </c>
      <c r="IK10" s="1098">
        <v>7600</v>
      </c>
      <c r="IL10" s="1098">
        <v>8778</v>
      </c>
      <c r="IM10" s="1098">
        <v>9167</v>
      </c>
      <c r="IN10" s="1097">
        <f t="shared" si="23"/>
        <v>113721</v>
      </c>
      <c r="IO10" s="1098">
        <v>8759</v>
      </c>
      <c r="IP10" s="1098">
        <v>6208</v>
      </c>
      <c r="IQ10" s="1098">
        <v>7722</v>
      </c>
      <c r="IR10" s="1098">
        <v>9742</v>
      </c>
      <c r="IS10" s="1098">
        <v>9864</v>
      </c>
      <c r="IT10" s="1098">
        <v>11416</v>
      </c>
      <c r="IU10" s="1098">
        <v>10692</v>
      </c>
      <c r="IV10" s="1098">
        <v>10465</v>
      </c>
      <c r="IW10" s="1098">
        <v>9147</v>
      </c>
      <c r="IX10" s="1098">
        <v>5458</v>
      </c>
      <c r="IY10" s="1098">
        <v>9394</v>
      </c>
      <c r="IZ10" s="1098">
        <v>10348</v>
      </c>
      <c r="JA10" s="1097">
        <f t="shared" si="24"/>
        <v>109215</v>
      </c>
      <c r="JB10" s="1098">
        <v>10205</v>
      </c>
      <c r="JC10" s="1098">
        <v>7837</v>
      </c>
      <c r="JD10" s="1098">
        <v>7818</v>
      </c>
      <c r="JE10" s="1098">
        <v>8637</v>
      </c>
      <c r="JF10" s="1098">
        <v>8591</v>
      </c>
      <c r="JG10" s="1098">
        <v>8303</v>
      </c>
      <c r="JH10" s="1098"/>
      <c r="JI10" s="1098"/>
      <c r="JJ10" s="1098"/>
      <c r="JK10" s="1098"/>
      <c r="JL10" s="1098"/>
      <c r="JM10" s="1098"/>
      <c r="JN10" s="1097">
        <f t="shared" si="25"/>
        <v>51391</v>
      </c>
      <c r="JO10" s="1266"/>
      <c r="JP10" s="1137">
        <f>IFERROR(((
_xlfn.XLOOKUP((DATE(YEAR($JP$5),MONTH($JP$5),1)),$B$5:$JN$5,$B10:$JN10) /
_xlfn.XLOOKUP((DATE(YEAR($JP$5)-1,MONTH($JP$5),1)),$B$5:$JN$5,$B10:$JN10)
)-1)*100,"")</f>
        <v>-11.34264011496613</v>
      </c>
      <c r="JQ10" s="1138">
        <f>IFERROR(((JS10/JR10)-1)*100,"")</f>
        <v>6.3704480281212339</v>
      </c>
      <c r="JR10" s="1139">
        <f>SUMIFS(
  $B10:$JN10,
  $B$5:$JN$5,"&gt;="&amp;DATE(IF(MONTH($JP$5)&gt;=8,YEAR($JP$5)-1,YEAR($JP$5)-2),8,1),
  $B$5:$JN$5,"&lt;="&amp;DATE(IF(MONTH($JP$5)&gt;=8,YEAR($JP$5)-1,YEAR($JP$5)-1),MONTH($JP$5),1)
)</f>
        <v>32431</v>
      </c>
      <c r="JS10" s="1140">
        <f>SUMIFS(
  $B10:$JN10,
  $B$5:$JN$5,"&gt;="&amp;DATE(IF(MONTH($JP$5)&gt;=8,YEAR($JP$5),YEAR($JP$5)-1),8,1),
  $B$5:$JN$5,"&lt;="&amp;DATE(YEAR($JP$5),MONTH($JP$5),1)
)</f>
        <v>34497</v>
      </c>
      <c r="JU10" s="1079">
        <f t="shared" si="26"/>
        <v>3548772</v>
      </c>
      <c r="JV10" s="1080" t="s">
        <v>134</v>
      </c>
      <c r="JW10" s="1081" t="str">
        <f t="shared" si="27"/>
        <v>OK</v>
      </c>
    </row>
    <row r="11" spans="1:283" ht="15" customHeight="1" x14ac:dyDescent="0.2">
      <c r="A11" s="1261" t="s">
        <v>147</v>
      </c>
      <c r="B11" s="1098">
        <v>147</v>
      </c>
      <c r="C11" s="1098">
        <v>55</v>
      </c>
      <c r="D11" s="1098">
        <v>149</v>
      </c>
      <c r="E11" s="1098">
        <v>203</v>
      </c>
      <c r="F11" s="1098">
        <v>57</v>
      </c>
      <c r="G11" s="1098">
        <v>207</v>
      </c>
      <c r="H11" s="1098">
        <v>214</v>
      </c>
      <c r="I11" s="1098">
        <v>323</v>
      </c>
      <c r="J11" s="1098">
        <v>318</v>
      </c>
      <c r="K11" s="1098">
        <v>96</v>
      </c>
      <c r="L11" s="1098">
        <v>299</v>
      </c>
      <c r="M11" s="1098">
        <v>91</v>
      </c>
      <c r="N11" s="1097">
        <f t="shared" si="5"/>
        <v>2159</v>
      </c>
      <c r="O11" s="1098">
        <v>140</v>
      </c>
      <c r="P11" s="1098">
        <v>190</v>
      </c>
      <c r="Q11" s="1098">
        <v>693</v>
      </c>
      <c r="R11" s="1098">
        <v>256</v>
      </c>
      <c r="S11" s="1098">
        <v>266</v>
      </c>
      <c r="T11" s="1098">
        <v>459</v>
      </c>
      <c r="U11" s="1098">
        <v>915</v>
      </c>
      <c r="V11" s="1098">
        <v>791</v>
      </c>
      <c r="W11" s="1098">
        <v>552</v>
      </c>
      <c r="X11" s="1098">
        <v>752</v>
      </c>
      <c r="Y11" s="1098">
        <v>345</v>
      </c>
      <c r="Z11" s="1098">
        <v>184</v>
      </c>
      <c r="AA11" s="1097">
        <f t="shared" si="6"/>
        <v>5543</v>
      </c>
      <c r="AB11" s="1098">
        <v>115</v>
      </c>
      <c r="AC11" s="1098">
        <v>179</v>
      </c>
      <c r="AD11" s="1098">
        <v>647</v>
      </c>
      <c r="AE11" s="1098">
        <v>404</v>
      </c>
      <c r="AF11" s="1098">
        <v>295</v>
      </c>
      <c r="AG11" s="1098">
        <v>520</v>
      </c>
      <c r="AH11" s="1098">
        <v>194</v>
      </c>
      <c r="AI11" s="1098">
        <v>235</v>
      </c>
      <c r="AJ11" s="1098">
        <v>251</v>
      </c>
      <c r="AK11" s="1098">
        <v>246</v>
      </c>
      <c r="AL11" s="1098">
        <v>356</v>
      </c>
      <c r="AM11" s="1098">
        <v>284</v>
      </c>
      <c r="AN11" s="1097">
        <f t="shared" si="7"/>
        <v>3726</v>
      </c>
      <c r="AO11" s="1098">
        <v>228</v>
      </c>
      <c r="AP11" s="1098">
        <v>221</v>
      </c>
      <c r="AQ11" s="1098">
        <v>545</v>
      </c>
      <c r="AR11" s="1098">
        <v>547</v>
      </c>
      <c r="AS11" s="1098">
        <v>403</v>
      </c>
      <c r="AT11" s="1098">
        <v>587</v>
      </c>
      <c r="AU11" s="1098">
        <v>773</v>
      </c>
      <c r="AV11" s="1098">
        <v>1193</v>
      </c>
      <c r="AW11" s="1098">
        <v>647</v>
      </c>
      <c r="AX11" s="1098">
        <v>306</v>
      </c>
      <c r="AY11" s="1098">
        <v>278</v>
      </c>
      <c r="AZ11" s="1098">
        <v>275</v>
      </c>
      <c r="BA11" s="1097">
        <f t="shared" si="8"/>
        <v>6003</v>
      </c>
      <c r="BB11" s="1098">
        <v>572</v>
      </c>
      <c r="BC11" s="1098">
        <v>774</v>
      </c>
      <c r="BD11" s="1098">
        <v>530</v>
      </c>
      <c r="BE11" s="1098">
        <v>465</v>
      </c>
      <c r="BF11" s="1098">
        <v>362</v>
      </c>
      <c r="BG11" s="1098">
        <v>280</v>
      </c>
      <c r="BH11" s="1098">
        <v>380</v>
      </c>
      <c r="BI11" s="1098">
        <v>320</v>
      </c>
      <c r="BJ11" s="1098">
        <v>445</v>
      </c>
      <c r="BK11" s="1098">
        <v>350</v>
      </c>
      <c r="BL11" s="1098">
        <v>386</v>
      </c>
      <c r="BM11" s="1098">
        <v>268</v>
      </c>
      <c r="BN11" s="1097">
        <f t="shared" si="9"/>
        <v>5132</v>
      </c>
      <c r="BO11" s="1098">
        <v>177</v>
      </c>
      <c r="BP11" s="1098">
        <v>202</v>
      </c>
      <c r="BQ11" s="1098">
        <v>294</v>
      </c>
      <c r="BR11" s="1098">
        <v>383</v>
      </c>
      <c r="BS11" s="1098">
        <v>344</v>
      </c>
      <c r="BT11" s="1098">
        <v>274</v>
      </c>
      <c r="BU11" s="1098">
        <v>190</v>
      </c>
      <c r="BV11" s="1098">
        <v>231</v>
      </c>
      <c r="BW11" s="1098">
        <v>336</v>
      </c>
      <c r="BX11" s="1098">
        <v>727</v>
      </c>
      <c r="BY11" s="1098">
        <v>648</v>
      </c>
      <c r="BZ11" s="1098">
        <v>455</v>
      </c>
      <c r="CA11" s="1097">
        <f t="shared" si="10"/>
        <v>4261</v>
      </c>
      <c r="CB11" s="1098">
        <v>374</v>
      </c>
      <c r="CC11" s="1098">
        <v>441</v>
      </c>
      <c r="CD11" s="1098">
        <v>439</v>
      </c>
      <c r="CE11" s="1098">
        <v>482</v>
      </c>
      <c r="CF11" s="1098">
        <v>381</v>
      </c>
      <c r="CG11" s="1098">
        <v>358</v>
      </c>
      <c r="CH11" s="1098">
        <v>453</v>
      </c>
      <c r="CI11" s="1098">
        <v>262</v>
      </c>
      <c r="CJ11" s="1098">
        <v>285</v>
      </c>
      <c r="CK11" s="1098">
        <v>288</v>
      </c>
      <c r="CL11" s="1098">
        <v>250</v>
      </c>
      <c r="CM11" s="1098">
        <v>423</v>
      </c>
      <c r="CN11" s="1097">
        <f t="shared" si="11"/>
        <v>4436</v>
      </c>
      <c r="CO11" s="1098">
        <v>248</v>
      </c>
      <c r="CP11" s="1098">
        <v>498</v>
      </c>
      <c r="CQ11" s="1098">
        <v>558</v>
      </c>
      <c r="CR11" s="1098">
        <v>296</v>
      </c>
      <c r="CS11" s="1098">
        <v>190</v>
      </c>
      <c r="CT11" s="1098">
        <v>338</v>
      </c>
      <c r="CU11" s="1098">
        <v>322</v>
      </c>
      <c r="CV11" s="1098">
        <v>303</v>
      </c>
      <c r="CW11" s="1098">
        <v>254</v>
      </c>
      <c r="CX11" s="1098">
        <v>229</v>
      </c>
      <c r="CY11" s="1098">
        <v>210</v>
      </c>
      <c r="CZ11" s="1098">
        <v>211</v>
      </c>
      <c r="DA11" s="1097">
        <f t="shared" si="12"/>
        <v>3657</v>
      </c>
      <c r="DB11" s="1098">
        <v>192</v>
      </c>
      <c r="DC11" s="1098">
        <v>224</v>
      </c>
      <c r="DD11" s="1098">
        <v>298</v>
      </c>
      <c r="DE11" s="1098">
        <v>238</v>
      </c>
      <c r="DF11" s="1098">
        <v>172</v>
      </c>
      <c r="DG11" s="1098">
        <v>328</v>
      </c>
      <c r="DH11" s="1098">
        <v>400</v>
      </c>
      <c r="DI11" s="1098">
        <v>319</v>
      </c>
      <c r="DJ11" s="1098">
        <v>401</v>
      </c>
      <c r="DK11" s="1098">
        <v>523</v>
      </c>
      <c r="DL11" s="1098">
        <v>524</v>
      </c>
      <c r="DM11" s="1098">
        <v>61</v>
      </c>
      <c r="DN11" s="1097">
        <f t="shared" si="13"/>
        <v>3680</v>
      </c>
      <c r="DO11" s="1098">
        <v>121</v>
      </c>
      <c r="DP11" s="1098">
        <v>47</v>
      </c>
      <c r="DQ11" s="1098">
        <v>1</v>
      </c>
      <c r="DR11" s="1098">
        <v>2</v>
      </c>
      <c r="DS11" s="1098">
        <v>1</v>
      </c>
      <c r="DT11" s="1098">
        <v>1</v>
      </c>
      <c r="DU11" s="1098"/>
      <c r="DV11" s="1098">
        <v>1</v>
      </c>
      <c r="DW11" s="1098">
        <v>90</v>
      </c>
      <c r="DX11" s="1098">
        <v>203</v>
      </c>
      <c r="DY11" s="1098">
        <v>266</v>
      </c>
      <c r="DZ11" s="1098">
        <v>4</v>
      </c>
      <c r="EA11" s="1097">
        <f t="shared" si="14"/>
        <v>737</v>
      </c>
      <c r="EB11" s="1098">
        <v>217</v>
      </c>
      <c r="EC11" s="1098">
        <v>202</v>
      </c>
      <c r="ED11" s="1098">
        <v>250</v>
      </c>
      <c r="EE11" s="1098">
        <v>331</v>
      </c>
      <c r="EF11" s="1098">
        <v>207</v>
      </c>
      <c r="EG11" s="1098">
        <v>188</v>
      </c>
      <c r="EH11" s="1098">
        <v>789</v>
      </c>
      <c r="EI11" s="1098">
        <v>968</v>
      </c>
      <c r="EJ11" s="1098">
        <v>1201</v>
      </c>
      <c r="EK11" s="1098">
        <v>1296</v>
      </c>
      <c r="EL11" s="1098">
        <v>604</v>
      </c>
      <c r="EM11" s="1098">
        <v>240</v>
      </c>
      <c r="EN11" s="1097">
        <f t="shared" si="15"/>
        <v>6493</v>
      </c>
      <c r="EO11" s="1098">
        <v>230</v>
      </c>
      <c r="EP11" s="1098">
        <v>228</v>
      </c>
      <c r="EQ11" s="1098">
        <v>304</v>
      </c>
      <c r="ER11" s="1098">
        <v>402</v>
      </c>
      <c r="ES11" s="1098">
        <v>315</v>
      </c>
      <c r="ET11" s="1098">
        <v>350</v>
      </c>
      <c r="EU11" s="1098">
        <v>654</v>
      </c>
      <c r="EV11" s="1098">
        <v>787</v>
      </c>
      <c r="EW11" s="1098">
        <v>601</v>
      </c>
      <c r="EX11" s="1098">
        <v>701</v>
      </c>
      <c r="EY11" s="1098">
        <v>288</v>
      </c>
      <c r="EZ11" s="1098">
        <v>79</v>
      </c>
      <c r="FA11" s="1097">
        <f t="shared" si="16"/>
        <v>4939</v>
      </c>
      <c r="FB11" s="1098">
        <v>120</v>
      </c>
      <c r="FC11" s="1098">
        <v>123</v>
      </c>
      <c r="FD11" s="1098">
        <v>168</v>
      </c>
      <c r="FE11" s="1098">
        <v>335</v>
      </c>
      <c r="FF11" s="1098">
        <v>865</v>
      </c>
      <c r="FG11" s="1098">
        <v>135</v>
      </c>
      <c r="FH11" s="1098">
        <v>185</v>
      </c>
      <c r="FI11" s="1098">
        <v>226</v>
      </c>
      <c r="FJ11" s="1098">
        <v>154</v>
      </c>
      <c r="FK11" s="1098">
        <v>183</v>
      </c>
      <c r="FL11" s="1098">
        <v>80</v>
      </c>
      <c r="FM11" s="1098">
        <v>77</v>
      </c>
      <c r="FN11" s="1097">
        <f t="shared" si="17"/>
        <v>2651</v>
      </c>
      <c r="FO11" s="1098">
        <v>49</v>
      </c>
      <c r="FP11" s="1098">
        <v>75</v>
      </c>
      <c r="FQ11" s="1098">
        <v>190</v>
      </c>
      <c r="FR11" s="1098">
        <v>195</v>
      </c>
      <c r="FS11" s="1098">
        <v>129</v>
      </c>
      <c r="FT11" s="1098">
        <v>206</v>
      </c>
      <c r="FU11" s="1098">
        <v>233</v>
      </c>
      <c r="FV11" s="1098">
        <v>187</v>
      </c>
      <c r="FW11" s="1098">
        <v>166</v>
      </c>
      <c r="FX11" s="1098">
        <v>106</v>
      </c>
      <c r="FY11" s="1098">
        <v>67</v>
      </c>
      <c r="FZ11" s="1098">
        <v>57</v>
      </c>
      <c r="GA11" s="1097">
        <f t="shared" si="18"/>
        <v>1660</v>
      </c>
      <c r="GB11" s="1098">
        <v>78</v>
      </c>
      <c r="GC11" s="1098">
        <v>59</v>
      </c>
      <c r="GD11" s="1098">
        <v>87</v>
      </c>
      <c r="GE11" s="1098">
        <v>135</v>
      </c>
      <c r="GF11" s="1098">
        <v>153</v>
      </c>
      <c r="GG11" s="1098">
        <v>243</v>
      </c>
      <c r="GH11" s="1098">
        <v>363</v>
      </c>
      <c r="GI11" s="1098">
        <v>183</v>
      </c>
      <c r="GJ11" s="1098">
        <v>146</v>
      </c>
      <c r="GK11" s="1098">
        <v>130</v>
      </c>
      <c r="GL11" s="1098">
        <v>72</v>
      </c>
      <c r="GM11" s="1098">
        <v>62</v>
      </c>
      <c r="GN11" s="1097">
        <f t="shared" si="19"/>
        <v>1711</v>
      </c>
      <c r="GO11" s="1098">
        <v>89</v>
      </c>
      <c r="GP11" s="1098">
        <v>49</v>
      </c>
      <c r="GQ11" s="1098">
        <v>141</v>
      </c>
      <c r="GR11" s="1098">
        <v>131</v>
      </c>
      <c r="GS11" s="1098">
        <v>82</v>
      </c>
      <c r="GT11" s="1098">
        <v>249</v>
      </c>
      <c r="GU11" s="1098">
        <v>233</v>
      </c>
      <c r="GV11" s="1098">
        <v>259</v>
      </c>
      <c r="GW11" s="1098">
        <v>223</v>
      </c>
      <c r="GX11" s="1098">
        <v>144</v>
      </c>
      <c r="GY11" s="1098">
        <v>75</v>
      </c>
      <c r="GZ11" s="1098">
        <v>77</v>
      </c>
      <c r="HA11" s="1097">
        <f t="shared" si="20"/>
        <v>1752</v>
      </c>
      <c r="HB11" s="1098">
        <v>103</v>
      </c>
      <c r="HC11" s="1098">
        <v>145</v>
      </c>
      <c r="HD11" s="1098">
        <v>127</v>
      </c>
      <c r="HE11" s="1098">
        <v>178</v>
      </c>
      <c r="HF11" s="1098">
        <v>63</v>
      </c>
      <c r="HG11" s="1098">
        <v>112</v>
      </c>
      <c r="HH11" s="1098">
        <v>196</v>
      </c>
      <c r="HI11" s="1098">
        <v>249</v>
      </c>
      <c r="HJ11" s="1098">
        <v>164.5</v>
      </c>
      <c r="HK11" s="1098">
        <v>109</v>
      </c>
      <c r="HL11" s="1098">
        <v>59</v>
      </c>
      <c r="HM11" s="1098">
        <v>55</v>
      </c>
      <c r="HN11" s="1097">
        <f t="shared" si="21"/>
        <v>1560.5</v>
      </c>
      <c r="HO11" s="1098">
        <v>63</v>
      </c>
      <c r="HP11" s="1098">
        <v>63</v>
      </c>
      <c r="HQ11" s="1098">
        <v>102</v>
      </c>
      <c r="HR11" s="1098">
        <v>59</v>
      </c>
      <c r="HS11" s="1098">
        <v>46</v>
      </c>
      <c r="HT11" s="1098">
        <v>87</v>
      </c>
      <c r="HU11" s="1098">
        <v>120</v>
      </c>
      <c r="HV11" s="1098">
        <v>159</v>
      </c>
      <c r="HW11" s="1098">
        <v>229</v>
      </c>
      <c r="HX11" s="1098">
        <v>260</v>
      </c>
      <c r="HY11" s="1098">
        <v>250</v>
      </c>
      <c r="HZ11" s="1098">
        <v>240</v>
      </c>
      <c r="IA11" s="1097">
        <f t="shared" si="22"/>
        <v>1678</v>
      </c>
      <c r="IB11" s="1098">
        <v>240</v>
      </c>
      <c r="IC11" s="1098">
        <v>92</v>
      </c>
      <c r="ID11" s="1098">
        <v>92</v>
      </c>
      <c r="IE11" s="1098">
        <v>57</v>
      </c>
      <c r="IF11" s="1098">
        <v>90</v>
      </c>
      <c r="IG11" s="1098">
        <v>38</v>
      </c>
      <c r="IH11" s="1098">
        <v>32</v>
      </c>
      <c r="II11" s="1098">
        <v>56</v>
      </c>
      <c r="IJ11" s="1098">
        <v>46</v>
      </c>
      <c r="IK11" s="1098">
        <v>18</v>
      </c>
      <c r="IL11" s="1098">
        <v>30.5</v>
      </c>
      <c r="IM11" s="1098">
        <v>18</v>
      </c>
      <c r="IN11" s="1097">
        <f t="shared" si="23"/>
        <v>809.5</v>
      </c>
      <c r="IO11" s="1098"/>
      <c r="IP11" s="1098"/>
      <c r="IQ11" s="1098">
        <v>51</v>
      </c>
      <c r="IR11" s="1098">
        <v>652</v>
      </c>
      <c r="IS11" s="1098">
        <v>52</v>
      </c>
      <c r="IT11" s="1098">
        <v>101</v>
      </c>
      <c r="IU11" s="1098">
        <v>124</v>
      </c>
      <c r="IV11" s="1098">
        <v>236</v>
      </c>
      <c r="IW11" s="1098">
        <v>238</v>
      </c>
      <c r="IX11" s="1098">
        <v>345</v>
      </c>
      <c r="IY11" s="1098">
        <v>184</v>
      </c>
      <c r="IZ11" s="1098">
        <v>125</v>
      </c>
      <c r="JA11" s="1097">
        <f t="shared" si="24"/>
        <v>2108</v>
      </c>
      <c r="JB11" s="1098">
        <v>269</v>
      </c>
      <c r="JC11" s="1098">
        <v>213</v>
      </c>
      <c r="JD11" s="1098">
        <v>224</v>
      </c>
      <c r="JE11" s="1098">
        <v>364</v>
      </c>
      <c r="JF11" s="1098">
        <v>314</v>
      </c>
      <c r="JG11" s="1098">
        <v>131</v>
      </c>
      <c r="JH11" s="1098"/>
      <c r="JI11" s="1098"/>
      <c r="JJ11" s="1098"/>
      <c r="JK11" s="1098"/>
      <c r="JL11" s="1098"/>
      <c r="JM11" s="1098"/>
      <c r="JN11" s="1097">
        <f t="shared" si="25"/>
        <v>1515</v>
      </c>
      <c r="JO11" s="1266"/>
      <c r="JP11" s="1116">
        <f>IFERROR(((
_xlfn.XLOOKUP((DATE(YEAR($JP$5),MONTH($JP$5),1)),$B$5:$JN$5,$B11:$JN11) /
_xlfn.XLOOKUP((DATE(YEAR($JP$5)-1,MONTH($JP$5),1)),$B$5:$JN$5,$B11:$JN11)
)-1)*100,"")</f>
        <v>-44.171779141104295</v>
      </c>
      <c r="JQ11" s="1117">
        <f>IFERROR(((JS11/JR11)-1)*100,"")</f>
        <v>52.204836415362735</v>
      </c>
      <c r="JR11" s="1079">
        <f>SUMIFS(
  $B11:$JN11,
  $B$5:$JN$5,"&gt;="&amp;DATE(IF(MONTH($JP$5)&gt;=8,YEAR($JP$5)-1,YEAR($JP$5)-2),8,1),
  $B$5:$JN$5,"&lt;="&amp;DATE(IF(MONTH($JP$5)&gt;=8,YEAR($JP$5)-1,YEAR($JP$5)-1),MONTH($JP$5),1)
)</f>
        <v>703</v>
      </c>
      <c r="JS11" s="1118">
        <f>SUMIFS(
  $B11:$JN11,
  $B$5:$JN$5,"&gt;="&amp;DATE(IF(MONTH($JP$5)&gt;=8,YEAR($JP$5),YEAR($JP$5)-1),8,1),
  $B$5:$JN$5,"&lt;="&amp;DATE(YEAR($JP$5),MONTH($JP$5),1)
)</f>
        <v>1070</v>
      </c>
      <c r="JU11" s="1079">
        <f t="shared" si="26"/>
        <v>128104</v>
      </c>
      <c r="JV11" s="1080" t="s">
        <v>147</v>
      </c>
      <c r="JW11" s="1081" t="str">
        <f t="shared" si="27"/>
        <v>OK</v>
      </c>
    </row>
    <row r="12" spans="1:283" ht="15" customHeight="1" x14ac:dyDescent="0.2">
      <c r="A12" s="1261" t="s">
        <v>148</v>
      </c>
      <c r="B12" s="1098">
        <v>5</v>
      </c>
      <c r="C12" s="1098">
        <v>12</v>
      </c>
      <c r="D12" s="1098">
        <v>120</v>
      </c>
      <c r="E12" s="1098">
        <v>132</v>
      </c>
      <c r="F12" s="1098">
        <v>31</v>
      </c>
      <c r="G12" s="1098">
        <v>47</v>
      </c>
      <c r="H12" s="1098">
        <v>259</v>
      </c>
      <c r="I12" s="1098">
        <v>357</v>
      </c>
      <c r="J12" s="1098">
        <v>202</v>
      </c>
      <c r="K12" s="1098">
        <v>25</v>
      </c>
      <c r="L12" s="1098">
        <v>48</v>
      </c>
      <c r="M12" s="1098">
        <v>15</v>
      </c>
      <c r="N12" s="1097">
        <f t="shared" si="5"/>
        <v>1253</v>
      </c>
      <c r="O12" s="1098">
        <v>200</v>
      </c>
      <c r="P12" s="1098">
        <v>154</v>
      </c>
      <c r="Q12" s="1098">
        <v>534</v>
      </c>
      <c r="R12" s="1098">
        <v>420</v>
      </c>
      <c r="S12" s="1098">
        <v>198</v>
      </c>
      <c r="T12" s="1098">
        <v>323</v>
      </c>
      <c r="U12" s="1098">
        <v>236</v>
      </c>
      <c r="V12" s="1098">
        <v>810</v>
      </c>
      <c r="W12" s="1098">
        <v>875</v>
      </c>
      <c r="X12" s="1098">
        <v>1025</v>
      </c>
      <c r="Y12" s="1098">
        <v>192</v>
      </c>
      <c r="Z12" s="1098">
        <v>172</v>
      </c>
      <c r="AA12" s="1097">
        <f t="shared" si="6"/>
        <v>5139</v>
      </c>
      <c r="AB12" s="1098">
        <v>128</v>
      </c>
      <c r="AC12" s="1098">
        <v>150</v>
      </c>
      <c r="AD12" s="1098">
        <v>630</v>
      </c>
      <c r="AE12" s="1098">
        <v>464</v>
      </c>
      <c r="AF12" s="1098">
        <v>497</v>
      </c>
      <c r="AG12" s="1098">
        <v>522</v>
      </c>
      <c r="AH12" s="1098">
        <v>871</v>
      </c>
      <c r="AI12" s="1098">
        <v>603</v>
      </c>
      <c r="AJ12" s="1098">
        <v>290</v>
      </c>
      <c r="AK12" s="1098">
        <v>460</v>
      </c>
      <c r="AL12" s="1098">
        <v>2010</v>
      </c>
      <c r="AM12" s="1098">
        <v>147</v>
      </c>
      <c r="AN12" s="1097">
        <f t="shared" si="7"/>
        <v>6772</v>
      </c>
      <c r="AO12" s="1098">
        <v>2810</v>
      </c>
      <c r="AP12" s="1098">
        <v>89</v>
      </c>
      <c r="AQ12" s="1098">
        <v>440</v>
      </c>
      <c r="AR12" s="1098">
        <v>337</v>
      </c>
      <c r="AS12" s="1098">
        <v>154</v>
      </c>
      <c r="AT12" s="1098">
        <v>294</v>
      </c>
      <c r="AU12" s="1098">
        <v>383</v>
      </c>
      <c r="AV12" s="1098">
        <v>522</v>
      </c>
      <c r="AW12" s="1098">
        <v>620</v>
      </c>
      <c r="AX12" s="1098">
        <v>460</v>
      </c>
      <c r="AY12" s="1098">
        <v>223</v>
      </c>
      <c r="AZ12" s="1098">
        <v>61</v>
      </c>
      <c r="BA12" s="1097">
        <f t="shared" si="8"/>
        <v>6393</v>
      </c>
      <c r="BB12" s="1098">
        <v>201</v>
      </c>
      <c r="BC12" s="1098">
        <v>215</v>
      </c>
      <c r="BD12" s="1098">
        <v>332</v>
      </c>
      <c r="BE12" s="1098">
        <v>329</v>
      </c>
      <c r="BF12" s="1098">
        <v>249</v>
      </c>
      <c r="BG12" s="1098">
        <v>175</v>
      </c>
      <c r="BH12" s="1098">
        <v>302</v>
      </c>
      <c r="BI12" s="1098">
        <v>286</v>
      </c>
      <c r="BJ12" s="1098">
        <v>453</v>
      </c>
      <c r="BK12" s="1098">
        <v>412</v>
      </c>
      <c r="BL12" s="1098">
        <v>167</v>
      </c>
      <c r="BM12" s="1098">
        <v>213</v>
      </c>
      <c r="BN12" s="1097">
        <f t="shared" si="9"/>
        <v>3334</v>
      </c>
      <c r="BO12" s="1098">
        <v>1719</v>
      </c>
      <c r="BP12" s="1098">
        <v>1664</v>
      </c>
      <c r="BQ12" s="1098">
        <v>227</v>
      </c>
      <c r="BR12" s="1098">
        <v>321</v>
      </c>
      <c r="BS12" s="1098">
        <v>238</v>
      </c>
      <c r="BT12" s="1098">
        <v>805</v>
      </c>
      <c r="BU12" s="1098">
        <v>2180</v>
      </c>
      <c r="BV12" s="1098">
        <v>2166</v>
      </c>
      <c r="BW12" s="1098">
        <v>2894</v>
      </c>
      <c r="BX12" s="1098">
        <v>3040</v>
      </c>
      <c r="BY12" s="1098">
        <v>636</v>
      </c>
      <c r="BZ12" s="1098">
        <v>478</v>
      </c>
      <c r="CA12" s="1097">
        <f t="shared" si="10"/>
        <v>16368</v>
      </c>
      <c r="CB12" s="1098">
        <v>2557</v>
      </c>
      <c r="CC12" s="1098">
        <v>2730</v>
      </c>
      <c r="CD12" s="1098">
        <v>349</v>
      </c>
      <c r="CE12" s="1098">
        <v>389</v>
      </c>
      <c r="CF12" s="1098">
        <v>303</v>
      </c>
      <c r="CG12" s="1098">
        <v>780</v>
      </c>
      <c r="CH12" s="1098">
        <v>2520</v>
      </c>
      <c r="CI12" s="1098">
        <v>1929</v>
      </c>
      <c r="CJ12" s="1098">
        <v>2215</v>
      </c>
      <c r="CK12" s="1098">
        <v>235</v>
      </c>
      <c r="CL12" s="1098">
        <v>479</v>
      </c>
      <c r="CM12" s="1098">
        <v>327</v>
      </c>
      <c r="CN12" s="1097">
        <f t="shared" si="11"/>
        <v>14813</v>
      </c>
      <c r="CO12" s="1098">
        <v>127</v>
      </c>
      <c r="CP12" s="1098">
        <v>1389</v>
      </c>
      <c r="CQ12" s="1098">
        <v>1425</v>
      </c>
      <c r="CR12" s="1098">
        <v>266</v>
      </c>
      <c r="CS12" s="1098">
        <v>747</v>
      </c>
      <c r="CT12" s="1098">
        <v>609</v>
      </c>
      <c r="CU12" s="1098">
        <v>799</v>
      </c>
      <c r="CV12" s="1098">
        <v>1051</v>
      </c>
      <c r="CW12" s="1098">
        <v>184</v>
      </c>
      <c r="CX12" s="1098">
        <v>312</v>
      </c>
      <c r="CY12" s="1098">
        <v>139</v>
      </c>
      <c r="CZ12" s="1098">
        <v>88</v>
      </c>
      <c r="DA12" s="1097">
        <f t="shared" si="12"/>
        <v>7136</v>
      </c>
      <c r="DB12" s="1098">
        <v>244</v>
      </c>
      <c r="DC12" s="1098">
        <v>52</v>
      </c>
      <c r="DD12" s="1098">
        <v>371</v>
      </c>
      <c r="DE12" s="1098">
        <v>192</v>
      </c>
      <c r="DF12" s="1098">
        <v>110</v>
      </c>
      <c r="DG12" s="1098">
        <v>370</v>
      </c>
      <c r="DH12" s="1098">
        <v>366</v>
      </c>
      <c r="DI12" s="1098">
        <v>489</v>
      </c>
      <c r="DJ12" s="1098">
        <v>501</v>
      </c>
      <c r="DK12" s="1098">
        <v>361</v>
      </c>
      <c r="DL12" s="1098">
        <v>198</v>
      </c>
      <c r="DM12" s="1098"/>
      <c r="DN12" s="1097">
        <f t="shared" si="13"/>
        <v>3254</v>
      </c>
      <c r="DO12" s="1098"/>
      <c r="DP12" s="1098"/>
      <c r="DQ12" s="1098"/>
      <c r="DR12" s="1098"/>
      <c r="DS12" s="1098"/>
      <c r="DT12" s="1098"/>
      <c r="DU12" s="1098"/>
      <c r="DV12" s="1098"/>
      <c r="DW12" s="1098"/>
      <c r="DX12" s="1098"/>
      <c r="DY12" s="1098">
        <v>188</v>
      </c>
      <c r="DZ12" s="1098"/>
      <c r="EA12" s="1097">
        <f t="shared" si="14"/>
        <v>188</v>
      </c>
      <c r="EB12" s="1098">
        <v>139</v>
      </c>
      <c r="EC12" s="1098">
        <v>125</v>
      </c>
      <c r="ED12" s="1098">
        <v>162</v>
      </c>
      <c r="EE12" s="1098">
        <v>170</v>
      </c>
      <c r="EF12" s="1098">
        <v>190</v>
      </c>
      <c r="EG12" s="1098">
        <v>615</v>
      </c>
      <c r="EH12" s="1098">
        <v>316</v>
      </c>
      <c r="EI12" s="1098">
        <v>339</v>
      </c>
      <c r="EJ12" s="1098">
        <v>325</v>
      </c>
      <c r="EK12" s="1098">
        <v>237</v>
      </c>
      <c r="EL12" s="1098">
        <v>212</v>
      </c>
      <c r="EM12" s="1098">
        <v>162</v>
      </c>
      <c r="EN12" s="1097">
        <f t="shared" si="15"/>
        <v>2992</v>
      </c>
      <c r="EO12" s="1098">
        <v>172</v>
      </c>
      <c r="EP12" s="1098">
        <v>203</v>
      </c>
      <c r="EQ12" s="1098">
        <v>214</v>
      </c>
      <c r="ER12" s="1098">
        <v>200</v>
      </c>
      <c r="ES12" s="1098">
        <v>778</v>
      </c>
      <c r="ET12" s="1098">
        <v>393</v>
      </c>
      <c r="EU12" s="1098">
        <v>269</v>
      </c>
      <c r="EV12" s="1098">
        <v>245</v>
      </c>
      <c r="EW12" s="1098">
        <v>292</v>
      </c>
      <c r="EX12" s="1098">
        <v>102</v>
      </c>
      <c r="EY12" s="1098">
        <v>86</v>
      </c>
      <c r="EZ12" s="1098">
        <v>47</v>
      </c>
      <c r="FA12" s="1097">
        <f t="shared" si="16"/>
        <v>3001</v>
      </c>
      <c r="FB12" s="1098">
        <v>83</v>
      </c>
      <c r="FC12" s="1098">
        <v>86</v>
      </c>
      <c r="FD12" s="1098">
        <v>229</v>
      </c>
      <c r="FE12" s="1098">
        <v>205</v>
      </c>
      <c r="FF12" s="1098">
        <v>326</v>
      </c>
      <c r="FG12" s="1098">
        <v>314</v>
      </c>
      <c r="FH12" s="1098">
        <v>585</v>
      </c>
      <c r="FI12" s="1098">
        <v>398</v>
      </c>
      <c r="FJ12" s="1098">
        <v>344</v>
      </c>
      <c r="FK12" s="1098">
        <v>234</v>
      </c>
      <c r="FL12" s="1098">
        <v>136</v>
      </c>
      <c r="FM12" s="1098">
        <v>60</v>
      </c>
      <c r="FN12" s="1097">
        <f t="shared" si="17"/>
        <v>3000</v>
      </c>
      <c r="FO12" s="1098">
        <v>293</v>
      </c>
      <c r="FP12" s="1098">
        <v>5</v>
      </c>
      <c r="FQ12" s="1098">
        <v>70</v>
      </c>
      <c r="FR12" s="1098">
        <v>137</v>
      </c>
      <c r="FS12" s="1098">
        <v>196</v>
      </c>
      <c r="FT12" s="1098">
        <v>411</v>
      </c>
      <c r="FU12" s="1098">
        <v>283</v>
      </c>
      <c r="FV12" s="1098">
        <v>440</v>
      </c>
      <c r="FW12" s="1098">
        <v>327</v>
      </c>
      <c r="FX12" s="1098">
        <v>207</v>
      </c>
      <c r="FY12" s="1098">
        <v>99</v>
      </c>
      <c r="FZ12" s="1098">
        <v>67</v>
      </c>
      <c r="GA12" s="1097">
        <f t="shared" si="18"/>
        <v>2535</v>
      </c>
      <c r="GB12" s="1098">
        <v>57</v>
      </c>
      <c r="GC12" s="1098">
        <v>37</v>
      </c>
      <c r="GD12" s="1098">
        <v>118</v>
      </c>
      <c r="GE12" s="1098">
        <v>71</v>
      </c>
      <c r="GF12" s="1098">
        <v>60</v>
      </c>
      <c r="GG12" s="1098">
        <v>316</v>
      </c>
      <c r="GH12" s="1098">
        <v>219</v>
      </c>
      <c r="GI12" s="1098">
        <v>214</v>
      </c>
      <c r="GJ12" s="1098">
        <v>125</v>
      </c>
      <c r="GK12" s="1098">
        <v>136</v>
      </c>
      <c r="GL12" s="1098">
        <v>69</v>
      </c>
      <c r="GM12" s="1098">
        <v>20</v>
      </c>
      <c r="GN12" s="1097">
        <f t="shared" si="19"/>
        <v>1442</v>
      </c>
      <c r="GO12" s="1098">
        <v>59</v>
      </c>
      <c r="GP12" s="1098">
        <v>82</v>
      </c>
      <c r="GQ12" s="1098">
        <v>110</v>
      </c>
      <c r="GR12" s="1098">
        <v>83</v>
      </c>
      <c r="GS12" s="1098">
        <v>59</v>
      </c>
      <c r="GT12" s="1098">
        <v>197</v>
      </c>
      <c r="GU12" s="1098">
        <v>248</v>
      </c>
      <c r="GV12" s="1098">
        <v>306</v>
      </c>
      <c r="GW12" s="1098">
        <v>350</v>
      </c>
      <c r="GX12" s="1098">
        <v>155</v>
      </c>
      <c r="GY12" s="1098">
        <v>96</v>
      </c>
      <c r="GZ12" s="1098">
        <v>98</v>
      </c>
      <c r="HA12" s="1097">
        <f t="shared" si="20"/>
        <v>1843</v>
      </c>
      <c r="HB12" s="1098">
        <v>36</v>
      </c>
      <c r="HC12" s="1098">
        <v>90</v>
      </c>
      <c r="HD12" s="1098">
        <v>102</v>
      </c>
      <c r="HE12" s="1098">
        <v>103</v>
      </c>
      <c r="HF12" s="1098">
        <v>3</v>
      </c>
      <c r="HG12" s="1098">
        <v>56</v>
      </c>
      <c r="HH12" s="1098">
        <v>220</v>
      </c>
      <c r="HI12" s="1098">
        <v>200</v>
      </c>
      <c r="HJ12" s="1098">
        <v>137</v>
      </c>
      <c r="HK12" s="1098">
        <v>79</v>
      </c>
      <c r="HL12" s="1098">
        <v>59</v>
      </c>
      <c r="HM12" s="1098">
        <v>52</v>
      </c>
      <c r="HN12" s="1097">
        <f t="shared" si="21"/>
        <v>1137</v>
      </c>
      <c r="HO12" s="1098">
        <v>76</v>
      </c>
      <c r="HP12" s="1098">
        <v>119</v>
      </c>
      <c r="HQ12" s="1098">
        <v>127</v>
      </c>
      <c r="HR12" s="1098">
        <v>59</v>
      </c>
      <c r="HS12" s="1098">
        <v>118</v>
      </c>
      <c r="HT12" s="1098">
        <v>185</v>
      </c>
      <c r="HU12" s="1098">
        <v>141</v>
      </c>
      <c r="HV12" s="1098">
        <v>148</v>
      </c>
      <c r="HW12" s="1098">
        <v>111</v>
      </c>
      <c r="HX12" s="1098">
        <v>125</v>
      </c>
      <c r="HY12" s="1098">
        <v>130</v>
      </c>
      <c r="HZ12" s="1098">
        <v>128</v>
      </c>
      <c r="IA12" s="1097">
        <f t="shared" si="22"/>
        <v>1467</v>
      </c>
      <c r="IB12" s="1098">
        <v>148</v>
      </c>
      <c r="IC12" s="1098">
        <v>125</v>
      </c>
      <c r="ID12" s="1098">
        <v>125</v>
      </c>
      <c r="IE12" s="1098">
        <v>130</v>
      </c>
      <c r="IF12" s="1098">
        <v>128</v>
      </c>
      <c r="IG12" s="1098">
        <v>50</v>
      </c>
      <c r="IH12" s="1098">
        <v>4</v>
      </c>
      <c r="II12" s="1098">
        <v>11</v>
      </c>
      <c r="IJ12" s="1098">
        <v>15</v>
      </c>
      <c r="IK12" s="1098">
        <v>15</v>
      </c>
      <c r="IL12" s="1098">
        <v>21</v>
      </c>
      <c r="IM12" s="1098">
        <v>12</v>
      </c>
      <c r="IN12" s="1097">
        <f t="shared" si="23"/>
        <v>784</v>
      </c>
      <c r="IO12" s="1098">
        <v>10</v>
      </c>
      <c r="IP12" s="1098"/>
      <c r="IQ12" s="1098">
        <v>2</v>
      </c>
      <c r="IR12" s="1098"/>
      <c r="IS12" s="1098"/>
      <c r="IT12" s="1098">
        <v>52</v>
      </c>
      <c r="IU12" s="1098">
        <v>22</v>
      </c>
      <c r="IV12" s="1098">
        <v>54</v>
      </c>
      <c r="IW12" s="1098">
        <v>89</v>
      </c>
      <c r="IX12" s="1098">
        <v>17</v>
      </c>
      <c r="IY12" s="1098">
        <v>9</v>
      </c>
      <c r="IZ12" s="1098"/>
      <c r="JA12" s="1097">
        <f t="shared" si="24"/>
        <v>255</v>
      </c>
      <c r="JB12" s="1098">
        <v>64</v>
      </c>
      <c r="JC12" s="1098">
        <v>113.75</v>
      </c>
      <c r="JD12" s="1098">
        <v>117.75</v>
      </c>
      <c r="JE12" s="1098">
        <v>27</v>
      </c>
      <c r="JF12" s="1098"/>
      <c r="JG12" s="1098">
        <v>87</v>
      </c>
      <c r="JH12" s="1098"/>
      <c r="JI12" s="1098"/>
      <c r="JJ12" s="1098"/>
      <c r="JK12" s="1098"/>
      <c r="JL12" s="1098"/>
      <c r="JM12" s="1098"/>
      <c r="JN12" s="1097">
        <f t="shared" si="25"/>
        <v>409.5</v>
      </c>
      <c r="JO12" s="1266"/>
      <c r="JP12" s="1116" t="str">
        <f>IFERROR(((
_xlfn.XLOOKUP((DATE(YEAR($JP$5),MONTH($JP$5),1)),$B$5:$JN$5,$B12:$JN12) /
_xlfn.XLOOKUP((DATE(YEAR($JP$5)-1,MONTH($JP$5),1)),$B$5:$JN$5,$B12:$JN12)
)-1)*100,"")</f>
        <v/>
      </c>
      <c r="JQ12" s="1117">
        <f>IFERROR(((JS12/JR12)-1)*100,"")</f>
        <v>2587.5</v>
      </c>
      <c r="JR12" s="1079">
        <f>SUMIFS(
  $B12:$JN12,
  $B$5:$JN$5,"&gt;="&amp;DATE(IF(MONTH($JP$5)&gt;=8,YEAR($JP$5)-1,YEAR($JP$5)-2),8,1),
  $B$5:$JN$5,"&lt;="&amp;DATE(IF(MONTH($JP$5)&gt;=8,YEAR($JP$5)-1,YEAR($JP$5)-1),MONTH($JP$5),1)
)</f>
        <v>12</v>
      </c>
      <c r="JS12" s="1118">
        <f>SUMIFS(
  $B12:$JN12,
  $B$5:$JN$5,"&gt;="&amp;DATE(IF(MONTH($JP$5)&gt;=8,YEAR($JP$5),YEAR($JP$5)-1),8,1),
  $B$5:$JN$5,"&lt;="&amp;DATE(YEAR($JP$5),MONTH($JP$5),1)
)</f>
        <v>322.5</v>
      </c>
      <c r="JU12" s="1079">
        <f t="shared" si="26"/>
        <v>164525</v>
      </c>
      <c r="JV12" s="1080" t="s">
        <v>148</v>
      </c>
      <c r="JW12" s="1081" t="str">
        <f t="shared" si="27"/>
        <v>OK</v>
      </c>
    </row>
    <row r="13" spans="1:283" ht="15" customHeight="1" x14ac:dyDescent="0.2">
      <c r="A13" s="1261" t="s">
        <v>564</v>
      </c>
      <c r="B13" s="1098"/>
      <c r="C13" s="1098"/>
      <c r="D13" s="1098"/>
      <c r="E13" s="1098"/>
      <c r="F13" s="1098"/>
      <c r="G13" s="1098"/>
      <c r="H13" s="1098"/>
      <c r="I13" s="1098"/>
      <c r="J13" s="1098"/>
      <c r="K13" s="1098"/>
      <c r="L13" s="1098"/>
      <c r="M13" s="1098"/>
      <c r="N13" s="1097">
        <f t="shared" si="5"/>
        <v>0</v>
      </c>
      <c r="O13" s="1098"/>
      <c r="P13" s="1098"/>
      <c r="Q13" s="1098"/>
      <c r="R13" s="1098"/>
      <c r="S13" s="1098"/>
      <c r="T13" s="1098"/>
      <c r="U13" s="1098"/>
      <c r="V13" s="1098"/>
      <c r="W13" s="1098"/>
      <c r="X13" s="1098"/>
      <c r="Y13" s="1098"/>
      <c r="Z13" s="1098"/>
      <c r="AA13" s="1097">
        <f t="shared" si="6"/>
        <v>0</v>
      </c>
      <c r="AB13" s="1098"/>
      <c r="AC13" s="1098"/>
      <c r="AD13" s="1098"/>
      <c r="AE13" s="1098"/>
      <c r="AF13" s="1098"/>
      <c r="AG13" s="1098"/>
      <c r="AH13" s="1098"/>
      <c r="AI13" s="1098"/>
      <c r="AJ13" s="1098"/>
      <c r="AK13" s="1098"/>
      <c r="AL13" s="1098"/>
      <c r="AM13" s="1098"/>
      <c r="AN13" s="1097">
        <f t="shared" si="7"/>
        <v>0</v>
      </c>
      <c r="AO13" s="1098"/>
      <c r="AP13" s="1098"/>
      <c r="AQ13" s="1098"/>
      <c r="AR13" s="1098"/>
      <c r="AS13" s="1098"/>
      <c r="AT13" s="1098"/>
      <c r="AU13" s="1098"/>
      <c r="AV13" s="1098"/>
      <c r="AW13" s="1098"/>
      <c r="AX13" s="1098"/>
      <c r="AY13" s="1098"/>
      <c r="AZ13" s="1098"/>
      <c r="BA13" s="1097">
        <f t="shared" si="8"/>
        <v>0</v>
      </c>
      <c r="BB13" s="1098"/>
      <c r="BC13" s="1098"/>
      <c r="BD13" s="1098"/>
      <c r="BE13" s="1098"/>
      <c r="BF13" s="1098"/>
      <c r="BG13" s="1098"/>
      <c r="BH13" s="1098"/>
      <c r="BI13" s="1098"/>
      <c r="BJ13" s="1098"/>
      <c r="BK13" s="1098"/>
      <c r="BL13" s="1098"/>
      <c r="BM13" s="1098"/>
      <c r="BN13" s="1097">
        <f t="shared" si="9"/>
        <v>0</v>
      </c>
      <c r="BO13" s="1098"/>
      <c r="BP13" s="1098"/>
      <c r="BQ13" s="1098"/>
      <c r="BR13" s="1098"/>
      <c r="BS13" s="1098"/>
      <c r="BT13" s="1098"/>
      <c r="BU13" s="1098"/>
      <c r="BV13" s="1098"/>
      <c r="BW13" s="1098"/>
      <c r="BX13" s="1098"/>
      <c r="BY13" s="1098"/>
      <c r="BZ13" s="1098"/>
      <c r="CA13" s="1097">
        <f t="shared" si="10"/>
        <v>0</v>
      </c>
      <c r="CB13" s="1098"/>
      <c r="CC13" s="1098"/>
      <c r="CD13" s="1098"/>
      <c r="CE13" s="1098"/>
      <c r="CF13" s="1098"/>
      <c r="CG13" s="1098"/>
      <c r="CH13" s="1098"/>
      <c r="CI13" s="1098"/>
      <c r="CJ13" s="1098"/>
      <c r="CK13" s="1098"/>
      <c r="CL13" s="1098"/>
      <c r="CM13" s="1098"/>
      <c r="CN13" s="1097">
        <f t="shared" si="11"/>
        <v>0</v>
      </c>
      <c r="CO13" s="1098"/>
      <c r="CP13" s="1098"/>
      <c r="CQ13" s="1098"/>
      <c r="CR13" s="1098"/>
      <c r="CS13" s="1098"/>
      <c r="CT13" s="1098"/>
      <c r="CU13" s="1098"/>
      <c r="CV13" s="1098"/>
      <c r="CW13" s="1098"/>
      <c r="CX13" s="1098"/>
      <c r="CY13" s="1098"/>
      <c r="CZ13" s="1098"/>
      <c r="DA13" s="1097">
        <f t="shared" si="12"/>
        <v>0</v>
      </c>
      <c r="DB13" s="1098"/>
      <c r="DC13" s="1098"/>
      <c r="DD13" s="1098"/>
      <c r="DE13" s="1098"/>
      <c r="DF13" s="1098"/>
      <c r="DG13" s="1098"/>
      <c r="DH13" s="1098"/>
      <c r="DI13" s="1098"/>
      <c r="DJ13" s="1098"/>
      <c r="DK13" s="1098"/>
      <c r="DL13" s="1098"/>
      <c r="DM13" s="1098"/>
      <c r="DN13" s="1097">
        <f t="shared" si="13"/>
        <v>0</v>
      </c>
      <c r="DO13" s="1098"/>
      <c r="DP13" s="1098"/>
      <c r="DQ13" s="1098"/>
      <c r="DR13" s="1098"/>
      <c r="DS13" s="1098"/>
      <c r="DT13" s="1098"/>
      <c r="DU13" s="1098"/>
      <c r="DV13" s="1098"/>
      <c r="DW13" s="1098"/>
      <c r="DX13" s="1098"/>
      <c r="DY13" s="1098"/>
      <c r="DZ13" s="1098"/>
      <c r="EA13" s="1097">
        <f t="shared" si="14"/>
        <v>0</v>
      </c>
      <c r="EB13" s="1098"/>
      <c r="EC13" s="1098"/>
      <c r="ED13" s="1098"/>
      <c r="EE13" s="1098"/>
      <c r="EF13" s="1098"/>
      <c r="EG13" s="1098"/>
      <c r="EH13" s="1098"/>
      <c r="EI13" s="1098"/>
      <c r="EJ13" s="1098"/>
      <c r="EK13" s="1098"/>
      <c r="EL13" s="1098"/>
      <c r="EM13" s="1098"/>
      <c r="EN13" s="1097">
        <f t="shared" si="15"/>
        <v>0</v>
      </c>
      <c r="EO13" s="1098"/>
      <c r="EP13" s="1098"/>
      <c r="EQ13" s="1098"/>
      <c r="ER13" s="1098"/>
      <c r="ES13" s="1098"/>
      <c r="ET13" s="1098"/>
      <c r="EU13" s="1098"/>
      <c r="EV13" s="1098"/>
      <c r="EW13" s="1098"/>
      <c r="EX13" s="1098"/>
      <c r="EY13" s="1098"/>
      <c r="EZ13" s="1098"/>
      <c r="FA13" s="1097">
        <f t="shared" si="16"/>
        <v>0</v>
      </c>
      <c r="FB13" s="1098"/>
      <c r="FC13" s="1098"/>
      <c r="FD13" s="1098"/>
      <c r="FE13" s="1098"/>
      <c r="FF13" s="1098"/>
      <c r="FG13" s="1098"/>
      <c r="FH13" s="1098"/>
      <c r="FI13" s="1098"/>
      <c r="FJ13" s="1098"/>
      <c r="FK13" s="1098"/>
      <c r="FL13" s="1098"/>
      <c r="FM13" s="1098"/>
      <c r="FN13" s="1097">
        <f t="shared" si="17"/>
        <v>0</v>
      </c>
      <c r="FO13" s="1098"/>
      <c r="FP13" s="1098"/>
      <c r="FQ13" s="1098"/>
      <c r="FR13" s="1098"/>
      <c r="FS13" s="1098"/>
      <c r="FT13" s="1098"/>
      <c r="FU13" s="1098"/>
      <c r="FV13" s="1098"/>
      <c r="FW13" s="1098"/>
      <c r="FX13" s="1098"/>
      <c r="FY13" s="1098"/>
      <c r="FZ13" s="1098"/>
      <c r="GA13" s="1097">
        <f t="shared" si="18"/>
        <v>0</v>
      </c>
      <c r="GB13" s="1098"/>
      <c r="GC13" s="1098"/>
      <c r="GD13" s="1098"/>
      <c r="GE13" s="1098"/>
      <c r="GF13" s="1098"/>
      <c r="GG13" s="1098"/>
      <c r="GH13" s="1098"/>
      <c r="GI13" s="1098"/>
      <c r="GJ13" s="1098"/>
      <c r="GK13" s="1098"/>
      <c r="GL13" s="1098"/>
      <c r="GM13" s="1098"/>
      <c r="GN13" s="1097">
        <f t="shared" si="19"/>
        <v>0</v>
      </c>
      <c r="GO13" s="1098"/>
      <c r="GP13" s="1098"/>
      <c r="GQ13" s="1098"/>
      <c r="GR13" s="1098"/>
      <c r="GS13" s="1098"/>
      <c r="GT13" s="1098"/>
      <c r="GU13" s="1098"/>
      <c r="GV13" s="1098"/>
      <c r="GW13" s="1098"/>
      <c r="GX13" s="1098"/>
      <c r="GY13" s="1098"/>
      <c r="GZ13" s="1098"/>
      <c r="HA13" s="1097">
        <f t="shared" si="20"/>
        <v>0</v>
      </c>
      <c r="HB13" s="1098"/>
      <c r="HC13" s="1098"/>
      <c r="HD13" s="1098"/>
      <c r="HE13" s="1098"/>
      <c r="HF13" s="1098"/>
      <c r="HG13" s="1098"/>
      <c r="HH13" s="1098"/>
      <c r="HI13" s="1098"/>
      <c r="HJ13" s="1098"/>
      <c r="HK13" s="1098"/>
      <c r="HL13" s="1098"/>
      <c r="HM13" s="1098"/>
      <c r="HN13" s="1097">
        <f t="shared" si="21"/>
        <v>0</v>
      </c>
      <c r="HO13" s="1098"/>
      <c r="HP13" s="1098"/>
      <c r="HQ13" s="1098"/>
      <c r="HR13" s="1098"/>
      <c r="HS13" s="1098"/>
      <c r="HT13" s="1098"/>
      <c r="HU13" s="1098"/>
      <c r="HV13" s="1098"/>
      <c r="HW13" s="1098"/>
      <c r="HX13" s="1098"/>
      <c r="HY13" s="1098"/>
      <c r="HZ13" s="1098"/>
      <c r="IA13" s="1097">
        <f t="shared" si="22"/>
        <v>0</v>
      </c>
      <c r="IB13" s="1098"/>
      <c r="IC13" s="1098"/>
      <c r="ID13" s="1098"/>
      <c r="IE13" s="1098"/>
      <c r="IF13" s="1098"/>
      <c r="IG13" s="1098"/>
      <c r="IH13" s="1098"/>
      <c r="II13" s="1098"/>
      <c r="IJ13" s="1098"/>
      <c r="IK13" s="1098"/>
      <c r="IL13" s="1098"/>
      <c r="IM13" s="1098"/>
      <c r="IN13" s="1097">
        <f t="shared" si="23"/>
        <v>0</v>
      </c>
      <c r="IO13" s="1098"/>
      <c r="IP13" s="1098"/>
      <c r="IQ13" s="1098"/>
      <c r="IR13" s="1098"/>
      <c r="IS13" s="1098"/>
      <c r="IT13" s="1098"/>
      <c r="IU13" s="1098"/>
      <c r="IV13" s="1098"/>
      <c r="IW13" s="1098"/>
      <c r="IX13" s="1098"/>
      <c r="IY13" s="1098"/>
      <c r="IZ13" s="1098"/>
      <c r="JA13" s="1097">
        <f t="shared" si="24"/>
        <v>0</v>
      </c>
      <c r="JB13" s="1098"/>
      <c r="JC13" s="1098"/>
      <c r="JD13" s="1098"/>
      <c r="JE13" s="1098"/>
      <c r="JF13" s="1098"/>
      <c r="JG13" s="1098"/>
      <c r="JH13" s="1098"/>
      <c r="JI13" s="1098"/>
      <c r="JJ13" s="1098"/>
      <c r="JK13" s="1098"/>
      <c r="JL13" s="1098"/>
      <c r="JM13" s="1098"/>
      <c r="JN13" s="1097">
        <f t="shared" si="25"/>
        <v>0</v>
      </c>
      <c r="JO13" s="1266"/>
      <c r="JP13" s="1116"/>
      <c r="JQ13" s="1117"/>
      <c r="JR13" s="1079"/>
      <c r="JS13" s="1118"/>
      <c r="JU13" s="1079">
        <f t="shared" si="26"/>
        <v>0</v>
      </c>
      <c r="JV13" s="1080" t="s">
        <v>564</v>
      </c>
      <c r="JW13" s="1081" t="str">
        <f t="shared" si="27"/>
        <v>OK</v>
      </c>
    </row>
    <row r="14" spans="1:283" ht="15" customHeight="1" x14ac:dyDescent="0.2">
      <c r="A14" s="1261" t="s">
        <v>565</v>
      </c>
      <c r="B14" s="1098">
        <v>9</v>
      </c>
      <c r="C14" s="1098">
        <v>12</v>
      </c>
      <c r="D14" s="1098">
        <v>21</v>
      </c>
      <c r="E14" s="1098">
        <v>15</v>
      </c>
      <c r="F14" s="1098">
        <v>14</v>
      </c>
      <c r="G14" s="1098">
        <v>17</v>
      </c>
      <c r="H14" s="1098">
        <v>13</v>
      </c>
      <c r="I14" s="1098">
        <v>18</v>
      </c>
      <c r="J14" s="1098">
        <v>23</v>
      </c>
      <c r="K14" s="1098">
        <v>9</v>
      </c>
      <c r="L14" s="1098">
        <v>15</v>
      </c>
      <c r="M14" s="1098">
        <v>12</v>
      </c>
      <c r="N14" s="1097">
        <f t="shared" si="5"/>
        <v>178</v>
      </c>
      <c r="O14" s="1098">
        <v>26</v>
      </c>
      <c r="P14" s="1098">
        <v>24</v>
      </c>
      <c r="Q14" s="1098">
        <v>28</v>
      </c>
      <c r="R14" s="1098">
        <v>32</v>
      </c>
      <c r="S14" s="1098">
        <v>46</v>
      </c>
      <c r="T14" s="1098">
        <v>49</v>
      </c>
      <c r="U14" s="1098">
        <v>31</v>
      </c>
      <c r="V14" s="1098">
        <v>27</v>
      </c>
      <c r="W14" s="1098">
        <v>15</v>
      </c>
      <c r="X14" s="1098">
        <v>21</v>
      </c>
      <c r="Y14" s="1098">
        <v>28</v>
      </c>
      <c r="Z14" s="1098">
        <v>12</v>
      </c>
      <c r="AA14" s="1097">
        <f t="shared" si="6"/>
        <v>339</v>
      </c>
      <c r="AB14" s="1098">
        <v>10</v>
      </c>
      <c r="AC14" s="1098">
        <v>31</v>
      </c>
      <c r="AD14" s="1098">
        <v>59</v>
      </c>
      <c r="AE14" s="1098">
        <v>36</v>
      </c>
      <c r="AF14" s="1098">
        <v>14</v>
      </c>
      <c r="AG14" s="1098">
        <v>29</v>
      </c>
      <c r="AH14" s="1098">
        <v>43</v>
      </c>
      <c r="AI14" s="1098">
        <v>263</v>
      </c>
      <c r="AJ14" s="1098">
        <v>98</v>
      </c>
      <c r="AK14" s="1098">
        <v>29</v>
      </c>
      <c r="AL14" s="1098">
        <v>29</v>
      </c>
      <c r="AM14" s="1098">
        <v>38</v>
      </c>
      <c r="AN14" s="1097">
        <f t="shared" si="7"/>
        <v>679</v>
      </c>
      <c r="AO14" s="1098">
        <v>23</v>
      </c>
      <c r="AP14" s="1098">
        <v>13</v>
      </c>
      <c r="AQ14" s="1098">
        <v>55</v>
      </c>
      <c r="AR14" s="1098">
        <v>35</v>
      </c>
      <c r="AS14" s="1098">
        <v>31</v>
      </c>
      <c r="AT14" s="1098">
        <v>94</v>
      </c>
      <c r="AU14" s="1098">
        <v>33</v>
      </c>
      <c r="AV14" s="1098">
        <v>56</v>
      </c>
      <c r="AW14" s="1098">
        <v>48</v>
      </c>
      <c r="AX14" s="1098">
        <v>18</v>
      </c>
      <c r="AY14" s="1098">
        <v>13</v>
      </c>
      <c r="AZ14" s="1098">
        <v>8</v>
      </c>
      <c r="BA14" s="1097">
        <f t="shared" si="8"/>
        <v>427</v>
      </c>
      <c r="BB14" s="1098">
        <v>19</v>
      </c>
      <c r="BC14" s="1098">
        <v>20</v>
      </c>
      <c r="BD14" s="1098">
        <v>16</v>
      </c>
      <c r="BE14" s="1098">
        <v>6</v>
      </c>
      <c r="BF14" s="1098">
        <v>2</v>
      </c>
      <c r="BG14" s="1098">
        <v>1</v>
      </c>
      <c r="BH14" s="1098">
        <v>14</v>
      </c>
      <c r="BI14" s="1098">
        <v>10</v>
      </c>
      <c r="BJ14" s="1098">
        <v>18</v>
      </c>
      <c r="BK14" s="1098">
        <v>18</v>
      </c>
      <c r="BL14" s="1098">
        <v>9</v>
      </c>
      <c r="BM14" s="1098">
        <v>9</v>
      </c>
      <c r="BN14" s="1097">
        <f t="shared" si="9"/>
        <v>142</v>
      </c>
      <c r="BO14" s="1098">
        <v>3</v>
      </c>
      <c r="BP14" s="1098">
        <v>3</v>
      </c>
      <c r="BQ14" s="1098">
        <v>16</v>
      </c>
      <c r="BR14" s="1098">
        <v>8</v>
      </c>
      <c r="BS14" s="1098">
        <v>11</v>
      </c>
      <c r="BT14" s="1098">
        <v>11</v>
      </c>
      <c r="BU14" s="1098">
        <v>11</v>
      </c>
      <c r="BV14" s="1098">
        <v>29</v>
      </c>
      <c r="BW14" s="1098">
        <v>20</v>
      </c>
      <c r="BX14" s="1098">
        <v>16</v>
      </c>
      <c r="BY14" s="1098">
        <v>11</v>
      </c>
      <c r="BZ14" s="1098">
        <v>9</v>
      </c>
      <c r="CA14" s="1097">
        <f t="shared" si="10"/>
        <v>148</v>
      </c>
      <c r="CB14" s="1098">
        <v>46</v>
      </c>
      <c r="CC14" s="1098">
        <v>10</v>
      </c>
      <c r="CD14" s="1098">
        <v>15</v>
      </c>
      <c r="CE14" s="1098">
        <v>7</v>
      </c>
      <c r="CF14" s="1098">
        <v>10</v>
      </c>
      <c r="CG14" s="1098">
        <v>15</v>
      </c>
      <c r="CH14" s="1098">
        <v>13</v>
      </c>
      <c r="CI14" s="1098">
        <v>14</v>
      </c>
      <c r="CJ14" s="1098">
        <v>16</v>
      </c>
      <c r="CK14" s="1098">
        <v>1981</v>
      </c>
      <c r="CL14" s="1098">
        <v>17</v>
      </c>
      <c r="CM14" s="1098">
        <v>6</v>
      </c>
      <c r="CN14" s="1097">
        <f t="shared" si="11"/>
        <v>2150</v>
      </c>
      <c r="CO14" s="1098">
        <v>9</v>
      </c>
      <c r="CP14" s="1098">
        <v>2</v>
      </c>
      <c r="CQ14" s="1098">
        <v>13</v>
      </c>
      <c r="CR14" s="1098">
        <v>16</v>
      </c>
      <c r="CS14" s="1098"/>
      <c r="CT14" s="1098">
        <v>13</v>
      </c>
      <c r="CU14" s="1098">
        <v>32</v>
      </c>
      <c r="CV14" s="1098">
        <v>19</v>
      </c>
      <c r="CW14" s="1098">
        <v>14</v>
      </c>
      <c r="CX14" s="1098">
        <v>14</v>
      </c>
      <c r="CY14" s="1098">
        <v>16</v>
      </c>
      <c r="CZ14" s="1098">
        <v>12</v>
      </c>
      <c r="DA14" s="1097">
        <f t="shared" si="12"/>
        <v>160</v>
      </c>
      <c r="DB14" s="1098">
        <v>12</v>
      </c>
      <c r="DC14" s="1098">
        <v>13</v>
      </c>
      <c r="DD14" s="1098">
        <v>11</v>
      </c>
      <c r="DE14" s="1098">
        <v>10</v>
      </c>
      <c r="DF14" s="1098"/>
      <c r="DG14" s="1098">
        <v>24</v>
      </c>
      <c r="DH14" s="1098">
        <v>12</v>
      </c>
      <c r="DI14" s="1098">
        <v>17</v>
      </c>
      <c r="DJ14" s="1098">
        <v>18</v>
      </c>
      <c r="DK14" s="1098">
        <v>10</v>
      </c>
      <c r="DL14" s="1098">
        <v>13</v>
      </c>
      <c r="DM14" s="1098">
        <v>2173</v>
      </c>
      <c r="DN14" s="1097">
        <f t="shared" si="13"/>
        <v>2313</v>
      </c>
      <c r="DO14" s="1098">
        <v>2989</v>
      </c>
      <c r="DP14" s="1098">
        <v>1938</v>
      </c>
      <c r="DQ14" s="1098">
        <v>1908</v>
      </c>
      <c r="DR14" s="1098">
        <v>1753</v>
      </c>
      <c r="DS14" s="1098">
        <v>1646</v>
      </c>
      <c r="DT14" s="1098">
        <v>3632</v>
      </c>
      <c r="DU14" s="1098">
        <v>1579</v>
      </c>
      <c r="DV14" s="1098">
        <v>1757</v>
      </c>
      <c r="DW14" s="1098">
        <v>2323</v>
      </c>
      <c r="DX14" s="1098">
        <v>1950</v>
      </c>
      <c r="DY14" s="1098">
        <v>5</v>
      </c>
      <c r="DZ14" s="1098">
        <v>1444</v>
      </c>
      <c r="EA14" s="1097">
        <f t="shared" si="14"/>
        <v>22924</v>
      </c>
      <c r="EB14" s="1098">
        <v>10</v>
      </c>
      <c r="EC14" s="1098"/>
      <c r="ED14" s="1098">
        <v>12</v>
      </c>
      <c r="EE14" s="1098">
        <v>20</v>
      </c>
      <c r="EF14" s="1098">
        <v>18</v>
      </c>
      <c r="EG14" s="1098">
        <v>23</v>
      </c>
      <c r="EH14" s="1098">
        <v>15</v>
      </c>
      <c r="EI14" s="1098">
        <v>17</v>
      </c>
      <c r="EJ14" s="1098">
        <v>20</v>
      </c>
      <c r="EK14" s="1098">
        <v>22</v>
      </c>
      <c r="EL14" s="1098">
        <v>22</v>
      </c>
      <c r="EM14" s="1098">
        <v>2</v>
      </c>
      <c r="EN14" s="1097">
        <f t="shared" si="15"/>
        <v>181</v>
      </c>
      <c r="EO14" s="1098">
        <v>2</v>
      </c>
      <c r="EP14" s="1098">
        <v>11</v>
      </c>
      <c r="EQ14" s="1098"/>
      <c r="ER14" s="1098">
        <v>4</v>
      </c>
      <c r="ES14" s="1098">
        <v>6</v>
      </c>
      <c r="ET14" s="1098">
        <v>4</v>
      </c>
      <c r="EU14" s="1098"/>
      <c r="EV14" s="1098">
        <v>1</v>
      </c>
      <c r="EW14" s="1098"/>
      <c r="EX14" s="1098"/>
      <c r="EY14" s="1098"/>
      <c r="EZ14" s="1098"/>
      <c r="FA14" s="1097">
        <f t="shared" si="16"/>
        <v>28</v>
      </c>
      <c r="FB14" s="1098"/>
      <c r="FC14" s="1098"/>
      <c r="FD14" s="1098"/>
      <c r="FE14" s="1098">
        <v>2</v>
      </c>
      <c r="FF14" s="1098"/>
      <c r="FG14" s="1098">
        <v>6</v>
      </c>
      <c r="FH14" s="1098"/>
      <c r="FI14" s="1098">
        <v>5</v>
      </c>
      <c r="FJ14" s="1098"/>
      <c r="FK14" s="1098">
        <v>1</v>
      </c>
      <c r="FL14" s="1098"/>
      <c r="FM14" s="1098"/>
      <c r="FN14" s="1097">
        <f t="shared" si="17"/>
        <v>14</v>
      </c>
      <c r="FO14" s="1098"/>
      <c r="FP14" s="1098">
        <v>1</v>
      </c>
      <c r="FQ14" s="1098">
        <v>1</v>
      </c>
      <c r="FR14" s="1098">
        <v>2</v>
      </c>
      <c r="FS14" s="1098">
        <v>1</v>
      </c>
      <c r="FT14" s="1098">
        <v>11</v>
      </c>
      <c r="FU14" s="1098">
        <v>19</v>
      </c>
      <c r="FV14" s="1098">
        <v>11</v>
      </c>
      <c r="FW14" s="1098">
        <v>2</v>
      </c>
      <c r="FX14" s="1098">
        <v>1</v>
      </c>
      <c r="FY14" s="1098">
        <v>4</v>
      </c>
      <c r="FZ14" s="1098">
        <v>1</v>
      </c>
      <c r="GA14" s="1097">
        <f t="shared" si="18"/>
        <v>54</v>
      </c>
      <c r="GB14" s="1098">
        <v>8</v>
      </c>
      <c r="GC14" s="1098">
        <v>1</v>
      </c>
      <c r="GD14" s="1098">
        <v>1</v>
      </c>
      <c r="GE14" s="1098">
        <v>1</v>
      </c>
      <c r="GF14" s="1098">
        <v>1</v>
      </c>
      <c r="GG14" s="1098">
        <v>48</v>
      </c>
      <c r="GH14" s="1098">
        <v>20</v>
      </c>
      <c r="GI14" s="1098">
        <v>87</v>
      </c>
      <c r="GJ14" s="1098">
        <v>34</v>
      </c>
      <c r="GK14" s="1098">
        <v>56</v>
      </c>
      <c r="GL14" s="1098">
        <v>54</v>
      </c>
      <c r="GM14" s="1098">
        <v>63</v>
      </c>
      <c r="GN14" s="1097">
        <f t="shared" si="19"/>
        <v>374</v>
      </c>
      <c r="GO14" s="1098"/>
      <c r="GP14" s="1098">
        <v>24</v>
      </c>
      <c r="GQ14" s="1098">
        <v>8</v>
      </c>
      <c r="GR14" s="1098"/>
      <c r="GS14" s="1098"/>
      <c r="GT14" s="1098">
        <v>20</v>
      </c>
      <c r="GU14" s="1098">
        <v>16</v>
      </c>
      <c r="GV14" s="1098"/>
      <c r="GW14" s="1098">
        <v>1</v>
      </c>
      <c r="GX14" s="1098">
        <v>1</v>
      </c>
      <c r="GY14" s="1098">
        <v>1</v>
      </c>
      <c r="GZ14" s="1098">
        <v>0.05</v>
      </c>
      <c r="HA14" s="1097">
        <f t="shared" si="20"/>
        <v>71.05</v>
      </c>
      <c r="HB14" s="1098">
        <v>10</v>
      </c>
      <c r="HC14" s="1098">
        <v>2</v>
      </c>
      <c r="HD14" s="1098">
        <v>5</v>
      </c>
      <c r="HE14" s="1098"/>
      <c r="HF14" s="1098"/>
      <c r="HG14" s="1098">
        <v>9</v>
      </c>
      <c r="HH14" s="1098">
        <v>1</v>
      </c>
      <c r="HI14" s="1098">
        <v>1</v>
      </c>
      <c r="HJ14" s="1098">
        <v>2</v>
      </c>
      <c r="HK14" s="1098">
        <v>1</v>
      </c>
      <c r="HL14" s="1098">
        <v>2</v>
      </c>
      <c r="HM14" s="1098"/>
      <c r="HN14" s="1097">
        <f t="shared" si="21"/>
        <v>33</v>
      </c>
      <c r="HO14" s="1098">
        <v>2</v>
      </c>
      <c r="HP14" s="1098"/>
      <c r="HQ14" s="1098">
        <v>4</v>
      </c>
      <c r="HR14" s="1098">
        <v>2</v>
      </c>
      <c r="HS14" s="1098">
        <v>14</v>
      </c>
      <c r="HT14" s="1098">
        <v>13</v>
      </c>
      <c r="HU14" s="1098">
        <v>8</v>
      </c>
      <c r="HV14" s="1098">
        <v>8</v>
      </c>
      <c r="HW14" s="1098">
        <v>26.5</v>
      </c>
      <c r="HX14" s="1098">
        <v>26</v>
      </c>
      <c r="HY14" s="1098">
        <v>28</v>
      </c>
      <c r="HZ14" s="1098">
        <v>29</v>
      </c>
      <c r="IA14" s="1097">
        <f t="shared" si="22"/>
        <v>160.5</v>
      </c>
      <c r="IB14" s="1098">
        <v>26</v>
      </c>
      <c r="IC14" s="1098">
        <v>36</v>
      </c>
      <c r="ID14" s="1098">
        <v>36</v>
      </c>
      <c r="IE14" s="1098">
        <v>32</v>
      </c>
      <c r="IF14" s="1098">
        <v>36</v>
      </c>
      <c r="IG14" s="1098"/>
      <c r="IH14" s="1098"/>
      <c r="II14" s="1098"/>
      <c r="IJ14" s="1098"/>
      <c r="IK14" s="1098"/>
      <c r="IL14" s="1098"/>
      <c r="IM14" s="1098"/>
      <c r="IN14" s="1097">
        <f t="shared" si="23"/>
        <v>166</v>
      </c>
      <c r="IO14" s="1098"/>
      <c r="IP14" s="1098"/>
      <c r="IQ14" s="1098"/>
      <c r="IR14" s="1098">
        <v>2</v>
      </c>
      <c r="IS14" s="1098">
        <v>2</v>
      </c>
      <c r="IT14" s="1098"/>
      <c r="IU14" s="1098"/>
      <c r="IV14" s="1098"/>
      <c r="IW14" s="1098"/>
      <c r="IX14" s="1098"/>
      <c r="IY14" s="1098"/>
      <c r="IZ14" s="1098"/>
      <c r="JA14" s="1097">
        <f t="shared" si="24"/>
        <v>4</v>
      </c>
      <c r="JB14" s="1098"/>
      <c r="JC14" s="1098"/>
      <c r="JD14" s="1098"/>
      <c r="JE14" s="1098"/>
      <c r="JF14" s="1098"/>
      <c r="JG14" s="1098">
        <v>0</v>
      </c>
      <c r="JH14" s="1098"/>
      <c r="JI14" s="1098"/>
      <c r="JJ14" s="1098"/>
      <c r="JK14" s="1098"/>
      <c r="JL14" s="1098"/>
      <c r="JM14" s="1098"/>
      <c r="JN14" s="1097">
        <f t="shared" si="25"/>
        <v>0</v>
      </c>
      <c r="JO14" s="1266"/>
      <c r="JP14" s="1116">
        <f t="shared" ref="JP14:JP38" si="28">IFERROR(((
_xlfn.XLOOKUP((DATE(YEAR($JP$5),MONTH($JP$5),1)),$B$5:$JN$5,$B14:$JN14) /
_xlfn.XLOOKUP((DATE(YEAR($JP$5)-1,MONTH($JP$5),1)),$B$5:$JN$5,$B14:$JN14)
)-1)*100,"")</f>
        <v>-100</v>
      </c>
      <c r="JQ14" s="1117">
        <f t="shared" ref="JQ14:JQ37" si="29">IFERROR(((JS14/JR14)-1)*100,"")</f>
        <v>-100</v>
      </c>
      <c r="JR14" s="1079">
        <f t="shared" ref="JR14:JR38" si="30">SUMIFS(
  $B14:$JN14,
  $B$5:$JN$5,"&gt;="&amp;DATE(IF(MONTH($JP$5)&gt;=8,YEAR($JP$5)-1,YEAR($JP$5)-2),8,1),
  $B$5:$JN$5,"&lt;="&amp;DATE(IF(MONTH($JP$5)&gt;=8,YEAR($JP$5)-1,YEAR($JP$5)-1),MONTH($JP$5),1)
)</f>
        <v>2</v>
      </c>
      <c r="JS14" s="1118">
        <f t="shared" ref="JS14:JS38" si="31">SUMIFS(
  $B14:$JN14,
  $B$5:$JN$5,"&gt;="&amp;DATE(IF(MONTH($JP$5)&gt;=8,YEAR($JP$5),YEAR($JP$5)-1),8,1),
  $B$5:$JN$5,"&lt;="&amp;DATE(YEAR($JP$5),MONTH($JP$5),1)
)</f>
        <v>0</v>
      </c>
      <c r="JU14" s="1079">
        <f t="shared" si="26"/>
        <v>60735.100000000006</v>
      </c>
      <c r="JV14" s="1080" t="s">
        <v>565</v>
      </c>
      <c r="JW14" s="1081" t="str">
        <f t="shared" si="27"/>
        <v>OK</v>
      </c>
    </row>
    <row r="15" spans="1:283" ht="15" customHeight="1" x14ac:dyDescent="0.2">
      <c r="A15" s="1261" t="s">
        <v>142</v>
      </c>
      <c r="B15" s="1098"/>
      <c r="C15" s="1098"/>
      <c r="D15" s="1098"/>
      <c r="E15" s="1098"/>
      <c r="F15" s="1098"/>
      <c r="G15" s="1098">
        <v>5</v>
      </c>
      <c r="H15" s="1098"/>
      <c r="I15" s="1098"/>
      <c r="J15" s="1098"/>
      <c r="K15" s="1098"/>
      <c r="L15" s="1098"/>
      <c r="M15" s="1098"/>
      <c r="N15" s="1097">
        <f t="shared" si="5"/>
        <v>5</v>
      </c>
      <c r="O15" s="1098"/>
      <c r="P15" s="1098"/>
      <c r="Q15" s="1098"/>
      <c r="R15" s="1098">
        <v>2</v>
      </c>
      <c r="S15" s="1098"/>
      <c r="T15" s="1098">
        <v>9</v>
      </c>
      <c r="U15" s="1098"/>
      <c r="V15" s="1098">
        <v>5</v>
      </c>
      <c r="W15" s="1098"/>
      <c r="X15" s="1098"/>
      <c r="Y15" s="1098"/>
      <c r="Z15" s="1098"/>
      <c r="AA15" s="1097">
        <f t="shared" si="6"/>
        <v>16</v>
      </c>
      <c r="AB15" s="1098"/>
      <c r="AC15" s="1098"/>
      <c r="AD15" s="1098">
        <v>6</v>
      </c>
      <c r="AE15" s="1098"/>
      <c r="AF15" s="1098"/>
      <c r="AG15" s="1098"/>
      <c r="AH15" s="1098"/>
      <c r="AI15" s="1098">
        <v>1</v>
      </c>
      <c r="AJ15" s="1098"/>
      <c r="AK15" s="1098"/>
      <c r="AL15" s="1098">
        <v>3</v>
      </c>
      <c r="AM15" s="1098"/>
      <c r="AN15" s="1097">
        <f t="shared" si="7"/>
        <v>10</v>
      </c>
      <c r="AO15" s="1098">
        <v>2</v>
      </c>
      <c r="AP15" s="1098">
        <v>2</v>
      </c>
      <c r="AQ15" s="1098">
        <v>6</v>
      </c>
      <c r="AR15" s="1098">
        <v>9</v>
      </c>
      <c r="AS15" s="1098">
        <v>7</v>
      </c>
      <c r="AT15" s="1098">
        <v>5</v>
      </c>
      <c r="AU15" s="1098">
        <v>16</v>
      </c>
      <c r="AV15" s="1098">
        <v>5</v>
      </c>
      <c r="AW15" s="1098">
        <v>13</v>
      </c>
      <c r="AX15" s="1098">
        <v>7</v>
      </c>
      <c r="AY15" s="1098">
        <v>1</v>
      </c>
      <c r="AZ15" s="1098"/>
      <c r="BA15" s="1097">
        <f t="shared" si="8"/>
        <v>73</v>
      </c>
      <c r="BB15" s="1098">
        <v>13</v>
      </c>
      <c r="BC15" s="1098">
        <v>11</v>
      </c>
      <c r="BD15" s="1098">
        <v>3</v>
      </c>
      <c r="BE15" s="1098">
        <v>2</v>
      </c>
      <c r="BF15" s="1098">
        <v>1</v>
      </c>
      <c r="BG15" s="1098"/>
      <c r="BH15" s="1098">
        <v>8</v>
      </c>
      <c r="BI15" s="1098">
        <v>6</v>
      </c>
      <c r="BJ15" s="1098">
        <v>8</v>
      </c>
      <c r="BK15" s="1098">
        <v>12</v>
      </c>
      <c r="BL15" s="1098">
        <v>8</v>
      </c>
      <c r="BM15" s="1098">
        <v>9</v>
      </c>
      <c r="BN15" s="1097">
        <f t="shared" si="9"/>
        <v>81</v>
      </c>
      <c r="BO15" s="1098">
        <v>5</v>
      </c>
      <c r="BP15" s="1098">
        <v>24</v>
      </c>
      <c r="BQ15" s="1098">
        <v>5</v>
      </c>
      <c r="BR15" s="1098">
        <v>9</v>
      </c>
      <c r="BS15" s="1098">
        <v>5</v>
      </c>
      <c r="BT15" s="1098"/>
      <c r="BU15" s="1098">
        <v>10</v>
      </c>
      <c r="BV15" s="1098">
        <v>13</v>
      </c>
      <c r="BW15" s="1098">
        <v>11</v>
      </c>
      <c r="BX15" s="1098">
        <v>9</v>
      </c>
      <c r="BY15" s="1098">
        <v>8</v>
      </c>
      <c r="BZ15" s="1098">
        <v>13</v>
      </c>
      <c r="CA15" s="1097">
        <f t="shared" si="10"/>
        <v>112</v>
      </c>
      <c r="CB15" s="1098">
        <v>6</v>
      </c>
      <c r="CC15" s="1098">
        <v>13</v>
      </c>
      <c r="CD15" s="1098">
        <v>12</v>
      </c>
      <c r="CE15" s="1098">
        <v>10</v>
      </c>
      <c r="CF15" s="1098">
        <v>11</v>
      </c>
      <c r="CG15" s="1098">
        <v>16</v>
      </c>
      <c r="CH15" s="1098">
        <v>18</v>
      </c>
      <c r="CI15" s="1098">
        <v>15</v>
      </c>
      <c r="CJ15" s="1098">
        <v>14</v>
      </c>
      <c r="CK15" s="1098">
        <v>11</v>
      </c>
      <c r="CL15" s="1098">
        <v>8</v>
      </c>
      <c r="CM15" s="1098">
        <v>8</v>
      </c>
      <c r="CN15" s="1097">
        <f t="shared" si="11"/>
        <v>142</v>
      </c>
      <c r="CO15" s="1098">
        <v>8</v>
      </c>
      <c r="CP15" s="1098">
        <v>13</v>
      </c>
      <c r="CQ15" s="1098">
        <v>6</v>
      </c>
      <c r="CR15" s="1098">
        <v>13</v>
      </c>
      <c r="CS15" s="1098">
        <v>7</v>
      </c>
      <c r="CT15" s="1098">
        <v>3</v>
      </c>
      <c r="CU15" s="1098">
        <v>3</v>
      </c>
      <c r="CV15" s="1098">
        <v>5</v>
      </c>
      <c r="CW15" s="1098">
        <v>4</v>
      </c>
      <c r="CX15" s="1098">
        <v>6</v>
      </c>
      <c r="CY15" s="1098">
        <v>2</v>
      </c>
      <c r="CZ15" s="1098">
        <v>2</v>
      </c>
      <c r="DA15" s="1097">
        <f t="shared" si="12"/>
        <v>72</v>
      </c>
      <c r="DB15" s="1098">
        <v>3</v>
      </c>
      <c r="DC15" s="1098">
        <v>6</v>
      </c>
      <c r="DD15" s="1098">
        <v>3</v>
      </c>
      <c r="DE15" s="1098"/>
      <c r="DF15" s="1098"/>
      <c r="DG15" s="1098"/>
      <c r="DH15" s="1098">
        <v>8</v>
      </c>
      <c r="DI15" s="1098">
        <v>3</v>
      </c>
      <c r="DJ15" s="1098">
        <v>1</v>
      </c>
      <c r="DK15" s="1098">
        <v>4</v>
      </c>
      <c r="DL15" s="1098"/>
      <c r="DM15" s="1098">
        <v>3</v>
      </c>
      <c r="DN15" s="1097">
        <f t="shared" si="13"/>
        <v>31</v>
      </c>
      <c r="DO15" s="1098">
        <v>6.4</v>
      </c>
      <c r="DP15" s="1098">
        <v>0.4</v>
      </c>
      <c r="DQ15" s="1098">
        <v>0.1</v>
      </c>
      <c r="DR15" s="1098">
        <v>0.2</v>
      </c>
      <c r="DS15" s="1098">
        <v>0.3</v>
      </c>
      <c r="DT15" s="1098">
        <v>0.4</v>
      </c>
      <c r="DU15" s="1098">
        <v>0.2</v>
      </c>
      <c r="DV15" s="1098">
        <v>0.5</v>
      </c>
      <c r="DW15" s="1098">
        <v>0.4</v>
      </c>
      <c r="DX15" s="1098">
        <v>0.5</v>
      </c>
      <c r="DY15" s="1098">
        <v>3</v>
      </c>
      <c r="DZ15" s="1098"/>
      <c r="EA15" s="1097">
        <f t="shared" si="14"/>
        <v>12.4</v>
      </c>
      <c r="EB15" s="1098"/>
      <c r="EC15" s="1098"/>
      <c r="ED15" s="1098"/>
      <c r="EE15" s="1098"/>
      <c r="EF15" s="1098"/>
      <c r="EG15" s="1098"/>
      <c r="EH15" s="1098"/>
      <c r="EI15" s="1098"/>
      <c r="EJ15" s="1098"/>
      <c r="EK15" s="1098">
        <v>2</v>
      </c>
      <c r="EL15" s="1098"/>
      <c r="EM15" s="1098"/>
      <c r="EN15" s="1097">
        <f t="shared" si="15"/>
        <v>2</v>
      </c>
      <c r="EO15" s="1098"/>
      <c r="EP15" s="1098"/>
      <c r="EQ15" s="1098"/>
      <c r="ER15" s="1098"/>
      <c r="ES15" s="1098"/>
      <c r="ET15" s="1098">
        <v>5</v>
      </c>
      <c r="EU15" s="1098"/>
      <c r="EV15" s="1098"/>
      <c r="EW15" s="1098"/>
      <c r="EX15" s="1098"/>
      <c r="EY15" s="1098"/>
      <c r="EZ15" s="1098"/>
      <c r="FA15" s="1097">
        <f t="shared" si="16"/>
        <v>5</v>
      </c>
      <c r="FB15" s="1098"/>
      <c r="FC15" s="1098"/>
      <c r="FD15" s="1098"/>
      <c r="FE15" s="1098"/>
      <c r="FF15" s="1098">
        <v>1</v>
      </c>
      <c r="FG15" s="1098"/>
      <c r="FH15" s="1098"/>
      <c r="FI15" s="1098"/>
      <c r="FJ15" s="1098">
        <v>3</v>
      </c>
      <c r="FK15" s="1098"/>
      <c r="FL15" s="1098"/>
      <c r="FM15" s="1098"/>
      <c r="FN15" s="1097">
        <f t="shared" si="17"/>
        <v>4</v>
      </c>
      <c r="FO15" s="1098"/>
      <c r="FP15" s="1098"/>
      <c r="FQ15" s="1098"/>
      <c r="FR15" s="1098"/>
      <c r="FS15" s="1098"/>
      <c r="FT15" s="1098">
        <v>1</v>
      </c>
      <c r="FU15" s="1098"/>
      <c r="FV15" s="1098"/>
      <c r="FW15" s="1098">
        <v>4</v>
      </c>
      <c r="FX15" s="1098"/>
      <c r="FY15" s="1098"/>
      <c r="FZ15" s="1098"/>
      <c r="GA15" s="1097">
        <f t="shared" si="18"/>
        <v>5</v>
      </c>
      <c r="GB15" s="1098">
        <v>1</v>
      </c>
      <c r="GC15" s="1098"/>
      <c r="GD15" s="1098"/>
      <c r="GE15" s="1098">
        <v>4</v>
      </c>
      <c r="GF15" s="1098">
        <v>2</v>
      </c>
      <c r="GG15" s="1098">
        <v>4</v>
      </c>
      <c r="GH15" s="1098">
        <v>21</v>
      </c>
      <c r="GI15" s="1098">
        <v>5</v>
      </c>
      <c r="GJ15" s="1098"/>
      <c r="GK15" s="1098">
        <v>1</v>
      </c>
      <c r="GL15" s="1098"/>
      <c r="GM15" s="1098">
        <v>2</v>
      </c>
      <c r="GN15" s="1097">
        <f t="shared" si="19"/>
        <v>40</v>
      </c>
      <c r="GO15" s="1098"/>
      <c r="GP15" s="1098">
        <v>10</v>
      </c>
      <c r="GQ15" s="1098">
        <v>2</v>
      </c>
      <c r="GR15" s="1098">
        <v>2</v>
      </c>
      <c r="GS15" s="1098">
        <v>3.5</v>
      </c>
      <c r="GT15" s="1098">
        <v>8</v>
      </c>
      <c r="GU15" s="1098">
        <v>2</v>
      </c>
      <c r="GV15" s="1098">
        <v>2</v>
      </c>
      <c r="GW15" s="1098">
        <v>0.5</v>
      </c>
      <c r="GX15" s="1098">
        <v>2</v>
      </c>
      <c r="GY15" s="1098"/>
      <c r="GZ15" s="1098">
        <v>4</v>
      </c>
      <c r="HA15" s="1097">
        <f t="shared" si="20"/>
        <v>36</v>
      </c>
      <c r="HB15" s="1098"/>
      <c r="HC15" s="1098"/>
      <c r="HD15" s="1098"/>
      <c r="HE15" s="1098"/>
      <c r="HF15" s="1098"/>
      <c r="HG15" s="1098"/>
      <c r="HH15" s="1098">
        <v>1</v>
      </c>
      <c r="HI15" s="1098"/>
      <c r="HJ15" s="1098">
        <v>0.5</v>
      </c>
      <c r="HK15" s="1098"/>
      <c r="HL15" s="1098"/>
      <c r="HM15" s="1098">
        <v>12</v>
      </c>
      <c r="HN15" s="1097">
        <f t="shared" si="21"/>
        <v>13.5</v>
      </c>
      <c r="HO15" s="1098"/>
      <c r="HP15" s="1098">
        <v>6</v>
      </c>
      <c r="HQ15" s="1098">
        <v>14</v>
      </c>
      <c r="HR15" s="1098"/>
      <c r="HS15" s="1098">
        <v>1</v>
      </c>
      <c r="HT15" s="1098">
        <v>5</v>
      </c>
      <c r="HU15" s="1098">
        <v>8</v>
      </c>
      <c r="HV15" s="1098">
        <v>3</v>
      </c>
      <c r="HW15" s="1098">
        <v>4</v>
      </c>
      <c r="HX15" s="1098">
        <v>4.5</v>
      </c>
      <c r="HY15" s="1098">
        <v>4</v>
      </c>
      <c r="HZ15" s="1098">
        <v>4</v>
      </c>
      <c r="IA15" s="1097">
        <f t="shared" si="22"/>
        <v>53.5</v>
      </c>
      <c r="IB15" s="1098">
        <v>3</v>
      </c>
      <c r="IC15" s="1098">
        <v>2</v>
      </c>
      <c r="ID15" s="1098">
        <v>6</v>
      </c>
      <c r="IE15" s="1098">
        <v>4</v>
      </c>
      <c r="IF15" s="1098">
        <v>4</v>
      </c>
      <c r="IG15" s="1098">
        <v>4</v>
      </c>
      <c r="IH15" s="1098">
        <v>1</v>
      </c>
      <c r="II15" s="1098">
        <v>1</v>
      </c>
      <c r="IJ15" s="1098">
        <v>2</v>
      </c>
      <c r="IK15" s="1098">
        <v>1</v>
      </c>
      <c r="IL15" s="1098">
        <v>3</v>
      </c>
      <c r="IM15" s="1098">
        <v>2</v>
      </c>
      <c r="IN15" s="1097">
        <f t="shared" si="23"/>
        <v>33</v>
      </c>
      <c r="IO15" s="1098">
        <v>3</v>
      </c>
      <c r="IP15" s="1098"/>
      <c r="IQ15" s="1098"/>
      <c r="IR15" s="1098">
        <v>5</v>
      </c>
      <c r="IS15" s="1098">
        <v>5</v>
      </c>
      <c r="IT15" s="1098">
        <v>2</v>
      </c>
      <c r="IU15" s="1098">
        <v>9</v>
      </c>
      <c r="IV15" s="1098">
        <v>6</v>
      </c>
      <c r="IW15" s="1098">
        <v>2</v>
      </c>
      <c r="IX15" s="1098">
        <v>7</v>
      </c>
      <c r="IY15" s="1098">
        <v>5</v>
      </c>
      <c r="IZ15" s="1098">
        <v>4.5</v>
      </c>
      <c r="JA15" s="1097">
        <f t="shared" si="24"/>
        <v>48.5</v>
      </c>
      <c r="JB15" s="1098">
        <v>8</v>
      </c>
      <c r="JC15" s="1098">
        <v>9</v>
      </c>
      <c r="JD15" s="1098">
        <v>9</v>
      </c>
      <c r="JE15" s="1098">
        <v>4</v>
      </c>
      <c r="JF15" s="1098">
        <v>8</v>
      </c>
      <c r="JG15" s="1098">
        <v>8</v>
      </c>
      <c r="JH15" s="1098"/>
      <c r="JI15" s="1098"/>
      <c r="JJ15" s="1098"/>
      <c r="JK15" s="1098"/>
      <c r="JL15" s="1098"/>
      <c r="JM15" s="1098"/>
      <c r="JN15" s="1097">
        <f t="shared" si="25"/>
        <v>46</v>
      </c>
      <c r="JO15" s="1266"/>
      <c r="JP15" s="1116">
        <f t="shared" si="28"/>
        <v>-19.999999999999996</v>
      </c>
      <c r="JQ15" s="1117">
        <f t="shared" si="29"/>
        <v>275</v>
      </c>
      <c r="JR15" s="1079">
        <f t="shared" si="30"/>
        <v>8</v>
      </c>
      <c r="JS15" s="1118">
        <f t="shared" si="31"/>
        <v>30</v>
      </c>
      <c r="JU15" s="1079">
        <f t="shared" si="26"/>
        <v>1671.8000000000004</v>
      </c>
      <c r="JV15" s="1080" t="s">
        <v>142</v>
      </c>
      <c r="JW15" s="1081" t="str">
        <f t="shared" si="27"/>
        <v>OK</v>
      </c>
    </row>
    <row r="16" spans="1:283" ht="15" customHeight="1" x14ac:dyDescent="0.2">
      <c r="A16" s="1261" t="s">
        <v>566</v>
      </c>
      <c r="B16" s="1098">
        <v>61</v>
      </c>
      <c r="C16" s="1098">
        <v>66</v>
      </c>
      <c r="D16" s="1098">
        <v>86</v>
      </c>
      <c r="E16" s="1098">
        <v>76</v>
      </c>
      <c r="F16" s="1098">
        <v>62</v>
      </c>
      <c r="G16" s="1098">
        <v>98</v>
      </c>
      <c r="H16" s="1098">
        <v>72</v>
      </c>
      <c r="I16" s="1098">
        <v>65</v>
      </c>
      <c r="J16" s="1098">
        <v>92</v>
      </c>
      <c r="K16" s="1098">
        <v>98</v>
      </c>
      <c r="L16" s="1098">
        <v>123</v>
      </c>
      <c r="M16" s="1098">
        <v>98</v>
      </c>
      <c r="N16" s="1097">
        <f t="shared" si="5"/>
        <v>997</v>
      </c>
      <c r="O16" s="1098">
        <v>54</v>
      </c>
      <c r="P16" s="1098">
        <v>45</v>
      </c>
      <c r="Q16" s="1098">
        <v>68</v>
      </c>
      <c r="R16" s="1098">
        <v>73</v>
      </c>
      <c r="S16" s="1098">
        <v>51</v>
      </c>
      <c r="T16" s="1098">
        <v>39</v>
      </c>
      <c r="U16" s="1098">
        <v>21</v>
      </c>
      <c r="V16" s="1098">
        <v>50</v>
      </c>
      <c r="W16" s="1098">
        <v>60</v>
      </c>
      <c r="X16" s="1098">
        <v>65</v>
      </c>
      <c r="Y16" s="1098">
        <v>226</v>
      </c>
      <c r="Z16" s="1098">
        <v>59</v>
      </c>
      <c r="AA16" s="1097">
        <f t="shared" si="6"/>
        <v>811</v>
      </c>
      <c r="AB16" s="1098">
        <v>37</v>
      </c>
      <c r="AC16" s="1098">
        <v>46</v>
      </c>
      <c r="AD16" s="1098">
        <v>50</v>
      </c>
      <c r="AE16" s="1098">
        <v>38</v>
      </c>
      <c r="AF16" s="1098">
        <v>39</v>
      </c>
      <c r="AG16" s="1098">
        <v>38</v>
      </c>
      <c r="AH16" s="1098">
        <v>52</v>
      </c>
      <c r="AI16" s="1098">
        <v>60</v>
      </c>
      <c r="AJ16" s="1098">
        <v>61</v>
      </c>
      <c r="AK16" s="1098">
        <v>52</v>
      </c>
      <c r="AL16" s="1098">
        <v>75</v>
      </c>
      <c r="AM16" s="1098">
        <v>76</v>
      </c>
      <c r="AN16" s="1097">
        <f t="shared" si="7"/>
        <v>624</v>
      </c>
      <c r="AO16" s="1098">
        <v>53</v>
      </c>
      <c r="AP16" s="1098">
        <v>63</v>
      </c>
      <c r="AQ16" s="1098">
        <v>79</v>
      </c>
      <c r="AR16" s="1098">
        <v>89</v>
      </c>
      <c r="AS16" s="1098">
        <v>83</v>
      </c>
      <c r="AT16" s="1098">
        <v>87</v>
      </c>
      <c r="AU16" s="1098">
        <v>102</v>
      </c>
      <c r="AV16" s="1098">
        <v>92</v>
      </c>
      <c r="AW16" s="1098">
        <v>74</v>
      </c>
      <c r="AX16" s="1098">
        <v>105</v>
      </c>
      <c r="AY16" s="1098">
        <v>87</v>
      </c>
      <c r="AZ16" s="1098">
        <v>99</v>
      </c>
      <c r="BA16" s="1097">
        <f t="shared" si="8"/>
        <v>1013</v>
      </c>
      <c r="BB16" s="1098">
        <v>85</v>
      </c>
      <c r="BC16" s="1098">
        <v>108</v>
      </c>
      <c r="BD16" s="1098">
        <v>83</v>
      </c>
      <c r="BE16" s="1098">
        <v>72</v>
      </c>
      <c r="BF16" s="1098">
        <v>82</v>
      </c>
      <c r="BG16" s="1098">
        <v>58</v>
      </c>
      <c r="BH16" s="1098">
        <v>97</v>
      </c>
      <c r="BI16" s="1098">
        <v>101</v>
      </c>
      <c r="BJ16" s="1098">
        <v>118</v>
      </c>
      <c r="BK16" s="1098">
        <v>121</v>
      </c>
      <c r="BL16" s="1098">
        <v>93</v>
      </c>
      <c r="BM16" s="1098">
        <v>99</v>
      </c>
      <c r="BN16" s="1097">
        <f t="shared" si="9"/>
        <v>1117</v>
      </c>
      <c r="BO16" s="1098">
        <v>68</v>
      </c>
      <c r="BP16" s="1098">
        <v>71</v>
      </c>
      <c r="BQ16" s="1098">
        <v>96</v>
      </c>
      <c r="BR16" s="1098">
        <v>105</v>
      </c>
      <c r="BS16" s="1098">
        <v>88</v>
      </c>
      <c r="BT16" s="1098">
        <v>84</v>
      </c>
      <c r="BU16" s="1098">
        <v>94</v>
      </c>
      <c r="BV16" s="1098">
        <v>121</v>
      </c>
      <c r="BW16" s="1098">
        <v>112</v>
      </c>
      <c r="BX16" s="1098">
        <v>111</v>
      </c>
      <c r="BY16" s="1098">
        <v>107</v>
      </c>
      <c r="BZ16" s="1098">
        <v>107</v>
      </c>
      <c r="CA16" s="1097">
        <f t="shared" si="10"/>
        <v>1164</v>
      </c>
      <c r="CB16" s="1098">
        <v>95</v>
      </c>
      <c r="CC16" s="1098">
        <v>93</v>
      </c>
      <c r="CD16" s="1098">
        <v>87</v>
      </c>
      <c r="CE16" s="1098">
        <v>80</v>
      </c>
      <c r="CF16" s="1098">
        <v>68</v>
      </c>
      <c r="CG16" s="1098">
        <v>70</v>
      </c>
      <c r="CH16" s="1098">
        <v>76</v>
      </c>
      <c r="CI16" s="1098">
        <v>46</v>
      </c>
      <c r="CJ16" s="1098">
        <v>83</v>
      </c>
      <c r="CK16" s="1098">
        <v>82</v>
      </c>
      <c r="CL16" s="1098">
        <v>85</v>
      </c>
      <c r="CM16" s="1098">
        <v>113</v>
      </c>
      <c r="CN16" s="1097">
        <f t="shared" si="11"/>
        <v>978</v>
      </c>
      <c r="CO16" s="1098">
        <v>65</v>
      </c>
      <c r="CP16" s="1098">
        <v>60</v>
      </c>
      <c r="CQ16" s="1098">
        <v>63</v>
      </c>
      <c r="CR16" s="1098">
        <v>71</v>
      </c>
      <c r="CS16" s="1098">
        <v>69</v>
      </c>
      <c r="CT16" s="1098">
        <v>88</v>
      </c>
      <c r="CU16" s="1098">
        <v>105</v>
      </c>
      <c r="CV16" s="1098">
        <v>98</v>
      </c>
      <c r="CW16" s="1098">
        <v>88</v>
      </c>
      <c r="CX16" s="1098">
        <v>110</v>
      </c>
      <c r="CY16" s="1098">
        <v>105</v>
      </c>
      <c r="CZ16" s="1098">
        <v>95</v>
      </c>
      <c r="DA16" s="1097">
        <f t="shared" si="12"/>
        <v>1017</v>
      </c>
      <c r="DB16" s="1098">
        <v>73</v>
      </c>
      <c r="DC16" s="1098">
        <v>88</v>
      </c>
      <c r="DD16" s="1098">
        <v>79</v>
      </c>
      <c r="DE16" s="1098">
        <v>100</v>
      </c>
      <c r="DF16" s="1098">
        <v>74</v>
      </c>
      <c r="DG16" s="1098">
        <v>72</v>
      </c>
      <c r="DH16" s="1098">
        <v>108</v>
      </c>
      <c r="DI16" s="1098">
        <v>117</v>
      </c>
      <c r="DJ16" s="1098">
        <v>104</v>
      </c>
      <c r="DK16" s="1098">
        <v>115</v>
      </c>
      <c r="DL16" s="1098">
        <v>117</v>
      </c>
      <c r="DM16" s="1098">
        <v>15</v>
      </c>
      <c r="DN16" s="1097">
        <f t="shared" si="13"/>
        <v>1062</v>
      </c>
      <c r="DO16" s="1098">
        <v>4</v>
      </c>
      <c r="DP16" s="1098">
        <v>4</v>
      </c>
      <c r="DQ16" s="1098"/>
      <c r="DR16" s="1098"/>
      <c r="DS16" s="1098"/>
      <c r="DT16" s="1098"/>
      <c r="DU16" s="1098"/>
      <c r="DV16" s="1098"/>
      <c r="DW16" s="1098"/>
      <c r="DX16" s="1098"/>
      <c r="DY16" s="1098">
        <v>157</v>
      </c>
      <c r="DZ16" s="1098">
        <v>3</v>
      </c>
      <c r="EA16" s="1097">
        <f t="shared" si="14"/>
        <v>168</v>
      </c>
      <c r="EB16" s="1098">
        <v>68</v>
      </c>
      <c r="EC16" s="1098">
        <v>80</v>
      </c>
      <c r="ED16" s="1098">
        <v>77</v>
      </c>
      <c r="EE16" s="1098">
        <v>82</v>
      </c>
      <c r="EF16" s="1098">
        <v>97</v>
      </c>
      <c r="EG16" s="1098">
        <v>66</v>
      </c>
      <c r="EH16" s="1098">
        <v>104</v>
      </c>
      <c r="EI16" s="1098">
        <v>106</v>
      </c>
      <c r="EJ16" s="1098">
        <v>98</v>
      </c>
      <c r="EK16" s="1098">
        <v>97</v>
      </c>
      <c r="EL16" s="1098">
        <v>124</v>
      </c>
      <c r="EM16" s="1098">
        <v>90</v>
      </c>
      <c r="EN16" s="1097">
        <f t="shared" si="15"/>
        <v>1089</v>
      </c>
      <c r="EO16" s="1098">
        <v>63</v>
      </c>
      <c r="EP16" s="1098">
        <v>59</v>
      </c>
      <c r="EQ16" s="1098">
        <v>78</v>
      </c>
      <c r="ER16" s="1098">
        <v>67</v>
      </c>
      <c r="ES16" s="1098">
        <v>61</v>
      </c>
      <c r="ET16" s="1098">
        <v>74</v>
      </c>
      <c r="EU16" s="1098">
        <v>92</v>
      </c>
      <c r="EV16" s="1098">
        <v>99</v>
      </c>
      <c r="EW16" s="1098">
        <v>97</v>
      </c>
      <c r="EX16" s="1098">
        <v>106</v>
      </c>
      <c r="EY16" s="1098">
        <v>85</v>
      </c>
      <c r="EZ16" s="1098">
        <v>99</v>
      </c>
      <c r="FA16" s="1097">
        <f t="shared" si="16"/>
        <v>980</v>
      </c>
      <c r="FB16" s="1098">
        <v>76</v>
      </c>
      <c r="FC16" s="1098">
        <v>72</v>
      </c>
      <c r="FD16" s="1098">
        <v>72</v>
      </c>
      <c r="FE16" s="1098">
        <v>71</v>
      </c>
      <c r="FF16" s="1098">
        <v>69</v>
      </c>
      <c r="FG16" s="1098">
        <v>85</v>
      </c>
      <c r="FH16" s="1098">
        <v>91</v>
      </c>
      <c r="FI16" s="1098">
        <v>92</v>
      </c>
      <c r="FJ16" s="1098">
        <v>101</v>
      </c>
      <c r="FK16" s="1098">
        <v>97</v>
      </c>
      <c r="FL16" s="1098">
        <v>94</v>
      </c>
      <c r="FM16" s="1098">
        <v>80</v>
      </c>
      <c r="FN16" s="1097">
        <f t="shared" si="17"/>
        <v>1000</v>
      </c>
      <c r="FO16" s="1098">
        <v>65</v>
      </c>
      <c r="FP16" s="1098">
        <v>64</v>
      </c>
      <c r="FQ16" s="1098">
        <v>89</v>
      </c>
      <c r="FR16" s="1098">
        <v>72</v>
      </c>
      <c r="FS16" s="1098">
        <v>79</v>
      </c>
      <c r="FT16" s="1098">
        <v>75</v>
      </c>
      <c r="FU16" s="1098">
        <v>86</v>
      </c>
      <c r="FV16" s="1098">
        <v>102</v>
      </c>
      <c r="FW16" s="1098">
        <v>108</v>
      </c>
      <c r="FX16" s="1098">
        <v>115</v>
      </c>
      <c r="FY16" s="1098">
        <v>108</v>
      </c>
      <c r="FZ16" s="1098">
        <v>91</v>
      </c>
      <c r="GA16" s="1097">
        <f t="shared" si="18"/>
        <v>1054</v>
      </c>
      <c r="GB16" s="1098">
        <v>82</v>
      </c>
      <c r="GC16" s="1098">
        <v>70</v>
      </c>
      <c r="GD16" s="1098">
        <v>89</v>
      </c>
      <c r="GE16" s="1098">
        <v>163</v>
      </c>
      <c r="GF16" s="1098">
        <v>93</v>
      </c>
      <c r="GG16" s="1098">
        <v>90</v>
      </c>
      <c r="GH16" s="1098">
        <v>126</v>
      </c>
      <c r="GI16" s="1098">
        <v>124</v>
      </c>
      <c r="GJ16" s="1098">
        <v>81</v>
      </c>
      <c r="GK16" s="1098">
        <v>122</v>
      </c>
      <c r="GL16" s="1098">
        <v>74</v>
      </c>
      <c r="GM16" s="1098">
        <v>68</v>
      </c>
      <c r="GN16" s="1097">
        <f t="shared" si="19"/>
        <v>1182</v>
      </c>
      <c r="GO16" s="1098">
        <v>58.5</v>
      </c>
      <c r="GP16" s="1098">
        <v>69.5</v>
      </c>
      <c r="GQ16" s="1098">
        <v>98.5</v>
      </c>
      <c r="GR16" s="1098">
        <v>91.5</v>
      </c>
      <c r="GS16" s="1098">
        <v>84</v>
      </c>
      <c r="GT16" s="1098">
        <v>108.5</v>
      </c>
      <c r="GU16" s="1098">
        <v>127</v>
      </c>
      <c r="GV16" s="1098">
        <v>123</v>
      </c>
      <c r="GW16" s="1098">
        <v>108</v>
      </c>
      <c r="GX16" s="1098">
        <v>136</v>
      </c>
      <c r="GY16" s="1098">
        <v>125</v>
      </c>
      <c r="GZ16" s="1098">
        <v>112</v>
      </c>
      <c r="HA16" s="1097">
        <f t="shared" si="20"/>
        <v>1241.5</v>
      </c>
      <c r="HB16" s="1098">
        <v>89.5</v>
      </c>
      <c r="HC16" s="1098">
        <v>119</v>
      </c>
      <c r="HD16" s="1098">
        <v>111</v>
      </c>
      <c r="HE16" s="1098">
        <v>99.5</v>
      </c>
      <c r="HF16" s="1098">
        <v>93</v>
      </c>
      <c r="HG16" s="1098">
        <v>89</v>
      </c>
      <c r="HH16" s="1098">
        <v>137</v>
      </c>
      <c r="HI16" s="1098">
        <v>134.5</v>
      </c>
      <c r="HJ16" s="1098">
        <v>131</v>
      </c>
      <c r="HK16" s="1098">
        <v>119.5</v>
      </c>
      <c r="HL16" s="1098">
        <v>114</v>
      </c>
      <c r="HM16" s="1098">
        <v>99.5</v>
      </c>
      <c r="HN16" s="1097">
        <f t="shared" si="21"/>
        <v>1336.5</v>
      </c>
      <c r="HO16" s="1098">
        <v>83</v>
      </c>
      <c r="HP16" s="1098">
        <v>110.5</v>
      </c>
      <c r="HQ16" s="1098">
        <v>135</v>
      </c>
      <c r="HR16" s="1098">
        <v>114</v>
      </c>
      <c r="HS16" s="1098"/>
      <c r="HT16" s="1098">
        <v>95.5</v>
      </c>
      <c r="HU16" s="1098">
        <v>126</v>
      </c>
      <c r="HV16" s="1098">
        <v>114</v>
      </c>
      <c r="HW16" s="1098">
        <v>159.5</v>
      </c>
      <c r="HX16" s="1098">
        <v>158.5</v>
      </c>
      <c r="HY16" s="1098">
        <v>169.5</v>
      </c>
      <c r="HZ16" s="1098">
        <v>117</v>
      </c>
      <c r="IA16" s="1097">
        <f t="shared" si="22"/>
        <v>1382.5</v>
      </c>
      <c r="IB16" s="1098">
        <v>114</v>
      </c>
      <c r="IC16" s="1098">
        <v>158.5</v>
      </c>
      <c r="ID16" s="1098">
        <v>158.5</v>
      </c>
      <c r="IE16" s="1098">
        <v>170</v>
      </c>
      <c r="IF16" s="1098">
        <v>170</v>
      </c>
      <c r="IG16" s="1098">
        <v>109.5</v>
      </c>
      <c r="IH16" s="1098">
        <v>127</v>
      </c>
      <c r="II16" s="1098">
        <v>103</v>
      </c>
      <c r="IJ16" s="1098">
        <v>120</v>
      </c>
      <c r="IK16" s="1098">
        <v>96.5</v>
      </c>
      <c r="IL16" s="1098">
        <v>169</v>
      </c>
      <c r="IM16" s="1098">
        <v>128.5</v>
      </c>
      <c r="IN16" s="1097">
        <f t="shared" si="23"/>
        <v>1624.5</v>
      </c>
      <c r="IO16" s="1098">
        <v>108</v>
      </c>
      <c r="IP16" s="1098">
        <v>53</v>
      </c>
      <c r="IQ16" s="1098">
        <v>82</v>
      </c>
      <c r="IR16" s="1098">
        <v>59</v>
      </c>
      <c r="IS16" s="1098">
        <v>69</v>
      </c>
      <c r="IT16" s="1098">
        <v>66</v>
      </c>
      <c r="IU16" s="1098">
        <v>86.5</v>
      </c>
      <c r="IV16" s="1098">
        <v>100</v>
      </c>
      <c r="IW16" s="1098">
        <v>73</v>
      </c>
      <c r="IX16" s="1098">
        <v>52.5</v>
      </c>
      <c r="IY16" s="1098">
        <v>161</v>
      </c>
      <c r="IZ16" s="1098">
        <v>113.5</v>
      </c>
      <c r="JA16" s="1097">
        <f t="shared" si="24"/>
        <v>1023.5</v>
      </c>
      <c r="JB16" s="1098">
        <v>75</v>
      </c>
      <c r="JC16" s="1098">
        <v>48</v>
      </c>
      <c r="JD16" s="1098">
        <v>48</v>
      </c>
      <c r="JE16" s="1098">
        <v>70</v>
      </c>
      <c r="JF16" s="1098">
        <v>54</v>
      </c>
      <c r="JG16" s="1098">
        <v>61</v>
      </c>
      <c r="JH16" s="1098"/>
      <c r="JI16" s="1098"/>
      <c r="JJ16" s="1098"/>
      <c r="JK16" s="1098"/>
      <c r="JL16" s="1098"/>
      <c r="JM16" s="1098"/>
      <c r="JN16" s="1097">
        <f t="shared" si="25"/>
        <v>356</v>
      </c>
      <c r="JO16" s="1266"/>
      <c r="JP16" s="1116">
        <f t="shared" si="28"/>
        <v>18.644067796610166</v>
      </c>
      <c r="JQ16" s="1117">
        <f t="shared" si="29"/>
        <v>-20.198675496688743</v>
      </c>
      <c r="JR16" s="1079">
        <f t="shared" si="30"/>
        <v>302</v>
      </c>
      <c r="JS16" s="1118">
        <f t="shared" si="31"/>
        <v>241</v>
      </c>
      <c r="JU16" s="1079">
        <f t="shared" si="26"/>
        <v>40447</v>
      </c>
      <c r="JV16" s="1080" t="s">
        <v>566</v>
      </c>
      <c r="JW16" s="1081" t="str">
        <f t="shared" si="27"/>
        <v>OK</v>
      </c>
    </row>
    <row r="17" spans="1:283" ht="15" customHeight="1" x14ac:dyDescent="0.2">
      <c r="A17" s="1261" t="s">
        <v>567</v>
      </c>
      <c r="B17" s="1098">
        <v>417</v>
      </c>
      <c r="C17" s="1098">
        <v>35</v>
      </c>
      <c r="D17" s="1098">
        <v>67</v>
      </c>
      <c r="E17" s="1098">
        <v>31</v>
      </c>
      <c r="F17" s="1098">
        <v>65</v>
      </c>
      <c r="G17" s="1098">
        <v>416</v>
      </c>
      <c r="H17" s="1098">
        <v>636</v>
      </c>
      <c r="I17" s="1098">
        <v>187</v>
      </c>
      <c r="J17" s="1098">
        <v>308</v>
      </c>
      <c r="K17" s="1098">
        <v>367</v>
      </c>
      <c r="L17" s="1098">
        <v>979</v>
      </c>
      <c r="M17" s="1098">
        <v>702</v>
      </c>
      <c r="N17" s="1097">
        <f t="shared" si="5"/>
        <v>4210</v>
      </c>
      <c r="O17" s="1098">
        <v>284</v>
      </c>
      <c r="P17" s="1098">
        <v>166</v>
      </c>
      <c r="Q17" s="1098">
        <v>119</v>
      </c>
      <c r="R17" s="1098">
        <v>44</v>
      </c>
      <c r="S17" s="1098">
        <v>126</v>
      </c>
      <c r="T17" s="1098">
        <v>570</v>
      </c>
      <c r="U17" s="1098">
        <v>154</v>
      </c>
      <c r="V17" s="1098">
        <v>56</v>
      </c>
      <c r="W17" s="1098">
        <v>221</v>
      </c>
      <c r="X17" s="1098">
        <v>780</v>
      </c>
      <c r="Y17" s="1098">
        <v>1222</v>
      </c>
      <c r="Z17" s="1098">
        <v>615</v>
      </c>
      <c r="AA17" s="1097">
        <f t="shared" si="6"/>
        <v>4357</v>
      </c>
      <c r="AB17" s="1098">
        <v>250</v>
      </c>
      <c r="AC17" s="1098">
        <v>54</v>
      </c>
      <c r="AD17" s="1098">
        <v>34</v>
      </c>
      <c r="AE17" s="1098">
        <v>36.5</v>
      </c>
      <c r="AF17" s="1098">
        <v>11</v>
      </c>
      <c r="AG17" s="1098">
        <v>528</v>
      </c>
      <c r="AH17" s="1098">
        <v>205</v>
      </c>
      <c r="AI17" s="1098">
        <v>19</v>
      </c>
      <c r="AJ17" s="1098">
        <v>135</v>
      </c>
      <c r="AK17" s="1098">
        <v>706</v>
      </c>
      <c r="AL17" s="1098">
        <v>1068</v>
      </c>
      <c r="AM17" s="1098">
        <v>528</v>
      </c>
      <c r="AN17" s="1097">
        <f t="shared" si="7"/>
        <v>3574.5</v>
      </c>
      <c r="AO17" s="1098">
        <v>181</v>
      </c>
      <c r="AP17" s="1098">
        <v>40</v>
      </c>
      <c r="AQ17" s="1098">
        <v>34</v>
      </c>
      <c r="AR17" s="1098">
        <v>36</v>
      </c>
      <c r="AS17" s="1098">
        <v>26</v>
      </c>
      <c r="AT17" s="1098">
        <v>218</v>
      </c>
      <c r="AU17" s="1098">
        <v>353</v>
      </c>
      <c r="AV17" s="1098">
        <v>46</v>
      </c>
      <c r="AW17" s="1098">
        <v>100</v>
      </c>
      <c r="AX17" s="1098">
        <v>796</v>
      </c>
      <c r="AY17" s="1098">
        <v>1387</v>
      </c>
      <c r="AZ17" s="1098">
        <v>452</v>
      </c>
      <c r="BA17" s="1097">
        <f t="shared" si="8"/>
        <v>3669</v>
      </c>
      <c r="BB17" s="1098">
        <v>95</v>
      </c>
      <c r="BC17" s="1098">
        <v>61</v>
      </c>
      <c r="BD17" s="1098">
        <v>42</v>
      </c>
      <c r="BE17" s="1098">
        <v>54</v>
      </c>
      <c r="BF17" s="1098">
        <v>168</v>
      </c>
      <c r="BG17" s="1098">
        <v>276</v>
      </c>
      <c r="BH17" s="1098">
        <v>819</v>
      </c>
      <c r="BI17" s="1098">
        <v>124</v>
      </c>
      <c r="BJ17" s="1098">
        <v>200</v>
      </c>
      <c r="BK17" s="1098">
        <v>721</v>
      </c>
      <c r="BL17" s="1098">
        <v>1543</v>
      </c>
      <c r="BM17" s="1098">
        <v>905</v>
      </c>
      <c r="BN17" s="1097">
        <f t="shared" si="9"/>
        <v>5008</v>
      </c>
      <c r="BO17" s="1098">
        <v>305</v>
      </c>
      <c r="BP17" s="1098">
        <v>75</v>
      </c>
      <c r="BQ17" s="1098">
        <v>108</v>
      </c>
      <c r="BR17" s="1098">
        <v>86</v>
      </c>
      <c r="BS17" s="1098">
        <v>234</v>
      </c>
      <c r="BT17" s="1098">
        <v>524</v>
      </c>
      <c r="BU17" s="1098">
        <v>466</v>
      </c>
      <c r="BV17" s="1098">
        <v>112</v>
      </c>
      <c r="BW17" s="1098">
        <v>237</v>
      </c>
      <c r="BX17" s="1098">
        <v>966</v>
      </c>
      <c r="BY17" s="1098">
        <v>1787</v>
      </c>
      <c r="BZ17" s="1098">
        <v>830</v>
      </c>
      <c r="CA17" s="1097">
        <f t="shared" si="10"/>
        <v>5730</v>
      </c>
      <c r="CB17" s="1098">
        <v>465</v>
      </c>
      <c r="CC17" s="1098">
        <v>109</v>
      </c>
      <c r="CD17" s="1098">
        <v>78</v>
      </c>
      <c r="CE17" s="1098">
        <v>131</v>
      </c>
      <c r="CF17" s="1098">
        <v>469</v>
      </c>
      <c r="CG17" s="1098">
        <v>507</v>
      </c>
      <c r="CH17" s="1098">
        <v>452</v>
      </c>
      <c r="CI17" s="1098">
        <v>131</v>
      </c>
      <c r="CJ17" s="1098">
        <v>127</v>
      </c>
      <c r="CK17" s="1098">
        <v>922</v>
      </c>
      <c r="CL17" s="1098">
        <v>1761</v>
      </c>
      <c r="CM17" s="1098">
        <v>844</v>
      </c>
      <c r="CN17" s="1097">
        <f t="shared" si="11"/>
        <v>5996</v>
      </c>
      <c r="CO17" s="1098">
        <v>126</v>
      </c>
      <c r="CP17" s="1098">
        <v>81</v>
      </c>
      <c r="CQ17" s="1098">
        <v>113</v>
      </c>
      <c r="CR17" s="1098">
        <v>122</v>
      </c>
      <c r="CS17" s="1098">
        <v>259</v>
      </c>
      <c r="CT17" s="1098">
        <v>368</v>
      </c>
      <c r="CU17" s="1098">
        <v>404</v>
      </c>
      <c r="CV17" s="1098">
        <v>183</v>
      </c>
      <c r="CW17" s="1098">
        <v>442</v>
      </c>
      <c r="CX17" s="1098">
        <v>1071</v>
      </c>
      <c r="CY17" s="1098">
        <v>1091</v>
      </c>
      <c r="CZ17" s="1098">
        <v>349</v>
      </c>
      <c r="DA17" s="1097">
        <f t="shared" si="12"/>
        <v>4609</v>
      </c>
      <c r="DB17" s="1098">
        <v>215</v>
      </c>
      <c r="DC17" s="1098">
        <v>111</v>
      </c>
      <c r="DD17" s="1098">
        <v>98</v>
      </c>
      <c r="DE17" s="1098">
        <v>50</v>
      </c>
      <c r="DF17" s="1098">
        <v>162</v>
      </c>
      <c r="DG17" s="1098">
        <v>307</v>
      </c>
      <c r="DH17" s="1098">
        <v>270</v>
      </c>
      <c r="DI17" s="1098">
        <v>40</v>
      </c>
      <c r="DJ17" s="1098">
        <v>398</v>
      </c>
      <c r="DK17" s="1098">
        <v>938</v>
      </c>
      <c r="DL17" s="1098">
        <v>1045</v>
      </c>
      <c r="DM17" s="1098"/>
      <c r="DN17" s="1097">
        <f t="shared" si="13"/>
        <v>3634</v>
      </c>
      <c r="DO17" s="1098"/>
      <c r="DP17" s="1098"/>
      <c r="DQ17" s="1098"/>
      <c r="DR17" s="1098"/>
      <c r="DS17" s="1098"/>
      <c r="DT17" s="1098"/>
      <c r="DU17" s="1098"/>
      <c r="DV17" s="1098"/>
      <c r="DW17" s="1098"/>
      <c r="DX17" s="1098"/>
      <c r="DY17" s="1098">
        <v>1277</v>
      </c>
      <c r="DZ17" s="1098"/>
      <c r="EA17" s="1097">
        <f t="shared" si="14"/>
        <v>1277</v>
      </c>
      <c r="EB17" s="1098">
        <v>208</v>
      </c>
      <c r="EC17" s="1098">
        <v>60</v>
      </c>
      <c r="ED17" s="1098">
        <v>20</v>
      </c>
      <c r="EE17" s="1098">
        <v>93</v>
      </c>
      <c r="EF17" s="1098">
        <v>161</v>
      </c>
      <c r="EG17" s="1098">
        <v>150</v>
      </c>
      <c r="EH17" s="1098">
        <v>154</v>
      </c>
      <c r="EI17" s="1098">
        <v>118</v>
      </c>
      <c r="EJ17" s="1098">
        <v>866</v>
      </c>
      <c r="EK17" s="1098">
        <v>866</v>
      </c>
      <c r="EL17" s="1098">
        <v>876</v>
      </c>
      <c r="EM17" s="1098">
        <v>326</v>
      </c>
      <c r="EN17" s="1097">
        <f t="shared" si="15"/>
        <v>3898</v>
      </c>
      <c r="EO17" s="1098">
        <v>186</v>
      </c>
      <c r="EP17" s="1098">
        <v>38</v>
      </c>
      <c r="EQ17" s="1098">
        <v>39</v>
      </c>
      <c r="ER17" s="1098">
        <v>10</v>
      </c>
      <c r="ES17" s="1098">
        <v>39</v>
      </c>
      <c r="ET17" s="1098">
        <v>119</v>
      </c>
      <c r="EU17" s="1098">
        <v>136</v>
      </c>
      <c r="EV17" s="1098">
        <v>100</v>
      </c>
      <c r="EW17" s="1098">
        <v>158</v>
      </c>
      <c r="EX17" s="1098">
        <v>951</v>
      </c>
      <c r="EY17" s="1098">
        <v>1014</v>
      </c>
      <c r="EZ17" s="1098">
        <v>403</v>
      </c>
      <c r="FA17" s="1097">
        <f t="shared" si="16"/>
        <v>3193</v>
      </c>
      <c r="FB17" s="1098">
        <v>226</v>
      </c>
      <c r="FC17" s="1098">
        <v>168</v>
      </c>
      <c r="FD17" s="1098">
        <v>40</v>
      </c>
      <c r="FE17" s="1098">
        <v>74</v>
      </c>
      <c r="FF17" s="1098">
        <v>106</v>
      </c>
      <c r="FG17" s="1098">
        <v>84</v>
      </c>
      <c r="FH17" s="1098">
        <v>100</v>
      </c>
      <c r="FI17" s="1098">
        <v>82</v>
      </c>
      <c r="FJ17" s="1098">
        <v>93</v>
      </c>
      <c r="FK17" s="1098">
        <v>1331</v>
      </c>
      <c r="FL17" s="1098">
        <v>828</v>
      </c>
      <c r="FM17" s="1098">
        <v>422</v>
      </c>
      <c r="FN17" s="1097">
        <f t="shared" si="17"/>
        <v>3554</v>
      </c>
      <c r="FO17" s="1098">
        <v>118</v>
      </c>
      <c r="FP17" s="1098">
        <v>58</v>
      </c>
      <c r="FQ17" s="1098">
        <v>74</v>
      </c>
      <c r="FR17" s="1098">
        <v>63</v>
      </c>
      <c r="FS17" s="1098">
        <v>137</v>
      </c>
      <c r="FT17" s="1098">
        <v>132</v>
      </c>
      <c r="FU17" s="1098">
        <v>131</v>
      </c>
      <c r="FV17" s="1098">
        <v>116</v>
      </c>
      <c r="FW17" s="1098">
        <v>469</v>
      </c>
      <c r="FX17" s="1098">
        <v>705</v>
      </c>
      <c r="FY17" s="1098">
        <v>697</v>
      </c>
      <c r="FZ17" s="1098">
        <v>350</v>
      </c>
      <c r="GA17" s="1097">
        <f t="shared" si="18"/>
        <v>3050</v>
      </c>
      <c r="GB17" s="1098">
        <v>178</v>
      </c>
      <c r="GC17" s="1098">
        <v>75</v>
      </c>
      <c r="GD17" s="1098">
        <v>20</v>
      </c>
      <c r="GE17" s="1098">
        <v>29</v>
      </c>
      <c r="GF17" s="1098">
        <v>85</v>
      </c>
      <c r="GG17" s="1098">
        <v>121</v>
      </c>
      <c r="GH17" s="1098">
        <v>104</v>
      </c>
      <c r="GI17" s="1098">
        <v>53</v>
      </c>
      <c r="GJ17" s="1098">
        <v>362</v>
      </c>
      <c r="GK17" s="1098">
        <v>730</v>
      </c>
      <c r="GL17" s="1098">
        <v>767</v>
      </c>
      <c r="GM17" s="1098">
        <v>514</v>
      </c>
      <c r="GN17" s="1097">
        <f t="shared" si="19"/>
        <v>3038</v>
      </c>
      <c r="GO17" s="1098">
        <v>242</v>
      </c>
      <c r="GP17" s="1098">
        <v>83.5</v>
      </c>
      <c r="GQ17" s="1098">
        <v>58</v>
      </c>
      <c r="GR17" s="1098">
        <v>38.5</v>
      </c>
      <c r="GS17" s="1098">
        <v>246</v>
      </c>
      <c r="GT17" s="1098">
        <v>214.5</v>
      </c>
      <c r="GU17" s="1098">
        <v>105</v>
      </c>
      <c r="GV17" s="1098">
        <v>27</v>
      </c>
      <c r="GW17" s="1098">
        <v>46.5</v>
      </c>
      <c r="GX17" s="1098">
        <v>996</v>
      </c>
      <c r="GY17" s="1098">
        <v>1014</v>
      </c>
      <c r="GZ17" s="1098">
        <v>599</v>
      </c>
      <c r="HA17" s="1097">
        <f t="shared" si="20"/>
        <v>3670</v>
      </c>
      <c r="HB17" s="1098">
        <v>199.5</v>
      </c>
      <c r="HC17" s="1098">
        <v>165.5</v>
      </c>
      <c r="HD17" s="1098">
        <v>82</v>
      </c>
      <c r="HE17" s="1098">
        <v>60.5</v>
      </c>
      <c r="HF17" s="1098">
        <v>250</v>
      </c>
      <c r="HG17" s="1098">
        <v>233</v>
      </c>
      <c r="HH17" s="1098">
        <v>147.5</v>
      </c>
      <c r="HI17" s="1098">
        <v>105</v>
      </c>
      <c r="HJ17" s="1098">
        <v>206</v>
      </c>
      <c r="HK17" s="1098">
        <v>515.5</v>
      </c>
      <c r="HL17" s="1098">
        <v>1046</v>
      </c>
      <c r="HM17" s="1098">
        <v>412</v>
      </c>
      <c r="HN17" s="1097">
        <f t="shared" si="21"/>
        <v>3422.5</v>
      </c>
      <c r="HO17" s="1098">
        <v>83</v>
      </c>
      <c r="HP17" s="1098">
        <v>96</v>
      </c>
      <c r="HQ17" s="1098">
        <v>81.5</v>
      </c>
      <c r="HR17" s="1098">
        <v>1046</v>
      </c>
      <c r="HS17" s="1098">
        <v>70</v>
      </c>
      <c r="HT17" s="1098">
        <v>154</v>
      </c>
      <c r="HU17" s="1098">
        <v>70.5</v>
      </c>
      <c r="HV17" s="1098">
        <v>104</v>
      </c>
      <c r="HW17" s="1098">
        <v>205</v>
      </c>
      <c r="HX17" s="1098">
        <v>200</v>
      </c>
      <c r="HY17" s="1098">
        <v>845.5</v>
      </c>
      <c r="HZ17" s="1098">
        <v>545.5</v>
      </c>
      <c r="IA17" s="1097">
        <f t="shared" si="22"/>
        <v>3501</v>
      </c>
      <c r="IB17" s="1098">
        <v>795</v>
      </c>
      <c r="IC17" s="1098">
        <v>677</v>
      </c>
      <c r="ID17" s="1098">
        <v>677</v>
      </c>
      <c r="IE17" s="1098">
        <v>1062.5</v>
      </c>
      <c r="IF17" s="1098">
        <v>675</v>
      </c>
      <c r="IG17" s="1098">
        <v>186.5</v>
      </c>
      <c r="IH17" s="1098">
        <v>99.5</v>
      </c>
      <c r="II17" s="1098">
        <v>20</v>
      </c>
      <c r="IJ17" s="1098">
        <v>125</v>
      </c>
      <c r="IK17" s="1098">
        <v>367</v>
      </c>
      <c r="IL17" s="1098">
        <v>811</v>
      </c>
      <c r="IM17" s="1098">
        <v>376.75</v>
      </c>
      <c r="IN17" s="1097">
        <f t="shared" si="23"/>
        <v>5872.25</v>
      </c>
      <c r="IO17" s="1098">
        <v>163</v>
      </c>
      <c r="IP17" s="1098">
        <v>29</v>
      </c>
      <c r="IQ17" s="1098">
        <v>59</v>
      </c>
      <c r="IR17" s="1098">
        <v>14.5</v>
      </c>
      <c r="IS17" s="1098">
        <v>34.5</v>
      </c>
      <c r="IT17" s="1098">
        <v>112.75</v>
      </c>
      <c r="IU17" s="1098">
        <v>75</v>
      </c>
      <c r="IV17" s="1098">
        <v>22</v>
      </c>
      <c r="IW17" s="1098">
        <v>51.25</v>
      </c>
      <c r="IX17" s="1098">
        <v>307</v>
      </c>
      <c r="IY17" s="1098">
        <v>731.75</v>
      </c>
      <c r="IZ17" s="1098">
        <v>330.3</v>
      </c>
      <c r="JA17" s="1097">
        <f t="shared" si="24"/>
        <v>1930.05</v>
      </c>
      <c r="JB17" s="1098">
        <v>22</v>
      </c>
      <c r="JC17" s="1098">
        <v>105.2</v>
      </c>
      <c r="JD17" s="1098">
        <v>108</v>
      </c>
      <c r="JE17" s="1098">
        <v>38</v>
      </c>
      <c r="JF17" s="1098">
        <v>9</v>
      </c>
      <c r="JG17" s="1098">
        <v>135</v>
      </c>
      <c r="JH17" s="1098"/>
      <c r="JI17" s="1098"/>
      <c r="JJ17" s="1098"/>
      <c r="JK17" s="1098"/>
      <c r="JL17" s="1098"/>
      <c r="JM17" s="1098"/>
      <c r="JN17" s="1097">
        <f t="shared" si="25"/>
        <v>417.2</v>
      </c>
      <c r="JO17" s="1266"/>
      <c r="JP17" s="1116">
        <f t="shared" si="28"/>
        <v>162.06896551724137</v>
      </c>
      <c r="JQ17" s="1117">
        <f t="shared" si="29"/>
        <v>2.9001883239171411</v>
      </c>
      <c r="JR17" s="1079">
        <f t="shared" si="30"/>
        <v>265.5</v>
      </c>
      <c r="JS17" s="1118">
        <f t="shared" si="31"/>
        <v>273.2</v>
      </c>
      <c r="JU17" s="1079">
        <f t="shared" si="26"/>
        <v>146801</v>
      </c>
      <c r="JV17" s="1080" t="s">
        <v>567</v>
      </c>
      <c r="JW17" s="1081" t="str">
        <f t="shared" si="27"/>
        <v>OK</v>
      </c>
    </row>
    <row r="18" spans="1:283" ht="15" customHeight="1" x14ac:dyDescent="0.2">
      <c r="A18" s="1261" t="s">
        <v>568</v>
      </c>
      <c r="B18" s="1098"/>
      <c r="C18" s="1098"/>
      <c r="D18" s="1098"/>
      <c r="E18" s="1098"/>
      <c r="F18" s="1098"/>
      <c r="G18" s="1098"/>
      <c r="H18" s="1098"/>
      <c r="I18" s="1098"/>
      <c r="J18" s="1098"/>
      <c r="K18" s="1098"/>
      <c r="L18" s="1098"/>
      <c r="M18" s="1098"/>
      <c r="N18" s="1097">
        <f t="shared" si="5"/>
        <v>0</v>
      </c>
      <c r="O18" s="1098"/>
      <c r="P18" s="1098"/>
      <c r="Q18" s="1098"/>
      <c r="R18" s="1098"/>
      <c r="S18" s="1098"/>
      <c r="T18" s="1098"/>
      <c r="U18" s="1098"/>
      <c r="V18" s="1098"/>
      <c r="W18" s="1098"/>
      <c r="X18" s="1098"/>
      <c r="Y18" s="1098"/>
      <c r="Z18" s="1098"/>
      <c r="AA18" s="1097">
        <f t="shared" si="6"/>
        <v>0</v>
      </c>
      <c r="AB18" s="1098"/>
      <c r="AC18" s="1098"/>
      <c r="AD18" s="1098"/>
      <c r="AE18" s="1098"/>
      <c r="AF18" s="1098"/>
      <c r="AG18" s="1098"/>
      <c r="AH18" s="1098"/>
      <c r="AI18" s="1098"/>
      <c r="AJ18" s="1098"/>
      <c r="AK18" s="1098"/>
      <c r="AL18" s="1098"/>
      <c r="AM18" s="1098"/>
      <c r="AN18" s="1097">
        <f t="shared" si="7"/>
        <v>0</v>
      </c>
      <c r="AO18" s="1098"/>
      <c r="AP18" s="1098"/>
      <c r="AQ18" s="1098"/>
      <c r="AR18" s="1098"/>
      <c r="AS18" s="1098"/>
      <c r="AT18" s="1098"/>
      <c r="AU18" s="1098"/>
      <c r="AV18" s="1098"/>
      <c r="AW18" s="1098"/>
      <c r="AX18" s="1098"/>
      <c r="AY18" s="1098"/>
      <c r="AZ18" s="1098"/>
      <c r="BA18" s="1097">
        <f t="shared" si="8"/>
        <v>0</v>
      </c>
      <c r="BB18" s="1098"/>
      <c r="BC18" s="1098"/>
      <c r="BD18" s="1098"/>
      <c r="BE18" s="1098">
        <v>1</v>
      </c>
      <c r="BF18" s="1098"/>
      <c r="BG18" s="1098"/>
      <c r="BH18" s="1098"/>
      <c r="BI18" s="1098"/>
      <c r="BJ18" s="1098"/>
      <c r="BK18" s="1098"/>
      <c r="BL18" s="1098"/>
      <c r="BM18" s="1098"/>
      <c r="BN18" s="1097">
        <f t="shared" si="9"/>
        <v>1</v>
      </c>
      <c r="BO18" s="1098"/>
      <c r="BP18" s="1098"/>
      <c r="BQ18" s="1098"/>
      <c r="BR18" s="1098"/>
      <c r="BS18" s="1098"/>
      <c r="BT18" s="1098"/>
      <c r="BU18" s="1098"/>
      <c r="BV18" s="1098"/>
      <c r="BW18" s="1098"/>
      <c r="BX18" s="1098"/>
      <c r="BY18" s="1098"/>
      <c r="BZ18" s="1098"/>
      <c r="CA18" s="1097">
        <f t="shared" si="10"/>
        <v>0</v>
      </c>
      <c r="CB18" s="1098"/>
      <c r="CC18" s="1098"/>
      <c r="CD18" s="1098"/>
      <c r="CE18" s="1098"/>
      <c r="CF18" s="1098"/>
      <c r="CG18" s="1098"/>
      <c r="CH18" s="1098"/>
      <c r="CI18" s="1098"/>
      <c r="CJ18" s="1098"/>
      <c r="CK18" s="1098"/>
      <c r="CL18" s="1098">
        <v>1</v>
      </c>
      <c r="CM18" s="1098"/>
      <c r="CN18" s="1097">
        <f t="shared" si="11"/>
        <v>1</v>
      </c>
      <c r="CO18" s="1098"/>
      <c r="CP18" s="1098"/>
      <c r="CQ18" s="1098"/>
      <c r="CR18" s="1098"/>
      <c r="CS18" s="1098"/>
      <c r="CT18" s="1098"/>
      <c r="CU18" s="1098"/>
      <c r="CV18" s="1098"/>
      <c r="CW18" s="1098"/>
      <c r="CX18" s="1098"/>
      <c r="CY18" s="1098"/>
      <c r="CZ18" s="1098"/>
      <c r="DA18" s="1097">
        <f t="shared" si="12"/>
        <v>0</v>
      </c>
      <c r="DB18" s="1098"/>
      <c r="DC18" s="1098"/>
      <c r="DD18" s="1098"/>
      <c r="DE18" s="1098"/>
      <c r="DF18" s="1098"/>
      <c r="DG18" s="1098"/>
      <c r="DH18" s="1098"/>
      <c r="DI18" s="1098"/>
      <c r="DJ18" s="1098"/>
      <c r="DK18" s="1098"/>
      <c r="DL18" s="1098"/>
      <c r="DM18" s="1098">
        <v>54</v>
      </c>
      <c r="DN18" s="1097">
        <f t="shared" si="13"/>
        <v>54</v>
      </c>
      <c r="DO18" s="1098">
        <v>32</v>
      </c>
      <c r="DP18" s="1098">
        <v>6</v>
      </c>
      <c r="DQ18" s="1098"/>
      <c r="DR18" s="1098"/>
      <c r="DS18" s="1098"/>
      <c r="DT18" s="1098"/>
      <c r="DU18" s="1098"/>
      <c r="DV18" s="1098"/>
      <c r="DW18" s="1098"/>
      <c r="DX18" s="1098"/>
      <c r="DY18" s="1098"/>
      <c r="DZ18" s="1098">
        <v>49</v>
      </c>
      <c r="EA18" s="1097">
        <f t="shared" si="14"/>
        <v>87</v>
      </c>
      <c r="EB18" s="1098"/>
      <c r="EC18" s="1098"/>
      <c r="ED18" s="1098"/>
      <c r="EE18" s="1098"/>
      <c r="EF18" s="1098"/>
      <c r="EG18" s="1098"/>
      <c r="EH18" s="1098"/>
      <c r="EI18" s="1098"/>
      <c r="EJ18" s="1098"/>
      <c r="EK18" s="1098"/>
      <c r="EL18" s="1098"/>
      <c r="EM18" s="1098"/>
      <c r="EN18" s="1097">
        <f t="shared" si="15"/>
        <v>0</v>
      </c>
      <c r="EO18" s="1098"/>
      <c r="EP18" s="1098"/>
      <c r="EQ18" s="1098"/>
      <c r="ER18" s="1098"/>
      <c r="ES18" s="1098"/>
      <c r="ET18" s="1098"/>
      <c r="EU18" s="1098"/>
      <c r="EV18" s="1098"/>
      <c r="EW18" s="1098"/>
      <c r="EX18" s="1098"/>
      <c r="EY18" s="1098"/>
      <c r="EZ18" s="1098"/>
      <c r="FA18" s="1097">
        <f t="shared" si="16"/>
        <v>0</v>
      </c>
      <c r="FB18" s="1098"/>
      <c r="FC18" s="1098"/>
      <c r="FD18" s="1098"/>
      <c r="FE18" s="1098"/>
      <c r="FF18" s="1098"/>
      <c r="FG18" s="1098"/>
      <c r="FH18" s="1098"/>
      <c r="FI18" s="1098"/>
      <c r="FJ18" s="1098"/>
      <c r="FK18" s="1098"/>
      <c r="FL18" s="1098"/>
      <c r="FM18" s="1098"/>
      <c r="FN18" s="1097">
        <f t="shared" si="17"/>
        <v>0</v>
      </c>
      <c r="FO18" s="1098"/>
      <c r="FP18" s="1098"/>
      <c r="FQ18" s="1098"/>
      <c r="FR18" s="1098"/>
      <c r="FS18" s="1098"/>
      <c r="FT18" s="1098"/>
      <c r="FU18" s="1098"/>
      <c r="FV18" s="1098"/>
      <c r="FW18" s="1098"/>
      <c r="FX18" s="1098"/>
      <c r="FY18" s="1098"/>
      <c r="FZ18" s="1098"/>
      <c r="GA18" s="1097">
        <f t="shared" si="18"/>
        <v>0</v>
      </c>
      <c r="GB18" s="1098"/>
      <c r="GC18" s="1098"/>
      <c r="GD18" s="1098"/>
      <c r="GE18" s="1098"/>
      <c r="GF18" s="1098"/>
      <c r="GG18" s="1098"/>
      <c r="GH18" s="1098"/>
      <c r="GI18" s="1098"/>
      <c r="GJ18" s="1098"/>
      <c r="GK18" s="1098"/>
      <c r="GL18" s="1098"/>
      <c r="GM18" s="1098"/>
      <c r="GN18" s="1097">
        <f t="shared" si="19"/>
        <v>0</v>
      </c>
      <c r="GO18" s="1098"/>
      <c r="GP18" s="1098"/>
      <c r="GQ18" s="1098"/>
      <c r="GR18" s="1098"/>
      <c r="GS18" s="1098"/>
      <c r="GT18" s="1098"/>
      <c r="GU18" s="1098"/>
      <c r="GV18" s="1098"/>
      <c r="GW18" s="1098">
        <v>31</v>
      </c>
      <c r="GX18" s="1098"/>
      <c r="GY18" s="1098"/>
      <c r="GZ18" s="1098"/>
      <c r="HA18" s="1097">
        <f t="shared" si="20"/>
        <v>31</v>
      </c>
      <c r="HB18" s="1098"/>
      <c r="HC18" s="1098">
        <v>53</v>
      </c>
      <c r="HD18" s="1098">
        <v>10</v>
      </c>
      <c r="HE18" s="1098"/>
      <c r="HF18" s="1098">
        <v>20</v>
      </c>
      <c r="HG18" s="1098"/>
      <c r="HH18" s="1098"/>
      <c r="HI18" s="1098"/>
      <c r="HJ18" s="1098"/>
      <c r="HK18" s="1098"/>
      <c r="HL18" s="1098"/>
      <c r="HM18" s="1098"/>
      <c r="HN18" s="1097">
        <f t="shared" si="21"/>
        <v>83</v>
      </c>
      <c r="HO18" s="1098"/>
      <c r="HP18" s="1098"/>
      <c r="HQ18" s="1098">
        <v>0.5</v>
      </c>
      <c r="HR18" s="1098"/>
      <c r="HS18" s="1098"/>
      <c r="HT18" s="1098"/>
      <c r="HU18" s="1098"/>
      <c r="HV18" s="1098"/>
      <c r="HW18" s="1098">
        <v>14</v>
      </c>
      <c r="HX18" s="1098">
        <v>1</v>
      </c>
      <c r="HY18" s="1098">
        <v>2</v>
      </c>
      <c r="HZ18" s="1098">
        <v>3</v>
      </c>
      <c r="IA18" s="1097">
        <f t="shared" si="22"/>
        <v>20.5</v>
      </c>
      <c r="IB18" s="1098">
        <v>2.5</v>
      </c>
      <c r="IC18" s="1098">
        <v>2</v>
      </c>
      <c r="ID18" s="1098">
        <v>1</v>
      </c>
      <c r="IE18" s="1098"/>
      <c r="IF18" s="1098"/>
      <c r="IG18" s="1098"/>
      <c r="IH18" s="1098"/>
      <c r="II18" s="1098"/>
      <c r="IJ18" s="1098"/>
      <c r="IK18" s="1098"/>
      <c r="IL18" s="1098"/>
      <c r="IM18" s="1098"/>
      <c r="IN18" s="1097">
        <f t="shared" si="23"/>
        <v>5.5</v>
      </c>
      <c r="IO18" s="1098"/>
      <c r="IP18" s="1098"/>
      <c r="IQ18" s="1098"/>
      <c r="IR18" s="1098"/>
      <c r="IS18" s="1098"/>
      <c r="IT18" s="1098"/>
      <c r="IU18" s="1098"/>
      <c r="IV18" s="1098"/>
      <c r="IW18" s="1098"/>
      <c r="IX18" s="1098"/>
      <c r="IY18" s="1098"/>
      <c r="IZ18" s="1098"/>
      <c r="JA18" s="1097">
        <f t="shared" si="24"/>
        <v>0</v>
      </c>
      <c r="JB18" s="1098"/>
      <c r="JC18" s="1098"/>
      <c r="JD18" s="1098"/>
      <c r="JE18" s="1098"/>
      <c r="JF18" s="1098"/>
      <c r="JG18" s="1098">
        <v>0</v>
      </c>
      <c r="JH18" s="1098"/>
      <c r="JI18" s="1098"/>
      <c r="JJ18" s="1098"/>
      <c r="JK18" s="1098"/>
      <c r="JL18" s="1098"/>
      <c r="JM18" s="1098"/>
      <c r="JN18" s="1097">
        <f t="shared" si="25"/>
        <v>0</v>
      </c>
      <c r="JO18" s="1266"/>
      <c r="JP18" s="1116" t="str">
        <f t="shared" si="28"/>
        <v/>
      </c>
      <c r="JQ18" s="1117" t="str">
        <f t="shared" si="29"/>
        <v/>
      </c>
      <c r="JR18" s="1079">
        <f t="shared" si="30"/>
        <v>0</v>
      </c>
      <c r="JS18" s="1118">
        <f t="shared" si="31"/>
        <v>0</v>
      </c>
      <c r="JU18" s="1079">
        <f t="shared" si="26"/>
        <v>566</v>
      </c>
      <c r="JV18" s="1080" t="s">
        <v>568</v>
      </c>
      <c r="JW18" s="1081" t="str">
        <f t="shared" si="27"/>
        <v>OK</v>
      </c>
    </row>
    <row r="19" spans="1:283" ht="15" customHeight="1" x14ac:dyDescent="0.2">
      <c r="A19" s="1261" t="s">
        <v>137</v>
      </c>
      <c r="B19" s="1098"/>
      <c r="C19" s="1098"/>
      <c r="D19" s="1098">
        <v>2</v>
      </c>
      <c r="E19" s="1098">
        <v>3</v>
      </c>
      <c r="F19" s="1098"/>
      <c r="G19" s="1098"/>
      <c r="H19" s="1098">
        <v>11</v>
      </c>
      <c r="I19" s="1098">
        <v>6</v>
      </c>
      <c r="J19" s="1098">
        <v>3</v>
      </c>
      <c r="K19" s="1098">
        <v>2</v>
      </c>
      <c r="L19" s="1098">
        <v>6</v>
      </c>
      <c r="M19" s="1098"/>
      <c r="N19" s="1097">
        <f t="shared" si="5"/>
        <v>33</v>
      </c>
      <c r="O19" s="1098"/>
      <c r="P19" s="1098"/>
      <c r="Q19" s="1098"/>
      <c r="R19" s="1098"/>
      <c r="S19" s="1098"/>
      <c r="T19" s="1098">
        <v>3</v>
      </c>
      <c r="U19" s="1098">
        <v>2</v>
      </c>
      <c r="V19" s="1098"/>
      <c r="W19" s="1098"/>
      <c r="X19" s="1098"/>
      <c r="Y19" s="1098"/>
      <c r="Z19" s="1098"/>
      <c r="AA19" s="1097">
        <f t="shared" si="6"/>
        <v>5</v>
      </c>
      <c r="AB19" s="1098"/>
      <c r="AC19" s="1098">
        <v>2</v>
      </c>
      <c r="AD19" s="1098">
        <v>8</v>
      </c>
      <c r="AE19" s="1098"/>
      <c r="AF19" s="1098">
        <v>1</v>
      </c>
      <c r="AG19" s="1098"/>
      <c r="AH19" s="1098"/>
      <c r="AI19" s="1098"/>
      <c r="AJ19" s="1098">
        <v>2</v>
      </c>
      <c r="AK19" s="1098"/>
      <c r="AL19" s="1098"/>
      <c r="AM19" s="1098"/>
      <c r="AN19" s="1097">
        <f t="shared" si="7"/>
        <v>13</v>
      </c>
      <c r="AO19" s="1098"/>
      <c r="AP19" s="1098"/>
      <c r="AQ19" s="1098">
        <v>4</v>
      </c>
      <c r="AR19" s="1098"/>
      <c r="AS19" s="1098"/>
      <c r="AT19" s="1098">
        <v>2</v>
      </c>
      <c r="AU19" s="1098"/>
      <c r="AV19" s="1098"/>
      <c r="AW19" s="1098">
        <v>5</v>
      </c>
      <c r="AX19" s="1098">
        <v>1</v>
      </c>
      <c r="AY19" s="1098"/>
      <c r="AZ19" s="1098"/>
      <c r="BA19" s="1097">
        <f t="shared" si="8"/>
        <v>12</v>
      </c>
      <c r="BB19" s="1098"/>
      <c r="BC19" s="1098">
        <v>3</v>
      </c>
      <c r="BD19" s="1098"/>
      <c r="BE19" s="1098"/>
      <c r="BF19" s="1098"/>
      <c r="BG19" s="1098"/>
      <c r="BH19" s="1098"/>
      <c r="BI19" s="1098"/>
      <c r="BJ19" s="1098"/>
      <c r="BK19" s="1098"/>
      <c r="BL19" s="1098">
        <v>1</v>
      </c>
      <c r="BM19" s="1098"/>
      <c r="BN19" s="1097">
        <f t="shared" si="9"/>
        <v>4</v>
      </c>
      <c r="BO19" s="1098"/>
      <c r="BP19" s="1098"/>
      <c r="BQ19" s="1098"/>
      <c r="BR19" s="1098"/>
      <c r="BS19" s="1098"/>
      <c r="BT19" s="1098"/>
      <c r="BU19" s="1098">
        <v>2</v>
      </c>
      <c r="BV19" s="1098">
        <v>5</v>
      </c>
      <c r="BW19" s="1098"/>
      <c r="BX19" s="1098">
        <v>2</v>
      </c>
      <c r="BY19" s="1098">
        <v>1</v>
      </c>
      <c r="BZ19" s="1098"/>
      <c r="CA19" s="1097">
        <f t="shared" si="10"/>
        <v>10</v>
      </c>
      <c r="CB19" s="1098"/>
      <c r="CC19" s="1098">
        <v>1</v>
      </c>
      <c r="CD19" s="1098"/>
      <c r="CE19" s="1098">
        <v>3</v>
      </c>
      <c r="CF19" s="1098">
        <v>8</v>
      </c>
      <c r="CG19" s="1098"/>
      <c r="CH19" s="1098"/>
      <c r="CI19" s="1098"/>
      <c r="CJ19" s="1098">
        <v>3</v>
      </c>
      <c r="CK19" s="1098">
        <v>2</v>
      </c>
      <c r="CL19" s="1098">
        <v>6</v>
      </c>
      <c r="CM19" s="1098"/>
      <c r="CN19" s="1097">
        <f t="shared" si="11"/>
        <v>23</v>
      </c>
      <c r="CO19" s="1098">
        <v>1</v>
      </c>
      <c r="CP19" s="1098"/>
      <c r="CQ19" s="1098"/>
      <c r="CR19" s="1098"/>
      <c r="CS19" s="1098"/>
      <c r="CT19" s="1098"/>
      <c r="CU19" s="1098"/>
      <c r="CV19" s="1098"/>
      <c r="CW19" s="1098"/>
      <c r="CX19" s="1098"/>
      <c r="CY19" s="1098">
        <v>1</v>
      </c>
      <c r="CZ19" s="1098"/>
      <c r="DA19" s="1097">
        <f t="shared" si="12"/>
        <v>2</v>
      </c>
      <c r="DB19" s="1098"/>
      <c r="DC19" s="1098"/>
      <c r="DD19" s="1098"/>
      <c r="DE19" s="1098"/>
      <c r="DF19" s="1098"/>
      <c r="DG19" s="1098">
        <v>1</v>
      </c>
      <c r="DH19" s="1098"/>
      <c r="DI19" s="1098"/>
      <c r="DJ19" s="1098"/>
      <c r="DK19" s="1098"/>
      <c r="DL19" s="1098"/>
      <c r="DM19" s="1098">
        <v>314</v>
      </c>
      <c r="DN19" s="1097">
        <f t="shared" si="13"/>
        <v>315</v>
      </c>
      <c r="DO19" s="1098">
        <v>122</v>
      </c>
      <c r="DP19" s="1098">
        <v>6</v>
      </c>
      <c r="DQ19" s="1098"/>
      <c r="DR19" s="1098"/>
      <c r="DS19" s="1098"/>
      <c r="DT19" s="1098"/>
      <c r="DU19" s="1098"/>
      <c r="DV19" s="1098"/>
      <c r="DW19" s="1098"/>
      <c r="DX19" s="1098">
        <v>1</v>
      </c>
      <c r="DY19" s="1098"/>
      <c r="DZ19" s="1098">
        <v>288</v>
      </c>
      <c r="EA19" s="1097">
        <f t="shared" si="14"/>
        <v>417</v>
      </c>
      <c r="EB19" s="1098">
        <v>2</v>
      </c>
      <c r="EC19" s="1098"/>
      <c r="ED19" s="1098"/>
      <c r="EE19" s="1098">
        <v>1</v>
      </c>
      <c r="EF19" s="1098"/>
      <c r="EG19" s="1098"/>
      <c r="EH19" s="1098">
        <v>7</v>
      </c>
      <c r="EI19" s="1098"/>
      <c r="EJ19" s="1098"/>
      <c r="EK19" s="1098"/>
      <c r="EL19" s="1098">
        <v>5</v>
      </c>
      <c r="EM19" s="1098"/>
      <c r="EN19" s="1097">
        <f t="shared" si="15"/>
        <v>15</v>
      </c>
      <c r="EO19" s="1098"/>
      <c r="EP19" s="1098"/>
      <c r="EQ19" s="1098"/>
      <c r="ER19" s="1098">
        <v>2</v>
      </c>
      <c r="ES19" s="1098"/>
      <c r="ET19" s="1098">
        <v>11</v>
      </c>
      <c r="EU19" s="1098"/>
      <c r="EV19" s="1098"/>
      <c r="EW19" s="1098">
        <v>1</v>
      </c>
      <c r="EX19" s="1098">
        <v>1</v>
      </c>
      <c r="EY19" s="1098">
        <v>1</v>
      </c>
      <c r="EZ19" s="1098">
        <v>1</v>
      </c>
      <c r="FA19" s="1097">
        <f t="shared" si="16"/>
        <v>17</v>
      </c>
      <c r="FB19" s="1098">
        <v>1</v>
      </c>
      <c r="FC19" s="1098">
        <v>1</v>
      </c>
      <c r="FD19" s="1098"/>
      <c r="FE19" s="1098">
        <v>6</v>
      </c>
      <c r="FF19" s="1098">
        <v>1</v>
      </c>
      <c r="FG19" s="1098">
        <v>2</v>
      </c>
      <c r="FH19" s="1098"/>
      <c r="FI19" s="1098"/>
      <c r="FJ19" s="1098"/>
      <c r="FK19" s="1098">
        <v>1</v>
      </c>
      <c r="FL19" s="1098"/>
      <c r="FM19" s="1098"/>
      <c r="FN19" s="1097">
        <f t="shared" si="17"/>
        <v>12</v>
      </c>
      <c r="FO19" s="1098">
        <v>1</v>
      </c>
      <c r="FP19" s="1098"/>
      <c r="FQ19" s="1098"/>
      <c r="FR19" s="1098"/>
      <c r="FS19" s="1098"/>
      <c r="FT19" s="1098">
        <v>4</v>
      </c>
      <c r="FU19" s="1098"/>
      <c r="FV19" s="1098">
        <v>5</v>
      </c>
      <c r="FW19" s="1098">
        <v>8</v>
      </c>
      <c r="FX19" s="1098"/>
      <c r="FY19" s="1098">
        <v>2</v>
      </c>
      <c r="FZ19" s="1098"/>
      <c r="GA19" s="1097">
        <f t="shared" si="18"/>
        <v>20</v>
      </c>
      <c r="GB19" s="1098"/>
      <c r="GC19" s="1098">
        <v>1</v>
      </c>
      <c r="GD19" s="1098">
        <v>6</v>
      </c>
      <c r="GE19" s="1098">
        <v>25</v>
      </c>
      <c r="GF19" s="1098">
        <v>22</v>
      </c>
      <c r="GG19" s="1098">
        <v>19</v>
      </c>
      <c r="GH19" s="1098">
        <v>18</v>
      </c>
      <c r="GI19" s="1098">
        <v>11</v>
      </c>
      <c r="GJ19" s="1098">
        <v>1</v>
      </c>
      <c r="GK19" s="1098">
        <v>14</v>
      </c>
      <c r="GL19" s="1098">
        <v>4</v>
      </c>
      <c r="GM19" s="1098"/>
      <c r="GN19" s="1097">
        <f t="shared" si="19"/>
        <v>121</v>
      </c>
      <c r="GO19" s="1098"/>
      <c r="GP19" s="1098"/>
      <c r="GQ19" s="1098"/>
      <c r="GR19" s="1098">
        <v>26</v>
      </c>
      <c r="GS19" s="1098">
        <v>1</v>
      </c>
      <c r="GT19" s="1098">
        <v>6</v>
      </c>
      <c r="GU19" s="1098">
        <v>11</v>
      </c>
      <c r="GV19" s="1098">
        <v>23</v>
      </c>
      <c r="GW19" s="1098">
        <v>5</v>
      </c>
      <c r="GX19" s="1098">
        <v>5</v>
      </c>
      <c r="GY19" s="1098">
        <v>1</v>
      </c>
      <c r="GZ19" s="1098"/>
      <c r="HA19" s="1097">
        <f t="shared" si="20"/>
        <v>78</v>
      </c>
      <c r="HB19" s="1098">
        <v>1</v>
      </c>
      <c r="HC19" s="1098"/>
      <c r="HD19" s="1098"/>
      <c r="HE19" s="1098">
        <v>0.5</v>
      </c>
      <c r="HF19" s="1098"/>
      <c r="HG19" s="1098"/>
      <c r="HH19" s="1098">
        <v>10</v>
      </c>
      <c r="HI19" s="1098"/>
      <c r="HJ19" s="1098">
        <v>3</v>
      </c>
      <c r="HK19" s="1098"/>
      <c r="HL19" s="1098">
        <v>10</v>
      </c>
      <c r="HM19" s="1098"/>
      <c r="HN19" s="1097">
        <f t="shared" si="21"/>
        <v>24.5</v>
      </c>
      <c r="HO19" s="1098"/>
      <c r="HP19" s="1098">
        <v>0.5</v>
      </c>
      <c r="HQ19" s="1098">
        <v>15.5</v>
      </c>
      <c r="HR19" s="1098">
        <v>10</v>
      </c>
      <c r="HS19" s="1098"/>
      <c r="HT19" s="1098">
        <v>4</v>
      </c>
      <c r="HU19" s="1098">
        <v>1</v>
      </c>
      <c r="HV19" s="1098"/>
      <c r="HW19" s="1098"/>
      <c r="HX19" s="1098"/>
      <c r="HY19" s="1098"/>
      <c r="HZ19" s="1098"/>
      <c r="IA19" s="1097">
        <f t="shared" si="22"/>
        <v>31</v>
      </c>
      <c r="IB19" s="1098"/>
      <c r="IC19" s="1098"/>
      <c r="ID19" s="1098"/>
      <c r="IE19" s="1098"/>
      <c r="IF19" s="1098"/>
      <c r="IG19" s="1098"/>
      <c r="IH19" s="1098"/>
      <c r="II19" s="1098"/>
      <c r="IJ19" s="1098">
        <v>5</v>
      </c>
      <c r="IK19" s="1098">
        <v>2</v>
      </c>
      <c r="IL19" s="1098"/>
      <c r="IM19" s="1098"/>
      <c r="IN19" s="1097">
        <f t="shared" si="23"/>
        <v>7</v>
      </c>
      <c r="IO19" s="1098"/>
      <c r="IP19" s="1098"/>
      <c r="IQ19" s="1098"/>
      <c r="IR19" s="1098"/>
      <c r="IS19" s="1098"/>
      <c r="IT19" s="1098"/>
      <c r="IU19" s="1098">
        <v>4</v>
      </c>
      <c r="IV19" s="1098"/>
      <c r="IW19" s="1098"/>
      <c r="IX19" s="1098">
        <v>3</v>
      </c>
      <c r="IY19" s="1098">
        <v>0.5</v>
      </c>
      <c r="IZ19" s="1098"/>
      <c r="JA19" s="1097">
        <f t="shared" si="24"/>
        <v>7.5</v>
      </c>
      <c r="JB19" s="1098"/>
      <c r="JC19" s="1098">
        <v>0.75</v>
      </c>
      <c r="JD19" s="1098">
        <v>5</v>
      </c>
      <c r="JE19" s="1098"/>
      <c r="JF19" s="1098"/>
      <c r="JG19" s="1098">
        <v>0</v>
      </c>
      <c r="JH19" s="1098"/>
      <c r="JI19" s="1098"/>
      <c r="JJ19" s="1098"/>
      <c r="JK19" s="1098"/>
      <c r="JL19" s="1098"/>
      <c r="JM19" s="1098"/>
      <c r="JN19" s="1097">
        <f t="shared" si="25"/>
        <v>5.75</v>
      </c>
      <c r="JO19" s="1266"/>
      <c r="JP19" s="1116" t="str">
        <f t="shared" si="28"/>
        <v/>
      </c>
      <c r="JQ19" s="1117" t="str">
        <f t="shared" si="29"/>
        <v/>
      </c>
      <c r="JR19" s="1079">
        <f t="shared" si="30"/>
        <v>0</v>
      </c>
      <c r="JS19" s="1118">
        <f t="shared" si="31"/>
        <v>5.75</v>
      </c>
      <c r="JU19" s="1079">
        <f t="shared" si="26"/>
        <v>2279.5</v>
      </c>
      <c r="JV19" s="1080" t="s">
        <v>137</v>
      </c>
      <c r="JW19" s="1081" t="str">
        <f t="shared" si="27"/>
        <v>OK</v>
      </c>
    </row>
    <row r="20" spans="1:283" ht="15" customHeight="1" x14ac:dyDescent="0.2">
      <c r="A20" s="1261" t="s">
        <v>145</v>
      </c>
      <c r="B20" s="1098">
        <v>3798</v>
      </c>
      <c r="C20" s="1098">
        <v>17465</v>
      </c>
      <c r="D20" s="1098">
        <v>7512</v>
      </c>
      <c r="E20" s="1098">
        <v>543</v>
      </c>
      <c r="F20" s="1098">
        <v>154</v>
      </c>
      <c r="G20" s="1098">
        <v>3440</v>
      </c>
      <c r="H20" s="1098">
        <v>22032</v>
      </c>
      <c r="I20" s="1098">
        <v>8369</v>
      </c>
      <c r="J20" s="1098">
        <v>424</v>
      </c>
      <c r="K20" s="1098">
        <v>227</v>
      </c>
      <c r="L20" s="1098">
        <v>1127</v>
      </c>
      <c r="M20" s="1098">
        <v>1242</v>
      </c>
      <c r="N20" s="1097">
        <f t="shared" si="5"/>
        <v>66333</v>
      </c>
      <c r="O20" s="1098">
        <v>4223</v>
      </c>
      <c r="P20" s="1098">
        <v>15893</v>
      </c>
      <c r="Q20" s="1098">
        <v>3811</v>
      </c>
      <c r="R20" s="1098">
        <v>163</v>
      </c>
      <c r="S20" s="1098">
        <v>244</v>
      </c>
      <c r="T20" s="1098">
        <v>1587</v>
      </c>
      <c r="U20" s="1098">
        <v>4832</v>
      </c>
      <c r="V20" s="1098">
        <v>29517</v>
      </c>
      <c r="W20" s="1098">
        <v>810</v>
      </c>
      <c r="X20" s="1098">
        <v>646</v>
      </c>
      <c r="Y20" s="1098">
        <v>1066</v>
      </c>
      <c r="Z20" s="1098">
        <v>2587</v>
      </c>
      <c r="AA20" s="1097">
        <f t="shared" si="6"/>
        <v>65379</v>
      </c>
      <c r="AB20" s="1098">
        <v>5436</v>
      </c>
      <c r="AC20" s="1098">
        <v>17577</v>
      </c>
      <c r="AD20" s="1098">
        <v>5883</v>
      </c>
      <c r="AE20" s="1098">
        <v>225</v>
      </c>
      <c r="AF20" s="1098">
        <v>73</v>
      </c>
      <c r="AG20" s="1098">
        <v>1619</v>
      </c>
      <c r="AH20" s="1098">
        <v>18225</v>
      </c>
      <c r="AI20" s="1098">
        <v>10443</v>
      </c>
      <c r="AJ20" s="1098">
        <v>915</v>
      </c>
      <c r="AK20" s="1098">
        <v>466</v>
      </c>
      <c r="AL20" s="1098">
        <v>1196</v>
      </c>
      <c r="AM20" s="1098">
        <v>1151</v>
      </c>
      <c r="AN20" s="1097">
        <f t="shared" si="7"/>
        <v>63209</v>
      </c>
      <c r="AO20" s="1098">
        <v>2185</v>
      </c>
      <c r="AP20" s="1098">
        <v>18698</v>
      </c>
      <c r="AQ20" s="1098">
        <v>9581</v>
      </c>
      <c r="AR20" s="1098">
        <v>945</v>
      </c>
      <c r="AS20" s="1098">
        <v>222</v>
      </c>
      <c r="AT20" s="1098">
        <v>1004</v>
      </c>
      <c r="AU20" s="1098">
        <v>13674</v>
      </c>
      <c r="AV20" s="1098">
        <v>11393</v>
      </c>
      <c r="AW20" s="1098">
        <v>718</v>
      </c>
      <c r="AX20" s="1098">
        <v>708</v>
      </c>
      <c r="AY20" s="1098">
        <v>1185</v>
      </c>
      <c r="AZ20" s="1098">
        <v>3500</v>
      </c>
      <c r="BA20" s="1097">
        <f t="shared" si="8"/>
        <v>63813</v>
      </c>
      <c r="BB20" s="1098">
        <v>3206</v>
      </c>
      <c r="BC20" s="1098">
        <v>18480.5</v>
      </c>
      <c r="BD20" s="1098">
        <v>7185</v>
      </c>
      <c r="BE20" s="1098">
        <v>227</v>
      </c>
      <c r="BF20" s="1098">
        <v>140</v>
      </c>
      <c r="BG20" s="1098">
        <v>53</v>
      </c>
      <c r="BH20" s="1098">
        <v>15043</v>
      </c>
      <c r="BI20" s="1098">
        <v>9312</v>
      </c>
      <c r="BJ20" s="1098">
        <v>1100</v>
      </c>
      <c r="BK20" s="1098">
        <v>1261</v>
      </c>
      <c r="BL20" s="1098">
        <v>2567</v>
      </c>
      <c r="BM20" s="1098">
        <v>1659</v>
      </c>
      <c r="BN20" s="1097">
        <f t="shared" si="9"/>
        <v>60233.5</v>
      </c>
      <c r="BO20" s="1098">
        <v>4234</v>
      </c>
      <c r="BP20" s="1098">
        <v>14800</v>
      </c>
      <c r="BQ20" s="1098">
        <v>8013</v>
      </c>
      <c r="BR20" s="1098">
        <v>425</v>
      </c>
      <c r="BS20" s="1098">
        <v>119</v>
      </c>
      <c r="BT20" s="1098">
        <v>470</v>
      </c>
      <c r="BU20" s="1098">
        <v>6176</v>
      </c>
      <c r="BV20" s="1098">
        <v>9538</v>
      </c>
      <c r="BW20" s="1098">
        <v>1024</v>
      </c>
      <c r="BX20" s="1098">
        <v>1102</v>
      </c>
      <c r="BY20" s="1098">
        <v>2440</v>
      </c>
      <c r="BZ20" s="1098">
        <v>2028</v>
      </c>
      <c r="CA20" s="1097">
        <f t="shared" si="10"/>
        <v>50369</v>
      </c>
      <c r="CB20" s="1098">
        <v>4235</v>
      </c>
      <c r="CC20" s="1098">
        <v>19267</v>
      </c>
      <c r="CD20" s="1098">
        <v>7388</v>
      </c>
      <c r="CE20" s="1098">
        <v>82</v>
      </c>
      <c r="CF20" s="1098">
        <v>182</v>
      </c>
      <c r="CG20" s="1098">
        <v>2266</v>
      </c>
      <c r="CH20" s="1098">
        <v>7429</v>
      </c>
      <c r="CI20" s="1098">
        <v>6062</v>
      </c>
      <c r="CJ20" s="1098">
        <v>941</v>
      </c>
      <c r="CK20" s="1098">
        <v>748</v>
      </c>
      <c r="CL20" s="1098">
        <v>1587</v>
      </c>
      <c r="CM20" s="1098">
        <v>2593</v>
      </c>
      <c r="CN20" s="1097">
        <f t="shared" si="11"/>
        <v>52780</v>
      </c>
      <c r="CO20" s="1098">
        <v>1618</v>
      </c>
      <c r="CP20" s="1098">
        <v>15031</v>
      </c>
      <c r="CQ20" s="1098">
        <v>11510</v>
      </c>
      <c r="CR20" s="1098">
        <v>53</v>
      </c>
      <c r="CS20" s="1098">
        <v>169</v>
      </c>
      <c r="CT20" s="1098">
        <v>2344</v>
      </c>
      <c r="CU20" s="1098">
        <v>11780</v>
      </c>
      <c r="CV20" s="1098">
        <v>9873</v>
      </c>
      <c r="CW20" s="1098">
        <v>881</v>
      </c>
      <c r="CX20" s="1098">
        <v>363</v>
      </c>
      <c r="CY20" s="1098">
        <v>927</v>
      </c>
      <c r="CZ20" s="1098">
        <v>1592</v>
      </c>
      <c r="DA20" s="1097">
        <f t="shared" si="12"/>
        <v>56141</v>
      </c>
      <c r="DB20" s="1098">
        <v>2367</v>
      </c>
      <c r="DC20" s="1098">
        <v>19460</v>
      </c>
      <c r="DD20" s="1098">
        <v>6782</v>
      </c>
      <c r="DE20" s="1098">
        <v>113</v>
      </c>
      <c r="DF20" s="1098">
        <v>88</v>
      </c>
      <c r="DG20" s="1098">
        <v>2483</v>
      </c>
      <c r="DH20" s="1098">
        <v>11348</v>
      </c>
      <c r="DI20" s="1098">
        <v>10389</v>
      </c>
      <c r="DJ20" s="1098">
        <v>1656</v>
      </c>
      <c r="DK20" s="1098">
        <v>532</v>
      </c>
      <c r="DL20" s="1098">
        <v>959</v>
      </c>
      <c r="DM20" s="1098"/>
      <c r="DN20" s="1097">
        <f t="shared" si="13"/>
        <v>56177</v>
      </c>
      <c r="DO20" s="1098"/>
      <c r="DP20" s="1098"/>
      <c r="DQ20" s="1098"/>
      <c r="DR20" s="1098"/>
      <c r="DS20" s="1098"/>
      <c r="DT20" s="1098"/>
      <c r="DU20" s="1098"/>
      <c r="DV20" s="1098"/>
      <c r="DW20" s="1098"/>
      <c r="DX20" s="1098"/>
      <c r="DY20" s="1098">
        <v>1183</v>
      </c>
      <c r="DZ20" s="1098"/>
      <c r="EA20" s="1097">
        <f t="shared" si="14"/>
        <v>1183</v>
      </c>
      <c r="EB20" s="1098">
        <v>2367</v>
      </c>
      <c r="EC20" s="1098">
        <v>10415</v>
      </c>
      <c r="ED20" s="1098">
        <v>9651</v>
      </c>
      <c r="EE20" s="1098">
        <v>193</v>
      </c>
      <c r="EF20" s="1098">
        <v>296</v>
      </c>
      <c r="EG20" s="1098">
        <v>1164</v>
      </c>
      <c r="EH20" s="1098">
        <v>8851</v>
      </c>
      <c r="EI20" s="1098">
        <v>11613</v>
      </c>
      <c r="EJ20" s="1098">
        <v>1045</v>
      </c>
      <c r="EK20" s="1098">
        <v>643</v>
      </c>
      <c r="EL20" s="1098">
        <v>945</v>
      </c>
      <c r="EM20" s="1098">
        <v>1201</v>
      </c>
      <c r="EN20" s="1097">
        <f t="shared" si="15"/>
        <v>48384</v>
      </c>
      <c r="EO20" s="1098">
        <v>1216</v>
      </c>
      <c r="EP20" s="1098">
        <v>11575</v>
      </c>
      <c r="EQ20" s="1098">
        <v>7927</v>
      </c>
      <c r="ER20" s="1098">
        <v>130</v>
      </c>
      <c r="ES20" s="1098">
        <v>102</v>
      </c>
      <c r="ET20" s="1098">
        <v>877</v>
      </c>
      <c r="EU20" s="1098">
        <v>9116</v>
      </c>
      <c r="EV20" s="1098">
        <v>9582</v>
      </c>
      <c r="EW20" s="1098">
        <v>1234</v>
      </c>
      <c r="EX20" s="1098">
        <v>675</v>
      </c>
      <c r="EY20" s="1098">
        <v>849</v>
      </c>
      <c r="EZ20" s="1098">
        <v>1308</v>
      </c>
      <c r="FA20" s="1097">
        <f t="shared" si="16"/>
        <v>44591</v>
      </c>
      <c r="FB20" s="1098">
        <v>1720</v>
      </c>
      <c r="FC20" s="1098">
        <v>11485</v>
      </c>
      <c r="FD20" s="1098">
        <v>7195</v>
      </c>
      <c r="FE20" s="1098">
        <v>312</v>
      </c>
      <c r="FF20" s="1098">
        <v>100</v>
      </c>
      <c r="FG20" s="1098">
        <v>1340</v>
      </c>
      <c r="FH20" s="1098">
        <v>8391</v>
      </c>
      <c r="FI20" s="1098">
        <v>10794</v>
      </c>
      <c r="FJ20" s="1098">
        <v>2253</v>
      </c>
      <c r="FK20" s="1098">
        <v>156</v>
      </c>
      <c r="FL20" s="1098">
        <v>742</v>
      </c>
      <c r="FM20" s="1098">
        <v>988</v>
      </c>
      <c r="FN20" s="1097">
        <f t="shared" si="17"/>
        <v>45476</v>
      </c>
      <c r="FO20" s="1098">
        <v>2139</v>
      </c>
      <c r="FP20" s="1098">
        <v>10409</v>
      </c>
      <c r="FQ20" s="1098">
        <v>6091</v>
      </c>
      <c r="FR20" s="1098">
        <v>227</v>
      </c>
      <c r="FS20" s="1098">
        <v>174</v>
      </c>
      <c r="FT20" s="1098">
        <v>2033</v>
      </c>
      <c r="FU20" s="1098">
        <v>8704</v>
      </c>
      <c r="FV20" s="1098">
        <v>9891</v>
      </c>
      <c r="FW20" s="1098">
        <v>2097</v>
      </c>
      <c r="FX20" s="1098">
        <v>311</v>
      </c>
      <c r="FY20" s="1098">
        <v>817</v>
      </c>
      <c r="FZ20" s="1098">
        <v>1259</v>
      </c>
      <c r="GA20" s="1097">
        <f t="shared" si="18"/>
        <v>44152</v>
      </c>
      <c r="GB20" s="1098">
        <v>3887</v>
      </c>
      <c r="GC20" s="1098">
        <v>11282</v>
      </c>
      <c r="GD20" s="1098">
        <v>6292</v>
      </c>
      <c r="GE20" s="1098">
        <v>136</v>
      </c>
      <c r="GF20" s="1098">
        <v>172</v>
      </c>
      <c r="GG20" s="1098">
        <v>2390</v>
      </c>
      <c r="GH20" s="1098">
        <v>7115</v>
      </c>
      <c r="GI20" s="1098">
        <v>8812</v>
      </c>
      <c r="GJ20" s="1098">
        <v>2020</v>
      </c>
      <c r="GK20" s="1098">
        <v>735</v>
      </c>
      <c r="GL20" s="1098">
        <v>1252</v>
      </c>
      <c r="GM20" s="1098">
        <v>870</v>
      </c>
      <c r="GN20" s="1097">
        <f t="shared" si="19"/>
        <v>44963</v>
      </c>
      <c r="GO20" s="1098">
        <v>2592</v>
      </c>
      <c r="GP20" s="1098">
        <v>12780</v>
      </c>
      <c r="GQ20" s="1098">
        <v>4592</v>
      </c>
      <c r="GR20" s="1098">
        <v>208</v>
      </c>
      <c r="GS20" s="1098">
        <v>199.1</v>
      </c>
      <c r="GT20" s="1098">
        <v>1988</v>
      </c>
      <c r="GU20" s="1098">
        <v>8405</v>
      </c>
      <c r="GV20" s="1098">
        <v>8995</v>
      </c>
      <c r="GW20" s="1098">
        <v>1912</v>
      </c>
      <c r="GX20" s="1098">
        <v>1163.5</v>
      </c>
      <c r="GY20" s="1098">
        <v>1299</v>
      </c>
      <c r="GZ20" s="1098">
        <v>3288</v>
      </c>
      <c r="HA20" s="1097">
        <f t="shared" si="20"/>
        <v>47421.599999999999</v>
      </c>
      <c r="HB20" s="1098">
        <v>3966</v>
      </c>
      <c r="HC20" s="1098">
        <v>14030</v>
      </c>
      <c r="HD20" s="1098">
        <v>6776</v>
      </c>
      <c r="HE20" s="1098">
        <v>231</v>
      </c>
      <c r="HF20" s="1098">
        <v>238</v>
      </c>
      <c r="HG20" s="1098">
        <v>2680</v>
      </c>
      <c r="HH20" s="1098">
        <v>11960</v>
      </c>
      <c r="HI20" s="1098">
        <v>10468</v>
      </c>
      <c r="HJ20" s="1098">
        <v>2614</v>
      </c>
      <c r="HK20" s="1098">
        <v>423</v>
      </c>
      <c r="HL20" s="1098">
        <v>1269</v>
      </c>
      <c r="HM20" s="1098">
        <v>1112</v>
      </c>
      <c r="HN20" s="1097">
        <f t="shared" si="21"/>
        <v>55767</v>
      </c>
      <c r="HO20" s="1098">
        <v>384.5</v>
      </c>
      <c r="HP20" s="1098">
        <v>16150</v>
      </c>
      <c r="HQ20" s="1098">
        <v>866.5</v>
      </c>
      <c r="HR20" s="1098">
        <v>1269</v>
      </c>
      <c r="HS20" s="1098">
        <v>211</v>
      </c>
      <c r="HT20" s="1098">
        <v>3194</v>
      </c>
      <c r="HU20" s="1098">
        <v>9639</v>
      </c>
      <c r="HV20" s="1098">
        <v>12337</v>
      </c>
      <c r="HW20" s="1098">
        <v>889</v>
      </c>
      <c r="HX20" s="1098">
        <v>799</v>
      </c>
      <c r="HY20" s="1098">
        <v>1777</v>
      </c>
      <c r="HZ20" s="1098">
        <v>1801</v>
      </c>
      <c r="IA20" s="1097">
        <f t="shared" si="22"/>
        <v>49317</v>
      </c>
      <c r="IB20" s="1098">
        <v>1233.7</v>
      </c>
      <c r="IC20" s="1098">
        <v>1215.3</v>
      </c>
      <c r="ID20" s="1098">
        <v>695</v>
      </c>
      <c r="IE20" s="1098">
        <v>1789</v>
      </c>
      <c r="IF20" s="1098">
        <v>2304</v>
      </c>
      <c r="IG20" s="1098">
        <v>3433</v>
      </c>
      <c r="IH20" s="1098">
        <v>16269</v>
      </c>
      <c r="II20" s="1098">
        <v>12625</v>
      </c>
      <c r="IJ20" s="1098">
        <v>3931</v>
      </c>
      <c r="IK20" s="1098">
        <v>351</v>
      </c>
      <c r="IL20" s="1098">
        <v>628</v>
      </c>
      <c r="IM20" s="1098">
        <v>968</v>
      </c>
      <c r="IN20" s="1097">
        <f t="shared" si="23"/>
        <v>45442</v>
      </c>
      <c r="IO20" s="1098">
        <v>648</v>
      </c>
      <c r="IP20" s="1098">
        <v>6980</v>
      </c>
      <c r="IQ20" s="1098">
        <v>8899</v>
      </c>
      <c r="IR20" s="1098">
        <v>1872</v>
      </c>
      <c r="IS20" s="1098">
        <v>3872</v>
      </c>
      <c r="IT20" s="1098">
        <v>2429</v>
      </c>
      <c r="IU20" s="1098">
        <v>11171</v>
      </c>
      <c r="IV20" s="1098">
        <v>9829</v>
      </c>
      <c r="IW20" s="1098">
        <v>4139</v>
      </c>
      <c r="IX20" s="1098">
        <v>4110</v>
      </c>
      <c r="IY20" s="1098">
        <v>801</v>
      </c>
      <c r="IZ20" s="1098">
        <v>968</v>
      </c>
      <c r="JA20" s="1097">
        <f t="shared" si="24"/>
        <v>55718</v>
      </c>
      <c r="JB20" s="1098">
        <v>2497</v>
      </c>
      <c r="JC20" s="1098">
        <v>11258</v>
      </c>
      <c r="JD20" s="1098">
        <v>11258</v>
      </c>
      <c r="JE20" s="1098">
        <v>5520</v>
      </c>
      <c r="JF20" s="1098">
        <v>189</v>
      </c>
      <c r="JG20" s="1098">
        <v>1996</v>
      </c>
      <c r="JH20" s="1098"/>
      <c r="JI20" s="1098"/>
      <c r="JJ20" s="1098"/>
      <c r="JK20" s="1098"/>
      <c r="JL20" s="1098"/>
      <c r="JM20" s="1098"/>
      <c r="JN20" s="1097">
        <f t="shared" si="25"/>
        <v>32718</v>
      </c>
      <c r="JO20" s="1266"/>
      <c r="JP20" s="1116">
        <f t="shared" si="28"/>
        <v>194.87179487179489</v>
      </c>
      <c r="JQ20" s="1117">
        <f t="shared" si="29"/>
        <v>65.949236371541929</v>
      </c>
      <c r="JR20" s="1079">
        <f t="shared" si="30"/>
        <v>18399</v>
      </c>
      <c r="JS20" s="1118">
        <f t="shared" si="31"/>
        <v>30533</v>
      </c>
      <c r="JU20" s="1079">
        <f t="shared" si="26"/>
        <v>1966468.2000000002</v>
      </c>
      <c r="JV20" s="1080" t="s">
        <v>145</v>
      </c>
      <c r="JW20" s="1081" t="str">
        <f t="shared" si="27"/>
        <v>OK</v>
      </c>
    </row>
    <row r="21" spans="1:283" ht="15" customHeight="1" x14ac:dyDescent="0.2">
      <c r="A21" s="1261" t="s">
        <v>140</v>
      </c>
      <c r="B21" s="1098"/>
      <c r="C21" s="1098"/>
      <c r="D21" s="1098"/>
      <c r="E21" s="1098"/>
      <c r="F21" s="1098"/>
      <c r="G21" s="1098"/>
      <c r="H21" s="1098"/>
      <c r="I21" s="1098"/>
      <c r="J21" s="1098"/>
      <c r="K21" s="1098"/>
      <c r="L21" s="1098"/>
      <c r="M21" s="1098"/>
      <c r="N21" s="1097">
        <f t="shared" si="5"/>
        <v>0</v>
      </c>
      <c r="O21" s="1098"/>
      <c r="P21" s="1098"/>
      <c r="Q21" s="1098"/>
      <c r="R21" s="1098"/>
      <c r="S21" s="1098"/>
      <c r="T21" s="1098"/>
      <c r="U21" s="1098"/>
      <c r="V21" s="1098"/>
      <c r="W21" s="1098"/>
      <c r="X21" s="1098"/>
      <c r="Y21" s="1098"/>
      <c r="Z21" s="1098"/>
      <c r="AA21" s="1097">
        <f t="shared" si="6"/>
        <v>0</v>
      </c>
      <c r="AB21" s="1098"/>
      <c r="AC21" s="1098"/>
      <c r="AD21" s="1098"/>
      <c r="AE21" s="1098"/>
      <c r="AF21" s="1098"/>
      <c r="AG21" s="1098"/>
      <c r="AH21" s="1098"/>
      <c r="AI21" s="1098"/>
      <c r="AJ21" s="1098">
        <v>1</v>
      </c>
      <c r="AK21" s="1098"/>
      <c r="AL21" s="1098"/>
      <c r="AM21" s="1098"/>
      <c r="AN21" s="1097">
        <f t="shared" si="7"/>
        <v>1</v>
      </c>
      <c r="AO21" s="1098"/>
      <c r="AP21" s="1098"/>
      <c r="AQ21" s="1098"/>
      <c r="AR21" s="1098"/>
      <c r="AS21" s="1098"/>
      <c r="AT21" s="1098"/>
      <c r="AU21" s="1098">
        <v>1</v>
      </c>
      <c r="AV21" s="1098"/>
      <c r="AW21" s="1098">
        <v>1</v>
      </c>
      <c r="AX21" s="1098"/>
      <c r="AY21" s="1098"/>
      <c r="AZ21" s="1098"/>
      <c r="BA21" s="1097">
        <f t="shared" si="8"/>
        <v>2</v>
      </c>
      <c r="BB21" s="1098"/>
      <c r="BC21" s="1098"/>
      <c r="BD21" s="1098"/>
      <c r="BE21" s="1098"/>
      <c r="BF21" s="1098"/>
      <c r="BG21" s="1098"/>
      <c r="BH21" s="1098"/>
      <c r="BI21" s="1098"/>
      <c r="BJ21" s="1098"/>
      <c r="BK21" s="1098"/>
      <c r="BL21" s="1098"/>
      <c r="BM21" s="1098"/>
      <c r="BN21" s="1097">
        <f t="shared" si="9"/>
        <v>0</v>
      </c>
      <c r="BO21" s="1098"/>
      <c r="BP21" s="1098"/>
      <c r="BQ21" s="1098"/>
      <c r="BR21" s="1098"/>
      <c r="BS21" s="1098"/>
      <c r="BT21" s="1098"/>
      <c r="BU21" s="1098"/>
      <c r="BV21" s="1098"/>
      <c r="BW21" s="1098"/>
      <c r="BX21" s="1098"/>
      <c r="BY21" s="1098"/>
      <c r="BZ21" s="1098"/>
      <c r="CA21" s="1097">
        <f t="shared" si="10"/>
        <v>0</v>
      </c>
      <c r="CB21" s="1098"/>
      <c r="CC21" s="1098"/>
      <c r="CD21" s="1098"/>
      <c r="CE21" s="1098"/>
      <c r="CF21" s="1098"/>
      <c r="CG21" s="1098"/>
      <c r="CH21" s="1098"/>
      <c r="CI21" s="1098"/>
      <c r="CJ21" s="1098"/>
      <c r="CK21" s="1098"/>
      <c r="CL21" s="1098"/>
      <c r="CM21" s="1098"/>
      <c r="CN21" s="1097">
        <f t="shared" si="11"/>
        <v>0</v>
      </c>
      <c r="CO21" s="1098"/>
      <c r="CP21" s="1098"/>
      <c r="CQ21" s="1098"/>
      <c r="CR21" s="1098"/>
      <c r="CS21" s="1098"/>
      <c r="CT21" s="1098"/>
      <c r="CU21" s="1098"/>
      <c r="CV21" s="1098"/>
      <c r="CW21" s="1098"/>
      <c r="CX21" s="1098"/>
      <c r="CY21" s="1098"/>
      <c r="CZ21" s="1098"/>
      <c r="DA21" s="1097">
        <f t="shared" si="12"/>
        <v>0</v>
      </c>
      <c r="DB21" s="1098"/>
      <c r="DC21" s="1098"/>
      <c r="DD21" s="1098"/>
      <c r="DE21" s="1098"/>
      <c r="DF21" s="1098"/>
      <c r="DG21" s="1098"/>
      <c r="DH21" s="1098"/>
      <c r="DI21" s="1098"/>
      <c r="DJ21" s="1098"/>
      <c r="DK21" s="1098"/>
      <c r="DL21" s="1098"/>
      <c r="DM21" s="1098">
        <v>118</v>
      </c>
      <c r="DN21" s="1097">
        <f t="shared" si="13"/>
        <v>118</v>
      </c>
      <c r="DO21" s="1098">
        <v>105</v>
      </c>
      <c r="DP21" s="1098">
        <v>46</v>
      </c>
      <c r="DQ21" s="1098">
        <v>1034</v>
      </c>
      <c r="DR21" s="1098">
        <v>43</v>
      </c>
      <c r="DS21" s="1098">
        <v>46</v>
      </c>
      <c r="DT21" s="1098">
        <v>38</v>
      </c>
      <c r="DU21" s="1098">
        <v>63</v>
      </c>
      <c r="DV21" s="1098">
        <v>97</v>
      </c>
      <c r="DW21" s="1098">
        <v>122</v>
      </c>
      <c r="DX21" s="1098">
        <v>133</v>
      </c>
      <c r="DY21" s="1098"/>
      <c r="DZ21" s="1098">
        <v>118</v>
      </c>
      <c r="EA21" s="1097">
        <f t="shared" si="14"/>
        <v>1845</v>
      </c>
      <c r="EB21" s="1098"/>
      <c r="EC21" s="1098"/>
      <c r="ED21" s="1098"/>
      <c r="EE21" s="1098"/>
      <c r="EF21" s="1098"/>
      <c r="EG21" s="1098"/>
      <c r="EH21" s="1098"/>
      <c r="EI21" s="1098"/>
      <c r="EJ21" s="1098"/>
      <c r="EK21" s="1098"/>
      <c r="EL21" s="1098"/>
      <c r="EM21" s="1098"/>
      <c r="EN21" s="1097">
        <f t="shared" si="15"/>
        <v>0</v>
      </c>
      <c r="EO21" s="1098"/>
      <c r="EP21" s="1098"/>
      <c r="EQ21" s="1098"/>
      <c r="ER21" s="1098"/>
      <c r="ES21" s="1098"/>
      <c r="ET21" s="1098"/>
      <c r="EU21" s="1098"/>
      <c r="EV21" s="1098"/>
      <c r="EW21" s="1098"/>
      <c r="EX21" s="1098"/>
      <c r="EY21" s="1098"/>
      <c r="EZ21" s="1098"/>
      <c r="FA21" s="1097">
        <f t="shared" si="16"/>
        <v>0</v>
      </c>
      <c r="FB21" s="1098"/>
      <c r="FC21" s="1098"/>
      <c r="FD21" s="1098"/>
      <c r="FE21" s="1098"/>
      <c r="FF21" s="1098"/>
      <c r="FG21" s="1098"/>
      <c r="FH21" s="1098"/>
      <c r="FI21" s="1098"/>
      <c r="FJ21" s="1098"/>
      <c r="FK21" s="1098"/>
      <c r="FL21" s="1098"/>
      <c r="FM21" s="1098"/>
      <c r="FN21" s="1097">
        <f t="shared" si="17"/>
        <v>0</v>
      </c>
      <c r="FO21" s="1098"/>
      <c r="FP21" s="1098"/>
      <c r="FQ21" s="1098"/>
      <c r="FR21" s="1098"/>
      <c r="FS21" s="1098"/>
      <c r="FT21" s="1098"/>
      <c r="FU21" s="1098"/>
      <c r="FV21" s="1098">
        <v>1</v>
      </c>
      <c r="FW21" s="1098"/>
      <c r="FX21" s="1098"/>
      <c r="FY21" s="1098"/>
      <c r="FZ21" s="1098"/>
      <c r="GA21" s="1097">
        <f t="shared" si="18"/>
        <v>1</v>
      </c>
      <c r="GB21" s="1098"/>
      <c r="GC21" s="1098"/>
      <c r="GD21" s="1098"/>
      <c r="GE21" s="1098"/>
      <c r="GF21" s="1098"/>
      <c r="GG21" s="1098"/>
      <c r="GH21" s="1098"/>
      <c r="GI21" s="1098"/>
      <c r="GJ21" s="1098"/>
      <c r="GK21" s="1098"/>
      <c r="GL21" s="1098"/>
      <c r="GM21" s="1098"/>
      <c r="GN21" s="1097">
        <f t="shared" si="19"/>
        <v>0</v>
      </c>
      <c r="GO21" s="1098"/>
      <c r="GP21" s="1098"/>
      <c r="GQ21" s="1098"/>
      <c r="GR21" s="1098"/>
      <c r="GS21" s="1098"/>
      <c r="GT21" s="1098"/>
      <c r="GU21" s="1098"/>
      <c r="GV21" s="1098"/>
      <c r="GW21" s="1098"/>
      <c r="GX21" s="1098"/>
      <c r="GY21" s="1098"/>
      <c r="GZ21" s="1098"/>
      <c r="HA21" s="1097">
        <f t="shared" si="20"/>
        <v>0</v>
      </c>
      <c r="HB21" s="1098"/>
      <c r="HC21" s="1098"/>
      <c r="HD21" s="1098">
        <v>2</v>
      </c>
      <c r="HE21" s="1098"/>
      <c r="HF21" s="1098"/>
      <c r="HG21" s="1098"/>
      <c r="HH21" s="1098"/>
      <c r="HI21" s="1098"/>
      <c r="HJ21" s="1098"/>
      <c r="HK21" s="1098"/>
      <c r="HL21" s="1098"/>
      <c r="HM21" s="1098"/>
      <c r="HN21" s="1097">
        <f t="shared" si="21"/>
        <v>2</v>
      </c>
      <c r="HO21" s="1098"/>
      <c r="HP21" s="1098"/>
      <c r="HQ21" s="1098"/>
      <c r="HR21" s="1098"/>
      <c r="HS21" s="1098"/>
      <c r="HT21" s="1098"/>
      <c r="HU21" s="1098"/>
      <c r="HV21" s="1098"/>
      <c r="HW21" s="1098"/>
      <c r="HX21" s="1098"/>
      <c r="HY21" s="1098"/>
      <c r="HZ21" s="1098"/>
      <c r="IA21" s="1097">
        <f t="shared" si="22"/>
        <v>0</v>
      </c>
      <c r="IB21" s="1098"/>
      <c r="IC21" s="1098"/>
      <c r="ID21" s="1098"/>
      <c r="IE21" s="1098"/>
      <c r="IF21" s="1098"/>
      <c r="IG21" s="1098"/>
      <c r="IH21" s="1098"/>
      <c r="II21" s="1098"/>
      <c r="IJ21" s="1098"/>
      <c r="IK21" s="1098"/>
      <c r="IL21" s="1098"/>
      <c r="IM21" s="1098"/>
      <c r="IN21" s="1097">
        <f t="shared" si="23"/>
        <v>0</v>
      </c>
      <c r="IO21" s="1098"/>
      <c r="IP21" s="1098"/>
      <c r="IQ21" s="1098"/>
      <c r="IR21" s="1098"/>
      <c r="IS21" s="1098"/>
      <c r="IT21" s="1098"/>
      <c r="IU21" s="1098"/>
      <c r="IV21" s="1098"/>
      <c r="IW21" s="1098"/>
      <c r="IX21" s="1098"/>
      <c r="IY21" s="1098"/>
      <c r="IZ21" s="1098"/>
      <c r="JA21" s="1097">
        <f t="shared" si="24"/>
        <v>0</v>
      </c>
      <c r="JB21" s="1098"/>
      <c r="JC21" s="1098"/>
      <c r="JD21" s="1098"/>
      <c r="JE21" s="1098"/>
      <c r="JF21" s="1098"/>
      <c r="JG21" s="1098">
        <v>0</v>
      </c>
      <c r="JH21" s="1098"/>
      <c r="JI21" s="1098"/>
      <c r="JJ21" s="1098"/>
      <c r="JK21" s="1098"/>
      <c r="JL21" s="1098"/>
      <c r="JM21" s="1098"/>
      <c r="JN21" s="1097">
        <f t="shared" si="25"/>
        <v>0</v>
      </c>
      <c r="JO21" s="1266"/>
      <c r="JP21" s="1116" t="str">
        <f t="shared" si="28"/>
        <v/>
      </c>
      <c r="JQ21" s="1117" t="str">
        <f t="shared" si="29"/>
        <v/>
      </c>
      <c r="JR21" s="1079">
        <f t="shared" si="30"/>
        <v>0</v>
      </c>
      <c r="JS21" s="1118">
        <f t="shared" si="31"/>
        <v>0</v>
      </c>
      <c r="JU21" s="1079">
        <f t="shared" si="26"/>
        <v>3938</v>
      </c>
      <c r="JV21" s="1080" t="s">
        <v>140</v>
      </c>
      <c r="JW21" s="1081" t="str">
        <f t="shared" si="27"/>
        <v>OK</v>
      </c>
    </row>
    <row r="22" spans="1:283" ht="15" customHeight="1" x14ac:dyDescent="0.2">
      <c r="A22" s="1261" t="s">
        <v>350</v>
      </c>
      <c r="B22" s="1098"/>
      <c r="C22" s="1098"/>
      <c r="D22" s="1098"/>
      <c r="E22" s="1098"/>
      <c r="F22" s="1098"/>
      <c r="G22" s="1098"/>
      <c r="H22" s="1098"/>
      <c r="I22" s="1098"/>
      <c r="J22" s="1098"/>
      <c r="K22" s="1098"/>
      <c r="L22" s="1098"/>
      <c r="M22" s="1098"/>
      <c r="N22" s="1097">
        <f t="shared" si="5"/>
        <v>0</v>
      </c>
      <c r="O22" s="1098"/>
      <c r="P22" s="1098"/>
      <c r="Q22" s="1098"/>
      <c r="R22" s="1098"/>
      <c r="S22" s="1098"/>
      <c r="T22" s="1098"/>
      <c r="U22" s="1098">
        <v>2</v>
      </c>
      <c r="V22" s="1098"/>
      <c r="W22" s="1098"/>
      <c r="X22" s="1098"/>
      <c r="Y22" s="1098"/>
      <c r="Z22" s="1098"/>
      <c r="AA22" s="1097">
        <f t="shared" si="6"/>
        <v>2</v>
      </c>
      <c r="AB22" s="1098"/>
      <c r="AC22" s="1098"/>
      <c r="AD22" s="1098">
        <v>3</v>
      </c>
      <c r="AE22" s="1098"/>
      <c r="AF22" s="1098">
        <v>2</v>
      </c>
      <c r="AG22" s="1098"/>
      <c r="AH22" s="1098"/>
      <c r="AI22" s="1098"/>
      <c r="AJ22" s="1098">
        <v>1</v>
      </c>
      <c r="AK22" s="1098"/>
      <c r="AL22" s="1098"/>
      <c r="AM22" s="1098"/>
      <c r="AN22" s="1097">
        <f t="shared" si="7"/>
        <v>6</v>
      </c>
      <c r="AO22" s="1098"/>
      <c r="AP22" s="1098"/>
      <c r="AQ22" s="1098"/>
      <c r="AR22" s="1098"/>
      <c r="AS22" s="1098">
        <v>2</v>
      </c>
      <c r="AT22" s="1098">
        <v>1</v>
      </c>
      <c r="AU22" s="1098">
        <v>1</v>
      </c>
      <c r="AV22" s="1098"/>
      <c r="AW22" s="1098">
        <v>3</v>
      </c>
      <c r="AX22" s="1098"/>
      <c r="AY22" s="1098"/>
      <c r="AZ22" s="1098"/>
      <c r="BA22" s="1097">
        <f t="shared" si="8"/>
        <v>7</v>
      </c>
      <c r="BB22" s="1098"/>
      <c r="BC22" s="1098"/>
      <c r="BD22" s="1098"/>
      <c r="BE22" s="1098">
        <v>1</v>
      </c>
      <c r="BF22" s="1098"/>
      <c r="BG22" s="1098"/>
      <c r="BH22" s="1098"/>
      <c r="BI22" s="1098"/>
      <c r="BJ22" s="1098"/>
      <c r="BK22" s="1098"/>
      <c r="BL22" s="1098"/>
      <c r="BM22" s="1098"/>
      <c r="BN22" s="1097">
        <f t="shared" si="9"/>
        <v>1</v>
      </c>
      <c r="BO22" s="1098"/>
      <c r="BP22" s="1098"/>
      <c r="BQ22" s="1098"/>
      <c r="BR22" s="1098">
        <v>1</v>
      </c>
      <c r="BS22" s="1098"/>
      <c r="BT22" s="1098"/>
      <c r="BU22" s="1098"/>
      <c r="BV22" s="1098"/>
      <c r="BW22" s="1098"/>
      <c r="BX22" s="1098"/>
      <c r="BY22" s="1098"/>
      <c r="BZ22" s="1098"/>
      <c r="CA22" s="1097">
        <f t="shared" si="10"/>
        <v>1</v>
      </c>
      <c r="CB22" s="1098"/>
      <c r="CC22" s="1098"/>
      <c r="CD22" s="1098"/>
      <c r="CE22" s="1098"/>
      <c r="CF22" s="1098"/>
      <c r="CG22" s="1098"/>
      <c r="CH22" s="1098"/>
      <c r="CI22" s="1098"/>
      <c r="CJ22" s="1098"/>
      <c r="CK22" s="1098"/>
      <c r="CL22" s="1098"/>
      <c r="CM22" s="1098"/>
      <c r="CN22" s="1097">
        <f t="shared" si="11"/>
        <v>0</v>
      </c>
      <c r="CO22" s="1098"/>
      <c r="CP22" s="1098"/>
      <c r="CQ22" s="1098"/>
      <c r="CR22" s="1098"/>
      <c r="CS22" s="1098"/>
      <c r="CT22" s="1098"/>
      <c r="CU22" s="1098"/>
      <c r="CV22" s="1098"/>
      <c r="CW22" s="1098"/>
      <c r="CX22" s="1098"/>
      <c r="CY22" s="1098"/>
      <c r="CZ22" s="1098"/>
      <c r="DA22" s="1097">
        <f t="shared" si="12"/>
        <v>0</v>
      </c>
      <c r="DB22" s="1098"/>
      <c r="DC22" s="1098"/>
      <c r="DD22" s="1098"/>
      <c r="DE22" s="1098"/>
      <c r="DF22" s="1098"/>
      <c r="DG22" s="1098"/>
      <c r="DH22" s="1098"/>
      <c r="DI22" s="1098"/>
      <c r="DJ22" s="1098"/>
      <c r="DK22" s="1098"/>
      <c r="DL22" s="1098"/>
      <c r="DM22" s="1098"/>
      <c r="DN22" s="1097">
        <f t="shared" si="13"/>
        <v>0</v>
      </c>
      <c r="DO22" s="1098"/>
      <c r="DP22" s="1098"/>
      <c r="DQ22" s="1098"/>
      <c r="DR22" s="1098"/>
      <c r="DS22" s="1098"/>
      <c r="DT22" s="1098"/>
      <c r="DU22" s="1098"/>
      <c r="DV22" s="1098"/>
      <c r="DW22" s="1098"/>
      <c r="DX22" s="1098"/>
      <c r="DY22" s="1098"/>
      <c r="DZ22" s="1098"/>
      <c r="EA22" s="1097">
        <f t="shared" si="14"/>
        <v>0</v>
      </c>
      <c r="EB22" s="1098"/>
      <c r="EC22" s="1098"/>
      <c r="ED22" s="1098"/>
      <c r="EE22" s="1098"/>
      <c r="EF22" s="1098"/>
      <c r="EG22" s="1098"/>
      <c r="EH22" s="1098"/>
      <c r="EI22" s="1098"/>
      <c r="EJ22" s="1098"/>
      <c r="EK22" s="1098"/>
      <c r="EL22" s="1098"/>
      <c r="EM22" s="1098"/>
      <c r="EN22" s="1097">
        <f t="shared" si="15"/>
        <v>0</v>
      </c>
      <c r="EO22" s="1098"/>
      <c r="EP22" s="1098"/>
      <c r="EQ22" s="1098"/>
      <c r="ER22" s="1098"/>
      <c r="ES22" s="1098"/>
      <c r="ET22" s="1098"/>
      <c r="EU22" s="1098"/>
      <c r="EV22" s="1098"/>
      <c r="EW22" s="1098"/>
      <c r="EX22" s="1098"/>
      <c r="EY22" s="1098"/>
      <c r="EZ22" s="1098"/>
      <c r="FA22" s="1097">
        <f t="shared" si="16"/>
        <v>0</v>
      </c>
      <c r="FB22" s="1098"/>
      <c r="FC22" s="1098"/>
      <c r="FD22" s="1098"/>
      <c r="FE22" s="1098"/>
      <c r="FF22" s="1098"/>
      <c r="FG22" s="1098"/>
      <c r="FH22" s="1098"/>
      <c r="FI22" s="1098"/>
      <c r="FJ22" s="1098"/>
      <c r="FK22" s="1098"/>
      <c r="FL22" s="1098"/>
      <c r="FM22" s="1098"/>
      <c r="FN22" s="1097">
        <f t="shared" si="17"/>
        <v>0</v>
      </c>
      <c r="FO22" s="1098"/>
      <c r="FP22" s="1098"/>
      <c r="FQ22" s="1098"/>
      <c r="FR22" s="1098"/>
      <c r="FS22" s="1098"/>
      <c r="FT22" s="1098"/>
      <c r="FU22" s="1098"/>
      <c r="FV22" s="1098"/>
      <c r="FW22" s="1098"/>
      <c r="FX22" s="1098"/>
      <c r="FY22" s="1098"/>
      <c r="FZ22" s="1098"/>
      <c r="GA22" s="1097">
        <f t="shared" si="18"/>
        <v>0</v>
      </c>
      <c r="GB22" s="1098"/>
      <c r="GC22" s="1098"/>
      <c r="GD22" s="1098"/>
      <c r="GE22" s="1098"/>
      <c r="GF22" s="1098">
        <v>7</v>
      </c>
      <c r="GG22" s="1098"/>
      <c r="GH22" s="1098"/>
      <c r="GI22" s="1098"/>
      <c r="GJ22" s="1098"/>
      <c r="GK22" s="1098"/>
      <c r="GL22" s="1098"/>
      <c r="GM22" s="1098"/>
      <c r="GN22" s="1097">
        <f t="shared" si="19"/>
        <v>7</v>
      </c>
      <c r="GO22" s="1098"/>
      <c r="GP22" s="1098"/>
      <c r="GQ22" s="1098"/>
      <c r="GR22" s="1098">
        <v>2</v>
      </c>
      <c r="GS22" s="1098">
        <v>3</v>
      </c>
      <c r="GT22" s="1098"/>
      <c r="GU22" s="1098"/>
      <c r="GV22" s="1098"/>
      <c r="GW22" s="1098">
        <v>2</v>
      </c>
      <c r="GX22" s="1098">
        <v>2</v>
      </c>
      <c r="GY22" s="1098"/>
      <c r="GZ22" s="1098">
        <v>3</v>
      </c>
      <c r="HA22" s="1097">
        <f t="shared" si="20"/>
        <v>12</v>
      </c>
      <c r="HB22" s="1098"/>
      <c r="HC22" s="1098"/>
      <c r="HD22" s="1098"/>
      <c r="HE22" s="1098"/>
      <c r="HF22" s="1098"/>
      <c r="HG22" s="1098"/>
      <c r="HH22" s="1098">
        <v>2</v>
      </c>
      <c r="HI22" s="1098"/>
      <c r="HJ22" s="1098">
        <v>2</v>
      </c>
      <c r="HK22" s="1098"/>
      <c r="HL22" s="1098"/>
      <c r="HM22" s="1098"/>
      <c r="HN22" s="1097">
        <f t="shared" si="21"/>
        <v>4</v>
      </c>
      <c r="HO22" s="1098"/>
      <c r="HP22" s="1098"/>
      <c r="HQ22" s="1098"/>
      <c r="HR22" s="1098"/>
      <c r="HS22" s="1098"/>
      <c r="HT22" s="1098"/>
      <c r="HU22" s="1098"/>
      <c r="HV22" s="1098"/>
      <c r="HW22" s="1098"/>
      <c r="HX22" s="1098"/>
      <c r="HY22" s="1098"/>
      <c r="HZ22" s="1098"/>
      <c r="IA22" s="1097">
        <f t="shared" si="22"/>
        <v>0</v>
      </c>
      <c r="IB22" s="1098"/>
      <c r="IC22" s="1098"/>
      <c r="ID22" s="1098"/>
      <c r="IE22" s="1098"/>
      <c r="IF22" s="1098"/>
      <c r="IG22" s="1098"/>
      <c r="IH22" s="1098"/>
      <c r="II22" s="1098"/>
      <c r="IJ22" s="1098"/>
      <c r="IK22" s="1098"/>
      <c r="IL22" s="1098"/>
      <c r="IM22" s="1098"/>
      <c r="IN22" s="1097">
        <f t="shared" si="23"/>
        <v>0</v>
      </c>
      <c r="IO22" s="1098"/>
      <c r="IP22" s="1098"/>
      <c r="IQ22" s="1098"/>
      <c r="IR22" s="1098"/>
      <c r="IS22" s="1098"/>
      <c r="IT22" s="1098"/>
      <c r="IU22" s="1098"/>
      <c r="IV22" s="1098"/>
      <c r="IW22" s="1098"/>
      <c r="IX22" s="1098"/>
      <c r="IY22" s="1098"/>
      <c r="IZ22" s="1098"/>
      <c r="JA22" s="1097">
        <f t="shared" si="24"/>
        <v>0</v>
      </c>
      <c r="JB22" s="1098"/>
      <c r="JC22" s="1098"/>
      <c r="JD22" s="1098"/>
      <c r="JE22" s="1098"/>
      <c r="JF22" s="1098"/>
      <c r="JG22" s="1098">
        <v>0</v>
      </c>
      <c r="JH22" s="1098"/>
      <c r="JI22" s="1098"/>
      <c r="JJ22" s="1098"/>
      <c r="JK22" s="1098"/>
      <c r="JL22" s="1098"/>
      <c r="JM22" s="1098"/>
      <c r="JN22" s="1097">
        <f t="shared" si="25"/>
        <v>0</v>
      </c>
      <c r="JO22" s="1266"/>
      <c r="JP22" s="1116" t="str">
        <f t="shared" si="28"/>
        <v/>
      </c>
      <c r="JQ22" s="1117" t="str">
        <f t="shared" si="29"/>
        <v/>
      </c>
      <c r="JR22" s="1079">
        <f t="shared" si="30"/>
        <v>0</v>
      </c>
      <c r="JS22" s="1118">
        <f t="shared" si="31"/>
        <v>0</v>
      </c>
      <c r="JU22" s="1079">
        <f t="shared" si="26"/>
        <v>80</v>
      </c>
      <c r="JV22" s="1080" t="s">
        <v>350</v>
      </c>
      <c r="JW22" s="1081" t="str">
        <f t="shared" si="27"/>
        <v>OK</v>
      </c>
    </row>
    <row r="23" spans="1:283" ht="15" customHeight="1" x14ac:dyDescent="0.2">
      <c r="A23" s="1261" t="s">
        <v>144</v>
      </c>
      <c r="B23" s="1098">
        <v>44</v>
      </c>
      <c r="C23" s="1098">
        <v>17</v>
      </c>
      <c r="D23" s="1098">
        <v>17</v>
      </c>
      <c r="E23" s="1098">
        <v>18</v>
      </c>
      <c r="F23" s="1098">
        <v>33</v>
      </c>
      <c r="G23" s="1098">
        <v>93</v>
      </c>
      <c r="H23" s="1098">
        <v>28</v>
      </c>
      <c r="I23" s="1098">
        <v>22</v>
      </c>
      <c r="J23" s="1098">
        <v>33</v>
      </c>
      <c r="K23" s="1098">
        <v>52</v>
      </c>
      <c r="L23" s="1098">
        <v>134</v>
      </c>
      <c r="M23" s="1098">
        <v>29</v>
      </c>
      <c r="N23" s="1097">
        <f t="shared" si="5"/>
        <v>520</v>
      </c>
      <c r="O23" s="1098">
        <v>161</v>
      </c>
      <c r="P23" s="1098">
        <v>30</v>
      </c>
      <c r="Q23" s="1098">
        <v>28</v>
      </c>
      <c r="R23" s="1098">
        <v>27</v>
      </c>
      <c r="S23" s="1098">
        <v>1</v>
      </c>
      <c r="T23" s="1098">
        <v>10</v>
      </c>
      <c r="U23" s="1098">
        <v>14</v>
      </c>
      <c r="V23" s="1098">
        <v>31</v>
      </c>
      <c r="W23" s="1098">
        <v>25</v>
      </c>
      <c r="X23" s="1098">
        <v>49</v>
      </c>
      <c r="Y23" s="1098">
        <v>231</v>
      </c>
      <c r="Z23" s="1098">
        <v>93</v>
      </c>
      <c r="AA23" s="1097">
        <f t="shared" si="6"/>
        <v>700</v>
      </c>
      <c r="AB23" s="1098">
        <v>68</v>
      </c>
      <c r="AC23" s="1098">
        <v>41</v>
      </c>
      <c r="AD23" s="1098">
        <v>14</v>
      </c>
      <c r="AE23" s="1098">
        <v>8</v>
      </c>
      <c r="AF23" s="1098">
        <v>17</v>
      </c>
      <c r="AG23" s="1098">
        <v>16</v>
      </c>
      <c r="AH23" s="1098">
        <v>9</v>
      </c>
      <c r="AI23" s="1098">
        <v>19</v>
      </c>
      <c r="AJ23" s="1098">
        <v>27</v>
      </c>
      <c r="AK23" s="1098">
        <v>76</v>
      </c>
      <c r="AL23" s="1098">
        <v>171</v>
      </c>
      <c r="AM23" s="1098">
        <v>189</v>
      </c>
      <c r="AN23" s="1097">
        <f t="shared" si="7"/>
        <v>655</v>
      </c>
      <c r="AO23" s="1098">
        <v>84</v>
      </c>
      <c r="AP23" s="1098">
        <v>49</v>
      </c>
      <c r="AQ23" s="1098">
        <v>40</v>
      </c>
      <c r="AR23" s="1098">
        <v>41</v>
      </c>
      <c r="AS23" s="1098">
        <v>28</v>
      </c>
      <c r="AT23" s="1098">
        <v>126</v>
      </c>
      <c r="AU23" s="1098">
        <v>58</v>
      </c>
      <c r="AV23" s="1098">
        <v>41</v>
      </c>
      <c r="AW23" s="1098">
        <v>52</v>
      </c>
      <c r="AX23" s="1098">
        <v>102</v>
      </c>
      <c r="AY23" s="1098">
        <v>129</v>
      </c>
      <c r="AZ23" s="1098">
        <v>125</v>
      </c>
      <c r="BA23" s="1097">
        <f t="shared" si="8"/>
        <v>875</v>
      </c>
      <c r="BB23" s="1098">
        <v>40</v>
      </c>
      <c r="BC23" s="1098">
        <v>34</v>
      </c>
      <c r="BD23" s="1098">
        <v>24</v>
      </c>
      <c r="BE23" s="1098">
        <v>38</v>
      </c>
      <c r="BF23" s="1098">
        <v>28</v>
      </c>
      <c r="BG23" s="1098">
        <v>25</v>
      </c>
      <c r="BH23" s="1098">
        <v>123</v>
      </c>
      <c r="BI23" s="1098">
        <v>68</v>
      </c>
      <c r="BJ23" s="1098">
        <v>60</v>
      </c>
      <c r="BK23" s="1098">
        <v>125</v>
      </c>
      <c r="BL23" s="1098">
        <v>139</v>
      </c>
      <c r="BM23" s="1098">
        <v>52</v>
      </c>
      <c r="BN23" s="1097">
        <f t="shared" si="9"/>
        <v>756</v>
      </c>
      <c r="BO23" s="1098">
        <v>34</v>
      </c>
      <c r="BP23" s="1098">
        <v>25</v>
      </c>
      <c r="BQ23" s="1098">
        <v>55</v>
      </c>
      <c r="BR23" s="1098">
        <v>52</v>
      </c>
      <c r="BS23" s="1098">
        <v>44</v>
      </c>
      <c r="BT23" s="1098">
        <v>35</v>
      </c>
      <c r="BU23" s="1098">
        <v>43</v>
      </c>
      <c r="BV23" s="1098">
        <v>45</v>
      </c>
      <c r="BW23" s="1098">
        <v>44</v>
      </c>
      <c r="BX23" s="1098">
        <v>121</v>
      </c>
      <c r="BY23" s="1098">
        <v>171</v>
      </c>
      <c r="BZ23" s="1098">
        <v>72</v>
      </c>
      <c r="CA23" s="1097">
        <f t="shared" si="10"/>
        <v>741</v>
      </c>
      <c r="CB23" s="1098">
        <v>9</v>
      </c>
      <c r="CC23" s="1098">
        <v>10</v>
      </c>
      <c r="CD23" s="1098">
        <v>22</v>
      </c>
      <c r="CE23" s="1098">
        <v>25</v>
      </c>
      <c r="CF23" s="1098">
        <v>26</v>
      </c>
      <c r="CG23" s="1098">
        <v>64</v>
      </c>
      <c r="CH23" s="1098">
        <v>31</v>
      </c>
      <c r="CI23" s="1098">
        <v>38</v>
      </c>
      <c r="CJ23" s="1098">
        <v>36</v>
      </c>
      <c r="CK23" s="1098">
        <v>122</v>
      </c>
      <c r="CL23" s="1098">
        <v>195</v>
      </c>
      <c r="CM23" s="1098">
        <v>62</v>
      </c>
      <c r="CN23" s="1097">
        <f t="shared" si="11"/>
        <v>640</v>
      </c>
      <c r="CO23" s="1098">
        <v>33</v>
      </c>
      <c r="CP23" s="1098">
        <v>12</v>
      </c>
      <c r="CQ23" s="1098">
        <v>20</v>
      </c>
      <c r="CR23" s="1098">
        <v>29</v>
      </c>
      <c r="CS23" s="1098">
        <v>26</v>
      </c>
      <c r="CT23" s="1098">
        <v>45</v>
      </c>
      <c r="CU23" s="1098">
        <v>86</v>
      </c>
      <c r="CV23" s="1098">
        <v>40</v>
      </c>
      <c r="CW23" s="1098">
        <v>40</v>
      </c>
      <c r="CX23" s="1098">
        <v>139</v>
      </c>
      <c r="CY23" s="1098">
        <v>178</v>
      </c>
      <c r="CZ23" s="1098">
        <v>93</v>
      </c>
      <c r="DA23" s="1097">
        <f t="shared" si="12"/>
        <v>741</v>
      </c>
      <c r="DB23" s="1098">
        <v>40</v>
      </c>
      <c r="DC23" s="1098">
        <v>28</v>
      </c>
      <c r="DD23" s="1098">
        <v>21</v>
      </c>
      <c r="DE23" s="1098">
        <v>30</v>
      </c>
      <c r="DF23" s="1098">
        <v>24</v>
      </c>
      <c r="DG23" s="1098">
        <v>23</v>
      </c>
      <c r="DH23" s="1098">
        <v>46</v>
      </c>
      <c r="DI23" s="1098">
        <v>51</v>
      </c>
      <c r="DJ23" s="1098">
        <v>49</v>
      </c>
      <c r="DK23" s="1098">
        <v>172</v>
      </c>
      <c r="DL23" s="1098">
        <v>207</v>
      </c>
      <c r="DM23" s="1098">
        <v>3941</v>
      </c>
      <c r="DN23" s="1097">
        <f t="shared" si="13"/>
        <v>4632</v>
      </c>
      <c r="DO23" s="1098">
        <v>3647</v>
      </c>
      <c r="DP23" s="1098">
        <v>244</v>
      </c>
      <c r="DQ23" s="1098">
        <v>18</v>
      </c>
      <c r="DR23" s="1098">
        <v>6</v>
      </c>
      <c r="DS23" s="1098">
        <v>3</v>
      </c>
      <c r="DT23" s="1098"/>
      <c r="DU23" s="1098"/>
      <c r="DV23" s="1098">
        <v>62</v>
      </c>
      <c r="DW23" s="1098">
        <v>56</v>
      </c>
      <c r="DX23" s="1098">
        <v>46</v>
      </c>
      <c r="DY23" s="1098">
        <v>97</v>
      </c>
      <c r="DZ23" s="1098">
        <v>2835</v>
      </c>
      <c r="EA23" s="1097">
        <f t="shared" si="14"/>
        <v>7014</v>
      </c>
      <c r="EB23" s="1098">
        <v>25</v>
      </c>
      <c r="EC23" s="1098">
        <v>31</v>
      </c>
      <c r="ED23" s="1098">
        <v>17</v>
      </c>
      <c r="EE23" s="1098">
        <v>22</v>
      </c>
      <c r="EF23" s="1098">
        <v>21</v>
      </c>
      <c r="EG23" s="1098">
        <v>20</v>
      </c>
      <c r="EH23" s="1098">
        <v>21</v>
      </c>
      <c r="EI23" s="1098">
        <v>20</v>
      </c>
      <c r="EJ23" s="1098">
        <v>24</v>
      </c>
      <c r="EK23" s="1098">
        <v>122</v>
      </c>
      <c r="EL23" s="1098">
        <v>105</v>
      </c>
      <c r="EM23" s="1098">
        <v>18</v>
      </c>
      <c r="EN23" s="1097">
        <f t="shared" si="15"/>
        <v>446</v>
      </c>
      <c r="EO23" s="1098">
        <v>28</v>
      </c>
      <c r="EP23" s="1098">
        <v>19</v>
      </c>
      <c r="EQ23" s="1098">
        <v>22</v>
      </c>
      <c r="ER23" s="1098">
        <v>20</v>
      </c>
      <c r="ES23" s="1098">
        <v>15</v>
      </c>
      <c r="ET23" s="1098">
        <v>21</v>
      </c>
      <c r="EU23" s="1098">
        <v>24</v>
      </c>
      <c r="EV23" s="1098">
        <v>25</v>
      </c>
      <c r="EW23" s="1098">
        <v>27</v>
      </c>
      <c r="EX23" s="1098">
        <v>90</v>
      </c>
      <c r="EY23" s="1098">
        <v>135</v>
      </c>
      <c r="EZ23" s="1098">
        <v>46</v>
      </c>
      <c r="FA23" s="1097">
        <f t="shared" si="16"/>
        <v>472</v>
      </c>
      <c r="FB23" s="1098">
        <v>31</v>
      </c>
      <c r="FC23" s="1098">
        <v>21</v>
      </c>
      <c r="FD23" s="1098">
        <v>27</v>
      </c>
      <c r="FE23" s="1098">
        <v>21</v>
      </c>
      <c r="FF23" s="1098">
        <v>23</v>
      </c>
      <c r="FG23" s="1098">
        <v>34</v>
      </c>
      <c r="FH23" s="1098">
        <v>33</v>
      </c>
      <c r="FI23" s="1098">
        <v>30</v>
      </c>
      <c r="FJ23" s="1098">
        <v>39</v>
      </c>
      <c r="FK23" s="1098">
        <v>63</v>
      </c>
      <c r="FL23" s="1098">
        <v>104</v>
      </c>
      <c r="FM23" s="1098">
        <v>41</v>
      </c>
      <c r="FN23" s="1097">
        <f t="shared" si="17"/>
        <v>467</v>
      </c>
      <c r="FO23" s="1098">
        <v>27</v>
      </c>
      <c r="FP23" s="1098">
        <v>22</v>
      </c>
      <c r="FQ23" s="1098">
        <v>22</v>
      </c>
      <c r="FR23" s="1098">
        <v>13</v>
      </c>
      <c r="FS23" s="1098">
        <v>18</v>
      </c>
      <c r="FT23" s="1098">
        <v>28</v>
      </c>
      <c r="FU23" s="1098">
        <v>23</v>
      </c>
      <c r="FV23" s="1098">
        <v>27</v>
      </c>
      <c r="FW23" s="1098">
        <v>28</v>
      </c>
      <c r="FX23" s="1098">
        <v>84</v>
      </c>
      <c r="FY23" s="1098">
        <v>102</v>
      </c>
      <c r="FZ23" s="1098">
        <v>28</v>
      </c>
      <c r="GA23" s="1097">
        <f t="shared" si="18"/>
        <v>422</v>
      </c>
      <c r="GB23" s="1098">
        <v>36</v>
      </c>
      <c r="GC23" s="1098">
        <v>25</v>
      </c>
      <c r="GD23" s="1098">
        <v>18</v>
      </c>
      <c r="GE23" s="1098">
        <v>21</v>
      </c>
      <c r="GF23" s="1098">
        <v>20</v>
      </c>
      <c r="GG23" s="1098">
        <v>30</v>
      </c>
      <c r="GH23" s="1098">
        <v>28</v>
      </c>
      <c r="GI23" s="1098">
        <v>34</v>
      </c>
      <c r="GJ23" s="1098">
        <v>39</v>
      </c>
      <c r="GK23" s="1098">
        <v>73</v>
      </c>
      <c r="GL23" s="1098">
        <v>85</v>
      </c>
      <c r="GM23" s="1098">
        <v>26</v>
      </c>
      <c r="GN23" s="1097">
        <f t="shared" si="19"/>
        <v>435</v>
      </c>
      <c r="GO23" s="1098">
        <v>17</v>
      </c>
      <c r="GP23" s="1098">
        <v>17.5</v>
      </c>
      <c r="GQ23" s="1098">
        <v>44</v>
      </c>
      <c r="GR23" s="1098">
        <v>17.75</v>
      </c>
      <c r="GS23" s="1098">
        <v>25.5</v>
      </c>
      <c r="GT23" s="1098">
        <v>26</v>
      </c>
      <c r="GU23" s="1098">
        <v>28</v>
      </c>
      <c r="GV23" s="1098">
        <v>34</v>
      </c>
      <c r="GW23" s="1098">
        <v>32</v>
      </c>
      <c r="GX23" s="1098">
        <v>86</v>
      </c>
      <c r="GY23" s="1098">
        <v>114</v>
      </c>
      <c r="GZ23" s="1098">
        <v>33</v>
      </c>
      <c r="HA23" s="1097">
        <f t="shared" si="20"/>
        <v>474.75</v>
      </c>
      <c r="HB23" s="1098">
        <v>29</v>
      </c>
      <c r="HC23" s="1098">
        <v>29</v>
      </c>
      <c r="HD23" s="1098">
        <v>30</v>
      </c>
      <c r="HE23" s="1098">
        <v>22</v>
      </c>
      <c r="HF23" s="1098">
        <v>19</v>
      </c>
      <c r="HG23" s="1098">
        <v>31.5</v>
      </c>
      <c r="HH23" s="1098">
        <v>44</v>
      </c>
      <c r="HI23" s="1098">
        <v>41</v>
      </c>
      <c r="HJ23" s="1098">
        <v>34.5</v>
      </c>
      <c r="HK23" s="1098">
        <v>107</v>
      </c>
      <c r="HL23" s="1098">
        <v>177</v>
      </c>
      <c r="HM23" s="1098">
        <v>36</v>
      </c>
      <c r="HN23" s="1097">
        <f t="shared" si="21"/>
        <v>600</v>
      </c>
      <c r="HO23" s="1098">
        <v>95</v>
      </c>
      <c r="HP23" s="1098">
        <v>55</v>
      </c>
      <c r="HQ23" s="1098">
        <v>44.5</v>
      </c>
      <c r="HR23" s="1098">
        <v>188</v>
      </c>
      <c r="HS23" s="1098">
        <v>23</v>
      </c>
      <c r="HT23" s="1098">
        <v>57</v>
      </c>
      <c r="HU23" s="1098">
        <v>36</v>
      </c>
      <c r="HV23" s="1098">
        <v>34</v>
      </c>
      <c r="HW23" s="1098">
        <v>36</v>
      </c>
      <c r="HX23" s="1098">
        <v>40</v>
      </c>
      <c r="HY23" s="1098">
        <v>162</v>
      </c>
      <c r="HZ23" s="1098">
        <v>49</v>
      </c>
      <c r="IA23" s="1097">
        <f t="shared" si="22"/>
        <v>819.5</v>
      </c>
      <c r="IB23" s="1098">
        <v>37</v>
      </c>
      <c r="IC23" s="1098">
        <v>35</v>
      </c>
      <c r="ID23" s="1098">
        <v>120</v>
      </c>
      <c r="IE23" s="1098">
        <v>159</v>
      </c>
      <c r="IF23" s="1098">
        <v>50</v>
      </c>
      <c r="IG23" s="1098">
        <v>58</v>
      </c>
      <c r="IH23" s="1098">
        <v>34</v>
      </c>
      <c r="II23" s="1098">
        <v>9.5</v>
      </c>
      <c r="IJ23" s="1098">
        <v>19</v>
      </c>
      <c r="IK23" s="1098">
        <v>79</v>
      </c>
      <c r="IL23" s="1098">
        <v>102</v>
      </c>
      <c r="IM23" s="1098">
        <v>16</v>
      </c>
      <c r="IN23" s="1097">
        <f t="shared" si="23"/>
        <v>718.5</v>
      </c>
      <c r="IO23" s="1098">
        <v>20</v>
      </c>
      <c r="IP23" s="1098">
        <v>11</v>
      </c>
      <c r="IQ23" s="1098">
        <v>24</v>
      </c>
      <c r="IR23" s="1098">
        <v>13.5</v>
      </c>
      <c r="IS23" s="1098">
        <v>23.5</v>
      </c>
      <c r="IT23" s="1098">
        <v>13</v>
      </c>
      <c r="IU23" s="1098">
        <v>23</v>
      </c>
      <c r="IV23" s="1098">
        <v>19</v>
      </c>
      <c r="IW23" s="1098">
        <v>17</v>
      </c>
      <c r="IX23" s="1098">
        <v>74</v>
      </c>
      <c r="IY23" s="1098">
        <v>74.5</v>
      </c>
      <c r="IZ23" s="1098">
        <v>26</v>
      </c>
      <c r="JA23" s="1097">
        <f t="shared" si="24"/>
        <v>338.5</v>
      </c>
      <c r="JB23" s="1098">
        <v>17</v>
      </c>
      <c r="JC23" s="1098">
        <v>21</v>
      </c>
      <c r="JD23" s="1098">
        <v>20</v>
      </c>
      <c r="JE23" s="1098">
        <v>22</v>
      </c>
      <c r="JF23" s="1098">
        <v>9</v>
      </c>
      <c r="JG23" s="1098">
        <v>4</v>
      </c>
      <c r="JH23" s="1098"/>
      <c r="JI23" s="1098"/>
      <c r="JJ23" s="1098"/>
      <c r="JK23" s="1098"/>
      <c r="JL23" s="1098"/>
      <c r="JM23" s="1098"/>
      <c r="JN23" s="1097">
        <f t="shared" si="25"/>
        <v>93</v>
      </c>
      <c r="JO23" s="1266"/>
      <c r="JP23" s="1116">
        <f t="shared" si="28"/>
        <v>62.962962962962955</v>
      </c>
      <c r="JQ23" s="1117">
        <f t="shared" si="29"/>
        <v>16.788321167883204</v>
      </c>
      <c r="JR23" s="1079">
        <f t="shared" si="30"/>
        <v>68.5</v>
      </c>
      <c r="JS23" s="1118">
        <f t="shared" si="31"/>
        <v>80</v>
      </c>
      <c r="JU23" s="1079">
        <f t="shared" si="26"/>
        <v>44080.5</v>
      </c>
      <c r="JV23" s="1080" t="s">
        <v>144</v>
      </c>
      <c r="JW23" s="1081" t="str">
        <f t="shared" si="27"/>
        <v>OK</v>
      </c>
    </row>
    <row r="24" spans="1:283" ht="15" customHeight="1" x14ac:dyDescent="0.2">
      <c r="A24" s="1261" t="s">
        <v>138</v>
      </c>
      <c r="B24" s="1098">
        <v>1</v>
      </c>
      <c r="C24" s="1098"/>
      <c r="D24" s="1098">
        <v>2</v>
      </c>
      <c r="E24" s="1098">
        <v>1</v>
      </c>
      <c r="F24" s="1098">
        <v>1</v>
      </c>
      <c r="G24" s="1098">
        <v>3</v>
      </c>
      <c r="H24" s="1098">
        <v>9</v>
      </c>
      <c r="I24" s="1098">
        <v>15</v>
      </c>
      <c r="J24" s="1098">
        <v>13</v>
      </c>
      <c r="K24" s="1098">
        <v>5</v>
      </c>
      <c r="L24" s="1098">
        <v>4</v>
      </c>
      <c r="M24" s="1098">
        <v>1</v>
      </c>
      <c r="N24" s="1097">
        <f t="shared" si="5"/>
        <v>55</v>
      </c>
      <c r="O24" s="1098"/>
      <c r="P24" s="1098"/>
      <c r="Q24" s="1098"/>
      <c r="R24" s="1098">
        <v>2</v>
      </c>
      <c r="S24" s="1098">
        <v>2</v>
      </c>
      <c r="T24" s="1098">
        <v>2</v>
      </c>
      <c r="U24" s="1098">
        <v>2</v>
      </c>
      <c r="V24" s="1098">
        <v>4</v>
      </c>
      <c r="W24" s="1098">
        <v>3</v>
      </c>
      <c r="X24" s="1098">
        <v>1</v>
      </c>
      <c r="Y24" s="1098"/>
      <c r="Z24" s="1098"/>
      <c r="AA24" s="1097">
        <f t="shared" si="6"/>
        <v>16</v>
      </c>
      <c r="AB24" s="1098"/>
      <c r="AC24" s="1098">
        <v>2</v>
      </c>
      <c r="AD24" s="1098">
        <v>20</v>
      </c>
      <c r="AE24" s="1098"/>
      <c r="AF24" s="1098">
        <v>3</v>
      </c>
      <c r="AG24" s="1098">
        <v>1</v>
      </c>
      <c r="AH24" s="1098"/>
      <c r="AI24" s="1098"/>
      <c r="AJ24" s="1098">
        <v>10</v>
      </c>
      <c r="AK24" s="1098">
        <v>10</v>
      </c>
      <c r="AL24" s="1098">
        <v>2</v>
      </c>
      <c r="AM24" s="1098"/>
      <c r="AN24" s="1097">
        <f t="shared" si="7"/>
        <v>48</v>
      </c>
      <c r="AO24" s="1098"/>
      <c r="AP24" s="1098"/>
      <c r="AQ24" s="1098">
        <v>4</v>
      </c>
      <c r="AR24" s="1098"/>
      <c r="AS24" s="1098">
        <v>3</v>
      </c>
      <c r="AT24" s="1098">
        <v>6</v>
      </c>
      <c r="AU24" s="1098">
        <v>10</v>
      </c>
      <c r="AV24" s="1098">
        <v>5</v>
      </c>
      <c r="AW24" s="1098">
        <v>6</v>
      </c>
      <c r="AX24" s="1098">
        <v>1</v>
      </c>
      <c r="AY24" s="1098"/>
      <c r="AZ24" s="1098"/>
      <c r="BA24" s="1097">
        <f t="shared" si="8"/>
        <v>35</v>
      </c>
      <c r="BB24" s="1098">
        <v>1</v>
      </c>
      <c r="BC24" s="1098">
        <v>9</v>
      </c>
      <c r="BD24" s="1098">
        <v>2</v>
      </c>
      <c r="BE24" s="1098"/>
      <c r="BF24" s="1098"/>
      <c r="BG24" s="1098"/>
      <c r="BH24" s="1098">
        <v>2</v>
      </c>
      <c r="BI24" s="1098"/>
      <c r="BJ24" s="1098">
        <v>3</v>
      </c>
      <c r="BK24" s="1098">
        <v>5</v>
      </c>
      <c r="BL24" s="1098">
        <v>3</v>
      </c>
      <c r="BM24" s="1098">
        <v>7</v>
      </c>
      <c r="BN24" s="1097">
        <f t="shared" si="9"/>
        <v>32</v>
      </c>
      <c r="BO24" s="1098"/>
      <c r="BP24" s="1098"/>
      <c r="BQ24" s="1098"/>
      <c r="BR24" s="1098"/>
      <c r="BS24" s="1098"/>
      <c r="BT24" s="1098"/>
      <c r="BU24" s="1098">
        <v>57</v>
      </c>
      <c r="BV24" s="1098">
        <v>92</v>
      </c>
      <c r="BW24" s="1098">
        <v>66</v>
      </c>
      <c r="BX24" s="1098">
        <v>73</v>
      </c>
      <c r="BY24" s="1098">
        <v>31</v>
      </c>
      <c r="BZ24" s="1098">
        <v>46</v>
      </c>
      <c r="CA24" s="1097">
        <f t="shared" si="10"/>
        <v>365</v>
      </c>
      <c r="CB24" s="1098">
        <v>25</v>
      </c>
      <c r="CC24" s="1098">
        <v>13</v>
      </c>
      <c r="CD24" s="1098">
        <v>15</v>
      </c>
      <c r="CE24" s="1098">
        <v>6</v>
      </c>
      <c r="CF24" s="1098">
        <v>10</v>
      </c>
      <c r="CG24" s="1098">
        <v>10</v>
      </c>
      <c r="CH24" s="1098">
        <v>66</v>
      </c>
      <c r="CI24" s="1098">
        <v>19</v>
      </c>
      <c r="CJ24" s="1098">
        <v>33</v>
      </c>
      <c r="CK24" s="1098">
        <v>36</v>
      </c>
      <c r="CL24" s="1098">
        <v>25</v>
      </c>
      <c r="CM24" s="1098">
        <v>52</v>
      </c>
      <c r="CN24" s="1097">
        <f t="shared" si="11"/>
        <v>310</v>
      </c>
      <c r="CO24" s="1098">
        <v>32</v>
      </c>
      <c r="CP24" s="1098">
        <v>85</v>
      </c>
      <c r="CQ24" s="1098">
        <v>55</v>
      </c>
      <c r="CR24" s="1098">
        <v>43</v>
      </c>
      <c r="CS24" s="1098">
        <v>34</v>
      </c>
      <c r="CT24" s="1098">
        <v>24</v>
      </c>
      <c r="CU24" s="1098">
        <v>29</v>
      </c>
      <c r="CV24" s="1098">
        <v>36</v>
      </c>
      <c r="CW24" s="1098">
        <v>31</v>
      </c>
      <c r="CX24" s="1098">
        <v>30</v>
      </c>
      <c r="CY24" s="1098">
        <v>51</v>
      </c>
      <c r="CZ24" s="1098">
        <v>27</v>
      </c>
      <c r="DA24" s="1097">
        <f t="shared" si="12"/>
        <v>477</v>
      </c>
      <c r="DB24" s="1098">
        <v>33</v>
      </c>
      <c r="DC24" s="1098">
        <v>22</v>
      </c>
      <c r="DD24" s="1098">
        <v>30</v>
      </c>
      <c r="DE24" s="1098">
        <v>22</v>
      </c>
      <c r="DF24" s="1098">
        <v>21</v>
      </c>
      <c r="DG24" s="1098">
        <v>41</v>
      </c>
      <c r="DH24" s="1098">
        <v>30</v>
      </c>
      <c r="DI24" s="1098">
        <v>36</v>
      </c>
      <c r="DJ24" s="1098">
        <v>36</v>
      </c>
      <c r="DK24" s="1098">
        <v>34</v>
      </c>
      <c r="DL24" s="1098">
        <v>36</v>
      </c>
      <c r="DM24" s="1098">
        <v>7</v>
      </c>
      <c r="DN24" s="1097">
        <f t="shared" si="13"/>
        <v>348</v>
      </c>
      <c r="DO24" s="1098">
        <v>6</v>
      </c>
      <c r="DP24" s="1098">
        <v>5</v>
      </c>
      <c r="DQ24" s="1098">
        <v>3</v>
      </c>
      <c r="DR24" s="1098">
        <v>1</v>
      </c>
      <c r="DS24" s="1098">
        <v>0.5</v>
      </c>
      <c r="DT24" s="1098"/>
      <c r="DU24" s="1098"/>
      <c r="DV24" s="1098"/>
      <c r="DW24" s="1098"/>
      <c r="DX24" s="1098"/>
      <c r="DY24" s="1098">
        <v>31</v>
      </c>
      <c r="DZ24" s="1098">
        <v>13</v>
      </c>
      <c r="EA24" s="1097">
        <f t="shared" si="14"/>
        <v>59.5</v>
      </c>
      <c r="EB24" s="1098">
        <v>13</v>
      </c>
      <c r="EC24" s="1098">
        <v>22</v>
      </c>
      <c r="ED24" s="1098">
        <v>22</v>
      </c>
      <c r="EE24" s="1098">
        <v>324</v>
      </c>
      <c r="EF24" s="1098">
        <v>7</v>
      </c>
      <c r="EG24" s="1098">
        <v>1048</v>
      </c>
      <c r="EH24" s="1098">
        <v>8</v>
      </c>
      <c r="EI24" s="1098">
        <v>12</v>
      </c>
      <c r="EJ24" s="1098">
        <v>6</v>
      </c>
      <c r="EK24" s="1098">
        <v>7</v>
      </c>
      <c r="EL24" s="1098">
        <v>10</v>
      </c>
      <c r="EM24" s="1098">
        <v>10</v>
      </c>
      <c r="EN24" s="1097">
        <f t="shared" si="15"/>
        <v>1489</v>
      </c>
      <c r="EO24" s="1098">
        <v>4</v>
      </c>
      <c r="EP24" s="1098">
        <v>7</v>
      </c>
      <c r="EQ24" s="1098">
        <v>3</v>
      </c>
      <c r="ER24" s="1098">
        <v>2</v>
      </c>
      <c r="ES24" s="1098"/>
      <c r="ET24" s="1098">
        <v>118</v>
      </c>
      <c r="EU24" s="1098">
        <v>58</v>
      </c>
      <c r="EV24" s="1098">
        <v>52</v>
      </c>
      <c r="EW24" s="1098">
        <v>9</v>
      </c>
      <c r="EX24" s="1098">
        <v>69</v>
      </c>
      <c r="EY24" s="1098">
        <v>3</v>
      </c>
      <c r="EZ24" s="1098">
        <v>8</v>
      </c>
      <c r="FA24" s="1097">
        <f t="shared" si="16"/>
        <v>333</v>
      </c>
      <c r="FB24" s="1098">
        <v>3</v>
      </c>
      <c r="FC24" s="1098">
        <v>9</v>
      </c>
      <c r="FD24" s="1098">
        <v>1</v>
      </c>
      <c r="FE24" s="1098">
        <v>7</v>
      </c>
      <c r="FF24" s="1098">
        <v>5</v>
      </c>
      <c r="FG24" s="1098">
        <v>18</v>
      </c>
      <c r="FH24" s="1098">
        <v>25</v>
      </c>
      <c r="FI24" s="1098">
        <v>32</v>
      </c>
      <c r="FJ24" s="1098"/>
      <c r="FK24" s="1098"/>
      <c r="FL24" s="1098">
        <v>1</v>
      </c>
      <c r="FM24" s="1098"/>
      <c r="FN24" s="1097">
        <f t="shared" si="17"/>
        <v>101</v>
      </c>
      <c r="FO24" s="1098">
        <v>11</v>
      </c>
      <c r="FP24" s="1098"/>
      <c r="FQ24" s="1098">
        <v>13</v>
      </c>
      <c r="FR24" s="1098">
        <v>2</v>
      </c>
      <c r="FS24" s="1098"/>
      <c r="FT24" s="1098"/>
      <c r="FU24" s="1098">
        <v>2</v>
      </c>
      <c r="FV24" s="1098">
        <v>4</v>
      </c>
      <c r="FW24" s="1098"/>
      <c r="FX24" s="1098">
        <v>1</v>
      </c>
      <c r="FY24" s="1098">
        <v>1</v>
      </c>
      <c r="FZ24" s="1098">
        <v>2</v>
      </c>
      <c r="GA24" s="1097">
        <f t="shared" si="18"/>
        <v>36</v>
      </c>
      <c r="GB24" s="1098"/>
      <c r="GC24" s="1098"/>
      <c r="GD24" s="1098">
        <v>1</v>
      </c>
      <c r="GE24" s="1098">
        <v>2</v>
      </c>
      <c r="GF24" s="1098">
        <v>19</v>
      </c>
      <c r="GG24" s="1098">
        <v>7</v>
      </c>
      <c r="GH24" s="1098">
        <v>3</v>
      </c>
      <c r="GI24" s="1098">
        <v>1</v>
      </c>
      <c r="GJ24" s="1098">
        <v>2</v>
      </c>
      <c r="GK24" s="1098">
        <v>7</v>
      </c>
      <c r="GL24" s="1098">
        <v>4</v>
      </c>
      <c r="GM24" s="1098"/>
      <c r="GN24" s="1097">
        <f t="shared" si="19"/>
        <v>46</v>
      </c>
      <c r="GO24" s="1098">
        <v>2</v>
      </c>
      <c r="GP24" s="1098">
        <v>7</v>
      </c>
      <c r="GQ24" s="1098">
        <v>1</v>
      </c>
      <c r="GR24" s="1098"/>
      <c r="GS24" s="1098">
        <v>4</v>
      </c>
      <c r="GT24" s="1098">
        <v>4</v>
      </c>
      <c r="GU24" s="1098">
        <v>5</v>
      </c>
      <c r="GV24" s="1098">
        <v>8</v>
      </c>
      <c r="GW24" s="1098">
        <v>7.5</v>
      </c>
      <c r="GX24" s="1098">
        <v>8</v>
      </c>
      <c r="GY24" s="1098">
        <v>3</v>
      </c>
      <c r="GZ24" s="1098">
        <v>1</v>
      </c>
      <c r="HA24" s="1097">
        <f t="shared" si="20"/>
        <v>50.5</v>
      </c>
      <c r="HB24" s="1098"/>
      <c r="HC24" s="1098"/>
      <c r="HD24" s="1098">
        <v>14</v>
      </c>
      <c r="HE24" s="1098">
        <v>9</v>
      </c>
      <c r="HF24" s="1098"/>
      <c r="HG24" s="1098"/>
      <c r="HH24" s="1098"/>
      <c r="HI24" s="1098"/>
      <c r="HJ24" s="1098">
        <v>19</v>
      </c>
      <c r="HK24" s="1098">
        <v>14</v>
      </c>
      <c r="HL24" s="1098"/>
      <c r="HM24" s="1098"/>
      <c r="HN24" s="1097">
        <f t="shared" si="21"/>
        <v>56</v>
      </c>
      <c r="HO24" s="1098">
        <v>6</v>
      </c>
      <c r="HP24" s="1098">
        <v>17</v>
      </c>
      <c r="HQ24" s="1098">
        <v>26</v>
      </c>
      <c r="HR24" s="1098"/>
      <c r="HS24" s="1098">
        <v>12</v>
      </c>
      <c r="HT24" s="1098">
        <v>26</v>
      </c>
      <c r="HU24" s="1098">
        <v>30</v>
      </c>
      <c r="HV24" s="1098">
        <v>45</v>
      </c>
      <c r="HW24" s="1098">
        <v>46</v>
      </c>
      <c r="HX24" s="1098">
        <v>45</v>
      </c>
      <c r="HY24" s="1098"/>
      <c r="HZ24" s="1098"/>
      <c r="IA24" s="1097">
        <f t="shared" si="22"/>
        <v>253</v>
      </c>
      <c r="IB24" s="1098">
        <v>45</v>
      </c>
      <c r="IC24" s="1098">
        <v>42</v>
      </c>
      <c r="ID24" s="1098">
        <v>42</v>
      </c>
      <c r="IE24" s="1098"/>
      <c r="IF24" s="1098"/>
      <c r="IG24" s="1098"/>
      <c r="IH24" s="1098">
        <v>60</v>
      </c>
      <c r="II24" s="1098"/>
      <c r="IJ24" s="1098"/>
      <c r="IK24" s="1098"/>
      <c r="IL24" s="1098"/>
      <c r="IM24" s="1098"/>
      <c r="IN24" s="1097">
        <f t="shared" si="23"/>
        <v>189</v>
      </c>
      <c r="IO24" s="1098"/>
      <c r="IP24" s="1098"/>
      <c r="IQ24" s="1098"/>
      <c r="IR24" s="1098">
        <v>200</v>
      </c>
      <c r="IS24" s="1098">
        <v>189</v>
      </c>
      <c r="IT24" s="1098"/>
      <c r="IU24" s="1098"/>
      <c r="IV24" s="1098">
        <v>5</v>
      </c>
      <c r="IW24" s="1098"/>
      <c r="IX24" s="1098"/>
      <c r="IY24" s="1098">
        <v>0.5</v>
      </c>
      <c r="IZ24" s="1098"/>
      <c r="JA24" s="1097">
        <f t="shared" si="24"/>
        <v>394.5</v>
      </c>
      <c r="JB24" s="1098">
        <v>5</v>
      </c>
      <c r="JC24" s="1098"/>
      <c r="JD24" s="1098"/>
      <c r="JE24" s="1098"/>
      <c r="JF24" s="1098">
        <v>8</v>
      </c>
      <c r="JG24" s="1098">
        <v>0</v>
      </c>
      <c r="JH24" s="1098"/>
      <c r="JI24" s="1098"/>
      <c r="JJ24" s="1098"/>
      <c r="JK24" s="1098"/>
      <c r="JL24" s="1098"/>
      <c r="JM24" s="1098"/>
      <c r="JN24" s="1097">
        <f t="shared" si="25"/>
        <v>13</v>
      </c>
      <c r="JO24" s="1266"/>
      <c r="JP24" s="1116">
        <f t="shared" si="28"/>
        <v>-100</v>
      </c>
      <c r="JQ24" s="1117">
        <f t="shared" si="29"/>
        <v>-97.5</v>
      </c>
      <c r="JR24" s="1079">
        <f t="shared" si="30"/>
        <v>200</v>
      </c>
      <c r="JS24" s="1118">
        <f t="shared" si="31"/>
        <v>5</v>
      </c>
      <c r="JU24" s="1079">
        <f t="shared" si="26"/>
        <v>9303</v>
      </c>
      <c r="JV24" s="1080" t="s">
        <v>138</v>
      </c>
      <c r="JW24" s="1081" t="str">
        <f t="shared" si="27"/>
        <v>OK</v>
      </c>
    </row>
    <row r="25" spans="1:283" ht="15" customHeight="1" x14ac:dyDescent="0.2">
      <c r="A25" s="1261" t="s">
        <v>146</v>
      </c>
      <c r="B25" s="1098"/>
      <c r="C25" s="1098"/>
      <c r="D25" s="1098"/>
      <c r="E25" s="1098"/>
      <c r="F25" s="1098"/>
      <c r="G25" s="1098"/>
      <c r="H25" s="1098">
        <v>350</v>
      </c>
      <c r="I25" s="1098"/>
      <c r="J25" s="1098">
        <v>350</v>
      </c>
      <c r="K25" s="1098"/>
      <c r="L25" s="1098"/>
      <c r="M25" s="1098"/>
      <c r="N25" s="1097">
        <f t="shared" si="5"/>
        <v>700</v>
      </c>
      <c r="O25" s="1098">
        <v>480</v>
      </c>
      <c r="P25" s="1098"/>
      <c r="Q25" s="1098"/>
      <c r="R25" s="1098">
        <v>320</v>
      </c>
      <c r="S25" s="1098">
        <v>150</v>
      </c>
      <c r="T25" s="1098"/>
      <c r="U25" s="1098">
        <v>200</v>
      </c>
      <c r="V25" s="1098">
        <v>50</v>
      </c>
      <c r="W25" s="1098">
        <v>200</v>
      </c>
      <c r="X25" s="1098">
        <v>200</v>
      </c>
      <c r="Y25" s="1098">
        <v>140</v>
      </c>
      <c r="Z25" s="1098">
        <v>210</v>
      </c>
      <c r="AA25" s="1097">
        <f t="shared" si="6"/>
        <v>1950</v>
      </c>
      <c r="AB25" s="1098">
        <v>200</v>
      </c>
      <c r="AC25" s="1098">
        <v>150</v>
      </c>
      <c r="AD25" s="1098">
        <v>252</v>
      </c>
      <c r="AE25" s="1098">
        <v>280</v>
      </c>
      <c r="AF25" s="1098">
        <v>200</v>
      </c>
      <c r="AG25" s="1098">
        <v>330</v>
      </c>
      <c r="AH25" s="1098">
        <v>150</v>
      </c>
      <c r="AI25" s="1098">
        <v>152</v>
      </c>
      <c r="AJ25" s="1098">
        <v>150</v>
      </c>
      <c r="AK25" s="1098">
        <v>192</v>
      </c>
      <c r="AL25" s="1098">
        <v>201</v>
      </c>
      <c r="AM25" s="1098">
        <v>62</v>
      </c>
      <c r="AN25" s="1097">
        <f t="shared" si="7"/>
        <v>2319</v>
      </c>
      <c r="AO25" s="1098">
        <v>1505</v>
      </c>
      <c r="AP25" s="1098">
        <v>1802</v>
      </c>
      <c r="AQ25" s="1098">
        <v>1601</v>
      </c>
      <c r="AR25" s="1098">
        <v>90</v>
      </c>
      <c r="AS25" s="1098">
        <v>390</v>
      </c>
      <c r="AT25" s="1098">
        <v>77</v>
      </c>
      <c r="AU25" s="1098">
        <v>115</v>
      </c>
      <c r="AV25" s="1098">
        <v>70</v>
      </c>
      <c r="AW25" s="1098">
        <v>70</v>
      </c>
      <c r="AX25" s="1098">
        <v>75</v>
      </c>
      <c r="AY25" s="1098">
        <v>100</v>
      </c>
      <c r="AZ25" s="1098">
        <v>120</v>
      </c>
      <c r="BA25" s="1097">
        <f t="shared" si="8"/>
        <v>6015</v>
      </c>
      <c r="BB25" s="1098">
        <v>210</v>
      </c>
      <c r="BC25" s="1098">
        <v>190</v>
      </c>
      <c r="BD25" s="1098">
        <v>145</v>
      </c>
      <c r="BE25" s="1098">
        <v>195</v>
      </c>
      <c r="BF25" s="1098">
        <v>120</v>
      </c>
      <c r="BG25" s="1098">
        <v>95</v>
      </c>
      <c r="BH25" s="1098">
        <v>55</v>
      </c>
      <c r="BI25" s="1098">
        <v>80</v>
      </c>
      <c r="BJ25" s="1098">
        <v>70</v>
      </c>
      <c r="BK25" s="1098">
        <v>50</v>
      </c>
      <c r="BL25" s="1098">
        <v>65</v>
      </c>
      <c r="BM25" s="1098">
        <v>85</v>
      </c>
      <c r="BN25" s="1097">
        <f t="shared" si="9"/>
        <v>1360</v>
      </c>
      <c r="BO25" s="1098">
        <v>70</v>
      </c>
      <c r="BP25" s="1098">
        <v>30</v>
      </c>
      <c r="BQ25" s="1098">
        <v>215</v>
      </c>
      <c r="BR25" s="1098">
        <v>133</v>
      </c>
      <c r="BS25" s="1098">
        <v>300</v>
      </c>
      <c r="BT25" s="1098">
        <v>170</v>
      </c>
      <c r="BU25" s="1098">
        <v>50</v>
      </c>
      <c r="BV25" s="1098">
        <v>90</v>
      </c>
      <c r="BW25" s="1098">
        <v>85</v>
      </c>
      <c r="BX25" s="1098">
        <v>130</v>
      </c>
      <c r="BY25" s="1098">
        <v>55</v>
      </c>
      <c r="BZ25" s="1098">
        <v>146</v>
      </c>
      <c r="CA25" s="1097">
        <f t="shared" si="10"/>
        <v>1474</v>
      </c>
      <c r="CB25" s="1098">
        <v>30</v>
      </c>
      <c r="CC25" s="1098">
        <v>20</v>
      </c>
      <c r="CD25" s="1098">
        <v>123</v>
      </c>
      <c r="CE25" s="1098">
        <v>395</v>
      </c>
      <c r="CF25" s="1098">
        <v>105</v>
      </c>
      <c r="CG25" s="1098">
        <v>57</v>
      </c>
      <c r="CH25" s="1098">
        <v>30</v>
      </c>
      <c r="CI25" s="1098">
        <v>40</v>
      </c>
      <c r="CJ25" s="1098">
        <v>40</v>
      </c>
      <c r="CK25" s="1098">
        <v>40</v>
      </c>
      <c r="CL25" s="1098">
        <v>30</v>
      </c>
      <c r="CM25" s="1098"/>
      <c r="CN25" s="1097">
        <f t="shared" si="11"/>
        <v>910</v>
      </c>
      <c r="CO25" s="1098"/>
      <c r="CP25" s="1098"/>
      <c r="CQ25" s="1098">
        <v>48</v>
      </c>
      <c r="CR25" s="1098">
        <v>173</v>
      </c>
      <c r="CS25" s="1098">
        <v>90</v>
      </c>
      <c r="CT25" s="1098">
        <v>77</v>
      </c>
      <c r="CU25" s="1098">
        <v>122</v>
      </c>
      <c r="CV25" s="1098"/>
      <c r="CW25" s="1098">
        <v>75</v>
      </c>
      <c r="CX25" s="1098">
        <v>110</v>
      </c>
      <c r="CY25" s="1098">
        <v>115</v>
      </c>
      <c r="CZ25" s="1098">
        <v>1670</v>
      </c>
      <c r="DA25" s="1097">
        <f t="shared" si="12"/>
        <v>2480</v>
      </c>
      <c r="DB25" s="1098">
        <v>130</v>
      </c>
      <c r="DC25" s="1098">
        <v>100</v>
      </c>
      <c r="DD25" s="1098">
        <v>110</v>
      </c>
      <c r="DE25" s="1098">
        <v>88</v>
      </c>
      <c r="DF25" s="1098">
        <v>51</v>
      </c>
      <c r="DG25" s="1098">
        <v>124</v>
      </c>
      <c r="DH25" s="1098">
        <v>110</v>
      </c>
      <c r="DI25" s="1098">
        <v>86</v>
      </c>
      <c r="DJ25" s="1098">
        <v>100</v>
      </c>
      <c r="DK25" s="1098">
        <v>157</v>
      </c>
      <c r="DL25" s="1098">
        <v>123</v>
      </c>
      <c r="DM25" s="1098">
        <v>320</v>
      </c>
      <c r="DN25" s="1097">
        <f t="shared" si="13"/>
        <v>1499</v>
      </c>
      <c r="DO25" s="1098">
        <v>530</v>
      </c>
      <c r="DP25" s="1098">
        <v>255</v>
      </c>
      <c r="DQ25" s="1098">
        <v>69</v>
      </c>
      <c r="DR25" s="1098">
        <v>74</v>
      </c>
      <c r="DS25" s="1098">
        <v>95</v>
      </c>
      <c r="DT25" s="1098">
        <v>69</v>
      </c>
      <c r="DU25" s="1098">
        <v>67</v>
      </c>
      <c r="DV25" s="1098">
        <v>66</v>
      </c>
      <c r="DW25" s="1098">
        <v>205</v>
      </c>
      <c r="DX25" s="1098">
        <v>59</v>
      </c>
      <c r="DY25" s="1098"/>
      <c r="DZ25" s="1098">
        <v>626</v>
      </c>
      <c r="EA25" s="1097">
        <f t="shared" si="14"/>
        <v>2115</v>
      </c>
      <c r="EB25" s="1098">
        <v>128</v>
      </c>
      <c r="EC25" s="1098">
        <v>117</v>
      </c>
      <c r="ED25" s="1098">
        <v>10</v>
      </c>
      <c r="EE25" s="1098">
        <v>3</v>
      </c>
      <c r="EF25" s="1098"/>
      <c r="EG25" s="1098">
        <v>5</v>
      </c>
      <c r="EH25" s="1098"/>
      <c r="EI25" s="1098">
        <v>2</v>
      </c>
      <c r="EJ25" s="1098"/>
      <c r="EK25" s="1098"/>
      <c r="EL25" s="1098"/>
      <c r="EM25" s="1098"/>
      <c r="EN25" s="1097">
        <f t="shared" si="15"/>
        <v>265</v>
      </c>
      <c r="EO25" s="1098"/>
      <c r="EP25" s="1098"/>
      <c r="EQ25" s="1098"/>
      <c r="ER25" s="1098"/>
      <c r="ES25" s="1098"/>
      <c r="ET25" s="1098">
        <v>571</v>
      </c>
      <c r="EU25" s="1098">
        <v>220</v>
      </c>
      <c r="EV25" s="1098">
        <v>243</v>
      </c>
      <c r="EW25" s="1098">
        <v>5</v>
      </c>
      <c r="EX25" s="1098">
        <v>102</v>
      </c>
      <c r="EY25" s="1098">
        <v>52</v>
      </c>
      <c r="EZ25" s="1098">
        <v>52</v>
      </c>
      <c r="FA25" s="1097">
        <f t="shared" si="16"/>
        <v>1245</v>
      </c>
      <c r="FB25" s="1098">
        <v>52</v>
      </c>
      <c r="FC25" s="1098">
        <v>465</v>
      </c>
      <c r="FD25" s="1098">
        <v>408</v>
      </c>
      <c r="FE25" s="1098">
        <v>408</v>
      </c>
      <c r="FF25" s="1098">
        <v>3</v>
      </c>
      <c r="FG25" s="1098">
        <v>411</v>
      </c>
      <c r="FH25" s="1098">
        <v>411</v>
      </c>
      <c r="FI25" s="1098">
        <v>411</v>
      </c>
      <c r="FJ25" s="1098">
        <v>408</v>
      </c>
      <c r="FK25" s="1098"/>
      <c r="FL25" s="1098"/>
      <c r="FM25" s="1098"/>
      <c r="FN25" s="1097">
        <f t="shared" si="17"/>
        <v>2977</v>
      </c>
      <c r="FO25" s="1098"/>
      <c r="FP25" s="1098">
        <v>8</v>
      </c>
      <c r="FQ25" s="1098">
        <v>12</v>
      </c>
      <c r="FR25" s="1098">
        <v>2</v>
      </c>
      <c r="FS25" s="1098"/>
      <c r="FT25" s="1098">
        <v>2</v>
      </c>
      <c r="FU25" s="1098">
        <v>5</v>
      </c>
      <c r="FV25" s="1098">
        <v>5</v>
      </c>
      <c r="FW25" s="1098">
        <v>5</v>
      </c>
      <c r="FX25" s="1098">
        <v>3</v>
      </c>
      <c r="FY25" s="1098">
        <v>2</v>
      </c>
      <c r="FZ25" s="1098"/>
      <c r="GA25" s="1097">
        <f t="shared" si="18"/>
        <v>44</v>
      </c>
      <c r="GB25" s="1098">
        <v>17</v>
      </c>
      <c r="GC25" s="1098"/>
      <c r="GD25" s="1098">
        <v>20</v>
      </c>
      <c r="GE25" s="1098">
        <v>10</v>
      </c>
      <c r="GF25" s="1098">
        <v>10</v>
      </c>
      <c r="GG25" s="1098">
        <v>10</v>
      </c>
      <c r="GH25" s="1098"/>
      <c r="GI25" s="1098">
        <v>2</v>
      </c>
      <c r="GJ25" s="1098">
        <v>2</v>
      </c>
      <c r="GK25" s="1098">
        <v>1</v>
      </c>
      <c r="GL25" s="1098"/>
      <c r="GM25" s="1098"/>
      <c r="GN25" s="1097">
        <f t="shared" si="19"/>
        <v>72</v>
      </c>
      <c r="GO25" s="1098">
        <v>160</v>
      </c>
      <c r="GP25" s="1098">
        <v>95</v>
      </c>
      <c r="GQ25" s="1098">
        <v>205</v>
      </c>
      <c r="GR25" s="1098">
        <v>250</v>
      </c>
      <c r="GS25" s="1098">
        <v>240</v>
      </c>
      <c r="GT25" s="1098">
        <v>203</v>
      </c>
      <c r="GU25" s="1098">
        <v>185</v>
      </c>
      <c r="GV25" s="1098">
        <v>220</v>
      </c>
      <c r="GW25" s="1098">
        <v>248</v>
      </c>
      <c r="GX25" s="1098">
        <v>240</v>
      </c>
      <c r="GY25" s="1098"/>
      <c r="GZ25" s="1098"/>
      <c r="HA25" s="1097">
        <f t="shared" si="20"/>
        <v>2046</v>
      </c>
      <c r="HB25" s="1098"/>
      <c r="HC25" s="1098"/>
      <c r="HD25" s="1098"/>
      <c r="HE25" s="1098"/>
      <c r="HF25" s="1098"/>
      <c r="HG25" s="1098"/>
      <c r="HH25" s="1098"/>
      <c r="HI25" s="1098"/>
      <c r="HJ25" s="1098"/>
      <c r="HK25" s="1098">
        <v>40</v>
      </c>
      <c r="HL25" s="1098"/>
      <c r="HM25" s="1098"/>
      <c r="HN25" s="1097">
        <f t="shared" si="21"/>
        <v>40</v>
      </c>
      <c r="HO25" s="1098"/>
      <c r="HP25" s="1098"/>
      <c r="HQ25" s="1098">
        <v>54</v>
      </c>
      <c r="HR25" s="1098"/>
      <c r="HS25" s="1098"/>
      <c r="HT25" s="1098"/>
      <c r="HU25" s="1098"/>
      <c r="HV25" s="1098"/>
      <c r="HW25" s="1098"/>
      <c r="HX25" s="1098">
        <v>5</v>
      </c>
      <c r="HY25" s="1098"/>
      <c r="HZ25" s="1098">
        <v>6</v>
      </c>
      <c r="IA25" s="1097">
        <f t="shared" si="22"/>
        <v>65</v>
      </c>
      <c r="IB25" s="1098"/>
      <c r="IC25" s="1098">
        <v>5</v>
      </c>
      <c r="ID25" s="1098">
        <v>5</v>
      </c>
      <c r="IE25" s="1098"/>
      <c r="IF25" s="1098">
        <v>6</v>
      </c>
      <c r="IG25" s="1098">
        <v>4</v>
      </c>
      <c r="IH25" s="1098"/>
      <c r="II25" s="1098">
        <v>41</v>
      </c>
      <c r="IJ25" s="1098">
        <v>7</v>
      </c>
      <c r="IK25" s="1098">
        <v>13</v>
      </c>
      <c r="IL25" s="1098">
        <v>15</v>
      </c>
      <c r="IM25" s="1098">
        <v>30</v>
      </c>
      <c r="IN25" s="1097">
        <f t="shared" si="23"/>
        <v>126</v>
      </c>
      <c r="IO25" s="1098">
        <v>25</v>
      </c>
      <c r="IP25" s="1098"/>
      <c r="IQ25" s="1098"/>
      <c r="IR25" s="1098"/>
      <c r="IS25" s="1098"/>
      <c r="IT25" s="1098"/>
      <c r="IU25" s="1098"/>
      <c r="IV25" s="1098"/>
      <c r="IW25" s="1098"/>
      <c r="IX25" s="1098"/>
      <c r="IY25" s="1098"/>
      <c r="IZ25" s="1098"/>
      <c r="JA25" s="1097">
        <f t="shared" si="24"/>
        <v>25</v>
      </c>
      <c r="JB25" s="1098"/>
      <c r="JC25" s="1098"/>
      <c r="JD25" s="1098"/>
      <c r="JE25" s="1098"/>
      <c r="JF25" s="1098"/>
      <c r="JG25" s="1098">
        <v>1180</v>
      </c>
      <c r="JH25" s="1098"/>
      <c r="JI25" s="1098"/>
      <c r="JJ25" s="1098"/>
      <c r="JK25" s="1098"/>
      <c r="JL25" s="1098"/>
      <c r="JM25" s="1098"/>
      <c r="JN25" s="1097">
        <f t="shared" si="25"/>
        <v>1180</v>
      </c>
      <c r="JO25" s="1266"/>
      <c r="JP25" s="1116" t="str">
        <f t="shared" si="28"/>
        <v/>
      </c>
      <c r="JQ25" s="1117">
        <f t="shared" si="29"/>
        <v>-100</v>
      </c>
      <c r="JR25" s="1079">
        <f t="shared" si="30"/>
        <v>25</v>
      </c>
      <c r="JS25" s="1118">
        <f t="shared" si="31"/>
        <v>0</v>
      </c>
      <c r="JU25" s="1079">
        <f t="shared" si="26"/>
        <v>56414</v>
      </c>
      <c r="JV25" s="1080" t="s">
        <v>146</v>
      </c>
      <c r="JW25" s="1081" t="str">
        <f t="shared" si="27"/>
        <v>OK</v>
      </c>
    </row>
    <row r="26" spans="1:283" ht="15" customHeight="1" x14ac:dyDescent="0.2">
      <c r="A26" s="1261" t="s">
        <v>351</v>
      </c>
      <c r="B26" s="1098"/>
      <c r="C26" s="1098"/>
      <c r="D26" s="1098"/>
      <c r="E26" s="1098"/>
      <c r="F26" s="1098"/>
      <c r="G26" s="1098"/>
      <c r="H26" s="1098"/>
      <c r="I26" s="1098"/>
      <c r="J26" s="1098"/>
      <c r="K26" s="1098"/>
      <c r="L26" s="1098"/>
      <c r="M26" s="1098"/>
      <c r="N26" s="1097">
        <f t="shared" si="5"/>
        <v>0</v>
      </c>
      <c r="O26" s="1098">
        <v>4</v>
      </c>
      <c r="P26" s="1098"/>
      <c r="Q26" s="1098"/>
      <c r="R26" s="1098"/>
      <c r="S26" s="1098"/>
      <c r="T26" s="1098">
        <v>6</v>
      </c>
      <c r="U26" s="1098"/>
      <c r="V26" s="1098"/>
      <c r="W26" s="1098"/>
      <c r="X26" s="1098"/>
      <c r="Y26" s="1098"/>
      <c r="Z26" s="1098"/>
      <c r="AA26" s="1097">
        <f t="shared" si="6"/>
        <v>10</v>
      </c>
      <c r="AB26" s="1098"/>
      <c r="AC26" s="1098"/>
      <c r="AD26" s="1098"/>
      <c r="AE26" s="1098"/>
      <c r="AF26" s="1098"/>
      <c r="AG26" s="1098"/>
      <c r="AH26" s="1098"/>
      <c r="AI26" s="1098"/>
      <c r="AJ26" s="1098">
        <v>1</v>
      </c>
      <c r="AK26" s="1098"/>
      <c r="AL26" s="1098"/>
      <c r="AM26" s="1098"/>
      <c r="AN26" s="1097">
        <f t="shared" si="7"/>
        <v>1</v>
      </c>
      <c r="AO26" s="1098"/>
      <c r="AP26" s="1098"/>
      <c r="AQ26" s="1098">
        <v>1</v>
      </c>
      <c r="AR26" s="1098"/>
      <c r="AS26" s="1098">
        <v>1</v>
      </c>
      <c r="AT26" s="1098">
        <v>3</v>
      </c>
      <c r="AU26" s="1098"/>
      <c r="AV26" s="1098"/>
      <c r="AW26" s="1098"/>
      <c r="AX26" s="1098"/>
      <c r="AY26" s="1098"/>
      <c r="AZ26" s="1098"/>
      <c r="BA26" s="1097">
        <f t="shared" si="8"/>
        <v>5</v>
      </c>
      <c r="BB26" s="1098"/>
      <c r="BC26" s="1098"/>
      <c r="BD26" s="1098">
        <v>1</v>
      </c>
      <c r="BE26" s="1098"/>
      <c r="BF26" s="1098">
        <v>2</v>
      </c>
      <c r="BG26" s="1098"/>
      <c r="BH26" s="1098"/>
      <c r="BI26" s="1098">
        <v>2</v>
      </c>
      <c r="BJ26" s="1098"/>
      <c r="BK26" s="1098"/>
      <c r="BL26" s="1098"/>
      <c r="BM26" s="1098"/>
      <c r="BN26" s="1097">
        <f t="shared" si="9"/>
        <v>5</v>
      </c>
      <c r="BO26" s="1098"/>
      <c r="BP26" s="1098"/>
      <c r="BQ26" s="1098"/>
      <c r="BR26" s="1098"/>
      <c r="BS26" s="1098"/>
      <c r="BT26" s="1098"/>
      <c r="BU26" s="1098"/>
      <c r="BV26" s="1098"/>
      <c r="BW26" s="1098"/>
      <c r="BX26" s="1098"/>
      <c r="BY26" s="1098"/>
      <c r="BZ26" s="1098"/>
      <c r="CA26" s="1097">
        <f t="shared" si="10"/>
        <v>0</v>
      </c>
      <c r="CB26" s="1098"/>
      <c r="CC26" s="1098"/>
      <c r="CD26" s="1098"/>
      <c r="CE26" s="1098"/>
      <c r="CF26" s="1098"/>
      <c r="CG26" s="1098"/>
      <c r="CH26" s="1098"/>
      <c r="CI26" s="1098"/>
      <c r="CJ26" s="1098"/>
      <c r="CK26" s="1098"/>
      <c r="CL26" s="1098">
        <v>3</v>
      </c>
      <c r="CM26" s="1098"/>
      <c r="CN26" s="1097">
        <f t="shared" si="11"/>
        <v>3</v>
      </c>
      <c r="CO26" s="1098"/>
      <c r="CP26" s="1098"/>
      <c r="CQ26" s="1098"/>
      <c r="CR26" s="1098"/>
      <c r="CS26" s="1098">
        <v>1</v>
      </c>
      <c r="CT26" s="1098"/>
      <c r="CU26" s="1098"/>
      <c r="CV26" s="1098"/>
      <c r="CW26" s="1098"/>
      <c r="CX26" s="1098"/>
      <c r="CY26" s="1098"/>
      <c r="CZ26" s="1098"/>
      <c r="DA26" s="1097">
        <f t="shared" si="12"/>
        <v>1</v>
      </c>
      <c r="DB26" s="1098"/>
      <c r="DC26" s="1098"/>
      <c r="DD26" s="1098"/>
      <c r="DE26" s="1098"/>
      <c r="DF26" s="1098"/>
      <c r="DG26" s="1098"/>
      <c r="DH26" s="1098"/>
      <c r="DI26" s="1098"/>
      <c r="DJ26" s="1098"/>
      <c r="DK26" s="1098"/>
      <c r="DL26" s="1098"/>
      <c r="DM26" s="1098">
        <v>7</v>
      </c>
      <c r="DN26" s="1097">
        <f t="shared" si="13"/>
        <v>7</v>
      </c>
      <c r="DO26" s="1098">
        <v>12</v>
      </c>
      <c r="DP26" s="1098"/>
      <c r="DQ26" s="1098"/>
      <c r="DR26" s="1098">
        <v>1</v>
      </c>
      <c r="DS26" s="1098">
        <v>1</v>
      </c>
      <c r="DT26" s="1098">
        <v>2</v>
      </c>
      <c r="DU26" s="1098">
        <v>1</v>
      </c>
      <c r="DV26" s="1098">
        <v>1</v>
      </c>
      <c r="DW26" s="1098">
        <v>1</v>
      </c>
      <c r="DX26" s="1098">
        <v>1</v>
      </c>
      <c r="DY26" s="1098"/>
      <c r="DZ26" s="1098">
        <v>6</v>
      </c>
      <c r="EA26" s="1097">
        <f t="shared" si="14"/>
        <v>26</v>
      </c>
      <c r="EB26" s="1098"/>
      <c r="EC26" s="1098"/>
      <c r="ED26" s="1098"/>
      <c r="EE26" s="1098">
        <v>3</v>
      </c>
      <c r="EF26" s="1098"/>
      <c r="EG26" s="1098"/>
      <c r="EH26" s="1098"/>
      <c r="EI26" s="1098"/>
      <c r="EJ26" s="1098"/>
      <c r="EK26" s="1098"/>
      <c r="EL26" s="1098"/>
      <c r="EM26" s="1098"/>
      <c r="EN26" s="1097">
        <f t="shared" si="15"/>
        <v>3</v>
      </c>
      <c r="EO26" s="1098"/>
      <c r="EP26" s="1098"/>
      <c r="EQ26" s="1098"/>
      <c r="ER26" s="1098"/>
      <c r="ES26" s="1098"/>
      <c r="ET26" s="1098">
        <v>5</v>
      </c>
      <c r="EU26" s="1098"/>
      <c r="EV26" s="1098"/>
      <c r="EW26" s="1098"/>
      <c r="EX26" s="1098"/>
      <c r="EY26" s="1098"/>
      <c r="EZ26" s="1098"/>
      <c r="FA26" s="1097">
        <f t="shared" si="16"/>
        <v>5</v>
      </c>
      <c r="FB26" s="1098"/>
      <c r="FC26" s="1098"/>
      <c r="FD26" s="1098"/>
      <c r="FE26" s="1098"/>
      <c r="FF26" s="1098"/>
      <c r="FG26" s="1098"/>
      <c r="FH26" s="1098"/>
      <c r="FI26" s="1098"/>
      <c r="FJ26" s="1098"/>
      <c r="FK26" s="1098"/>
      <c r="FL26" s="1098"/>
      <c r="FM26" s="1098"/>
      <c r="FN26" s="1097">
        <f t="shared" si="17"/>
        <v>0</v>
      </c>
      <c r="FO26" s="1098"/>
      <c r="FP26" s="1098"/>
      <c r="FQ26" s="1098"/>
      <c r="FR26" s="1098"/>
      <c r="FS26" s="1098"/>
      <c r="FT26" s="1098"/>
      <c r="FU26" s="1098"/>
      <c r="FV26" s="1098"/>
      <c r="FW26" s="1098"/>
      <c r="FX26" s="1098"/>
      <c r="FY26" s="1098"/>
      <c r="FZ26" s="1098"/>
      <c r="GA26" s="1097">
        <f t="shared" si="18"/>
        <v>0</v>
      </c>
      <c r="GB26" s="1098"/>
      <c r="GC26" s="1098"/>
      <c r="GD26" s="1098"/>
      <c r="GE26" s="1098">
        <v>5</v>
      </c>
      <c r="GF26" s="1098"/>
      <c r="GG26" s="1098"/>
      <c r="GH26" s="1098"/>
      <c r="GI26" s="1098"/>
      <c r="GJ26" s="1098"/>
      <c r="GK26" s="1098"/>
      <c r="GL26" s="1098"/>
      <c r="GM26" s="1098"/>
      <c r="GN26" s="1097">
        <f t="shared" si="19"/>
        <v>5</v>
      </c>
      <c r="GO26" s="1098"/>
      <c r="GP26" s="1098"/>
      <c r="GQ26" s="1098"/>
      <c r="GR26" s="1098">
        <v>2</v>
      </c>
      <c r="GS26" s="1098">
        <v>1</v>
      </c>
      <c r="GT26" s="1098"/>
      <c r="GU26" s="1098">
        <v>1</v>
      </c>
      <c r="GV26" s="1098">
        <v>2</v>
      </c>
      <c r="GW26" s="1098"/>
      <c r="GX26" s="1098"/>
      <c r="GY26" s="1098"/>
      <c r="GZ26" s="1098"/>
      <c r="HA26" s="1097">
        <f t="shared" si="20"/>
        <v>6</v>
      </c>
      <c r="HB26" s="1098"/>
      <c r="HC26" s="1098">
        <v>1</v>
      </c>
      <c r="HD26" s="1098"/>
      <c r="HE26" s="1098"/>
      <c r="HF26" s="1098"/>
      <c r="HG26" s="1098"/>
      <c r="HH26" s="1098">
        <v>1</v>
      </c>
      <c r="HI26" s="1098"/>
      <c r="HJ26" s="1098"/>
      <c r="HK26" s="1098"/>
      <c r="HL26" s="1098"/>
      <c r="HM26" s="1098"/>
      <c r="HN26" s="1097">
        <f t="shared" si="21"/>
        <v>2</v>
      </c>
      <c r="HO26" s="1098"/>
      <c r="HP26" s="1098">
        <v>1</v>
      </c>
      <c r="HQ26" s="1098">
        <v>1</v>
      </c>
      <c r="HR26" s="1098"/>
      <c r="HS26" s="1098"/>
      <c r="HT26" s="1098"/>
      <c r="HU26" s="1098"/>
      <c r="HV26" s="1098"/>
      <c r="HW26" s="1098"/>
      <c r="HX26" s="1098"/>
      <c r="HY26" s="1098"/>
      <c r="HZ26" s="1098"/>
      <c r="IA26" s="1097">
        <f t="shared" si="22"/>
        <v>2</v>
      </c>
      <c r="IB26" s="1098"/>
      <c r="IC26" s="1098"/>
      <c r="ID26" s="1098"/>
      <c r="IE26" s="1098"/>
      <c r="IF26" s="1098"/>
      <c r="IG26" s="1098"/>
      <c r="IH26" s="1098"/>
      <c r="II26" s="1098"/>
      <c r="IJ26" s="1098"/>
      <c r="IK26" s="1098"/>
      <c r="IL26" s="1098"/>
      <c r="IM26" s="1098"/>
      <c r="IN26" s="1097">
        <f t="shared" si="23"/>
        <v>0</v>
      </c>
      <c r="IO26" s="1098"/>
      <c r="IP26" s="1098"/>
      <c r="IQ26" s="1098"/>
      <c r="IR26" s="1098"/>
      <c r="IS26" s="1098"/>
      <c r="IT26" s="1098"/>
      <c r="IU26" s="1098"/>
      <c r="IV26" s="1098"/>
      <c r="IW26" s="1098"/>
      <c r="IX26" s="1098"/>
      <c r="IY26" s="1098"/>
      <c r="IZ26" s="1098"/>
      <c r="JA26" s="1097">
        <f t="shared" si="24"/>
        <v>0</v>
      </c>
      <c r="JB26" s="1098"/>
      <c r="JC26" s="1098"/>
      <c r="JD26" s="1098"/>
      <c r="JE26" s="1098"/>
      <c r="JF26" s="1098"/>
      <c r="JG26" s="1098">
        <v>0</v>
      </c>
      <c r="JH26" s="1098"/>
      <c r="JI26" s="1098"/>
      <c r="JJ26" s="1098"/>
      <c r="JK26" s="1098"/>
      <c r="JL26" s="1098"/>
      <c r="JM26" s="1098"/>
      <c r="JN26" s="1097">
        <f t="shared" si="25"/>
        <v>0</v>
      </c>
      <c r="JO26" s="1266"/>
      <c r="JP26" s="1116" t="str">
        <f t="shared" si="28"/>
        <v/>
      </c>
      <c r="JQ26" s="1117" t="str">
        <f t="shared" si="29"/>
        <v/>
      </c>
      <c r="JR26" s="1079">
        <f t="shared" si="30"/>
        <v>0</v>
      </c>
      <c r="JS26" s="1118">
        <f t="shared" si="31"/>
        <v>0</v>
      </c>
      <c r="JU26" s="1079">
        <f t="shared" si="26"/>
        <v>162</v>
      </c>
      <c r="JV26" s="1080" t="s">
        <v>351</v>
      </c>
      <c r="JW26" s="1081" t="str">
        <f t="shared" si="27"/>
        <v>OK</v>
      </c>
    </row>
    <row r="27" spans="1:283" ht="15" customHeight="1" x14ac:dyDescent="0.2">
      <c r="A27" s="1261" t="s">
        <v>139</v>
      </c>
      <c r="B27" s="1098">
        <v>1</v>
      </c>
      <c r="C27" s="1098">
        <v>5</v>
      </c>
      <c r="D27" s="1098">
        <v>47</v>
      </c>
      <c r="E27" s="1098">
        <v>45</v>
      </c>
      <c r="F27" s="1098"/>
      <c r="G27" s="1098">
        <v>58</v>
      </c>
      <c r="H27" s="1098">
        <v>138</v>
      </c>
      <c r="I27" s="1098">
        <v>130</v>
      </c>
      <c r="J27" s="1098">
        <v>305</v>
      </c>
      <c r="K27" s="1098">
        <v>10</v>
      </c>
      <c r="L27" s="1098">
        <v>178</v>
      </c>
      <c r="M27" s="1098">
        <v>51</v>
      </c>
      <c r="N27" s="1097">
        <f t="shared" si="5"/>
        <v>968</v>
      </c>
      <c r="O27" s="1098">
        <v>76</v>
      </c>
      <c r="P27" s="1098">
        <v>28</v>
      </c>
      <c r="Q27" s="1098">
        <v>73</v>
      </c>
      <c r="R27" s="1098">
        <v>132</v>
      </c>
      <c r="S27" s="1098">
        <v>14</v>
      </c>
      <c r="T27" s="1098">
        <v>42</v>
      </c>
      <c r="U27" s="1098">
        <v>21</v>
      </c>
      <c r="V27" s="1098">
        <v>20</v>
      </c>
      <c r="W27" s="1098">
        <v>11</v>
      </c>
      <c r="X27" s="1098">
        <v>33</v>
      </c>
      <c r="Y27" s="1098">
        <v>34</v>
      </c>
      <c r="Z27" s="1098">
        <v>18</v>
      </c>
      <c r="AA27" s="1097">
        <f t="shared" si="6"/>
        <v>502</v>
      </c>
      <c r="AB27" s="1098">
        <v>5</v>
      </c>
      <c r="AC27" s="1098">
        <v>13</v>
      </c>
      <c r="AD27" s="1098">
        <v>16</v>
      </c>
      <c r="AE27" s="1098">
        <v>10</v>
      </c>
      <c r="AF27" s="1098">
        <v>8</v>
      </c>
      <c r="AG27" s="1098">
        <v>24</v>
      </c>
      <c r="AH27" s="1098">
        <v>7</v>
      </c>
      <c r="AI27" s="1098">
        <v>7</v>
      </c>
      <c r="AJ27" s="1098">
        <v>7</v>
      </c>
      <c r="AK27" s="1098">
        <v>3</v>
      </c>
      <c r="AL27" s="1098">
        <v>11</v>
      </c>
      <c r="AM27" s="1098">
        <v>36</v>
      </c>
      <c r="AN27" s="1097">
        <f t="shared" si="7"/>
        <v>147</v>
      </c>
      <c r="AO27" s="1098">
        <v>30</v>
      </c>
      <c r="AP27" s="1098">
        <v>8</v>
      </c>
      <c r="AQ27" s="1098">
        <v>76</v>
      </c>
      <c r="AR27" s="1098">
        <v>2</v>
      </c>
      <c r="AS27" s="1098">
        <v>76</v>
      </c>
      <c r="AT27" s="1098">
        <v>127</v>
      </c>
      <c r="AU27" s="1098">
        <v>148</v>
      </c>
      <c r="AV27" s="1098">
        <v>76</v>
      </c>
      <c r="AW27" s="1098">
        <v>139</v>
      </c>
      <c r="AX27" s="1098">
        <v>93</v>
      </c>
      <c r="AY27" s="1098">
        <v>187</v>
      </c>
      <c r="AZ27" s="1098">
        <v>105</v>
      </c>
      <c r="BA27" s="1097">
        <f t="shared" si="8"/>
        <v>1067</v>
      </c>
      <c r="BB27" s="1098">
        <v>89</v>
      </c>
      <c r="BC27" s="1098">
        <v>153</v>
      </c>
      <c r="BD27" s="1098">
        <v>15</v>
      </c>
      <c r="BE27" s="1098">
        <v>39</v>
      </c>
      <c r="BF27" s="1098">
        <v>21</v>
      </c>
      <c r="BG27" s="1098">
        <v>196</v>
      </c>
      <c r="BH27" s="1098">
        <v>78</v>
      </c>
      <c r="BI27" s="1098">
        <v>36</v>
      </c>
      <c r="BJ27" s="1098">
        <v>17</v>
      </c>
      <c r="BK27" s="1098">
        <v>8</v>
      </c>
      <c r="BL27" s="1098">
        <v>25</v>
      </c>
      <c r="BM27" s="1098">
        <v>40</v>
      </c>
      <c r="BN27" s="1097">
        <f t="shared" si="9"/>
        <v>717</v>
      </c>
      <c r="BO27" s="1098">
        <v>23</v>
      </c>
      <c r="BP27" s="1098"/>
      <c r="BQ27" s="1098">
        <v>32</v>
      </c>
      <c r="BR27" s="1098">
        <v>13</v>
      </c>
      <c r="BS27" s="1098">
        <v>17</v>
      </c>
      <c r="BT27" s="1098">
        <v>40</v>
      </c>
      <c r="BU27" s="1098">
        <v>43</v>
      </c>
      <c r="BV27" s="1098">
        <v>14</v>
      </c>
      <c r="BW27" s="1098">
        <v>16</v>
      </c>
      <c r="BX27" s="1098">
        <v>22</v>
      </c>
      <c r="BY27" s="1098">
        <v>52</v>
      </c>
      <c r="BZ27" s="1098">
        <v>45</v>
      </c>
      <c r="CA27" s="1097">
        <f t="shared" si="10"/>
        <v>317</v>
      </c>
      <c r="CB27" s="1098">
        <v>30</v>
      </c>
      <c r="CC27" s="1098">
        <v>48</v>
      </c>
      <c r="CD27" s="1098">
        <v>46</v>
      </c>
      <c r="CE27" s="1098">
        <v>85</v>
      </c>
      <c r="CF27" s="1098">
        <v>17</v>
      </c>
      <c r="CG27" s="1098">
        <v>11</v>
      </c>
      <c r="CH27" s="1098">
        <v>39</v>
      </c>
      <c r="CI27" s="1098">
        <v>24</v>
      </c>
      <c r="CJ27" s="1098">
        <v>23</v>
      </c>
      <c r="CK27" s="1098">
        <v>69</v>
      </c>
      <c r="CL27" s="1098">
        <v>73</v>
      </c>
      <c r="CM27" s="1098">
        <v>86</v>
      </c>
      <c r="CN27" s="1097">
        <f t="shared" si="11"/>
        <v>551</v>
      </c>
      <c r="CO27" s="1098">
        <v>82</v>
      </c>
      <c r="CP27" s="1098">
        <v>94</v>
      </c>
      <c r="CQ27" s="1098">
        <v>95</v>
      </c>
      <c r="CR27" s="1098">
        <v>96</v>
      </c>
      <c r="CS27" s="1098">
        <v>470</v>
      </c>
      <c r="CT27" s="1098">
        <v>105</v>
      </c>
      <c r="CU27" s="1098">
        <v>72</v>
      </c>
      <c r="CV27" s="1098">
        <v>37</v>
      </c>
      <c r="CW27" s="1098">
        <v>60</v>
      </c>
      <c r="CX27" s="1098">
        <v>37</v>
      </c>
      <c r="CY27" s="1098">
        <v>35</v>
      </c>
      <c r="CZ27" s="1098">
        <v>43</v>
      </c>
      <c r="DA27" s="1097">
        <f t="shared" si="12"/>
        <v>1226</v>
      </c>
      <c r="DB27" s="1098">
        <v>28</v>
      </c>
      <c r="DC27" s="1098">
        <v>24</v>
      </c>
      <c r="DD27" s="1098">
        <v>23</v>
      </c>
      <c r="DE27" s="1098"/>
      <c r="DF27" s="1098">
        <v>28</v>
      </c>
      <c r="DG27" s="1098">
        <v>54</v>
      </c>
      <c r="DH27" s="1098">
        <v>9</v>
      </c>
      <c r="DI27" s="1098">
        <v>17</v>
      </c>
      <c r="DJ27" s="1098">
        <v>66</v>
      </c>
      <c r="DK27" s="1098">
        <v>25</v>
      </c>
      <c r="DL27" s="1098">
        <v>32</v>
      </c>
      <c r="DM27" s="1098">
        <v>140</v>
      </c>
      <c r="DN27" s="1097">
        <f t="shared" si="13"/>
        <v>446</v>
      </c>
      <c r="DO27" s="1098">
        <v>30</v>
      </c>
      <c r="DP27" s="1098">
        <v>1</v>
      </c>
      <c r="DQ27" s="1098">
        <v>3</v>
      </c>
      <c r="DR27" s="1098"/>
      <c r="DS27" s="1098"/>
      <c r="DT27" s="1098"/>
      <c r="DU27" s="1098"/>
      <c r="DV27" s="1098"/>
      <c r="DW27" s="1098">
        <v>3</v>
      </c>
      <c r="DX27" s="1098">
        <v>5</v>
      </c>
      <c r="DY27" s="1098">
        <v>40</v>
      </c>
      <c r="DZ27" s="1098">
        <v>99</v>
      </c>
      <c r="EA27" s="1097">
        <f t="shared" si="14"/>
        <v>181</v>
      </c>
      <c r="EB27" s="1098">
        <v>74</v>
      </c>
      <c r="EC27" s="1098">
        <v>61</v>
      </c>
      <c r="ED27" s="1098">
        <v>34</v>
      </c>
      <c r="EE27" s="1098">
        <v>57</v>
      </c>
      <c r="EF27" s="1098">
        <v>19</v>
      </c>
      <c r="EG27" s="1098">
        <v>23</v>
      </c>
      <c r="EH27" s="1098">
        <v>9</v>
      </c>
      <c r="EI27" s="1098">
        <v>24</v>
      </c>
      <c r="EJ27" s="1098">
        <v>83</v>
      </c>
      <c r="EK27" s="1098">
        <v>62</v>
      </c>
      <c r="EL27" s="1098">
        <v>46</v>
      </c>
      <c r="EM27" s="1098">
        <v>41</v>
      </c>
      <c r="EN27" s="1097">
        <f t="shared" si="15"/>
        <v>533</v>
      </c>
      <c r="EO27" s="1098">
        <v>49</v>
      </c>
      <c r="EP27" s="1098">
        <v>25</v>
      </c>
      <c r="EQ27" s="1098">
        <v>22</v>
      </c>
      <c r="ER27" s="1098">
        <v>5</v>
      </c>
      <c r="ES27" s="1098">
        <v>18</v>
      </c>
      <c r="ET27" s="1098">
        <v>172</v>
      </c>
      <c r="EU27" s="1098">
        <v>129</v>
      </c>
      <c r="EV27" s="1098">
        <v>54</v>
      </c>
      <c r="EW27" s="1098">
        <v>61</v>
      </c>
      <c r="EX27" s="1098">
        <v>20</v>
      </c>
      <c r="EY27" s="1098">
        <v>39</v>
      </c>
      <c r="EZ27" s="1098">
        <v>8</v>
      </c>
      <c r="FA27" s="1097">
        <f t="shared" si="16"/>
        <v>602</v>
      </c>
      <c r="FB27" s="1098">
        <v>37</v>
      </c>
      <c r="FC27" s="1098">
        <v>14</v>
      </c>
      <c r="FD27" s="1098">
        <v>28</v>
      </c>
      <c r="FE27" s="1098">
        <v>34</v>
      </c>
      <c r="FF27" s="1098">
        <v>20</v>
      </c>
      <c r="FG27" s="1098">
        <v>20</v>
      </c>
      <c r="FH27" s="1098">
        <v>1</v>
      </c>
      <c r="FI27" s="1098">
        <v>17</v>
      </c>
      <c r="FJ27" s="1098">
        <v>38</v>
      </c>
      <c r="FK27" s="1098">
        <v>43</v>
      </c>
      <c r="FL27" s="1098">
        <v>49</v>
      </c>
      <c r="FM27" s="1098">
        <v>67</v>
      </c>
      <c r="FN27" s="1097">
        <f t="shared" si="17"/>
        <v>368</v>
      </c>
      <c r="FO27" s="1098">
        <v>43</v>
      </c>
      <c r="FP27" s="1098">
        <v>37</v>
      </c>
      <c r="FQ27" s="1098">
        <v>50</v>
      </c>
      <c r="FR27" s="1098">
        <v>56</v>
      </c>
      <c r="FS27" s="1098">
        <v>49</v>
      </c>
      <c r="FT27" s="1098">
        <v>62</v>
      </c>
      <c r="FU27" s="1098">
        <v>99</v>
      </c>
      <c r="FV27" s="1098">
        <v>39</v>
      </c>
      <c r="FW27" s="1098">
        <v>76</v>
      </c>
      <c r="FX27" s="1098">
        <v>91</v>
      </c>
      <c r="FY27" s="1098">
        <v>59</v>
      </c>
      <c r="FZ27" s="1098">
        <v>41</v>
      </c>
      <c r="GA27" s="1097">
        <f t="shared" si="18"/>
        <v>702</v>
      </c>
      <c r="GB27" s="1098">
        <v>12</v>
      </c>
      <c r="GC27" s="1098">
        <v>94</v>
      </c>
      <c r="GD27" s="1098">
        <v>145</v>
      </c>
      <c r="GE27" s="1098">
        <v>178</v>
      </c>
      <c r="GF27" s="1098">
        <v>172</v>
      </c>
      <c r="GG27" s="1098">
        <v>149</v>
      </c>
      <c r="GH27" s="1098">
        <v>73</v>
      </c>
      <c r="GI27" s="1098">
        <v>131</v>
      </c>
      <c r="GJ27" s="1098">
        <v>2</v>
      </c>
      <c r="GK27" s="1098">
        <v>22</v>
      </c>
      <c r="GL27" s="1098">
        <v>26</v>
      </c>
      <c r="GM27" s="1098">
        <v>19</v>
      </c>
      <c r="GN27" s="1097">
        <f t="shared" si="19"/>
        <v>1023</v>
      </c>
      <c r="GO27" s="1098">
        <v>10</v>
      </c>
      <c r="GP27" s="1098">
        <v>16</v>
      </c>
      <c r="GQ27" s="1098">
        <v>38</v>
      </c>
      <c r="GR27" s="1098">
        <v>58.5</v>
      </c>
      <c r="GS27" s="1098">
        <v>27.5</v>
      </c>
      <c r="GT27" s="1098">
        <v>22</v>
      </c>
      <c r="GU27" s="1098">
        <v>65.25</v>
      </c>
      <c r="GV27" s="1098">
        <v>38</v>
      </c>
      <c r="GW27" s="1098">
        <v>58</v>
      </c>
      <c r="GX27" s="1098">
        <v>18</v>
      </c>
      <c r="GY27" s="1098">
        <v>36</v>
      </c>
      <c r="GZ27" s="1098">
        <v>8</v>
      </c>
      <c r="HA27" s="1097">
        <f t="shared" si="20"/>
        <v>395.25</v>
      </c>
      <c r="HB27" s="1098"/>
      <c r="HC27" s="1098">
        <v>3</v>
      </c>
      <c r="HD27" s="1098">
        <v>17</v>
      </c>
      <c r="HE27" s="1098">
        <v>17</v>
      </c>
      <c r="HF27" s="1098">
        <v>20</v>
      </c>
      <c r="HG27" s="1098">
        <v>114</v>
      </c>
      <c r="HH27" s="1098">
        <v>20</v>
      </c>
      <c r="HI27" s="1098">
        <v>19</v>
      </c>
      <c r="HJ27" s="1098">
        <v>9</v>
      </c>
      <c r="HK27" s="1098">
        <v>30</v>
      </c>
      <c r="HL27" s="1098"/>
      <c r="HM27" s="1098">
        <v>23</v>
      </c>
      <c r="HN27" s="1097">
        <f t="shared" si="21"/>
        <v>272</v>
      </c>
      <c r="HO27" s="1098"/>
      <c r="HP27" s="1098">
        <v>3</v>
      </c>
      <c r="HQ27" s="1098">
        <v>30</v>
      </c>
      <c r="HR27" s="1098">
        <v>23</v>
      </c>
      <c r="HS27" s="1098">
        <v>8</v>
      </c>
      <c r="HT27" s="1098">
        <v>5</v>
      </c>
      <c r="HU27" s="1098">
        <v>3</v>
      </c>
      <c r="HV27" s="1098">
        <v>12</v>
      </c>
      <c r="HW27" s="1098">
        <v>47</v>
      </c>
      <c r="HX27" s="1098">
        <v>36</v>
      </c>
      <c r="HY27" s="1098">
        <v>45</v>
      </c>
      <c r="HZ27" s="1098">
        <v>15</v>
      </c>
      <c r="IA27" s="1097">
        <f t="shared" si="22"/>
        <v>227</v>
      </c>
      <c r="IB27" s="1098">
        <v>12</v>
      </c>
      <c r="IC27" s="1098">
        <v>15</v>
      </c>
      <c r="ID27" s="1098">
        <v>20</v>
      </c>
      <c r="IE27" s="1098">
        <v>45</v>
      </c>
      <c r="IF27" s="1098">
        <v>54</v>
      </c>
      <c r="IG27" s="1098">
        <v>108</v>
      </c>
      <c r="IH27" s="1098">
        <v>111</v>
      </c>
      <c r="II27" s="1098">
        <v>24</v>
      </c>
      <c r="IJ27" s="1098">
        <v>52.5</v>
      </c>
      <c r="IK27" s="1098">
        <v>23.5</v>
      </c>
      <c r="IL27" s="1098">
        <v>92.5</v>
      </c>
      <c r="IM27" s="1098">
        <v>81.25</v>
      </c>
      <c r="IN27" s="1097">
        <f t="shared" si="23"/>
        <v>638.75</v>
      </c>
      <c r="IO27" s="1098">
        <v>12.6</v>
      </c>
      <c r="IP27" s="1098">
        <v>8</v>
      </c>
      <c r="IQ27" s="1098">
        <v>32</v>
      </c>
      <c r="IR27" s="1098">
        <v>32</v>
      </c>
      <c r="IS27" s="1098">
        <v>12</v>
      </c>
      <c r="IT27" s="1098">
        <v>17</v>
      </c>
      <c r="IU27" s="1098">
        <v>68.5</v>
      </c>
      <c r="IV27" s="1098">
        <v>26</v>
      </c>
      <c r="IW27" s="1098">
        <v>6</v>
      </c>
      <c r="IX27" s="1098">
        <v>51</v>
      </c>
      <c r="IY27" s="1098">
        <v>62.5</v>
      </c>
      <c r="IZ27" s="1098">
        <v>57</v>
      </c>
      <c r="JA27" s="1097">
        <f t="shared" si="24"/>
        <v>384.6</v>
      </c>
      <c r="JB27" s="1098">
        <v>43</v>
      </c>
      <c r="JC27" s="1098">
        <v>28</v>
      </c>
      <c r="JD27" s="1098">
        <v>25</v>
      </c>
      <c r="JE27" s="1098">
        <v>34</v>
      </c>
      <c r="JF27" s="1098">
        <v>55</v>
      </c>
      <c r="JG27" s="1098">
        <v>55</v>
      </c>
      <c r="JH27" s="1098"/>
      <c r="JI27" s="1098"/>
      <c r="JJ27" s="1098"/>
      <c r="JK27" s="1098"/>
      <c r="JL27" s="1098"/>
      <c r="JM27" s="1098"/>
      <c r="JN27" s="1097">
        <f t="shared" si="25"/>
        <v>240</v>
      </c>
      <c r="JO27" s="1266"/>
      <c r="JP27" s="1116">
        <f t="shared" si="28"/>
        <v>6.25</v>
      </c>
      <c r="JQ27" s="1117">
        <f t="shared" si="29"/>
        <v>53.664302600472816</v>
      </c>
      <c r="JR27" s="1079">
        <f t="shared" si="30"/>
        <v>84.6</v>
      </c>
      <c r="JS27" s="1118">
        <f t="shared" si="31"/>
        <v>130</v>
      </c>
      <c r="JU27" s="1079">
        <f t="shared" si="26"/>
        <v>21079.199999999997</v>
      </c>
      <c r="JV27" s="1080" t="s">
        <v>139</v>
      </c>
      <c r="JW27" s="1081" t="str">
        <f t="shared" si="27"/>
        <v>OK</v>
      </c>
    </row>
    <row r="28" spans="1:283" ht="15" customHeight="1" x14ac:dyDescent="0.2">
      <c r="A28" s="1261" t="s">
        <v>569</v>
      </c>
      <c r="B28" s="1098"/>
      <c r="C28" s="1098"/>
      <c r="D28" s="1098"/>
      <c r="E28" s="1098"/>
      <c r="F28" s="1098"/>
      <c r="G28" s="1098"/>
      <c r="H28" s="1098"/>
      <c r="I28" s="1098"/>
      <c r="J28" s="1098"/>
      <c r="K28" s="1098"/>
      <c r="L28" s="1098"/>
      <c r="M28" s="1098"/>
      <c r="N28" s="1097">
        <f t="shared" si="5"/>
        <v>0</v>
      </c>
      <c r="O28" s="1098"/>
      <c r="P28" s="1098"/>
      <c r="Q28" s="1098"/>
      <c r="R28" s="1098"/>
      <c r="S28" s="1098"/>
      <c r="T28" s="1098">
        <v>10</v>
      </c>
      <c r="U28" s="1098"/>
      <c r="V28" s="1098"/>
      <c r="W28" s="1098"/>
      <c r="X28" s="1098"/>
      <c r="Y28" s="1098"/>
      <c r="Z28" s="1098"/>
      <c r="AA28" s="1097">
        <f t="shared" si="6"/>
        <v>10</v>
      </c>
      <c r="AB28" s="1098"/>
      <c r="AC28" s="1098"/>
      <c r="AD28" s="1098">
        <v>1</v>
      </c>
      <c r="AE28" s="1098"/>
      <c r="AF28" s="1098"/>
      <c r="AG28" s="1098"/>
      <c r="AH28" s="1098"/>
      <c r="AI28" s="1098"/>
      <c r="AJ28" s="1098"/>
      <c r="AK28" s="1098"/>
      <c r="AL28" s="1098"/>
      <c r="AM28" s="1098"/>
      <c r="AN28" s="1097">
        <f t="shared" si="7"/>
        <v>1</v>
      </c>
      <c r="AO28" s="1098"/>
      <c r="AP28" s="1098"/>
      <c r="AQ28" s="1098"/>
      <c r="AR28" s="1098"/>
      <c r="AS28" s="1098"/>
      <c r="AT28" s="1098"/>
      <c r="AU28" s="1098"/>
      <c r="AV28" s="1098"/>
      <c r="AW28" s="1098"/>
      <c r="AX28" s="1098"/>
      <c r="AY28" s="1098"/>
      <c r="AZ28" s="1098"/>
      <c r="BA28" s="1097">
        <f t="shared" si="8"/>
        <v>0</v>
      </c>
      <c r="BB28" s="1098"/>
      <c r="BC28" s="1098"/>
      <c r="BD28" s="1098"/>
      <c r="BE28" s="1098"/>
      <c r="BF28" s="1098"/>
      <c r="BG28" s="1098"/>
      <c r="BH28" s="1098"/>
      <c r="BI28" s="1098"/>
      <c r="BJ28" s="1098"/>
      <c r="BK28" s="1098"/>
      <c r="BL28" s="1098"/>
      <c r="BM28" s="1098"/>
      <c r="BN28" s="1097">
        <f t="shared" si="9"/>
        <v>0</v>
      </c>
      <c r="BO28" s="1098"/>
      <c r="BP28" s="1098"/>
      <c r="BQ28" s="1098"/>
      <c r="BR28" s="1098"/>
      <c r="BS28" s="1098"/>
      <c r="BT28" s="1098"/>
      <c r="BU28" s="1098"/>
      <c r="BV28" s="1098">
        <v>3</v>
      </c>
      <c r="BW28" s="1098"/>
      <c r="BX28" s="1098"/>
      <c r="BY28" s="1098"/>
      <c r="BZ28" s="1098"/>
      <c r="CA28" s="1097">
        <f t="shared" si="10"/>
        <v>3</v>
      </c>
      <c r="CB28" s="1098"/>
      <c r="CC28" s="1098"/>
      <c r="CD28" s="1098"/>
      <c r="CE28" s="1098"/>
      <c r="CF28" s="1098"/>
      <c r="CG28" s="1098"/>
      <c r="CH28" s="1098"/>
      <c r="CI28" s="1098"/>
      <c r="CJ28" s="1098"/>
      <c r="CK28" s="1098"/>
      <c r="CL28" s="1098"/>
      <c r="CM28" s="1098"/>
      <c r="CN28" s="1097">
        <f t="shared" si="11"/>
        <v>0</v>
      </c>
      <c r="CO28" s="1098"/>
      <c r="CP28" s="1098"/>
      <c r="CQ28" s="1098"/>
      <c r="CR28" s="1098">
        <v>3</v>
      </c>
      <c r="CS28" s="1098"/>
      <c r="CT28" s="1098"/>
      <c r="CU28" s="1098"/>
      <c r="CV28" s="1098"/>
      <c r="CW28" s="1098"/>
      <c r="CX28" s="1098">
        <v>2</v>
      </c>
      <c r="CY28" s="1098"/>
      <c r="CZ28" s="1098"/>
      <c r="DA28" s="1097">
        <f t="shared" si="12"/>
        <v>5</v>
      </c>
      <c r="DB28" s="1098"/>
      <c r="DC28" s="1098"/>
      <c r="DD28" s="1098"/>
      <c r="DE28" s="1098"/>
      <c r="DF28" s="1098"/>
      <c r="DG28" s="1098"/>
      <c r="DH28" s="1098"/>
      <c r="DI28" s="1098"/>
      <c r="DJ28" s="1098"/>
      <c r="DK28" s="1098">
        <v>2</v>
      </c>
      <c r="DL28" s="1098"/>
      <c r="DM28" s="1098">
        <v>1181</v>
      </c>
      <c r="DN28" s="1097">
        <f t="shared" si="13"/>
        <v>1183</v>
      </c>
      <c r="DO28" s="1098">
        <v>793</v>
      </c>
      <c r="DP28" s="1098">
        <v>549</v>
      </c>
      <c r="DQ28" s="1098">
        <v>501</v>
      </c>
      <c r="DR28" s="1098">
        <v>484</v>
      </c>
      <c r="DS28" s="1098">
        <v>456</v>
      </c>
      <c r="DT28" s="1098">
        <v>435</v>
      </c>
      <c r="DU28" s="1098">
        <v>420</v>
      </c>
      <c r="DV28" s="1098">
        <v>437</v>
      </c>
      <c r="DW28" s="1098">
        <v>398</v>
      </c>
      <c r="DX28" s="1098">
        <v>411</v>
      </c>
      <c r="DY28" s="1098"/>
      <c r="DZ28" s="1098">
        <v>1528</v>
      </c>
      <c r="EA28" s="1097">
        <f t="shared" si="14"/>
        <v>6412</v>
      </c>
      <c r="EB28" s="1098"/>
      <c r="EC28" s="1098"/>
      <c r="ED28" s="1098"/>
      <c r="EE28" s="1098"/>
      <c r="EF28" s="1098"/>
      <c r="EG28" s="1098"/>
      <c r="EH28" s="1098"/>
      <c r="EI28" s="1098"/>
      <c r="EJ28" s="1098"/>
      <c r="EK28" s="1098"/>
      <c r="EL28" s="1098"/>
      <c r="EM28" s="1098"/>
      <c r="EN28" s="1097">
        <f t="shared" si="15"/>
        <v>0</v>
      </c>
      <c r="EO28" s="1098"/>
      <c r="EP28" s="1098"/>
      <c r="EQ28" s="1098"/>
      <c r="ER28" s="1098"/>
      <c r="ES28" s="1098"/>
      <c r="ET28" s="1098"/>
      <c r="EU28" s="1098"/>
      <c r="EV28" s="1098"/>
      <c r="EW28" s="1098"/>
      <c r="EX28" s="1098"/>
      <c r="EY28" s="1098"/>
      <c r="EZ28" s="1098"/>
      <c r="FA28" s="1097">
        <f t="shared" si="16"/>
        <v>0</v>
      </c>
      <c r="FB28" s="1098"/>
      <c r="FC28" s="1098"/>
      <c r="FD28" s="1098"/>
      <c r="FE28" s="1098"/>
      <c r="FF28" s="1098"/>
      <c r="FG28" s="1098"/>
      <c r="FH28" s="1098"/>
      <c r="FI28" s="1098"/>
      <c r="FJ28" s="1098"/>
      <c r="FK28" s="1098"/>
      <c r="FL28" s="1098"/>
      <c r="FM28" s="1098"/>
      <c r="FN28" s="1097">
        <f t="shared" si="17"/>
        <v>0</v>
      </c>
      <c r="FO28" s="1098"/>
      <c r="FP28" s="1098"/>
      <c r="FQ28" s="1098"/>
      <c r="FR28" s="1098"/>
      <c r="FS28" s="1098"/>
      <c r="FT28" s="1098"/>
      <c r="FU28" s="1098"/>
      <c r="FV28" s="1098"/>
      <c r="FW28" s="1098"/>
      <c r="FX28" s="1098">
        <v>3</v>
      </c>
      <c r="FY28" s="1098"/>
      <c r="FZ28" s="1098"/>
      <c r="GA28" s="1097">
        <f t="shared" si="18"/>
        <v>3</v>
      </c>
      <c r="GB28" s="1098"/>
      <c r="GC28" s="1098"/>
      <c r="GD28" s="1098"/>
      <c r="GE28" s="1098"/>
      <c r="GF28" s="1098"/>
      <c r="GG28" s="1098"/>
      <c r="GH28" s="1098"/>
      <c r="GI28" s="1098"/>
      <c r="GJ28" s="1098">
        <v>5</v>
      </c>
      <c r="GK28" s="1098"/>
      <c r="GL28" s="1098"/>
      <c r="GM28" s="1098"/>
      <c r="GN28" s="1097">
        <f t="shared" si="19"/>
        <v>5</v>
      </c>
      <c r="GO28" s="1098"/>
      <c r="GP28" s="1098"/>
      <c r="GQ28" s="1098"/>
      <c r="GR28" s="1098"/>
      <c r="GS28" s="1098"/>
      <c r="GT28" s="1098"/>
      <c r="GU28" s="1098">
        <v>3</v>
      </c>
      <c r="GV28" s="1098"/>
      <c r="GW28" s="1098"/>
      <c r="GX28" s="1098"/>
      <c r="GY28" s="1098"/>
      <c r="GZ28" s="1098"/>
      <c r="HA28" s="1097">
        <f t="shared" si="20"/>
        <v>3</v>
      </c>
      <c r="HB28" s="1098"/>
      <c r="HC28" s="1098"/>
      <c r="HD28" s="1098"/>
      <c r="HE28" s="1098"/>
      <c r="HF28" s="1098"/>
      <c r="HG28" s="1098"/>
      <c r="HH28" s="1098"/>
      <c r="HI28" s="1098"/>
      <c r="HJ28" s="1098"/>
      <c r="HK28" s="1098"/>
      <c r="HL28" s="1098"/>
      <c r="HM28" s="1098"/>
      <c r="HN28" s="1097">
        <f t="shared" si="21"/>
        <v>0</v>
      </c>
      <c r="HO28" s="1098"/>
      <c r="HP28" s="1098"/>
      <c r="HQ28" s="1098"/>
      <c r="HR28" s="1098"/>
      <c r="HS28" s="1098"/>
      <c r="HT28" s="1098"/>
      <c r="HU28" s="1098"/>
      <c r="HV28" s="1098"/>
      <c r="HW28" s="1098"/>
      <c r="HX28" s="1098"/>
      <c r="HY28" s="1098"/>
      <c r="HZ28" s="1098"/>
      <c r="IA28" s="1097">
        <f t="shared" si="22"/>
        <v>0</v>
      </c>
      <c r="IB28" s="1098"/>
      <c r="IC28" s="1098"/>
      <c r="ID28" s="1098"/>
      <c r="IE28" s="1098"/>
      <c r="IF28" s="1098"/>
      <c r="IG28" s="1098"/>
      <c r="IH28" s="1098"/>
      <c r="II28" s="1098"/>
      <c r="IJ28" s="1098"/>
      <c r="IK28" s="1098">
        <v>3</v>
      </c>
      <c r="IL28" s="1098"/>
      <c r="IM28" s="1098"/>
      <c r="IN28" s="1097">
        <f t="shared" si="23"/>
        <v>3</v>
      </c>
      <c r="IO28" s="1098"/>
      <c r="IP28" s="1098"/>
      <c r="IQ28" s="1098"/>
      <c r="IR28" s="1098"/>
      <c r="IS28" s="1098"/>
      <c r="IT28" s="1098"/>
      <c r="IU28" s="1098"/>
      <c r="IV28" s="1098"/>
      <c r="IW28" s="1098"/>
      <c r="IX28" s="1098"/>
      <c r="IY28" s="1098"/>
      <c r="IZ28" s="1098"/>
      <c r="JA28" s="1097">
        <f t="shared" si="24"/>
        <v>0</v>
      </c>
      <c r="JB28" s="1098"/>
      <c r="JC28" s="1098"/>
      <c r="JD28" s="1098"/>
      <c r="JE28" s="1098"/>
      <c r="JF28" s="1098"/>
      <c r="JG28" s="1098">
        <v>0</v>
      </c>
      <c r="JH28" s="1098"/>
      <c r="JI28" s="1098"/>
      <c r="JJ28" s="1098"/>
      <c r="JK28" s="1098"/>
      <c r="JL28" s="1098"/>
      <c r="JM28" s="1098"/>
      <c r="JN28" s="1097">
        <f t="shared" si="25"/>
        <v>0</v>
      </c>
      <c r="JO28" s="1266"/>
      <c r="JP28" s="1116" t="str">
        <f t="shared" si="28"/>
        <v/>
      </c>
      <c r="JQ28" s="1117" t="str">
        <f t="shared" si="29"/>
        <v/>
      </c>
      <c r="JR28" s="1079">
        <f t="shared" si="30"/>
        <v>0</v>
      </c>
      <c r="JS28" s="1118">
        <f t="shared" si="31"/>
        <v>0</v>
      </c>
      <c r="JU28" s="1079">
        <f t="shared" si="26"/>
        <v>15256</v>
      </c>
      <c r="JV28" s="1080" t="s">
        <v>569</v>
      </c>
      <c r="JW28" s="1081" t="str">
        <f t="shared" si="27"/>
        <v>OK</v>
      </c>
    </row>
    <row r="29" spans="1:283" ht="15" customHeight="1" x14ac:dyDescent="0.2">
      <c r="A29" s="1261" t="s">
        <v>141</v>
      </c>
      <c r="B29" s="1098"/>
      <c r="C29" s="1098">
        <v>5</v>
      </c>
      <c r="D29" s="1098">
        <v>1</v>
      </c>
      <c r="E29" s="1098">
        <v>7</v>
      </c>
      <c r="F29" s="1098">
        <v>14</v>
      </c>
      <c r="G29" s="1098">
        <v>6</v>
      </c>
      <c r="H29" s="1098">
        <v>24</v>
      </c>
      <c r="I29" s="1098">
        <v>14</v>
      </c>
      <c r="J29" s="1098">
        <v>11</v>
      </c>
      <c r="K29" s="1098">
        <v>14</v>
      </c>
      <c r="L29" s="1098">
        <v>17</v>
      </c>
      <c r="M29" s="1098">
        <v>16</v>
      </c>
      <c r="N29" s="1097">
        <f t="shared" si="5"/>
        <v>129</v>
      </c>
      <c r="O29" s="1098">
        <v>22</v>
      </c>
      <c r="P29" s="1098">
        <v>12</v>
      </c>
      <c r="Q29" s="1098">
        <v>11</v>
      </c>
      <c r="R29" s="1098">
        <v>13</v>
      </c>
      <c r="S29" s="1098">
        <v>9</v>
      </c>
      <c r="T29" s="1098">
        <v>10</v>
      </c>
      <c r="U29" s="1098">
        <v>4</v>
      </c>
      <c r="V29" s="1098">
        <v>3</v>
      </c>
      <c r="W29" s="1098">
        <v>5</v>
      </c>
      <c r="X29" s="1098">
        <v>6</v>
      </c>
      <c r="Y29" s="1098">
        <v>2</v>
      </c>
      <c r="Z29" s="1098">
        <v>6</v>
      </c>
      <c r="AA29" s="1097">
        <f t="shared" si="6"/>
        <v>103</v>
      </c>
      <c r="AB29" s="1098">
        <v>5</v>
      </c>
      <c r="AC29" s="1098">
        <v>9</v>
      </c>
      <c r="AD29" s="1098">
        <v>17</v>
      </c>
      <c r="AE29" s="1098">
        <v>4</v>
      </c>
      <c r="AF29" s="1098">
        <v>18</v>
      </c>
      <c r="AG29" s="1098">
        <v>11</v>
      </c>
      <c r="AH29" s="1098">
        <v>19</v>
      </c>
      <c r="AI29" s="1098">
        <v>6</v>
      </c>
      <c r="AJ29" s="1098">
        <v>38</v>
      </c>
      <c r="AK29" s="1098">
        <v>3</v>
      </c>
      <c r="AL29" s="1098">
        <v>5</v>
      </c>
      <c r="AM29" s="1098">
        <v>8</v>
      </c>
      <c r="AN29" s="1097">
        <f t="shared" si="7"/>
        <v>143</v>
      </c>
      <c r="AO29" s="1098">
        <v>6</v>
      </c>
      <c r="AP29" s="1098">
        <v>7</v>
      </c>
      <c r="AQ29" s="1098">
        <v>14</v>
      </c>
      <c r="AR29" s="1098">
        <v>8</v>
      </c>
      <c r="AS29" s="1098">
        <v>10</v>
      </c>
      <c r="AT29" s="1098">
        <v>14</v>
      </c>
      <c r="AU29" s="1098">
        <v>3</v>
      </c>
      <c r="AV29" s="1098">
        <v>2</v>
      </c>
      <c r="AW29" s="1098">
        <v>21</v>
      </c>
      <c r="AX29" s="1098"/>
      <c r="AY29" s="1098">
        <v>1</v>
      </c>
      <c r="AZ29" s="1098">
        <v>1</v>
      </c>
      <c r="BA29" s="1097">
        <f t="shared" si="8"/>
        <v>87</v>
      </c>
      <c r="BB29" s="1098">
        <v>3</v>
      </c>
      <c r="BC29" s="1098">
        <v>5</v>
      </c>
      <c r="BD29" s="1098">
        <v>11</v>
      </c>
      <c r="BE29" s="1098">
        <v>4</v>
      </c>
      <c r="BF29" s="1098">
        <v>6</v>
      </c>
      <c r="BG29" s="1098"/>
      <c r="BH29" s="1098">
        <v>2</v>
      </c>
      <c r="BI29" s="1098">
        <v>3</v>
      </c>
      <c r="BJ29" s="1098">
        <v>5</v>
      </c>
      <c r="BK29" s="1098">
        <v>2</v>
      </c>
      <c r="BL29" s="1098">
        <v>1</v>
      </c>
      <c r="BM29" s="1098"/>
      <c r="BN29" s="1097">
        <f t="shared" si="9"/>
        <v>42</v>
      </c>
      <c r="BO29" s="1098"/>
      <c r="BP29" s="1098"/>
      <c r="BQ29" s="1098"/>
      <c r="BR29" s="1098"/>
      <c r="BS29" s="1098"/>
      <c r="BT29" s="1098">
        <v>8</v>
      </c>
      <c r="BU29" s="1098"/>
      <c r="BV29" s="1098">
        <v>3</v>
      </c>
      <c r="BW29" s="1098">
        <v>1</v>
      </c>
      <c r="BX29" s="1098">
        <v>1</v>
      </c>
      <c r="BY29" s="1098"/>
      <c r="BZ29" s="1098"/>
      <c r="CA29" s="1097">
        <f t="shared" si="10"/>
        <v>13</v>
      </c>
      <c r="CB29" s="1098"/>
      <c r="CC29" s="1098">
        <v>8</v>
      </c>
      <c r="CD29" s="1098">
        <v>1</v>
      </c>
      <c r="CE29" s="1098">
        <v>20</v>
      </c>
      <c r="CF29" s="1098"/>
      <c r="CG29" s="1098"/>
      <c r="CH29" s="1098"/>
      <c r="CI29" s="1098">
        <v>1</v>
      </c>
      <c r="CJ29" s="1098">
        <v>1</v>
      </c>
      <c r="CK29" s="1098">
        <v>3</v>
      </c>
      <c r="CL29" s="1098">
        <v>1</v>
      </c>
      <c r="CM29" s="1098"/>
      <c r="CN29" s="1097">
        <f t="shared" si="11"/>
        <v>35</v>
      </c>
      <c r="CO29" s="1098">
        <v>12</v>
      </c>
      <c r="CP29" s="1098"/>
      <c r="CQ29" s="1098">
        <v>18</v>
      </c>
      <c r="CR29" s="1098">
        <v>65</v>
      </c>
      <c r="CS29" s="1098">
        <v>23</v>
      </c>
      <c r="CT29" s="1098">
        <v>29</v>
      </c>
      <c r="CU29" s="1098">
        <v>9</v>
      </c>
      <c r="CV29" s="1098">
        <v>2</v>
      </c>
      <c r="CW29" s="1098">
        <v>8</v>
      </c>
      <c r="CX29" s="1098"/>
      <c r="CY29" s="1098">
        <v>11</v>
      </c>
      <c r="CZ29" s="1098">
        <v>12</v>
      </c>
      <c r="DA29" s="1097">
        <f t="shared" si="12"/>
        <v>189</v>
      </c>
      <c r="DB29" s="1098">
        <v>12</v>
      </c>
      <c r="DC29" s="1098">
        <v>11</v>
      </c>
      <c r="DD29" s="1098">
        <v>14</v>
      </c>
      <c r="DE29" s="1098">
        <v>8</v>
      </c>
      <c r="DF29" s="1098"/>
      <c r="DG29" s="1098">
        <v>5</v>
      </c>
      <c r="DH29" s="1098"/>
      <c r="DI29" s="1098">
        <v>5</v>
      </c>
      <c r="DJ29" s="1098">
        <v>4</v>
      </c>
      <c r="DK29" s="1098"/>
      <c r="DL29" s="1098"/>
      <c r="DM29" s="1098">
        <v>27</v>
      </c>
      <c r="DN29" s="1097">
        <f t="shared" si="13"/>
        <v>86</v>
      </c>
      <c r="DO29" s="1098">
        <v>8</v>
      </c>
      <c r="DP29" s="1098">
        <v>1</v>
      </c>
      <c r="DQ29" s="1098"/>
      <c r="DR29" s="1098"/>
      <c r="DS29" s="1098"/>
      <c r="DT29" s="1098"/>
      <c r="DU29" s="1098"/>
      <c r="DV29" s="1098"/>
      <c r="DW29" s="1098"/>
      <c r="DX29" s="1098"/>
      <c r="DY29" s="1098"/>
      <c r="DZ29" s="1098">
        <v>20</v>
      </c>
      <c r="EA29" s="1097">
        <f t="shared" si="14"/>
        <v>29</v>
      </c>
      <c r="EB29" s="1098">
        <v>18</v>
      </c>
      <c r="EC29" s="1098">
        <v>2</v>
      </c>
      <c r="ED29" s="1098">
        <v>13</v>
      </c>
      <c r="EE29" s="1098">
        <v>21</v>
      </c>
      <c r="EF29" s="1098">
        <v>5</v>
      </c>
      <c r="EG29" s="1098">
        <v>1</v>
      </c>
      <c r="EH29" s="1098">
        <v>7</v>
      </c>
      <c r="EI29" s="1098">
        <v>7</v>
      </c>
      <c r="EJ29" s="1098">
        <v>2</v>
      </c>
      <c r="EK29" s="1098"/>
      <c r="EL29" s="1098">
        <v>1</v>
      </c>
      <c r="EM29" s="1098">
        <v>2</v>
      </c>
      <c r="EN29" s="1097">
        <f t="shared" si="15"/>
        <v>79</v>
      </c>
      <c r="EO29" s="1098">
        <v>2</v>
      </c>
      <c r="EP29" s="1098"/>
      <c r="EQ29" s="1098">
        <v>2</v>
      </c>
      <c r="ER29" s="1098"/>
      <c r="ES29" s="1098"/>
      <c r="ET29" s="1098">
        <v>4</v>
      </c>
      <c r="EU29" s="1098">
        <v>4</v>
      </c>
      <c r="EV29" s="1098">
        <v>5</v>
      </c>
      <c r="EW29" s="1098">
        <v>11</v>
      </c>
      <c r="EX29" s="1098">
        <v>6</v>
      </c>
      <c r="EY29" s="1098">
        <v>4</v>
      </c>
      <c r="EZ29" s="1098">
        <v>4</v>
      </c>
      <c r="FA29" s="1097">
        <f t="shared" si="16"/>
        <v>42</v>
      </c>
      <c r="FB29" s="1098">
        <v>12</v>
      </c>
      <c r="FC29" s="1098">
        <v>7</v>
      </c>
      <c r="FD29" s="1098">
        <v>3</v>
      </c>
      <c r="FE29" s="1098">
        <v>1</v>
      </c>
      <c r="FF29" s="1098">
        <v>1</v>
      </c>
      <c r="FG29" s="1098">
        <v>1</v>
      </c>
      <c r="FH29" s="1098"/>
      <c r="FI29" s="1098">
        <v>2</v>
      </c>
      <c r="FJ29" s="1098"/>
      <c r="FK29" s="1098">
        <v>3</v>
      </c>
      <c r="FL29" s="1098">
        <v>1</v>
      </c>
      <c r="FM29" s="1098"/>
      <c r="FN29" s="1097">
        <f t="shared" si="17"/>
        <v>31</v>
      </c>
      <c r="FO29" s="1098">
        <v>13</v>
      </c>
      <c r="FP29" s="1098"/>
      <c r="FQ29" s="1098">
        <v>17</v>
      </c>
      <c r="FR29" s="1098">
        <v>2</v>
      </c>
      <c r="FS29" s="1098"/>
      <c r="FT29" s="1098">
        <v>25</v>
      </c>
      <c r="FU29" s="1098">
        <v>4</v>
      </c>
      <c r="FV29" s="1098">
        <v>4</v>
      </c>
      <c r="FW29" s="1098">
        <v>3</v>
      </c>
      <c r="FX29" s="1098">
        <v>38</v>
      </c>
      <c r="FY29" s="1098">
        <v>40</v>
      </c>
      <c r="FZ29" s="1098">
        <v>63</v>
      </c>
      <c r="GA29" s="1097">
        <f t="shared" si="18"/>
        <v>209</v>
      </c>
      <c r="GB29" s="1098">
        <v>16</v>
      </c>
      <c r="GC29" s="1098">
        <v>14</v>
      </c>
      <c r="GD29" s="1098"/>
      <c r="GE29" s="1098">
        <v>7</v>
      </c>
      <c r="GF29" s="1098"/>
      <c r="GG29" s="1098">
        <v>13</v>
      </c>
      <c r="GH29" s="1098">
        <v>11</v>
      </c>
      <c r="GI29" s="1098">
        <v>7</v>
      </c>
      <c r="GJ29" s="1098">
        <v>3</v>
      </c>
      <c r="GK29" s="1098">
        <v>20</v>
      </c>
      <c r="GL29" s="1098"/>
      <c r="GM29" s="1098"/>
      <c r="GN29" s="1097">
        <f t="shared" si="19"/>
        <v>91</v>
      </c>
      <c r="GO29" s="1098">
        <v>26</v>
      </c>
      <c r="GP29" s="1098">
        <v>37</v>
      </c>
      <c r="GQ29" s="1098">
        <v>29</v>
      </c>
      <c r="GR29" s="1098">
        <v>12</v>
      </c>
      <c r="GS29" s="1098"/>
      <c r="GT29" s="1098">
        <v>25</v>
      </c>
      <c r="GU29" s="1098">
        <v>23</v>
      </c>
      <c r="GV29" s="1098">
        <v>16</v>
      </c>
      <c r="GW29" s="1098">
        <v>23</v>
      </c>
      <c r="GX29" s="1098">
        <v>2</v>
      </c>
      <c r="GY29" s="1098">
        <v>11</v>
      </c>
      <c r="GZ29" s="1098">
        <v>21</v>
      </c>
      <c r="HA29" s="1097">
        <f t="shared" si="20"/>
        <v>225</v>
      </c>
      <c r="HB29" s="1098">
        <v>40</v>
      </c>
      <c r="HC29" s="1098">
        <v>24</v>
      </c>
      <c r="HD29" s="1098">
        <v>11</v>
      </c>
      <c r="HE29" s="1098">
        <v>6</v>
      </c>
      <c r="HF29" s="1098"/>
      <c r="HG29" s="1098">
        <v>9</v>
      </c>
      <c r="HH29" s="1098">
        <v>12</v>
      </c>
      <c r="HI29" s="1098">
        <v>5</v>
      </c>
      <c r="HJ29" s="1098">
        <v>5</v>
      </c>
      <c r="HK29" s="1098">
        <v>15</v>
      </c>
      <c r="HL29" s="1098">
        <v>17</v>
      </c>
      <c r="HM29" s="1098">
        <v>12</v>
      </c>
      <c r="HN29" s="1097">
        <f t="shared" si="21"/>
        <v>156</v>
      </c>
      <c r="HO29" s="1098">
        <v>18</v>
      </c>
      <c r="HP29" s="1098">
        <v>6</v>
      </c>
      <c r="HQ29" s="1098">
        <v>23</v>
      </c>
      <c r="HR29" s="1098">
        <v>17</v>
      </c>
      <c r="HS29" s="1098"/>
      <c r="HT29" s="1098"/>
      <c r="HU29" s="1098"/>
      <c r="HV29" s="1098"/>
      <c r="HW29" s="1098"/>
      <c r="HX29" s="1098"/>
      <c r="HY29" s="1098"/>
      <c r="HZ29" s="1098"/>
      <c r="IA29" s="1097">
        <f t="shared" si="22"/>
        <v>64</v>
      </c>
      <c r="IB29" s="1098"/>
      <c r="IC29" s="1098">
        <v>48</v>
      </c>
      <c r="ID29" s="1098">
        <v>48</v>
      </c>
      <c r="IE29" s="1098">
        <v>15</v>
      </c>
      <c r="IF29" s="1098">
        <v>47</v>
      </c>
      <c r="IG29" s="1098">
        <v>34</v>
      </c>
      <c r="IH29" s="1098">
        <v>1</v>
      </c>
      <c r="II29" s="1098">
        <v>1</v>
      </c>
      <c r="IJ29" s="1098">
        <v>2</v>
      </c>
      <c r="IK29" s="1098">
        <v>3</v>
      </c>
      <c r="IL29" s="1098">
        <v>28</v>
      </c>
      <c r="IM29" s="1098">
        <v>92</v>
      </c>
      <c r="IN29" s="1097">
        <f t="shared" si="23"/>
        <v>319</v>
      </c>
      <c r="IO29" s="1098">
        <v>53</v>
      </c>
      <c r="IP29" s="1098">
        <v>32</v>
      </c>
      <c r="IQ29" s="1098">
        <v>7</v>
      </c>
      <c r="IR29" s="1098">
        <v>5</v>
      </c>
      <c r="IS29" s="1098">
        <v>7</v>
      </c>
      <c r="IT29" s="1098">
        <v>6</v>
      </c>
      <c r="IU29" s="1098">
        <v>187</v>
      </c>
      <c r="IV29" s="1098"/>
      <c r="IW29" s="1098">
        <v>32</v>
      </c>
      <c r="IX29" s="1098"/>
      <c r="IY29" s="1098">
        <v>67</v>
      </c>
      <c r="IZ29" s="1098">
        <v>10</v>
      </c>
      <c r="JA29" s="1097">
        <f t="shared" si="24"/>
        <v>406</v>
      </c>
      <c r="JB29" s="1098">
        <v>80</v>
      </c>
      <c r="JC29" s="1098">
        <v>20</v>
      </c>
      <c r="JD29" s="1098">
        <v>22</v>
      </c>
      <c r="JE29" s="1098">
        <v>48</v>
      </c>
      <c r="JF29" s="1098">
        <v>14</v>
      </c>
      <c r="JG29" s="1098">
        <v>57</v>
      </c>
      <c r="JH29" s="1098"/>
      <c r="JI29" s="1098"/>
      <c r="JJ29" s="1098"/>
      <c r="JK29" s="1098"/>
      <c r="JL29" s="1098"/>
      <c r="JM29" s="1098"/>
      <c r="JN29" s="1097">
        <f t="shared" si="25"/>
        <v>241</v>
      </c>
      <c r="JO29" s="1266"/>
      <c r="JP29" s="1116">
        <f t="shared" si="28"/>
        <v>860</v>
      </c>
      <c r="JQ29" s="1117">
        <f t="shared" si="29"/>
        <v>75.257731958762889</v>
      </c>
      <c r="JR29" s="1079">
        <f t="shared" si="30"/>
        <v>97</v>
      </c>
      <c r="JS29" s="1118">
        <f t="shared" si="31"/>
        <v>170</v>
      </c>
      <c r="JU29" s="1079">
        <f t="shared" si="26"/>
        <v>5180</v>
      </c>
      <c r="JV29" s="1080" t="s">
        <v>141</v>
      </c>
      <c r="JW29" s="1081" t="str">
        <f t="shared" si="27"/>
        <v>OK</v>
      </c>
    </row>
    <row r="30" spans="1:283" ht="15" customHeight="1" x14ac:dyDescent="0.2">
      <c r="A30" s="1261" t="s">
        <v>135</v>
      </c>
      <c r="B30" s="1098">
        <v>204</v>
      </c>
      <c r="C30" s="1098">
        <v>173</v>
      </c>
      <c r="D30" s="1098">
        <v>284</v>
      </c>
      <c r="E30" s="1098">
        <v>292</v>
      </c>
      <c r="F30" s="1098">
        <v>124</v>
      </c>
      <c r="G30" s="1098">
        <v>179</v>
      </c>
      <c r="H30" s="1098">
        <v>201</v>
      </c>
      <c r="I30" s="1098">
        <v>175</v>
      </c>
      <c r="J30" s="1098">
        <v>159</v>
      </c>
      <c r="K30" s="1098">
        <v>71</v>
      </c>
      <c r="L30" s="1098">
        <v>107</v>
      </c>
      <c r="M30" s="1098">
        <v>200</v>
      </c>
      <c r="N30" s="1097">
        <f t="shared" si="5"/>
        <v>2169</v>
      </c>
      <c r="O30" s="1098">
        <v>231</v>
      </c>
      <c r="P30" s="1098">
        <v>143</v>
      </c>
      <c r="Q30" s="1098">
        <v>149</v>
      </c>
      <c r="R30" s="1098">
        <v>185</v>
      </c>
      <c r="S30" s="1098">
        <v>154</v>
      </c>
      <c r="T30" s="1098">
        <v>157</v>
      </c>
      <c r="U30" s="1098">
        <v>182</v>
      </c>
      <c r="V30" s="1098">
        <v>133</v>
      </c>
      <c r="W30" s="1098">
        <v>198</v>
      </c>
      <c r="X30" s="1098">
        <v>222</v>
      </c>
      <c r="Y30" s="1098">
        <v>165</v>
      </c>
      <c r="Z30" s="1098">
        <v>202</v>
      </c>
      <c r="AA30" s="1097">
        <f t="shared" si="6"/>
        <v>2121</v>
      </c>
      <c r="AB30" s="1098">
        <v>242</v>
      </c>
      <c r="AC30" s="1098">
        <v>194</v>
      </c>
      <c r="AD30" s="1098">
        <v>244</v>
      </c>
      <c r="AE30" s="1098">
        <v>209</v>
      </c>
      <c r="AF30" s="1098">
        <v>126</v>
      </c>
      <c r="AG30" s="1098">
        <v>128</v>
      </c>
      <c r="AH30" s="1098">
        <v>117</v>
      </c>
      <c r="AI30" s="1098">
        <v>172</v>
      </c>
      <c r="AJ30" s="1098">
        <v>179</v>
      </c>
      <c r="AK30" s="1098">
        <v>153</v>
      </c>
      <c r="AL30" s="1098">
        <v>195</v>
      </c>
      <c r="AM30" s="1098">
        <v>264</v>
      </c>
      <c r="AN30" s="1097">
        <f t="shared" si="7"/>
        <v>2223</v>
      </c>
      <c r="AO30" s="1098">
        <v>277</v>
      </c>
      <c r="AP30" s="1098">
        <v>284</v>
      </c>
      <c r="AQ30" s="1098">
        <v>301</v>
      </c>
      <c r="AR30" s="1098">
        <v>214</v>
      </c>
      <c r="AS30" s="1098">
        <v>139</v>
      </c>
      <c r="AT30" s="1098">
        <v>216</v>
      </c>
      <c r="AU30" s="1098">
        <v>173</v>
      </c>
      <c r="AV30" s="1098">
        <v>186</v>
      </c>
      <c r="AW30" s="1098">
        <v>177</v>
      </c>
      <c r="AX30" s="1098">
        <v>154</v>
      </c>
      <c r="AY30" s="1098">
        <v>199</v>
      </c>
      <c r="AZ30" s="1098">
        <v>257</v>
      </c>
      <c r="BA30" s="1097">
        <f t="shared" si="8"/>
        <v>2577</v>
      </c>
      <c r="BB30" s="1098">
        <v>482</v>
      </c>
      <c r="BC30" s="1098">
        <v>410</v>
      </c>
      <c r="BD30" s="1098">
        <v>413</v>
      </c>
      <c r="BE30" s="1098">
        <v>346</v>
      </c>
      <c r="BF30" s="1098">
        <v>171</v>
      </c>
      <c r="BG30" s="1098">
        <v>126</v>
      </c>
      <c r="BH30" s="1098">
        <v>282</v>
      </c>
      <c r="BI30" s="1098">
        <v>172</v>
      </c>
      <c r="BJ30" s="1098">
        <v>212</v>
      </c>
      <c r="BK30" s="1098">
        <v>248</v>
      </c>
      <c r="BL30" s="1098">
        <v>339</v>
      </c>
      <c r="BM30" s="1098">
        <v>293</v>
      </c>
      <c r="BN30" s="1097">
        <f t="shared" si="9"/>
        <v>3494</v>
      </c>
      <c r="BO30" s="1098">
        <v>333</v>
      </c>
      <c r="BP30" s="1098">
        <v>523</v>
      </c>
      <c r="BQ30" s="1098">
        <v>312</v>
      </c>
      <c r="BR30" s="1098">
        <v>269</v>
      </c>
      <c r="BS30" s="1098">
        <v>229</v>
      </c>
      <c r="BT30" s="1098">
        <v>252</v>
      </c>
      <c r="BU30" s="1098">
        <v>166</v>
      </c>
      <c r="BV30" s="1098">
        <v>224</v>
      </c>
      <c r="BW30" s="1098">
        <v>222</v>
      </c>
      <c r="BX30" s="1098">
        <v>237</v>
      </c>
      <c r="BY30" s="1098">
        <v>289</v>
      </c>
      <c r="BZ30" s="1098">
        <v>267</v>
      </c>
      <c r="CA30" s="1097">
        <f t="shared" si="10"/>
        <v>3323</v>
      </c>
      <c r="CB30" s="1098">
        <v>245</v>
      </c>
      <c r="CC30" s="1098">
        <v>420</v>
      </c>
      <c r="CD30" s="1098">
        <v>272</v>
      </c>
      <c r="CE30" s="1098">
        <v>254</v>
      </c>
      <c r="CF30" s="1098">
        <v>153</v>
      </c>
      <c r="CG30" s="1098">
        <v>186</v>
      </c>
      <c r="CH30" s="1098">
        <v>166</v>
      </c>
      <c r="CI30" s="1098">
        <v>584</v>
      </c>
      <c r="CJ30" s="1098">
        <v>191</v>
      </c>
      <c r="CK30" s="1098">
        <v>200</v>
      </c>
      <c r="CL30" s="1098">
        <v>622</v>
      </c>
      <c r="CM30" s="1098">
        <v>223</v>
      </c>
      <c r="CN30" s="1097">
        <f t="shared" si="11"/>
        <v>3516</v>
      </c>
      <c r="CO30" s="1098">
        <v>207</v>
      </c>
      <c r="CP30" s="1098">
        <v>180</v>
      </c>
      <c r="CQ30" s="1098">
        <v>212</v>
      </c>
      <c r="CR30" s="1098">
        <v>260</v>
      </c>
      <c r="CS30" s="1098">
        <v>204</v>
      </c>
      <c r="CT30" s="1098">
        <v>222</v>
      </c>
      <c r="CU30" s="1098">
        <v>195</v>
      </c>
      <c r="CV30" s="1098">
        <v>230</v>
      </c>
      <c r="CW30" s="1098">
        <v>184</v>
      </c>
      <c r="CX30" s="1098">
        <v>162</v>
      </c>
      <c r="CY30" s="1098">
        <v>224</v>
      </c>
      <c r="CZ30" s="1098">
        <v>219</v>
      </c>
      <c r="DA30" s="1097">
        <f t="shared" si="12"/>
        <v>2499</v>
      </c>
      <c r="DB30" s="1098">
        <v>242</v>
      </c>
      <c r="DC30" s="1098">
        <v>192</v>
      </c>
      <c r="DD30" s="1098">
        <v>202</v>
      </c>
      <c r="DE30" s="1098">
        <v>179</v>
      </c>
      <c r="DF30" s="1098">
        <v>175</v>
      </c>
      <c r="DG30" s="1098">
        <v>245</v>
      </c>
      <c r="DH30" s="1098">
        <v>211</v>
      </c>
      <c r="DI30" s="1098">
        <v>189</v>
      </c>
      <c r="DJ30" s="1098">
        <v>255</v>
      </c>
      <c r="DK30" s="1098">
        <v>249</v>
      </c>
      <c r="DL30" s="1098">
        <v>219</v>
      </c>
      <c r="DM30" s="1098"/>
      <c r="DN30" s="1097">
        <f t="shared" si="13"/>
        <v>2358</v>
      </c>
      <c r="DO30" s="1098"/>
      <c r="DP30" s="1098"/>
      <c r="DQ30" s="1098"/>
      <c r="DR30" s="1098"/>
      <c r="DS30" s="1098"/>
      <c r="DT30" s="1098"/>
      <c r="DU30" s="1098"/>
      <c r="DV30" s="1098"/>
      <c r="DW30" s="1098"/>
      <c r="DX30" s="1098"/>
      <c r="DY30" s="1098">
        <v>199</v>
      </c>
      <c r="DZ30" s="1098"/>
      <c r="EA30" s="1097">
        <f t="shared" si="14"/>
        <v>199</v>
      </c>
      <c r="EB30" s="1098">
        <v>268</v>
      </c>
      <c r="EC30" s="1098">
        <v>417</v>
      </c>
      <c r="ED30" s="1098">
        <v>220</v>
      </c>
      <c r="EE30" s="1098">
        <v>262</v>
      </c>
      <c r="EF30" s="1098">
        <v>189</v>
      </c>
      <c r="EG30" s="1098">
        <v>173</v>
      </c>
      <c r="EH30" s="1098">
        <v>197</v>
      </c>
      <c r="EI30" s="1098">
        <v>144</v>
      </c>
      <c r="EJ30" s="1098">
        <v>190</v>
      </c>
      <c r="EK30" s="1098">
        <v>193</v>
      </c>
      <c r="EL30" s="1098">
        <v>225</v>
      </c>
      <c r="EM30" s="1098">
        <v>280</v>
      </c>
      <c r="EN30" s="1097">
        <f t="shared" si="15"/>
        <v>2758</v>
      </c>
      <c r="EO30" s="1098">
        <v>203</v>
      </c>
      <c r="EP30" s="1098">
        <v>246</v>
      </c>
      <c r="EQ30" s="1098">
        <v>227</v>
      </c>
      <c r="ER30" s="1098">
        <v>217</v>
      </c>
      <c r="ES30" s="1098">
        <v>208</v>
      </c>
      <c r="ET30" s="1098">
        <v>192</v>
      </c>
      <c r="EU30" s="1098">
        <v>221</v>
      </c>
      <c r="EV30" s="1098">
        <v>218</v>
      </c>
      <c r="EW30" s="1098">
        <v>355</v>
      </c>
      <c r="EX30" s="1098">
        <v>175</v>
      </c>
      <c r="EY30" s="1098">
        <v>267</v>
      </c>
      <c r="EZ30" s="1098">
        <v>88</v>
      </c>
      <c r="FA30" s="1097">
        <f t="shared" si="16"/>
        <v>2617</v>
      </c>
      <c r="FB30" s="1098">
        <v>165</v>
      </c>
      <c r="FC30" s="1098">
        <v>174</v>
      </c>
      <c r="FD30" s="1098">
        <v>157</v>
      </c>
      <c r="FE30" s="1098">
        <v>285</v>
      </c>
      <c r="FF30" s="1098">
        <v>365</v>
      </c>
      <c r="FG30" s="1098">
        <v>149</v>
      </c>
      <c r="FH30" s="1098">
        <v>181</v>
      </c>
      <c r="FI30" s="1098">
        <v>187</v>
      </c>
      <c r="FJ30" s="1098">
        <v>150</v>
      </c>
      <c r="FK30" s="1098">
        <v>151</v>
      </c>
      <c r="FL30" s="1098">
        <v>141</v>
      </c>
      <c r="FM30" s="1098">
        <v>112</v>
      </c>
      <c r="FN30" s="1097">
        <f t="shared" si="17"/>
        <v>2217</v>
      </c>
      <c r="FO30" s="1098">
        <v>138</v>
      </c>
      <c r="FP30" s="1098">
        <v>198</v>
      </c>
      <c r="FQ30" s="1098">
        <v>186</v>
      </c>
      <c r="FR30" s="1098">
        <v>206</v>
      </c>
      <c r="FS30" s="1098">
        <v>204</v>
      </c>
      <c r="FT30" s="1098">
        <v>239</v>
      </c>
      <c r="FU30" s="1098">
        <v>264</v>
      </c>
      <c r="FV30" s="1098">
        <v>219</v>
      </c>
      <c r="FW30" s="1098">
        <v>215</v>
      </c>
      <c r="FX30" s="1098">
        <v>186</v>
      </c>
      <c r="FY30" s="1098">
        <v>235</v>
      </c>
      <c r="FZ30" s="1098">
        <v>169</v>
      </c>
      <c r="GA30" s="1097">
        <f t="shared" si="18"/>
        <v>2459</v>
      </c>
      <c r="GB30" s="1098">
        <v>300</v>
      </c>
      <c r="GC30" s="1098">
        <v>559</v>
      </c>
      <c r="GD30" s="1098">
        <v>255</v>
      </c>
      <c r="GE30" s="1098">
        <v>334</v>
      </c>
      <c r="GF30" s="1098">
        <v>168</v>
      </c>
      <c r="GG30" s="1098">
        <v>266</v>
      </c>
      <c r="GH30" s="1098">
        <v>321</v>
      </c>
      <c r="GI30" s="1098">
        <v>291</v>
      </c>
      <c r="GJ30" s="1098">
        <v>243</v>
      </c>
      <c r="GK30" s="1098">
        <v>208</v>
      </c>
      <c r="GL30" s="1098">
        <v>202</v>
      </c>
      <c r="GM30" s="1098">
        <v>208</v>
      </c>
      <c r="GN30" s="1097">
        <f t="shared" si="19"/>
        <v>3355</v>
      </c>
      <c r="GO30" s="1098">
        <v>269</v>
      </c>
      <c r="GP30" s="1098">
        <v>233</v>
      </c>
      <c r="GQ30" s="1098">
        <v>274</v>
      </c>
      <c r="GR30" s="1098">
        <v>277</v>
      </c>
      <c r="GS30" s="1098">
        <v>206</v>
      </c>
      <c r="GT30" s="1098">
        <v>220</v>
      </c>
      <c r="GU30" s="1098">
        <v>304</v>
      </c>
      <c r="GV30" s="1098">
        <v>292</v>
      </c>
      <c r="GW30" s="1098">
        <v>303.5</v>
      </c>
      <c r="GX30" s="1098">
        <v>229</v>
      </c>
      <c r="GY30" s="1098">
        <v>235</v>
      </c>
      <c r="GZ30" s="1098">
        <v>161</v>
      </c>
      <c r="HA30" s="1097">
        <f t="shared" si="20"/>
        <v>3003.5</v>
      </c>
      <c r="HB30" s="1098">
        <v>263</v>
      </c>
      <c r="HC30" s="1098">
        <v>352</v>
      </c>
      <c r="HD30" s="1098">
        <v>241</v>
      </c>
      <c r="HE30" s="1098">
        <v>197</v>
      </c>
      <c r="HF30" s="1098">
        <v>194</v>
      </c>
      <c r="HG30" s="1098">
        <v>113</v>
      </c>
      <c r="HH30" s="1098">
        <v>203</v>
      </c>
      <c r="HI30" s="1098">
        <v>215</v>
      </c>
      <c r="HJ30" s="1098">
        <v>238</v>
      </c>
      <c r="HK30" s="1098">
        <v>164</v>
      </c>
      <c r="HL30" s="1098">
        <v>162</v>
      </c>
      <c r="HM30" s="1098">
        <v>160</v>
      </c>
      <c r="HN30" s="1097">
        <f t="shared" si="21"/>
        <v>2502</v>
      </c>
      <c r="HO30" s="1098">
        <v>221</v>
      </c>
      <c r="HP30" s="1098">
        <v>221</v>
      </c>
      <c r="HQ30" s="1098">
        <v>259</v>
      </c>
      <c r="HR30" s="1098">
        <v>161</v>
      </c>
      <c r="HS30" s="1098">
        <v>175</v>
      </c>
      <c r="HT30" s="1098">
        <v>186</v>
      </c>
      <c r="HU30" s="1098">
        <v>163</v>
      </c>
      <c r="HV30" s="1098">
        <v>191</v>
      </c>
      <c r="HW30" s="1098">
        <v>277</v>
      </c>
      <c r="HX30" s="1098">
        <v>243</v>
      </c>
      <c r="HY30" s="1098">
        <v>83</v>
      </c>
      <c r="HZ30" s="1098">
        <v>88</v>
      </c>
      <c r="IA30" s="1097">
        <f t="shared" si="22"/>
        <v>2268</v>
      </c>
      <c r="IB30" s="1098">
        <v>191</v>
      </c>
      <c r="IC30" s="1098">
        <v>163</v>
      </c>
      <c r="ID30" s="1098">
        <v>163</v>
      </c>
      <c r="IE30" s="1098">
        <v>204</v>
      </c>
      <c r="IF30" s="1098">
        <v>165</v>
      </c>
      <c r="IG30" s="1098">
        <v>124</v>
      </c>
      <c r="IH30" s="1098">
        <v>140</v>
      </c>
      <c r="II30" s="1098">
        <v>59</v>
      </c>
      <c r="IJ30" s="1098">
        <v>89</v>
      </c>
      <c r="IK30" s="1098">
        <v>92</v>
      </c>
      <c r="IL30" s="1098">
        <v>73</v>
      </c>
      <c r="IM30" s="1098">
        <v>257</v>
      </c>
      <c r="IN30" s="1097">
        <f t="shared" si="23"/>
        <v>1720</v>
      </c>
      <c r="IO30" s="1098">
        <v>112</v>
      </c>
      <c r="IP30" s="1098">
        <v>202.5</v>
      </c>
      <c r="IQ30" s="1098">
        <v>52.5</v>
      </c>
      <c r="IR30" s="1098">
        <v>131</v>
      </c>
      <c r="IS30" s="1098">
        <v>111</v>
      </c>
      <c r="IT30" s="1098">
        <v>124</v>
      </c>
      <c r="IU30" s="1098">
        <v>120</v>
      </c>
      <c r="IV30" s="1098">
        <v>66</v>
      </c>
      <c r="IW30" s="1098">
        <v>129</v>
      </c>
      <c r="IX30" s="1098">
        <v>216</v>
      </c>
      <c r="IY30" s="1098">
        <v>149</v>
      </c>
      <c r="IZ30" s="1098">
        <v>113</v>
      </c>
      <c r="JA30" s="1097">
        <f t="shared" si="24"/>
        <v>1526</v>
      </c>
      <c r="JB30" s="1098">
        <v>112</v>
      </c>
      <c r="JC30" s="1098">
        <v>305</v>
      </c>
      <c r="JD30" s="1098">
        <v>300</v>
      </c>
      <c r="JE30" s="1098">
        <v>519</v>
      </c>
      <c r="JF30" s="1098">
        <v>396</v>
      </c>
      <c r="JG30" s="1098">
        <v>101</v>
      </c>
      <c r="JH30" s="1098"/>
      <c r="JI30" s="1098"/>
      <c r="JJ30" s="1098"/>
      <c r="JK30" s="1098"/>
      <c r="JL30" s="1098"/>
      <c r="JM30" s="1098"/>
      <c r="JN30" s="1097">
        <f t="shared" si="25"/>
        <v>1733</v>
      </c>
      <c r="JO30" s="1266"/>
      <c r="JP30" s="1116">
        <f t="shared" si="28"/>
        <v>296.18320610687022</v>
      </c>
      <c r="JQ30" s="1117">
        <f t="shared" si="29"/>
        <v>148.19277108433738</v>
      </c>
      <c r="JR30" s="1079">
        <f t="shared" si="30"/>
        <v>498</v>
      </c>
      <c r="JS30" s="1118">
        <f t="shared" si="31"/>
        <v>1236</v>
      </c>
      <c r="JU30" s="1079">
        <f t="shared" si="26"/>
        <v>96937</v>
      </c>
      <c r="JV30" s="1080" t="s">
        <v>135</v>
      </c>
      <c r="JW30" s="1081" t="str">
        <f t="shared" si="27"/>
        <v>OK</v>
      </c>
    </row>
    <row r="31" spans="1:283" ht="15" customHeight="1" x14ac:dyDescent="0.2">
      <c r="A31" s="1261" t="s">
        <v>182</v>
      </c>
      <c r="B31" s="1098"/>
      <c r="C31" s="1098"/>
      <c r="D31" s="1098"/>
      <c r="E31" s="1098"/>
      <c r="F31" s="1098"/>
      <c r="G31" s="1098"/>
      <c r="H31" s="1098"/>
      <c r="I31" s="1098"/>
      <c r="J31" s="1098">
        <v>4</v>
      </c>
      <c r="K31" s="1098">
        <v>8</v>
      </c>
      <c r="L31" s="1098"/>
      <c r="M31" s="1098"/>
      <c r="N31" s="1097">
        <f t="shared" si="5"/>
        <v>12</v>
      </c>
      <c r="O31" s="1098">
        <v>16</v>
      </c>
      <c r="P31" s="1098">
        <v>20</v>
      </c>
      <c r="Q31" s="1098">
        <v>28</v>
      </c>
      <c r="R31" s="1098">
        <v>13</v>
      </c>
      <c r="S31" s="1098">
        <v>22</v>
      </c>
      <c r="T31" s="1098">
        <v>51</v>
      </c>
      <c r="U31" s="1098">
        <v>10</v>
      </c>
      <c r="V31" s="1098">
        <v>6</v>
      </c>
      <c r="W31" s="1098">
        <v>8</v>
      </c>
      <c r="X31" s="1098">
        <v>9</v>
      </c>
      <c r="Y31" s="1098">
        <v>4</v>
      </c>
      <c r="Z31" s="1098">
        <v>1</v>
      </c>
      <c r="AA31" s="1097">
        <f t="shared" si="6"/>
        <v>188</v>
      </c>
      <c r="AB31" s="1098">
        <v>1</v>
      </c>
      <c r="AC31" s="1098">
        <v>10</v>
      </c>
      <c r="AD31" s="1098">
        <v>31</v>
      </c>
      <c r="AE31" s="1098">
        <v>13</v>
      </c>
      <c r="AF31" s="1098">
        <v>4</v>
      </c>
      <c r="AG31" s="1098">
        <v>39</v>
      </c>
      <c r="AH31" s="1098">
        <v>22</v>
      </c>
      <c r="AI31" s="1098">
        <v>98</v>
      </c>
      <c r="AJ31" s="1098">
        <v>46</v>
      </c>
      <c r="AK31" s="1098">
        <v>70</v>
      </c>
      <c r="AL31" s="1098">
        <v>39</v>
      </c>
      <c r="AM31" s="1098">
        <v>46</v>
      </c>
      <c r="AN31" s="1097">
        <f t="shared" si="7"/>
        <v>419</v>
      </c>
      <c r="AO31" s="1098">
        <v>115</v>
      </c>
      <c r="AP31" s="1098">
        <v>114</v>
      </c>
      <c r="AQ31" s="1098">
        <v>79</v>
      </c>
      <c r="AR31" s="1098">
        <v>56</v>
      </c>
      <c r="AS31" s="1098">
        <v>129</v>
      </c>
      <c r="AT31" s="1098">
        <v>53</v>
      </c>
      <c r="AU31" s="1098">
        <v>100</v>
      </c>
      <c r="AV31" s="1098">
        <v>49</v>
      </c>
      <c r="AW31" s="1098">
        <v>78</v>
      </c>
      <c r="AX31" s="1098">
        <v>35</v>
      </c>
      <c r="AY31" s="1098">
        <v>14</v>
      </c>
      <c r="AZ31" s="1098">
        <v>10</v>
      </c>
      <c r="BA31" s="1097">
        <f t="shared" si="8"/>
        <v>832</v>
      </c>
      <c r="BB31" s="1098">
        <v>3</v>
      </c>
      <c r="BC31" s="1098">
        <v>3</v>
      </c>
      <c r="BD31" s="1098">
        <v>33</v>
      </c>
      <c r="BE31" s="1098">
        <v>4</v>
      </c>
      <c r="BF31" s="1098"/>
      <c r="BG31" s="1098">
        <v>2</v>
      </c>
      <c r="BH31" s="1098"/>
      <c r="BI31" s="1098"/>
      <c r="BJ31" s="1098"/>
      <c r="BK31" s="1098"/>
      <c r="BL31" s="1098"/>
      <c r="BM31" s="1098">
        <v>6</v>
      </c>
      <c r="BN31" s="1097">
        <f t="shared" si="9"/>
        <v>51</v>
      </c>
      <c r="BO31" s="1098"/>
      <c r="BP31" s="1098"/>
      <c r="BQ31" s="1098"/>
      <c r="BR31" s="1098">
        <v>7</v>
      </c>
      <c r="BS31" s="1098"/>
      <c r="BT31" s="1098"/>
      <c r="BU31" s="1098"/>
      <c r="BV31" s="1098"/>
      <c r="BW31" s="1098"/>
      <c r="BX31" s="1098"/>
      <c r="BY31" s="1098"/>
      <c r="BZ31" s="1098"/>
      <c r="CA31" s="1097">
        <f t="shared" si="10"/>
        <v>7</v>
      </c>
      <c r="CB31" s="1098">
        <v>68</v>
      </c>
      <c r="CC31" s="1098">
        <v>5</v>
      </c>
      <c r="CD31" s="1098">
        <v>2</v>
      </c>
      <c r="CE31" s="1098">
        <v>18</v>
      </c>
      <c r="CF31" s="1098">
        <v>20</v>
      </c>
      <c r="CG31" s="1098">
        <v>3</v>
      </c>
      <c r="CH31" s="1098">
        <v>17</v>
      </c>
      <c r="CI31" s="1098"/>
      <c r="CJ31" s="1098"/>
      <c r="CK31" s="1098">
        <v>83</v>
      </c>
      <c r="CL31" s="1098">
        <v>25</v>
      </c>
      <c r="CM31" s="1098">
        <v>1</v>
      </c>
      <c r="CN31" s="1097">
        <f t="shared" si="11"/>
        <v>242</v>
      </c>
      <c r="CO31" s="1098"/>
      <c r="CP31" s="1098">
        <v>221</v>
      </c>
      <c r="CQ31" s="1098">
        <v>55</v>
      </c>
      <c r="CR31" s="1098">
        <v>26</v>
      </c>
      <c r="CS31" s="1098">
        <v>33</v>
      </c>
      <c r="CT31" s="1098">
        <v>66</v>
      </c>
      <c r="CU31" s="1098">
        <v>61</v>
      </c>
      <c r="CV31" s="1098">
        <v>77</v>
      </c>
      <c r="CW31" s="1098">
        <v>9</v>
      </c>
      <c r="CX31" s="1098">
        <v>1</v>
      </c>
      <c r="CY31" s="1098"/>
      <c r="CZ31" s="1098">
        <v>22</v>
      </c>
      <c r="DA31" s="1097">
        <f t="shared" si="12"/>
        <v>571</v>
      </c>
      <c r="DB31" s="1098"/>
      <c r="DC31" s="1098">
        <v>12</v>
      </c>
      <c r="DD31" s="1098"/>
      <c r="DE31" s="1098"/>
      <c r="DF31" s="1098"/>
      <c r="DG31" s="1098">
        <v>12</v>
      </c>
      <c r="DH31" s="1098"/>
      <c r="DI31" s="1098"/>
      <c r="DJ31" s="1098"/>
      <c r="DK31" s="1098"/>
      <c r="DL31" s="1098"/>
      <c r="DM31" s="1098">
        <v>9</v>
      </c>
      <c r="DN31" s="1097">
        <f t="shared" si="13"/>
        <v>33</v>
      </c>
      <c r="DO31" s="1098">
        <v>19</v>
      </c>
      <c r="DP31" s="1098">
        <v>4</v>
      </c>
      <c r="DQ31" s="1098">
        <v>5</v>
      </c>
      <c r="DR31" s="1098">
        <v>11</v>
      </c>
      <c r="DS31" s="1098">
        <v>9</v>
      </c>
      <c r="DT31" s="1098">
        <v>5</v>
      </c>
      <c r="DU31" s="1098">
        <v>3</v>
      </c>
      <c r="DV31" s="1098">
        <v>1</v>
      </c>
      <c r="DW31" s="1098">
        <v>1</v>
      </c>
      <c r="DX31" s="1098">
        <v>1</v>
      </c>
      <c r="DY31" s="1098"/>
      <c r="DZ31" s="1098">
        <v>6</v>
      </c>
      <c r="EA31" s="1097">
        <f t="shared" si="14"/>
        <v>65</v>
      </c>
      <c r="EB31" s="1098">
        <v>26</v>
      </c>
      <c r="EC31" s="1098">
        <v>27</v>
      </c>
      <c r="ED31" s="1098">
        <v>6</v>
      </c>
      <c r="EE31" s="1098">
        <v>24</v>
      </c>
      <c r="EF31" s="1098">
        <v>33</v>
      </c>
      <c r="EG31" s="1098">
        <v>14</v>
      </c>
      <c r="EH31" s="1098"/>
      <c r="EI31" s="1098">
        <v>1</v>
      </c>
      <c r="EJ31" s="1098">
        <v>85</v>
      </c>
      <c r="EK31" s="1098">
        <v>6</v>
      </c>
      <c r="EL31" s="1098">
        <v>12</v>
      </c>
      <c r="EM31" s="1098">
        <v>217</v>
      </c>
      <c r="EN31" s="1097">
        <f t="shared" si="15"/>
        <v>451</v>
      </c>
      <c r="EO31" s="1098">
        <v>130</v>
      </c>
      <c r="EP31" s="1098"/>
      <c r="EQ31" s="1098"/>
      <c r="ER31" s="1098">
        <v>7</v>
      </c>
      <c r="ES31" s="1098"/>
      <c r="ET31" s="1098">
        <v>33</v>
      </c>
      <c r="EU31" s="1098">
        <v>10</v>
      </c>
      <c r="EV31" s="1098">
        <v>58</v>
      </c>
      <c r="EW31" s="1098">
        <v>82</v>
      </c>
      <c r="EX31" s="1098">
        <v>26</v>
      </c>
      <c r="EY31" s="1098"/>
      <c r="EZ31" s="1098"/>
      <c r="FA31" s="1097">
        <f t="shared" si="16"/>
        <v>346</v>
      </c>
      <c r="FB31" s="1098"/>
      <c r="FC31" s="1098">
        <v>57</v>
      </c>
      <c r="FD31" s="1098"/>
      <c r="FE31" s="1098"/>
      <c r="FF31" s="1098">
        <v>29</v>
      </c>
      <c r="FG31" s="1098"/>
      <c r="FH31" s="1098"/>
      <c r="FI31" s="1098">
        <v>7</v>
      </c>
      <c r="FJ31" s="1098">
        <v>27</v>
      </c>
      <c r="FK31" s="1098">
        <v>55</v>
      </c>
      <c r="FL31" s="1098">
        <v>25</v>
      </c>
      <c r="FM31" s="1098">
        <v>15</v>
      </c>
      <c r="FN31" s="1097">
        <f t="shared" si="17"/>
        <v>215</v>
      </c>
      <c r="FO31" s="1098">
        <v>70</v>
      </c>
      <c r="FP31" s="1098">
        <v>38</v>
      </c>
      <c r="FQ31" s="1098">
        <v>17</v>
      </c>
      <c r="FR31" s="1098">
        <v>47</v>
      </c>
      <c r="FS31" s="1098">
        <v>8</v>
      </c>
      <c r="FT31" s="1098">
        <v>12</v>
      </c>
      <c r="FU31" s="1098"/>
      <c r="FV31" s="1098"/>
      <c r="FW31" s="1098"/>
      <c r="FX31" s="1098"/>
      <c r="FY31" s="1098"/>
      <c r="FZ31" s="1098"/>
      <c r="GA31" s="1097">
        <f t="shared" si="18"/>
        <v>192</v>
      </c>
      <c r="GB31" s="1098"/>
      <c r="GC31" s="1098">
        <v>2</v>
      </c>
      <c r="GD31" s="1098"/>
      <c r="GE31" s="1098"/>
      <c r="GF31" s="1098">
        <v>11</v>
      </c>
      <c r="GG31" s="1098"/>
      <c r="GH31" s="1098"/>
      <c r="GI31" s="1098"/>
      <c r="GJ31" s="1098"/>
      <c r="GK31" s="1098">
        <v>15</v>
      </c>
      <c r="GL31" s="1098"/>
      <c r="GM31" s="1098"/>
      <c r="GN31" s="1097">
        <f t="shared" si="19"/>
        <v>28</v>
      </c>
      <c r="GO31" s="1098"/>
      <c r="GP31" s="1098"/>
      <c r="GQ31" s="1098"/>
      <c r="GR31" s="1098">
        <v>1</v>
      </c>
      <c r="GS31" s="1098"/>
      <c r="GT31" s="1098"/>
      <c r="GU31" s="1098"/>
      <c r="GV31" s="1098"/>
      <c r="GW31" s="1098"/>
      <c r="GX31" s="1098"/>
      <c r="GY31" s="1098"/>
      <c r="GZ31" s="1098"/>
      <c r="HA31" s="1097">
        <f t="shared" si="20"/>
        <v>1</v>
      </c>
      <c r="HB31" s="1098"/>
      <c r="HC31" s="1098"/>
      <c r="HD31" s="1098"/>
      <c r="HE31" s="1098"/>
      <c r="HF31" s="1098"/>
      <c r="HG31" s="1098"/>
      <c r="HH31" s="1098"/>
      <c r="HI31" s="1098"/>
      <c r="HJ31" s="1098"/>
      <c r="HK31" s="1098"/>
      <c r="HL31" s="1098"/>
      <c r="HM31" s="1098"/>
      <c r="HN31" s="1097">
        <f t="shared" si="21"/>
        <v>0</v>
      </c>
      <c r="HO31" s="1098"/>
      <c r="HP31" s="1098"/>
      <c r="HQ31" s="1098"/>
      <c r="HR31" s="1098"/>
      <c r="HS31" s="1098"/>
      <c r="HT31" s="1098"/>
      <c r="HU31" s="1098"/>
      <c r="HV31" s="1098"/>
      <c r="HW31" s="1098">
        <v>1</v>
      </c>
      <c r="HX31" s="1098"/>
      <c r="HY31" s="1098"/>
      <c r="HZ31" s="1098"/>
      <c r="IA31" s="1097">
        <f t="shared" si="22"/>
        <v>1</v>
      </c>
      <c r="IB31" s="1098"/>
      <c r="IC31" s="1098"/>
      <c r="ID31" s="1098"/>
      <c r="IE31" s="1098"/>
      <c r="IF31" s="1098"/>
      <c r="IG31" s="1098"/>
      <c r="IH31" s="1098"/>
      <c r="II31" s="1098"/>
      <c r="IJ31" s="1098"/>
      <c r="IK31" s="1098"/>
      <c r="IL31" s="1098"/>
      <c r="IM31" s="1098"/>
      <c r="IN31" s="1097">
        <f t="shared" si="23"/>
        <v>0</v>
      </c>
      <c r="IO31" s="1098"/>
      <c r="IP31" s="1098"/>
      <c r="IQ31" s="1098"/>
      <c r="IR31" s="1098"/>
      <c r="IS31" s="1098"/>
      <c r="IT31" s="1098">
        <v>2</v>
      </c>
      <c r="IU31" s="1098">
        <v>1</v>
      </c>
      <c r="IV31" s="1098"/>
      <c r="IW31" s="1098"/>
      <c r="IX31" s="1098"/>
      <c r="IY31" s="1098"/>
      <c r="IZ31" s="1098"/>
      <c r="JA31" s="1097">
        <f t="shared" si="24"/>
        <v>3</v>
      </c>
      <c r="JB31" s="1098"/>
      <c r="JC31" s="1098"/>
      <c r="JD31" s="1098"/>
      <c r="JE31" s="1098"/>
      <c r="JF31" s="1098">
        <v>9</v>
      </c>
      <c r="JG31" s="1098">
        <v>3</v>
      </c>
      <c r="JH31" s="1098"/>
      <c r="JI31" s="1098"/>
      <c r="JJ31" s="1098"/>
      <c r="JK31" s="1098"/>
      <c r="JL31" s="1098"/>
      <c r="JM31" s="1098"/>
      <c r="JN31" s="1097">
        <f t="shared" si="25"/>
        <v>12</v>
      </c>
      <c r="JO31" s="1266"/>
      <c r="JP31" s="1116" t="str">
        <f t="shared" si="28"/>
        <v/>
      </c>
      <c r="JQ31" s="1117" t="str">
        <f t="shared" si="29"/>
        <v/>
      </c>
      <c r="JR31" s="1079">
        <f t="shared" si="30"/>
        <v>0</v>
      </c>
      <c r="JS31" s="1118">
        <f t="shared" si="31"/>
        <v>0</v>
      </c>
      <c r="JU31" s="1079">
        <f t="shared" si="26"/>
        <v>7314</v>
      </c>
      <c r="JV31" s="1080" t="s">
        <v>182</v>
      </c>
      <c r="JW31" s="1081" t="str">
        <f t="shared" si="27"/>
        <v>OK</v>
      </c>
    </row>
    <row r="32" spans="1:283" ht="15" customHeight="1" x14ac:dyDescent="0.2">
      <c r="A32" s="1261" t="s">
        <v>570</v>
      </c>
      <c r="B32" s="1098">
        <v>2</v>
      </c>
      <c r="C32" s="1098">
        <v>1</v>
      </c>
      <c r="D32" s="1098">
        <v>1</v>
      </c>
      <c r="E32" s="1098">
        <v>1</v>
      </c>
      <c r="F32" s="1098">
        <v>1</v>
      </c>
      <c r="G32" s="1098">
        <v>1</v>
      </c>
      <c r="H32" s="1098">
        <v>1</v>
      </c>
      <c r="I32" s="1098">
        <v>2</v>
      </c>
      <c r="J32" s="1098">
        <v>1</v>
      </c>
      <c r="K32" s="1098">
        <v>1</v>
      </c>
      <c r="L32" s="1098">
        <v>1</v>
      </c>
      <c r="M32" s="1098">
        <v>1</v>
      </c>
      <c r="N32" s="1097">
        <f t="shared" si="5"/>
        <v>14</v>
      </c>
      <c r="O32" s="1098">
        <v>2</v>
      </c>
      <c r="P32" s="1098">
        <v>1</v>
      </c>
      <c r="Q32" s="1098">
        <v>1</v>
      </c>
      <c r="R32" s="1098">
        <v>1</v>
      </c>
      <c r="S32" s="1098"/>
      <c r="T32" s="1098"/>
      <c r="U32" s="1098">
        <v>1</v>
      </c>
      <c r="V32" s="1098">
        <v>1</v>
      </c>
      <c r="W32" s="1098"/>
      <c r="X32" s="1098">
        <v>1</v>
      </c>
      <c r="Y32" s="1098">
        <v>1</v>
      </c>
      <c r="Z32" s="1098"/>
      <c r="AA32" s="1097">
        <f t="shared" si="6"/>
        <v>9</v>
      </c>
      <c r="AB32" s="1098">
        <v>1</v>
      </c>
      <c r="AC32" s="1098">
        <v>1</v>
      </c>
      <c r="AD32" s="1098">
        <v>1</v>
      </c>
      <c r="AE32" s="1098"/>
      <c r="AF32" s="1098"/>
      <c r="AG32" s="1098">
        <v>1</v>
      </c>
      <c r="AH32" s="1098"/>
      <c r="AI32" s="1098">
        <v>1</v>
      </c>
      <c r="AJ32" s="1098">
        <v>1</v>
      </c>
      <c r="AK32" s="1098">
        <v>1</v>
      </c>
      <c r="AL32" s="1098">
        <v>1</v>
      </c>
      <c r="AM32" s="1098">
        <v>1</v>
      </c>
      <c r="AN32" s="1097">
        <f t="shared" si="7"/>
        <v>9</v>
      </c>
      <c r="AO32" s="1098">
        <v>1</v>
      </c>
      <c r="AP32" s="1098">
        <v>1</v>
      </c>
      <c r="AQ32" s="1098">
        <v>1</v>
      </c>
      <c r="AR32" s="1098">
        <v>1</v>
      </c>
      <c r="AS32" s="1098">
        <v>1</v>
      </c>
      <c r="AT32" s="1098"/>
      <c r="AU32" s="1098">
        <v>1</v>
      </c>
      <c r="AV32" s="1098">
        <v>1</v>
      </c>
      <c r="AW32" s="1098">
        <v>1</v>
      </c>
      <c r="AX32" s="1098">
        <v>1</v>
      </c>
      <c r="AY32" s="1098">
        <v>1</v>
      </c>
      <c r="AZ32" s="1098">
        <v>1</v>
      </c>
      <c r="BA32" s="1097">
        <f t="shared" si="8"/>
        <v>11</v>
      </c>
      <c r="BB32" s="1098">
        <v>1</v>
      </c>
      <c r="BC32" s="1098"/>
      <c r="BD32" s="1098">
        <v>1</v>
      </c>
      <c r="BE32" s="1098"/>
      <c r="BF32" s="1098">
        <v>3</v>
      </c>
      <c r="BG32" s="1098"/>
      <c r="BH32" s="1098">
        <v>1</v>
      </c>
      <c r="BI32" s="1098"/>
      <c r="BJ32" s="1098">
        <v>1</v>
      </c>
      <c r="BK32" s="1098">
        <v>1</v>
      </c>
      <c r="BL32" s="1098">
        <v>1</v>
      </c>
      <c r="BM32" s="1098">
        <v>1</v>
      </c>
      <c r="BN32" s="1097">
        <f t="shared" si="9"/>
        <v>10</v>
      </c>
      <c r="BO32" s="1098"/>
      <c r="BP32" s="1098">
        <v>1</v>
      </c>
      <c r="BQ32" s="1098">
        <v>1</v>
      </c>
      <c r="BR32" s="1098"/>
      <c r="BS32" s="1098"/>
      <c r="BT32" s="1098">
        <v>1</v>
      </c>
      <c r="BU32" s="1098">
        <v>1</v>
      </c>
      <c r="BV32" s="1098">
        <v>1</v>
      </c>
      <c r="BW32" s="1098">
        <v>1</v>
      </c>
      <c r="BX32" s="1098">
        <v>1</v>
      </c>
      <c r="BY32" s="1098">
        <v>1</v>
      </c>
      <c r="BZ32" s="1098">
        <v>1</v>
      </c>
      <c r="CA32" s="1097">
        <f t="shared" si="10"/>
        <v>9</v>
      </c>
      <c r="CB32" s="1098">
        <v>1</v>
      </c>
      <c r="CC32" s="1098">
        <v>1</v>
      </c>
      <c r="CD32" s="1098">
        <v>1</v>
      </c>
      <c r="CE32" s="1098">
        <v>1</v>
      </c>
      <c r="CF32" s="1098">
        <v>1</v>
      </c>
      <c r="CG32" s="1098"/>
      <c r="CH32" s="1098">
        <v>1</v>
      </c>
      <c r="CI32" s="1098">
        <v>1</v>
      </c>
      <c r="CJ32" s="1098">
        <v>1</v>
      </c>
      <c r="CK32" s="1098">
        <v>1</v>
      </c>
      <c r="CL32" s="1098">
        <v>1</v>
      </c>
      <c r="CM32" s="1098">
        <v>1</v>
      </c>
      <c r="CN32" s="1097">
        <f t="shared" si="11"/>
        <v>11</v>
      </c>
      <c r="CO32" s="1098">
        <v>1</v>
      </c>
      <c r="CP32" s="1098">
        <v>1</v>
      </c>
      <c r="CQ32" s="1098">
        <v>1</v>
      </c>
      <c r="CR32" s="1098">
        <v>1</v>
      </c>
      <c r="CS32" s="1098">
        <v>1</v>
      </c>
      <c r="CT32" s="1098">
        <v>1</v>
      </c>
      <c r="CU32" s="1098">
        <v>1</v>
      </c>
      <c r="CV32" s="1098">
        <v>1</v>
      </c>
      <c r="CW32" s="1098">
        <v>1</v>
      </c>
      <c r="CX32" s="1098">
        <v>1</v>
      </c>
      <c r="CY32" s="1098">
        <v>1</v>
      </c>
      <c r="CZ32" s="1098">
        <v>1</v>
      </c>
      <c r="DA32" s="1097">
        <f t="shared" si="12"/>
        <v>12</v>
      </c>
      <c r="DB32" s="1098"/>
      <c r="DC32" s="1098">
        <v>1</v>
      </c>
      <c r="DD32" s="1098"/>
      <c r="DE32" s="1098">
        <v>1</v>
      </c>
      <c r="DF32" s="1098"/>
      <c r="DG32" s="1098">
        <v>1</v>
      </c>
      <c r="DH32" s="1098"/>
      <c r="DI32" s="1098">
        <v>1</v>
      </c>
      <c r="DJ32" s="1098"/>
      <c r="DK32" s="1098">
        <v>1</v>
      </c>
      <c r="DL32" s="1098"/>
      <c r="DM32" s="1098">
        <v>157</v>
      </c>
      <c r="DN32" s="1097">
        <f t="shared" si="13"/>
        <v>162</v>
      </c>
      <c r="DO32" s="1098">
        <v>171</v>
      </c>
      <c r="DP32" s="1098"/>
      <c r="DQ32" s="1098"/>
      <c r="DR32" s="1098"/>
      <c r="DS32" s="1098"/>
      <c r="DT32" s="1098"/>
      <c r="DU32" s="1098"/>
      <c r="DV32" s="1098"/>
      <c r="DW32" s="1098"/>
      <c r="DX32" s="1098"/>
      <c r="DY32" s="1098"/>
      <c r="DZ32" s="1098">
        <v>53</v>
      </c>
      <c r="EA32" s="1097">
        <f t="shared" si="14"/>
        <v>224</v>
      </c>
      <c r="EB32" s="1098"/>
      <c r="EC32" s="1098">
        <v>1</v>
      </c>
      <c r="ED32" s="1098"/>
      <c r="EE32" s="1098">
        <v>1</v>
      </c>
      <c r="EF32" s="1098"/>
      <c r="EG32" s="1098">
        <v>1</v>
      </c>
      <c r="EH32" s="1098"/>
      <c r="EI32" s="1098">
        <v>1</v>
      </c>
      <c r="EJ32" s="1098"/>
      <c r="EK32" s="1098">
        <v>1</v>
      </c>
      <c r="EL32" s="1098"/>
      <c r="EM32" s="1098">
        <v>1</v>
      </c>
      <c r="EN32" s="1097">
        <f t="shared" si="15"/>
        <v>6</v>
      </c>
      <c r="EO32" s="1098"/>
      <c r="EP32" s="1098">
        <v>1</v>
      </c>
      <c r="EQ32" s="1098"/>
      <c r="ER32" s="1098">
        <v>1</v>
      </c>
      <c r="ES32" s="1098"/>
      <c r="ET32" s="1098">
        <v>1</v>
      </c>
      <c r="EU32" s="1098"/>
      <c r="EV32" s="1098">
        <v>1</v>
      </c>
      <c r="EW32" s="1098"/>
      <c r="EX32" s="1098">
        <v>1</v>
      </c>
      <c r="EY32" s="1098"/>
      <c r="EZ32" s="1098">
        <v>1</v>
      </c>
      <c r="FA32" s="1097">
        <f t="shared" si="16"/>
        <v>6</v>
      </c>
      <c r="FB32" s="1098">
        <v>1</v>
      </c>
      <c r="FC32" s="1098"/>
      <c r="FD32" s="1098">
        <v>1</v>
      </c>
      <c r="FE32" s="1098"/>
      <c r="FF32" s="1098">
        <v>1</v>
      </c>
      <c r="FG32" s="1098"/>
      <c r="FH32" s="1098">
        <v>1</v>
      </c>
      <c r="FI32" s="1098"/>
      <c r="FJ32" s="1098">
        <v>1</v>
      </c>
      <c r="FK32" s="1098"/>
      <c r="FL32" s="1098">
        <v>1</v>
      </c>
      <c r="FM32" s="1098"/>
      <c r="FN32" s="1097">
        <f t="shared" si="17"/>
        <v>6</v>
      </c>
      <c r="FO32" s="1098"/>
      <c r="FP32" s="1098">
        <v>1</v>
      </c>
      <c r="FQ32" s="1098"/>
      <c r="FR32" s="1098">
        <v>1</v>
      </c>
      <c r="FS32" s="1098"/>
      <c r="FT32" s="1098">
        <v>1</v>
      </c>
      <c r="FU32" s="1098"/>
      <c r="FV32" s="1098">
        <v>1</v>
      </c>
      <c r="FW32" s="1098"/>
      <c r="FX32" s="1098">
        <v>1</v>
      </c>
      <c r="FY32" s="1098"/>
      <c r="FZ32" s="1098">
        <v>1</v>
      </c>
      <c r="GA32" s="1097">
        <f t="shared" si="18"/>
        <v>6</v>
      </c>
      <c r="GB32" s="1098"/>
      <c r="GC32" s="1098">
        <v>1</v>
      </c>
      <c r="GD32" s="1098"/>
      <c r="GE32" s="1098">
        <v>1</v>
      </c>
      <c r="GF32" s="1098"/>
      <c r="GG32" s="1098">
        <v>1</v>
      </c>
      <c r="GH32" s="1098"/>
      <c r="GI32" s="1098">
        <v>1</v>
      </c>
      <c r="GJ32" s="1098"/>
      <c r="GK32" s="1098">
        <v>1</v>
      </c>
      <c r="GL32" s="1098"/>
      <c r="GM32" s="1098">
        <v>1</v>
      </c>
      <c r="GN32" s="1097">
        <f t="shared" si="19"/>
        <v>6</v>
      </c>
      <c r="GO32" s="1098">
        <v>0.5</v>
      </c>
      <c r="GP32" s="1098">
        <v>0.5</v>
      </c>
      <c r="GQ32" s="1098">
        <v>0.5</v>
      </c>
      <c r="GR32" s="1098">
        <v>0.5</v>
      </c>
      <c r="GS32" s="1098">
        <v>0.5</v>
      </c>
      <c r="GT32" s="1098">
        <v>0.5</v>
      </c>
      <c r="GU32" s="1098">
        <v>0.5</v>
      </c>
      <c r="GV32" s="1098">
        <v>0.5</v>
      </c>
      <c r="GW32" s="1098">
        <v>0.5</v>
      </c>
      <c r="GX32" s="1098">
        <v>0.5</v>
      </c>
      <c r="GY32" s="1098">
        <v>0.5</v>
      </c>
      <c r="GZ32" s="1098">
        <v>0.5</v>
      </c>
      <c r="HA32" s="1097">
        <f t="shared" si="20"/>
        <v>6</v>
      </c>
      <c r="HB32" s="1098">
        <v>0.5</v>
      </c>
      <c r="HC32" s="1098">
        <v>0.5</v>
      </c>
      <c r="HD32" s="1098"/>
      <c r="HE32" s="1098"/>
      <c r="HF32" s="1098">
        <v>0.5</v>
      </c>
      <c r="HG32" s="1098"/>
      <c r="HH32" s="1098"/>
      <c r="HI32" s="1098"/>
      <c r="HJ32" s="1098"/>
      <c r="HK32" s="1098"/>
      <c r="HL32" s="1098">
        <v>2</v>
      </c>
      <c r="HM32" s="1098"/>
      <c r="HN32" s="1097">
        <f t="shared" si="21"/>
        <v>3.5</v>
      </c>
      <c r="HO32" s="1098">
        <v>2</v>
      </c>
      <c r="HP32" s="1098">
        <v>5.5</v>
      </c>
      <c r="HQ32" s="1098">
        <v>3</v>
      </c>
      <c r="HR32" s="1098">
        <v>2</v>
      </c>
      <c r="HS32" s="1098"/>
      <c r="HT32" s="1098"/>
      <c r="HU32" s="1098"/>
      <c r="HV32" s="1098">
        <v>0.5</v>
      </c>
      <c r="HW32" s="1098"/>
      <c r="HX32" s="1098">
        <v>0.5</v>
      </c>
      <c r="HY32" s="1098">
        <v>0.5</v>
      </c>
      <c r="HZ32" s="1098">
        <v>1</v>
      </c>
      <c r="IA32" s="1097">
        <f t="shared" si="22"/>
        <v>15</v>
      </c>
      <c r="IB32" s="1098">
        <v>0.5</v>
      </c>
      <c r="IC32" s="1098">
        <v>0.5</v>
      </c>
      <c r="ID32" s="1098">
        <v>0.5</v>
      </c>
      <c r="IE32" s="1098">
        <v>0.5</v>
      </c>
      <c r="IF32" s="1098"/>
      <c r="IG32" s="1098"/>
      <c r="IH32" s="1098"/>
      <c r="II32" s="1098"/>
      <c r="IJ32" s="1098"/>
      <c r="IK32" s="1098"/>
      <c r="IL32" s="1098"/>
      <c r="IM32" s="1098"/>
      <c r="IN32" s="1097">
        <f t="shared" si="23"/>
        <v>2</v>
      </c>
      <c r="IO32" s="1098"/>
      <c r="IP32" s="1098"/>
      <c r="IQ32" s="1098"/>
      <c r="IR32" s="1098"/>
      <c r="IS32" s="1098"/>
      <c r="IT32" s="1098"/>
      <c r="IU32" s="1098">
        <v>1</v>
      </c>
      <c r="IV32" s="1098">
        <v>0.5</v>
      </c>
      <c r="IW32" s="1098"/>
      <c r="IX32" s="1098"/>
      <c r="IY32" s="1098"/>
      <c r="IZ32" s="1098"/>
      <c r="JA32" s="1097">
        <f t="shared" si="24"/>
        <v>1.5</v>
      </c>
      <c r="JB32" s="1098">
        <v>0.5</v>
      </c>
      <c r="JC32" s="1098"/>
      <c r="JD32" s="1098"/>
      <c r="JE32" s="1098"/>
      <c r="JF32" s="1098"/>
      <c r="JG32" s="1098">
        <v>0</v>
      </c>
      <c r="JH32" s="1098"/>
      <c r="JI32" s="1098"/>
      <c r="JJ32" s="1098"/>
      <c r="JK32" s="1098"/>
      <c r="JL32" s="1098"/>
      <c r="JM32" s="1098"/>
      <c r="JN32" s="1097">
        <f t="shared" si="25"/>
        <v>0.5</v>
      </c>
      <c r="JO32" s="1266"/>
      <c r="JP32" s="1116" t="str">
        <f t="shared" si="28"/>
        <v/>
      </c>
      <c r="JQ32" s="1117" t="str">
        <f t="shared" si="29"/>
        <v/>
      </c>
      <c r="JR32" s="1079">
        <f t="shared" si="30"/>
        <v>0</v>
      </c>
      <c r="JS32" s="1118">
        <f t="shared" si="31"/>
        <v>0.5</v>
      </c>
      <c r="JU32" s="1079">
        <f t="shared" si="26"/>
        <v>1031</v>
      </c>
      <c r="JV32" s="1080" t="s">
        <v>570</v>
      </c>
      <c r="JW32" s="1081" t="str">
        <f t="shared" si="27"/>
        <v>OK</v>
      </c>
    </row>
    <row r="33" spans="1:283" ht="15" customHeight="1" x14ac:dyDescent="0.2">
      <c r="A33" s="1261" t="s">
        <v>149</v>
      </c>
      <c r="B33" s="1098">
        <v>5</v>
      </c>
      <c r="C33" s="1098">
        <v>5</v>
      </c>
      <c r="D33" s="1098">
        <v>6</v>
      </c>
      <c r="E33" s="1098">
        <v>6</v>
      </c>
      <c r="F33" s="1098">
        <v>6</v>
      </c>
      <c r="G33" s="1098">
        <v>9</v>
      </c>
      <c r="H33" s="1098">
        <v>7</v>
      </c>
      <c r="I33" s="1098">
        <v>5</v>
      </c>
      <c r="J33" s="1098">
        <v>6</v>
      </c>
      <c r="K33" s="1098">
        <v>5</v>
      </c>
      <c r="L33" s="1098">
        <v>175</v>
      </c>
      <c r="M33" s="1098">
        <v>8</v>
      </c>
      <c r="N33" s="1097">
        <f t="shared" si="5"/>
        <v>243</v>
      </c>
      <c r="O33" s="1098">
        <v>115</v>
      </c>
      <c r="P33" s="1098">
        <v>8</v>
      </c>
      <c r="Q33" s="1098">
        <v>10</v>
      </c>
      <c r="R33" s="1098">
        <v>11</v>
      </c>
      <c r="S33" s="1098"/>
      <c r="T33" s="1098">
        <v>12</v>
      </c>
      <c r="U33" s="1098">
        <v>5</v>
      </c>
      <c r="V33" s="1098">
        <v>4</v>
      </c>
      <c r="W33" s="1098">
        <v>44</v>
      </c>
      <c r="X33" s="1098">
        <v>44</v>
      </c>
      <c r="Y33" s="1098">
        <v>4</v>
      </c>
      <c r="Z33" s="1098">
        <v>3</v>
      </c>
      <c r="AA33" s="1097">
        <f t="shared" si="6"/>
        <v>260</v>
      </c>
      <c r="AB33" s="1098">
        <v>6</v>
      </c>
      <c r="AC33" s="1098">
        <v>128</v>
      </c>
      <c r="AD33" s="1098">
        <v>4</v>
      </c>
      <c r="AE33" s="1098">
        <v>4</v>
      </c>
      <c r="AF33" s="1098">
        <v>5</v>
      </c>
      <c r="AG33" s="1098">
        <v>5</v>
      </c>
      <c r="AH33" s="1098">
        <v>4</v>
      </c>
      <c r="AI33" s="1098">
        <v>5</v>
      </c>
      <c r="AJ33" s="1098">
        <v>7</v>
      </c>
      <c r="AK33" s="1098">
        <v>50</v>
      </c>
      <c r="AL33" s="1098">
        <v>8</v>
      </c>
      <c r="AM33" s="1098">
        <v>77</v>
      </c>
      <c r="AN33" s="1097">
        <f t="shared" si="7"/>
        <v>303</v>
      </c>
      <c r="AO33" s="1098">
        <v>9</v>
      </c>
      <c r="AP33" s="1098">
        <v>10</v>
      </c>
      <c r="AQ33" s="1098">
        <v>7</v>
      </c>
      <c r="AR33" s="1098">
        <v>9</v>
      </c>
      <c r="AS33" s="1098">
        <v>10</v>
      </c>
      <c r="AT33" s="1098">
        <v>10</v>
      </c>
      <c r="AU33" s="1098">
        <v>11</v>
      </c>
      <c r="AV33" s="1098">
        <v>7</v>
      </c>
      <c r="AW33" s="1098">
        <v>129</v>
      </c>
      <c r="AX33" s="1098">
        <v>10</v>
      </c>
      <c r="AY33" s="1098">
        <v>60</v>
      </c>
      <c r="AZ33" s="1098">
        <v>11</v>
      </c>
      <c r="BA33" s="1097">
        <f t="shared" si="8"/>
        <v>283</v>
      </c>
      <c r="BB33" s="1098">
        <v>12</v>
      </c>
      <c r="BC33" s="1098">
        <v>12</v>
      </c>
      <c r="BD33" s="1098">
        <v>14</v>
      </c>
      <c r="BE33" s="1098">
        <v>8</v>
      </c>
      <c r="BF33" s="1098">
        <v>6</v>
      </c>
      <c r="BG33" s="1098">
        <v>7</v>
      </c>
      <c r="BH33" s="1098">
        <v>6</v>
      </c>
      <c r="BI33" s="1098">
        <v>7</v>
      </c>
      <c r="BJ33" s="1098">
        <v>11</v>
      </c>
      <c r="BK33" s="1098">
        <v>8</v>
      </c>
      <c r="BL33" s="1098">
        <v>11</v>
      </c>
      <c r="BM33" s="1098">
        <v>9</v>
      </c>
      <c r="BN33" s="1097">
        <f t="shared" si="9"/>
        <v>111</v>
      </c>
      <c r="BO33" s="1098">
        <v>10</v>
      </c>
      <c r="BP33" s="1098">
        <v>5</v>
      </c>
      <c r="BQ33" s="1098">
        <v>7</v>
      </c>
      <c r="BR33" s="1098">
        <v>6</v>
      </c>
      <c r="BS33" s="1098">
        <v>6</v>
      </c>
      <c r="BT33" s="1098">
        <v>8</v>
      </c>
      <c r="BU33" s="1098">
        <v>8</v>
      </c>
      <c r="BV33" s="1098">
        <v>8</v>
      </c>
      <c r="BW33" s="1098">
        <v>10</v>
      </c>
      <c r="BX33" s="1098">
        <v>7</v>
      </c>
      <c r="BY33" s="1098">
        <v>7</v>
      </c>
      <c r="BZ33" s="1098">
        <v>8</v>
      </c>
      <c r="CA33" s="1097">
        <f t="shared" si="10"/>
        <v>90</v>
      </c>
      <c r="CB33" s="1098">
        <v>8</v>
      </c>
      <c r="CC33" s="1098">
        <v>8</v>
      </c>
      <c r="CD33" s="1098">
        <v>10</v>
      </c>
      <c r="CE33" s="1098">
        <v>5</v>
      </c>
      <c r="CF33" s="1098">
        <v>27</v>
      </c>
      <c r="CG33" s="1098">
        <v>6</v>
      </c>
      <c r="CH33" s="1098"/>
      <c r="CI33" s="1098"/>
      <c r="CJ33" s="1098">
        <v>1</v>
      </c>
      <c r="CK33" s="1098">
        <v>2</v>
      </c>
      <c r="CL33" s="1098">
        <v>2</v>
      </c>
      <c r="CM33" s="1098">
        <v>3</v>
      </c>
      <c r="CN33" s="1097">
        <f t="shared" si="11"/>
        <v>72</v>
      </c>
      <c r="CO33" s="1098">
        <v>3</v>
      </c>
      <c r="CP33" s="1098">
        <v>8</v>
      </c>
      <c r="CQ33" s="1098">
        <v>1</v>
      </c>
      <c r="CR33" s="1098">
        <v>5</v>
      </c>
      <c r="CS33" s="1098">
        <v>3</v>
      </c>
      <c r="CT33" s="1098">
        <v>3</v>
      </c>
      <c r="CU33" s="1098">
        <v>1</v>
      </c>
      <c r="CV33" s="1098">
        <v>102</v>
      </c>
      <c r="CW33" s="1098">
        <v>43</v>
      </c>
      <c r="CX33" s="1098">
        <v>4</v>
      </c>
      <c r="CY33" s="1098">
        <v>4</v>
      </c>
      <c r="CZ33" s="1098">
        <v>2</v>
      </c>
      <c r="DA33" s="1097">
        <f t="shared" si="12"/>
        <v>179</v>
      </c>
      <c r="DB33" s="1098">
        <v>3</v>
      </c>
      <c r="DC33" s="1098">
        <v>4</v>
      </c>
      <c r="DD33" s="1098">
        <v>3</v>
      </c>
      <c r="DE33" s="1098">
        <v>4</v>
      </c>
      <c r="DF33" s="1098">
        <v>4</v>
      </c>
      <c r="DG33" s="1098">
        <v>5</v>
      </c>
      <c r="DH33" s="1098">
        <v>4</v>
      </c>
      <c r="DI33" s="1098">
        <v>24</v>
      </c>
      <c r="DJ33" s="1098">
        <v>22</v>
      </c>
      <c r="DK33" s="1098">
        <v>14</v>
      </c>
      <c r="DL33" s="1098">
        <v>1</v>
      </c>
      <c r="DM33" s="1098">
        <v>91</v>
      </c>
      <c r="DN33" s="1097">
        <f t="shared" si="13"/>
        <v>179</v>
      </c>
      <c r="DO33" s="1098">
        <v>190</v>
      </c>
      <c r="DP33" s="1098">
        <v>61</v>
      </c>
      <c r="DQ33" s="1098">
        <v>30</v>
      </c>
      <c r="DR33" s="1098">
        <v>12</v>
      </c>
      <c r="DS33" s="1098"/>
      <c r="DT33" s="1098"/>
      <c r="DU33" s="1098"/>
      <c r="DV33" s="1098"/>
      <c r="DW33" s="1098"/>
      <c r="DX33" s="1098"/>
      <c r="DY33" s="1098">
        <v>2</v>
      </c>
      <c r="DZ33" s="1098">
        <v>93</v>
      </c>
      <c r="EA33" s="1097">
        <f t="shared" si="14"/>
        <v>388</v>
      </c>
      <c r="EB33" s="1098">
        <v>1</v>
      </c>
      <c r="EC33" s="1098">
        <v>2</v>
      </c>
      <c r="ED33" s="1098">
        <v>2</v>
      </c>
      <c r="EE33" s="1098">
        <v>1</v>
      </c>
      <c r="EF33" s="1098">
        <v>2</v>
      </c>
      <c r="EG33" s="1098"/>
      <c r="EH33" s="1098">
        <v>2</v>
      </c>
      <c r="EI33" s="1098">
        <v>2</v>
      </c>
      <c r="EJ33" s="1098">
        <v>1</v>
      </c>
      <c r="EK33" s="1098">
        <v>2</v>
      </c>
      <c r="EL33" s="1098">
        <v>2</v>
      </c>
      <c r="EM33" s="1098">
        <v>2</v>
      </c>
      <c r="EN33" s="1097">
        <f t="shared" si="15"/>
        <v>19</v>
      </c>
      <c r="EO33" s="1098">
        <v>1</v>
      </c>
      <c r="EP33" s="1098">
        <v>1</v>
      </c>
      <c r="EQ33" s="1098">
        <v>1</v>
      </c>
      <c r="ER33" s="1098">
        <v>1</v>
      </c>
      <c r="ES33" s="1098">
        <v>1</v>
      </c>
      <c r="ET33" s="1098">
        <v>2</v>
      </c>
      <c r="EU33" s="1098">
        <v>2</v>
      </c>
      <c r="EV33" s="1098">
        <v>2</v>
      </c>
      <c r="EW33" s="1098">
        <v>1</v>
      </c>
      <c r="EX33" s="1098">
        <v>2</v>
      </c>
      <c r="EY33" s="1098">
        <v>2</v>
      </c>
      <c r="EZ33" s="1098">
        <v>2</v>
      </c>
      <c r="FA33" s="1097">
        <f t="shared" si="16"/>
        <v>18</v>
      </c>
      <c r="FB33" s="1098">
        <v>2</v>
      </c>
      <c r="FC33" s="1098">
        <v>2</v>
      </c>
      <c r="FD33" s="1098">
        <v>2</v>
      </c>
      <c r="FE33" s="1098">
        <v>2</v>
      </c>
      <c r="FF33" s="1098">
        <v>2</v>
      </c>
      <c r="FG33" s="1098">
        <v>2</v>
      </c>
      <c r="FH33" s="1098">
        <v>2</v>
      </c>
      <c r="FI33" s="1098">
        <v>2</v>
      </c>
      <c r="FJ33" s="1098">
        <v>2</v>
      </c>
      <c r="FK33" s="1098">
        <v>3</v>
      </c>
      <c r="FL33" s="1098">
        <v>2</v>
      </c>
      <c r="FM33" s="1098">
        <v>3</v>
      </c>
      <c r="FN33" s="1097">
        <f t="shared" si="17"/>
        <v>26</v>
      </c>
      <c r="FO33" s="1098">
        <v>2</v>
      </c>
      <c r="FP33" s="1098">
        <v>3</v>
      </c>
      <c r="FQ33" s="1098">
        <v>2</v>
      </c>
      <c r="FR33" s="1098">
        <v>2</v>
      </c>
      <c r="FS33" s="1098">
        <v>1</v>
      </c>
      <c r="FT33" s="1098">
        <v>2</v>
      </c>
      <c r="FU33" s="1098">
        <v>2</v>
      </c>
      <c r="FV33" s="1098">
        <v>2</v>
      </c>
      <c r="FW33" s="1098">
        <v>4</v>
      </c>
      <c r="FX33" s="1098">
        <v>4</v>
      </c>
      <c r="FY33" s="1098">
        <v>53</v>
      </c>
      <c r="FZ33" s="1098">
        <v>2</v>
      </c>
      <c r="GA33" s="1097">
        <f t="shared" si="18"/>
        <v>79</v>
      </c>
      <c r="GB33" s="1098">
        <v>2</v>
      </c>
      <c r="GC33" s="1098">
        <v>2</v>
      </c>
      <c r="GD33" s="1098">
        <v>10</v>
      </c>
      <c r="GE33" s="1098">
        <v>2</v>
      </c>
      <c r="GF33" s="1098">
        <v>3</v>
      </c>
      <c r="GG33" s="1098">
        <v>3</v>
      </c>
      <c r="GH33" s="1098">
        <v>2</v>
      </c>
      <c r="GI33" s="1098">
        <v>3</v>
      </c>
      <c r="GJ33" s="1098">
        <v>2</v>
      </c>
      <c r="GK33" s="1098">
        <v>2</v>
      </c>
      <c r="GL33" s="1098">
        <v>2</v>
      </c>
      <c r="GM33" s="1098">
        <v>2</v>
      </c>
      <c r="GN33" s="1097">
        <f t="shared" si="19"/>
        <v>35</v>
      </c>
      <c r="GO33" s="1098">
        <v>2</v>
      </c>
      <c r="GP33" s="1098">
        <v>2</v>
      </c>
      <c r="GQ33" s="1098">
        <v>4</v>
      </c>
      <c r="GR33" s="1098">
        <v>3</v>
      </c>
      <c r="GS33" s="1098">
        <v>3</v>
      </c>
      <c r="GT33" s="1098">
        <v>2</v>
      </c>
      <c r="GU33" s="1098">
        <v>4</v>
      </c>
      <c r="GV33" s="1098">
        <v>2</v>
      </c>
      <c r="GW33" s="1098">
        <v>2</v>
      </c>
      <c r="GX33" s="1098">
        <v>4</v>
      </c>
      <c r="GY33" s="1098">
        <v>3</v>
      </c>
      <c r="GZ33" s="1098">
        <v>3</v>
      </c>
      <c r="HA33" s="1097">
        <f t="shared" si="20"/>
        <v>34</v>
      </c>
      <c r="HB33" s="1098">
        <v>2</v>
      </c>
      <c r="HC33" s="1098">
        <v>2</v>
      </c>
      <c r="HD33" s="1098">
        <v>2</v>
      </c>
      <c r="HE33" s="1098">
        <v>1</v>
      </c>
      <c r="HF33" s="1098">
        <v>1</v>
      </c>
      <c r="HG33" s="1098">
        <v>2</v>
      </c>
      <c r="HH33" s="1098">
        <v>3</v>
      </c>
      <c r="HI33" s="1098">
        <v>4</v>
      </c>
      <c r="HJ33" s="1098">
        <v>2</v>
      </c>
      <c r="HK33" s="1098"/>
      <c r="HL33" s="1098">
        <v>3</v>
      </c>
      <c r="HM33" s="1098"/>
      <c r="HN33" s="1097">
        <f t="shared" si="21"/>
        <v>22</v>
      </c>
      <c r="HO33" s="1098"/>
      <c r="HP33" s="1098">
        <v>3</v>
      </c>
      <c r="HQ33" s="1098"/>
      <c r="HR33" s="1098">
        <v>3</v>
      </c>
      <c r="HS33" s="1098"/>
      <c r="HT33" s="1098"/>
      <c r="HU33" s="1098"/>
      <c r="HV33" s="1098">
        <v>2</v>
      </c>
      <c r="HW33" s="1098">
        <v>3</v>
      </c>
      <c r="HX33" s="1098">
        <v>9</v>
      </c>
      <c r="HY33" s="1098"/>
      <c r="HZ33" s="1098"/>
      <c r="IA33" s="1097">
        <f t="shared" si="22"/>
        <v>20</v>
      </c>
      <c r="IB33" s="1098">
        <v>2</v>
      </c>
      <c r="IC33" s="1098">
        <v>9</v>
      </c>
      <c r="ID33" s="1098">
        <v>9</v>
      </c>
      <c r="IE33" s="1098">
        <v>8</v>
      </c>
      <c r="IF33" s="1098"/>
      <c r="IG33" s="1098">
        <v>4</v>
      </c>
      <c r="IH33" s="1098"/>
      <c r="II33" s="1098"/>
      <c r="IJ33" s="1098"/>
      <c r="IK33" s="1098"/>
      <c r="IL33" s="1098"/>
      <c r="IM33" s="1098"/>
      <c r="IN33" s="1097">
        <f t="shared" si="23"/>
        <v>32</v>
      </c>
      <c r="IO33" s="1098"/>
      <c r="IP33" s="1098"/>
      <c r="IQ33" s="1098"/>
      <c r="IR33" s="1098"/>
      <c r="IS33" s="1098"/>
      <c r="IT33" s="1098"/>
      <c r="IU33" s="1098"/>
      <c r="IV33" s="1098"/>
      <c r="IW33" s="1098"/>
      <c r="IX33" s="1098"/>
      <c r="IY33" s="1098"/>
      <c r="IZ33" s="1098"/>
      <c r="JA33" s="1097">
        <f t="shared" si="24"/>
        <v>0</v>
      </c>
      <c r="JB33" s="1098"/>
      <c r="JC33" s="1098"/>
      <c r="JD33" s="1098"/>
      <c r="JE33" s="1098"/>
      <c r="JF33" s="1098"/>
      <c r="JG33" s="1098">
        <v>0</v>
      </c>
      <c r="JH33" s="1098"/>
      <c r="JI33" s="1098"/>
      <c r="JJ33" s="1098"/>
      <c r="JK33" s="1098"/>
      <c r="JL33" s="1098"/>
      <c r="JM33" s="1098"/>
      <c r="JN33" s="1097">
        <f t="shared" si="25"/>
        <v>0</v>
      </c>
      <c r="JO33" s="1266"/>
      <c r="JP33" s="1116" t="str">
        <f t="shared" si="28"/>
        <v/>
      </c>
      <c r="JQ33" s="1117" t="str">
        <f t="shared" si="29"/>
        <v/>
      </c>
      <c r="JR33" s="1079">
        <f t="shared" si="30"/>
        <v>0</v>
      </c>
      <c r="JS33" s="1118">
        <f t="shared" si="31"/>
        <v>0</v>
      </c>
      <c r="JU33" s="1079">
        <f t="shared" si="26"/>
        <v>4300</v>
      </c>
      <c r="JV33" s="1080" t="s">
        <v>149</v>
      </c>
      <c r="JW33" s="1081" t="str">
        <f t="shared" si="27"/>
        <v>OK</v>
      </c>
    </row>
    <row r="34" spans="1:283" ht="15" customHeight="1" x14ac:dyDescent="0.2">
      <c r="A34" s="1261" t="s">
        <v>143</v>
      </c>
      <c r="B34" s="1098">
        <v>29</v>
      </c>
      <c r="C34" s="1098">
        <v>31</v>
      </c>
      <c r="D34" s="1098">
        <v>27</v>
      </c>
      <c r="E34" s="1098">
        <v>32</v>
      </c>
      <c r="F34" s="1098">
        <v>24</v>
      </c>
      <c r="G34" s="1098">
        <v>25</v>
      </c>
      <c r="H34" s="1098">
        <v>32</v>
      </c>
      <c r="I34" s="1098">
        <v>25</v>
      </c>
      <c r="J34" s="1098">
        <v>39</v>
      </c>
      <c r="K34" s="1098">
        <v>34</v>
      </c>
      <c r="L34" s="1098">
        <v>32</v>
      </c>
      <c r="M34" s="1098">
        <v>40</v>
      </c>
      <c r="N34" s="1097">
        <f t="shared" si="5"/>
        <v>370</v>
      </c>
      <c r="O34" s="1098">
        <v>41</v>
      </c>
      <c r="P34" s="1098">
        <v>32</v>
      </c>
      <c r="Q34" s="1098">
        <v>18</v>
      </c>
      <c r="R34" s="1098">
        <v>21</v>
      </c>
      <c r="S34" s="1098">
        <v>15</v>
      </c>
      <c r="T34" s="1098">
        <v>23</v>
      </c>
      <c r="U34" s="1098">
        <v>10</v>
      </c>
      <c r="V34" s="1098">
        <v>25</v>
      </c>
      <c r="W34" s="1098">
        <v>24</v>
      </c>
      <c r="X34" s="1098">
        <v>23</v>
      </c>
      <c r="Y34" s="1098">
        <v>29</v>
      </c>
      <c r="Z34" s="1098">
        <v>41</v>
      </c>
      <c r="AA34" s="1097">
        <f t="shared" si="6"/>
        <v>302</v>
      </c>
      <c r="AB34" s="1098">
        <v>17</v>
      </c>
      <c r="AC34" s="1098">
        <v>22</v>
      </c>
      <c r="AD34" s="1098">
        <v>23</v>
      </c>
      <c r="AE34" s="1098">
        <v>19</v>
      </c>
      <c r="AF34" s="1098">
        <v>24</v>
      </c>
      <c r="AG34" s="1098">
        <v>29</v>
      </c>
      <c r="AH34" s="1098">
        <v>28</v>
      </c>
      <c r="AI34" s="1098">
        <v>21</v>
      </c>
      <c r="AJ34" s="1098">
        <v>31</v>
      </c>
      <c r="AK34" s="1098">
        <v>39</v>
      </c>
      <c r="AL34" s="1098">
        <v>34</v>
      </c>
      <c r="AM34" s="1098">
        <v>24</v>
      </c>
      <c r="AN34" s="1097">
        <f t="shared" si="7"/>
        <v>311</v>
      </c>
      <c r="AO34" s="1098">
        <v>24</v>
      </c>
      <c r="AP34" s="1098">
        <v>23</v>
      </c>
      <c r="AQ34" s="1098">
        <v>27</v>
      </c>
      <c r="AR34" s="1098">
        <v>26</v>
      </c>
      <c r="AS34" s="1098">
        <v>16</v>
      </c>
      <c r="AT34" s="1098">
        <v>26</v>
      </c>
      <c r="AU34" s="1098">
        <v>24</v>
      </c>
      <c r="AV34" s="1098">
        <v>21</v>
      </c>
      <c r="AW34" s="1098">
        <v>20</v>
      </c>
      <c r="AX34" s="1098">
        <v>20</v>
      </c>
      <c r="AY34" s="1098">
        <v>29</v>
      </c>
      <c r="AZ34" s="1098">
        <v>24</v>
      </c>
      <c r="BA34" s="1097">
        <f t="shared" si="8"/>
        <v>280</v>
      </c>
      <c r="BB34" s="1098">
        <v>24</v>
      </c>
      <c r="BC34" s="1098">
        <v>24</v>
      </c>
      <c r="BD34" s="1098">
        <v>20</v>
      </c>
      <c r="BE34" s="1098">
        <v>20</v>
      </c>
      <c r="BF34" s="1098">
        <v>13</v>
      </c>
      <c r="BG34" s="1098">
        <v>9</v>
      </c>
      <c r="BH34" s="1098">
        <v>27</v>
      </c>
      <c r="BI34" s="1098">
        <v>26</v>
      </c>
      <c r="BJ34" s="1098">
        <v>25</v>
      </c>
      <c r="BK34" s="1098">
        <v>23</v>
      </c>
      <c r="BL34" s="1098">
        <v>15</v>
      </c>
      <c r="BM34" s="1098">
        <v>19</v>
      </c>
      <c r="BN34" s="1097">
        <f t="shared" si="9"/>
        <v>245</v>
      </c>
      <c r="BO34" s="1098">
        <v>13</v>
      </c>
      <c r="BP34" s="1098">
        <v>11</v>
      </c>
      <c r="BQ34" s="1098">
        <v>14</v>
      </c>
      <c r="BR34" s="1098">
        <v>15</v>
      </c>
      <c r="BS34" s="1098">
        <v>18</v>
      </c>
      <c r="BT34" s="1098">
        <v>14</v>
      </c>
      <c r="BU34" s="1098">
        <v>13</v>
      </c>
      <c r="BV34" s="1098">
        <v>14</v>
      </c>
      <c r="BW34" s="1098">
        <v>16</v>
      </c>
      <c r="BX34" s="1098">
        <v>16</v>
      </c>
      <c r="BY34" s="1098">
        <v>24</v>
      </c>
      <c r="BZ34" s="1098">
        <v>13</v>
      </c>
      <c r="CA34" s="1097">
        <f t="shared" si="10"/>
        <v>181</v>
      </c>
      <c r="CB34" s="1098">
        <v>8.15</v>
      </c>
      <c r="CC34" s="1098">
        <v>11</v>
      </c>
      <c r="CD34" s="1098">
        <v>20</v>
      </c>
      <c r="CE34" s="1098">
        <v>14</v>
      </c>
      <c r="CF34" s="1098">
        <v>10</v>
      </c>
      <c r="CG34" s="1098">
        <v>14</v>
      </c>
      <c r="CH34" s="1098">
        <v>17</v>
      </c>
      <c r="CI34" s="1098">
        <v>12</v>
      </c>
      <c r="CJ34" s="1098">
        <v>12</v>
      </c>
      <c r="CK34" s="1098">
        <v>16</v>
      </c>
      <c r="CL34" s="1098">
        <v>15</v>
      </c>
      <c r="CM34" s="1098">
        <v>11</v>
      </c>
      <c r="CN34" s="1097">
        <f t="shared" si="11"/>
        <v>160.15</v>
      </c>
      <c r="CO34" s="1098">
        <v>9</v>
      </c>
      <c r="CP34" s="1098">
        <v>9</v>
      </c>
      <c r="CQ34" s="1098">
        <v>15</v>
      </c>
      <c r="CR34" s="1098">
        <v>13</v>
      </c>
      <c r="CS34" s="1098">
        <v>8</v>
      </c>
      <c r="CT34" s="1098">
        <v>9</v>
      </c>
      <c r="CU34" s="1098">
        <v>18</v>
      </c>
      <c r="CV34" s="1098">
        <v>8</v>
      </c>
      <c r="CW34" s="1098">
        <v>11</v>
      </c>
      <c r="CX34" s="1098">
        <v>15</v>
      </c>
      <c r="CY34" s="1098">
        <v>13</v>
      </c>
      <c r="CZ34" s="1098">
        <v>13</v>
      </c>
      <c r="DA34" s="1097">
        <f t="shared" si="12"/>
        <v>141</v>
      </c>
      <c r="DB34" s="1098">
        <v>17</v>
      </c>
      <c r="DC34" s="1098">
        <v>16</v>
      </c>
      <c r="DD34" s="1098">
        <v>18</v>
      </c>
      <c r="DE34" s="1098">
        <v>8</v>
      </c>
      <c r="DF34" s="1098">
        <v>12</v>
      </c>
      <c r="DG34" s="1098">
        <v>17</v>
      </c>
      <c r="DH34" s="1098">
        <v>8</v>
      </c>
      <c r="DI34" s="1098">
        <v>10</v>
      </c>
      <c r="DJ34" s="1098">
        <v>22</v>
      </c>
      <c r="DK34" s="1098">
        <v>24</v>
      </c>
      <c r="DL34" s="1098">
        <v>21</v>
      </c>
      <c r="DM34" s="1098"/>
      <c r="DN34" s="1097">
        <f t="shared" si="13"/>
        <v>173</v>
      </c>
      <c r="DO34" s="1098"/>
      <c r="DP34" s="1098">
        <v>1</v>
      </c>
      <c r="DQ34" s="1098"/>
      <c r="DR34" s="1098"/>
      <c r="DS34" s="1098"/>
      <c r="DT34" s="1098">
        <v>19</v>
      </c>
      <c r="DU34" s="1098">
        <v>9</v>
      </c>
      <c r="DV34" s="1098"/>
      <c r="DW34" s="1098"/>
      <c r="DX34" s="1098"/>
      <c r="DY34" s="1098">
        <v>8</v>
      </c>
      <c r="DZ34" s="1098"/>
      <c r="EA34" s="1097">
        <f t="shared" si="14"/>
        <v>37</v>
      </c>
      <c r="EB34" s="1098">
        <v>14</v>
      </c>
      <c r="EC34" s="1098">
        <v>10</v>
      </c>
      <c r="ED34" s="1098">
        <v>8</v>
      </c>
      <c r="EE34" s="1098">
        <v>5</v>
      </c>
      <c r="EF34" s="1098">
        <v>5</v>
      </c>
      <c r="EG34" s="1098">
        <v>8</v>
      </c>
      <c r="EH34" s="1098">
        <v>5</v>
      </c>
      <c r="EI34" s="1098">
        <v>7</v>
      </c>
      <c r="EJ34" s="1098">
        <v>5</v>
      </c>
      <c r="EK34" s="1098">
        <v>6</v>
      </c>
      <c r="EL34" s="1098">
        <v>21</v>
      </c>
      <c r="EM34" s="1098">
        <v>21</v>
      </c>
      <c r="EN34" s="1097">
        <f t="shared" si="15"/>
        <v>115</v>
      </c>
      <c r="EO34" s="1098">
        <v>10</v>
      </c>
      <c r="EP34" s="1098">
        <v>10</v>
      </c>
      <c r="EQ34" s="1098">
        <v>6</v>
      </c>
      <c r="ER34" s="1098">
        <v>5</v>
      </c>
      <c r="ES34" s="1098">
        <v>5</v>
      </c>
      <c r="ET34" s="1098">
        <v>7</v>
      </c>
      <c r="EU34" s="1098">
        <v>5</v>
      </c>
      <c r="EV34" s="1098">
        <v>5</v>
      </c>
      <c r="EW34" s="1098">
        <v>5</v>
      </c>
      <c r="EX34" s="1098">
        <v>9</v>
      </c>
      <c r="EY34" s="1098">
        <v>6</v>
      </c>
      <c r="EZ34" s="1098">
        <v>14</v>
      </c>
      <c r="FA34" s="1097">
        <f t="shared" si="16"/>
        <v>87</v>
      </c>
      <c r="FB34" s="1098">
        <v>12</v>
      </c>
      <c r="FC34" s="1098">
        <v>17</v>
      </c>
      <c r="FD34" s="1098">
        <v>13</v>
      </c>
      <c r="FE34" s="1098">
        <v>7</v>
      </c>
      <c r="FF34" s="1098">
        <v>7</v>
      </c>
      <c r="FG34" s="1098">
        <v>7</v>
      </c>
      <c r="FH34" s="1098">
        <v>6</v>
      </c>
      <c r="FI34" s="1098">
        <v>6</v>
      </c>
      <c r="FJ34" s="1098">
        <v>6</v>
      </c>
      <c r="FK34" s="1098">
        <v>11</v>
      </c>
      <c r="FL34" s="1098">
        <v>22</v>
      </c>
      <c r="FM34" s="1098">
        <v>18</v>
      </c>
      <c r="FN34" s="1097">
        <f t="shared" si="17"/>
        <v>132</v>
      </c>
      <c r="FO34" s="1098">
        <v>17</v>
      </c>
      <c r="FP34" s="1098">
        <v>14</v>
      </c>
      <c r="FQ34" s="1098">
        <v>9</v>
      </c>
      <c r="FR34" s="1098">
        <v>8</v>
      </c>
      <c r="FS34" s="1098">
        <v>6</v>
      </c>
      <c r="FT34" s="1098">
        <v>9</v>
      </c>
      <c r="FU34" s="1098">
        <v>14</v>
      </c>
      <c r="FV34" s="1098">
        <v>15</v>
      </c>
      <c r="FW34" s="1098">
        <v>18</v>
      </c>
      <c r="FX34" s="1098">
        <v>23</v>
      </c>
      <c r="FY34" s="1098">
        <v>31</v>
      </c>
      <c r="FZ34" s="1098">
        <v>31</v>
      </c>
      <c r="GA34" s="1097">
        <f t="shared" si="18"/>
        <v>195</v>
      </c>
      <c r="GB34" s="1098">
        <v>41</v>
      </c>
      <c r="GC34" s="1098">
        <v>30</v>
      </c>
      <c r="GD34" s="1098">
        <v>22</v>
      </c>
      <c r="GE34" s="1098">
        <v>19</v>
      </c>
      <c r="GF34" s="1098">
        <v>11</v>
      </c>
      <c r="GG34" s="1098">
        <v>15</v>
      </c>
      <c r="GH34" s="1098">
        <v>11</v>
      </c>
      <c r="GI34" s="1098">
        <v>16</v>
      </c>
      <c r="GJ34" s="1098">
        <v>12</v>
      </c>
      <c r="GK34" s="1098">
        <v>19</v>
      </c>
      <c r="GL34" s="1098">
        <v>18</v>
      </c>
      <c r="GM34" s="1098">
        <v>30</v>
      </c>
      <c r="GN34" s="1097">
        <f t="shared" si="19"/>
        <v>244</v>
      </c>
      <c r="GO34" s="1098">
        <v>25</v>
      </c>
      <c r="GP34" s="1098">
        <v>20.5</v>
      </c>
      <c r="GQ34" s="1098">
        <v>16</v>
      </c>
      <c r="GR34" s="1098">
        <v>9</v>
      </c>
      <c r="GS34" s="1098">
        <v>12</v>
      </c>
      <c r="GT34" s="1098">
        <v>19</v>
      </c>
      <c r="GU34" s="1098">
        <v>19</v>
      </c>
      <c r="GV34" s="1098">
        <v>14</v>
      </c>
      <c r="GW34" s="1098">
        <v>21</v>
      </c>
      <c r="GX34" s="1098">
        <v>16</v>
      </c>
      <c r="GY34" s="1098">
        <v>24.5</v>
      </c>
      <c r="GZ34" s="1098">
        <v>30</v>
      </c>
      <c r="HA34" s="1097">
        <f t="shared" si="20"/>
        <v>226</v>
      </c>
      <c r="HB34" s="1098">
        <v>27</v>
      </c>
      <c r="HC34" s="1098">
        <v>31.5</v>
      </c>
      <c r="HD34" s="1098">
        <v>12</v>
      </c>
      <c r="HE34" s="1098">
        <v>4.75</v>
      </c>
      <c r="HF34" s="1098">
        <v>13.75</v>
      </c>
      <c r="HG34" s="1098">
        <v>23.75</v>
      </c>
      <c r="HH34" s="1098">
        <v>21.25</v>
      </c>
      <c r="HI34" s="1098">
        <v>15</v>
      </c>
      <c r="HJ34" s="1098">
        <v>15.649999999999999</v>
      </c>
      <c r="HK34" s="1098">
        <v>15.25</v>
      </c>
      <c r="HL34" s="1098">
        <v>23.25</v>
      </c>
      <c r="HM34" s="1098">
        <v>20.75</v>
      </c>
      <c r="HN34" s="1097">
        <f t="shared" si="21"/>
        <v>223.9</v>
      </c>
      <c r="HO34" s="1098">
        <v>20.75</v>
      </c>
      <c r="HP34" s="1098">
        <v>20.75</v>
      </c>
      <c r="HQ34" s="1098">
        <v>28.25</v>
      </c>
      <c r="HR34" s="1098">
        <v>23.25</v>
      </c>
      <c r="HS34" s="1098">
        <v>4.75</v>
      </c>
      <c r="HT34" s="1098">
        <v>24.72</v>
      </c>
      <c r="HU34" s="1098">
        <v>20.75</v>
      </c>
      <c r="HV34" s="1098">
        <v>9.25</v>
      </c>
      <c r="HW34" s="1098">
        <v>20.5</v>
      </c>
      <c r="HX34" s="1098">
        <v>25.25</v>
      </c>
      <c r="HY34" s="1098">
        <v>29.75</v>
      </c>
      <c r="HZ34" s="1098">
        <v>41.75</v>
      </c>
      <c r="IA34" s="1097">
        <f t="shared" si="22"/>
        <v>269.72000000000003</v>
      </c>
      <c r="IB34" s="1098">
        <v>30</v>
      </c>
      <c r="IC34" s="1098">
        <v>22.25</v>
      </c>
      <c r="ID34" s="1098">
        <v>22.25</v>
      </c>
      <c r="IE34" s="1098">
        <v>23.75</v>
      </c>
      <c r="IF34" s="1098">
        <v>39.75</v>
      </c>
      <c r="IG34" s="1098">
        <v>15.75</v>
      </c>
      <c r="IH34" s="1098">
        <v>14.75</v>
      </c>
      <c r="II34" s="1098">
        <v>13.25</v>
      </c>
      <c r="IJ34" s="1098">
        <v>26.25</v>
      </c>
      <c r="IK34" s="1098">
        <v>26.75</v>
      </c>
      <c r="IL34" s="1098">
        <v>26.25</v>
      </c>
      <c r="IM34" s="1098">
        <v>32</v>
      </c>
      <c r="IN34" s="1097">
        <f t="shared" si="23"/>
        <v>293</v>
      </c>
      <c r="IO34" s="1098">
        <v>21.7</v>
      </c>
      <c r="IP34" s="1098">
        <v>8.0500000000000007</v>
      </c>
      <c r="IQ34" s="1098">
        <v>7.9</v>
      </c>
      <c r="IR34" s="1098">
        <v>4.75</v>
      </c>
      <c r="IS34" s="1098">
        <v>4.75</v>
      </c>
      <c r="IT34" s="1098">
        <v>20.399999999999999</v>
      </c>
      <c r="IU34" s="1098">
        <v>16.7</v>
      </c>
      <c r="IV34" s="1098">
        <v>12.6</v>
      </c>
      <c r="IW34" s="1098"/>
      <c r="IX34" s="1098"/>
      <c r="IY34" s="1098"/>
      <c r="IZ34" s="1098"/>
      <c r="JA34" s="1097">
        <f t="shared" si="24"/>
        <v>96.85</v>
      </c>
      <c r="JB34" s="1098">
        <v>10.5</v>
      </c>
      <c r="JC34" s="1098">
        <v>25</v>
      </c>
      <c r="JD34" s="1098">
        <v>25</v>
      </c>
      <c r="JE34" s="1098">
        <v>6</v>
      </c>
      <c r="JF34" s="1098">
        <v>4.5</v>
      </c>
      <c r="JG34" s="1098">
        <v>15.8</v>
      </c>
      <c r="JH34" s="1098"/>
      <c r="JI34" s="1098"/>
      <c r="JJ34" s="1098"/>
      <c r="JK34" s="1098"/>
      <c r="JL34" s="1098"/>
      <c r="JM34" s="1098"/>
      <c r="JN34" s="1097">
        <f t="shared" si="25"/>
        <v>86.8</v>
      </c>
      <c r="JO34" s="1266"/>
      <c r="JP34" s="1116">
        <f t="shared" si="28"/>
        <v>26.315789473684205</v>
      </c>
      <c r="JQ34" s="1117">
        <f t="shared" si="29"/>
        <v>56.839622641509436</v>
      </c>
      <c r="JR34" s="1079">
        <f t="shared" si="30"/>
        <v>42.4</v>
      </c>
      <c r="JS34" s="1118">
        <f t="shared" si="31"/>
        <v>66.5</v>
      </c>
      <c r="JU34" s="1079">
        <f t="shared" si="26"/>
        <v>7598.84</v>
      </c>
      <c r="JV34" s="1080" t="s">
        <v>143</v>
      </c>
      <c r="JW34" s="1081" t="str">
        <f t="shared" si="27"/>
        <v>OK</v>
      </c>
    </row>
    <row r="35" spans="1:283" ht="15" customHeight="1" x14ac:dyDescent="0.2">
      <c r="A35" s="1261" t="s">
        <v>571</v>
      </c>
      <c r="B35" s="1098"/>
      <c r="C35" s="1098"/>
      <c r="D35" s="1098"/>
      <c r="E35" s="1098"/>
      <c r="F35" s="1098"/>
      <c r="G35" s="1098"/>
      <c r="H35" s="1098">
        <v>4</v>
      </c>
      <c r="I35" s="1098"/>
      <c r="J35" s="1098"/>
      <c r="K35" s="1098"/>
      <c r="L35" s="1098"/>
      <c r="M35" s="1098"/>
      <c r="N35" s="1097">
        <f t="shared" si="5"/>
        <v>4</v>
      </c>
      <c r="O35" s="1098">
        <v>4</v>
      </c>
      <c r="P35" s="1098">
        <v>1</v>
      </c>
      <c r="Q35" s="1098"/>
      <c r="R35" s="1098"/>
      <c r="S35" s="1098"/>
      <c r="T35" s="1098"/>
      <c r="U35" s="1098"/>
      <c r="V35" s="1098"/>
      <c r="W35" s="1098"/>
      <c r="X35" s="1098"/>
      <c r="Y35" s="1098"/>
      <c r="Z35" s="1098">
        <v>1</v>
      </c>
      <c r="AA35" s="1097">
        <f t="shared" si="6"/>
        <v>6</v>
      </c>
      <c r="AB35" s="1098"/>
      <c r="AC35" s="1098">
        <v>2</v>
      </c>
      <c r="AD35" s="1098">
        <v>10</v>
      </c>
      <c r="AE35" s="1098">
        <v>2</v>
      </c>
      <c r="AF35" s="1098"/>
      <c r="AG35" s="1098">
        <v>11</v>
      </c>
      <c r="AH35" s="1098">
        <v>7</v>
      </c>
      <c r="AI35" s="1098">
        <v>5</v>
      </c>
      <c r="AJ35" s="1098">
        <v>8</v>
      </c>
      <c r="AK35" s="1098">
        <v>6</v>
      </c>
      <c r="AL35" s="1098">
        <v>2</v>
      </c>
      <c r="AM35" s="1098"/>
      <c r="AN35" s="1097">
        <f t="shared" si="7"/>
        <v>53</v>
      </c>
      <c r="AO35" s="1098"/>
      <c r="AP35" s="1098"/>
      <c r="AQ35" s="1098"/>
      <c r="AR35" s="1098"/>
      <c r="AS35" s="1098"/>
      <c r="AT35" s="1098">
        <v>8</v>
      </c>
      <c r="AU35" s="1098"/>
      <c r="AV35" s="1098"/>
      <c r="AW35" s="1098"/>
      <c r="AX35" s="1098"/>
      <c r="AY35" s="1098"/>
      <c r="AZ35" s="1098"/>
      <c r="BA35" s="1097">
        <f t="shared" si="8"/>
        <v>8</v>
      </c>
      <c r="BB35" s="1098"/>
      <c r="BC35" s="1098"/>
      <c r="BD35" s="1098"/>
      <c r="BE35" s="1098"/>
      <c r="BF35" s="1098"/>
      <c r="BG35" s="1098"/>
      <c r="BH35" s="1098"/>
      <c r="BI35" s="1098"/>
      <c r="BJ35" s="1098"/>
      <c r="BK35" s="1098"/>
      <c r="BL35" s="1098"/>
      <c r="BM35" s="1098"/>
      <c r="BN35" s="1097">
        <f t="shared" si="9"/>
        <v>0</v>
      </c>
      <c r="BO35" s="1098"/>
      <c r="BP35" s="1098"/>
      <c r="BQ35" s="1098"/>
      <c r="BR35" s="1098"/>
      <c r="BS35" s="1098"/>
      <c r="BT35" s="1098"/>
      <c r="BU35" s="1098"/>
      <c r="BV35" s="1098"/>
      <c r="BW35" s="1098"/>
      <c r="BX35" s="1098"/>
      <c r="BY35" s="1098"/>
      <c r="BZ35" s="1098"/>
      <c r="CA35" s="1097">
        <f t="shared" si="10"/>
        <v>0</v>
      </c>
      <c r="CB35" s="1098"/>
      <c r="CC35" s="1098"/>
      <c r="CD35" s="1098"/>
      <c r="CE35" s="1098"/>
      <c r="CF35" s="1098"/>
      <c r="CG35" s="1098"/>
      <c r="CH35" s="1098"/>
      <c r="CI35" s="1098"/>
      <c r="CJ35" s="1098"/>
      <c r="CK35" s="1098"/>
      <c r="CL35" s="1098"/>
      <c r="CM35" s="1098"/>
      <c r="CN35" s="1097">
        <f t="shared" si="11"/>
        <v>0</v>
      </c>
      <c r="CO35" s="1098"/>
      <c r="CP35" s="1098"/>
      <c r="CQ35" s="1098"/>
      <c r="CR35" s="1098"/>
      <c r="CS35" s="1098"/>
      <c r="CT35" s="1098"/>
      <c r="CU35" s="1098"/>
      <c r="CV35" s="1098"/>
      <c r="CW35" s="1098"/>
      <c r="CX35" s="1098"/>
      <c r="CY35" s="1098"/>
      <c r="CZ35" s="1098"/>
      <c r="DA35" s="1097">
        <f t="shared" si="12"/>
        <v>0</v>
      </c>
      <c r="DB35" s="1098"/>
      <c r="DC35" s="1098"/>
      <c r="DD35" s="1098"/>
      <c r="DE35" s="1098"/>
      <c r="DF35" s="1098"/>
      <c r="DG35" s="1098"/>
      <c r="DH35" s="1098"/>
      <c r="DI35" s="1098">
        <v>1</v>
      </c>
      <c r="DJ35" s="1098"/>
      <c r="DK35" s="1098"/>
      <c r="DL35" s="1098"/>
      <c r="DM35" s="1098"/>
      <c r="DN35" s="1097">
        <f t="shared" si="13"/>
        <v>1</v>
      </c>
      <c r="DO35" s="1098"/>
      <c r="DP35" s="1098"/>
      <c r="DQ35" s="1098"/>
      <c r="DR35" s="1098"/>
      <c r="DS35" s="1098"/>
      <c r="DT35" s="1098"/>
      <c r="DU35" s="1098"/>
      <c r="DV35" s="1098"/>
      <c r="DW35" s="1098"/>
      <c r="DX35" s="1098"/>
      <c r="DY35" s="1098"/>
      <c r="DZ35" s="1098"/>
      <c r="EA35" s="1097">
        <f t="shared" si="14"/>
        <v>0</v>
      </c>
      <c r="EB35" s="1098"/>
      <c r="EC35" s="1098"/>
      <c r="ED35" s="1098"/>
      <c r="EE35" s="1098"/>
      <c r="EF35" s="1098"/>
      <c r="EG35" s="1098"/>
      <c r="EH35" s="1098"/>
      <c r="EI35" s="1098">
        <v>9</v>
      </c>
      <c r="EJ35" s="1098">
        <v>4</v>
      </c>
      <c r="EK35" s="1098"/>
      <c r="EL35" s="1098">
        <v>1</v>
      </c>
      <c r="EM35" s="1098"/>
      <c r="EN35" s="1097">
        <f t="shared" si="15"/>
        <v>14</v>
      </c>
      <c r="EO35" s="1098"/>
      <c r="EP35" s="1098"/>
      <c r="EQ35" s="1098">
        <v>11</v>
      </c>
      <c r="ER35" s="1098"/>
      <c r="ES35" s="1098"/>
      <c r="ET35" s="1098"/>
      <c r="EU35" s="1098">
        <v>1</v>
      </c>
      <c r="EV35" s="1098">
        <v>1</v>
      </c>
      <c r="EW35" s="1098"/>
      <c r="EX35" s="1098"/>
      <c r="EY35" s="1098">
        <v>1</v>
      </c>
      <c r="EZ35" s="1098"/>
      <c r="FA35" s="1097">
        <f t="shared" si="16"/>
        <v>14</v>
      </c>
      <c r="FB35" s="1098"/>
      <c r="FC35" s="1098"/>
      <c r="FD35" s="1098"/>
      <c r="FE35" s="1098"/>
      <c r="FF35" s="1098">
        <v>1</v>
      </c>
      <c r="FG35" s="1098">
        <v>2</v>
      </c>
      <c r="FH35" s="1098"/>
      <c r="FI35" s="1098">
        <v>1</v>
      </c>
      <c r="FJ35" s="1098"/>
      <c r="FK35" s="1098"/>
      <c r="FL35" s="1098"/>
      <c r="FM35" s="1098"/>
      <c r="FN35" s="1097">
        <f t="shared" si="17"/>
        <v>4</v>
      </c>
      <c r="FO35" s="1098"/>
      <c r="FP35" s="1098"/>
      <c r="FQ35" s="1098">
        <v>1</v>
      </c>
      <c r="FR35" s="1098"/>
      <c r="FS35" s="1098"/>
      <c r="FT35" s="1098">
        <v>1</v>
      </c>
      <c r="FU35" s="1098"/>
      <c r="FV35" s="1098"/>
      <c r="FW35" s="1098"/>
      <c r="FX35" s="1098"/>
      <c r="FY35" s="1098"/>
      <c r="FZ35" s="1098"/>
      <c r="GA35" s="1097">
        <f t="shared" si="18"/>
        <v>2</v>
      </c>
      <c r="GB35" s="1098"/>
      <c r="GC35" s="1098"/>
      <c r="GD35" s="1098"/>
      <c r="GE35" s="1098"/>
      <c r="GF35" s="1098"/>
      <c r="GG35" s="1098">
        <v>5</v>
      </c>
      <c r="GH35" s="1098">
        <v>1</v>
      </c>
      <c r="GI35" s="1098"/>
      <c r="GJ35" s="1098">
        <v>1</v>
      </c>
      <c r="GK35" s="1098"/>
      <c r="GL35" s="1098"/>
      <c r="GM35" s="1098"/>
      <c r="GN35" s="1097">
        <f t="shared" si="19"/>
        <v>7</v>
      </c>
      <c r="GO35" s="1098"/>
      <c r="GP35" s="1098"/>
      <c r="GQ35" s="1098">
        <v>3</v>
      </c>
      <c r="GR35" s="1098"/>
      <c r="GS35" s="1098"/>
      <c r="GT35" s="1098">
        <v>2</v>
      </c>
      <c r="GU35" s="1098"/>
      <c r="GV35" s="1098"/>
      <c r="GW35" s="1098"/>
      <c r="GX35" s="1098"/>
      <c r="GY35" s="1098"/>
      <c r="GZ35" s="1098"/>
      <c r="HA35" s="1097">
        <f t="shared" si="20"/>
        <v>5</v>
      </c>
      <c r="HB35" s="1098"/>
      <c r="HC35" s="1098"/>
      <c r="HD35" s="1098"/>
      <c r="HE35" s="1098"/>
      <c r="HF35" s="1098"/>
      <c r="HG35" s="1098"/>
      <c r="HH35" s="1098"/>
      <c r="HI35" s="1098"/>
      <c r="HJ35" s="1098"/>
      <c r="HK35" s="1098"/>
      <c r="HL35" s="1098"/>
      <c r="HM35" s="1098"/>
      <c r="HN35" s="1097">
        <f t="shared" si="21"/>
        <v>0</v>
      </c>
      <c r="HO35" s="1098"/>
      <c r="HP35" s="1098"/>
      <c r="HQ35" s="1098"/>
      <c r="HR35" s="1098"/>
      <c r="HS35" s="1098"/>
      <c r="HT35" s="1098"/>
      <c r="HU35" s="1098"/>
      <c r="HV35" s="1098"/>
      <c r="HW35" s="1098"/>
      <c r="HX35" s="1098"/>
      <c r="HY35" s="1098"/>
      <c r="HZ35" s="1098"/>
      <c r="IA35" s="1097">
        <f t="shared" si="22"/>
        <v>0</v>
      </c>
      <c r="IB35" s="1098"/>
      <c r="IC35" s="1098"/>
      <c r="ID35" s="1098"/>
      <c r="IE35" s="1098"/>
      <c r="IF35" s="1098"/>
      <c r="IG35" s="1098">
        <v>7</v>
      </c>
      <c r="IH35" s="1098"/>
      <c r="II35" s="1098"/>
      <c r="IJ35" s="1098"/>
      <c r="IK35" s="1098"/>
      <c r="IL35" s="1098"/>
      <c r="IM35" s="1098"/>
      <c r="IN35" s="1097">
        <f t="shared" si="23"/>
        <v>7</v>
      </c>
      <c r="IO35" s="1098"/>
      <c r="IP35" s="1098"/>
      <c r="IQ35" s="1098"/>
      <c r="IR35" s="1098"/>
      <c r="IS35" s="1098"/>
      <c r="IT35" s="1098"/>
      <c r="IU35" s="1098"/>
      <c r="IV35" s="1098"/>
      <c r="IW35" s="1098"/>
      <c r="IX35" s="1098"/>
      <c r="IY35" s="1098"/>
      <c r="IZ35" s="1098"/>
      <c r="JA35" s="1097">
        <f t="shared" si="24"/>
        <v>0</v>
      </c>
      <c r="JB35" s="1098"/>
      <c r="JC35" s="1098"/>
      <c r="JD35" s="1098"/>
      <c r="JE35" s="1098"/>
      <c r="JF35" s="1098"/>
      <c r="JG35" s="1098">
        <v>0</v>
      </c>
      <c r="JH35" s="1098"/>
      <c r="JI35" s="1098"/>
      <c r="JJ35" s="1098"/>
      <c r="JK35" s="1098"/>
      <c r="JL35" s="1098"/>
      <c r="JM35" s="1098"/>
      <c r="JN35" s="1097">
        <f t="shared" si="25"/>
        <v>0</v>
      </c>
      <c r="JO35" s="1266"/>
      <c r="JP35" s="1116" t="str">
        <f t="shared" si="28"/>
        <v/>
      </c>
      <c r="JQ35" s="1117" t="str">
        <f t="shared" si="29"/>
        <v/>
      </c>
      <c r="JR35" s="1079">
        <f t="shared" si="30"/>
        <v>0</v>
      </c>
      <c r="JS35" s="1118">
        <f t="shared" si="31"/>
        <v>0</v>
      </c>
      <c r="JU35" s="1079">
        <f t="shared" si="26"/>
        <v>242</v>
      </c>
      <c r="JV35" s="1080" t="s">
        <v>571</v>
      </c>
      <c r="JW35" s="1081" t="str">
        <f t="shared" si="27"/>
        <v>OK</v>
      </c>
    </row>
    <row r="36" spans="1:283" ht="15" customHeight="1" x14ac:dyDescent="0.2">
      <c r="A36" s="1261" t="s">
        <v>136</v>
      </c>
      <c r="B36" s="1098">
        <v>634</v>
      </c>
      <c r="C36" s="1098">
        <v>531</v>
      </c>
      <c r="D36" s="1098">
        <v>572</v>
      </c>
      <c r="E36" s="1098">
        <v>427</v>
      </c>
      <c r="F36" s="1098">
        <v>336</v>
      </c>
      <c r="G36" s="1098">
        <v>407</v>
      </c>
      <c r="H36" s="1098">
        <v>445</v>
      </c>
      <c r="I36" s="1098">
        <v>424</v>
      </c>
      <c r="J36" s="1098">
        <v>456</v>
      </c>
      <c r="K36" s="1098">
        <v>398</v>
      </c>
      <c r="L36" s="1098">
        <v>462</v>
      </c>
      <c r="M36" s="1098">
        <v>438</v>
      </c>
      <c r="N36" s="1097">
        <f t="shared" si="5"/>
        <v>5530</v>
      </c>
      <c r="O36" s="1098">
        <v>569</v>
      </c>
      <c r="P36" s="1098">
        <v>500</v>
      </c>
      <c r="Q36" s="1098">
        <v>412</v>
      </c>
      <c r="R36" s="1098">
        <v>479</v>
      </c>
      <c r="S36" s="1098">
        <v>401</v>
      </c>
      <c r="T36" s="1098">
        <v>409</v>
      </c>
      <c r="U36" s="1098">
        <v>260</v>
      </c>
      <c r="V36" s="1098">
        <v>435</v>
      </c>
      <c r="W36" s="1098">
        <v>643</v>
      </c>
      <c r="X36" s="1098">
        <v>705</v>
      </c>
      <c r="Y36" s="1098">
        <v>834</v>
      </c>
      <c r="Z36" s="1098">
        <v>671</v>
      </c>
      <c r="AA36" s="1097">
        <f t="shared" si="6"/>
        <v>6318</v>
      </c>
      <c r="AB36" s="1098">
        <v>604</v>
      </c>
      <c r="AC36" s="1098">
        <v>609</v>
      </c>
      <c r="AD36" s="1098">
        <v>568</v>
      </c>
      <c r="AE36" s="1098">
        <v>639</v>
      </c>
      <c r="AF36" s="1098">
        <v>564</v>
      </c>
      <c r="AG36" s="1098">
        <v>540</v>
      </c>
      <c r="AH36" s="1098">
        <v>406</v>
      </c>
      <c r="AI36" s="1098">
        <v>413</v>
      </c>
      <c r="AJ36" s="1098">
        <v>480</v>
      </c>
      <c r="AK36" s="1098">
        <v>539</v>
      </c>
      <c r="AL36" s="1098">
        <v>766</v>
      </c>
      <c r="AM36" s="1098">
        <v>571</v>
      </c>
      <c r="AN36" s="1097">
        <f t="shared" si="7"/>
        <v>6699</v>
      </c>
      <c r="AO36" s="1098">
        <v>505</v>
      </c>
      <c r="AP36" s="1098">
        <v>488</v>
      </c>
      <c r="AQ36" s="1098">
        <v>503</v>
      </c>
      <c r="AR36" s="1098">
        <v>466</v>
      </c>
      <c r="AS36" s="1098">
        <v>406</v>
      </c>
      <c r="AT36" s="1098">
        <v>454</v>
      </c>
      <c r="AU36" s="1098">
        <v>448</v>
      </c>
      <c r="AV36" s="1098">
        <v>415</v>
      </c>
      <c r="AW36" s="1098">
        <v>437</v>
      </c>
      <c r="AX36" s="1098">
        <v>452</v>
      </c>
      <c r="AY36" s="1098">
        <v>478</v>
      </c>
      <c r="AZ36" s="1098">
        <v>532</v>
      </c>
      <c r="BA36" s="1097">
        <f t="shared" si="8"/>
        <v>5584</v>
      </c>
      <c r="BB36" s="1098">
        <v>745</v>
      </c>
      <c r="BC36" s="1098">
        <v>742.5</v>
      </c>
      <c r="BD36" s="1098">
        <v>740</v>
      </c>
      <c r="BE36" s="1098">
        <v>506</v>
      </c>
      <c r="BF36" s="1098">
        <v>453</v>
      </c>
      <c r="BG36" s="1098">
        <v>384</v>
      </c>
      <c r="BH36" s="1098">
        <v>498</v>
      </c>
      <c r="BI36" s="1098">
        <v>660</v>
      </c>
      <c r="BJ36" s="1098">
        <v>618</v>
      </c>
      <c r="BK36" s="1098">
        <v>632</v>
      </c>
      <c r="BL36" s="1098">
        <v>895</v>
      </c>
      <c r="BM36" s="1098">
        <v>782</v>
      </c>
      <c r="BN36" s="1097">
        <f t="shared" si="9"/>
        <v>7655.5</v>
      </c>
      <c r="BO36" s="1098">
        <v>960</v>
      </c>
      <c r="BP36" s="1098">
        <v>753</v>
      </c>
      <c r="BQ36" s="1098">
        <v>662.5</v>
      </c>
      <c r="BR36" s="1098">
        <v>552</v>
      </c>
      <c r="BS36" s="1098">
        <v>444</v>
      </c>
      <c r="BT36" s="1098">
        <v>493</v>
      </c>
      <c r="BU36" s="1098">
        <v>585</v>
      </c>
      <c r="BV36" s="1098">
        <v>532</v>
      </c>
      <c r="BW36" s="1098">
        <v>788</v>
      </c>
      <c r="BX36" s="1098">
        <v>778</v>
      </c>
      <c r="BY36" s="1098">
        <v>696</v>
      </c>
      <c r="BZ36" s="1098">
        <v>692</v>
      </c>
      <c r="CA36" s="1097">
        <f t="shared" si="10"/>
        <v>7935.5</v>
      </c>
      <c r="CB36" s="1098">
        <v>951</v>
      </c>
      <c r="CC36" s="1098">
        <v>718</v>
      </c>
      <c r="CD36" s="1098">
        <v>736</v>
      </c>
      <c r="CE36" s="1098">
        <v>597</v>
      </c>
      <c r="CF36" s="1098">
        <v>628</v>
      </c>
      <c r="CG36" s="1098">
        <v>598</v>
      </c>
      <c r="CH36" s="1098">
        <v>501</v>
      </c>
      <c r="CI36" s="1098">
        <v>510</v>
      </c>
      <c r="CJ36" s="1098">
        <v>641</v>
      </c>
      <c r="CK36" s="1098">
        <v>694</v>
      </c>
      <c r="CL36" s="1098">
        <v>830</v>
      </c>
      <c r="CM36" s="1098">
        <v>892</v>
      </c>
      <c r="CN36" s="1097">
        <f t="shared" si="11"/>
        <v>8296</v>
      </c>
      <c r="CO36" s="1098">
        <v>801</v>
      </c>
      <c r="CP36" s="1098">
        <v>677</v>
      </c>
      <c r="CQ36" s="1098">
        <v>722</v>
      </c>
      <c r="CR36" s="1098">
        <v>568</v>
      </c>
      <c r="CS36" s="1098">
        <v>594</v>
      </c>
      <c r="CT36" s="1098">
        <v>578</v>
      </c>
      <c r="CU36" s="1098">
        <v>536</v>
      </c>
      <c r="CV36" s="1098">
        <v>545</v>
      </c>
      <c r="CW36" s="1098">
        <v>581</v>
      </c>
      <c r="CX36" s="1098">
        <v>581</v>
      </c>
      <c r="CY36" s="1098">
        <v>664</v>
      </c>
      <c r="CZ36" s="1098">
        <v>699</v>
      </c>
      <c r="DA36" s="1097">
        <f t="shared" si="12"/>
        <v>7546</v>
      </c>
      <c r="DB36" s="1098">
        <v>761</v>
      </c>
      <c r="DC36" s="1098">
        <v>694</v>
      </c>
      <c r="DD36" s="1098">
        <v>610</v>
      </c>
      <c r="DE36" s="1098">
        <v>552</v>
      </c>
      <c r="DF36" s="1098">
        <v>559</v>
      </c>
      <c r="DG36" s="1098">
        <v>522</v>
      </c>
      <c r="DH36" s="1098">
        <v>565</v>
      </c>
      <c r="DI36" s="1098">
        <v>558</v>
      </c>
      <c r="DJ36" s="1098">
        <v>625</v>
      </c>
      <c r="DK36" s="1098">
        <v>679</v>
      </c>
      <c r="DL36" s="1098">
        <v>792</v>
      </c>
      <c r="DM36" s="1098"/>
      <c r="DN36" s="1097">
        <f t="shared" si="13"/>
        <v>6917</v>
      </c>
      <c r="DO36" s="1098"/>
      <c r="DP36" s="1098"/>
      <c r="DQ36" s="1098"/>
      <c r="DR36" s="1098"/>
      <c r="DS36" s="1098"/>
      <c r="DT36" s="1098"/>
      <c r="DU36" s="1098"/>
      <c r="DV36" s="1098"/>
      <c r="DW36" s="1098"/>
      <c r="DX36" s="1098"/>
      <c r="DY36" s="1098">
        <v>641</v>
      </c>
      <c r="DZ36" s="1098"/>
      <c r="EA36" s="1097">
        <f t="shared" si="14"/>
        <v>641</v>
      </c>
      <c r="EB36" s="1098">
        <v>654</v>
      </c>
      <c r="EC36" s="1098">
        <v>828</v>
      </c>
      <c r="ED36" s="1098">
        <v>614</v>
      </c>
      <c r="EE36" s="1098">
        <v>589</v>
      </c>
      <c r="EF36" s="1098">
        <v>497</v>
      </c>
      <c r="EG36" s="1098">
        <v>573</v>
      </c>
      <c r="EH36" s="1098">
        <v>492</v>
      </c>
      <c r="EI36" s="1098">
        <v>553</v>
      </c>
      <c r="EJ36" s="1098">
        <v>521</v>
      </c>
      <c r="EK36" s="1098">
        <v>627</v>
      </c>
      <c r="EL36" s="1098">
        <v>589</v>
      </c>
      <c r="EM36" s="1098">
        <v>584</v>
      </c>
      <c r="EN36" s="1097">
        <f t="shared" si="15"/>
        <v>7121</v>
      </c>
      <c r="EO36" s="1098">
        <v>556</v>
      </c>
      <c r="EP36" s="1098">
        <v>547</v>
      </c>
      <c r="EQ36" s="1098">
        <v>528</v>
      </c>
      <c r="ER36" s="1098">
        <v>470</v>
      </c>
      <c r="ES36" s="1098">
        <v>414</v>
      </c>
      <c r="ET36" s="1098">
        <v>446</v>
      </c>
      <c r="EU36" s="1098">
        <v>437</v>
      </c>
      <c r="EV36" s="1098">
        <v>480</v>
      </c>
      <c r="EW36" s="1098">
        <v>507</v>
      </c>
      <c r="EX36" s="1098">
        <v>558</v>
      </c>
      <c r="EY36" s="1098">
        <v>452</v>
      </c>
      <c r="EZ36" s="1098">
        <v>424</v>
      </c>
      <c r="FA36" s="1097">
        <f t="shared" si="16"/>
        <v>5819</v>
      </c>
      <c r="FB36" s="1098">
        <v>599</v>
      </c>
      <c r="FC36" s="1098">
        <v>480</v>
      </c>
      <c r="FD36" s="1098">
        <v>414</v>
      </c>
      <c r="FE36" s="1098">
        <v>525</v>
      </c>
      <c r="FF36" s="1098">
        <v>415</v>
      </c>
      <c r="FG36" s="1098">
        <v>401</v>
      </c>
      <c r="FH36" s="1098">
        <v>419</v>
      </c>
      <c r="FI36" s="1098">
        <v>465</v>
      </c>
      <c r="FJ36" s="1098">
        <v>405</v>
      </c>
      <c r="FK36" s="1098">
        <v>434</v>
      </c>
      <c r="FL36" s="1098">
        <v>493</v>
      </c>
      <c r="FM36" s="1098">
        <v>416</v>
      </c>
      <c r="FN36" s="1097">
        <f t="shared" si="17"/>
        <v>5466</v>
      </c>
      <c r="FO36" s="1098">
        <v>556</v>
      </c>
      <c r="FP36" s="1098">
        <v>485</v>
      </c>
      <c r="FQ36" s="1098">
        <v>435</v>
      </c>
      <c r="FR36" s="1098">
        <v>495</v>
      </c>
      <c r="FS36" s="1098">
        <v>458</v>
      </c>
      <c r="FT36" s="1098">
        <v>489</v>
      </c>
      <c r="FU36" s="1098">
        <v>509</v>
      </c>
      <c r="FV36" s="1098">
        <v>446</v>
      </c>
      <c r="FW36" s="1098">
        <v>432</v>
      </c>
      <c r="FX36" s="1098">
        <v>431</v>
      </c>
      <c r="FY36" s="1098">
        <v>495</v>
      </c>
      <c r="FZ36" s="1098">
        <v>454</v>
      </c>
      <c r="GA36" s="1097">
        <f t="shared" si="18"/>
        <v>5685</v>
      </c>
      <c r="GB36" s="1098">
        <v>488</v>
      </c>
      <c r="GC36" s="1098">
        <v>492</v>
      </c>
      <c r="GD36" s="1098">
        <v>440</v>
      </c>
      <c r="GE36" s="1098">
        <v>452</v>
      </c>
      <c r="GF36" s="1098">
        <v>408</v>
      </c>
      <c r="GG36" s="1098">
        <v>423</v>
      </c>
      <c r="GH36" s="1098">
        <v>482</v>
      </c>
      <c r="GI36" s="1098">
        <v>459</v>
      </c>
      <c r="GJ36" s="1098">
        <v>456</v>
      </c>
      <c r="GK36" s="1098">
        <v>585</v>
      </c>
      <c r="GL36" s="1098">
        <v>597</v>
      </c>
      <c r="GM36" s="1098">
        <v>642</v>
      </c>
      <c r="GN36" s="1097">
        <f t="shared" si="19"/>
        <v>5924</v>
      </c>
      <c r="GO36" s="1098">
        <v>492</v>
      </c>
      <c r="GP36" s="1098">
        <v>582</v>
      </c>
      <c r="GQ36" s="1098">
        <v>497</v>
      </c>
      <c r="GR36" s="1098">
        <v>516.5</v>
      </c>
      <c r="GS36" s="1098">
        <v>413</v>
      </c>
      <c r="GT36" s="1098">
        <v>365</v>
      </c>
      <c r="GU36" s="1098">
        <v>447.5</v>
      </c>
      <c r="GV36" s="1098">
        <v>447</v>
      </c>
      <c r="GW36" s="1098">
        <v>472</v>
      </c>
      <c r="GX36" s="1098">
        <v>677</v>
      </c>
      <c r="GY36" s="1098">
        <v>655</v>
      </c>
      <c r="GZ36" s="1098">
        <v>734</v>
      </c>
      <c r="HA36" s="1097">
        <f t="shared" si="20"/>
        <v>6298</v>
      </c>
      <c r="HB36" s="1098">
        <v>596.5</v>
      </c>
      <c r="HC36" s="1098">
        <v>658</v>
      </c>
      <c r="HD36" s="1098">
        <v>526</v>
      </c>
      <c r="HE36" s="1098">
        <v>505</v>
      </c>
      <c r="HF36" s="1098">
        <v>479</v>
      </c>
      <c r="HG36" s="1098">
        <v>411.5</v>
      </c>
      <c r="HH36" s="1098">
        <v>435.5</v>
      </c>
      <c r="HI36" s="1098">
        <v>475</v>
      </c>
      <c r="HJ36" s="1098">
        <v>520</v>
      </c>
      <c r="HK36" s="1098">
        <v>632.4</v>
      </c>
      <c r="HL36" s="1098">
        <v>664</v>
      </c>
      <c r="HM36" s="1098">
        <v>589</v>
      </c>
      <c r="HN36" s="1097">
        <f t="shared" si="21"/>
        <v>6491.9</v>
      </c>
      <c r="HO36" s="1098">
        <v>463</v>
      </c>
      <c r="HP36" s="1098">
        <v>554</v>
      </c>
      <c r="HQ36" s="1098">
        <v>727.5</v>
      </c>
      <c r="HR36" s="1098">
        <v>664</v>
      </c>
      <c r="HS36" s="1098">
        <v>566</v>
      </c>
      <c r="HT36" s="1098">
        <v>511</v>
      </c>
      <c r="HU36" s="1098">
        <v>531</v>
      </c>
      <c r="HV36" s="1098">
        <v>758</v>
      </c>
      <c r="HW36" s="1098">
        <v>789</v>
      </c>
      <c r="HX36" s="1098">
        <v>760.5</v>
      </c>
      <c r="HY36" s="1098">
        <v>811</v>
      </c>
      <c r="HZ36" s="1098">
        <v>591.5</v>
      </c>
      <c r="IA36" s="1097">
        <f t="shared" si="22"/>
        <v>7726.5</v>
      </c>
      <c r="IB36" s="1098">
        <v>758</v>
      </c>
      <c r="IC36" s="1098">
        <v>705.5</v>
      </c>
      <c r="ID36" s="1098">
        <v>705.5</v>
      </c>
      <c r="IE36" s="1098">
        <v>713</v>
      </c>
      <c r="IF36" s="1098">
        <v>611.5</v>
      </c>
      <c r="IG36" s="1098">
        <v>507</v>
      </c>
      <c r="IH36" s="1098">
        <v>580</v>
      </c>
      <c r="II36" s="1098">
        <v>547</v>
      </c>
      <c r="IJ36" s="1098">
        <v>528</v>
      </c>
      <c r="IK36" s="1098">
        <v>449</v>
      </c>
      <c r="IL36" s="1098">
        <v>488</v>
      </c>
      <c r="IM36" s="1098">
        <v>519</v>
      </c>
      <c r="IN36" s="1097">
        <f t="shared" si="23"/>
        <v>7111.5</v>
      </c>
      <c r="IO36" s="1098">
        <v>388.5</v>
      </c>
      <c r="IP36" s="1098">
        <v>324</v>
      </c>
      <c r="IQ36" s="1098">
        <v>531</v>
      </c>
      <c r="IR36" s="1098">
        <v>567</v>
      </c>
      <c r="IS36" s="1098">
        <v>527</v>
      </c>
      <c r="IT36" s="1098">
        <v>584</v>
      </c>
      <c r="IU36" s="1098">
        <v>583</v>
      </c>
      <c r="IV36" s="1098">
        <v>580</v>
      </c>
      <c r="IW36" s="1098">
        <v>559</v>
      </c>
      <c r="IX36" s="1098">
        <v>319</v>
      </c>
      <c r="IY36" s="1098">
        <v>528.5</v>
      </c>
      <c r="IZ36" s="1098">
        <v>552</v>
      </c>
      <c r="JA36" s="1097">
        <f t="shared" si="24"/>
        <v>6043</v>
      </c>
      <c r="JB36" s="1098">
        <v>580</v>
      </c>
      <c r="JC36" s="1098">
        <v>508</v>
      </c>
      <c r="JD36" s="1098">
        <v>500</v>
      </c>
      <c r="JE36" s="1098">
        <v>576.5</v>
      </c>
      <c r="JF36" s="1098">
        <v>652</v>
      </c>
      <c r="JG36" s="1098">
        <v>510</v>
      </c>
      <c r="JH36" s="1098"/>
      <c r="JI36" s="1098"/>
      <c r="JJ36" s="1098"/>
      <c r="JK36" s="1098"/>
      <c r="JL36" s="1098"/>
      <c r="JM36" s="1098"/>
      <c r="JN36" s="1097">
        <f t="shared" si="25"/>
        <v>3326.5</v>
      </c>
      <c r="JO36" s="1266"/>
      <c r="JP36" s="1116">
        <f t="shared" si="28"/>
        <v>1.6754850088183337</v>
      </c>
      <c r="JQ36" s="1117">
        <f t="shared" si="29"/>
        <v>19.552609776304884</v>
      </c>
      <c r="JR36" s="1079">
        <f t="shared" si="30"/>
        <v>1810.5</v>
      </c>
      <c r="JS36" s="1118">
        <f t="shared" si="31"/>
        <v>2164.5</v>
      </c>
      <c r="JU36" s="1079">
        <f t="shared" si="26"/>
        <v>249208.8</v>
      </c>
      <c r="JV36" s="1080" t="s">
        <v>136</v>
      </c>
      <c r="JW36" s="1081" t="str">
        <f t="shared" si="27"/>
        <v>OK</v>
      </c>
    </row>
    <row r="37" spans="1:283" ht="15" customHeight="1" x14ac:dyDescent="0.2">
      <c r="A37" s="1264" t="s">
        <v>572</v>
      </c>
      <c r="B37" s="1098">
        <v>38</v>
      </c>
      <c r="C37" s="1098">
        <v>8</v>
      </c>
      <c r="D37" s="1098">
        <v>4</v>
      </c>
      <c r="E37" s="1098">
        <v>8</v>
      </c>
      <c r="F37" s="1098">
        <v>6</v>
      </c>
      <c r="G37" s="1098"/>
      <c r="H37" s="1098">
        <v>4</v>
      </c>
      <c r="I37" s="1098">
        <v>6</v>
      </c>
      <c r="J37" s="1098">
        <v>4</v>
      </c>
      <c r="K37" s="1098">
        <v>6</v>
      </c>
      <c r="L37" s="1098"/>
      <c r="M37" s="1098">
        <v>5</v>
      </c>
      <c r="N37" s="1097">
        <f t="shared" si="5"/>
        <v>89</v>
      </c>
      <c r="O37" s="1098">
        <v>5</v>
      </c>
      <c r="P37" s="1098">
        <v>6</v>
      </c>
      <c r="Q37" s="1098">
        <v>4</v>
      </c>
      <c r="R37" s="1098">
        <v>3</v>
      </c>
      <c r="S37" s="1098"/>
      <c r="T37" s="1098">
        <v>5</v>
      </c>
      <c r="U37" s="1098">
        <v>5</v>
      </c>
      <c r="V37" s="1098">
        <v>5</v>
      </c>
      <c r="W37" s="1098">
        <v>4</v>
      </c>
      <c r="X37" s="1098">
        <v>8</v>
      </c>
      <c r="Y37" s="1098"/>
      <c r="Z37" s="1098"/>
      <c r="AA37" s="1097">
        <f t="shared" si="6"/>
        <v>45</v>
      </c>
      <c r="AB37" s="1098">
        <v>16</v>
      </c>
      <c r="AC37" s="1098">
        <v>16</v>
      </c>
      <c r="AD37" s="1098">
        <v>4</v>
      </c>
      <c r="AE37" s="1098"/>
      <c r="AF37" s="1098"/>
      <c r="AG37" s="1098">
        <v>10</v>
      </c>
      <c r="AH37" s="1098">
        <v>4</v>
      </c>
      <c r="AI37" s="1098">
        <v>16</v>
      </c>
      <c r="AJ37" s="1098"/>
      <c r="AK37" s="1098"/>
      <c r="AL37" s="1098">
        <v>25</v>
      </c>
      <c r="AM37" s="1098"/>
      <c r="AN37" s="1097">
        <f t="shared" si="7"/>
        <v>91</v>
      </c>
      <c r="AO37" s="1098"/>
      <c r="AP37" s="1098">
        <v>20</v>
      </c>
      <c r="AQ37" s="1098"/>
      <c r="AR37" s="1098">
        <v>20</v>
      </c>
      <c r="AS37" s="1098"/>
      <c r="AT37" s="1098">
        <v>20</v>
      </c>
      <c r="AU37" s="1098"/>
      <c r="AV37" s="1098"/>
      <c r="AW37" s="1098"/>
      <c r="AX37" s="1098"/>
      <c r="AY37" s="1098"/>
      <c r="AZ37" s="1098"/>
      <c r="BA37" s="1097">
        <f t="shared" si="8"/>
        <v>60</v>
      </c>
      <c r="BB37" s="1098"/>
      <c r="BC37" s="1098"/>
      <c r="BD37" s="1098"/>
      <c r="BE37" s="1098"/>
      <c r="BF37" s="1098">
        <v>6</v>
      </c>
      <c r="BG37" s="1098">
        <v>5</v>
      </c>
      <c r="BH37" s="1098">
        <v>24</v>
      </c>
      <c r="BI37" s="1098">
        <v>23</v>
      </c>
      <c r="BJ37" s="1098">
        <v>10</v>
      </c>
      <c r="BK37" s="1098"/>
      <c r="BL37" s="1098"/>
      <c r="BM37" s="1098">
        <v>10</v>
      </c>
      <c r="BN37" s="1097">
        <f t="shared" si="9"/>
        <v>78</v>
      </c>
      <c r="BO37" s="1098">
        <v>17</v>
      </c>
      <c r="BP37" s="1098">
        <v>8</v>
      </c>
      <c r="BQ37" s="1098">
        <v>10</v>
      </c>
      <c r="BR37" s="1098">
        <v>10</v>
      </c>
      <c r="BS37" s="1098">
        <v>1</v>
      </c>
      <c r="BT37" s="1098"/>
      <c r="BU37" s="1098">
        <v>7</v>
      </c>
      <c r="BV37" s="1098">
        <v>10</v>
      </c>
      <c r="BW37" s="1098">
        <v>5</v>
      </c>
      <c r="BX37" s="1098">
        <v>5</v>
      </c>
      <c r="BY37" s="1098">
        <v>5</v>
      </c>
      <c r="BZ37" s="1098">
        <v>5</v>
      </c>
      <c r="CA37" s="1097">
        <f t="shared" si="10"/>
        <v>83</v>
      </c>
      <c r="CB37" s="1098">
        <v>31</v>
      </c>
      <c r="CC37" s="1098">
        <v>13</v>
      </c>
      <c r="CD37" s="1098">
        <v>5</v>
      </c>
      <c r="CE37" s="1098">
        <v>10</v>
      </c>
      <c r="CF37" s="1098">
        <v>10</v>
      </c>
      <c r="CG37" s="1098">
        <v>5</v>
      </c>
      <c r="CH37" s="1098"/>
      <c r="CI37" s="1098"/>
      <c r="CJ37" s="1098"/>
      <c r="CK37" s="1098"/>
      <c r="CL37" s="1098">
        <v>10</v>
      </c>
      <c r="CM37" s="1098"/>
      <c r="CN37" s="1097">
        <f t="shared" si="11"/>
        <v>84</v>
      </c>
      <c r="CO37" s="1098">
        <v>4</v>
      </c>
      <c r="CP37" s="1098"/>
      <c r="CQ37" s="1098"/>
      <c r="CR37" s="1098">
        <v>5</v>
      </c>
      <c r="CS37" s="1098">
        <v>8</v>
      </c>
      <c r="CT37" s="1098"/>
      <c r="CU37" s="1098"/>
      <c r="CV37" s="1098"/>
      <c r="CW37" s="1098">
        <v>10</v>
      </c>
      <c r="CX37" s="1098"/>
      <c r="CY37" s="1098"/>
      <c r="CZ37" s="1098"/>
      <c r="DA37" s="1097">
        <f t="shared" si="12"/>
        <v>27</v>
      </c>
      <c r="DB37" s="1098"/>
      <c r="DC37" s="1098"/>
      <c r="DD37" s="1098">
        <v>6</v>
      </c>
      <c r="DE37" s="1098"/>
      <c r="DF37" s="1098">
        <v>2</v>
      </c>
      <c r="DG37" s="1098">
        <v>1</v>
      </c>
      <c r="DH37" s="1098">
        <v>6</v>
      </c>
      <c r="DI37" s="1098"/>
      <c r="DJ37" s="1098"/>
      <c r="DK37" s="1098"/>
      <c r="DL37" s="1098">
        <v>15</v>
      </c>
      <c r="DM37" s="1098"/>
      <c r="DN37" s="1097">
        <f t="shared" si="13"/>
        <v>30</v>
      </c>
      <c r="DO37" s="1098"/>
      <c r="DP37" s="1098"/>
      <c r="DQ37" s="1098"/>
      <c r="DR37" s="1098"/>
      <c r="DS37" s="1098"/>
      <c r="DT37" s="1098"/>
      <c r="DU37" s="1098"/>
      <c r="DV37" s="1098"/>
      <c r="DW37" s="1098"/>
      <c r="DX37" s="1098"/>
      <c r="DY37" s="1098">
        <v>8</v>
      </c>
      <c r="DZ37" s="1098"/>
      <c r="EA37" s="1097">
        <f t="shared" si="14"/>
        <v>8</v>
      </c>
      <c r="EB37" s="1098"/>
      <c r="EC37" s="1098">
        <v>15</v>
      </c>
      <c r="ED37" s="1098"/>
      <c r="EE37" s="1098"/>
      <c r="EF37" s="1098">
        <v>15</v>
      </c>
      <c r="EG37" s="1098">
        <v>15</v>
      </c>
      <c r="EH37" s="1098"/>
      <c r="EI37" s="1098"/>
      <c r="EJ37" s="1098">
        <v>30</v>
      </c>
      <c r="EK37" s="1098"/>
      <c r="EL37" s="1098"/>
      <c r="EM37" s="1098">
        <v>15</v>
      </c>
      <c r="EN37" s="1097">
        <f t="shared" si="15"/>
        <v>90</v>
      </c>
      <c r="EO37" s="1098"/>
      <c r="EP37" s="1098">
        <v>15</v>
      </c>
      <c r="EQ37" s="1098"/>
      <c r="ER37" s="1098">
        <v>15</v>
      </c>
      <c r="ES37" s="1098"/>
      <c r="ET37" s="1098">
        <v>16</v>
      </c>
      <c r="EU37" s="1098"/>
      <c r="EV37" s="1098">
        <v>15</v>
      </c>
      <c r="EW37" s="1098"/>
      <c r="EX37" s="1098">
        <v>15</v>
      </c>
      <c r="EY37" s="1098"/>
      <c r="EZ37" s="1098">
        <v>15</v>
      </c>
      <c r="FA37" s="1097">
        <f t="shared" si="16"/>
        <v>91</v>
      </c>
      <c r="FB37" s="1098"/>
      <c r="FC37" s="1098">
        <v>15</v>
      </c>
      <c r="FD37" s="1098"/>
      <c r="FE37" s="1098">
        <v>15</v>
      </c>
      <c r="FF37" s="1098"/>
      <c r="FG37" s="1098">
        <v>15</v>
      </c>
      <c r="FH37" s="1098"/>
      <c r="FI37" s="1098">
        <v>15</v>
      </c>
      <c r="FJ37" s="1098"/>
      <c r="FK37" s="1098">
        <v>10</v>
      </c>
      <c r="FL37" s="1098">
        <v>15</v>
      </c>
      <c r="FM37" s="1098"/>
      <c r="FN37" s="1097">
        <f t="shared" si="17"/>
        <v>85</v>
      </c>
      <c r="FO37" s="1098"/>
      <c r="FP37" s="1098">
        <v>15</v>
      </c>
      <c r="FQ37" s="1098"/>
      <c r="FR37" s="1098">
        <v>15</v>
      </c>
      <c r="FS37" s="1098"/>
      <c r="FT37" s="1098">
        <v>15</v>
      </c>
      <c r="FU37" s="1098"/>
      <c r="FV37" s="1098">
        <v>15</v>
      </c>
      <c r="FW37" s="1098"/>
      <c r="FX37" s="1098">
        <v>15</v>
      </c>
      <c r="FY37" s="1098"/>
      <c r="FZ37" s="1098">
        <v>15</v>
      </c>
      <c r="GA37" s="1097">
        <f t="shared" si="18"/>
        <v>90</v>
      </c>
      <c r="GB37" s="1098"/>
      <c r="GC37" s="1098">
        <v>15</v>
      </c>
      <c r="GD37" s="1098">
        <v>15</v>
      </c>
      <c r="GE37" s="1098"/>
      <c r="GF37" s="1098"/>
      <c r="GG37" s="1098">
        <v>15</v>
      </c>
      <c r="GH37" s="1098"/>
      <c r="GI37" s="1098">
        <v>15</v>
      </c>
      <c r="GJ37" s="1098"/>
      <c r="GK37" s="1098">
        <v>15</v>
      </c>
      <c r="GL37" s="1098"/>
      <c r="GM37" s="1098">
        <v>15</v>
      </c>
      <c r="GN37" s="1097">
        <f t="shared" si="19"/>
        <v>90</v>
      </c>
      <c r="GO37" s="1098"/>
      <c r="GP37" s="1098">
        <v>15</v>
      </c>
      <c r="GQ37" s="1098"/>
      <c r="GR37" s="1098">
        <v>15</v>
      </c>
      <c r="GS37" s="1098"/>
      <c r="GT37" s="1098">
        <v>15</v>
      </c>
      <c r="GU37" s="1098"/>
      <c r="GV37" s="1098">
        <v>15</v>
      </c>
      <c r="GW37" s="1098"/>
      <c r="GX37" s="1098">
        <v>15</v>
      </c>
      <c r="GY37" s="1098"/>
      <c r="GZ37" s="1098">
        <v>15</v>
      </c>
      <c r="HA37" s="1097">
        <f t="shared" si="20"/>
        <v>90</v>
      </c>
      <c r="HB37" s="1098"/>
      <c r="HC37" s="1098">
        <v>15</v>
      </c>
      <c r="HD37" s="1098"/>
      <c r="HE37" s="1098">
        <v>15</v>
      </c>
      <c r="HF37" s="1098"/>
      <c r="HG37" s="1098">
        <v>15</v>
      </c>
      <c r="HH37" s="1098"/>
      <c r="HI37" s="1098">
        <v>15</v>
      </c>
      <c r="HJ37" s="1098"/>
      <c r="HK37" s="1098">
        <v>15</v>
      </c>
      <c r="HL37" s="1098"/>
      <c r="HM37" s="1098">
        <v>15</v>
      </c>
      <c r="HN37" s="1097">
        <f t="shared" si="21"/>
        <v>90</v>
      </c>
      <c r="HO37" s="1098"/>
      <c r="HP37" s="1098"/>
      <c r="HQ37" s="1098"/>
      <c r="HR37" s="1098"/>
      <c r="HS37" s="1098"/>
      <c r="HT37" s="1098">
        <v>15</v>
      </c>
      <c r="HU37" s="1098"/>
      <c r="HV37" s="1098">
        <v>15</v>
      </c>
      <c r="HW37" s="1098"/>
      <c r="HX37" s="1098">
        <v>15</v>
      </c>
      <c r="HY37" s="1098"/>
      <c r="HZ37" s="1098">
        <v>15</v>
      </c>
      <c r="IA37" s="1097">
        <f t="shared" si="22"/>
        <v>60</v>
      </c>
      <c r="IB37" s="1098">
        <v>15</v>
      </c>
      <c r="IC37" s="1098">
        <v>15</v>
      </c>
      <c r="ID37" s="1098">
        <v>15</v>
      </c>
      <c r="IE37" s="1098">
        <v>14</v>
      </c>
      <c r="IF37" s="1098">
        <v>15</v>
      </c>
      <c r="IG37" s="1098">
        <v>15</v>
      </c>
      <c r="IH37" s="1098"/>
      <c r="II37" s="1098">
        <v>15</v>
      </c>
      <c r="IJ37" s="1098">
        <v>15</v>
      </c>
      <c r="IK37" s="1098">
        <v>15</v>
      </c>
      <c r="IL37" s="1098">
        <v>18</v>
      </c>
      <c r="IM37" s="1098">
        <v>35</v>
      </c>
      <c r="IN37" s="1097">
        <f t="shared" si="23"/>
        <v>187</v>
      </c>
      <c r="IO37" s="1098">
        <v>25</v>
      </c>
      <c r="IP37" s="1098">
        <v>35</v>
      </c>
      <c r="IQ37" s="1098"/>
      <c r="IR37" s="1098">
        <v>15</v>
      </c>
      <c r="IS37" s="1098">
        <v>15</v>
      </c>
      <c r="IT37" s="1098">
        <v>35</v>
      </c>
      <c r="IU37" s="1098"/>
      <c r="IV37" s="1098">
        <v>35</v>
      </c>
      <c r="IW37" s="1098"/>
      <c r="IX37" s="1098">
        <v>35</v>
      </c>
      <c r="IY37" s="1098"/>
      <c r="IZ37" s="1098">
        <v>35</v>
      </c>
      <c r="JA37" s="1097">
        <f t="shared" si="24"/>
        <v>230</v>
      </c>
      <c r="JB37" s="1098">
        <v>35</v>
      </c>
      <c r="JC37" s="1098">
        <v>35</v>
      </c>
      <c r="JD37" s="1098">
        <v>31</v>
      </c>
      <c r="JE37" s="1098"/>
      <c r="JF37" s="1098">
        <v>35</v>
      </c>
      <c r="JG37" s="1098">
        <v>35</v>
      </c>
      <c r="JH37" s="1098"/>
      <c r="JI37" s="1098"/>
      <c r="JJ37" s="1098"/>
      <c r="JK37" s="1098"/>
      <c r="JL37" s="1098"/>
      <c r="JM37" s="1098"/>
      <c r="JN37" s="1097">
        <f t="shared" si="25"/>
        <v>171</v>
      </c>
      <c r="JO37" s="1266"/>
      <c r="JP37" s="1116">
        <f t="shared" si="28"/>
        <v>-100</v>
      </c>
      <c r="JQ37" s="1117">
        <f t="shared" si="29"/>
        <v>34.666666666666671</v>
      </c>
      <c r="JR37" s="1079">
        <f t="shared" si="30"/>
        <v>75</v>
      </c>
      <c r="JS37" s="1118">
        <f t="shared" si="31"/>
        <v>101</v>
      </c>
      <c r="JU37" s="1079">
        <f t="shared" si="26"/>
        <v>3560</v>
      </c>
      <c r="JV37" s="1080" t="s">
        <v>572</v>
      </c>
      <c r="JW37" s="1081" t="str">
        <f t="shared" si="27"/>
        <v>OK</v>
      </c>
    </row>
    <row r="38" spans="1:283" s="35" customFormat="1" ht="15" customHeight="1" x14ac:dyDescent="0.2">
      <c r="A38" s="1262" t="s">
        <v>151</v>
      </c>
      <c r="B38" s="1099">
        <v>12</v>
      </c>
      <c r="C38" s="1099">
        <v>7</v>
      </c>
      <c r="D38" s="1099">
        <v>12</v>
      </c>
      <c r="E38" s="1099">
        <v>17</v>
      </c>
      <c r="F38" s="1099">
        <v>16</v>
      </c>
      <c r="G38" s="1099">
        <v>27</v>
      </c>
      <c r="H38" s="1099">
        <v>47</v>
      </c>
      <c r="I38" s="1099">
        <v>35</v>
      </c>
      <c r="J38" s="1099">
        <v>38</v>
      </c>
      <c r="K38" s="1099">
        <v>15</v>
      </c>
      <c r="L38" s="1099">
        <v>26</v>
      </c>
      <c r="M38" s="1099">
        <v>8</v>
      </c>
      <c r="N38" s="1100">
        <f t="shared" ref="N38" si="32">SUM(B38:M38)</f>
        <v>260</v>
      </c>
      <c r="O38" s="1099">
        <v>68</v>
      </c>
      <c r="P38" s="1099">
        <v>23</v>
      </c>
      <c r="Q38" s="1099">
        <v>8</v>
      </c>
      <c r="R38" s="1099">
        <v>19</v>
      </c>
      <c r="S38" s="1099">
        <v>30</v>
      </c>
      <c r="T38" s="1099">
        <v>51</v>
      </c>
      <c r="U38" s="1099">
        <v>22</v>
      </c>
      <c r="V38" s="1099">
        <v>95</v>
      </c>
      <c r="W38" s="1099">
        <v>32</v>
      </c>
      <c r="X38" s="1099">
        <v>58</v>
      </c>
      <c r="Y38" s="1099">
        <v>41</v>
      </c>
      <c r="Z38" s="1099">
        <v>15</v>
      </c>
      <c r="AA38" s="1100">
        <f t="shared" ref="AA38" si="33">SUM(O38:Z38)</f>
        <v>462</v>
      </c>
      <c r="AB38" s="1099">
        <v>3</v>
      </c>
      <c r="AC38" s="1099">
        <v>39</v>
      </c>
      <c r="AD38" s="1099">
        <v>57</v>
      </c>
      <c r="AE38" s="1099">
        <v>33</v>
      </c>
      <c r="AF38" s="1099">
        <v>70</v>
      </c>
      <c r="AG38" s="1099">
        <v>88</v>
      </c>
      <c r="AH38" s="1099">
        <v>24</v>
      </c>
      <c r="AI38" s="1099">
        <v>15</v>
      </c>
      <c r="AJ38" s="1099">
        <v>45</v>
      </c>
      <c r="AK38" s="1099">
        <v>36</v>
      </c>
      <c r="AL38" s="1099">
        <v>31</v>
      </c>
      <c r="AM38" s="1099">
        <v>14</v>
      </c>
      <c r="AN38" s="1100">
        <f t="shared" ref="AN38" si="34">SUM(AB38:AM38)</f>
        <v>455</v>
      </c>
      <c r="AO38" s="1099">
        <v>27</v>
      </c>
      <c r="AP38" s="1099">
        <v>21</v>
      </c>
      <c r="AQ38" s="1099">
        <v>46</v>
      </c>
      <c r="AR38" s="1099">
        <v>56</v>
      </c>
      <c r="AS38" s="1099">
        <v>19</v>
      </c>
      <c r="AT38" s="1099">
        <v>161</v>
      </c>
      <c r="AU38" s="1099">
        <v>91</v>
      </c>
      <c r="AV38" s="1099">
        <v>50</v>
      </c>
      <c r="AW38" s="1099">
        <v>74</v>
      </c>
      <c r="AX38" s="1099">
        <v>41</v>
      </c>
      <c r="AY38" s="1099">
        <v>35</v>
      </c>
      <c r="AZ38" s="1099">
        <v>39</v>
      </c>
      <c r="BA38" s="1100">
        <f t="shared" ref="BA38" si="35">SUM(AO38:AZ38)</f>
        <v>660</v>
      </c>
      <c r="BB38" s="1099">
        <v>35</v>
      </c>
      <c r="BC38" s="1099">
        <v>87</v>
      </c>
      <c r="BD38" s="1099">
        <v>56</v>
      </c>
      <c r="BE38" s="1099">
        <v>26</v>
      </c>
      <c r="BF38" s="1099">
        <v>29</v>
      </c>
      <c r="BG38" s="1099">
        <v>118</v>
      </c>
      <c r="BH38" s="1099">
        <v>73</v>
      </c>
      <c r="BI38" s="1099">
        <v>43</v>
      </c>
      <c r="BJ38" s="1099">
        <v>53</v>
      </c>
      <c r="BK38" s="1099">
        <v>65</v>
      </c>
      <c r="BL38" s="1099">
        <v>56</v>
      </c>
      <c r="BM38" s="1099">
        <v>55</v>
      </c>
      <c r="BN38" s="1100">
        <f t="shared" ref="BN38" si="36">SUM(BB38:BM38)</f>
        <v>696</v>
      </c>
      <c r="BO38" s="1099">
        <v>32</v>
      </c>
      <c r="BP38" s="1099">
        <v>32</v>
      </c>
      <c r="BQ38" s="1099">
        <v>38</v>
      </c>
      <c r="BR38" s="1099">
        <v>98</v>
      </c>
      <c r="BS38" s="1099">
        <v>86</v>
      </c>
      <c r="BT38" s="1099">
        <v>68.333333333333329</v>
      </c>
      <c r="BU38" s="1099">
        <v>57</v>
      </c>
      <c r="BV38" s="1099">
        <v>81</v>
      </c>
      <c r="BW38" s="1099">
        <v>137</v>
      </c>
      <c r="BX38" s="1099">
        <v>69</v>
      </c>
      <c r="BY38" s="1099">
        <v>48</v>
      </c>
      <c r="BZ38" s="1099">
        <v>31</v>
      </c>
      <c r="CA38" s="1100">
        <f t="shared" ref="CA38" si="37">SUM(BO38:BZ38)</f>
        <v>777.33333333333326</v>
      </c>
      <c r="CB38" s="1099">
        <v>346</v>
      </c>
      <c r="CC38" s="1099">
        <v>38</v>
      </c>
      <c r="CD38" s="1099">
        <v>49</v>
      </c>
      <c r="CE38" s="1099">
        <v>52</v>
      </c>
      <c r="CF38" s="1099">
        <v>57</v>
      </c>
      <c r="CG38" s="1099">
        <v>57</v>
      </c>
      <c r="CH38" s="1099">
        <v>41</v>
      </c>
      <c r="CI38" s="1099">
        <v>64</v>
      </c>
      <c r="CJ38" s="1099">
        <v>55</v>
      </c>
      <c r="CK38" s="1099">
        <v>64</v>
      </c>
      <c r="CL38" s="1099">
        <v>42</v>
      </c>
      <c r="CM38" s="1099">
        <v>49</v>
      </c>
      <c r="CN38" s="1100">
        <f t="shared" ref="CN38" si="38">SUM(CB38:CM38)</f>
        <v>914</v>
      </c>
      <c r="CO38" s="1099">
        <v>42</v>
      </c>
      <c r="CP38" s="1099">
        <v>6</v>
      </c>
      <c r="CQ38" s="1099">
        <v>37</v>
      </c>
      <c r="CR38" s="1099">
        <v>64</v>
      </c>
      <c r="CS38" s="1099">
        <v>55</v>
      </c>
      <c r="CT38" s="1099">
        <v>57</v>
      </c>
      <c r="CU38" s="1099">
        <v>65</v>
      </c>
      <c r="CV38" s="1099">
        <v>65</v>
      </c>
      <c r="CW38" s="1099">
        <v>104</v>
      </c>
      <c r="CX38" s="1099">
        <v>94</v>
      </c>
      <c r="CY38" s="1099">
        <v>88</v>
      </c>
      <c r="CZ38" s="1099">
        <v>57</v>
      </c>
      <c r="DA38" s="1100">
        <f t="shared" ref="DA38" si="39">SUM(CO38:CZ38)</f>
        <v>734</v>
      </c>
      <c r="DB38" s="1099">
        <v>79</v>
      </c>
      <c r="DC38" s="1099">
        <v>84</v>
      </c>
      <c r="DD38" s="1099">
        <v>112</v>
      </c>
      <c r="DE38" s="1099">
        <v>57</v>
      </c>
      <c r="DF38" s="1099">
        <v>40</v>
      </c>
      <c r="DG38" s="1099">
        <v>54</v>
      </c>
      <c r="DH38" s="1099">
        <v>64</v>
      </c>
      <c r="DI38" s="1099">
        <v>65</v>
      </c>
      <c r="DJ38" s="1099">
        <v>56</v>
      </c>
      <c r="DK38" s="1099">
        <v>59</v>
      </c>
      <c r="DL38" s="1099">
        <v>60</v>
      </c>
      <c r="DM38" s="1099">
        <v>112</v>
      </c>
      <c r="DN38" s="1100">
        <f t="shared" ref="DN38" si="40">SUM(DB38:DM38)</f>
        <v>842</v>
      </c>
      <c r="DO38" s="1099">
        <v>50</v>
      </c>
      <c r="DP38" s="1099">
        <v>65</v>
      </c>
      <c r="DQ38" s="1099">
        <v>130</v>
      </c>
      <c r="DR38" s="1099">
        <v>152</v>
      </c>
      <c r="DS38" s="1099">
        <v>160</v>
      </c>
      <c r="DT38" s="1099">
        <v>170</v>
      </c>
      <c r="DU38" s="1099">
        <v>200</v>
      </c>
      <c r="DV38" s="1099">
        <v>180</v>
      </c>
      <c r="DW38" s="1099">
        <v>180</v>
      </c>
      <c r="DX38" s="1099">
        <v>190</v>
      </c>
      <c r="DY38" s="1099">
        <v>72</v>
      </c>
      <c r="DZ38" s="1099">
        <v>140</v>
      </c>
      <c r="EA38" s="1100">
        <f t="shared" ref="EA38" si="41">SUM(DO38:DZ38)</f>
        <v>1689</v>
      </c>
      <c r="EB38" s="1099">
        <v>27</v>
      </c>
      <c r="EC38" s="1099">
        <v>47</v>
      </c>
      <c r="ED38" s="1099">
        <v>33</v>
      </c>
      <c r="EE38" s="1099">
        <v>58</v>
      </c>
      <c r="EF38" s="1099">
        <v>43</v>
      </c>
      <c r="EG38" s="1099">
        <v>38</v>
      </c>
      <c r="EH38" s="1099">
        <v>69</v>
      </c>
      <c r="EI38" s="1099">
        <v>38</v>
      </c>
      <c r="EJ38" s="1099">
        <v>17</v>
      </c>
      <c r="EK38" s="1099">
        <v>11</v>
      </c>
      <c r="EL38" s="1099">
        <v>20</v>
      </c>
      <c r="EM38" s="1099">
        <v>16</v>
      </c>
      <c r="EN38" s="1100">
        <f t="shared" ref="EN38" si="42">SUM(EB38:EM38)</f>
        <v>417</v>
      </c>
      <c r="EO38" s="1099">
        <v>28</v>
      </c>
      <c r="EP38" s="1099">
        <v>18</v>
      </c>
      <c r="EQ38" s="1099">
        <v>1</v>
      </c>
      <c r="ER38" s="1099">
        <v>6</v>
      </c>
      <c r="ES38" s="1099">
        <v>19</v>
      </c>
      <c r="ET38" s="1099">
        <v>16</v>
      </c>
      <c r="EU38" s="1099">
        <v>7</v>
      </c>
      <c r="EV38" s="1099">
        <v>17</v>
      </c>
      <c r="EW38" s="1099">
        <v>11</v>
      </c>
      <c r="EX38" s="1099">
        <v>13</v>
      </c>
      <c r="EY38" s="1099">
        <v>19</v>
      </c>
      <c r="EZ38" s="1099">
        <v>56</v>
      </c>
      <c r="FA38" s="1100">
        <f t="shared" ref="FA38" si="43">SUM(EO38:EZ38)</f>
        <v>211</v>
      </c>
      <c r="FB38" s="1099">
        <v>63</v>
      </c>
      <c r="FC38" s="1099">
        <v>96</v>
      </c>
      <c r="FD38" s="1099">
        <v>259</v>
      </c>
      <c r="FE38" s="1099">
        <v>594</v>
      </c>
      <c r="FF38" s="1099">
        <v>90</v>
      </c>
      <c r="FG38" s="1099">
        <v>64</v>
      </c>
      <c r="FH38" s="1099">
        <v>343</v>
      </c>
      <c r="FI38" s="1099">
        <v>57</v>
      </c>
      <c r="FJ38" s="1099">
        <v>147</v>
      </c>
      <c r="FK38" s="1099">
        <v>197</v>
      </c>
      <c r="FL38" s="1099">
        <v>47</v>
      </c>
      <c r="FM38" s="1099">
        <v>26</v>
      </c>
      <c r="FN38" s="1100">
        <f t="shared" ref="FN38" si="44">SUM(FB38:FM38)</f>
        <v>1983</v>
      </c>
      <c r="FO38" s="1099">
        <v>34</v>
      </c>
      <c r="FP38" s="1099">
        <v>13</v>
      </c>
      <c r="FQ38" s="1099">
        <v>397</v>
      </c>
      <c r="FR38" s="1099">
        <v>642</v>
      </c>
      <c r="FS38" s="1099">
        <v>12</v>
      </c>
      <c r="FT38" s="1099">
        <v>92</v>
      </c>
      <c r="FU38" s="1099">
        <v>170</v>
      </c>
      <c r="FV38" s="1099">
        <v>46</v>
      </c>
      <c r="FW38" s="1099">
        <v>54</v>
      </c>
      <c r="FX38" s="1099">
        <v>41</v>
      </c>
      <c r="FY38" s="1099">
        <v>23</v>
      </c>
      <c r="FZ38" s="1099">
        <v>29</v>
      </c>
      <c r="GA38" s="1100">
        <f t="shared" ref="GA38" si="45">SUM(FO38:FZ38)</f>
        <v>1553</v>
      </c>
      <c r="GB38" s="1099">
        <v>3</v>
      </c>
      <c r="GC38" s="1099">
        <v>5</v>
      </c>
      <c r="GD38" s="1099">
        <v>132</v>
      </c>
      <c r="GE38" s="1099">
        <v>1571</v>
      </c>
      <c r="GF38" s="1099">
        <v>6</v>
      </c>
      <c r="GG38" s="1099">
        <v>149</v>
      </c>
      <c r="GH38" s="1099">
        <v>156</v>
      </c>
      <c r="GI38" s="1099">
        <v>200</v>
      </c>
      <c r="GJ38" s="1099">
        <v>54</v>
      </c>
      <c r="GK38" s="1099">
        <v>59</v>
      </c>
      <c r="GL38" s="1099">
        <v>26</v>
      </c>
      <c r="GM38" s="1099">
        <v>626</v>
      </c>
      <c r="GN38" s="1100">
        <f t="shared" ref="GN38" si="46">SUM(GB38:GM38)</f>
        <v>2987</v>
      </c>
      <c r="GO38" s="1099">
        <v>8</v>
      </c>
      <c r="GP38" s="1099">
        <v>16</v>
      </c>
      <c r="GQ38" s="1099">
        <v>109</v>
      </c>
      <c r="GR38" s="1099">
        <v>98.5</v>
      </c>
      <c r="GS38" s="1099">
        <v>3.5</v>
      </c>
      <c r="GT38" s="1099">
        <v>36</v>
      </c>
      <c r="GU38" s="1099">
        <v>117</v>
      </c>
      <c r="GV38" s="1099">
        <v>71</v>
      </c>
      <c r="GW38" s="1099">
        <v>47</v>
      </c>
      <c r="GX38" s="1099">
        <v>20</v>
      </c>
      <c r="GY38" s="1099">
        <v>44</v>
      </c>
      <c r="GZ38" s="1099">
        <v>29</v>
      </c>
      <c r="HA38" s="1100">
        <f t="shared" ref="HA38" si="47">SUM(GO38:GZ38)</f>
        <v>599</v>
      </c>
      <c r="HB38" s="1099">
        <v>18.5</v>
      </c>
      <c r="HC38" s="1099">
        <v>691</v>
      </c>
      <c r="HD38" s="1099">
        <v>754</v>
      </c>
      <c r="HE38" s="1099">
        <v>162</v>
      </c>
      <c r="HF38" s="1099">
        <v>1</v>
      </c>
      <c r="HG38" s="1099">
        <v>9</v>
      </c>
      <c r="HH38" s="1099">
        <v>46.2</v>
      </c>
      <c r="HI38" s="1099">
        <v>77</v>
      </c>
      <c r="HJ38" s="1099">
        <v>48</v>
      </c>
      <c r="HK38" s="1099">
        <v>55</v>
      </c>
      <c r="HL38" s="1099">
        <v>43</v>
      </c>
      <c r="HM38" s="1099">
        <v>3</v>
      </c>
      <c r="HN38" s="1100">
        <f t="shared" ref="HN38" si="48">SUM(HB38:HM38)</f>
        <v>1907.7</v>
      </c>
      <c r="HO38" s="1099">
        <v>42.5</v>
      </c>
      <c r="HP38" s="1099">
        <v>148</v>
      </c>
      <c r="HQ38" s="1099">
        <v>253.5</v>
      </c>
      <c r="HR38" s="1099">
        <v>43</v>
      </c>
      <c r="HS38" s="1099">
        <v>51</v>
      </c>
      <c r="HT38" s="1099">
        <v>76</v>
      </c>
      <c r="HU38" s="1099">
        <v>68</v>
      </c>
      <c r="HV38" s="1099">
        <v>310.5</v>
      </c>
      <c r="HW38" s="1099">
        <v>354.5</v>
      </c>
      <c r="HX38" s="1099">
        <v>284.5</v>
      </c>
      <c r="HY38" s="1099">
        <v>292.5</v>
      </c>
      <c r="HZ38" s="1099">
        <v>287.60000000000002</v>
      </c>
      <c r="IA38" s="1100">
        <f t="shared" ref="IA38" si="49">SUM(HO38:HZ38)</f>
        <v>2211.6</v>
      </c>
      <c r="IB38" s="1099">
        <v>293.5</v>
      </c>
      <c r="IC38" s="1099">
        <v>298.5</v>
      </c>
      <c r="ID38" s="1099">
        <v>307.5</v>
      </c>
      <c r="IE38" s="1099">
        <v>282.5</v>
      </c>
      <c r="IF38" s="1099">
        <v>282</v>
      </c>
      <c r="IG38" s="1099">
        <v>26</v>
      </c>
      <c r="IH38" s="1099">
        <v>4</v>
      </c>
      <c r="II38" s="1099">
        <v>33</v>
      </c>
      <c r="IJ38" s="1099">
        <v>64</v>
      </c>
      <c r="IK38" s="1099">
        <v>1</v>
      </c>
      <c r="IL38" s="1099">
        <v>3</v>
      </c>
      <c r="IM38" s="1099"/>
      <c r="IN38" s="1100">
        <f t="shared" ref="IN38" si="50">SUM(IB38:IM38)</f>
        <v>1595</v>
      </c>
      <c r="IO38" s="1099"/>
      <c r="IP38" s="1099"/>
      <c r="IQ38" s="1099">
        <v>67</v>
      </c>
      <c r="IR38" s="1099">
        <v>165</v>
      </c>
      <c r="IS38" s="1099">
        <v>65</v>
      </c>
      <c r="IT38" s="1099">
        <v>2</v>
      </c>
      <c r="IU38" s="1099">
        <v>81</v>
      </c>
      <c r="IV38" s="1099">
        <v>54.5</v>
      </c>
      <c r="IW38" s="1099">
        <v>35.5</v>
      </c>
      <c r="IX38" s="1099">
        <v>46.5</v>
      </c>
      <c r="IY38" s="1099">
        <v>39.25</v>
      </c>
      <c r="IZ38" s="1099">
        <v>51.25</v>
      </c>
      <c r="JA38" s="1100">
        <f t="shared" ref="JA38" si="51">SUM(IO38:IZ38)</f>
        <v>607</v>
      </c>
      <c r="JB38" s="1099">
        <v>57.5</v>
      </c>
      <c r="JC38" s="1099"/>
      <c r="JD38" s="1099">
        <v>19</v>
      </c>
      <c r="JE38" s="1099">
        <v>1144.5</v>
      </c>
      <c r="JF38" s="1099">
        <v>104</v>
      </c>
      <c r="JG38" s="1099">
        <v>88.5</v>
      </c>
      <c r="JH38" s="1099"/>
      <c r="JI38" s="1099"/>
      <c r="JJ38" s="1099"/>
      <c r="JK38" s="1099"/>
      <c r="JL38" s="1099"/>
      <c r="JM38" s="1099"/>
      <c r="JN38" s="1100">
        <f t="shared" ref="JN38" si="52">SUM(JB38:JM38)</f>
        <v>1413.5</v>
      </c>
      <c r="JO38" s="1268"/>
      <c r="JP38" s="1119">
        <f t="shared" si="28"/>
        <v>593.63636363636363</v>
      </c>
      <c r="JQ38" s="1120">
        <f t="shared" ref="JQ38" si="53">IFERROR(((JS38/JR38)-1)*100,"")</f>
        <v>426.29310344827587</v>
      </c>
      <c r="JR38" s="1121">
        <f t="shared" si="30"/>
        <v>232</v>
      </c>
      <c r="JS38" s="1122">
        <f t="shared" si="31"/>
        <v>1221</v>
      </c>
      <c r="JU38" s="1121"/>
      <c r="JV38" s="1215"/>
      <c r="JW38" s="1149"/>
    </row>
    <row r="39" spans="1:283" ht="15" customHeight="1" x14ac:dyDescent="0.2">
      <c r="A39" s="1260"/>
      <c r="B39" s="1254"/>
      <c r="C39" s="1254"/>
      <c r="D39" s="1254"/>
      <c r="E39" s="1254"/>
      <c r="F39" s="1254"/>
      <c r="G39" s="1254"/>
      <c r="H39" s="1254"/>
      <c r="I39" s="1254"/>
      <c r="J39" s="1254"/>
      <c r="K39" s="1254"/>
      <c r="L39" s="1254"/>
      <c r="M39" s="1254"/>
      <c r="N39" s="1102"/>
      <c r="O39" s="1254"/>
      <c r="P39" s="1254"/>
      <c r="Q39" s="1254"/>
      <c r="R39" s="1254"/>
      <c r="S39" s="1254"/>
      <c r="T39" s="1254"/>
      <c r="U39" s="1254"/>
      <c r="V39" s="1254"/>
      <c r="W39" s="1254"/>
      <c r="X39" s="1254"/>
      <c r="Y39" s="1254"/>
      <c r="Z39" s="1254"/>
      <c r="AA39" s="1102"/>
      <c r="AB39" s="1254"/>
      <c r="AC39" s="1254"/>
      <c r="AD39" s="1254"/>
      <c r="AE39" s="1254"/>
      <c r="AF39" s="1254"/>
      <c r="AG39" s="1254"/>
      <c r="AH39" s="1254"/>
      <c r="AI39" s="1254"/>
      <c r="AJ39" s="1254"/>
      <c r="AK39" s="1254"/>
      <c r="AL39" s="1254"/>
      <c r="AM39" s="1254"/>
      <c r="AN39" s="1102"/>
      <c r="AO39" s="1254"/>
      <c r="AP39" s="1254"/>
      <c r="AQ39" s="1254"/>
      <c r="AR39" s="1254"/>
      <c r="AS39" s="1254"/>
      <c r="AT39" s="1254"/>
      <c r="AU39" s="1254"/>
      <c r="AV39" s="1254"/>
      <c r="AW39" s="1254"/>
      <c r="AX39" s="1254"/>
      <c r="AY39" s="1254"/>
      <c r="AZ39" s="1254"/>
      <c r="BA39" s="1102"/>
      <c r="BB39" s="1254"/>
      <c r="BC39" s="1254"/>
      <c r="BD39" s="1254"/>
      <c r="BE39" s="1254"/>
      <c r="BF39" s="1254"/>
      <c r="BG39" s="1254"/>
      <c r="BH39" s="1254"/>
      <c r="BI39" s="1254"/>
      <c r="BJ39" s="1254"/>
      <c r="BK39" s="1254"/>
      <c r="BL39" s="1254"/>
      <c r="BM39" s="1254"/>
      <c r="BN39" s="1102"/>
      <c r="BO39" s="1254"/>
      <c r="BP39" s="1254"/>
      <c r="BQ39" s="1254"/>
      <c r="BR39" s="1254"/>
      <c r="BS39" s="1254"/>
      <c r="BT39" s="1254"/>
      <c r="BU39" s="1254"/>
      <c r="BV39" s="1254"/>
      <c r="BW39" s="1254"/>
      <c r="BX39" s="1254"/>
      <c r="BY39" s="1254"/>
      <c r="BZ39" s="1254"/>
      <c r="CA39" s="1102"/>
      <c r="CB39" s="1254"/>
      <c r="CC39" s="1254"/>
      <c r="CD39" s="1254"/>
      <c r="CE39" s="1254"/>
      <c r="CF39" s="1254"/>
      <c r="CG39" s="1254"/>
      <c r="CH39" s="1254"/>
      <c r="CI39" s="1254"/>
      <c r="CJ39" s="1254"/>
      <c r="CK39" s="1254"/>
      <c r="CL39" s="1254"/>
      <c r="CM39" s="1254"/>
      <c r="CN39" s="1102"/>
      <c r="CO39" s="1254"/>
      <c r="CP39" s="1254"/>
      <c r="CQ39" s="1254"/>
      <c r="CR39" s="1254"/>
      <c r="CS39" s="1254"/>
      <c r="CT39" s="1254"/>
      <c r="CU39" s="1254"/>
      <c r="CV39" s="1254"/>
      <c r="CW39" s="1254"/>
      <c r="CX39" s="1254"/>
      <c r="CY39" s="1254"/>
      <c r="CZ39" s="1254"/>
      <c r="DA39" s="1102"/>
      <c r="DB39" s="1254"/>
      <c r="DC39" s="1254"/>
      <c r="DD39" s="1254"/>
      <c r="DE39" s="1254"/>
      <c r="DF39" s="1254"/>
      <c r="DG39" s="1254"/>
      <c r="DH39" s="1254"/>
      <c r="DI39" s="1254"/>
      <c r="DJ39" s="1254"/>
      <c r="DK39" s="1254"/>
      <c r="DL39" s="1254"/>
      <c r="DM39" s="1254"/>
      <c r="DN39" s="1102"/>
      <c r="DO39" s="1254"/>
      <c r="DP39" s="1254"/>
      <c r="DQ39" s="1254"/>
      <c r="DR39" s="1254"/>
      <c r="DS39" s="1254"/>
      <c r="DT39" s="1254"/>
      <c r="DU39" s="1254"/>
      <c r="DV39" s="1254"/>
      <c r="DW39" s="1254"/>
      <c r="DX39" s="1254"/>
      <c r="DY39" s="1254"/>
      <c r="DZ39" s="1254"/>
      <c r="EA39" s="1102"/>
      <c r="EB39" s="1254"/>
      <c r="EC39" s="1254"/>
      <c r="ED39" s="1254"/>
      <c r="EE39" s="1254"/>
      <c r="EF39" s="1254"/>
      <c r="EG39" s="1254"/>
      <c r="EH39" s="1254"/>
      <c r="EI39" s="1254"/>
      <c r="EJ39" s="1254"/>
      <c r="EK39" s="1254"/>
      <c r="EL39" s="1254"/>
      <c r="EM39" s="1254"/>
      <c r="EN39" s="1102"/>
      <c r="EO39" s="1254"/>
      <c r="EP39" s="1254"/>
      <c r="EQ39" s="1254"/>
      <c r="ER39" s="1254"/>
      <c r="ES39" s="1254"/>
      <c r="ET39" s="1254"/>
      <c r="EU39" s="1254"/>
      <c r="EV39" s="1254"/>
      <c r="EW39" s="1254"/>
      <c r="EX39" s="1254"/>
      <c r="EY39" s="1254"/>
      <c r="EZ39" s="1254"/>
      <c r="FA39" s="1102"/>
      <c r="FB39" s="1254"/>
      <c r="FC39" s="1254"/>
      <c r="FD39" s="1254"/>
      <c r="FE39" s="1254"/>
      <c r="FF39" s="1254"/>
      <c r="FG39" s="1254"/>
      <c r="FH39" s="1254"/>
      <c r="FI39" s="1254"/>
      <c r="FJ39" s="1254"/>
      <c r="FK39" s="1254"/>
      <c r="FL39" s="1254"/>
      <c r="FM39" s="1254"/>
      <c r="FN39" s="1102"/>
      <c r="FO39" s="1254"/>
      <c r="FP39" s="1254"/>
      <c r="FQ39" s="1254"/>
      <c r="FR39" s="1254"/>
      <c r="FS39" s="1254"/>
      <c r="FT39" s="1254"/>
      <c r="FU39" s="1254"/>
      <c r="FV39" s="1254"/>
      <c r="FW39" s="1254"/>
      <c r="FX39" s="1254"/>
      <c r="FY39" s="1254"/>
      <c r="FZ39" s="1254"/>
      <c r="GA39" s="1102"/>
      <c r="GB39" s="1254"/>
      <c r="GC39" s="1254"/>
      <c r="GD39" s="1254"/>
      <c r="GE39" s="1254"/>
      <c r="GF39" s="1254"/>
      <c r="GG39" s="1254"/>
      <c r="GH39" s="1254"/>
      <c r="GI39" s="1254"/>
      <c r="GJ39" s="1254"/>
      <c r="GK39" s="1254"/>
      <c r="GL39" s="1254"/>
      <c r="GM39" s="1254"/>
      <c r="GN39" s="1102"/>
      <c r="GO39" s="1254"/>
      <c r="GP39" s="1254"/>
      <c r="GQ39" s="1254"/>
      <c r="GR39" s="1254"/>
      <c r="GS39" s="1254"/>
      <c r="GT39" s="1254"/>
      <c r="GU39" s="1254"/>
      <c r="GV39" s="1254"/>
      <c r="GW39" s="1254"/>
      <c r="GX39" s="1254"/>
      <c r="GY39" s="1254"/>
      <c r="GZ39" s="1254"/>
      <c r="HA39" s="1102"/>
      <c r="HB39" s="1254"/>
      <c r="HC39" s="1254"/>
      <c r="HD39" s="1254"/>
      <c r="HE39" s="1254"/>
      <c r="HF39" s="1254"/>
      <c r="HG39" s="1254"/>
      <c r="HH39" s="1254"/>
      <c r="HI39" s="1254"/>
      <c r="HJ39" s="1254"/>
      <c r="HK39" s="1254"/>
      <c r="HL39" s="1254"/>
      <c r="HM39" s="1254"/>
      <c r="HN39" s="1102"/>
      <c r="HO39" s="1254"/>
      <c r="HP39" s="1254"/>
      <c r="HQ39" s="1254"/>
      <c r="HR39" s="1254"/>
      <c r="HS39" s="1254"/>
      <c r="HT39" s="1254"/>
      <c r="HU39" s="1254"/>
      <c r="HV39" s="1254"/>
      <c r="HW39" s="1254"/>
      <c r="HX39" s="1254"/>
      <c r="HY39" s="1254"/>
      <c r="HZ39" s="1254"/>
      <c r="IA39" s="1102"/>
      <c r="IB39" s="1254"/>
      <c r="IC39" s="1254"/>
      <c r="ID39" s="1254"/>
      <c r="IE39" s="1254"/>
      <c r="IF39" s="1254"/>
      <c r="IG39" s="1254"/>
      <c r="IH39" s="1254"/>
      <c r="II39" s="1254"/>
      <c r="IJ39" s="1254"/>
      <c r="IK39" s="1254"/>
      <c r="IL39" s="1254"/>
      <c r="IM39" s="1254"/>
      <c r="IN39" s="1102"/>
      <c r="IO39" s="1254"/>
      <c r="IP39" s="1254"/>
      <c r="IQ39" s="1254"/>
      <c r="IR39" s="1254"/>
      <c r="IS39" s="1254"/>
      <c r="IT39" s="1254"/>
      <c r="IU39" s="1254"/>
      <c r="IV39" s="1254"/>
      <c r="IW39" s="1254"/>
      <c r="IX39" s="1254"/>
      <c r="IY39" s="1254"/>
      <c r="IZ39" s="1254"/>
      <c r="JA39" s="1102"/>
      <c r="JB39" s="1254"/>
      <c r="JC39" s="1254"/>
      <c r="JD39" s="1254"/>
      <c r="JE39" s="1254"/>
      <c r="JF39" s="1254"/>
      <c r="JG39" s="1254"/>
      <c r="JH39" s="1254"/>
      <c r="JI39" s="1254"/>
      <c r="JJ39" s="1254"/>
      <c r="JK39" s="1254"/>
      <c r="JL39" s="1254"/>
      <c r="JM39" s="1254"/>
      <c r="JN39" s="1102"/>
      <c r="JO39" s="1266"/>
      <c r="JP39" s="1243"/>
      <c r="JQ39" s="1244"/>
      <c r="JR39" s="1245"/>
      <c r="JS39" s="1246"/>
      <c r="JU39" s="1255"/>
      <c r="JV39" s="1256"/>
      <c r="JW39" s="1087"/>
    </row>
    <row r="40" spans="1:283" ht="15" customHeight="1" x14ac:dyDescent="0.2">
      <c r="A40" s="1" t="s">
        <v>121</v>
      </c>
      <c r="JP40"/>
      <c r="JQ40"/>
      <c r="JR40"/>
      <c r="JS40"/>
      <c r="JT40"/>
      <c r="JU40"/>
      <c r="JV40"/>
      <c r="JW40"/>
    </row>
    <row r="41" spans="1:283" ht="15" customHeight="1" x14ac:dyDescent="0.2">
      <c r="A41" s="1" t="s">
        <v>101</v>
      </c>
      <c r="DM41" s="1">
        <v>287</v>
      </c>
      <c r="DN41" s="1">
        <v>854</v>
      </c>
      <c r="DO41" s="1">
        <v>299</v>
      </c>
      <c r="DP41" s="1">
        <v>45</v>
      </c>
      <c r="DZ41" s="1">
        <v>258</v>
      </c>
      <c r="EA41" s="1">
        <v>616</v>
      </c>
      <c r="JP41"/>
      <c r="JQ41"/>
      <c r="JR41"/>
      <c r="JS41"/>
      <c r="JT41"/>
      <c r="JU41"/>
      <c r="JV41"/>
      <c r="JW41"/>
    </row>
    <row r="42" spans="1:283" ht="15" customHeight="1" x14ac:dyDescent="0.2">
      <c r="JP42"/>
      <c r="JQ42"/>
      <c r="JR42"/>
      <c r="JS42"/>
      <c r="JT42"/>
      <c r="JU42"/>
      <c r="JV42"/>
      <c r="JW42"/>
    </row>
    <row r="43" spans="1:283" ht="15" customHeight="1" x14ac:dyDescent="0.2">
      <c r="JP43"/>
      <c r="JQ43"/>
      <c r="JR43"/>
      <c r="JS43"/>
      <c r="JT43"/>
    </row>
    <row r="44" spans="1:283" ht="15" customHeight="1" x14ac:dyDescent="0.2">
      <c r="JP44"/>
      <c r="JQ44"/>
      <c r="JR44"/>
      <c r="JS44"/>
      <c r="JT44"/>
    </row>
    <row r="45" spans="1:283" ht="15" customHeight="1" x14ac:dyDescent="0.2">
      <c r="DX45" s="1">
        <f>SUM(DX9:DX41)</f>
        <v>3430.5</v>
      </c>
      <c r="JP45"/>
      <c r="JQ45"/>
      <c r="JR45"/>
      <c r="JS45"/>
      <c r="JT45"/>
    </row>
    <row r="46" spans="1:283" ht="15" customHeight="1" x14ac:dyDescent="0.2">
      <c r="JP46"/>
      <c r="JQ46"/>
      <c r="JR46"/>
      <c r="JS46"/>
      <c r="JT46"/>
    </row>
    <row r="47" spans="1:283" ht="15" customHeight="1" x14ac:dyDescent="0.2">
      <c r="JP47"/>
      <c r="JQ47"/>
      <c r="JR47"/>
      <c r="JS47"/>
      <c r="JT47"/>
    </row>
    <row r="48" spans="1:283" ht="15" customHeight="1" x14ac:dyDescent="0.2">
      <c r="JP48"/>
      <c r="JQ48"/>
      <c r="JR48"/>
      <c r="JS48"/>
      <c r="JT48"/>
    </row>
  </sheetData>
  <sortState xmlns:xlrd2="http://schemas.microsoft.com/office/spreadsheetml/2017/richdata2" ref="A9:JW37">
    <sortCondition ref="A37"/>
  </sortState>
  <printOptions horizontalCentered="1" verticalCentered="1"/>
  <pageMargins left="0.31496062992125984" right="0.15748031496062992" top="0.74803149606299213" bottom="0.55118110236220474" header="0" footer="0"/>
  <pageSetup paperSize="9" scale="10" orientation="landscape" r:id="rId1"/>
  <headerFooter alignWithMargins="0"/>
  <colBreaks count="1" manualBreakCount="1">
    <brk id="144" max="41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DFE0-0099-43AC-A906-A776014AD97B}">
  <sheetPr>
    <tabColor theme="6" tint="-0.249977111117893"/>
  </sheetPr>
  <dimension ref="A1:JW49"/>
  <sheetViews>
    <sheetView showGridLines="0" view="pageBreakPreview" zoomScaleNormal="100" zoomScaleSheetLayoutView="100" workbookViewId="0">
      <pane xSplit="1" topLeftCell="IZ1" activePane="topRight" state="frozen"/>
      <selection activeCell="IB59" sqref="IB59:JB59"/>
      <selection pane="topRight"/>
    </sheetView>
  </sheetViews>
  <sheetFormatPr baseColWidth="10" defaultColWidth="9.7109375" defaultRowHeight="15" customHeight="1" x14ac:dyDescent="0.2"/>
  <cols>
    <col min="1" max="1" width="20.7109375" customWidth="1"/>
    <col min="275" max="275" width="9.7109375" customWidth="1"/>
    <col min="280" max="280" width="9.7109375" customWidth="1"/>
  </cols>
  <sheetData>
    <row r="1" spans="1:283" ht="15" customHeight="1" x14ac:dyDescent="0.25">
      <c r="A1" s="1134" t="s">
        <v>170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C1" s="66"/>
      <c r="HD1" s="66"/>
      <c r="HE1" s="66"/>
      <c r="HF1" s="66"/>
      <c r="HG1" s="66"/>
      <c r="HH1" s="66"/>
      <c r="HI1" s="66"/>
      <c r="HJ1" s="66"/>
      <c r="HK1" s="66"/>
      <c r="HL1" s="66"/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66"/>
      <c r="IA1" s="66"/>
      <c r="IB1" s="66"/>
      <c r="IC1" s="66"/>
      <c r="ID1" s="66"/>
      <c r="IE1" s="66"/>
      <c r="IF1" s="66"/>
      <c r="IG1" s="66"/>
      <c r="IH1" s="66"/>
      <c r="II1" s="66"/>
      <c r="IJ1" s="66"/>
      <c r="IK1" s="66"/>
      <c r="IL1" s="66"/>
      <c r="IM1" s="66"/>
      <c r="IN1" s="66"/>
      <c r="IO1" s="66"/>
      <c r="IP1" s="66"/>
      <c r="IQ1" s="66"/>
      <c r="IR1" s="66"/>
      <c r="IS1" s="66"/>
      <c r="IT1" s="66"/>
      <c r="IU1" s="66"/>
      <c r="IV1" s="66"/>
      <c r="IW1" s="66"/>
      <c r="IX1" s="66"/>
      <c r="IY1" s="66"/>
      <c r="IZ1" s="66"/>
      <c r="JA1" s="66"/>
      <c r="JB1" s="66"/>
      <c r="JC1" s="66"/>
      <c r="JD1" s="66"/>
      <c r="JE1" s="66"/>
      <c r="JF1" s="66"/>
      <c r="JG1" s="66"/>
      <c r="JH1" s="66"/>
      <c r="JI1" s="66"/>
      <c r="JJ1" s="66"/>
      <c r="JK1" s="66"/>
      <c r="JL1" s="66"/>
      <c r="JM1" s="66"/>
      <c r="JN1" s="66"/>
    </row>
    <row r="2" spans="1:283" ht="15" customHeight="1" x14ac:dyDescent="0.25">
      <c r="A2" s="1134" t="s">
        <v>355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  <c r="EL2" s="66"/>
      <c r="EM2" s="66"/>
      <c r="EN2" s="66"/>
      <c r="EO2" s="66"/>
      <c r="EP2" s="66"/>
      <c r="EQ2" s="66"/>
      <c r="ER2" s="66"/>
      <c r="ES2" s="66"/>
      <c r="ET2" s="66"/>
      <c r="EU2" s="66"/>
      <c r="EV2" s="66"/>
      <c r="EW2" s="66"/>
      <c r="EX2" s="66"/>
      <c r="EY2" s="66"/>
      <c r="EZ2" s="66"/>
      <c r="FA2" s="66"/>
      <c r="FB2" s="66"/>
      <c r="FC2" s="66"/>
      <c r="FD2" s="66"/>
      <c r="FE2" s="66"/>
      <c r="FF2" s="66"/>
      <c r="FG2" s="66"/>
      <c r="FH2" s="66"/>
      <c r="FI2" s="66"/>
      <c r="FJ2" s="66"/>
      <c r="FK2" s="66"/>
      <c r="FL2" s="66"/>
      <c r="FM2" s="66"/>
      <c r="FN2" s="66"/>
      <c r="FO2" s="66"/>
      <c r="FP2" s="66"/>
      <c r="FQ2" s="66"/>
      <c r="FR2" s="66"/>
      <c r="FS2" s="66"/>
      <c r="FT2" s="66"/>
      <c r="FU2" s="66"/>
      <c r="FV2" s="66"/>
      <c r="FW2" s="66"/>
      <c r="FX2" s="66"/>
      <c r="FY2" s="66"/>
      <c r="FZ2" s="66"/>
      <c r="GA2" s="66"/>
      <c r="GB2" s="66"/>
      <c r="GC2" s="66"/>
      <c r="GD2" s="66"/>
      <c r="GE2" s="66"/>
      <c r="GF2" s="66"/>
      <c r="GG2" s="66"/>
      <c r="GH2" s="66"/>
      <c r="GI2" s="66"/>
      <c r="GJ2" s="66"/>
      <c r="GK2" s="66"/>
      <c r="GL2" s="66"/>
      <c r="GM2" s="66"/>
      <c r="GN2" s="66"/>
      <c r="GO2" s="66"/>
      <c r="GP2" s="66"/>
      <c r="GQ2" s="66"/>
      <c r="GR2" s="66"/>
      <c r="GS2" s="66"/>
      <c r="GT2" s="66"/>
      <c r="GU2" s="66"/>
      <c r="GV2" s="66"/>
      <c r="GW2" s="66"/>
      <c r="GX2" s="66"/>
      <c r="GY2" s="66"/>
      <c r="GZ2" s="66"/>
      <c r="HA2" s="66"/>
      <c r="HB2" s="66"/>
      <c r="HC2" s="66"/>
      <c r="HD2" s="66"/>
      <c r="HE2" s="66"/>
      <c r="HF2" s="66"/>
      <c r="HG2" s="66"/>
      <c r="HH2" s="66"/>
      <c r="HI2" s="66"/>
      <c r="HJ2" s="66"/>
      <c r="HK2" s="66"/>
      <c r="HL2" s="66"/>
      <c r="HM2" s="66"/>
      <c r="HN2" s="66"/>
      <c r="HO2" s="66"/>
      <c r="HP2" s="66"/>
      <c r="HQ2" s="66"/>
      <c r="HR2" s="66"/>
      <c r="HS2" s="66"/>
      <c r="HT2" s="66"/>
      <c r="HU2" s="66"/>
      <c r="HV2" s="66"/>
      <c r="HW2" s="66"/>
      <c r="HX2" s="66"/>
      <c r="HY2" s="66"/>
      <c r="HZ2" s="66"/>
      <c r="IA2" s="66"/>
      <c r="IB2" s="66"/>
      <c r="IC2" s="66"/>
      <c r="ID2" s="66"/>
      <c r="IE2" s="66"/>
      <c r="IF2" s="66"/>
      <c r="IG2" s="66"/>
      <c r="IH2" s="66"/>
      <c r="II2" s="66"/>
      <c r="IJ2" s="66"/>
      <c r="IK2" s="66"/>
      <c r="IL2" s="66"/>
      <c r="IM2" s="66"/>
      <c r="IN2" s="66"/>
      <c r="IO2" s="66"/>
      <c r="IP2" s="66"/>
      <c r="IQ2" s="66"/>
      <c r="IR2" s="66"/>
      <c r="IS2" s="66"/>
      <c r="IT2" s="66"/>
      <c r="IU2" s="66"/>
      <c r="IV2" s="66"/>
      <c r="IW2" s="66"/>
      <c r="IX2" s="66"/>
      <c r="IY2" s="66"/>
      <c r="IZ2" s="66"/>
      <c r="JA2" s="66"/>
      <c r="JB2" s="66"/>
      <c r="JC2" s="66"/>
      <c r="JD2" s="66"/>
      <c r="JE2" s="66"/>
      <c r="JF2" s="66"/>
      <c r="JG2" s="66"/>
      <c r="JH2" s="66"/>
      <c r="JI2" s="66"/>
      <c r="JJ2" s="66"/>
      <c r="JK2" s="66"/>
      <c r="JL2" s="66"/>
      <c r="JM2" s="66"/>
      <c r="JN2" s="66"/>
    </row>
    <row r="3" spans="1:283" ht="15" customHeight="1" x14ac:dyDescent="0.25">
      <c r="A3" s="1134" t="s">
        <v>81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3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/>
      <c r="DL3" s="66"/>
      <c r="DM3" s="66"/>
      <c r="DN3" s="66"/>
      <c r="DO3" s="66"/>
      <c r="DP3" s="66"/>
      <c r="DQ3" s="66"/>
      <c r="DR3" s="66"/>
      <c r="DS3" s="66"/>
      <c r="DT3" s="66"/>
      <c r="DU3" s="66"/>
      <c r="DV3" s="66"/>
      <c r="DW3" s="66"/>
      <c r="DX3" s="66"/>
      <c r="DY3" s="66"/>
      <c r="DZ3" s="66"/>
      <c r="EA3" s="66"/>
      <c r="EB3" s="66"/>
      <c r="EC3" s="66"/>
      <c r="ED3" s="66"/>
      <c r="EE3" s="66"/>
      <c r="EF3" s="66"/>
      <c r="EG3" s="66"/>
      <c r="EH3" s="66"/>
      <c r="EI3" s="66"/>
      <c r="EJ3" s="66"/>
      <c r="EK3" s="66"/>
      <c r="EL3" s="66"/>
      <c r="EM3" s="66"/>
      <c r="EN3" s="66"/>
      <c r="EO3" s="66"/>
      <c r="EP3" s="66"/>
      <c r="EQ3" s="66"/>
      <c r="ER3" s="66"/>
      <c r="ES3" s="66"/>
      <c r="ET3" s="66"/>
      <c r="EU3" s="66"/>
      <c r="EV3" s="66"/>
      <c r="EW3" s="66"/>
      <c r="EX3" s="66"/>
      <c r="EY3" s="66"/>
      <c r="EZ3" s="66"/>
      <c r="FA3" s="66"/>
      <c r="FB3" s="66"/>
      <c r="FC3" s="66"/>
      <c r="FD3" s="66"/>
      <c r="FE3" s="66"/>
      <c r="FF3" s="66"/>
      <c r="FG3" s="66"/>
      <c r="FH3" s="66"/>
      <c r="FI3" s="66"/>
      <c r="FJ3" s="66"/>
      <c r="FK3" s="66"/>
      <c r="FL3" s="66"/>
      <c r="FM3" s="66"/>
      <c r="FN3" s="66"/>
      <c r="FO3" s="66"/>
      <c r="FP3" s="66"/>
      <c r="FQ3" s="66"/>
      <c r="FR3" s="66"/>
      <c r="FS3" s="66"/>
      <c r="FT3" s="66"/>
      <c r="FU3" s="66"/>
      <c r="FV3" s="66"/>
      <c r="FW3" s="66"/>
      <c r="FX3" s="66"/>
      <c r="FY3" s="66"/>
      <c r="FZ3" s="66"/>
      <c r="GA3" s="66"/>
      <c r="GB3" s="66"/>
      <c r="GC3" s="66"/>
      <c r="GD3" s="66"/>
      <c r="GE3" s="66"/>
      <c r="GF3" s="66"/>
      <c r="GG3" s="66"/>
      <c r="GH3" s="66"/>
      <c r="GI3" s="66"/>
      <c r="GJ3" s="66"/>
      <c r="GK3" s="66"/>
      <c r="GL3" s="66"/>
      <c r="GM3" s="66"/>
      <c r="GN3" s="66"/>
      <c r="GO3" s="66"/>
      <c r="GP3" s="66"/>
      <c r="GQ3" s="66"/>
      <c r="GR3" s="66"/>
      <c r="GS3" s="66"/>
      <c r="GT3" s="66"/>
      <c r="GU3" s="66"/>
      <c r="GV3" s="66"/>
      <c r="GW3" s="66"/>
      <c r="GX3" s="66"/>
      <c r="GY3" s="66"/>
      <c r="GZ3" s="66"/>
      <c r="HA3" s="66"/>
      <c r="HB3" s="66"/>
      <c r="HC3" s="66"/>
      <c r="HD3" s="66"/>
      <c r="HE3" s="66"/>
      <c r="HF3" s="66"/>
      <c r="HG3" s="66"/>
      <c r="HH3" s="66"/>
      <c r="HI3" s="66"/>
      <c r="HJ3" s="66"/>
      <c r="HK3" s="66"/>
      <c r="HL3" s="66"/>
      <c r="HM3" s="66"/>
      <c r="HN3" s="66"/>
      <c r="HO3" s="66"/>
      <c r="HP3" s="66"/>
      <c r="HQ3" s="66"/>
      <c r="HR3" s="66"/>
      <c r="HS3" s="66"/>
      <c r="HT3" s="66"/>
      <c r="HU3" s="66"/>
      <c r="HV3" s="66"/>
      <c r="HW3" s="66"/>
      <c r="HX3" s="66"/>
      <c r="HY3" s="66"/>
      <c r="HZ3" s="66"/>
      <c r="IA3" s="66"/>
      <c r="IB3" s="66"/>
      <c r="IC3" s="66"/>
      <c r="ID3" s="66"/>
      <c r="IE3" s="66"/>
      <c r="IF3" s="66"/>
      <c r="IG3" s="66"/>
      <c r="IH3" s="66"/>
      <c r="II3" s="66"/>
      <c r="IJ3" s="66"/>
      <c r="IK3" s="66"/>
      <c r="IL3" s="66"/>
      <c r="IM3" s="66"/>
      <c r="IN3" s="66"/>
      <c r="IO3" s="66"/>
      <c r="IP3" s="66"/>
      <c r="IQ3" s="66"/>
      <c r="IR3" s="66"/>
      <c r="IS3" s="66"/>
      <c r="IT3" s="66"/>
      <c r="IU3" s="66"/>
      <c r="IV3" s="66"/>
      <c r="IW3" s="66"/>
      <c r="IX3" s="66"/>
      <c r="IY3" s="66"/>
      <c r="IZ3" s="66"/>
      <c r="JA3" s="66"/>
      <c r="JB3" s="66"/>
      <c r="JC3" s="66"/>
      <c r="JD3" s="66"/>
      <c r="JE3" s="66"/>
      <c r="JF3" s="66"/>
      <c r="JG3" s="66"/>
      <c r="JH3" s="66"/>
      <c r="JI3" s="66"/>
      <c r="JJ3" s="66"/>
      <c r="JK3" s="66"/>
      <c r="JL3" s="66"/>
      <c r="JM3" s="66"/>
      <c r="JN3" s="66"/>
    </row>
    <row r="4" spans="1:283" ht="15" customHeight="1" x14ac:dyDescent="0.2">
      <c r="A4" s="1127"/>
      <c r="B4" s="1088" t="str">
        <f>CONCATENATE("CAMPAÑA ",(YEAR(B5)),"-",(YEAR(M5)))</f>
        <v>CAMPAÑA 2005-2006</v>
      </c>
      <c r="C4" s="1088"/>
      <c r="D4" s="1088"/>
      <c r="E4" s="1088"/>
      <c r="F4" s="1088"/>
      <c r="G4" s="1088"/>
      <c r="H4" s="1088"/>
      <c r="I4" s="1088"/>
      <c r="J4" s="1088"/>
      <c r="K4" s="1088"/>
      <c r="L4" s="1088"/>
      <c r="M4" s="1088"/>
      <c r="N4" s="1089" t="s">
        <v>29</v>
      </c>
      <c r="O4" s="1088" t="str">
        <f>CONCATENATE("CAMPAÑA ",(YEAR(O5)),"-",(YEAR(Z5)))</f>
        <v>CAMPAÑA 2006-2007</v>
      </c>
      <c r="P4" s="1088"/>
      <c r="Q4" s="1088"/>
      <c r="R4" s="1088"/>
      <c r="S4" s="1088"/>
      <c r="T4" s="1088"/>
      <c r="U4" s="1088"/>
      <c r="V4" s="1088"/>
      <c r="W4" s="1088"/>
      <c r="X4" s="1088"/>
      <c r="Y4" s="1088"/>
      <c r="Z4" s="1088"/>
      <c r="AA4" s="1089" t="s">
        <v>29</v>
      </c>
      <c r="AB4" s="1088" t="str">
        <f>CONCATENATE("CAMPAÑA ",(YEAR(AB5)),"-",(YEAR(AM5)))</f>
        <v>CAMPAÑA 2007-2008</v>
      </c>
      <c r="AC4" s="1088"/>
      <c r="AD4" s="1088"/>
      <c r="AE4" s="1088"/>
      <c r="AF4" s="1088"/>
      <c r="AG4" s="1088"/>
      <c r="AH4" s="1088"/>
      <c r="AI4" s="1088"/>
      <c r="AJ4" s="1088"/>
      <c r="AK4" s="1088"/>
      <c r="AL4" s="1088"/>
      <c r="AM4" s="1088"/>
      <c r="AN4" s="1089" t="s">
        <v>29</v>
      </c>
      <c r="AO4" s="1088" t="str">
        <f>CONCATENATE("CAMPAÑA ",(YEAR(AO5)),"-",(YEAR(AZ5)))</f>
        <v>CAMPAÑA 2008-2009</v>
      </c>
      <c r="AP4" s="1088"/>
      <c r="AQ4" s="1088"/>
      <c r="AR4" s="1088"/>
      <c r="AS4" s="1088"/>
      <c r="AT4" s="1088"/>
      <c r="AU4" s="1088"/>
      <c r="AV4" s="1088"/>
      <c r="AW4" s="1088"/>
      <c r="AX4" s="1088"/>
      <c r="AY4" s="1088"/>
      <c r="AZ4" s="1088"/>
      <c r="BA4" s="1089" t="s">
        <v>29</v>
      </c>
      <c r="BB4" s="1088" t="str">
        <f>CONCATENATE("CAMPAÑA ",(YEAR(BB5)),"-",(YEAR(BM5)))</f>
        <v>CAMPAÑA 2009-2010</v>
      </c>
      <c r="BC4" s="1088"/>
      <c r="BD4" s="1088"/>
      <c r="BE4" s="1088"/>
      <c r="BF4" s="1088"/>
      <c r="BG4" s="1088"/>
      <c r="BH4" s="1088"/>
      <c r="BI4" s="1088"/>
      <c r="BJ4" s="1088"/>
      <c r="BK4" s="1088"/>
      <c r="BL4" s="1088"/>
      <c r="BM4" s="1088"/>
      <c r="BN4" s="1089" t="s">
        <v>29</v>
      </c>
      <c r="BO4" s="1088" t="str">
        <f>CONCATENATE("CAMPAÑA ",(YEAR(BO5)),"-",(YEAR(BZ5)))</f>
        <v>CAMPAÑA 2010-2011</v>
      </c>
      <c r="BP4" s="1088"/>
      <c r="BQ4" s="1088"/>
      <c r="BR4" s="1088"/>
      <c r="BS4" s="1088"/>
      <c r="BT4" s="1088"/>
      <c r="BU4" s="1088"/>
      <c r="BV4" s="1088"/>
      <c r="BW4" s="1088"/>
      <c r="BX4" s="1088"/>
      <c r="BY4" s="1088"/>
      <c r="BZ4" s="1088"/>
      <c r="CA4" s="1089" t="s">
        <v>29</v>
      </c>
      <c r="CB4" s="1088" t="str">
        <f>CONCATENATE("CAMPAÑA ",(YEAR(CB5)),"-",(YEAR(CM5)))</f>
        <v>CAMPAÑA 2011-2012</v>
      </c>
      <c r="CC4" s="1088"/>
      <c r="CD4" s="1088"/>
      <c r="CE4" s="1088"/>
      <c r="CF4" s="1088"/>
      <c r="CG4" s="1088"/>
      <c r="CH4" s="1088"/>
      <c r="CI4" s="1088"/>
      <c r="CJ4" s="1088"/>
      <c r="CK4" s="1088"/>
      <c r="CL4" s="1088"/>
      <c r="CM4" s="1088"/>
      <c r="CN4" s="1089" t="s">
        <v>29</v>
      </c>
      <c r="CO4" s="1088" t="str">
        <f>CONCATENATE("CAMPAÑA ",(YEAR(CO5)),"-",(YEAR(CZ5)))</f>
        <v>CAMPAÑA 2012-2013</v>
      </c>
      <c r="CP4" s="1088"/>
      <c r="CQ4" s="1088"/>
      <c r="CR4" s="1088"/>
      <c r="CS4" s="1088"/>
      <c r="CT4" s="1088"/>
      <c r="CU4" s="1088"/>
      <c r="CV4" s="1088"/>
      <c r="CW4" s="1088"/>
      <c r="CX4" s="1088"/>
      <c r="CY4" s="1088"/>
      <c r="CZ4" s="1088"/>
      <c r="DA4" s="1089" t="s">
        <v>29</v>
      </c>
      <c r="DB4" s="1088" t="str">
        <f>CONCATENATE("CAMPAÑA ",(YEAR(DB5)),"-",(YEAR(DM5)))</f>
        <v>CAMPAÑA 2013-2014</v>
      </c>
      <c r="DC4" s="1088"/>
      <c r="DD4" s="1088"/>
      <c r="DE4" s="1088"/>
      <c r="DF4" s="1088"/>
      <c r="DG4" s="1088"/>
      <c r="DH4" s="1088"/>
      <c r="DI4" s="1088"/>
      <c r="DJ4" s="1088"/>
      <c r="DK4" s="1088"/>
      <c r="DL4" s="1088"/>
      <c r="DM4" s="1088"/>
      <c r="DN4" s="1089" t="s">
        <v>29</v>
      </c>
      <c r="DO4" s="1088" t="str">
        <f>CONCATENATE("CAMPAÑA ",(YEAR(DO5)),"-",(YEAR(DZ5)))</f>
        <v>CAMPAÑA 2014-2015</v>
      </c>
      <c r="DP4" s="1088"/>
      <c r="DQ4" s="1088"/>
      <c r="DR4" s="1088"/>
      <c r="DS4" s="1088"/>
      <c r="DT4" s="1088"/>
      <c r="DU4" s="1088"/>
      <c r="DV4" s="1088"/>
      <c r="DW4" s="1088"/>
      <c r="DX4" s="1088"/>
      <c r="DY4" s="1088"/>
      <c r="DZ4" s="1088"/>
      <c r="EA4" s="1089" t="s">
        <v>29</v>
      </c>
      <c r="EB4" s="1088" t="str">
        <f>CONCATENATE("CAMPAÑA ",(YEAR(EB5)),"-",(YEAR(EM5)))</f>
        <v>CAMPAÑA 2015-2016</v>
      </c>
      <c r="EC4" s="1088"/>
      <c r="ED4" s="1088"/>
      <c r="EE4" s="1088"/>
      <c r="EF4" s="1088"/>
      <c r="EG4" s="1088"/>
      <c r="EH4" s="1088"/>
      <c r="EI4" s="1088"/>
      <c r="EJ4" s="1088"/>
      <c r="EK4" s="1088"/>
      <c r="EL4" s="1088"/>
      <c r="EM4" s="1088"/>
      <c r="EN4" s="1089" t="s">
        <v>29</v>
      </c>
      <c r="EO4" s="1088" t="str">
        <f>CONCATENATE("CAMPAÑA ",(YEAR(EO5)),"-",(YEAR(EZ5)))</f>
        <v>CAMPAÑA 2016-2017</v>
      </c>
      <c r="EP4" s="1088"/>
      <c r="EQ4" s="1088"/>
      <c r="ER4" s="1088"/>
      <c r="ES4" s="1088"/>
      <c r="ET4" s="1088"/>
      <c r="EU4" s="1088"/>
      <c r="EV4" s="1088"/>
      <c r="EW4" s="1088"/>
      <c r="EX4" s="1088"/>
      <c r="EY4" s="1088"/>
      <c r="EZ4" s="1088"/>
      <c r="FA4" s="1089" t="s">
        <v>29</v>
      </c>
      <c r="FB4" s="1088" t="str">
        <f>CONCATENATE("CAMPAÑA ",(YEAR(FB5)),"-",(YEAR(FM5)))</f>
        <v>CAMPAÑA 2017-2018</v>
      </c>
      <c r="FC4" s="1088"/>
      <c r="FD4" s="1088"/>
      <c r="FE4" s="1088"/>
      <c r="FF4" s="1088"/>
      <c r="FG4" s="1088"/>
      <c r="FH4" s="1088"/>
      <c r="FI4" s="1088"/>
      <c r="FJ4" s="1088"/>
      <c r="FK4" s="1088"/>
      <c r="FL4" s="1088"/>
      <c r="FM4" s="1088"/>
      <c r="FN4" s="1089" t="s">
        <v>29</v>
      </c>
      <c r="FO4" s="1088" t="str">
        <f>CONCATENATE("CAMPAÑA ",(YEAR(FO5)),"-",(YEAR(FZ5)))</f>
        <v>CAMPAÑA 2018-2019</v>
      </c>
      <c r="FP4" s="1088"/>
      <c r="FQ4" s="1088"/>
      <c r="FR4" s="1088"/>
      <c r="FS4" s="1088"/>
      <c r="FT4" s="1088"/>
      <c r="FU4" s="1088"/>
      <c r="FV4" s="1088"/>
      <c r="FW4" s="1088"/>
      <c r="FX4" s="1088"/>
      <c r="FY4" s="1088"/>
      <c r="FZ4" s="1088"/>
      <c r="GA4" s="1089" t="s">
        <v>29</v>
      </c>
      <c r="GB4" s="1088" t="str">
        <f>CONCATENATE("CAMPAÑA ",(YEAR(GB5)),"-",(YEAR(GM5)))</f>
        <v>CAMPAÑA 2019-2020</v>
      </c>
      <c r="GC4" s="1088"/>
      <c r="GD4" s="1088"/>
      <c r="GE4" s="1088"/>
      <c r="GF4" s="1088"/>
      <c r="GG4" s="1088"/>
      <c r="GH4" s="1088"/>
      <c r="GI4" s="1088"/>
      <c r="GJ4" s="1088"/>
      <c r="GK4" s="1088"/>
      <c r="GL4" s="1088"/>
      <c r="GM4" s="1088"/>
      <c r="GN4" s="1089" t="s">
        <v>29</v>
      </c>
      <c r="GO4" s="1088" t="str">
        <f>CONCATENATE("CAMPAÑA ",(YEAR(GO5)),"-",(YEAR(GZ5)))</f>
        <v>CAMPAÑA 2020-2021</v>
      </c>
      <c r="GP4" s="1088"/>
      <c r="GQ4" s="1088"/>
      <c r="GR4" s="1088"/>
      <c r="GS4" s="1088"/>
      <c r="GT4" s="1088"/>
      <c r="GU4" s="1088"/>
      <c r="GV4" s="1088"/>
      <c r="GW4" s="1088"/>
      <c r="GX4" s="1088"/>
      <c r="GY4" s="1088"/>
      <c r="GZ4" s="1088"/>
      <c r="HA4" s="1089" t="s">
        <v>29</v>
      </c>
      <c r="HB4" s="1088" t="str">
        <f>CONCATENATE("CAMPAÑA ",(YEAR(HB5)),"-",(YEAR(HM5)))</f>
        <v>CAMPAÑA 2021-2022</v>
      </c>
      <c r="HC4" s="1088"/>
      <c r="HD4" s="1088"/>
      <c r="HE4" s="1088"/>
      <c r="HF4" s="1088"/>
      <c r="HG4" s="1088"/>
      <c r="HH4" s="1088"/>
      <c r="HI4" s="1088"/>
      <c r="HJ4" s="1088"/>
      <c r="HK4" s="1088"/>
      <c r="HL4" s="1088"/>
      <c r="HM4" s="1088"/>
      <c r="HN4" s="1089" t="s">
        <v>29</v>
      </c>
      <c r="HO4" s="1088" t="str">
        <f>CONCATENATE("CAMPAÑA ",(YEAR(HO5)),"-",(YEAR(HZ5)))</f>
        <v>CAMPAÑA 2022-2023</v>
      </c>
      <c r="HP4" s="1088"/>
      <c r="HQ4" s="1088"/>
      <c r="HR4" s="1088"/>
      <c r="HS4" s="1088"/>
      <c r="HT4" s="1088"/>
      <c r="HU4" s="1088"/>
      <c r="HV4" s="1088"/>
      <c r="HW4" s="1088"/>
      <c r="HX4" s="1088"/>
      <c r="HY4" s="1088"/>
      <c r="HZ4" s="1088"/>
      <c r="IA4" s="1089" t="s">
        <v>29</v>
      </c>
      <c r="IB4" s="1088" t="str">
        <f>CONCATENATE("CAMPAÑA ",(YEAR(IB5)),"-",(YEAR(IM5)))</f>
        <v>CAMPAÑA 2023-2024</v>
      </c>
      <c r="IC4" s="1088"/>
      <c r="ID4" s="1088"/>
      <c r="IE4" s="1088"/>
      <c r="IF4" s="1088"/>
      <c r="IG4" s="1088"/>
      <c r="IH4" s="1088"/>
      <c r="II4" s="1088"/>
      <c r="IJ4" s="1088"/>
      <c r="IK4" s="1088"/>
      <c r="IL4" s="1088"/>
      <c r="IM4" s="1088"/>
      <c r="IN4" s="1089" t="s">
        <v>29</v>
      </c>
      <c r="IO4" s="1088" t="str">
        <f>CONCATENATE("CAMPAÑA ",(YEAR(IO5)),"-",(YEAR(IZ5)))</f>
        <v>CAMPAÑA 2024-2025</v>
      </c>
      <c r="IP4" s="1088"/>
      <c r="IQ4" s="1088"/>
      <c r="IR4" s="1088"/>
      <c r="IS4" s="1088"/>
      <c r="IT4" s="1088"/>
      <c r="IU4" s="1088"/>
      <c r="IV4" s="1088"/>
      <c r="IW4" s="1088"/>
      <c r="IX4" s="1088"/>
      <c r="IY4" s="1088"/>
      <c r="IZ4" s="1088"/>
      <c r="JA4" s="1089" t="s">
        <v>29</v>
      </c>
      <c r="JB4" s="1088" t="str">
        <f>CONCATENATE("CAMPAÑA ",(YEAR(JB5)),"-",(YEAR(JM5)))</f>
        <v>CAMPAÑA 2025-2026</v>
      </c>
      <c r="JC4" s="1088"/>
      <c r="JD4" s="1088"/>
      <c r="JE4" s="1088"/>
      <c r="JF4" s="1088"/>
      <c r="JG4" s="1088"/>
      <c r="JH4" s="1088"/>
      <c r="JI4" s="1088"/>
      <c r="JJ4" s="1088"/>
      <c r="JK4" s="1088"/>
      <c r="JL4" s="1088"/>
      <c r="JM4" s="1088"/>
      <c r="JN4" s="1089" t="s">
        <v>29</v>
      </c>
      <c r="JP4" s="1103" t="str">
        <f>CONCATENATE("Var.% ",JS4,"/",JR4)</f>
        <v>Var.% 2025/2024</v>
      </c>
      <c r="JQ4" s="1104"/>
      <c r="JR4" s="1105">
        <f>JS4-1</f>
        <v>2024</v>
      </c>
      <c r="JS4" s="1105">
        <f>YEAR(JP5)</f>
        <v>2025</v>
      </c>
      <c r="JT4" s="62"/>
      <c r="JU4" s="1073" t="s">
        <v>562</v>
      </c>
      <c r="JV4" s="1074"/>
      <c r="JW4" s="1075"/>
    </row>
    <row r="5" spans="1:283" ht="15" customHeight="1" x14ac:dyDescent="0.2">
      <c r="A5" s="1128"/>
      <c r="B5" s="1090">
        <v>38565</v>
      </c>
      <c r="C5" s="1090">
        <v>38596</v>
      </c>
      <c r="D5" s="1090">
        <v>38626</v>
      </c>
      <c r="E5" s="1090">
        <v>38657</v>
      </c>
      <c r="F5" s="1090">
        <v>38687</v>
      </c>
      <c r="G5" s="1090">
        <v>38718</v>
      </c>
      <c r="H5" s="1090">
        <v>38749</v>
      </c>
      <c r="I5" s="1090">
        <v>38777</v>
      </c>
      <c r="J5" s="1090">
        <v>38808</v>
      </c>
      <c r="K5" s="1090">
        <v>38838</v>
      </c>
      <c r="L5" s="1090">
        <v>38869</v>
      </c>
      <c r="M5" s="1090">
        <v>38899</v>
      </c>
      <c r="N5" s="1091">
        <f>YEAR(M5)</f>
        <v>2006</v>
      </c>
      <c r="O5" s="1090">
        <v>38930</v>
      </c>
      <c r="P5" s="1090">
        <v>38961</v>
      </c>
      <c r="Q5" s="1090">
        <v>38991</v>
      </c>
      <c r="R5" s="1090">
        <v>39022</v>
      </c>
      <c r="S5" s="1090">
        <v>39052</v>
      </c>
      <c r="T5" s="1090">
        <v>39083</v>
      </c>
      <c r="U5" s="1090">
        <v>39114</v>
      </c>
      <c r="V5" s="1090">
        <v>39142</v>
      </c>
      <c r="W5" s="1090">
        <v>39173</v>
      </c>
      <c r="X5" s="1090">
        <v>39203</v>
      </c>
      <c r="Y5" s="1090">
        <v>39234</v>
      </c>
      <c r="Z5" s="1090">
        <v>39264</v>
      </c>
      <c r="AA5" s="1091">
        <f>YEAR(Z5)</f>
        <v>2007</v>
      </c>
      <c r="AB5" s="1090">
        <v>39295</v>
      </c>
      <c r="AC5" s="1090">
        <v>39326</v>
      </c>
      <c r="AD5" s="1090">
        <v>39356</v>
      </c>
      <c r="AE5" s="1090">
        <v>39387</v>
      </c>
      <c r="AF5" s="1090">
        <v>39417</v>
      </c>
      <c r="AG5" s="1090">
        <v>39448</v>
      </c>
      <c r="AH5" s="1090">
        <v>39479</v>
      </c>
      <c r="AI5" s="1090">
        <v>39508</v>
      </c>
      <c r="AJ5" s="1090">
        <v>39539</v>
      </c>
      <c r="AK5" s="1090">
        <v>39569</v>
      </c>
      <c r="AL5" s="1090">
        <v>39600</v>
      </c>
      <c r="AM5" s="1090">
        <v>39630</v>
      </c>
      <c r="AN5" s="1091">
        <f>YEAR(AM5)</f>
        <v>2008</v>
      </c>
      <c r="AO5" s="1090">
        <v>39661</v>
      </c>
      <c r="AP5" s="1090">
        <v>39692</v>
      </c>
      <c r="AQ5" s="1090">
        <v>39722</v>
      </c>
      <c r="AR5" s="1090">
        <v>39753</v>
      </c>
      <c r="AS5" s="1090">
        <v>39783</v>
      </c>
      <c r="AT5" s="1090">
        <v>39814</v>
      </c>
      <c r="AU5" s="1090">
        <v>39845</v>
      </c>
      <c r="AV5" s="1090">
        <v>39873</v>
      </c>
      <c r="AW5" s="1090">
        <v>39904</v>
      </c>
      <c r="AX5" s="1090">
        <v>39934</v>
      </c>
      <c r="AY5" s="1090">
        <v>39965</v>
      </c>
      <c r="AZ5" s="1090">
        <v>39995</v>
      </c>
      <c r="BA5" s="1091">
        <f>YEAR(AZ5)</f>
        <v>2009</v>
      </c>
      <c r="BB5" s="1090">
        <v>40026</v>
      </c>
      <c r="BC5" s="1090">
        <v>40057</v>
      </c>
      <c r="BD5" s="1090">
        <v>40087</v>
      </c>
      <c r="BE5" s="1090">
        <v>40118</v>
      </c>
      <c r="BF5" s="1090">
        <v>40148</v>
      </c>
      <c r="BG5" s="1090">
        <v>40179</v>
      </c>
      <c r="BH5" s="1090">
        <v>40210</v>
      </c>
      <c r="BI5" s="1090">
        <v>40238</v>
      </c>
      <c r="BJ5" s="1090">
        <v>40269</v>
      </c>
      <c r="BK5" s="1090">
        <v>40299</v>
      </c>
      <c r="BL5" s="1090">
        <v>40330</v>
      </c>
      <c r="BM5" s="1090">
        <v>40360</v>
      </c>
      <c r="BN5" s="1091">
        <f>YEAR(BM5)</f>
        <v>2010</v>
      </c>
      <c r="BO5" s="1090">
        <v>40391</v>
      </c>
      <c r="BP5" s="1090">
        <v>40422</v>
      </c>
      <c r="BQ5" s="1090">
        <v>40452</v>
      </c>
      <c r="BR5" s="1090">
        <v>40483</v>
      </c>
      <c r="BS5" s="1090">
        <v>40513</v>
      </c>
      <c r="BT5" s="1090">
        <v>40544</v>
      </c>
      <c r="BU5" s="1090">
        <v>40575</v>
      </c>
      <c r="BV5" s="1090">
        <v>40603</v>
      </c>
      <c r="BW5" s="1090">
        <v>40634</v>
      </c>
      <c r="BX5" s="1090">
        <v>40664</v>
      </c>
      <c r="BY5" s="1090">
        <v>40695</v>
      </c>
      <c r="BZ5" s="1090">
        <v>40725</v>
      </c>
      <c r="CA5" s="1091">
        <f>YEAR(BZ5)</f>
        <v>2011</v>
      </c>
      <c r="CB5" s="1090">
        <v>40756</v>
      </c>
      <c r="CC5" s="1090">
        <v>40787</v>
      </c>
      <c r="CD5" s="1090">
        <v>40817</v>
      </c>
      <c r="CE5" s="1090">
        <v>40848</v>
      </c>
      <c r="CF5" s="1090">
        <v>40878</v>
      </c>
      <c r="CG5" s="1090">
        <v>40909</v>
      </c>
      <c r="CH5" s="1090">
        <v>40940</v>
      </c>
      <c r="CI5" s="1090">
        <v>40969</v>
      </c>
      <c r="CJ5" s="1090">
        <v>41000</v>
      </c>
      <c r="CK5" s="1090">
        <v>41030</v>
      </c>
      <c r="CL5" s="1090">
        <v>41061</v>
      </c>
      <c r="CM5" s="1090">
        <v>41091</v>
      </c>
      <c r="CN5" s="1091">
        <f>YEAR(CM5)</f>
        <v>2012</v>
      </c>
      <c r="CO5" s="1090">
        <v>41122</v>
      </c>
      <c r="CP5" s="1090">
        <v>41153</v>
      </c>
      <c r="CQ5" s="1090">
        <v>41183</v>
      </c>
      <c r="CR5" s="1090">
        <v>41214</v>
      </c>
      <c r="CS5" s="1090">
        <v>41244</v>
      </c>
      <c r="CT5" s="1090">
        <v>41275</v>
      </c>
      <c r="CU5" s="1090">
        <v>41306</v>
      </c>
      <c r="CV5" s="1090">
        <v>41334</v>
      </c>
      <c r="CW5" s="1090">
        <v>41365</v>
      </c>
      <c r="CX5" s="1090">
        <v>41395</v>
      </c>
      <c r="CY5" s="1090">
        <v>41426</v>
      </c>
      <c r="CZ5" s="1090">
        <v>41456</v>
      </c>
      <c r="DA5" s="1091">
        <f>YEAR(CZ5)</f>
        <v>2013</v>
      </c>
      <c r="DB5" s="1090">
        <v>41487</v>
      </c>
      <c r="DC5" s="1090">
        <v>41518</v>
      </c>
      <c r="DD5" s="1090">
        <v>41548</v>
      </c>
      <c r="DE5" s="1090">
        <v>41579</v>
      </c>
      <c r="DF5" s="1090">
        <v>41609</v>
      </c>
      <c r="DG5" s="1090">
        <v>41640</v>
      </c>
      <c r="DH5" s="1090">
        <v>41671</v>
      </c>
      <c r="DI5" s="1090">
        <v>41699</v>
      </c>
      <c r="DJ5" s="1090">
        <v>41730</v>
      </c>
      <c r="DK5" s="1090">
        <v>41760</v>
      </c>
      <c r="DL5" s="1090">
        <v>41791</v>
      </c>
      <c r="DM5" s="1090">
        <v>41821</v>
      </c>
      <c r="DN5" s="1091">
        <f>YEAR(DM5)</f>
        <v>2014</v>
      </c>
      <c r="DO5" s="1090">
        <v>41852</v>
      </c>
      <c r="DP5" s="1090">
        <v>41883</v>
      </c>
      <c r="DQ5" s="1090">
        <v>41913</v>
      </c>
      <c r="DR5" s="1090">
        <v>41944</v>
      </c>
      <c r="DS5" s="1090">
        <v>41974</v>
      </c>
      <c r="DT5" s="1090">
        <v>42005</v>
      </c>
      <c r="DU5" s="1090">
        <v>42036</v>
      </c>
      <c r="DV5" s="1090">
        <v>42064</v>
      </c>
      <c r="DW5" s="1090">
        <v>42095</v>
      </c>
      <c r="DX5" s="1090">
        <v>42125</v>
      </c>
      <c r="DY5" s="1090">
        <v>42156</v>
      </c>
      <c r="DZ5" s="1090">
        <v>42186</v>
      </c>
      <c r="EA5" s="1091">
        <f>YEAR(DZ5)</f>
        <v>2015</v>
      </c>
      <c r="EB5" s="1090">
        <v>42217</v>
      </c>
      <c r="EC5" s="1090">
        <v>42248</v>
      </c>
      <c r="ED5" s="1090">
        <v>42278</v>
      </c>
      <c r="EE5" s="1090">
        <v>42309</v>
      </c>
      <c r="EF5" s="1090">
        <v>42339</v>
      </c>
      <c r="EG5" s="1090">
        <v>42370</v>
      </c>
      <c r="EH5" s="1090">
        <v>42401</v>
      </c>
      <c r="EI5" s="1090">
        <v>42430</v>
      </c>
      <c r="EJ5" s="1090">
        <v>42461</v>
      </c>
      <c r="EK5" s="1090">
        <v>42491</v>
      </c>
      <c r="EL5" s="1090">
        <v>42522</v>
      </c>
      <c r="EM5" s="1090">
        <v>42552</v>
      </c>
      <c r="EN5" s="1091">
        <f>YEAR(EM5)</f>
        <v>2016</v>
      </c>
      <c r="EO5" s="1090">
        <v>42583</v>
      </c>
      <c r="EP5" s="1090">
        <v>42614</v>
      </c>
      <c r="EQ5" s="1090">
        <v>42644</v>
      </c>
      <c r="ER5" s="1090">
        <v>42675</v>
      </c>
      <c r="ES5" s="1090">
        <v>42705</v>
      </c>
      <c r="ET5" s="1090">
        <v>42736</v>
      </c>
      <c r="EU5" s="1090">
        <v>42767</v>
      </c>
      <c r="EV5" s="1090">
        <v>42795</v>
      </c>
      <c r="EW5" s="1090">
        <v>42826</v>
      </c>
      <c r="EX5" s="1090">
        <v>42856</v>
      </c>
      <c r="EY5" s="1090">
        <v>42887</v>
      </c>
      <c r="EZ5" s="1090">
        <v>42917</v>
      </c>
      <c r="FA5" s="1091">
        <f>YEAR(EZ5)</f>
        <v>2017</v>
      </c>
      <c r="FB5" s="1090">
        <v>42948</v>
      </c>
      <c r="FC5" s="1090">
        <v>42979</v>
      </c>
      <c r="FD5" s="1090">
        <v>43009</v>
      </c>
      <c r="FE5" s="1090">
        <v>43040</v>
      </c>
      <c r="FF5" s="1090">
        <v>43070</v>
      </c>
      <c r="FG5" s="1090">
        <v>43101</v>
      </c>
      <c r="FH5" s="1090">
        <v>43132</v>
      </c>
      <c r="FI5" s="1090">
        <v>43160</v>
      </c>
      <c r="FJ5" s="1090">
        <v>43191</v>
      </c>
      <c r="FK5" s="1090">
        <v>43221</v>
      </c>
      <c r="FL5" s="1090">
        <v>43252</v>
      </c>
      <c r="FM5" s="1090">
        <v>43282</v>
      </c>
      <c r="FN5" s="1091">
        <f>YEAR(FM5)</f>
        <v>2018</v>
      </c>
      <c r="FO5" s="1090">
        <v>43313</v>
      </c>
      <c r="FP5" s="1090">
        <v>43344</v>
      </c>
      <c r="FQ5" s="1090">
        <v>43374</v>
      </c>
      <c r="FR5" s="1090">
        <v>43405</v>
      </c>
      <c r="FS5" s="1090">
        <v>43435</v>
      </c>
      <c r="FT5" s="1090">
        <v>43466</v>
      </c>
      <c r="FU5" s="1090">
        <v>43497</v>
      </c>
      <c r="FV5" s="1090">
        <v>43525</v>
      </c>
      <c r="FW5" s="1090">
        <v>43556</v>
      </c>
      <c r="FX5" s="1090">
        <v>43586</v>
      </c>
      <c r="FY5" s="1090">
        <v>43617</v>
      </c>
      <c r="FZ5" s="1090">
        <v>43647</v>
      </c>
      <c r="GA5" s="1091">
        <f>YEAR(FZ5)</f>
        <v>2019</v>
      </c>
      <c r="GB5" s="1090">
        <v>43678</v>
      </c>
      <c r="GC5" s="1090">
        <v>43709</v>
      </c>
      <c r="GD5" s="1090">
        <v>43739</v>
      </c>
      <c r="GE5" s="1090">
        <v>43770</v>
      </c>
      <c r="GF5" s="1090">
        <v>43800</v>
      </c>
      <c r="GG5" s="1090">
        <v>43831</v>
      </c>
      <c r="GH5" s="1090">
        <v>43862</v>
      </c>
      <c r="GI5" s="1090">
        <v>43891</v>
      </c>
      <c r="GJ5" s="1090">
        <v>43922</v>
      </c>
      <c r="GK5" s="1090">
        <v>43952</v>
      </c>
      <c r="GL5" s="1090">
        <v>43983</v>
      </c>
      <c r="GM5" s="1090">
        <v>44013</v>
      </c>
      <c r="GN5" s="1091">
        <f>YEAR(GM5)</f>
        <v>2020</v>
      </c>
      <c r="GO5" s="1090">
        <v>44044</v>
      </c>
      <c r="GP5" s="1090">
        <v>44075</v>
      </c>
      <c r="GQ5" s="1090">
        <v>44105</v>
      </c>
      <c r="GR5" s="1090">
        <v>44136</v>
      </c>
      <c r="GS5" s="1090">
        <v>44166</v>
      </c>
      <c r="GT5" s="1090">
        <v>44197</v>
      </c>
      <c r="GU5" s="1090">
        <v>44228</v>
      </c>
      <c r="GV5" s="1090">
        <v>44256</v>
      </c>
      <c r="GW5" s="1090">
        <v>44287</v>
      </c>
      <c r="GX5" s="1090">
        <v>44317</v>
      </c>
      <c r="GY5" s="1090">
        <v>44348</v>
      </c>
      <c r="GZ5" s="1090">
        <v>44378</v>
      </c>
      <c r="HA5" s="1091">
        <f>YEAR(GZ5)</f>
        <v>2021</v>
      </c>
      <c r="HB5" s="1090">
        <v>44409</v>
      </c>
      <c r="HC5" s="1090">
        <v>44440</v>
      </c>
      <c r="HD5" s="1090">
        <v>44470</v>
      </c>
      <c r="HE5" s="1090">
        <v>44501</v>
      </c>
      <c r="HF5" s="1090">
        <v>44531</v>
      </c>
      <c r="HG5" s="1090">
        <v>44562</v>
      </c>
      <c r="HH5" s="1090">
        <v>44593</v>
      </c>
      <c r="HI5" s="1090">
        <v>44621</v>
      </c>
      <c r="HJ5" s="1090">
        <v>44652</v>
      </c>
      <c r="HK5" s="1090">
        <v>44682</v>
      </c>
      <c r="HL5" s="1090">
        <v>44713</v>
      </c>
      <c r="HM5" s="1090">
        <v>44743</v>
      </c>
      <c r="HN5" s="1091">
        <f>YEAR(HM5)</f>
        <v>2022</v>
      </c>
      <c r="HO5" s="1090">
        <v>44774</v>
      </c>
      <c r="HP5" s="1090">
        <v>44805</v>
      </c>
      <c r="HQ5" s="1090">
        <v>44835</v>
      </c>
      <c r="HR5" s="1090">
        <v>44866</v>
      </c>
      <c r="HS5" s="1090">
        <v>44896</v>
      </c>
      <c r="HT5" s="1090">
        <v>44927</v>
      </c>
      <c r="HU5" s="1090">
        <v>44958</v>
      </c>
      <c r="HV5" s="1090">
        <v>44986</v>
      </c>
      <c r="HW5" s="1090">
        <v>45017</v>
      </c>
      <c r="HX5" s="1090">
        <v>45047</v>
      </c>
      <c r="HY5" s="1090">
        <v>45078</v>
      </c>
      <c r="HZ5" s="1090">
        <v>45108</v>
      </c>
      <c r="IA5" s="1091">
        <f>YEAR(HZ5)</f>
        <v>2023</v>
      </c>
      <c r="IB5" s="1090">
        <v>45139</v>
      </c>
      <c r="IC5" s="1090">
        <v>45170</v>
      </c>
      <c r="ID5" s="1090">
        <v>45200</v>
      </c>
      <c r="IE5" s="1090">
        <v>45231</v>
      </c>
      <c r="IF5" s="1090">
        <v>45261</v>
      </c>
      <c r="IG5" s="1090">
        <v>45292</v>
      </c>
      <c r="IH5" s="1090">
        <v>45323</v>
      </c>
      <c r="II5" s="1090">
        <v>45352</v>
      </c>
      <c r="IJ5" s="1090">
        <v>45383</v>
      </c>
      <c r="IK5" s="1090">
        <v>45413</v>
      </c>
      <c r="IL5" s="1090">
        <v>45444</v>
      </c>
      <c r="IM5" s="1090">
        <v>45474</v>
      </c>
      <c r="IN5" s="1091">
        <f>YEAR(IM5)</f>
        <v>2024</v>
      </c>
      <c r="IO5" s="1090">
        <v>45505</v>
      </c>
      <c r="IP5" s="1090">
        <v>45536</v>
      </c>
      <c r="IQ5" s="1090">
        <v>45566</v>
      </c>
      <c r="IR5" s="1090">
        <v>45597</v>
      </c>
      <c r="IS5" s="1090">
        <v>45627</v>
      </c>
      <c r="IT5" s="1090">
        <v>45658</v>
      </c>
      <c r="IU5" s="1090">
        <v>45689</v>
      </c>
      <c r="IV5" s="1090">
        <v>45717</v>
      </c>
      <c r="IW5" s="1090">
        <v>45748</v>
      </c>
      <c r="IX5" s="1090">
        <v>45778</v>
      </c>
      <c r="IY5" s="1090">
        <v>45809</v>
      </c>
      <c r="IZ5" s="1090">
        <v>45839</v>
      </c>
      <c r="JA5" s="1091">
        <f>YEAR(IZ5)</f>
        <v>2025</v>
      </c>
      <c r="JB5" s="1090">
        <v>45870</v>
      </c>
      <c r="JC5" s="1090">
        <v>45901</v>
      </c>
      <c r="JD5" s="1090">
        <v>45931</v>
      </c>
      <c r="JE5" s="1090">
        <v>45962</v>
      </c>
      <c r="JF5" s="1090">
        <v>45992</v>
      </c>
      <c r="JG5" s="1090">
        <v>46023</v>
      </c>
      <c r="JH5" s="1090">
        <v>46054</v>
      </c>
      <c r="JI5" s="1090">
        <v>46082</v>
      </c>
      <c r="JJ5" s="1090">
        <v>46113</v>
      </c>
      <c r="JK5" s="1090">
        <v>46143</v>
      </c>
      <c r="JL5" s="1090">
        <v>46174</v>
      </c>
      <c r="JM5" s="1090">
        <v>46204</v>
      </c>
      <c r="JN5" s="1091">
        <f>YEAR(JM5)</f>
        <v>2026</v>
      </c>
      <c r="JP5" s="1106">
        <f>JE5</f>
        <v>45962</v>
      </c>
      <c r="JQ5" s="1107" t="str">
        <f>CONCATENATE(TEXT(IO5,"MMM."),"-",TEXT(JP5,"MMM."))</f>
        <v>Ago.-Nov.</v>
      </c>
      <c r="JR5" s="1108" t="str">
        <f>JQ5</f>
        <v>Ago.-Nov.</v>
      </c>
      <c r="JS5" s="1108" t="str">
        <f>JQ5</f>
        <v>Ago.-Nov.</v>
      </c>
      <c r="JT5" s="62"/>
      <c r="JU5" s="1076" t="s">
        <v>563</v>
      </c>
      <c r="JV5" s="1077"/>
      <c r="JW5" s="1078"/>
    </row>
    <row r="6" spans="1:283" ht="15" customHeight="1" x14ac:dyDescent="0.2">
      <c r="A6" s="1129"/>
      <c r="B6" s="1092"/>
      <c r="C6" s="1092"/>
      <c r="D6" s="1092"/>
      <c r="E6" s="1092"/>
      <c r="F6" s="1092"/>
      <c r="G6" s="1092"/>
      <c r="H6" s="1092"/>
      <c r="I6" s="1092"/>
      <c r="J6" s="1092"/>
      <c r="K6" s="1092"/>
      <c r="L6" s="1092"/>
      <c r="M6" s="1092"/>
      <c r="N6" s="1093"/>
      <c r="O6" s="1092"/>
      <c r="P6" s="1092"/>
      <c r="Q6" s="1092"/>
      <c r="R6" s="1092"/>
      <c r="S6" s="1092"/>
      <c r="T6" s="1092"/>
      <c r="U6" s="1092"/>
      <c r="V6" s="1092"/>
      <c r="W6" s="1092"/>
      <c r="X6" s="1092"/>
      <c r="Y6" s="1092"/>
      <c r="Z6" s="1092"/>
      <c r="AA6" s="1093"/>
      <c r="AB6" s="1092"/>
      <c r="AC6" s="1092"/>
      <c r="AD6" s="1092"/>
      <c r="AE6" s="1092"/>
      <c r="AF6" s="1092"/>
      <c r="AG6" s="1092"/>
      <c r="AH6" s="1092"/>
      <c r="AI6" s="1092"/>
      <c r="AJ6" s="1092"/>
      <c r="AK6" s="1092"/>
      <c r="AL6" s="1092"/>
      <c r="AM6" s="1092"/>
      <c r="AN6" s="1093"/>
      <c r="AO6" s="1092"/>
      <c r="AP6" s="1092"/>
      <c r="AQ6" s="1092"/>
      <c r="AR6" s="1092"/>
      <c r="AS6" s="1092"/>
      <c r="AT6" s="1092"/>
      <c r="AU6" s="1092"/>
      <c r="AV6" s="1092"/>
      <c r="AW6" s="1092"/>
      <c r="AX6" s="1092"/>
      <c r="AY6" s="1092"/>
      <c r="AZ6" s="1092"/>
      <c r="BA6" s="1093"/>
      <c r="BB6" s="1092"/>
      <c r="BC6" s="1092"/>
      <c r="BD6" s="1092"/>
      <c r="BE6" s="1092"/>
      <c r="BF6" s="1092"/>
      <c r="BG6" s="1092"/>
      <c r="BH6" s="1092"/>
      <c r="BI6" s="1092"/>
      <c r="BJ6" s="1092"/>
      <c r="BK6" s="1092"/>
      <c r="BL6" s="1092"/>
      <c r="BM6" s="1092"/>
      <c r="BN6" s="1093"/>
      <c r="BO6" s="1092"/>
      <c r="BP6" s="1092"/>
      <c r="BQ6" s="1092"/>
      <c r="BR6" s="1092"/>
      <c r="BS6" s="1092"/>
      <c r="BT6" s="1092"/>
      <c r="BU6" s="1092"/>
      <c r="BV6" s="1092"/>
      <c r="BW6" s="1092"/>
      <c r="BX6" s="1092"/>
      <c r="BY6" s="1092"/>
      <c r="BZ6" s="1092"/>
      <c r="CA6" s="1093"/>
      <c r="CB6" s="1092"/>
      <c r="CC6" s="1092"/>
      <c r="CD6" s="1092"/>
      <c r="CE6" s="1092"/>
      <c r="CF6" s="1092"/>
      <c r="CG6" s="1092"/>
      <c r="CH6" s="1092"/>
      <c r="CI6" s="1092"/>
      <c r="CJ6" s="1092"/>
      <c r="CK6" s="1092"/>
      <c r="CL6" s="1092"/>
      <c r="CM6" s="1092"/>
      <c r="CN6" s="1093"/>
      <c r="CO6" s="1092"/>
      <c r="CP6" s="1092"/>
      <c r="CQ6" s="1092"/>
      <c r="CR6" s="1092"/>
      <c r="CS6" s="1092"/>
      <c r="CT6" s="1092"/>
      <c r="CU6" s="1092"/>
      <c r="CV6" s="1092"/>
      <c r="CW6" s="1092"/>
      <c r="CX6" s="1092"/>
      <c r="CY6" s="1092"/>
      <c r="CZ6" s="1092"/>
      <c r="DA6" s="1093"/>
      <c r="DB6" s="1092"/>
      <c r="DC6" s="1092"/>
      <c r="DD6" s="1092"/>
      <c r="DE6" s="1092"/>
      <c r="DF6" s="1092"/>
      <c r="DG6" s="1092"/>
      <c r="DH6" s="1092"/>
      <c r="DI6" s="1092"/>
      <c r="DJ6" s="1092"/>
      <c r="DK6" s="1092"/>
      <c r="DL6" s="1092"/>
      <c r="DM6" s="1092"/>
      <c r="DN6" s="1093"/>
      <c r="DO6" s="1092"/>
      <c r="DP6" s="1092"/>
      <c r="DQ6" s="1092"/>
      <c r="DR6" s="1092"/>
      <c r="DS6" s="1092"/>
      <c r="DT6" s="1092"/>
      <c r="DU6" s="1092"/>
      <c r="DV6" s="1092"/>
      <c r="DW6" s="1092"/>
      <c r="DX6" s="1092"/>
      <c r="DY6" s="1092"/>
      <c r="DZ6" s="1092"/>
      <c r="EA6" s="1093"/>
      <c r="EB6" s="1092"/>
      <c r="EC6" s="1092"/>
      <c r="ED6" s="1092"/>
      <c r="EE6" s="1092"/>
      <c r="EF6" s="1092"/>
      <c r="EG6" s="1092"/>
      <c r="EH6" s="1092"/>
      <c r="EI6" s="1092"/>
      <c r="EJ6" s="1092"/>
      <c r="EK6" s="1092"/>
      <c r="EL6" s="1092"/>
      <c r="EM6" s="1092"/>
      <c r="EN6" s="1093"/>
      <c r="EO6" s="1092"/>
      <c r="EP6" s="1092"/>
      <c r="EQ6" s="1092"/>
      <c r="ER6" s="1092"/>
      <c r="ES6" s="1092"/>
      <c r="ET6" s="1092"/>
      <c r="EU6" s="1092"/>
      <c r="EV6" s="1092"/>
      <c r="EW6" s="1092"/>
      <c r="EX6" s="1092"/>
      <c r="EY6" s="1092"/>
      <c r="EZ6" s="1092"/>
      <c r="FA6" s="1093"/>
      <c r="FB6" s="1092"/>
      <c r="FC6" s="1092"/>
      <c r="FD6" s="1092"/>
      <c r="FE6" s="1092"/>
      <c r="FF6" s="1092"/>
      <c r="FG6" s="1092"/>
      <c r="FH6" s="1092"/>
      <c r="FI6" s="1092"/>
      <c r="FJ6" s="1092"/>
      <c r="FK6" s="1092"/>
      <c r="FL6" s="1092"/>
      <c r="FM6" s="1092"/>
      <c r="FN6" s="1093"/>
      <c r="FO6" s="1092"/>
      <c r="FP6" s="1092"/>
      <c r="FQ6" s="1092"/>
      <c r="FR6" s="1092"/>
      <c r="FS6" s="1092"/>
      <c r="FT6" s="1092"/>
      <c r="FU6" s="1092"/>
      <c r="FV6" s="1092"/>
      <c r="FW6" s="1092"/>
      <c r="FX6" s="1092"/>
      <c r="FY6" s="1092"/>
      <c r="FZ6" s="1092"/>
      <c r="GA6" s="1093"/>
      <c r="GB6" s="1092"/>
      <c r="GC6" s="1092"/>
      <c r="GD6" s="1092"/>
      <c r="GE6" s="1092"/>
      <c r="GF6" s="1092"/>
      <c r="GG6" s="1092"/>
      <c r="GH6" s="1092"/>
      <c r="GI6" s="1092"/>
      <c r="GJ6" s="1092"/>
      <c r="GK6" s="1092"/>
      <c r="GL6" s="1092"/>
      <c r="GM6" s="1092"/>
      <c r="GN6" s="1093"/>
      <c r="GO6" s="1092"/>
      <c r="GP6" s="1092"/>
      <c r="GQ6" s="1092"/>
      <c r="GR6" s="1092"/>
      <c r="GS6" s="1092"/>
      <c r="GT6" s="1092"/>
      <c r="GU6" s="1092"/>
      <c r="GV6" s="1092"/>
      <c r="GW6" s="1092"/>
      <c r="GX6" s="1092"/>
      <c r="GY6" s="1092"/>
      <c r="GZ6" s="1092"/>
      <c r="HA6" s="1093"/>
      <c r="HB6" s="1092"/>
      <c r="HC6" s="1092"/>
      <c r="HD6" s="1092"/>
      <c r="HE6" s="1092"/>
      <c r="HF6" s="1092"/>
      <c r="HG6" s="1092"/>
      <c r="HH6" s="1092"/>
      <c r="HI6" s="1092"/>
      <c r="HJ6" s="1092"/>
      <c r="HK6" s="1092"/>
      <c r="HL6" s="1092"/>
      <c r="HM6" s="1092"/>
      <c r="HN6" s="1093"/>
      <c r="HO6" s="1092"/>
      <c r="HP6" s="1092"/>
      <c r="HQ6" s="1092"/>
      <c r="HR6" s="1092"/>
      <c r="HS6" s="1092"/>
      <c r="HT6" s="1092"/>
      <c r="HU6" s="1092"/>
      <c r="HV6" s="1092"/>
      <c r="HW6" s="1092"/>
      <c r="HX6" s="1092"/>
      <c r="HY6" s="1092"/>
      <c r="HZ6" s="1092"/>
      <c r="IA6" s="1093"/>
      <c r="IB6" s="1092"/>
      <c r="IC6" s="1092"/>
      <c r="ID6" s="1092"/>
      <c r="IE6" s="1092"/>
      <c r="IF6" s="1092"/>
      <c r="IG6" s="1092"/>
      <c r="IH6" s="1092"/>
      <c r="II6" s="1092"/>
      <c r="IJ6" s="1092"/>
      <c r="IK6" s="1092"/>
      <c r="IL6" s="1092"/>
      <c r="IM6" s="1092"/>
      <c r="IN6" s="1093"/>
      <c r="IO6" s="1092"/>
      <c r="IP6" s="1092"/>
      <c r="IQ6" s="1092"/>
      <c r="IR6" s="1092"/>
      <c r="IS6" s="1092"/>
      <c r="IT6" s="1092"/>
      <c r="IU6" s="1092"/>
      <c r="IV6" s="1092"/>
      <c r="IW6" s="1092"/>
      <c r="IX6" s="1092"/>
      <c r="IY6" s="1092"/>
      <c r="IZ6" s="1092"/>
      <c r="JA6" s="1093"/>
      <c r="JB6" s="1092"/>
      <c r="JC6" s="1092"/>
      <c r="JD6" s="1092"/>
      <c r="JE6" s="1092"/>
      <c r="JF6" s="1092"/>
      <c r="JG6" s="1092"/>
      <c r="JH6" s="1092"/>
      <c r="JI6" s="1092"/>
      <c r="JJ6" s="1092"/>
      <c r="JK6" s="1092"/>
      <c r="JL6" s="1092"/>
      <c r="JM6" s="1092"/>
      <c r="JN6" s="1093"/>
      <c r="JP6" s="1109"/>
      <c r="JQ6" s="1110"/>
      <c r="JR6" s="1111"/>
      <c r="JS6" s="1112"/>
      <c r="JT6" s="62"/>
      <c r="JU6" s="1079"/>
      <c r="JV6" s="1080"/>
      <c r="JW6" s="1081"/>
    </row>
    <row r="7" spans="1:283" ht="15" customHeight="1" x14ac:dyDescent="0.2">
      <c r="A7" s="1130" t="s">
        <v>22</v>
      </c>
      <c r="B7" s="1094">
        <f t="shared" ref="B7:BM7" si="0">SUM(B9:B45)</f>
        <v>12</v>
      </c>
      <c r="C7" s="1094">
        <f t="shared" si="0"/>
        <v>7</v>
      </c>
      <c r="D7" s="1094">
        <f t="shared" si="0"/>
        <v>12</v>
      </c>
      <c r="E7" s="1094">
        <f t="shared" si="0"/>
        <v>17</v>
      </c>
      <c r="F7" s="1094">
        <f t="shared" si="0"/>
        <v>16</v>
      </c>
      <c r="G7" s="1094">
        <f t="shared" si="0"/>
        <v>27</v>
      </c>
      <c r="H7" s="1094">
        <f t="shared" si="0"/>
        <v>47</v>
      </c>
      <c r="I7" s="1094">
        <f t="shared" si="0"/>
        <v>35</v>
      </c>
      <c r="J7" s="1094">
        <f t="shared" si="0"/>
        <v>38</v>
      </c>
      <c r="K7" s="1094">
        <f t="shared" si="0"/>
        <v>15</v>
      </c>
      <c r="L7" s="1094">
        <f t="shared" si="0"/>
        <v>26</v>
      </c>
      <c r="M7" s="1094">
        <f t="shared" si="0"/>
        <v>8</v>
      </c>
      <c r="N7" s="1095">
        <f>SUM(B7:M7)</f>
        <v>260</v>
      </c>
      <c r="O7" s="1094">
        <f t="shared" si="0"/>
        <v>68</v>
      </c>
      <c r="P7" s="1094">
        <f t="shared" si="0"/>
        <v>23</v>
      </c>
      <c r="Q7" s="1094">
        <f t="shared" si="0"/>
        <v>8</v>
      </c>
      <c r="R7" s="1094">
        <f t="shared" si="0"/>
        <v>19</v>
      </c>
      <c r="S7" s="1094">
        <f t="shared" si="0"/>
        <v>30</v>
      </c>
      <c r="T7" s="1094">
        <f t="shared" si="0"/>
        <v>51</v>
      </c>
      <c r="U7" s="1094">
        <f t="shared" si="0"/>
        <v>22</v>
      </c>
      <c r="V7" s="1094">
        <f t="shared" si="0"/>
        <v>95</v>
      </c>
      <c r="W7" s="1094">
        <f t="shared" si="0"/>
        <v>32</v>
      </c>
      <c r="X7" s="1094">
        <f t="shared" si="0"/>
        <v>58</v>
      </c>
      <c r="Y7" s="1094">
        <f t="shared" si="0"/>
        <v>41</v>
      </c>
      <c r="Z7" s="1094">
        <f t="shared" si="0"/>
        <v>15</v>
      </c>
      <c r="AA7" s="1095">
        <f>SUM(O7:Z7)</f>
        <v>462</v>
      </c>
      <c r="AB7" s="1094">
        <f t="shared" si="0"/>
        <v>3</v>
      </c>
      <c r="AC7" s="1094">
        <f t="shared" si="0"/>
        <v>39</v>
      </c>
      <c r="AD7" s="1094">
        <f t="shared" si="0"/>
        <v>57</v>
      </c>
      <c r="AE7" s="1094">
        <f t="shared" si="0"/>
        <v>33</v>
      </c>
      <c r="AF7" s="1094">
        <f t="shared" si="0"/>
        <v>70</v>
      </c>
      <c r="AG7" s="1094">
        <f t="shared" si="0"/>
        <v>88</v>
      </c>
      <c r="AH7" s="1094">
        <f t="shared" si="0"/>
        <v>24</v>
      </c>
      <c r="AI7" s="1094">
        <f t="shared" si="0"/>
        <v>15</v>
      </c>
      <c r="AJ7" s="1094">
        <f t="shared" si="0"/>
        <v>45</v>
      </c>
      <c r="AK7" s="1094">
        <f t="shared" si="0"/>
        <v>36</v>
      </c>
      <c r="AL7" s="1094">
        <f t="shared" si="0"/>
        <v>31</v>
      </c>
      <c r="AM7" s="1094">
        <f t="shared" si="0"/>
        <v>14</v>
      </c>
      <c r="AN7" s="1095">
        <f>SUM(AB7:AM7)</f>
        <v>455</v>
      </c>
      <c r="AO7" s="1094">
        <f t="shared" si="0"/>
        <v>27</v>
      </c>
      <c r="AP7" s="1094">
        <f t="shared" si="0"/>
        <v>21</v>
      </c>
      <c r="AQ7" s="1094">
        <f t="shared" si="0"/>
        <v>46</v>
      </c>
      <c r="AR7" s="1094">
        <f t="shared" si="0"/>
        <v>56</v>
      </c>
      <c r="AS7" s="1094">
        <f t="shared" si="0"/>
        <v>19</v>
      </c>
      <c r="AT7" s="1094">
        <f t="shared" si="0"/>
        <v>161</v>
      </c>
      <c r="AU7" s="1094">
        <f t="shared" si="0"/>
        <v>91</v>
      </c>
      <c r="AV7" s="1094">
        <f t="shared" si="0"/>
        <v>50</v>
      </c>
      <c r="AW7" s="1094">
        <f t="shared" si="0"/>
        <v>74</v>
      </c>
      <c r="AX7" s="1094">
        <f t="shared" si="0"/>
        <v>41</v>
      </c>
      <c r="AY7" s="1094">
        <f t="shared" si="0"/>
        <v>35</v>
      </c>
      <c r="AZ7" s="1094">
        <f t="shared" si="0"/>
        <v>39</v>
      </c>
      <c r="BA7" s="1095">
        <f>SUM(AO7:AZ7)</f>
        <v>660</v>
      </c>
      <c r="BB7" s="1094">
        <f t="shared" si="0"/>
        <v>35</v>
      </c>
      <c r="BC7" s="1094">
        <f t="shared" si="0"/>
        <v>87</v>
      </c>
      <c r="BD7" s="1094">
        <f t="shared" si="0"/>
        <v>56</v>
      </c>
      <c r="BE7" s="1094">
        <f t="shared" si="0"/>
        <v>26</v>
      </c>
      <c r="BF7" s="1094">
        <f t="shared" si="0"/>
        <v>29</v>
      </c>
      <c r="BG7" s="1094">
        <f t="shared" si="0"/>
        <v>118</v>
      </c>
      <c r="BH7" s="1094">
        <f t="shared" si="0"/>
        <v>73</v>
      </c>
      <c r="BI7" s="1094">
        <f t="shared" si="0"/>
        <v>43</v>
      </c>
      <c r="BJ7" s="1094">
        <f t="shared" si="0"/>
        <v>53</v>
      </c>
      <c r="BK7" s="1094">
        <f t="shared" si="0"/>
        <v>65</v>
      </c>
      <c r="BL7" s="1094">
        <f t="shared" si="0"/>
        <v>56</v>
      </c>
      <c r="BM7" s="1094">
        <f t="shared" si="0"/>
        <v>55</v>
      </c>
      <c r="BN7" s="1095">
        <f>SUM(BB7:BM7)</f>
        <v>696</v>
      </c>
      <c r="BO7" s="1094">
        <f t="shared" ref="BO7:BZ7" si="1">SUM(BO9:BO45)</f>
        <v>32</v>
      </c>
      <c r="BP7" s="1094">
        <f t="shared" si="1"/>
        <v>32</v>
      </c>
      <c r="BQ7" s="1094">
        <f t="shared" si="1"/>
        <v>38</v>
      </c>
      <c r="BR7" s="1094">
        <f t="shared" si="1"/>
        <v>98</v>
      </c>
      <c r="BS7" s="1094">
        <f t="shared" si="1"/>
        <v>86</v>
      </c>
      <c r="BT7" s="1094">
        <f t="shared" si="1"/>
        <v>68.333333333333329</v>
      </c>
      <c r="BU7" s="1094">
        <f t="shared" si="1"/>
        <v>57</v>
      </c>
      <c r="BV7" s="1094">
        <f t="shared" si="1"/>
        <v>81</v>
      </c>
      <c r="BW7" s="1094">
        <f t="shared" si="1"/>
        <v>137</v>
      </c>
      <c r="BX7" s="1094">
        <f t="shared" si="1"/>
        <v>69</v>
      </c>
      <c r="BY7" s="1094">
        <f t="shared" si="1"/>
        <v>48</v>
      </c>
      <c r="BZ7" s="1094">
        <f t="shared" si="1"/>
        <v>31</v>
      </c>
      <c r="CA7" s="1095">
        <f>SUM(BO7:BZ7)</f>
        <v>777.33333333333326</v>
      </c>
      <c r="CB7" s="1094">
        <f t="shared" ref="CB7:CM7" si="2">SUM(CB9:CB45)</f>
        <v>346</v>
      </c>
      <c r="CC7" s="1094">
        <f t="shared" si="2"/>
        <v>38</v>
      </c>
      <c r="CD7" s="1094">
        <f t="shared" si="2"/>
        <v>49</v>
      </c>
      <c r="CE7" s="1094">
        <f t="shared" si="2"/>
        <v>52</v>
      </c>
      <c r="CF7" s="1094">
        <f t="shared" si="2"/>
        <v>57</v>
      </c>
      <c r="CG7" s="1094">
        <f t="shared" si="2"/>
        <v>57</v>
      </c>
      <c r="CH7" s="1094">
        <f t="shared" si="2"/>
        <v>41</v>
      </c>
      <c r="CI7" s="1094">
        <f t="shared" si="2"/>
        <v>64</v>
      </c>
      <c r="CJ7" s="1094">
        <f t="shared" si="2"/>
        <v>55</v>
      </c>
      <c r="CK7" s="1094">
        <f t="shared" si="2"/>
        <v>64</v>
      </c>
      <c r="CL7" s="1094">
        <f t="shared" si="2"/>
        <v>42</v>
      </c>
      <c r="CM7" s="1094">
        <f t="shared" si="2"/>
        <v>49</v>
      </c>
      <c r="CN7" s="1095">
        <f>SUM(CB7:CM7)</f>
        <v>914</v>
      </c>
      <c r="CO7" s="1094">
        <f t="shared" ref="CO7:CZ7" si="3">SUM(CO9:CO45)</f>
        <v>42</v>
      </c>
      <c r="CP7" s="1094">
        <f t="shared" si="3"/>
        <v>6</v>
      </c>
      <c r="CQ7" s="1094">
        <f t="shared" si="3"/>
        <v>37</v>
      </c>
      <c r="CR7" s="1094">
        <f t="shared" si="3"/>
        <v>64</v>
      </c>
      <c r="CS7" s="1094">
        <f t="shared" si="3"/>
        <v>55</v>
      </c>
      <c r="CT7" s="1094">
        <f t="shared" si="3"/>
        <v>57</v>
      </c>
      <c r="CU7" s="1094">
        <f t="shared" si="3"/>
        <v>65</v>
      </c>
      <c r="CV7" s="1094">
        <f t="shared" si="3"/>
        <v>65</v>
      </c>
      <c r="CW7" s="1094">
        <f t="shared" si="3"/>
        <v>104</v>
      </c>
      <c r="CX7" s="1094">
        <f t="shared" si="3"/>
        <v>94</v>
      </c>
      <c r="CY7" s="1094">
        <f t="shared" si="3"/>
        <v>88</v>
      </c>
      <c r="CZ7" s="1094">
        <f t="shared" si="3"/>
        <v>57</v>
      </c>
      <c r="DA7" s="1095">
        <f>SUM(CO7:CZ7)</f>
        <v>734</v>
      </c>
      <c r="DB7" s="1094">
        <f t="shared" ref="DB7:DL7" si="4">SUM(DB9:DB45)</f>
        <v>79</v>
      </c>
      <c r="DC7" s="1094">
        <f t="shared" si="4"/>
        <v>84</v>
      </c>
      <c r="DD7" s="1094">
        <f t="shared" si="4"/>
        <v>112</v>
      </c>
      <c r="DE7" s="1094">
        <f t="shared" si="4"/>
        <v>57</v>
      </c>
      <c r="DF7" s="1094">
        <f t="shared" si="4"/>
        <v>40</v>
      </c>
      <c r="DG7" s="1094">
        <f t="shared" si="4"/>
        <v>54</v>
      </c>
      <c r="DH7" s="1094">
        <f t="shared" si="4"/>
        <v>64</v>
      </c>
      <c r="DI7" s="1094">
        <f t="shared" si="4"/>
        <v>65</v>
      </c>
      <c r="DJ7" s="1094">
        <f t="shared" si="4"/>
        <v>56</v>
      </c>
      <c r="DK7" s="1094">
        <f t="shared" si="4"/>
        <v>59</v>
      </c>
      <c r="DL7" s="1094">
        <f t="shared" si="4"/>
        <v>60</v>
      </c>
      <c r="DM7" s="1094">
        <v>2245.8947832776212</v>
      </c>
      <c r="DN7" s="1095">
        <f>SUM(DB7:DM7)</f>
        <v>2975.8947832776212</v>
      </c>
      <c r="DO7" s="1094">
        <v>2240.9486399592597</v>
      </c>
      <c r="DP7" s="1094">
        <v>519.82294270542582</v>
      </c>
      <c r="DQ7" s="1094">
        <v>560.6040278052609</v>
      </c>
      <c r="DR7" s="1094">
        <v>276.71173752454933</v>
      </c>
      <c r="DS7" s="1094">
        <v>266.55488384103774</v>
      </c>
      <c r="DT7" s="1094">
        <v>474.32151835848532</v>
      </c>
      <c r="DU7" s="1094">
        <v>247.50620560971223</v>
      </c>
      <c r="DV7" s="1094">
        <v>294.95438118628027</v>
      </c>
      <c r="DW7" s="1094">
        <v>449.12302281985126</v>
      </c>
      <c r="DX7" s="1094">
        <v>372.07981278265879</v>
      </c>
      <c r="DY7" s="1094">
        <f>SUM(DY9:DY45)</f>
        <v>72</v>
      </c>
      <c r="DZ7" s="1094">
        <v>1856.7540611596842</v>
      </c>
      <c r="EA7" s="1095">
        <f>SUM(DO7:DZ7)</f>
        <v>7631.3812337522058</v>
      </c>
      <c r="EB7" s="1094">
        <f>SUM(EB13:EB52)</f>
        <v>27</v>
      </c>
      <c r="EC7" s="1094">
        <f>SUM(EC13:EC52)</f>
        <v>47</v>
      </c>
      <c r="ED7" s="1094">
        <f>SUM(ED13:ED52)</f>
        <v>33</v>
      </c>
      <c r="EE7" s="1094">
        <f t="shared" ref="EE7:EM7" si="5">SUM(EE13:EE52)</f>
        <v>58</v>
      </c>
      <c r="EF7" s="1094">
        <f t="shared" si="5"/>
        <v>43</v>
      </c>
      <c r="EG7" s="1094">
        <f t="shared" si="5"/>
        <v>38</v>
      </c>
      <c r="EH7" s="1094">
        <f t="shared" si="5"/>
        <v>69</v>
      </c>
      <c r="EI7" s="1094">
        <f t="shared" si="5"/>
        <v>38</v>
      </c>
      <c r="EJ7" s="1094">
        <f t="shared" si="5"/>
        <v>17</v>
      </c>
      <c r="EK7" s="1094">
        <f t="shared" si="5"/>
        <v>11</v>
      </c>
      <c r="EL7" s="1094">
        <f t="shared" si="5"/>
        <v>20</v>
      </c>
      <c r="EM7" s="1094">
        <f t="shared" si="5"/>
        <v>16</v>
      </c>
      <c r="EN7" s="1095">
        <f>SUM(EB7:EM7)</f>
        <v>417</v>
      </c>
      <c r="EO7" s="1094">
        <f t="shared" ref="EO7:EZ7" si="6">SUM(EO9:EO45)</f>
        <v>28</v>
      </c>
      <c r="EP7" s="1094">
        <f t="shared" si="6"/>
        <v>18</v>
      </c>
      <c r="EQ7" s="1094">
        <f t="shared" si="6"/>
        <v>1</v>
      </c>
      <c r="ER7" s="1094">
        <f t="shared" si="6"/>
        <v>6</v>
      </c>
      <c r="ES7" s="1094">
        <f t="shared" si="6"/>
        <v>19</v>
      </c>
      <c r="ET7" s="1094">
        <f t="shared" si="6"/>
        <v>16</v>
      </c>
      <c r="EU7" s="1094">
        <f t="shared" si="6"/>
        <v>7</v>
      </c>
      <c r="EV7" s="1094">
        <f t="shared" si="6"/>
        <v>17</v>
      </c>
      <c r="EW7" s="1094">
        <f t="shared" si="6"/>
        <v>11</v>
      </c>
      <c r="EX7" s="1094">
        <f t="shared" si="6"/>
        <v>13</v>
      </c>
      <c r="EY7" s="1094">
        <f t="shared" si="6"/>
        <v>19</v>
      </c>
      <c r="EZ7" s="1094">
        <f t="shared" si="6"/>
        <v>56</v>
      </c>
      <c r="FA7" s="1095">
        <f>SUM(EO7:EZ7)</f>
        <v>211</v>
      </c>
      <c r="FB7" s="1094">
        <f t="shared" ref="FB7:FM7" si="7">SUM(FB9:FB45)</f>
        <v>63</v>
      </c>
      <c r="FC7" s="1094">
        <f t="shared" si="7"/>
        <v>96</v>
      </c>
      <c r="FD7" s="1094">
        <f t="shared" si="7"/>
        <v>259</v>
      </c>
      <c r="FE7" s="1094">
        <f t="shared" si="7"/>
        <v>594</v>
      </c>
      <c r="FF7" s="1094">
        <f t="shared" si="7"/>
        <v>90</v>
      </c>
      <c r="FG7" s="1094">
        <f t="shared" si="7"/>
        <v>64</v>
      </c>
      <c r="FH7" s="1094">
        <f t="shared" si="7"/>
        <v>343</v>
      </c>
      <c r="FI7" s="1094">
        <f t="shared" si="7"/>
        <v>57</v>
      </c>
      <c r="FJ7" s="1094">
        <f t="shared" si="7"/>
        <v>147</v>
      </c>
      <c r="FK7" s="1094">
        <f t="shared" si="7"/>
        <v>197</v>
      </c>
      <c r="FL7" s="1094">
        <f t="shared" si="7"/>
        <v>47</v>
      </c>
      <c r="FM7" s="1094">
        <f t="shared" si="7"/>
        <v>26</v>
      </c>
      <c r="FN7" s="1095">
        <f>SUM(FB7:FM7)</f>
        <v>1983</v>
      </c>
      <c r="FO7" s="1094">
        <f t="shared" ref="FO7:FZ7" si="8">SUM(FO9:FO45)</f>
        <v>34</v>
      </c>
      <c r="FP7" s="1094">
        <f t="shared" si="8"/>
        <v>13</v>
      </c>
      <c r="FQ7" s="1094">
        <f t="shared" si="8"/>
        <v>397</v>
      </c>
      <c r="FR7" s="1094">
        <f t="shared" si="8"/>
        <v>642</v>
      </c>
      <c r="FS7" s="1094">
        <f t="shared" si="8"/>
        <v>12</v>
      </c>
      <c r="FT7" s="1094">
        <f t="shared" si="8"/>
        <v>92</v>
      </c>
      <c r="FU7" s="1094">
        <f t="shared" si="8"/>
        <v>170</v>
      </c>
      <c r="FV7" s="1094">
        <f t="shared" si="8"/>
        <v>46</v>
      </c>
      <c r="FW7" s="1094">
        <f t="shared" si="8"/>
        <v>54</v>
      </c>
      <c r="FX7" s="1094">
        <f t="shared" si="8"/>
        <v>41</v>
      </c>
      <c r="FY7" s="1094">
        <f t="shared" si="8"/>
        <v>23</v>
      </c>
      <c r="FZ7" s="1094">
        <f t="shared" si="8"/>
        <v>29</v>
      </c>
      <c r="GA7" s="1095">
        <f>SUM(FO7:FZ7)</f>
        <v>1553</v>
      </c>
      <c r="GB7" s="1094">
        <f t="shared" ref="GB7:GM7" si="9">SUM(GB9:GB45)</f>
        <v>3</v>
      </c>
      <c r="GC7" s="1094">
        <f t="shared" si="9"/>
        <v>5</v>
      </c>
      <c r="GD7" s="1094">
        <f t="shared" si="9"/>
        <v>132</v>
      </c>
      <c r="GE7" s="1094">
        <f t="shared" si="9"/>
        <v>1571</v>
      </c>
      <c r="GF7" s="1094">
        <f t="shared" si="9"/>
        <v>6</v>
      </c>
      <c r="GG7" s="1094">
        <f t="shared" si="9"/>
        <v>149</v>
      </c>
      <c r="GH7" s="1094">
        <f t="shared" si="9"/>
        <v>156</v>
      </c>
      <c r="GI7" s="1094">
        <f t="shared" si="9"/>
        <v>200</v>
      </c>
      <c r="GJ7" s="1094">
        <f t="shared" si="9"/>
        <v>54</v>
      </c>
      <c r="GK7" s="1094">
        <f t="shared" si="9"/>
        <v>59</v>
      </c>
      <c r="GL7" s="1094">
        <f t="shared" si="9"/>
        <v>26</v>
      </c>
      <c r="GM7" s="1094">
        <f t="shared" si="9"/>
        <v>626</v>
      </c>
      <c r="GN7" s="1095">
        <f>SUM(GB7:GM7)</f>
        <v>2987</v>
      </c>
      <c r="GO7" s="1094">
        <f t="shared" ref="GO7:IM7" si="10">SUM(GO9:GO45)</f>
        <v>8</v>
      </c>
      <c r="GP7" s="1094">
        <f t="shared" si="10"/>
        <v>16</v>
      </c>
      <c r="GQ7" s="1094">
        <f t="shared" si="10"/>
        <v>109</v>
      </c>
      <c r="GR7" s="1094">
        <f t="shared" si="10"/>
        <v>98.5</v>
      </c>
      <c r="GS7" s="1094">
        <f t="shared" si="10"/>
        <v>3.5</v>
      </c>
      <c r="GT7" s="1094">
        <f t="shared" si="10"/>
        <v>36</v>
      </c>
      <c r="GU7" s="1094">
        <f t="shared" si="10"/>
        <v>117</v>
      </c>
      <c r="GV7" s="1094">
        <f t="shared" si="10"/>
        <v>71</v>
      </c>
      <c r="GW7" s="1094">
        <f t="shared" si="10"/>
        <v>47</v>
      </c>
      <c r="GX7" s="1094">
        <f t="shared" si="10"/>
        <v>20</v>
      </c>
      <c r="GY7" s="1094">
        <f t="shared" si="10"/>
        <v>44</v>
      </c>
      <c r="GZ7" s="1094">
        <f t="shared" si="10"/>
        <v>29</v>
      </c>
      <c r="HA7" s="1095">
        <f>SUM(GO7:GZ7)</f>
        <v>599</v>
      </c>
      <c r="HB7" s="1094">
        <f t="shared" si="10"/>
        <v>18.5</v>
      </c>
      <c r="HC7" s="1094">
        <f t="shared" si="10"/>
        <v>691</v>
      </c>
      <c r="HD7" s="1094">
        <f t="shared" si="10"/>
        <v>754</v>
      </c>
      <c r="HE7" s="1094">
        <f t="shared" si="10"/>
        <v>162</v>
      </c>
      <c r="HF7" s="1094">
        <f t="shared" si="10"/>
        <v>1</v>
      </c>
      <c r="HG7" s="1094">
        <f t="shared" si="10"/>
        <v>9</v>
      </c>
      <c r="HH7" s="1094">
        <f t="shared" si="10"/>
        <v>46.2</v>
      </c>
      <c r="HI7" s="1094">
        <f t="shared" si="10"/>
        <v>77</v>
      </c>
      <c r="HJ7" s="1094">
        <f t="shared" si="10"/>
        <v>48</v>
      </c>
      <c r="HK7" s="1094">
        <f t="shared" si="10"/>
        <v>55</v>
      </c>
      <c r="HL7" s="1094">
        <f t="shared" si="10"/>
        <v>43</v>
      </c>
      <c r="HM7" s="1094">
        <f t="shared" si="10"/>
        <v>3</v>
      </c>
      <c r="HN7" s="1095">
        <f>SUM(HB7:HM7)</f>
        <v>1907.7</v>
      </c>
      <c r="HO7" s="1094">
        <f t="shared" si="10"/>
        <v>42.5</v>
      </c>
      <c r="HP7" s="1094">
        <f t="shared" si="10"/>
        <v>148</v>
      </c>
      <c r="HQ7" s="1094">
        <f t="shared" si="10"/>
        <v>253.5</v>
      </c>
      <c r="HR7" s="1094">
        <f t="shared" si="10"/>
        <v>43</v>
      </c>
      <c r="HS7" s="1094">
        <f t="shared" si="10"/>
        <v>51</v>
      </c>
      <c r="HT7" s="1094">
        <f t="shared" si="10"/>
        <v>76</v>
      </c>
      <c r="HU7" s="1094">
        <f t="shared" si="10"/>
        <v>68</v>
      </c>
      <c r="HV7" s="1094">
        <f t="shared" si="10"/>
        <v>310.5</v>
      </c>
      <c r="HW7" s="1094">
        <f t="shared" si="10"/>
        <v>354.5</v>
      </c>
      <c r="HX7" s="1094">
        <f t="shared" si="10"/>
        <v>284.5</v>
      </c>
      <c r="HY7" s="1094">
        <f t="shared" si="10"/>
        <v>292.5</v>
      </c>
      <c r="HZ7" s="1094">
        <f t="shared" si="10"/>
        <v>287.60000000000002</v>
      </c>
      <c r="IA7" s="1095">
        <f>SUM(HO7:HZ7)</f>
        <v>2211.6</v>
      </c>
      <c r="IB7" s="1094">
        <f t="shared" si="10"/>
        <v>293.5</v>
      </c>
      <c r="IC7" s="1094">
        <f t="shared" si="10"/>
        <v>298.5</v>
      </c>
      <c r="ID7" s="1094">
        <f t="shared" si="10"/>
        <v>307.5</v>
      </c>
      <c r="IE7" s="1094">
        <f t="shared" si="10"/>
        <v>282.5</v>
      </c>
      <c r="IF7" s="1094">
        <f t="shared" si="10"/>
        <v>282</v>
      </c>
      <c r="IG7" s="1094">
        <f t="shared" si="10"/>
        <v>26</v>
      </c>
      <c r="IH7" s="1094">
        <f t="shared" si="10"/>
        <v>4</v>
      </c>
      <c r="II7" s="1094">
        <f t="shared" si="10"/>
        <v>33</v>
      </c>
      <c r="IJ7" s="1094">
        <f t="shared" si="10"/>
        <v>64</v>
      </c>
      <c r="IK7" s="1094">
        <f t="shared" si="10"/>
        <v>1</v>
      </c>
      <c r="IL7" s="1094">
        <f t="shared" si="10"/>
        <v>3</v>
      </c>
      <c r="IM7" s="1094">
        <f t="shared" si="10"/>
        <v>0</v>
      </c>
      <c r="IN7" s="1095">
        <f>SUM(IB7:IM7)</f>
        <v>1595</v>
      </c>
      <c r="IO7" s="1094"/>
      <c r="IP7" s="1094"/>
      <c r="IQ7" s="1094">
        <v>67</v>
      </c>
      <c r="IR7" s="1094">
        <v>165</v>
      </c>
      <c r="IS7" s="1094">
        <v>65</v>
      </c>
      <c r="IT7" s="1094">
        <v>2</v>
      </c>
      <c r="IU7" s="1094">
        <v>81</v>
      </c>
      <c r="IV7" s="1094">
        <v>54.5</v>
      </c>
      <c r="IW7" s="1094">
        <v>35.5</v>
      </c>
      <c r="IX7" s="1094">
        <v>46.5</v>
      </c>
      <c r="IY7" s="1094">
        <v>39.25</v>
      </c>
      <c r="IZ7" s="1094">
        <v>51.25</v>
      </c>
      <c r="JA7" s="1095">
        <f>SUM(IO7:IZ7)</f>
        <v>607</v>
      </c>
      <c r="JB7" s="1094">
        <v>57.5</v>
      </c>
      <c r="JC7" s="1094"/>
      <c r="JD7" s="1094">
        <f t="shared" ref="JD7:JM7" si="11">SUM(JD9:JD45)</f>
        <v>19</v>
      </c>
      <c r="JE7" s="1094">
        <f t="shared" si="11"/>
        <v>1144.5</v>
      </c>
      <c r="JF7" s="1094">
        <f t="shared" si="11"/>
        <v>104</v>
      </c>
      <c r="JG7" s="1094">
        <f t="shared" si="11"/>
        <v>88.5</v>
      </c>
      <c r="JH7" s="1094">
        <f t="shared" si="11"/>
        <v>0</v>
      </c>
      <c r="JI7" s="1094">
        <f t="shared" si="11"/>
        <v>0</v>
      </c>
      <c r="JJ7" s="1094">
        <f t="shared" si="11"/>
        <v>0</v>
      </c>
      <c r="JK7" s="1094">
        <f t="shared" si="11"/>
        <v>0</v>
      </c>
      <c r="JL7" s="1094">
        <f t="shared" si="11"/>
        <v>0</v>
      </c>
      <c r="JM7" s="1094">
        <f t="shared" si="11"/>
        <v>0</v>
      </c>
      <c r="JN7" s="1095">
        <f>SUM(JB7:JM7)</f>
        <v>1413.5</v>
      </c>
      <c r="JO7" s="72"/>
      <c r="JP7" s="1113">
        <f>IFERROR(((
_xlfn.XLOOKUP((DATE(YEAR($JP$5),MONTH($JP$5),1)),$B$5:$JN$5,$B7:$JN7) /
_xlfn.XLOOKUP((DATE(YEAR($JP$5)-1,MONTH($JP$5),1)),$B$5:$JN$5,$B7:$JN7)
)-1)*100,"")</f>
        <v>593.63636363636363</v>
      </c>
      <c r="JQ7" s="1171">
        <f>IFERROR(((JS7/JR7)-1)*100,"")</f>
        <v>426.29310344827587</v>
      </c>
      <c r="JR7" s="1114">
        <f>SUMIFS(
  $B7:$JN7,
  $B$5:$JN$5,"&gt;="&amp;DATE(IF(MONTH($JP$5)&gt;=8,YEAR($JP$5)-1,YEAR($JP$5)-2),8,1),
  $B$5:$JN$5,"&lt;="&amp;DATE(IF(MONTH($JP$5)&gt;=8,YEAR($JP$5)-1,YEAR($JP$5)-1),MONTH($JP$5),1)
)</f>
        <v>232</v>
      </c>
      <c r="JS7" s="1115">
        <f>SUMIFS(
  $B7:$JN7,
  $B$5:$JN$5,"&gt;="&amp;DATE(IF(MONTH($JP$5)&gt;=8,YEAR($JP$5),YEAR($JP$5)-1),8,1),
  $B$5:$JN$5,"&lt;="&amp;DATE(YEAR($JP$5),MONTH($JP$5),1)
)</f>
        <v>1221</v>
      </c>
      <c r="JT7" s="77"/>
      <c r="JU7" s="1121"/>
      <c r="JV7" s="1215"/>
      <c r="JW7" s="1149"/>
    </row>
    <row r="8" spans="1:283" ht="15" customHeight="1" x14ac:dyDescent="0.2">
      <c r="A8" s="1129"/>
      <c r="B8" s="1096"/>
      <c r="C8" s="1096"/>
      <c r="D8" s="1096"/>
      <c r="E8" s="1096"/>
      <c r="F8" s="1096"/>
      <c r="G8" s="1096"/>
      <c r="H8" s="1096"/>
      <c r="I8" s="1096"/>
      <c r="J8" s="1096"/>
      <c r="K8" s="1096"/>
      <c r="L8" s="1096"/>
      <c r="M8" s="1096"/>
      <c r="N8" s="1097"/>
      <c r="O8" s="1096"/>
      <c r="P8" s="1096"/>
      <c r="Q8" s="1096"/>
      <c r="R8" s="1096"/>
      <c r="S8" s="1096"/>
      <c r="T8" s="1096"/>
      <c r="U8" s="1096"/>
      <c r="V8" s="1096"/>
      <c r="W8" s="1096"/>
      <c r="X8" s="1096"/>
      <c r="Y8" s="1096"/>
      <c r="Z8" s="1096"/>
      <c r="AA8" s="1097"/>
      <c r="AB8" s="1096"/>
      <c r="AC8" s="1096"/>
      <c r="AD8" s="1096"/>
      <c r="AE8" s="1096"/>
      <c r="AF8" s="1096"/>
      <c r="AG8" s="1096"/>
      <c r="AH8" s="1096"/>
      <c r="AI8" s="1096"/>
      <c r="AJ8" s="1096"/>
      <c r="AK8" s="1096"/>
      <c r="AL8" s="1096"/>
      <c r="AM8" s="1096"/>
      <c r="AN8" s="1097"/>
      <c r="AO8" s="1096"/>
      <c r="AP8" s="1096"/>
      <c r="AQ8" s="1096"/>
      <c r="AR8" s="1096"/>
      <c r="AS8" s="1096"/>
      <c r="AT8" s="1096"/>
      <c r="AU8" s="1096"/>
      <c r="AV8" s="1096"/>
      <c r="AW8" s="1096"/>
      <c r="AX8" s="1096"/>
      <c r="AY8" s="1096"/>
      <c r="AZ8" s="1096"/>
      <c r="BA8" s="1097"/>
      <c r="BB8" s="1096"/>
      <c r="BC8" s="1096"/>
      <c r="BD8" s="1096"/>
      <c r="BE8" s="1096"/>
      <c r="BF8" s="1096"/>
      <c r="BG8" s="1096"/>
      <c r="BH8" s="1096"/>
      <c r="BI8" s="1096"/>
      <c r="BJ8" s="1096"/>
      <c r="BK8" s="1096"/>
      <c r="BL8" s="1096"/>
      <c r="BM8" s="1096"/>
      <c r="BN8" s="1097"/>
      <c r="BO8" s="1096"/>
      <c r="BP8" s="1096"/>
      <c r="BQ8" s="1096"/>
      <c r="BR8" s="1096"/>
      <c r="BS8" s="1096"/>
      <c r="BT8" s="1096"/>
      <c r="BU8" s="1096"/>
      <c r="BV8" s="1096"/>
      <c r="BW8" s="1096"/>
      <c r="BX8" s="1096"/>
      <c r="BY8" s="1096"/>
      <c r="BZ8" s="1096"/>
      <c r="CA8" s="1097"/>
      <c r="CB8" s="1096"/>
      <c r="CC8" s="1096"/>
      <c r="CD8" s="1096"/>
      <c r="CE8" s="1096"/>
      <c r="CF8" s="1096"/>
      <c r="CG8" s="1096"/>
      <c r="CH8" s="1096"/>
      <c r="CI8" s="1096"/>
      <c r="CJ8" s="1096"/>
      <c r="CK8" s="1096"/>
      <c r="CL8" s="1096"/>
      <c r="CM8" s="1096"/>
      <c r="CN8" s="1097"/>
      <c r="CO8" s="1096"/>
      <c r="CP8" s="1096"/>
      <c r="CQ8" s="1096"/>
      <c r="CR8" s="1096"/>
      <c r="CS8" s="1096"/>
      <c r="CT8" s="1096"/>
      <c r="CU8" s="1096"/>
      <c r="CV8" s="1096"/>
      <c r="CW8" s="1096"/>
      <c r="CX8" s="1096"/>
      <c r="CY8" s="1096"/>
      <c r="CZ8" s="1096"/>
      <c r="DA8" s="1097"/>
      <c r="DB8" s="1096"/>
      <c r="DC8" s="1096"/>
      <c r="DD8" s="1096"/>
      <c r="DE8" s="1096"/>
      <c r="DF8" s="1096"/>
      <c r="DG8" s="1096"/>
      <c r="DH8" s="1096"/>
      <c r="DI8" s="1096"/>
      <c r="DJ8" s="1096"/>
      <c r="DK8" s="1096"/>
      <c r="DL8" s="1096"/>
      <c r="DM8" s="1096"/>
      <c r="DN8" s="1097"/>
      <c r="DO8" s="1096"/>
      <c r="DP8" s="1096"/>
      <c r="DQ8" s="1096"/>
      <c r="DR8" s="1096"/>
      <c r="DS8" s="1096"/>
      <c r="DT8" s="1096"/>
      <c r="DU8" s="1096"/>
      <c r="DV8" s="1096"/>
      <c r="DW8" s="1096"/>
      <c r="DX8" s="1096"/>
      <c r="DY8" s="1096"/>
      <c r="DZ8" s="1096"/>
      <c r="EA8" s="1097"/>
      <c r="EB8" s="1096"/>
      <c r="EC8" s="1096"/>
      <c r="ED8" s="1096"/>
      <c r="EE8" s="1096"/>
      <c r="EF8" s="1096"/>
      <c r="EG8" s="1096"/>
      <c r="EH8" s="1096"/>
      <c r="EI8" s="1096"/>
      <c r="EJ8" s="1096"/>
      <c r="EK8" s="1096"/>
      <c r="EL8" s="1096"/>
      <c r="EM8" s="1096"/>
      <c r="EN8" s="1097"/>
      <c r="EO8" s="1096"/>
      <c r="EP8" s="1096"/>
      <c r="EQ8" s="1096"/>
      <c r="ER8" s="1096"/>
      <c r="ES8" s="1096"/>
      <c r="ET8" s="1096"/>
      <c r="EU8" s="1096"/>
      <c r="EV8" s="1096"/>
      <c r="EW8" s="1096"/>
      <c r="EX8" s="1096"/>
      <c r="EY8" s="1096"/>
      <c r="EZ8" s="1096"/>
      <c r="FA8" s="1097"/>
      <c r="FB8" s="1096"/>
      <c r="FC8" s="1096"/>
      <c r="FD8" s="1096"/>
      <c r="FE8" s="1096"/>
      <c r="FF8" s="1096"/>
      <c r="FG8" s="1096"/>
      <c r="FH8" s="1096"/>
      <c r="FI8" s="1096"/>
      <c r="FJ8" s="1096"/>
      <c r="FK8" s="1096"/>
      <c r="FL8" s="1096"/>
      <c r="FM8" s="1096"/>
      <c r="FN8" s="1097"/>
      <c r="FO8" s="1096"/>
      <c r="FP8" s="1096"/>
      <c r="FQ8" s="1096"/>
      <c r="FR8" s="1096"/>
      <c r="FS8" s="1096"/>
      <c r="FT8" s="1096"/>
      <c r="FU8" s="1096"/>
      <c r="FV8" s="1096"/>
      <c r="FW8" s="1096"/>
      <c r="FX8" s="1096"/>
      <c r="FY8" s="1096"/>
      <c r="FZ8" s="1096"/>
      <c r="GA8" s="1097"/>
      <c r="GB8" s="1096"/>
      <c r="GC8" s="1096"/>
      <c r="GD8" s="1096"/>
      <c r="GE8" s="1096"/>
      <c r="GF8" s="1096"/>
      <c r="GG8" s="1096"/>
      <c r="GH8" s="1096"/>
      <c r="GI8" s="1096"/>
      <c r="GJ8" s="1096"/>
      <c r="GK8" s="1096"/>
      <c r="GL8" s="1096"/>
      <c r="GM8" s="1096"/>
      <c r="GN8" s="1097"/>
      <c r="GO8" s="1096"/>
      <c r="GP8" s="1096"/>
      <c r="GQ8" s="1096"/>
      <c r="GR8" s="1096"/>
      <c r="GS8" s="1096"/>
      <c r="GT8" s="1096"/>
      <c r="GU8" s="1096"/>
      <c r="GV8" s="1096"/>
      <c r="GW8" s="1096"/>
      <c r="GX8" s="1096"/>
      <c r="GY8" s="1096"/>
      <c r="GZ8" s="1096"/>
      <c r="HA8" s="1097"/>
      <c r="HB8" s="1096"/>
      <c r="HC8" s="1096"/>
      <c r="HD8" s="1096"/>
      <c r="HE8" s="1096"/>
      <c r="HF8" s="1096"/>
      <c r="HG8" s="1096"/>
      <c r="HH8" s="1096"/>
      <c r="HI8" s="1096"/>
      <c r="HJ8" s="1096"/>
      <c r="HK8" s="1096"/>
      <c r="HL8" s="1096"/>
      <c r="HM8" s="1096"/>
      <c r="HN8" s="1097"/>
      <c r="HO8" s="1096"/>
      <c r="HP8" s="1096"/>
      <c r="HQ8" s="1096"/>
      <c r="HR8" s="1096"/>
      <c r="HS8" s="1096"/>
      <c r="HT8" s="1096"/>
      <c r="HU8" s="1096"/>
      <c r="HV8" s="1096"/>
      <c r="HW8" s="1096"/>
      <c r="HX8" s="1096"/>
      <c r="HY8" s="1096"/>
      <c r="HZ8" s="1096"/>
      <c r="IA8" s="1097"/>
      <c r="IB8" s="1096"/>
      <c r="IC8" s="1096"/>
      <c r="ID8" s="1096"/>
      <c r="IE8" s="1096"/>
      <c r="IF8" s="1096"/>
      <c r="IG8" s="1096"/>
      <c r="IH8" s="1096"/>
      <c r="II8" s="1096"/>
      <c r="IJ8" s="1096"/>
      <c r="IK8" s="1096"/>
      <c r="IL8" s="1096"/>
      <c r="IM8" s="1096"/>
      <c r="IN8" s="1097"/>
      <c r="IO8" s="1096"/>
      <c r="IP8" s="1096"/>
      <c r="IQ8" s="1096"/>
      <c r="IR8" s="1096"/>
      <c r="IS8" s="1096"/>
      <c r="IT8" s="1096"/>
      <c r="IU8" s="1096"/>
      <c r="IV8" s="1096"/>
      <c r="IW8" s="1096"/>
      <c r="IX8" s="1096"/>
      <c r="IY8" s="1096"/>
      <c r="IZ8" s="1096"/>
      <c r="JA8" s="1097"/>
      <c r="JB8" s="1096"/>
      <c r="JC8" s="1096"/>
      <c r="JD8" s="1096"/>
      <c r="JE8" s="1096"/>
      <c r="JF8" s="1096"/>
      <c r="JG8" s="1096"/>
      <c r="JH8" s="1096"/>
      <c r="JI8" s="1096"/>
      <c r="JJ8" s="1096"/>
      <c r="JK8" s="1096"/>
      <c r="JL8" s="1096"/>
      <c r="JM8" s="1096"/>
      <c r="JN8" s="1097"/>
      <c r="JO8" s="72"/>
      <c r="JP8" s="1137"/>
      <c r="JQ8" s="1138"/>
      <c r="JR8" s="1139"/>
      <c r="JS8" s="1140"/>
      <c r="JT8" s="77"/>
      <c r="JU8" s="1079"/>
      <c r="JV8" s="1080"/>
      <c r="JW8" s="1081"/>
    </row>
    <row r="9" spans="1:283" ht="15" customHeight="1" x14ac:dyDescent="0.2">
      <c r="A9" s="1129" t="s">
        <v>45</v>
      </c>
      <c r="B9" s="1098"/>
      <c r="C9" s="1098"/>
      <c r="D9" s="1098"/>
      <c r="E9" s="1098"/>
      <c r="F9" s="1098"/>
      <c r="G9" s="1098"/>
      <c r="H9" s="1098"/>
      <c r="I9" s="1098"/>
      <c r="J9" s="1098"/>
      <c r="K9" s="1098"/>
      <c r="L9" s="1098"/>
      <c r="M9" s="1098"/>
      <c r="N9" s="1097">
        <f t="shared" ref="N9:N45" si="12">SUM(B9:M9)</f>
        <v>0</v>
      </c>
      <c r="O9" s="1098"/>
      <c r="P9" s="1098"/>
      <c r="Q9" s="1098"/>
      <c r="R9" s="1098"/>
      <c r="S9" s="1098"/>
      <c r="T9" s="1098"/>
      <c r="U9" s="1098"/>
      <c r="V9" s="1098"/>
      <c r="W9" s="1098"/>
      <c r="X9" s="1098"/>
      <c r="Y9" s="1098"/>
      <c r="Z9" s="1098"/>
      <c r="AA9" s="1097">
        <f t="shared" ref="AA9:AA45" si="13">SUM(O9:Z9)</f>
        <v>0</v>
      </c>
      <c r="AB9" s="1098"/>
      <c r="AC9" s="1098"/>
      <c r="AD9" s="1098"/>
      <c r="AE9" s="1098"/>
      <c r="AF9" s="1098"/>
      <c r="AG9" s="1098"/>
      <c r="AH9" s="1098"/>
      <c r="AI9" s="1098"/>
      <c r="AJ9" s="1098"/>
      <c r="AK9" s="1098"/>
      <c r="AL9" s="1098"/>
      <c r="AM9" s="1098"/>
      <c r="AN9" s="1097">
        <f t="shared" ref="AN9:AN45" si="14">SUM(AB9:AM9)</f>
        <v>0</v>
      </c>
      <c r="AO9" s="1098"/>
      <c r="AP9" s="1098"/>
      <c r="AQ9" s="1098"/>
      <c r="AR9" s="1098"/>
      <c r="AS9" s="1098"/>
      <c r="AT9" s="1098"/>
      <c r="AU9" s="1098"/>
      <c r="AV9" s="1098"/>
      <c r="AW9" s="1098"/>
      <c r="AX9" s="1098"/>
      <c r="AY9" s="1098"/>
      <c r="AZ9" s="1098"/>
      <c r="BA9" s="1097">
        <f t="shared" ref="BA9:BA45" si="15">SUM(AO9:AZ9)</f>
        <v>0</v>
      </c>
      <c r="BB9" s="1098"/>
      <c r="BC9" s="1098"/>
      <c r="BD9" s="1098"/>
      <c r="BE9" s="1098"/>
      <c r="BF9" s="1098"/>
      <c r="BG9" s="1098"/>
      <c r="BH9" s="1098"/>
      <c r="BI9" s="1098"/>
      <c r="BJ9" s="1098"/>
      <c r="BK9" s="1098"/>
      <c r="BL9" s="1098"/>
      <c r="BM9" s="1098"/>
      <c r="BN9" s="1097">
        <f t="shared" ref="BN9:BN45" si="16">SUM(BB9:BM9)</f>
        <v>0</v>
      </c>
      <c r="BO9" s="1098"/>
      <c r="BP9" s="1098"/>
      <c r="BQ9" s="1098"/>
      <c r="BR9" s="1098"/>
      <c r="BS9" s="1098"/>
      <c r="BT9" s="1098"/>
      <c r="BU9" s="1098"/>
      <c r="BV9" s="1098"/>
      <c r="BW9" s="1098"/>
      <c r="BX9" s="1098"/>
      <c r="BY9" s="1098"/>
      <c r="BZ9" s="1098"/>
      <c r="CA9" s="1097">
        <f t="shared" ref="CA9:CA45" si="17">SUM(BO9:BZ9)</f>
        <v>0</v>
      </c>
      <c r="CB9" s="1098"/>
      <c r="CC9" s="1098"/>
      <c r="CD9" s="1098"/>
      <c r="CE9" s="1098"/>
      <c r="CF9" s="1098"/>
      <c r="CG9" s="1098"/>
      <c r="CH9" s="1098"/>
      <c r="CI9" s="1098"/>
      <c r="CJ9" s="1098"/>
      <c r="CK9" s="1098"/>
      <c r="CL9" s="1098"/>
      <c r="CM9" s="1098"/>
      <c r="CN9" s="1097">
        <f t="shared" ref="CN9:CN45" si="18">SUM(CB9:CM9)</f>
        <v>0</v>
      </c>
      <c r="CO9" s="1098"/>
      <c r="CP9" s="1098"/>
      <c r="CQ9" s="1098"/>
      <c r="CR9" s="1098"/>
      <c r="CS9" s="1098"/>
      <c r="CT9" s="1098"/>
      <c r="CU9" s="1098"/>
      <c r="CV9" s="1098"/>
      <c r="CW9" s="1098"/>
      <c r="CX9" s="1098"/>
      <c r="CY9" s="1098"/>
      <c r="CZ9" s="1098"/>
      <c r="DA9" s="1097">
        <f t="shared" ref="DA9:DA45" si="19">SUM(CO9:CZ9)</f>
        <v>0</v>
      </c>
      <c r="DB9" s="1098"/>
      <c r="DC9" s="1098"/>
      <c r="DD9" s="1098"/>
      <c r="DE9" s="1098"/>
      <c r="DF9" s="1098"/>
      <c r="DG9" s="1098"/>
      <c r="DH9" s="1098"/>
      <c r="DI9" s="1098"/>
      <c r="DJ9" s="1098"/>
      <c r="DK9" s="1098"/>
      <c r="DL9" s="1098"/>
      <c r="DM9" s="1098"/>
      <c r="DN9" s="1097">
        <f t="shared" ref="DN9:DN45" si="20">SUM(DB9:DM9)</f>
        <v>0</v>
      </c>
      <c r="DO9" s="1098"/>
      <c r="DP9" s="1098"/>
      <c r="DQ9" s="1098"/>
      <c r="DR9" s="1098"/>
      <c r="DS9" s="1098"/>
      <c r="DT9" s="1098"/>
      <c r="DU9" s="1098"/>
      <c r="DV9" s="1098"/>
      <c r="DW9" s="1098"/>
      <c r="DX9" s="1098"/>
      <c r="DY9" s="1098"/>
      <c r="DZ9" s="1098"/>
      <c r="EA9" s="1097">
        <f t="shared" ref="EA9:EA45" si="21">SUM(DO9:DZ9)</f>
        <v>0</v>
      </c>
      <c r="EB9" s="1098"/>
      <c r="EC9" s="1098"/>
      <c r="ED9" s="1098"/>
      <c r="EE9" s="1098"/>
      <c r="EF9" s="1098"/>
      <c r="EG9" s="1098"/>
      <c r="EH9" s="1098"/>
      <c r="EI9" s="1098"/>
      <c r="EJ9" s="1098"/>
      <c r="EK9" s="1098"/>
      <c r="EL9" s="1098"/>
      <c r="EM9" s="1098"/>
      <c r="EN9" s="1097">
        <f t="shared" ref="EN9:EN45" si="22">SUM(EB9:EM9)</f>
        <v>0</v>
      </c>
      <c r="EO9" s="1098"/>
      <c r="EP9" s="1098"/>
      <c r="EQ9" s="1098"/>
      <c r="ER9" s="1098"/>
      <c r="ES9" s="1098"/>
      <c r="ET9" s="1098"/>
      <c r="EU9" s="1098"/>
      <c r="EV9" s="1098"/>
      <c r="EW9" s="1098"/>
      <c r="EX9" s="1098"/>
      <c r="EY9" s="1098"/>
      <c r="EZ9" s="1098"/>
      <c r="FA9" s="1097">
        <f t="shared" ref="FA9:FA45" si="23">SUM(EO9:EZ9)</f>
        <v>0</v>
      </c>
      <c r="FB9" s="1098"/>
      <c r="FC9" s="1098"/>
      <c r="FD9" s="1098"/>
      <c r="FE9" s="1098"/>
      <c r="FF9" s="1098"/>
      <c r="FG9" s="1098"/>
      <c r="FH9" s="1098"/>
      <c r="FI9" s="1098"/>
      <c r="FJ9" s="1098"/>
      <c r="FK9" s="1098"/>
      <c r="FL9" s="1098"/>
      <c r="FM9" s="1098"/>
      <c r="FN9" s="1097">
        <f t="shared" ref="FN9:FN45" si="24">SUM(FB9:FM9)</f>
        <v>0</v>
      </c>
      <c r="FO9" s="1098"/>
      <c r="FP9" s="1098"/>
      <c r="FQ9" s="1098"/>
      <c r="FR9" s="1098"/>
      <c r="FS9" s="1098"/>
      <c r="FT9" s="1098">
        <v>1</v>
      </c>
      <c r="FU9" s="1098">
        <v>1</v>
      </c>
      <c r="FV9" s="1098">
        <v>1</v>
      </c>
      <c r="FW9" s="1098">
        <v>1</v>
      </c>
      <c r="FX9" s="1098"/>
      <c r="FY9" s="1098"/>
      <c r="FZ9" s="1098"/>
      <c r="GA9" s="1097">
        <f t="shared" ref="GA9:GA45" si="25">SUM(FO9:FZ9)</f>
        <v>4</v>
      </c>
      <c r="GB9" s="1098"/>
      <c r="GC9" s="1098"/>
      <c r="GD9" s="1098"/>
      <c r="GE9" s="1098"/>
      <c r="GF9" s="1098"/>
      <c r="GG9" s="1098"/>
      <c r="GH9" s="1098"/>
      <c r="GI9" s="1098">
        <v>6</v>
      </c>
      <c r="GJ9" s="1098"/>
      <c r="GK9" s="1098"/>
      <c r="GL9" s="1098"/>
      <c r="GM9" s="1098"/>
      <c r="GN9" s="1097">
        <f t="shared" ref="GN9:GN45" si="26">SUM(GB9:GM9)</f>
        <v>6</v>
      </c>
      <c r="GO9" s="1098">
        <v>7</v>
      </c>
      <c r="GP9" s="1098">
        <v>7</v>
      </c>
      <c r="GQ9" s="1098">
        <v>2</v>
      </c>
      <c r="GR9" s="1098">
        <v>9</v>
      </c>
      <c r="GS9" s="1098">
        <v>3</v>
      </c>
      <c r="GT9" s="1098">
        <v>8</v>
      </c>
      <c r="GU9" s="1098">
        <v>3</v>
      </c>
      <c r="GV9" s="1098">
        <v>12</v>
      </c>
      <c r="GW9" s="1098">
        <v>10</v>
      </c>
      <c r="GX9" s="1098">
        <v>6</v>
      </c>
      <c r="GY9" s="1098">
        <v>4</v>
      </c>
      <c r="GZ9" s="1098">
        <v>11</v>
      </c>
      <c r="HA9" s="1097">
        <f t="shared" ref="HA9:HA45" si="27">SUM(GO9:GZ9)</f>
        <v>82</v>
      </c>
      <c r="HB9" s="1098">
        <v>9.5</v>
      </c>
      <c r="HC9" s="1098">
        <v>1</v>
      </c>
      <c r="HD9" s="1098">
        <v>2</v>
      </c>
      <c r="HE9" s="1098">
        <v>1</v>
      </c>
      <c r="HF9" s="1098">
        <v>1</v>
      </c>
      <c r="HG9" s="1098">
        <v>3</v>
      </c>
      <c r="HH9" s="1098">
        <v>2</v>
      </c>
      <c r="HI9" s="1098">
        <v>4</v>
      </c>
      <c r="HJ9" s="1098">
        <v>4</v>
      </c>
      <c r="HK9" s="1098">
        <v>21</v>
      </c>
      <c r="HL9" s="1098">
        <v>17</v>
      </c>
      <c r="HM9" s="1098"/>
      <c r="HN9" s="1097">
        <f t="shared" ref="HN9:HN45" si="28">SUM(HB9:HM9)</f>
        <v>65.5</v>
      </c>
      <c r="HO9" s="1098">
        <v>9.5</v>
      </c>
      <c r="HP9" s="1098">
        <v>7</v>
      </c>
      <c r="HQ9" s="1098">
        <v>12</v>
      </c>
      <c r="HR9" s="1098">
        <v>17</v>
      </c>
      <c r="HS9" s="1098">
        <v>12</v>
      </c>
      <c r="HT9" s="1098"/>
      <c r="HU9" s="1098">
        <v>3</v>
      </c>
      <c r="HV9" s="1098">
        <v>8</v>
      </c>
      <c r="HW9" s="1098">
        <v>10</v>
      </c>
      <c r="HX9" s="1098">
        <v>10</v>
      </c>
      <c r="HY9" s="1098">
        <v>12</v>
      </c>
      <c r="HZ9" s="1098">
        <v>13</v>
      </c>
      <c r="IA9" s="1097">
        <f t="shared" ref="IA9:IA45" si="29">SUM(HO9:HZ9)</f>
        <v>113.5</v>
      </c>
      <c r="IB9" s="1098">
        <v>12</v>
      </c>
      <c r="IC9" s="1098">
        <v>5</v>
      </c>
      <c r="ID9" s="1098">
        <v>19</v>
      </c>
      <c r="IE9" s="1098"/>
      <c r="IF9" s="1098"/>
      <c r="IG9" s="1098"/>
      <c r="IH9" s="1098"/>
      <c r="II9" s="1098"/>
      <c r="IJ9" s="1098">
        <v>22</v>
      </c>
      <c r="IK9" s="1098"/>
      <c r="IL9" s="1098"/>
      <c r="IM9" s="1098"/>
      <c r="IN9" s="1097">
        <f t="shared" ref="IN9:IN45" si="30">SUM(IB9:IM9)</f>
        <v>58</v>
      </c>
      <c r="IO9" s="1098"/>
      <c r="IP9" s="1098"/>
      <c r="IQ9" s="1098"/>
      <c r="IR9" s="1098"/>
      <c r="IS9" s="1098"/>
      <c r="IT9" s="1098"/>
      <c r="IU9" s="1098"/>
      <c r="IV9" s="1098"/>
      <c r="IW9" s="1098"/>
      <c r="IX9" s="1098"/>
      <c r="IY9" s="1098"/>
      <c r="IZ9" s="1098"/>
      <c r="JA9" s="1097">
        <f t="shared" ref="JA9:JA45" si="31">SUM(IO9:IZ9)</f>
        <v>0</v>
      </c>
      <c r="JB9" s="1098"/>
      <c r="JC9" s="1098"/>
      <c r="JD9" s="1098"/>
      <c r="JE9" s="1098"/>
      <c r="JF9" s="1098"/>
      <c r="JG9" s="1098">
        <v>0</v>
      </c>
      <c r="JH9" s="1098"/>
      <c r="JI9" s="1098"/>
      <c r="JJ9" s="1098"/>
      <c r="JK9" s="1098"/>
      <c r="JL9" s="1098"/>
      <c r="JM9" s="1098"/>
      <c r="JN9" s="1097">
        <f t="shared" ref="JN9:JN45" si="32">SUM(JB9:JM9)</f>
        <v>0</v>
      </c>
      <c r="JP9" s="1137" t="str">
        <f t="shared" ref="JP9:JP45" si="33">IFERROR(((
_xlfn.XLOOKUP((DATE(YEAR($JP$5),MONTH($JP$5),1)),$B$5:$JN$5,$B9:$JN9) /
_xlfn.XLOOKUP((DATE(YEAR($JP$5)-1,MONTH($JP$5),1)),$B$5:$JN$5,$B9:$JN9)
)-1)*100,"")</f>
        <v/>
      </c>
      <c r="JQ9" s="1138" t="str">
        <f t="shared" ref="JQ9:JQ45" si="34">IFERROR(((JS9/JR9)-1)*100,"")</f>
        <v/>
      </c>
      <c r="JR9" s="1139">
        <f t="shared" ref="JR9:JR45" si="35">SUMIFS(
  $B9:$JN9,
  $B$5:$JN$5,"&gt;="&amp;DATE(IF(MONTH($JP$5)&gt;=8,YEAR($JP$5)-1,YEAR($JP$5)-2),8,1),
  $B$5:$JN$5,"&lt;="&amp;DATE(IF(MONTH($JP$5)&gt;=8,YEAR($JP$5)-1,YEAR($JP$5)-1),MONTH($JP$5),1)
)</f>
        <v>0</v>
      </c>
      <c r="JS9" s="1140">
        <f t="shared" ref="JS9:JS45" si="36">SUMIFS(
  $B9:$JN9,
  $B$5:$JN$5,"&gt;="&amp;DATE(IF(MONTH($JP$5)&gt;=8,YEAR($JP$5),YEAR($JP$5)-1),8,1),
  $B$5:$JN$5,"&lt;="&amp;DATE(YEAR($JP$5),MONTH($JP$5),1)
)</f>
        <v>0</v>
      </c>
      <c r="JT9" s="62"/>
      <c r="JU9" s="1139">
        <f t="shared" ref="JU9:JU45" si="37">SUM(B9:JN9)</f>
        <v>658</v>
      </c>
      <c r="JV9" s="1146" t="s">
        <v>45</v>
      </c>
      <c r="JW9" s="1147" t="str">
        <f t="shared" ref="JW9:JW45" si="38">IF(EXACT(A9,JV9)=TRUE,"OK","VER")</f>
        <v>OK</v>
      </c>
    </row>
    <row r="10" spans="1:283" ht="15" customHeight="1" x14ac:dyDescent="0.2">
      <c r="A10" s="1129" t="s">
        <v>30</v>
      </c>
      <c r="B10" s="1098"/>
      <c r="C10" s="1098"/>
      <c r="D10" s="1098"/>
      <c r="E10" s="1098"/>
      <c r="F10" s="1098"/>
      <c r="G10" s="1098"/>
      <c r="H10" s="1098"/>
      <c r="I10" s="1098"/>
      <c r="J10" s="1098"/>
      <c r="K10" s="1098"/>
      <c r="L10" s="1098"/>
      <c r="M10" s="1098"/>
      <c r="N10" s="1097">
        <f t="shared" si="12"/>
        <v>0</v>
      </c>
      <c r="O10" s="1098"/>
      <c r="P10" s="1098"/>
      <c r="Q10" s="1098"/>
      <c r="R10" s="1098"/>
      <c r="S10" s="1098"/>
      <c r="T10" s="1098"/>
      <c r="U10" s="1098"/>
      <c r="V10" s="1098"/>
      <c r="W10" s="1098"/>
      <c r="X10" s="1098"/>
      <c r="Y10" s="1098"/>
      <c r="Z10" s="1098"/>
      <c r="AA10" s="1097">
        <f t="shared" si="13"/>
        <v>0</v>
      </c>
      <c r="AB10" s="1098"/>
      <c r="AC10" s="1098"/>
      <c r="AD10" s="1098"/>
      <c r="AE10" s="1098"/>
      <c r="AF10" s="1098"/>
      <c r="AG10" s="1098"/>
      <c r="AH10" s="1098"/>
      <c r="AI10" s="1098"/>
      <c r="AJ10" s="1098"/>
      <c r="AK10" s="1098"/>
      <c r="AL10" s="1098"/>
      <c r="AM10" s="1098"/>
      <c r="AN10" s="1097">
        <f t="shared" si="14"/>
        <v>0</v>
      </c>
      <c r="AO10" s="1098"/>
      <c r="AP10" s="1098"/>
      <c r="AQ10" s="1098"/>
      <c r="AR10" s="1098"/>
      <c r="AS10" s="1098"/>
      <c r="AT10" s="1098"/>
      <c r="AU10" s="1098"/>
      <c r="AV10" s="1098"/>
      <c r="AW10" s="1098"/>
      <c r="AX10" s="1098"/>
      <c r="AY10" s="1098"/>
      <c r="AZ10" s="1098"/>
      <c r="BA10" s="1097">
        <f t="shared" si="15"/>
        <v>0</v>
      </c>
      <c r="BB10" s="1098"/>
      <c r="BC10" s="1098"/>
      <c r="BD10" s="1098"/>
      <c r="BE10" s="1098"/>
      <c r="BF10" s="1098"/>
      <c r="BG10" s="1098"/>
      <c r="BH10" s="1098"/>
      <c r="BI10" s="1098"/>
      <c r="BJ10" s="1098"/>
      <c r="BK10" s="1098"/>
      <c r="BL10" s="1098"/>
      <c r="BM10" s="1098"/>
      <c r="BN10" s="1097">
        <f t="shared" si="16"/>
        <v>0</v>
      </c>
      <c r="BO10" s="1098"/>
      <c r="BP10" s="1098"/>
      <c r="BQ10" s="1098"/>
      <c r="BR10" s="1098"/>
      <c r="BS10" s="1098"/>
      <c r="BT10" s="1098"/>
      <c r="BU10" s="1098"/>
      <c r="BV10" s="1098"/>
      <c r="BW10" s="1098"/>
      <c r="BX10" s="1098"/>
      <c r="BY10" s="1098"/>
      <c r="BZ10" s="1098"/>
      <c r="CA10" s="1097">
        <f t="shared" si="17"/>
        <v>0</v>
      </c>
      <c r="CB10" s="1098"/>
      <c r="CC10" s="1098"/>
      <c r="CD10" s="1098"/>
      <c r="CE10" s="1098"/>
      <c r="CF10" s="1098"/>
      <c r="CG10" s="1098"/>
      <c r="CH10" s="1098"/>
      <c r="CI10" s="1098"/>
      <c r="CJ10" s="1098"/>
      <c r="CK10" s="1098"/>
      <c r="CL10" s="1098"/>
      <c r="CM10" s="1098"/>
      <c r="CN10" s="1097">
        <f t="shared" si="18"/>
        <v>0</v>
      </c>
      <c r="CO10" s="1098"/>
      <c r="CP10" s="1098"/>
      <c r="CQ10" s="1098"/>
      <c r="CR10" s="1098"/>
      <c r="CS10" s="1098"/>
      <c r="CT10" s="1098"/>
      <c r="CU10" s="1098"/>
      <c r="CV10" s="1098"/>
      <c r="CW10" s="1098"/>
      <c r="CX10" s="1098"/>
      <c r="CY10" s="1098"/>
      <c r="CZ10" s="1098"/>
      <c r="DA10" s="1097">
        <f t="shared" si="19"/>
        <v>0</v>
      </c>
      <c r="DB10" s="1098"/>
      <c r="DC10" s="1098"/>
      <c r="DD10" s="1098"/>
      <c r="DE10" s="1098"/>
      <c r="DF10" s="1098"/>
      <c r="DG10" s="1098"/>
      <c r="DH10" s="1098"/>
      <c r="DI10" s="1098"/>
      <c r="DJ10" s="1098"/>
      <c r="DK10" s="1098"/>
      <c r="DL10" s="1098"/>
      <c r="DM10" s="1098"/>
      <c r="DN10" s="1097">
        <f t="shared" si="20"/>
        <v>0</v>
      </c>
      <c r="DO10" s="1098"/>
      <c r="DP10" s="1098"/>
      <c r="DQ10" s="1098"/>
      <c r="DR10" s="1098"/>
      <c r="DS10" s="1098"/>
      <c r="DT10" s="1098"/>
      <c r="DU10" s="1098"/>
      <c r="DV10" s="1098"/>
      <c r="DW10" s="1098"/>
      <c r="DX10" s="1098"/>
      <c r="DY10" s="1098"/>
      <c r="DZ10" s="1098"/>
      <c r="EA10" s="1097">
        <f t="shared" si="21"/>
        <v>0</v>
      </c>
      <c r="EB10" s="1098"/>
      <c r="EC10" s="1098"/>
      <c r="ED10" s="1098"/>
      <c r="EE10" s="1098"/>
      <c r="EF10" s="1098"/>
      <c r="EG10" s="1098"/>
      <c r="EH10" s="1098"/>
      <c r="EI10" s="1098"/>
      <c r="EJ10" s="1098"/>
      <c r="EK10" s="1098"/>
      <c r="EL10" s="1098"/>
      <c r="EM10" s="1098"/>
      <c r="EN10" s="1097">
        <f t="shared" si="22"/>
        <v>0</v>
      </c>
      <c r="EO10" s="1098"/>
      <c r="EP10" s="1098"/>
      <c r="EQ10" s="1098"/>
      <c r="ER10" s="1098"/>
      <c r="ES10" s="1098"/>
      <c r="ET10" s="1098"/>
      <c r="EU10" s="1098"/>
      <c r="EV10" s="1098"/>
      <c r="EW10" s="1098"/>
      <c r="EX10" s="1098"/>
      <c r="EY10" s="1098"/>
      <c r="EZ10" s="1098"/>
      <c r="FA10" s="1097">
        <f t="shared" si="23"/>
        <v>0</v>
      </c>
      <c r="FB10" s="1098"/>
      <c r="FC10" s="1098"/>
      <c r="FD10" s="1098"/>
      <c r="FE10" s="1098"/>
      <c r="FF10" s="1098"/>
      <c r="FG10" s="1098"/>
      <c r="FH10" s="1098"/>
      <c r="FI10" s="1098"/>
      <c r="FJ10" s="1098"/>
      <c r="FK10" s="1098"/>
      <c r="FL10" s="1098"/>
      <c r="FM10" s="1098"/>
      <c r="FN10" s="1097">
        <f t="shared" si="24"/>
        <v>0</v>
      </c>
      <c r="FO10" s="1098"/>
      <c r="FP10" s="1098"/>
      <c r="FQ10" s="1098"/>
      <c r="FR10" s="1098"/>
      <c r="FS10" s="1098"/>
      <c r="FT10" s="1098"/>
      <c r="FU10" s="1098"/>
      <c r="FV10" s="1098"/>
      <c r="FW10" s="1098"/>
      <c r="FX10" s="1098"/>
      <c r="FY10" s="1098"/>
      <c r="FZ10" s="1098"/>
      <c r="GA10" s="1097">
        <f t="shared" si="25"/>
        <v>0</v>
      </c>
      <c r="GB10" s="1098"/>
      <c r="GC10" s="1098"/>
      <c r="GD10" s="1098"/>
      <c r="GE10" s="1098"/>
      <c r="GF10" s="1098"/>
      <c r="GG10" s="1098"/>
      <c r="GH10" s="1098"/>
      <c r="GI10" s="1098"/>
      <c r="GJ10" s="1098"/>
      <c r="GK10" s="1098"/>
      <c r="GL10" s="1098"/>
      <c r="GM10" s="1098"/>
      <c r="GN10" s="1097">
        <f t="shared" si="26"/>
        <v>0</v>
      </c>
      <c r="GO10" s="1098"/>
      <c r="GP10" s="1098"/>
      <c r="GQ10" s="1098"/>
      <c r="GR10" s="1098"/>
      <c r="GS10" s="1098"/>
      <c r="GT10" s="1098"/>
      <c r="GU10" s="1098"/>
      <c r="GV10" s="1098"/>
      <c r="GW10" s="1098"/>
      <c r="GX10" s="1098"/>
      <c r="GY10" s="1098"/>
      <c r="GZ10" s="1098"/>
      <c r="HA10" s="1097">
        <f t="shared" si="27"/>
        <v>0</v>
      </c>
      <c r="HB10" s="1098"/>
      <c r="HC10" s="1098"/>
      <c r="HD10" s="1098"/>
      <c r="HE10" s="1098"/>
      <c r="HF10" s="1098"/>
      <c r="HG10" s="1098"/>
      <c r="HH10" s="1098"/>
      <c r="HI10" s="1098"/>
      <c r="HJ10" s="1098"/>
      <c r="HK10" s="1098"/>
      <c r="HL10" s="1098"/>
      <c r="HM10" s="1098"/>
      <c r="HN10" s="1097">
        <f t="shared" si="28"/>
        <v>0</v>
      </c>
      <c r="HO10" s="1098"/>
      <c r="HP10" s="1098"/>
      <c r="HQ10" s="1098"/>
      <c r="HR10" s="1098"/>
      <c r="HS10" s="1098"/>
      <c r="HT10" s="1098"/>
      <c r="HU10" s="1098"/>
      <c r="HV10" s="1098"/>
      <c r="HW10" s="1098"/>
      <c r="HX10" s="1098"/>
      <c r="HY10" s="1098"/>
      <c r="HZ10" s="1098"/>
      <c r="IA10" s="1097">
        <f t="shared" si="29"/>
        <v>0</v>
      </c>
      <c r="IB10" s="1098"/>
      <c r="IC10" s="1098"/>
      <c r="ID10" s="1098"/>
      <c r="IE10" s="1098"/>
      <c r="IF10" s="1098"/>
      <c r="IG10" s="1098"/>
      <c r="IH10" s="1098"/>
      <c r="II10" s="1098"/>
      <c r="IJ10" s="1098"/>
      <c r="IK10" s="1098"/>
      <c r="IL10" s="1098"/>
      <c r="IM10" s="1098"/>
      <c r="IN10" s="1097">
        <f t="shared" si="30"/>
        <v>0</v>
      </c>
      <c r="IO10" s="1098"/>
      <c r="IP10" s="1098"/>
      <c r="IQ10" s="1098"/>
      <c r="IR10" s="1098"/>
      <c r="IS10" s="1098"/>
      <c r="IT10" s="1098"/>
      <c r="IU10" s="1098"/>
      <c r="IV10" s="1098"/>
      <c r="IW10" s="1098"/>
      <c r="IX10" s="1098"/>
      <c r="IY10" s="1098"/>
      <c r="IZ10" s="1098"/>
      <c r="JA10" s="1097">
        <f t="shared" si="31"/>
        <v>0</v>
      </c>
      <c r="JB10" s="1098"/>
      <c r="JC10" s="1098"/>
      <c r="JD10" s="1098"/>
      <c r="JE10" s="1098"/>
      <c r="JF10" s="1098"/>
      <c r="JG10" s="1098">
        <v>0.5</v>
      </c>
      <c r="JH10" s="1098"/>
      <c r="JI10" s="1098"/>
      <c r="JJ10" s="1098"/>
      <c r="JK10" s="1098"/>
      <c r="JL10" s="1098"/>
      <c r="JM10" s="1098"/>
      <c r="JN10" s="1097">
        <f t="shared" si="32"/>
        <v>0.5</v>
      </c>
      <c r="JP10" s="1116" t="str">
        <f t="shared" si="33"/>
        <v/>
      </c>
      <c r="JQ10" s="1117" t="str">
        <f t="shared" si="34"/>
        <v/>
      </c>
      <c r="JR10" s="1079">
        <f t="shared" si="35"/>
        <v>0</v>
      </c>
      <c r="JS10" s="1118">
        <f t="shared" si="36"/>
        <v>0</v>
      </c>
      <c r="JT10" s="62"/>
      <c r="JU10" s="1139">
        <f t="shared" si="37"/>
        <v>1</v>
      </c>
      <c r="JV10" s="1146" t="s">
        <v>30</v>
      </c>
      <c r="JW10" s="1147" t="str">
        <f t="shared" si="38"/>
        <v>OK</v>
      </c>
    </row>
    <row r="11" spans="1:283" ht="15" customHeight="1" x14ac:dyDescent="0.2">
      <c r="A11" s="1129" t="s">
        <v>46</v>
      </c>
      <c r="B11" s="1098"/>
      <c r="C11" s="1098"/>
      <c r="D11" s="1098"/>
      <c r="E11" s="1098"/>
      <c r="F11" s="1098"/>
      <c r="G11" s="1098"/>
      <c r="H11" s="1098"/>
      <c r="I11" s="1098"/>
      <c r="J11" s="1098"/>
      <c r="K11" s="1098"/>
      <c r="L11" s="1098"/>
      <c r="M11" s="1098"/>
      <c r="N11" s="1097">
        <f t="shared" si="12"/>
        <v>0</v>
      </c>
      <c r="O11" s="1098"/>
      <c r="P11" s="1098"/>
      <c r="Q11" s="1098"/>
      <c r="R11" s="1098"/>
      <c r="S11" s="1098"/>
      <c r="T11" s="1098"/>
      <c r="U11" s="1098"/>
      <c r="V11" s="1098"/>
      <c r="W11" s="1098"/>
      <c r="X11" s="1098"/>
      <c r="Y11" s="1098"/>
      <c r="Z11" s="1098"/>
      <c r="AA11" s="1097">
        <f t="shared" si="13"/>
        <v>0</v>
      </c>
      <c r="AB11" s="1098"/>
      <c r="AC11" s="1098"/>
      <c r="AD11" s="1098"/>
      <c r="AE11" s="1098"/>
      <c r="AF11" s="1098"/>
      <c r="AG11" s="1098"/>
      <c r="AH11" s="1098"/>
      <c r="AI11" s="1098"/>
      <c r="AJ11" s="1098"/>
      <c r="AK11" s="1098"/>
      <c r="AL11" s="1098"/>
      <c r="AM11" s="1098"/>
      <c r="AN11" s="1097">
        <f t="shared" si="14"/>
        <v>0</v>
      </c>
      <c r="AO11" s="1098"/>
      <c r="AP11" s="1098"/>
      <c r="AQ11" s="1098"/>
      <c r="AR11" s="1098"/>
      <c r="AS11" s="1098"/>
      <c r="AT11" s="1098"/>
      <c r="AU11" s="1098"/>
      <c r="AV11" s="1098"/>
      <c r="AW11" s="1098"/>
      <c r="AX11" s="1098"/>
      <c r="AY11" s="1098"/>
      <c r="AZ11" s="1098"/>
      <c r="BA11" s="1097">
        <f t="shared" si="15"/>
        <v>0</v>
      </c>
      <c r="BB11" s="1098"/>
      <c r="BC11" s="1098"/>
      <c r="BD11" s="1098"/>
      <c r="BE11" s="1098"/>
      <c r="BF11" s="1098"/>
      <c r="BG11" s="1098"/>
      <c r="BH11" s="1098"/>
      <c r="BI11" s="1098"/>
      <c r="BJ11" s="1098"/>
      <c r="BK11" s="1098"/>
      <c r="BL11" s="1098"/>
      <c r="BM11" s="1098"/>
      <c r="BN11" s="1097">
        <f t="shared" si="16"/>
        <v>0</v>
      </c>
      <c r="BO11" s="1098"/>
      <c r="BP11" s="1098"/>
      <c r="BQ11" s="1098"/>
      <c r="BR11" s="1098"/>
      <c r="BS11" s="1098"/>
      <c r="BT11" s="1098"/>
      <c r="BU11" s="1098"/>
      <c r="BV11" s="1098"/>
      <c r="BW11" s="1098"/>
      <c r="BX11" s="1098"/>
      <c r="BY11" s="1098"/>
      <c r="BZ11" s="1098"/>
      <c r="CA11" s="1097">
        <f t="shared" si="17"/>
        <v>0</v>
      </c>
      <c r="CB11" s="1098"/>
      <c r="CC11" s="1098"/>
      <c r="CD11" s="1098"/>
      <c r="CE11" s="1098"/>
      <c r="CF11" s="1098"/>
      <c r="CG11" s="1098"/>
      <c r="CH11" s="1098"/>
      <c r="CI11" s="1098"/>
      <c r="CJ11" s="1098"/>
      <c r="CK11" s="1098"/>
      <c r="CL11" s="1098"/>
      <c r="CM11" s="1098"/>
      <c r="CN11" s="1097">
        <f t="shared" si="18"/>
        <v>0</v>
      </c>
      <c r="CO11" s="1098"/>
      <c r="CP11" s="1098"/>
      <c r="CQ11" s="1098"/>
      <c r="CR11" s="1098"/>
      <c r="CS11" s="1098"/>
      <c r="CT11" s="1098"/>
      <c r="CU11" s="1098"/>
      <c r="CV11" s="1098"/>
      <c r="CW11" s="1098"/>
      <c r="CX11" s="1098"/>
      <c r="CY11" s="1098"/>
      <c r="CZ11" s="1098"/>
      <c r="DA11" s="1097">
        <f t="shared" si="19"/>
        <v>0</v>
      </c>
      <c r="DB11" s="1098"/>
      <c r="DC11" s="1098"/>
      <c r="DD11" s="1098"/>
      <c r="DE11" s="1098"/>
      <c r="DF11" s="1098"/>
      <c r="DG11" s="1098"/>
      <c r="DH11" s="1098"/>
      <c r="DI11" s="1098"/>
      <c r="DJ11" s="1098"/>
      <c r="DK11" s="1098"/>
      <c r="DL11" s="1098"/>
      <c r="DM11" s="1098"/>
      <c r="DN11" s="1097">
        <f t="shared" si="20"/>
        <v>0</v>
      </c>
      <c r="DO11" s="1098"/>
      <c r="DP11" s="1098"/>
      <c r="DQ11" s="1098"/>
      <c r="DR11" s="1098"/>
      <c r="DS11" s="1098"/>
      <c r="DT11" s="1098"/>
      <c r="DU11" s="1098"/>
      <c r="DV11" s="1098"/>
      <c r="DW11" s="1098"/>
      <c r="DX11" s="1098"/>
      <c r="DY11" s="1098"/>
      <c r="DZ11" s="1098"/>
      <c r="EA11" s="1097">
        <f t="shared" si="21"/>
        <v>0</v>
      </c>
      <c r="EB11" s="1098"/>
      <c r="EC11" s="1098"/>
      <c r="ED11" s="1098"/>
      <c r="EE11" s="1098"/>
      <c r="EF11" s="1098"/>
      <c r="EG11" s="1098"/>
      <c r="EH11" s="1098"/>
      <c r="EI11" s="1098"/>
      <c r="EJ11" s="1098"/>
      <c r="EK11" s="1098"/>
      <c r="EL11" s="1098"/>
      <c r="EM11" s="1098"/>
      <c r="EN11" s="1097">
        <f t="shared" si="22"/>
        <v>0</v>
      </c>
      <c r="EO11" s="1098"/>
      <c r="EP11" s="1098"/>
      <c r="EQ11" s="1098"/>
      <c r="ER11" s="1098"/>
      <c r="ES11" s="1098"/>
      <c r="ET11" s="1098"/>
      <c r="EU11" s="1098"/>
      <c r="EV11" s="1098"/>
      <c r="EW11" s="1098"/>
      <c r="EX11" s="1098"/>
      <c r="EY11" s="1098"/>
      <c r="EZ11" s="1098"/>
      <c r="FA11" s="1097">
        <f t="shared" si="23"/>
        <v>0</v>
      </c>
      <c r="FB11" s="1098"/>
      <c r="FC11" s="1098"/>
      <c r="FD11" s="1098"/>
      <c r="FE11" s="1098"/>
      <c r="FF11" s="1098"/>
      <c r="FG11" s="1098"/>
      <c r="FH11" s="1098"/>
      <c r="FI11" s="1098"/>
      <c r="FJ11" s="1098"/>
      <c r="FK11" s="1098"/>
      <c r="FL11" s="1098"/>
      <c r="FM11" s="1098"/>
      <c r="FN11" s="1097">
        <f t="shared" si="24"/>
        <v>0</v>
      </c>
      <c r="FO11" s="1098"/>
      <c r="FP11" s="1098"/>
      <c r="FQ11" s="1098"/>
      <c r="FR11" s="1098"/>
      <c r="FS11" s="1098"/>
      <c r="FT11" s="1098"/>
      <c r="FU11" s="1098"/>
      <c r="FV11" s="1098"/>
      <c r="FW11" s="1098"/>
      <c r="FX11" s="1098"/>
      <c r="FY11" s="1098"/>
      <c r="FZ11" s="1098"/>
      <c r="GA11" s="1097">
        <f t="shared" si="25"/>
        <v>0</v>
      </c>
      <c r="GB11" s="1098"/>
      <c r="GC11" s="1098"/>
      <c r="GD11" s="1098"/>
      <c r="GE11" s="1098"/>
      <c r="GF11" s="1098"/>
      <c r="GG11" s="1098"/>
      <c r="GH11" s="1098"/>
      <c r="GI11" s="1098"/>
      <c r="GJ11" s="1098"/>
      <c r="GK11" s="1098"/>
      <c r="GL11" s="1098"/>
      <c r="GM11" s="1098"/>
      <c r="GN11" s="1097">
        <f t="shared" si="26"/>
        <v>0</v>
      </c>
      <c r="GO11" s="1098"/>
      <c r="GP11" s="1098"/>
      <c r="GQ11" s="1098"/>
      <c r="GR11" s="1098"/>
      <c r="GS11" s="1098"/>
      <c r="GT11" s="1098"/>
      <c r="GU11" s="1098"/>
      <c r="GV11" s="1098"/>
      <c r="GW11" s="1098"/>
      <c r="GX11" s="1098"/>
      <c r="GY11" s="1098"/>
      <c r="GZ11" s="1098"/>
      <c r="HA11" s="1097">
        <f t="shared" si="27"/>
        <v>0</v>
      </c>
      <c r="HB11" s="1098"/>
      <c r="HC11" s="1098"/>
      <c r="HD11" s="1098"/>
      <c r="HE11" s="1098"/>
      <c r="HF11" s="1098"/>
      <c r="HG11" s="1098"/>
      <c r="HH11" s="1098"/>
      <c r="HI11" s="1098"/>
      <c r="HJ11" s="1098"/>
      <c r="HK11" s="1098"/>
      <c r="HL11" s="1098"/>
      <c r="HM11" s="1098"/>
      <c r="HN11" s="1097">
        <f t="shared" si="28"/>
        <v>0</v>
      </c>
      <c r="HO11" s="1098"/>
      <c r="HP11" s="1098"/>
      <c r="HQ11" s="1098"/>
      <c r="HR11" s="1098"/>
      <c r="HS11" s="1098"/>
      <c r="HT11" s="1098"/>
      <c r="HU11" s="1098"/>
      <c r="HV11" s="1098"/>
      <c r="HW11" s="1098"/>
      <c r="HX11" s="1098"/>
      <c r="HY11" s="1098"/>
      <c r="HZ11" s="1098"/>
      <c r="IA11" s="1097">
        <f t="shared" si="29"/>
        <v>0</v>
      </c>
      <c r="IB11" s="1098"/>
      <c r="IC11" s="1098"/>
      <c r="ID11" s="1098"/>
      <c r="IE11" s="1098"/>
      <c r="IF11" s="1098"/>
      <c r="IG11" s="1098"/>
      <c r="IH11" s="1098"/>
      <c r="II11" s="1098"/>
      <c r="IJ11" s="1098"/>
      <c r="IK11" s="1098"/>
      <c r="IL11" s="1098"/>
      <c r="IM11" s="1098"/>
      <c r="IN11" s="1097">
        <f t="shared" si="30"/>
        <v>0</v>
      </c>
      <c r="IO11" s="1098"/>
      <c r="IP11" s="1098"/>
      <c r="IQ11" s="1098"/>
      <c r="IR11" s="1098"/>
      <c r="IS11" s="1098"/>
      <c r="IT11" s="1098"/>
      <c r="IU11" s="1098"/>
      <c r="IV11" s="1098"/>
      <c r="IW11" s="1098"/>
      <c r="IX11" s="1098"/>
      <c r="IY11" s="1098"/>
      <c r="IZ11" s="1098"/>
      <c r="JA11" s="1097">
        <f t="shared" si="31"/>
        <v>0</v>
      </c>
      <c r="JB11" s="1098"/>
      <c r="JC11" s="1098"/>
      <c r="JD11" s="1098"/>
      <c r="JE11" s="1098"/>
      <c r="JF11" s="1098"/>
      <c r="JG11" s="1098"/>
      <c r="JH11" s="1098"/>
      <c r="JI11" s="1098"/>
      <c r="JJ11" s="1098"/>
      <c r="JK11" s="1098"/>
      <c r="JL11" s="1098"/>
      <c r="JM11" s="1098"/>
      <c r="JN11" s="1097">
        <f t="shared" si="32"/>
        <v>0</v>
      </c>
      <c r="JP11" s="1116" t="str">
        <f t="shared" si="33"/>
        <v/>
      </c>
      <c r="JQ11" s="1117" t="str">
        <f t="shared" si="34"/>
        <v/>
      </c>
      <c r="JR11" s="1079">
        <f t="shared" si="35"/>
        <v>0</v>
      </c>
      <c r="JS11" s="1118">
        <f t="shared" si="36"/>
        <v>0</v>
      </c>
      <c r="JT11" s="62"/>
      <c r="JU11" s="1139">
        <f t="shared" si="37"/>
        <v>0</v>
      </c>
      <c r="JV11" s="1146" t="s">
        <v>46</v>
      </c>
      <c r="JW11" s="1147" t="str">
        <f t="shared" si="38"/>
        <v>OK</v>
      </c>
    </row>
    <row r="12" spans="1:283" ht="15" customHeight="1" x14ac:dyDescent="0.2">
      <c r="A12" s="1129" t="s">
        <v>574</v>
      </c>
      <c r="B12" s="1098"/>
      <c r="C12" s="1098"/>
      <c r="D12" s="1098"/>
      <c r="E12" s="1098"/>
      <c r="F12" s="1098"/>
      <c r="G12" s="1098"/>
      <c r="H12" s="1098"/>
      <c r="I12" s="1098"/>
      <c r="J12" s="1098"/>
      <c r="K12" s="1098"/>
      <c r="L12" s="1098"/>
      <c r="M12" s="1098"/>
      <c r="N12" s="1097">
        <f t="shared" si="12"/>
        <v>0</v>
      </c>
      <c r="O12" s="1098"/>
      <c r="P12" s="1098"/>
      <c r="Q12" s="1098"/>
      <c r="R12" s="1098"/>
      <c r="S12" s="1098"/>
      <c r="T12" s="1098"/>
      <c r="U12" s="1098"/>
      <c r="V12" s="1098"/>
      <c r="W12" s="1098"/>
      <c r="X12" s="1098"/>
      <c r="Y12" s="1098"/>
      <c r="Z12" s="1098"/>
      <c r="AA12" s="1097">
        <f t="shared" si="13"/>
        <v>0</v>
      </c>
      <c r="AB12" s="1098"/>
      <c r="AC12" s="1098"/>
      <c r="AD12" s="1098"/>
      <c r="AE12" s="1098"/>
      <c r="AF12" s="1098"/>
      <c r="AG12" s="1098"/>
      <c r="AH12" s="1098"/>
      <c r="AI12" s="1098"/>
      <c r="AJ12" s="1098"/>
      <c r="AK12" s="1098"/>
      <c r="AL12" s="1098"/>
      <c r="AM12" s="1098"/>
      <c r="AN12" s="1097">
        <f t="shared" si="14"/>
        <v>0</v>
      </c>
      <c r="AO12" s="1098"/>
      <c r="AP12" s="1098"/>
      <c r="AQ12" s="1098"/>
      <c r="AR12" s="1098"/>
      <c r="AS12" s="1098"/>
      <c r="AT12" s="1098"/>
      <c r="AU12" s="1098"/>
      <c r="AV12" s="1098"/>
      <c r="AW12" s="1098"/>
      <c r="AX12" s="1098"/>
      <c r="AY12" s="1098"/>
      <c r="AZ12" s="1098"/>
      <c r="BA12" s="1097">
        <f t="shared" si="15"/>
        <v>0</v>
      </c>
      <c r="BB12" s="1098"/>
      <c r="BC12" s="1098"/>
      <c r="BD12" s="1098"/>
      <c r="BE12" s="1098"/>
      <c r="BF12" s="1098"/>
      <c r="BG12" s="1098"/>
      <c r="BH12" s="1098"/>
      <c r="BI12" s="1098"/>
      <c r="BJ12" s="1098"/>
      <c r="BK12" s="1098"/>
      <c r="BL12" s="1098"/>
      <c r="BM12" s="1098"/>
      <c r="BN12" s="1097">
        <f t="shared" si="16"/>
        <v>0</v>
      </c>
      <c r="BO12" s="1098"/>
      <c r="BP12" s="1098"/>
      <c r="BQ12" s="1098"/>
      <c r="BR12" s="1098"/>
      <c r="BS12" s="1098"/>
      <c r="BT12" s="1098"/>
      <c r="BU12" s="1098"/>
      <c r="BV12" s="1098"/>
      <c r="BW12" s="1098"/>
      <c r="BX12" s="1098"/>
      <c r="BY12" s="1098"/>
      <c r="BZ12" s="1098"/>
      <c r="CA12" s="1097">
        <f t="shared" si="17"/>
        <v>0</v>
      </c>
      <c r="CB12" s="1098"/>
      <c r="CC12" s="1098"/>
      <c r="CD12" s="1098"/>
      <c r="CE12" s="1098"/>
      <c r="CF12" s="1098"/>
      <c r="CG12" s="1098"/>
      <c r="CH12" s="1098"/>
      <c r="CI12" s="1098"/>
      <c r="CJ12" s="1098"/>
      <c r="CK12" s="1098"/>
      <c r="CL12" s="1098"/>
      <c r="CM12" s="1098"/>
      <c r="CN12" s="1097">
        <f t="shared" si="18"/>
        <v>0</v>
      </c>
      <c r="CO12" s="1098"/>
      <c r="CP12" s="1098"/>
      <c r="CQ12" s="1098"/>
      <c r="CR12" s="1098"/>
      <c r="CS12" s="1098"/>
      <c r="CT12" s="1098"/>
      <c r="CU12" s="1098"/>
      <c r="CV12" s="1098"/>
      <c r="CW12" s="1098"/>
      <c r="CX12" s="1098"/>
      <c r="CY12" s="1098"/>
      <c r="CZ12" s="1098"/>
      <c r="DA12" s="1097">
        <f t="shared" si="19"/>
        <v>0</v>
      </c>
      <c r="DB12" s="1098"/>
      <c r="DC12" s="1098"/>
      <c r="DD12" s="1098"/>
      <c r="DE12" s="1098"/>
      <c r="DF12" s="1098"/>
      <c r="DG12" s="1098"/>
      <c r="DH12" s="1098"/>
      <c r="DI12" s="1098"/>
      <c r="DJ12" s="1098"/>
      <c r="DK12" s="1098"/>
      <c r="DL12" s="1098"/>
      <c r="DM12" s="1098"/>
      <c r="DN12" s="1097">
        <f t="shared" si="20"/>
        <v>0</v>
      </c>
      <c r="DO12" s="1098"/>
      <c r="DP12" s="1098"/>
      <c r="DQ12" s="1098"/>
      <c r="DR12" s="1098"/>
      <c r="DS12" s="1098"/>
      <c r="DT12" s="1098"/>
      <c r="DU12" s="1098"/>
      <c r="DV12" s="1098"/>
      <c r="DW12" s="1098"/>
      <c r="DX12" s="1098"/>
      <c r="DY12" s="1098"/>
      <c r="DZ12" s="1098"/>
      <c r="EA12" s="1097">
        <f t="shared" si="21"/>
        <v>0</v>
      </c>
      <c r="EB12" s="1098"/>
      <c r="EC12" s="1098"/>
      <c r="ED12" s="1098"/>
      <c r="EE12" s="1098"/>
      <c r="EF12" s="1098"/>
      <c r="EG12" s="1098"/>
      <c r="EH12" s="1098"/>
      <c r="EI12" s="1098"/>
      <c r="EJ12" s="1098"/>
      <c r="EK12" s="1098"/>
      <c r="EL12" s="1098"/>
      <c r="EM12" s="1098"/>
      <c r="EN12" s="1097">
        <f t="shared" si="22"/>
        <v>0</v>
      </c>
      <c r="EO12" s="1098"/>
      <c r="EP12" s="1098"/>
      <c r="EQ12" s="1098"/>
      <c r="ER12" s="1098"/>
      <c r="ES12" s="1098"/>
      <c r="ET12" s="1098"/>
      <c r="EU12" s="1098"/>
      <c r="EV12" s="1098"/>
      <c r="EW12" s="1098"/>
      <c r="EX12" s="1098"/>
      <c r="EY12" s="1098"/>
      <c r="EZ12" s="1098"/>
      <c r="FA12" s="1097">
        <f t="shared" si="23"/>
        <v>0</v>
      </c>
      <c r="FB12" s="1098">
        <v>39</v>
      </c>
      <c r="FC12" s="1098">
        <v>36</v>
      </c>
      <c r="FD12" s="1098">
        <v>239</v>
      </c>
      <c r="FE12" s="1098">
        <v>553</v>
      </c>
      <c r="FF12" s="1098">
        <v>39</v>
      </c>
      <c r="FG12" s="1098">
        <v>63</v>
      </c>
      <c r="FH12" s="1098">
        <v>333</v>
      </c>
      <c r="FI12" s="1098">
        <v>50</v>
      </c>
      <c r="FJ12" s="1098">
        <v>122</v>
      </c>
      <c r="FK12" s="1098">
        <v>166</v>
      </c>
      <c r="FL12" s="1098">
        <v>16</v>
      </c>
      <c r="FM12" s="1098">
        <v>12</v>
      </c>
      <c r="FN12" s="1097">
        <f t="shared" si="24"/>
        <v>1668</v>
      </c>
      <c r="FO12" s="1098">
        <v>17</v>
      </c>
      <c r="FP12" s="1098"/>
      <c r="FQ12" s="1098">
        <v>262</v>
      </c>
      <c r="FR12" s="1098">
        <v>641</v>
      </c>
      <c r="FS12" s="1098">
        <v>11</v>
      </c>
      <c r="FT12" s="1098">
        <v>51</v>
      </c>
      <c r="FU12" s="1098">
        <v>137</v>
      </c>
      <c r="FV12" s="1098">
        <v>22</v>
      </c>
      <c r="FW12" s="1098">
        <v>41</v>
      </c>
      <c r="FX12" s="1098"/>
      <c r="FY12" s="1098">
        <v>2</v>
      </c>
      <c r="FZ12" s="1098"/>
      <c r="GA12" s="1097">
        <f t="shared" si="25"/>
        <v>1184</v>
      </c>
      <c r="GB12" s="1098"/>
      <c r="GC12" s="1098"/>
      <c r="GD12" s="1098">
        <v>127</v>
      </c>
      <c r="GE12" s="1098">
        <v>1141</v>
      </c>
      <c r="GF12" s="1098"/>
      <c r="GG12" s="1098">
        <v>41</v>
      </c>
      <c r="GH12" s="1098">
        <v>27</v>
      </c>
      <c r="GI12" s="1098">
        <v>26</v>
      </c>
      <c r="GJ12" s="1098">
        <v>16</v>
      </c>
      <c r="GK12" s="1098"/>
      <c r="GL12" s="1098"/>
      <c r="GM12" s="1098">
        <v>600</v>
      </c>
      <c r="GN12" s="1097">
        <f t="shared" si="26"/>
        <v>1978</v>
      </c>
      <c r="GO12" s="1098"/>
      <c r="GP12" s="1098"/>
      <c r="GQ12" s="1098">
        <v>101</v>
      </c>
      <c r="GR12" s="1098">
        <v>78</v>
      </c>
      <c r="GS12" s="1098"/>
      <c r="GT12" s="1098">
        <v>18</v>
      </c>
      <c r="GU12" s="1098">
        <v>13</v>
      </c>
      <c r="GV12" s="1098">
        <v>40</v>
      </c>
      <c r="GW12" s="1098">
        <v>25</v>
      </c>
      <c r="GX12" s="1098"/>
      <c r="GY12" s="1098">
        <v>15</v>
      </c>
      <c r="GZ12" s="1098"/>
      <c r="HA12" s="1097">
        <f t="shared" si="27"/>
        <v>290</v>
      </c>
      <c r="HB12" s="1098">
        <v>2</v>
      </c>
      <c r="HC12" s="1098">
        <v>687</v>
      </c>
      <c r="HD12" s="1098">
        <v>747</v>
      </c>
      <c r="HE12" s="1098">
        <v>148</v>
      </c>
      <c r="HF12" s="1098"/>
      <c r="HG12" s="1098">
        <v>6</v>
      </c>
      <c r="HH12" s="1098">
        <v>25</v>
      </c>
      <c r="HI12" s="1098">
        <v>59</v>
      </c>
      <c r="HJ12" s="1098">
        <v>31</v>
      </c>
      <c r="HK12" s="1098"/>
      <c r="HL12" s="1098"/>
      <c r="HM12" s="1098">
        <v>1</v>
      </c>
      <c r="HN12" s="1097">
        <f t="shared" si="28"/>
        <v>1706</v>
      </c>
      <c r="HO12" s="1098"/>
      <c r="HP12" s="1098">
        <v>105</v>
      </c>
      <c r="HQ12" s="1098">
        <v>215</v>
      </c>
      <c r="HR12" s="1098"/>
      <c r="HS12" s="1098">
        <v>37</v>
      </c>
      <c r="HT12" s="1098"/>
      <c r="HU12" s="1098"/>
      <c r="HV12" s="1098">
        <v>135</v>
      </c>
      <c r="HW12" s="1098">
        <v>146</v>
      </c>
      <c r="HX12" s="1098">
        <v>133</v>
      </c>
      <c r="HY12" s="1098">
        <v>138</v>
      </c>
      <c r="HZ12" s="1098">
        <v>129</v>
      </c>
      <c r="IA12" s="1097">
        <f t="shared" si="29"/>
        <v>1038</v>
      </c>
      <c r="IB12" s="1098">
        <v>135</v>
      </c>
      <c r="IC12" s="1098">
        <v>133</v>
      </c>
      <c r="ID12" s="1098">
        <v>133</v>
      </c>
      <c r="IE12" s="1098">
        <v>130</v>
      </c>
      <c r="IF12" s="1098">
        <v>129</v>
      </c>
      <c r="IG12" s="1098">
        <v>5</v>
      </c>
      <c r="IH12" s="1098"/>
      <c r="II12" s="1098">
        <v>30</v>
      </c>
      <c r="IJ12" s="1098">
        <v>36</v>
      </c>
      <c r="IK12" s="1098"/>
      <c r="IL12" s="1098"/>
      <c r="IM12" s="1098"/>
      <c r="IN12" s="1097">
        <f t="shared" si="30"/>
        <v>731</v>
      </c>
      <c r="IO12" s="1098"/>
      <c r="IP12" s="1098"/>
      <c r="IQ12" s="1098">
        <v>60</v>
      </c>
      <c r="IR12" s="1098">
        <v>165</v>
      </c>
      <c r="IS12" s="1098">
        <v>65</v>
      </c>
      <c r="IT12" s="1098"/>
      <c r="IU12" s="1098">
        <v>76</v>
      </c>
      <c r="IV12" s="1098">
        <v>50</v>
      </c>
      <c r="IW12" s="1098">
        <v>25</v>
      </c>
      <c r="IX12" s="1098">
        <v>26</v>
      </c>
      <c r="IY12" s="1098"/>
      <c r="IZ12" s="1098"/>
      <c r="JA12" s="1097">
        <f t="shared" si="31"/>
        <v>467</v>
      </c>
      <c r="JB12" s="1098">
        <v>50</v>
      </c>
      <c r="JC12" s="1098"/>
      <c r="JD12" s="1098">
        <v>18</v>
      </c>
      <c r="JE12" s="1098">
        <v>1129</v>
      </c>
      <c r="JF12" s="1098">
        <v>86</v>
      </c>
      <c r="JG12" s="1098">
        <v>85</v>
      </c>
      <c r="JH12" s="1098"/>
      <c r="JI12" s="1098"/>
      <c r="JJ12" s="1098"/>
      <c r="JK12" s="1098"/>
      <c r="JL12" s="1098"/>
      <c r="JM12" s="1098"/>
      <c r="JN12" s="1097">
        <f t="shared" si="32"/>
        <v>1368</v>
      </c>
      <c r="JP12" s="1116">
        <f t="shared" si="33"/>
        <v>584.24242424242425</v>
      </c>
      <c r="JQ12" s="1117">
        <f t="shared" si="34"/>
        <v>432</v>
      </c>
      <c r="JR12" s="1079">
        <f t="shared" si="35"/>
        <v>225</v>
      </c>
      <c r="JS12" s="1118">
        <f t="shared" si="36"/>
        <v>1197</v>
      </c>
      <c r="JT12" s="62"/>
      <c r="JU12" s="1139">
        <f t="shared" si="37"/>
        <v>20860</v>
      </c>
      <c r="JV12" s="1146" t="s">
        <v>574</v>
      </c>
      <c r="JW12" s="1147" t="str">
        <f t="shared" si="38"/>
        <v>OK</v>
      </c>
    </row>
    <row r="13" spans="1:283" ht="15" customHeight="1" x14ac:dyDescent="0.2">
      <c r="A13" s="1131" t="s">
        <v>47</v>
      </c>
      <c r="B13" s="1098"/>
      <c r="C13" s="1098"/>
      <c r="D13" s="1098"/>
      <c r="E13" s="1098"/>
      <c r="F13" s="1098"/>
      <c r="G13" s="1098"/>
      <c r="H13" s="1098"/>
      <c r="I13" s="1098"/>
      <c r="J13" s="1098"/>
      <c r="K13" s="1098"/>
      <c r="L13" s="1098"/>
      <c r="M13" s="1098"/>
      <c r="N13" s="1097">
        <f t="shared" si="12"/>
        <v>0</v>
      </c>
      <c r="O13" s="1098"/>
      <c r="P13" s="1098"/>
      <c r="Q13" s="1098"/>
      <c r="R13" s="1098"/>
      <c r="S13" s="1098"/>
      <c r="T13" s="1098"/>
      <c r="U13" s="1098"/>
      <c r="V13" s="1098"/>
      <c r="W13" s="1098"/>
      <c r="X13" s="1098"/>
      <c r="Y13" s="1098"/>
      <c r="Z13" s="1098"/>
      <c r="AA13" s="1097">
        <f t="shared" si="13"/>
        <v>0</v>
      </c>
      <c r="AB13" s="1098"/>
      <c r="AC13" s="1098"/>
      <c r="AD13" s="1098"/>
      <c r="AE13" s="1098"/>
      <c r="AF13" s="1098"/>
      <c r="AG13" s="1098"/>
      <c r="AH13" s="1098"/>
      <c r="AI13" s="1098"/>
      <c r="AJ13" s="1098"/>
      <c r="AK13" s="1098"/>
      <c r="AL13" s="1098"/>
      <c r="AM13" s="1098"/>
      <c r="AN13" s="1097">
        <f t="shared" si="14"/>
        <v>0</v>
      </c>
      <c r="AO13" s="1098"/>
      <c r="AP13" s="1098"/>
      <c r="AQ13" s="1098"/>
      <c r="AR13" s="1098"/>
      <c r="AS13" s="1098"/>
      <c r="AT13" s="1098"/>
      <c r="AU13" s="1098"/>
      <c r="AV13" s="1098">
        <v>1</v>
      </c>
      <c r="AW13" s="1098"/>
      <c r="AX13" s="1098"/>
      <c r="AY13" s="1098"/>
      <c r="AZ13" s="1098"/>
      <c r="BA13" s="1097">
        <f t="shared" si="15"/>
        <v>1</v>
      </c>
      <c r="BB13" s="1098"/>
      <c r="BC13" s="1098"/>
      <c r="BD13" s="1098"/>
      <c r="BE13" s="1098"/>
      <c r="BF13" s="1098"/>
      <c r="BG13" s="1098"/>
      <c r="BH13" s="1098"/>
      <c r="BI13" s="1098"/>
      <c r="BJ13" s="1098"/>
      <c r="BK13" s="1098"/>
      <c r="BL13" s="1098"/>
      <c r="BM13" s="1098"/>
      <c r="BN13" s="1097">
        <f t="shared" si="16"/>
        <v>0</v>
      </c>
      <c r="BO13" s="1098"/>
      <c r="BP13" s="1098"/>
      <c r="BQ13" s="1098"/>
      <c r="BR13" s="1098"/>
      <c r="BS13" s="1098"/>
      <c r="BT13" s="1098"/>
      <c r="BU13" s="1098"/>
      <c r="BV13" s="1098"/>
      <c r="BW13" s="1098"/>
      <c r="BX13" s="1098"/>
      <c r="BY13" s="1098"/>
      <c r="BZ13" s="1098"/>
      <c r="CA13" s="1097">
        <f t="shared" si="17"/>
        <v>0</v>
      </c>
      <c r="CB13" s="1098"/>
      <c r="CC13" s="1098"/>
      <c r="CD13" s="1098"/>
      <c r="CE13" s="1098"/>
      <c r="CF13" s="1098"/>
      <c r="CG13" s="1098"/>
      <c r="CH13" s="1098"/>
      <c r="CI13" s="1098"/>
      <c r="CJ13" s="1098"/>
      <c r="CK13" s="1098"/>
      <c r="CL13" s="1098"/>
      <c r="CM13" s="1098"/>
      <c r="CN13" s="1097">
        <f t="shared" si="18"/>
        <v>0</v>
      </c>
      <c r="CO13" s="1098"/>
      <c r="CP13" s="1098"/>
      <c r="CQ13" s="1098"/>
      <c r="CR13" s="1098"/>
      <c r="CS13" s="1098"/>
      <c r="CT13" s="1098"/>
      <c r="CU13" s="1098"/>
      <c r="CV13" s="1098"/>
      <c r="CW13" s="1098"/>
      <c r="CX13" s="1098"/>
      <c r="CY13" s="1098"/>
      <c r="CZ13" s="1098"/>
      <c r="DA13" s="1097">
        <f t="shared" si="19"/>
        <v>0</v>
      </c>
      <c r="DB13" s="1098"/>
      <c r="DC13" s="1098"/>
      <c r="DD13" s="1098"/>
      <c r="DE13" s="1098"/>
      <c r="DF13" s="1098"/>
      <c r="DG13" s="1098"/>
      <c r="DH13" s="1098"/>
      <c r="DI13" s="1098"/>
      <c r="DJ13" s="1098"/>
      <c r="DK13" s="1098"/>
      <c r="DL13" s="1098"/>
      <c r="DM13" s="1098">
        <v>1776</v>
      </c>
      <c r="DN13" s="1097">
        <f t="shared" si="20"/>
        <v>1776</v>
      </c>
      <c r="DO13" s="1098">
        <v>1587</v>
      </c>
      <c r="DP13" s="1098">
        <v>761</v>
      </c>
      <c r="DQ13" s="1098"/>
      <c r="DR13" s="1098"/>
      <c r="DS13" s="1098"/>
      <c r="DT13" s="1098"/>
      <c r="DU13" s="1098"/>
      <c r="DV13" s="1098">
        <v>490</v>
      </c>
      <c r="DW13" s="1098">
        <v>310</v>
      </c>
      <c r="DX13" s="1098">
        <v>430</v>
      </c>
      <c r="DY13" s="1098"/>
      <c r="DZ13" s="1098">
        <v>2480</v>
      </c>
      <c r="EA13" s="1097">
        <f t="shared" si="21"/>
        <v>6058</v>
      </c>
      <c r="EB13" s="1098"/>
      <c r="EC13" s="1098"/>
      <c r="ED13" s="1098"/>
      <c r="EE13" s="1098"/>
      <c r="EF13" s="1098"/>
      <c r="EG13" s="1098"/>
      <c r="EH13" s="1098"/>
      <c r="EI13" s="1098"/>
      <c r="EJ13" s="1098"/>
      <c r="EK13" s="1098"/>
      <c r="EL13" s="1098"/>
      <c r="EM13" s="1098"/>
      <c r="EN13" s="1097">
        <f t="shared" si="22"/>
        <v>0</v>
      </c>
      <c r="EO13" s="1098"/>
      <c r="EP13" s="1098"/>
      <c r="EQ13" s="1098"/>
      <c r="ER13" s="1098"/>
      <c r="ES13" s="1098"/>
      <c r="ET13" s="1098"/>
      <c r="EU13" s="1098"/>
      <c r="EV13" s="1098"/>
      <c r="EW13" s="1098"/>
      <c r="EX13" s="1098"/>
      <c r="EY13" s="1098"/>
      <c r="EZ13" s="1098"/>
      <c r="FA13" s="1097">
        <f t="shared" si="23"/>
        <v>0</v>
      </c>
      <c r="FB13" s="1098"/>
      <c r="FC13" s="1098"/>
      <c r="FD13" s="1098"/>
      <c r="FE13" s="1098"/>
      <c r="FF13" s="1098"/>
      <c r="FG13" s="1098"/>
      <c r="FH13" s="1098"/>
      <c r="FI13" s="1098"/>
      <c r="FJ13" s="1098"/>
      <c r="FK13" s="1098"/>
      <c r="FL13" s="1098"/>
      <c r="FM13" s="1098"/>
      <c r="FN13" s="1097">
        <f t="shared" si="24"/>
        <v>0</v>
      </c>
      <c r="FO13" s="1098"/>
      <c r="FP13" s="1098"/>
      <c r="FQ13" s="1098"/>
      <c r="FR13" s="1098"/>
      <c r="FS13" s="1098"/>
      <c r="FT13" s="1098"/>
      <c r="FU13" s="1098"/>
      <c r="FV13" s="1098"/>
      <c r="FW13" s="1098"/>
      <c r="FX13" s="1098"/>
      <c r="FY13" s="1098"/>
      <c r="FZ13" s="1098"/>
      <c r="GA13" s="1097">
        <f t="shared" si="25"/>
        <v>0</v>
      </c>
      <c r="GB13" s="1098"/>
      <c r="GC13" s="1098"/>
      <c r="GD13" s="1098"/>
      <c r="GE13" s="1098"/>
      <c r="GF13" s="1098"/>
      <c r="GG13" s="1098"/>
      <c r="GH13" s="1098"/>
      <c r="GI13" s="1098"/>
      <c r="GJ13" s="1098"/>
      <c r="GK13" s="1098"/>
      <c r="GL13" s="1098">
        <v>1</v>
      </c>
      <c r="GM13" s="1098"/>
      <c r="GN13" s="1097">
        <f t="shared" si="26"/>
        <v>1</v>
      </c>
      <c r="GO13" s="1098"/>
      <c r="GP13" s="1098"/>
      <c r="GQ13" s="1098"/>
      <c r="GR13" s="1098">
        <v>0.5</v>
      </c>
      <c r="GS13" s="1098"/>
      <c r="GT13" s="1098"/>
      <c r="GU13" s="1098"/>
      <c r="GV13" s="1098"/>
      <c r="GW13" s="1098">
        <v>2</v>
      </c>
      <c r="GX13" s="1098"/>
      <c r="GY13" s="1098"/>
      <c r="GZ13" s="1098"/>
      <c r="HA13" s="1097">
        <f t="shared" si="27"/>
        <v>2.5</v>
      </c>
      <c r="HB13" s="1098"/>
      <c r="HC13" s="1098"/>
      <c r="HD13" s="1098"/>
      <c r="HE13" s="1098"/>
      <c r="HF13" s="1098"/>
      <c r="HG13" s="1098"/>
      <c r="HH13" s="1098"/>
      <c r="HI13" s="1098"/>
      <c r="HJ13" s="1098">
        <v>2</v>
      </c>
      <c r="HK13" s="1098"/>
      <c r="HL13" s="1098">
        <v>3</v>
      </c>
      <c r="HM13" s="1098"/>
      <c r="HN13" s="1097">
        <f t="shared" si="28"/>
        <v>5</v>
      </c>
      <c r="HO13" s="1098">
        <v>2</v>
      </c>
      <c r="HP13" s="1098"/>
      <c r="HQ13" s="1098"/>
      <c r="HR13" s="1098">
        <v>3</v>
      </c>
      <c r="HS13" s="1098"/>
      <c r="HT13" s="1098"/>
      <c r="HU13" s="1098"/>
      <c r="HV13" s="1098"/>
      <c r="HW13" s="1098">
        <v>3.5</v>
      </c>
      <c r="HX13" s="1098"/>
      <c r="HY13" s="1098"/>
      <c r="HZ13" s="1098"/>
      <c r="IA13" s="1097">
        <f t="shared" si="29"/>
        <v>8.5</v>
      </c>
      <c r="IB13" s="1098"/>
      <c r="IC13" s="1098"/>
      <c r="ID13" s="1098"/>
      <c r="IE13" s="1098"/>
      <c r="IF13" s="1098"/>
      <c r="IG13" s="1098"/>
      <c r="IH13" s="1098">
        <v>1</v>
      </c>
      <c r="II13" s="1098"/>
      <c r="IJ13" s="1098"/>
      <c r="IK13" s="1098"/>
      <c r="IL13" s="1098"/>
      <c r="IM13" s="1098"/>
      <c r="IN13" s="1097">
        <f t="shared" si="30"/>
        <v>1</v>
      </c>
      <c r="IO13" s="1098"/>
      <c r="IP13" s="1098"/>
      <c r="IQ13" s="1098"/>
      <c r="IR13" s="1098"/>
      <c r="IS13" s="1098"/>
      <c r="IT13" s="1098"/>
      <c r="IU13" s="1098">
        <v>1</v>
      </c>
      <c r="IV13" s="1098">
        <v>1</v>
      </c>
      <c r="IW13" s="1098"/>
      <c r="IX13" s="1098"/>
      <c r="IY13" s="1098"/>
      <c r="IZ13" s="1098"/>
      <c r="JA13" s="1097">
        <f t="shared" si="31"/>
        <v>2</v>
      </c>
      <c r="JB13" s="1098">
        <v>1</v>
      </c>
      <c r="JC13" s="1098"/>
      <c r="JD13" s="1098">
        <v>1</v>
      </c>
      <c r="JE13" s="1098"/>
      <c r="JF13" s="1098"/>
      <c r="JG13" s="1098">
        <v>0</v>
      </c>
      <c r="JH13" s="1098"/>
      <c r="JI13" s="1098"/>
      <c r="JJ13" s="1098"/>
      <c r="JK13" s="1098"/>
      <c r="JL13" s="1098"/>
      <c r="JM13" s="1098"/>
      <c r="JN13" s="1097">
        <f t="shared" si="32"/>
        <v>2</v>
      </c>
      <c r="JP13" s="1116" t="str">
        <f t="shared" si="33"/>
        <v/>
      </c>
      <c r="JQ13" s="1117" t="str">
        <f t="shared" si="34"/>
        <v/>
      </c>
      <c r="JR13" s="1079">
        <f t="shared" si="35"/>
        <v>0</v>
      </c>
      <c r="JS13" s="1118">
        <f t="shared" si="36"/>
        <v>2</v>
      </c>
      <c r="JT13" s="62"/>
      <c r="JU13" s="1139">
        <f t="shared" si="37"/>
        <v>15714</v>
      </c>
      <c r="JV13" s="1146" t="s">
        <v>47</v>
      </c>
      <c r="JW13" s="1147" t="str">
        <f t="shared" si="38"/>
        <v>OK</v>
      </c>
    </row>
    <row r="14" spans="1:283" ht="15" customHeight="1" x14ac:dyDescent="0.2">
      <c r="A14" s="1129" t="s">
        <v>31</v>
      </c>
      <c r="B14" s="1098"/>
      <c r="C14" s="1098"/>
      <c r="D14" s="1098"/>
      <c r="E14" s="1098"/>
      <c r="F14" s="1098"/>
      <c r="G14" s="1098"/>
      <c r="H14" s="1098"/>
      <c r="I14" s="1098"/>
      <c r="J14" s="1098"/>
      <c r="K14" s="1098"/>
      <c r="L14" s="1098"/>
      <c r="M14" s="1098"/>
      <c r="N14" s="1097">
        <f t="shared" si="12"/>
        <v>0</v>
      </c>
      <c r="O14" s="1098"/>
      <c r="P14" s="1098"/>
      <c r="Q14" s="1098"/>
      <c r="R14" s="1098"/>
      <c r="S14" s="1098"/>
      <c r="T14" s="1098"/>
      <c r="U14" s="1098"/>
      <c r="V14" s="1098"/>
      <c r="W14" s="1098"/>
      <c r="X14" s="1098"/>
      <c r="Y14" s="1098"/>
      <c r="Z14" s="1098"/>
      <c r="AA14" s="1097">
        <f t="shared" si="13"/>
        <v>0</v>
      </c>
      <c r="AB14" s="1098"/>
      <c r="AC14" s="1098"/>
      <c r="AD14" s="1098">
        <v>8</v>
      </c>
      <c r="AE14" s="1098"/>
      <c r="AF14" s="1098"/>
      <c r="AG14" s="1098"/>
      <c r="AH14" s="1098"/>
      <c r="AI14" s="1098"/>
      <c r="AJ14" s="1098"/>
      <c r="AK14" s="1098"/>
      <c r="AL14" s="1098"/>
      <c r="AM14" s="1098"/>
      <c r="AN14" s="1097">
        <f t="shared" si="14"/>
        <v>8</v>
      </c>
      <c r="AO14" s="1098"/>
      <c r="AP14" s="1098"/>
      <c r="AQ14" s="1098"/>
      <c r="AR14" s="1098"/>
      <c r="AS14" s="1098"/>
      <c r="AT14" s="1098">
        <v>4</v>
      </c>
      <c r="AU14" s="1098"/>
      <c r="AV14" s="1098"/>
      <c r="AW14" s="1098"/>
      <c r="AX14" s="1098"/>
      <c r="AY14" s="1098">
        <v>3</v>
      </c>
      <c r="AZ14" s="1098">
        <v>2</v>
      </c>
      <c r="BA14" s="1097">
        <f t="shared" si="15"/>
        <v>9</v>
      </c>
      <c r="BB14" s="1098"/>
      <c r="BC14" s="1098"/>
      <c r="BD14" s="1098"/>
      <c r="BE14" s="1098"/>
      <c r="BF14" s="1098">
        <v>4</v>
      </c>
      <c r="BG14" s="1098"/>
      <c r="BH14" s="1098"/>
      <c r="BI14" s="1098"/>
      <c r="BJ14" s="1098"/>
      <c r="BK14" s="1098"/>
      <c r="BL14" s="1098"/>
      <c r="BM14" s="1098"/>
      <c r="BN14" s="1097">
        <f t="shared" si="16"/>
        <v>4</v>
      </c>
      <c r="BO14" s="1098"/>
      <c r="BP14" s="1098"/>
      <c r="BQ14" s="1098"/>
      <c r="BR14" s="1098"/>
      <c r="BS14" s="1098"/>
      <c r="BT14" s="1098"/>
      <c r="BU14" s="1098"/>
      <c r="BV14" s="1098"/>
      <c r="BW14" s="1098"/>
      <c r="BX14" s="1098"/>
      <c r="BY14" s="1098"/>
      <c r="BZ14" s="1098"/>
      <c r="CA14" s="1097">
        <f t="shared" si="17"/>
        <v>0</v>
      </c>
      <c r="CB14" s="1098"/>
      <c r="CC14" s="1098"/>
      <c r="CD14" s="1098"/>
      <c r="CE14" s="1098"/>
      <c r="CF14" s="1098"/>
      <c r="CG14" s="1098"/>
      <c r="CH14" s="1098"/>
      <c r="CI14" s="1098"/>
      <c r="CJ14" s="1098"/>
      <c r="CK14" s="1098"/>
      <c r="CL14" s="1098"/>
      <c r="CM14" s="1098"/>
      <c r="CN14" s="1097">
        <f t="shared" si="18"/>
        <v>0</v>
      </c>
      <c r="CO14" s="1098"/>
      <c r="CP14" s="1098"/>
      <c r="CQ14" s="1098"/>
      <c r="CR14" s="1098"/>
      <c r="CS14" s="1098"/>
      <c r="CT14" s="1098"/>
      <c r="CU14" s="1098"/>
      <c r="CV14" s="1098"/>
      <c r="CW14" s="1098"/>
      <c r="CX14" s="1098"/>
      <c r="CY14" s="1098"/>
      <c r="CZ14" s="1098"/>
      <c r="DA14" s="1097">
        <f t="shared" si="19"/>
        <v>0</v>
      </c>
      <c r="DB14" s="1098"/>
      <c r="DC14" s="1098"/>
      <c r="DD14" s="1098"/>
      <c r="DE14" s="1098"/>
      <c r="DF14" s="1098"/>
      <c r="DG14" s="1098"/>
      <c r="DH14" s="1098"/>
      <c r="DI14" s="1098"/>
      <c r="DJ14" s="1098"/>
      <c r="DK14" s="1098"/>
      <c r="DL14" s="1098"/>
      <c r="DM14" s="1098"/>
      <c r="DN14" s="1097">
        <f t="shared" si="20"/>
        <v>0</v>
      </c>
      <c r="DO14" s="1098"/>
      <c r="DP14" s="1098"/>
      <c r="DQ14" s="1098"/>
      <c r="DR14" s="1098"/>
      <c r="DS14" s="1098"/>
      <c r="DT14" s="1098"/>
      <c r="DU14" s="1098"/>
      <c r="DV14" s="1098"/>
      <c r="DW14" s="1098"/>
      <c r="DX14" s="1098"/>
      <c r="DY14" s="1098"/>
      <c r="DZ14" s="1098"/>
      <c r="EA14" s="1097">
        <f t="shared" si="21"/>
        <v>0</v>
      </c>
      <c r="EB14" s="1098"/>
      <c r="EC14" s="1098"/>
      <c r="ED14" s="1098"/>
      <c r="EE14" s="1098"/>
      <c r="EF14" s="1098"/>
      <c r="EG14" s="1098">
        <v>6</v>
      </c>
      <c r="EH14" s="1098">
        <v>3</v>
      </c>
      <c r="EI14" s="1098">
        <v>2</v>
      </c>
      <c r="EJ14" s="1098"/>
      <c r="EK14" s="1098"/>
      <c r="EL14" s="1098"/>
      <c r="EM14" s="1098"/>
      <c r="EN14" s="1097">
        <f t="shared" si="22"/>
        <v>11</v>
      </c>
      <c r="EO14" s="1098"/>
      <c r="EP14" s="1098"/>
      <c r="EQ14" s="1098"/>
      <c r="ER14" s="1098"/>
      <c r="ES14" s="1098"/>
      <c r="ET14" s="1098"/>
      <c r="EU14" s="1098">
        <v>2</v>
      </c>
      <c r="EV14" s="1098">
        <v>6</v>
      </c>
      <c r="EW14" s="1098"/>
      <c r="EX14" s="1098"/>
      <c r="EY14" s="1098"/>
      <c r="EZ14" s="1098"/>
      <c r="FA14" s="1097">
        <f t="shared" si="23"/>
        <v>8</v>
      </c>
      <c r="FB14" s="1098"/>
      <c r="FC14" s="1098"/>
      <c r="FD14" s="1098"/>
      <c r="FE14" s="1098"/>
      <c r="FF14" s="1098"/>
      <c r="FG14" s="1098"/>
      <c r="FH14" s="1098">
        <v>2</v>
      </c>
      <c r="FI14" s="1098"/>
      <c r="FJ14" s="1098"/>
      <c r="FK14" s="1098"/>
      <c r="FL14" s="1098"/>
      <c r="FM14" s="1098"/>
      <c r="FN14" s="1097">
        <f t="shared" si="24"/>
        <v>2</v>
      </c>
      <c r="FO14" s="1098"/>
      <c r="FP14" s="1098"/>
      <c r="FQ14" s="1098"/>
      <c r="FR14" s="1098"/>
      <c r="FS14" s="1098"/>
      <c r="FT14" s="1098"/>
      <c r="FU14" s="1098"/>
      <c r="FV14" s="1098">
        <v>3</v>
      </c>
      <c r="FW14" s="1098">
        <v>2</v>
      </c>
      <c r="FX14" s="1098"/>
      <c r="FY14" s="1098"/>
      <c r="FZ14" s="1098"/>
      <c r="GA14" s="1097">
        <f t="shared" si="25"/>
        <v>5</v>
      </c>
      <c r="GB14" s="1098"/>
      <c r="GC14" s="1098"/>
      <c r="GD14" s="1098"/>
      <c r="GE14" s="1098"/>
      <c r="GF14" s="1098"/>
      <c r="GG14" s="1098"/>
      <c r="GH14" s="1098"/>
      <c r="GI14" s="1098"/>
      <c r="GJ14" s="1098"/>
      <c r="GK14" s="1098"/>
      <c r="GL14" s="1098"/>
      <c r="GM14" s="1098"/>
      <c r="GN14" s="1097">
        <f t="shared" si="26"/>
        <v>0</v>
      </c>
      <c r="GO14" s="1098"/>
      <c r="GP14" s="1098"/>
      <c r="GQ14" s="1098"/>
      <c r="GR14" s="1098"/>
      <c r="GS14" s="1098">
        <v>0.5</v>
      </c>
      <c r="GT14" s="1098"/>
      <c r="GU14" s="1098"/>
      <c r="GV14" s="1098"/>
      <c r="GW14" s="1098"/>
      <c r="GX14" s="1098"/>
      <c r="GY14" s="1098"/>
      <c r="GZ14" s="1098">
        <v>3</v>
      </c>
      <c r="HA14" s="1097">
        <f t="shared" si="27"/>
        <v>3.5</v>
      </c>
      <c r="HB14" s="1098"/>
      <c r="HC14" s="1098"/>
      <c r="HD14" s="1098"/>
      <c r="HE14" s="1098"/>
      <c r="HF14" s="1098"/>
      <c r="HG14" s="1098"/>
      <c r="HH14" s="1098"/>
      <c r="HI14" s="1098"/>
      <c r="HJ14" s="1098"/>
      <c r="HK14" s="1098"/>
      <c r="HL14" s="1098"/>
      <c r="HM14" s="1098"/>
      <c r="HN14" s="1097">
        <f t="shared" si="28"/>
        <v>0</v>
      </c>
      <c r="HO14" s="1098"/>
      <c r="HP14" s="1098"/>
      <c r="HQ14" s="1098"/>
      <c r="HR14" s="1098"/>
      <c r="HS14" s="1098"/>
      <c r="HT14" s="1098"/>
      <c r="HU14" s="1098"/>
      <c r="HV14" s="1098"/>
      <c r="HW14" s="1098">
        <v>4</v>
      </c>
      <c r="HX14" s="1098"/>
      <c r="HY14" s="1098"/>
      <c r="HZ14" s="1098"/>
      <c r="IA14" s="1097">
        <f t="shared" si="29"/>
        <v>4</v>
      </c>
      <c r="IB14" s="1098"/>
      <c r="IC14" s="1098"/>
      <c r="ID14" s="1098"/>
      <c r="IE14" s="1098"/>
      <c r="IF14" s="1098"/>
      <c r="IG14" s="1098"/>
      <c r="IH14" s="1098"/>
      <c r="II14" s="1098"/>
      <c r="IJ14" s="1098"/>
      <c r="IK14" s="1098"/>
      <c r="IL14" s="1098"/>
      <c r="IM14" s="1098"/>
      <c r="IN14" s="1097">
        <f t="shared" si="30"/>
        <v>0</v>
      </c>
      <c r="IO14" s="1098"/>
      <c r="IP14" s="1098"/>
      <c r="IQ14" s="1098"/>
      <c r="IR14" s="1098"/>
      <c r="IS14" s="1098"/>
      <c r="IT14" s="1098"/>
      <c r="IU14" s="1098"/>
      <c r="IV14" s="1098"/>
      <c r="IW14" s="1098"/>
      <c r="IX14" s="1098"/>
      <c r="IY14" s="1098"/>
      <c r="IZ14" s="1098"/>
      <c r="JA14" s="1097">
        <f t="shared" si="31"/>
        <v>0</v>
      </c>
      <c r="JB14" s="1098"/>
      <c r="JC14" s="1098"/>
      <c r="JD14" s="1098"/>
      <c r="JE14" s="1098"/>
      <c r="JF14" s="1098"/>
      <c r="JG14" s="1098">
        <v>2</v>
      </c>
      <c r="JH14" s="1098"/>
      <c r="JI14" s="1098"/>
      <c r="JJ14" s="1098"/>
      <c r="JK14" s="1098"/>
      <c r="JL14" s="1098"/>
      <c r="JM14" s="1098"/>
      <c r="JN14" s="1097">
        <f t="shared" si="32"/>
        <v>2</v>
      </c>
      <c r="JP14" s="1116" t="str">
        <f t="shared" si="33"/>
        <v/>
      </c>
      <c r="JQ14" s="1117" t="str">
        <f t="shared" si="34"/>
        <v/>
      </c>
      <c r="JR14" s="1079">
        <f t="shared" si="35"/>
        <v>0</v>
      </c>
      <c r="JS14" s="1118">
        <f t="shared" si="36"/>
        <v>0</v>
      </c>
      <c r="JT14" s="62"/>
      <c r="JU14" s="1139">
        <f t="shared" si="37"/>
        <v>113</v>
      </c>
      <c r="JV14" s="1146" t="s">
        <v>31</v>
      </c>
      <c r="JW14" s="1147" t="str">
        <f t="shared" si="38"/>
        <v>OK</v>
      </c>
    </row>
    <row r="15" spans="1:283" ht="15" customHeight="1" x14ac:dyDescent="0.2">
      <c r="A15" s="1129" t="s">
        <v>91</v>
      </c>
      <c r="B15" s="1098"/>
      <c r="C15" s="1098"/>
      <c r="D15" s="1098"/>
      <c r="E15" s="1098"/>
      <c r="F15" s="1098"/>
      <c r="G15" s="1098"/>
      <c r="H15" s="1098"/>
      <c r="I15" s="1098"/>
      <c r="J15" s="1098"/>
      <c r="K15" s="1098"/>
      <c r="L15" s="1098"/>
      <c r="M15" s="1098"/>
      <c r="N15" s="1097">
        <f t="shared" si="12"/>
        <v>0</v>
      </c>
      <c r="O15" s="1098"/>
      <c r="P15" s="1098"/>
      <c r="Q15" s="1098"/>
      <c r="R15" s="1098"/>
      <c r="S15" s="1098"/>
      <c r="T15" s="1098"/>
      <c r="U15" s="1098"/>
      <c r="V15" s="1098"/>
      <c r="W15" s="1098"/>
      <c r="X15" s="1098"/>
      <c r="Y15" s="1098"/>
      <c r="Z15" s="1098"/>
      <c r="AA15" s="1097">
        <f t="shared" si="13"/>
        <v>0</v>
      </c>
      <c r="AB15" s="1098"/>
      <c r="AC15" s="1098"/>
      <c r="AD15" s="1098"/>
      <c r="AE15" s="1098"/>
      <c r="AF15" s="1098"/>
      <c r="AG15" s="1098"/>
      <c r="AH15" s="1098"/>
      <c r="AI15" s="1098"/>
      <c r="AJ15" s="1098"/>
      <c r="AK15" s="1098"/>
      <c r="AL15" s="1098"/>
      <c r="AM15" s="1098"/>
      <c r="AN15" s="1097">
        <f t="shared" si="14"/>
        <v>0</v>
      </c>
      <c r="AO15" s="1098"/>
      <c r="AP15" s="1098"/>
      <c r="AQ15" s="1098"/>
      <c r="AR15" s="1098"/>
      <c r="AS15" s="1098"/>
      <c r="AT15" s="1098">
        <v>1</v>
      </c>
      <c r="AU15" s="1098"/>
      <c r="AV15" s="1098"/>
      <c r="AW15" s="1098"/>
      <c r="AX15" s="1098"/>
      <c r="AY15" s="1098"/>
      <c r="AZ15" s="1098"/>
      <c r="BA15" s="1097">
        <f t="shared" si="15"/>
        <v>1</v>
      </c>
      <c r="BB15" s="1098"/>
      <c r="BC15" s="1098"/>
      <c r="BD15" s="1098"/>
      <c r="BE15" s="1098">
        <v>3</v>
      </c>
      <c r="BF15" s="1098"/>
      <c r="BG15" s="1098"/>
      <c r="BH15" s="1098"/>
      <c r="BI15" s="1098"/>
      <c r="BJ15" s="1098"/>
      <c r="BK15" s="1098"/>
      <c r="BL15" s="1098"/>
      <c r="BM15" s="1098"/>
      <c r="BN15" s="1097">
        <f t="shared" si="16"/>
        <v>3</v>
      </c>
      <c r="BO15" s="1098"/>
      <c r="BP15" s="1098"/>
      <c r="BQ15" s="1098"/>
      <c r="BR15" s="1098"/>
      <c r="BS15" s="1098"/>
      <c r="BT15" s="1098"/>
      <c r="BU15" s="1098"/>
      <c r="BV15" s="1098"/>
      <c r="BW15" s="1098"/>
      <c r="BX15" s="1098"/>
      <c r="BY15" s="1098"/>
      <c r="BZ15" s="1098"/>
      <c r="CA15" s="1097">
        <f t="shared" si="17"/>
        <v>0</v>
      </c>
      <c r="CB15" s="1098"/>
      <c r="CC15" s="1098"/>
      <c r="CD15" s="1098"/>
      <c r="CE15" s="1098"/>
      <c r="CF15" s="1098"/>
      <c r="CG15" s="1098"/>
      <c r="CH15" s="1098"/>
      <c r="CI15" s="1098"/>
      <c r="CJ15" s="1098"/>
      <c r="CK15" s="1098"/>
      <c r="CL15" s="1098"/>
      <c r="CM15" s="1098"/>
      <c r="CN15" s="1097">
        <f t="shared" si="18"/>
        <v>0</v>
      </c>
      <c r="CO15" s="1098"/>
      <c r="CP15" s="1098"/>
      <c r="CQ15" s="1098"/>
      <c r="CR15" s="1098"/>
      <c r="CS15" s="1098"/>
      <c r="CT15" s="1098"/>
      <c r="CU15" s="1098"/>
      <c r="CV15" s="1098"/>
      <c r="CW15" s="1098"/>
      <c r="CX15" s="1098"/>
      <c r="CY15" s="1098"/>
      <c r="CZ15" s="1098"/>
      <c r="DA15" s="1097">
        <f t="shared" si="19"/>
        <v>0</v>
      </c>
      <c r="DB15" s="1098"/>
      <c r="DC15" s="1098"/>
      <c r="DD15" s="1098"/>
      <c r="DE15" s="1098"/>
      <c r="DF15" s="1098"/>
      <c r="DG15" s="1098"/>
      <c r="DH15" s="1098"/>
      <c r="DI15" s="1098"/>
      <c r="DJ15" s="1098"/>
      <c r="DK15" s="1098"/>
      <c r="DL15" s="1098"/>
      <c r="DM15" s="1098">
        <v>15</v>
      </c>
      <c r="DN15" s="1097">
        <f t="shared" si="20"/>
        <v>15</v>
      </c>
      <c r="DO15" s="1098">
        <v>4</v>
      </c>
      <c r="DP15" s="1098">
        <v>4</v>
      </c>
      <c r="DQ15" s="1098"/>
      <c r="DR15" s="1098"/>
      <c r="DS15" s="1098"/>
      <c r="DT15" s="1098"/>
      <c r="DU15" s="1098"/>
      <c r="DV15" s="1098"/>
      <c r="DW15" s="1098"/>
      <c r="DX15" s="1098"/>
      <c r="DY15" s="1098"/>
      <c r="DZ15" s="1098">
        <v>3</v>
      </c>
      <c r="EA15" s="1097">
        <f t="shared" si="21"/>
        <v>11</v>
      </c>
      <c r="EB15" s="1098"/>
      <c r="EC15" s="1098"/>
      <c r="ED15" s="1098"/>
      <c r="EE15" s="1098"/>
      <c r="EF15" s="1098"/>
      <c r="EG15" s="1098"/>
      <c r="EH15" s="1098"/>
      <c r="EI15" s="1098"/>
      <c r="EJ15" s="1098"/>
      <c r="EK15" s="1098"/>
      <c r="EL15" s="1098"/>
      <c r="EM15" s="1098"/>
      <c r="EN15" s="1097">
        <f t="shared" si="22"/>
        <v>0</v>
      </c>
      <c r="EO15" s="1098"/>
      <c r="EP15" s="1098"/>
      <c r="EQ15" s="1098"/>
      <c r="ER15" s="1098"/>
      <c r="ES15" s="1098"/>
      <c r="ET15" s="1098"/>
      <c r="EU15" s="1098"/>
      <c r="EV15" s="1098"/>
      <c r="EW15" s="1098"/>
      <c r="EX15" s="1098"/>
      <c r="EY15" s="1098"/>
      <c r="EZ15" s="1098"/>
      <c r="FA15" s="1097">
        <f t="shared" si="23"/>
        <v>0</v>
      </c>
      <c r="FB15" s="1098"/>
      <c r="FC15" s="1098"/>
      <c r="FD15" s="1098"/>
      <c r="FE15" s="1098"/>
      <c r="FF15" s="1098"/>
      <c r="FG15" s="1098"/>
      <c r="FH15" s="1098"/>
      <c r="FI15" s="1098"/>
      <c r="FJ15" s="1098"/>
      <c r="FK15" s="1098"/>
      <c r="FL15" s="1098"/>
      <c r="FM15" s="1098"/>
      <c r="FN15" s="1097">
        <f t="shared" si="24"/>
        <v>0</v>
      </c>
      <c r="FO15" s="1098"/>
      <c r="FP15" s="1098"/>
      <c r="FQ15" s="1098"/>
      <c r="FR15" s="1098"/>
      <c r="FS15" s="1098"/>
      <c r="FT15" s="1098"/>
      <c r="FU15" s="1098"/>
      <c r="FV15" s="1098"/>
      <c r="FW15" s="1098"/>
      <c r="FX15" s="1098"/>
      <c r="FY15" s="1098"/>
      <c r="FZ15" s="1098"/>
      <c r="GA15" s="1097">
        <f t="shared" si="25"/>
        <v>0</v>
      </c>
      <c r="GB15" s="1098"/>
      <c r="GC15" s="1098"/>
      <c r="GD15" s="1098"/>
      <c r="GE15" s="1098"/>
      <c r="GF15" s="1098"/>
      <c r="GG15" s="1098"/>
      <c r="GH15" s="1098"/>
      <c r="GI15" s="1098"/>
      <c r="GJ15" s="1098"/>
      <c r="GK15" s="1098"/>
      <c r="GL15" s="1098"/>
      <c r="GM15" s="1098"/>
      <c r="GN15" s="1097">
        <f t="shared" si="26"/>
        <v>0</v>
      </c>
      <c r="GO15" s="1098"/>
      <c r="GP15" s="1098"/>
      <c r="GQ15" s="1098"/>
      <c r="GR15" s="1098"/>
      <c r="GS15" s="1098"/>
      <c r="GT15" s="1098"/>
      <c r="GU15" s="1098"/>
      <c r="GV15" s="1098"/>
      <c r="GW15" s="1098"/>
      <c r="GX15" s="1098"/>
      <c r="GY15" s="1098"/>
      <c r="GZ15" s="1098"/>
      <c r="HA15" s="1097">
        <f t="shared" si="27"/>
        <v>0</v>
      </c>
      <c r="HB15" s="1098"/>
      <c r="HC15" s="1098"/>
      <c r="HD15" s="1098"/>
      <c r="HE15" s="1098"/>
      <c r="HF15" s="1098"/>
      <c r="HG15" s="1098"/>
      <c r="HH15" s="1098"/>
      <c r="HI15" s="1098"/>
      <c r="HJ15" s="1098"/>
      <c r="HK15" s="1098"/>
      <c r="HL15" s="1098"/>
      <c r="HM15" s="1098"/>
      <c r="HN15" s="1097">
        <f t="shared" si="28"/>
        <v>0</v>
      </c>
      <c r="HO15" s="1098"/>
      <c r="HP15" s="1098"/>
      <c r="HQ15" s="1098"/>
      <c r="HR15" s="1098"/>
      <c r="HS15" s="1098"/>
      <c r="HT15" s="1098"/>
      <c r="HU15" s="1098"/>
      <c r="HV15" s="1098"/>
      <c r="HW15" s="1098">
        <v>1.5</v>
      </c>
      <c r="HX15" s="1098"/>
      <c r="HY15" s="1098"/>
      <c r="HZ15" s="1098"/>
      <c r="IA15" s="1097">
        <f t="shared" si="29"/>
        <v>1.5</v>
      </c>
      <c r="IB15" s="1098">
        <v>0.5</v>
      </c>
      <c r="IC15" s="1098"/>
      <c r="ID15" s="1098"/>
      <c r="IE15" s="1098"/>
      <c r="IF15" s="1098"/>
      <c r="IG15" s="1098"/>
      <c r="IH15" s="1098"/>
      <c r="II15" s="1098"/>
      <c r="IJ15" s="1098"/>
      <c r="IK15" s="1098"/>
      <c r="IL15" s="1098"/>
      <c r="IM15" s="1098"/>
      <c r="IN15" s="1097">
        <f t="shared" si="30"/>
        <v>0.5</v>
      </c>
      <c r="IO15" s="1098"/>
      <c r="IP15" s="1098"/>
      <c r="IQ15" s="1098"/>
      <c r="IR15" s="1098"/>
      <c r="IS15" s="1098"/>
      <c r="IT15" s="1098"/>
      <c r="IU15" s="1098"/>
      <c r="IV15" s="1098"/>
      <c r="IW15" s="1098"/>
      <c r="IX15" s="1098"/>
      <c r="IY15" s="1098"/>
      <c r="IZ15" s="1098"/>
      <c r="JA15" s="1097">
        <f t="shared" si="31"/>
        <v>0</v>
      </c>
      <c r="JB15" s="1098"/>
      <c r="JC15" s="1098"/>
      <c r="JD15" s="1098"/>
      <c r="JE15" s="1098"/>
      <c r="JF15" s="1098"/>
      <c r="JG15" s="1098">
        <v>0</v>
      </c>
      <c r="JH15" s="1098"/>
      <c r="JI15" s="1098"/>
      <c r="JJ15" s="1098"/>
      <c r="JK15" s="1098"/>
      <c r="JL15" s="1098"/>
      <c r="JM15" s="1098"/>
      <c r="JN15" s="1097">
        <f t="shared" si="32"/>
        <v>0</v>
      </c>
      <c r="JP15" s="1116" t="str">
        <f t="shared" si="33"/>
        <v/>
      </c>
      <c r="JQ15" s="1117" t="str">
        <f t="shared" si="34"/>
        <v/>
      </c>
      <c r="JR15" s="1079">
        <f t="shared" si="35"/>
        <v>0</v>
      </c>
      <c r="JS15" s="1118">
        <f t="shared" si="36"/>
        <v>0</v>
      </c>
      <c r="JT15" s="62"/>
      <c r="JU15" s="1139">
        <f t="shared" si="37"/>
        <v>64</v>
      </c>
      <c r="JV15" s="1146" t="s">
        <v>91</v>
      </c>
      <c r="JW15" s="1147" t="str">
        <f t="shared" si="38"/>
        <v>OK</v>
      </c>
    </row>
    <row r="16" spans="1:283" ht="15" customHeight="1" x14ac:dyDescent="0.2">
      <c r="A16" s="1129" t="s">
        <v>32</v>
      </c>
      <c r="B16" s="1098"/>
      <c r="C16" s="1098"/>
      <c r="D16" s="1098"/>
      <c r="E16" s="1098"/>
      <c r="F16" s="1098"/>
      <c r="G16" s="1098"/>
      <c r="H16" s="1098"/>
      <c r="I16" s="1098"/>
      <c r="J16" s="1098"/>
      <c r="K16" s="1098"/>
      <c r="L16" s="1098"/>
      <c r="M16" s="1098"/>
      <c r="N16" s="1097">
        <f t="shared" si="12"/>
        <v>0</v>
      </c>
      <c r="O16" s="1098"/>
      <c r="P16" s="1098"/>
      <c r="Q16" s="1098"/>
      <c r="R16" s="1098"/>
      <c r="S16" s="1098"/>
      <c r="T16" s="1098"/>
      <c r="U16" s="1098"/>
      <c r="V16" s="1098"/>
      <c r="W16" s="1098"/>
      <c r="X16" s="1098"/>
      <c r="Y16" s="1098"/>
      <c r="Z16" s="1098"/>
      <c r="AA16" s="1097">
        <f t="shared" si="13"/>
        <v>0</v>
      </c>
      <c r="AB16" s="1098"/>
      <c r="AC16" s="1098"/>
      <c r="AD16" s="1098"/>
      <c r="AE16" s="1098"/>
      <c r="AF16" s="1098"/>
      <c r="AG16" s="1098"/>
      <c r="AH16" s="1098"/>
      <c r="AI16" s="1098"/>
      <c r="AJ16" s="1098"/>
      <c r="AK16" s="1098"/>
      <c r="AL16" s="1098"/>
      <c r="AM16" s="1098"/>
      <c r="AN16" s="1097">
        <f t="shared" si="14"/>
        <v>0</v>
      </c>
      <c r="AO16" s="1098"/>
      <c r="AP16" s="1098"/>
      <c r="AQ16" s="1098"/>
      <c r="AR16" s="1098"/>
      <c r="AS16" s="1098"/>
      <c r="AT16" s="1098">
        <v>1</v>
      </c>
      <c r="AU16" s="1098"/>
      <c r="AV16" s="1098"/>
      <c r="AW16" s="1098"/>
      <c r="AX16" s="1098"/>
      <c r="AY16" s="1098"/>
      <c r="AZ16" s="1098"/>
      <c r="BA16" s="1097">
        <f t="shared" si="15"/>
        <v>1</v>
      </c>
      <c r="BB16" s="1098"/>
      <c r="BC16" s="1098"/>
      <c r="BD16" s="1098"/>
      <c r="BE16" s="1098"/>
      <c r="BF16" s="1098"/>
      <c r="BG16" s="1098"/>
      <c r="BH16" s="1098"/>
      <c r="BI16" s="1098"/>
      <c r="BJ16" s="1098"/>
      <c r="BK16" s="1098"/>
      <c r="BL16" s="1098"/>
      <c r="BM16" s="1098"/>
      <c r="BN16" s="1097">
        <f t="shared" si="16"/>
        <v>0</v>
      </c>
      <c r="BO16" s="1098"/>
      <c r="BP16" s="1098"/>
      <c r="BQ16" s="1098"/>
      <c r="BR16" s="1098"/>
      <c r="BS16" s="1098"/>
      <c r="BT16" s="1098"/>
      <c r="BU16" s="1098"/>
      <c r="BV16" s="1098"/>
      <c r="BW16" s="1098"/>
      <c r="BX16" s="1098"/>
      <c r="BY16" s="1098"/>
      <c r="BZ16" s="1098"/>
      <c r="CA16" s="1097">
        <f t="shared" si="17"/>
        <v>0</v>
      </c>
      <c r="CB16" s="1098"/>
      <c r="CC16" s="1098"/>
      <c r="CD16" s="1098"/>
      <c r="CE16" s="1098"/>
      <c r="CF16" s="1098"/>
      <c r="CG16" s="1098"/>
      <c r="CH16" s="1098"/>
      <c r="CI16" s="1098"/>
      <c r="CJ16" s="1098"/>
      <c r="CK16" s="1098"/>
      <c r="CL16" s="1098"/>
      <c r="CM16" s="1098"/>
      <c r="CN16" s="1097">
        <f t="shared" si="18"/>
        <v>0</v>
      </c>
      <c r="CO16" s="1098"/>
      <c r="CP16" s="1098"/>
      <c r="CQ16" s="1098"/>
      <c r="CR16" s="1098"/>
      <c r="CS16" s="1098"/>
      <c r="CT16" s="1098"/>
      <c r="CU16" s="1098"/>
      <c r="CV16" s="1098"/>
      <c r="CW16" s="1098"/>
      <c r="CX16" s="1098"/>
      <c r="CY16" s="1098"/>
      <c r="CZ16" s="1098"/>
      <c r="DA16" s="1097">
        <f t="shared" si="19"/>
        <v>0</v>
      </c>
      <c r="DB16" s="1098"/>
      <c r="DC16" s="1098"/>
      <c r="DD16" s="1098"/>
      <c r="DE16" s="1098"/>
      <c r="DF16" s="1098"/>
      <c r="DG16" s="1098"/>
      <c r="DH16" s="1098"/>
      <c r="DI16" s="1098"/>
      <c r="DJ16" s="1098"/>
      <c r="DK16" s="1098"/>
      <c r="DL16" s="1098"/>
      <c r="DM16" s="1098"/>
      <c r="DN16" s="1097">
        <f t="shared" si="20"/>
        <v>0</v>
      </c>
      <c r="DO16" s="1098"/>
      <c r="DP16" s="1098"/>
      <c r="DQ16" s="1098"/>
      <c r="DR16" s="1098"/>
      <c r="DS16" s="1098"/>
      <c r="DT16" s="1098"/>
      <c r="DU16" s="1098"/>
      <c r="DV16" s="1098"/>
      <c r="DW16" s="1098"/>
      <c r="DX16" s="1098"/>
      <c r="DY16" s="1098"/>
      <c r="DZ16" s="1098"/>
      <c r="EA16" s="1097">
        <f t="shared" si="21"/>
        <v>0</v>
      </c>
      <c r="EB16" s="1098"/>
      <c r="EC16" s="1098"/>
      <c r="ED16" s="1098"/>
      <c r="EE16" s="1098"/>
      <c r="EF16" s="1098"/>
      <c r="EG16" s="1098"/>
      <c r="EH16" s="1098"/>
      <c r="EI16" s="1098"/>
      <c r="EJ16" s="1098"/>
      <c r="EK16" s="1098"/>
      <c r="EL16" s="1098"/>
      <c r="EM16" s="1098"/>
      <c r="EN16" s="1097">
        <f t="shared" si="22"/>
        <v>0</v>
      </c>
      <c r="EO16" s="1098"/>
      <c r="EP16" s="1098"/>
      <c r="EQ16" s="1098"/>
      <c r="ER16" s="1098"/>
      <c r="ES16" s="1098"/>
      <c r="ET16" s="1098"/>
      <c r="EU16" s="1098"/>
      <c r="EV16" s="1098"/>
      <c r="EW16" s="1098"/>
      <c r="EX16" s="1098"/>
      <c r="EY16" s="1098"/>
      <c r="EZ16" s="1098"/>
      <c r="FA16" s="1097">
        <f t="shared" si="23"/>
        <v>0</v>
      </c>
      <c r="FB16" s="1098"/>
      <c r="FC16" s="1098"/>
      <c r="FD16" s="1098"/>
      <c r="FE16" s="1098"/>
      <c r="FF16" s="1098"/>
      <c r="FG16" s="1098"/>
      <c r="FH16" s="1098"/>
      <c r="FI16" s="1098"/>
      <c r="FJ16" s="1098"/>
      <c r="FK16" s="1098"/>
      <c r="FL16" s="1098"/>
      <c r="FM16" s="1098"/>
      <c r="FN16" s="1097">
        <f t="shared" si="24"/>
        <v>0</v>
      </c>
      <c r="FO16" s="1098"/>
      <c r="FP16" s="1098"/>
      <c r="FQ16" s="1098"/>
      <c r="FR16" s="1098"/>
      <c r="FS16" s="1098"/>
      <c r="FT16" s="1098"/>
      <c r="FU16" s="1098"/>
      <c r="FV16" s="1098"/>
      <c r="FW16" s="1098"/>
      <c r="FX16" s="1098"/>
      <c r="FY16" s="1098"/>
      <c r="FZ16" s="1098"/>
      <c r="GA16" s="1097">
        <f t="shared" si="25"/>
        <v>0</v>
      </c>
      <c r="GB16" s="1098"/>
      <c r="GC16" s="1098"/>
      <c r="GD16" s="1098"/>
      <c r="GE16" s="1098"/>
      <c r="GF16" s="1098"/>
      <c r="GG16" s="1098"/>
      <c r="GH16" s="1098"/>
      <c r="GI16" s="1098"/>
      <c r="GJ16" s="1098"/>
      <c r="GK16" s="1098"/>
      <c r="GL16" s="1098"/>
      <c r="GM16" s="1098"/>
      <c r="GN16" s="1097">
        <f t="shared" si="26"/>
        <v>0</v>
      </c>
      <c r="GO16" s="1098"/>
      <c r="GP16" s="1098"/>
      <c r="GQ16" s="1098"/>
      <c r="GR16" s="1098"/>
      <c r="GS16" s="1098"/>
      <c r="GT16" s="1098"/>
      <c r="GU16" s="1098"/>
      <c r="GV16" s="1098"/>
      <c r="GW16" s="1098"/>
      <c r="GX16" s="1098"/>
      <c r="GY16" s="1098"/>
      <c r="GZ16" s="1098"/>
      <c r="HA16" s="1097">
        <f t="shared" si="27"/>
        <v>0</v>
      </c>
      <c r="HB16" s="1098"/>
      <c r="HC16" s="1098"/>
      <c r="HD16" s="1098"/>
      <c r="HE16" s="1098"/>
      <c r="HF16" s="1098"/>
      <c r="HG16" s="1098"/>
      <c r="HH16" s="1098"/>
      <c r="HI16" s="1098"/>
      <c r="HJ16" s="1098"/>
      <c r="HK16" s="1098"/>
      <c r="HL16" s="1098"/>
      <c r="HM16" s="1098"/>
      <c r="HN16" s="1097">
        <f t="shared" si="28"/>
        <v>0</v>
      </c>
      <c r="HO16" s="1098"/>
      <c r="HP16" s="1098"/>
      <c r="HQ16" s="1098"/>
      <c r="HR16" s="1098"/>
      <c r="HS16" s="1098"/>
      <c r="HT16" s="1098"/>
      <c r="HU16" s="1098"/>
      <c r="HV16" s="1098"/>
      <c r="HW16" s="1098"/>
      <c r="HX16" s="1098"/>
      <c r="HY16" s="1098"/>
      <c r="HZ16" s="1098"/>
      <c r="IA16" s="1097">
        <f t="shared" si="29"/>
        <v>0</v>
      </c>
      <c r="IB16" s="1098"/>
      <c r="IC16" s="1098"/>
      <c r="ID16" s="1098"/>
      <c r="IE16" s="1098"/>
      <c r="IF16" s="1098"/>
      <c r="IG16" s="1098"/>
      <c r="IH16" s="1098"/>
      <c r="II16" s="1098"/>
      <c r="IJ16" s="1098"/>
      <c r="IK16" s="1098"/>
      <c r="IL16" s="1098"/>
      <c r="IM16" s="1098"/>
      <c r="IN16" s="1097">
        <f t="shared" si="30"/>
        <v>0</v>
      </c>
      <c r="IO16" s="1098"/>
      <c r="IP16" s="1098"/>
      <c r="IQ16" s="1098"/>
      <c r="IR16" s="1098"/>
      <c r="IS16" s="1098"/>
      <c r="IT16" s="1098"/>
      <c r="IU16" s="1098"/>
      <c r="IV16" s="1098"/>
      <c r="IW16" s="1098"/>
      <c r="IX16" s="1098"/>
      <c r="IY16" s="1098"/>
      <c r="IZ16" s="1098"/>
      <c r="JA16" s="1097">
        <f t="shared" si="31"/>
        <v>0</v>
      </c>
      <c r="JB16" s="1098"/>
      <c r="JC16" s="1098"/>
      <c r="JD16" s="1098"/>
      <c r="JE16" s="1098"/>
      <c r="JF16" s="1098"/>
      <c r="JG16" s="1098">
        <v>1</v>
      </c>
      <c r="JH16" s="1098"/>
      <c r="JI16" s="1098"/>
      <c r="JJ16" s="1098"/>
      <c r="JK16" s="1098"/>
      <c r="JL16" s="1098"/>
      <c r="JM16" s="1098"/>
      <c r="JN16" s="1097">
        <f t="shared" si="32"/>
        <v>1</v>
      </c>
      <c r="JP16" s="1116" t="str">
        <f t="shared" si="33"/>
        <v/>
      </c>
      <c r="JQ16" s="1117" t="str">
        <f t="shared" si="34"/>
        <v/>
      </c>
      <c r="JR16" s="1079">
        <f t="shared" si="35"/>
        <v>0</v>
      </c>
      <c r="JS16" s="1118">
        <f t="shared" si="36"/>
        <v>0</v>
      </c>
      <c r="JT16" s="62"/>
      <c r="JU16" s="1139">
        <f t="shared" si="37"/>
        <v>4</v>
      </c>
      <c r="JV16" s="1146" t="s">
        <v>32</v>
      </c>
      <c r="JW16" s="1147" t="str">
        <f t="shared" si="38"/>
        <v>OK</v>
      </c>
    </row>
    <row r="17" spans="1:283" ht="15" customHeight="1" x14ac:dyDescent="0.2">
      <c r="A17" s="1129" t="s">
        <v>43</v>
      </c>
      <c r="B17" s="1098"/>
      <c r="C17" s="1098"/>
      <c r="D17" s="1098"/>
      <c r="E17" s="1098"/>
      <c r="F17" s="1098"/>
      <c r="G17" s="1098"/>
      <c r="H17" s="1098"/>
      <c r="I17" s="1098"/>
      <c r="J17" s="1098"/>
      <c r="K17" s="1098"/>
      <c r="L17" s="1098"/>
      <c r="M17" s="1098"/>
      <c r="N17" s="1097">
        <f t="shared" si="12"/>
        <v>0</v>
      </c>
      <c r="O17" s="1098"/>
      <c r="P17" s="1098"/>
      <c r="Q17" s="1098"/>
      <c r="R17" s="1098"/>
      <c r="S17" s="1098"/>
      <c r="T17" s="1098"/>
      <c r="U17" s="1098"/>
      <c r="V17" s="1098">
        <v>10</v>
      </c>
      <c r="W17" s="1098"/>
      <c r="X17" s="1098"/>
      <c r="Y17" s="1098"/>
      <c r="Z17" s="1098"/>
      <c r="AA17" s="1097">
        <f t="shared" si="13"/>
        <v>10</v>
      </c>
      <c r="AB17" s="1098"/>
      <c r="AC17" s="1098"/>
      <c r="AD17" s="1098"/>
      <c r="AE17" s="1098"/>
      <c r="AF17" s="1098"/>
      <c r="AG17" s="1098"/>
      <c r="AH17" s="1098"/>
      <c r="AI17" s="1098"/>
      <c r="AJ17" s="1098"/>
      <c r="AK17" s="1098"/>
      <c r="AL17" s="1098"/>
      <c r="AM17" s="1098"/>
      <c r="AN17" s="1097">
        <f t="shared" si="14"/>
        <v>0</v>
      </c>
      <c r="AO17" s="1098"/>
      <c r="AP17" s="1098"/>
      <c r="AQ17" s="1098"/>
      <c r="AR17" s="1098"/>
      <c r="AS17" s="1098"/>
      <c r="AT17" s="1098"/>
      <c r="AU17" s="1098"/>
      <c r="AV17" s="1098"/>
      <c r="AW17" s="1098"/>
      <c r="AX17" s="1098"/>
      <c r="AY17" s="1098"/>
      <c r="AZ17" s="1098"/>
      <c r="BA17" s="1097">
        <f t="shared" si="15"/>
        <v>0</v>
      </c>
      <c r="BB17" s="1098"/>
      <c r="BC17" s="1098"/>
      <c r="BD17" s="1098"/>
      <c r="BE17" s="1098"/>
      <c r="BF17" s="1098"/>
      <c r="BG17" s="1098"/>
      <c r="BH17" s="1098"/>
      <c r="BI17" s="1098"/>
      <c r="BJ17" s="1098"/>
      <c r="BK17" s="1098"/>
      <c r="BL17" s="1098"/>
      <c r="BM17" s="1098"/>
      <c r="BN17" s="1097">
        <f t="shared" si="16"/>
        <v>0</v>
      </c>
      <c r="BO17" s="1098"/>
      <c r="BP17" s="1098"/>
      <c r="BQ17" s="1098"/>
      <c r="BR17" s="1098"/>
      <c r="BS17" s="1098"/>
      <c r="BT17" s="1098"/>
      <c r="BU17" s="1098"/>
      <c r="BV17" s="1098"/>
      <c r="BW17" s="1098"/>
      <c r="BX17" s="1098"/>
      <c r="BY17" s="1098"/>
      <c r="BZ17" s="1098"/>
      <c r="CA17" s="1097">
        <f t="shared" si="17"/>
        <v>0</v>
      </c>
      <c r="CB17" s="1098"/>
      <c r="CC17" s="1098"/>
      <c r="CD17" s="1098"/>
      <c r="CE17" s="1098"/>
      <c r="CF17" s="1098"/>
      <c r="CG17" s="1098"/>
      <c r="CH17" s="1098"/>
      <c r="CI17" s="1098"/>
      <c r="CJ17" s="1098"/>
      <c r="CK17" s="1098"/>
      <c r="CL17" s="1098"/>
      <c r="CM17" s="1098"/>
      <c r="CN17" s="1097">
        <f t="shared" si="18"/>
        <v>0</v>
      </c>
      <c r="CO17" s="1098"/>
      <c r="CP17" s="1098"/>
      <c r="CQ17" s="1098"/>
      <c r="CR17" s="1098"/>
      <c r="CS17" s="1098"/>
      <c r="CT17" s="1098"/>
      <c r="CU17" s="1098"/>
      <c r="CV17" s="1098"/>
      <c r="CW17" s="1098"/>
      <c r="CX17" s="1098"/>
      <c r="CY17" s="1098"/>
      <c r="CZ17" s="1098"/>
      <c r="DA17" s="1097">
        <f t="shared" si="19"/>
        <v>0</v>
      </c>
      <c r="DB17" s="1098"/>
      <c r="DC17" s="1098"/>
      <c r="DD17" s="1098"/>
      <c r="DE17" s="1098"/>
      <c r="DF17" s="1098"/>
      <c r="DG17" s="1098"/>
      <c r="DH17" s="1098"/>
      <c r="DI17" s="1098"/>
      <c r="DJ17" s="1098"/>
      <c r="DK17" s="1098"/>
      <c r="DL17" s="1098"/>
      <c r="DM17" s="1098"/>
      <c r="DN17" s="1097">
        <f t="shared" si="20"/>
        <v>0</v>
      </c>
      <c r="DO17" s="1098"/>
      <c r="DP17" s="1098"/>
      <c r="DQ17" s="1098"/>
      <c r="DR17" s="1098"/>
      <c r="DS17" s="1098"/>
      <c r="DT17" s="1098"/>
      <c r="DU17" s="1098"/>
      <c r="DV17" s="1098"/>
      <c r="DW17" s="1098"/>
      <c r="DX17" s="1098"/>
      <c r="DY17" s="1098"/>
      <c r="DZ17" s="1098"/>
      <c r="EA17" s="1097">
        <f t="shared" si="21"/>
        <v>0</v>
      </c>
      <c r="EB17" s="1098"/>
      <c r="EC17" s="1098"/>
      <c r="ED17" s="1098"/>
      <c r="EE17" s="1098"/>
      <c r="EF17" s="1098"/>
      <c r="EG17" s="1098"/>
      <c r="EH17" s="1098"/>
      <c r="EI17" s="1098"/>
      <c r="EJ17" s="1098"/>
      <c r="EK17" s="1098"/>
      <c r="EL17" s="1098"/>
      <c r="EM17" s="1098"/>
      <c r="EN17" s="1097">
        <f t="shared" si="22"/>
        <v>0</v>
      </c>
      <c r="EO17" s="1098"/>
      <c r="EP17" s="1098"/>
      <c r="EQ17" s="1098"/>
      <c r="ER17" s="1098"/>
      <c r="ES17" s="1098"/>
      <c r="ET17" s="1098"/>
      <c r="EU17" s="1098"/>
      <c r="EV17" s="1098"/>
      <c r="EW17" s="1098"/>
      <c r="EX17" s="1098"/>
      <c r="EY17" s="1098"/>
      <c r="EZ17" s="1098"/>
      <c r="FA17" s="1097">
        <f t="shared" si="23"/>
        <v>0</v>
      </c>
      <c r="FB17" s="1098"/>
      <c r="FC17" s="1098"/>
      <c r="FD17" s="1098"/>
      <c r="FE17" s="1098"/>
      <c r="FF17" s="1098"/>
      <c r="FG17" s="1098"/>
      <c r="FH17" s="1098"/>
      <c r="FI17" s="1098"/>
      <c r="FJ17" s="1098"/>
      <c r="FK17" s="1098"/>
      <c r="FL17" s="1098"/>
      <c r="FM17" s="1098"/>
      <c r="FN17" s="1097">
        <f t="shared" si="24"/>
        <v>0</v>
      </c>
      <c r="FO17" s="1098"/>
      <c r="FP17" s="1098"/>
      <c r="FQ17" s="1098"/>
      <c r="FR17" s="1098"/>
      <c r="FS17" s="1098"/>
      <c r="FT17" s="1098"/>
      <c r="FU17" s="1098"/>
      <c r="FV17" s="1098"/>
      <c r="FW17" s="1098"/>
      <c r="FX17" s="1098"/>
      <c r="FY17" s="1098"/>
      <c r="FZ17" s="1098"/>
      <c r="GA17" s="1097">
        <f t="shared" si="25"/>
        <v>0</v>
      </c>
      <c r="GB17" s="1098"/>
      <c r="GC17" s="1098"/>
      <c r="GD17" s="1098"/>
      <c r="GE17" s="1098"/>
      <c r="GF17" s="1098"/>
      <c r="GG17" s="1098"/>
      <c r="GH17" s="1098"/>
      <c r="GI17" s="1098"/>
      <c r="GJ17" s="1098"/>
      <c r="GK17" s="1098"/>
      <c r="GL17" s="1098"/>
      <c r="GM17" s="1098"/>
      <c r="GN17" s="1097">
        <f t="shared" si="26"/>
        <v>0</v>
      </c>
      <c r="GO17" s="1098"/>
      <c r="GP17" s="1098"/>
      <c r="GQ17" s="1098"/>
      <c r="GR17" s="1098"/>
      <c r="GS17" s="1098"/>
      <c r="GT17" s="1098"/>
      <c r="GU17" s="1098"/>
      <c r="GV17" s="1098"/>
      <c r="GW17" s="1098"/>
      <c r="GX17" s="1098"/>
      <c r="GY17" s="1098"/>
      <c r="GZ17" s="1098"/>
      <c r="HA17" s="1097">
        <f t="shared" si="27"/>
        <v>0</v>
      </c>
      <c r="HB17" s="1098"/>
      <c r="HC17" s="1098"/>
      <c r="HD17" s="1098"/>
      <c r="HE17" s="1098"/>
      <c r="HF17" s="1098"/>
      <c r="HG17" s="1098"/>
      <c r="HH17" s="1098"/>
      <c r="HI17" s="1098"/>
      <c r="HJ17" s="1098"/>
      <c r="HK17" s="1098"/>
      <c r="HL17" s="1098"/>
      <c r="HM17" s="1098"/>
      <c r="HN17" s="1097">
        <f t="shared" si="28"/>
        <v>0</v>
      </c>
      <c r="HO17" s="1098"/>
      <c r="HP17" s="1098"/>
      <c r="HQ17" s="1098"/>
      <c r="HR17" s="1098"/>
      <c r="HS17" s="1098"/>
      <c r="HT17" s="1098"/>
      <c r="HU17" s="1098"/>
      <c r="HV17" s="1098"/>
      <c r="HW17" s="1098"/>
      <c r="HX17" s="1098"/>
      <c r="HY17" s="1098"/>
      <c r="HZ17" s="1098"/>
      <c r="IA17" s="1097">
        <f t="shared" si="29"/>
        <v>0</v>
      </c>
      <c r="IB17" s="1098"/>
      <c r="IC17" s="1098"/>
      <c r="ID17" s="1098"/>
      <c r="IE17" s="1098"/>
      <c r="IF17" s="1098"/>
      <c r="IG17" s="1098"/>
      <c r="IH17" s="1098"/>
      <c r="II17" s="1098"/>
      <c r="IJ17" s="1098"/>
      <c r="IK17" s="1098"/>
      <c r="IL17" s="1098"/>
      <c r="IM17" s="1098"/>
      <c r="IN17" s="1097">
        <f t="shared" si="30"/>
        <v>0</v>
      </c>
      <c r="IO17" s="1098"/>
      <c r="IP17" s="1098"/>
      <c r="IQ17" s="1098"/>
      <c r="IR17" s="1098"/>
      <c r="IS17" s="1098"/>
      <c r="IT17" s="1098"/>
      <c r="IU17" s="1098"/>
      <c r="IV17" s="1098"/>
      <c r="IW17" s="1098"/>
      <c r="IX17" s="1098"/>
      <c r="IY17" s="1098"/>
      <c r="IZ17" s="1098"/>
      <c r="JA17" s="1097">
        <f t="shared" si="31"/>
        <v>0</v>
      </c>
      <c r="JB17" s="1098"/>
      <c r="JC17" s="1098"/>
      <c r="JD17" s="1098"/>
      <c r="JE17" s="1098"/>
      <c r="JF17" s="1098"/>
      <c r="JG17" s="1098"/>
      <c r="JH17" s="1098"/>
      <c r="JI17" s="1098"/>
      <c r="JJ17" s="1098"/>
      <c r="JK17" s="1098"/>
      <c r="JL17" s="1098"/>
      <c r="JM17" s="1098"/>
      <c r="JN17" s="1097">
        <f t="shared" si="32"/>
        <v>0</v>
      </c>
      <c r="JP17" s="1116" t="str">
        <f t="shared" si="33"/>
        <v/>
      </c>
      <c r="JQ17" s="1117" t="str">
        <f t="shared" si="34"/>
        <v/>
      </c>
      <c r="JR17" s="1079">
        <f t="shared" si="35"/>
        <v>0</v>
      </c>
      <c r="JS17" s="1118">
        <f t="shared" si="36"/>
        <v>0</v>
      </c>
      <c r="JT17" s="62"/>
      <c r="JU17" s="1139">
        <f t="shared" si="37"/>
        <v>20</v>
      </c>
      <c r="JV17" s="1146" t="s">
        <v>43</v>
      </c>
      <c r="JW17" s="1147" t="str">
        <f t="shared" si="38"/>
        <v>OK</v>
      </c>
    </row>
    <row r="18" spans="1:283" ht="15" customHeight="1" x14ac:dyDescent="0.2">
      <c r="A18" s="1129" t="s">
        <v>41</v>
      </c>
      <c r="B18" s="1098">
        <v>3</v>
      </c>
      <c r="C18" s="1098"/>
      <c r="D18" s="1098"/>
      <c r="E18" s="1098"/>
      <c r="F18" s="1098"/>
      <c r="G18" s="1098"/>
      <c r="H18" s="1098"/>
      <c r="I18" s="1098"/>
      <c r="J18" s="1098"/>
      <c r="K18" s="1098"/>
      <c r="L18" s="1098"/>
      <c r="M18" s="1098">
        <v>3</v>
      </c>
      <c r="N18" s="1097">
        <f t="shared" si="12"/>
        <v>6</v>
      </c>
      <c r="O18" s="1098">
        <v>1</v>
      </c>
      <c r="P18" s="1098">
        <v>1</v>
      </c>
      <c r="Q18" s="1098">
        <v>1</v>
      </c>
      <c r="R18" s="1098"/>
      <c r="S18" s="1098">
        <v>6</v>
      </c>
      <c r="T18" s="1098">
        <v>7</v>
      </c>
      <c r="U18" s="1098"/>
      <c r="V18" s="1098"/>
      <c r="W18" s="1098"/>
      <c r="X18" s="1098"/>
      <c r="Y18" s="1098"/>
      <c r="Z18" s="1098"/>
      <c r="AA18" s="1097">
        <f t="shared" si="13"/>
        <v>16</v>
      </c>
      <c r="AB18" s="1098"/>
      <c r="AC18" s="1098">
        <v>15</v>
      </c>
      <c r="AD18" s="1098">
        <v>3</v>
      </c>
      <c r="AE18" s="1098">
        <v>6</v>
      </c>
      <c r="AF18" s="1098">
        <v>5</v>
      </c>
      <c r="AG18" s="1098">
        <v>17</v>
      </c>
      <c r="AH18" s="1098">
        <v>7</v>
      </c>
      <c r="AI18" s="1098">
        <v>3</v>
      </c>
      <c r="AJ18" s="1098">
        <v>6</v>
      </c>
      <c r="AK18" s="1098">
        <v>6</v>
      </c>
      <c r="AL18" s="1098">
        <v>6</v>
      </c>
      <c r="AM18" s="1098">
        <v>2</v>
      </c>
      <c r="AN18" s="1097">
        <f t="shared" si="14"/>
        <v>76</v>
      </c>
      <c r="AO18" s="1098">
        <v>12</v>
      </c>
      <c r="AP18" s="1098">
        <v>5</v>
      </c>
      <c r="AQ18" s="1098">
        <v>8</v>
      </c>
      <c r="AR18" s="1098">
        <v>2</v>
      </c>
      <c r="AS18" s="1098">
        <v>10</v>
      </c>
      <c r="AT18" s="1098">
        <v>1</v>
      </c>
      <c r="AU18" s="1098">
        <v>10</v>
      </c>
      <c r="AV18" s="1098">
        <v>3</v>
      </c>
      <c r="AW18" s="1098">
        <v>1</v>
      </c>
      <c r="AX18" s="1098">
        <v>5</v>
      </c>
      <c r="AY18" s="1098">
        <v>3</v>
      </c>
      <c r="AZ18" s="1098">
        <v>10</v>
      </c>
      <c r="BA18" s="1097">
        <f t="shared" si="15"/>
        <v>70</v>
      </c>
      <c r="BB18" s="1098"/>
      <c r="BC18" s="1098">
        <v>18</v>
      </c>
      <c r="BD18" s="1098"/>
      <c r="BE18" s="1098">
        <v>2</v>
      </c>
      <c r="BF18" s="1098">
        <v>2</v>
      </c>
      <c r="BG18" s="1098">
        <v>5</v>
      </c>
      <c r="BH18" s="1098"/>
      <c r="BI18" s="1098"/>
      <c r="BJ18" s="1098">
        <v>1</v>
      </c>
      <c r="BK18" s="1098">
        <v>2</v>
      </c>
      <c r="BL18" s="1098">
        <v>2</v>
      </c>
      <c r="BM18" s="1098">
        <v>6</v>
      </c>
      <c r="BN18" s="1097">
        <f t="shared" si="16"/>
        <v>38</v>
      </c>
      <c r="BO18" s="1098">
        <v>5</v>
      </c>
      <c r="BP18" s="1098">
        <v>8</v>
      </c>
      <c r="BQ18" s="1098">
        <v>4</v>
      </c>
      <c r="BR18" s="1098">
        <v>7</v>
      </c>
      <c r="BS18" s="1098">
        <v>4</v>
      </c>
      <c r="BT18" s="1098">
        <v>4</v>
      </c>
      <c r="BU18" s="1098"/>
      <c r="BV18" s="1098">
        <v>4</v>
      </c>
      <c r="BW18" s="1098"/>
      <c r="BX18" s="1098"/>
      <c r="BY18" s="1098"/>
      <c r="BZ18" s="1098"/>
      <c r="CA18" s="1097">
        <f t="shared" si="17"/>
        <v>36</v>
      </c>
      <c r="CB18" s="1098">
        <v>7</v>
      </c>
      <c r="CC18" s="1098">
        <v>3</v>
      </c>
      <c r="CD18" s="1098">
        <v>7</v>
      </c>
      <c r="CE18" s="1098"/>
      <c r="CF18" s="1098">
        <v>7</v>
      </c>
      <c r="CG18" s="1098">
        <v>8</v>
      </c>
      <c r="CH18" s="1098"/>
      <c r="CI18" s="1098"/>
      <c r="CJ18" s="1098">
        <v>6</v>
      </c>
      <c r="CK18" s="1098">
        <v>3</v>
      </c>
      <c r="CL18" s="1098">
        <v>3</v>
      </c>
      <c r="CM18" s="1098"/>
      <c r="CN18" s="1097">
        <f t="shared" si="18"/>
        <v>44</v>
      </c>
      <c r="CO18" s="1098">
        <v>3</v>
      </c>
      <c r="CP18" s="1098"/>
      <c r="CQ18" s="1098">
        <v>5</v>
      </c>
      <c r="CR18" s="1098">
        <v>1</v>
      </c>
      <c r="CS18" s="1098"/>
      <c r="CT18" s="1098"/>
      <c r="CU18" s="1098"/>
      <c r="CV18" s="1098">
        <v>3</v>
      </c>
      <c r="CW18" s="1098"/>
      <c r="CX18" s="1098">
        <v>30</v>
      </c>
      <c r="CY18" s="1098"/>
      <c r="CZ18" s="1098"/>
      <c r="DA18" s="1097">
        <f t="shared" si="19"/>
        <v>42</v>
      </c>
      <c r="DB18" s="1098"/>
      <c r="DC18" s="1098"/>
      <c r="DD18" s="1098">
        <v>5</v>
      </c>
      <c r="DE18" s="1098"/>
      <c r="DF18" s="1098"/>
      <c r="DG18" s="1098"/>
      <c r="DH18" s="1098"/>
      <c r="DI18" s="1098"/>
      <c r="DJ18" s="1098">
        <v>1</v>
      </c>
      <c r="DK18" s="1098"/>
      <c r="DL18" s="1098"/>
      <c r="DM18" s="1098">
        <v>314</v>
      </c>
      <c r="DN18" s="1097">
        <f t="shared" si="20"/>
        <v>320</v>
      </c>
      <c r="DO18" s="1098">
        <v>122</v>
      </c>
      <c r="DP18" s="1098">
        <v>6</v>
      </c>
      <c r="DQ18" s="1098"/>
      <c r="DR18" s="1098"/>
      <c r="DS18" s="1098"/>
      <c r="DT18" s="1098"/>
      <c r="DU18" s="1098"/>
      <c r="DV18" s="1098"/>
      <c r="DW18" s="1098"/>
      <c r="DX18" s="1098">
        <v>1</v>
      </c>
      <c r="DY18" s="1098">
        <v>9</v>
      </c>
      <c r="DZ18" s="1098">
        <v>288</v>
      </c>
      <c r="EA18" s="1097">
        <f t="shared" si="21"/>
        <v>426</v>
      </c>
      <c r="EB18" s="1098"/>
      <c r="EC18" s="1098">
        <v>2</v>
      </c>
      <c r="ED18" s="1098">
        <v>14</v>
      </c>
      <c r="EE18" s="1098">
        <v>19</v>
      </c>
      <c r="EF18" s="1098"/>
      <c r="EG18" s="1098">
        <v>1</v>
      </c>
      <c r="EH18" s="1098">
        <v>27</v>
      </c>
      <c r="EI18" s="1098">
        <v>1</v>
      </c>
      <c r="EJ18" s="1098">
        <v>17</v>
      </c>
      <c r="EK18" s="1098">
        <v>11</v>
      </c>
      <c r="EL18" s="1098">
        <v>20</v>
      </c>
      <c r="EM18" s="1098">
        <v>16</v>
      </c>
      <c r="EN18" s="1097">
        <f t="shared" si="22"/>
        <v>128</v>
      </c>
      <c r="EO18" s="1098">
        <v>27</v>
      </c>
      <c r="EP18" s="1098">
        <v>18</v>
      </c>
      <c r="EQ18" s="1098">
        <v>1</v>
      </c>
      <c r="ER18" s="1098">
        <v>1</v>
      </c>
      <c r="ES18" s="1098">
        <v>19</v>
      </c>
      <c r="ET18" s="1098">
        <v>3</v>
      </c>
      <c r="EU18" s="1098">
        <v>5</v>
      </c>
      <c r="EV18" s="1098">
        <v>4</v>
      </c>
      <c r="EW18" s="1098">
        <v>1</v>
      </c>
      <c r="EX18" s="1098">
        <v>6</v>
      </c>
      <c r="EY18" s="1098">
        <v>5</v>
      </c>
      <c r="EZ18" s="1098">
        <v>6</v>
      </c>
      <c r="FA18" s="1097">
        <f t="shared" si="23"/>
        <v>96</v>
      </c>
      <c r="FB18" s="1098">
        <v>20</v>
      </c>
      <c r="FC18" s="1098">
        <v>10</v>
      </c>
      <c r="FD18" s="1098">
        <v>2</v>
      </c>
      <c r="FE18" s="1098">
        <v>5</v>
      </c>
      <c r="FF18" s="1098">
        <v>12</v>
      </c>
      <c r="FG18" s="1098"/>
      <c r="FH18" s="1098">
        <v>8</v>
      </c>
      <c r="FI18" s="1098">
        <v>7</v>
      </c>
      <c r="FJ18" s="1098">
        <v>15</v>
      </c>
      <c r="FK18" s="1098">
        <v>3</v>
      </c>
      <c r="FL18" s="1098">
        <v>21</v>
      </c>
      <c r="FM18" s="1098">
        <v>14</v>
      </c>
      <c r="FN18" s="1097">
        <f t="shared" si="24"/>
        <v>117</v>
      </c>
      <c r="FO18" s="1098">
        <v>10</v>
      </c>
      <c r="FP18" s="1098">
        <v>13</v>
      </c>
      <c r="FQ18" s="1098">
        <v>2</v>
      </c>
      <c r="FR18" s="1098">
        <v>1</v>
      </c>
      <c r="FS18" s="1098">
        <v>1</v>
      </c>
      <c r="FT18" s="1098">
        <v>20</v>
      </c>
      <c r="FU18" s="1098">
        <v>22</v>
      </c>
      <c r="FV18" s="1098">
        <v>3</v>
      </c>
      <c r="FW18" s="1098">
        <v>5</v>
      </c>
      <c r="FX18" s="1098">
        <v>24</v>
      </c>
      <c r="FY18" s="1098">
        <v>16</v>
      </c>
      <c r="FZ18" s="1098">
        <v>24</v>
      </c>
      <c r="GA18" s="1097">
        <f t="shared" si="25"/>
        <v>141</v>
      </c>
      <c r="GB18" s="1098">
        <v>1</v>
      </c>
      <c r="GC18" s="1098"/>
      <c r="GD18" s="1098"/>
      <c r="GE18" s="1098"/>
      <c r="GF18" s="1098"/>
      <c r="GG18" s="1098">
        <v>2</v>
      </c>
      <c r="GH18" s="1098"/>
      <c r="GI18" s="1098"/>
      <c r="GJ18" s="1098"/>
      <c r="GK18" s="1098">
        <v>22</v>
      </c>
      <c r="GL18" s="1098">
        <v>15</v>
      </c>
      <c r="GM18" s="1098">
        <v>16</v>
      </c>
      <c r="GN18" s="1097">
        <f t="shared" si="26"/>
        <v>56</v>
      </c>
      <c r="GO18" s="1098">
        <v>1</v>
      </c>
      <c r="GP18" s="1098">
        <v>1</v>
      </c>
      <c r="GQ18" s="1098"/>
      <c r="GR18" s="1098"/>
      <c r="GS18" s="1098"/>
      <c r="GT18" s="1098">
        <v>1</v>
      </c>
      <c r="GU18" s="1098"/>
      <c r="GV18" s="1098"/>
      <c r="GW18" s="1098">
        <v>1</v>
      </c>
      <c r="GX18" s="1098">
        <v>4</v>
      </c>
      <c r="GY18" s="1098">
        <v>25</v>
      </c>
      <c r="GZ18" s="1098">
        <v>15</v>
      </c>
      <c r="HA18" s="1097">
        <f t="shared" si="27"/>
        <v>48</v>
      </c>
      <c r="HB18" s="1098">
        <v>7</v>
      </c>
      <c r="HC18" s="1098"/>
      <c r="HD18" s="1098">
        <v>5</v>
      </c>
      <c r="HE18" s="1098"/>
      <c r="HF18" s="1098"/>
      <c r="HG18" s="1098"/>
      <c r="HH18" s="1098"/>
      <c r="HI18" s="1098"/>
      <c r="HJ18" s="1098">
        <v>1</v>
      </c>
      <c r="HK18" s="1098">
        <v>12</v>
      </c>
      <c r="HL18" s="1098">
        <v>10</v>
      </c>
      <c r="HM18" s="1098"/>
      <c r="HN18" s="1097">
        <f t="shared" si="28"/>
        <v>35</v>
      </c>
      <c r="HO18" s="1098">
        <v>11</v>
      </c>
      <c r="HP18" s="1098">
        <v>8</v>
      </c>
      <c r="HQ18" s="1098">
        <v>6</v>
      </c>
      <c r="HR18" s="1098">
        <v>10</v>
      </c>
      <c r="HS18" s="1098">
        <v>2</v>
      </c>
      <c r="HT18" s="1098"/>
      <c r="HU18" s="1098"/>
      <c r="HV18" s="1098">
        <v>4.5</v>
      </c>
      <c r="HW18" s="1098">
        <v>4.5</v>
      </c>
      <c r="HX18" s="1098">
        <v>4</v>
      </c>
      <c r="HY18" s="1098">
        <v>5</v>
      </c>
      <c r="HZ18" s="1098">
        <v>4</v>
      </c>
      <c r="IA18" s="1097">
        <f t="shared" si="29"/>
        <v>59</v>
      </c>
      <c r="IB18" s="1098">
        <v>4.5</v>
      </c>
      <c r="IC18" s="1098">
        <v>6</v>
      </c>
      <c r="ID18" s="1098">
        <v>5</v>
      </c>
      <c r="IE18" s="1098">
        <v>4</v>
      </c>
      <c r="IF18" s="1098">
        <v>4</v>
      </c>
      <c r="IG18" s="1098"/>
      <c r="IH18" s="1098"/>
      <c r="II18" s="1098">
        <v>3</v>
      </c>
      <c r="IJ18" s="1098">
        <v>4</v>
      </c>
      <c r="IK18" s="1098">
        <v>1</v>
      </c>
      <c r="IL18" s="1098">
        <v>3</v>
      </c>
      <c r="IM18" s="1098"/>
      <c r="IN18" s="1097">
        <f t="shared" si="30"/>
        <v>34.5</v>
      </c>
      <c r="IO18" s="1098"/>
      <c r="IP18" s="1098"/>
      <c r="IQ18" s="1098"/>
      <c r="IR18" s="1098"/>
      <c r="IS18" s="1098"/>
      <c r="IT18" s="1098"/>
      <c r="IU18" s="1098">
        <v>2</v>
      </c>
      <c r="IV18" s="1098">
        <v>1</v>
      </c>
      <c r="IW18" s="1098"/>
      <c r="IX18" s="1098"/>
      <c r="IY18" s="1098">
        <v>5</v>
      </c>
      <c r="IZ18" s="1098">
        <v>3</v>
      </c>
      <c r="JA18" s="1097">
        <f t="shared" si="31"/>
        <v>11</v>
      </c>
      <c r="JB18" s="1098">
        <v>4</v>
      </c>
      <c r="JC18" s="1098"/>
      <c r="JD18" s="1098"/>
      <c r="JE18" s="1098"/>
      <c r="JF18" s="1098"/>
      <c r="JG18" s="1098">
        <v>0</v>
      </c>
      <c r="JH18" s="1098"/>
      <c r="JI18" s="1098"/>
      <c r="JJ18" s="1098"/>
      <c r="JK18" s="1098"/>
      <c r="JL18" s="1098"/>
      <c r="JM18" s="1098"/>
      <c r="JN18" s="1097">
        <f t="shared" si="32"/>
        <v>4</v>
      </c>
      <c r="JP18" s="1116" t="str">
        <f t="shared" si="33"/>
        <v/>
      </c>
      <c r="JQ18" s="1117" t="str">
        <f t="shared" si="34"/>
        <v/>
      </c>
      <c r="JR18" s="1079">
        <f t="shared" si="35"/>
        <v>0</v>
      </c>
      <c r="JS18" s="1118">
        <f t="shared" si="36"/>
        <v>4</v>
      </c>
      <c r="JT18" s="62"/>
      <c r="JU18" s="1139">
        <f t="shared" si="37"/>
        <v>3607</v>
      </c>
      <c r="JV18" s="1146" t="s">
        <v>41</v>
      </c>
      <c r="JW18" s="1147" t="str">
        <f t="shared" si="38"/>
        <v>OK</v>
      </c>
    </row>
    <row r="19" spans="1:283" ht="15" customHeight="1" x14ac:dyDescent="0.2">
      <c r="A19" s="1129" t="s">
        <v>575</v>
      </c>
      <c r="B19" s="1098">
        <v>6</v>
      </c>
      <c r="C19" s="1098">
        <v>3</v>
      </c>
      <c r="D19" s="1098">
        <v>6</v>
      </c>
      <c r="E19" s="1098">
        <v>3</v>
      </c>
      <c r="F19" s="1098">
        <v>4</v>
      </c>
      <c r="G19" s="1098">
        <v>3</v>
      </c>
      <c r="H19" s="1098">
        <v>14</v>
      </c>
      <c r="I19" s="1098">
        <v>6</v>
      </c>
      <c r="J19" s="1098">
        <v>9</v>
      </c>
      <c r="K19" s="1098">
        <v>5</v>
      </c>
      <c r="L19" s="1098">
        <v>5</v>
      </c>
      <c r="M19" s="1098">
        <v>2</v>
      </c>
      <c r="N19" s="1097">
        <f t="shared" si="12"/>
        <v>66</v>
      </c>
      <c r="O19" s="1098">
        <v>5</v>
      </c>
      <c r="P19" s="1098">
        <v>8</v>
      </c>
      <c r="Q19" s="1098">
        <v>1</v>
      </c>
      <c r="R19" s="1098">
        <v>1</v>
      </c>
      <c r="S19" s="1098">
        <v>4</v>
      </c>
      <c r="T19" s="1098">
        <v>10</v>
      </c>
      <c r="U19" s="1098">
        <v>5</v>
      </c>
      <c r="V19" s="1098">
        <v>4</v>
      </c>
      <c r="W19" s="1098">
        <v>9</v>
      </c>
      <c r="X19" s="1098">
        <v>6</v>
      </c>
      <c r="Y19" s="1098">
        <v>6</v>
      </c>
      <c r="Z19" s="1098">
        <v>4</v>
      </c>
      <c r="AA19" s="1097">
        <f t="shared" si="13"/>
        <v>63</v>
      </c>
      <c r="AB19" s="1098">
        <v>3</v>
      </c>
      <c r="AC19" s="1098">
        <v>8</v>
      </c>
      <c r="AD19" s="1098">
        <v>5</v>
      </c>
      <c r="AE19" s="1098">
        <v>7</v>
      </c>
      <c r="AF19" s="1098">
        <v>7</v>
      </c>
      <c r="AG19" s="1098">
        <v>10</v>
      </c>
      <c r="AH19" s="1098">
        <v>8</v>
      </c>
      <c r="AI19" s="1098">
        <v>3</v>
      </c>
      <c r="AJ19" s="1098">
        <v>10</v>
      </c>
      <c r="AK19" s="1098">
        <v>11</v>
      </c>
      <c r="AL19" s="1098">
        <v>8</v>
      </c>
      <c r="AM19" s="1098">
        <v>6</v>
      </c>
      <c r="AN19" s="1097">
        <f t="shared" si="14"/>
        <v>86</v>
      </c>
      <c r="AO19" s="1098">
        <v>7</v>
      </c>
      <c r="AP19" s="1098">
        <v>7</v>
      </c>
      <c r="AQ19" s="1098">
        <v>10</v>
      </c>
      <c r="AR19" s="1098">
        <v>11</v>
      </c>
      <c r="AS19" s="1098">
        <v>2</v>
      </c>
      <c r="AT19" s="1098">
        <v>8</v>
      </c>
      <c r="AU19" s="1098">
        <v>9</v>
      </c>
      <c r="AV19" s="1098">
        <v>10</v>
      </c>
      <c r="AW19" s="1098">
        <v>12</v>
      </c>
      <c r="AX19" s="1098">
        <v>8</v>
      </c>
      <c r="AY19" s="1098">
        <v>9</v>
      </c>
      <c r="AZ19" s="1098">
        <v>9</v>
      </c>
      <c r="BA19" s="1097">
        <f t="shared" si="15"/>
        <v>102</v>
      </c>
      <c r="BB19" s="1098">
        <v>7</v>
      </c>
      <c r="BC19" s="1098">
        <v>11</v>
      </c>
      <c r="BD19" s="1098">
        <v>7</v>
      </c>
      <c r="BE19" s="1098">
        <v>4</v>
      </c>
      <c r="BF19" s="1098">
        <v>4</v>
      </c>
      <c r="BG19" s="1098">
        <v>3</v>
      </c>
      <c r="BH19" s="1098">
        <v>5</v>
      </c>
      <c r="BI19" s="1098">
        <v>4</v>
      </c>
      <c r="BJ19" s="1098">
        <v>5</v>
      </c>
      <c r="BK19" s="1098">
        <v>5</v>
      </c>
      <c r="BL19" s="1098">
        <v>4</v>
      </c>
      <c r="BM19" s="1098">
        <v>4</v>
      </c>
      <c r="BN19" s="1097">
        <f t="shared" si="16"/>
        <v>63</v>
      </c>
      <c r="BO19" s="1098">
        <v>2</v>
      </c>
      <c r="BP19" s="1098">
        <v>1</v>
      </c>
      <c r="BQ19" s="1098">
        <v>2</v>
      </c>
      <c r="BR19" s="1098">
        <v>4</v>
      </c>
      <c r="BS19" s="1098">
        <v>4</v>
      </c>
      <c r="BT19" s="1098">
        <v>3</v>
      </c>
      <c r="BU19" s="1098">
        <v>4</v>
      </c>
      <c r="BV19" s="1098">
        <v>4</v>
      </c>
      <c r="BW19" s="1098">
        <v>3</v>
      </c>
      <c r="BX19" s="1098">
        <v>2</v>
      </c>
      <c r="BY19" s="1098">
        <v>3</v>
      </c>
      <c r="BZ19" s="1098">
        <v>1</v>
      </c>
      <c r="CA19" s="1097">
        <f t="shared" si="17"/>
        <v>33</v>
      </c>
      <c r="CB19" s="1098">
        <v>2</v>
      </c>
      <c r="CC19" s="1098">
        <v>2</v>
      </c>
      <c r="CD19" s="1098">
        <v>3</v>
      </c>
      <c r="CE19" s="1098">
        <v>3</v>
      </c>
      <c r="CF19" s="1098">
        <v>3</v>
      </c>
      <c r="CG19" s="1098">
        <v>1</v>
      </c>
      <c r="CH19" s="1098">
        <v>1</v>
      </c>
      <c r="CI19" s="1098">
        <v>2</v>
      </c>
      <c r="CJ19" s="1098">
        <v>4</v>
      </c>
      <c r="CK19" s="1098">
        <v>3</v>
      </c>
      <c r="CL19" s="1098">
        <v>3</v>
      </c>
      <c r="CM19" s="1098">
        <v>3</v>
      </c>
      <c r="CN19" s="1097">
        <f t="shared" si="18"/>
        <v>30</v>
      </c>
      <c r="CO19" s="1098">
        <v>2</v>
      </c>
      <c r="CP19" s="1098">
        <v>1</v>
      </c>
      <c r="CQ19" s="1098">
        <v>1</v>
      </c>
      <c r="CR19" s="1098">
        <v>1</v>
      </c>
      <c r="CS19" s="1098"/>
      <c r="CT19" s="1098">
        <v>2</v>
      </c>
      <c r="CU19" s="1098"/>
      <c r="CV19" s="1098"/>
      <c r="CW19" s="1098">
        <v>1</v>
      </c>
      <c r="CX19" s="1098">
        <v>2</v>
      </c>
      <c r="CY19" s="1098">
        <v>1</v>
      </c>
      <c r="CZ19" s="1098">
        <v>1</v>
      </c>
      <c r="DA19" s="1097">
        <f t="shared" si="19"/>
        <v>12</v>
      </c>
      <c r="DB19" s="1098">
        <v>1</v>
      </c>
      <c r="DC19" s="1098"/>
      <c r="DD19" s="1098">
        <v>1</v>
      </c>
      <c r="DE19" s="1098">
        <v>2</v>
      </c>
      <c r="DF19" s="1098">
        <v>1</v>
      </c>
      <c r="DG19" s="1098">
        <v>4</v>
      </c>
      <c r="DH19" s="1098"/>
      <c r="DI19" s="1098"/>
      <c r="DJ19" s="1098"/>
      <c r="DK19" s="1098"/>
      <c r="DL19" s="1098"/>
      <c r="DM19" s="1098">
        <v>54</v>
      </c>
      <c r="DN19" s="1097">
        <f t="shared" si="20"/>
        <v>63</v>
      </c>
      <c r="DO19" s="1098">
        <v>32</v>
      </c>
      <c r="DP19" s="1098">
        <v>6</v>
      </c>
      <c r="DQ19" s="1098"/>
      <c r="DR19" s="1098"/>
      <c r="DS19" s="1098"/>
      <c r="DT19" s="1098"/>
      <c r="DU19" s="1098"/>
      <c r="DV19" s="1098"/>
      <c r="DW19" s="1098"/>
      <c r="DX19" s="1098"/>
      <c r="DY19" s="1098"/>
      <c r="DZ19" s="1098">
        <v>49</v>
      </c>
      <c r="EA19" s="1097">
        <f t="shared" si="21"/>
        <v>87</v>
      </c>
      <c r="EB19" s="1098"/>
      <c r="EC19" s="1098"/>
      <c r="ED19" s="1098"/>
      <c r="EE19" s="1098"/>
      <c r="EF19" s="1098"/>
      <c r="EG19" s="1098"/>
      <c r="EH19" s="1098"/>
      <c r="EI19" s="1098"/>
      <c r="EJ19" s="1098"/>
      <c r="EK19" s="1098"/>
      <c r="EL19" s="1098"/>
      <c r="EM19" s="1098"/>
      <c r="EN19" s="1097">
        <f t="shared" si="22"/>
        <v>0</v>
      </c>
      <c r="EO19" s="1098"/>
      <c r="EP19" s="1098"/>
      <c r="EQ19" s="1098"/>
      <c r="ER19" s="1098"/>
      <c r="ES19" s="1098"/>
      <c r="ET19" s="1098"/>
      <c r="EU19" s="1098"/>
      <c r="EV19" s="1098"/>
      <c r="EW19" s="1098"/>
      <c r="EX19" s="1098"/>
      <c r="EY19" s="1098"/>
      <c r="EZ19" s="1098"/>
      <c r="FA19" s="1097">
        <f t="shared" si="23"/>
        <v>0</v>
      </c>
      <c r="FB19" s="1098"/>
      <c r="FC19" s="1098"/>
      <c r="FD19" s="1098"/>
      <c r="FE19" s="1098"/>
      <c r="FF19" s="1098"/>
      <c r="FG19" s="1098"/>
      <c r="FH19" s="1098"/>
      <c r="FI19" s="1098"/>
      <c r="FJ19" s="1098"/>
      <c r="FK19" s="1098"/>
      <c r="FL19" s="1098"/>
      <c r="FM19" s="1098"/>
      <c r="FN19" s="1097">
        <f t="shared" si="24"/>
        <v>0</v>
      </c>
      <c r="FO19" s="1098"/>
      <c r="FP19" s="1098"/>
      <c r="FQ19" s="1098"/>
      <c r="FR19" s="1098"/>
      <c r="FS19" s="1098"/>
      <c r="FT19" s="1098"/>
      <c r="FU19" s="1098"/>
      <c r="FV19" s="1098"/>
      <c r="FW19" s="1098"/>
      <c r="FX19" s="1098"/>
      <c r="FY19" s="1098"/>
      <c r="FZ19" s="1098"/>
      <c r="GA19" s="1097">
        <f t="shared" si="25"/>
        <v>0</v>
      </c>
      <c r="GB19" s="1098"/>
      <c r="GC19" s="1098"/>
      <c r="GD19" s="1098"/>
      <c r="GE19" s="1098"/>
      <c r="GF19" s="1098"/>
      <c r="GG19" s="1098"/>
      <c r="GH19" s="1098"/>
      <c r="GI19" s="1098"/>
      <c r="GJ19" s="1098"/>
      <c r="GK19" s="1098"/>
      <c r="GL19" s="1098"/>
      <c r="GM19" s="1098"/>
      <c r="GN19" s="1097">
        <f t="shared" si="26"/>
        <v>0</v>
      </c>
      <c r="GO19" s="1098"/>
      <c r="GP19" s="1098"/>
      <c r="GQ19" s="1098"/>
      <c r="GR19" s="1098"/>
      <c r="GS19" s="1098"/>
      <c r="GT19" s="1098"/>
      <c r="GU19" s="1098"/>
      <c r="GV19" s="1098"/>
      <c r="GW19" s="1098"/>
      <c r="GX19" s="1098"/>
      <c r="GY19" s="1098"/>
      <c r="GZ19" s="1098"/>
      <c r="HA19" s="1097">
        <f t="shared" si="27"/>
        <v>0</v>
      </c>
      <c r="HB19" s="1098"/>
      <c r="HC19" s="1098"/>
      <c r="HD19" s="1098"/>
      <c r="HE19" s="1098"/>
      <c r="HF19" s="1098"/>
      <c r="HG19" s="1098"/>
      <c r="HH19" s="1098"/>
      <c r="HI19" s="1098"/>
      <c r="HJ19" s="1098"/>
      <c r="HK19" s="1098"/>
      <c r="HL19" s="1098"/>
      <c r="HM19" s="1098"/>
      <c r="HN19" s="1097">
        <f t="shared" si="28"/>
        <v>0</v>
      </c>
      <c r="HO19" s="1098"/>
      <c r="HP19" s="1098"/>
      <c r="HQ19" s="1098"/>
      <c r="HR19" s="1098"/>
      <c r="HS19" s="1098"/>
      <c r="HT19" s="1098"/>
      <c r="HU19" s="1098"/>
      <c r="HV19" s="1098"/>
      <c r="HW19" s="1098"/>
      <c r="HX19" s="1098"/>
      <c r="HY19" s="1098"/>
      <c r="HZ19" s="1098"/>
      <c r="IA19" s="1097">
        <f t="shared" si="29"/>
        <v>0</v>
      </c>
      <c r="IB19" s="1098"/>
      <c r="IC19" s="1098"/>
      <c r="ID19" s="1098">
        <v>2</v>
      </c>
      <c r="IE19" s="1098"/>
      <c r="IF19" s="1098"/>
      <c r="IG19" s="1098"/>
      <c r="IH19" s="1098"/>
      <c r="II19" s="1098"/>
      <c r="IJ19" s="1098"/>
      <c r="IK19" s="1098"/>
      <c r="IL19" s="1098"/>
      <c r="IM19" s="1098"/>
      <c r="IN19" s="1097">
        <f t="shared" si="30"/>
        <v>2</v>
      </c>
      <c r="IO19" s="1098"/>
      <c r="IP19" s="1098"/>
      <c r="IQ19" s="1098"/>
      <c r="IR19" s="1098"/>
      <c r="IS19" s="1098"/>
      <c r="IT19" s="1098"/>
      <c r="IU19" s="1098"/>
      <c r="IV19" s="1098"/>
      <c r="IW19" s="1098"/>
      <c r="IX19" s="1098"/>
      <c r="IY19" s="1098"/>
      <c r="IZ19" s="1098"/>
      <c r="JA19" s="1097">
        <f t="shared" si="31"/>
        <v>0</v>
      </c>
      <c r="JB19" s="1098"/>
      <c r="JC19" s="1098"/>
      <c r="JD19" s="1098"/>
      <c r="JE19" s="1098"/>
      <c r="JF19" s="1098"/>
      <c r="JG19" s="1098">
        <v>0</v>
      </c>
      <c r="JH19" s="1098"/>
      <c r="JI19" s="1098"/>
      <c r="JJ19" s="1098"/>
      <c r="JK19" s="1098"/>
      <c r="JL19" s="1098"/>
      <c r="JM19" s="1098"/>
      <c r="JN19" s="1097">
        <f t="shared" si="32"/>
        <v>0</v>
      </c>
      <c r="JP19" s="1116" t="str">
        <f t="shared" si="33"/>
        <v/>
      </c>
      <c r="JQ19" s="1117" t="str">
        <f t="shared" si="34"/>
        <v/>
      </c>
      <c r="JR19" s="1079">
        <f t="shared" si="35"/>
        <v>0</v>
      </c>
      <c r="JS19" s="1118">
        <f t="shared" si="36"/>
        <v>0</v>
      </c>
      <c r="JT19" s="62"/>
      <c r="JU19" s="1139">
        <f t="shared" si="37"/>
        <v>1214</v>
      </c>
      <c r="JV19" s="1146" t="s">
        <v>575</v>
      </c>
      <c r="JW19" s="1147" t="str">
        <f t="shared" si="38"/>
        <v>OK</v>
      </c>
    </row>
    <row r="20" spans="1:283" ht="15" customHeight="1" x14ac:dyDescent="0.2">
      <c r="A20" s="1129" t="s">
        <v>576</v>
      </c>
      <c r="B20" s="1098"/>
      <c r="C20" s="1098"/>
      <c r="D20" s="1098"/>
      <c r="E20" s="1098"/>
      <c r="F20" s="1098"/>
      <c r="G20" s="1098"/>
      <c r="H20" s="1098"/>
      <c r="I20" s="1098"/>
      <c r="J20" s="1098"/>
      <c r="K20" s="1098"/>
      <c r="L20" s="1098"/>
      <c r="M20" s="1098"/>
      <c r="N20" s="1097">
        <f t="shared" si="12"/>
        <v>0</v>
      </c>
      <c r="O20" s="1098">
        <v>1</v>
      </c>
      <c r="P20" s="1098"/>
      <c r="Q20" s="1098"/>
      <c r="R20" s="1098"/>
      <c r="S20" s="1098">
        <v>2</v>
      </c>
      <c r="T20" s="1098"/>
      <c r="U20" s="1098"/>
      <c r="V20" s="1098"/>
      <c r="W20" s="1098"/>
      <c r="X20" s="1098"/>
      <c r="Y20" s="1098"/>
      <c r="Z20" s="1098"/>
      <c r="AA20" s="1097">
        <f t="shared" si="13"/>
        <v>3</v>
      </c>
      <c r="AB20" s="1098"/>
      <c r="AC20" s="1098"/>
      <c r="AD20" s="1098"/>
      <c r="AE20" s="1098"/>
      <c r="AF20" s="1098"/>
      <c r="AG20" s="1098"/>
      <c r="AH20" s="1098"/>
      <c r="AI20" s="1098"/>
      <c r="AJ20" s="1098"/>
      <c r="AK20" s="1098"/>
      <c r="AL20" s="1098"/>
      <c r="AM20" s="1098"/>
      <c r="AN20" s="1097">
        <f t="shared" si="14"/>
        <v>0</v>
      </c>
      <c r="AO20" s="1098"/>
      <c r="AP20" s="1098"/>
      <c r="AQ20" s="1098"/>
      <c r="AR20" s="1098"/>
      <c r="AS20" s="1098"/>
      <c r="AT20" s="1098"/>
      <c r="AU20" s="1098"/>
      <c r="AV20" s="1098"/>
      <c r="AW20" s="1098"/>
      <c r="AX20" s="1098"/>
      <c r="AY20" s="1098"/>
      <c r="AZ20" s="1098"/>
      <c r="BA20" s="1097">
        <f t="shared" si="15"/>
        <v>0</v>
      </c>
      <c r="BB20" s="1098"/>
      <c r="BC20" s="1098"/>
      <c r="BD20" s="1098"/>
      <c r="BE20" s="1098"/>
      <c r="BF20" s="1098"/>
      <c r="BG20" s="1098"/>
      <c r="BH20" s="1098"/>
      <c r="BI20" s="1098"/>
      <c r="BJ20" s="1098"/>
      <c r="BK20" s="1098"/>
      <c r="BL20" s="1098"/>
      <c r="BM20" s="1098"/>
      <c r="BN20" s="1097">
        <f t="shared" si="16"/>
        <v>0</v>
      </c>
      <c r="BO20" s="1098"/>
      <c r="BP20" s="1098"/>
      <c r="BQ20" s="1098"/>
      <c r="BR20" s="1098"/>
      <c r="BS20" s="1098"/>
      <c r="BT20" s="1098"/>
      <c r="BU20" s="1098"/>
      <c r="BV20" s="1098"/>
      <c r="BW20" s="1098"/>
      <c r="BX20" s="1098"/>
      <c r="BY20" s="1098"/>
      <c r="BZ20" s="1098"/>
      <c r="CA20" s="1097">
        <f t="shared" si="17"/>
        <v>0</v>
      </c>
      <c r="CB20" s="1098"/>
      <c r="CC20" s="1098"/>
      <c r="CD20" s="1098"/>
      <c r="CE20" s="1098"/>
      <c r="CF20" s="1098"/>
      <c r="CG20" s="1098"/>
      <c r="CH20" s="1098"/>
      <c r="CI20" s="1098"/>
      <c r="CJ20" s="1098"/>
      <c r="CK20" s="1098"/>
      <c r="CL20" s="1098"/>
      <c r="CM20" s="1098"/>
      <c r="CN20" s="1097">
        <f t="shared" si="18"/>
        <v>0</v>
      </c>
      <c r="CO20" s="1098"/>
      <c r="CP20" s="1098"/>
      <c r="CQ20" s="1098"/>
      <c r="CR20" s="1098"/>
      <c r="CS20" s="1098"/>
      <c r="CT20" s="1098"/>
      <c r="CU20" s="1098"/>
      <c r="CV20" s="1098"/>
      <c r="CW20" s="1098"/>
      <c r="CX20" s="1098"/>
      <c r="CY20" s="1098"/>
      <c r="CZ20" s="1098"/>
      <c r="DA20" s="1097">
        <f t="shared" si="19"/>
        <v>0</v>
      </c>
      <c r="DB20" s="1098"/>
      <c r="DC20" s="1098"/>
      <c r="DD20" s="1098"/>
      <c r="DE20" s="1098"/>
      <c r="DF20" s="1098"/>
      <c r="DG20" s="1098"/>
      <c r="DH20" s="1098"/>
      <c r="DI20" s="1098"/>
      <c r="DJ20" s="1098"/>
      <c r="DK20" s="1098"/>
      <c r="DL20" s="1098"/>
      <c r="DM20" s="1098">
        <v>7</v>
      </c>
      <c r="DN20" s="1097">
        <f t="shared" si="20"/>
        <v>7</v>
      </c>
      <c r="DO20" s="1098">
        <v>6</v>
      </c>
      <c r="DP20" s="1098">
        <v>5</v>
      </c>
      <c r="DQ20" s="1098">
        <v>3</v>
      </c>
      <c r="DR20" s="1098">
        <v>1</v>
      </c>
      <c r="DS20" s="1098">
        <v>0.5</v>
      </c>
      <c r="DT20" s="1098"/>
      <c r="DU20" s="1098"/>
      <c r="DV20" s="1098"/>
      <c r="DW20" s="1098"/>
      <c r="DX20" s="1098"/>
      <c r="DY20" s="1098"/>
      <c r="DZ20" s="1098">
        <v>13</v>
      </c>
      <c r="EA20" s="1097">
        <f t="shared" si="21"/>
        <v>28.5</v>
      </c>
      <c r="EB20" s="1098"/>
      <c r="EC20" s="1098"/>
      <c r="ED20" s="1098"/>
      <c r="EE20" s="1098"/>
      <c r="EF20" s="1098"/>
      <c r="EG20" s="1098"/>
      <c r="EH20" s="1098"/>
      <c r="EI20" s="1098"/>
      <c r="EJ20" s="1098"/>
      <c r="EK20" s="1098"/>
      <c r="EL20" s="1098"/>
      <c r="EM20" s="1098"/>
      <c r="EN20" s="1097">
        <f t="shared" si="22"/>
        <v>0</v>
      </c>
      <c r="EO20" s="1098"/>
      <c r="EP20" s="1098"/>
      <c r="EQ20" s="1098"/>
      <c r="ER20" s="1098"/>
      <c r="ES20" s="1098"/>
      <c r="ET20" s="1098"/>
      <c r="EU20" s="1098"/>
      <c r="EV20" s="1098"/>
      <c r="EW20" s="1098"/>
      <c r="EX20" s="1098"/>
      <c r="EY20" s="1098"/>
      <c r="EZ20" s="1098"/>
      <c r="FA20" s="1097">
        <f t="shared" si="23"/>
        <v>0</v>
      </c>
      <c r="FB20" s="1098"/>
      <c r="FC20" s="1098"/>
      <c r="FD20" s="1098"/>
      <c r="FE20" s="1098"/>
      <c r="FF20" s="1098"/>
      <c r="FG20" s="1098"/>
      <c r="FH20" s="1098"/>
      <c r="FI20" s="1098"/>
      <c r="FJ20" s="1098"/>
      <c r="FK20" s="1098"/>
      <c r="FL20" s="1098"/>
      <c r="FM20" s="1098"/>
      <c r="FN20" s="1097">
        <f t="shared" si="24"/>
        <v>0</v>
      </c>
      <c r="FO20" s="1098"/>
      <c r="FP20" s="1098"/>
      <c r="FQ20" s="1098"/>
      <c r="FR20" s="1098"/>
      <c r="FS20" s="1098"/>
      <c r="FT20" s="1098"/>
      <c r="FU20" s="1098"/>
      <c r="FV20" s="1098"/>
      <c r="FW20" s="1098"/>
      <c r="FX20" s="1098"/>
      <c r="FY20" s="1098"/>
      <c r="FZ20" s="1098"/>
      <c r="GA20" s="1097">
        <f t="shared" si="25"/>
        <v>0</v>
      </c>
      <c r="GB20" s="1098"/>
      <c r="GC20" s="1098"/>
      <c r="GD20" s="1098"/>
      <c r="GE20" s="1098"/>
      <c r="GF20" s="1098"/>
      <c r="GG20" s="1098"/>
      <c r="GH20" s="1098"/>
      <c r="GI20" s="1098"/>
      <c r="GJ20" s="1098"/>
      <c r="GK20" s="1098"/>
      <c r="GL20" s="1098"/>
      <c r="GM20" s="1098"/>
      <c r="GN20" s="1097">
        <f t="shared" si="26"/>
        <v>0</v>
      </c>
      <c r="GO20" s="1098"/>
      <c r="GP20" s="1098"/>
      <c r="GQ20" s="1098"/>
      <c r="GR20" s="1098"/>
      <c r="GS20" s="1098"/>
      <c r="GT20" s="1098"/>
      <c r="GU20" s="1098"/>
      <c r="GV20" s="1098"/>
      <c r="GW20" s="1098"/>
      <c r="GX20" s="1098"/>
      <c r="GY20" s="1098"/>
      <c r="GZ20" s="1098"/>
      <c r="HA20" s="1097">
        <f t="shared" si="27"/>
        <v>0</v>
      </c>
      <c r="HB20" s="1098"/>
      <c r="HC20" s="1098"/>
      <c r="HD20" s="1098"/>
      <c r="HE20" s="1098"/>
      <c r="HF20" s="1098"/>
      <c r="HG20" s="1098"/>
      <c r="HH20" s="1098"/>
      <c r="HI20" s="1098"/>
      <c r="HJ20" s="1098"/>
      <c r="HK20" s="1098"/>
      <c r="HL20" s="1098"/>
      <c r="HM20" s="1098"/>
      <c r="HN20" s="1097">
        <f t="shared" si="28"/>
        <v>0</v>
      </c>
      <c r="HO20" s="1098"/>
      <c r="HP20" s="1098"/>
      <c r="HQ20" s="1098"/>
      <c r="HR20" s="1098"/>
      <c r="HS20" s="1098"/>
      <c r="HT20" s="1098"/>
      <c r="HU20" s="1098"/>
      <c r="HV20" s="1098"/>
      <c r="HW20" s="1098"/>
      <c r="HX20" s="1098"/>
      <c r="HY20" s="1098"/>
      <c r="HZ20" s="1098"/>
      <c r="IA20" s="1097">
        <f t="shared" si="29"/>
        <v>0</v>
      </c>
      <c r="IB20" s="1098"/>
      <c r="IC20" s="1098"/>
      <c r="ID20" s="1098"/>
      <c r="IE20" s="1098"/>
      <c r="IF20" s="1098"/>
      <c r="IG20" s="1098"/>
      <c r="IH20" s="1098"/>
      <c r="II20" s="1098"/>
      <c r="IJ20" s="1098"/>
      <c r="IK20" s="1098"/>
      <c r="IL20" s="1098"/>
      <c r="IM20" s="1098"/>
      <c r="IN20" s="1097">
        <f t="shared" si="30"/>
        <v>0</v>
      </c>
      <c r="IO20" s="1098"/>
      <c r="IP20" s="1098"/>
      <c r="IQ20" s="1098"/>
      <c r="IR20" s="1098"/>
      <c r="IS20" s="1098"/>
      <c r="IT20" s="1098"/>
      <c r="IU20" s="1098"/>
      <c r="IV20" s="1098"/>
      <c r="IW20" s="1098"/>
      <c r="IX20" s="1098"/>
      <c r="IY20" s="1098"/>
      <c r="IZ20" s="1098"/>
      <c r="JA20" s="1097">
        <f t="shared" si="31"/>
        <v>0</v>
      </c>
      <c r="JB20" s="1098"/>
      <c r="JC20" s="1098"/>
      <c r="JD20" s="1098"/>
      <c r="JE20" s="1098"/>
      <c r="JF20" s="1098"/>
      <c r="JG20" s="1098">
        <v>0</v>
      </c>
      <c r="JH20" s="1098"/>
      <c r="JI20" s="1098"/>
      <c r="JJ20" s="1098"/>
      <c r="JK20" s="1098"/>
      <c r="JL20" s="1098"/>
      <c r="JM20" s="1098"/>
      <c r="JN20" s="1097">
        <f t="shared" si="32"/>
        <v>0</v>
      </c>
      <c r="JP20" s="1116" t="str">
        <f t="shared" si="33"/>
        <v/>
      </c>
      <c r="JQ20" s="1117" t="str">
        <f t="shared" si="34"/>
        <v/>
      </c>
      <c r="JR20" s="1079">
        <f t="shared" si="35"/>
        <v>0</v>
      </c>
      <c r="JS20" s="1118">
        <f t="shared" si="36"/>
        <v>0</v>
      </c>
      <c r="JT20" s="62"/>
      <c r="JU20" s="1139">
        <f t="shared" si="37"/>
        <v>77</v>
      </c>
      <c r="JV20" s="1146" t="s">
        <v>576</v>
      </c>
      <c r="JW20" s="1147" t="str">
        <f t="shared" si="38"/>
        <v>OK</v>
      </c>
    </row>
    <row r="21" spans="1:283" ht="15" customHeight="1" x14ac:dyDescent="0.2">
      <c r="A21" s="1129" t="s">
        <v>33</v>
      </c>
      <c r="B21" s="1098"/>
      <c r="C21" s="1098"/>
      <c r="D21" s="1098"/>
      <c r="E21" s="1098"/>
      <c r="F21" s="1098"/>
      <c r="G21" s="1098"/>
      <c r="H21" s="1098"/>
      <c r="I21" s="1098"/>
      <c r="J21" s="1098"/>
      <c r="K21" s="1098"/>
      <c r="L21" s="1098"/>
      <c r="M21" s="1098"/>
      <c r="N21" s="1097">
        <f t="shared" si="12"/>
        <v>0</v>
      </c>
      <c r="O21" s="1098"/>
      <c r="P21" s="1098"/>
      <c r="Q21" s="1098"/>
      <c r="R21" s="1098"/>
      <c r="S21" s="1098"/>
      <c r="T21" s="1098"/>
      <c r="U21" s="1098"/>
      <c r="V21" s="1098"/>
      <c r="W21" s="1098"/>
      <c r="X21" s="1098"/>
      <c r="Y21" s="1098"/>
      <c r="Z21" s="1098"/>
      <c r="AA21" s="1097">
        <f t="shared" si="13"/>
        <v>0</v>
      </c>
      <c r="AB21" s="1098"/>
      <c r="AC21" s="1098"/>
      <c r="AD21" s="1098">
        <v>2</v>
      </c>
      <c r="AE21" s="1098"/>
      <c r="AF21" s="1098"/>
      <c r="AG21" s="1098"/>
      <c r="AH21" s="1098"/>
      <c r="AI21" s="1098"/>
      <c r="AJ21" s="1098"/>
      <c r="AK21" s="1098"/>
      <c r="AL21" s="1098"/>
      <c r="AM21" s="1098"/>
      <c r="AN21" s="1097">
        <f t="shared" si="14"/>
        <v>2</v>
      </c>
      <c r="AO21" s="1098"/>
      <c r="AP21" s="1098"/>
      <c r="AQ21" s="1098"/>
      <c r="AR21" s="1098"/>
      <c r="AS21" s="1098"/>
      <c r="AT21" s="1098"/>
      <c r="AU21" s="1098"/>
      <c r="AV21" s="1098"/>
      <c r="AW21" s="1098"/>
      <c r="AX21" s="1098">
        <v>1</v>
      </c>
      <c r="AY21" s="1098"/>
      <c r="AZ21" s="1098"/>
      <c r="BA21" s="1097">
        <f t="shared" si="15"/>
        <v>1</v>
      </c>
      <c r="BB21" s="1098"/>
      <c r="BC21" s="1098"/>
      <c r="BD21" s="1098"/>
      <c r="BE21" s="1098"/>
      <c r="BF21" s="1098">
        <v>1</v>
      </c>
      <c r="BG21" s="1098"/>
      <c r="BH21" s="1098"/>
      <c r="BI21" s="1098"/>
      <c r="BJ21" s="1098"/>
      <c r="BK21" s="1098"/>
      <c r="BL21" s="1098"/>
      <c r="BM21" s="1098"/>
      <c r="BN21" s="1097">
        <f t="shared" si="16"/>
        <v>1</v>
      </c>
      <c r="BO21" s="1098"/>
      <c r="BP21" s="1098"/>
      <c r="BQ21" s="1098"/>
      <c r="BR21" s="1098"/>
      <c r="BS21" s="1098"/>
      <c r="BT21" s="1098"/>
      <c r="BU21" s="1098"/>
      <c r="BV21" s="1098">
        <v>4</v>
      </c>
      <c r="BW21" s="1098"/>
      <c r="BX21" s="1098"/>
      <c r="BY21" s="1098"/>
      <c r="BZ21" s="1098"/>
      <c r="CA21" s="1097">
        <f t="shared" si="17"/>
        <v>4</v>
      </c>
      <c r="CB21" s="1098"/>
      <c r="CC21" s="1098">
        <v>2</v>
      </c>
      <c r="CD21" s="1098"/>
      <c r="CE21" s="1098"/>
      <c r="CF21" s="1098"/>
      <c r="CG21" s="1098"/>
      <c r="CH21" s="1098"/>
      <c r="CI21" s="1098"/>
      <c r="CJ21" s="1098"/>
      <c r="CK21" s="1098"/>
      <c r="CL21" s="1098"/>
      <c r="CM21" s="1098"/>
      <c r="CN21" s="1097">
        <f t="shared" si="18"/>
        <v>2</v>
      </c>
      <c r="CO21" s="1098"/>
      <c r="CP21" s="1098"/>
      <c r="CQ21" s="1098"/>
      <c r="CR21" s="1098"/>
      <c r="CS21" s="1098"/>
      <c r="CT21" s="1098"/>
      <c r="CU21" s="1098"/>
      <c r="CV21" s="1098"/>
      <c r="CW21" s="1098"/>
      <c r="CX21" s="1098"/>
      <c r="CY21" s="1098"/>
      <c r="CZ21" s="1098"/>
      <c r="DA21" s="1097">
        <f t="shared" si="19"/>
        <v>0</v>
      </c>
      <c r="DB21" s="1098"/>
      <c r="DC21" s="1098"/>
      <c r="DD21" s="1098"/>
      <c r="DE21" s="1098"/>
      <c r="DF21" s="1098"/>
      <c r="DG21" s="1098"/>
      <c r="DH21" s="1098"/>
      <c r="DI21" s="1098"/>
      <c r="DJ21" s="1098"/>
      <c r="DK21" s="1098"/>
      <c r="DL21" s="1098"/>
      <c r="DM21" s="1098">
        <v>140</v>
      </c>
      <c r="DN21" s="1097">
        <f t="shared" si="20"/>
        <v>140</v>
      </c>
      <c r="DO21" s="1098">
        <v>30</v>
      </c>
      <c r="DP21" s="1098">
        <v>1</v>
      </c>
      <c r="DQ21" s="1098">
        <v>3</v>
      </c>
      <c r="DR21" s="1098"/>
      <c r="DS21" s="1098"/>
      <c r="DT21" s="1098"/>
      <c r="DU21" s="1098"/>
      <c r="DV21" s="1098"/>
      <c r="DW21" s="1098">
        <v>3</v>
      </c>
      <c r="DX21" s="1098">
        <v>5</v>
      </c>
      <c r="DY21" s="1098"/>
      <c r="DZ21" s="1098">
        <v>99</v>
      </c>
      <c r="EA21" s="1097">
        <f t="shared" si="21"/>
        <v>141</v>
      </c>
      <c r="EB21" s="1098"/>
      <c r="EC21" s="1098"/>
      <c r="ED21" s="1098"/>
      <c r="EE21" s="1098"/>
      <c r="EF21" s="1098"/>
      <c r="EG21" s="1098"/>
      <c r="EH21" s="1098"/>
      <c r="EI21" s="1098"/>
      <c r="EJ21" s="1098"/>
      <c r="EK21" s="1098"/>
      <c r="EL21" s="1098"/>
      <c r="EM21" s="1098"/>
      <c r="EN21" s="1097">
        <f t="shared" si="22"/>
        <v>0</v>
      </c>
      <c r="EO21" s="1098"/>
      <c r="EP21" s="1098"/>
      <c r="EQ21" s="1098"/>
      <c r="ER21" s="1098"/>
      <c r="ES21" s="1098"/>
      <c r="ET21" s="1098"/>
      <c r="EU21" s="1098"/>
      <c r="EV21" s="1098"/>
      <c r="EW21" s="1098"/>
      <c r="EX21" s="1098"/>
      <c r="EY21" s="1098"/>
      <c r="EZ21" s="1098"/>
      <c r="FA21" s="1097">
        <f t="shared" si="23"/>
        <v>0</v>
      </c>
      <c r="FB21" s="1098"/>
      <c r="FC21" s="1098"/>
      <c r="FD21" s="1098"/>
      <c r="FE21" s="1098"/>
      <c r="FF21" s="1098"/>
      <c r="FG21" s="1098"/>
      <c r="FH21" s="1098"/>
      <c r="FI21" s="1098"/>
      <c r="FJ21" s="1098"/>
      <c r="FK21" s="1098"/>
      <c r="FL21" s="1098"/>
      <c r="FM21" s="1098"/>
      <c r="FN21" s="1097">
        <f t="shared" si="24"/>
        <v>0</v>
      </c>
      <c r="FO21" s="1098"/>
      <c r="FP21" s="1098"/>
      <c r="FQ21" s="1098"/>
      <c r="FR21" s="1098"/>
      <c r="FS21" s="1098"/>
      <c r="FT21" s="1098"/>
      <c r="FU21" s="1098"/>
      <c r="FV21" s="1098"/>
      <c r="FW21" s="1098"/>
      <c r="FX21" s="1098"/>
      <c r="FY21" s="1098"/>
      <c r="FZ21" s="1098"/>
      <c r="GA21" s="1097">
        <f t="shared" si="25"/>
        <v>0</v>
      </c>
      <c r="GB21" s="1098"/>
      <c r="GC21" s="1098"/>
      <c r="GD21" s="1098"/>
      <c r="GE21" s="1098"/>
      <c r="GF21" s="1098"/>
      <c r="GG21" s="1098"/>
      <c r="GH21" s="1098"/>
      <c r="GI21" s="1098"/>
      <c r="GJ21" s="1098"/>
      <c r="GK21" s="1098"/>
      <c r="GL21" s="1098"/>
      <c r="GM21" s="1098"/>
      <c r="GN21" s="1097">
        <f t="shared" si="26"/>
        <v>0</v>
      </c>
      <c r="GO21" s="1098"/>
      <c r="GP21" s="1098"/>
      <c r="GQ21" s="1098"/>
      <c r="GR21" s="1098"/>
      <c r="GS21" s="1098"/>
      <c r="GT21" s="1098"/>
      <c r="GU21" s="1098"/>
      <c r="GV21" s="1098"/>
      <c r="GW21" s="1098"/>
      <c r="GX21" s="1098"/>
      <c r="GY21" s="1098"/>
      <c r="GZ21" s="1098"/>
      <c r="HA21" s="1097">
        <f t="shared" si="27"/>
        <v>0</v>
      </c>
      <c r="HB21" s="1098"/>
      <c r="HC21" s="1098"/>
      <c r="HD21" s="1098"/>
      <c r="HE21" s="1098"/>
      <c r="HF21" s="1098"/>
      <c r="HG21" s="1098"/>
      <c r="HH21" s="1098"/>
      <c r="HI21" s="1098"/>
      <c r="HJ21" s="1098"/>
      <c r="HK21" s="1098"/>
      <c r="HL21" s="1098"/>
      <c r="HM21" s="1098"/>
      <c r="HN21" s="1097">
        <f t="shared" si="28"/>
        <v>0</v>
      </c>
      <c r="HO21" s="1098"/>
      <c r="HP21" s="1098"/>
      <c r="HQ21" s="1098"/>
      <c r="HR21" s="1098">
        <v>1</v>
      </c>
      <c r="HS21" s="1098"/>
      <c r="HT21" s="1098"/>
      <c r="HU21" s="1098"/>
      <c r="HV21" s="1098"/>
      <c r="HW21" s="1098"/>
      <c r="HX21" s="1098"/>
      <c r="HY21" s="1098"/>
      <c r="HZ21" s="1098"/>
      <c r="IA21" s="1097">
        <f t="shared" si="29"/>
        <v>1</v>
      </c>
      <c r="IB21" s="1098"/>
      <c r="IC21" s="1098"/>
      <c r="ID21" s="1098"/>
      <c r="IE21" s="1098"/>
      <c r="IF21" s="1098"/>
      <c r="IG21" s="1098"/>
      <c r="IH21" s="1098"/>
      <c r="II21" s="1098"/>
      <c r="IJ21" s="1098"/>
      <c r="IK21" s="1098"/>
      <c r="IL21" s="1098"/>
      <c r="IM21" s="1098"/>
      <c r="IN21" s="1097">
        <f t="shared" si="30"/>
        <v>0</v>
      </c>
      <c r="IO21" s="1098"/>
      <c r="IP21" s="1098"/>
      <c r="IQ21" s="1098"/>
      <c r="IR21" s="1098"/>
      <c r="IS21" s="1098"/>
      <c r="IT21" s="1098"/>
      <c r="IU21" s="1098"/>
      <c r="IV21" s="1098"/>
      <c r="IW21" s="1098"/>
      <c r="IX21" s="1098"/>
      <c r="IY21" s="1098"/>
      <c r="IZ21" s="1098"/>
      <c r="JA21" s="1097">
        <f t="shared" si="31"/>
        <v>0</v>
      </c>
      <c r="JB21" s="1098"/>
      <c r="JC21" s="1098"/>
      <c r="JD21" s="1098"/>
      <c r="JE21" s="1098"/>
      <c r="JF21" s="1098"/>
      <c r="JG21" s="1098">
        <v>0</v>
      </c>
      <c r="JH21" s="1098"/>
      <c r="JI21" s="1098"/>
      <c r="JJ21" s="1098"/>
      <c r="JK21" s="1098"/>
      <c r="JL21" s="1098"/>
      <c r="JM21" s="1098"/>
      <c r="JN21" s="1097">
        <f t="shared" si="32"/>
        <v>0</v>
      </c>
      <c r="JP21" s="1116" t="str">
        <f t="shared" si="33"/>
        <v/>
      </c>
      <c r="JQ21" s="1117" t="str">
        <f t="shared" si="34"/>
        <v/>
      </c>
      <c r="JR21" s="1079">
        <f t="shared" si="35"/>
        <v>0</v>
      </c>
      <c r="JS21" s="1118">
        <f t="shared" si="36"/>
        <v>0</v>
      </c>
      <c r="JT21" s="62"/>
      <c r="JU21" s="1139">
        <f t="shared" si="37"/>
        <v>584</v>
      </c>
      <c r="JV21" s="1146" t="s">
        <v>33</v>
      </c>
      <c r="JW21" s="1147" t="str">
        <f t="shared" si="38"/>
        <v>OK</v>
      </c>
    </row>
    <row r="22" spans="1:283" ht="15" customHeight="1" x14ac:dyDescent="0.2">
      <c r="A22" s="1129" t="s">
        <v>577</v>
      </c>
      <c r="B22" s="1098"/>
      <c r="C22" s="1098"/>
      <c r="D22" s="1098"/>
      <c r="E22" s="1098"/>
      <c r="F22" s="1098"/>
      <c r="G22" s="1098"/>
      <c r="H22" s="1098"/>
      <c r="I22" s="1098"/>
      <c r="J22" s="1098"/>
      <c r="K22" s="1098"/>
      <c r="L22" s="1098"/>
      <c r="M22" s="1098"/>
      <c r="N22" s="1097">
        <f t="shared" si="12"/>
        <v>0</v>
      </c>
      <c r="O22" s="1098"/>
      <c r="P22" s="1098"/>
      <c r="Q22" s="1098"/>
      <c r="R22" s="1098"/>
      <c r="S22" s="1098"/>
      <c r="T22" s="1098"/>
      <c r="U22" s="1098"/>
      <c r="V22" s="1098"/>
      <c r="W22" s="1098"/>
      <c r="X22" s="1098"/>
      <c r="Y22" s="1098"/>
      <c r="Z22" s="1098"/>
      <c r="AA22" s="1097">
        <f t="shared" si="13"/>
        <v>0</v>
      </c>
      <c r="AB22" s="1098"/>
      <c r="AC22" s="1098"/>
      <c r="AD22" s="1098">
        <v>1</v>
      </c>
      <c r="AE22" s="1098"/>
      <c r="AF22" s="1098"/>
      <c r="AG22" s="1098"/>
      <c r="AH22" s="1098"/>
      <c r="AI22" s="1098"/>
      <c r="AJ22" s="1098"/>
      <c r="AK22" s="1098"/>
      <c r="AL22" s="1098"/>
      <c r="AM22" s="1098"/>
      <c r="AN22" s="1097">
        <f t="shared" si="14"/>
        <v>1</v>
      </c>
      <c r="AO22" s="1098"/>
      <c r="AP22" s="1098"/>
      <c r="AQ22" s="1098"/>
      <c r="AR22" s="1098">
        <v>5</v>
      </c>
      <c r="AS22" s="1098"/>
      <c r="AT22" s="1098">
        <v>8</v>
      </c>
      <c r="AU22" s="1098"/>
      <c r="AV22" s="1098">
        <v>3</v>
      </c>
      <c r="AW22" s="1098"/>
      <c r="AX22" s="1098">
        <v>7</v>
      </c>
      <c r="AY22" s="1098">
        <v>4</v>
      </c>
      <c r="AZ22" s="1098">
        <v>4</v>
      </c>
      <c r="BA22" s="1097">
        <f t="shared" si="15"/>
        <v>31</v>
      </c>
      <c r="BB22" s="1098">
        <v>6</v>
      </c>
      <c r="BC22" s="1098">
        <v>8</v>
      </c>
      <c r="BD22" s="1098">
        <v>17</v>
      </c>
      <c r="BE22" s="1098">
        <v>4</v>
      </c>
      <c r="BF22" s="1098"/>
      <c r="BG22" s="1098"/>
      <c r="BH22" s="1098">
        <v>13</v>
      </c>
      <c r="BI22" s="1098">
        <v>6</v>
      </c>
      <c r="BJ22" s="1098">
        <v>11</v>
      </c>
      <c r="BK22" s="1098">
        <v>11</v>
      </c>
      <c r="BL22" s="1098">
        <v>16</v>
      </c>
      <c r="BM22" s="1098">
        <v>15</v>
      </c>
      <c r="BN22" s="1097">
        <f t="shared" si="16"/>
        <v>107</v>
      </c>
      <c r="BO22" s="1098">
        <v>7</v>
      </c>
      <c r="BP22" s="1098">
        <v>5</v>
      </c>
      <c r="BQ22" s="1098">
        <v>10</v>
      </c>
      <c r="BR22" s="1098">
        <v>9</v>
      </c>
      <c r="BS22" s="1098">
        <v>15</v>
      </c>
      <c r="BT22" s="1098">
        <v>12</v>
      </c>
      <c r="BU22" s="1098">
        <v>9</v>
      </c>
      <c r="BV22" s="1098">
        <v>12</v>
      </c>
      <c r="BW22" s="1098">
        <v>11</v>
      </c>
      <c r="BX22" s="1098">
        <v>10</v>
      </c>
      <c r="BY22" s="1098">
        <v>9</v>
      </c>
      <c r="BZ22" s="1098">
        <v>9</v>
      </c>
      <c r="CA22" s="1097">
        <f t="shared" si="17"/>
        <v>118</v>
      </c>
      <c r="CB22" s="1098">
        <v>7</v>
      </c>
      <c r="CC22" s="1098">
        <v>8</v>
      </c>
      <c r="CD22" s="1098">
        <v>9</v>
      </c>
      <c r="CE22" s="1098">
        <v>15</v>
      </c>
      <c r="CF22" s="1098">
        <v>12</v>
      </c>
      <c r="CG22" s="1098">
        <v>13</v>
      </c>
      <c r="CH22" s="1098">
        <v>9</v>
      </c>
      <c r="CI22" s="1098">
        <v>12</v>
      </c>
      <c r="CJ22" s="1098">
        <v>10</v>
      </c>
      <c r="CK22" s="1098">
        <v>6</v>
      </c>
      <c r="CL22" s="1098">
        <v>5</v>
      </c>
      <c r="CM22" s="1098">
        <v>4</v>
      </c>
      <c r="CN22" s="1097">
        <f t="shared" si="18"/>
        <v>110</v>
      </c>
      <c r="CO22" s="1098">
        <v>5</v>
      </c>
      <c r="CP22" s="1098">
        <v>3</v>
      </c>
      <c r="CQ22" s="1098">
        <v>2</v>
      </c>
      <c r="CR22" s="1098">
        <v>10</v>
      </c>
      <c r="CS22" s="1098">
        <v>3</v>
      </c>
      <c r="CT22" s="1098">
        <v>15</v>
      </c>
      <c r="CU22" s="1098">
        <v>15</v>
      </c>
      <c r="CV22" s="1098">
        <v>11</v>
      </c>
      <c r="CW22" s="1098">
        <v>12</v>
      </c>
      <c r="CX22" s="1098">
        <v>13</v>
      </c>
      <c r="CY22" s="1098">
        <v>11</v>
      </c>
      <c r="CZ22" s="1098">
        <v>3</v>
      </c>
      <c r="DA22" s="1097">
        <f t="shared" si="19"/>
        <v>103</v>
      </c>
      <c r="DB22" s="1098">
        <v>12</v>
      </c>
      <c r="DC22" s="1098">
        <v>9</v>
      </c>
      <c r="DD22" s="1098">
        <v>6</v>
      </c>
      <c r="DE22" s="1098">
        <v>11</v>
      </c>
      <c r="DF22" s="1098">
        <v>6</v>
      </c>
      <c r="DG22" s="1098">
        <v>9</v>
      </c>
      <c r="DH22" s="1098">
        <v>10</v>
      </c>
      <c r="DI22" s="1098">
        <v>9</v>
      </c>
      <c r="DJ22" s="1098">
        <v>3</v>
      </c>
      <c r="DK22" s="1098">
        <v>8</v>
      </c>
      <c r="DL22" s="1098">
        <v>7</v>
      </c>
      <c r="DM22" s="1098">
        <v>7</v>
      </c>
      <c r="DN22" s="1097">
        <f t="shared" si="20"/>
        <v>97</v>
      </c>
      <c r="DO22" s="1098">
        <v>12</v>
      </c>
      <c r="DP22" s="1098"/>
      <c r="DQ22" s="1098"/>
      <c r="DR22" s="1098">
        <v>1</v>
      </c>
      <c r="DS22" s="1098">
        <v>1</v>
      </c>
      <c r="DT22" s="1098">
        <v>2</v>
      </c>
      <c r="DU22" s="1098">
        <v>1</v>
      </c>
      <c r="DV22" s="1098">
        <v>1</v>
      </c>
      <c r="DW22" s="1098">
        <v>1</v>
      </c>
      <c r="DX22" s="1098">
        <v>1</v>
      </c>
      <c r="DY22" s="1098">
        <v>7</v>
      </c>
      <c r="DZ22" s="1098">
        <v>6</v>
      </c>
      <c r="EA22" s="1097">
        <f t="shared" si="21"/>
        <v>33</v>
      </c>
      <c r="EB22" s="1098">
        <v>3</v>
      </c>
      <c r="EC22" s="1098">
        <v>7</v>
      </c>
      <c r="ED22" s="1098">
        <v>2</v>
      </c>
      <c r="EE22" s="1098"/>
      <c r="EF22" s="1098">
        <v>7</v>
      </c>
      <c r="EG22" s="1098"/>
      <c r="EH22" s="1098">
        <v>6</v>
      </c>
      <c r="EI22" s="1098">
        <v>6</v>
      </c>
      <c r="EJ22" s="1098"/>
      <c r="EK22" s="1098"/>
      <c r="EL22" s="1098"/>
      <c r="EM22" s="1098"/>
      <c r="EN22" s="1097">
        <f t="shared" si="22"/>
        <v>31</v>
      </c>
      <c r="EO22" s="1098"/>
      <c r="EP22" s="1098"/>
      <c r="EQ22" s="1098"/>
      <c r="ER22" s="1098"/>
      <c r="ES22" s="1098"/>
      <c r="ET22" s="1098">
        <v>4</v>
      </c>
      <c r="EU22" s="1098"/>
      <c r="EV22" s="1098"/>
      <c r="EW22" s="1098"/>
      <c r="EX22" s="1098"/>
      <c r="EY22" s="1098"/>
      <c r="EZ22" s="1098"/>
      <c r="FA22" s="1097">
        <f t="shared" si="23"/>
        <v>4</v>
      </c>
      <c r="FB22" s="1098"/>
      <c r="FC22" s="1098"/>
      <c r="FD22" s="1098"/>
      <c r="FE22" s="1098"/>
      <c r="FF22" s="1098">
        <v>3</v>
      </c>
      <c r="FG22" s="1098"/>
      <c r="FH22" s="1098"/>
      <c r="FI22" s="1098"/>
      <c r="FJ22" s="1098"/>
      <c r="FK22" s="1098">
        <v>9</v>
      </c>
      <c r="FL22" s="1098"/>
      <c r="FM22" s="1098"/>
      <c r="FN22" s="1097">
        <f t="shared" si="24"/>
        <v>12</v>
      </c>
      <c r="FO22" s="1098"/>
      <c r="FP22" s="1098"/>
      <c r="FQ22" s="1098"/>
      <c r="FR22" s="1098"/>
      <c r="FS22" s="1098"/>
      <c r="FT22" s="1098"/>
      <c r="FU22" s="1098"/>
      <c r="FV22" s="1098"/>
      <c r="FW22" s="1098"/>
      <c r="FX22" s="1098"/>
      <c r="FY22" s="1098"/>
      <c r="FZ22" s="1098"/>
      <c r="GA22" s="1097">
        <f t="shared" si="25"/>
        <v>0</v>
      </c>
      <c r="GB22" s="1098"/>
      <c r="GC22" s="1098"/>
      <c r="GD22" s="1098"/>
      <c r="GE22" s="1098"/>
      <c r="GF22" s="1098"/>
      <c r="GG22" s="1098"/>
      <c r="GH22" s="1098"/>
      <c r="GI22" s="1098"/>
      <c r="GJ22" s="1098"/>
      <c r="GK22" s="1098"/>
      <c r="GL22" s="1098"/>
      <c r="GM22" s="1098"/>
      <c r="GN22" s="1097">
        <f t="shared" si="26"/>
        <v>0</v>
      </c>
      <c r="GO22" s="1098"/>
      <c r="GP22" s="1098"/>
      <c r="GQ22" s="1098"/>
      <c r="GR22" s="1098"/>
      <c r="GS22" s="1098"/>
      <c r="GT22" s="1098"/>
      <c r="GU22" s="1098"/>
      <c r="GV22" s="1098"/>
      <c r="GW22" s="1098"/>
      <c r="GX22" s="1098"/>
      <c r="GY22" s="1098"/>
      <c r="GZ22" s="1098"/>
      <c r="HA22" s="1097">
        <f t="shared" si="27"/>
        <v>0</v>
      </c>
      <c r="HB22" s="1098"/>
      <c r="HC22" s="1098"/>
      <c r="HD22" s="1098"/>
      <c r="HE22" s="1098"/>
      <c r="HF22" s="1098"/>
      <c r="HG22" s="1098"/>
      <c r="HH22" s="1098"/>
      <c r="HI22" s="1098"/>
      <c r="HJ22" s="1098"/>
      <c r="HK22" s="1098"/>
      <c r="HL22" s="1098"/>
      <c r="HM22" s="1098"/>
      <c r="HN22" s="1097">
        <f t="shared" si="28"/>
        <v>0</v>
      </c>
      <c r="HO22" s="1098"/>
      <c r="HP22" s="1098"/>
      <c r="HQ22" s="1098"/>
      <c r="HR22" s="1098"/>
      <c r="HS22" s="1098"/>
      <c r="HT22" s="1098"/>
      <c r="HU22" s="1098"/>
      <c r="HV22" s="1098">
        <v>9</v>
      </c>
      <c r="HW22" s="1098">
        <v>55</v>
      </c>
      <c r="HX22" s="1098"/>
      <c r="HY22" s="1098"/>
      <c r="HZ22" s="1098"/>
      <c r="IA22" s="1097">
        <f t="shared" si="29"/>
        <v>64</v>
      </c>
      <c r="IB22" s="1098"/>
      <c r="IC22" s="1098"/>
      <c r="ID22" s="1098"/>
      <c r="IE22" s="1098"/>
      <c r="IF22" s="1098"/>
      <c r="IG22" s="1098"/>
      <c r="IH22" s="1098"/>
      <c r="II22" s="1098"/>
      <c r="IJ22" s="1098"/>
      <c r="IK22" s="1098"/>
      <c r="IL22" s="1098"/>
      <c r="IM22" s="1098"/>
      <c r="IN22" s="1097">
        <f t="shared" si="30"/>
        <v>0</v>
      </c>
      <c r="IO22" s="1098"/>
      <c r="IP22" s="1098"/>
      <c r="IQ22" s="1098"/>
      <c r="IR22" s="1098"/>
      <c r="IS22" s="1098"/>
      <c r="IT22" s="1098"/>
      <c r="IU22" s="1098"/>
      <c r="IV22" s="1098"/>
      <c r="IW22" s="1098"/>
      <c r="IX22" s="1098"/>
      <c r="IY22" s="1098"/>
      <c r="IZ22" s="1098"/>
      <c r="JA22" s="1097">
        <f t="shared" si="31"/>
        <v>0</v>
      </c>
      <c r="JB22" s="1098"/>
      <c r="JC22" s="1098"/>
      <c r="JD22" s="1098"/>
      <c r="JE22" s="1098"/>
      <c r="JF22" s="1098"/>
      <c r="JG22" s="1098">
        <v>0</v>
      </c>
      <c r="JH22" s="1098"/>
      <c r="JI22" s="1098"/>
      <c r="JJ22" s="1098"/>
      <c r="JK22" s="1098"/>
      <c r="JL22" s="1098"/>
      <c r="JM22" s="1098"/>
      <c r="JN22" s="1097">
        <f t="shared" si="32"/>
        <v>0</v>
      </c>
      <c r="JP22" s="1116" t="str">
        <f t="shared" si="33"/>
        <v/>
      </c>
      <c r="JQ22" s="1117" t="str">
        <f t="shared" si="34"/>
        <v/>
      </c>
      <c r="JR22" s="1079">
        <f t="shared" si="35"/>
        <v>0</v>
      </c>
      <c r="JS22" s="1118">
        <f t="shared" si="36"/>
        <v>0</v>
      </c>
      <c r="JT22" s="62"/>
      <c r="JU22" s="1139">
        <f t="shared" si="37"/>
        <v>1422</v>
      </c>
      <c r="JV22" s="1146" t="s">
        <v>577</v>
      </c>
      <c r="JW22" s="1147" t="str">
        <f t="shared" si="38"/>
        <v>OK</v>
      </c>
    </row>
    <row r="23" spans="1:283" ht="15" customHeight="1" x14ac:dyDescent="0.2">
      <c r="A23" s="1129" t="s">
        <v>34</v>
      </c>
      <c r="B23" s="1098"/>
      <c r="C23" s="1098"/>
      <c r="D23" s="1098"/>
      <c r="E23" s="1098"/>
      <c r="F23" s="1098"/>
      <c r="G23" s="1098"/>
      <c r="H23" s="1098"/>
      <c r="I23" s="1098"/>
      <c r="J23" s="1098"/>
      <c r="K23" s="1098"/>
      <c r="L23" s="1098"/>
      <c r="M23" s="1098"/>
      <c r="N23" s="1097">
        <f t="shared" si="12"/>
        <v>0</v>
      </c>
      <c r="O23" s="1098"/>
      <c r="P23" s="1098"/>
      <c r="Q23" s="1098"/>
      <c r="R23" s="1098"/>
      <c r="S23" s="1098"/>
      <c r="T23" s="1098"/>
      <c r="U23" s="1098"/>
      <c r="V23" s="1098"/>
      <c r="W23" s="1098"/>
      <c r="X23" s="1098"/>
      <c r="Y23" s="1098"/>
      <c r="Z23" s="1098"/>
      <c r="AA23" s="1097">
        <f t="shared" si="13"/>
        <v>0</v>
      </c>
      <c r="AB23" s="1098"/>
      <c r="AC23" s="1098"/>
      <c r="AD23" s="1098"/>
      <c r="AE23" s="1098"/>
      <c r="AF23" s="1098"/>
      <c r="AG23" s="1098"/>
      <c r="AH23" s="1098"/>
      <c r="AI23" s="1098"/>
      <c r="AJ23" s="1098"/>
      <c r="AK23" s="1098"/>
      <c r="AL23" s="1098"/>
      <c r="AM23" s="1098"/>
      <c r="AN23" s="1097">
        <f t="shared" si="14"/>
        <v>0</v>
      </c>
      <c r="AO23" s="1098"/>
      <c r="AP23" s="1098"/>
      <c r="AQ23" s="1098"/>
      <c r="AR23" s="1098"/>
      <c r="AS23" s="1098"/>
      <c r="AT23" s="1098">
        <v>1</v>
      </c>
      <c r="AU23" s="1098"/>
      <c r="AV23" s="1098"/>
      <c r="AW23" s="1098"/>
      <c r="AX23" s="1098"/>
      <c r="AY23" s="1098"/>
      <c r="AZ23" s="1098"/>
      <c r="BA23" s="1097">
        <f t="shared" si="15"/>
        <v>1</v>
      </c>
      <c r="BB23" s="1098"/>
      <c r="BC23" s="1098"/>
      <c r="BD23" s="1098"/>
      <c r="BE23" s="1098"/>
      <c r="BF23" s="1098"/>
      <c r="BG23" s="1098"/>
      <c r="BH23" s="1098"/>
      <c r="BI23" s="1098"/>
      <c r="BJ23" s="1098"/>
      <c r="BK23" s="1098"/>
      <c r="BL23" s="1098"/>
      <c r="BM23" s="1098"/>
      <c r="BN23" s="1097">
        <f t="shared" si="16"/>
        <v>0</v>
      </c>
      <c r="BO23" s="1098"/>
      <c r="BP23" s="1098"/>
      <c r="BQ23" s="1098"/>
      <c r="BR23" s="1098"/>
      <c r="BS23" s="1098"/>
      <c r="BT23" s="1098"/>
      <c r="BU23" s="1098"/>
      <c r="BV23" s="1098"/>
      <c r="BW23" s="1098"/>
      <c r="BX23" s="1098"/>
      <c r="BY23" s="1098"/>
      <c r="BZ23" s="1098"/>
      <c r="CA23" s="1097">
        <f t="shared" si="17"/>
        <v>0</v>
      </c>
      <c r="CB23" s="1098"/>
      <c r="CC23" s="1098"/>
      <c r="CD23" s="1098"/>
      <c r="CE23" s="1098"/>
      <c r="CF23" s="1098"/>
      <c r="CG23" s="1098"/>
      <c r="CH23" s="1098"/>
      <c r="CI23" s="1098"/>
      <c r="CJ23" s="1098"/>
      <c r="CK23" s="1098"/>
      <c r="CL23" s="1098"/>
      <c r="CM23" s="1098"/>
      <c r="CN23" s="1097">
        <f t="shared" si="18"/>
        <v>0</v>
      </c>
      <c r="CO23" s="1098"/>
      <c r="CP23" s="1098"/>
      <c r="CQ23" s="1098"/>
      <c r="CR23" s="1098"/>
      <c r="CS23" s="1098"/>
      <c r="CT23" s="1098"/>
      <c r="CU23" s="1098"/>
      <c r="CV23" s="1098"/>
      <c r="CW23" s="1098"/>
      <c r="CX23" s="1098"/>
      <c r="CY23" s="1098"/>
      <c r="CZ23" s="1098"/>
      <c r="DA23" s="1097">
        <f t="shared" si="19"/>
        <v>0</v>
      </c>
      <c r="DB23" s="1098"/>
      <c r="DC23" s="1098"/>
      <c r="DD23" s="1098"/>
      <c r="DE23" s="1098"/>
      <c r="DF23" s="1098"/>
      <c r="DG23" s="1098"/>
      <c r="DH23" s="1098"/>
      <c r="DI23" s="1098"/>
      <c r="DJ23" s="1098">
        <v>1</v>
      </c>
      <c r="DK23" s="1098"/>
      <c r="DL23" s="1098"/>
      <c r="DM23" s="1098">
        <v>118</v>
      </c>
      <c r="DN23" s="1097">
        <f t="shared" si="20"/>
        <v>119</v>
      </c>
      <c r="DO23" s="1098">
        <v>105</v>
      </c>
      <c r="DP23" s="1098">
        <v>46</v>
      </c>
      <c r="DQ23" s="1098">
        <v>1034</v>
      </c>
      <c r="DR23" s="1098">
        <v>43</v>
      </c>
      <c r="DS23" s="1098">
        <v>46</v>
      </c>
      <c r="DT23" s="1098">
        <v>38</v>
      </c>
      <c r="DU23" s="1098">
        <v>63</v>
      </c>
      <c r="DV23" s="1098">
        <v>97</v>
      </c>
      <c r="DW23" s="1098">
        <v>122</v>
      </c>
      <c r="DX23" s="1098">
        <v>133</v>
      </c>
      <c r="DY23" s="1098"/>
      <c r="DZ23" s="1098">
        <v>118</v>
      </c>
      <c r="EA23" s="1097">
        <f t="shared" si="21"/>
        <v>1845</v>
      </c>
      <c r="EB23" s="1098"/>
      <c r="EC23" s="1098"/>
      <c r="ED23" s="1098"/>
      <c r="EE23" s="1098"/>
      <c r="EF23" s="1098"/>
      <c r="EG23" s="1098"/>
      <c r="EH23" s="1098"/>
      <c r="EI23" s="1098"/>
      <c r="EJ23" s="1098"/>
      <c r="EK23" s="1098"/>
      <c r="EL23" s="1098"/>
      <c r="EM23" s="1098"/>
      <c r="EN23" s="1097">
        <f t="shared" si="22"/>
        <v>0</v>
      </c>
      <c r="EO23" s="1098"/>
      <c r="EP23" s="1098"/>
      <c r="EQ23" s="1098"/>
      <c r="ER23" s="1098"/>
      <c r="ES23" s="1098"/>
      <c r="ET23" s="1098"/>
      <c r="EU23" s="1098"/>
      <c r="EV23" s="1098"/>
      <c r="EW23" s="1098"/>
      <c r="EX23" s="1098"/>
      <c r="EY23" s="1098"/>
      <c r="EZ23" s="1098"/>
      <c r="FA23" s="1097">
        <f t="shared" si="23"/>
        <v>0</v>
      </c>
      <c r="FB23" s="1098"/>
      <c r="FC23" s="1098"/>
      <c r="FD23" s="1098"/>
      <c r="FE23" s="1098"/>
      <c r="FF23" s="1098"/>
      <c r="FG23" s="1098"/>
      <c r="FH23" s="1098"/>
      <c r="FI23" s="1098"/>
      <c r="FJ23" s="1098"/>
      <c r="FK23" s="1098"/>
      <c r="FL23" s="1098"/>
      <c r="FM23" s="1098"/>
      <c r="FN23" s="1097">
        <f t="shared" si="24"/>
        <v>0</v>
      </c>
      <c r="FO23" s="1098"/>
      <c r="FP23" s="1098"/>
      <c r="FQ23" s="1098"/>
      <c r="FR23" s="1098"/>
      <c r="FS23" s="1098"/>
      <c r="FT23" s="1098"/>
      <c r="FU23" s="1098"/>
      <c r="FV23" s="1098"/>
      <c r="FW23" s="1098"/>
      <c r="FX23" s="1098"/>
      <c r="FY23" s="1098"/>
      <c r="FZ23" s="1098"/>
      <c r="GA23" s="1097">
        <f t="shared" si="25"/>
        <v>0</v>
      </c>
      <c r="GB23" s="1098"/>
      <c r="GC23" s="1098"/>
      <c r="GD23" s="1098"/>
      <c r="GE23" s="1098"/>
      <c r="GF23" s="1098"/>
      <c r="GG23" s="1098"/>
      <c r="GH23" s="1098"/>
      <c r="GI23" s="1098"/>
      <c r="GJ23" s="1098"/>
      <c r="GK23" s="1098"/>
      <c r="GL23" s="1098"/>
      <c r="GM23" s="1098"/>
      <c r="GN23" s="1097">
        <f t="shared" si="26"/>
        <v>0</v>
      </c>
      <c r="GO23" s="1098"/>
      <c r="GP23" s="1098"/>
      <c r="GQ23" s="1098"/>
      <c r="GR23" s="1098"/>
      <c r="GS23" s="1098"/>
      <c r="GT23" s="1098"/>
      <c r="GU23" s="1098"/>
      <c r="GV23" s="1098"/>
      <c r="GW23" s="1098"/>
      <c r="GX23" s="1098"/>
      <c r="GY23" s="1098"/>
      <c r="GZ23" s="1098"/>
      <c r="HA23" s="1097">
        <f t="shared" si="27"/>
        <v>0</v>
      </c>
      <c r="HB23" s="1098"/>
      <c r="HC23" s="1098"/>
      <c r="HD23" s="1098"/>
      <c r="HE23" s="1098"/>
      <c r="HF23" s="1098"/>
      <c r="HG23" s="1098"/>
      <c r="HH23" s="1098"/>
      <c r="HI23" s="1098"/>
      <c r="HJ23" s="1098"/>
      <c r="HK23" s="1098"/>
      <c r="HL23" s="1098">
        <v>1</v>
      </c>
      <c r="HM23" s="1098"/>
      <c r="HN23" s="1097">
        <f t="shared" si="28"/>
        <v>1</v>
      </c>
      <c r="HO23" s="1098"/>
      <c r="HP23" s="1098"/>
      <c r="HQ23" s="1098">
        <v>2</v>
      </c>
      <c r="HR23" s="1098"/>
      <c r="HS23" s="1098"/>
      <c r="HT23" s="1098"/>
      <c r="HU23" s="1098"/>
      <c r="HV23" s="1098"/>
      <c r="HW23" s="1098"/>
      <c r="HX23" s="1098"/>
      <c r="HY23" s="1098"/>
      <c r="HZ23" s="1098"/>
      <c r="IA23" s="1097">
        <f t="shared" si="29"/>
        <v>2</v>
      </c>
      <c r="IB23" s="1098"/>
      <c r="IC23" s="1098"/>
      <c r="ID23" s="1098"/>
      <c r="IE23" s="1098"/>
      <c r="IF23" s="1098"/>
      <c r="IG23" s="1098"/>
      <c r="IH23" s="1098"/>
      <c r="II23" s="1098"/>
      <c r="IJ23" s="1098"/>
      <c r="IK23" s="1098"/>
      <c r="IL23" s="1098"/>
      <c r="IM23" s="1098"/>
      <c r="IN23" s="1097">
        <f t="shared" si="30"/>
        <v>0</v>
      </c>
      <c r="IO23" s="1098"/>
      <c r="IP23" s="1098"/>
      <c r="IQ23" s="1098"/>
      <c r="IR23" s="1098"/>
      <c r="IS23" s="1098"/>
      <c r="IT23" s="1098"/>
      <c r="IU23" s="1098"/>
      <c r="IV23" s="1098"/>
      <c r="IW23" s="1098"/>
      <c r="IX23" s="1098"/>
      <c r="IY23" s="1098"/>
      <c r="IZ23" s="1098"/>
      <c r="JA23" s="1097">
        <f t="shared" si="31"/>
        <v>0</v>
      </c>
      <c r="JB23" s="1098"/>
      <c r="JC23" s="1098"/>
      <c r="JD23" s="1098"/>
      <c r="JE23" s="1098"/>
      <c r="JF23" s="1098"/>
      <c r="JG23" s="1098">
        <v>0</v>
      </c>
      <c r="JH23" s="1098"/>
      <c r="JI23" s="1098"/>
      <c r="JJ23" s="1098"/>
      <c r="JK23" s="1098"/>
      <c r="JL23" s="1098"/>
      <c r="JM23" s="1098"/>
      <c r="JN23" s="1097">
        <f t="shared" si="32"/>
        <v>0</v>
      </c>
      <c r="JP23" s="1116" t="str">
        <f t="shared" si="33"/>
        <v/>
      </c>
      <c r="JQ23" s="1117" t="str">
        <f t="shared" si="34"/>
        <v/>
      </c>
      <c r="JR23" s="1079">
        <f t="shared" si="35"/>
        <v>0</v>
      </c>
      <c r="JS23" s="1118">
        <f t="shared" si="36"/>
        <v>0</v>
      </c>
      <c r="JT23" s="62"/>
      <c r="JU23" s="1139">
        <f t="shared" si="37"/>
        <v>3936</v>
      </c>
      <c r="JV23" s="1146" t="s">
        <v>34</v>
      </c>
      <c r="JW23" s="1147" t="str">
        <f t="shared" si="38"/>
        <v>OK</v>
      </c>
    </row>
    <row r="24" spans="1:283" ht="15" customHeight="1" x14ac:dyDescent="0.2">
      <c r="A24" s="1129" t="s">
        <v>35</v>
      </c>
      <c r="B24" s="1098"/>
      <c r="C24" s="1098"/>
      <c r="D24" s="1098"/>
      <c r="E24" s="1098"/>
      <c r="F24" s="1098"/>
      <c r="G24" s="1098"/>
      <c r="H24" s="1098"/>
      <c r="I24" s="1098"/>
      <c r="J24" s="1098"/>
      <c r="K24" s="1098"/>
      <c r="L24" s="1098"/>
      <c r="M24" s="1098"/>
      <c r="N24" s="1097">
        <f t="shared" si="12"/>
        <v>0</v>
      </c>
      <c r="O24" s="1098"/>
      <c r="P24" s="1098">
        <v>2</v>
      </c>
      <c r="Q24" s="1098"/>
      <c r="R24" s="1098"/>
      <c r="S24" s="1098"/>
      <c r="T24" s="1098">
        <v>6</v>
      </c>
      <c r="U24" s="1098"/>
      <c r="V24" s="1098"/>
      <c r="W24" s="1098"/>
      <c r="X24" s="1098"/>
      <c r="Y24" s="1098"/>
      <c r="Z24" s="1098"/>
      <c r="AA24" s="1097">
        <f t="shared" si="13"/>
        <v>8</v>
      </c>
      <c r="AB24" s="1098"/>
      <c r="AC24" s="1098">
        <v>5</v>
      </c>
      <c r="AD24" s="1098"/>
      <c r="AE24" s="1098">
        <v>2</v>
      </c>
      <c r="AF24" s="1098"/>
      <c r="AG24" s="1098">
        <v>6</v>
      </c>
      <c r="AH24" s="1098">
        <v>1</v>
      </c>
      <c r="AI24" s="1098">
        <v>2</v>
      </c>
      <c r="AJ24" s="1098">
        <v>1</v>
      </c>
      <c r="AK24" s="1098">
        <v>3</v>
      </c>
      <c r="AL24" s="1098">
        <v>5</v>
      </c>
      <c r="AM24" s="1098"/>
      <c r="AN24" s="1097">
        <f t="shared" si="14"/>
        <v>25</v>
      </c>
      <c r="AO24" s="1098"/>
      <c r="AP24" s="1098"/>
      <c r="AQ24" s="1098"/>
      <c r="AR24" s="1098"/>
      <c r="AS24" s="1098">
        <v>1</v>
      </c>
      <c r="AT24" s="1098"/>
      <c r="AU24" s="1098">
        <v>1</v>
      </c>
      <c r="AV24" s="1098"/>
      <c r="AW24" s="1098"/>
      <c r="AX24" s="1098"/>
      <c r="AY24" s="1098"/>
      <c r="AZ24" s="1098"/>
      <c r="BA24" s="1097">
        <f t="shared" si="15"/>
        <v>2</v>
      </c>
      <c r="BB24" s="1098"/>
      <c r="BC24" s="1098"/>
      <c r="BD24" s="1098"/>
      <c r="BE24" s="1098"/>
      <c r="BF24" s="1098"/>
      <c r="BG24" s="1098"/>
      <c r="BH24" s="1098"/>
      <c r="BI24" s="1098"/>
      <c r="BJ24" s="1098"/>
      <c r="BK24" s="1098"/>
      <c r="BL24" s="1098"/>
      <c r="BM24" s="1098"/>
      <c r="BN24" s="1097">
        <f t="shared" si="16"/>
        <v>0</v>
      </c>
      <c r="BO24" s="1098"/>
      <c r="BP24" s="1098"/>
      <c r="BQ24" s="1098"/>
      <c r="BR24" s="1098">
        <v>1</v>
      </c>
      <c r="BS24" s="1098"/>
      <c r="BT24" s="1098">
        <v>0.33333333333333331</v>
      </c>
      <c r="BU24" s="1098"/>
      <c r="BV24" s="1098"/>
      <c r="BW24" s="1098"/>
      <c r="BX24" s="1098">
        <v>8</v>
      </c>
      <c r="BY24" s="1098"/>
      <c r="BZ24" s="1098"/>
      <c r="CA24" s="1097">
        <f t="shared" si="17"/>
        <v>9.3333333333333339</v>
      </c>
      <c r="CB24" s="1098"/>
      <c r="CC24" s="1098"/>
      <c r="CD24" s="1098"/>
      <c r="CE24" s="1098"/>
      <c r="CF24" s="1098"/>
      <c r="CG24" s="1098"/>
      <c r="CH24" s="1098"/>
      <c r="CI24" s="1098"/>
      <c r="CJ24" s="1098"/>
      <c r="CK24" s="1098"/>
      <c r="CL24" s="1098"/>
      <c r="CM24" s="1098"/>
      <c r="CN24" s="1097">
        <f t="shared" si="18"/>
        <v>0</v>
      </c>
      <c r="CO24" s="1098"/>
      <c r="CP24" s="1098"/>
      <c r="CQ24" s="1098"/>
      <c r="CR24" s="1098"/>
      <c r="CS24" s="1098"/>
      <c r="CT24" s="1098"/>
      <c r="CU24" s="1098"/>
      <c r="CV24" s="1098"/>
      <c r="CW24" s="1098">
        <v>1</v>
      </c>
      <c r="CX24" s="1098"/>
      <c r="CY24" s="1098"/>
      <c r="CZ24" s="1098"/>
      <c r="DA24" s="1097">
        <f t="shared" si="19"/>
        <v>1</v>
      </c>
      <c r="DB24" s="1098"/>
      <c r="DC24" s="1098"/>
      <c r="DD24" s="1098"/>
      <c r="DE24" s="1098"/>
      <c r="DF24" s="1098"/>
      <c r="DG24" s="1098"/>
      <c r="DH24" s="1098"/>
      <c r="DI24" s="1098"/>
      <c r="DJ24" s="1098"/>
      <c r="DK24" s="1098"/>
      <c r="DL24" s="1098"/>
      <c r="DM24" s="1098"/>
      <c r="DN24" s="1097">
        <f t="shared" si="20"/>
        <v>0</v>
      </c>
      <c r="DO24" s="1098"/>
      <c r="DP24" s="1098"/>
      <c r="DQ24" s="1098"/>
      <c r="DR24" s="1098"/>
      <c r="DS24" s="1098"/>
      <c r="DT24" s="1098"/>
      <c r="DU24" s="1098"/>
      <c r="DV24" s="1098"/>
      <c r="DW24" s="1098"/>
      <c r="DX24" s="1098"/>
      <c r="DY24" s="1098"/>
      <c r="DZ24" s="1098"/>
      <c r="EA24" s="1097">
        <f t="shared" si="21"/>
        <v>0</v>
      </c>
      <c r="EB24" s="1098"/>
      <c r="EC24" s="1098"/>
      <c r="ED24" s="1098"/>
      <c r="EE24" s="1098"/>
      <c r="EF24" s="1098"/>
      <c r="EG24" s="1098">
        <v>1</v>
      </c>
      <c r="EH24" s="1098"/>
      <c r="EI24" s="1098"/>
      <c r="EJ24" s="1098"/>
      <c r="EK24" s="1098"/>
      <c r="EL24" s="1098"/>
      <c r="EM24" s="1098"/>
      <c r="EN24" s="1097">
        <f t="shared" si="22"/>
        <v>1</v>
      </c>
      <c r="EO24" s="1098"/>
      <c r="EP24" s="1098"/>
      <c r="EQ24" s="1098"/>
      <c r="ER24" s="1098"/>
      <c r="ES24" s="1098"/>
      <c r="ET24" s="1098"/>
      <c r="EU24" s="1098"/>
      <c r="EV24" s="1098"/>
      <c r="EW24" s="1098"/>
      <c r="EX24" s="1098"/>
      <c r="EY24" s="1098"/>
      <c r="EZ24" s="1098"/>
      <c r="FA24" s="1097">
        <f t="shared" si="23"/>
        <v>0</v>
      </c>
      <c r="FB24" s="1098"/>
      <c r="FC24" s="1098">
        <v>20</v>
      </c>
      <c r="FD24" s="1098"/>
      <c r="FE24" s="1098"/>
      <c r="FF24" s="1098"/>
      <c r="FG24" s="1098"/>
      <c r="FH24" s="1098"/>
      <c r="FI24" s="1098"/>
      <c r="FJ24" s="1098"/>
      <c r="FK24" s="1098"/>
      <c r="FL24" s="1098"/>
      <c r="FM24" s="1098"/>
      <c r="FN24" s="1097">
        <f t="shared" si="24"/>
        <v>20</v>
      </c>
      <c r="FO24" s="1098">
        <v>4</v>
      </c>
      <c r="FP24" s="1098"/>
      <c r="FQ24" s="1098"/>
      <c r="FR24" s="1098"/>
      <c r="FS24" s="1098"/>
      <c r="FT24" s="1098"/>
      <c r="FU24" s="1098"/>
      <c r="FV24" s="1098"/>
      <c r="FW24" s="1098"/>
      <c r="FX24" s="1098"/>
      <c r="FY24" s="1098"/>
      <c r="FZ24" s="1098"/>
      <c r="GA24" s="1097">
        <f t="shared" si="25"/>
        <v>4</v>
      </c>
      <c r="GB24" s="1098"/>
      <c r="GC24" s="1098"/>
      <c r="GD24" s="1098"/>
      <c r="GE24" s="1098"/>
      <c r="GF24" s="1098"/>
      <c r="GG24" s="1098"/>
      <c r="GH24" s="1098"/>
      <c r="GI24" s="1098"/>
      <c r="GJ24" s="1098"/>
      <c r="GK24" s="1098"/>
      <c r="GL24" s="1098"/>
      <c r="GM24" s="1098"/>
      <c r="GN24" s="1097">
        <f t="shared" si="26"/>
        <v>0</v>
      </c>
      <c r="GO24" s="1098"/>
      <c r="GP24" s="1098"/>
      <c r="GQ24" s="1098"/>
      <c r="GR24" s="1098"/>
      <c r="GS24" s="1098"/>
      <c r="GT24" s="1098"/>
      <c r="GU24" s="1098"/>
      <c r="GV24" s="1098"/>
      <c r="GW24" s="1098"/>
      <c r="GX24" s="1098"/>
      <c r="GY24" s="1098"/>
      <c r="GZ24" s="1098"/>
      <c r="HA24" s="1097">
        <f t="shared" si="27"/>
        <v>0</v>
      </c>
      <c r="HB24" s="1098"/>
      <c r="HC24" s="1098"/>
      <c r="HD24" s="1098"/>
      <c r="HE24" s="1098"/>
      <c r="HF24" s="1098"/>
      <c r="HG24" s="1098"/>
      <c r="HH24" s="1098"/>
      <c r="HI24" s="1098"/>
      <c r="HJ24" s="1098"/>
      <c r="HK24" s="1098"/>
      <c r="HL24" s="1098"/>
      <c r="HM24" s="1098"/>
      <c r="HN24" s="1097">
        <f t="shared" si="28"/>
        <v>0</v>
      </c>
      <c r="HO24" s="1098"/>
      <c r="HP24" s="1098"/>
      <c r="HQ24" s="1098"/>
      <c r="HR24" s="1098"/>
      <c r="HS24" s="1098"/>
      <c r="HT24" s="1098"/>
      <c r="HU24" s="1098"/>
      <c r="HV24" s="1098"/>
      <c r="HW24" s="1098"/>
      <c r="HX24" s="1098"/>
      <c r="HY24" s="1098"/>
      <c r="HZ24" s="1098"/>
      <c r="IA24" s="1097">
        <f t="shared" si="29"/>
        <v>0</v>
      </c>
      <c r="IB24" s="1098"/>
      <c r="IC24" s="1098"/>
      <c r="ID24" s="1098"/>
      <c r="IE24" s="1098"/>
      <c r="IF24" s="1098"/>
      <c r="IG24" s="1098"/>
      <c r="IH24" s="1098"/>
      <c r="II24" s="1098"/>
      <c r="IJ24" s="1098">
        <v>2</v>
      </c>
      <c r="IK24" s="1098"/>
      <c r="IL24" s="1098"/>
      <c r="IM24" s="1098"/>
      <c r="IN24" s="1097">
        <f t="shared" si="30"/>
        <v>2</v>
      </c>
      <c r="IO24" s="1098"/>
      <c r="IP24" s="1098"/>
      <c r="IQ24" s="1098"/>
      <c r="IR24" s="1098"/>
      <c r="IS24" s="1098"/>
      <c r="IT24" s="1098"/>
      <c r="IU24" s="1098"/>
      <c r="IV24" s="1098"/>
      <c r="IW24" s="1098"/>
      <c r="IX24" s="1098"/>
      <c r="IY24" s="1098"/>
      <c r="IZ24" s="1098"/>
      <c r="JA24" s="1097">
        <f t="shared" si="31"/>
        <v>0</v>
      </c>
      <c r="JB24" s="1098"/>
      <c r="JC24" s="1098"/>
      <c r="JD24" s="1098"/>
      <c r="JE24" s="1098"/>
      <c r="JF24" s="1098"/>
      <c r="JG24" s="1098">
        <v>0</v>
      </c>
      <c r="JH24" s="1098"/>
      <c r="JI24" s="1098"/>
      <c r="JJ24" s="1098"/>
      <c r="JK24" s="1098"/>
      <c r="JL24" s="1098"/>
      <c r="JM24" s="1098"/>
      <c r="JN24" s="1097">
        <f t="shared" si="32"/>
        <v>0</v>
      </c>
      <c r="JP24" s="1116" t="str">
        <f t="shared" si="33"/>
        <v/>
      </c>
      <c r="JQ24" s="1117" t="str">
        <f t="shared" si="34"/>
        <v/>
      </c>
      <c r="JR24" s="1079">
        <f t="shared" si="35"/>
        <v>0</v>
      </c>
      <c r="JS24" s="1118">
        <f t="shared" si="36"/>
        <v>0</v>
      </c>
      <c r="JT24" s="62"/>
      <c r="JU24" s="1139">
        <f t="shared" si="37"/>
        <v>144.66666666666666</v>
      </c>
      <c r="JV24" s="1146" t="s">
        <v>35</v>
      </c>
      <c r="JW24" s="1147" t="str">
        <f t="shared" si="38"/>
        <v>OK</v>
      </c>
    </row>
    <row r="25" spans="1:283" ht="15" customHeight="1" x14ac:dyDescent="0.2">
      <c r="A25" s="1129" t="s">
        <v>36</v>
      </c>
      <c r="B25" s="1098"/>
      <c r="C25" s="1098"/>
      <c r="D25" s="1098"/>
      <c r="E25" s="1098"/>
      <c r="F25" s="1098"/>
      <c r="G25" s="1098"/>
      <c r="H25" s="1098"/>
      <c r="I25" s="1098"/>
      <c r="J25" s="1098"/>
      <c r="K25" s="1098"/>
      <c r="L25" s="1098"/>
      <c r="M25" s="1098"/>
      <c r="N25" s="1097">
        <f t="shared" si="12"/>
        <v>0</v>
      </c>
      <c r="O25" s="1098"/>
      <c r="P25" s="1098"/>
      <c r="Q25" s="1098"/>
      <c r="R25" s="1098"/>
      <c r="S25" s="1098"/>
      <c r="T25" s="1098"/>
      <c r="U25" s="1098"/>
      <c r="V25" s="1098"/>
      <c r="W25" s="1098"/>
      <c r="X25" s="1098"/>
      <c r="Y25" s="1098"/>
      <c r="Z25" s="1098"/>
      <c r="AA25" s="1097">
        <f t="shared" si="13"/>
        <v>0</v>
      </c>
      <c r="AB25" s="1098"/>
      <c r="AC25" s="1098"/>
      <c r="AD25" s="1098"/>
      <c r="AE25" s="1098"/>
      <c r="AF25" s="1098"/>
      <c r="AG25" s="1098"/>
      <c r="AH25" s="1098"/>
      <c r="AI25" s="1098"/>
      <c r="AJ25" s="1098"/>
      <c r="AK25" s="1098"/>
      <c r="AL25" s="1098"/>
      <c r="AM25" s="1098"/>
      <c r="AN25" s="1097">
        <f t="shared" si="14"/>
        <v>0</v>
      </c>
      <c r="AO25" s="1098"/>
      <c r="AP25" s="1098"/>
      <c r="AQ25" s="1098"/>
      <c r="AR25" s="1098"/>
      <c r="AS25" s="1098"/>
      <c r="AT25" s="1098">
        <v>1</v>
      </c>
      <c r="AU25" s="1098"/>
      <c r="AV25" s="1098"/>
      <c r="AW25" s="1098"/>
      <c r="AX25" s="1098"/>
      <c r="AY25" s="1098"/>
      <c r="AZ25" s="1098"/>
      <c r="BA25" s="1097">
        <f t="shared" si="15"/>
        <v>1</v>
      </c>
      <c r="BB25" s="1098"/>
      <c r="BC25" s="1098"/>
      <c r="BD25" s="1098"/>
      <c r="BE25" s="1098"/>
      <c r="BF25" s="1098"/>
      <c r="BG25" s="1098"/>
      <c r="BH25" s="1098"/>
      <c r="BI25" s="1098"/>
      <c r="BJ25" s="1098"/>
      <c r="BK25" s="1098"/>
      <c r="BL25" s="1098"/>
      <c r="BM25" s="1098"/>
      <c r="BN25" s="1097">
        <f t="shared" si="16"/>
        <v>0</v>
      </c>
      <c r="BO25" s="1098"/>
      <c r="BP25" s="1098"/>
      <c r="BQ25" s="1098"/>
      <c r="BR25" s="1098"/>
      <c r="BS25" s="1098"/>
      <c r="BT25" s="1098"/>
      <c r="BU25" s="1098"/>
      <c r="BV25" s="1098"/>
      <c r="BW25" s="1098"/>
      <c r="BX25" s="1098"/>
      <c r="BY25" s="1098"/>
      <c r="BZ25" s="1098"/>
      <c r="CA25" s="1097">
        <f t="shared" si="17"/>
        <v>0</v>
      </c>
      <c r="CB25" s="1098"/>
      <c r="CC25" s="1098"/>
      <c r="CD25" s="1098"/>
      <c r="CE25" s="1098"/>
      <c r="CF25" s="1098"/>
      <c r="CG25" s="1098"/>
      <c r="CH25" s="1098"/>
      <c r="CI25" s="1098"/>
      <c r="CJ25" s="1098"/>
      <c r="CK25" s="1098"/>
      <c r="CL25" s="1098"/>
      <c r="CM25" s="1098"/>
      <c r="CN25" s="1097">
        <f t="shared" si="18"/>
        <v>0</v>
      </c>
      <c r="CO25" s="1098"/>
      <c r="CP25" s="1098"/>
      <c r="CQ25" s="1098"/>
      <c r="CR25" s="1098"/>
      <c r="CS25" s="1098"/>
      <c r="CT25" s="1098"/>
      <c r="CU25" s="1098"/>
      <c r="CV25" s="1098"/>
      <c r="CW25" s="1098"/>
      <c r="CX25" s="1098"/>
      <c r="CY25" s="1098"/>
      <c r="CZ25" s="1098"/>
      <c r="DA25" s="1097">
        <f t="shared" si="19"/>
        <v>0</v>
      </c>
      <c r="DB25" s="1098"/>
      <c r="DC25" s="1098"/>
      <c r="DD25" s="1098"/>
      <c r="DE25" s="1098"/>
      <c r="DF25" s="1098"/>
      <c r="DG25" s="1098"/>
      <c r="DH25" s="1098"/>
      <c r="DI25" s="1098"/>
      <c r="DJ25" s="1098"/>
      <c r="DK25" s="1098"/>
      <c r="DL25" s="1098"/>
      <c r="DM25" s="1098">
        <v>27</v>
      </c>
      <c r="DN25" s="1097">
        <f t="shared" si="20"/>
        <v>27</v>
      </c>
      <c r="DO25" s="1098">
        <v>8</v>
      </c>
      <c r="DP25" s="1098">
        <v>1</v>
      </c>
      <c r="DQ25" s="1098"/>
      <c r="DR25" s="1098"/>
      <c r="DS25" s="1098"/>
      <c r="DT25" s="1098"/>
      <c r="DU25" s="1098"/>
      <c r="DV25" s="1098"/>
      <c r="DW25" s="1098"/>
      <c r="DX25" s="1098"/>
      <c r="DY25" s="1098"/>
      <c r="DZ25" s="1098">
        <v>20</v>
      </c>
      <c r="EA25" s="1097">
        <f t="shared" si="21"/>
        <v>29</v>
      </c>
      <c r="EB25" s="1098"/>
      <c r="EC25" s="1098"/>
      <c r="ED25" s="1098"/>
      <c r="EE25" s="1098"/>
      <c r="EF25" s="1098"/>
      <c r="EG25" s="1098"/>
      <c r="EH25" s="1098"/>
      <c r="EI25" s="1098"/>
      <c r="EJ25" s="1098"/>
      <c r="EK25" s="1098"/>
      <c r="EL25" s="1098"/>
      <c r="EM25" s="1098"/>
      <c r="EN25" s="1097">
        <f t="shared" si="22"/>
        <v>0</v>
      </c>
      <c r="EO25" s="1098"/>
      <c r="EP25" s="1098"/>
      <c r="EQ25" s="1098"/>
      <c r="ER25" s="1098"/>
      <c r="ES25" s="1098"/>
      <c r="ET25" s="1098"/>
      <c r="EU25" s="1098"/>
      <c r="EV25" s="1098"/>
      <c r="EW25" s="1098"/>
      <c r="EX25" s="1098"/>
      <c r="EY25" s="1098"/>
      <c r="EZ25" s="1098"/>
      <c r="FA25" s="1097">
        <f t="shared" si="23"/>
        <v>0</v>
      </c>
      <c r="FB25" s="1098"/>
      <c r="FC25" s="1098"/>
      <c r="FD25" s="1098"/>
      <c r="FE25" s="1098"/>
      <c r="FF25" s="1098"/>
      <c r="FG25" s="1098"/>
      <c r="FH25" s="1098"/>
      <c r="FI25" s="1098"/>
      <c r="FJ25" s="1098"/>
      <c r="FK25" s="1098"/>
      <c r="FL25" s="1098"/>
      <c r="FM25" s="1098"/>
      <c r="FN25" s="1097">
        <f t="shared" si="24"/>
        <v>0</v>
      </c>
      <c r="FO25" s="1098"/>
      <c r="FP25" s="1098"/>
      <c r="FQ25" s="1098"/>
      <c r="FR25" s="1098"/>
      <c r="FS25" s="1098"/>
      <c r="FT25" s="1098"/>
      <c r="FU25" s="1098"/>
      <c r="FV25" s="1098"/>
      <c r="FW25" s="1098"/>
      <c r="FX25" s="1098"/>
      <c r="FY25" s="1098"/>
      <c r="FZ25" s="1098"/>
      <c r="GA25" s="1097">
        <f t="shared" si="25"/>
        <v>0</v>
      </c>
      <c r="GB25" s="1098"/>
      <c r="GC25" s="1098"/>
      <c r="GD25" s="1098"/>
      <c r="GE25" s="1098"/>
      <c r="GF25" s="1098"/>
      <c r="GG25" s="1098"/>
      <c r="GH25" s="1098"/>
      <c r="GI25" s="1098"/>
      <c r="GJ25" s="1098"/>
      <c r="GK25" s="1098"/>
      <c r="GL25" s="1098"/>
      <c r="GM25" s="1098"/>
      <c r="GN25" s="1097">
        <f t="shared" si="26"/>
        <v>0</v>
      </c>
      <c r="GO25" s="1098"/>
      <c r="GP25" s="1098"/>
      <c r="GQ25" s="1098"/>
      <c r="GR25" s="1098"/>
      <c r="GS25" s="1098"/>
      <c r="GT25" s="1098"/>
      <c r="GU25" s="1098"/>
      <c r="GV25" s="1098"/>
      <c r="GW25" s="1098"/>
      <c r="GX25" s="1098"/>
      <c r="GY25" s="1098"/>
      <c r="GZ25" s="1098"/>
      <c r="HA25" s="1097">
        <f t="shared" si="27"/>
        <v>0</v>
      </c>
      <c r="HB25" s="1098"/>
      <c r="HC25" s="1098"/>
      <c r="HD25" s="1098"/>
      <c r="HE25" s="1098"/>
      <c r="HF25" s="1098"/>
      <c r="HG25" s="1098"/>
      <c r="HH25" s="1098"/>
      <c r="HI25" s="1098"/>
      <c r="HJ25" s="1098"/>
      <c r="HK25" s="1098"/>
      <c r="HL25" s="1098"/>
      <c r="HM25" s="1098"/>
      <c r="HN25" s="1097">
        <f t="shared" si="28"/>
        <v>0</v>
      </c>
      <c r="HO25" s="1098"/>
      <c r="HP25" s="1098"/>
      <c r="HQ25" s="1098"/>
      <c r="HR25" s="1098"/>
      <c r="HS25" s="1098"/>
      <c r="HT25" s="1098"/>
      <c r="HU25" s="1098"/>
      <c r="HV25" s="1098"/>
      <c r="HW25" s="1098"/>
      <c r="HX25" s="1098"/>
      <c r="HY25" s="1098"/>
      <c r="HZ25" s="1098"/>
      <c r="IA25" s="1097">
        <f t="shared" si="29"/>
        <v>0</v>
      </c>
      <c r="IB25" s="1098"/>
      <c r="IC25" s="1098"/>
      <c r="ID25" s="1098"/>
      <c r="IE25" s="1098"/>
      <c r="IF25" s="1098"/>
      <c r="IG25" s="1098"/>
      <c r="IH25" s="1098"/>
      <c r="II25" s="1098"/>
      <c r="IJ25" s="1098"/>
      <c r="IK25" s="1098"/>
      <c r="IL25" s="1098"/>
      <c r="IM25" s="1098"/>
      <c r="IN25" s="1097">
        <f t="shared" si="30"/>
        <v>0</v>
      </c>
      <c r="IO25" s="1098"/>
      <c r="IP25" s="1098"/>
      <c r="IQ25" s="1098"/>
      <c r="IR25" s="1098"/>
      <c r="IS25" s="1098"/>
      <c r="IT25" s="1098"/>
      <c r="IU25" s="1098"/>
      <c r="IV25" s="1098"/>
      <c r="IW25" s="1098"/>
      <c r="IX25" s="1098"/>
      <c r="IY25" s="1098"/>
      <c r="IZ25" s="1098"/>
      <c r="JA25" s="1097">
        <f t="shared" si="31"/>
        <v>0</v>
      </c>
      <c r="JB25" s="1098"/>
      <c r="JC25" s="1098"/>
      <c r="JD25" s="1098"/>
      <c r="JE25" s="1098"/>
      <c r="JF25" s="1098"/>
      <c r="JG25" s="1098">
        <v>0</v>
      </c>
      <c r="JH25" s="1098"/>
      <c r="JI25" s="1098"/>
      <c r="JJ25" s="1098"/>
      <c r="JK25" s="1098"/>
      <c r="JL25" s="1098"/>
      <c r="JM25" s="1098"/>
      <c r="JN25" s="1097">
        <f t="shared" si="32"/>
        <v>0</v>
      </c>
      <c r="JP25" s="1116" t="str">
        <f t="shared" si="33"/>
        <v/>
      </c>
      <c r="JQ25" s="1117" t="str">
        <f t="shared" si="34"/>
        <v/>
      </c>
      <c r="JR25" s="1079">
        <f t="shared" si="35"/>
        <v>0</v>
      </c>
      <c r="JS25" s="1118">
        <f t="shared" si="36"/>
        <v>0</v>
      </c>
      <c r="JT25" s="62"/>
      <c r="JU25" s="1139">
        <f t="shared" si="37"/>
        <v>114</v>
      </c>
      <c r="JV25" s="1146" t="s">
        <v>36</v>
      </c>
      <c r="JW25" s="1147" t="str">
        <f t="shared" si="38"/>
        <v>OK</v>
      </c>
    </row>
    <row r="26" spans="1:283" ht="15" customHeight="1" x14ac:dyDescent="0.2">
      <c r="A26" s="1129" t="s">
        <v>48</v>
      </c>
      <c r="B26" s="1098"/>
      <c r="C26" s="1098"/>
      <c r="D26" s="1098"/>
      <c r="E26" s="1098"/>
      <c r="F26" s="1098"/>
      <c r="G26" s="1098"/>
      <c r="H26" s="1098"/>
      <c r="I26" s="1098"/>
      <c r="J26" s="1098"/>
      <c r="K26" s="1098"/>
      <c r="L26" s="1098"/>
      <c r="M26" s="1098"/>
      <c r="N26" s="1097">
        <f t="shared" si="12"/>
        <v>0</v>
      </c>
      <c r="O26" s="1098"/>
      <c r="P26" s="1098"/>
      <c r="Q26" s="1098"/>
      <c r="R26" s="1098"/>
      <c r="S26" s="1098"/>
      <c r="T26" s="1098"/>
      <c r="U26" s="1098"/>
      <c r="V26" s="1098"/>
      <c r="W26" s="1098"/>
      <c r="X26" s="1098"/>
      <c r="Y26" s="1098"/>
      <c r="Z26" s="1098"/>
      <c r="AA26" s="1097">
        <f t="shared" si="13"/>
        <v>0</v>
      </c>
      <c r="AB26" s="1098"/>
      <c r="AC26" s="1098"/>
      <c r="AD26" s="1098"/>
      <c r="AE26" s="1098"/>
      <c r="AF26" s="1098"/>
      <c r="AG26" s="1098"/>
      <c r="AH26" s="1098"/>
      <c r="AI26" s="1098"/>
      <c r="AJ26" s="1098"/>
      <c r="AK26" s="1098"/>
      <c r="AL26" s="1098"/>
      <c r="AM26" s="1098"/>
      <c r="AN26" s="1097">
        <f t="shared" si="14"/>
        <v>0</v>
      </c>
      <c r="AO26" s="1098"/>
      <c r="AP26" s="1098"/>
      <c r="AQ26" s="1098"/>
      <c r="AR26" s="1098"/>
      <c r="AS26" s="1098"/>
      <c r="AT26" s="1098"/>
      <c r="AU26" s="1098"/>
      <c r="AV26" s="1098"/>
      <c r="AW26" s="1098"/>
      <c r="AX26" s="1098"/>
      <c r="AY26" s="1098"/>
      <c r="AZ26" s="1098"/>
      <c r="BA26" s="1097">
        <f t="shared" si="15"/>
        <v>0</v>
      </c>
      <c r="BB26" s="1098"/>
      <c r="BC26" s="1098"/>
      <c r="BD26" s="1098"/>
      <c r="BE26" s="1098"/>
      <c r="BF26" s="1098"/>
      <c r="BG26" s="1098"/>
      <c r="BH26" s="1098"/>
      <c r="BI26" s="1098"/>
      <c r="BJ26" s="1098"/>
      <c r="BK26" s="1098"/>
      <c r="BL26" s="1098"/>
      <c r="BM26" s="1098"/>
      <c r="BN26" s="1097">
        <f t="shared" si="16"/>
        <v>0</v>
      </c>
      <c r="BO26" s="1098"/>
      <c r="BP26" s="1098"/>
      <c r="BQ26" s="1098"/>
      <c r="BR26" s="1098"/>
      <c r="BS26" s="1098"/>
      <c r="BT26" s="1098"/>
      <c r="BU26" s="1098"/>
      <c r="BV26" s="1098"/>
      <c r="BW26" s="1098"/>
      <c r="BX26" s="1098"/>
      <c r="BY26" s="1098"/>
      <c r="BZ26" s="1098"/>
      <c r="CA26" s="1097">
        <f t="shared" si="17"/>
        <v>0</v>
      </c>
      <c r="CB26" s="1098"/>
      <c r="CC26" s="1098"/>
      <c r="CD26" s="1098"/>
      <c r="CE26" s="1098"/>
      <c r="CF26" s="1098"/>
      <c r="CG26" s="1098"/>
      <c r="CH26" s="1098"/>
      <c r="CI26" s="1098"/>
      <c r="CJ26" s="1098"/>
      <c r="CK26" s="1098"/>
      <c r="CL26" s="1098"/>
      <c r="CM26" s="1098"/>
      <c r="CN26" s="1097">
        <f t="shared" si="18"/>
        <v>0</v>
      </c>
      <c r="CO26" s="1098"/>
      <c r="CP26" s="1098"/>
      <c r="CQ26" s="1098"/>
      <c r="CR26" s="1098"/>
      <c r="CS26" s="1098"/>
      <c r="CT26" s="1098"/>
      <c r="CU26" s="1098"/>
      <c r="CV26" s="1098"/>
      <c r="CW26" s="1098"/>
      <c r="CX26" s="1098"/>
      <c r="CY26" s="1098"/>
      <c r="CZ26" s="1098"/>
      <c r="DA26" s="1097">
        <f t="shared" si="19"/>
        <v>0</v>
      </c>
      <c r="DB26" s="1098"/>
      <c r="DC26" s="1098"/>
      <c r="DD26" s="1098"/>
      <c r="DE26" s="1098"/>
      <c r="DF26" s="1098"/>
      <c r="DG26" s="1098"/>
      <c r="DH26" s="1098"/>
      <c r="DI26" s="1098"/>
      <c r="DJ26" s="1098"/>
      <c r="DK26" s="1098"/>
      <c r="DL26" s="1098"/>
      <c r="DM26" s="1098"/>
      <c r="DN26" s="1097">
        <f t="shared" si="20"/>
        <v>0</v>
      </c>
      <c r="DO26" s="1098"/>
      <c r="DP26" s="1098"/>
      <c r="DQ26" s="1098"/>
      <c r="DR26" s="1098"/>
      <c r="DS26" s="1098"/>
      <c r="DT26" s="1098"/>
      <c r="DU26" s="1098"/>
      <c r="DV26" s="1098"/>
      <c r="DW26" s="1098"/>
      <c r="DX26" s="1098"/>
      <c r="DY26" s="1098"/>
      <c r="DZ26" s="1098"/>
      <c r="EA26" s="1097">
        <f t="shared" si="21"/>
        <v>0</v>
      </c>
      <c r="EB26" s="1098"/>
      <c r="EC26" s="1098"/>
      <c r="ED26" s="1098"/>
      <c r="EE26" s="1098"/>
      <c r="EF26" s="1098"/>
      <c r="EG26" s="1098"/>
      <c r="EH26" s="1098"/>
      <c r="EI26" s="1098"/>
      <c r="EJ26" s="1098"/>
      <c r="EK26" s="1098"/>
      <c r="EL26" s="1098"/>
      <c r="EM26" s="1098"/>
      <c r="EN26" s="1097">
        <f t="shared" si="22"/>
        <v>0</v>
      </c>
      <c r="EO26" s="1098"/>
      <c r="EP26" s="1098"/>
      <c r="EQ26" s="1098"/>
      <c r="ER26" s="1098"/>
      <c r="ES26" s="1098"/>
      <c r="ET26" s="1098"/>
      <c r="EU26" s="1098"/>
      <c r="EV26" s="1098"/>
      <c r="EW26" s="1098"/>
      <c r="EX26" s="1098"/>
      <c r="EY26" s="1098"/>
      <c r="EZ26" s="1098"/>
      <c r="FA26" s="1097">
        <f t="shared" si="23"/>
        <v>0</v>
      </c>
      <c r="FB26" s="1098"/>
      <c r="FC26" s="1098"/>
      <c r="FD26" s="1098"/>
      <c r="FE26" s="1098"/>
      <c r="FF26" s="1098"/>
      <c r="FG26" s="1098"/>
      <c r="FH26" s="1098"/>
      <c r="FI26" s="1098"/>
      <c r="FJ26" s="1098"/>
      <c r="FK26" s="1098"/>
      <c r="FL26" s="1098"/>
      <c r="FM26" s="1098"/>
      <c r="FN26" s="1097">
        <f t="shared" si="24"/>
        <v>0</v>
      </c>
      <c r="FO26" s="1098"/>
      <c r="FP26" s="1098"/>
      <c r="FQ26" s="1098"/>
      <c r="FR26" s="1098"/>
      <c r="FS26" s="1098"/>
      <c r="FT26" s="1098"/>
      <c r="FU26" s="1098"/>
      <c r="FV26" s="1098"/>
      <c r="FW26" s="1098"/>
      <c r="FX26" s="1098"/>
      <c r="FY26" s="1098"/>
      <c r="FZ26" s="1098"/>
      <c r="GA26" s="1097">
        <f t="shared" si="25"/>
        <v>0</v>
      </c>
      <c r="GB26" s="1098"/>
      <c r="GC26" s="1098"/>
      <c r="GD26" s="1098"/>
      <c r="GE26" s="1098"/>
      <c r="GF26" s="1098"/>
      <c r="GG26" s="1098"/>
      <c r="GH26" s="1098"/>
      <c r="GI26" s="1098"/>
      <c r="GJ26" s="1098"/>
      <c r="GK26" s="1098"/>
      <c r="GL26" s="1098"/>
      <c r="GM26" s="1098"/>
      <c r="GN26" s="1097">
        <f t="shared" si="26"/>
        <v>0</v>
      </c>
      <c r="GO26" s="1098"/>
      <c r="GP26" s="1098"/>
      <c r="GQ26" s="1098"/>
      <c r="GR26" s="1098"/>
      <c r="GS26" s="1098"/>
      <c r="GT26" s="1098"/>
      <c r="GU26" s="1098"/>
      <c r="GV26" s="1098"/>
      <c r="GW26" s="1098"/>
      <c r="GX26" s="1098"/>
      <c r="GY26" s="1098"/>
      <c r="GZ26" s="1098"/>
      <c r="HA26" s="1097">
        <f t="shared" si="27"/>
        <v>0</v>
      </c>
      <c r="HB26" s="1098"/>
      <c r="HC26" s="1098"/>
      <c r="HD26" s="1098"/>
      <c r="HE26" s="1098"/>
      <c r="HF26" s="1098"/>
      <c r="HG26" s="1098"/>
      <c r="HH26" s="1098"/>
      <c r="HI26" s="1098"/>
      <c r="HJ26" s="1098"/>
      <c r="HK26" s="1098"/>
      <c r="HL26" s="1098"/>
      <c r="HM26" s="1098"/>
      <c r="HN26" s="1097">
        <f t="shared" si="28"/>
        <v>0</v>
      </c>
      <c r="HO26" s="1098"/>
      <c r="HP26" s="1098"/>
      <c r="HQ26" s="1098"/>
      <c r="HR26" s="1098"/>
      <c r="HS26" s="1098"/>
      <c r="HT26" s="1098"/>
      <c r="HU26" s="1098"/>
      <c r="HV26" s="1098"/>
      <c r="HW26" s="1098"/>
      <c r="HX26" s="1098"/>
      <c r="HY26" s="1098"/>
      <c r="HZ26" s="1098"/>
      <c r="IA26" s="1097">
        <f t="shared" si="29"/>
        <v>0</v>
      </c>
      <c r="IB26" s="1098"/>
      <c r="IC26" s="1098"/>
      <c r="ID26" s="1098"/>
      <c r="IE26" s="1098"/>
      <c r="IF26" s="1098"/>
      <c r="IG26" s="1098"/>
      <c r="IH26" s="1098"/>
      <c r="II26" s="1098"/>
      <c r="IJ26" s="1098"/>
      <c r="IK26" s="1098"/>
      <c r="IL26" s="1098"/>
      <c r="IM26" s="1098"/>
      <c r="IN26" s="1097">
        <f t="shared" si="30"/>
        <v>0</v>
      </c>
      <c r="IO26" s="1098"/>
      <c r="IP26" s="1098"/>
      <c r="IQ26" s="1098"/>
      <c r="IR26" s="1098"/>
      <c r="IS26" s="1098"/>
      <c r="IT26" s="1098"/>
      <c r="IU26" s="1098"/>
      <c r="IV26" s="1098"/>
      <c r="IW26" s="1098"/>
      <c r="IX26" s="1098"/>
      <c r="IY26" s="1098"/>
      <c r="IZ26" s="1098"/>
      <c r="JA26" s="1097">
        <f t="shared" si="31"/>
        <v>0</v>
      </c>
      <c r="JB26" s="1098"/>
      <c r="JC26" s="1098"/>
      <c r="JD26" s="1098"/>
      <c r="JE26" s="1098"/>
      <c r="JF26" s="1098"/>
      <c r="JG26" s="1098"/>
      <c r="JH26" s="1098"/>
      <c r="JI26" s="1098"/>
      <c r="JJ26" s="1098"/>
      <c r="JK26" s="1098"/>
      <c r="JL26" s="1098"/>
      <c r="JM26" s="1098"/>
      <c r="JN26" s="1097">
        <f t="shared" si="32"/>
        <v>0</v>
      </c>
      <c r="JP26" s="1116" t="str">
        <f t="shared" si="33"/>
        <v/>
      </c>
      <c r="JQ26" s="1117" t="str">
        <f t="shared" si="34"/>
        <v/>
      </c>
      <c r="JR26" s="1079">
        <f t="shared" si="35"/>
        <v>0</v>
      </c>
      <c r="JS26" s="1118">
        <f t="shared" si="36"/>
        <v>0</v>
      </c>
      <c r="JT26" s="62"/>
      <c r="JU26" s="1139">
        <f t="shared" si="37"/>
        <v>0</v>
      </c>
      <c r="JV26" s="1146" t="s">
        <v>48</v>
      </c>
      <c r="JW26" s="1147" t="str">
        <f t="shared" si="38"/>
        <v>OK</v>
      </c>
    </row>
    <row r="27" spans="1:283" ht="15" customHeight="1" x14ac:dyDescent="0.2">
      <c r="A27" s="1129" t="s">
        <v>37</v>
      </c>
      <c r="B27" s="1098"/>
      <c r="C27" s="1098"/>
      <c r="D27" s="1098"/>
      <c r="E27" s="1098"/>
      <c r="F27" s="1098"/>
      <c r="G27" s="1098"/>
      <c r="H27" s="1098">
        <v>4</v>
      </c>
      <c r="I27" s="1098">
        <v>4</v>
      </c>
      <c r="J27" s="1098">
        <v>6</v>
      </c>
      <c r="K27" s="1098">
        <v>9</v>
      </c>
      <c r="L27" s="1098">
        <v>9</v>
      </c>
      <c r="M27" s="1098"/>
      <c r="N27" s="1097">
        <f t="shared" si="12"/>
        <v>32</v>
      </c>
      <c r="O27" s="1098">
        <v>9</v>
      </c>
      <c r="P27" s="1098">
        <v>2</v>
      </c>
      <c r="Q27" s="1098">
        <v>5</v>
      </c>
      <c r="R27" s="1098">
        <v>1</v>
      </c>
      <c r="S27" s="1098">
        <v>5</v>
      </c>
      <c r="T27" s="1098">
        <v>6</v>
      </c>
      <c r="U27" s="1098">
        <v>9</v>
      </c>
      <c r="V27" s="1098">
        <v>9</v>
      </c>
      <c r="W27" s="1098"/>
      <c r="X27" s="1098">
        <v>12</v>
      </c>
      <c r="Y27" s="1098">
        <v>5</v>
      </c>
      <c r="Z27" s="1098">
        <v>1</v>
      </c>
      <c r="AA27" s="1097">
        <f t="shared" si="13"/>
        <v>64</v>
      </c>
      <c r="AB27" s="1098"/>
      <c r="AC27" s="1098">
        <v>3</v>
      </c>
      <c r="AD27" s="1098">
        <v>11</v>
      </c>
      <c r="AE27" s="1098"/>
      <c r="AF27" s="1098"/>
      <c r="AG27" s="1098"/>
      <c r="AH27" s="1098"/>
      <c r="AI27" s="1098">
        <v>2</v>
      </c>
      <c r="AJ27" s="1098"/>
      <c r="AK27" s="1098"/>
      <c r="AL27" s="1098">
        <v>2</v>
      </c>
      <c r="AM27" s="1098"/>
      <c r="AN27" s="1097">
        <f t="shared" si="14"/>
        <v>18</v>
      </c>
      <c r="AO27" s="1098"/>
      <c r="AP27" s="1098"/>
      <c r="AQ27" s="1098"/>
      <c r="AR27" s="1098">
        <v>6</v>
      </c>
      <c r="AS27" s="1098"/>
      <c r="AT27" s="1098">
        <v>2</v>
      </c>
      <c r="AU27" s="1098"/>
      <c r="AV27" s="1098">
        <v>2</v>
      </c>
      <c r="AW27" s="1098"/>
      <c r="AX27" s="1098"/>
      <c r="AY27" s="1098"/>
      <c r="AZ27" s="1098"/>
      <c r="BA27" s="1097">
        <f t="shared" si="15"/>
        <v>10</v>
      </c>
      <c r="BB27" s="1098"/>
      <c r="BC27" s="1098">
        <v>5</v>
      </c>
      <c r="BD27" s="1098">
        <v>5</v>
      </c>
      <c r="BE27" s="1098"/>
      <c r="BF27" s="1098"/>
      <c r="BG27" s="1098">
        <v>110</v>
      </c>
      <c r="BH27" s="1098"/>
      <c r="BI27" s="1098"/>
      <c r="BJ27" s="1098"/>
      <c r="BK27" s="1098"/>
      <c r="BL27" s="1098"/>
      <c r="BM27" s="1098"/>
      <c r="BN27" s="1097">
        <f t="shared" si="16"/>
        <v>120</v>
      </c>
      <c r="BO27" s="1098"/>
      <c r="BP27" s="1098"/>
      <c r="BQ27" s="1098"/>
      <c r="BR27" s="1098"/>
      <c r="BS27" s="1098"/>
      <c r="BT27" s="1098"/>
      <c r="BU27" s="1098"/>
      <c r="BV27" s="1098"/>
      <c r="BW27" s="1098">
        <v>25</v>
      </c>
      <c r="BX27" s="1098">
        <v>1</v>
      </c>
      <c r="BY27" s="1098">
        <v>1</v>
      </c>
      <c r="BZ27" s="1098"/>
      <c r="CA27" s="1097">
        <f t="shared" si="17"/>
        <v>27</v>
      </c>
      <c r="CB27" s="1098">
        <v>1</v>
      </c>
      <c r="CC27" s="1098"/>
      <c r="CD27" s="1098"/>
      <c r="CE27" s="1098"/>
      <c r="CF27" s="1098"/>
      <c r="CG27" s="1098">
        <v>2</v>
      </c>
      <c r="CH27" s="1098">
        <v>4</v>
      </c>
      <c r="CI27" s="1098"/>
      <c r="CJ27" s="1098"/>
      <c r="CK27" s="1098"/>
      <c r="CL27" s="1098"/>
      <c r="CM27" s="1098"/>
      <c r="CN27" s="1097">
        <f t="shared" si="18"/>
        <v>7</v>
      </c>
      <c r="CO27" s="1098"/>
      <c r="CP27" s="1098"/>
      <c r="CQ27" s="1098"/>
      <c r="CR27" s="1098"/>
      <c r="CS27" s="1098"/>
      <c r="CT27" s="1098"/>
      <c r="CU27" s="1098"/>
      <c r="CV27" s="1098"/>
      <c r="CW27" s="1098"/>
      <c r="CX27" s="1098"/>
      <c r="CY27" s="1098"/>
      <c r="CZ27" s="1098"/>
      <c r="DA27" s="1097">
        <f t="shared" si="19"/>
        <v>0</v>
      </c>
      <c r="DB27" s="1098"/>
      <c r="DC27" s="1098"/>
      <c r="DD27" s="1098">
        <v>15</v>
      </c>
      <c r="DE27" s="1098"/>
      <c r="DF27" s="1098"/>
      <c r="DG27" s="1098"/>
      <c r="DH27" s="1098"/>
      <c r="DI27" s="1098"/>
      <c r="DJ27" s="1098"/>
      <c r="DK27" s="1098"/>
      <c r="DL27" s="1098"/>
      <c r="DM27" s="1098">
        <v>157</v>
      </c>
      <c r="DN27" s="1097">
        <f t="shared" si="20"/>
        <v>172</v>
      </c>
      <c r="DO27" s="1098">
        <v>171</v>
      </c>
      <c r="DP27" s="1098"/>
      <c r="DQ27" s="1098"/>
      <c r="DR27" s="1098"/>
      <c r="DS27" s="1098"/>
      <c r="DT27" s="1098"/>
      <c r="DU27" s="1098"/>
      <c r="DV27" s="1098"/>
      <c r="DW27" s="1098"/>
      <c r="DX27" s="1098"/>
      <c r="DY27" s="1098"/>
      <c r="DZ27" s="1098">
        <v>53</v>
      </c>
      <c r="EA27" s="1097">
        <f t="shared" si="21"/>
        <v>224</v>
      </c>
      <c r="EB27" s="1098"/>
      <c r="EC27" s="1098"/>
      <c r="ED27" s="1098"/>
      <c r="EE27" s="1098"/>
      <c r="EF27" s="1098"/>
      <c r="EG27" s="1098"/>
      <c r="EH27" s="1098"/>
      <c r="EI27" s="1098"/>
      <c r="EJ27" s="1098"/>
      <c r="EK27" s="1098"/>
      <c r="EL27" s="1098"/>
      <c r="EM27" s="1098"/>
      <c r="EN27" s="1097">
        <f t="shared" si="22"/>
        <v>0</v>
      </c>
      <c r="EO27" s="1098"/>
      <c r="EP27" s="1098"/>
      <c r="EQ27" s="1098"/>
      <c r="ER27" s="1098"/>
      <c r="ES27" s="1098"/>
      <c r="ET27" s="1098"/>
      <c r="EU27" s="1098"/>
      <c r="EV27" s="1098"/>
      <c r="EW27" s="1098"/>
      <c r="EX27" s="1098"/>
      <c r="EY27" s="1098"/>
      <c r="EZ27" s="1098"/>
      <c r="FA27" s="1097">
        <f t="shared" si="23"/>
        <v>0</v>
      </c>
      <c r="FB27" s="1098"/>
      <c r="FC27" s="1098"/>
      <c r="FD27" s="1098"/>
      <c r="FE27" s="1098"/>
      <c r="FF27" s="1098"/>
      <c r="FG27" s="1098"/>
      <c r="FH27" s="1098"/>
      <c r="FI27" s="1098"/>
      <c r="FJ27" s="1098"/>
      <c r="FK27" s="1098"/>
      <c r="FL27" s="1098"/>
      <c r="FM27" s="1098"/>
      <c r="FN27" s="1097">
        <f t="shared" si="24"/>
        <v>0</v>
      </c>
      <c r="FO27" s="1098"/>
      <c r="FP27" s="1098"/>
      <c r="FQ27" s="1098"/>
      <c r="FR27" s="1098"/>
      <c r="FS27" s="1098"/>
      <c r="FT27" s="1098"/>
      <c r="FU27" s="1098"/>
      <c r="FV27" s="1098">
        <v>1</v>
      </c>
      <c r="FW27" s="1098"/>
      <c r="FX27" s="1098"/>
      <c r="FY27" s="1098"/>
      <c r="FZ27" s="1098"/>
      <c r="GA27" s="1097">
        <f t="shared" si="25"/>
        <v>1</v>
      </c>
      <c r="GB27" s="1098"/>
      <c r="GC27" s="1098"/>
      <c r="GD27" s="1098"/>
      <c r="GE27" s="1098"/>
      <c r="GF27" s="1098"/>
      <c r="GG27" s="1098"/>
      <c r="GH27" s="1098"/>
      <c r="GI27" s="1098"/>
      <c r="GJ27" s="1098"/>
      <c r="GK27" s="1098"/>
      <c r="GL27" s="1098"/>
      <c r="GM27" s="1098"/>
      <c r="GN27" s="1097">
        <f t="shared" si="26"/>
        <v>0</v>
      </c>
      <c r="GO27" s="1098"/>
      <c r="GP27" s="1098">
        <v>2</v>
      </c>
      <c r="GQ27" s="1098">
        <v>1</v>
      </c>
      <c r="GR27" s="1098">
        <v>10</v>
      </c>
      <c r="GS27" s="1098"/>
      <c r="GT27" s="1098">
        <v>9</v>
      </c>
      <c r="GU27" s="1098">
        <v>9</v>
      </c>
      <c r="GV27" s="1098">
        <v>13</v>
      </c>
      <c r="GW27" s="1098">
        <v>9</v>
      </c>
      <c r="GX27" s="1098">
        <v>10</v>
      </c>
      <c r="GY27" s="1098"/>
      <c r="GZ27" s="1098"/>
      <c r="HA27" s="1097">
        <f t="shared" si="27"/>
        <v>63</v>
      </c>
      <c r="HB27" s="1098"/>
      <c r="HC27" s="1098"/>
      <c r="HD27" s="1098"/>
      <c r="HE27" s="1098">
        <v>3</v>
      </c>
      <c r="HF27" s="1098"/>
      <c r="HG27" s="1098"/>
      <c r="HH27" s="1098">
        <v>10</v>
      </c>
      <c r="HI27" s="1098">
        <v>14</v>
      </c>
      <c r="HJ27" s="1098">
        <v>10</v>
      </c>
      <c r="HK27" s="1098">
        <v>10</v>
      </c>
      <c r="HL27" s="1098"/>
      <c r="HM27" s="1098"/>
      <c r="HN27" s="1097">
        <f t="shared" si="28"/>
        <v>47</v>
      </c>
      <c r="HO27" s="1098">
        <v>9</v>
      </c>
      <c r="HP27" s="1098">
        <v>9</v>
      </c>
      <c r="HQ27" s="1098">
        <v>13</v>
      </c>
      <c r="HR27" s="1098"/>
      <c r="HS27" s="1098"/>
      <c r="HT27" s="1098">
        <v>6</v>
      </c>
      <c r="HU27" s="1098">
        <v>4</v>
      </c>
      <c r="HV27" s="1098"/>
      <c r="HW27" s="1098"/>
      <c r="HX27" s="1098"/>
      <c r="HY27" s="1098"/>
      <c r="HZ27" s="1098"/>
      <c r="IA27" s="1097">
        <f t="shared" si="29"/>
        <v>41</v>
      </c>
      <c r="IB27" s="1098"/>
      <c r="IC27" s="1098"/>
      <c r="ID27" s="1098"/>
      <c r="IE27" s="1098"/>
      <c r="IF27" s="1098"/>
      <c r="IG27" s="1098"/>
      <c r="IH27" s="1098"/>
      <c r="II27" s="1098"/>
      <c r="IJ27" s="1098"/>
      <c r="IK27" s="1098"/>
      <c r="IL27" s="1098"/>
      <c r="IM27" s="1098"/>
      <c r="IN27" s="1097">
        <f t="shared" si="30"/>
        <v>0</v>
      </c>
      <c r="IO27" s="1098"/>
      <c r="IP27" s="1098"/>
      <c r="IQ27" s="1098"/>
      <c r="IR27" s="1098"/>
      <c r="IS27" s="1098"/>
      <c r="IT27" s="1098"/>
      <c r="IU27" s="1098"/>
      <c r="IV27" s="1098"/>
      <c r="IW27" s="1098"/>
      <c r="IX27" s="1098"/>
      <c r="IY27" s="1098"/>
      <c r="IZ27" s="1098"/>
      <c r="JA27" s="1097">
        <f t="shared" si="31"/>
        <v>0</v>
      </c>
      <c r="JB27" s="1098"/>
      <c r="JC27" s="1098"/>
      <c r="JD27" s="1098"/>
      <c r="JE27" s="1098">
        <v>15</v>
      </c>
      <c r="JF27" s="1098">
        <v>18</v>
      </c>
      <c r="JG27" s="1098">
        <v>0</v>
      </c>
      <c r="JH27" s="1098"/>
      <c r="JI27" s="1098"/>
      <c r="JJ27" s="1098"/>
      <c r="JK27" s="1098"/>
      <c r="JL27" s="1098"/>
      <c r="JM27" s="1098"/>
      <c r="JN27" s="1097">
        <f t="shared" si="32"/>
        <v>33</v>
      </c>
      <c r="JP27" s="1116" t="str">
        <f t="shared" si="33"/>
        <v/>
      </c>
      <c r="JQ27" s="1117" t="str">
        <f t="shared" si="34"/>
        <v/>
      </c>
      <c r="JR27" s="1079">
        <f t="shared" si="35"/>
        <v>0</v>
      </c>
      <c r="JS27" s="1118">
        <f t="shared" si="36"/>
        <v>15</v>
      </c>
      <c r="JT27" s="62"/>
      <c r="JU27" s="1139">
        <f t="shared" si="37"/>
        <v>1718</v>
      </c>
      <c r="JV27" s="1146" t="s">
        <v>37</v>
      </c>
      <c r="JW27" s="1147" t="str">
        <f t="shared" si="38"/>
        <v>OK</v>
      </c>
    </row>
    <row r="28" spans="1:283" ht="15" customHeight="1" x14ac:dyDescent="0.2">
      <c r="A28" s="1129" t="s">
        <v>281</v>
      </c>
      <c r="B28" s="1098"/>
      <c r="C28" s="1098"/>
      <c r="D28" s="1098"/>
      <c r="E28" s="1098"/>
      <c r="F28" s="1098"/>
      <c r="G28" s="1098"/>
      <c r="H28" s="1098"/>
      <c r="I28" s="1098"/>
      <c r="J28" s="1098"/>
      <c r="K28" s="1098"/>
      <c r="L28" s="1098"/>
      <c r="M28" s="1098"/>
      <c r="N28" s="1097">
        <f t="shared" si="12"/>
        <v>0</v>
      </c>
      <c r="O28" s="1098"/>
      <c r="P28" s="1098"/>
      <c r="Q28" s="1098"/>
      <c r="R28" s="1098"/>
      <c r="S28" s="1098"/>
      <c r="T28" s="1098"/>
      <c r="U28" s="1098"/>
      <c r="V28" s="1098"/>
      <c r="W28" s="1098"/>
      <c r="X28" s="1098"/>
      <c r="Y28" s="1098"/>
      <c r="Z28" s="1098"/>
      <c r="AA28" s="1097">
        <f t="shared" si="13"/>
        <v>0</v>
      </c>
      <c r="AB28" s="1098"/>
      <c r="AC28" s="1098"/>
      <c r="AD28" s="1098"/>
      <c r="AE28" s="1098"/>
      <c r="AF28" s="1098"/>
      <c r="AG28" s="1098"/>
      <c r="AH28" s="1098"/>
      <c r="AI28" s="1098"/>
      <c r="AJ28" s="1098"/>
      <c r="AK28" s="1098"/>
      <c r="AL28" s="1098"/>
      <c r="AM28" s="1098"/>
      <c r="AN28" s="1097">
        <f t="shared" si="14"/>
        <v>0</v>
      </c>
      <c r="AO28" s="1098"/>
      <c r="AP28" s="1098"/>
      <c r="AQ28" s="1098"/>
      <c r="AR28" s="1098"/>
      <c r="AS28" s="1098"/>
      <c r="AT28" s="1098"/>
      <c r="AU28" s="1098"/>
      <c r="AV28" s="1098"/>
      <c r="AW28" s="1098"/>
      <c r="AX28" s="1098"/>
      <c r="AY28" s="1098"/>
      <c r="AZ28" s="1098"/>
      <c r="BA28" s="1097">
        <f t="shared" si="15"/>
        <v>0</v>
      </c>
      <c r="BB28" s="1098"/>
      <c r="BC28" s="1098"/>
      <c r="BD28" s="1098"/>
      <c r="BE28" s="1098"/>
      <c r="BF28" s="1098"/>
      <c r="BG28" s="1098"/>
      <c r="BH28" s="1098"/>
      <c r="BI28" s="1098"/>
      <c r="BJ28" s="1098"/>
      <c r="BK28" s="1098"/>
      <c r="BL28" s="1098"/>
      <c r="BM28" s="1098"/>
      <c r="BN28" s="1097">
        <f t="shared" si="16"/>
        <v>0</v>
      </c>
      <c r="BO28" s="1098"/>
      <c r="BP28" s="1098"/>
      <c r="BQ28" s="1098"/>
      <c r="BR28" s="1098"/>
      <c r="BS28" s="1098"/>
      <c r="BT28" s="1098"/>
      <c r="BU28" s="1098"/>
      <c r="BV28" s="1098"/>
      <c r="BW28" s="1098"/>
      <c r="BX28" s="1098"/>
      <c r="BY28" s="1098"/>
      <c r="BZ28" s="1098"/>
      <c r="CA28" s="1097">
        <f t="shared" si="17"/>
        <v>0</v>
      </c>
      <c r="CB28" s="1098"/>
      <c r="CC28" s="1098"/>
      <c r="CD28" s="1098"/>
      <c r="CE28" s="1098"/>
      <c r="CF28" s="1098"/>
      <c r="CG28" s="1098"/>
      <c r="CH28" s="1098"/>
      <c r="CI28" s="1098"/>
      <c r="CJ28" s="1098"/>
      <c r="CK28" s="1098"/>
      <c r="CL28" s="1098"/>
      <c r="CM28" s="1098"/>
      <c r="CN28" s="1097">
        <f t="shared" si="18"/>
        <v>0</v>
      </c>
      <c r="CO28" s="1098"/>
      <c r="CP28" s="1098"/>
      <c r="CQ28" s="1098"/>
      <c r="CR28" s="1098"/>
      <c r="CS28" s="1098"/>
      <c r="CT28" s="1098"/>
      <c r="CU28" s="1098"/>
      <c r="CV28" s="1098"/>
      <c r="CW28" s="1098"/>
      <c r="CX28" s="1098"/>
      <c r="CY28" s="1098"/>
      <c r="CZ28" s="1098"/>
      <c r="DA28" s="1097">
        <f t="shared" si="19"/>
        <v>0</v>
      </c>
      <c r="DB28" s="1098"/>
      <c r="DC28" s="1098"/>
      <c r="DD28" s="1098"/>
      <c r="DE28" s="1098"/>
      <c r="DF28" s="1098"/>
      <c r="DG28" s="1098"/>
      <c r="DH28" s="1098"/>
      <c r="DI28" s="1098"/>
      <c r="DJ28" s="1098"/>
      <c r="DK28" s="1098"/>
      <c r="DL28" s="1098"/>
      <c r="DM28" s="1098"/>
      <c r="DN28" s="1097">
        <f t="shared" si="20"/>
        <v>0</v>
      </c>
      <c r="DO28" s="1098"/>
      <c r="DP28" s="1098"/>
      <c r="DQ28" s="1098"/>
      <c r="DR28" s="1098"/>
      <c r="DS28" s="1098"/>
      <c r="DT28" s="1098"/>
      <c r="DU28" s="1098"/>
      <c r="DV28" s="1098"/>
      <c r="DW28" s="1098"/>
      <c r="DX28" s="1098"/>
      <c r="DY28" s="1098"/>
      <c r="DZ28" s="1098"/>
      <c r="EA28" s="1097">
        <f t="shared" si="21"/>
        <v>0</v>
      </c>
      <c r="EB28" s="1098"/>
      <c r="EC28" s="1098"/>
      <c r="ED28" s="1098"/>
      <c r="EE28" s="1098"/>
      <c r="EF28" s="1098"/>
      <c r="EG28" s="1098"/>
      <c r="EH28" s="1098"/>
      <c r="EI28" s="1098"/>
      <c r="EJ28" s="1098"/>
      <c r="EK28" s="1098"/>
      <c r="EL28" s="1098"/>
      <c r="EM28" s="1098"/>
      <c r="EN28" s="1097">
        <f t="shared" si="22"/>
        <v>0</v>
      </c>
      <c r="EO28" s="1098"/>
      <c r="EP28" s="1098"/>
      <c r="EQ28" s="1098"/>
      <c r="ER28" s="1098"/>
      <c r="ES28" s="1098"/>
      <c r="ET28" s="1098"/>
      <c r="EU28" s="1098"/>
      <c r="EV28" s="1098"/>
      <c r="EW28" s="1098"/>
      <c r="EX28" s="1098"/>
      <c r="EY28" s="1098"/>
      <c r="EZ28" s="1098"/>
      <c r="FA28" s="1097">
        <f t="shared" si="23"/>
        <v>0</v>
      </c>
      <c r="FB28" s="1098">
        <v>4</v>
      </c>
      <c r="FC28" s="1098">
        <v>2</v>
      </c>
      <c r="FD28" s="1098">
        <v>10</v>
      </c>
      <c r="FE28" s="1098">
        <v>2</v>
      </c>
      <c r="FF28" s="1098">
        <v>24</v>
      </c>
      <c r="FG28" s="1098">
        <v>1</v>
      </c>
      <c r="FH28" s="1098"/>
      <c r="FI28" s="1098"/>
      <c r="FJ28" s="1098">
        <v>10</v>
      </c>
      <c r="FK28" s="1098">
        <v>4</v>
      </c>
      <c r="FL28" s="1098"/>
      <c r="FM28" s="1098"/>
      <c r="FN28" s="1097">
        <f t="shared" si="24"/>
        <v>57</v>
      </c>
      <c r="FO28" s="1098"/>
      <c r="FP28" s="1098"/>
      <c r="FQ28" s="1098">
        <v>110</v>
      </c>
      <c r="FR28" s="1098"/>
      <c r="FS28" s="1098"/>
      <c r="FT28" s="1098"/>
      <c r="FU28" s="1098">
        <v>5</v>
      </c>
      <c r="FV28" s="1098">
        <v>4</v>
      </c>
      <c r="FW28" s="1098"/>
      <c r="FX28" s="1098"/>
      <c r="FY28" s="1098"/>
      <c r="FZ28" s="1098"/>
      <c r="GA28" s="1097">
        <f t="shared" si="25"/>
        <v>119</v>
      </c>
      <c r="GB28" s="1098">
        <v>2</v>
      </c>
      <c r="GC28" s="1098"/>
      <c r="GD28" s="1098"/>
      <c r="GE28" s="1098">
        <v>430</v>
      </c>
      <c r="GF28" s="1098"/>
      <c r="GG28" s="1098">
        <v>1</v>
      </c>
      <c r="GH28" s="1098">
        <v>4</v>
      </c>
      <c r="GI28" s="1098">
        <v>103</v>
      </c>
      <c r="GJ28" s="1098">
        <v>6</v>
      </c>
      <c r="GK28" s="1098">
        <v>4</v>
      </c>
      <c r="GL28" s="1098"/>
      <c r="GM28" s="1098"/>
      <c r="GN28" s="1097">
        <f t="shared" si="26"/>
        <v>550</v>
      </c>
      <c r="GO28" s="1098"/>
      <c r="GP28" s="1098">
        <v>6</v>
      </c>
      <c r="GQ28" s="1098">
        <v>5</v>
      </c>
      <c r="GR28" s="1098">
        <v>1</v>
      </c>
      <c r="GS28" s="1098"/>
      <c r="GT28" s="1098"/>
      <c r="GU28" s="1098">
        <v>92</v>
      </c>
      <c r="GV28" s="1098"/>
      <c r="GW28" s="1098"/>
      <c r="GX28" s="1098"/>
      <c r="GY28" s="1098"/>
      <c r="GZ28" s="1098"/>
      <c r="HA28" s="1097">
        <f t="shared" si="27"/>
        <v>104</v>
      </c>
      <c r="HB28" s="1098"/>
      <c r="HC28" s="1098"/>
      <c r="HD28" s="1098"/>
      <c r="HE28" s="1098"/>
      <c r="HF28" s="1098"/>
      <c r="HG28" s="1098"/>
      <c r="HH28" s="1098">
        <v>6</v>
      </c>
      <c r="HI28" s="1098"/>
      <c r="HJ28" s="1098"/>
      <c r="HK28" s="1098">
        <v>12</v>
      </c>
      <c r="HL28" s="1098"/>
      <c r="HM28" s="1098"/>
      <c r="HN28" s="1097">
        <f t="shared" si="28"/>
        <v>18</v>
      </c>
      <c r="HO28" s="1098"/>
      <c r="HP28" s="1098"/>
      <c r="HQ28" s="1098"/>
      <c r="HR28" s="1098"/>
      <c r="HS28" s="1098"/>
      <c r="HT28" s="1098"/>
      <c r="HU28" s="1098"/>
      <c r="HV28" s="1098">
        <v>4</v>
      </c>
      <c r="HW28" s="1098"/>
      <c r="HX28" s="1098"/>
      <c r="HY28" s="1098"/>
      <c r="HZ28" s="1098"/>
      <c r="IA28" s="1097">
        <f t="shared" si="29"/>
        <v>4</v>
      </c>
      <c r="IB28" s="1098">
        <v>4</v>
      </c>
      <c r="IC28" s="1098">
        <v>5</v>
      </c>
      <c r="ID28" s="1098"/>
      <c r="IE28" s="1098"/>
      <c r="IF28" s="1098"/>
      <c r="IG28" s="1098">
        <v>8</v>
      </c>
      <c r="IH28" s="1098"/>
      <c r="II28" s="1098"/>
      <c r="IJ28" s="1098"/>
      <c r="IK28" s="1098"/>
      <c r="IL28" s="1098"/>
      <c r="IM28" s="1098"/>
      <c r="IN28" s="1097">
        <f t="shared" si="30"/>
        <v>17</v>
      </c>
      <c r="IO28" s="1098"/>
      <c r="IP28" s="1098"/>
      <c r="IQ28" s="1098"/>
      <c r="IR28" s="1098"/>
      <c r="IS28" s="1098"/>
      <c r="IT28" s="1098"/>
      <c r="IU28" s="1098"/>
      <c r="IV28" s="1098"/>
      <c r="IW28" s="1098"/>
      <c r="IX28" s="1098"/>
      <c r="IY28" s="1098"/>
      <c r="IZ28" s="1098"/>
      <c r="JA28" s="1097">
        <f t="shared" si="31"/>
        <v>0</v>
      </c>
      <c r="JB28" s="1098"/>
      <c r="JC28" s="1098"/>
      <c r="JD28" s="1098"/>
      <c r="JE28" s="1098"/>
      <c r="JF28" s="1098"/>
      <c r="JG28" s="1098">
        <v>0</v>
      </c>
      <c r="JH28" s="1098"/>
      <c r="JI28" s="1098"/>
      <c r="JJ28" s="1098"/>
      <c r="JK28" s="1098"/>
      <c r="JL28" s="1098"/>
      <c r="JM28" s="1098"/>
      <c r="JN28" s="1097">
        <f t="shared" si="32"/>
        <v>0</v>
      </c>
      <c r="JP28" s="1116" t="str">
        <f t="shared" si="33"/>
        <v/>
      </c>
      <c r="JQ28" s="1117" t="str">
        <f t="shared" si="34"/>
        <v/>
      </c>
      <c r="JR28" s="1079">
        <f t="shared" si="35"/>
        <v>0</v>
      </c>
      <c r="JS28" s="1118">
        <f t="shared" si="36"/>
        <v>0</v>
      </c>
      <c r="JT28" s="62"/>
      <c r="JU28" s="1139">
        <f t="shared" si="37"/>
        <v>1738</v>
      </c>
      <c r="JV28" s="1146" t="s">
        <v>281</v>
      </c>
      <c r="JW28" s="1147" t="str">
        <f t="shared" si="38"/>
        <v>OK</v>
      </c>
    </row>
    <row r="29" spans="1:283" ht="15" customHeight="1" x14ac:dyDescent="0.2">
      <c r="A29" s="1129" t="s">
        <v>44</v>
      </c>
      <c r="B29" s="1098">
        <v>3</v>
      </c>
      <c r="C29" s="1098">
        <v>1</v>
      </c>
      <c r="D29" s="1098">
        <v>2</v>
      </c>
      <c r="E29" s="1098">
        <v>1</v>
      </c>
      <c r="F29" s="1098">
        <v>2</v>
      </c>
      <c r="G29" s="1098">
        <v>1</v>
      </c>
      <c r="H29" s="1098">
        <v>6</v>
      </c>
      <c r="I29" s="1098">
        <v>4</v>
      </c>
      <c r="J29" s="1098">
        <v>6</v>
      </c>
      <c r="K29" s="1098">
        <v>1</v>
      </c>
      <c r="L29" s="1098">
        <v>4</v>
      </c>
      <c r="M29" s="1098">
        <v>3</v>
      </c>
      <c r="N29" s="1097">
        <f t="shared" si="12"/>
        <v>34</v>
      </c>
      <c r="O29" s="1098">
        <v>7</v>
      </c>
      <c r="P29" s="1098">
        <v>1</v>
      </c>
      <c r="Q29" s="1098"/>
      <c r="R29" s="1098">
        <v>2</v>
      </c>
      <c r="S29" s="1098">
        <v>3</v>
      </c>
      <c r="T29" s="1098">
        <v>7</v>
      </c>
      <c r="U29" s="1098"/>
      <c r="V29" s="1098">
        <v>1</v>
      </c>
      <c r="W29" s="1098">
        <v>2</v>
      </c>
      <c r="X29" s="1098">
        <v>3</v>
      </c>
      <c r="Y29" s="1098">
        <v>2</v>
      </c>
      <c r="Z29" s="1098">
        <v>2</v>
      </c>
      <c r="AA29" s="1097">
        <f t="shared" si="13"/>
        <v>30</v>
      </c>
      <c r="AB29" s="1098"/>
      <c r="AC29" s="1098">
        <v>8</v>
      </c>
      <c r="AD29" s="1098">
        <v>1</v>
      </c>
      <c r="AE29" s="1098">
        <v>6</v>
      </c>
      <c r="AF29" s="1098">
        <v>3</v>
      </c>
      <c r="AG29" s="1098">
        <v>12</v>
      </c>
      <c r="AH29" s="1098">
        <v>6</v>
      </c>
      <c r="AI29" s="1098">
        <v>5</v>
      </c>
      <c r="AJ29" s="1098">
        <v>8</v>
      </c>
      <c r="AK29" s="1098">
        <v>11</v>
      </c>
      <c r="AL29" s="1098">
        <v>10</v>
      </c>
      <c r="AM29" s="1098">
        <v>6</v>
      </c>
      <c r="AN29" s="1097">
        <f t="shared" si="14"/>
        <v>76</v>
      </c>
      <c r="AO29" s="1098">
        <v>8</v>
      </c>
      <c r="AP29" s="1098">
        <v>5</v>
      </c>
      <c r="AQ29" s="1098">
        <v>8</v>
      </c>
      <c r="AR29" s="1098">
        <v>7</v>
      </c>
      <c r="AS29" s="1098">
        <v>1</v>
      </c>
      <c r="AT29" s="1098">
        <v>6</v>
      </c>
      <c r="AU29" s="1098">
        <v>7</v>
      </c>
      <c r="AV29" s="1098">
        <v>5</v>
      </c>
      <c r="AW29" s="1098">
        <v>9</v>
      </c>
      <c r="AX29" s="1098">
        <v>4</v>
      </c>
      <c r="AY29" s="1098">
        <v>4</v>
      </c>
      <c r="AZ29" s="1098">
        <v>9</v>
      </c>
      <c r="BA29" s="1097">
        <f t="shared" si="15"/>
        <v>73</v>
      </c>
      <c r="BB29" s="1098">
        <v>5</v>
      </c>
      <c r="BC29" s="1098">
        <v>10</v>
      </c>
      <c r="BD29" s="1098">
        <v>8</v>
      </c>
      <c r="BE29" s="1098">
        <v>6</v>
      </c>
      <c r="BF29" s="1098">
        <v>3</v>
      </c>
      <c r="BG29" s="1098"/>
      <c r="BH29" s="1098">
        <v>7</v>
      </c>
      <c r="BI29" s="1098">
        <v>8</v>
      </c>
      <c r="BJ29" s="1098">
        <v>6</v>
      </c>
      <c r="BK29" s="1098">
        <v>6</v>
      </c>
      <c r="BL29" s="1098">
        <v>4</v>
      </c>
      <c r="BM29" s="1098">
        <v>4</v>
      </c>
      <c r="BN29" s="1097">
        <f t="shared" si="16"/>
        <v>67</v>
      </c>
      <c r="BO29" s="1098">
        <v>1</v>
      </c>
      <c r="BP29" s="1098">
        <v>1</v>
      </c>
      <c r="BQ29" s="1098">
        <v>3</v>
      </c>
      <c r="BR29" s="1098">
        <v>5</v>
      </c>
      <c r="BS29" s="1098">
        <v>1</v>
      </c>
      <c r="BT29" s="1098">
        <v>3</v>
      </c>
      <c r="BU29" s="1098">
        <v>2</v>
      </c>
      <c r="BV29" s="1098">
        <v>3</v>
      </c>
      <c r="BW29" s="1098">
        <v>3</v>
      </c>
      <c r="BX29" s="1098">
        <v>2</v>
      </c>
      <c r="BY29" s="1098">
        <v>2</v>
      </c>
      <c r="BZ29" s="1098"/>
      <c r="CA29" s="1097">
        <f t="shared" si="17"/>
        <v>26</v>
      </c>
      <c r="CB29" s="1098">
        <v>1</v>
      </c>
      <c r="CC29" s="1098">
        <v>2</v>
      </c>
      <c r="CD29" s="1098">
        <v>3</v>
      </c>
      <c r="CE29" s="1098">
        <v>4</v>
      </c>
      <c r="CF29" s="1098">
        <v>3</v>
      </c>
      <c r="CG29" s="1098">
        <v>1</v>
      </c>
      <c r="CH29" s="1098"/>
      <c r="CI29" s="1098">
        <v>5</v>
      </c>
      <c r="CJ29" s="1098">
        <v>1</v>
      </c>
      <c r="CK29" s="1098">
        <v>12</v>
      </c>
      <c r="CL29" s="1098">
        <v>4</v>
      </c>
      <c r="CM29" s="1098">
        <v>2</v>
      </c>
      <c r="CN29" s="1097">
        <f t="shared" si="18"/>
        <v>38</v>
      </c>
      <c r="CO29" s="1098">
        <v>1</v>
      </c>
      <c r="CP29" s="1098">
        <v>2</v>
      </c>
      <c r="CQ29" s="1098">
        <v>1</v>
      </c>
      <c r="CR29" s="1098"/>
      <c r="CS29" s="1098">
        <v>1</v>
      </c>
      <c r="CT29" s="1098"/>
      <c r="CU29" s="1098">
        <v>2</v>
      </c>
      <c r="CV29" s="1098"/>
      <c r="CW29" s="1098"/>
      <c r="CX29" s="1098">
        <v>1</v>
      </c>
      <c r="CY29" s="1098">
        <v>1</v>
      </c>
      <c r="CZ29" s="1098">
        <v>3</v>
      </c>
      <c r="DA29" s="1097">
        <f t="shared" si="19"/>
        <v>12</v>
      </c>
      <c r="DB29" s="1098">
        <v>2</v>
      </c>
      <c r="DC29" s="1098">
        <v>2</v>
      </c>
      <c r="DD29" s="1098">
        <v>4</v>
      </c>
      <c r="DE29" s="1098"/>
      <c r="DF29" s="1098"/>
      <c r="DG29" s="1098"/>
      <c r="DH29" s="1098"/>
      <c r="DI29" s="1098"/>
      <c r="DJ29" s="1098"/>
      <c r="DK29" s="1098"/>
      <c r="DL29" s="1098"/>
      <c r="DM29" s="1098"/>
      <c r="DN29" s="1097">
        <f t="shared" si="20"/>
        <v>8</v>
      </c>
      <c r="DO29" s="1098"/>
      <c r="DP29" s="1098">
        <v>1</v>
      </c>
      <c r="DQ29" s="1098"/>
      <c r="DR29" s="1098"/>
      <c r="DS29" s="1098"/>
      <c r="DT29" s="1098">
        <v>19</v>
      </c>
      <c r="DU29" s="1098">
        <v>9</v>
      </c>
      <c r="DV29" s="1098"/>
      <c r="DW29" s="1098"/>
      <c r="DX29" s="1098"/>
      <c r="DY29" s="1098"/>
      <c r="DZ29" s="1098"/>
      <c r="EA29" s="1097">
        <f t="shared" si="21"/>
        <v>29</v>
      </c>
      <c r="EB29" s="1098"/>
      <c r="EC29" s="1098"/>
      <c r="ED29" s="1098"/>
      <c r="EE29" s="1098"/>
      <c r="EF29" s="1098"/>
      <c r="EG29" s="1098"/>
      <c r="EH29" s="1098"/>
      <c r="EI29" s="1098"/>
      <c r="EJ29" s="1098"/>
      <c r="EK29" s="1098"/>
      <c r="EL29" s="1098"/>
      <c r="EM29" s="1098"/>
      <c r="EN29" s="1097">
        <f t="shared" si="22"/>
        <v>0</v>
      </c>
      <c r="EO29" s="1098"/>
      <c r="EP29" s="1098"/>
      <c r="EQ29" s="1098"/>
      <c r="ER29" s="1098"/>
      <c r="ES29" s="1098"/>
      <c r="ET29" s="1098"/>
      <c r="EU29" s="1098"/>
      <c r="EV29" s="1098"/>
      <c r="EW29" s="1098"/>
      <c r="EX29" s="1098"/>
      <c r="EY29" s="1098"/>
      <c r="EZ29" s="1098"/>
      <c r="FA29" s="1097">
        <f t="shared" si="23"/>
        <v>0</v>
      </c>
      <c r="FB29" s="1098"/>
      <c r="FC29" s="1098"/>
      <c r="FD29" s="1098"/>
      <c r="FE29" s="1098"/>
      <c r="FF29" s="1098"/>
      <c r="FG29" s="1098"/>
      <c r="FH29" s="1098"/>
      <c r="FI29" s="1098"/>
      <c r="FJ29" s="1098"/>
      <c r="FK29" s="1098"/>
      <c r="FL29" s="1098"/>
      <c r="FM29" s="1098"/>
      <c r="FN29" s="1097">
        <f t="shared" si="24"/>
        <v>0</v>
      </c>
      <c r="FO29" s="1098"/>
      <c r="FP29" s="1098"/>
      <c r="FQ29" s="1098"/>
      <c r="FR29" s="1098"/>
      <c r="FS29" s="1098"/>
      <c r="FT29" s="1098"/>
      <c r="FU29" s="1098"/>
      <c r="FV29" s="1098"/>
      <c r="FW29" s="1098"/>
      <c r="FX29" s="1098"/>
      <c r="FY29" s="1098"/>
      <c r="FZ29" s="1098"/>
      <c r="GA29" s="1097">
        <f t="shared" si="25"/>
        <v>0</v>
      </c>
      <c r="GB29" s="1098"/>
      <c r="GC29" s="1098"/>
      <c r="GD29" s="1098"/>
      <c r="GE29" s="1098"/>
      <c r="GF29" s="1098"/>
      <c r="GG29" s="1098"/>
      <c r="GH29" s="1098"/>
      <c r="GI29" s="1098"/>
      <c r="GJ29" s="1098"/>
      <c r="GK29" s="1098"/>
      <c r="GL29" s="1098"/>
      <c r="GM29" s="1098"/>
      <c r="GN29" s="1097">
        <f t="shared" si="26"/>
        <v>0</v>
      </c>
      <c r="GO29" s="1098"/>
      <c r="GP29" s="1098"/>
      <c r="GQ29" s="1098"/>
      <c r="GR29" s="1098"/>
      <c r="GS29" s="1098"/>
      <c r="GT29" s="1098"/>
      <c r="GU29" s="1098"/>
      <c r="GV29" s="1098"/>
      <c r="GW29" s="1098"/>
      <c r="GX29" s="1098"/>
      <c r="GY29" s="1098"/>
      <c r="GZ29" s="1098"/>
      <c r="HA29" s="1097">
        <f t="shared" si="27"/>
        <v>0</v>
      </c>
      <c r="HB29" s="1098"/>
      <c r="HC29" s="1098"/>
      <c r="HD29" s="1098"/>
      <c r="HE29" s="1098"/>
      <c r="HF29" s="1098"/>
      <c r="HG29" s="1098"/>
      <c r="HH29" s="1098"/>
      <c r="HI29" s="1098"/>
      <c r="HJ29" s="1098"/>
      <c r="HK29" s="1098"/>
      <c r="HL29" s="1098">
        <v>7</v>
      </c>
      <c r="HM29" s="1098">
        <v>2</v>
      </c>
      <c r="HN29" s="1097">
        <f t="shared" si="28"/>
        <v>9</v>
      </c>
      <c r="HO29" s="1098">
        <v>6</v>
      </c>
      <c r="HP29" s="1098">
        <v>7</v>
      </c>
      <c r="HQ29" s="1098"/>
      <c r="HR29" s="1098">
        <v>7</v>
      </c>
      <c r="HS29" s="1098"/>
      <c r="HT29" s="1098"/>
      <c r="HU29" s="1098">
        <v>3</v>
      </c>
      <c r="HV29" s="1098"/>
      <c r="HW29" s="1098"/>
      <c r="HX29" s="1098">
        <v>1.5</v>
      </c>
      <c r="HY29" s="1098">
        <v>0.5</v>
      </c>
      <c r="HZ29" s="1098">
        <v>0.6</v>
      </c>
      <c r="IA29" s="1097">
        <f t="shared" si="29"/>
        <v>25.6</v>
      </c>
      <c r="IB29" s="1098">
        <v>0.5</v>
      </c>
      <c r="IC29" s="1098">
        <v>1.5</v>
      </c>
      <c r="ID29" s="1098">
        <v>1.5</v>
      </c>
      <c r="IE29" s="1098">
        <v>0.5</v>
      </c>
      <c r="IF29" s="1098"/>
      <c r="IG29" s="1098"/>
      <c r="IH29" s="1098">
        <v>1</v>
      </c>
      <c r="II29" s="1098"/>
      <c r="IJ29" s="1098"/>
      <c r="IK29" s="1098"/>
      <c r="IL29" s="1098"/>
      <c r="IM29" s="1098"/>
      <c r="IN29" s="1097">
        <f t="shared" si="30"/>
        <v>5</v>
      </c>
      <c r="IO29" s="1098"/>
      <c r="IP29" s="1098"/>
      <c r="IQ29" s="1098"/>
      <c r="IR29" s="1098"/>
      <c r="IS29" s="1098"/>
      <c r="IT29" s="1098">
        <v>0.5</v>
      </c>
      <c r="IU29" s="1098">
        <v>1</v>
      </c>
      <c r="IV29" s="1098">
        <v>0.5</v>
      </c>
      <c r="IW29" s="1098"/>
      <c r="IX29" s="1098"/>
      <c r="IY29" s="1098">
        <v>1.5</v>
      </c>
      <c r="IZ29" s="1098"/>
      <c r="JA29" s="1097">
        <f t="shared" si="31"/>
        <v>3.5</v>
      </c>
      <c r="JB29" s="1098">
        <v>0.5</v>
      </c>
      <c r="JC29" s="1098"/>
      <c r="JD29" s="1098"/>
      <c r="JE29" s="1098">
        <v>0.5</v>
      </c>
      <c r="JF29" s="1098"/>
      <c r="JG29" s="1098">
        <v>0</v>
      </c>
      <c r="JH29" s="1098"/>
      <c r="JI29" s="1098"/>
      <c r="JJ29" s="1098"/>
      <c r="JK29" s="1098"/>
      <c r="JL29" s="1098"/>
      <c r="JM29" s="1098"/>
      <c r="JN29" s="1097">
        <f t="shared" si="32"/>
        <v>1</v>
      </c>
      <c r="JP29" s="1116" t="str">
        <f t="shared" si="33"/>
        <v/>
      </c>
      <c r="JQ29" s="1117" t="str">
        <f t="shared" si="34"/>
        <v/>
      </c>
      <c r="JR29" s="1079">
        <f t="shared" si="35"/>
        <v>0</v>
      </c>
      <c r="JS29" s="1118">
        <f t="shared" si="36"/>
        <v>1</v>
      </c>
      <c r="JT29" s="62"/>
      <c r="JU29" s="1139">
        <f t="shared" si="37"/>
        <v>874.2</v>
      </c>
      <c r="JV29" s="1146" t="s">
        <v>44</v>
      </c>
      <c r="JW29" s="1147" t="str">
        <f t="shared" si="38"/>
        <v>OK</v>
      </c>
    </row>
    <row r="30" spans="1:283" ht="15" customHeight="1" x14ac:dyDescent="0.2">
      <c r="A30" s="1129" t="s">
        <v>132</v>
      </c>
      <c r="B30" s="1098"/>
      <c r="C30" s="1098">
        <v>3</v>
      </c>
      <c r="D30" s="1098">
        <v>4</v>
      </c>
      <c r="E30" s="1098">
        <v>13</v>
      </c>
      <c r="F30" s="1098">
        <v>10</v>
      </c>
      <c r="G30" s="1098">
        <v>23</v>
      </c>
      <c r="H30" s="1098">
        <v>21</v>
      </c>
      <c r="I30" s="1098">
        <v>21</v>
      </c>
      <c r="J30" s="1098">
        <v>17</v>
      </c>
      <c r="K30" s="1098"/>
      <c r="L30" s="1098">
        <v>8</v>
      </c>
      <c r="M30" s="1098"/>
      <c r="N30" s="1097">
        <f t="shared" si="12"/>
        <v>120</v>
      </c>
      <c r="O30" s="1098">
        <v>45</v>
      </c>
      <c r="P30" s="1098">
        <v>6</v>
      </c>
      <c r="Q30" s="1098"/>
      <c r="R30" s="1098">
        <v>15</v>
      </c>
      <c r="S30" s="1098">
        <v>10</v>
      </c>
      <c r="T30" s="1098">
        <v>9</v>
      </c>
      <c r="U30" s="1098">
        <v>6</v>
      </c>
      <c r="V30" s="1098">
        <v>34</v>
      </c>
      <c r="W30" s="1098">
        <v>21</v>
      </c>
      <c r="X30" s="1098">
        <v>19</v>
      </c>
      <c r="Y30" s="1098">
        <v>9</v>
      </c>
      <c r="Z30" s="1098">
        <v>8</v>
      </c>
      <c r="AA30" s="1097">
        <f t="shared" si="13"/>
        <v>182</v>
      </c>
      <c r="AB30" s="1098"/>
      <c r="AC30" s="1098"/>
      <c r="AD30" s="1098">
        <v>16</v>
      </c>
      <c r="AE30" s="1098">
        <v>6</v>
      </c>
      <c r="AF30" s="1098">
        <v>50</v>
      </c>
      <c r="AG30" s="1098">
        <v>40</v>
      </c>
      <c r="AH30" s="1098"/>
      <c r="AI30" s="1098"/>
      <c r="AJ30" s="1098">
        <v>20</v>
      </c>
      <c r="AK30" s="1098">
        <v>5</v>
      </c>
      <c r="AL30" s="1098"/>
      <c r="AM30" s="1098"/>
      <c r="AN30" s="1097">
        <f t="shared" si="14"/>
        <v>137</v>
      </c>
      <c r="AO30" s="1098"/>
      <c r="AP30" s="1098">
        <v>4</v>
      </c>
      <c r="AQ30" s="1098">
        <v>10</v>
      </c>
      <c r="AR30" s="1098">
        <v>25</v>
      </c>
      <c r="AS30" s="1098"/>
      <c r="AT30" s="1098">
        <v>27</v>
      </c>
      <c r="AU30" s="1098">
        <v>19</v>
      </c>
      <c r="AV30" s="1098">
        <v>23</v>
      </c>
      <c r="AW30" s="1098"/>
      <c r="AX30" s="1098">
        <v>15</v>
      </c>
      <c r="AY30" s="1098">
        <v>12</v>
      </c>
      <c r="AZ30" s="1098"/>
      <c r="BA30" s="1097">
        <f t="shared" si="15"/>
        <v>135</v>
      </c>
      <c r="BB30" s="1098">
        <v>17</v>
      </c>
      <c r="BC30" s="1098">
        <v>22</v>
      </c>
      <c r="BD30" s="1098"/>
      <c r="BE30" s="1098"/>
      <c r="BF30" s="1098"/>
      <c r="BG30" s="1098"/>
      <c r="BH30" s="1098">
        <v>6</v>
      </c>
      <c r="BI30" s="1098">
        <v>6</v>
      </c>
      <c r="BJ30" s="1098"/>
      <c r="BK30" s="1098"/>
      <c r="BL30" s="1098"/>
      <c r="BM30" s="1098"/>
      <c r="BN30" s="1097">
        <f t="shared" si="16"/>
        <v>51</v>
      </c>
      <c r="BO30" s="1098"/>
      <c r="BP30" s="1098">
        <v>2</v>
      </c>
      <c r="BQ30" s="1098"/>
      <c r="BR30" s="1098">
        <v>47</v>
      </c>
      <c r="BS30" s="1098">
        <v>34</v>
      </c>
      <c r="BT30" s="1098">
        <v>30</v>
      </c>
      <c r="BU30" s="1098">
        <v>19</v>
      </c>
      <c r="BV30" s="1098">
        <v>24</v>
      </c>
      <c r="BW30" s="1098">
        <v>69</v>
      </c>
      <c r="BX30" s="1098">
        <v>23</v>
      </c>
      <c r="BY30" s="1098">
        <v>14</v>
      </c>
      <c r="BZ30" s="1098"/>
      <c r="CA30" s="1097">
        <f t="shared" si="17"/>
        <v>262</v>
      </c>
      <c r="CB30" s="1098"/>
      <c r="CC30" s="1098"/>
      <c r="CD30" s="1098"/>
      <c r="CE30" s="1098"/>
      <c r="CF30" s="1098"/>
      <c r="CG30" s="1098">
        <v>1</v>
      </c>
      <c r="CH30" s="1098"/>
      <c r="CI30" s="1098"/>
      <c r="CJ30" s="1098"/>
      <c r="CK30" s="1098"/>
      <c r="CL30" s="1098">
        <v>2</v>
      </c>
      <c r="CM30" s="1098">
        <v>2</v>
      </c>
      <c r="CN30" s="1097">
        <f t="shared" si="18"/>
        <v>5</v>
      </c>
      <c r="CO30" s="1098"/>
      <c r="CP30" s="1098"/>
      <c r="CQ30" s="1098"/>
      <c r="CR30" s="1098">
        <v>3</v>
      </c>
      <c r="CS30" s="1098"/>
      <c r="CT30" s="1098"/>
      <c r="CU30" s="1098"/>
      <c r="CV30" s="1098"/>
      <c r="CW30" s="1098"/>
      <c r="CX30" s="1098">
        <v>2</v>
      </c>
      <c r="CY30" s="1098"/>
      <c r="CZ30" s="1098"/>
      <c r="DA30" s="1097">
        <f t="shared" si="19"/>
        <v>5</v>
      </c>
      <c r="DB30" s="1098"/>
      <c r="DC30" s="1098"/>
      <c r="DD30" s="1098"/>
      <c r="DE30" s="1098"/>
      <c r="DF30" s="1098"/>
      <c r="DG30" s="1098"/>
      <c r="DH30" s="1098"/>
      <c r="DI30" s="1098"/>
      <c r="DJ30" s="1098"/>
      <c r="DK30" s="1098"/>
      <c r="DL30" s="1098"/>
      <c r="DM30" s="1098"/>
      <c r="DN30" s="1097">
        <f t="shared" si="20"/>
        <v>0</v>
      </c>
      <c r="DO30" s="1098"/>
      <c r="DP30" s="1098"/>
      <c r="DQ30" s="1098"/>
      <c r="DR30" s="1098"/>
      <c r="DS30" s="1098"/>
      <c r="DT30" s="1098"/>
      <c r="DU30" s="1098"/>
      <c r="DV30" s="1098"/>
      <c r="DW30" s="1098"/>
      <c r="DX30" s="1098"/>
      <c r="DY30" s="1098"/>
      <c r="DZ30" s="1098"/>
      <c r="EA30" s="1097">
        <f t="shared" si="21"/>
        <v>0</v>
      </c>
      <c r="EB30" s="1098"/>
      <c r="EC30" s="1098"/>
      <c r="ED30" s="1098">
        <v>1</v>
      </c>
      <c r="EE30" s="1098">
        <v>2</v>
      </c>
      <c r="EF30" s="1098"/>
      <c r="EG30" s="1098">
        <v>2</v>
      </c>
      <c r="EH30" s="1098"/>
      <c r="EI30" s="1098"/>
      <c r="EJ30" s="1098"/>
      <c r="EK30" s="1098"/>
      <c r="EL30" s="1098"/>
      <c r="EM30" s="1098"/>
      <c r="EN30" s="1097">
        <f t="shared" si="22"/>
        <v>5</v>
      </c>
      <c r="EO30" s="1098"/>
      <c r="EP30" s="1098"/>
      <c r="EQ30" s="1098"/>
      <c r="ER30" s="1098"/>
      <c r="ES30" s="1098"/>
      <c r="ET30" s="1098"/>
      <c r="EU30" s="1098"/>
      <c r="EV30" s="1098"/>
      <c r="EW30" s="1098"/>
      <c r="EX30" s="1098"/>
      <c r="EY30" s="1098"/>
      <c r="EZ30" s="1098"/>
      <c r="FA30" s="1097">
        <f t="shared" si="23"/>
        <v>0</v>
      </c>
      <c r="FB30" s="1098"/>
      <c r="FC30" s="1098"/>
      <c r="FD30" s="1098"/>
      <c r="FE30" s="1098"/>
      <c r="FF30" s="1098"/>
      <c r="FG30" s="1098"/>
      <c r="FH30" s="1098"/>
      <c r="FI30" s="1098"/>
      <c r="FJ30" s="1098"/>
      <c r="FK30" s="1098"/>
      <c r="FL30" s="1098"/>
      <c r="FM30" s="1098"/>
      <c r="FN30" s="1097">
        <f t="shared" si="24"/>
        <v>0</v>
      </c>
      <c r="FO30" s="1098">
        <v>3</v>
      </c>
      <c r="FP30" s="1098"/>
      <c r="FQ30" s="1098">
        <v>10</v>
      </c>
      <c r="FR30" s="1098"/>
      <c r="FS30" s="1098"/>
      <c r="FT30" s="1098"/>
      <c r="FU30" s="1098">
        <v>2</v>
      </c>
      <c r="FV30" s="1098">
        <v>5</v>
      </c>
      <c r="FW30" s="1098">
        <v>5</v>
      </c>
      <c r="FX30" s="1098">
        <v>5</v>
      </c>
      <c r="FY30" s="1098">
        <v>5</v>
      </c>
      <c r="FZ30" s="1098">
        <v>5</v>
      </c>
      <c r="GA30" s="1097">
        <f t="shared" si="25"/>
        <v>40</v>
      </c>
      <c r="GB30" s="1098"/>
      <c r="GC30" s="1098">
        <v>5</v>
      </c>
      <c r="GD30" s="1098">
        <v>5</v>
      </c>
      <c r="GE30" s="1098"/>
      <c r="GF30" s="1098">
        <v>5</v>
      </c>
      <c r="GG30" s="1098">
        <v>5</v>
      </c>
      <c r="GH30" s="1098">
        <v>5</v>
      </c>
      <c r="GI30" s="1098"/>
      <c r="GJ30" s="1098"/>
      <c r="GK30" s="1098">
        <v>3</v>
      </c>
      <c r="GL30" s="1098"/>
      <c r="GM30" s="1098">
        <v>4</v>
      </c>
      <c r="GN30" s="1097">
        <f t="shared" si="26"/>
        <v>32</v>
      </c>
      <c r="GO30" s="1098"/>
      <c r="GP30" s="1098"/>
      <c r="GQ30" s="1098"/>
      <c r="GR30" s="1098"/>
      <c r="GS30" s="1098"/>
      <c r="GT30" s="1098"/>
      <c r="GU30" s="1098"/>
      <c r="GV30" s="1098"/>
      <c r="GW30" s="1098"/>
      <c r="GX30" s="1098"/>
      <c r="GY30" s="1098"/>
      <c r="GZ30" s="1098"/>
      <c r="HA30" s="1097">
        <f t="shared" si="27"/>
        <v>0</v>
      </c>
      <c r="HB30" s="1098"/>
      <c r="HC30" s="1098"/>
      <c r="HD30" s="1098"/>
      <c r="HE30" s="1098"/>
      <c r="HF30" s="1098"/>
      <c r="HG30" s="1098"/>
      <c r="HH30" s="1098"/>
      <c r="HI30" s="1098"/>
      <c r="HJ30" s="1098"/>
      <c r="HK30" s="1098"/>
      <c r="HL30" s="1098"/>
      <c r="HM30" s="1098"/>
      <c r="HN30" s="1097">
        <f t="shared" si="28"/>
        <v>0</v>
      </c>
      <c r="HO30" s="1098"/>
      <c r="HP30" s="1098"/>
      <c r="HQ30" s="1098"/>
      <c r="HR30" s="1098"/>
      <c r="HS30" s="1098"/>
      <c r="HT30" s="1098"/>
      <c r="HU30" s="1098"/>
      <c r="HV30" s="1098"/>
      <c r="HW30" s="1098"/>
      <c r="HX30" s="1098"/>
      <c r="HY30" s="1098"/>
      <c r="HZ30" s="1098"/>
      <c r="IA30" s="1097">
        <f t="shared" si="29"/>
        <v>0</v>
      </c>
      <c r="IB30" s="1098"/>
      <c r="IC30" s="1098"/>
      <c r="ID30" s="1098"/>
      <c r="IE30" s="1098"/>
      <c r="IF30" s="1098"/>
      <c r="IG30" s="1098">
        <v>8</v>
      </c>
      <c r="IH30" s="1098"/>
      <c r="II30" s="1098"/>
      <c r="IJ30" s="1098"/>
      <c r="IK30" s="1098"/>
      <c r="IL30" s="1098"/>
      <c r="IM30" s="1098"/>
      <c r="IN30" s="1097">
        <f t="shared" si="30"/>
        <v>8</v>
      </c>
      <c r="IO30" s="1098"/>
      <c r="IP30" s="1098"/>
      <c r="IQ30" s="1098"/>
      <c r="IR30" s="1098"/>
      <c r="IS30" s="1098"/>
      <c r="IT30" s="1098"/>
      <c r="IU30" s="1098"/>
      <c r="IV30" s="1098"/>
      <c r="IW30" s="1098"/>
      <c r="IX30" s="1098"/>
      <c r="IY30" s="1098"/>
      <c r="IZ30" s="1098"/>
      <c r="JA30" s="1097">
        <f t="shared" si="31"/>
        <v>0</v>
      </c>
      <c r="JB30" s="1098"/>
      <c r="JC30" s="1098"/>
      <c r="JD30" s="1098"/>
      <c r="JE30" s="1098"/>
      <c r="JF30" s="1098"/>
      <c r="JG30" s="1098">
        <v>0</v>
      </c>
      <c r="JH30" s="1098"/>
      <c r="JI30" s="1098"/>
      <c r="JJ30" s="1098"/>
      <c r="JK30" s="1098"/>
      <c r="JL30" s="1098"/>
      <c r="JM30" s="1098"/>
      <c r="JN30" s="1097">
        <f t="shared" si="32"/>
        <v>0</v>
      </c>
      <c r="JP30" s="1116" t="str">
        <f t="shared" si="33"/>
        <v/>
      </c>
      <c r="JQ30" s="1117" t="str">
        <f t="shared" si="34"/>
        <v/>
      </c>
      <c r="JR30" s="1079">
        <f t="shared" si="35"/>
        <v>0</v>
      </c>
      <c r="JS30" s="1118">
        <f t="shared" si="36"/>
        <v>0</v>
      </c>
      <c r="JT30" s="62"/>
      <c r="JU30" s="1139">
        <f t="shared" si="37"/>
        <v>1964</v>
      </c>
      <c r="JV30" s="1146" t="s">
        <v>132</v>
      </c>
      <c r="JW30" s="1147" t="str">
        <f t="shared" si="38"/>
        <v>OK</v>
      </c>
    </row>
    <row r="31" spans="1:283" ht="15" customHeight="1" x14ac:dyDescent="0.2">
      <c r="A31" s="1129" t="s">
        <v>578</v>
      </c>
      <c r="B31" s="1098"/>
      <c r="C31" s="1098"/>
      <c r="D31" s="1098"/>
      <c r="E31" s="1098"/>
      <c r="F31" s="1098"/>
      <c r="G31" s="1098"/>
      <c r="H31" s="1098">
        <v>2</v>
      </c>
      <c r="I31" s="1098"/>
      <c r="J31" s="1098"/>
      <c r="K31" s="1098"/>
      <c r="L31" s="1098"/>
      <c r="M31" s="1098"/>
      <c r="N31" s="1097">
        <f t="shared" si="12"/>
        <v>2</v>
      </c>
      <c r="O31" s="1098"/>
      <c r="P31" s="1098"/>
      <c r="Q31" s="1098"/>
      <c r="R31" s="1098"/>
      <c r="S31" s="1098"/>
      <c r="T31" s="1098"/>
      <c r="U31" s="1098"/>
      <c r="V31" s="1098">
        <v>30</v>
      </c>
      <c r="W31" s="1098"/>
      <c r="X31" s="1098"/>
      <c r="Y31" s="1098"/>
      <c r="Z31" s="1098"/>
      <c r="AA31" s="1097">
        <f t="shared" si="13"/>
        <v>30</v>
      </c>
      <c r="AB31" s="1098"/>
      <c r="AC31" s="1098"/>
      <c r="AD31" s="1098"/>
      <c r="AE31" s="1098"/>
      <c r="AF31" s="1098">
        <v>2</v>
      </c>
      <c r="AG31" s="1098"/>
      <c r="AH31" s="1098"/>
      <c r="AI31" s="1098"/>
      <c r="AJ31" s="1098"/>
      <c r="AK31" s="1098"/>
      <c r="AL31" s="1098"/>
      <c r="AM31" s="1098"/>
      <c r="AN31" s="1097">
        <f t="shared" si="14"/>
        <v>2</v>
      </c>
      <c r="AO31" s="1098"/>
      <c r="AP31" s="1098"/>
      <c r="AQ31" s="1098"/>
      <c r="AR31" s="1098"/>
      <c r="AS31" s="1098"/>
      <c r="AT31" s="1098"/>
      <c r="AU31" s="1098"/>
      <c r="AV31" s="1098"/>
      <c r="AW31" s="1098"/>
      <c r="AX31" s="1098">
        <v>1</v>
      </c>
      <c r="AY31" s="1098"/>
      <c r="AZ31" s="1098"/>
      <c r="BA31" s="1097">
        <f t="shared" si="15"/>
        <v>1</v>
      </c>
      <c r="BB31" s="1098"/>
      <c r="BC31" s="1098"/>
      <c r="BD31" s="1098"/>
      <c r="BE31" s="1098"/>
      <c r="BF31" s="1098"/>
      <c r="BG31" s="1098"/>
      <c r="BH31" s="1098"/>
      <c r="BI31" s="1098">
        <v>1</v>
      </c>
      <c r="BJ31" s="1098"/>
      <c r="BK31" s="1098"/>
      <c r="BL31" s="1098"/>
      <c r="BM31" s="1098"/>
      <c r="BN31" s="1097">
        <f t="shared" si="16"/>
        <v>1</v>
      </c>
      <c r="BO31" s="1098"/>
      <c r="BP31" s="1098"/>
      <c r="BQ31" s="1098"/>
      <c r="BR31" s="1098"/>
      <c r="BS31" s="1098"/>
      <c r="BT31" s="1098"/>
      <c r="BU31" s="1098"/>
      <c r="BV31" s="1098"/>
      <c r="BW31" s="1098"/>
      <c r="BX31" s="1098"/>
      <c r="BY31" s="1098"/>
      <c r="BZ31" s="1098"/>
      <c r="CA31" s="1097">
        <f t="shared" si="17"/>
        <v>0</v>
      </c>
      <c r="CB31" s="1098"/>
      <c r="CC31" s="1098"/>
      <c r="CD31" s="1098"/>
      <c r="CE31" s="1098"/>
      <c r="CF31" s="1098"/>
      <c r="CG31" s="1098"/>
      <c r="CH31" s="1098"/>
      <c r="CI31" s="1098"/>
      <c r="CJ31" s="1098"/>
      <c r="CK31" s="1098"/>
      <c r="CL31" s="1098"/>
      <c r="CM31" s="1098"/>
      <c r="CN31" s="1097">
        <f t="shared" si="18"/>
        <v>0</v>
      </c>
      <c r="CO31" s="1098"/>
      <c r="CP31" s="1098"/>
      <c r="CQ31" s="1098"/>
      <c r="CR31" s="1098">
        <v>5</v>
      </c>
      <c r="CS31" s="1098"/>
      <c r="CT31" s="1098"/>
      <c r="CU31" s="1098"/>
      <c r="CV31" s="1098"/>
      <c r="CW31" s="1098"/>
      <c r="CX31" s="1098"/>
      <c r="CY31" s="1098"/>
      <c r="CZ31" s="1098"/>
      <c r="DA31" s="1097">
        <f t="shared" si="19"/>
        <v>5</v>
      </c>
      <c r="DB31" s="1098"/>
      <c r="DC31" s="1098"/>
      <c r="DD31" s="1098"/>
      <c r="DE31" s="1098"/>
      <c r="DF31" s="1098"/>
      <c r="DG31" s="1098"/>
      <c r="DH31" s="1098"/>
      <c r="DI31" s="1098"/>
      <c r="DJ31" s="1098"/>
      <c r="DK31" s="1098"/>
      <c r="DL31" s="1098"/>
      <c r="DM31" s="1098">
        <v>1181</v>
      </c>
      <c r="DN31" s="1097">
        <f t="shared" si="20"/>
        <v>1181</v>
      </c>
      <c r="DO31" s="1098">
        <v>793</v>
      </c>
      <c r="DP31" s="1098">
        <v>549</v>
      </c>
      <c r="DQ31" s="1098">
        <v>501</v>
      </c>
      <c r="DR31" s="1098">
        <v>484</v>
      </c>
      <c r="DS31" s="1098">
        <v>456</v>
      </c>
      <c r="DT31" s="1098">
        <v>435</v>
      </c>
      <c r="DU31" s="1098">
        <v>420</v>
      </c>
      <c r="DV31" s="1098">
        <v>437</v>
      </c>
      <c r="DW31" s="1098">
        <v>398</v>
      </c>
      <c r="DX31" s="1098">
        <v>411</v>
      </c>
      <c r="DY31" s="1098"/>
      <c r="DZ31" s="1098">
        <v>1528</v>
      </c>
      <c r="EA31" s="1097">
        <f t="shared" si="21"/>
        <v>6412</v>
      </c>
      <c r="EB31" s="1098"/>
      <c r="EC31" s="1098"/>
      <c r="ED31" s="1098"/>
      <c r="EE31" s="1098"/>
      <c r="EF31" s="1098"/>
      <c r="EG31" s="1098"/>
      <c r="EH31" s="1098"/>
      <c r="EI31" s="1098"/>
      <c r="EJ31" s="1098"/>
      <c r="EK31" s="1098"/>
      <c r="EL31" s="1098"/>
      <c r="EM31" s="1098"/>
      <c r="EN31" s="1097">
        <f t="shared" si="22"/>
        <v>0</v>
      </c>
      <c r="EO31" s="1098">
        <v>1</v>
      </c>
      <c r="EP31" s="1098"/>
      <c r="EQ31" s="1098"/>
      <c r="ER31" s="1098"/>
      <c r="ES31" s="1098"/>
      <c r="ET31" s="1098"/>
      <c r="EU31" s="1098"/>
      <c r="EV31" s="1098"/>
      <c r="EW31" s="1098"/>
      <c r="EX31" s="1098"/>
      <c r="EY31" s="1098"/>
      <c r="EZ31" s="1098"/>
      <c r="FA31" s="1097">
        <f t="shared" si="23"/>
        <v>1</v>
      </c>
      <c r="FB31" s="1098"/>
      <c r="FC31" s="1098"/>
      <c r="FD31" s="1098"/>
      <c r="FE31" s="1098"/>
      <c r="FF31" s="1098"/>
      <c r="FG31" s="1098"/>
      <c r="FH31" s="1098"/>
      <c r="FI31" s="1098"/>
      <c r="FJ31" s="1098"/>
      <c r="FK31" s="1098"/>
      <c r="FL31" s="1098"/>
      <c r="FM31" s="1098"/>
      <c r="FN31" s="1097">
        <f t="shared" si="24"/>
        <v>0</v>
      </c>
      <c r="FO31" s="1098"/>
      <c r="FP31" s="1098"/>
      <c r="FQ31" s="1098"/>
      <c r="FR31" s="1098"/>
      <c r="FS31" s="1098"/>
      <c r="FT31" s="1098"/>
      <c r="FU31" s="1098"/>
      <c r="FV31" s="1098"/>
      <c r="FW31" s="1098"/>
      <c r="FX31" s="1098"/>
      <c r="FY31" s="1098"/>
      <c r="FZ31" s="1098"/>
      <c r="GA31" s="1097">
        <f t="shared" si="25"/>
        <v>0</v>
      </c>
      <c r="GB31" s="1098"/>
      <c r="GC31" s="1098"/>
      <c r="GD31" s="1098"/>
      <c r="GE31" s="1098"/>
      <c r="GF31" s="1098"/>
      <c r="GG31" s="1098"/>
      <c r="GH31" s="1098"/>
      <c r="GI31" s="1098"/>
      <c r="GJ31" s="1098"/>
      <c r="GK31" s="1098"/>
      <c r="GL31" s="1098"/>
      <c r="GM31" s="1098"/>
      <c r="GN31" s="1097">
        <f t="shared" si="26"/>
        <v>0</v>
      </c>
      <c r="GO31" s="1098"/>
      <c r="GP31" s="1098"/>
      <c r="GQ31" s="1098"/>
      <c r="GR31" s="1098"/>
      <c r="GS31" s="1098"/>
      <c r="GT31" s="1098"/>
      <c r="GU31" s="1098"/>
      <c r="GV31" s="1098"/>
      <c r="GW31" s="1098"/>
      <c r="GX31" s="1098"/>
      <c r="GY31" s="1098"/>
      <c r="GZ31" s="1098"/>
      <c r="HA31" s="1097">
        <f t="shared" si="27"/>
        <v>0</v>
      </c>
      <c r="HB31" s="1098"/>
      <c r="HC31" s="1098"/>
      <c r="HD31" s="1098"/>
      <c r="HE31" s="1098"/>
      <c r="HF31" s="1098"/>
      <c r="HG31" s="1098"/>
      <c r="HH31" s="1098"/>
      <c r="HI31" s="1098"/>
      <c r="HJ31" s="1098"/>
      <c r="HK31" s="1098"/>
      <c r="HL31" s="1098"/>
      <c r="HM31" s="1098"/>
      <c r="HN31" s="1097">
        <f t="shared" si="28"/>
        <v>0</v>
      </c>
      <c r="HO31" s="1098"/>
      <c r="HP31" s="1098"/>
      <c r="HQ31" s="1098"/>
      <c r="HR31" s="1098"/>
      <c r="HS31" s="1098"/>
      <c r="HT31" s="1098"/>
      <c r="HU31" s="1098"/>
      <c r="HV31" s="1098"/>
      <c r="HW31" s="1098"/>
      <c r="HX31" s="1098"/>
      <c r="HY31" s="1098"/>
      <c r="HZ31" s="1098"/>
      <c r="IA31" s="1097">
        <f t="shared" si="29"/>
        <v>0</v>
      </c>
      <c r="IB31" s="1098"/>
      <c r="IC31" s="1098"/>
      <c r="ID31" s="1098"/>
      <c r="IE31" s="1098"/>
      <c r="IF31" s="1098"/>
      <c r="IG31" s="1098"/>
      <c r="IH31" s="1098"/>
      <c r="II31" s="1098"/>
      <c r="IJ31" s="1098"/>
      <c r="IK31" s="1098"/>
      <c r="IL31" s="1098"/>
      <c r="IM31" s="1098"/>
      <c r="IN31" s="1097">
        <f t="shared" si="30"/>
        <v>0</v>
      </c>
      <c r="IO31" s="1098"/>
      <c r="IP31" s="1098"/>
      <c r="IQ31" s="1098"/>
      <c r="IR31" s="1098"/>
      <c r="IS31" s="1098"/>
      <c r="IT31" s="1098"/>
      <c r="IU31" s="1098"/>
      <c r="IV31" s="1098"/>
      <c r="IW31" s="1098"/>
      <c r="IX31" s="1098"/>
      <c r="IY31" s="1098"/>
      <c r="IZ31" s="1098"/>
      <c r="JA31" s="1097">
        <f t="shared" si="31"/>
        <v>0</v>
      </c>
      <c r="JB31" s="1098"/>
      <c r="JC31" s="1098"/>
      <c r="JD31" s="1098"/>
      <c r="JE31" s="1098"/>
      <c r="JF31" s="1098"/>
      <c r="JG31" s="1098">
        <v>0</v>
      </c>
      <c r="JH31" s="1098"/>
      <c r="JI31" s="1098"/>
      <c r="JJ31" s="1098"/>
      <c r="JK31" s="1098"/>
      <c r="JL31" s="1098"/>
      <c r="JM31" s="1098"/>
      <c r="JN31" s="1097">
        <f t="shared" si="32"/>
        <v>0</v>
      </c>
      <c r="JP31" s="1116" t="str">
        <f t="shared" si="33"/>
        <v/>
      </c>
      <c r="JQ31" s="1117" t="str">
        <f t="shared" si="34"/>
        <v/>
      </c>
      <c r="JR31" s="1079">
        <f t="shared" si="35"/>
        <v>0</v>
      </c>
      <c r="JS31" s="1118">
        <f t="shared" si="36"/>
        <v>0</v>
      </c>
      <c r="JT31" s="62"/>
      <c r="JU31" s="1139">
        <f t="shared" si="37"/>
        <v>15270</v>
      </c>
      <c r="JV31" s="1146" t="s">
        <v>578</v>
      </c>
      <c r="JW31" s="1147" t="str">
        <f t="shared" si="38"/>
        <v>OK</v>
      </c>
    </row>
    <row r="32" spans="1:283" ht="15" customHeight="1" x14ac:dyDescent="0.2">
      <c r="A32" s="1129" t="s">
        <v>579</v>
      </c>
      <c r="B32" s="1098"/>
      <c r="C32" s="1098"/>
      <c r="D32" s="1098"/>
      <c r="E32" s="1098"/>
      <c r="F32" s="1098"/>
      <c r="G32" s="1098"/>
      <c r="H32" s="1098"/>
      <c r="I32" s="1098"/>
      <c r="J32" s="1098"/>
      <c r="K32" s="1098"/>
      <c r="L32" s="1098"/>
      <c r="M32" s="1098"/>
      <c r="N32" s="1097">
        <f t="shared" si="12"/>
        <v>0</v>
      </c>
      <c r="O32" s="1098"/>
      <c r="P32" s="1098"/>
      <c r="Q32" s="1098"/>
      <c r="R32" s="1098"/>
      <c r="S32" s="1098"/>
      <c r="T32" s="1098"/>
      <c r="U32" s="1098"/>
      <c r="V32" s="1098"/>
      <c r="W32" s="1098"/>
      <c r="X32" s="1098"/>
      <c r="Y32" s="1098"/>
      <c r="Z32" s="1098"/>
      <c r="AA32" s="1097">
        <f t="shared" si="13"/>
        <v>0</v>
      </c>
      <c r="AB32" s="1098"/>
      <c r="AC32" s="1098"/>
      <c r="AD32" s="1098"/>
      <c r="AE32" s="1098"/>
      <c r="AF32" s="1098"/>
      <c r="AG32" s="1098"/>
      <c r="AH32" s="1098"/>
      <c r="AI32" s="1098"/>
      <c r="AJ32" s="1098"/>
      <c r="AK32" s="1098"/>
      <c r="AL32" s="1098"/>
      <c r="AM32" s="1098"/>
      <c r="AN32" s="1097">
        <f t="shared" si="14"/>
        <v>0</v>
      </c>
      <c r="AO32" s="1098"/>
      <c r="AP32" s="1098"/>
      <c r="AQ32" s="1098"/>
      <c r="AR32" s="1098"/>
      <c r="AS32" s="1098"/>
      <c r="AT32" s="1098"/>
      <c r="AU32" s="1098"/>
      <c r="AV32" s="1098"/>
      <c r="AW32" s="1098"/>
      <c r="AX32" s="1098"/>
      <c r="AY32" s="1098"/>
      <c r="AZ32" s="1098"/>
      <c r="BA32" s="1097">
        <f t="shared" si="15"/>
        <v>0</v>
      </c>
      <c r="BB32" s="1098"/>
      <c r="BC32" s="1098"/>
      <c r="BD32" s="1098"/>
      <c r="BE32" s="1098"/>
      <c r="BF32" s="1098"/>
      <c r="BG32" s="1098"/>
      <c r="BH32" s="1098"/>
      <c r="BI32" s="1098"/>
      <c r="BJ32" s="1098"/>
      <c r="BK32" s="1098"/>
      <c r="BL32" s="1098"/>
      <c r="BM32" s="1098"/>
      <c r="BN32" s="1097">
        <f t="shared" si="16"/>
        <v>0</v>
      </c>
      <c r="BO32" s="1098"/>
      <c r="BP32" s="1098"/>
      <c r="BQ32" s="1098"/>
      <c r="BR32" s="1098"/>
      <c r="BS32" s="1098"/>
      <c r="BT32" s="1098"/>
      <c r="BU32" s="1098"/>
      <c r="BV32" s="1098"/>
      <c r="BW32" s="1098"/>
      <c r="BX32" s="1098"/>
      <c r="BY32" s="1098"/>
      <c r="BZ32" s="1098"/>
      <c r="CA32" s="1097">
        <f t="shared" si="17"/>
        <v>0</v>
      </c>
      <c r="CB32" s="1098"/>
      <c r="CC32" s="1098"/>
      <c r="CD32" s="1098"/>
      <c r="CE32" s="1098"/>
      <c r="CF32" s="1098"/>
      <c r="CG32" s="1098"/>
      <c r="CH32" s="1098"/>
      <c r="CI32" s="1098"/>
      <c r="CJ32" s="1098"/>
      <c r="CK32" s="1098"/>
      <c r="CL32" s="1098"/>
      <c r="CM32" s="1098"/>
      <c r="CN32" s="1097">
        <f t="shared" si="18"/>
        <v>0</v>
      </c>
      <c r="CO32" s="1098"/>
      <c r="CP32" s="1098"/>
      <c r="CQ32" s="1098"/>
      <c r="CR32" s="1098"/>
      <c r="CS32" s="1098"/>
      <c r="CT32" s="1098"/>
      <c r="CU32" s="1098"/>
      <c r="CV32" s="1098"/>
      <c r="CW32" s="1098"/>
      <c r="CX32" s="1098"/>
      <c r="CY32" s="1098"/>
      <c r="CZ32" s="1098"/>
      <c r="DA32" s="1097">
        <f t="shared" si="19"/>
        <v>0</v>
      </c>
      <c r="DB32" s="1098"/>
      <c r="DC32" s="1098"/>
      <c r="DD32" s="1098"/>
      <c r="DE32" s="1098"/>
      <c r="DF32" s="1098"/>
      <c r="DG32" s="1098"/>
      <c r="DH32" s="1098"/>
      <c r="DI32" s="1098"/>
      <c r="DJ32" s="1098"/>
      <c r="DK32" s="1098"/>
      <c r="DL32" s="1098"/>
      <c r="DM32" s="1098"/>
      <c r="DN32" s="1097">
        <f t="shared" si="20"/>
        <v>0</v>
      </c>
      <c r="DO32" s="1098"/>
      <c r="DP32" s="1098"/>
      <c r="DQ32" s="1098"/>
      <c r="DR32" s="1098"/>
      <c r="DS32" s="1098"/>
      <c r="DT32" s="1098"/>
      <c r="DU32" s="1098"/>
      <c r="DV32" s="1098"/>
      <c r="DW32" s="1098"/>
      <c r="DX32" s="1098"/>
      <c r="DY32" s="1098"/>
      <c r="DZ32" s="1098"/>
      <c r="EA32" s="1097">
        <f t="shared" si="21"/>
        <v>0</v>
      </c>
      <c r="EB32" s="1098"/>
      <c r="EC32" s="1098"/>
      <c r="ED32" s="1098"/>
      <c r="EE32" s="1098"/>
      <c r="EF32" s="1098"/>
      <c r="EG32" s="1098"/>
      <c r="EH32" s="1098"/>
      <c r="EI32" s="1098"/>
      <c r="EJ32" s="1098"/>
      <c r="EK32" s="1098"/>
      <c r="EL32" s="1098"/>
      <c r="EM32" s="1098"/>
      <c r="EN32" s="1097">
        <f t="shared" si="22"/>
        <v>0</v>
      </c>
      <c r="EO32" s="1098"/>
      <c r="EP32" s="1098"/>
      <c r="EQ32" s="1098"/>
      <c r="ER32" s="1098"/>
      <c r="ES32" s="1098"/>
      <c r="ET32" s="1098"/>
      <c r="EU32" s="1098"/>
      <c r="EV32" s="1098"/>
      <c r="EW32" s="1098"/>
      <c r="EX32" s="1098"/>
      <c r="EY32" s="1098"/>
      <c r="EZ32" s="1098"/>
      <c r="FA32" s="1097">
        <f t="shared" si="23"/>
        <v>0</v>
      </c>
      <c r="FB32" s="1098"/>
      <c r="FC32" s="1098"/>
      <c r="FD32" s="1098"/>
      <c r="FE32" s="1098"/>
      <c r="FF32" s="1098"/>
      <c r="FG32" s="1098"/>
      <c r="FH32" s="1098"/>
      <c r="FI32" s="1098"/>
      <c r="FJ32" s="1098"/>
      <c r="FK32" s="1098"/>
      <c r="FL32" s="1098"/>
      <c r="FM32" s="1098"/>
      <c r="FN32" s="1097">
        <f t="shared" si="24"/>
        <v>0</v>
      </c>
      <c r="FO32" s="1098"/>
      <c r="FP32" s="1098"/>
      <c r="FQ32" s="1098"/>
      <c r="FR32" s="1098"/>
      <c r="FS32" s="1098"/>
      <c r="FT32" s="1098"/>
      <c r="FU32" s="1098"/>
      <c r="FV32" s="1098"/>
      <c r="FW32" s="1098"/>
      <c r="FX32" s="1098"/>
      <c r="FY32" s="1098"/>
      <c r="FZ32" s="1098"/>
      <c r="GA32" s="1097">
        <f t="shared" si="25"/>
        <v>0</v>
      </c>
      <c r="GB32" s="1098"/>
      <c r="GC32" s="1098"/>
      <c r="GD32" s="1098"/>
      <c r="GE32" s="1098"/>
      <c r="GF32" s="1098"/>
      <c r="GG32" s="1098"/>
      <c r="GH32" s="1098"/>
      <c r="GI32" s="1098"/>
      <c r="GJ32" s="1098"/>
      <c r="GK32" s="1098"/>
      <c r="GL32" s="1098"/>
      <c r="GM32" s="1098"/>
      <c r="GN32" s="1097">
        <f t="shared" si="26"/>
        <v>0</v>
      </c>
      <c r="GO32" s="1098"/>
      <c r="GP32" s="1098"/>
      <c r="GQ32" s="1098"/>
      <c r="GR32" s="1098"/>
      <c r="GS32" s="1098"/>
      <c r="GT32" s="1098"/>
      <c r="GU32" s="1098"/>
      <c r="GV32" s="1098"/>
      <c r="GW32" s="1098"/>
      <c r="GX32" s="1098"/>
      <c r="GY32" s="1098"/>
      <c r="GZ32" s="1098"/>
      <c r="HA32" s="1097">
        <f t="shared" si="27"/>
        <v>0</v>
      </c>
      <c r="HB32" s="1098"/>
      <c r="HC32" s="1098"/>
      <c r="HD32" s="1098"/>
      <c r="HE32" s="1098"/>
      <c r="HF32" s="1098"/>
      <c r="HG32" s="1098"/>
      <c r="HH32" s="1098"/>
      <c r="HI32" s="1098"/>
      <c r="HJ32" s="1098"/>
      <c r="HK32" s="1098"/>
      <c r="HL32" s="1098"/>
      <c r="HM32" s="1098"/>
      <c r="HN32" s="1097">
        <f t="shared" si="28"/>
        <v>0</v>
      </c>
      <c r="HO32" s="1098"/>
      <c r="HP32" s="1098"/>
      <c r="HQ32" s="1098"/>
      <c r="HR32" s="1098"/>
      <c r="HS32" s="1098"/>
      <c r="HT32" s="1098"/>
      <c r="HU32" s="1098"/>
      <c r="HV32" s="1098"/>
      <c r="HW32" s="1098"/>
      <c r="HX32" s="1098"/>
      <c r="HY32" s="1098"/>
      <c r="HZ32" s="1098"/>
      <c r="IA32" s="1097">
        <f t="shared" si="29"/>
        <v>0</v>
      </c>
      <c r="IB32" s="1098"/>
      <c r="IC32" s="1098"/>
      <c r="ID32" s="1098"/>
      <c r="IE32" s="1098"/>
      <c r="IF32" s="1098"/>
      <c r="IG32" s="1098"/>
      <c r="IH32" s="1098"/>
      <c r="II32" s="1098"/>
      <c r="IJ32" s="1098"/>
      <c r="IK32" s="1098"/>
      <c r="IL32" s="1098"/>
      <c r="IM32" s="1098"/>
      <c r="IN32" s="1097">
        <f t="shared" si="30"/>
        <v>0</v>
      </c>
      <c r="IO32" s="1098"/>
      <c r="IP32" s="1098"/>
      <c r="IQ32" s="1098"/>
      <c r="IR32" s="1098"/>
      <c r="IS32" s="1098"/>
      <c r="IT32" s="1098"/>
      <c r="IU32" s="1098"/>
      <c r="IV32" s="1098"/>
      <c r="IW32" s="1098"/>
      <c r="IX32" s="1098"/>
      <c r="IY32" s="1098"/>
      <c r="IZ32" s="1098"/>
      <c r="JA32" s="1097">
        <f t="shared" si="31"/>
        <v>0</v>
      </c>
      <c r="JB32" s="1098"/>
      <c r="JC32" s="1098"/>
      <c r="JD32" s="1098"/>
      <c r="JE32" s="1098"/>
      <c r="JF32" s="1098"/>
      <c r="JG32" s="1098"/>
      <c r="JH32" s="1098"/>
      <c r="JI32" s="1098"/>
      <c r="JJ32" s="1098"/>
      <c r="JK32" s="1098"/>
      <c r="JL32" s="1098"/>
      <c r="JM32" s="1098"/>
      <c r="JN32" s="1097">
        <f t="shared" si="32"/>
        <v>0</v>
      </c>
      <c r="JP32" s="1116" t="str">
        <f t="shared" si="33"/>
        <v/>
      </c>
      <c r="JQ32" s="1117" t="str">
        <f t="shared" si="34"/>
        <v/>
      </c>
      <c r="JR32" s="1079">
        <f t="shared" si="35"/>
        <v>0</v>
      </c>
      <c r="JS32" s="1118">
        <f t="shared" si="36"/>
        <v>0</v>
      </c>
      <c r="JT32" s="62"/>
      <c r="JU32" s="1139">
        <f t="shared" si="37"/>
        <v>0</v>
      </c>
      <c r="JV32" s="1146" t="s">
        <v>579</v>
      </c>
      <c r="JW32" s="1147" t="str">
        <f t="shared" si="38"/>
        <v>OK</v>
      </c>
    </row>
    <row r="33" spans="1:283" ht="15" customHeight="1" x14ac:dyDescent="0.2">
      <c r="A33" s="1129" t="s">
        <v>38</v>
      </c>
      <c r="B33" s="1098"/>
      <c r="C33" s="1098"/>
      <c r="D33" s="1098"/>
      <c r="E33" s="1098"/>
      <c r="F33" s="1098"/>
      <c r="G33" s="1098"/>
      <c r="H33" s="1098"/>
      <c r="I33" s="1098"/>
      <c r="J33" s="1098"/>
      <c r="K33" s="1098"/>
      <c r="L33" s="1098"/>
      <c r="M33" s="1098"/>
      <c r="N33" s="1097">
        <f t="shared" si="12"/>
        <v>0</v>
      </c>
      <c r="O33" s="1098"/>
      <c r="P33" s="1098"/>
      <c r="Q33" s="1098"/>
      <c r="R33" s="1098"/>
      <c r="S33" s="1098"/>
      <c r="T33" s="1098"/>
      <c r="U33" s="1098"/>
      <c r="V33" s="1098"/>
      <c r="W33" s="1098"/>
      <c r="X33" s="1098"/>
      <c r="Y33" s="1098"/>
      <c r="Z33" s="1098"/>
      <c r="AA33" s="1097">
        <f t="shared" si="13"/>
        <v>0</v>
      </c>
      <c r="AB33" s="1098"/>
      <c r="AC33" s="1098"/>
      <c r="AD33" s="1098"/>
      <c r="AE33" s="1098"/>
      <c r="AF33" s="1098"/>
      <c r="AG33" s="1098"/>
      <c r="AH33" s="1098"/>
      <c r="AI33" s="1098"/>
      <c r="AJ33" s="1098"/>
      <c r="AK33" s="1098"/>
      <c r="AL33" s="1098"/>
      <c r="AM33" s="1098"/>
      <c r="AN33" s="1097">
        <f t="shared" si="14"/>
        <v>0</v>
      </c>
      <c r="AO33" s="1098"/>
      <c r="AP33" s="1098"/>
      <c r="AQ33" s="1098"/>
      <c r="AR33" s="1098"/>
      <c r="AS33" s="1098"/>
      <c r="AT33" s="1098"/>
      <c r="AU33" s="1098"/>
      <c r="AV33" s="1098"/>
      <c r="AW33" s="1098"/>
      <c r="AX33" s="1098"/>
      <c r="AY33" s="1098"/>
      <c r="AZ33" s="1098"/>
      <c r="BA33" s="1097">
        <f t="shared" si="15"/>
        <v>0</v>
      </c>
      <c r="BB33" s="1098"/>
      <c r="BC33" s="1098"/>
      <c r="BD33" s="1098"/>
      <c r="BE33" s="1098"/>
      <c r="BF33" s="1098"/>
      <c r="BG33" s="1098"/>
      <c r="BH33" s="1098"/>
      <c r="BI33" s="1098"/>
      <c r="BJ33" s="1098">
        <v>1</v>
      </c>
      <c r="BK33" s="1098"/>
      <c r="BL33" s="1098"/>
      <c r="BM33" s="1098"/>
      <c r="BN33" s="1097">
        <f t="shared" si="16"/>
        <v>1</v>
      </c>
      <c r="BO33" s="1098"/>
      <c r="BP33" s="1098"/>
      <c r="BQ33" s="1098"/>
      <c r="BR33" s="1098"/>
      <c r="BS33" s="1098"/>
      <c r="BT33" s="1098"/>
      <c r="BU33" s="1098"/>
      <c r="BV33" s="1098"/>
      <c r="BW33" s="1098"/>
      <c r="BX33" s="1098"/>
      <c r="BY33" s="1098"/>
      <c r="BZ33" s="1098"/>
      <c r="CA33" s="1097">
        <f t="shared" si="17"/>
        <v>0</v>
      </c>
      <c r="CB33" s="1098"/>
      <c r="CC33" s="1098"/>
      <c r="CD33" s="1098"/>
      <c r="CE33" s="1098"/>
      <c r="CF33" s="1098"/>
      <c r="CG33" s="1098"/>
      <c r="CH33" s="1098"/>
      <c r="CI33" s="1098"/>
      <c r="CJ33" s="1098"/>
      <c r="CK33" s="1098"/>
      <c r="CL33" s="1098"/>
      <c r="CM33" s="1098"/>
      <c r="CN33" s="1097">
        <f t="shared" si="18"/>
        <v>0</v>
      </c>
      <c r="CO33" s="1098"/>
      <c r="CP33" s="1098"/>
      <c r="CQ33" s="1098"/>
      <c r="CR33" s="1098"/>
      <c r="CS33" s="1098"/>
      <c r="CT33" s="1098"/>
      <c r="CU33" s="1098"/>
      <c r="CV33" s="1098"/>
      <c r="CW33" s="1098"/>
      <c r="CX33" s="1098"/>
      <c r="CY33" s="1098"/>
      <c r="CZ33" s="1098"/>
      <c r="DA33" s="1097">
        <f t="shared" si="19"/>
        <v>0</v>
      </c>
      <c r="DB33" s="1098"/>
      <c r="DC33" s="1098"/>
      <c r="DD33" s="1098"/>
      <c r="DE33" s="1098"/>
      <c r="DF33" s="1098"/>
      <c r="DG33" s="1098"/>
      <c r="DH33" s="1098"/>
      <c r="DI33" s="1098"/>
      <c r="DJ33" s="1098"/>
      <c r="DK33" s="1098"/>
      <c r="DL33" s="1098"/>
      <c r="DM33" s="1098"/>
      <c r="DN33" s="1097">
        <f t="shared" si="20"/>
        <v>0</v>
      </c>
      <c r="DO33" s="1098"/>
      <c r="DP33" s="1098"/>
      <c r="DQ33" s="1098"/>
      <c r="DR33" s="1098"/>
      <c r="DS33" s="1098"/>
      <c r="DT33" s="1098"/>
      <c r="DU33" s="1098"/>
      <c r="DV33" s="1098"/>
      <c r="DW33" s="1098"/>
      <c r="DX33" s="1098"/>
      <c r="DY33" s="1098"/>
      <c r="DZ33" s="1098"/>
      <c r="EA33" s="1097">
        <f t="shared" si="21"/>
        <v>0</v>
      </c>
      <c r="EB33" s="1098"/>
      <c r="EC33" s="1098"/>
      <c r="ED33" s="1098"/>
      <c r="EE33" s="1098"/>
      <c r="EF33" s="1098"/>
      <c r="EG33" s="1098"/>
      <c r="EH33" s="1098"/>
      <c r="EI33" s="1098">
        <v>1</v>
      </c>
      <c r="EJ33" s="1098"/>
      <c r="EK33" s="1098"/>
      <c r="EL33" s="1098"/>
      <c r="EM33" s="1098"/>
      <c r="EN33" s="1097">
        <f t="shared" si="22"/>
        <v>1</v>
      </c>
      <c r="EO33" s="1098"/>
      <c r="EP33" s="1098"/>
      <c r="EQ33" s="1098"/>
      <c r="ER33" s="1098"/>
      <c r="ES33" s="1098"/>
      <c r="ET33" s="1098"/>
      <c r="EU33" s="1098"/>
      <c r="EV33" s="1098"/>
      <c r="EW33" s="1098"/>
      <c r="EX33" s="1098"/>
      <c r="EY33" s="1098"/>
      <c r="EZ33" s="1098"/>
      <c r="FA33" s="1097">
        <f t="shared" si="23"/>
        <v>0</v>
      </c>
      <c r="FB33" s="1098"/>
      <c r="FC33" s="1098"/>
      <c r="FD33" s="1098"/>
      <c r="FE33" s="1098"/>
      <c r="FF33" s="1098"/>
      <c r="FG33" s="1098"/>
      <c r="FH33" s="1098"/>
      <c r="FI33" s="1098"/>
      <c r="FJ33" s="1098"/>
      <c r="FK33" s="1098"/>
      <c r="FL33" s="1098"/>
      <c r="FM33" s="1098"/>
      <c r="FN33" s="1097">
        <f t="shared" si="24"/>
        <v>0</v>
      </c>
      <c r="FO33" s="1098"/>
      <c r="FP33" s="1098"/>
      <c r="FQ33" s="1098"/>
      <c r="FR33" s="1098"/>
      <c r="FS33" s="1098"/>
      <c r="FT33" s="1098"/>
      <c r="FU33" s="1098"/>
      <c r="FV33" s="1098"/>
      <c r="FW33" s="1098"/>
      <c r="FX33" s="1098"/>
      <c r="FY33" s="1098"/>
      <c r="FZ33" s="1098"/>
      <c r="GA33" s="1097">
        <f t="shared" si="25"/>
        <v>0</v>
      </c>
      <c r="GB33" s="1098"/>
      <c r="GC33" s="1098"/>
      <c r="GD33" s="1098"/>
      <c r="GE33" s="1098"/>
      <c r="GF33" s="1098"/>
      <c r="GG33" s="1098"/>
      <c r="GH33" s="1098"/>
      <c r="GI33" s="1098"/>
      <c r="GJ33" s="1098"/>
      <c r="GK33" s="1098"/>
      <c r="GL33" s="1098"/>
      <c r="GM33" s="1098">
        <v>6</v>
      </c>
      <c r="GN33" s="1097">
        <f t="shared" si="26"/>
        <v>6</v>
      </c>
      <c r="GO33" s="1098"/>
      <c r="GP33" s="1098"/>
      <c r="GQ33" s="1098"/>
      <c r="GR33" s="1098"/>
      <c r="GS33" s="1098"/>
      <c r="GT33" s="1098"/>
      <c r="GU33" s="1098"/>
      <c r="GV33" s="1098"/>
      <c r="GW33" s="1098"/>
      <c r="GX33" s="1098"/>
      <c r="GY33" s="1098"/>
      <c r="GZ33" s="1098"/>
      <c r="HA33" s="1097">
        <f t="shared" si="27"/>
        <v>0</v>
      </c>
      <c r="HB33" s="1098"/>
      <c r="HC33" s="1098"/>
      <c r="HD33" s="1098"/>
      <c r="HE33" s="1098"/>
      <c r="HF33" s="1098"/>
      <c r="HG33" s="1098"/>
      <c r="HH33" s="1098">
        <v>0.2</v>
      </c>
      <c r="HI33" s="1098"/>
      <c r="HJ33" s="1098"/>
      <c r="HK33" s="1098"/>
      <c r="HL33" s="1098"/>
      <c r="HM33" s="1098"/>
      <c r="HN33" s="1097">
        <f t="shared" si="28"/>
        <v>0.2</v>
      </c>
      <c r="HO33" s="1098"/>
      <c r="HP33" s="1098"/>
      <c r="HQ33" s="1098"/>
      <c r="HR33" s="1098"/>
      <c r="HS33" s="1098"/>
      <c r="HT33" s="1098"/>
      <c r="HU33" s="1098"/>
      <c r="HV33" s="1098"/>
      <c r="HW33" s="1098"/>
      <c r="HX33" s="1098"/>
      <c r="HY33" s="1098"/>
      <c r="HZ33" s="1098"/>
      <c r="IA33" s="1097">
        <f t="shared" si="29"/>
        <v>0</v>
      </c>
      <c r="IB33" s="1098"/>
      <c r="IC33" s="1098"/>
      <c r="ID33" s="1098"/>
      <c r="IE33" s="1098"/>
      <c r="IF33" s="1098"/>
      <c r="IG33" s="1098"/>
      <c r="IH33" s="1098"/>
      <c r="II33" s="1098"/>
      <c r="IJ33" s="1098"/>
      <c r="IK33" s="1098"/>
      <c r="IL33" s="1098"/>
      <c r="IM33" s="1098"/>
      <c r="IN33" s="1097">
        <f t="shared" si="30"/>
        <v>0</v>
      </c>
      <c r="IO33" s="1098"/>
      <c r="IP33" s="1098"/>
      <c r="IQ33" s="1098">
        <v>7</v>
      </c>
      <c r="IR33" s="1098"/>
      <c r="IS33" s="1098"/>
      <c r="IT33" s="1098"/>
      <c r="IU33" s="1098"/>
      <c r="IV33" s="1098"/>
      <c r="IW33" s="1098">
        <v>10.5</v>
      </c>
      <c r="IX33" s="1098">
        <v>20.5</v>
      </c>
      <c r="IY33" s="1098">
        <v>32.25</v>
      </c>
      <c r="IZ33" s="1098">
        <v>45.75</v>
      </c>
      <c r="JA33" s="1097">
        <f t="shared" si="31"/>
        <v>116</v>
      </c>
      <c r="JB33" s="1098"/>
      <c r="JC33" s="1098"/>
      <c r="JD33" s="1098"/>
      <c r="JE33" s="1098"/>
      <c r="JF33" s="1098"/>
      <c r="JG33" s="1098">
        <v>0</v>
      </c>
      <c r="JH33" s="1098"/>
      <c r="JI33" s="1098"/>
      <c r="JJ33" s="1098"/>
      <c r="JK33" s="1098"/>
      <c r="JL33" s="1098"/>
      <c r="JM33" s="1098"/>
      <c r="JN33" s="1097">
        <f t="shared" si="32"/>
        <v>0</v>
      </c>
      <c r="JP33" s="1116" t="str">
        <f t="shared" si="33"/>
        <v/>
      </c>
      <c r="JQ33" s="1117">
        <f t="shared" si="34"/>
        <v>-100</v>
      </c>
      <c r="JR33" s="1079">
        <f t="shared" si="35"/>
        <v>7</v>
      </c>
      <c r="JS33" s="1118">
        <f t="shared" si="36"/>
        <v>0</v>
      </c>
      <c r="JT33" s="62"/>
      <c r="JU33" s="1139">
        <f t="shared" si="37"/>
        <v>248.4</v>
      </c>
      <c r="JV33" s="1146" t="s">
        <v>38</v>
      </c>
      <c r="JW33" s="1147" t="str">
        <f t="shared" si="38"/>
        <v>OK</v>
      </c>
    </row>
    <row r="34" spans="1:283" ht="15" customHeight="1" x14ac:dyDescent="0.2">
      <c r="A34" s="1129" t="s">
        <v>39</v>
      </c>
      <c r="B34" s="1098"/>
      <c r="C34" s="1098"/>
      <c r="D34" s="1098"/>
      <c r="E34" s="1098"/>
      <c r="F34" s="1098"/>
      <c r="G34" s="1098"/>
      <c r="H34" s="1098"/>
      <c r="I34" s="1098"/>
      <c r="J34" s="1098"/>
      <c r="K34" s="1098"/>
      <c r="L34" s="1098"/>
      <c r="M34" s="1098"/>
      <c r="N34" s="1097">
        <f t="shared" si="12"/>
        <v>0</v>
      </c>
      <c r="O34" s="1098"/>
      <c r="P34" s="1098"/>
      <c r="Q34" s="1098"/>
      <c r="R34" s="1098"/>
      <c r="S34" s="1098"/>
      <c r="T34" s="1098"/>
      <c r="U34" s="1098"/>
      <c r="V34" s="1098"/>
      <c r="W34" s="1098"/>
      <c r="X34" s="1098">
        <v>14</v>
      </c>
      <c r="Y34" s="1098">
        <v>14</v>
      </c>
      <c r="Z34" s="1098"/>
      <c r="AA34" s="1097">
        <f t="shared" si="13"/>
        <v>28</v>
      </c>
      <c r="AB34" s="1098"/>
      <c r="AC34" s="1098"/>
      <c r="AD34" s="1098"/>
      <c r="AE34" s="1098"/>
      <c r="AF34" s="1098"/>
      <c r="AG34" s="1098"/>
      <c r="AH34" s="1098"/>
      <c r="AI34" s="1098"/>
      <c r="AJ34" s="1098"/>
      <c r="AK34" s="1098"/>
      <c r="AL34" s="1098"/>
      <c r="AM34" s="1098"/>
      <c r="AN34" s="1097">
        <f t="shared" si="14"/>
        <v>0</v>
      </c>
      <c r="AO34" s="1098"/>
      <c r="AP34" s="1098"/>
      <c r="AQ34" s="1098"/>
      <c r="AR34" s="1098"/>
      <c r="AS34" s="1098"/>
      <c r="AT34" s="1098"/>
      <c r="AU34" s="1098"/>
      <c r="AV34" s="1098"/>
      <c r="AW34" s="1098"/>
      <c r="AX34" s="1098"/>
      <c r="AY34" s="1098"/>
      <c r="AZ34" s="1098"/>
      <c r="BA34" s="1097">
        <f t="shared" si="15"/>
        <v>0</v>
      </c>
      <c r="BB34" s="1098"/>
      <c r="BC34" s="1098"/>
      <c r="BD34" s="1098"/>
      <c r="BE34" s="1098"/>
      <c r="BF34" s="1098"/>
      <c r="BG34" s="1098"/>
      <c r="BH34" s="1098"/>
      <c r="BI34" s="1098"/>
      <c r="BJ34" s="1098"/>
      <c r="BK34" s="1098"/>
      <c r="BL34" s="1098"/>
      <c r="BM34" s="1098"/>
      <c r="BN34" s="1097">
        <f t="shared" si="16"/>
        <v>0</v>
      </c>
      <c r="BO34" s="1098"/>
      <c r="BP34" s="1098"/>
      <c r="BQ34" s="1098"/>
      <c r="BR34" s="1098"/>
      <c r="BS34" s="1098"/>
      <c r="BT34" s="1098"/>
      <c r="BU34" s="1098"/>
      <c r="BV34" s="1098"/>
      <c r="BW34" s="1098"/>
      <c r="BX34" s="1098"/>
      <c r="BY34" s="1098"/>
      <c r="BZ34" s="1098"/>
      <c r="CA34" s="1097">
        <f t="shared" si="17"/>
        <v>0</v>
      </c>
      <c r="CB34" s="1098"/>
      <c r="CC34" s="1098"/>
      <c r="CD34" s="1098"/>
      <c r="CE34" s="1098"/>
      <c r="CF34" s="1098"/>
      <c r="CG34" s="1098"/>
      <c r="CH34" s="1098"/>
      <c r="CI34" s="1098"/>
      <c r="CJ34" s="1098"/>
      <c r="CK34" s="1098"/>
      <c r="CL34" s="1098"/>
      <c r="CM34" s="1098"/>
      <c r="CN34" s="1097">
        <f t="shared" si="18"/>
        <v>0</v>
      </c>
      <c r="CO34" s="1098"/>
      <c r="CP34" s="1098"/>
      <c r="CQ34" s="1098"/>
      <c r="CR34" s="1098"/>
      <c r="CS34" s="1098"/>
      <c r="CT34" s="1098"/>
      <c r="CU34" s="1098"/>
      <c r="CV34" s="1098"/>
      <c r="CW34" s="1098"/>
      <c r="CX34" s="1098"/>
      <c r="CY34" s="1098"/>
      <c r="CZ34" s="1098"/>
      <c r="DA34" s="1097">
        <f t="shared" si="19"/>
        <v>0</v>
      </c>
      <c r="DB34" s="1098"/>
      <c r="DC34" s="1098"/>
      <c r="DD34" s="1098"/>
      <c r="DE34" s="1098"/>
      <c r="DF34" s="1098"/>
      <c r="DG34" s="1098"/>
      <c r="DH34" s="1098"/>
      <c r="DI34" s="1098"/>
      <c r="DJ34" s="1098"/>
      <c r="DK34" s="1098"/>
      <c r="DL34" s="1098"/>
      <c r="DM34" s="1098">
        <v>320</v>
      </c>
      <c r="DN34" s="1097">
        <f t="shared" si="20"/>
        <v>320</v>
      </c>
      <c r="DO34" s="1098">
        <v>530</v>
      </c>
      <c r="DP34" s="1098">
        <v>255</v>
      </c>
      <c r="DQ34" s="1098">
        <v>69</v>
      </c>
      <c r="DR34" s="1098">
        <v>74</v>
      </c>
      <c r="DS34" s="1098">
        <v>95</v>
      </c>
      <c r="DT34" s="1098">
        <v>69</v>
      </c>
      <c r="DU34" s="1098">
        <v>67</v>
      </c>
      <c r="DV34" s="1098">
        <v>66</v>
      </c>
      <c r="DW34" s="1098">
        <v>205</v>
      </c>
      <c r="DX34" s="1098">
        <v>59</v>
      </c>
      <c r="DY34" s="1098"/>
      <c r="DZ34" s="1098">
        <v>626</v>
      </c>
      <c r="EA34" s="1097">
        <f t="shared" si="21"/>
        <v>2115</v>
      </c>
      <c r="EB34" s="1098"/>
      <c r="EC34" s="1098"/>
      <c r="ED34" s="1098"/>
      <c r="EE34" s="1098"/>
      <c r="EF34" s="1098"/>
      <c r="EG34" s="1098"/>
      <c r="EH34" s="1098"/>
      <c r="EI34" s="1098"/>
      <c r="EJ34" s="1098"/>
      <c r="EK34" s="1098"/>
      <c r="EL34" s="1098"/>
      <c r="EM34" s="1098"/>
      <c r="EN34" s="1097">
        <f t="shared" si="22"/>
        <v>0</v>
      </c>
      <c r="EO34" s="1098"/>
      <c r="EP34" s="1098"/>
      <c r="EQ34" s="1098"/>
      <c r="ER34" s="1098"/>
      <c r="ES34" s="1098"/>
      <c r="ET34" s="1098"/>
      <c r="EU34" s="1098"/>
      <c r="EV34" s="1098"/>
      <c r="EW34" s="1098"/>
      <c r="EX34" s="1098"/>
      <c r="EY34" s="1098"/>
      <c r="EZ34" s="1098"/>
      <c r="FA34" s="1097">
        <f t="shared" si="23"/>
        <v>0</v>
      </c>
      <c r="FB34" s="1098"/>
      <c r="FC34" s="1098"/>
      <c r="FD34" s="1098"/>
      <c r="FE34" s="1098"/>
      <c r="FF34" s="1098"/>
      <c r="FG34" s="1098"/>
      <c r="FH34" s="1098"/>
      <c r="FI34" s="1098"/>
      <c r="FJ34" s="1098"/>
      <c r="FK34" s="1098"/>
      <c r="FL34" s="1098"/>
      <c r="FM34" s="1098"/>
      <c r="FN34" s="1097">
        <f t="shared" si="24"/>
        <v>0</v>
      </c>
      <c r="FO34" s="1098"/>
      <c r="FP34" s="1098"/>
      <c r="FQ34" s="1098"/>
      <c r="FR34" s="1098"/>
      <c r="FS34" s="1098"/>
      <c r="FT34" s="1098"/>
      <c r="FU34" s="1098"/>
      <c r="FV34" s="1098"/>
      <c r="FW34" s="1098"/>
      <c r="FX34" s="1098"/>
      <c r="FY34" s="1098"/>
      <c r="FZ34" s="1098"/>
      <c r="GA34" s="1097">
        <f t="shared" si="25"/>
        <v>0</v>
      </c>
      <c r="GB34" s="1098"/>
      <c r="GC34" s="1098"/>
      <c r="GD34" s="1098"/>
      <c r="GE34" s="1098"/>
      <c r="GF34" s="1098">
        <v>1</v>
      </c>
      <c r="GG34" s="1098"/>
      <c r="GH34" s="1098"/>
      <c r="GI34" s="1098"/>
      <c r="GJ34" s="1098"/>
      <c r="GK34" s="1098"/>
      <c r="GL34" s="1098"/>
      <c r="GM34" s="1098"/>
      <c r="GN34" s="1097">
        <f t="shared" si="26"/>
        <v>1</v>
      </c>
      <c r="GO34" s="1098"/>
      <c r="GP34" s="1098"/>
      <c r="GQ34" s="1098"/>
      <c r="GR34" s="1098"/>
      <c r="GS34" s="1098"/>
      <c r="GT34" s="1098"/>
      <c r="GU34" s="1098"/>
      <c r="GV34" s="1098"/>
      <c r="GW34" s="1098"/>
      <c r="GX34" s="1098"/>
      <c r="GY34" s="1098"/>
      <c r="GZ34" s="1098"/>
      <c r="HA34" s="1097">
        <f t="shared" si="27"/>
        <v>0</v>
      </c>
      <c r="HB34" s="1098"/>
      <c r="HC34" s="1098"/>
      <c r="HD34" s="1098"/>
      <c r="HE34" s="1098"/>
      <c r="HF34" s="1098"/>
      <c r="HG34" s="1098"/>
      <c r="HH34" s="1098"/>
      <c r="HI34" s="1098"/>
      <c r="HJ34" s="1098"/>
      <c r="HK34" s="1098"/>
      <c r="HL34" s="1098"/>
      <c r="HM34" s="1098"/>
      <c r="HN34" s="1097">
        <f t="shared" si="28"/>
        <v>0</v>
      </c>
      <c r="HO34" s="1098"/>
      <c r="HP34" s="1098"/>
      <c r="HQ34" s="1098"/>
      <c r="HR34" s="1098"/>
      <c r="HS34" s="1098"/>
      <c r="HT34" s="1098"/>
      <c r="HU34" s="1098"/>
      <c r="HV34" s="1098"/>
      <c r="HW34" s="1098"/>
      <c r="HX34" s="1098"/>
      <c r="HY34" s="1098"/>
      <c r="HZ34" s="1098"/>
      <c r="IA34" s="1097">
        <f t="shared" si="29"/>
        <v>0</v>
      </c>
      <c r="IB34" s="1098"/>
      <c r="IC34" s="1098"/>
      <c r="ID34" s="1098"/>
      <c r="IE34" s="1098"/>
      <c r="IF34" s="1098"/>
      <c r="IG34" s="1098"/>
      <c r="IH34" s="1098"/>
      <c r="II34" s="1098"/>
      <c r="IJ34" s="1098"/>
      <c r="IK34" s="1098"/>
      <c r="IL34" s="1098"/>
      <c r="IM34" s="1098"/>
      <c r="IN34" s="1097">
        <f t="shared" si="30"/>
        <v>0</v>
      </c>
      <c r="IO34" s="1098"/>
      <c r="IP34" s="1098"/>
      <c r="IQ34" s="1098"/>
      <c r="IR34" s="1098"/>
      <c r="IS34" s="1098"/>
      <c r="IT34" s="1098"/>
      <c r="IU34" s="1098"/>
      <c r="IV34" s="1098"/>
      <c r="IW34" s="1098"/>
      <c r="IX34" s="1098"/>
      <c r="IY34" s="1098"/>
      <c r="IZ34" s="1098"/>
      <c r="JA34" s="1097">
        <f t="shared" si="31"/>
        <v>0</v>
      </c>
      <c r="JB34" s="1098"/>
      <c r="JC34" s="1098"/>
      <c r="JD34" s="1098"/>
      <c r="JE34" s="1098"/>
      <c r="JF34" s="1098"/>
      <c r="JG34" s="1098">
        <v>0</v>
      </c>
      <c r="JH34" s="1098"/>
      <c r="JI34" s="1098"/>
      <c r="JJ34" s="1098"/>
      <c r="JK34" s="1098"/>
      <c r="JL34" s="1098"/>
      <c r="JM34" s="1098"/>
      <c r="JN34" s="1097">
        <f t="shared" si="32"/>
        <v>0</v>
      </c>
      <c r="JP34" s="1116" t="str">
        <f t="shared" si="33"/>
        <v/>
      </c>
      <c r="JQ34" s="1117" t="str">
        <f t="shared" si="34"/>
        <v/>
      </c>
      <c r="JR34" s="1079">
        <f t="shared" si="35"/>
        <v>0</v>
      </c>
      <c r="JS34" s="1118">
        <f t="shared" si="36"/>
        <v>0</v>
      </c>
      <c r="JT34" s="62"/>
      <c r="JU34" s="1139">
        <f t="shared" si="37"/>
        <v>4928</v>
      </c>
      <c r="JV34" s="1146" t="s">
        <v>39</v>
      </c>
      <c r="JW34" s="1147" t="str">
        <f t="shared" si="38"/>
        <v>OK</v>
      </c>
    </row>
    <row r="35" spans="1:283" ht="15" customHeight="1" x14ac:dyDescent="0.2">
      <c r="A35" s="1129" t="s">
        <v>227</v>
      </c>
      <c r="B35" s="1098"/>
      <c r="C35" s="1098"/>
      <c r="D35" s="1098"/>
      <c r="E35" s="1098"/>
      <c r="F35" s="1098"/>
      <c r="G35" s="1098"/>
      <c r="H35" s="1098"/>
      <c r="I35" s="1098"/>
      <c r="J35" s="1098"/>
      <c r="K35" s="1098"/>
      <c r="L35" s="1098"/>
      <c r="M35" s="1098"/>
      <c r="N35" s="1097">
        <f t="shared" si="12"/>
        <v>0</v>
      </c>
      <c r="O35" s="1098"/>
      <c r="P35" s="1098"/>
      <c r="Q35" s="1098"/>
      <c r="R35" s="1098"/>
      <c r="S35" s="1098"/>
      <c r="T35" s="1098"/>
      <c r="U35" s="1098"/>
      <c r="V35" s="1098"/>
      <c r="W35" s="1098"/>
      <c r="X35" s="1098"/>
      <c r="Y35" s="1098"/>
      <c r="Z35" s="1098"/>
      <c r="AA35" s="1097">
        <f t="shared" si="13"/>
        <v>0</v>
      </c>
      <c r="AB35" s="1098"/>
      <c r="AC35" s="1098"/>
      <c r="AD35" s="1098"/>
      <c r="AE35" s="1098"/>
      <c r="AF35" s="1098"/>
      <c r="AG35" s="1098"/>
      <c r="AH35" s="1098"/>
      <c r="AI35" s="1098"/>
      <c r="AJ35" s="1098"/>
      <c r="AK35" s="1098"/>
      <c r="AL35" s="1098"/>
      <c r="AM35" s="1098"/>
      <c r="AN35" s="1097">
        <f t="shared" si="14"/>
        <v>0</v>
      </c>
      <c r="AO35" s="1098"/>
      <c r="AP35" s="1098"/>
      <c r="AQ35" s="1098"/>
      <c r="AR35" s="1098"/>
      <c r="AS35" s="1098"/>
      <c r="AT35" s="1098"/>
      <c r="AU35" s="1098"/>
      <c r="AV35" s="1098"/>
      <c r="AW35" s="1098"/>
      <c r="AX35" s="1098"/>
      <c r="AY35" s="1098"/>
      <c r="AZ35" s="1098"/>
      <c r="BA35" s="1097">
        <f t="shared" si="15"/>
        <v>0</v>
      </c>
      <c r="BB35" s="1098"/>
      <c r="BC35" s="1098"/>
      <c r="BD35" s="1098"/>
      <c r="BE35" s="1098"/>
      <c r="BF35" s="1098"/>
      <c r="BG35" s="1098"/>
      <c r="BH35" s="1098"/>
      <c r="BI35" s="1098"/>
      <c r="BJ35" s="1098"/>
      <c r="BK35" s="1098"/>
      <c r="BL35" s="1098"/>
      <c r="BM35" s="1098"/>
      <c r="BN35" s="1097">
        <f t="shared" si="16"/>
        <v>0</v>
      </c>
      <c r="BO35" s="1098"/>
      <c r="BP35" s="1098"/>
      <c r="BQ35" s="1098"/>
      <c r="BR35" s="1098"/>
      <c r="BS35" s="1098"/>
      <c r="BT35" s="1098"/>
      <c r="BU35" s="1098"/>
      <c r="BV35" s="1098"/>
      <c r="BW35" s="1098"/>
      <c r="BX35" s="1098"/>
      <c r="BY35" s="1098"/>
      <c r="BZ35" s="1098"/>
      <c r="CA35" s="1097">
        <f t="shared" si="17"/>
        <v>0</v>
      </c>
      <c r="CB35" s="1098"/>
      <c r="CC35" s="1098"/>
      <c r="CD35" s="1098"/>
      <c r="CE35" s="1098"/>
      <c r="CF35" s="1098"/>
      <c r="CG35" s="1098"/>
      <c r="CH35" s="1098"/>
      <c r="CI35" s="1098"/>
      <c r="CJ35" s="1098"/>
      <c r="CK35" s="1098"/>
      <c r="CL35" s="1098"/>
      <c r="CM35" s="1098"/>
      <c r="CN35" s="1097">
        <f t="shared" si="18"/>
        <v>0</v>
      </c>
      <c r="CO35" s="1098"/>
      <c r="CP35" s="1098"/>
      <c r="CQ35" s="1098"/>
      <c r="CR35" s="1098"/>
      <c r="CS35" s="1098"/>
      <c r="CT35" s="1098"/>
      <c r="CU35" s="1098"/>
      <c r="CV35" s="1098"/>
      <c r="CW35" s="1098"/>
      <c r="CX35" s="1098"/>
      <c r="CY35" s="1098"/>
      <c r="CZ35" s="1098"/>
      <c r="DA35" s="1097">
        <f t="shared" si="19"/>
        <v>0</v>
      </c>
      <c r="DB35" s="1098"/>
      <c r="DC35" s="1098"/>
      <c r="DD35" s="1098"/>
      <c r="DE35" s="1098"/>
      <c r="DF35" s="1098"/>
      <c r="DG35" s="1098"/>
      <c r="DH35" s="1098"/>
      <c r="DI35" s="1098"/>
      <c r="DJ35" s="1098"/>
      <c r="DK35" s="1098"/>
      <c r="DL35" s="1098"/>
      <c r="DM35" s="1098"/>
      <c r="DN35" s="1097">
        <f t="shared" si="20"/>
        <v>0</v>
      </c>
      <c r="DO35" s="1098"/>
      <c r="DP35" s="1098"/>
      <c r="DQ35" s="1098"/>
      <c r="DR35" s="1098"/>
      <c r="DS35" s="1098"/>
      <c r="DT35" s="1098"/>
      <c r="DU35" s="1098"/>
      <c r="DV35" s="1098"/>
      <c r="DW35" s="1098"/>
      <c r="DX35" s="1098"/>
      <c r="DY35" s="1098"/>
      <c r="DZ35" s="1098"/>
      <c r="EA35" s="1097">
        <f t="shared" si="21"/>
        <v>0</v>
      </c>
      <c r="EB35" s="1098"/>
      <c r="EC35" s="1098"/>
      <c r="ED35" s="1098"/>
      <c r="EE35" s="1098"/>
      <c r="EF35" s="1098"/>
      <c r="EG35" s="1098"/>
      <c r="EH35" s="1098"/>
      <c r="EI35" s="1098"/>
      <c r="EJ35" s="1098"/>
      <c r="EK35" s="1098"/>
      <c r="EL35" s="1098"/>
      <c r="EM35" s="1098"/>
      <c r="EN35" s="1097">
        <f t="shared" si="22"/>
        <v>0</v>
      </c>
      <c r="EO35" s="1098"/>
      <c r="EP35" s="1098"/>
      <c r="EQ35" s="1098"/>
      <c r="ER35" s="1098"/>
      <c r="ES35" s="1098"/>
      <c r="ET35" s="1098"/>
      <c r="EU35" s="1098"/>
      <c r="EV35" s="1098"/>
      <c r="EW35" s="1098"/>
      <c r="EX35" s="1098"/>
      <c r="EY35" s="1098"/>
      <c r="EZ35" s="1098"/>
      <c r="FA35" s="1097">
        <f t="shared" si="23"/>
        <v>0</v>
      </c>
      <c r="FB35" s="1098"/>
      <c r="FC35" s="1098"/>
      <c r="FD35" s="1098"/>
      <c r="FE35" s="1098"/>
      <c r="FF35" s="1098"/>
      <c r="FG35" s="1098"/>
      <c r="FH35" s="1098"/>
      <c r="FI35" s="1098"/>
      <c r="FJ35" s="1098"/>
      <c r="FK35" s="1098"/>
      <c r="FL35" s="1098"/>
      <c r="FM35" s="1098"/>
      <c r="FN35" s="1097">
        <f t="shared" si="24"/>
        <v>0</v>
      </c>
      <c r="FO35" s="1098"/>
      <c r="FP35" s="1098"/>
      <c r="FQ35" s="1098"/>
      <c r="FR35" s="1098"/>
      <c r="FS35" s="1098"/>
      <c r="FT35" s="1098"/>
      <c r="FU35" s="1098"/>
      <c r="FV35" s="1098"/>
      <c r="FW35" s="1098"/>
      <c r="FX35" s="1098"/>
      <c r="FY35" s="1098"/>
      <c r="FZ35" s="1098"/>
      <c r="GA35" s="1097">
        <f t="shared" si="25"/>
        <v>0</v>
      </c>
      <c r="GB35" s="1098"/>
      <c r="GC35" s="1098"/>
      <c r="GD35" s="1098"/>
      <c r="GE35" s="1098"/>
      <c r="GF35" s="1098"/>
      <c r="GG35" s="1098"/>
      <c r="GH35" s="1098"/>
      <c r="GI35" s="1098"/>
      <c r="GJ35" s="1098"/>
      <c r="GK35" s="1098"/>
      <c r="GL35" s="1098"/>
      <c r="GM35" s="1098"/>
      <c r="GN35" s="1097">
        <f t="shared" si="26"/>
        <v>0</v>
      </c>
      <c r="GO35" s="1098"/>
      <c r="GP35" s="1098"/>
      <c r="GQ35" s="1098"/>
      <c r="GR35" s="1098"/>
      <c r="GS35" s="1098"/>
      <c r="GT35" s="1098"/>
      <c r="GU35" s="1098"/>
      <c r="GV35" s="1098"/>
      <c r="GW35" s="1098"/>
      <c r="GX35" s="1098"/>
      <c r="GY35" s="1098"/>
      <c r="GZ35" s="1098"/>
      <c r="HA35" s="1097">
        <f t="shared" si="27"/>
        <v>0</v>
      </c>
      <c r="HB35" s="1098"/>
      <c r="HC35" s="1098"/>
      <c r="HD35" s="1098"/>
      <c r="HE35" s="1098"/>
      <c r="HF35" s="1098"/>
      <c r="HG35" s="1098"/>
      <c r="HH35" s="1098"/>
      <c r="HI35" s="1098"/>
      <c r="HJ35" s="1098"/>
      <c r="HK35" s="1098"/>
      <c r="HL35" s="1098"/>
      <c r="HM35" s="1098"/>
      <c r="HN35" s="1097">
        <f t="shared" si="28"/>
        <v>0</v>
      </c>
      <c r="HO35" s="1098"/>
      <c r="HP35" s="1098"/>
      <c r="HQ35" s="1098"/>
      <c r="HR35" s="1098"/>
      <c r="HS35" s="1098"/>
      <c r="HT35" s="1098"/>
      <c r="HU35" s="1098"/>
      <c r="HV35" s="1098"/>
      <c r="HW35" s="1098"/>
      <c r="HX35" s="1098"/>
      <c r="HY35" s="1098"/>
      <c r="HZ35" s="1098"/>
      <c r="IA35" s="1097">
        <f t="shared" si="29"/>
        <v>0</v>
      </c>
      <c r="IB35" s="1098"/>
      <c r="IC35" s="1098"/>
      <c r="ID35" s="1098"/>
      <c r="IE35" s="1098"/>
      <c r="IF35" s="1098"/>
      <c r="IG35" s="1098"/>
      <c r="IH35" s="1098"/>
      <c r="II35" s="1098"/>
      <c r="IJ35" s="1098"/>
      <c r="IK35" s="1098"/>
      <c r="IL35" s="1098"/>
      <c r="IM35" s="1098"/>
      <c r="IN35" s="1097">
        <f t="shared" si="30"/>
        <v>0</v>
      </c>
      <c r="IO35" s="1098"/>
      <c r="IP35" s="1098"/>
      <c r="IQ35" s="1098"/>
      <c r="IR35" s="1098"/>
      <c r="IS35" s="1098"/>
      <c r="IT35" s="1098"/>
      <c r="IU35" s="1098"/>
      <c r="IV35" s="1098"/>
      <c r="IW35" s="1098"/>
      <c r="IX35" s="1098"/>
      <c r="IY35" s="1098"/>
      <c r="IZ35" s="1098"/>
      <c r="JA35" s="1097">
        <f t="shared" si="31"/>
        <v>0</v>
      </c>
      <c r="JB35" s="1098"/>
      <c r="JC35" s="1098"/>
      <c r="JD35" s="1098"/>
      <c r="JE35" s="1098"/>
      <c r="JF35" s="1098"/>
      <c r="JG35" s="1098"/>
      <c r="JH35" s="1098"/>
      <c r="JI35" s="1098"/>
      <c r="JJ35" s="1098"/>
      <c r="JK35" s="1098"/>
      <c r="JL35" s="1098"/>
      <c r="JM35" s="1098"/>
      <c r="JN35" s="1097">
        <f t="shared" si="32"/>
        <v>0</v>
      </c>
      <c r="JP35" s="1116" t="str">
        <f t="shared" si="33"/>
        <v/>
      </c>
      <c r="JQ35" s="1117" t="str">
        <f t="shared" si="34"/>
        <v/>
      </c>
      <c r="JR35" s="1079">
        <f t="shared" si="35"/>
        <v>0</v>
      </c>
      <c r="JS35" s="1118">
        <f t="shared" si="36"/>
        <v>0</v>
      </c>
      <c r="JT35" s="62"/>
      <c r="JU35" s="1139">
        <f t="shared" si="37"/>
        <v>0</v>
      </c>
      <c r="JV35" s="1146" t="s">
        <v>227</v>
      </c>
      <c r="JW35" s="1147" t="str">
        <f t="shared" si="38"/>
        <v>OK</v>
      </c>
    </row>
    <row r="36" spans="1:283" ht="15" customHeight="1" x14ac:dyDescent="0.2">
      <c r="A36" s="1129" t="s">
        <v>49</v>
      </c>
      <c r="B36" s="1098"/>
      <c r="C36" s="1098"/>
      <c r="D36" s="1098"/>
      <c r="E36" s="1098"/>
      <c r="F36" s="1098"/>
      <c r="G36" s="1098"/>
      <c r="H36" s="1098"/>
      <c r="I36" s="1098"/>
      <c r="J36" s="1098"/>
      <c r="K36" s="1098"/>
      <c r="L36" s="1098"/>
      <c r="M36" s="1098"/>
      <c r="N36" s="1097">
        <f t="shared" si="12"/>
        <v>0</v>
      </c>
      <c r="O36" s="1098"/>
      <c r="P36" s="1098"/>
      <c r="Q36" s="1098"/>
      <c r="R36" s="1098"/>
      <c r="S36" s="1098"/>
      <c r="T36" s="1098"/>
      <c r="U36" s="1098"/>
      <c r="V36" s="1098"/>
      <c r="W36" s="1098"/>
      <c r="X36" s="1098"/>
      <c r="Y36" s="1098"/>
      <c r="Z36" s="1098"/>
      <c r="AA36" s="1097">
        <f t="shared" si="13"/>
        <v>0</v>
      </c>
      <c r="AB36" s="1098"/>
      <c r="AC36" s="1098"/>
      <c r="AD36" s="1098"/>
      <c r="AE36" s="1098"/>
      <c r="AF36" s="1098"/>
      <c r="AG36" s="1098"/>
      <c r="AH36" s="1098"/>
      <c r="AI36" s="1098"/>
      <c r="AJ36" s="1098"/>
      <c r="AK36" s="1098"/>
      <c r="AL36" s="1098"/>
      <c r="AM36" s="1098"/>
      <c r="AN36" s="1097">
        <f t="shared" si="14"/>
        <v>0</v>
      </c>
      <c r="AO36" s="1098"/>
      <c r="AP36" s="1098"/>
      <c r="AQ36" s="1098"/>
      <c r="AR36" s="1098"/>
      <c r="AS36" s="1098"/>
      <c r="AT36" s="1098"/>
      <c r="AU36" s="1098"/>
      <c r="AV36" s="1098"/>
      <c r="AW36" s="1098"/>
      <c r="AX36" s="1098"/>
      <c r="AY36" s="1098"/>
      <c r="AZ36" s="1098"/>
      <c r="BA36" s="1097">
        <f t="shared" si="15"/>
        <v>0</v>
      </c>
      <c r="BB36" s="1098"/>
      <c r="BC36" s="1098"/>
      <c r="BD36" s="1098"/>
      <c r="BE36" s="1098"/>
      <c r="BF36" s="1098"/>
      <c r="BG36" s="1098"/>
      <c r="BH36" s="1098"/>
      <c r="BI36" s="1098"/>
      <c r="BJ36" s="1098"/>
      <c r="BK36" s="1098"/>
      <c r="BL36" s="1098"/>
      <c r="BM36" s="1098"/>
      <c r="BN36" s="1097">
        <f t="shared" si="16"/>
        <v>0</v>
      </c>
      <c r="BO36" s="1098"/>
      <c r="BP36" s="1098"/>
      <c r="BQ36" s="1098"/>
      <c r="BR36" s="1098"/>
      <c r="BS36" s="1098"/>
      <c r="BT36" s="1098"/>
      <c r="BU36" s="1098"/>
      <c r="BV36" s="1098"/>
      <c r="BW36" s="1098"/>
      <c r="BX36" s="1098"/>
      <c r="BY36" s="1098"/>
      <c r="BZ36" s="1098"/>
      <c r="CA36" s="1097">
        <f t="shared" si="17"/>
        <v>0</v>
      </c>
      <c r="CB36" s="1098"/>
      <c r="CC36" s="1098"/>
      <c r="CD36" s="1098"/>
      <c r="CE36" s="1098"/>
      <c r="CF36" s="1098"/>
      <c r="CG36" s="1098"/>
      <c r="CH36" s="1098"/>
      <c r="CI36" s="1098"/>
      <c r="CJ36" s="1098"/>
      <c r="CK36" s="1098"/>
      <c r="CL36" s="1098"/>
      <c r="CM36" s="1098"/>
      <c r="CN36" s="1097">
        <f t="shared" si="18"/>
        <v>0</v>
      </c>
      <c r="CO36" s="1098"/>
      <c r="CP36" s="1098"/>
      <c r="CQ36" s="1098"/>
      <c r="CR36" s="1098"/>
      <c r="CS36" s="1098"/>
      <c r="CT36" s="1098"/>
      <c r="CU36" s="1098"/>
      <c r="CV36" s="1098"/>
      <c r="CW36" s="1098"/>
      <c r="CX36" s="1098"/>
      <c r="CY36" s="1098"/>
      <c r="CZ36" s="1098"/>
      <c r="DA36" s="1097">
        <f t="shared" si="19"/>
        <v>0</v>
      </c>
      <c r="DB36" s="1098"/>
      <c r="DC36" s="1098"/>
      <c r="DD36" s="1098"/>
      <c r="DE36" s="1098"/>
      <c r="DF36" s="1098"/>
      <c r="DG36" s="1098"/>
      <c r="DH36" s="1098"/>
      <c r="DI36" s="1098"/>
      <c r="DJ36" s="1098"/>
      <c r="DK36" s="1098"/>
      <c r="DL36" s="1098"/>
      <c r="DM36" s="1098"/>
      <c r="DN36" s="1097">
        <f t="shared" si="20"/>
        <v>0</v>
      </c>
      <c r="DO36" s="1098"/>
      <c r="DP36" s="1098"/>
      <c r="DQ36" s="1098"/>
      <c r="DR36" s="1098"/>
      <c r="DS36" s="1098"/>
      <c r="DT36" s="1098"/>
      <c r="DU36" s="1098"/>
      <c r="DV36" s="1098"/>
      <c r="DW36" s="1098"/>
      <c r="DX36" s="1098"/>
      <c r="DY36" s="1098"/>
      <c r="DZ36" s="1098"/>
      <c r="EA36" s="1097">
        <f t="shared" si="21"/>
        <v>0</v>
      </c>
      <c r="EB36" s="1098"/>
      <c r="EC36" s="1098"/>
      <c r="ED36" s="1098"/>
      <c r="EE36" s="1098"/>
      <c r="EF36" s="1098"/>
      <c r="EG36" s="1098"/>
      <c r="EH36" s="1098"/>
      <c r="EI36" s="1098"/>
      <c r="EJ36" s="1098"/>
      <c r="EK36" s="1098"/>
      <c r="EL36" s="1098"/>
      <c r="EM36" s="1098"/>
      <c r="EN36" s="1097">
        <f t="shared" si="22"/>
        <v>0</v>
      </c>
      <c r="EO36" s="1098"/>
      <c r="EP36" s="1098"/>
      <c r="EQ36" s="1098"/>
      <c r="ER36" s="1098"/>
      <c r="ES36" s="1098"/>
      <c r="ET36" s="1098"/>
      <c r="EU36" s="1098"/>
      <c r="EV36" s="1098"/>
      <c r="EW36" s="1098"/>
      <c r="EX36" s="1098"/>
      <c r="EY36" s="1098"/>
      <c r="EZ36" s="1098"/>
      <c r="FA36" s="1097">
        <f t="shared" si="23"/>
        <v>0</v>
      </c>
      <c r="FB36" s="1098"/>
      <c r="FC36" s="1098"/>
      <c r="FD36" s="1098"/>
      <c r="FE36" s="1098"/>
      <c r="FF36" s="1098"/>
      <c r="FG36" s="1098"/>
      <c r="FH36" s="1098"/>
      <c r="FI36" s="1098"/>
      <c r="FJ36" s="1098"/>
      <c r="FK36" s="1098"/>
      <c r="FL36" s="1098"/>
      <c r="FM36" s="1098"/>
      <c r="FN36" s="1097">
        <f t="shared" si="24"/>
        <v>0</v>
      </c>
      <c r="FO36" s="1098"/>
      <c r="FP36" s="1098"/>
      <c r="FQ36" s="1098"/>
      <c r="FR36" s="1098"/>
      <c r="FS36" s="1098"/>
      <c r="FT36" s="1098"/>
      <c r="FU36" s="1098"/>
      <c r="FV36" s="1098"/>
      <c r="FW36" s="1098"/>
      <c r="FX36" s="1098"/>
      <c r="FY36" s="1098"/>
      <c r="FZ36" s="1098"/>
      <c r="GA36" s="1097">
        <f t="shared" si="25"/>
        <v>0</v>
      </c>
      <c r="GB36" s="1098"/>
      <c r="GC36" s="1098"/>
      <c r="GD36" s="1098"/>
      <c r="GE36" s="1098"/>
      <c r="GF36" s="1098"/>
      <c r="GG36" s="1098"/>
      <c r="GH36" s="1098"/>
      <c r="GI36" s="1098"/>
      <c r="GJ36" s="1098"/>
      <c r="GK36" s="1098"/>
      <c r="GL36" s="1098"/>
      <c r="GM36" s="1098"/>
      <c r="GN36" s="1097">
        <f t="shared" si="26"/>
        <v>0</v>
      </c>
      <c r="GO36" s="1098"/>
      <c r="GP36" s="1098"/>
      <c r="GQ36" s="1098"/>
      <c r="GR36" s="1098"/>
      <c r="GS36" s="1098"/>
      <c r="GT36" s="1098"/>
      <c r="GU36" s="1098"/>
      <c r="GV36" s="1098"/>
      <c r="GW36" s="1098"/>
      <c r="GX36" s="1098"/>
      <c r="GY36" s="1098"/>
      <c r="GZ36" s="1098"/>
      <c r="HA36" s="1097">
        <f t="shared" si="27"/>
        <v>0</v>
      </c>
      <c r="HB36" s="1098"/>
      <c r="HC36" s="1098"/>
      <c r="HD36" s="1098"/>
      <c r="HE36" s="1098"/>
      <c r="HF36" s="1098"/>
      <c r="HG36" s="1098"/>
      <c r="HH36" s="1098"/>
      <c r="HI36" s="1098"/>
      <c r="HJ36" s="1098"/>
      <c r="HK36" s="1098"/>
      <c r="HL36" s="1098">
        <v>5</v>
      </c>
      <c r="HM36" s="1098"/>
      <c r="HN36" s="1097">
        <f t="shared" si="28"/>
        <v>5</v>
      </c>
      <c r="HO36" s="1098">
        <v>5</v>
      </c>
      <c r="HP36" s="1098">
        <v>5</v>
      </c>
      <c r="HQ36" s="1098">
        <v>5.5</v>
      </c>
      <c r="HR36" s="1098">
        <v>5</v>
      </c>
      <c r="HS36" s="1098"/>
      <c r="HT36" s="1098"/>
      <c r="HU36" s="1098"/>
      <c r="HV36" s="1098"/>
      <c r="HW36" s="1098"/>
      <c r="HX36" s="1098"/>
      <c r="HY36" s="1098"/>
      <c r="HZ36" s="1098"/>
      <c r="IA36" s="1097">
        <f t="shared" si="29"/>
        <v>20.5</v>
      </c>
      <c r="IB36" s="1098"/>
      <c r="IC36" s="1098"/>
      <c r="ID36" s="1098"/>
      <c r="IE36" s="1098"/>
      <c r="IF36" s="1098"/>
      <c r="IG36" s="1098"/>
      <c r="IH36" s="1098">
        <v>2</v>
      </c>
      <c r="II36" s="1098"/>
      <c r="IJ36" s="1098"/>
      <c r="IK36" s="1098"/>
      <c r="IL36" s="1098"/>
      <c r="IM36" s="1098"/>
      <c r="IN36" s="1097">
        <f t="shared" si="30"/>
        <v>2</v>
      </c>
      <c r="IO36" s="1098"/>
      <c r="IP36" s="1098"/>
      <c r="IQ36" s="1098"/>
      <c r="IR36" s="1098"/>
      <c r="IS36" s="1098"/>
      <c r="IT36" s="1098">
        <v>1.5</v>
      </c>
      <c r="IU36" s="1098">
        <v>1</v>
      </c>
      <c r="IV36" s="1098">
        <v>2</v>
      </c>
      <c r="IW36" s="1098"/>
      <c r="IX36" s="1098"/>
      <c r="IY36" s="1098"/>
      <c r="IZ36" s="1098"/>
      <c r="JA36" s="1097">
        <f t="shared" si="31"/>
        <v>4.5</v>
      </c>
      <c r="JB36" s="1098">
        <v>2</v>
      </c>
      <c r="JC36" s="1098"/>
      <c r="JD36" s="1098"/>
      <c r="JE36" s="1098"/>
      <c r="JF36" s="1098"/>
      <c r="JG36" s="1098">
        <v>0</v>
      </c>
      <c r="JH36" s="1098"/>
      <c r="JI36" s="1098"/>
      <c r="JJ36" s="1098"/>
      <c r="JK36" s="1098"/>
      <c r="JL36" s="1098"/>
      <c r="JM36" s="1098"/>
      <c r="JN36" s="1097">
        <f t="shared" si="32"/>
        <v>2</v>
      </c>
      <c r="JP36" s="1116" t="str">
        <f t="shared" si="33"/>
        <v/>
      </c>
      <c r="JQ36" s="1117" t="str">
        <f t="shared" si="34"/>
        <v/>
      </c>
      <c r="JR36" s="1079">
        <f t="shared" si="35"/>
        <v>0</v>
      </c>
      <c r="JS36" s="1118">
        <f t="shared" si="36"/>
        <v>2</v>
      </c>
      <c r="JT36" s="62"/>
      <c r="JU36" s="1139">
        <f t="shared" si="37"/>
        <v>68</v>
      </c>
      <c r="JV36" s="1146" t="s">
        <v>49</v>
      </c>
      <c r="JW36" s="1147" t="str">
        <f t="shared" si="38"/>
        <v>OK</v>
      </c>
    </row>
    <row r="37" spans="1:283" ht="15" customHeight="1" x14ac:dyDescent="0.2">
      <c r="A37" s="1129" t="s">
        <v>40</v>
      </c>
      <c r="B37" s="1098"/>
      <c r="C37" s="1098"/>
      <c r="D37" s="1098"/>
      <c r="E37" s="1098"/>
      <c r="F37" s="1098"/>
      <c r="G37" s="1098"/>
      <c r="H37" s="1098"/>
      <c r="I37" s="1098"/>
      <c r="J37" s="1098"/>
      <c r="K37" s="1098"/>
      <c r="L37" s="1098"/>
      <c r="M37" s="1098"/>
      <c r="N37" s="1097">
        <f t="shared" si="12"/>
        <v>0</v>
      </c>
      <c r="O37" s="1098"/>
      <c r="P37" s="1098"/>
      <c r="Q37" s="1098"/>
      <c r="R37" s="1098"/>
      <c r="S37" s="1098"/>
      <c r="T37" s="1098"/>
      <c r="U37" s="1098"/>
      <c r="V37" s="1098">
        <v>3</v>
      </c>
      <c r="W37" s="1098"/>
      <c r="X37" s="1098"/>
      <c r="Y37" s="1098"/>
      <c r="Z37" s="1098"/>
      <c r="AA37" s="1097">
        <f t="shared" si="13"/>
        <v>3</v>
      </c>
      <c r="AB37" s="1098"/>
      <c r="AC37" s="1098"/>
      <c r="AD37" s="1098">
        <v>1</v>
      </c>
      <c r="AE37" s="1098"/>
      <c r="AF37" s="1098"/>
      <c r="AG37" s="1098"/>
      <c r="AH37" s="1098">
        <v>2</v>
      </c>
      <c r="AI37" s="1098"/>
      <c r="AJ37" s="1098"/>
      <c r="AK37" s="1098"/>
      <c r="AL37" s="1098"/>
      <c r="AM37" s="1098"/>
      <c r="AN37" s="1097">
        <f t="shared" si="14"/>
        <v>3</v>
      </c>
      <c r="AO37" s="1098"/>
      <c r="AP37" s="1098"/>
      <c r="AQ37" s="1098"/>
      <c r="AR37" s="1098"/>
      <c r="AS37" s="1098"/>
      <c r="AT37" s="1098">
        <v>1</v>
      </c>
      <c r="AU37" s="1098">
        <v>6</v>
      </c>
      <c r="AV37" s="1098"/>
      <c r="AW37" s="1098"/>
      <c r="AX37" s="1098"/>
      <c r="AY37" s="1098"/>
      <c r="AZ37" s="1098"/>
      <c r="BA37" s="1097">
        <f t="shared" si="15"/>
        <v>7</v>
      </c>
      <c r="BB37" s="1098"/>
      <c r="BC37" s="1098"/>
      <c r="BD37" s="1098"/>
      <c r="BE37" s="1098"/>
      <c r="BF37" s="1098"/>
      <c r="BG37" s="1098"/>
      <c r="BH37" s="1098"/>
      <c r="BI37" s="1098"/>
      <c r="BJ37" s="1098"/>
      <c r="BK37" s="1098"/>
      <c r="BL37" s="1098"/>
      <c r="BM37" s="1098"/>
      <c r="BN37" s="1097">
        <f t="shared" si="16"/>
        <v>0</v>
      </c>
      <c r="BO37" s="1098"/>
      <c r="BP37" s="1098"/>
      <c r="BQ37" s="1098"/>
      <c r="BR37" s="1098"/>
      <c r="BS37" s="1098"/>
      <c r="BT37" s="1098"/>
      <c r="BU37" s="1098"/>
      <c r="BV37" s="1098"/>
      <c r="BW37" s="1098"/>
      <c r="BX37" s="1098"/>
      <c r="BY37" s="1098"/>
      <c r="BZ37" s="1098"/>
      <c r="CA37" s="1097">
        <f t="shared" si="17"/>
        <v>0</v>
      </c>
      <c r="CB37" s="1098"/>
      <c r="CC37" s="1098"/>
      <c r="CD37" s="1098"/>
      <c r="CE37" s="1098"/>
      <c r="CF37" s="1098"/>
      <c r="CG37" s="1098"/>
      <c r="CH37" s="1098"/>
      <c r="CI37" s="1098"/>
      <c r="CJ37" s="1098"/>
      <c r="CK37" s="1098"/>
      <c r="CL37" s="1098"/>
      <c r="CM37" s="1098"/>
      <c r="CN37" s="1097">
        <f t="shared" si="18"/>
        <v>0</v>
      </c>
      <c r="CO37" s="1098"/>
      <c r="CP37" s="1098"/>
      <c r="CQ37" s="1098"/>
      <c r="CR37" s="1098"/>
      <c r="CS37" s="1098"/>
      <c r="CT37" s="1098"/>
      <c r="CU37" s="1098">
        <v>3</v>
      </c>
      <c r="CV37" s="1098"/>
      <c r="CW37" s="1098"/>
      <c r="CX37" s="1098"/>
      <c r="CY37" s="1098"/>
      <c r="CZ37" s="1098"/>
      <c r="DA37" s="1097">
        <f t="shared" si="19"/>
        <v>3</v>
      </c>
      <c r="DB37" s="1098"/>
      <c r="DC37" s="1098"/>
      <c r="DD37" s="1098"/>
      <c r="DE37" s="1098"/>
      <c r="DF37" s="1098"/>
      <c r="DG37" s="1098"/>
      <c r="DH37" s="1098"/>
      <c r="DI37" s="1098"/>
      <c r="DJ37" s="1098"/>
      <c r="DK37" s="1098"/>
      <c r="DL37" s="1098"/>
      <c r="DM37" s="1098">
        <v>61</v>
      </c>
      <c r="DN37" s="1097">
        <f t="shared" si="20"/>
        <v>61</v>
      </c>
      <c r="DO37" s="1098">
        <v>121</v>
      </c>
      <c r="DP37" s="1098">
        <v>47</v>
      </c>
      <c r="DQ37" s="1098">
        <v>1</v>
      </c>
      <c r="DR37" s="1098">
        <v>2</v>
      </c>
      <c r="DS37" s="1098">
        <v>1</v>
      </c>
      <c r="DT37" s="1098">
        <v>1</v>
      </c>
      <c r="DU37" s="1098"/>
      <c r="DV37" s="1098">
        <v>1</v>
      </c>
      <c r="DW37" s="1098">
        <v>90</v>
      </c>
      <c r="DX37" s="1098">
        <v>203</v>
      </c>
      <c r="DY37" s="1098"/>
      <c r="DZ37" s="1098">
        <v>4</v>
      </c>
      <c r="EA37" s="1097">
        <f t="shared" si="21"/>
        <v>471</v>
      </c>
      <c r="EB37" s="1098"/>
      <c r="EC37" s="1098"/>
      <c r="ED37" s="1098"/>
      <c r="EE37" s="1098"/>
      <c r="EF37" s="1098"/>
      <c r="EG37" s="1098"/>
      <c r="EH37" s="1098"/>
      <c r="EI37" s="1098"/>
      <c r="EJ37" s="1098"/>
      <c r="EK37" s="1098"/>
      <c r="EL37" s="1098"/>
      <c r="EM37" s="1098"/>
      <c r="EN37" s="1097">
        <f t="shared" si="22"/>
        <v>0</v>
      </c>
      <c r="EO37" s="1098"/>
      <c r="EP37" s="1098"/>
      <c r="EQ37" s="1098"/>
      <c r="ER37" s="1098"/>
      <c r="ES37" s="1098"/>
      <c r="ET37" s="1098"/>
      <c r="EU37" s="1098"/>
      <c r="EV37" s="1098"/>
      <c r="EW37" s="1098"/>
      <c r="EX37" s="1098"/>
      <c r="EY37" s="1098"/>
      <c r="EZ37" s="1098"/>
      <c r="FA37" s="1097">
        <f t="shared" si="23"/>
        <v>0</v>
      </c>
      <c r="FB37" s="1098"/>
      <c r="FC37" s="1098"/>
      <c r="FD37" s="1098"/>
      <c r="FE37" s="1098"/>
      <c r="FF37" s="1098"/>
      <c r="FG37" s="1098"/>
      <c r="FH37" s="1098"/>
      <c r="FI37" s="1098"/>
      <c r="FJ37" s="1098"/>
      <c r="FK37" s="1098"/>
      <c r="FL37" s="1098"/>
      <c r="FM37" s="1098"/>
      <c r="FN37" s="1097">
        <f t="shared" si="24"/>
        <v>0</v>
      </c>
      <c r="FO37" s="1098"/>
      <c r="FP37" s="1098"/>
      <c r="FQ37" s="1098">
        <v>13</v>
      </c>
      <c r="FR37" s="1098"/>
      <c r="FS37" s="1098"/>
      <c r="FT37" s="1098"/>
      <c r="FU37" s="1098"/>
      <c r="FV37" s="1098">
        <v>4</v>
      </c>
      <c r="FW37" s="1098"/>
      <c r="FX37" s="1098"/>
      <c r="FY37" s="1098"/>
      <c r="FZ37" s="1098"/>
      <c r="GA37" s="1097">
        <f t="shared" si="25"/>
        <v>17</v>
      </c>
      <c r="GB37" s="1098"/>
      <c r="GC37" s="1098"/>
      <c r="GD37" s="1098"/>
      <c r="GE37" s="1098"/>
      <c r="GF37" s="1098"/>
      <c r="GG37" s="1098"/>
      <c r="GH37" s="1098"/>
      <c r="GI37" s="1098">
        <v>5</v>
      </c>
      <c r="GJ37" s="1098"/>
      <c r="GK37" s="1098">
        <v>10</v>
      </c>
      <c r="GL37" s="1098">
        <v>10</v>
      </c>
      <c r="GM37" s="1098"/>
      <c r="GN37" s="1097">
        <f t="shared" si="26"/>
        <v>25</v>
      </c>
      <c r="GO37" s="1098"/>
      <c r="GP37" s="1098"/>
      <c r="GQ37" s="1098"/>
      <c r="GR37" s="1098"/>
      <c r="GS37" s="1098"/>
      <c r="GT37" s="1098"/>
      <c r="GU37" s="1098"/>
      <c r="GV37" s="1098">
        <v>6</v>
      </c>
      <c r="GW37" s="1098"/>
      <c r="GX37" s="1098"/>
      <c r="GY37" s="1098"/>
      <c r="GZ37" s="1098"/>
      <c r="HA37" s="1097">
        <f t="shared" si="27"/>
        <v>6</v>
      </c>
      <c r="HB37" s="1098"/>
      <c r="HC37" s="1098"/>
      <c r="HD37" s="1098"/>
      <c r="HE37" s="1098"/>
      <c r="HF37" s="1098"/>
      <c r="HG37" s="1098"/>
      <c r="HH37" s="1098"/>
      <c r="HI37" s="1098"/>
      <c r="HJ37" s="1098"/>
      <c r="HK37" s="1098"/>
      <c r="HL37" s="1098"/>
      <c r="HM37" s="1098"/>
      <c r="HN37" s="1097">
        <f t="shared" si="28"/>
        <v>0</v>
      </c>
      <c r="HO37" s="1098"/>
      <c r="HP37" s="1098"/>
      <c r="HQ37" s="1098"/>
      <c r="HR37" s="1098"/>
      <c r="HS37" s="1098"/>
      <c r="HT37" s="1098"/>
      <c r="HU37" s="1098"/>
      <c r="HV37" s="1098"/>
      <c r="HW37" s="1098"/>
      <c r="HX37" s="1098"/>
      <c r="HY37" s="1098"/>
      <c r="HZ37" s="1098"/>
      <c r="IA37" s="1097">
        <f t="shared" si="29"/>
        <v>0</v>
      </c>
      <c r="IB37" s="1098"/>
      <c r="IC37" s="1098"/>
      <c r="ID37" s="1098"/>
      <c r="IE37" s="1098"/>
      <c r="IF37" s="1098"/>
      <c r="IG37" s="1098"/>
      <c r="IH37" s="1098"/>
      <c r="II37" s="1098"/>
      <c r="IJ37" s="1098"/>
      <c r="IK37" s="1098"/>
      <c r="IL37" s="1098"/>
      <c r="IM37" s="1098"/>
      <c r="IN37" s="1097">
        <f t="shared" si="30"/>
        <v>0</v>
      </c>
      <c r="IO37" s="1098"/>
      <c r="IP37" s="1098"/>
      <c r="IQ37" s="1098"/>
      <c r="IR37" s="1098"/>
      <c r="IS37" s="1098"/>
      <c r="IT37" s="1098"/>
      <c r="IU37" s="1098"/>
      <c r="IV37" s="1098"/>
      <c r="IW37" s="1098"/>
      <c r="IX37" s="1098"/>
      <c r="IY37" s="1098">
        <v>0.5</v>
      </c>
      <c r="IZ37" s="1098">
        <v>2.5</v>
      </c>
      <c r="JA37" s="1097">
        <f t="shared" si="31"/>
        <v>3</v>
      </c>
      <c r="JB37" s="1098"/>
      <c r="JC37" s="1098"/>
      <c r="JD37" s="1098"/>
      <c r="JE37" s="1098"/>
      <c r="JF37" s="1098"/>
      <c r="JG37" s="1098">
        <v>0</v>
      </c>
      <c r="JH37" s="1098"/>
      <c r="JI37" s="1098"/>
      <c r="JJ37" s="1098"/>
      <c r="JK37" s="1098"/>
      <c r="JL37" s="1098"/>
      <c r="JM37" s="1098"/>
      <c r="JN37" s="1097">
        <f t="shared" si="32"/>
        <v>0</v>
      </c>
      <c r="JP37" s="1116" t="str">
        <f t="shared" si="33"/>
        <v/>
      </c>
      <c r="JQ37" s="1117" t="str">
        <f t="shared" si="34"/>
        <v/>
      </c>
      <c r="JR37" s="1079">
        <f t="shared" si="35"/>
        <v>0</v>
      </c>
      <c r="JS37" s="1118">
        <f t="shared" si="36"/>
        <v>0</v>
      </c>
      <c r="JT37" s="62"/>
      <c r="JU37" s="1139">
        <f t="shared" si="37"/>
        <v>1198</v>
      </c>
      <c r="JV37" s="1146" t="s">
        <v>40</v>
      </c>
      <c r="JW37" s="1147" t="str">
        <f t="shared" si="38"/>
        <v>OK</v>
      </c>
    </row>
    <row r="38" spans="1:283" ht="15" customHeight="1" x14ac:dyDescent="0.2">
      <c r="A38" s="1242" t="s">
        <v>42</v>
      </c>
      <c r="B38" s="1098"/>
      <c r="C38" s="1098"/>
      <c r="D38" s="1098"/>
      <c r="E38" s="1098"/>
      <c r="F38" s="1098"/>
      <c r="G38" s="1098"/>
      <c r="H38" s="1098"/>
      <c r="I38" s="1098"/>
      <c r="J38" s="1098"/>
      <c r="K38" s="1098"/>
      <c r="L38" s="1098"/>
      <c r="M38" s="1098"/>
      <c r="N38" s="1097">
        <f t="shared" si="12"/>
        <v>0</v>
      </c>
      <c r="O38" s="1098"/>
      <c r="P38" s="1098"/>
      <c r="Q38" s="1098"/>
      <c r="R38" s="1098"/>
      <c r="S38" s="1098"/>
      <c r="T38" s="1098"/>
      <c r="U38" s="1098"/>
      <c r="V38" s="1098"/>
      <c r="W38" s="1098"/>
      <c r="X38" s="1098"/>
      <c r="Y38" s="1098"/>
      <c r="Z38" s="1098"/>
      <c r="AA38" s="1097">
        <f t="shared" si="13"/>
        <v>0</v>
      </c>
      <c r="AB38" s="1098"/>
      <c r="AC38" s="1098"/>
      <c r="AD38" s="1098"/>
      <c r="AE38" s="1098"/>
      <c r="AF38" s="1098">
        <v>3</v>
      </c>
      <c r="AG38" s="1098"/>
      <c r="AH38" s="1098"/>
      <c r="AI38" s="1098"/>
      <c r="AJ38" s="1098"/>
      <c r="AK38" s="1098"/>
      <c r="AL38" s="1098"/>
      <c r="AM38" s="1098"/>
      <c r="AN38" s="1097">
        <f t="shared" si="14"/>
        <v>3</v>
      </c>
      <c r="AO38" s="1098"/>
      <c r="AP38" s="1098"/>
      <c r="AQ38" s="1098"/>
      <c r="AR38" s="1098"/>
      <c r="AS38" s="1098"/>
      <c r="AT38" s="1098"/>
      <c r="AU38" s="1098">
        <v>2</v>
      </c>
      <c r="AV38" s="1098"/>
      <c r="AW38" s="1098"/>
      <c r="AX38" s="1098"/>
      <c r="AY38" s="1098"/>
      <c r="AZ38" s="1098"/>
      <c r="BA38" s="1097">
        <f t="shared" si="15"/>
        <v>2</v>
      </c>
      <c r="BB38" s="1098"/>
      <c r="BC38" s="1098"/>
      <c r="BD38" s="1098"/>
      <c r="BE38" s="1098"/>
      <c r="BF38" s="1098">
        <v>15</v>
      </c>
      <c r="BG38" s="1098"/>
      <c r="BH38" s="1098"/>
      <c r="BI38" s="1098"/>
      <c r="BJ38" s="1098"/>
      <c r="BK38" s="1098"/>
      <c r="BL38" s="1098"/>
      <c r="BM38" s="1098"/>
      <c r="BN38" s="1097">
        <f t="shared" si="16"/>
        <v>15</v>
      </c>
      <c r="BO38" s="1098"/>
      <c r="BP38" s="1098"/>
      <c r="BQ38" s="1098"/>
      <c r="BR38" s="1098"/>
      <c r="BS38" s="1098"/>
      <c r="BT38" s="1098"/>
      <c r="BU38" s="1098"/>
      <c r="BV38" s="1098"/>
      <c r="BW38" s="1098"/>
      <c r="BX38" s="1098"/>
      <c r="BY38" s="1098"/>
      <c r="BZ38" s="1098"/>
      <c r="CA38" s="1097">
        <f t="shared" si="17"/>
        <v>0</v>
      </c>
      <c r="CB38" s="1098"/>
      <c r="CC38" s="1098"/>
      <c r="CD38" s="1098"/>
      <c r="CE38" s="1098"/>
      <c r="CF38" s="1098"/>
      <c r="CG38" s="1098"/>
      <c r="CH38" s="1098"/>
      <c r="CI38" s="1098"/>
      <c r="CJ38" s="1098"/>
      <c r="CK38" s="1098"/>
      <c r="CL38" s="1098"/>
      <c r="CM38" s="1098"/>
      <c r="CN38" s="1097">
        <f t="shared" si="18"/>
        <v>0</v>
      </c>
      <c r="CO38" s="1098"/>
      <c r="CP38" s="1098"/>
      <c r="CQ38" s="1098"/>
      <c r="CR38" s="1098"/>
      <c r="CS38" s="1098"/>
      <c r="CT38" s="1098"/>
      <c r="CU38" s="1098"/>
      <c r="CV38" s="1098"/>
      <c r="CW38" s="1098">
        <v>55</v>
      </c>
      <c r="CX38" s="1098"/>
      <c r="CY38" s="1098"/>
      <c r="CZ38" s="1098"/>
      <c r="DA38" s="1097">
        <f t="shared" si="19"/>
        <v>55</v>
      </c>
      <c r="DB38" s="1098"/>
      <c r="DC38" s="1098"/>
      <c r="DD38" s="1098"/>
      <c r="DE38" s="1098"/>
      <c r="DF38" s="1098"/>
      <c r="DG38" s="1098"/>
      <c r="DH38" s="1098"/>
      <c r="DI38" s="1098"/>
      <c r="DJ38" s="1098"/>
      <c r="DK38" s="1098"/>
      <c r="DL38" s="1098"/>
      <c r="DM38" s="1098"/>
      <c r="DN38" s="1097">
        <f t="shared" si="20"/>
        <v>0</v>
      </c>
      <c r="DO38" s="1098"/>
      <c r="DP38" s="1098"/>
      <c r="DQ38" s="1098"/>
      <c r="DR38" s="1098"/>
      <c r="DS38" s="1098"/>
      <c r="DT38" s="1098"/>
      <c r="DU38" s="1098"/>
      <c r="DV38" s="1098"/>
      <c r="DW38" s="1098"/>
      <c r="DX38" s="1098"/>
      <c r="DY38" s="1098"/>
      <c r="DZ38" s="1098"/>
      <c r="EA38" s="1097">
        <f t="shared" si="21"/>
        <v>0</v>
      </c>
      <c r="EB38" s="1098"/>
      <c r="EC38" s="1098"/>
      <c r="ED38" s="1098"/>
      <c r="EE38" s="1098"/>
      <c r="EF38" s="1098"/>
      <c r="EG38" s="1098"/>
      <c r="EH38" s="1098"/>
      <c r="EI38" s="1098"/>
      <c r="EJ38" s="1098"/>
      <c r="EK38" s="1098"/>
      <c r="EL38" s="1098"/>
      <c r="EM38" s="1098"/>
      <c r="EN38" s="1097">
        <f t="shared" si="22"/>
        <v>0</v>
      </c>
      <c r="EO38" s="1098"/>
      <c r="EP38" s="1098"/>
      <c r="EQ38" s="1098"/>
      <c r="ER38" s="1098">
        <v>5</v>
      </c>
      <c r="ES38" s="1098"/>
      <c r="ET38" s="1098"/>
      <c r="EU38" s="1098"/>
      <c r="EV38" s="1098"/>
      <c r="EW38" s="1098"/>
      <c r="EX38" s="1098"/>
      <c r="EY38" s="1098"/>
      <c r="EZ38" s="1098">
        <v>20</v>
      </c>
      <c r="FA38" s="1097">
        <f t="shared" si="23"/>
        <v>25</v>
      </c>
      <c r="FB38" s="1098"/>
      <c r="FC38" s="1098"/>
      <c r="FD38" s="1098"/>
      <c r="FE38" s="1098"/>
      <c r="FF38" s="1098"/>
      <c r="FG38" s="1098"/>
      <c r="FH38" s="1098"/>
      <c r="FI38" s="1098"/>
      <c r="FJ38" s="1098"/>
      <c r="FK38" s="1098"/>
      <c r="FL38" s="1098"/>
      <c r="FM38" s="1098"/>
      <c r="FN38" s="1097">
        <f t="shared" si="24"/>
        <v>0</v>
      </c>
      <c r="FO38" s="1098"/>
      <c r="FP38" s="1098"/>
      <c r="FQ38" s="1098"/>
      <c r="FR38" s="1098"/>
      <c r="FS38" s="1098"/>
      <c r="FT38" s="1098">
        <v>20</v>
      </c>
      <c r="FU38" s="1098"/>
      <c r="FV38" s="1098"/>
      <c r="FW38" s="1098"/>
      <c r="FX38" s="1098"/>
      <c r="FY38" s="1098"/>
      <c r="FZ38" s="1098"/>
      <c r="GA38" s="1097">
        <f t="shared" si="25"/>
        <v>20</v>
      </c>
      <c r="GB38" s="1098"/>
      <c r="GC38" s="1098"/>
      <c r="GD38" s="1098"/>
      <c r="GE38" s="1098"/>
      <c r="GF38" s="1098"/>
      <c r="GG38" s="1098">
        <v>100</v>
      </c>
      <c r="GH38" s="1098">
        <v>120</v>
      </c>
      <c r="GI38" s="1098">
        <v>60</v>
      </c>
      <c r="GJ38" s="1098">
        <v>32</v>
      </c>
      <c r="GK38" s="1098">
        <v>20</v>
      </c>
      <c r="GL38" s="1098"/>
      <c r="GM38" s="1098"/>
      <c r="GN38" s="1097">
        <f t="shared" si="26"/>
        <v>332</v>
      </c>
      <c r="GO38" s="1098"/>
      <c r="GP38" s="1098"/>
      <c r="GQ38" s="1098"/>
      <c r="GR38" s="1098"/>
      <c r="GS38" s="1098"/>
      <c r="GT38" s="1098"/>
      <c r="GU38" s="1098"/>
      <c r="GV38" s="1098"/>
      <c r="GW38" s="1098"/>
      <c r="GX38" s="1098"/>
      <c r="GY38" s="1098"/>
      <c r="GZ38" s="1098"/>
      <c r="HA38" s="1097">
        <f t="shared" si="27"/>
        <v>0</v>
      </c>
      <c r="HB38" s="1098"/>
      <c r="HC38" s="1098"/>
      <c r="HD38" s="1098"/>
      <c r="HE38" s="1098">
        <v>10</v>
      </c>
      <c r="HF38" s="1098"/>
      <c r="HG38" s="1098"/>
      <c r="HH38" s="1098"/>
      <c r="HI38" s="1098"/>
      <c r="HJ38" s="1098"/>
      <c r="HK38" s="1098"/>
      <c r="HL38" s="1098"/>
      <c r="HM38" s="1098"/>
      <c r="HN38" s="1097">
        <f t="shared" si="28"/>
        <v>10</v>
      </c>
      <c r="HO38" s="1098"/>
      <c r="HP38" s="1098"/>
      <c r="HQ38" s="1098"/>
      <c r="HR38" s="1098"/>
      <c r="HS38" s="1098"/>
      <c r="HT38" s="1098">
        <v>70</v>
      </c>
      <c r="HU38" s="1098">
        <v>50</v>
      </c>
      <c r="HV38" s="1098">
        <v>65</v>
      </c>
      <c r="HW38" s="1098">
        <v>60</v>
      </c>
      <c r="HX38" s="1098">
        <v>58</v>
      </c>
      <c r="HY38" s="1098">
        <v>61</v>
      </c>
      <c r="HZ38" s="1098">
        <v>59</v>
      </c>
      <c r="IA38" s="1097">
        <f t="shared" si="29"/>
        <v>423</v>
      </c>
      <c r="IB38" s="1098">
        <v>52</v>
      </c>
      <c r="IC38" s="1098">
        <v>61</v>
      </c>
      <c r="ID38" s="1098">
        <v>60</v>
      </c>
      <c r="IE38" s="1098">
        <v>59</v>
      </c>
      <c r="IF38" s="1098">
        <v>61</v>
      </c>
      <c r="IG38" s="1098"/>
      <c r="IH38" s="1098"/>
      <c r="II38" s="1098"/>
      <c r="IJ38" s="1098"/>
      <c r="IK38" s="1098"/>
      <c r="IL38" s="1098"/>
      <c r="IM38" s="1098"/>
      <c r="IN38" s="1097">
        <f t="shared" si="30"/>
        <v>293</v>
      </c>
      <c r="IO38" s="1098"/>
      <c r="IP38" s="1098"/>
      <c r="IQ38" s="1098"/>
      <c r="IR38" s="1098"/>
      <c r="IS38" s="1098"/>
      <c r="IT38" s="1098"/>
      <c r="IU38" s="1098"/>
      <c r="IV38" s="1098"/>
      <c r="IW38" s="1098"/>
      <c r="IX38" s="1098"/>
      <c r="IY38" s="1098"/>
      <c r="IZ38" s="1098"/>
      <c r="JA38" s="1097">
        <f t="shared" si="31"/>
        <v>0</v>
      </c>
      <c r="JB38" s="1098"/>
      <c r="JC38" s="1098"/>
      <c r="JD38" s="1098"/>
      <c r="JE38" s="1098"/>
      <c r="JF38" s="1098"/>
      <c r="JG38" s="1098"/>
      <c r="JH38" s="1098"/>
      <c r="JI38" s="1098"/>
      <c r="JJ38" s="1098"/>
      <c r="JK38" s="1098"/>
      <c r="JL38" s="1098"/>
      <c r="JM38" s="1098"/>
      <c r="JN38" s="1097">
        <f t="shared" si="32"/>
        <v>0</v>
      </c>
      <c r="JP38" s="1178" t="str">
        <f t="shared" si="33"/>
        <v/>
      </c>
      <c r="JQ38" s="1179" t="str">
        <f t="shared" si="34"/>
        <v/>
      </c>
      <c r="JR38" s="1188">
        <f t="shared" si="35"/>
        <v>0</v>
      </c>
      <c r="JS38" s="1189">
        <f t="shared" si="36"/>
        <v>0</v>
      </c>
      <c r="JT38" s="62"/>
      <c r="JU38" s="1139">
        <f t="shared" si="37"/>
        <v>2356</v>
      </c>
      <c r="JV38" s="1146" t="s">
        <v>42</v>
      </c>
      <c r="JW38" s="1147" t="str">
        <f t="shared" si="38"/>
        <v>OK</v>
      </c>
    </row>
    <row r="39" spans="1:283" ht="15" customHeight="1" x14ac:dyDescent="0.2">
      <c r="A39" s="1242" t="s">
        <v>580</v>
      </c>
      <c r="B39" s="1098"/>
      <c r="C39" s="1098"/>
      <c r="D39" s="1098"/>
      <c r="E39" s="1098"/>
      <c r="F39" s="1098"/>
      <c r="G39" s="1098"/>
      <c r="H39" s="1098"/>
      <c r="I39" s="1098"/>
      <c r="J39" s="1098"/>
      <c r="K39" s="1098"/>
      <c r="L39" s="1098"/>
      <c r="M39" s="1098"/>
      <c r="N39" s="1097">
        <f t="shared" si="12"/>
        <v>0</v>
      </c>
      <c r="O39" s="1098"/>
      <c r="P39" s="1098"/>
      <c r="Q39" s="1098"/>
      <c r="R39" s="1098"/>
      <c r="S39" s="1098"/>
      <c r="T39" s="1098"/>
      <c r="U39" s="1098"/>
      <c r="V39" s="1098"/>
      <c r="W39" s="1098"/>
      <c r="X39" s="1098"/>
      <c r="Y39" s="1098"/>
      <c r="Z39" s="1098"/>
      <c r="AA39" s="1097">
        <f t="shared" si="13"/>
        <v>0</v>
      </c>
      <c r="AB39" s="1098"/>
      <c r="AC39" s="1098"/>
      <c r="AD39" s="1098"/>
      <c r="AE39" s="1098"/>
      <c r="AF39" s="1098"/>
      <c r="AG39" s="1098"/>
      <c r="AH39" s="1098"/>
      <c r="AI39" s="1098"/>
      <c r="AJ39" s="1098"/>
      <c r="AK39" s="1098"/>
      <c r="AL39" s="1098"/>
      <c r="AM39" s="1098"/>
      <c r="AN39" s="1097">
        <f t="shared" si="14"/>
        <v>0</v>
      </c>
      <c r="AO39" s="1098"/>
      <c r="AP39" s="1098"/>
      <c r="AQ39" s="1098"/>
      <c r="AR39" s="1098"/>
      <c r="AS39" s="1098"/>
      <c r="AT39" s="1098"/>
      <c r="AU39" s="1098"/>
      <c r="AV39" s="1098"/>
      <c r="AW39" s="1098"/>
      <c r="AX39" s="1098"/>
      <c r="AY39" s="1098"/>
      <c r="AZ39" s="1098"/>
      <c r="BA39" s="1097">
        <f t="shared" si="15"/>
        <v>0</v>
      </c>
      <c r="BB39" s="1098"/>
      <c r="BC39" s="1098"/>
      <c r="BD39" s="1098"/>
      <c r="BE39" s="1098"/>
      <c r="BF39" s="1098"/>
      <c r="BG39" s="1098"/>
      <c r="BH39" s="1098"/>
      <c r="BI39" s="1098"/>
      <c r="BJ39" s="1098"/>
      <c r="BK39" s="1098"/>
      <c r="BL39" s="1098"/>
      <c r="BM39" s="1098"/>
      <c r="BN39" s="1097">
        <f t="shared" si="16"/>
        <v>0</v>
      </c>
      <c r="BO39" s="1098"/>
      <c r="BP39" s="1098"/>
      <c r="BQ39" s="1098"/>
      <c r="BR39" s="1098"/>
      <c r="BS39" s="1098"/>
      <c r="BT39" s="1098"/>
      <c r="BU39" s="1098"/>
      <c r="BV39" s="1098"/>
      <c r="BW39" s="1098"/>
      <c r="BX39" s="1098"/>
      <c r="BY39" s="1098"/>
      <c r="BZ39" s="1098"/>
      <c r="CA39" s="1097">
        <f t="shared" si="17"/>
        <v>0</v>
      </c>
      <c r="CB39" s="1098"/>
      <c r="CC39" s="1098"/>
      <c r="CD39" s="1098"/>
      <c r="CE39" s="1098"/>
      <c r="CF39" s="1098"/>
      <c r="CG39" s="1098"/>
      <c r="CH39" s="1098"/>
      <c r="CI39" s="1098"/>
      <c r="CJ39" s="1098"/>
      <c r="CK39" s="1098"/>
      <c r="CL39" s="1098"/>
      <c r="CM39" s="1098"/>
      <c r="CN39" s="1097">
        <f t="shared" si="18"/>
        <v>0</v>
      </c>
      <c r="CO39" s="1098"/>
      <c r="CP39" s="1098"/>
      <c r="CQ39" s="1098"/>
      <c r="CR39" s="1098"/>
      <c r="CS39" s="1098"/>
      <c r="CT39" s="1098"/>
      <c r="CU39" s="1098"/>
      <c r="CV39" s="1098"/>
      <c r="CW39" s="1098"/>
      <c r="CX39" s="1098"/>
      <c r="CY39" s="1098"/>
      <c r="CZ39" s="1098"/>
      <c r="DA39" s="1097">
        <f t="shared" si="19"/>
        <v>0</v>
      </c>
      <c r="DB39" s="1098"/>
      <c r="DC39" s="1098"/>
      <c r="DD39" s="1098"/>
      <c r="DE39" s="1098"/>
      <c r="DF39" s="1098"/>
      <c r="DG39" s="1098"/>
      <c r="DH39" s="1098"/>
      <c r="DI39" s="1098"/>
      <c r="DJ39" s="1098"/>
      <c r="DK39" s="1098"/>
      <c r="DL39" s="1098"/>
      <c r="DM39" s="1098"/>
      <c r="DN39" s="1097">
        <f t="shared" si="20"/>
        <v>0</v>
      </c>
      <c r="DO39" s="1098"/>
      <c r="DP39" s="1098"/>
      <c r="DQ39" s="1098"/>
      <c r="DR39" s="1098"/>
      <c r="DS39" s="1098"/>
      <c r="DT39" s="1098"/>
      <c r="DU39" s="1098"/>
      <c r="DV39" s="1098"/>
      <c r="DW39" s="1098"/>
      <c r="DX39" s="1098"/>
      <c r="DY39" s="1098"/>
      <c r="DZ39" s="1098"/>
      <c r="EA39" s="1097">
        <f t="shared" si="21"/>
        <v>0</v>
      </c>
      <c r="EB39" s="1098"/>
      <c r="EC39" s="1098"/>
      <c r="ED39" s="1098"/>
      <c r="EE39" s="1098"/>
      <c r="EF39" s="1098"/>
      <c r="EG39" s="1098"/>
      <c r="EH39" s="1098"/>
      <c r="EI39" s="1098"/>
      <c r="EJ39" s="1098"/>
      <c r="EK39" s="1098"/>
      <c r="EL39" s="1098"/>
      <c r="EM39" s="1098"/>
      <c r="EN39" s="1097">
        <f t="shared" si="22"/>
        <v>0</v>
      </c>
      <c r="EO39" s="1098"/>
      <c r="EP39" s="1098"/>
      <c r="EQ39" s="1098"/>
      <c r="ER39" s="1098"/>
      <c r="ES39" s="1098"/>
      <c r="ET39" s="1098"/>
      <c r="EU39" s="1098"/>
      <c r="EV39" s="1098"/>
      <c r="EW39" s="1098"/>
      <c r="EX39" s="1098"/>
      <c r="EY39" s="1098"/>
      <c r="EZ39" s="1098"/>
      <c r="FA39" s="1097">
        <f t="shared" si="23"/>
        <v>0</v>
      </c>
      <c r="FB39" s="1098"/>
      <c r="FC39" s="1098"/>
      <c r="FD39" s="1098"/>
      <c r="FE39" s="1098"/>
      <c r="FF39" s="1098"/>
      <c r="FG39" s="1098"/>
      <c r="FH39" s="1098"/>
      <c r="FI39" s="1098"/>
      <c r="FJ39" s="1098"/>
      <c r="FK39" s="1098"/>
      <c r="FL39" s="1098"/>
      <c r="FM39" s="1098"/>
      <c r="FN39" s="1097">
        <f t="shared" si="24"/>
        <v>0</v>
      </c>
      <c r="FO39" s="1098"/>
      <c r="FP39" s="1098"/>
      <c r="FQ39" s="1098"/>
      <c r="FR39" s="1098"/>
      <c r="FS39" s="1098"/>
      <c r="FT39" s="1098"/>
      <c r="FU39" s="1098"/>
      <c r="FV39" s="1098"/>
      <c r="FW39" s="1098"/>
      <c r="FX39" s="1098"/>
      <c r="FY39" s="1098"/>
      <c r="FZ39" s="1098"/>
      <c r="GA39" s="1097">
        <f t="shared" si="25"/>
        <v>0</v>
      </c>
      <c r="GB39" s="1098"/>
      <c r="GC39" s="1098"/>
      <c r="GD39" s="1098"/>
      <c r="GE39" s="1098"/>
      <c r="GF39" s="1098"/>
      <c r="GG39" s="1098"/>
      <c r="GH39" s="1098"/>
      <c r="GI39" s="1098"/>
      <c r="GJ39" s="1098"/>
      <c r="GK39" s="1098"/>
      <c r="GL39" s="1098"/>
      <c r="GM39" s="1098"/>
      <c r="GN39" s="1097">
        <f t="shared" si="26"/>
        <v>0</v>
      </c>
      <c r="GO39" s="1098"/>
      <c r="GP39" s="1098"/>
      <c r="GQ39" s="1098"/>
      <c r="GR39" s="1098"/>
      <c r="GS39" s="1098"/>
      <c r="GT39" s="1098"/>
      <c r="GU39" s="1098"/>
      <c r="GV39" s="1098"/>
      <c r="GW39" s="1098"/>
      <c r="GX39" s="1098"/>
      <c r="GY39" s="1098"/>
      <c r="GZ39" s="1098"/>
      <c r="HA39" s="1097">
        <f t="shared" si="27"/>
        <v>0</v>
      </c>
      <c r="HB39" s="1098"/>
      <c r="HC39" s="1098"/>
      <c r="HD39" s="1098"/>
      <c r="HE39" s="1098"/>
      <c r="HF39" s="1098"/>
      <c r="HG39" s="1098"/>
      <c r="HH39" s="1098"/>
      <c r="HI39" s="1098"/>
      <c r="HJ39" s="1098"/>
      <c r="HK39" s="1098"/>
      <c r="HL39" s="1098"/>
      <c r="HM39" s="1098"/>
      <c r="HN39" s="1097">
        <f t="shared" si="28"/>
        <v>0</v>
      </c>
      <c r="HO39" s="1098"/>
      <c r="HP39" s="1098"/>
      <c r="HQ39" s="1098"/>
      <c r="HR39" s="1098"/>
      <c r="HS39" s="1098"/>
      <c r="HT39" s="1098"/>
      <c r="HU39" s="1098"/>
      <c r="HV39" s="1098"/>
      <c r="HW39" s="1098"/>
      <c r="HX39" s="1098"/>
      <c r="HY39" s="1098"/>
      <c r="HZ39" s="1098"/>
      <c r="IA39" s="1097">
        <f t="shared" si="29"/>
        <v>0</v>
      </c>
      <c r="IB39" s="1098"/>
      <c r="IC39" s="1098"/>
      <c r="ID39" s="1098"/>
      <c r="IE39" s="1098"/>
      <c r="IF39" s="1098"/>
      <c r="IG39" s="1098"/>
      <c r="IH39" s="1098"/>
      <c r="II39" s="1098"/>
      <c r="IJ39" s="1098"/>
      <c r="IK39" s="1098"/>
      <c r="IL39" s="1098"/>
      <c r="IM39" s="1098"/>
      <c r="IN39" s="1097">
        <f t="shared" si="30"/>
        <v>0</v>
      </c>
      <c r="IO39" s="1098"/>
      <c r="IP39" s="1098"/>
      <c r="IQ39" s="1098"/>
      <c r="IR39" s="1098"/>
      <c r="IS39" s="1098"/>
      <c r="IT39" s="1098"/>
      <c r="IU39" s="1098"/>
      <c r="IV39" s="1098"/>
      <c r="IW39" s="1098"/>
      <c r="IX39" s="1098"/>
      <c r="IY39" s="1098"/>
      <c r="IZ39" s="1098"/>
      <c r="JA39" s="1097">
        <f t="shared" si="31"/>
        <v>0</v>
      </c>
      <c r="JB39" s="1098"/>
      <c r="JC39" s="1098"/>
      <c r="JD39" s="1098"/>
      <c r="JE39" s="1098"/>
      <c r="JF39" s="1098"/>
      <c r="JG39" s="1098"/>
      <c r="JH39" s="1098"/>
      <c r="JI39" s="1098"/>
      <c r="JJ39" s="1098"/>
      <c r="JK39" s="1098"/>
      <c r="JL39" s="1098"/>
      <c r="JM39" s="1098"/>
      <c r="JN39" s="1097">
        <f t="shared" si="32"/>
        <v>0</v>
      </c>
      <c r="JP39" s="1116" t="str">
        <f t="shared" si="33"/>
        <v/>
      </c>
      <c r="JQ39" s="1117" t="str">
        <f t="shared" si="34"/>
        <v/>
      </c>
      <c r="JR39" s="1079">
        <f t="shared" si="35"/>
        <v>0</v>
      </c>
      <c r="JS39" s="1118">
        <f t="shared" si="36"/>
        <v>0</v>
      </c>
      <c r="JT39" s="62"/>
      <c r="JU39" s="1139">
        <f t="shared" si="37"/>
        <v>0</v>
      </c>
      <c r="JV39" s="1146" t="s">
        <v>580</v>
      </c>
      <c r="JW39" s="1147" t="str">
        <f t="shared" si="38"/>
        <v>OK</v>
      </c>
    </row>
    <row r="40" spans="1:283" ht="15" customHeight="1" x14ac:dyDescent="0.2">
      <c r="A40" s="1242" t="s">
        <v>581</v>
      </c>
      <c r="B40" s="1098"/>
      <c r="C40" s="1098"/>
      <c r="D40" s="1098"/>
      <c r="E40" s="1098"/>
      <c r="F40" s="1098"/>
      <c r="G40" s="1098"/>
      <c r="H40" s="1098"/>
      <c r="I40" s="1098"/>
      <c r="J40" s="1098"/>
      <c r="K40" s="1098"/>
      <c r="L40" s="1098"/>
      <c r="M40" s="1098"/>
      <c r="N40" s="1097">
        <f t="shared" si="12"/>
        <v>0</v>
      </c>
      <c r="O40" s="1098"/>
      <c r="P40" s="1098"/>
      <c r="Q40" s="1098"/>
      <c r="R40" s="1098"/>
      <c r="S40" s="1098"/>
      <c r="T40" s="1098"/>
      <c r="U40" s="1098"/>
      <c r="V40" s="1098"/>
      <c r="W40" s="1098"/>
      <c r="X40" s="1098"/>
      <c r="Y40" s="1098"/>
      <c r="Z40" s="1098"/>
      <c r="AA40" s="1097">
        <f t="shared" si="13"/>
        <v>0</v>
      </c>
      <c r="AB40" s="1098"/>
      <c r="AC40" s="1098"/>
      <c r="AD40" s="1098"/>
      <c r="AE40" s="1098"/>
      <c r="AF40" s="1098"/>
      <c r="AG40" s="1098"/>
      <c r="AH40" s="1098"/>
      <c r="AI40" s="1098"/>
      <c r="AJ40" s="1098"/>
      <c r="AK40" s="1098"/>
      <c r="AL40" s="1098"/>
      <c r="AM40" s="1098"/>
      <c r="AN40" s="1097">
        <f t="shared" si="14"/>
        <v>0</v>
      </c>
      <c r="AO40" s="1098"/>
      <c r="AP40" s="1098"/>
      <c r="AQ40" s="1098"/>
      <c r="AR40" s="1098"/>
      <c r="AS40" s="1098"/>
      <c r="AT40" s="1098"/>
      <c r="AU40" s="1098"/>
      <c r="AV40" s="1098"/>
      <c r="AW40" s="1098"/>
      <c r="AX40" s="1098"/>
      <c r="AY40" s="1098"/>
      <c r="AZ40" s="1098"/>
      <c r="BA40" s="1097">
        <f t="shared" si="15"/>
        <v>0</v>
      </c>
      <c r="BB40" s="1098"/>
      <c r="BC40" s="1098"/>
      <c r="BD40" s="1098"/>
      <c r="BE40" s="1098"/>
      <c r="BF40" s="1098"/>
      <c r="BG40" s="1098"/>
      <c r="BH40" s="1098"/>
      <c r="BI40" s="1098"/>
      <c r="BJ40" s="1098"/>
      <c r="BK40" s="1098"/>
      <c r="BL40" s="1098"/>
      <c r="BM40" s="1098"/>
      <c r="BN40" s="1097">
        <f t="shared" si="16"/>
        <v>0</v>
      </c>
      <c r="BO40" s="1098"/>
      <c r="BP40" s="1098"/>
      <c r="BQ40" s="1098"/>
      <c r="BR40" s="1098"/>
      <c r="BS40" s="1098"/>
      <c r="BT40" s="1098"/>
      <c r="BU40" s="1098"/>
      <c r="BV40" s="1098"/>
      <c r="BW40" s="1098"/>
      <c r="BX40" s="1098"/>
      <c r="BY40" s="1098"/>
      <c r="BZ40" s="1098"/>
      <c r="CA40" s="1097">
        <f t="shared" si="17"/>
        <v>0</v>
      </c>
      <c r="CB40" s="1098"/>
      <c r="CC40" s="1098"/>
      <c r="CD40" s="1098"/>
      <c r="CE40" s="1098"/>
      <c r="CF40" s="1098"/>
      <c r="CG40" s="1098"/>
      <c r="CH40" s="1098"/>
      <c r="CI40" s="1098"/>
      <c r="CJ40" s="1098"/>
      <c r="CK40" s="1098"/>
      <c r="CL40" s="1098"/>
      <c r="CM40" s="1098"/>
      <c r="CN40" s="1097">
        <f t="shared" si="18"/>
        <v>0</v>
      </c>
      <c r="CO40" s="1098"/>
      <c r="CP40" s="1098"/>
      <c r="CQ40" s="1098"/>
      <c r="CR40" s="1098"/>
      <c r="CS40" s="1098"/>
      <c r="CT40" s="1098"/>
      <c r="CU40" s="1098"/>
      <c r="CV40" s="1098"/>
      <c r="CW40" s="1098"/>
      <c r="CX40" s="1098"/>
      <c r="CY40" s="1098"/>
      <c r="CZ40" s="1098"/>
      <c r="DA40" s="1097">
        <f t="shared" si="19"/>
        <v>0</v>
      </c>
      <c r="DB40" s="1098"/>
      <c r="DC40" s="1098"/>
      <c r="DD40" s="1098"/>
      <c r="DE40" s="1098"/>
      <c r="DF40" s="1098"/>
      <c r="DG40" s="1098"/>
      <c r="DH40" s="1098"/>
      <c r="DI40" s="1098"/>
      <c r="DJ40" s="1098"/>
      <c r="DK40" s="1098"/>
      <c r="DL40" s="1098"/>
      <c r="DM40" s="1098"/>
      <c r="DN40" s="1097">
        <f t="shared" si="20"/>
        <v>0</v>
      </c>
      <c r="DO40" s="1098"/>
      <c r="DP40" s="1098"/>
      <c r="DQ40" s="1098"/>
      <c r="DR40" s="1098"/>
      <c r="DS40" s="1098"/>
      <c r="DT40" s="1098"/>
      <c r="DU40" s="1098"/>
      <c r="DV40" s="1098"/>
      <c r="DW40" s="1098"/>
      <c r="DX40" s="1098"/>
      <c r="DY40" s="1098"/>
      <c r="DZ40" s="1098"/>
      <c r="EA40" s="1097">
        <f t="shared" si="21"/>
        <v>0</v>
      </c>
      <c r="EB40" s="1098"/>
      <c r="EC40" s="1098"/>
      <c r="ED40" s="1098"/>
      <c r="EE40" s="1098"/>
      <c r="EF40" s="1098"/>
      <c r="EG40" s="1098"/>
      <c r="EH40" s="1098"/>
      <c r="EI40" s="1098"/>
      <c r="EJ40" s="1098"/>
      <c r="EK40" s="1098"/>
      <c r="EL40" s="1098"/>
      <c r="EM40" s="1098"/>
      <c r="EN40" s="1097">
        <f t="shared" si="22"/>
        <v>0</v>
      </c>
      <c r="EO40" s="1098"/>
      <c r="EP40" s="1098"/>
      <c r="EQ40" s="1098"/>
      <c r="ER40" s="1098"/>
      <c r="ES40" s="1098"/>
      <c r="ET40" s="1098"/>
      <c r="EU40" s="1098"/>
      <c r="EV40" s="1098"/>
      <c r="EW40" s="1098"/>
      <c r="EX40" s="1098"/>
      <c r="EY40" s="1098"/>
      <c r="EZ40" s="1098"/>
      <c r="FA40" s="1097">
        <f t="shared" si="23"/>
        <v>0</v>
      </c>
      <c r="FB40" s="1098"/>
      <c r="FC40" s="1098"/>
      <c r="FD40" s="1098"/>
      <c r="FE40" s="1098"/>
      <c r="FF40" s="1098"/>
      <c r="FG40" s="1098"/>
      <c r="FH40" s="1098"/>
      <c r="FI40" s="1098"/>
      <c r="FJ40" s="1098"/>
      <c r="FK40" s="1098"/>
      <c r="FL40" s="1098"/>
      <c r="FM40" s="1098"/>
      <c r="FN40" s="1097">
        <f t="shared" si="24"/>
        <v>0</v>
      </c>
      <c r="FO40" s="1098"/>
      <c r="FP40" s="1098"/>
      <c r="FQ40" s="1098"/>
      <c r="FR40" s="1098"/>
      <c r="FS40" s="1098"/>
      <c r="FT40" s="1098"/>
      <c r="FU40" s="1098"/>
      <c r="FV40" s="1098"/>
      <c r="FW40" s="1098"/>
      <c r="FX40" s="1098"/>
      <c r="FY40" s="1098"/>
      <c r="FZ40" s="1098"/>
      <c r="GA40" s="1097">
        <f t="shared" si="25"/>
        <v>0</v>
      </c>
      <c r="GB40" s="1098"/>
      <c r="GC40" s="1098"/>
      <c r="GD40" s="1098"/>
      <c r="GE40" s="1098"/>
      <c r="GF40" s="1098"/>
      <c r="GG40" s="1098"/>
      <c r="GH40" s="1098"/>
      <c r="GI40" s="1098"/>
      <c r="GJ40" s="1098"/>
      <c r="GK40" s="1098"/>
      <c r="GL40" s="1098"/>
      <c r="GM40" s="1098"/>
      <c r="GN40" s="1097">
        <f t="shared" si="26"/>
        <v>0</v>
      </c>
      <c r="GO40" s="1098"/>
      <c r="GP40" s="1098"/>
      <c r="GQ40" s="1098"/>
      <c r="GR40" s="1098"/>
      <c r="GS40" s="1098"/>
      <c r="GT40" s="1098"/>
      <c r="GU40" s="1098"/>
      <c r="GV40" s="1098"/>
      <c r="GW40" s="1098"/>
      <c r="GX40" s="1098"/>
      <c r="GY40" s="1098"/>
      <c r="GZ40" s="1098"/>
      <c r="HA40" s="1097">
        <f t="shared" si="27"/>
        <v>0</v>
      </c>
      <c r="HB40" s="1098"/>
      <c r="HC40" s="1098"/>
      <c r="HD40" s="1098"/>
      <c r="HE40" s="1098"/>
      <c r="HF40" s="1098"/>
      <c r="HG40" s="1098"/>
      <c r="HH40" s="1098"/>
      <c r="HI40" s="1098"/>
      <c r="HJ40" s="1098"/>
      <c r="HK40" s="1098"/>
      <c r="HL40" s="1098"/>
      <c r="HM40" s="1098"/>
      <c r="HN40" s="1097">
        <f t="shared" si="28"/>
        <v>0</v>
      </c>
      <c r="HO40" s="1098"/>
      <c r="HP40" s="1098"/>
      <c r="HQ40" s="1098"/>
      <c r="HR40" s="1098"/>
      <c r="HS40" s="1098"/>
      <c r="HT40" s="1098"/>
      <c r="HU40" s="1098"/>
      <c r="HV40" s="1098"/>
      <c r="HW40" s="1098"/>
      <c r="HX40" s="1098"/>
      <c r="HY40" s="1098"/>
      <c r="HZ40" s="1098"/>
      <c r="IA40" s="1097">
        <f t="shared" si="29"/>
        <v>0</v>
      </c>
      <c r="IB40" s="1098"/>
      <c r="IC40" s="1098"/>
      <c r="ID40" s="1098"/>
      <c r="IE40" s="1098"/>
      <c r="IF40" s="1098"/>
      <c r="IG40" s="1098"/>
      <c r="IH40" s="1098"/>
      <c r="II40" s="1098"/>
      <c r="IJ40" s="1098"/>
      <c r="IK40" s="1098"/>
      <c r="IL40" s="1098"/>
      <c r="IM40" s="1098"/>
      <c r="IN40" s="1097">
        <f t="shared" si="30"/>
        <v>0</v>
      </c>
      <c r="IO40" s="1098"/>
      <c r="IP40" s="1098"/>
      <c r="IQ40" s="1098"/>
      <c r="IR40" s="1098"/>
      <c r="IS40" s="1098"/>
      <c r="IT40" s="1098"/>
      <c r="IU40" s="1098"/>
      <c r="IV40" s="1098"/>
      <c r="IW40" s="1098"/>
      <c r="IX40" s="1098"/>
      <c r="IY40" s="1098"/>
      <c r="IZ40" s="1098"/>
      <c r="JA40" s="1097">
        <f t="shared" si="31"/>
        <v>0</v>
      </c>
      <c r="JB40" s="1098"/>
      <c r="JC40" s="1098"/>
      <c r="JD40" s="1098"/>
      <c r="JE40" s="1098"/>
      <c r="JF40" s="1098"/>
      <c r="JG40" s="1098"/>
      <c r="JH40" s="1098"/>
      <c r="JI40" s="1098"/>
      <c r="JJ40" s="1098"/>
      <c r="JK40" s="1098"/>
      <c r="JL40" s="1098"/>
      <c r="JM40" s="1098"/>
      <c r="JN40" s="1097">
        <f t="shared" si="32"/>
        <v>0</v>
      </c>
      <c r="JP40" s="1116" t="str">
        <f t="shared" si="33"/>
        <v/>
      </c>
      <c r="JQ40" s="1117" t="str">
        <f t="shared" si="34"/>
        <v/>
      </c>
      <c r="JR40" s="1079">
        <f t="shared" si="35"/>
        <v>0</v>
      </c>
      <c r="JS40" s="1118">
        <f t="shared" si="36"/>
        <v>0</v>
      </c>
      <c r="JT40" s="62"/>
      <c r="JU40" s="1139">
        <f t="shared" si="37"/>
        <v>0</v>
      </c>
      <c r="JV40" s="1146" t="s">
        <v>581</v>
      </c>
      <c r="JW40" s="1147" t="str">
        <f t="shared" si="38"/>
        <v>OK</v>
      </c>
    </row>
    <row r="41" spans="1:283" ht="15" customHeight="1" x14ac:dyDescent="0.2">
      <c r="A41" s="1242" t="s">
        <v>284</v>
      </c>
      <c r="B41" s="1098"/>
      <c r="C41" s="1098"/>
      <c r="D41" s="1098"/>
      <c r="E41" s="1098"/>
      <c r="F41" s="1098"/>
      <c r="G41" s="1098"/>
      <c r="H41" s="1098"/>
      <c r="I41" s="1098"/>
      <c r="J41" s="1098"/>
      <c r="K41" s="1098"/>
      <c r="L41" s="1098"/>
      <c r="M41" s="1098"/>
      <c r="N41" s="1097">
        <f t="shared" si="12"/>
        <v>0</v>
      </c>
      <c r="O41" s="1098"/>
      <c r="P41" s="1098"/>
      <c r="Q41" s="1098"/>
      <c r="R41" s="1098"/>
      <c r="S41" s="1098"/>
      <c r="T41" s="1098"/>
      <c r="U41" s="1098"/>
      <c r="V41" s="1098"/>
      <c r="W41" s="1098"/>
      <c r="X41" s="1098"/>
      <c r="Y41" s="1098"/>
      <c r="Z41" s="1098"/>
      <c r="AA41" s="1097">
        <f t="shared" si="13"/>
        <v>0</v>
      </c>
      <c r="AB41" s="1098"/>
      <c r="AC41" s="1098"/>
      <c r="AD41" s="1098"/>
      <c r="AE41" s="1098"/>
      <c r="AF41" s="1098"/>
      <c r="AG41" s="1098"/>
      <c r="AH41" s="1098"/>
      <c r="AI41" s="1098"/>
      <c r="AJ41" s="1098"/>
      <c r="AK41" s="1098"/>
      <c r="AL41" s="1098"/>
      <c r="AM41" s="1098"/>
      <c r="AN41" s="1097">
        <f t="shared" si="14"/>
        <v>0</v>
      </c>
      <c r="AO41" s="1098"/>
      <c r="AP41" s="1098"/>
      <c r="AQ41" s="1098"/>
      <c r="AR41" s="1098"/>
      <c r="AS41" s="1098"/>
      <c r="AT41" s="1098"/>
      <c r="AU41" s="1098"/>
      <c r="AV41" s="1098"/>
      <c r="AW41" s="1098"/>
      <c r="AX41" s="1098"/>
      <c r="AY41" s="1098"/>
      <c r="AZ41" s="1098"/>
      <c r="BA41" s="1097">
        <f t="shared" si="15"/>
        <v>0</v>
      </c>
      <c r="BB41" s="1098"/>
      <c r="BC41" s="1098"/>
      <c r="BD41" s="1098"/>
      <c r="BE41" s="1098"/>
      <c r="BF41" s="1098"/>
      <c r="BG41" s="1098"/>
      <c r="BH41" s="1098"/>
      <c r="BI41" s="1098"/>
      <c r="BJ41" s="1098"/>
      <c r="BK41" s="1098"/>
      <c r="BL41" s="1098"/>
      <c r="BM41" s="1098"/>
      <c r="BN41" s="1097">
        <f t="shared" si="16"/>
        <v>0</v>
      </c>
      <c r="BO41" s="1098"/>
      <c r="BP41" s="1098"/>
      <c r="BQ41" s="1098"/>
      <c r="BR41" s="1098"/>
      <c r="BS41" s="1098"/>
      <c r="BT41" s="1098"/>
      <c r="BU41" s="1098"/>
      <c r="BV41" s="1098"/>
      <c r="BW41" s="1098"/>
      <c r="BX41" s="1098"/>
      <c r="BY41" s="1098"/>
      <c r="BZ41" s="1098"/>
      <c r="CA41" s="1097">
        <f t="shared" si="17"/>
        <v>0</v>
      </c>
      <c r="CB41" s="1098"/>
      <c r="CC41" s="1098"/>
      <c r="CD41" s="1098"/>
      <c r="CE41" s="1098"/>
      <c r="CF41" s="1098"/>
      <c r="CG41" s="1098"/>
      <c r="CH41" s="1098"/>
      <c r="CI41" s="1098"/>
      <c r="CJ41" s="1098"/>
      <c r="CK41" s="1098"/>
      <c r="CL41" s="1098"/>
      <c r="CM41" s="1098"/>
      <c r="CN41" s="1097">
        <f t="shared" si="18"/>
        <v>0</v>
      </c>
      <c r="CO41" s="1098"/>
      <c r="CP41" s="1098"/>
      <c r="CQ41" s="1098"/>
      <c r="CR41" s="1098"/>
      <c r="CS41" s="1098"/>
      <c r="CT41" s="1098"/>
      <c r="CU41" s="1098"/>
      <c r="CV41" s="1098"/>
      <c r="CW41" s="1098"/>
      <c r="CX41" s="1098"/>
      <c r="CY41" s="1098"/>
      <c r="CZ41" s="1098"/>
      <c r="DA41" s="1097">
        <f t="shared" si="19"/>
        <v>0</v>
      </c>
      <c r="DB41" s="1098"/>
      <c r="DC41" s="1098"/>
      <c r="DD41" s="1098"/>
      <c r="DE41" s="1098"/>
      <c r="DF41" s="1098"/>
      <c r="DG41" s="1098"/>
      <c r="DH41" s="1098"/>
      <c r="DI41" s="1098"/>
      <c r="DJ41" s="1098"/>
      <c r="DK41" s="1098"/>
      <c r="DL41" s="1098"/>
      <c r="DM41" s="1098"/>
      <c r="DN41" s="1097">
        <f t="shared" si="20"/>
        <v>0</v>
      </c>
      <c r="DO41" s="1098"/>
      <c r="DP41" s="1098"/>
      <c r="DQ41" s="1098"/>
      <c r="DR41" s="1098"/>
      <c r="DS41" s="1098"/>
      <c r="DT41" s="1098"/>
      <c r="DU41" s="1098"/>
      <c r="DV41" s="1098"/>
      <c r="DW41" s="1098"/>
      <c r="DX41" s="1098"/>
      <c r="DY41" s="1098"/>
      <c r="DZ41" s="1098"/>
      <c r="EA41" s="1097">
        <f t="shared" si="21"/>
        <v>0</v>
      </c>
      <c r="EB41" s="1098"/>
      <c r="EC41" s="1098"/>
      <c r="ED41" s="1098"/>
      <c r="EE41" s="1098"/>
      <c r="EF41" s="1098"/>
      <c r="EG41" s="1098"/>
      <c r="EH41" s="1098"/>
      <c r="EI41" s="1098"/>
      <c r="EJ41" s="1098"/>
      <c r="EK41" s="1098"/>
      <c r="EL41" s="1098"/>
      <c r="EM41" s="1098"/>
      <c r="EN41" s="1097">
        <f t="shared" si="22"/>
        <v>0</v>
      </c>
      <c r="EO41" s="1098"/>
      <c r="EP41" s="1098"/>
      <c r="EQ41" s="1098"/>
      <c r="ER41" s="1098"/>
      <c r="ES41" s="1098"/>
      <c r="ET41" s="1098"/>
      <c r="EU41" s="1098"/>
      <c r="EV41" s="1098"/>
      <c r="EW41" s="1098"/>
      <c r="EX41" s="1098"/>
      <c r="EY41" s="1098"/>
      <c r="EZ41" s="1098"/>
      <c r="FA41" s="1097">
        <f t="shared" si="23"/>
        <v>0</v>
      </c>
      <c r="FB41" s="1098"/>
      <c r="FC41" s="1098"/>
      <c r="FD41" s="1098"/>
      <c r="FE41" s="1098"/>
      <c r="FF41" s="1098"/>
      <c r="FG41" s="1098"/>
      <c r="FH41" s="1098"/>
      <c r="FI41" s="1098"/>
      <c r="FJ41" s="1098"/>
      <c r="FK41" s="1098"/>
      <c r="FL41" s="1098"/>
      <c r="FM41" s="1098"/>
      <c r="FN41" s="1097">
        <f t="shared" si="24"/>
        <v>0</v>
      </c>
      <c r="FO41" s="1098"/>
      <c r="FP41" s="1098"/>
      <c r="FQ41" s="1098"/>
      <c r="FR41" s="1098"/>
      <c r="FS41" s="1098"/>
      <c r="FT41" s="1098"/>
      <c r="FU41" s="1098"/>
      <c r="FV41" s="1098">
        <v>3</v>
      </c>
      <c r="FW41" s="1098"/>
      <c r="FX41" s="1098"/>
      <c r="FY41" s="1098"/>
      <c r="FZ41" s="1098"/>
      <c r="GA41" s="1097">
        <f t="shared" si="25"/>
        <v>3</v>
      </c>
      <c r="GB41" s="1098"/>
      <c r="GC41" s="1098"/>
      <c r="GD41" s="1098"/>
      <c r="GE41" s="1098"/>
      <c r="GF41" s="1098"/>
      <c r="GG41" s="1098"/>
      <c r="GH41" s="1098"/>
      <c r="GI41" s="1098"/>
      <c r="GJ41" s="1098"/>
      <c r="GK41" s="1098"/>
      <c r="GL41" s="1098"/>
      <c r="GM41" s="1098"/>
      <c r="GN41" s="1097">
        <f t="shared" si="26"/>
        <v>0</v>
      </c>
      <c r="GO41" s="1098"/>
      <c r="GP41" s="1098"/>
      <c r="GQ41" s="1098"/>
      <c r="GR41" s="1098"/>
      <c r="GS41" s="1098"/>
      <c r="GT41" s="1098"/>
      <c r="GU41" s="1098"/>
      <c r="GV41" s="1098"/>
      <c r="GW41" s="1098"/>
      <c r="GX41" s="1098"/>
      <c r="GY41" s="1098"/>
      <c r="GZ41" s="1098"/>
      <c r="HA41" s="1097">
        <f t="shared" si="27"/>
        <v>0</v>
      </c>
      <c r="HB41" s="1098"/>
      <c r="HC41" s="1098"/>
      <c r="HD41" s="1098"/>
      <c r="HE41" s="1098"/>
      <c r="HF41" s="1098"/>
      <c r="HG41" s="1098"/>
      <c r="HH41" s="1098"/>
      <c r="HI41" s="1098"/>
      <c r="HJ41" s="1098"/>
      <c r="HK41" s="1098"/>
      <c r="HL41" s="1098"/>
      <c r="HM41" s="1098"/>
      <c r="HN41" s="1097">
        <f t="shared" si="28"/>
        <v>0</v>
      </c>
      <c r="HO41" s="1098"/>
      <c r="HP41" s="1098"/>
      <c r="HQ41" s="1098"/>
      <c r="HR41" s="1098"/>
      <c r="HS41" s="1098"/>
      <c r="HT41" s="1098"/>
      <c r="HU41" s="1098"/>
      <c r="HV41" s="1098"/>
      <c r="HW41" s="1098"/>
      <c r="HX41" s="1098"/>
      <c r="HY41" s="1098"/>
      <c r="HZ41" s="1098"/>
      <c r="IA41" s="1097">
        <f t="shared" si="29"/>
        <v>0</v>
      </c>
      <c r="IB41" s="1098"/>
      <c r="IC41" s="1098"/>
      <c r="ID41" s="1098"/>
      <c r="IE41" s="1098"/>
      <c r="IF41" s="1098"/>
      <c r="IG41" s="1098"/>
      <c r="IH41" s="1098"/>
      <c r="II41" s="1098"/>
      <c r="IJ41" s="1098"/>
      <c r="IK41" s="1098"/>
      <c r="IL41" s="1098"/>
      <c r="IM41" s="1098"/>
      <c r="IN41" s="1097">
        <f t="shared" si="30"/>
        <v>0</v>
      </c>
      <c r="IO41" s="1098"/>
      <c r="IP41" s="1098"/>
      <c r="IQ41" s="1098"/>
      <c r="IR41" s="1098"/>
      <c r="IS41" s="1098"/>
      <c r="IT41" s="1098"/>
      <c r="IU41" s="1098"/>
      <c r="IV41" s="1098"/>
      <c r="IW41" s="1098"/>
      <c r="IX41" s="1098"/>
      <c r="IY41" s="1098"/>
      <c r="IZ41" s="1098"/>
      <c r="JA41" s="1097">
        <f t="shared" si="31"/>
        <v>0</v>
      </c>
      <c r="JB41" s="1098"/>
      <c r="JC41" s="1098"/>
      <c r="JD41" s="1098"/>
      <c r="JE41" s="1098"/>
      <c r="JF41" s="1098"/>
      <c r="JG41" s="1098"/>
      <c r="JH41" s="1098"/>
      <c r="JI41" s="1098"/>
      <c r="JJ41" s="1098"/>
      <c r="JK41" s="1098"/>
      <c r="JL41" s="1098"/>
      <c r="JM41" s="1098"/>
      <c r="JN41" s="1097">
        <f t="shared" si="32"/>
        <v>0</v>
      </c>
      <c r="JP41" s="1116" t="str">
        <f t="shared" si="33"/>
        <v/>
      </c>
      <c r="JQ41" s="1117" t="str">
        <f t="shared" si="34"/>
        <v/>
      </c>
      <c r="JR41" s="1079">
        <f t="shared" si="35"/>
        <v>0</v>
      </c>
      <c r="JS41" s="1118">
        <f t="shared" si="36"/>
        <v>0</v>
      </c>
      <c r="JT41" s="62"/>
      <c r="JU41" s="1139">
        <f t="shared" si="37"/>
        <v>6</v>
      </c>
      <c r="JV41" s="1146" t="s">
        <v>284</v>
      </c>
      <c r="JW41" s="1147" t="str">
        <f t="shared" si="38"/>
        <v>OK</v>
      </c>
    </row>
    <row r="42" spans="1:283" ht="15" customHeight="1" x14ac:dyDescent="0.2">
      <c r="A42" s="1242" t="s">
        <v>181</v>
      </c>
      <c r="B42" s="1098"/>
      <c r="C42" s="1098"/>
      <c r="D42" s="1098"/>
      <c r="E42" s="1098"/>
      <c r="F42" s="1098"/>
      <c r="G42" s="1098"/>
      <c r="H42" s="1098"/>
      <c r="I42" s="1098"/>
      <c r="J42" s="1098"/>
      <c r="K42" s="1098"/>
      <c r="L42" s="1098"/>
      <c r="M42" s="1098"/>
      <c r="N42" s="1097">
        <f t="shared" si="12"/>
        <v>0</v>
      </c>
      <c r="O42" s="1098"/>
      <c r="P42" s="1098">
        <v>3</v>
      </c>
      <c r="Q42" s="1098">
        <v>1</v>
      </c>
      <c r="R42" s="1098"/>
      <c r="S42" s="1098"/>
      <c r="T42" s="1098">
        <v>6</v>
      </c>
      <c r="U42" s="1098">
        <v>2</v>
      </c>
      <c r="V42" s="1098">
        <v>4</v>
      </c>
      <c r="W42" s="1098"/>
      <c r="X42" s="1098">
        <v>4</v>
      </c>
      <c r="Y42" s="1098">
        <v>5</v>
      </c>
      <c r="Z42" s="1098"/>
      <c r="AA42" s="1097">
        <f t="shared" si="13"/>
        <v>25</v>
      </c>
      <c r="AB42" s="1098"/>
      <c r="AC42" s="1098"/>
      <c r="AD42" s="1098">
        <v>9</v>
      </c>
      <c r="AE42" s="1098">
        <v>6</v>
      </c>
      <c r="AF42" s="1098"/>
      <c r="AG42" s="1098">
        <v>3</v>
      </c>
      <c r="AH42" s="1098"/>
      <c r="AI42" s="1098"/>
      <c r="AJ42" s="1098"/>
      <c r="AK42" s="1098"/>
      <c r="AL42" s="1098"/>
      <c r="AM42" s="1098"/>
      <c r="AN42" s="1097">
        <f t="shared" si="14"/>
        <v>18</v>
      </c>
      <c r="AO42" s="1098"/>
      <c r="AP42" s="1098"/>
      <c r="AQ42" s="1098">
        <v>10</v>
      </c>
      <c r="AR42" s="1098"/>
      <c r="AS42" s="1098">
        <v>5</v>
      </c>
      <c r="AT42" s="1098">
        <v>100</v>
      </c>
      <c r="AU42" s="1098">
        <v>37</v>
      </c>
      <c r="AV42" s="1098">
        <v>3</v>
      </c>
      <c r="AW42" s="1098">
        <v>52</v>
      </c>
      <c r="AX42" s="1098"/>
      <c r="AY42" s="1098"/>
      <c r="AZ42" s="1098">
        <v>5</v>
      </c>
      <c r="BA42" s="1097">
        <f t="shared" si="15"/>
        <v>212</v>
      </c>
      <c r="BB42" s="1098"/>
      <c r="BC42" s="1098">
        <v>13</v>
      </c>
      <c r="BD42" s="1098">
        <v>19</v>
      </c>
      <c r="BE42" s="1098">
        <v>7</v>
      </c>
      <c r="BF42" s="1098"/>
      <c r="BG42" s="1098"/>
      <c r="BH42" s="1098">
        <v>42</v>
      </c>
      <c r="BI42" s="1098">
        <v>18</v>
      </c>
      <c r="BJ42" s="1098">
        <v>29</v>
      </c>
      <c r="BK42" s="1098">
        <v>41</v>
      </c>
      <c r="BL42" s="1098">
        <v>30</v>
      </c>
      <c r="BM42" s="1098">
        <v>26</v>
      </c>
      <c r="BN42" s="1097">
        <f t="shared" si="16"/>
        <v>225</v>
      </c>
      <c r="BO42" s="1098">
        <v>17</v>
      </c>
      <c r="BP42" s="1098">
        <v>15</v>
      </c>
      <c r="BQ42" s="1098">
        <v>19</v>
      </c>
      <c r="BR42" s="1098">
        <v>25</v>
      </c>
      <c r="BS42" s="1098">
        <v>28</v>
      </c>
      <c r="BT42" s="1098">
        <v>16</v>
      </c>
      <c r="BU42" s="1098">
        <v>23</v>
      </c>
      <c r="BV42" s="1098">
        <v>30</v>
      </c>
      <c r="BW42" s="1098">
        <v>26</v>
      </c>
      <c r="BX42" s="1098">
        <v>23</v>
      </c>
      <c r="BY42" s="1098">
        <v>19</v>
      </c>
      <c r="BZ42" s="1098">
        <v>21</v>
      </c>
      <c r="CA42" s="1097">
        <f t="shared" si="17"/>
        <v>262</v>
      </c>
      <c r="CB42" s="1098">
        <v>19</v>
      </c>
      <c r="CC42" s="1098">
        <v>20</v>
      </c>
      <c r="CD42" s="1098">
        <v>27</v>
      </c>
      <c r="CE42" s="1098">
        <v>30</v>
      </c>
      <c r="CF42" s="1098">
        <v>32</v>
      </c>
      <c r="CG42" s="1098">
        <v>31</v>
      </c>
      <c r="CH42" s="1098">
        <v>27</v>
      </c>
      <c r="CI42" s="1098">
        <v>45</v>
      </c>
      <c r="CJ42" s="1098">
        <v>34</v>
      </c>
      <c r="CK42" s="1098">
        <v>33</v>
      </c>
      <c r="CL42" s="1098">
        <v>25</v>
      </c>
      <c r="CM42" s="1098">
        <v>28</v>
      </c>
      <c r="CN42" s="1097">
        <f t="shared" si="18"/>
        <v>351</v>
      </c>
      <c r="CO42" s="1098">
        <v>31</v>
      </c>
      <c r="CP42" s="1098"/>
      <c r="CQ42" s="1098">
        <v>28</v>
      </c>
      <c r="CR42" s="1098">
        <v>44</v>
      </c>
      <c r="CS42" s="1098">
        <v>51</v>
      </c>
      <c r="CT42" s="1098">
        <v>40</v>
      </c>
      <c r="CU42" s="1098">
        <v>40</v>
      </c>
      <c r="CV42" s="1098">
        <v>51</v>
      </c>
      <c r="CW42" s="1098">
        <v>35</v>
      </c>
      <c r="CX42" s="1098">
        <v>46</v>
      </c>
      <c r="CY42" s="1098">
        <v>55</v>
      </c>
      <c r="CZ42" s="1098">
        <v>50</v>
      </c>
      <c r="DA42" s="1097">
        <f t="shared" si="19"/>
        <v>471</v>
      </c>
      <c r="DB42" s="1098">
        <v>54</v>
      </c>
      <c r="DC42" s="1098">
        <v>43</v>
      </c>
      <c r="DD42" s="1098">
        <v>61</v>
      </c>
      <c r="DE42" s="1098">
        <v>44</v>
      </c>
      <c r="DF42" s="1098">
        <v>33</v>
      </c>
      <c r="DG42" s="1098">
        <v>41</v>
      </c>
      <c r="DH42" s="1098">
        <v>54</v>
      </c>
      <c r="DI42" s="1098">
        <v>56</v>
      </c>
      <c r="DJ42" s="1098">
        <v>51</v>
      </c>
      <c r="DK42" s="1098">
        <v>51</v>
      </c>
      <c r="DL42" s="1098">
        <v>53</v>
      </c>
      <c r="DM42" s="1098">
        <v>3</v>
      </c>
      <c r="DN42" s="1097">
        <f t="shared" si="20"/>
        <v>544</v>
      </c>
      <c r="DO42" s="1098">
        <v>6.4</v>
      </c>
      <c r="DP42" s="1098">
        <v>0.4</v>
      </c>
      <c r="DQ42" s="1098">
        <v>0.1</v>
      </c>
      <c r="DR42" s="1098">
        <v>0.2</v>
      </c>
      <c r="DS42" s="1098">
        <v>0.3</v>
      </c>
      <c r="DT42" s="1098">
        <v>0.4</v>
      </c>
      <c r="DU42" s="1098">
        <v>0.2</v>
      </c>
      <c r="DV42" s="1098">
        <v>0.5</v>
      </c>
      <c r="DW42" s="1098">
        <v>0.4</v>
      </c>
      <c r="DX42" s="1098">
        <v>0.5</v>
      </c>
      <c r="DY42" s="1098">
        <v>56</v>
      </c>
      <c r="DZ42" s="1098"/>
      <c r="EA42" s="1097">
        <f t="shared" si="21"/>
        <v>65.400000000000006</v>
      </c>
      <c r="EB42" s="1098">
        <v>24</v>
      </c>
      <c r="EC42" s="1098">
        <v>38</v>
      </c>
      <c r="ED42" s="1098">
        <v>16</v>
      </c>
      <c r="EE42" s="1098">
        <v>37</v>
      </c>
      <c r="EF42" s="1098">
        <v>36</v>
      </c>
      <c r="EG42" s="1098">
        <v>28</v>
      </c>
      <c r="EH42" s="1098">
        <v>33</v>
      </c>
      <c r="EI42" s="1098">
        <v>28</v>
      </c>
      <c r="EJ42" s="1098"/>
      <c r="EK42" s="1098"/>
      <c r="EL42" s="1098"/>
      <c r="EM42" s="1098"/>
      <c r="EN42" s="1097">
        <f t="shared" si="22"/>
        <v>240</v>
      </c>
      <c r="EO42" s="1098"/>
      <c r="EP42" s="1098"/>
      <c r="EQ42" s="1098"/>
      <c r="ER42" s="1098"/>
      <c r="ES42" s="1098"/>
      <c r="ET42" s="1098">
        <v>9</v>
      </c>
      <c r="EU42" s="1098"/>
      <c r="EV42" s="1098">
        <v>7</v>
      </c>
      <c r="EW42" s="1098">
        <v>10</v>
      </c>
      <c r="EX42" s="1098">
        <v>7</v>
      </c>
      <c r="EY42" s="1098">
        <v>14</v>
      </c>
      <c r="EZ42" s="1098">
        <v>30</v>
      </c>
      <c r="FA42" s="1097">
        <f t="shared" si="23"/>
        <v>77</v>
      </c>
      <c r="FB42" s="1098"/>
      <c r="FC42" s="1098">
        <v>28</v>
      </c>
      <c r="FD42" s="1098">
        <v>8</v>
      </c>
      <c r="FE42" s="1098">
        <v>34</v>
      </c>
      <c r="FF42" s="1098">
        <v>12</v>
      </c>
      <c r="FG42" s="1098"/>
      <c r="FH42" s="1098"/>
      <c r="FI42" s="1098"/>
      <c r="FJ42" s="1098"/>
      <c r="FK42" s="1098">
        <v>15</v>
      </c>
      <c r="FL42" s="1098">
        <v>10</v>
      </c>
      <c r="FM42" s="1098"/>
      <c r="FN42" s="1097">
        <f t="shared" si="24"/>
        <v>107</v>
      </c>
      <c r="FO42" s="1098"/>
      <c r="FP42" s="1098"/>
      <c r="FQ42" s="1098"/>
      <c r="FR42" s="1098"/>
      <c r="FS42" s="1098"/>
      <c r="FT42" s="1098"/>
      <c r="FU42" s="1098">
        <v>3</v>
      </c>
      <c r="FV42" s="1098"/>
      <c r="FW42" s="1098"/>
      <c r="FX42" s="1098">
        <v>12</v>
      </c>
      <c r="FY42" s="1098"/>
      <c r="FZ42" s="1098"/>
      <c r="GA42" s="1097">
        <f t="shared" si="25"/>
        <v>15</v>
      </c>
      <c r="GB42" s="1098"/>
      <c r="GC42" s="1098"/>
      <c r="GD42" s="1098"/>
      <c r="GE42" s="1098"/>
      <c r="GF42" s="1098"/>
      <c r="GG42" s="1098"/>
      <c r="GH42" s="1098"/>
      <c r="GI42" s="1098"/>
      <c r="GJ42" s="1098"/>
      <c r="GK42" s="1098"/>
      <c r="GL42" s="1098"/>
      <c r="GM42" s="1098"/>
      <c r="GN42" s="1097">
        <f t="shared" si="26"/>
        <v>0</v>
      </c>
      <c r="GO42" s="1098"/>
      <c r="GP42" s="1098"/>
      <c r="GQ42" s="1098"/>
      <c r="GR42" s="1098"/>
      <c r="GS42" s="1098"/>
      <c r="GT42" s="1098"/>
      <c r="GU42" s="1098"/>
      <c r="GV42" s="1098"/>
      <c r="GW42" s="1098"/>
      <c r="GX42" s="1098"/>
      <c r="GY42" s="1098"/>
      <c r="GZ42" s="1098"/>
      <c r="HA42" s="1097">
        <f t="shared" si="27"/>
        <v>0</v>
      </c>
      <c r="HB42" s="1098"/>
      <c r="HC42" s="1098">
        <v>3</v>
      </c>
      <c r="HD42" s="1098"/>
      <c r="HE42" s="1098"/>
      <c r="HF42" s="1098"/>
      <c r="HG42" s="1098"/>
      <c r="HH42" s="1098">
        <v>3</v>
      </c>
      <c r="HI42" s="1098"/>
      <c r="HJ42" s="1098"/>
      <c r="HK42" s="1098"/>
      <c r="HL42" s="1098"/>
      <c r="HM42" s="1098"/>
      <c r="HN42" s="1097">
        <f t="shared" si="28"/>
        <v>6</v>
      </c>
      <c r="HO42" s="1098"/>
      <c r="HP42" s="1098">
        <v>7</v>
      </c>
      <c r="HQ42" s="1098"/>
      <c r="HR42" s="1098"/>
      <c r="HS42" s="1098"/>
      <c r="HT42" s="1098"/>
      <c r="HU42" s="1098">
        <v>8</v>
      </c>
      <c r="HV42" s="1098">
        <v>85</v>
      </c>
      <c r="HW42" s="1098">
        <v>70</v>
      </c>
      <c r="HX42" s="1098">
        <v>78</v>
      </c>
      <c r="HY42" s="1098">
        <v>76</v>
      </c>
      <c r="HZ42" s="1098">
        <v>82</v>
      </c>
      <c r="IA42" s="1097">
        <f t="shared" si="29"/>
        <v>406</v>
      </c>
      <c r="IB42" s="1098">
        <v>85</v>
      </c>
      <c r="IC42" s="1098">
        <v>87</v>
      </c>
      <c r="ID42" s="1098">
        <v>87</v>
      </c>
      <c r="IE42" s="1098">
        <v>89</v>
      </c>
      <c r="IF42" s="1098">
        <v>88</v>
      </c>
      <c r="IG42" s="1098">
        <v>5</v>
      </c>
      <c r="IH42" s="1098"/>
      <c r="II42" s="1098"/>
      <c r="IJ42" s="1098"/>
      <c r="IK42" s="1098"/>
      <c r="IL42" s="1098"/>
      <c r="IM42" s="1098"/>
      <c r="IN42" s="1097">
        <f t="shared" si="30"/>
        <v>441</v>
      </c>
      <c r="IO42" s="1098"/>
      <c r="IP42" s="1098"/>
      <c r="IQ42" s="1098"/>
      <c r="IR42" s="1098"/>
      <c r="IS42" s="1098"/>
      <c r="IT42" s="1098"/>
      <c r="IU42" s="1098"/>
      <c r="IV42" s="1098"/>
      <c r="IW42" s="1098"/>
      <c r="IX42" s="1098"/>
      <c r="IY42" s="1098"/>
      <c r="IZ42" s="1098"/>
      <c r="JA42" s="1097">
        <f t="shared" si="31"/>
        <v>0</v>
      </c>
      <c r="JB42" s="1098"/>
      <c r="JC42" s="1098"/>
      <c r="JD42" s="1098"/>
      <c r="JE42" s="1098"/>
      <c r="JF42" s="1098"/>
      <c r="JG42" s="1098"/>
      <c r="JH42" s="1098"/>
      <c r="JI42" s="1098"/>
      <c r="JJ42" s="1098"/>
      <c r="JK42" s="1098"/>
      <c r="JL42" s="1098"/>
      <c r="JM42" s="1098"/>
      <c r="JN42" s="1097">
        <f t="shared" si="32"/>
        <v>0</v>
      </c>
      <c r="JP42" s="1116" t="str">
        <f t="shared" si="33"/>
        <v/>
      </c>
      <c r="JQ42" s="1117" t="str">
        <f t="shared" si="34"/>
        <v/>
      </c>
      <c r="JR42" s="1079">
        <f t="shared" si="35"/>
        <v>0</v>
      </c>
      <c r="JS42" s="1118">
        <f t="shared" si="36"/>
        <v>0</v>
      </c>
      <c r="JT42" s="62"/>
      <c r="JU42" s="1139">
        <f t="shared" si="37"/>
        <v>6930.7999999999984</v>
      </c>
      <c r="JV42" s="1146" t="s">
        <v>181</v>
      </c>
      <c r="JW42" s="1147" t="str">
        <f t="shared" si="38"/>
        <v>OK</v>
      </c>
    </row>
    <row r="43" spans="1:283" ht="15" customHeight="1" x14ac:dyDescent="0.2">
      <c r="A43" s="1242" t="s">
        <v>582</v>
      </c>
      <c r="B43" s="1098"/>
      <c r="C43" s="1098"/>
      <c r="D43" s="1098"/>
      <c r="E43" s="1098"/>
      <c r="F43" s="1098"/>
      <c r="G43" s="1098"/>
      <c r="H43" s="1098"/>
      <c r="I43" s="1098"/>
      <c r="J43" s="1098"/>
      <c r="K43" s="1098"/>
      <c r="L43" s="1098"/>
      <c r="M43" s="1098"/>
      <c r="N43" s="1097">
        <f t="shared" si="12"/>
        <v>0</v>
      </c>
      <c r="O43" s="1098"/>
      <c r="P43" s="1098"/>
      <c r="Q43" s="1098"/>
      <c r="R43" s="1098"/>
      <c r="S43" s="1098"/>
      <c r="T43" s="1098"/>
      <c r="U43" s="1098"/>
      <c r="V43" s="1098"/>
      <c r="W43" s="1098"/>
      <c r="X43" s="1098"/>
      <c r="Y43" s="1098"/>
      <c r="Z43" s="1098"/>
      <c r="AA43" s="1097">
        <f t="shared" si="13"/>
        <v>0</v>
      </c>
      <c r="AB43" s="1098"/>
      <c r="AC43" s="1098"/>
      <c r="AD43" s="1098"/>
      <c r="AE43" s="1098"/>
      <c r="AF43" s="1098"/>
      <c r="AG43" s="1098"/>
      <c r="AH43" s="1098"/>
      <c r="AI43" s="1098"/>
      <c r="AJ43" s="1098"/>
      <c r="AK43" s="1098"/>
      <c r="AL43" s="1098"/>
      <c r="AM43" s="1098"/>
      <c r="AN43" s="1097">
        <f t="shared" si="14"/>
        <v>0</v>
      </c>
      <c r="AO43" s="1098"/>
      <c r="AP43" s="1098"/>
      <c r="AQ43" s="1098"/>
      <c r="AR43" s="1098"/>
      <c r="AS43" s="1098"/>
      <c r="AT43" s="1098"/>
      <c r="AU43" s="1098"/>
      <c r="AV43" s="1098"/>
      <c r="AW43" s="1098"/>
      <c r="AX43" s="1098"/>
      <c r="AY43" s="1098"/>
      <c r="AZ43" s="1098"/>
      <c r="BA43" s="1097">
        <f t="shared" si="15"/>
        <v>0</v>
      </c>
      <c r="BB43" s="1098"/>
      <c r="BC43" s="1098"/>
      <c r="BD43" s="1098"/>
      <c r="BE43" s="1098"/>
      <c r="BF43" s="1098"/>
      <c r="BG43" s="1098"/>
      <c r="BH43" s="1098"/>
      <c r="BI43" s="1098"/>
      <c r="BJ43" s="1098"/>
      <c r="BK43" s="1098"/>
      <c r="BL43" s="1098"/>
      <c r="BM43" s="1098"/>
      <c r="BN43" s="1097">
        <f t="shared" si="16"/>
        <v>0</v>
      </c>
      <c r="BO43" s="1098"/>
      <c r="BP43" s="1098"/>
      <c r="BQ43" s="1098"/>
      <c r="BR43" s="1098"/>
      <c r="BS43" s="1098"/>
      <c r="BT43" s="1098"/>
      <c r="BU43" s="1098"/>
      <c r="BV43" s="1098"/>
      <c r="BW43" s="1098"/>
      <c r="BX43" s="1098"/>
      <c r="BY43" s="1098"/>
      <c r="BZ43" s="1098"/>
      <c r="CA43" s="1097">
        <f t="shared" si="17"/>
        <v>0</v>
      </c>
      <c r="CB43" s="1098">
        <v>233</v>
      </c>
      <c r="CC43" s="1098">
        <v>1</v>
      </c>
      <c r="CD43" s="1098"/>
      <c r="CE43" s="1098"/>
      <c r="CF43" s="1098"/>
      <c r="CG43" s="1098"/>
      <c r="CH43" s="1098"/>
      <c r="CI43" s="1098"/>
      <c r="CJ43" s="1098"/>
      <c r="CK43" s="1098"/>
      <c r="CL43" s="1098"/>
      <c r="CM43" s="1098"/>
      <c r="CN43" s="1097">
        <f t="shared" si="18"/>
        <v>234</v>
      </c>
      <c r="CO43" s="1098"/>
      <c r="CP43" s="1098"/>
      <c r="CQ43" s="1098"/>
      <c r="CR43" s="1098"/>
      <c r="CS43" s="1098"/>
      <c r="CT43" s="1098"/>
      <c r="CU43" s="1098"/>
      <c r="CV43" s="1098"/>
      <c r="CW43" s="1098"/>
      <c r="CX43" s="1098"/>
      <c r="CY43" s="1098"/>
      <c r="CZ43" s="1098"/>
      <c r="DA43" s="1097">
        <f t="shared" si="19"/>
        <v>0</v>
      </c>
      <c r="DB43" s="1098"/>
      <c r="DC43" s="1098"/>
      <c r="DD43" s="1098"/>
      <c r="DE43" s="1098"/>
      <c r="DF43" s="1098"/>
      <c r="DG43" s="1098"/>
      <c r="DH43" s="1098"/>
      <c r="DI43" s="1098"/>
      <c r="DJ43" s="1098"/>
      <c r="DK43" s="1098"/>
      <c r="DL43" s="1098"/>
      <c r="DM43" s="1098">
        <v>3941</v>
      </c>
      <c r="DN43" s="1097">
        <f t="shared" si="20"/>
        <v>3941</v>
      </c>
      <c r="DO43" s="1098">
        <v>3647</v>
      </c>
      <c r="DP43" s="1098">
        <v>244</v>
      </c>
      <c r="DQ43" s="1098">
        <v>18</v>
      </c>
      <c r="DR43" s="1098">
        <v>6</v>
      </c>
      <c r="DS43" s="1098">
        <v>3</v>
      </c>
      <c r="DT43" s="1098"/>
      <c r="DU43" s="1098"/>
      <c r="DV43" s="1098">
        <v>62</v>
      </c>
      <c r="DW43" s="1098">
        <v>56</v>
      </c>
      <c r="DX43" s="1098">
        <v>46</v>
      </c>
      <c r="DY43" s="1098"/>
      <c r="DZ43" s="1098">
        <v>2835</v>
      </c>
      <c r="EA43" s="1097">
        <f t="shared" si="21"/>
        <v>6917</v>
      </c>
      <c r="EB43" s="1098"/>
      <c r="EC43" s="1098"/>
      <c r="ED43" s="1098"/>
      <c r="EE43" s="1098"/>
      <c r="EF43" s="1098"/>
      <c r="EG43" s="1098"/>
      <c r="EH43" s="1098"/>
      <c r="EI43" s="1098"/>
      <c r="EJ43" s="1098"/>
      <c r="EK43" s="1098"/>
      <c r="EL43" s="1098"/>
      <c r="EM43" s="1098"/>
      <c r="EN43" s="1097">
        <f t="shared" si="22"/>
        <v>0</v>
      </c>
      <c r="EO43" s="1098"/>
      <c r="EP43" s="1098"/>
      <c r="EQ43" s="1098"/>
      <c r="ER43" s="1098"/>
      <c r="ES43" s="1098"/>
      <c r="ET43" s="1098"/>
      <c r="EU43" s="1098"/>
      <c r="EV43" s="1098"/>
      <c r="EW43" s="1098"/>
      <c r="EX43" s="1098"/>
      <c r="EY43" s="1098"/>
      <c r="EZ43" s="1098"/>
      <c r="FA43" s="1097">
        <f t="shared" si="23"/>
        <v>0</v>
      </c>
      <c r="FB43" s="1098"/>
      <c r="FC43" s="1098"/>
      <c r="FD43" s="1098"/>
      <c r="FE43" s="1098"/>
      <c r="FF43" s="1098"/>
      <c r="FG43" s="1098"/>
      <c r="FH43" s="1098"/>
      <c r="FI43" s="1098"/>
      <c r="FJ43" s="1098"/>
      <c r="FK43" s="1098"/>
      <c r="FL43" s="1098"/>
      <c r="FM43" s="1098"/>
      <c r="FN43" s="1097">
        <f t="shared" si="24"/>
        <v>0</v>
      </c>
      <c r="FO43" s="1098"/>
      <c r="FP43" s="1098"/>
      <c r="FQ43" s="1098"/>
      <c r="FR43" s="1098"/>
      <c r="FS43" s="1098"/>
      <c r="FT43" s="1098"/>
      <c r="FU43" s="1098"/>
      <c r="FV43" s="1098"/>
      <c r="FW43" s="1098"/>
      <c r="FX43" s="1098"/>
      <c r="FY43" s="1098"/>
      <c r="FZ43" s="1098"/>
      <c r="GA43" s="1097">
        <f t="shared" si="25"/>
        <v>0</v>
      </c>
      <c r="GB43" s="1098"/>
      <c r="GC43" s="1098"/>
      <c r="GD43" s="1098"/>
      <c r="GE43" s="1098"/>
      <c r="GF43" s="1098"/>
      <c r="GG43" s="1098"/>
      <c r="GH43" s="1098"/>
      <c r="GI43" s="1098"/>
      <c r="GJ43" s="1098"/>
      <c r="GK43" s="1098"/>
      <c r="GL43" s="1098"/>
      <c r="GM43" s="1098"/>
      <c r="GN43" s="1097">
        <f t="shared" si="26"/>
        <v>0</v>
      </c>
      <c r="GO43" s="1098"/>
      <c r="GP43" s="1098"/>
      <c r="GQ43" s="1098"/>
      <c r="GR43" s="1098"/>
      <c r="GS43" s="1098"/>
      <c r="GT43" s="1098"/>
      <c r="GU43" s="1098"/>
      <c r="GV43" s="1098"/>
      <c r="GW43" s="1098"/>
      <c r="GX43" s="1098"/>
      <c r="GY43" s="1098"/>
      <c r="GZ43" s="1098"/>
      <c r="HA43" s="1097">
        <f t="shared" si="27"/>
        <v>0</v>
      </c>
      <c r="HB43" s="1098"/>
      <c r="HC43" s="1098"/>
      <c r="HD43" s="1098"/>
      <c r="HE43" s="1098"/>
      <c r="HF43" s="1098"/>
      <c r="HG43" s="1098"/>
      <c r="HH43" s="1098"/>
      <c r="HI43" s="1098"/>
      <c r="HJ43" s="1098"/>
      <c r="HK43" s="1098"/>
      <c r="HL43" s="1098"/>
      <c r="HM43" s="1098"/>
      <c r="HN43" s="1097">
        <f t="shared" si="28"/>
        <v>0</v>
      </c>
      <c r="HO43" s="1098"/>
      <c r="HP43" s="1098"/>
      <c r="HQ43" s="1098"/>
      <c r="HR43" s="1098"/>
      <c r="HS43" s="1098"/>
      <c r="HT43" s="1098"/>
      <c r="HU43" s="1098"/>
      <c r="HV43" s="1098"/>
      <c r="HW43" s="1098"/>
      <c r="HX43" s="1098"/>
      <c r="HY43" s="1098"/>
      <c r="HZ43" s="1098"/>
      <c r="IA43" s="1097">
        <f t="shared" si="29"/>
        <v>0</v>
      </c>
      <c r="IB43" s="1098"/>
      <c r="IC43" s="1098"/>
      <c r="ID43" s="1098"/>
      <c r="IE43" s="1098"/>
      <c r="IF43" s="1098"/>
      <c r="IG43" s="1098"/>
      <c r="IH43" s="1098"/>
      <c r="II43" s="1098"/>
      <c r="IJ43" s="1098"/>
      <c r="IK43" s="1098"/>
      <c r="IL43" s="1098"/>
      <c r="IM43" s="1098"/>
      <c r="IN43" s="1097">
        <f t="shared" si="30"/>
        <v>0</v>
      </c>
      <c r="IO43" s="1098"/>
      <c r="IP43" s="1098"/>
      <c r="IQ43" s="1098"/>
      <c r="IR43" s="1098"/>
      <c r="IS43" s="1098"/>
      <c r="IT43" s="1098"/>
      <c r="IU43" s="1098"/>
      <c r="IV43" s="1098"/>
      <c r="IW43" s="1098"/>
      <c r="IX43" s="1098"/>
      <c r="IY43" s="1098"/>
      <c r="IZ43" s="1098"/>
      <c r="JA43" s="1097">
        <f t="shared" si="31"/>
        <v>0</v>
      </c>
      <c r="JB43" s="1098"/>
      <c r="JC43" s="1098"/>
      <c r="JD43" s="1098"/>
      <c r="JE43" s="1098"/>
      <c r="JF43" s="1098"/>
      <c r="JG43" s="1098"/>
      <c r="JH43" s="1098"/>
      <c r="JI43" s="1098"/>
      <c r="JJ43" s="1098"/>
      <c r="JK43" s="1098"/>
      <c r="JL43" s="1098"/>
      <c r="JM43" s="1098"/>
      <c r="JN43" s="1097">
        <f t="shared" si="32"/>
        <v>0</v>
      </c>
      <c r="JP43" s="1116" t="str">
        <f t="shared" si="33"/>
        <v/>
      </c>
      <c r="JQ43" s="1117" t="str">
        <f t="shared" si="34"/>
        <v/>
      </c>
      <c r="JR43" s="1079">
        <f t="shared" si="35"/>
        <v>0</v>
      </c>
      <c r="JS43" s="1118">
        <f t="shared" si="36"/>
        <v>0</v>
      </c>
      <c r="JT43" s="62"/>
      <c r="JU43" s="1139">
        <f t="shared" si="37"/>
        <v>22184</v>
      </c>
      <c r="JV43" s="1146" t="s">
        <v>582</v>
      </c>
      <c r="JW43" s="1147" t="str">
        <f t="shared" si="38"/>
        <v>OK</v>
      </c>
    </row>
    <row r="44" spans="1:283" ht="15" customHeight="1" x14ac:dyDescent="0.2">
      <c r="A44" s="1242" t="s">
        <v>215</v>
      </c>
      <c r="B44" s="1098"/>
      <c r="C44" s="1098"/>
      <c r="D44" s="1098"/>
      <c r="E44" s="1098"/>
      <c r="F44" s="1098"/>
      <c r="G44" s="1098"/>
      <c r="H44" s="1098"/>
      <c r="I44" s="1098"/>
      <c r="J44" s="1098"/>
      <c r="K44" s="1098"/>
      <c r="L44" s="1098"/>
      <c r="M44" s="1098"/>
      <c r="N44" s="1097">
        <f t="shared" si="12"/>
        <v>0</v>
      </c>
      <c r="O44" s="1098"/>
      <c r="P44" s="1098"/>
      <c r="Q44" s="1098"/>
      <c r="R44" s="1098"/>
      <c r="S44" s="1098"/>
      <c r="T44" s="1098"/>
      <c r="U44" s="1098"/>
      <c r="V44" s="1098"/>
      <c r="W44" s="1098"/>
      <c r="X44" s="1098"/>
      <c r="Y44" s="1098"/>
      <c r="Z44" s="1098"/>
      <c r="AA44" s="1097">
        <f t="shared" si="13"/>
        <v>0</v>
      </c>
      <c r="AB44" s="1098"/>
      <c r="AC44" s="1098"/>
      <c r="AD44" s="1098"/>
      <c r="AE44" s="1098"/>
      <c r="AF44" s="1098"/>
      <c r="AG44" s="1098"/>
      <c r="AH44" s="1098"/>
      <c r="AI44" s="1098"/>
      <c r="AJ44" s="1098"/>
      <c r="AK44" s="1098"/>
      <c r="AL44" s="1098"/>
      <c r="AM44" s="1098"/>
      <c r="AN44" s="1097">
        <f t="shared" si="14"/>
        <v>0</v>
      </c>
      <c r="AO44" s="1098"/>
      <c r="AP44" s="1098"/>
      <c r="AQ44" s="1098"/>
      <c r="AR44" s="1098"/>
      <c r="AS44" s="1098"/>
      <c r="AT44" s="1098"/>
      <c r="AU44" s="1098"/>
      <c r="AV44" s="1098"/>
      <c r="AW44" s="1098"/>
      <c r="AX44" s="1098"/>
      <c r="AY44" s="1098"/>
      <c r="AZ44" s="1098"/>
      <c r="BA44" s="1097">
        <f t="shared" si="15"/>
        <v>0</v>
      </c>
      <c r="BB44" s="1098"/>
      <c r="BC44" s="1098"/>
      <c r="BD44" s="1098"/>
      <c r="BE44" s="1098"/>
      <c r="BF44" s="1098"/>
      <c r="BG44" s="1098"/>
      <c r="BH44" s="1098"/>
      <c r="BI44" s="1098"/>
      <c r="BJ44" s="1098"/>
      <c r="BK44" s="1098"/>
      <c r="BL44" s="1098"/>
      <c r="BM44" s="1098"/>
      <c r="BN44" s="1097">
        <f t="shared" si="16"/>
        <v>0</v>
      </c>
      <c r="BO44" s="1098"/>
      <c r="BP44" s="1098"/>
      <c r="BQ44" s="1098"/>
      <c r="BR44" s="1098"/>
      <c r="BS44" s="1098"/>
      <c r="BT44" s="1098"/>
      <c r="BU44" s="1098"/>
      <c r="BV44" s="1098"/>
      <c r="BW44" s="1098"/>
      <c r="BX44" s="1098"/>
      <c r="BY44" s="1098"/>
      <c r="BZ44" s="1098"/>
      <c r="CA44" s="1097">
        <f t="shared" si="17"/>
        <v>0</v>
      </c>
      <c r="CB44" s="1098">
        <v>76</v>
      </c>
      <c r="CC44" s="1098"/>
      <c r="CD44" s="1098"/>
      <c r="CE44" s="1098"/>
      <c r="CF44" s="1098"/>
      <c r="CG44" s="1098"/>
      <c r="CH44" s="1098"/>
      <c r="CI44" s="1098"/>
      <c r="CJ44" s="1098"/>
      <c r="CK44" s="1098">
        <v>7</v>
      </c>
      <c r="CL44" s="1098"/>
      <c r="CM44" s="1098">
        <v>10</v>
      </c>
      <c r="CN44" s="1097">
        <f t="shared" si="18"/>
        <v>93</v>
      </c>
      <c r="CO44" s="1098"/>
      <c r="CP44" s="1098"/>
      <c r="CQ44" s="1098"/>
      <c r="CR44" s="1098"/>
      <c r="CS44" s="1098"/>
      <c r="CT44" s="1098"/>
      <c r="CU44" s="1098">
        <v>5</v>
      </c>
      <c r="CV44" s="1098"/>
      <c r="CW44" s="1098"/>
      <c r="CX44" s="1098"/>
      <c r="CY44" s="1098">
        <v>20</v>
      </c>
      <c r="CZ44" s="1098"/>
      <c r="DA44" s="1097">
        <f t="shared" si="19"/>
        <v>25</v>
      </c>
      <c r="DB44" s="1098">
        <v>10</v>
      </c>
      <c r="DC44" s="1098">
        <v>30</v>
      </c>
      <c r="DD44" s="1098">
        <v>20</v>
      </c>
      <c r="DE44" s="1098"/>
      <c r="DF44" s="1098"/>
      <c r="DG44" s="1098"/>
      <c r="DH44" s="1098"/>
      <c r="DI44" s="1098"/>
      <c r="DJ44" s="1098"/>
      <c r="DK44" s="1098"/>
      <c r="DL44" s="1098"/>
      <c r="DM44" s="1098">
        <v>2173</v>
      </c>
      <c r="DN44" s="1097">
        <f t="shared" si="20"/>
        <v>2233</v>
      </c>
      <c r="DO44" s="1098">
        <v>2989</v>
      </c>
      <c r="DP44" s="1098">
        <v>1938</v>
      </c>
      <c r="DQ44" s="1098">
        <v>1908</v>
      </c>
      <c r="DR44" s="1098">
        <v>1753</v>
      </c>
      <c r="DS44" s="1098">
        <v>1646</v>
      </c>
      <c r="DT44" s="1098">
        <v>3632</v>
      </c>
      <c r="DU44" s="1098">
        <v>1579</v>
      </c>
      <c r="DV44" s="1098">
        <v>1757</v>
      </c>
      <c r="DW44" s="1098">
        <v>2323</v>
      </c>
      <c r="DX44" s="1098">
        <v>1950</v>
      </c>
      <c r="DY44" s="1098"/>
      <c r="DZ44" s="1098">
        <v>1444</v>
      </c>
      <c r="EA44" s="1097">
        <f t="shared" si="21"/>
        <v>22919</v>
      </c>
      <c r="EB44" s="1098"/>
      <c r="EC44" s="1098"/>
      <c r="ED44" s="1098"/>
      <c r="EE44" s="1098"/>
      <c r="EF44" s="1098"/>
      <c r="EG44" s="1098"/>
      <c r="EH44" s="1098"/>
      <c r="EI44" s="1098"/>
      <c r="EJ44" s="1098"/>
      <c r="EK44" s="1098"/>
      <c r="EL44" s="1098"/>
      <c r="EM44" s="1098"/>
      <c r="EN44" s="1097">
        <f t="shared" si="22"/>
        <v>0</v>
      </c>
      <c r="EO44" s="1098"/>
      <c r="EP44" s="1098"/>
      <c r="EQ44" s="1098"/>
      <c r="ER44" s="1098"/>
      <c r="ES44" s="1098"/>
      <c r="ET44" s="1098"/>
      <c r="EU44" s="1098"/>
      <c r="EV44" s="1098"/>
      <c r="EW44" s="1098"/>
      <c r="EX44" s="1098"/>
      <c r="EY44" s="1098"/>
      <c r="EZ44" s="1098"/>
      <c r="FA44" s="1097">
        <f t="shared" si="23"/>
        <v>0</v>
      </c>
      <c r="FB44" s="1098"/>
      <c r="FC44" s="1098"/>
      <c r="FD44" s="1098"/>
      <c r="FE44" s="1098"/>
      <c r="FF44" s="1098"/>
      <c r="FG44" s="1098"/>
      <c r="FH44" s="1098"/>
      <c r="FI44" s="1098"/>
      <c r="FJ44" s="1098"/>
      <c r="FK44" s="1098"/>
      <c r="FL44" s="1098"/>
      <c r="FM44" s="1098"/>
      <c r="FN44" s="1097">
        <f t="shared" si="24"/>
        <v>0</v>
      </c>
      <c r="FO44" s="1098"/>
      <c r="FP44" s="1098"/>
      <c r="FQ44" s="1098"/>
      <c r="FR44" s="1098"/>
      <c r="FS44" s="1098"/>
      <c r="FT44" s="1098"/>
      <c r="FU44" s="1098"/>
      <c r="FV44" s="1098"/>
      <c r="FW44" s="1098"/>
      <c r="FX44" s="1098"/>
      <c r="FY44" s="1098"/>
      <c r="FZ44" s="1098"/>
      <c r="GA44" s="1097">
        <f t="shared" si="25"/>
        <v>0</v>
      </c>
      <c r="GB44" s="1098"/>
      <c r="GC44" s="1098"/>
      <c r="GD44" s="1098"/>
      <c r="GE44" s="1098"/>
      <c r="GF44" s="1098"/>
      <c r="GG44" s="1098"/>
      <c r="GH44" s="1098"/>
      <c r="GI44" s="1098"/>
      <c r="GJ44" s="1098"/>
      <c r="GK44" s="1098"/>
      <c r="GL44" s="1098"/>
      <c r="GM44" s="1098"/>
      <c r="GN44" s="1097">
        <f t="shared" si="26"/>
        <v>0</v>
      </c>
      <c r="GO44" s="1098"/>
      <c r="GP44" s="1098"/>
      <c r="GQ44" s="1098"/>
      <c r="GR44" s="1098"/>
      <c r="GS44" s="1098"/>
      <c r="GT44" s="1098"/>
      <c r="GU44" s="1098"/>
      <c r="GV44" s="1098"/>
      <c r="GW44" s="1098"/>
      <c r="GX44" s="1098"/>
      <c r="GY44" s="1098"/>
      <c r="GZ44" s="1098"/>
      <c r="HA44" s="1097">
        <f t="shared" si="27"/>
        <v>0</v>
      </c>
      <c r="HB44" s="1098"/>
      <c r="HC44" s="1098"/>
      <c r="HD44" s="1098"/>
      <c r="HE44" s="1098"/>
      <c r="HF44" s="1098"/>
      <c r="HG44" s="1098"/>
      <c r="HH44" s="1098"/>
      <c r="HI44" s="1098"/>
      <c r="HJ44" s="1098"/>
      <c r="HK44" s="1098"/>
      <c r="HL44" s="1098"/>
      <c r="HM44" s="1098"/>
      <c r="HN44" s="1097">
        <f t="shared" si="28"/>
        <v>0</v>
      </c>
      <c r="HO44" s="1098"/>
      <c r="HP44" s="1098"/>
      <c r="HQ44" s="1098"/>
      <c r="HR44" s="1098"/>
      <c r="HS44" s="1098"/>
      <c r="HT44" s="1098"/>
      <c r="HU44" s="1098"/>
      <c r="HV44" s="1098"/>
      <c r="HW44" s="1098"/>
      <c r="HX44" s="1098"/>
      <c r="HY44" s="1098"/>
      <c r="HZ44" s="1098"/>
      <c r="IA44" s="1097">
        <f t="shared" si="29"/>
        <v>0</v>
      </c>
      <c r="IB44" s="1098"/>
      <c r="IC44" s="1098"/>
      <c r="ID44" s="1098"/>
      <c r="IE44" s="1098"/>
      <c r="IF44" s="1098"/>
      <c r="IG44" s="1098"/>
      <c r="IH44" s="1098"/>
      <c r="II44" s="1098"/>
      <c r="IJ44" s="1098"/>
      <c r="IK44" s="1098"/>
      <c r="IL44" s="1098"/>
      <c r="IM44" s="1098"/>
      <c r="IN44" s="1097">
        <f t="shared" si="30"/>
        <v>0</v>
      </c>
      <c r="IO44" s="1098"/>
      <c r="IP44" s="1098"/>
      <c r="IQ44" s="1098"/>
      <c r="IR44" s="1098"/>
      <c r="IS44" s="1098"/>
      <c r="IT44" s="1098"/>
      <c r="IU44" s="1098"/>
      <c r="IV44" s="1098"/>
      <c r="IW44" s="1098"/>
      <c r="IX44" s="1098"/>
      <c r="IY44" s="1098"/>
      <c r="IZ44" s="1098"/>
      <c r="JA44" s="1097">
        <f t="shared" si="31"/>
        <v>0</v>
      </c>
      <c r="JB44" s="1098"/>
      <c r="JC44" s="1098"/>
      <c r="JD44" s="1098"/>
      <c r="JE44" s="1098"/>
      <c r="JF44" s="1098"/>
      <c r="JG44" s="1098"/>
      <c r="JH44" s="1098"/>
      <c r="JI44" s="1098"/>
      <c r="JJ44" s="1098"/>
      <c r="JK44" s="1098"/>
      <c r="JL44" s="1098"/>
      <c r="JM44" s="1098"/>
      <c r="JN44" s="1097">
        <f t="shared" si="32"/>
        <v>0</v>
      </c>
      <c r="JP44" s="1116" t="str">
        <f t="shared" si="33"/>
        <v/>
      </c>
      <c r="JQ44" s="1117" t="str">
        <f t="shared" si="34"/>
        <v/>
      </c>
      <c r="JR44" s="1079">
        <f t="shared" si="35"/>
        <v>0</v>
      </c>
      <c r="JS44" s="1118">
        <f t="shared" si="36"/>
        <v>0</v>
      </c>
      <c r="JT44" s="62"/>
      <c r="JU44" s="1139">
        <f t="shared" si="37"/>
        <v>50540</v>
      </c>
      <c r="JV44" s="1146" t="s">
        <v>215</v>
      </c>
      <c r="JW44" s="1147" t="str">
        <f t="shared" si="38"/>
        <v>OK</v>
      </c>
    </row>
    <row r="45" spans="1:283" ht="15" customHeight="1" x14ac:dyDescent="0.2">
      <c r="A45" s="1242" t="s">
        <v>583</v>
      </c>
      <c r="B45" s="1098"/>
      <c r="C45" s="1098"/>
      <c r="D45" s="1098"/>
      <c r="E45" s="1098"/>
      <c r="F45" s="1098"/>
      <c r="G45" s="1098"/>
      <c r="H45" s="1098"/>
      <c r="I45" s="1098"/>
      <c r="J45" s="1098"/>
      <c r="K45" s="1098"/>
      <c r="L45" s="1098"/>
      <c r="M45" s="1098"/>
      <c r="N45" s="1097">
        <f t="shared" si="12"/>
        <v>0</v>
      </c>
      <c r="O45" s="1098"/>
      <c r="P45" s="1098"/>
      <c r="Q45" s="1098"/>
      <c r="R45" s="1098"/>
      <c r="S45" s="1098"/>
      <c r="T45" s="1098"/>
      <c r="U45" s="1098"/>
      <c r="V45" s="1098"/>
      <c r="W45" s="1098"/>
      <c r="X45" s="1098"/>
      <c r="Y45" s="1098"/>
      <c r="Z45" s="1098"/>
      <c r="AA45" s="1097">
        <f t="shared" si="13"/>
        <v>0</v>
      </c>
      <c r="AB45" s="1098"/>
      <c r="AC45" s="1098"/>
      <c r="AD45" s="1098"/>
      <c r="AE45" s="1098"/>
      <c r="AF45" s="1098"/>
      <c r="AG45" s="1098"/>
      <c r="AH45" s="1098"/>
      <c r="AI45" s="1098"/>
      <c r="AJ45" s="1098"/>
      <c r="AK45" s="1098"/>
      <c r="AL45" s="1098"/>
      <c r="AM45" s="1098"/>
      <c r="AN45" s="1097">
        <f t="shared" si="14"/>
        <v>0</v>
      </c>
      <c r="AO45" s="1098"/>
      <c r="AP45" s="1098"/>
      <c r="AQ45" s="1098"/>
      <c r="AR45" s="1098"/>
      <c r="AS45" s="1098"/>
      <c r="AT45" s="1098"/>
      <c r="AU45" s="1098"/>
      <c r="AV45" s="1098"/>
      <c r="AW45" s="1098"/>
      <c r="AX45" s="1098"/>
      <c r="AY45" s="1098"/>
      <c r="AZ45" s="1098"/>
      <c r="BA45" s="1097">
        <f t="shared" si="15"/>
        <v>0</v>
      </c>
      <c r="BB45" s="1098"/>
      <c r="BC45" s="1098"/>
      <c r="BD45" s="1098"/>
      <c r="BE45" s="1098"/>
      <c r="BF45" s="1098"/>
      <c r="BG45" s="1098"/>
      <c r="BH45" s="1098"/>
      <c r="BI45" s="1098"/>
      <c r="BJ45" s="1098"/>
      <c r="BK45" s="1098"/>
      <c r="BL45" s="1098"/>
      <c r="BM45" s="1098"/>
      <c r="BN45" s="1097">
        <f t="shared" si="16"/>
        <v>0</v>
      </c>
      <c r="BO45" s="1098"/>
      <c r="BP45" s="1098"/>
      <c r="BQ45" s="1098"/>
      <c r="BR45" s="1098"/>
      <c r="BS45" s="1098"/>
      <c r="BT45" s="1098"/>
      <c r="BU45" s="1098"/>
      <c r="BV45" s="1098"/>
      <c r="BW45" s="1098"/>
      <c r="BX45" s="1098"/>
      <c r="BY45" s="1098"/>
      <c r="BZ45" s="1098"/>
      <c r="CA45" s="1097">
        <f t="shared" si="17"/>
        <v>0</v>
      </c>
      <c r="CB45" s="1098"/>
      <c r="CC45" s="1098"/>
      <c r="CD45" s="1098"/>
      <c r="CE45" s="1098"/>
      <c r="CF45" s="1098"/>
      <c r="CG45" s="1098"/>
      <c r="CH45" s="1098"/>
      <c r="CI45" s="1098"/>
      <c r="CJ45" s="1098"/>
      <c r="CK45" s="1098"/>
      <c r="CL45" s="1098"/>
      <c r="CM45" s="1098"/>
      <c r="CN45" s="1097">
        <f t="shared" si="18"/>
        <v>0</v>
      </c>
      <c r="CO45" s="1098"/>
      <c r="CP45" s="1098"/>
      <c r="CQ45" s="1098"/>
      <c r="CR45" s="1098"/>
      <c r="CS45" s="1098"/>
      <c r="CT45" s="1098"/>
      <c r="CU45" s="1098"/>
      <c r="CV45" s="1098"/>
      <c r="CW45" s="1098"/>
      <c r="CX45" s="1098"/>
      <c r="CY45" s="1098"/>
      <c r="CZ45" s="1098"/>
      <c r="DA45" s="1097">
        <f t="shared" si="19"/>
        <v>0</v>
      </c>
      <c r="DB45" s="1098"/>
      <c r="DC45" s="1098"/>
      <c r="DD45" s="1098"/>
      <c r="DE45" s="1098"/>
      <c r="DF45" s="1098"/>
      <c r="DG45" s="1098"/>
      <c r="DH45" s="1098"/>
      <c r="DI45" s="1098"/>
      <c r="DJ45" s="1098"/>
      <c r="DK45" s="1098"/>
      <c r="DL45" s="1098"/>
      <c r="DM45" s="1098"/>
      <c r="DN45" s="1097">
        <f t="shared" si="20"/>
        <v>0</v>
      </c>
      <c r="DO45" s="1098"/>
      <c r="DP45" s="1098"/>
      <c r="DQ45" s="1098"/>
      <c r="DR45" s="1098"/>
      <c r="DS45" s="1098"/>
      <c r="DT45" s="1098"/>
      <c r="DU45" s="1098"/>
      <c r="DV45" s="1098"/>
      <c r="DW45" s="1098"/>
      <c r="DX45" s="1098"/>
      <c r="DY45" s="1098"/>
      <c r="DZ45" s="1098"/>
      <c r="EA45" s="1097">
        <f t="shared" si="21"/>
        <v>0</v>
      </c>
      <c r="EB45" s="1098"/>
      <c r="EC45" s="1098"/>
      <c r="ED45" s="1098"/>
      <c r="EE45" s="1098"/>
      <c r="EF45" s="1098"/>
      <c r="EG45" s="1098"/>
      <c r="EH45" s="1098"/>
      <c r="EI45" s="1098"/>
      <c r="EJ45" s="1098"/>
      <c r="EK45" s="1098"/>
      <c r="EL45" s="1098"/>
      <c r="EM45" s="1098"/>
      <c r="EN45" s="1097">
        <f t="shared" si="22"/>
        <v>0</v>
      </c>
      <c r="EO45" s="1098"/>
      <c r="EP45" s="1098"/>
      <c r="EQ45" s="1098"/>
      <c r="ER45" s="1098"/>
      <c r="ES45" s="1098"/>
      <c r="ET45" s="1098"/>
      <c r="EU45" s="1098"/>
      <c r="EV45" s="1098"/>
      <c r="EW45" s="1098"/>
      <c r="EX45" s="1098"/>
      <c r="EY45" s="1098"/>
      <c r="EZ45" s="1098"/>
      <c r="FA45" s="1097">
        <f t="shared" si="23"/>
        <v>0</v>
      </c>
      <c r="FB45" s="1098"/>
      <c r="FC45" s="1098"/>
      <c r="FD45" s="1098"/>
      <c r="FE45" s="1098"/>
      <c r="FF45" s="1098"/>
      <c r="FG45" s="1098"/>
      <c r="FH45" s="1098"/>
      <c r="FI45" s="1098"/>
      <c r="FJ45" s="1098"/>
      <c r="FK45" s="1098"/>
      <c r="FL45" s="1098"/>
      <c r="FM45" s="1098"/>
      <c r="FN45" s="1097">
        <f t="shared" si="24"/>
        <v>0</v>
      </c>
      <c r="FO45" s="1098"/>
      <c r="FP45" s="1098"/>
      <c r="FQ45" s="1098"/>
      <c r="FR45" s="1098"/>
      <c r="FS45" s="1098"/>
      <c r="FT45" s="1098"/>
      <c r="FU45" s="1098"/>
      <c r="FV45" s="1098"/>
      <c r="FW45" s="1098"/>
      <c r="FX45" s="1098"/>
      <c r="FY45" s="1098"/>
      <c r="FZ45" s="1098"/>
      <c r="GA45" s="1097">
        <f t="shared" si="25"/>
        <v>0</v>
      </c>
      <c r="GB45" s="1098"/>
      <c r="GC45" s="1098"/>
      <c r="GD45" s="1098"/>
      <c r="GE45" s="1098"/>
      <c r="GF45" s="1098"/>
      <c r="GG45" s="1098"/>
      <c r="GH45" s="1098"/>
      <c r="GI45" s="1098"/>
      <c r="GJ45" s="1098"/>
      <c r="GK45" s="1098"/>
      <c r="GL45" s="1098"/>
      <c r="GM45" s="1098"/>
      <c r="GN45" s="1097">
        <f t="shared" si="26"/>
        <v>0</v>
      </c>
      <c r="GO45" s="1098"/>
      <c r="GP45" s="1098"/>
      <c r="GQ45" s="1098"/>
      <c r="GR45" s="1098"/>
      <c r="GS45" s="1098"/>
      <c r="GT45" s="1098"/>
      <c r="GU45" s="1098"/>
      <c r="GV45" s="1098"/>
      <c r="GW45" s="1098"/>
      <c r="GX45" s="1098"/>
      <c r="GY45" s="1098"/>
      <c r="GZ45" s="1098"/>
      <c r="HA45" s="1097">
        <f t="shared" si="27"/>
        <v>0</v>
      </c>
      <c r="HB45" s="1098"/>
      <c r="HC45" s="1098"/>
      <c r="HD45" s="1098"/>
      <c r="HE45" s="1098"/>
      <c r="HF45" s="1098"/>
      <c r="HG45" s="1098"/>
      <c r="HH45" s="1098"/>
      <c r="HI45" s="1098"/>
      <c r="HJ45" s="1098"/>
      <c r="HK45" s="1098"/>
      <c r="HL45" s="1098"/>
      <c r="HM45" s="1098"/>
      <c r="HN45" s="1097">
        <f t="shared" si="28"/>
        <v>0</v>
      </c>
      <c r="HO45" s="1098"/>
      <c r="HP45" s="1098"/>
      <c r="HQ45" s="1098"/>
      <c r="HR45" s="1098"/>
      <c r="HS45" s="1098"/>
      <c r="HT45" s="1098"/>
      <c r="HU45" s="1098"/>
      <c r="HV45" s="1098"/>
      <c r="HW45" s="1098"/>
      <c r="HX45" s="1098"/>
      <c r="HY45" s="1098"/>
      <c r="HZ45" s="1098"/>
      <c r="IA45" s="1097">
        <f t="shared" si="29"/>
        <v>0</v>
      </c>
      <c r="IB45" s="1098"/>
      <c r="IC45" s="1098"/>
      <c r="ID45" s="1098"/>
      <c r="IE45" s="1098"/>
      <c r="IF45" s="1098"/>
      <c r="IG45" s="1098"/>
      <c r="IH45" s="1098"/>
      <c r="II45" s="1098"/>
      <c r="IJ45" s="1098"/>
      <c r="IK45" s="1098"/>
      <c r="IL45" s="1098"/>
      <c r="IM45" s="1098"/>
      <c r="IN45" s="1097">
        <f t="shared" si="30"/>
        <v>0</v>
      </c>
      <c r="IO45" s="1098"/>
      <c r="IP45" s="1098"/>
      <c r="IQ45" s="1098"/>
      <c r="IR45" s="1098"/>
      <c r="IS45" s="1098"/>
      <c r="IT45" s="1098"/>
      <c r="IU45" s="1098"/>
      <c r="IV45" s="1098"/>
      <c r="IW45" s="1098"/>
      <c r="IX45" s="1098"/>
      <c r="IY45" s="1098"/>
      <c r="IZ45" s="1098"/>
      <c r="JA45" s="1097">
        <f t="shared" si="31"/>
        <v>0</v>
      </c>
      <c r="JB45" s="1098"/>
      <c r="JC45" s="1098"/>
      <c r="JD45" s="1098"/>
      <c r="JE45" s="1098"/>
      <c r="JF45" s="1098"/>
      <c r="JG45" s="1098"/>
      <c r="JH45" s="1098"/>
      <c r="JI45" s="1098"/>
      <c r="JJ45" s="1098"/>
      <c r="JK45" s="1098"/>
      <c r="JL45" s="1098"/>
      <c r="JM45" s="1098"/>
      <c r="JN45" s="1097">
        <f t="shared" si="32"/>
        <v>0</v>
      </c>
      <c r="JP45" s="1116" t="str">
        <f t="shared" si="33"/>
        <v/>
      </c>
      <c r="JQ45" s="1117" t="str">
        <f t="shared" si="34"/>
        <v/>
      </c>
      <c r="JR45" s="1079">
        <f t="shared" si="35"/>
        <v>0</v>
      </c>
      <c r="JS45" s="1118">
        <f t="shared" si="36"/>
        <v>0</v>
      </c>
      <c r="JT45" s="62"/>
      <c r="JU45" s="1139">
        <f t="shared" si="37"/>
        <v>0</v>
      </c>
      <c r="JV45" s="1146" t="s">
        <v>583</v>
      </c>
      <c r="JW45" s="1147" t="str">
        <f t="shared" si="38"/>
        <v>OK</v>
      </c>
    </row>
    <row r="46" spans="1:283" ht="15" customHeight="1" x14ac:dyDescent="0.2">
      <c r="A46" s="1133"/>
      <c r="B46" s="1101"/>
      <c r="C46" s="1101"/>
      <c r="D46" s="1101"/>
      <c r="E46" s="1101"/>
      <c r="F46" s="1101"/>
      <c r="G46" s="1101"/>
      <c r="H46" s="1101"/>
      <c r="I46" s="1101"/>
      <c r="J46" s="1101"/>
      <c r="K46" s="1101"/>
      <c r="L46" s="1101"/>
      <c r="M46" s="1101"/>
      <c r="N46" s="1102"/>
      <c r="O46" s="1101"/>
      <c r="P46" s="1101"/>
      <c r="Q46" s="1101"/>
      <c r="R46" s="1101"/>
      <c r="S46" s="1101"/>
      <c r="T46" s="1101"/>
      <c r="U46" s="1101"/>
      <c r="V46" s="1101"/>
      <c r="W46" s="1101"/>
      <c r="X46" s="1101"/>
      <c r="Y46" s="1101"/>
      <c r="Z46" s="1101"/>
      <c r="AA46" s="1102"/>
      <c r="AB46" s="1101"/>
      <c r="AC46" s="1101"/>
      <c r="AD46" s="1101"/>
      <c r="AE46" s="1101"/>
      <c r="AF46" s="1101"/>
      <c r="AG46" s="1101"/>
      <c r="AH46" s="1101"/>
      <c r="AI46" s="1101"/>
      <c r="AJ46" s="1101"/>
      <c r="AK46" s="1101"/>
      <c r="AL46" s="1101"/>
      <c r="AM46" s="1101"/>
      <c r="AN46" s="1102"/>
      <c r="AO46" s="1101"/>
      <c r="AP46" s="1101"/>
      <c r="AQ46" s="1101"/>
      <c r="AR46" s="1101"/>
      <c r="AS46" s="1101"/>
      <c r="AT46" s="1101"/>
      <c r="AU46" s="1101"/>
      <c r="AV46" s="1101"/>
      <c r="AW46" s="1101"/>
      <c r="AX46" s="1101"/>
      <c r="AY46" s="1101"/>
      <c r="AZ46" s="1101"/>
      <c r="BA46" s="1102"/>
      <c r="BB46" s="1101"/>
      <c r="BC46" s="1101"/>
      <c r="BD46" s="1101"/>
      <c r="BE46" s="1101"/>
      <c r="BF46" s="1101"/>
      <c r="BG46" s="1101"/>
      <c r="BH46" s="1101"/>
      <c r="BI46" s="1101"/>
      <c r="BJ46" s="1101"/>
      <c r="BK46" s="1101"/>
      <c r="BL46" s="1101"/>
      <c r="BM46" s="1101"/>
      <c r="BN46" s="1102"/>
      <c r="BO46" s="1101"/>
      <c r="BP46" s="1101"/>
      <c r="BQ46" s="1101"/>
      <c r="BR46" s="1101"/>
      <c r="BS46" s="1101"/>
      <c r="BT46" s="1101"/>
      <c r="BU46" s="1101"/>
      <c r="BV46" s="1101"/>
      <c r="BW46" s="1101"/>
      <c r="BX46" s="1101"/>
      <c r="BY46" s="1101"/>
      <c r="BZ46" s="1101"/>
      <c r="CA46" s="1102"/>
      <c r="CB46" s="1101"/>
      <c r="CC46" s="1101"/>
      <c r="CD46" s="1101"/>
      <c r="CE46" s="1101"/>
      <c r="CF46" s="1101"/>
      <c r="CG46" s="1101"/>
      <c r="CH46" s="1101"/>
      <c r="CI46" s="1101"/>
      <c r="CJ46" s="1101"/>
      <c r="CK46" s="1101"/>
      <c r="CL46" s="1101"/>
      <c r="CM46" s="1101"/>
      <c r="CN46" s="1102"/>
      <c r="CO46" s="1101"/>
      <c r="CP46" s="1101"/>
      <c r="CQ46" s="1101"/>
      <c r="CR46" s="1101"/>
      <c r="CS46" s="1101"/>
      <c r="CT46" s="1101"/>
      <c r="CU46" s="1101"/>
      <c r="CV46" s="1101"/>
      <c r="CW46" s="1101"/>
      <c r="CX46" s="1101"/>
      <c r="CY46" s="1101"/>
      <c r="CZ46" s="1101"/>
      <c r="DA46" s="1102"/>
      <c r="DB46" s="1101"/>
      <c r="DC46" s="1101"/>
      <c r="DD46" s="1101"/>
      <c r="DE46" s="1101"/>
      <c r="DF46" s="1101"/>
      <c r="DG46" s="1101"/>
      <c r="DH46" s="1101"/>
      <c r="DI46" s="1101"/>
      <c r="DJ46" s="1101"/>
      <c r="DK46" s="1101"/>
      <c r="DL46" s="1101"/>
      <c r="DM46" s="1101"/>
      <c r="DN46" s="1102"/>
      <c r="DO46" s="1101"/>
      <c r="DP46" s="1101"/>
      <c r="DQ46" s="1101"/>
      <c r="DR46" s="1101"/>
      <c r="DS46" s="1101"/>
      <c r="DT46" s="1101"/>
      <c r="DU46" s="1101"/>
      <c r="DV46" s="1101"/>
      <c r="DW46" s="1101"/>
      <c r="DX46" s="1101"/>
      <c r="DY46" s="1101"/>
      <c r="DZ46" s="1101"/>
      <c r="EA46" s="1102"/>
      <c r="EB46" s="1101"/>
      <c r="EC46" s="1101"/>
      <c r="ED46" s="1101"/>
      <c r="EE46" s="1101"/>
      <c r="EF46" s="1101"/>
      <c r="EG46" s="1101"/>
      <c r="EH46" s="1101"/>
      <c r="EI46" s="1101"/>
      <c r="EJ46" s="1101"/>
      <c r="EK46" s="1101"/>
      <c r="EL46" s="1101"/>
      <c r="EM46" s="1101"/>
      <c r="EN46" s="1102"/>
      <c r="EO46" s="1101"/>
      <c r="EP46" s="1101"/>
      <c r="EQ46" s="1101"/>
      <c r="ER46" s="1101"/>
      <c r="ES46" s="1101"/>
      <c r="ET46" s="1101"/>
      <c r="EU46" s="1101"/>
      <c r="EV46" s="1101"/>
      <c r="EW46" s="1101"/>
      <c r="EX46" s="1101"/>
      <c r="EY46" s="1101"/>
      <c r="EZ46" s="1101"/>
      <c r="FA46" s="1102"/>
      <c r="FB46" s="1101"/>
      <c r="FC46" s="1101"/>
      <c r="FD46" s="1101"/>
      <c r="FE46" s="1101"/>
      <c r="FF46" s="1101"/>
      <c r="FG46" s="1101"/>
      <c r="FH46" s="1101"/>
      <c r="FI46" s="1101"/>
      <c r="FJ46" s="1101"/>
      <c r="FK46" s="1101"/>
      <c r="FL46" s="1101"/>
      <c r="FM46" s="1101"/>
      <c r="FN46" s="1102"/>
      <c r="FO46" s="1101"/>
      <c r="FP46" s="1101"/>
      <c r="FQ46" s="1101"/>
      <c r="FR46" s="1101"/>
      <c r="FS46" s="1101"/>
      <c r="FT46" s="1101"/>
      <c r="FU46" s="1101"/>
      <c r="FV46" s="1101"/>
      <c r="FW46" s="1101"/>
      <c r="FX46" s="1101"/>
      <c r="FY46" s="1101"/>
      <c r="FZ46" s="1101"/>
      <c r="GA46" s="1102"/>
      <c r="GB46" s="1101"/>
      <c r="GC46" s="1101"/>
      <c r="GD46" s="1101"/>
      <c r="GE46" s="1101"/>
      <c r="GF46" s="1101"/>
      <c r="GG46" s="1101"/>
      <c r="GH46" s="1101"/>
      <c r="GI46" s="1101"/>
      <c r="GJ46" s="1101"/>
      <c r="GK46" s="1101"/>
      <c r="GL46" s="1101"/>
      <c r="GM46" s="1101"/>
      <c r="GN46" s="1102"/>
      <c r="GO46" s="1101"/>
      <c r="GP46" s="1101"/>
      <c r="GQ46" s="1101"/>
      <c r="GR46" s="1101"/>
      <c r="GS46" s="1101"/>
      <c r="GT46" s="1101"/>
      <c r="GU46" s="1101"/>
      <c r="GV46" s="1101"/>
      <c r="GW46" s="1101"/>
      <c r="GX46" s="1101"/>
      <c r="GY46" s="1101"/>
      <c r="GZ46" s="1101"/>
      <c r="HA46" s="1102"/>
      <c r="HB46" s="1101"/>
      <c r="HC46" s="1101"/>
      <c r="HD46" s="1101"/>
      <c r="HE46" s="1101"/>
      <c r="HF46" s="1101"/>
      <c r="HG46" s="1101"/>
      <c r="HH46" s="1101"/>
      <c r="HI46" s="1101"/>
      <c r="HJ46" s="1101"/>
      <c r="HK46" s="1101"/>
      <c r="HL46" s="1101"/>
      <c r="HM46" s="1101"/>
      <c r="HN46" s="1102"/>
      <c r="HO46" s="1101"/>
      <c r="HP46" s="1101"/>
      <c r="HQ46" s="1101"/>
      <c r="HR46" s="1101"/>
      <c r="HS46" s="1101"/>
      <c r="HT46" s="1101"/>
      <c r="HU46" s="1101"/>
      <c r="HV46" s="1101"/>
      <c r="HW46" s="1101"/>
      <c r="HX46" s="1101"/>
      <c r="HY46" s="1101"/>
      <c r="HZ46" s="1101"/>
      <c r="IA46" s="1102"/>
      <c r="IB46" s="1101"/>
      <c r="IC46" s="1101"/>
      <c r="ID46" s="1101"/>
      <c r="IE46" s="1101"/>
      <c r="IF46" s="1101"/>
      <c r="IG46" s="1101"/>
      <c r="IH46" s="1101"/>
      <c r="II46" s="1101"/>
      <c r="IJ46" s="1101"/>
      <c r="IK46" s="1101"/>
      <c r="IL46" s="1101"/>
      <c r="IM46" s="1101"/>
      <c r="IN46" s="1102"/>
      <c r="IO46" s="1101"/>
      <c r="IP46" s="1101"/>
      <c r="IQ46" s="1101"/>
      <c r="IR46" s="1101"/>
      <c r="IS46" s="1101"/>
      <c r="IT46" s="1101"/>
      <c r="IU46" s="1101"/>
      <c r="IV46" s="1101"/>
      <c r="IW46" s="1101"/>
      <c r="IX46" s="1101"/>
      <c r="IY46" s="1101"/>
      <c r="IZ46" s="1101"/>
      <c r="JA46" s="1102"/>
      <c r="JB46" s="1101"/>
      <c r="JC46" s="1101"/>
      <c r="JD46" s="1101"/>
      <c r="JE46" s="1101"/>
      <c r="JF46" s="1101"/>
      <c r="JG46" s="1101"/>
      <c r="JH46" s="1101"/>
      <c r="JI46" s="1101"/>
      <c r="JJ46" s="1101"/>
      <c r="JK46" s="1101"/>
      <c r="JL46" s="1101"/>
      <c r="JM46" s="1101"/>
      <c r="JN46" s="1102"/>
      <c r="JP46" s="1123"/>
      <c r="JQ46" s="1124"/>
      <c r="JR46" s="1125"/>
      <c r="JS46" s="1126"/>
      <c r="JT46" s="62"/>
      <c r="JU46" s="1235"/>
      <c r="JV46" s="1237"/>
      <c r="JW46" s="1238"/>
    </row>
    <row r="47" spans="1:283" ht="15" customHeight="1" x14ac:dyDescent="0.2">
      <c r="A47" s="93" t="s">
        <v>124</v>
      </c>
    </row>
    <row r="48" spans="1:283" ht="15" customHeight="1" x14ac:dyDescent="0.2">
      <c r="A48" t="s">
        <v>127</v>
      </c>
      <c r="DM48">
        <v>91</v>
      </c>
      <c r="DN48">
        <v>156</v>
      </c>
      <c r="DO48">
        <v>190</v>
      </c>
      <c r="DP48">
        <v>61</v>
      </c>
      <c r="DQ48">
        <v>30</v>
      </c>
      <c r="DR48">
        <v>12</v>
      </c>
      <c r="DZ48">
        <v>93</v>
      </c>
      <c r="EA48">
        <v>192</v>
      </c>
    </row>
    <row r="49" spans="117:131" ht="15" customHeight="1" x14ac:dyDescent="0.2">
      <c r="DM49">
        <v>9</v>
      </c>
      <c r="DN49">
        <v>17</v>
      </c>
      <c r="DO49">
        <v>19</v>
      </c>
      <c r="DP49">
        <v>4</v>
      </c>
      <c r="DQ49">
        <v>5</v>
      </c>
      <c r="DR49">
        <v>11</v>
      </c>
      <c r="DS49">
        <v>9</v>
      </c>
      <c r="DT49">
        <v>5</v>
      </c>
      <c r="DU49">
        <v>3</v>
      </c>
      <c r="DV49">
        <v>1</v>
      </c>
      <c r="DW49">
        <v>1</v>
      </c>
      <c r="DX49">
        <v>1</v>
      </c>
      <c r="DZ49">
        <v>6</v>
      </c>
      <c r="EA49">
        <v>14</v>
      </c>
    </row>
  </sheetData>
  <sortState xmlns:xlrd2="http://schemas.microsoft.com/office/spreadsheetml/2017/richdata2" ref="A9:JW45">
    <sortCondition sortBy="cellColor" ref="A9:A45" dxfId="8"/>
    <sortCondition ref="A9:A45"/>
  </sortState>
  <conditionalFormatting sqref="A1:A1048576">
    <cfRule type="duplicateValues" dxfId="5" priority="1"/>
  </conditionalFormatting>
  <pageMargins left="0.7" right="0.7" top="0.75" bottom="0.75" header="0.3" footer="0.3"/>
  <pageSetup paperSize="9" scale="10" orientation="portrait" r:id="rId1"/>
  <colBreaks count="3" manualBreakCount="3">
    <brk id="79" max="48" man="1"/>
    <brk id="170" max="48" man="1"/>
    <brk id="248" max="48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-0.249977111117893"/>
  </sheetPr>
  <dimension ref="A1:KJ44"/>
  <sheetViews>
    <sheetView showGridLines="0" view="pageBreakPreview" zoomScaleNormal="84" zoomScaleSheetLayoutView="100" workbookViewId="0">
      <pane xSplit="1" topLeftCell="JM1" activePane="topRight" state="frozen"/>
      <selection activeCell="IB59" sqref="IB59:JB59"/>
      <selection pane="topRight" activeCell="KC4" sqref="KC4:KF5"/>
    </sheetView>
  </sheetViews>
  <sheetFormatPr baseColWidth="10" defaultColWidth="9.7109375" defaultRowHeight="15" customHeight="1" x14ac:dyDescent="0.2"/>
  <cols>
    <col min="1" max="1" width="20.7109375" customWidth="1"/>
    <col min="288" max="288" width="9.7109375" customWidth="1"/>
    <col min="293" max="293" width="9.7109375" customWidth="1"/>
  </cols>
  <sheetData>
    <row r="1" spans="1:296" ht="15" customHeight="1" x14ac:dyDescent="0.25">
      <c r="A1" s="1134" t="s">
        <v>80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C1" s="66"/>
      <c r="HD1" s="66"/>
      <c r="HE1" s="66"/>
      <c r="HF1" s="66"/>
      <c r="HG1" s="66"/>
      <c r="HH1" s="66"/>
      <c r="HI1" s="66"/>
      <c r="HJ1" s="66"/>
      <c r="HK1" s="66"/>
      <c r="HL1" s="66"/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66"/>
      <c r="IA1" s="66"/>
      <c r="IB1" s="66"/>
      <c r="IC1" s="66"/>
      <c r="ID1" s="66"/>
      <c r="IE1" s="66"/>
      <c r="IF1" s="66"/>
      <c r="IG1" s="66"/>
      <c r="IH1" s="66"/>
      <c r="II1" s="66"/>
      <c r="IJ1" s="66"/>
      <c r="IK1" s="66"/>
      <c r="IL1" s="66"/>
      <c r="IM1" s="66"/>
      <c r="IN1" s="66"/>
      <c r="IO1" s="66"/>
      <c r="IP1" s="66"/>
      <c r="IQ1" s="66"/>
      <c r="IR1" s="66"/>
      <c r="IS1" s="66"/>
      <c r="IT1" s="66"/>
      <c r="IU1" s="66"/>
      <c r="IV1" s="66"/>
      <c r="IW1" s="66"/>
      <c r="IX1" s="66"/>
      <c r="IY1" s="66"/>
      <c r="IZ1" s="66"/>
      <c r="JA1" s="66"/>
      <c r="JB1" s="66"/>
      <c r="JC1" s="66"/>
      <c r="JD1" s="66"/>
      <c r="JE1" s="66"/>
      <c r="JF1" s="66"/>
      <c r="JG1" s="66"/>
      <c r="JH1" s="66"/>
      <c r="JI1" s="66"/>
      <c r="JJ1" s="66"/>
      <c r="JK1" s="66"/>
      <c r="JL1" s="66"/>
      <c r="JM1" s="66"/>
      <c r="JN1" s="66"/>
      <c r="JO1" s="66"/>
      <c r="JP1" s="66"/>
      <c r="JQ1" s="66"/>
      <c r="JR1" s="66"/>
      <c r="JS1" s="66"/>
      <c r="JT1" s="66"/>
      <c r="JU1" s="66"/>
      <c r="JV1" s="66"/>
      <c r="JW1" s="66"/>
      <c r="JX1" s="66"/>
      <c r="JY1" s="66"/>
      <c r="JZ1" s="66"/>
      <c r="KA1" s="66"/>
    </row>
    <row r="2" spans="1:296" ht="15" customHeight="1" x14ac:dyDescent="0.25">
      <c r="A2" s="1134" t="s">
        <v>354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  <c r="EL2" s="66"/>
      <c r="EM2" s="66"/>
      <c r="EN2" s="66"/>
      <c r="EO2" s="66"/>
      <c r="EP2" s="66"/>
      <c r="EQ2" s="66"/>
      <c r="ER2" s="66"/>
      <c r="ES2" s="66"/>
      <c r="ET2" s="66"/>
      <c r="EU2" s="66"/>
      <c r="EV2" s="66"/>
      <c r="EW2" s="66"/>
      <c r="EX2" s="66"/>
      <c r="EY2" s="66"/>
      <c r="EZ2" s="66"/>
      <c r="FA2" s="66"/>
      <c r="FB2" s="66"/>
      <c r="FC2" s="66"/>
      <c r="FD2" s="66"/>
      <c r="FE2" s="66"/>
      <c r="FF2" s="66"/>
      <c r="FG2" s="66"/>
      <c r="FH2" s="66"/>
      <c r="FI2" s="66"/>
      <c r="FJ2" s="66"/>
      <c r="FK2" s="66"/>
      <c r="FL2" s="66"/>
      <c r="FM2" s="66"/>
      <c r="FN2" s="66"/>
      <c r="FO2" s="66"/>
      <c r="FP2" s="66"/>
      <c r="FQ2" s="66"/>
      <c r="FR2" s="66"/>
      <c r="FS2" s="66"/>
      <c r="FT2" s="66"/>
      <c r="FU2" s="66"/>
      <c r="FV2" s="66"/>
      <c r="FW2" s="66"/>
      <c r="FX2" s="66"/>
      <c r="FY2" s="66"/>
      <c r="FZ2" s="66"/>
      <c r="GA2" s="66"/>
      <c r="GB2" s="66"/>
      <c r="GC2" s="66"/>
      <c r="GD2" s="66"/>
      <c r="GE2" s="66"/>
      <c r="GF2" s="66"/>
      <c r="GG2" s="66"/>
      <c r="GH2" s="66"/>
      <c r="GI2" s="66"/>
      <c r="GJ2" s="66"/>
      <c r="GK2" s="66"/>
      <c r="GL2" s="66"/>
      <c r="GM2" s="66"/>
      <c r="GN2" s="66"/>
      <c r="GO2" s="66"/>
      <c r="GP2" s="66"/>
      <c r="GQ2" s="66"/>
      <c r="GR2" s="66"/>
      <c r="GS2" s="66"/>
      <c r="GT2" s="66"/>
      <c r="GU2" s="66"/>
      <c r="GV2" s="66"/>
      <c r="GW2" s="66"/>
      <c r="GX2" s="66"/>
      <c r="GY2" s="66"/>
      <c r="GZ2" s="66"/>
      <c r="HA2" s="66"/>
      <c r="HB2" s="66"/>
      <c r="HC2" s="66"/>
      <c r="HD2" s="66"/>
      <c r="HE2" s="66"/>
      <c r="HF2" s="66"/>
      <c r="HG2" s="66"/>
      <c r="HH2" s="66"/>
      <c r="HI2" s="66"/>
      <c r="HJ2" s="66"/>
      <c r="HK2" s="66"/>
      <c r="HL2" s="66"/>
      <c r="HM2" s="66"/>
      <c r="HN2" s="66"/>
      <c r="HO2" s="66"/>
      <c r="HP2" s="66"/>
      <c r="HQ2" s="66"/>
      <c r="HR2" s="66"/>
      <c r="HS2" s="66"/>
      <c r="HT2" s="66"/>
      <c r="HU2" s="66"/>
      <c r="HV2" s="66"/>
      <c r="HW2" s="66"/>
      <c r="HX2" s="66"/>
      <c r="HY2" s="66"/>
      <c r="HZ2" s="66"/>
      <c r="IA2" s="66"/>
      <c r="IB2" s="66"/>
      <c r="IC2" s="66"/>
      <c r="ID2" s="66"/>
      <c r="IE2" s="66"/>
      <c r="IF2" s="66"/>
      <c r="IG2" s="66"/>
      <c r="IH2" s="66"/>
      <c r="II2" s="66"/>
      <c r="IJ2" s="66"/>
      <c r="IK2" s="66"/>
      <c r="IL2" s="66"/>
      <c r="IM2" s="66"/>
      <c r="IN2" s="66"/>
      <c r="IO2" s="66"/>
      <c r="IP2" s="66"/>
      <c r="IQ2" s="66"/>
      <c r="IR2" s="66"/>
      <c r="IS2" s="66"/>
      <c r="IT2" s="66"/>
      <c r="IU2" s="66"/>
      <c r="IV2" s="66"/>
      <c r="IW2" s="66"/>
      <c r="IX2" s="66"/>
      <c r="IY2" s="66"/>
      <c r="IZ2" s="66"/>
      <c r="JA2" s="66"/>
      <c r="JB2" s="66"/>
      <c r="JC2" s="66"/>
      <c r="JD2" s="66"/>
      <c r="JE2" s="66"/>
      <c r="JF2" s="66"/>
      <c r="JG2" s="66"/>
      <c r="JH2" s="66"/>
      <c r="JI2" s="66"/>
      <c r="JJ2" s="66"/>
      <c r="JK2" s="66"/>
      <c r="JL2" s="66"/>
      <c r="JM2" s="66"/>
      <c r="JN2" s="66"/>
      <c r="JO2" s="66"/>
      <c r="JP2" s="66"/>
      <c r="JQ2" s="66"/>
      <c r="JR2" s="66"/>
      <c r="JS2" s="66"/>
      <c r="JT2" s="66"/>
      <c r="JU2" s="66"/>
      <c r="JV2" s="66"/>
      <c r="JW2" s="66"/>
      <c r="JX2" s="66"/>
      <c r="JY2" s="66"/>
      <c r="JZ2" s="66"/>
      <c r="KA2" s="66"/>
    </row>
    <row r="3" spans="1:296" ht="15" customHeight="1" x14ac:dyDescent="0.25">
      <c r="A3" s="1134" t="s">
        <v>81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3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/>
      <c r="DL3" s="66"/>
      <c r="DM3" s="66"/>
      <c r="DN3" s="66"/>
      <c r="DO3" s="66"/>
      <c r="DP3" s="66"/>
      <c r="DQ3" s="66"/>
      <c r="DR3" s="66"/>
      <c r="DS3" s="66"/>
      <c r="DT3" s="66"/>
      <c r="DU3" s="66"/>
      <c r="DV3" s="66"/>
      <c r="DW3" s="66"/>
      <c r="DX3" s="66"/>
      <c r="DY3" s="66"/>
      <c r="DZ3" s="66"/>
      <c r="EA3" s="66"/>
      <c r="EB3" s="66"/>
      <c r="EC3" s="66"/>
      <c r="ED3" s="66"/>
      <c r="EE3" s="66"/>
      <c r="EF3" s="66"/>
      <c r="EG3" s="66"/>
      <c r="EH3" s="66"/>
      <c r="EI3" s="66"/>
      <c r="EJ3" s="66"/>
      <c r="EK3" s="66"/>
      <c r="EL3" s="66"/>
      <c r="EM3" s="66"/>
      <c r="EN3" s="66"/>
      <c r="EO3" s="66"/>
      <c r="EP3" s="66"/>
      <c r="EQ3" s="66"/>
      <c r="ER3" s="66"/>
      <c r="ES3" s="66"/>
      <c r="ET3" s="66"/>
      <c r="EU3" s="66"/>
      <c r="EV3" s="66"/>
      <c r="EW3" s="66"/>
      <c r="EX3" s="66"/>
      <c r="EY3" s="66"/>
      <c r="EZ3" s="66"/>
      <c r="FA3" s="66"/>
      <c r="FB3" s="66"/>
      <c r="FC3" s="66"/>
      <c r="FD3" s="66"/>
      <c r="FE3" s="66"/>
      <c r="FF3" s="66"/>
      <c r="FG3" s="66"/>
      <c r="FH3" s="66"/>
      <c r="FI3" s="66"/>
      <c r="FJ3" s="66"/>
      <c r="FK3" s="66"/>
      <c r="FL3" s="66"/>
      <c r="FM3" s="66"/>
      <c r="FN3" s="66"/>
      <c r="FO3" s="66"/>
      <c r="FP3" s="66"/>
      <c r="FQ3" s="66"/>
      <c r="FR3" s="66"/>
      <c r="FS3" s="66"/>
      <c r="FT3" s="66"/>
      <c r="FU3" s="66"/>
      <c r="FV3" s="66"/>
      <c r="FW3" s="66"/>
      <c r="FX3" s="66"/>
      <c r="FY3" s="66"/>
      <c r="FZ3" s="66"/>
      <c r="GA3" s="66"/>
      <c r="GB3" s="66"/>
      <c r="GC3" s="66"/>
      <c r="GD3" s="66"/>
      <c r="GE3" s="66"/>
      <c r="GF3" s="66"/>
      <c r="GG3" s="66"/>
      <c r="GH3" s="66"/>
      <c r="GI3" s="66"/>
      <c r="GJ3" s="66"/>
      <c r="GK3" s="66"/>
      <c r="GL3" s="66"/>
      <c r="GM3" s="66"/>
      <c r="GN3" s="66"/>
      <c r="GO3" s="66"/>
      <c r="GP3" s="66"/>
      <c r="GQ3" s="66"/>
      <c r="GR3" s="66"/>
      <c r="GS3" s="66"/>
      <c r="GT3" s="66"/>
      <c r="GU3" s="66"/>
      <c r="GV3" s="66"/>
      <c r="GW3" s="66"/>
      <c r="GX3" s="66"/>
      <c r="GY3" s="66"/>
      <c r="GZ3" s="66"/>
      <c r="HA3" s="66"/>
      <c r="HB3" s="66"/>
      <c r="HC3" s="66"/>
      <c r="HD3" s="66"/>
      <c r="HE3" s="66"/>
      <c r="HF3" s="66"/>
      <c r="HG3" s="66"/>
      <c r="HH3" s="66"/>
      <c r="HI3" s="66"/>
      <c r="HJ3" s="66"/>
      <c r="HK3" s="66"/>
      <c r="HL3" s="66"/>
      <c r="HM3" s="66"/>
      <c r="HN3" s="66"/>
      <c r="HO3" s="66"/>
      <c r="HP3" s="66"/>
      <c r="HQ3" s="66"/>
      <c r="HR3" s="66"/>
      <c r="HS3" s="66"/>
      <c r="HT3" s="66"/>
      <c r="HU3" s="66"/>
      <c r="HV3" s="66"/>
      <c r="HW3" s="66"/>
      <c r="HX3" s="66"/>
      <c r="HY3" s="66"/>
      <c r="HZ3" s="66"/>
      <c r="IA3" s="66"/>
      <c r="IB3" s="66"/>
      <c r="IC3" s="66"/>
      <c r="ID3" s="66"/>
      <c r="IE3" s="66"/>
      <c r="IF3" s="66"/>
      <c r="IG3" s="66"/>
      <c r="IH3" s="66"/>
      <c r="II3" s="66"/>
      <c r="IJ3" s="66"/>
      <c r="IK3" s="66"/>
      <c r="IL3" s="66"/>
      <c r="IM3" s="66"/>
      <c r="IN3" s="66"/>
      <c r="IO3" s="66"/>
      <c r="IP3" s="66"/>
      <c r="IQ3" s="66"/>
      <c r="IR3" s="66"/>
      <c r="IS3" s="66"/>
      <c r="IT3" s="66"/>
      <c r="IU3" s="66"/>
      <c r="IV3" s="66"/>
      <c r="IW3" s="66"/>
      <c r="IX3" s="66"/>
      <c r="IY3" s="66"/>
      <c r="IZ3" s="66"/>
      <c r="JA3" s="66"/>
      <c r="JB3" s="66"/>
      <c r="JC3" s="66"/>
      <c r="JD3" s="66"/>
      <c r="JE3" s="66"/>
      <c r="JF3" s="66"/>
      <c r="JG3" s="66"/>
      <c r="JH3" s="66"/>
      <c r="JI3" s="66"/>
      <c r="JJ3" s="66"/>
      <c r="JK3" s="66"/>
      <c r="JL3" s="66"/>
      <c r="JM3" s="66"/>
      <c r="JN3" s="66"/>
      <c r="JO3" s="66"/>
      <c r="JP3" s="66"/>
      <c r="JQ3" s="66"/>
      <c r="JR3" s="66"/>
      <c r="JS3" s="66"/>
      <c r="JT3" s="66"/>
      <c r="JU3" s="66"/>
      <c r="JV3" s="66"/>
      <c r="JW3" s="66"/>
      <c r="JX3" s="66"/>
      <c r="JY3" s="66"/>
      <c r="JZ3" s="66"/>
      <c r="KA3" s="66"/>
    </row>
    <row r="4" spans="1:296" ht="15" customHeight="1" x14ac:dyDescent="0.2">
      <c r="A4" s="1127"/>
      <c r="B4" s="1088">
        <f>YEAR(B5)</f>
        <v>2005</v>
      </c>
      <c r="C4" s="1088"/>
      <c r="D4" s="1088"/>
      <c r="E4" s="1088"/>
      <c r="F4" s="1088"/>
      <c r="G4" s="1088"/>
      <c r="H4" s="1088"/>
      <c r="I4" s="1088"/>
      <c r="J4" s="1088"/>
      <c r="K4" s="1088"/>
      <c r="L4" s="1088"/>
      <c r="M4" s="1088"/>
      <c r="N4" s="1089" t="s">
        <v>22</v>
      </c>
      <c r="O4" s="1088">
        <f>YEAR(O5)</f>
        <v>2006</v>
      </c>
      <c r="P4" s="1088"/>
      <c r="Q4" s="1088"/>
      <c r="R4" s="1088"/>
      <c r="S4" s="1088"/>
      <c r="T4" s="1088"/>
      <c r="U4" s="1088"/>
      <c r="V4" s="1088"/>
      <c r="W4" s="1088"/>
      <c r="X4" s="1088"/>
      <c r="Y4" s="1088"/>
      <c r="Z4" s="1088"/>
      <c r="AA4" s="1089" t="s">
        <v>22</v>
      </c>
      <c r="AB4" s="1088">
        <f>YEAR(AB5)</f>
        <v>2007</v>
      </c>
      <c r="AC4" s="1088"/>
      <c r="AD4" s="1088"/>
      <c r="AE4" s="1088"/>
      <c r="AF4" s="1088"/>
      <c r="AG4" s="1088"/>
      <c r="AH4" s="1088"/>
      <c r="AI4" s="1088"/>
      <c r="AJ4" s="1088"/>
      <c r="AK4" s="1088"/>
      <c r="AL4" s="1088"/>
      <c r="AM4" s="1088"/>
      <c r="AN4" s="1089" t="s">
        <v>22</v>
      </c>
      <c r="AO4" s="1088">
        <f>YEAR(AO5)</f>
        <v>2008</v>
      </c>
      <c r="AP4" s="1088"/>
      <c r="AQ4" s="1088"/>
      <c r="AR4" s="1088"/>
      <c r="AS4" s="1088"/>
      <c r="AT4" s="1088"/>
      <c r="AU4" s="1088"/>
      <c r="AV4" s="1088"/>
      <c r="AW4" s="1088"/>
      <c r="AX4" s="1088"/>
      <c r="AY4" s="1088"/>
      <c r="AZ4" s="1088"/>
      <c r="BA4" s="1089" t="s">
        <v>22</v>
      </c>
      <c r="BB4" s="1088">
        <f>YEAR(BB5)</f>
        <v>2009</v>
      </c>
      <c r="BC4" s="1088"/>
      <c r="BD4" s="1088"/>
      <c r="BE4" s="1088"/>
      <c r="BF4" s="1088"/>
      <c r="BG4" s="1088"/>
      <c r="BH4" s="1088"/>
      <c r="BI4" s="1088"/>
      <c r="BJ4" s="1088"/>
      <c r="BK4" s="1088"/>
      <c r="BL4" s="1088"/>
      <c r="BM4" s="1088"/>
      <c r="BN4" s="1089" t="s">
        <v>22</v>
      </c>
      <c r="BO4" s="1088">
        <f>YEAR(BO5)</f>
        <v>2010</v>
      </c>
      <c r="BP4" s="1088"/>
      <c r="BQ4" s="1088"/>
      <c r="BR4" s="1088"/>
      <c r="BS4" s="1088"/>
      <c r="BT4" s="1088"/>
      <c r="BU4" s="1088"/>
      <c r="BV4" s="1088"/>
      <c r="BW4" s="1088"/>
      <c r="BX4" s="1088"/>
      <c r="BY4" s="1088"/>
      <c r="BZ4" s="1088"/>
      <c r="CA4" s="1089" t="s">
        <v>22</v>
      </c>
      <c r="CB4" s="1088">
        <f>YEAR(CB5)</f>
        <v>2011</v>
      </c>
      <c r="CC4" s="1088"/>
      <c r="CD4" s="1088"/>
      <c r="CE4" s="1088"/>
      <c r="CF4" s="1088"/>
      <c r="CG4" s="1088"/>
      <c r="CH4" s="1088"/>
      <c r="CI4" s="1088"/>
      <c r="CJ4" s="1088"/>
      <c r="CK4" s="1088"/>
      <c r="CL4" s="1088"/>
      <c r="CM4" s="1088"/>
      <c r="CN4" s="1089" t="s">
        <v>22</v>
      </c>
      <c r="CO4" s="1088">
        <f>YEAR(CO5)</f>
        <v>2012</v>
      </c>
      <c r="CP4" s="1088"/>
      <c r="CQ4" s="1088"/>
      <c r="CR4" s="1088"/>
      <c r="CS4" s="1088"/>
      <c r="CT4" s="1088"/>
      <c r="CU4" s="1088"/>
      <c r="CV4" s="1088"/>
      <c r="CW4" s="1088"/>
      <c r="CX4" s="1088"/>
      <c r="CY4" s="1088"/>
      <c r="CZ4" s="1088"/>
      <c r="DA4" s="1089" t="s">
        <v>22</v>
      </c>
      <c r="DB4" s="1088">
        <f>YEAR(DB5)</f>
        <v>2013</v>
      </c>
      <c r="DC4" s="1088"/>
      <c r="DD4" s="1088"/>
      <c r="DE4" s="1088"/>
      <c r="DF4" s="1088"/>
      <c r="DG4" s="1088"/>
      <c r="DH4" s="1088"/>
      <c r="DI4" s="1088"/>
      <c r="DJ4" s="1088"/>
      <c r="DK4" s="1088"/>
      <c r="DL4" s="1088"/>
      <c r="DM4" s="1088"/>
      <c r="DN4" s="1089" t="s">
        <v>22</v>
      </c>
      <c r="DO4" s="1088">
        <f>YEAR(DO5)</f>
        <v>2014</v>
      </c>
      <c r="DP4" s="1088"/>
      <c r="DQ4" s="1088"/>
      <c r="DR4" s="1088"/>
      <c r="DS4" s="1088"/>
      <c r="DT4" s="1088"/>
      <c r="DU4" s="1088"/>
      <c r="DV4" s="1088"/>
      <c r="DW4" s="1088"/>
      <c r="DX4" s="1088"/>
      <c r="DY4" s="1088"/>
      <c r="DZ4" s="1088"/>
      <c r="EA4" s="1089" t="s">
        <v>22</v>
      </c>
      <c r="EB4" s="1088">
        <f>YEAR(EB5)</f>
        <v>2015</v>
      </c>
      <c r="EC4" s="1088"/>
      <c r="ED4" s="1088"/>
      <c r="EE4" s="1088"/>
      <c r="EF4" s="1088"/>
      <c r="EG4" s="1088"/>
      <c r="EH4" s="1088"/>
      <c r="EI4" s="1088"/>
      <c r="EJ4" s="1088"/>
      <c r="EK4" s="1088"/>
      <c r="EL4" s="1088"/>
      <c r="EM4" s="1088"/>
      <c r="EN4" s="1089" t="s">
        <v>22</v>
      </c>
      <c r="EO4" s="1088">
        <f>YEAR(EO5)</f>
        <v>2016</v>
      </c>
      <c r="EP4" s="1088"/>
      <c r="EQ4" s="1088"/>
      <c r="ER4" s="1088"/>
      <c r="ES4" s="1088"/>
      <c r="ET4" s="1088"/>
      <c r="EU4" s="1088"/>
      <c r="EV4" s="1088"/>
      <c r="EW4" s="1088"/>
      <c r="EX4" s="1088"/>
      <c r="EY4" s="1088"/>
      <c r="EZ4" s="1088"/>
      <c r="FA4" s="1089" t="s">
        <v>22</v>
      </c>
      <c r="FB4" s="1088">
        <f>YEAR(FB5)</f>
        <v>2017</v>
      </c>
      <c r="FC4" s="1088"/>
      <c r="FD4" s="1088"/>
      <c r="FE4" s="1088"/>
      <c r="FF4" s="1088"/>
      <c r="FG4" s="1088"/>
      <c r="FH4" s="1088"/>
      <c r="FI4" s="1088"/>
      <c r="FJ4" s="1088"/>
      <c r="FK4" s="1088"/>
      <c r="FL4" s="1088"/>
      <c r="FM4" s="1088"/>
      <c r="FN4" s="1089" t="s">
        <v>22</v>
      </c>
      <c r="FO4" s="1088">
        <f>YEAR(FO5)</f>
        <v>2018</v>
      </c>
      <c r="FP4" s="1088"/>
      <c r="FQ4" s="1088"/>
      <c r="FR4" s="1088"/>
      <c r="FS4" s="1088"/>
      <c r="FT4" s="1088"/>
      <c r="FU4" s="1088"/>
      <c r="FV4" s="1088"/>
      <c r="FW4" s="1088"/>
      <c r="FX4" s="1088"/>
      <c r="FY4" s="1088"/>
      <c r="FZ4" s="1088"/>
      <c r="GA4" s="1089" t="s">
        <v>22</v>
      </c>
      <c r="GB4" s="1088">
        <f>YEAR(GB5)</f>
        <v>2019</v>
      </c>
      <c r="GC4" s="1088"/>
      <c r="GD4" s="1088"/>
      <c r="GE4" s="1088"/>
      <c r="GF4" s="1088"/>
      <c r="GG4" s="1088"/>
      <c r="GH4" s="1088"/>
      <c r="GI4" s="1088"/>
      <c r="GJ4" s="1088"/>
      <c r="GK4" s="1088"/>
      <c r="GL4" s="1088"/>
      <c r="GM4" s="1088"/>
      <c r="GN4" s="1089" t="s">
        <v>22</v>
      </c>
      <c r="GO4" s="1088">
        <f>YEAR(GO5)</f>
        <v>2020</v>
      </c>
      <c r="GP4" s="1088"/>
      <c r="GQ4" s="1088"/>
      <c r="GR4" s="1088"/>
      <c r="GS4" s="1088"/>
      <c r="GT4" s="1088"/>
      <c r="GU4" s="1088"/>
      <c r="GV4" s="1088"/>
      <c r="GW4" s="1088"/>
      <c r="GX4" s="1088"/>
      <c r="GY4" s="1088"/>
      <c r="GZ4" s="1088"/>
      <c r="HA4" s="1089" t="s">
        <v>22</v>
      </c>
      <c r="HB4" s="1088">
        <f>YEAR(HB5)</f>
        <v>2021</v>
      </c>
      <c r="HC4" s="1088"/>
      <c r="HD4" s="1088"/>
      <c r="HE4" s="1088"/>
      <c r="HF4" s="1088"/>
      <c r="HG4" s="1088"/>
      <c r="HH4" s="1088"/>
      <c r="HI4" s="1088"/>
      <c r="HJ4" s="1088"/>
      <c r="HK4" s="1088"/>
      <c r="HL4" s="1088"/>
      <c r="HM4" s="1088"/>
      <c r="HN4" s="1089" t="s">
        <v>22</v>
      </c>
      <c r="HO4" s="1088">
        <f>YEAR(HO5)</f>
        <v>2022</v>
      </c>
      <c r="HP4" s="1088"/>
      <c r="HQ4" s="1088"/>
      <c r="HR4" s="1088"/>
      <c r="HS4" s="1088"/>
      <c r="HT4" s="1088"/>
      <c r="HU4" s="1088"/>
      <c r="HV4" s="1088"/>
      <c r="HW4" s="1088"/>
      <c r="HX4" s="1088"/>
      <c r="HY4" s="1088"/>
      <c r="HZ4" s="1088"/>
      <c r="IA4" s="1089" t="s">
        <v>22</v>
      </c>
      <c r="IB4" s="1088">
        <f>YEAR(IB5)</f>
        <v>2023</v>
      </c>
      <c r="IC4" s="1088"/>
      <c r="ID4" s="1088"/>
      <c r="IE4" s="1088"/>
      <c r="IF4" s="1088"/>
      <c r="IG4" s="1088"/>
      <c r="IH4" s="1088"/>
      <c r="II4" s="1088"/>
      <c r="IJ4" s="1088"/>
      <c r="IK4" s="1088"/>
      <c r="IL4" s="1088"/>
      <c r="IM4" s="1088"/>
      <c r="IN4" s="1089" t="s">
        <v>22</v>
      </c>
      <c r="IO4" s="1088">
        <f>YEAR(IO5)</f>
        <v>2024</v>
      </c>
      <c r="IP4" s="1088"/>
      <c r="IQ4" s="1088"/>
      <c r="IR4" s="1088"/>
      <c r="IS4" s="1088"/>
      <c r="IT4" s="1088"/>
      <c r="IU4" s="1088"/>
      <c r="IV4" s="1088"/>
      <c r="IW4" s="1088"/>
      <c r="IX4" s="1088"/>
      <c r="IY4" s="1088"/>
      <c r="IZ4" s="1088"/>
      <c r="JA4" s="1089" t="s">
        <v>22</v>
      </c>
      <c r="JB4" s="1088">
        <f>YEAR(JB5)</f>
        <v>2025</v>
      </c>
      <c r="JC4" s="1088"/>
      <c r="JD4" s="1088"/>
      <c r="JE4" s="1088"/>
      <c r="JF4" s="1088"/>
      <c r="JG4" s="1088"/>
      <c r="JH4" s="1088"/>
      <c r="JI4" s="1088"/>
      <c r="JJ4" s="1088"/>
      <c r="JK4" s="1088"/>
      <c r="JL4" s="1088"/>
      <c r="JM4" s="1088"/>
      <c r="JN4" s="1089" t="s">
        <v>22</v>
      </c>
      <c r="JO4" s="1088">
        <f>YEAR(JO5)</f>
        <v>2026</v>
      </c>
      <c r="JP4" s="1088"/>
      <c r="JQ4" s="1088"/>
      <c r="JR4" s="1088"/>
      <c r="JS4" s="1088"/>
      <c r="JT4" s="1088"/>
      <c r="JU4" s="1088"/>
      <c r="JV4" s="1088"/>
      <c r="JW4" s="1088"/>
      <c r="JX4" s="1088"/>
      <c r="JY4" s="1088"/>
      <c r="JZ4" s="1088"/>
      <c r="KA4" s="1089" t="s">
        <v>22</v>
      </c>
      <c r="KC4" s="1103" t="str">
        <f>CONCATENATE("Var.% ",KF4,"/",KF4-1)</f>
        <v>Var.% 2025/2024</v>
      </c>
      <c r="KD4" s="1104"/>
      <c r="KE4" s="1105">
        <f>KF4-1</f>
        <v>2024</v>
      </c>
      <c r="KF4" s="1105">
        <f>YEAR(KC5)</f>
        <v>2025</v>
      </c>
      <c r="KG4" s="62"/>
      <c r="KH4" s="1073" t="s">
        <v>562</v>
      </c>
      <c r="KI4" s="1074"/>
      <c r="KJ4" s="1075"/>
    </row>
    <row r="5" spans="1:296" ht="15" customHeight="1" x14ac:dyDescent="0.2">
      <c r="A5" s="1128"/>
      <c r="B5" s="1090">
        <v>38353</v>
      </c>
      <c r="C5" s="1090">
        <v>38384</v>
      </c>
      <c r="D5" s="1090">
        <v>38412</v>
      </c>
      <c r="E5" s="1090">
        <v>38443</v>
      </c>
      <c r="F5" s="1090">
        <v>38473</v>
      </c>
      <c r="G5" s="1090">
        <v>38504</v>
      </c>
      <c r="H5" s="1090">
        <v>38534</v>
      </c>
      <c r="I5" s="1090">
        <v>38565</v>
      </c>
      <c r="J5" s="1090">
        <v>38596</v>
      </c>
      <c r="K5" s="1090">
        <v>38626</v>
      </c>
      <c r="L5" s="1090">
        <v>38657</v>
      </c>
      <c r="M5" s="1090">
        <v>38687</v>
      </c>
      <c r="N5" s="1091">
        <f>YEAR(M5)</f>
        <v>2005</v>
      </c>
      <c r="O5" s="1090">
        <v>38718</v>
      </c>
      <c r="P5" s="1090">
        <v>38749</v>
      </c>
      <c r="Q5" s="1090">
        <v>38777</v>
      </c>
      <c r="R5" s="1090">
        <v>38808</v>
      </c>
      <c r="S5" s="1090">
        <v>38838</v>
      </c>
      <c r="T5" s="1090">
        <v>38869</v>
      </c>
      <c r="U5" s="1090">
        <v>38899</v>
      </c>
      <c r="V5" s="1090">
        <v>38930</v>
      </c>
      <c r="W5" s="1090">
        <v>38961</v>
      </c>
      <c r="X5" s="1090">
        <v>38991</v>
      </c>
      <c r="Y5" s="1090">
        <v>39022</v>
      </c>
      <c r="Z5" s="1090">
        <v>39052</v>
      </c>
      <c r="AA5" s="1091">
        <f>YEAR(Z5)</f>
        <v>2006</v>
      </c>
      <c r="AB5" s="1090">
        <v>39083</v>
      </c>
      <c r="AC5" s="1090">
        <v>39114</v>
      </c>
      <c r="AD5" s="1090">
        <v>39142</v>
      </c>
      <c r="AE5" s="1090">
        <v>39173</v>
      </c>
      <c r="AF5" s="1090">
        <v>39203</v>
      </c>
      <c r="AG5" s="1090">
        <v>39234</v>
      </c>
      <c r="AH5" s="1090">
        <v>39264</v>
      </c>
      <c r="AI5" s="1090">
        <v>39295</v>
      </c>
      <c r="AJ5" s="1090">
        <v>39326</v>
      </c>
      <c r="AK5" s="1090">
        <v>39356</v>
      </c>
      <c r="AL5" s="1090">
        <v>39387</v>
      </c>
      <c r="AM5" s="1090">
        <v>39417</v>
      </c>
      <c r="AN5" s="1091">
        <f>YEAR(AM5)</f>
        <v>2007</v>
      </c>
      <c r="AO5" s="1090">
        <v>39448</v>
      </c>
      <c r="AP5" s="1090">
        <v>39479</v>
      </c>
      <c r="AQ5" s="1090">
        <v>39508</v>
      </c>
      <c r="AR5" s="1090">
        <v>39539</v>
      </c>
      <c r="AS5" s="1090">
        <v>39569</v>
      </c>
      <c r="AT5" s="1090">
        <v>39600</v>
      </c>
      <c r="AU5" s="1090">
        <v>39630</v>
      </c>
      <c r="AV5" s="1090">
        <v>39661</v>
      </c>
      <c r="AW5" s="1090">
        <v>39692</v>
      </c>
      <c r="AX5" s="1090">
        <v>39722</v>
      </c>
      <c r="AY5" s="1090">
        <v>39753</v>
      </c>
      <c r="AZ5" s="1090">
        <v>39783</v>
      </c>
      <c r="BA5" s="1091">
        <f>YEAR(AZ5)</f>
        <v>2008</v>
      </c>
      <c r="BB5" s="1090">
        <v>39814</v>
      </c>
      <c r="BC5" s="1090">
        <v>39845</v>
      </c>
      <c r="BD5" s="1090">
        <v>39873</v>
      </c>
      <c r="BE5" s="1090">
        <v>39904</v>
      </c>
      <c r="BF5" s="1090">
        <v>39934</v>
      </c>
      <c r="BG5" s="1090">
        <v>39965</v>
      </c>
      <c r="BH5" s="1090">
        <v>39995</v>
      </c>
      <c r="BI5" s="1090">
        <v>40026</v>
      </c>
      <c r="BJ5" s="1090">
        <v>40057</v>
      </c>
      <c r="BK5" s="1090">
        <v>40087</v>
      </c>
      <c r="BL5" s="1090">
        <v>40118</v>
      </c>
      <c r="BM5" s="1090">
        <v>40148</v>
      </c>
      <c r="BN5" s="1091">
        <f>YEAR(BM5)</f>
        <v>2009</v>
      </c>
      <c r="BO5" s="1090">
        <v>40179</v>
      </c>
      <c r="BP5" s="1090">
        <v>40210</v>
      </c>
      <c r="BQ5" s="1090">
        <v>40238</v>
      </c>
      <c r="BR5" s="1090">
        <v>40269</v>
      </c>
      <c r="BS5" s="1090">
        <v>40299</v>
      </c>
      <c r="BT5" s="1090">
        <v>40330</v>
      </c>
      <c r="BU5" s="1090">
        <v>40360</v>
      </c>
      <c r="BV5" s="1090">
        <v>40391</v>
      </c>
      <c r="BW5" s="1090">
        <v>40422</v>
      </c>
      <c r="BX5" s="1090">
        <v>40452</v>
      </c>
      <c r="BY5" s="1090">
        <v>40483</v>
      </c>
      <c r="BZ5" s="1090">
        <v>40513</v>
      </c>
      <c r="CA5" s="1091">
        <f>YEAR(BZ5)</f>
        <v>2010</v>
      </c>
      <c r="CB5" s="1090">
        <v>40544</v>
      </c>
      <c r="CC5" s="1090">
        <v>40575</v>
      </c>
      <c r="CD5" s="1090">
        <v>40603</v>
      </c>
      <c r="CE5" s="1090">
        <v>40634</v>
      </c>
      <c r="CF5" s="1090">
        <v>40664</v>
      </c>
      <c r="CG5" s="1090">
        <v>40695</v>
      </c>
      <c r="CH5" s="1090">
        <v>40725</v>
      </c>
      <c r="CI5" s="1090">
        <v>40756</v>
      </c>
      <c r="CJ5" s="1090">
        <v>40787</v>
      </c>
      <c r="CK5" s="1090">
        <v>40817</v>
      </c>
      <c r="CL5" s="1090">
        <v>40848</v>
      </c>
      <c r="CM5" s="1090">
        <v>40878</v>
      </c>
      <c r="CN5" s="1091">
        <f>YEAR(CM5)</f>
        <v>2011</v>
      </c>
      <c r="CO5" s="1090">
        <v>40909</v>
      </c>
      <c r="CP5" s="1090">
        <v>40940</v>
      </c>
      <c r="CQ5" s="1090">
        <v>40969</v>
      </c>
      <c r="CR5" s="1090">
        <v>41000</v>
      </c>
      <c r="CS5" s="1090">
        <v>41030</v>
      </c>
      <c r="CT5" s="1090">
        <v>41061</v>
      </c>
      <c r="CU5" s="1090">
        <v>41091</v>
      </c>
      <c r="CV5" s="1090">
        <v>41122</v>
      </c>
      <c r="CW5" s="1090">
        <v>41153</v>
      </c>
      <c r="CX5" s="1090">
        <v>41183</v>
      </c>
      <c r="CY5" s="1090">
        <v>41214</v>
      </c>
      <c r="CZ5" s="1090">
        <v>41244</v>
      </c>
      <c r="DA5" s="1091">
        <f>YEAR(CZ5)</f>
        <v>2012</v>
      </c>
      <c r="DB5" s="1090">
        <v>41275</v>
      </c>
      <c r="DC5" s="1090">
        <v>41306</v>
      </c>
      <c r="DD5" s="1090">
        <v>41334</v>
      </c>
      <c r="DE5" s="1090">
        <v>41365</v>
      </c>
      <c r="DF5" s="1090">
        <v>41395</v>
      </c>
      <c r="DG5" s="1090">
        <v>41426</v>
      </c>
      <c r="DH5" s="1090">
        <v>41456</v>
      </c>
      <c r="DI5" s="1090">
        <v>41487</v>
      </c>
      <c r="DJ5" s="1090">
        <v>41518</v>
      </c>
      <c r="DK5" s="1090">
        <v>41548</v>
      </c>
      <c r="DL5" s="1090">
        <v>41579</v>
      </c>
      <c r="DM5" s="1090">
        <v>41609</v>
      </c>
      <c r="DN5" s="1091">
        <f>YEAR(DM5)</f>
        <v>2013</v>
      </c>
      <c r="DO5" s="1090">
        <v>41640</v>
      </c>
      <c r="DP5" s="1090">
        <v>41671</v>
      </c>
      <c r="DQ5" s="1090">
        <v>41699</v>
      </c>
      <c r="DR5" s="1090">
        <v>41730</v>
      </c>
      <c r="DS5" s="1090">
        <v>41760</v>
      </c>
      <c r="DT5" s="1090">
        <v>41791</v>
      </c>
      <c r="DU5" s="1090">
        <v>41821</v>
      </c>
      <c r="DV5" s="1090">
        <v>41852</v>
      </c>
      <c r="DW5" s="1090">
        <v>41883</v>
      </c>
      <c r="DX5" s="1090">
        <v>41913</v>
      </c>
      <c r="DY5" s="1090">
        <v>41944</v>
      </c>
      <c r="DZ5" s="1090">
        <v>41974</v>
      </c>
      <c r="EA5" s="1091">
        <f>YEAR(DZ5)</f>
        <v>2014</v>
      </c>
      <c r="EB5" s="1090">
        <v>42005</v>
      </c>
      <c r="EC5" s="1090">
        <v>42036</v>
      </c>
      <c r="ED5" s="1090">
        <v>42064</v>
      </c>
      <c r="EE5" s="1090">
        <v>42095</v>
      </c>
      <c r="EF5" s="1090">
        <v>42125</v>
      </c>
      <c r="EG5" s="1090">
        <v>42156</v>
      </c>
      <c r="EH5" s="1090">
        <v>42186</v>
      </c>
      <c r="EI5" s="1090">
        <v>42217</v>
      </c>
      <c r="EJ5" s="1090">
        <v>42248</v>
      </c>
      <c r="EK5" s="1090">
        <v>42278</v>
      </c>
      <c r="EL5" s="1090">
        <v>42309</v>
      </c>
      <c r="EM5" s="1090">
        <v>42339</v>
      </c>
      <c r="EN5" s="1091">
        <f>YEAR(EM5)</f>
        <v>2015</v>
      </c>
      <c r="EO5" s="1090">
        <v>42370</v>
      </c>
      <c r="EP5" s="1090">
        <v>42401</v>
      </c>
      <c r="EQ5" s="1090">
        <v>42430</v>
      </c>
      <c r="ER5" s="1090">
        <v>42461</v>
      </c>
      <c r="ES5" s="1090">
        <v>42491</v>
      </c>
      <c r="ET5" s="1090">
        <v>42522</v>
      </c>
      <c r="EU5" s="1090">
        <v>42552</v>
      </c>
      <c r="EV5" s="1090">
        <v>42583</v>
      </c>
      <c r="EW5" s="1090">
        <v>42614</v>
      </c>
      <c r="EX5" s="1090">
        <v>42644</v>
      </c>
      <c r="EY5" s="1090">
        <v>42675</v>
      </c>
      <c r="EZ5" s="1090">
        <v>42705</v>
      </c>
      <c r="FA5" s="1091">
        <f>YEAR(EZ5)</f>
        <v>2016</v>
      </c>
      <c r="FB5" s="1090">
        <v>42736</v>
      </c>
      <c r="FC5" s="1090">
        <v>42767</v>
      </c>
      <c r="FD5" s="1090">
        <v>42795</v>
      </c>
      <c r="FE5" s="1090">
        <v>42826</v>
      </c>
      <c r="FF5" s="1090">
        <v>42856</v>
      </c>
      <c r="FG5" s="1090">
        <v>42887</v>
      </c>
      <c r="FH5" s="1090">
        <v>42917</v>
      </c>
      <c r="FI5" s="1090">
        <v>42948</v>
      </c>
      <c r="FJ5" s="1090">
        <v>42979</v>
      </c>
      <c r="FK5" s="1090">
        <v>43009</v>
      </c>
      <c r="FL5" s="1090">
        <v>43040</v>
      </c>
      <c r="FM5" s="1090">
        <v>43070</v>
      </c>
      <c r="FN5" s="1091">
        <f>YEAR(FM5)</f>
        <v>2017</v>
      </c>
      <c r="FO5" s="1090">
        <v>43101</v>
      </c>
      <c r="FP5" s="1090">
        <v>43132</v>
      </c>
      <c r="FQ5" s="1090">
        <v>43160</v>
      </c>
      <c r="FR5" s="1090">
        <v>43191</v>
      </c>
      <c r="FS5" s="1090">
        <v>43221</v>
      </c>
      <c r="FT5" s="1090">
        <v>43252</v>
      </c>
      <c r="FU5" s="1090">
        <v>43282</v>
      </c>
      <c r="FV5" s="1090">
        <v>43313</v>
      </c>
      <c r="FW5" s="1090">
        <v>43344</v>
      </c>
      <c r="FX5" s="1090">
        <v>43374</v>
      </c>
      <c r="FY5" s="1090">
        <v>43405</v>
      </c>
      <c r="FZ5" s="1090">
        <v>43435</v>
      </c>
      <c r="GA5" s="1091">
        <f>YEAR(FZ5)</f>
        <v>2018</v>
      </c>
      <c r="GB5" s="1090">
        <v>43466</v>
      </c>
      <c r="GC5" s="1090">
        <v>43497</v>
      </c>
      <c r="GD5" s="1090">
        <v>43525</v>
      </c>
      <c r="GE5" s="1090">
        <v>43556</v>
      </c>
      <c r="GF5" s="1090">
        <v>43586</v>
      </c>
      <c r="GG5" s="1090">
        <v>43617</v>
      </c>
      <c r="GH5" s="1090">
        <v>43647</v>
      </c>
      <c r="GI5" s="1090">
        <v>43678</v>
      </c>
      <c r="GJ5" s="1090">
        <v>43709</v>
      </c>
      <c r="GK5" s="1090">
        <v>43739</v>
      </c>
      <c r="GL5" s="1090">
        <v>43770</v>
      </c>
      <c r="GM5" s="1090">
        <v>43800</v>
      </c>
      <c r="GN5" s="1091">
        <f>YEAR(GM5)</f>
        <v>2019</v>
      </c>
      <c r="GO5" s="1090">
        <v>43831</v>
      </c>
      <c r="GP5" s="1090">
        <v>43862</v>
      </c>
      <c r="GQ5" s="1090">
        <v>43891</v>
      </c>
      <c r="GR5" s="1090">
        <v>43922</v>
      </c>
      <c r="GS5" s="1090">
        <v>43952</v>
      </c>
      <c r="GT5" s="1090">
        <v>43983</v>
      </c>
      <c r="GU5" s="1090">
        <v>44013</v>
      </c>
      <c r="GV5" s="1090">
        <v>44044</v>
      </c>
      <c r="GW5" s="1090">
        <v>44075</v>
      </c>
      <c r="GX5" s="1090">
        <v>44105</v>
      </c>
      <c r="GY5" s="1090">
        <v>44136</v>
      </c>
      <c r="GZ5" s="1090">
        <v>44166</v>
      </c>
      <c r="HA5" s="1091">
        <f>YEAR(GZ5)</f>
        <v>2020</v>
      </c>
      <c r="HB5" s="1090">
        <v>44197</v>
      </c>
      <c r="HC5" s="1090">
        <v>44228</v>
      </c>
      <c r="HD5" s="1090">
        <v>44256</v>
      </c>
      <c r="HE5" s="1090">
        <v>44287</v>
      </c>
      <c r="HF5" s="1090">
        <v>44317</v>
      </c>
      <c r="HG5" s="1090">
        <v>44348</v>
      </c>
      <c r="HH5" s="1090">
        <v>44378</v>
      </c>
      <c r="HI5" s="1090">
        <v>44409</v>
      </c>
      <c r="HJ5" s="1090">
        <v>44440</v>
      </c>
      <c r="HK5" s="1090">
        <v>44470</v>
      </c>
      <c r="HL5" s="1090">
        <v>44501</v>
      </c>
      <c r="HM5" s="1090">
        <v>44531</v>
      </c>
      <c r="HN5" s="1091">
        <f>YEAR(HM5)</f>
        <v>2021</v>
      </c>
      <c r="HO5" s="1090">
        <v>44562</v>
      </c>
      <c r="HP5" s="1090">
        <v>44593</v>
      </c>
      <c r="HQ5" s="1090">
        <v>44621</v>
      </c>
      <c r="HR5" s="1090">
        <v>44652</v>
      </c>
      <c r="HS5" s="1090">
        <v>44682</v>
      </c>
      <c r="HT5" s="1090">
        <v>44713</v>
      </c>
      <c r="HU5" s="1090">
        <v>44743</v>
      </c>
      <c r="HV5" s="1090">
        <v>44774</v>
      </c>
      <c r="HW5" s="1090">
        <v>44805</v>
      </c>
      <c r="HX5" s="1090">
        <v>44835</v>
      </c>
      <c r="HY5" s="1090">
        <v>44866</v>
      </c>
      <c r="HZ5" s="1090">
        <v>44896</v>
      </c>
      <c r="IA5" s="1091">
        <f>YEAR(HZ5)</f>
        <v>2022</v>
      </c>
      <c r="IB5" s="1090">
        <v>44927</v>
      </c>
      <c r="IC5" s="1090">
        <v>44958</v>
      </c>
      <c r="ID5" s="1090">
        <v>44986</v>
      </c>
      <c r="IE5" s="1090">
        <v>45017</v>
      </c>
      <c r="IF5" s="1090">
        <v>45047</v>
      </c>
      <c r="IG5" s="1090">
        <v>45078</v>
      </c>
      <c r="IH5" s="1090">
        <v>45108</v>
      </c>
      <c r="II5" s="1090">
        <v>45139</v>
      </c>
      <c r="IJ5" s="1090">
        <v>45170</v>
      </c>
      <c r="IK5" s="1090">
        <v>45200</v>
      </c>
      <c r="IL5" s="1090">
        <v>45231</v>
      </c>
      <c r="IM5" s="1090">
        <v>45261</v>
      </c>
      <c r="IN5" s="1091">
        <f>YEAR(IM5)</f>
        <v>2023</v>
      </c>
      <c r="IO5" s="1090">
        <v>45292</v>
      </c>
      <c r="IP5" s="1090">
        <v>45323</v>
      </c>
      <c r="IQ5" s="1090">
        <v>45352</v>
      </c>
      <c r="IR5" s="1090">
        <v>45383</v>
      </c>
      <c r="IS5" s="1090">
        <v>45413</v>
      </c>
      <c r="IT5" s="1090">
        <v>45444</v>
      </c>
      <c r="IU5" s="1090">
        <v>45474</v>
      </c>
      <c r="IV5" s="1090">
        <v>45505</v>
      </c>
      <c r="IW5" s="1090">
        <v>45536</v>
      </c>
      <c r="IX5" s="1090">
        <v>45566</v>
      </c>
      <c r="IY5" s="1090">
        <v>45597</v>
      </c>
      <c r="IZ5" s="1090">
        <v>45627</v>
      </c>
      <c r="JA5" s="1091">
        <f>YEAR(IZ5)</f>
        <v>2024</v>
      </c>
      <c r="JB5" s="1090">
        <v>45658</v>
      </c>
      <c r="JC5" s="1090">
        <v>45689</v>
      </c>
      <c r="JD5" s="1090">
        <v>45717</v>
      </c>
      <c r="JE5" s="1090">
        <v>45748</v>
      </c>
      <c r="JF5" s="1090">
        <v>45778</v>
      </c>
      <c r="JG5" s="1090">
        <v>45809</v>
      </c>
      <c r="JH5" s="1090">
        <v>45839</v>
      </c>
      <c r="JI5" s="1090">
        <v>45870</v>
      </c>
      <c r="JJ5" s="1090">
        <v>45901</v>
      </c>
      <c r="JK5" s="1090">
        <v>45931</v>
      </c>
      <c r="JL5" s="1090">
        <v>45962</v>
      </c>
      <c r="JM5" s="1090">
        <v>45992</v>
      </c>
      <c r="JN5" s="1091">
        <f>YEAR(JM5)</f>
        <v>2025</v>
      </c>
      <c r="JO5" s="1090">
        <v>46023</v>
      </c>
      <c r="JP5" s="1090">
        <v>46054</v>
      </c>
      <c r="JQ5" s="1090">
        <v>46082</v>
      </c>
      <c r="JR5" s="1090">
        <v>46113</v>
      </c>
      <c r="JS5" s="1090">
        <v>46143</v>
      </c>
      <c r="JT5" s="1090">
        <v>46174</v>
      </c>
      <c r="JU5" s="1090">
        <v>46204</v>
      </c>
      <c r="JV5" s="1090">
        <v>46235</v>
      </c>
      <c r="JW5" s="1090">
        <v>46266</v>
      </c>
      <c r="JX5" s="1090">
        <v>46296</v>
      </c>
      <c r="JY5" s="1090">
        <v>46327</v>
      </c>
      <c r="JZ5" s="1090">
        <v>46357</v>
      </c>
      <c r="KA5" s="1091">
        <f>YEAR(JZ5)</f>
        <v>2026</v>
      </c>
      <c r="KC5" s="1106">
        <f>JM5</f>
        <v>45992</v>
      </c>
      <c r="KD5" s="1107" t="str">
        <f>CONCATENATE("Ene.-",TEXT(KC5,"MMM."))</f>
        <v>Ene.-Dic.</v>
      </c>
      <c r="KE5" s="1108" t="str">
        <f>KD5</f>
        <v>Ene.-Dic.</v>
      </c>
      <c r="KF5" s="1108" t="str">
        <f>KD5</f>
        <v>Ene.-Dic.</v>
      </c>
      <c r="KG5" s="62"/>
      <c r="KH5" s="1076" t="s">
        <v>563</v>
      </c>
      <c r="KI5" s="1077"/>
      <c r="KJ5" s="1078"/>
    </row>
    <row r="6" spans="1:296" ht="15" customHeight="1" x14ac:dyDescent="0.2">
      <c r="A6" s="1129"/>
      <c r="B6" s="1092"/>
      <c r="C6" s="1092"/>
      <c r="D6" s="1092"/>
      <c r="E6" s="1092"/>
      <c r="F6" s="1092"/>
      <c r="G6" s="1092"/>
      <c r="H6" s="1092"/>
      <c r="I6" s="1092"/>
      <c r="J6" s="1092"/>
      <c r="K6" s="1092"/>
      <c r="L6" s="1092"/>
      <c r="M6" s="1092"/>
      <c r="N6" s="1093"/>
      <c r="O6" s="1092"/>
      <c r="P6" s="1092"/>
      <c r="Q6" s="1092"/>
      <c r="R6" s="1092"/>
      <c r="S6" s="1092"/>
      <c r="T6" s="1092"/>
      <c r="U6" s="1092"/>
      <c r="V6" s="1092"/>
      <c r="W6" s="1092"/>
      <c r="X6" s="1092"/>
      <c r="Y6" s="1092"/>
      <c r="Z6" s="1092"/>
      <c r="AA6" s="1093"/>
      <c r="AB6" s="1092"/>
      <c r="AC6" s="1092"/>
      <c r="AD6" s="1092"/>
      <c r="AE6" s="1092"/>
      <c r="AF6" s="1092"/>
      <c r="AG6" s="1092"/>
      <c r="AH6" s="1092"/>
      <c r="AI6" s="1092"/>
      <c r="AJ6" s="1092"/>
      <c r="AK6" s="1092"/>
      <c r="AL6" s="1092"/>
      <c r="AM6" s="1092"/>
      <c r="AN6" s="1093"/>
      <c r="AO6" s="1092"/>
      <c r="AP6" s="1092"/>
      <c r="AQ6" s="1092"/>
      <c r="AR6" s="1092"/>
      <c r="AS6" s="1092"/>
      <c r="AT6" s="1092"/>
      <c r="AU6" s="1092"/>
      <c r="AV6" s="1092"/>
      <c r="AW6" s="1092"/>
      <c r="AX6" s="1092"/>
      <c r="AY6" s="1092"/>
      <c r="AZ6" s="1092"/>
      <c r="BA6" s="1093"/>
      <c r="BB6" s="1092"/>
      <c r="BC6" s="1092"/>
      <c r="BD6" s="1092"/>
      <c r="BE6" s="1092"/>
      <c r="BF6" s="1092"/>
      <c r="BG6" s="1092"/>
      <c r="BH6" s="1092"/>
      <c r="BI6" s="1092"/>
      <c r="BJ6" s="1092"/>
      <c r="BK6" s="1092"/>
      <c r="BL6" s="1092"/>
      <c r="BM6" s="1092"/>
      <c r="BN6" s="1093"/>
      <c r="BO6" s="1092"/>
      <c r="BP6" s="1092"/>
      <c r="BQ6" s="1092"/>
      <c r="BR6" s="1092"/>
      <c r="BS6" s="1092"/>
      <c r="BT6" s="1092"/>
      <c r="BU6" s="1092"/>
      <c r="BV6" s="1092"/>
      <c r="BW6" s="1092"/>
      <c r="BX6" s="1092"/>
      <c r="BY6" s="1092"/>
      <c r="BZ6" s="1092"/>
      <c r="CA6" s="1093"/>
      <c r="CB6" s="1092"/>
      <c r="CC6" s="1092"/>
      <c r="CD6" s="1092"/>
      <c r="CE6" s="1092"/>
      <c r="CF6" s="1092"/>
      <c r="CG6" s="1092"/>
      <c r="CH6" s="1092"/>
      <c r="CI6" s="1092"/>
      <c r="CJ6" s="1092"/>
      <c r="CK6" s="1092"/>
      <c r="CL6" s="1092"/>
      <c r="CM6" s="1092"/>
      <c r="CN6" s="1093"/>
      <c r="CO6" s="1092"/>
      <c r="CP6" s="1092"/>
      <c r="CQ6" s="1092"/>
      <c r="CR6" s="1092"/>
      <c r="CS6" s="1092"/>
      <c r="CT6" s="1092"/>
      <c r="CU6" s="1092"/>
      <c r="CV6" s="1092"/>
      <c r="CW6" s="1092"/>
      <c r="CX6" s="1092"/>
      <c r="CY6" s="1092"/>
      <c r="CZ6" s="1092"/>
      <c r="DA6" s="1093"/>
      <c r="DB6" s="1092"/>
      <c r="DC6" s="1092"/>
      <c r="DD6" s="1092"/>
      <c r="DE6" s="1092"/>
      <c r="DF6" s="1092"/>
      <c r="DG6" s="1092"/>
      <c r="DH6" s="1092"/>
      <c r="DI6" s="1092"/>
      <c r="DJ6" s="1092"/>
      <c r="DK6" s="1092"/>
      <c r="DL6" s="1092"/>
      <c r="DM6" s="1092"/>
      <c r="DN6" s="1093"/>
      <c r="DO6" s="1092"/>
      <c r="DP6" s="1092"/>
      <c r="DQ6" s="1092"/>
      <c r="DR6" s="1092"/>
      <c r="DS6" s="1092"/>
      <c r="DT6" s="1092"/>
      <c r="DU6" s="1092"/>
      <c r="DV6" s="1092"/>
      <c r="DW6" s="1092"/>
      <c r="DX6" s="1092"/>
      <c r="DY6" s="1092"/>
      <c r="DZ6" s="1092"/>
      <c r="EA6" s="1093"/>
      <c r="EB6" s="1092"/>
      <c r="EC6" s="1092"/>
      <c r="ED6" s="1092"/>
      <c r="EE6" s="1092"/>
      <c r="EF6" s="1092"/>
      <c r="EG6" s="1092"/>
      <c r="EH6" s="1092"/>
      <c r="EI6" s="1092"/>
      <c r="EJ6" s="1092"/>
      <c r="EK6" s="1092"/>
      <c r="EL6" s="1092"/>
      <c r="EM6" s="1092"/>
      <c r="EN6" s="1093"/>
      <c r="EO6" s="1092"/>
      <c r="EP6" s="1092"/>
      <c r="EQ6" s="1092"/>
      <c r="ER6" s="1092"/>
      <c r="ES6" s="1092"/>
      <c r="ET6" s="1092"/>
      <c r="EU6" s="1092"/>
      <c r="EV6" s="1092"/>
      <c r="EW6" s="1092"/>
      <c r="EX6" s="1092"/>
      <c r="EY6" s="1092"/>
      <c r="EZ6" s="1092"/>
      <c r="FA6" s="1093"/>
      <c r="FB6" s="1092"/>
      <c r="FC6" s="1092"/>
      <c r="FD6" s="1092"/>
      <c r="FE6" s="1092"/>
      <c r="FF6" s="1092"/>
      <c r="FG6" s="1092"/>
      <c r="FH6" s="1092"/>
      <c r="FI6" s="1092"/>
      <c r="FJ6" s="1092"/>
      <c r="FK6" s="1092"/>
      <c r="FL6" s="1092"/>
      <c r="FM6" s="1092"/>
      <c r="FN6" s="1093"/>
      <c r="FO6" s="1092"/>
      <c r="FP6" s="1092"/>
      <c r="FQ6" s="1092"/>
      <c r="FR6" s="1092"/>
      <c r="FS6" s="1092"/>
      <c r="FT6" s="1092"/>
      <c r="FU6" s="1092"/>
      <c r="FV6" s="1092"/>
      <c r="FW6" s="1092"/>
      <c r="FX6" s="1092"/>
      <c r="FY6" s="1092"/>
      <c r="FZ6" s="1092"/>
      <c r="GA6" s="1093"/>
      <c r="GB6" s="1092"/>
      <c r="GC6" s="1092"/>
      <c r="GD6" s="1092"/>
      <c r="GE6" s="1092"/>
      <c r="GF6" s="1092"/>
      <c r="GG6" s="1092"/>
      <c r="GH6" s="1092"/>
      <c r="GI6" s="1092"/>
      <c r="GJ6" s="1092"/>
      <c r="GK6" s="1092"/>
      <c r="GL6" s="1092"/>
      <c r="GM6" s="1092"/>
      <c r="GN6" s="1093"/>
      <c r="GO6" s="1092"/>
      <c r="GP6" s="1092"/>
      <c r="GQ6" s="1092"/>
      <c r="GR6" s="1092"/>
      <c r="GS6" s="1092"/>
      <c r="GT6" s="1092"/>
      <c r="GU6" s="1092"/>
      <c r="GV6" s="1092"/>
      <c r="GW6" s="1092"/>
      <c r="GX6" s="1092"/>
      <c r="GY6" s="1092"/>
      <c r="GZ6" s="1092"/>
      <c r="HA6" s="1093"/>
      <c r="HB6" s="1092"/>
      <c r="HC6" s="1092"/>
      <c r="HD6" s="1092"/>
      <c r="HE6" s="1092"/>
      <c r="HF6" s="1092"/>
      <c r="HG6" s="1092"/>
      <c r="HH6" s="1092"/>
      <c r="HI6" s="1092"/>
      <c r="HJ6" s="1092"/>
      <c r="HK6" s="1092"/>
      <c r="HL6" s="1092"/>
      <c r="HM6" s="1092"/>
      <c r="HN6" s="1093"/>
      <c r="HO6" s="1092"/>
      <c r="HP6" s="1092"/>
      <c r="HQ6" s="1092"/>
      <c r="HR6" s="1092"/>
      <c r="HS6" s="1092"/>
      <c r="HT6" s="1092"/>
      <c r="HU6" s="1092"/>
      <c r="HV6" s="1092"/>
      <c r="HW6" s="1092"/>
      <c r="HX6" s="1092"/>
      <c r="HY6" s="1092"/>
      <c r="HZ6" s="1092"/>
      <c r="IA6" s="1093"/>
      <c r="IB6" s="1092"/>
      <c r="IC6" s="1092"/>
      <c r="ID6" s="1092"/>
      <c r="IE6" s="1092"/>
      <c r="IF6" s="1092"/>
      <c r="IG6" s="1092"/>
      <c r="IH6" s="1092"/>
      <c r="II6" s="1092"/>
      <c r="IJ6" s="1092"/>
      <c r="IK6" s="1092"/>
      <c r="IL6" s="1092"/>
      <c r="IM6" s="1092"/>
      <c r="IN6" s="1093"/>
      <c r="IO6" s="1092"/>
      <c r="IP6" s="1092"/>
      <c r="IQ6" s="1092"/>
      <c r="IR6" s="1092"/>
      <c r="IS6" s="1092"/>
      <c r="IT6" s="1092"/>
      <c r="IU6" s="1092"/>
      <c r="IV6" s="1092"/>
      <c r="IW6" s="1092"/>
      <c r="IX6" s="1092"/>
      <c r="IY6" s="1092"/>
      <c r="IZ6" s="1092"/>
      <c r="JA6" s="1093"/>
      <c r="JB6" s="1092"/>
      <c r="JC6" s="1092"/>
      <c r="JD6" s="1092"/>
      <c r="JE6" s="1092"/>
      <c r="JF6" s="1092"/>
      <c r="JG6" s="1092"/>
      <c r="JH6" s="1092"/>
      <c r="JI6" s="1092"/>
      <c r="JJ6" s="1092"/>
      <c r="JK6" s="1092"/>
      <c r="JL6" s="1092"/>
      <c r="JM6" s="1092"/>
      <c r="JN6" s="1093"/>
      <c r="JO6" s="1092"/>
      <c r="JP6" s="1092"/>
      <c r="JQ6" s="1092"/>
      <c r="JR6" s="1092"/>
      <c r="JS6" s="1092"/>
      <c r="JT6" s="1092"/>
      <c r="JU6" s="1092"/>
      <c r="JV6" s="1092"/>
      <c r="JW6" s="1092"/>
      <c r="JX6" s="1092"/>
      <c r="JY6" s="1092"/>
      <c r="JZ6" s="1092"/>
      <c r="KA6" s="1093"/>
      <c r="KC6" s="1109"/>
      <c r="KD6" s="1110"/>
      <c r="KE6" s="1111"/>
      <c r="KF6" s="1112"/>
      <c r="KG6" s="62"/>
      <c r="KH6" s="1079"/>
      <c r="KI6" s="1080"/>
      <c r="KJ6" s="1081"/>
    </row>
    <row r="7" spans="1:296" ht="15" customHeight="1" x14ac:dyDescent="0.2">
      <c r="A7" s="1130" t="s">
        <v>573</v>
      </c>
      <c r="B7" s="1094">
        <f t="shared" ref="B7:M7" si="0">SUM(B9:B39)</f>
        <v>22156</v>
      </c>
      <c r="C7" s="1094">
        <f t="shared" si="0"/>
        <v>31665</v>
      </c>
      <c r="D7" s="1094">
        <f t="shared" si="0"/>
        <v>13167</v>
      </c>
      <c r="E7" s="1094">
        <f t="shared" si="0"/>
        <v>6827</v>
      </c>
      <c r="F7" s="1094">
        <f t="shared" si="0"/>
        <v>8053</v>
      </c>
      <c r="G7" s="1094">
        <f t="shared" si="0"/>
        <v>21443</v>
      </c>
      <c r="H7" s="1094">
        <f t="shared" si="0"/>
        <v>18555</v>
      </c>
      <c r="I7" s="1094">
        <f t="shared" si="0"/>
        <v>13557</v>
      </c>
      <c r="J7" s="1094">
        <f t="shared" si="0"/>
        <v>6703.5</v>
      </c>
      <c r="K7" s="1094">
        <f t="shared" si="0"/>
        <v>6536</v>
      </c>
      <c r="L7" s="1094">
        <f t="shared" si="0"/>
        <v>7169</v>
      </c>
      <c r="M7" s="1094">
        <f t="shared" si="0"/>
        <v>97962</v>
      </c>
      <c r="N7" s="1095">
        <f t="shared" ref="N7:N41" si="1">SUM(B7:M7)</f>
        <v>253793.5</v>
      </c>
      <c r="O7" s="1094">
        <f t="shared" ref="O7:Z7" si="2">SUM(O9:O39)</f>
        <v>20965.25</v>
      </c>
      <c r="P7" s="1094">
        <f t="shared" si="2"/>
        <v>17484</v>
      </c>
      <c r="Q7" s="1094">
        <f t="shared" si="2"/>
        <v>11827.25</v>
      </c>
      <c r="R7" s="1094">
        <f t="shared" si="2"/>
        <v>6149.5</v>
      </c>
      <c r="S7" s="1094">
        <f t="shared" si="2"/>
        <v>9324</v>
      </c>
      <c r="T7" s="1094">
        <f t="shared" si="2"/>
        <v>14317.75</v>
      </c>
      <c r="U7" s="1094">
        <f t="shared" si="2"/>
        <v>24897.5</v>
      </c>
      <c r="V7" s="1094">
        <f t="shared" si="2"/>
        <v>12404</v>
      </c>
      <c r="W7" s="1094">
        <f t="shared" si="2"/>
        <v>5962</v>
      </c>
      <c r="X7" s="1094">
        <f t="shared" si="2"/>
        <v>7917.5</v>
      </c>
      <c r="Y7" s="1094">
        <f t="shared" si="2"/>
        <v>7959.25</v>
      </c>
      <c r="Z7" s="1094">
        <f t="shared" si="2"/>
        <v>113743.87</v>
      </c>
      <c r="AA7" s="1095">
        <f t="shared" ref="AA7:AA41" si="3">SUM(O7:Z7)</f>
        <v>252951.87</v>
      </c>
      <c r="AB7" s="1094">
        <f t="shared" ref="AB7:AM7" si="4">SUM(AB9:AB39)</f>
        <v>10615</v>
      </c>
      <c r="AC7" s="1094">
        <f t="shared" si="4"/>
        <v>19239</v>
      </c>
      <c r="AD7" s="1094">
        <f t="shared" si="4"/>
        <v>6650</v>
      </c>
      <c r="AE7" s="1094">
        <f t="shared" si="4"/>
        <v>4491</v>
      </c>
      <c r="AF7" s="1094">
        <f t="shared" si="4"/>
        <v>6373</v>
      </c>
      <c r="AG7" s="1094">
        <f t="shared" si="4"/>
        <v>8760</v>
      </c>
      <c r="AH7" s="1094">
        <f t="shared" si="4"/>
        <v>19742</v>
      </c>
      <c r="AI7" s="1094">
        <f t="shared" si="4"/>
        <v>26848</v>
      </c>
      <c r="AJ7" s="1094">
        <f t="shared" si="4"/>
        <v>7354</v>
      </c>
      <c r="AK7" s="1094">
        <f t="shared" si="4"/>
        <v>6446</v>
      </c>
      <c r="AL7" s="1094">
        <f t="shared" si="4"/>
        <v>9902</v>
      </c>
      <c r="AM7" s="1094">
        <f t="shared" si="4"/>
        <v>119180</v>
      </c>
      <c r="AN7" s="1095">
        <f t="shared" ref="AN7:AN41" si="5">SUM(AB7:AM7)</f>
        <v>245600</v>
      </c>
      <c r="AO7" s="1094">
        <f t="shared" ref="AO7:AZ7" si="6">SUM(AO9:AO39)</f>
        <v>11150.25</v>
      </c>
      <c r="AP7" s="1094">
        <f t="shared" si="6"/>
        <v>22532</v>
      </c>
      <c r="AQ7" s="1094">
        <f t="shared" si="6"/>
        <v>11707</v>
      </c>
      <c r="AR7" s="1094">
        <f t="shared" si="6"/>
        <v>6479</v>
      </c>
      <c r="AS7" s="1094">
        <f t="shared" si="6"/>
        <v>8693</v>
      </c>
      <c r="AT7" s="1094">
        <f t="shared" si="6"/>
        <v>9690</v>
      </c>
      <c r="AU7" s="1094">
        <f t="shared" si="6"/>
        <v>26936</v>
      </c>
      <c r="AV7" s="1094">
        <f t="shared" si="6"/>
        <v>15603</v>
      </c>
      <c r="AW7" s="1094">
        <f t="shared" si="6"/>
        <v>7610</v>
      </c>
      <c r="AX7" s="1094">
        <f t="shared" si="6"/>
        <v>7749</v>
      </c>
      <c r="AY7" s="1094">
        <f t="shared" si="6"/>
        <v>11275</v>
      </c>
      <c r="AZ7" s="1094">
        <f t="shared" si="6"/>
        <v>132751</v>
      </c>
      <c r="BA7" s="1095">
        <f t="shared" ref="BA7:BA41" si="7">SUM(AO7:AZ7)</f>
        <v>272175.25</v>
      </c>
      <c r="BB7" s="1094">
        <f t="shared" ref="BB7:BM7" si="8">SUM(BB9:BB39)</f>
        <v>10508</v>
      </c>
      <c r="BC7" s="1094">
        <f t="shared" si="8"/>
        <v>21382</v>
      </c>
      <c r="BD7" s="1094">
        <f t="shared" si="8"/>
        <v>15670</v>
      </c>
      <c r="BE7" s="1094">
        <f t="shared" si="8"/>
        <v>10477</v>
      </c>
      <c r="BF7" s="1094">
        <f t="shared" si="8"/>
        <v>10232</v>
      </c>
      <c r="BG7" s="1094">
        <f t="shared" si="8"/>
        <v>11704</v>
      </c>
      <c r="BH7" s="1094">
        <f t="shared" si="8"/>
        <v>20998</v>
      </c>
      <c r="BI7" s="1094">
        <f t="shared" si="8"/>
        <v>18085</v>
      </c>
      <c r="BJ7" s="1094">
        <f t="shared" si="8"/>
        <v>8572</v>
      </c>
      <c r="BK7" s="1094">
        <f t="shared" si="8"/>
        <v>9518</v>
      </c>
      <c r="BL7" s="1094">
        <f t="shared" si="8"/>
        <v>12419</v>
      </c>
      <c r="BM7" s="1094">
        <f t="shared" si="8"/>
        <v>224292</v>
      </c>
      <c r="BN7" s="1095">
        <f t="shared" ref="BN7:BN41" si="9">SUM(BB7:BM7)</f>
        <v>373857</v>
      </c>
      <c r="BO7" s="1094">
        <f t="shared" ref="BO7:BZ7" si="10">SUM(BO9:BO39)</f>
        <v>13491</v>
      </c>
      <c r="BP7" s="1094">
        <f t="shared" si="10"/>
        <v>15158</v>
      </c>
      <c r="BQ7" s="1094">
        <f t="shared" si="10"/>
        <v>12722</v>
      </c>
      <c r="BR7" s="1094">
        <f t="shared" si="10"/>
        <v>6500</v>
      </c>
      <c r="BS7" s="1094">
        <f t="shared" si="10"/>
        <v>10058</v>
      </c>
      <c r="BT7" s="1094">
        <f t="shared" si="10"/>
        <v>15685</v>
      </c>
      <c r="BU7" s="1094">
        <f t="shared" si="10"/>
        <v>15755</v>
      </c>
      <c r="BV7" s="1094">
        <f t="shared" si="10"/>
        <v>14772</v>
      </c>
      <c r="BW7" s="1094">
        <f t="shared" si="10"/>
        <v>9748</v>
      </c>
      <c r="BX7" s="1094">
        <f t="shared" si="10"/>
        <v>9812</v>
      </c>
      <c r="BY7" s="1094">
        <f t="shared" si="10"/>
        <v>12052</v>
      </c>
      <c r="BZ7" s="1094">
        <f t="shared" si="10"/>
        <v>158831</v>
      </c>
      <c r="CA7" s="1095">
        <f t="shared" ref="CA7:CA41" si="11">SUM(BO7:BZ7)</f>
        <v>294584</v>
      </c>
      <c r="CB7" s="1094">
        <f t="shared" ref="CB7:CM7" si="12">SUM(CB9:CB39)</f>
        <v>11339</v>
      </c>
      <c r="CC7" s="1094">
        <f t="shared" si="12"/>
        <v>21268</v>
      </c>
      <c r="CD7" s="1094">
        <f t="shared" si="12"/>
        <v>11957</v>
      </c>
      <c r="CE7" s="1094">
        <f t="shared" si="12"/>
        <v>10304</v>
      </c>
      <c r="CF7" s="1094">
        <f t="shared" si="12"/>
        <v>9531</v>
      </c>
      <c r="CG7" s="1094">
        <f t="shared" si="12"/>
        <v>10963</v>
      </c>
      <c r="CH7" s="1094">
        <f t="shared" si="12"/>
        <v>15191</v>
      </c>
      <c r="CI7" s="1094">
        <f t="shared" si="12"/>
        <v>13395</v>
      </c>
      <c r="CJ7" s="1094">
        <f t="shared" si="12"/>
        <v>9956</v>
      </c>
      <c r="CK7" s="1094">
        <f t="shared" si="12"/>
        <v>9580</v>
      </c>
      <c r="CL7" s="1094">
        <f t="shared" si="12"/>
        <v>10535</v>
      </c>
      <c r="CM7" s="1094">
        <f t="shared" si="12"/>
        <v>91729</v>
      </c>
      <c r="CN7" s="1095">
        <f t="shared" ref="CN7:CN41" si="13">SUM(CB7:CM7)</f>
        <v>225748</v>
      </c>
      <c r="CO7" s="1094">
        <f t="shared" ref="CO7:CZ7" si="14">SUM(CO9:CO39)</f>
        <v>16049</v>
      </c>
      <c r="CP7" s="1094">
        <f t="shared" si="14"/>
        <v>15830</v>
      </c>
      <c r="CQ7" s="1094">
        <f t="shared" si="14"/>
        <v>13588</v>
      </c>
      <c r="CR7" s="1094">
        <f t="shared" si="14"/>
        <v>13878</v>
      </c>
      <c r="CS7" s="1094">
        <f t="shared" si="14"/>
        <v>13047</v>
      </c>
      <c r="CT7" s="1094">
        <f t="shared" si="14"/>
        <v>14699</v>
      </c>
      <c r="CU7" s="1094">
        <f t="shared" si="14"/>
        <v>15613</v>
      </c>
      <c r="CV7" s="1094">
        <f t="shared" si="14"/>
        <v>11963</v>
      </c>
      <c r="CW7" s="1094">
        <f t="shared" si="14"/>
        <v>10251</v>
      </c>
      <c r="CX7" s="1094">
        <f t="shared" si="14"/>
        <v>9307</v>
      </c>
      <c r="CY7" s="1094">
        <f t="shared" si="14"/>
        <v>13180</v>
      </c>
      <c r="CZ7" s="1094">
        <f t="shared" si="14"/>
        <v>48612</v>
      </c>
      <c r="DA7" s="1095">
        <f t="shared" ref="DA7:DA41" si="15">SUM(CO7:CZ7)</f>
        <v>196017</v>
      </c>
      <c r="DB7" s="1094">
        <f t="shared" ref="DB7:DM7" si="16">SUM(DB9:DB39)</f>
        <v>12029</v>
      </c>
      <c r="DC7" s="1094">
        <f t="shared" si="16"/>
        <v>19357</v>
      </c>
      <c r="DD7" s="1094">
        <f t="shared" si="16"/>
        <v>17207</v>
      </c>
      <c r="DE7" s="1094">
        <f t="shared" si="16"/>
        <v>8046</v>
      </c>
      <c r="DF7" s="1094">
        <f t="shared" si="16"/>
        <v>11560</v>
      </c>
      <c r="DG7" s="1094">
        <f t="shared" si="16"/>
        <v>16941</v>
      </c>
      <c r="DH7" s="1094">
        <f t="shared" si="16"/>
        <v>13932</v>
      </c>
      <c r="DI7" s="1094">
        <f t="shared" si="16"/>
        <v>16579</v>
      </c>
      <c r="DJ7" s="1094">
        <f t="shared" si="16"/>
        <v>8985</v>
      </c>
      <c r="DK7" s="1094">
        <f t="shared" si="16"/>
        <v>9681</v>
      </c>
      <c r="DL7" s="1094">
        <f t="shared" si="16"/>
        <v>10015</v>
      </c>
      <c r="DM7" s="1094">
        <f t="shared" si="16"/>
        <v>215235</v>
      </c>
      <c r="DN7" s="1095">
        <f t="shared" ref="DN7:DN41" si="17">SUM(DB7:DM7)</f>
        <v>359567</v>
      </c>
      <c r="DO7" s="1094">
        <v>2245.8947832776212</v>
      </c>
      <c r="DP7" s="1094">
        <v>3846.9032896416602</v>
      </c>
      <c r="DQ7" s="1094">
        <v>2240.9486399592597</v>
      </c>
      <c r="DR7" s="1094">
        <v>519.82294270542582</v>
      </c>
      <c r="DS7" s="1094">
        <v>560.6040278052609</v>
      </c>
      <c r="DT7" s="1094">
        <v>276.71173752454933</v>
      </c>
      <c r="DU7" s="1094">
        <v>266.55488384103774</v>
      </c>
      <c r="DV7" s="1094">
        <v>474.32151835848532</v>
      </c>
      <c r="DW7" s="1094">
        <v>247.50620560971223</v>
      </c>
      <c r="DX7" s="1094">
        <v>294.95438118628027</v>
      </c>
      <c r="DY7" s="1094">
        <v>449.12302281985126</v>
      </c>
      <c r="DZ7" s="1094">
        <v>372.07981278265879</v>
      </c>
      <c r="EA7" s="1095">
        <f t="shared" ref="EA7:EA41" si="18">SUM(DO7:DZ7)</f>
        <v>11795.425245511802</v>
      </c>
      <c r="EB7" s="1094">
        <f t="shared" ref="EB7:FG7" si="19">SUM(EB9:EB39)</f>
        <v>13574</v>
      </c>
      <c r="EC7" s="1094">
        <f t="shared" si="19"/>
        <v>14619</v>
      </c>
      <c r="ED7" s="1094">
        <f t="shared" si="19"/>
        <v>13665</v>
      </c>
      <c r="EE7" s="1094">
        <f t="shared" si="19"/>
        <v>10900</v>
      </c>
      <c r="EF7" s="1094">
        <f t="shared" si="19"/>
        <v>12311</v>
      </c>
      <c r="EG7" s="1094">
        <f t="shared" si="19"/>
        <v>16499</v>
      </c>
      <c r="EH7" s="1094">
        <f t="shared" si="19"/>
        <v>17414</v>
      </c>
      <c r="EI7" s="1094">
        <f t="shared" si="19"/>
        <v>15309</v>
      </c>
      <c r="EJ7" s="1094">
        <f t="shared" si="19"/>
        <v>10333</v>
      </c>
      <c r="EK7" s="1094">
        <f t="shared" si="19"/>
        <v>9525</v>
      </c>
      <c r="EL7" s="1094">
        <f t="shared" si="19"/>
        <v>10332</v>
      </c>
      <c r="EM7" s="1094">
        <f t="shared" si="19"/>
        <v>194125</v>
      </c>
      <c r="EN7" s="1095">
        <f t="shared" ref="EN7:EN41" si="20">SUM(EB7:EM7)</f>
        <v>338606</v>
      </c>
      <c r="EO7" s="1094">
        <f t="shared" si="19"/>
        <v>13071</v>
      </c>
      <c r="EP7" s="1094">
        <f t="shared" si="19"/>
        <v>20113</v>
      </c>
      <c r="EQ7" s="1094">
        <f t="shared" si="19"/>
        <v>10048</v>
      </c>
      <c r="ER7" s="1094">
        <f t="shared" si="19"/>
        <v>9733</v>
      </c>
      <c r="ES7" s="1094">
        <f t="shared" si="19"/>
        <v>10938</v>
      </c>
      <c r="ET7" s="1094">
        <f t="shared" si="19"/>
        <v>17787</v>
      </c>
      <c r="EU7" s="1094">
        <f t="shared" si="19"/>
        <v>18438</v>
      </c>
      <c r="EV7" s="1094">
        <f t="shared" si="19"/>
        <v>15243</v>
      </c>
      <c r="EW7" s="1094">
        <f t="shared" si="19"/>
        <v>11328</v>
      </c>
      <c r="EX7" s="1094">
        <f t="shared" si="19"/>
        <v>9402</v>
      </c>
      <c r="EY7" s="1094">
        <f t="shared" si="19"/>
        <v>12146</v>
      </c>
      <c r="EZ7" s="1094">
        <f t="shared" si="19"/>
        <v>214727</v>
      </c>
      <c r="FA7" s="1095">
        <f t="shared" ref="FA7:FA41" si="21">SUM(EO7:EZ7)</f>
        <v>362974</v>
      </c>
      <c r="FB7" s="1094">
        <f t="shared" si="19"/>
        <v>14837</v>
      </c>
      <c r="FC7" s="1094">
        <f t="shared" si="19"/>
        <v>17386</v>
      </c>
      <c r="FD7" s="1094">
        <f t="shared" si="19"/>
        <v>13441</v>
      </c>
      <c r="FE7" s="1094">
        <f t="shared" si="19"/>
        <v>9051</v>
      </c>
      <c r="FF7" s="1094">
        <f t="shared" si="19"/>
        <v>10917</v>
      </c>
      <c r="FG7" s="1094">
        <f t="shared" si="19"/>
        <v>17403</v>
      </c>
      <c r="FH7" s="1094">
        <f t="shared" ref="FH7:FZ7" si="22">SUM(FH9:FH39)</f>
        <v>17915</v>
      </c>
      <c r="FI7" s="1094">
        <f t="shared" si="22"/>
        <v>15483</v>
      </c>
      <c r="FJ7" s="1094">
        <f t="shared" si="22"/>
        <v>12164</v>
      </c>
      <c r="FK7" s="1094">
        <f t="shared" si="22"/>
        <v>12814</v>
      </c>
      <c r="FL7" s="1094">
        <f t="shared" si="22"/>
        <v>10892</v>
      </c>
      <c r="FM7" s="1094">
        <f t="shared" si="22"/>
        <v>234028</v>
      </c>
      <c r="FN7" s="1095">
        <f t="shared" ref="FN7:FN41" si="23">SUM(FB7:FM7)</f>
        <v>386331</v>
      </c>
      <c r="FO7" s="1094">
        <f t="shared" si="22"/>
        <v>14343</v>
      </c>
      <c r="FP7" s="1094">
        <f t="shared" si="22"/>
        <v>19867</v>
      </c>
      <c r="FQ7" s="1094">
        <f t="shared" si="22"/>
        <v>13639</v>
      </c>
      <c r="FR7" s="1094">
        <f t="shared" si="22"/>
        <v>10038</v>
      </c>
      <c r="FS7" s="1094">
        <f t="shared" si="22"/>
        <v>11977</v>
      </c>
      <c r="FT7" s="1094">
        <f t="shared" si="22"/>
        <v>15741</v>
      </c>
      <c r="FU7" s="1094">
        <f t="shared" si="22"/>
        <v>17782</v>
      </c>
      <c r="FV7" s="1094">
        <f t="shared" si="22"/>
        <v>17734</v>
      </c>
      <c r="FW7" s="1094">
        <f t="shared" si="22"/>
        <v>8833</v>
      </c>
      <c r="FX7" s="1094">
        <f t="shared" si="22"/>
        <v>10393</v>
      </c>
      <c r="FY7" s="1094">
        <f t="shared" si="22"/>
        <v>10264</v>
      </c>
      <c r="FZ7" s="1094">
        <f t="shared" si="22"/>
        <v>346791</v>
      </c>
      <c r="GA7" s="1095">
        <f t="shared" ref="GA7:GA41" si="24">SUM(FO7:FZ7)</f>
        <v>497402</v>
      </c>
      <c r="GB7" s="1094">
        <f t="shared" ref="GB7:GM7" si="25">SUM(GB9:GB39)</f>
        <v>14762</v>
      </c>
      <c r="GC7" s="1094">
        <f t="shared" si="25"/>
        <v>18850</v>
      </c>
      <c r="GD7" s="1094">
        <f t="shared" si="25"/>
        <v>9680</v>
      </c>
      <c r="GE7" s="1094">
        <f t="shared" si="25"/>
        <v>10021</v>
      </c>
      <c r="GF7" s="1094">
        <f t="shared" si="25"/>
        <v>12386</v>
      </c>
      <c r="GG7" s="1094">
        <f t="shared" si="25"/>
        <v>19006</v>
      </c>
      <c r="GH7" s="1094">
        <f t="shared" si="25"/>
        <v>21200</v>
      </c>
      <c r="GI7" s="1094">
        <f t="shared" si="25"/>
        <v>10128</v>
      </c>
      <c r="GJ7" s="1094">
        <f t="shared" si="25"/>
        <v>10448</v>
      </c>
      <c r="GK7" s="1094">
        <f t="shared" si="25"/>
        <v>7994</v>
      </c>
      <c r="GL7" s="1094">
        <f t="shared" si="25"/>
        <v>10201</v>
      </c>
      <c r="GM7" s="1094">
        <f t="shared" si="25"/>
        <v>353425</v>
      </c>
      <c r="GN7" s="1095">
        <f t="shared" ref="GN7:GN41" si="26">SUM(GB7:GM7)</f>
        <v>498101</v>
      </c>
      <c r="GO7" s="1094">
        <f t="shared" ref="GO7:GZ7" si="27">SUM(GO9:GO39)</f>
        <v>16157</v>
      </c>
      <c r="GP7" s="1094">
        <f t="shared" si="27"/>
        <v>21676</v>
      </c>
      <c r="GQ7" s="1094">
        <f t="shared" si="27"/>
        <v>12768</v>
      </c>
      <c r="GR7" s="1094">
        <f t="shared" si="27"/>
        <v>11172</v>
      </c>
      <c r="GS7" s="1094">
        <f t="shared" si="27"/>
        <v>14411</v>
      </c>
      <c r="GT7" s="1094">
        <f t="shared" si="27"/>
        <v>18194</v>
      </c>
      <c r="GU7" s="1094">
        <f t="shared" si="27"/>
        <v>17839</v>
      </c>
      <c r="GV7" s="1094">
        <f t="shared" si="27"/>
        <v>13213</v>
      </c>
      <c r="GW7" s="1094">
        <f t="shared" si="27"/>
        <v>9016</v>
      </c>
      <c r="GX7" s="1094">
        <f t="shared" si="27"/>
        <v>9594</v>
      </c>
      <c r="GY7" s="1094">
        <f t="shared" si="27"/>
        <v>11780</v>
      </c>
      <c r="GZ7" s="1094">
        <f t="shared" si="27"/>
        <v>355598</v>
      </c>
      <c r="HA7" s="1095">
        <f t="shared" ref="HA7:HA41" si="28">SUM(GO7:GZ7)</f>
        <v>511418</v>
      </c>
      <c r="HB7" s="1094">
        <f t="shared" ref="HB7:HM7" si="29">SUM(HB9:HB39)</f>
        <v>14267</v>
      </c>
      <c r="HC7" s="1094">
        <f t="shared" si="29"/>
        <v>19943.25</v>
      </c>
      <c r="HD7" s="1094">
        <f t="shared" si="29"/>
        <v>9525.5</v>
      </c>
      <c r="HE7" s="1094">
        <f t="shared" si="29"/>
        <v>11730.5</v>
      </c>
      <c r="HF7" s="1094">
        <f t="shared" si="29"/>
        <v>13446.4</v>
      </c>
      <c r="HG7" s="1094">
        <f t="shared" si="29"/>
        <v>20247.5</v>
      </c>
      <c r="HH7" s="1094">
        <f t="shared" si="29"/>
        <v>19823.5</v>
      </c>
      <c r="HI7" s="1094">
        <f t="shared" si="29"/>
        <v>11379</v>
      </c>
      <c r="HJ7" s="1094">
        <f t="shared" si="29"/>
        <v>11254</v>
      </c>
      <c r="HK7" s="1094">
        <f t="shared" si="29"/>
        <v>11209.5</v>
      </c>
      <c r="HL7" s="1094">
        <f t="shared" si="29"/>
        <v>15452.5</v>
      </c>
      <c r="HM7" s="1094">
        <f t="shared" si="29"/>
        <v>15160</v>
      </c>
      <c r="HN7" s="1095">
        <f t="shared" ref="HN7:HN41" si="30">SUM(HB7:HM7)</f>
        <v>173438.65</v>
      </c>
      <c r="HO7" s="1094">
        <f t="shared" ref="HO7:HZ7" si="31">SUM(HO9:HO39)</f>
        <v>22000.66</v>
      </c>
      <c r="HP7" s="1094">
        <f t="shared" si="31"/>
        <v>17110.724999999999</v>
      </c>
      <c r="HQ7" s="1094">
        <f t="shared" si="31"/>
        <v>10853.6</v>
      </c>
      <c r="HR7" s="1094">
        <f t="shared" si="31"/>
        <v>12657.9</v>
      </c>
      <c r="HS7" s="1094">
        <f t="shared" si="31"/>
        <v>14534.050000000001</v>
      </c>
      <c r="HT7" s="1094">
        <f t="shared" si="31"/>
        <v>32627.453000000001</v>
      </c>
      <c r="HU7" s="1094">
        <f t="shared" si="31"/>
        <v>39505.975000000006</v>
      </c>
      <c r="HV7" s="1094">
        <f t="shared" si="31"/>
        <v>12992.575000000001</v>
      </c>
      <c r="HW7" s="1094">
        <f t="shared" si="31"/>
        <v>10369.75</v>
      </c>
      <c r="HX7" s="1094">
        <f t="shared" si="31"/>
        <v>9772.15</v>
      </c>
      <c r="HY7" s="1094">
        <f t="shared" si="31"/>
        <v>12677.47</v>
      </c>
      <c r="HZ7" s="1094">
        <f t="shared" si="31"/>
        <v>8732.41</v>
      </c>
      <c r="IA7" s="1095">
        <f t="shared" ref="IA7:IA41" si="32">SUM(HO7:HZ7)</f>
        <v>203834.71800000002</v>
      </c>
      <c r="IB7" s="1094">
        <f t="shared" ref="IB7:IM7" si="33">SUM(IB9:IB39)</f>
        <v>23691.14</v>
      </c>
      <c r="IC7" s="1094">
        <f t="shared" si="33"/>
        <v>19639.3</v>
      </c>
      <c r="ID7" s="1094">
        <f t="shared" si="33"/>
        <v>13384</v>
      </c>
      <c r="IE7" s="1094">
        <f t="shared" si="33"/>
        <v>12198.75</v>
      </c>
      <c r="IF7" s="1094">
        <f t="shared" si="33"/>
        <v>14490.75</v>
      </c>
      <c r="IG7" s="1094">
        <f t="shared" si="33"/>
        <v>13737.45</v>
      </c>
      <c r="IH7" s="1094">
        <f t="shared" si="33"/>
        <v>11399.55</v>
      </c>
      <c r="II7" s="1094">
        <f t="shared" si="33"/>
        <v>23157.040000000001</v>
      </c>
      <c r="IJ7" s="1094">
        <f t="shared" si="33"/>
        <v>12515.7</v>
      </c>
      <c r="IK7" s="1094">
        <f t="shared" si="33"/>
        <v>13858.51</v>
      </c>
      <c r="IL7" s="1094">
        <f t="shared" si="33"/>
        <v>15984.98</v>
      </c>
      <c r="IM7" s="1094">
        <f t="shared" si="33"/>
        <v>206290.38700000002</v>
      </c>
      <c r="IN7" s="1095">
        <f t="shared" ref="IN7:IN41" si="34">SUM(IB7:IM7)</f>
        <v>380347.55700000003</v>
      </c>
      <c r="IO7" s="1094">
        <v>22245.96</v>
      </c>
      <c r="IP7" s="1094">
        <v>22718.629999999997</v>
      </c>
      <c r="IQ7" s="1094">
        <v>22801.300000000003</v>
      </c>
      <c r="IR7" s="1094">
        <v>14197.039999999999</v>
      </c>
      <c r="IS7" s="1094">
        <v>15317.27</v>
      </c>
      <c r="IT7" s="1094">
        <v>25282.42</v>
      </c>
      <c r="IU7" s="1094">
        <v>17030.07</v>
      </c>
      <c r="IV7" s="1094">
        <v>13720.320000000002</v>
      </c>
      <c r="IW7" s="1094">
        <v>38185.81</v>
      </c>
      <c r="IX7" s="1094">
        <v>11279.18</v>
      </c>
      <c r="IY7" s="1094">
        <v>10936.98</v>
      </c>
      <c r="IZ7" s="1094">
        <v>72138.989999999991</v>
      </c>
      <c r="JA7" s="1095">
        <f t="shared" ref="JA7:JA41" si="35">SUM(IO7:IZ7)</f>
        <v>285853.96999999997</v>
      </c>
      <c r="JB7" s="1094">
        <v>14036.64</v>
      </c>
      <c r="JC7" s="1094">
        <v>14055.75</v>
      </c>
      <c r="JD7" s="1094">
        <v>14374.5</v>
      </c>
      <c r="JE7" s="1094">
        <v>16494.400000000001</v>
      </c>
      <c r="JF7" s="1094">
        <v>15174.3</v>
      </c>
      <c r="JG7" s="1094">
        <v>23292.6</v>
      </c>
      <c r="JH7" s="1094">
        <v>22185.25</v>
      </c>
      <c r="JI7" s="1094">
        <v>25451.65</v>
      </c>
      <c r="JJ7" s="1094">
        <v>44446.03</v>
      </c>
      <c r="JK7" s="1094">
        <f>SUM(JK9:JK39)</f>
        <v>44803.78</v>
      </c>
      <c r="JL7" s="1094">
        <f>SUM(JL9:JL39)</f>
        <v>11652.18</v>
      </c>
      <c r="JM7" s="1094">
        <f>SUM(JM9:JM39)</f>
        <v>295628</v>
      </c>
      <c r="JN7" s="1095">
        <f t="shared" ref="JN7:JN41" si="36">SUM(JB7:JM7)</f>
        <v>541595.07999999996</v>
      </c>
      <c r="JO7" s="1094">
        <f t="shared" ref="JO7:JZ7" si="37">SUM(JO9:JO39)</f>
        <v>17791.79</v>
      </c>
      <c r="JP7" s="1094">
        <f t="shared" si="37"/>
        <v>0</v>
      </c>
      <c r="JQ7" s="1094">
        <f t="shared" si="37"/>
        <v>0</v>
      </c>
      <c r="JR7" s="1094">
        <f t="shared" si="37"/>
        <v>0</v>
      </c>
      <c r="JS7" s="1094">
        <f t="shared" si="37"/>
        <v>0</v>
      </c>
      <c r="JT7" s="1094">
        <f t="shared" si="37"/>
        <v>0</v>
      </c>
      <c r="JU7" s="1094">
        <f t="shared" si="37"/>
        <v>0</v>
      </c>
      <c r="JV7" s="1094">
        <f t="shared" si="37"/>
        <v>0</v>
      </c>
      <c r="JW7" s="1094">
        <f t="shared" si="37"/>
        <v>0</v>
      </c>
      <c r="JX7" s="1094">
        <f t="shared" si="37"/>
        <v>0</v>
      </c>
      <c r="JY7" s="1094">
        <f t="shared" si="37"/>
        <v>0</v>
      </c>
      <c r="JZ7" s="1094">
        <f t="shared" si="37"/>
        <v>0</v>
      </c>
      <c r="KA7" s="1095">
        <f t="shared" ref="KA7:KA41" si="38">SUM(JO7:JZ7)</f>
        <v>17791.79</v>
      </c>
      <c r="KB7" s="72"/>
      <c r="KC7" s="1113" cm="1">
        <f t="array" ref="KC7">IFERROR(((
_xlfn.XLOOKUP((DATE(YEAR($KC$5),MONTH($KC$5),1)),SMN.COSECHA.DATE,$B7:$KA7) /
_xlfn.XLOOKUP((DATE(YEAR($KC$5)-1,MONTH($KC$5),1)),SMN.COSECHA.DATE,$B7:$KA7)
)-1)*100,"")</f>
        <v>309.80335322133021</v>
      </c>
      <c r="KD7" s="1171">
        <f>IFERROR(((KF7/KE7)-1)*100,"")</f>
        <v>89.465649191438558</v>
      </c>
      <c r="KE7" s="1114" cm="1">
        <f t="array" ref="KE7">SUMIFS($B7:$KA7,SMN.COSECHA.DATE,"&gt;="&amp;DATE(YEAR($KC$5)-1,1,1),SMN.COSECHA.DATE,"&lt;="&amp;DATE(YEAR($KC$5)-1,MONTH($KC$5),1))</f>
        <v>285853.96999999997</v>
      </c>
      <c r="KF7" s="1115" cm="1">
        <f t="array" ref="KF7">SUMIFS($B7:$KA7,SMN.COSECHA.DATE,"&gt;="&amp;DATE(YEAR($KC$5),1,1),SMN.COSECHA.DATE,"&lt;="&amp;$KC$5)</f>
        <v>541595.07999999996</v>
      </c>
      <c r="KG7" s="77"/>
      <c r="KH7" s="1079"/>
      <c r="KI7" s="1080"/>
      <c r="KJ7" s="1081"/>
    </row>
    <row r="8" spans="1:296" ht="15" customHeight="1" x14ac:dyDescent="0.2">
      <c r="A8" s="1129"/>
      <c r="B8" s="1096"/>
      <c r="C8" s="1096"/>
      <c r="D8" s="1096"/>
      <c r="E8" s="1096"/>
      <c r="F8" s="1096"/>
      <c r="G8" s="1096"/>
      <c r="H8" s="1096"/>
      <c r="I8" s="1096"/>
      <c r="J8" s="1096"/>
      <c r="K8" s="1096"/>
      <c r="L8" s="1096"/>
      <c r="M8" s="1096"/>
      <c r="N8" s="1097"/>
      <c r="O8" s="1096"/>
      <c r="P8" s="1096"/>
      <c r="Q8" s="1096"/>
      <c r="R8" s="1096"/>
      <c r="S8" s="1096"/>
      <c r="T8" s="1096"/>
      <c r="U8" s="1096"/>
      <c r="V8" s="1096"/>
      <c r="W8" s="1096"/>
      <c r="X8" s="1096"/>
      <c r="Y8" s="1096"/>
      <c r="Z8" s="1096"/>
      <c r="AA8" s="1097"/>
      <c r="AB8" s="1096"/>
      <c r="AC8" s="1096"/>
      <c r="AD8" s="1096"/>
      <c r="AE8" s="1096"/>
      <c r="AF8" s="1096"/>
      <c r="AG8" s="1096"/>
      <c r="AH8" s="1096"/>
      <c r="AI8" s="1096"/>
      <c r="AJ8" s="1096"/>
      <c r="AK8" s="1096"/>
      <c r="AL8" s="1096"/>
      <c r="AM8" s="1096"/>
      <c r="AN8" s="1097"/>
      <c r="AO8" s="1096"/>
      <c r="AP8" s="1096"/>
      <c r="AQ8" s="1096"/>
      <c r="AR8" s="1096"/>
      <c r="AS8" s="1096"/>
      <c r="AT8" s="1096"/>
      <c r="AU8" s="1096"/>
      <c r="AV8" s="1096"/>
      <c r="AW8" s="1096"/>
      <c r="AX8" s="1096"/>
      <c r="AY8" s="1096"/>
      <c r="AZ8" s="1096"/>
      <c r="BA8" s="1097"/>
      <c r="BB8" s="1096"/>
      <c r="BC8" s="1096"/>
      <c r="BD8" s="1096"/>
      <c r="BE8" s="1096"/>
      <c r="BF8" s="1096"/>
      <c r="BG8" s="1096"/>
      <c r="BH8" s="1096"/>
      <c r="BI8" s="1096"/>
      <c r="BJ8" s="1096"/>
      <c r="BK8" s="1096"/>
      <c r="BL8" s="1096"/>
      <c r="BM8" s="1096"/>
      <c r="BN8" s="1097"/>
      <c r="BO8" s="1096"/>
      <c r="BP8" s="1096"/>
      <c r="BQ8" s="1096"/>
      <c r="BR8" s="1096"/>
      <c r="BS8" s="1096"/>
      <c r="BT8" s="1096"/>
      <c r="BU8" s="1096"/>
      <c r="BV8" s="1096"/>
      <c r="BW8" s="1096"/>
      <c r="BX8" s="1096"/>
      <c r="BY8" s="1096"/>
      <c r="BZ8" s="1096"/>
      <c r="CA8" s="1097"/>
      <c r="CB8" s="1096"/>
      <c r="CC8" s="1096"/>
      <c r="CD8" s="1096"/>
      <c r="CE8" s="1096"/>
      <c r="CF8" s="1096"/>
      <c r="CG8" s="1096"/>
      <c r="CH8" s="1096"/>
      <c r="CI8" s="1096"/>
      <c r="CJ8" s="1096"/>
      <c r="CK8" s="1096"/>
      <c r="CL8" s="1096"/>
      <c r="CM8" s="1096"/>
      <c r="CN8" s="1097"/>
      <c r="CO8" s="1096"/>
      <c r="CP8" s="1096"/>
      <c r="CQ8" s="1096"/>
      <c r="CR8" s="1096"/>
      <c r="CS8" s="1096"/>
      <c r="CT8" s="1096"/>
      <c r="CU8" s="1096"/>
      <c r="CV8" s="1096"/>
      <c r="CW8" s="1096"/>
      <c r="CX8" s="1096"/>
      <c r="CY8" s="1096"/>
      <c r="CZ8" s="1096"/>
      <c r="DA8" s="1097"/>
      <c r="DB8" s="1096"/>
      <c r="DC8" s="1096"/>
      <c r="DD8" s="1096"/>
      <c r="DE8" s="1096"/>
      <c r="DF8" s="1096"/>
      <c r="DG8" s="1096"/>
      <c r="DH8" s="1096"/>
      <c r="DI8" s="1096"/>
      <c r="DJ8" s="1096"/>
      <c r="DK8" s="1096"/>
      <c r="DL8" s="1096"/>
      <c r="DM8" s="1096"/>
      <c r="DN8" s="1097"/>
      <c r="DO8" s="1096"/>
      <c r="DP8" s="1096"/>
      <c r="DQ8" s="1096"/>
      <c r="DR8" s="1096"/>
      <c r="DS8" s="1096"/>
      <c r="DT8" s="1096"/>
      <c r="DU8" s="1096"/>
      <c r="DV8" s="1096"/>
      <c r="DW8" s="1096"/>
      <c r="DX8" s="1096"/>
      <c r="DY8" s="1096"/>
      <c r="DZ8" s="1096"/>
      <c r="EA8" s="1097"/>
      <c r="EB8" s="1096"/>
      <c r="EC8" s="1096"/>
      <c r="ED8" s="1096"/>
      <c r="EE8" s="1096"/>
      <c r="EF8" s="1096"/>
      <c r="EG8" s="1096"/>
      <c r="EH8" s="1096"/>
      <c r="EI8" s="1096"/>
      <c r="EJ8" s="1096"/>
      <c r="EK8" s="1096"/>
      <c r="EL8" s="1096"/>
      <c r="EM8" s="1096"/>
      <c r="EN8" s="1097"/>
      <c r="EO8" s="1096"/>
      <c r="EP8" s="1096"/>
      <c r="EQ8" s="1096"/>
      <c r="ER8" s="1096"/>
      <c r="ES8" s="1096"/>
      <c r="ET8" s="1096"/>
      <c r="EU8" s="1096"/>
      <c r="EV8" s="1096"/>
      <c r="EW8" s="1096"/>
      <c r="EX8" s="1096"/>
      <c r="EY8" s="1096"/>
      <c r="EZ8" s="1096"/>
      <c r="FA8" s="1097"/>
      <c r="FB8" s="1096"/>
      <c r="FC8" s="1096"/>
      <c r="FD8" s="1096"/>
      <c r="FE8" s="1096"/>
      <c r="FF8" s="1096"/>
      <c r="FG8" s="1096"/>
      <c r="FH8" s="1096"/>
      <c r="FI8" s="1096"/>
      <c r="FJ8" s="1096"/>
      <c r="FK8" s="1096"/>
      <c r="FL8" s="1096"/>
      <c r="FM8" s="1096"/>
      <c r="FN8" s="1097"/>
      <c r="FO8" s="1096"/>
      <c r="FP8" s="1096"/>
      <c r="FQ8" s="1096"/>
      <c r="FR8" s="1096"/>
      <c r="FS8" s="1096"/>
      <c r="FT8" s="1096"/>
      <c r="FU8" s="1096"/>
      <c r="FV8" s="1096"/>
      <c r="FW8" s="1096"/>
      <c r="FX8" s="1096"/>
      <c r="FY8" s="1096"/>
      <c r="FZ8" s="1096"/>
      <c r="GA8" s="1097"/>
      <c r="GB8" s="1096"/>
      <c r="GC8" s="1096"/>
      <c r="GD8" s="1096"/>
      <c r="GE8" s="1096"/>
      <c r="GF8" s="1096"/>
      <c r="GG8" s="1096"/>
      <c r="GH8" s="1096"/>
      <c r="GI8" s="1096"/>
      <c r="GJ8" s="1096"/>
      <c r="GK8" s="1096"/>
      <c r="GL8" s="1096"/>
      <c r="GM8" s="1096"/>
      <c r="GN8" s="1097"/>
      <c r="GO8" s="1096"/>
      <c r="GP8" s="1096"/>
      <c r="GQ8" s="1096"/>
      <c r="GR8" s="1096"/>
      <c r="GS8" s="1096"/>
      <c r="GT8" s="1096"/>
      <c r="GU8" s="1096"/>
      <c r="GV8" s="1096"/>
      <c r="GW8" s="1096"/>
      <c r="GX8" s="1096"/>
      <c r="GY8" s="1096"/>
      <c r="GZ8" s="1096"/>
      <c r="HA8" s="1097"/>
      <c r="HB8" s="1096"/>
      <c r="HC8" s="1096"/>
      <c r="HD8" s="1096"/>
      <c r="HE8" s="1096"/>
      <c r="HF8" s="1096"/>
      <c r="HG8" s="1096"/>
      <c r="HH8" s="1096"/>
      <c r="HI8" s="1096"/>
      <c r="HJ8" s="1096"/>
      <c r="HK8" s="1096"/>
      <c r="HL8" s="1096"/>
      <c r="HM8" s="1096"/>
      <c r="HN8" s="1097"/>
      <c r="HO8" s="1096"/>
      <c r="HP8" s="1096"/>
      <c r="HQ8" s="1096"/>
      <c r="HR8" s="1096"/>
      <c r="HS8" s="1096"/>
      <c r="HT8" s="1096"/>
      <c r="HU8" s="1096"/>
      <c r="HV8" s="1096"/>
      <c r="HW8" s="1096"/>
      <c r="HX8" s="1096"/>
      <c r="HY8" s="1096"/>
      <c r="HZ8" s="1096"/>
      <c r="IA8" s="1097"/>
      <c r="IB8" s="1096"/>
      <c r="IC8" s="1096"/>
      <c r="ID8" s="1096"/>
      <c r="IE8" s="1096"/>
      <c r="IF8" s="1096"/>
      <c r="IG8" s="1096"/>
      <c r="IH8" s="1096"/>
      <c r="II8" s="1096"/>
      <c r="IJ8" s="1096"/>
      <c r="IK8" s="1096"/>
      <c r="IL8" s="1096"/>
      <c r="IM8" s="1096"/>
      <c r="IN8" s="1097"/>
      <c r="IO8" s="1096"/>
      <c r="IP8" s="1096"/>
      <c r="IQ8" s="1096"/>
      <c r="IR8" s="1096"/>
      <c r="IS8" s="1096"/>
      <c r="IT8" s="1096"/>
      <c r="IU8" s="1096"/>
      <c r="IV8" s="1096"/>
      <c r="IW8" s="1096"/>
      <c r="IX8" s="1096"/>
      <c r="IY8" s="1096"/>
      <c r="IZ8" s="1096"/>
      <c r="JA8" s="1097"/>
      <c r="JB8" s="1096"/>
      <c r="JC8" s="1096"/>
      <c r="JD8" s="1096"/>
      <c r="JE8" s="1096"/>
      <c r="JF8" s="1096"/>
      <c r="JG8" s="1096"/>
      <c r="JH8" s="1096"/>
      <c r="JI8" s="1096"/>
      <c r="JJ8" s="1096"/>
      <c r="JK8" s="1096"/>
      <c r="JL8" s="1096"/>
      <c r="JM8" s="1096"/>
      <c r="JN8" s="1097"/>
      <c r="JO8" s="1096"/>
      <c r="JP8" s="1096"/>
      <c r="JQ8" s="1096"/>
      <c r="JR8" s="1096"/>
      <c r="JS8" s="1096"/>
      <c r="JT8" s="1096"/>
      <c r="JU8" s="1096"/>
      <c r="JV8" s="1096"/>
      <c r="JW8" s="1096"/>
      <c r="JX8" s="1096"/>
      <c r="JY8" s="1096"/>
      <c r="JZ8" s="1096"/>
      <c r="KA8" s="1097"/>
      <c r="KB8" s="72"/>
      <c r="KC8" s="1137"/>
      <c r="KD8" s="1138"/>
      <c r="KE8" s="1139"/>
      <c r="KF8" s="1140"/>
      <c r="KG8" s="77"/>
      <c r="KH8" s="1079"/>
      <c r="KI8" s="1080"/>
      <c r="KJ8" s="1081"/>
    </row>
    <row r="9" spans="1:296" ht="15" customHeight="1" x14ac:dyDescent="0.2">
      <c r="A9" s="1129" t="s">
        <v>116</v>
      </c>
      <c r="B9" s="1098"/>
      <c r="C9" s="1098"/>
      <c r="D9" s="1098"/>
      <c r="E9" s="1098"/>
      <c r="F9" s="1098"/>
      <c r="G9" s="1098"/>
      <c r="H9" s="1098"/>
      <c r="I9" s="1098"/>
      <c r="J9" s="1098"/>
      <c r="K9" s="1098"/>
      <c r="L9" s="1098"/>
      <c r="M9" s="1098">
        <v>3885</v>
      </c>
      <c r="N9" s="1097">
        <f t="shared" si="1"/>
        <v>3885</v>
      </c>
      <c r="O9" s="1098"/>
      <c r="P9" s="1098"/>
      <c r="Q9" s="1098"/>
      <c r="R9" s="1098"/>
      <c r="S9" s="1098"/>
      <c r="T9" s="1098"/>
      <c r="U9" s="1098"/>
      <c r="V9" s="1098"/>
      <c r="W9" s="1098"/>
      <c r="X9" s="1098"/>
      <c r="Y9" s="1098"/>
      <c r="Z9" s="1098">
        <v>11259</v>
      </c>
      <c r="AA9" s="1097">
        <f t="shared" si="3"/>
        <v>11259</v>
      </c>
      <c r="AB9" s="1098"/>
      <c r="AC9" s="1098"/>
      <c r="AD9" s="1098"/>
      <c r="AE9" s="1098"/>
      <c r="AF9" s="1098"/>
      <c r="AG9" s="1098"/>
      <c r="AH9" s="1098"/>
      <c r="AI9" s="1098"/>
      <c r="AJ9" s="1098"/>
      <c r="AK9" s="1098"/>
      <c r="AL9" s="1098"/>
      <c r="AM9" s="1098">
        <v>6147</v>
      </c>
      <c r="AN9" s="1097">
        <f t="shared" si="5"/>
        <v>6147</v>
      </c>
      <c r="AO9" s="1098"/>
      <c r="AP9" s="1098"/>
      <c r="AQ9" s="1098"/>
      <c r="AR9" s="1098"/>
      <c r="AS9" s="1098"/>
      <c r="AT9" s="1098"/>
      <c r="AU9" s="1098"/>
      <c r="AV9" s="1098"/>
      <c r="AW9" s="1098"/>
      <c r="AX9" s="1098"/>
      <c r="AY9" s="1098"/>
      <c r="AZ9" s="1098">
        <v>4190</v>
      </c>
      <c r="BA9" s="1097">
        <f t="shared" si="7"/>
        <v>4190</v>
      </c>
      <c r="BB9" s="1098"/>
      <c r="BC9" s="1098"/>
      <c r="BD9" s="1098"/>
      <c r="BE9" s="1098"/>
      <c r="BF9" s="1098"/>
      <c r="BG9" s="1098"/>
      <c r="BH9" s="1098"/>
      <c r="BI9" s="1098"/>
      <c r="BJ9" s="1098"/>
      <c r="BK9" s="1098"/>
      <c r="BL9" s="1098"/>
      <c r="BM9" s="1098">
        <v>3150</v>
      </c>
      <c r="BN9" s="1097">
        <f t="shared" si="9"/>
        <v>3150</v>
      </c>
      <c r="BO9" s="1098"/>
      <c r="BP9" s="1098"/>
      <c r="BQ9" s="1098"/>
      <c r="BR9" s="1098"/>
      <c r="BS9" s="1098"/>
      <c r="BT9" s="1098"/>
      <c r="BU9" s="1098"/>
      <c r="BV9" s="1098"/>
      <c r="BW9" s="1098"/>
      <c r="BX9" s="1098"/>
      <c r="BY9" s="1098"/>
      <c r="BZ9" s="1098">
        <v>1840</v>
      </c>
      <c r="CA9" s="1097">
        <f t="shared" si="11"/>
        <v>1840</v>
      </c>
      <c r="CB9" s="1098"/>
      <c r="CC9" s="1098"/>
      <c r="CD9" s="1098"/>
      <c r="CE9" s="1098"/>
      <c r="CF9" s="1098"/>
      <c r="CG9" s="1098"/>
      <c r="CH9" s="1098"/>
      <c r="CI9" s="1098"/>
      <c r="CJ9" s="1098"/>
      <c r="CK9" s="1098"/>
      <c r="CL9" s="1098"/>
      <c r="CM9" s="1098">
        <v>2276</v>
      </c>
      <c r="CN9" s="1097">
        <f t="shared" si="13"/>
        <v>2276</v>
      </c>
      <c r="CO9" s="1098"/>
      <c r="CP9" s="1098"/>
      <c r="CQ9" s="1098"/>
      <c r="CR9" s="1098"/>
      <c r="CS9" s="1098"/>
      <c r="CT9" s="1098"/>
      <c r="CU9" s="1098"/>
      <c r="CV9" s="1098"/>
      <c r="CW9" s="1098"/>
      <c r="CX9" s="1098"/>
      <c r="CY9" s="1098"/>
      <c r="CZ9" s="1098">
        <v>1749</v>
      </c>
      <c r="DA9" s="1097">
        <f t="shared" si="15"/>
        <v>1749</v>
      </c>
      <c r="DB9" s="1098"/>
      <c r="DC9" s="1098"/>
      <c r="DD9" s="1098"/>
      <c r="DE9" s="1098"/>
      <c r="DF9" s="1098"/>
      <c r="DG9" s="1098"/>
      <c r="DH9" s="1098"/>
      <c r="DI9" s="1098"/>
      <c r="DJ9" s="1098"/>
      <c r="DK9" s="1098"/>
      <c r="DL9" s="1098"/>
      <c r="DM9" s="1098">
        <v>1455</v>
      </c>
      <c r="DN9" s="1097">
        <f t="shared" si="17"/>
        <v>1455</v>
      </c>
      <c r="DO9" s="1098"/>
      <c r="DP9" s="1098"/>
      <c r="DQ9" s="1098"/>
      <c r="DR9" s="1098"/>
      <c r="DS9" s="1098"/>
      <c r="DT9" s="1098"/>
      <c r="DU9" s="1098"/>
      <c r="DV9" s="1098"/>
      <c r="DW9" s="1098"/>
      <c r="DX9" s="1098"/>
      <c r="DY9" s="1098"/>
      <c r="DZ9" s="1098"/>
      <c r="EA9" s="1097">
        <f t="shared" si="18"/>
        <v>0</v>
      </c>
      <c r="EB9" s="1098"/>
      <c r="EC9" s="1098"/>
      <c r="ED9" s="1098"/>
      <c r="EE9" s="1098"/>
      <c r="EF9" s="1098"/>
      <c r="EG9" s="1098"/>
      <c r="EH9" s="1098"/>
      <c r="EI9" s="1098">
        <v>185</v>
      </c>
      <c r="EJ9" s="1098">
        <v>9</v>
      </c>
      <c r="EK9" s="1098"/>
      <c r="EL9" s="1098"/>
      <c r="EM9" s="1098"/>
      <c r="EN9" s="1097">
        <f t="shared" si="20"/>
        <v>194</v>
      </c>
      <c r="EO9" s="1098"/>
      <c r="EP9" s="1098"/>
      <c r="EQ9" s="1098"/>
      <c r="ER9" s="1098"/>
      <c r="ES9" s="1098"/>
      <c r="ET9" s="1098"/>
      <c r="EU9" s="1098"/>
      <c r="EV9" s="1098"/>
      <c r="EW9" s="1098"/>
      <c r="EX9" s="1098"/>
      <c r="EY9" s="1098"/>
      <c r="EZ9" s="1098"/>
      <c r="FA9" s="1097">
        <f t="shared" si="21"/>
        <v>0</v>
      </c>
      <c r="FB9" s="1098"/>
      <c r="FC9" s="1098"/>
      <c r="FD9" s="1098"/>
      <c r="FE9" s="1098"/>
      <c r="FF9" s="1098"/>
      <c r="FG9" s="1098"/>
      <c r="FH9" s="1098"/>
      <c r="FI9" s="1098">
        <v>1</v>
      </c>
      <c r="FJ9" s="1098"/>
      <c r="FK9" s="1098"/>
      <c r="FL9" s="1098"/>
      <c r="FM9" s="1098"/>
      <c r="FN9" s="1097">
        <f t="shared" si="23"/>
        <v>1</v>
      </c>
      <c r="FO9" s="1098"/>
      <c r="FP9" s="1098"/>
      <c r="FQ9" s="1098"/>
      <c r="FR9" s="1098"/>
      <c r="FS9" s="1098"/>
      <c r="FT9" s="1098"/>
      <c r="FU9" s="1098"/>
      <c r="FV9" s="1098"/>
      <c r="FW9" s="1098"/>
      <c r="FX9" s="1098"/>
      <c r="FY9" s="1098"/>
      <c r="FZ9" s="1098"/>
      <c r="GA9" s="1097">
        <f t="shared" si="24"/>
        <v>0</v>
      </c>
      <c r="GB9" s="1098"/>
      <c r="GC9" s="1098"/>
      <c r="GD9" s="1098"/>
      <c r="GE9" s="1098"/>
      <c r="GF9" s="1098"/>
      <c r="GG9" s="1098"/>
      <c r="GH9" s="1098"/>
      <c r="GI9" s="1098"/>
      <c r="GJ9" s="1098"/>
      <c r="GK9" s="1098"/>
      <c r="GL9" s="1098"/>
      <c r="GM9" s="1098"/>
      <c r="GN9" s="1097">
        <f t="shared" si="26"/>
        <v>0</v>
      </c>
      <c r="GO9" s="1098"/>
      <c r="GP9" s="1098"/>
      <c r="GQ9" s="1098"/>
      <c r="GR9" s="1098"/>
      <c r="GS9" s="1098"/>
      <c r="GT9" s="1098"/>
      <c r="GU9" s="1098"/>
      <c r="GV9" s="1098"/>
      <c r="GW9" s="1098"/>
      <c r="GX9" s="1098"/>
      <c r="GY9" s="1098"/>
      <c r="GZ9" s="1098"/>
      <c r="HA9" s="1097">
        <f t="shared" si="28"/>
        <v>0</v>
      </c>
      <c r="HB9" s="1098"/>
      <c r="HC9" s="1098"/>
      <c r="HD9" s="1098"/>
      <c r="HE9" s="1098"/>
      <c r="HF9" s="1098"/>
      <c r="HG9" s="1098"/>
      <c r="HH9" s="1098"/>
      <c r="HI9" s="1098"/>
      <c r="HJ9" s="1098"/>
      <c r="HK9" s="1098"/>
      <c r="HL9" s="1098"/>
      <c r="HM9" s="1098"/>
      <c r="HN9" s="1097">
        <f t="shared" si="30"/>
        <v>0</v>
      </c>
      <c r="HO9" s="1098"/>
      <c r="HP9" s="1098"/>
      <c r="HQ9" s="1098"/>
      <c r="HR9" s="1098"/>
      <c r="HS9" s="1098"/>
      <c r="HT9" s="1098"/>
      <c r="HU9" s="1098"/>
      <c r="HV9" s="1098"/>
      <c r="HW9" s="1098"/>
      <c r="HX9" s="1098"/>
      <c r="HY9" s="1098"/>
      <c r="HZ9" s="1098"/>
      <c r="IA9" s="1097">
        <f t="shared" si="32"/>
        <v>0</v>
      </c>
      <c r="IB9" s="1098"/>
      <c r="IC9" s="1098"/>
      <c r="ID9" s="1098"/>
      <c r="IE9" s="1098"/>
      <c r="IF9" s="1098"/>
      <c r="IG9" s="1098"/>
      <c r="IH9" s="1098"/>
      <c r="II9" s="1098"/>
      <c r="IJ9" s="1098"/>
      <c r="IK9" s="1098"/>
      <c r="IL9" s="1098"/>
      <c r="IM9" s="1098"/>
      <c r="IN9" s="1097">
        <f t="shared" si="34"/>
        <v>0</v>
      </c>
      <c r="IO9" s="1098"/>
      <c r="IP9" s="1098"/>
      <c r="IQ9" s="1098"/>
      <c r="IR9" s="1098"/>
      <c r="IS9" s="1098"/>
      <c r="IT9" s="1098"/>
      <c r="IU9" s="1098"/>
      <c r="IV9" s="1098"/>
      <c r="IW9" s="1098"/>
      <c r="IX9" s="1098">
        <v>568</v>
      </c>
      <c r="IY9" s="1098"/>
      <c r="IZ9" s="1098"/>
      <c r="JA9" s="1097">
        <f t="shared" si="35"/>
        <v>568</v>
      </c>
      <c r="JB9" s="1098"/>
      <c r="JC9" s="1098"/>
      <c r="JD9" s="1098"/>
      <c r="JE9" s="1098"/>
      <c r="JF9" s="1098"/>
      <c r="JG9" s="1098"/>
      <c r="JH9" s="1098"/>
      <c r="JI9" s="1098"/>
      <c r="JJ9" s="1098"/>
      <c r="JK9" s="1098">
        <v>1</v>
      </c>
      <c r="JL9" s="1098">
        <v>267</v>
      </c>
      <c r="JM9" s="1098"/>
      <c r="JN9" s="1097">
        <f t="shared" si="36"/>
        <v>268</v>
      </c>
      <c r="JO9" s="1098">
        <v>0</v>
      </c>
      <c r="JP9" s="1098"/>
      <c r="JQ9" s="1098"/>
      <c r="JR9" s="1098"/>
      <c r="JS9" s="1098"/>
      <c r="JT9" s="1098"/>
      <c r="JU9" s="1098"/>
      <c r="JV9" s="1098"/>
      <c r="JW9" s="1098"/>
      <c r="JX9" s="1098"/>
      <c r="JY9" s="1098"/>
      <c r="JZ9" s="1098"/>
      <c r="KA9" s="1097">
        <f t="shared" si="38"/>
        <v>0</v>
      </c>
      <c r="KC9" s="1178" t="str" cm="1">
        <f t="array" ref="KC9">IFERROR(((
_xlfn.XLOOKUP((DATE(YEAR($KC$5),MONTH($KC$5),1)),SMN.COSECHA.DATE,$B9:$KA9) /
_xlfn.XLOOKUP((DATE(YEAR($KC$5)-1,MONTH($KC$5),1)),SMN.COSECHA.DATE,$B9:$KA9)
)-1)*100,"")</f>
        <v/>
      </c>
      <c r="KD9" s="1179">
        <f t="shared" ref="KD9:KD41" si="39">IFERROR(((KF9/KE9)-1)*100,"")</f>
        <v>-52.816901408450704</v>
      </c>
      <c r="KE9" s="1188" cm="1">
        <f t="array" ref="KE9">SUMIFS($B9:$KA9,SMN.COSECHA.DATE,"&gt;="&amp;DATE(YEAR($KC$5)-1,1,1),SMN.COSECHA.DATE,"&lt;="&amp;DATE(YEAR($KC$5)-1,MONTH($KC$5),1))</f>
        <v>568</v>
      </c>
      <c r="KF9" s="1189" cm="1">
        <f t="array" ref="KF9">SUMIFS($B9:$KA9,SMN.COSECHA.DATE,"&gt;="&amp;DATE(YEAR($KC$5),1,1),SMN.COSECHA.DATE,"&lt;="&amp;$KC$5)</f>
        <v>268</v>
      </c>
      <c r="KG9" s="62"/>
      <c r="KH9" s="1079">
        <f t="shared" ref="KH9:KH37" si="40">SUM(O9:KA9)</f>
        <v>66194</v>
      </c>
      <c r="KI9" s="1080" t="s">
        <v>116</v>
      </c>
      <c r="KJ9" s="1081" t="str">
        <f t="shared" ref="KJ9:KJ37" si="41">IF(EXACT(A9,KI9)=TRUE,"OK","VER")</f>
        <v>OK</v>
      </c>
    </row>
    <row r="10" spans="1:296" ht="15" customHeight="1" x14ac:dyDescent="0.2">
      <c r="A10" s="1129" t="s">
        <v>134</v>
      </c>
      <c r="B10" s="1098">
        <v>14821</v>
      </c>
      <c r="C10" s="1098">
        <v>8295</v>
      </c>
      <c r="D10" s="1098">
        <v>4463</v>
      </c>
      <c r="E10" s="1098">
        <v>5831</v>
      </c>
      <c r="F10" s="1098">
        <v>5600</v>
      </c>
      <c r="G10" s="1098">
        <v>8370</v>
      </c>
      <c r="H10" s="1098">
        <v>7961</v>
      </c>
      <c r="I10" s="1098">
        <v>4519</v>
      </c>
      <c r="J10" s="1098">
        <v>3823</v>
      </c>
      <c r="K10" s="1098">
        <v>4748</v>
      </c>
      <c r="L10" s="1098">
        <v>5637</v>
      </c>
      <c r="M10" s="1098">
        <v>3322</v>
      </c>
      <c r="N10" s="1097">
        <f t="shared" si="1"/>
        <v>77390</v>
      </c>
      <c r="O10" s="1098">
        <v>11375</v>
      </c>
      <c r="P10" s="1098">
        <v>5832</v>
      </c>
      <c r="Q10" s="1098">
        <v>3661</v>
      </c>
      <c r="R10" s="1098">
        <v>3782</v>
      </c>
      <c r="S10" s="1098">
        <v>8038</v>
      </c>
      <c r="T10" s="1098">
        <v>8428</v>
      </c>
      <c r="U10" s="1098">
        <v>4738</v>
      </c>
      <c r="V10" s="1098">
        <v>3510</v>
      </c>
      <c r="W10" s="1098">
        <v>3855</v>
      </c>
      <c r="X10" s="1098">
        <v>6114</v>
      </c>
      <c r="Y10" s="1098">
        <v>5730.5</v>
      </c>
      <c r="Z10" s="1098">
        <v>3649.5</v>
      </c>
      <c r="AA10" s="1097">
        <f t="shared" si="3"/>
        <v>68713</v>
      </c>
      <c r="AB10" s="1098">
        <v>4528</v>
      </c>
      <c r="AC10" s="1098">
        <v>4210</v>
      </c>
      <c r="AD10" s="1098">
        <v>3362</v>
      </c>
      <c r="AE10" s="1098">
        <v>3024</v>
      </c>
      <c r="AF10" s="1098">
        <v>5448</v>
      </c>
      <c r="AG10" s="1098">
        <v>6820</v>
      </c>
      <c r="AH10" s="1098">
        <v>5906</v>
      </c>
      <c r="AI10" s="1098">
        <v>4596</v>
      </c>
      <c r="AJ10" s="1098">
        <v>4689</v>
      </c>
      <c r="AK10" s="1098">
        <v>4664</v>
      </c>
      <c r="AL10" s="1098">
        <v>7620</v>
      </c>
      <c r="AM10" s="1098">
        <v>5987</v>
      </c>
      <c r="AN10" s="1097">
        <f t="shared" si="5"/>
        <v>60854</v>
      </c>
      <c r="AO10" s="1098">
        <v>4895</v>
      </c>
      <c r="AP10" s="1098">
        <v>4434</v>
      </c>
      <c r="AQ10" s="1098">
        <v>5529</v>
      </c>
      <c r="AR10" s="1098">
        <v>5324</v>
      </c>
      <c r="AS10" s="1098">
        <v>7840</v>
      </c>
      <c r="AT10" s="1098">
        <v>7342</v>
      </c>
      <c r="AU10" s="1098">
        <v>7195</v>
      </c>
      <c r="AV10" s="1098">
        <v>4033</v>
      </c>
      <c r="AW10" s="1098">
        <v>5421</v>
      </c>
      <c r="AX10" s="1098">
        <v>5655</v>
      </c>
      <c r="AY10" s="1098">
        <v>9473</v>
      </c>
      <c r="AZ10" s="1098">
        <v>8265</v>
      </c>
      <c r="BA10" s="1097">
        <f t="shared" si="7"/>
        <v>75406</v>
      </c>
      <c r="BB10" s="1098">
        <v>5709</v>
      </c>
      <c r="BC10" s="1098">
        <v>5388</v>
      </c>
      <c r="BD10" s="1098">
        <v>4759</v>
      </c>
      <c r="BE10" s="1098">
        <v>8355</v>
      </c>
      <c r="BF10" s="1098">
        <v>9200</v>
      </c>
      <c r="BG10" s="1098">
        <v>9782</v>
      </c>
      <c r="BH10" s="1098">
        <v>6515</v>
      </c>
      <c r="BI10" s="1098">
        <v>4588</v>
      </c>
      <c r="BJ10" s="1098">
        <v>5488</v>
      </c>
      <c r="BK10" s="1098">
        <v>7061</v>
      </c>
      <c r="BL10" s="1098">
        <v>10265</v>
      </c>
      <c r="BM10" s="1098">
        <v>6747</v>
      </c>
      <c r="BN10" s="1097">
        <f t="shared" si="9"/>
        <v>83857</v>
      </c>
      <c r="BO10" s="1098">
        <v>5419</v>
      </c>
      <c r="BP10" s="1098">
        <v>6117</v>
      </c>
      <c r="BQ10" s="1098">
        <v>5039</v>
      </c>
      <c r="BR10" s="1098">
        <v>5175</v>
      </c>
      <c r="BS10" s="1098">
        <v>8379</v>
      </c>
      <c r="BT10" s="1098">
        <v>8241</v>
      </c>
      <c r="BU10" s="1098">
        <v>5977</v>
      </c>
      <c r="BV10" s="1098">
        <v>5043</v>
      </c>
      <c r="BW10" s="1098">
        <v>5159</v>
      </c>
      <c r="BX10" s="1098">
        <v>6105</v>
      </c>
      <c r="BY10" s="1098">
        <v>9049</v>
      </c>
      <c r="BZ10" s="1098">
        <v>6543</v>
      </c>
      <c r="CA10" s="1097">
        <f t="shared" si="11"/>
        <v>76246</v>
      </c>
      <c r="CB10" s="1098">
        <v>4865</v>
      </c>
      <c r="CC10" s="1098">
        <v>5229</v>
      </c>
      <c r="CD10" s="1098">
        <v>5225</v>
      </c>
      <c r="CE10" s="1098">
        <v>8700</v>
      </c>
      <c r="CF10" s="1098">
        <v>8216</v>
      </c>
      <c r="CG10" s="1098">
        <v>7019</v>
      </c>
      <c r="CH10" s="1098">
        <v>6271</v>
      </c>
      <c r="CI10" s="1098">
        <v>5725</v>
      </c>
      <c r="CJ10" s="1098">
        <v>5905</v>
      </c>
      <c r="CK10" s="1098">
        <v>6721</v>
      </c>
      <c r="CL10" s="1098">
        <v>6911</v>
      </c>
      <c r="CM10" s="1098">
        <v>7052</v>
      </c>
      <c r="CN10" s="1097">
        <f t="shared" si="13"/>
        <v>77839</v>
      </c>
      <c r="CO10" s="1098">
        <v>7338</v>
      </c>
      <c r="CP10" s="1098">
        <v>6537</v>
      </c>
      <c r="CQ10" s="1098">
        <v>5270</v>
      </c>
      <c r="CR10" s="1098">
        <v>8451</v>
      </c>
      <c r="CS10" s="1098">
        <v>8012</v>
      </c>
      <c r="CT10" s="1098">
        <v>9387</v>
      </c>
      <c r="CU10" s="1098">
        <v>6971</v>
      </c>
      <c r="CV10" s="1098">
        <v>5430</v>
      </c>
      <c r="CW10" s="1098">
        <v>4728</v>
      </c>
      <c r="CX10" s="1098">
        <v>5066</v>
      </c>
      <c r="CY10" s="1098">
        <v>9464</v>
      </c>
      <c r="CZ10" s="1098">
        <v>5575</v>
      </c>
      <c r="DA10" s="1097">
        <f t="shared" si="15"/>
        <v>82229</v>
      </c>
      <c r="DB10" s="1098">
        <v>5530</v>
      </c>
      <c r="DC10" s="1098">
        <v>5643</v>
      </c>
      <c r="DD10" s="1098">
        <v>7419</v>
      </c>
      <c r="DE10" s="1098">
        <v>6764</v>
      </c>
      <c r="DF10" s="1098">
        <v>8328</v>
      </c>
      <c r="DG10" s="1098">
        <v>8839</v>
      </c>
      <c r="DH10" s="1098">
        <v>5574</v>
      </c>
      <c r="DI10" s="1098">
        <v>5747</v>
      </c>
      <c r="DJ10" s="1098">
        <v>6790</v>
      </c>
      <c r="DK10" s="1098">
        <v>7828</v>
      </c>
      <c r="DL10" s="1098">
        <v>7812</v>
      </c>
      <c r="DM10" s="1098">
        <v>6579</v>
      </c>
      <c r="DN10" s="1097">
        <f t="shared" si="17"/>
        <v>82853</v>
      </c>
      <c r="DO10" s="1098">
        <v>1776</v>
      </c>
      <c r="DP10" s="1098">
        <v>1892</v>
      </c>
      <c r="DQ10" s="1098">
        <v>1587</v>
      </c>
      <c r="DR10" s="1098">
        <v>761</v>
      </c>
      <c r="DS10" s="1098"/>
      <c r="DT10" s="1098"/>
      <c r="DU10" s="1098"/>
      <c r="DV10" s="1098"/>
      <c r="DW10" s="1098"/>
      <c r="DX10" s="1098">
        <v>490</v>
      </c>
      <c r="DY10" s="1098">
        <v>310</v>
      </c>
      <c r="DZ10" s="1098">
        <v>430</v>
      </c>
      <c r="EA10" s="1097">
        <f t="shared" si="18"/>
        <v>7246</v>
      </c>
      <c r="EB10" s="1098">
        <v>5525</v>
      </c>
      <c r="EC10" s="1098">
        <v>5957</v>
      </c>
      <c r="ED10" s="1098">
        <v>6368</v>
      </c>
      <c r="EE10" s="1098">
        <v>7542</v>
      </c>
      <c r="EF10" s="1098">
        <v>8129</v>
      </c>
      <c r="EG10" s="1098">
        <v>8769</v>
      </c>
      <c r="EH10" s="1098">
        <v>8643</v>
      </c>
      <c r="EI10" s="1098">
        <v>6945</v>
      </c>
      <c r="EJ10" s="1098">
        <v>6191</v>
      </c>
      <c r="EK10" s="1098">
        <v>7110</v>
      </c>
      <c r="EL10" s="1098">
        <v>8219</v>
      </c>
      <c r="EM10" s="1098">
        <v>10316</v>
      </c>
      <c r="EN10" s="1097">
        <f t="shared" si="20"/>
        <v>89714</v>
      </c>
      <c r="EO10" s="1098">
        <v>6493</v>
      </c>
      <c r="EP10" s="1098">
        <v>6911</v>
      </c>
      <c r="EQ10" s="1098">
        <v>7008</v>
      </c>
      <c r="ER10" s="1098">
        <v>8620</v>
      </c>
      <c r="ES10" s="1098">
        <v>8904</v>
      </c>
      <c r="ET10" s="1098">
        <v>9974</v>
      </c>
      <c r="EU10" s="1098">
        <v>9446</v>
      </c>
      <c r="EV10" s="1098">
        <v>8371</v>
      </c>
      <c r="EW10" s="1098">
        <v>7774</v>
      </c>
      <c r="EX10" s="1098">
        <v>7811</v>
      </c>
      <c r="EY10" s="1098">
        <v>10161</v>
      </c>
      <c r="EZ10" s="1098">
        <v>10283</v>
      </c>
      <c r="FA10" s="1097">
        <f t="shared" si="21"/>
        <v>101756</v>
      </c>
      <c r="FB10" s="1098">
        <v>7955</v>
      </c>
      <c r="FC10" s="1098">
        <v>8280</v>
      </c>
      <c r="FD10" s="1098">
        <v>8626</v>
      </c>
      <c r="FE10" s="1098">
        <v>8179</v>
      </c>
      <c r="FF10" s="1098">
        <v>9217</v>
      </c>
      <c r="FG10" s="1098">
        <v>10212</v>
      </c>
      <c r="FH10" s="1098">
        <v>9634</v>
      </c>
      <c r="FI10" s="1098">
        <v>9183</v>
      </c>
      <c r="FJ10" s="1098">
        <v>9035</v>
      </c>
      <c r="FK10" s="1098">
        <v>11085</v>
      </c>
      <c r="FL10" s="1098">
        <v>9074</v>
      </c>
      <c r="FM10" s="1098">
        <v>9964</v>
      </c>
      <c r="FN10" s="1097">
        <f t="shared" si="23"/>
        <v>110444</v>
      </c>
      <c r="FO10" s="1098">
        <v>8177</v>
      </c>
      <c r="FP10" s="1098">
        <v>9417</v>
      </c>
      <c r="FQ10" s="1098">
        <v>8365</v>
      </c>
      <c r="FR10" s="1098">
        <v>9170</v>
      </c>
      <c r="FS10" s="1098">
        <v>9922</v>
      </c>
      <c r="FT10" s="1098">
        <v>8809</v>
      </c>
      <c r="FU10" s="1098">
        <v>9528</v>
      </c>
      <c r="FV10" s="1098">
        <v>8244</v>
      </c>
      <c r="FW10" s="1098">
        <v>7027</v>
      </c>
      <c r="FX10" s="1098">
        <v>8919</v>
      </c>
      <c r="FY10" s="1098">
        <v>8836</v>
      </c>
      <c r="FZ10" s="1098">
        <v>9628</v>
      </c>
      <c r="GA10" s="1097">
        <f t="shared" si="24"/>
        <v>106042</v>
      </c>
      <c r="GB10" s="1098">
        <v>8363</v>
      </c>
      <c r="GC10" s="1098">
        <v>7494</v>
      </c>
      <c r="GD10" s="1098">
        <v>7585</v>
      </c>
      <c r="GE10" s="1098">
        <v>9027</v>
      </c>
      <c r="GF10" s="1098">
        <v>9814</v>
      </c>
      <c r="GG10" s="1098">
        <v>10001</v>
      </c>
      <c r="GH10" s="1098">
        <v>9747</v>
      </c>
      <c r="GI10" s="1098">
        <v>7833</v>
      </c>
      <c r="GJ10" s="1098">
        <v>7450</v>
      </c>
      <c r="GK10" s="1098">
        <v>6460</v>
      </c>
      <c r="GL10" s="1098">
        <v>8287</v>
      </c>
      <c r="GM10" s="1098">
        <v>9428</v>
      </c>
      <c r="GN10" s="1097">
        <f t="shared" si="26"/>
        <v>101489</v>
      </c>
      <c r="GO10" s="1098">
        <v>8649</v>
      </c>
      <c r="GP10" s="1098">
        <v>9582</v>
      </c>
      <c r="GQ10" s="1098">
        <v>10219</v>
      </c>
      <c r="GR10" s="1098">
        <v>9968</v>
      </c>
      <c r="GS10" s="1098">
        <v>10530</v>
      </c>
      <c r="GT10" s="1098">
        <v>11412</v>
      </c>
      <c r="GU10" s="1098">
        <v>8618</v>
      </c>
      <c r="GV10" s="1098">
        <v>8266</v>
      </c>
      <c r="GW10" s="1098">
        <v>6990</v>
      </c>
      <c r="GX10" s="1098">
        <v>7512</v>
      </c>
      <c r="GY10" s="1098">
        <v>10230</v>
      </c>
      <c r="GZ10" s="1098">
        <v>8969</v>
      </c>
      <c r="HA10" s="1097">
        <f t="shared" si="28"/>
        <v>110945</v>
      </c>
      <c r="HB10" s="1098">
        <v>6914</v>
      </c>
      <c r="HC10" s="1098">
        <v>9054</v>
      </c>
      <c r="HD10" s="1098">
        <v>7639</v>
      </c>
      <c r="HE10" s="1098">
        <v>10151</v>
      </c>
      <c r="HF10" s="1098">
        <v>10294</v>
      </c>
      <c r="HG10" s="1098">
        <v>11304</v>
      </c>
      <c r="HH10" s="1098">
        <v>9506</v>
      </c>
      <c r="HI10" s="1098">
        <v>7652</v>
      </c>
      <c r="HJ10" s="1098">
        <v>8464.5</v>
      </c>
      <c r="HK10" s="1098">
        <v>8949</v>
      </c>
      <c r="HL10" s="1098">
        <v>10856</v>
      </c>
      <c r="HM10" s="1098">
        <v>10383</v>
      </c>
      <c r="HN10" s="1097">
        <f t="shared" si="30"/>
        <v>111166.5</v>
      </c>
      <c r="HO10" s="1098">
        <v>7670</v>
      </c>
      <c r="HP10" s="1098">
        <v>8943</v>
      </c>
      <c r="HQ10" s="1098">
        <v>8745</v>
      </c>
      <c r="HR10" s="1098">
        <v>10735</v>
      </c>
      <c r="HS10" s="1098">
        <v>10904</v>
      </c>
      <c r="HT10" s="1098">
        <v>11259</v>
      </c>
      <c r="HU10" s="1098">
        <v>9233</v>
      </c>
      <c r="HV10" s="1098">
        <v>8966</v>
      </c>
      <c r="HW10" s="1098">
        <v>7928</v>
      </c>
      <c r="HX10" s="1098">
        <v>8132</v>
      </c>
      <c r="HY10" s="1098">
        <v>10569</v>
      </c>
      <c r="HZ10" s="1098">
        <v>6728.01</v>
      </c>
      <c r="IA10" s="1097">
        <f t="shared" si="32"/>
        <v>109812.01</v>
      </c>
      <c r="IB10" s="1098">
        <v>7949</v>
      </c>
      <c r="IC10" s="1098">
        <v>9064</v>
      </c>
      <c r="ID10" s="1098">
        <v>8914</v>
      </c>
      <c r="IE10" s="1098">
        <v>9627</v>
      </c>
      <c r="IF10" s="1098">
        <v>9884</v>
      </c>
      <c r="IG10" s="1098">
        <v>10945</v>
      </c>
      <c r="IH10" s="1098">
        <v>8811</v>
      </c>
      <c r="II10" s="1098">
        <v>8862</v>
      </c>
      <c r="IJ10" s="1098">
        <v>8929</v>
      </c>
      <c r="IK10" s="1098">
        <v>10864</v>
      </c>
      <c r="IL10" s="1098">
        <v>11732</v>
      </c>
      <c r="IM10" s="1098">
        <v>10602</v>
      </c>
      <c r="IN10" s="1097">
        <f t="shared" si="34"/>
        <v>116183</v>
      </c>
      <c r="IO10" s="1098">
        <v>8316</v>
      </c>
      <c r="IP10" s="1098">
        <v>8683</v>
      </c>
      <c r="IQ10" s="1098">
        <v>8473</v>
      </c>
      <c r="IR10" s="1098">
        <v>9475</v>
      </c>
      <c r="IS10" s="1098">
        <v>10628</v>
      </c>
      <c r="IT10" s="1098">
        <v>9651</v>
      </c>
      <c r="IU10" s="1098">
        <v>11821</v>
      </c>
      <c r="IV10" s="1098">
        <v>8519</v>
      </c>
      <c r="IW10" s="1098">
        <v>7600</v>
      </c>
      <c r="IX10" s="1098">
        <v>8766</v>
      </c>
      <c r="IY10" s="1098">
        <v>9167</v>
      </c>
      <c r="IZ10" s="1098">
        <v>3409</v>
      </c>
      <c r="JA10" s="1097">
        <f t="shared" si="35"/>
        <v>104508</v>
      </c>
      <c r="JB10" s="1098">
        <v>6215</v>
      </c>
      <c r="JC10" s="1098">
        <v>7324</v>
      </c>
      <c r="JD10" s="1098">
        <v>7674</v>
      </c>
      <c r="JE10" s="1098">
        <v>9473</v>
      </c>
      <c r="JF10" s="1098">
        <v>7492</v>
      </c>
      <c r="JG10" s="1098">
        <v>9574</v>
      </c>
      <c r="JH10" s="1098">
        <v>10878</v>
      </c>
      <c r="JI10" s="1098">
        <v>8991</v>
      </c>
      <c r="JJ10" s="1098">
        <v>8573</v>
      </c>
      <c r="JK10" s="1098">
        <v>8563</v>
      </c>
      <c r="JL10" s="1098">
        <v>9528</v>
      </c>
      <c r="JM10" s="1098">
        <v>9022</v>
      </c>
      <c r="JN10" s="1097">
        <f t="shared" si="36"/>
        <v>103307</v>
      </c>
      <c r="JO10" s="1098">
        <v>7510</v>
      </c>
      <c r="JP10" s="1098"/>
      <c r="JQ10" s="1098"/>
      <c r="JR10" s="1098"/>
      <c r="JS10" s="1098"/>
      <c r="JT10" s="1098"/>
      <c r="JU10" s="1098"/>
      <c r="JV10" s="1098"/>
      <c r="JW10" s="1098"/>
      <c r="JX10" s="1098"/>
      <c r="JY10" s="1098"/>
      <c r="JZ10" s="1098"/>
      <c r="KA10" s="1097">
        <f t="shared" si="38"/>
        <v>7510</v>
      </c>
      <c r="KC10" s="1137" cm="1">
        <f t="array" ref="KC10">IFERROR(((
_xlfn.XLOOKUP((DATE(YEAR($KC$5),MONTH($KC$5),1)),SMN.COSECHA.DATE,$B10:$KA10) /
_xlfn.XLOOKUP((DATE(YEAR($KC$5)-1,MONTH($KC$5),1)),SMN.COSECHA.DATE,$B10:$KA10)
)-1)*100,"")</f>
        <v>164.65239073041946</v>
      </c>
      <c r="KD10" s="1138">
        <f t="shared" si="39"/>
        <v>-1.1491943200520494</v>
      </c>
      <c r="KE10" s="1139" cm="1">
        <f t="array" ref="KE10">SUMIFS($B10:$KA10,SMN.COSECHA.DATE,"&gt;="&amp;DATE(YEAR($KC$5)-1,1,1),SMN.COSECHA.DATE,"&lt;="&amp;DATE(YEAR($KC$5)-1,MONTH($KC$5),1))</f>
        <v>104508</v>
      </c>
      <c r="KF10" s="1140" cm="1">
        <f t="array" ref="KF10">SUMIFS($B10:$KA10,SMN.COSECHA.DATE,"&gt;="&amp;DATE(YEAR($KC$5),1,1),SMN.COSECHA.DATE,"&lt;="&amp;$KC$5)</f>
        <v>103307</v>
      </c>
      <c r="KG10" s="62"/>
      <c r="KH10" s="1079">
        <f t="shared" si="40"/>
        <v>3576239.0199999996</v>
      </c>
      <c r="KI10" s="1080" t="s">
        <v>134</v>
      </c>
      <c r="KJ10" s="1081" t="str">
        <f t="shared" si="41"/>
        <v>OK</v>
      </c>
    </row>
    <row r="11" spans="1:296" ht="15" customHeight="1" x14ac:dyDescent="0.2">
      <c r="A11" s="1129" t="s">
        <v>147</v>
      </c>
      <c r="B11" s="1098"/>
      <c r="C11" s="1098"/>
      <c r="D11" s="1098"/>
      <c r="E11" s="1098"/>
      <c r="F11" s="1098"/>
      <c r="G11" s="1098"/>
      <c r="H11" s="1098"/>
      <c r="I11" s="1098"/>
      <c r="J11" s="1098"/>
      <c r="K11" s="1098"/>
      <c r="L11" s="1098"/>
      <c r="M11" s="1098">
        <v>4232</v>
      </c>
      <c r="N11" s="1097">
        <f t="shared" si="1"/>
        <v>4232</v>
      </c>
      <c r="O11" s="1098"/>
      <c r="P11" s="1098"/>
      <c r="Q11" s="1098"/>
      <c r="R11" s="1098"/>
      <c r="S11" s="1098"/>
      <c r="T11" s="1098"/>
      <c r="U11" s="1098"/>
      <c r="V11" s="1098"/>
      <c r="W11" s="1098"/>
      <c r="X11" s="1098"/>
      <c r="Y11" s="1098"/>
      <c r="Z11" s="1098">
        <v>8130.11</v>
      </c>
      <c r="AA11" s="1097">
        <f t="shared" si="3"/>
        <v>8130.11</v>
      </c>
      <c r="AB11" s="1098"/>
      <c r="AC11" s="1098"/>
      <c r="AD11" s="1098"/>
      <c r="AE11" s="1098"/>
      <c r="AF11" s="1098"/>
      <c r="AG11" s="1098"/>
      <c r="AH11" s="1098"/>
      <c r="AI11" s="1098"/>
      <c r="AJ11" s="1098"/>
      <c r="AK11" s="1098"/>
      <c r="AL11" s="1098"/>
      <c r="AM11" s="1098">
        <v>10790</v>
      </c>
      <c r="AN11" s="1097">
        <f t="shared" si="5"/>
        <v>10790</v>
      </c>
      <c r="AO11" s="1098"/>
      <c r="AP11" s="1098"/>
      <c r="AQ11" s="1098"/>
      <c r="AR11" s="1098"/>
      <c r="AS11" s="1098"/>
      <c r="AT11" s="1098"/>
      <c r="AU11" s="1098"/>
      <c r="AV11" s="1098"/>
      <c r="AW11" s="1098"/>
      <c r="AX11" s="1098"/>
      <c r="AY11" s="1098"/>
      <c r="AZ11" s="1098">
        <v>13219</v>
      </c>
      <c r="BA11" s="1097">
        <f t="shared" si="7"/>
        <v>13219</v>
      </c>
      <c r="BB11" s="1098"/>
      <c r="BC11" s="1098"/>
      <c r="BD11" s="1098"/>
      <c r="BE11" s="1098"/>
      <c r="BF11" s="1098"/>
      <c r="BG11" s="1098"/>
      <c r="BH11" s="1098"/>
      <c r="BI11" s="1098"/>
      <c r="BJ11" s="1098"/>
      <c r="BK11" s="1098"/>
      <c r="BL11" s="1098"/>
      <c r="BM11" s="1098">
        <v>13338</v>
      </c>
      <c r="BN11" s="1097">
        <f t="shared" si="9"/>
        <v>13338</v>
      </c>
      <c r="BO11" s="1098"/>
      <c r="BP11" s="1098"/>
      <c r="BQ11" s="1098"/>
      <c r="BR11" s="1098"/>
      <c r="BS11" s="1098"/>
      <c r="BT11" s="1098"/>
      <c r="BU11" s="1098"/>
      <c r="BV11" s="1098"/>
      <c r="BW11" s="1098"/>
      <c r="BX11" s="1098"/>
      <c r="BY11" s="1098"/>
      <c r="BZ11" s="1098">
        <v>24678</v>
      </c>
      <c r="CA11" s="1097">
        <f t="shared" si="11"/>
        <v>24678</v>
      </c>
      <c r="CB11" s="1098"/>
      <c r="CC11" s="1098"/>
      <c r="CD11" s="1098"/>
      <c r="CE11" s="1098"/>
      <c r="CF11" s="1098"/>
      <c r="CG11" s="1098"/>
      <c r="CH11" s="1098"/>
      <c r="CI11" s="1098"/>
      <c r="CJ11" s="1098"/>
      <c r="CK11" s="1098"/>
      <c r="CL11" s="1098"/>
      <c r="CM11" s="1098">
        <v>7304</v>
      </c>
      <c r="CN11" s="1097">
        <f t="shared" si="13"/>
        <v>7304</v>
      </c>
      <c r="CO11" s="1098"/>
      <c r="CP11" s="1098"/>
      <c r="CQ11" s="1098"/>
      <c r="CR11" s="1098"/>
      <c r="CS11" s="1098"/>
      <c r="CT11" s="1098"/>
      <c r="CU11" s="1098"/>
      <c r="CV11" s="1098"/>
      <c r="CW11" s="1098"/>
      <c r="CX11" s="1098"/>
      <c r="CY11" s="1098"/>
      <c r="CZ11" s="1098">
        <v>4930</v>
      </c>
      <c r="DA11" s="1097">
        <f t="shared" si="15"/>
        <v>4930</v>
      </c>
      <c r="DB11" s="1098"/>
      <c r="DC11" s="1098"/>
      <c r="DD11" s="1098"/>
      <c r="DE11" s="1098"/>
      <c r="DF11" s="1098"/>
      <c r="DG11" s="1098"/>
      <c r="DH11" s="1098"/>
      <c r="DI11" s="1098"/>
      <c r="DJ11" s="1098"/>
      <c r="DK11" s="1098"/>
      <c r="DL11" s="1098"/>
      <c r="DM11" s="1098">
        <v>34649</v>
      </c>
      <c r="DN11" s="1097">
        <f t="shared" si="17"/>
        <v>34649</v>
      </c>
      <c r="DO11" s="1098">
        <v>61</v>
      </c>
      <c r="DP11" s="1098">
        <v>107</v>
      </c>
      <c r="DQ11" s="1098">
        <v>121</v>
      </c>
      <c r="DR11" s="1098">
        <v>47</v>
      </c>
      <c r="DS11" s="1098">
        <v>1</v>
      </c>
      <c r="DT11" s="1098">
        <v>2</v>
      </c>
      <c r="DU11" s="1098">
        <v>1</v>
      </c>
      <c r="DV11" s="1098">
        <v>1</v>
      </c>
      <c r="DW11" s="1098"/>
      <c r="DX11" s="1098">
        <v>1</v>
      </c>
      <c r="DY11" s="1098">
        <v>90</v>
      </c>
      <c r="DZ11" s="1098">
        <v>203</v>
      </c>
      <c r="EA11" s="1097">
        <f t="shared" si="18"/>
        <v>635</v>
      </c>
      <c r="EB11" s="1098"/>
      <c r="EC11" s="1098"/>
      <c r="ED11" s="1098"/>
      <c r="EE11" s="1098"/>
      <c r="EF11" s="1098"/>
      <c r="EG11" s="1098"/>
      <c r="EH11" s="1098"/>
      <c r="EI11" s="1098"/>
      <c r="EJ11" s="1098"/>
      <c r="EK11" s="1098"/>
      <c r="EL11" s="1098"/>
      <c r="EM11" s="1098">
        <v>38921</v>
      </c>
      <c r="EN11" s="1097">
        <f t="shared" si="20"/>
        <v>38921</v>
      </c>
      <c r="EO11" s="1098"/>
      <c r="EP11" s="1098"/>
      <c r="EQ11" s="1098"/>
      <c r="ER11" s="1098"/>
      <c r="ES11" s="1098"/>
      <c r="ET11" s="1098"/>
      <c r="EU11" s="1098"/>
      <c r="EV11" s="1098"/>
      <c r="EW11" s="1098"/>
      <c r="EX11" s="1098"/>
      <c r="EY11" s="1098"/>
      <c r="EZ11" s="1098">
        <v>49128</v>
      </c>
      <c r="FA11" s="1097">
        <f t="shared" si="21"/>
        <v>49128</v>
      </c>
      <c r="FB11" s="1098"/>
      <c r="FC11" s="1098"/>
      <c r="FD11" s="1098"/>
      <c r="FE11" s="1098"/>
      <c r="FF11" s="1098"/>
      <c r="FG11" s="1098"/>
      <c r="FH11" s="1098"/>
      <c r="FI11" s="1098"/>
      <c r="FJ11" s="1098"/>
      <c r="FK11" s="1098"/>
      <c r="FL11" s="1098"/>
      <c r="FM11" s="1098">
        <v>54099</v>
      </c>
      <c r="FN11" s="1097">
        <f t="shared" si="23"/>
        <v>54099</v>
      </c>
      <c r="FO11" s="1098"/>
      <c r="FP11" s="1098"/>
      <c r="FQ11" s="1098"/>
      <c r="FR11" s="1098"/>
      <c r="FS11" s="1098"/>
      <c r="FT11" s="1098"/>
      <c r="FU11" s="1098"/>
      <c r="FV11" s="1098"/>
      <c r="FW11" s="1098"/>
      <c r="FX11" s="1098"/>
      <c r="FY11" s="1098"/>
      <c r="FZ11" s="1098">
        <v>59475</v>
      </c>
      <c r="GA11" s="1097">
        <f t="shared" si="24"/>
        <v>59475</v>
      </c>
      <c r="GB11" s="1098"/>
      <c r="GC11" s="1098"/>
      <c r="GD11" s="1098"/>
      <c r="GE11" s="1098"/>
      <c r="GF11" s="1098"/>
      <c r="GG11" s="1098"/>
      <c r="GH11" s="1098"/>
      <c r="GI11" s="1098"/>
      <c r="GJ11" s="1098"/>
      <c r="GK11" s="1098"/>
      <c r="GL11" s="1098"/>
      <c r="GM11" s="1098">
        <v>56998</v>
      </c>
      <c r="GN11" s="1097">
        <f t="shared" si="26"/>
        <v>56998</v>
      </c>
      <c r="GO11" s="1098"/>
      <c r="GP11" s="1098"/>
      <c r="GQ11" s="1098"/>
      <c r="GR11" s="1098"/>
      <c r="GS11" s="1098"/>
      <c r="GT11" s="1098"/>
      <c r="GU11" s="1098"/>
      <c r="GV11" s="1098"/>
      <c r="GW11" s="1098"/>
      <c r="GX11" s="1098"/>
      <c r="GY11" s="1098"/>
      <c r="GZ11" s="1098">
        <v>57432</v>
      </c>
      <c r="HA11" s="1097">
        <f t="shared" si="28"/>
        <v>57432</v>
      </c>
      <c r="HB11" s="1098"/>
      <c r="HC11" s="1098"/>
      <c r="HD11" s="1098"/>
      <c r="HE11" s="1098"/>
      <c r="HF11" s="1098"/>
      <c r="HG11" s="1098"/>
      <c r="HH11" s="1098"/>
      <c r="HI11" s="1098"/>
      <c r="HJ11" s="1098"/>
      <c r="HK11" s="1098"/>
      <c r="HL11" s="1098"/>
      <c r="HM11" s="1098"/>
      <c r="HN11" s="1097">
        <f t="shared" si="30"/>
        <v>0</v>
      </c>
      <c r="HO11" s="1098"/>
      <c r="HP11" s="1098"/>
      <c r="HQ11" s="1098"/>
      <c r="HR11" s="1098"/>
      <c r="HS11" s="1098"/>
      <c r="HT11" s="1098"/>
      <c r="HU11" s="1098"/>
      <c r="HV11" s="1098"/>
      <c r="HW11" s="1098"/>
      <c r="HX11" s="1098"/>
      <c r="HY11" s="1098"/>
      <c r="HZ11" s="1098"/>
      <c r="IA11" s="1097">
        <f t="shared" si="32"/>
        <v>0</v>
      </c>
      <c r="IB11" s="1098">
        <v>45.1</v>
      </c>
      <c r="IC11" s="1098"/>
      <c r="ID11" s="1098"/>
      <c r="IE11" s="1098"/>
      <c r="IF11" s="1098"/>
      <c r="IG11" s="1098"/>
      <c r="IH11" s="1098"/>
      <c r="II11" s="1098">
        <v>291</v>
      </c>
      <c r="IJ11" s="1098"/>
      <c r="IK11" s="1098"/>
      <c r="IL11" s="1098"/>
      <c r="IM11" s="1098">
        <v>69.427000000000007</v>
      </c>
      <c r="IN11" s="1097">
        <f t="shared" si="34"/>
        <v>405.52700000000004</v>
      </c>
      <c r="IO11" s="1098"/>
      <c r="IP11" s="1098"/>
      <c r="IQ11" s="1098"/>
      <c r="IR11" s="1098"/>
      <c r="IS11" s="1098"/>
      <c r="IT11" s="1098"/>
      <c r="IU11" s="1098"/>
      <c r="IV11" s="1098"/>
      <c r="IW11" s="1098"/>
      <c r="IX11" s="1098"/>
      <c r="IY11" s="1098"/>
      <c r="IZ11" s="1098">
        <v>6514</v>
      </c>
      <c r="JA11" s="1097">
        <f t="shared" si="35"/>
        <v>6514</v>
      </c>
      <c r="JB11" s="1098"/>
      <c r="JC11" s="1098"/>
      <c r="JD11" s="1098"/>
      <c r="JE11" s="1098"/>
      <c r="JF11" s="1098"/>
      <c r="JG11" s="1098"/>
      <c r="JH11" s="1098"/>
      <c r="JI11" s="1098">
        <v>1743.5</v>
      </c>
      <c r="JJ11" s="1098"/>
      <c r="JK11" s="1098"/>
      <c r="JL11" s="1098"/>
      <c r="JM11" s="1098">
        <v>70455</v>
      </c>
      <c r="JN11" s="1097">
        <f t="shared" si="36"/>
        <v>72198.5</v>
      </c>
      <c r="JO11" s="1098">
        <v>0</v>
      </c>
      <c r="JP11" s="1098"/>
      <c r="JQ11" s="1098"/>
      <c r="JR11" s="1098"/>
      <c r="JS11" s="1098"/>
      <c r="JT11" s="1098"/>
      <c r="JU11" s="1098"/>
      <c r="JV11" s="1098"/>
      <c r="JW11" s="1098"/>
      <c r="JX11" s="1098"/>
      <c r="JY11" s="1098"/>
      <c r="JZ11" s="1098"/>
      <c r="KA11" s="1097">
        <f t="shared" si="38"/>
        <v>0</v>
      </c>
      <c r="KC11" s="1116" cm="1">
        <f t="array" ref="KC11">IFERROR(((
_xlfn.XLOOKUP((DATE(YEAR($KC$5),MONTH($KC$5),1)),SMN.COSECHA.DATE,$B11:$KA11) /
_xlfn.XLOOKUP((DATE(YEAR($KC$5)-1,MONTH($KC$5),1)),SMN.COSECHA.DATE,$B11:$KA11)
)-1)*100,"")</f>
        <v>981.59349094258528</v>
      </c>
      <c r="KD11" s="1117">
        <f t="shared" si="39"/>
        <v>1008.3589192508443</v>
      </c>
      <c r="KE11" s="1079" cm="1">
        <f t="array" ref="KE11">SUMIFS($B11:$KA11,SMN.COSECHA.DATE,"&gt;="&amp;DATE(YEAR($KC$5)-1,1,1),SMN.COSECHA.DATE,"&lt;="&amp;DATE(YEAR($KC$5)-1,MONTH($KC$5),1))</f>
        <v>6514</v>
      </c>
      <c r="KF11" s="1118" cm="1">
        <f t="array" ref="KF11">SUMIFS($B11:$KA11,SMN.COSECHA.DATE,"&gt;="&amp;DATE(YEAR($KC$5),1,1),SMN.COSECHA.DATE,"&lt;="&amp;$KC$5)</f>
        <v>72198.5</v>
      </c>
      <c r="KG11" s="62"/>
      <c r="KH11" s="1079">
        <f t="shared" si="40"/>
        <v>1025688.274</v>
      </c>
      <c r="KI11" s="1080" t="s">
        <v>147</v>
      </c>
      <c r="KJ11" s="1081" t="str">
        <f t="shared" si="41"/>
        <v>OK</v>
      </c>
    </row>
    <row r="12" spans="1:296" ht="15" customHeight="1" x14ac:dyDescent="0.2">
      <c r="A12" s="1129" t="s">
        <v>148</v>
      </c>
      <c r="B12" s="1098"/>
      <c r="C12" s="1098"/>
      <c r="D12" s="1098"/>
      <c r="E12" s="1098"/>
      <c r="F12" s="1098"/>
      <c r="G12" s="1098"/>
      <c r="H12" s="1098"/>
      <c r="I12" s="1098"/>
      <c r="J12" s="1098"/>
      <c r="K12" s="1098"/>
      <c r="L12" s="1098"/>
      <c r="M12" s="1098">
        <v>36787</v>
      </c>
      <c r="N12" s="1097">
        <f t="shared" si="1"/>
        <v>36787</v>
      </c>
      <c r="O12" s="1098"/>
      <c r="P12" s="1098"/>
      <c r="Q12" s="1098"/>
      <c r="R12" s="1098"/>
      <c r="S12" s="1098"/>
      <c r="T12" s="1098"/>
      <c r="U12" s="1098"/>
      <c r="V12" s="1098"/>
      <c r="W12" s="1098"/>
      <c r="X12" s="1098"/>
      <c r="Y12" s="1098"/>
      <c r="Z12" s="1098">
        <v>42117.5</v>
      </c>
      <c r="AA12" s="1097">
        <f t="shared" si="3"/>
        <v>42117.5</v>
      </c>
      <c r="AB12" s="1098"/>
      <c r="AC12" s="1098"/>
      <c r="AD12" s="1098"/>
      <c r="AE12" s="1098"/>
      <c r="AF12" s="1098"/>
      <c r="AG12" s="1098"/>
      <c r="AH12" s="1098"/>
      <c r="AI12" s="1098"/>
      <c r="AJ12" s="1098"/>
      <c r="AK12" s="1098"/>
      <c r="AL12" s="1098"/>
      <c r="AM12" s="1098">
        <v>41796</v>
      </c>
      <c r="AN12" s="1097">
        <f t="shared" si="5"/>
        <v>41796</v>
      </c>
      <c r="AO12" s="1098"/>
      <c r="AP12" s="1098"/>
      <c r="AQ12" s="1098"/>
      <c r="AR12" s="1098"/>
      <c r="AS12" s="1098"/>
      <c r="AT12" s="1098"/>
      <c r="AU12" s="1098"/>
      <c r="AV12" s="1098"/>
      <c r="AW12" s="1098"/>
      <c r="AX12" s="1098"/>
      <c r="AY12" s="1098"/>
      <c r="AZ12" s="1098">
        <v>47838</v>
      </c>
      <c r="BA12" s="1097">
        <f t="shared" si="7"/>
        <v>47838</v>
      </c>
      <c r="BB12" s="1098"/>
      <c r="BC12" s="1098"/>
      <c r="BD12" s="1098"/>
      <c r="BE12" s="1098"/>
      <c r="BF12" s="1098"/>
      <c r="BG12" s="1098"/>
      <c r="BH12" s="1098"/>
      <c r="BI12" s="1098"/>
      <c r="BJ12" s="1098"/>
      <c r="BK12" s="1098"/>
      <c r="BL12" s="1098"/>
      <c r="BM12" s="1098">
        <v>51164</v>
      </c>
      <c r="BN12" s="1097">
        <f t="shared" si="9"/>
        <v>51164</v>
      </c>
      <c r="BO12" s="1098"/>
      <c r="BP12" s="1098"/>
      <c r="BQ12" s="1098"/>
      <c r="BR12" s="1098"/>
      <c r="BS12" s="1098"/>
      <c r="BT12" s="1098"/>
      <c r="BU12" s="1098"/>
      <c r="BV12" s="1098"/>
      <c r="BW12" s="1098"/>
      <c r="BX12" s="1098"/>
      <c r="BY12" s="1098"/>
      <c r="BZ12" s="1098">
        <v>56162</v>
      </c>
      <c r="CA12" s="1097">
        <f t="shared" si="11"/>
        <v>56162</v>
      </c>
      <c r="CB12" s="1098"/>
      <c r="CC12" s="1098"/>
      <c r="CD12" s="1098"/>
      <c r="CE12" s="1098"/>
      <c r="CF12" s="1098"/>
      <c r="CG12" s="1098"/>
      <c r="CH12" s="1098"/>
      <c r="CI12" s="1098"/>
      <c r="CJ12" s="1098"/>
      <c r="CK12" s="1098"/>
      <c r="CL12" s="1098"/>
      <c r="CM12" s="1098">
        <v>43243</v>
      </c>
      <c r="CN12" s="1097">
        <f t="shared" si="13"/>
        <v>43243</v>
      </c>
      <c r="CO12" s="1098"/>
      <c r="CP12" s="1098"/>
      <c r="CQ12" s="1098"/>
      <c r="CR12" s="1098"/>
      <c r="CS12" s="1098"/>
      <c r="CT12" s="1098"/>
      <c r="CU12" s="1098"/>
      <c r="CV12" s="1098"/>
      <c r="CW12" s="1098"/>
      <c r="CX12" s="1098"/>
      <c r="CY12" s="1098"/>
      <c r="CZ12" s="1098">
        <v>27070</v>
      </c>
      <c r="DA12" s="1097">
        <f t="shared" si="15"/>
        <v>27070</v>
      </c>
      <c r="DB12" s="1098"/>
      <c r="DC12" s="1098"/>
      <c r="DD12" s="1098"/>
      <c r="DE12" s="1098"/>
      <c r="DF12" s="1098"/>
      <c r="DG12" s="1098"/>
      <c r="DH12" s="1098"/>
      <c r="DI12" s="1098"/>
      <c r="DJ12" s="1098"/>
      <c r="DK12" s="1098"/>
      <c r="DL12" s="1098"/>
      <c r="DM12" s="1098">
        <v>84545</v>
      </c>
      <c r="DN12" s="1097">
        <f t="shared" si="17"/>
        <v>84545</v>
      </c>
      <c r="DO12" s="1098"/>
      <c r="DP12" s="1098"/>
      <c r="DQ12" s="1098"/>
      <c r="DR12" s="1098"/>
      <c r="DS12" s="1098"/>
      <c r="DT12" s="1098"/>
      <c r="DU12" s="1098"/>
      <c r="DV12" s="1098"/>
      <c r="DW12" s="1098"/>
      <c r="DX12" s="1098"/>
      <c r="DY12" s="1098"/>
      <c r="DZ12" s="1098"/>
      <c r="EA12" s="1097">
        <f t="shared" si="18"/>
        <v>0</v>
      </c>
      <c r="EB12" s="1098"/>
      <c r="EC12" s="1098"/>
      <c r="ED12" s="1098"/>
      <c r="EE12" s="1098"/>
      <c r="EF12" s="1098"/>
      <c r="EG12" s="1098"/>
      <c r="EH12" s="1098"/>
      <c r="EI12" s="1098"/>
      <c r="EJ12" s="1098"/>
      <c r="EK12" s="1098"/>
      <c r="EL12" s="1098"/>
      <c r="EM12" s="1098">
        <v>73700</v>
      </c>
      <c r="EN12" s="1097">
        <f t="shared" si="20"/>
        <v>73700</v>
      </c>
      <c r="EO12" s="1098"/>
      <c r="EP12" s="1098"/>
      <c r="EQ12" s="1098"/>
      <c r="ER12" s="1098"/>
      <c r="ES12" s="1098"/>
      <c r="ET12" s="1098"/>
      <c r="EU12" s="1098"/>
      <c r="EV12" s="1098"/>
      <c r="EW12" s="1098"/>
      <c r="EX12" s="1098"/>
      <c r="EY12" s="1098"/>
      <c r="EZ12" s="1098">
        <v>87163</v>
      </c>
      <c r="FA12" s="1097">
        <f t="shared" si="21"/>
        <v>87163</v>
      </c>
      <c r="FB12" s="1098"/>
      <c r="FC12" s="1098"/>
      <c r="FD12" s="1098"/>
      <c r="FE12" s="1098"/>
      <c r="FF12" s="1098"/>
      <c r="FG12" s="1098"/>
      <c r="FH12" s="1098"/>
      <c r="FI12" s="1098"/>
      <c r="FJ12" s="1098"/>
      <c r="FK12" s="1098"/>
      <c r="FL12" s="1098"/>
      <c r="FM12" s="1098">
        <v>95526</v>
      </c>
      <c r="FN12" s="1097">
        <f t="shared" si="23"/>
        <v>95526</v>
      </c>
      <c r="FO12" s="1098"/>
      <c r="FP12" s="1098"/>
      <c r="FQ12" s="1098"/>
      <c r="FR12" s="1098"/>
      <c r="FS12" s="1098"/>
      <c r="FT12" s="1098"/>
      <c r="FU12" s="1098"/>
      <c r="FV12" s="1098"/>
      <c r="FW12" s="1098"/>
      <c r="FX12" s="1098"/>
      <c r="FY12" s="1098"/>
      <c r="FZ12" s="1098">
        <v>93117</v>
      </c>
      <c r="GA12" s="1097">
        <f t="shared" si="24"/>
        <v>93117</v>
      </c>
      <c r="GB12" s="1098"/>
      <c r="GC12" s="1098"/>
      <c r="GD12" s="1098"/>
      <c r="GE12" s="1098"/>
      <c r="GF12" s="1098"/>
      <c r="GG12" s="1098"/>
      <c r="GH12" s="1098"/>
      <c r="GI12" s="1098"/>
      <c r="GJ12" s="1098"/>
      <c r="GK12" s="1098"/>
      <c r="GL12" s="1098"/>
      <c r="GM12" s="1098">
        <v>93987</v>
      </c>
      <c r="GN12" s="1097">
        <f t="shared" si="26"/>
        <v>93987</v>
      </c>
      <c r="GO12" s="1098"/>
      <c r="GP12" s="1098"/>
      <c r="GQ12" s="1098"/>
      <c r="GR12" s="1098"/>
      <c r="GS12" s="1098"/>
      <c r="GT12" s="1098"/>
      <c r="GU12" s="1098"/>
      <c r="GV12" s="1098"/>
      <c r="GW12" s="1098"/>
      <c r="GX12" s="1098"/>
      <c r="GY12" s="1098"/>
      <c r="GZ12" s="1098">
        <v>96184</v>
      </c>
      <c r="HA12" s="1097">
        <f t="shared" si="28"/>
        <v>96184</v>
      </c>
      <c r="HB12" s="1098"/>
      <c r="HC12" s="1098"/>
      <c r="HD12" s="1098"/>
      <c r="HE12" s="1098"/>
      <c r="HF12" s="1098"/>
      <c r="HG12" s="1098"/>
      <c r="HH12" s="1098"/>
      <c r="HI12" s="1098"/>
      <c r="HJ12" s="1098"/>
      <c r="HK12" s="1098"/>
      <c r="HL12" s="1098"/>
      <c r="HM12" s="1098"/>
      <c r="HN12" s="1097">
        <f t="shared" si="30"/>
        <v>0</v>
      </c>
      <c r="HO12" s="1098"/>
      <c r="HP12" s="1098"/>
      <c r="HQ12" s="1098"/>
      <c r="HR12" s="1098"/>
      <c r="HS12" s="1098"/>
      <c r="HT12" s="1098">
        <v>9811.5</v>
      </c>
      <c r="HU12" s="1098">
        <v>21411.1</v>
      </c>
      <c r="HV12" s="1098">
        <v>258</v>
      </c>
      <c r="HW12" s="1098"/>
      <c r="HX12" s="1098"/>
      <c r="HY12" s="1098"/>
      <c r="HZ12" s="1098"/>
      <c r="IA12" s="1097">
        <f t="shared" si="32"/>
        <v>31480.6</v>
      </c>
      <c r="IB12" s="1098"/>
      <c r="IC12" s="1098"/>
      <c r="ID12" s="1098"/>
      <c r="IE12" s="1098"/>
      <c r="IF12" s="1098"/>
      <c r="IG12" s="1098"/>
      <c r="IH12" s="1098"/>
      <c r="II12" s="1098">
        <v>10488.5</v>
      </c>
      <c r="IJ12" s="1098"/>
      <c r="IK12" s="1098"/>
      <c r="IL12" s="1098"/>
      <c r="IM12" s="1098">
        <v>2509</v>
      </c>
      <c r="IN12" s="1097">
        <f t="shared" si="34"/>
        <v>12997.5</v>
      </c>
      <c r="IO12" s="1098"/>
      <c r="IP12" s="1098"/>
      <c r="IQ12" s="1098"/>
      <c r="IR12" s="1098"/>
      <c r="IS12" s="1098"/>
      <c r="IT12" s="1098"/>
      <c r="IU12" s="1098"/>
      <c r="IV12" s="1098"/>
      <c r="IW12" s="1098">
        <v>24915.599999999999</v>
      </c>
      <c r="IX12" s="1098">
        <v>10</v>
      </c>
      <c r="IY12" s="1098"/>
      <c r="IZ12" s="1098"/>
      <c r="JA12" s="1097">
        <f t="shared" si="35"/>
        <v>24925.599999999999</v>
      </c>
      <c r="JB12" s="1098"/>
      <c r="JC12" s="1098"/>
      <c r="JD12" s="1098"/>
      <c r="JE12" s="1098"/>
      <c r="JF12" s="1098"/>
      <c r="JG12" s="1098"/>
      <c r="JH12" s="1098"/>
      <c r="JI12" s="1098">
        <v>9375</v>
      </c>
      <c r="JJ12" s="1098">
        <v>33651</v>
      </c>
      <c r="JK12" s="1098">
        <v>34004</v>
      </c>
      <c r="JL12" s="1098"/>
      <c r="JM12" s="1098"/>
      <c r="JN12" s="1097">
        <f t="shared" si="36"/>
        <v>77030</v>
      </c>
      <c r="JO12" s="1098">
        <v>0</v>
      </c>
      <c r="JP12" s="1098"/>
      <c r="JQ12" s="1098"/>
      <c r="JR12" s="1098"/>
      <c r="JS12" s="1098"/>
      <c r="JT12" s="1098"/>
      <c r="JU12" s="1098"/>
      <c r="JV12" s="1098"/>
      <c r="JW12" s="1098"/>
      <c r="JX12" s="1098"/>
      <c r="JY12" s="1098"/>
      <c r="JZ12" s="1098"/>
      <c r="KA12" s="1097">
        <f t="shared" si="38"/>
        <v>0</v>
      </c>
      <c r="KC12" s="1116" t="str" cm="1">
        <f t="array" ref="KC12">IFERROR(((
_xlfn.XLOOKUP((DATE(YEAR($KC$5),MONTH($KC$5),1)),SMN.COSECHA.DATE,$B12:$KA12) /
_xlfn.XLOOKUP((DATE(YEAR($KC$5)-1,MONTH($KC$5),1)),SMN.COSECHA.DATE,$B12:$KA12)
)-1)*100,"")</f>
        <v/>
      </c>
      <c r="KD12" s="1117">
        <f t="shared" si="39"/>
        <v>209.03970215360914</v>
      </c>
      <c r="KE12" s="1079" cm="1">
        <f t="array" ref="KE12">SUMIFS($B12:$KA12,SMN.COSECHA.DATE,"&gt;="&amp;DATE(YEAR($KC$5)-1,1,1),SMN.COSECHA.DATE,"&lt;="&amp;DATE(YEAR($KC$5)-1,MONTH($KC$5),1))</f>
        <v>24925.599999999999</v>
      </c>
      <c r="KF12" s="1118" cm="1">
        <f t="array" ref="KF12">SUMIFS($B12:$KA12,SMN.COSECHA.DATE,"&gt;="&amp;DATE(YEAR($KC$5),1,1),SMN.COSECHA.DATE,"&lt;="&amp;$KC$5)</f>
        <v>77030</v>
      </c>
      <c r="KG12" s="62"/>
      <c r="KH12" s="1079">
        <f t="shared" si="40"/>
        <v>2160092.4000000004</v>
      </c>
      <c r="KI12" s="1080" t="s">
        <v>148</v>
      </c>
      <c r="KJ12" s="1081" t="str">
        <f t="shared" si="41"/>
        <v>OK</v>
      </c>
    </row>
    <row r="13" spans="1:296" ht="15" customHeight="1" x14ac:dyDescent="0.2">
      <c r="A13" s="1131" t="s">
        <v>564</v>
      </c>
      <c r="B13" s="1098"/>
      <c r="C13" s="1098"/>
      <c r="D13" s="1098"/>
      <c r="E13" s="1098"/>
      <c r="F13" s="1098"/>
      <c r="G13" s="1098"/>
      <c r="H13" s="1098"/>
      <c r="I13" s="1098"/>
      <c r="J13" s="1098"/>
      <c r="K13" s="1098"/>
      <c r="L13" s="1098"/>
      <c r="M13" s="1098"/>
      <c r="N13" s="1097">
        <f t="shared" si="1"/>
        <v>0</v>
      </c>
      <c r="O13" s="1098"/>
      <c r="P13" s="1098"/>
      <c r="Q13" s="1098"/>
      <c r="R13" s="1098"/>
      <c r="S13" s="1098"/>
      <c r="T13" s="1098"/>
      <c r="U13" s="1098"/>
      <c r="V13" s="1098"/>
      <c r="W13" s="1098"/>
      <c r="X13" s="1098"/>
      <c r="Y13" s="1098"/>
      <c r="Z13" s="1098"/>
      <c r="AA13" s="1097">
        <f t="shared" si="3"/>
        <v>0</v>
      </c>
      <c r="AB13" s="1098"/>
      <c r="AC13" s="1098"/>
      <c r="AD13" s="1098"/>
      <c r="AE13" s="1098"/>
      <c r="AF13" s="1098"/>
      <c r="AG13" s="1098"/>
      <c r="AH13" s="1098"/>
      <c r="AI13" s="1098"/>
      <c r="AJ13" s="1098"/>
      <c r="AK13" s="1098"/>
      <c r="AL13" s="1098"/>
      <c r="AM13" s="1098"/>
      <c r="AN13" s="1097">
        <f t="shared" si="5"/>
        <v>0</v>
      </c>
      <c r="AO13" s="1098"/>
      <c r="AP13" s="1098"/>
      <c r="AQ13" s="1098"/>
      <c r="AR13" s="1098"/>
      <c r="AS13" s="1098"/>
      <c r="AT13" s="1098"/>
      <c r="AU13" s="1098"/>
      <c r="AV13" s="1098"/>
      <c r="AW13" s="1098"/>
      <c r="AX13" s="1098"/>
      <c r="AY13" s="1098"/>
      <c r="AZ13" s="1098"/>
      <c r="BA13" s="1097">
        <f t="shared" si="7"/>
        <v>0</v>
      </c>
      <c r="BB13" s="1098"/>
      <c r="BC13" s="1098"/>
      <c r="BD13" s="1098"/>
      <c r="BE13" s="1098"/>
      <c r="BF13" s="1098"/>
      <c r="BG13" s="1098"/>
      <c r="BH13" s="1098"/>
      <c r="BI13" s="1098"/>
      <c r="BJ13" s="1098"/>
      <c r="BK13" s="1098"/>
      <c r="BL13" s="1098"/>
      <c r="BM13" s="1098"/>
      <c r="BN13" s="1097">
        <f t="shared" si="9"/>
        <v>0</v>
      </c>
      <c r="BO13" s="1098"/>
      <c r="BP13" s="1098"/>
      <c r="BQ13" s="1098"/>
      <c r="BR13" s="1098"/>
      <c r="BS13" s="1098"/>
      <c r="BT13" s="1098"/>
      <c r="BU13" s="1098"/>
      <c r="BV13" s="1098"/>
      <c r="BW13" s="1098"/>
      <c r="BX13" s="1098"/>
      <c r="BY13" s="1098"/>
      <c r="BZ13" s="1098"/>
      <c r="CA13" s="1097">
        <f t="shared" si="11"/>
        <v>0</v>
      </c>
      <c r="CB13" s="1098"/>
      <c r="CC13" s="1098"/>
      <c r="CD13" s="1098"/>
      <c r="CE13" s="1098"/>
      <c r="CF13" s="1098"/>
      <c r="CG13" s="1098"/>
      <c r="CH13" s="1098"/>
      <c r="CI13" s="1098"/>
      <c r="CJ13" s="1098"/>
      <c r="CK13" s="1098"/>
      <c r="CL13" s="1098"/>
      <c r="CM13" s="1098"/>
      <c r="CN13" s="1097">
        <f t="shared" si="13"/>
        <v>0</v>
      </c>
      <c r="CO13" s="1098"/>
      <c r="CP13" s="1098"/>
      <c r="CQ13" s="1098"/>
      <c r="CR13" s="1098"/>
      <c r="CS13" s="1098"/>
      <c r="CT13" s="1098"/>
      <c r="CU13" s="1098"/>
      <c r="CV13" s="1098"/>
      <c r="CW13" s="1098"/>
      <c r="CX13" s="1098"/>
      <c r="CY13" s="1098"/>
      <c r="CZ13" s="1098"/>
      <c r="DA13" s="1097">
        <f t="shared" si="15"/>
        <v>0</v>
      </c>
      <c r="DB13" s="1098"/>
      <c r="DC13" s="1098"/>
      <c r="DD13" s="1098"/>
      <c r="DE13" s="1098"/>
      <c r="DF13" s="1098"/>
      <c r="DG13" s="1098"/>
      <c r="DH13" s="1098"/>
      <c r="DI13" s="1098"/>
      <c r="DJ13" s="1098"/>
      <c r="DK13" s="1098"/>
      <c r="DL13" s="1098"/>
      <c r="DM13" s="1098"/>
      <c r="DN13" s="1097">
        <f t="shared" si="17"/>
        <v>0</v>
      </c>
      <c r="DO13" s="1098"/>
      <c r="DP13" s="1098"/>
      <c r="DQ13" s="1098"/>
      <c r="DR13" s="1098"/>
      <c r="DS13" s="1098"/>
      <c r="DT13" s="1098"/>
      <c r="DU13" s="1098"/>
      <c r="DV13" s="1098"/>
      <c r="DW13" s="1098"/>
      <c r="DX13" s="1098"/>
      <c r="DY13" s="1098"/>
      <c r="DZ13" s="1098"/>
      <c r="EA13" s="1097">
        <f t="shared" si="18"/>
        <v>0</v>
      </c>
      <c r="EB13" s="1098"/>
      <c r="EC13" s="1098"/>
      <c r="ED13" s="1098"/>
      <c r="EE13" s="1098"/>
      <c r="EF13" s="1098"/>
      <c r="EG13" s="1098"/>
      <c r="EH13" s="1098"/>
      <c r="EI13" s="1098"/>
      <c r="EJ13" s="1098"/>
      <c r="EK13" s="1098"/>
      <c r="EL13" s="1098"/>
      <c r="EM13" s="1098"/>
      <c r="EN13" s="1097">
        <f t="shared" si="20"/>
        <v>0</v>
      </c>
      <c r="EO13" s="1098"/>
      <c r="EP13" s="1098"/>
      <c r="EQ13" s="1098"/>
      <c r="ER13" s="1098"/>
      <c r="ES13" s="1098"/>
      <c r="ET13" s="1098"/>
      <c r="EU13" s="1098"/>
      <c r="EV13" s="1098"/>
      <c r="EW13" s="1098"/>
      <c r="EX13" s="1098"/>
      <c r="EY13" s="1098"/>
      <c r="EZ13" s="1098"/>
      <c r="FA13" s="1097">
        <f t="shared" si="21"/>
        <v>0</v>
      </c>
      <c r="FB13" s="1098"/>
      <c r="FC13" s="1098"/>
      <c r="FD13" s="1098"/>
      <c r="FE13" s="1098"/>
      <c r="FF13" s="1098"/>
      <c r="FG13" s="1098"/>
      <c r="FH13" s="1098"/>
      <c r="FI13" s="1098"/>
      <c r="FJ13" s="1098"/>
      <c r="FK13" s="1098"/>
      <c r="FL13" s="1098"/>
      <c r="FM13" s="1098"/>
      <c r="FN13" s="1097">
        <f t="shared" si="23"/>
        <v>0</v>
      </c>
      <c r="FO13" s="1098"/>
      <c r="FP13" s="1098"/>
      <c r="FQ13" s="1098"/>
      <c r="FR13" s="1098"/>
      <c r="FS13" s="1098"/>
      <c r="FT13" s="1098"/>
      <c r="FU13" s="1098"/>
      <c r="FV13" s="1098"/>
      <c r="FW13" s="1098"/>
      <c r="FX13" s="1098"/>
      <c r="FY13" s="1098"/>
      <c r="FZ13" s="1098"/>
      <c r="GA13" s="1097">
        <f t="shared" si="24"/>
        <v>0</v>
      </c>
      <c r="GB13" s="1098"/>
      <c r="GC13" s="1098"/>
      <c r="GD13" s="1098"/>
      <c r="GE13" s="1098"/>
      <c r="GF13" s="1098"/>
      <c r="GG13" s="1098"/>
      <c r="GH13" s="1098"/>
      <c r="GI13" s="1098"/>
      <c r="GJ13" s="1098"/>
      <c r="GK13" s="1098"/>
      <c r="GL13" s="1098"/>
      <c r="GM13" s="1098"/>
      <c r="GN13" s="1097">
        <f t="shared" si="26"/>
        <v>0</v>
      </c>
      <c r="GO13" s="1098"/>
      <c r="GP13" s="1098"/>
      <c r="GQ13" s="1098"/>
      <c r="GR13" s="1098"/>
      <c r="GS13" s="1098"/>
      <c r="GT13" s="1098"/>
      <c r="GU13" s="1098"/>
      <c r="GV13" s="1098"/>
      <c r="GW13" s="1098"/>
      <c r="GX13" s="1098"/>
      <c r="GY13" s="1098"/>
      <c r="GZ13" s="1098"/>
      <c r="HA13" s="1097">
        <f t="shared" si="28"/>
        <v>0</v>
      </c>
      <c r="HB13" s="1098"/>
      <c r="HC13" s="1098"/>
      <c r="HD13" s="1098"/>
      <c r="HE13" s="1098"/>
      <c r="HF13" s="1098"/>
      <c r="HG13" s="1098"/>
      <c r="HH13" s="1098"/>
      <c r="HI13" s="1098"/>
      <c r="HJ13" s="1098"/>
      <c r="HK13" s="1098"/>
      <c r="HL13" s="1098"/>
      <c r="HM13" s="1098"/>
      <c r="HN13" s="1097">
        <f t="shared" si="30"/>
        <v>0</v>
      </c>
      <c r="HO13" s="1098"/>
      <c r="HP13" s="1098"/>
      <c r="HQ13" s="1098"/>
      <c r="HR13" s="1098"/>
      <c r="HS13" s="1098"/>
      <c r="HT13" s="1098"/>
      <c r="HU13" s="1098"/>
      <c r="HV13" s="1098"/>
      <c r="HW13" s="1098"/>
      <c r="HX13" s="1098"/>
      <c r="HY13" s="1098"/>
      <c r="HZ13" s="1098"/>
      <c r="IA13" s="1097">
        <f t="shared" si="32"/>
        <v>0</v>
      </c>
      <c r="IB13" s="1098"/>
      <c r="IC13" s="1098"/>
      <c r="ID13" s="1098"/>
      <c r="IE13" s="1098"/>
      <c r="IF13" s="1098"/>
      <c r="IG13" s="1098"/>
      <c r="IH13" s="1098"/>
      <c r="II13" s="1098"/>
      <c r="IJ13" s="1098"/>
      <c r="IK13" s="1098"/>
      <c r="IL13" s="1098"/>
      <c r="IM13" s="1098"/>
      <c r="IN13" s="1097">
        <f t="shared" si="34"/>
        <v>0</v>
      </c>
      <c r="IO13" s="1098"/>
      <c r="IP13" s="1098"/>
      <c r="IQ13" s="1098"/>
      <c r="IR13" s="1098"/>
      <c r="IS13" s="1098"/>
      <c r="IT13" s="1098"/>
      <c r="IU13" s="1098"/>
      <c r="IV13" s="1098"/>
      <c r="IW13" s="1098"/>
      <c r="IX13" s="1098"/>
      <c r="IY13" s="1098"/>
      <c r="IZ13" s="1098"/>
      <c r="JA13" s="1097">
        <f t="shared" si="35"/>
        <v>0</v>
      </c>
      <c r="JB13" s="1098"/>
      <c r="JC13" s="1098"/>
      <c r="JD13" s="1098"/>
      <c r="JE13" s="1098"/>
      <c r="JF13" s="1098"/>
      <c r="JG13" s="1098"/>
      <c r="JH13" s="1098"/>
      <c r="JI13" s="1098"/>
      <c r="JJ13" s="1098"/>
      <c r="JK13" s="1098"/>
      <c r="JL13" s="1098"/>
      <c r="JM13" s="1098"/>
      <c r="JN13" s="1097">
        <f t="shared" si="36"/>
        <v>0</v>
      </c>
      <c r="JO13" s="1098"/>
      <c r="JP13" s="1098"/>
      <c r="JQ13" s="1098"/>
      <c r="JR13" s="1098"/>
      <c r="JS13" s="1098"/>
      <c r="JT13" s="1098"/>
      <c r="JU13" s="1098"/>
      <c r="JV13" s="1098"/>
      <c r="JW13" s="1098"/>
      <c r="JX13" s="1098"/>
      <c r="JY13" s="1098"/>
      <c r="JZ13" s="1098"/>
      <c r="KA13" s="1097">
        <f t="shared" si="38"/>
        <v>0</v>
      </c>
      <c r="KC13" s="1116" t="str" cm="1">
        <f t="array" ref="KC13">IFERROR(((
_xlfn.XLOOKUP((DATE(YEAR($KC$5),MONTH($KC$5),1)),SMN.COSECHA.DATE,$B13:$KA13) /
_xlfn.XLOOKUP((DATE(YEAR($KC$5)-1,MONTH($KC$5),1)),SMN.COSECHA.DATE,$B13:$KA13)
)-1)*100,"")</f>
        <v/>
      </c>
      <c r="KD13" s="1117" t="str">
        <f t="shared" si="39"/>
        <v/>
      </c>
      <c r="KE13" s="1079" cm="1">
        <f t="array" ref="KE13">SUMIFS($B13:$KA13,SMN.COSECHA.DATE,"&gt;="&amp;DATE(YEAR($KC$5)-1,1,1),SMN.COSECHA.DATE,"&lt;="&amp;DATE(YEAR($KC$5)-1,MONTH($KC$5),1))</f>
        <v>0</v>
      </c>
      <c r="KF13" s="1118" cm="1">
        <f t="array" ref="KF13">SUMIFS($B13:$KA13,SMN.COSECHA.DATE,"&gt;="&amp;DATE(YEAR($KC$5),1,1),SMN.COSECHA.DATE,"&lt;="&amp;$KC$5)</f>
        <v>0</v>
      </c>
      <c r="KG13" s="62"/>
      <c r="KH13" s="1079">
        <f t="shared" si="40"/>
        <v>0</v>
      </c>
      <c r="KI13" s="1080" t="s">
        <v>564</v>
      </c>
      <c r="KJ13" s="1081" t="str">
        <f t="shared" si="41"/>
        <v>OK</v>
      </c>
    </row>
    <row r="14" spans="1:296" ht="15" customHeight="1" x14ac:dyDescent="0.2">
      <c r="A14" s="1129" t="s">
        <v>565</v>
      </c>
      <c r="B14" s="1098"/>
      <c r="C14" s="1098"/>
      <c r="D14" s="1098"/>
      <c r="E14" s="1098"/>
      <c r="F14" s="1098"/>
      <c r="G14" s="1098"/>
      <c r="H14" s="1098"/>
      <c r="I14" s="1098"/>
      <c r="J14" s="1098"/>
      <c r="K14" s="1098"/>
      <c r="L14" s="1098"/>
      <c r="M14" s="1098">
        <v>2973</v>
      </c>
      <c r="N14" s="1097">
        <f t="shared" si="1"/>
        <v>2973</v>
      </c>
      <c r="O14" s="1098"/>
      <c r="P14" s="1098"/>
      <c r="Q14" s="1098"/>
      <c r="R14" s="1098"/>
      <c r="S14" s="1098"/>
      <c r="T14" s="1098"/>
      <c r="U14" s="1098"/>
      <c r="V14" s="1098"/>
      <c r="W14" s="1098"/>
      <c r="X14" s="1098"/>
      <c r="Y14" s="1098"/>
      <c r="Z14" s="1098">
        <v>3479.65</v>
      </c>
      <c r="AA14" s="1097">
        <f t="shared" si="3"/>
        <v>3479.65</v>
      </c>
      <c r="AB14" s="1098"/>
      <c r="AC14" s="1098"/>
      <c r="AD14" s="1098"/>
      <c r="AE14" s="1098"/>
      <c r="AF14" s="1098"/>
      <c r="AG14" s="1098"/>
      <c r="AH14" s="1098"/>
      <c r="AI14" s="1098"/>
      <c r="AJ14" s="1098"/>
      <c r="AK14" s="1098"/>
      <c r="AL14" s="1098"/>
      <c r="AM14" s="1098">
        <v>3655</v>
      </c>
      <c r="AN14" s="1097">
        <f t="shared" si="5"/>
        <v>3655</v>
      </c>
      <c r="AO14" s="1098"/>
      <c r="AP14" s="1098"/>
      <c r="AQ14" s="1098"/>
      <c r="AR14" s="1098"/>
      <c r="AS14" s="1098"/>
      <c r="AT14" s="1098"/>
      <c r="AU14" s="1098"/>
      <c r="AV14" s="1098"/>
      <c r="AW14" s="1098"/>
      <c r="AX14" s="1098"/>
      <c r="AY14" s="1098"/>
      <c r="AZ14" s="1098">
        <v>3864</v>
      </c>
      <c r="BA14" s="1097">
        <f t="shared" si="7"/>
        <v>3864</v>
      </c>
      <c r="BB14" s="1098"/>
      <c r="BC14" s="1098"/>
      <c r="BD14" s="1098"/>
      <c r="BE14" s="1098"/>
      <c r="BF14" s="1098"/>
      <c r="BG14" s="1098"/>
      <c r="BH14" s="1098"/>
      <c r="BI14" s="1098"/>
      <c r="BJ14" s="1098"/>
      <c r="BK14" s="1098"/>
      <c r="BL14" s="1098"/>
      <c r="BM14" s="1098">
        <v>4700</v>
      </c>
      <c r="BN14" s="1097">
        <f t="shared" si="9"/>
        <v>4700</v>
      </c>
      <c r="BO14" s="1098"/>
      <c r="BP14" s="1098"/>
      <c r="BQ14" s="1098"/>
      <c r="BR14" s="1098"/>
      <c r="BS14" s="1098"/>
      <c r="BT14" s="1098"/>
      <c r="BU14" s="1098"/>
      <c r="BV14" s="1098"/>
      <c r="BW14" s="1098"/>
      <c r="BX14" s="1098"/>
      <c r="BY14" s="1098"/>
      <c r="BZ14" s="1098">
        <v>4920</v>
      </c>
      <c r="CA14" s="1097">
        <f t="shared" si="11"/>
        <v>4920</v>
      </c>
      <c r="CB14" s="1098"/>
      <c r="CC14" s="1098"/>
      <c r="CD14" s="1098"/>
      <c r="CE14" s="1098"/>
      <c r="CF14" s="1098"/>
      <c r="CG14" s="1098"/>
      <c r="CH14" s="1098"/>
      <c r="CI14" s="1098"/>
      <c r="CJ14" s="1098"/>
      <c r="CK14" s="1098"/>
      <c r="CL14" s="1098"/>
      <c r="CM14" s="1098">
        <v>3063</v>
      </c>
      <c r="CN14" s="1097">
        <f t="shared" si="13"/>
        <v>3063</v>
      </c>
      <c r="CO14" s="1098"/>
      <c r="CP14" s="1098"/>
      <c r="CQ14" s="1098"/>
      <c r="CR14" s="1098"/>
      <c r="CS14" s="1098"/>
      <c r="CT14" s="1098"/>
      <c r="CU14" s="1098"/>
      <c r="CV14" s="1098"/>
      <c r="CW14" s="1098"/>
      <c r="CX14" s="1098"/>
      <c r="CY14" s="1098"/>
      <c r="CZ14" s="1098">
        <v>482</v>
      </c>
      <c r="DA14" s="1097">
        <f t="shared" si="15"/>
        <v>482</v>
      </c>
      <c r="DB14" s="1098"/>
      <c r="DC14" s="1098"/>
      <c r="DD14" s="1098"/>
      <c r="DE14" s="1098"/>
      <c r="DF14" s="1098"/>
      <c r="DG14" s="1098"/>
      <c r="DH14" s="1098"/>
      <c r="DI14" s="1098"/>
      <c r="DJ14" s="1098"/>
      <c r="DK14" s="1098"/>
      <c r="DL14" s="1098"/>
      <c r="DM14" s="1098">
        <v>5237</v>
      </c>
      <c r="DN14" s="1097">
        <f t="shared" si="17"/>
        <v>5237</v>
      </c>
      <c r="DO14" s="1098">
        <v>2173</v>
      </c>
      <c r="DP14" s="1098">
        <v>1828</v>
      </c>
      <c r="DQ14" s="1098">
        <v>2989</v>
      </c>
      <c r="DR14" s="1098">
        <v>1938</v>
      </c>
      <c r="DS14" s="1098">
        <v>1908</v>
      </c>
      <c r="DT14" s="1098">
        <v>1753</v>
      </c>
      <c r="DU14" s="1098">
        <v>1646</v>
      </c>
      <c r="DV14" s="1098">
        <v>3632</v>
      </c>
      <c r="DW14" s="1098">
        <v>1579</v>
      </c>
      <c r="DX14" s="1098">
        <v>1757</v>
      </c>
      <c r="DY14" s="1098">
        <v>2323</v>
      </c>
      <c r="DZ14" s="1098">
        <v>1950</v>
      </c>
      <c r="EA14" s="1097">
        <f t="shared" si="18"/>
        <v>25476</v>
      </c>
      <c r="EB14" s="1098"/>
      <c r="EC14" s="1098"/>
      <c r="ED14" s="1098"/>
      <c r="EE14" s="1098"/>
      <c r="EF14" s="1098"/>
      <c r="EG14" s="1098"/>
      <c r="EH14" s="1098"/>
      <c r="EI14" s="1098"/>
      <c r="EJ14" s="1098"/>
      <c r="EK14" s="1098"/>
      <c r="EL14" s="1098"/>
      <c r="EM14" s="1098">
        <v>5000</v>
      </c>
      <c r="EN14" s="1097">
        <f t="shared" si="20"/>
        <v>5000</v>
      </c>
      <c r="EO14" s="1098"/>
      <c r="EP14" s="1098"/>
      <c r="EQ14" s="1098"/>
      <c r="ER14" s="1098"/>
      <c r="ES14" s="1098"/>
      <c r="ET14" s="1098"/>
      <c r="EU14" s="1098"/>
      <c r="EV14" s="1098"/>
      <c r="EW14" s="1098"/>
      <c r="EX14" s="1098"/>
      <c r="EY14" s="1098"/>
      <c r="EZ14" s="1098">
        <v>3360</v>
      </c>
      <c r="FA14" s="1097">
        <f t="shared" si="21"/>
        <v>3360</v>
      </c>
      <c r="FB14" s="1098"/>
      <c r="FC14" s="1098"/>
      <c r="FD14" s="1098"/>
      <c r="FE14" s="1098"/>
      <c r="FF14" s="1098"/>
      <c r="FG14" s="1098"/>
      <c r="FH14" s="1098"/>
      <c r="FI14" s="1098"/>
      <c r="FJ14" s="1098"/>
      <c r="FK14" s="1098"/>
      <c r="FL14" s="1098"/>
      <c r="FM14" s="1098">
        <v>2490</v>
      </c>
      <c r="FN14" s="1097">
        <f t="shared" si="23"/>
        <v>2490</v>
      </c>
      <c r="FO14" s="1098"/>
      <c r="FP14" s="1098"/>
      <c r="FQ14" s="1098"/>
      <c r="FR14" s="1098"/>
      <c r="FS14" s="1098"/>
      <c r="FT14" s="1098"/>
      <c r="FU14" s="1098"/>
      <c r="FV14" s="1098"/>
      <c r="FW14" s="1098"/>
      <c r="FX14" s="1098"/>
      <c r="FY14" s="1098"/>
      <c r="FZ14" s="1098">
        <v>1848</v>
      </c>
      <c r="GA14" s="1097">
        <f t="shared" si="24"/>
        <v>1848</v>
      </c>
      <c r="GB14" s="1098"/>
      <c r="GC14" s="1098"/>
      <c r="GD14" s="1098"/>
      <c r="GE14" s="1098"/>
      <c r="GF14" s="1098"/>
      <c r="GG14" s="1098"/>
      <c r="GH14" s="1098"/>
      <c r="GI14" s="1098"/>
      <c r="GJ14" s="1098"/>
      <c r="GK14" s="1098"/>
      <c r="GL14" s="1098"/>
      <c r="GM14" s="1098">
        <v>2051</v>
      </c>
      <c r="GN14" s="1097">
        <f t="shared" si="26"/>
        <v>2051</v>
      </c>
      <c r="GO14" s="1098"/>
      <c r="GP14" s="1098"/>
      <c r="GQ14" s="1098"/>
      <c r="GR14" s="1098"/>
      <c r="GS14" s="1098"/>
      <c r="GT14" s="1098"/>
      <c r="GU14" s="1098"/>
      <c r="GV14" s="1098"/>
      <c r="GW14" s="1098"/>
      <c r="GX14" s="1098"/>
      <c r="GY14" s="1098"/>
      <c r="GZ14" s="1098">
        <v>1450</v>
      </c>
      <c r="HA14" s="1097">
        <f t="shared" si="28"/>
        <v>1450</v>
      </c>
      <c r="HB14" s="1098"/>
      <c r="HC14" s="1098"/>
      <c r="HD14" s="1098"/>
      <c r="HE14" s="1098"/>
      <c r="HF14" s="1098"/>
      <c r="HG14" s="1098"/>
      <c r="HH14" s="1098"/>
      <c r="HI14" s="1098"/>
      <c r="HJ14" s="1098"/>
      <c r="HK14" s="1098"/>
      <c r="HL14" s="1098"/>
      <c r="HM14" s="1098"/>
      <c r="HN14" s="1097">
        <f t="shared" si="30"/>
        <v>0</v>
      </c>
      <c r="HO14" s="1098">
        <v>160.66</v>
      </c>
      <c r="HP14" s="1098">
        <v>214.47499999999997</v>
      </c>
      <c r="HQ14" s="1098">
        <v>257.85000000000002</v>
      </c>
      <c r="HR14" s="1098">
        <v>201.85</v>
      </c>
      <c r="HS14" s="1098">
        <v>106.1</v>
      </c>
      <c r="HT14" s="1098">
        <v>233.95000000000002</v>
      </c>
      <c r="HU14" s="1098">
        <v>254.32500000000002</v>
      </c>
      <c r="HV14" s="1098">
        <v>243.125</v>
      </c>
      <c r="HW14" s="1098"/>
      <c r="HX14" s="1098"/>
      <c r="HY14" s="1098">
        <v>277.42</v>
      </c>
      <c r="HZ14" s="1098">
        <v>269</v>
      </c>
      <c r="IA14" s="1097">
        <f t="shared" si="32"/>
        <v>2218.7550000000001</v>
      </c>
      <c r="IB14" s="1098">
        <v>174.29</v>
      </c>
      <c r="IC14" s="1098">
        <v>207.75</v>
      </c>
      <c r="ID14" s="1098">
        <v>262.25</v>
      </c>
      <c r="IE14" s="1098">
        <v>390</v>
      </c>
      <c r="IF14" s="1098">
        <v>369</v>
      </c>
      <c r="IG14" s="1098">
        <v>389</v>
      </c>
      <c r="IH14" s="1098">
        <v>367</v>
      </c>
      <c r="II14" s="1098">
        <v>229.79</v>
      </c>
      <c r="IJ14" s="1098">
        <v>276</v>
      </c>
      <c r="IK14" s="1098">
        <v>226.11</v>
      </c>
      <c r="IL14" s="1098">
        <v>260.23</v>
      </c>
      <c r="IM14" s="1098">
        <v>231.91</v>
      </c>
      <c r="IN14" s="1097">
        <f t="shared" si="34"/>
        <v>3383.33</v>
      </c>
      <c r="IO14" s="1098">
        <v>190.21</v>
      </c>
      <c r="IP14" s="1098">
        <v>174.77999999999997</v>
      </c>
      <c r="IQ14" s="1098">
        <v>214.44999999999996</v>
      </c>
      <c r="IR14" s="1098">
        <v>211.39</v>
      </c>
      <c r="IS14" s="1098">
        <v>210.52</v>
      </c>
      <c r="IT14" s="1098">
        <v>212.5</v>
      </c>
      <c r="IU14" s="1098">
        <v>210</v>
      </c>
      <c r="IV14" s="1098">
        <v>220</v>
      </c>
      <c r="IW14" s="1098">
        <v>165.16</v>
      </c>
      <c r="IX14" s="1098">
        <v>174.17999999999998</v>
      </c>
      <c r="IY14" s="1098">
        <v>138.28</v>
      </c>
      <c r="IZ14" s="1098">
        <v>96.7</v>
      </c>
      <c r="JA14" s="1097">
        <f t="shared" si="35"/>
        <v>2218.17</v>
      </c>
      <c r="JB14" s="1098">
        <v>245.84</v>
      </c>
      <c r="JC14" s="1098">
        <v>260</v>
      </c>
      <c r="JD14" s="1098">
        <v>191.75</v>
      </c>
      <c r="JE14" s="1098">
        <v>197</v>
      </c>
      <c r="JF14" s="1098">
        <v>180.5</v>
      </c>
      <c r="JG14" s="1098">
        <v>185</v>
      </c>
      <c r="JH14" s="1098">
        <v>184</v>
      </c>
      <c r="JI14" s="1098">
        <v>160.54999999999998</v>
      </c>
      <c r="JJ14" s="1098">
        <v>140.03000000000003</v>
      </c>
      <c r="JK14" s="1098">
        <v>141.53000000000003</v>
      </c>
      <c r="JL14" s="1098">
        <v>184.43</v>
      </c>
      <c r="JM14" s="1098">
        <v>183.33999999999997</v>
      </c>
      <c r="JN14" s="1097">
        <f t="shared" si="36"/>
        <v>2253.9700000000003</v>
      </c>
      <c r="JO14" s="1098">
        <v>129.29</v>
      </c>
      <c r="JP14" s="1098"/>
      <c r="JQ14" s="1098"/>
      <c r="JR14" s="1098"/>
      <c r="JS14" s="1098"/>
      <c r="JT14" s="1098"/>
      <c r="JU14" s="1098"/>
      <c r="JV14" s="1098"/>
      <c r="JW14" s="1098"/>
      <c r="JX14" s="1098"/>
      <c r="JY14" s="1098"/>
      <c r="JZ14" s="1098"/>
      <c r="KA14" s="1097">
        <f t="shared" si="38"/>
        <v>129.29</v>
      </c>
      <c r="KC14" s="1116" cm="1">
        <f t="array" ref="KC14">IFERROR(((
_xlfn.XLOOKUP((DATE(YEAR($KC$5),MONTH($KC$5),1)),SMN.COSECHA.DATE,$B14:$KA14) /
_xlfn.XLOOKUP((DATE(YEAR($KC$5)-1,MONTH($KC$5),1)),SMN.COSECHA.DATE,$B14:$KA14)
)-1)*100,"")</f>
        <v>89.59669079627713</v>
      </c>
      <c r="KD14" s="1117">
        <f t="shared" si="39"/>
        <v>1.6139430251062903</v>
      </c>
      <c r="KE14" s="1079" cm="1">
        <f t="array" ref="KE14">SUMIFS($B14:$KA14,SMN.COSECHA.DATE,"&gt;="&amp;DATE(YEAR($KC$5)-1,1,1),SMN.COSECHA.DATE,"&lt;="&amp;DATE(YEAR($KC$5)-1,MONTH($KC$5),1))</f>
        <v>2218.17</v>
      </c>
      <c r="KF14" s="1118" cm="1">
        <f t="array" ref="KF14">SUMIFS($B14:$KA14,SMN.COSECHA.DATE,"&gt;="&amp;DATE(YEAR($KC$5),1,1),SMN.COSECHA.DATE,"&lt;="&amp;$KC$5)</f>
        <v>2253.9700000000003</v>
      </c>
      <c r="KG14" s="62"/>
      <c r="KH14" s="1079">
        <f t="shared" si="40"/>
        <v>162558.33000000007</v>
      </c>
      <c r="KI14" s="1080" t="s">
        <v>565</v>
      </c>
      <c r="KJ14" s="1081" t="str">
        <f t="shared" si="41"/>
        <v>OK</v>
      </c>
    </row>
    <row r="15" spans="1:296" ht="15" customHeight="1" x14ac:dyDescent="0.2">
      <c r="A15" s="1129" t="s">
        <v>142</v>
      </c>
      <c r="B15" s="1098"/>
      <c r="C15" s="1098"/>
      <c r="D15" s="1098"/>
      <c r="E15" s="1098"/>
      <c r="F15" s="1098"/>
      <c r="G15" s="1098"/>
      <c r="H15" s="1098"/>
      <c r="I15" s="1098"/>
      <c r="J15" s="1098"/>
      <c r="K15" s="1098"/>
      <c r="L15" s="1098"/>
      <c r="M15" s="1098">
        <v>435</v>
      </c>
      <c r="N15" s="1097">
        <f t="shared" si="1"/>
        <v>435</v>
      </c>
      <c r="O15" s="1098"/>
      <c r="P15" s="1098"/>
      <c r="Q15" s="1098"/>
      <c r="R15" s="1098"/>
      <c r="S15" s="1098"/>
      <c r="T15" s="1098"/>
      <c r="U15" s="1098"/>
      <c r="V15" s="1098"/>
      <c r="W15" s="1098"/>
      <c r="X15" s="1098"/>
      <c r="Y15" s="1098"/>
      <c r="Z15" s="1098">
        <v>437.5</v>
      </c>
      <c r="AA15" s="1097">
        <f t="shared" si="3"/>
        <v>437.5</v>
      </c>
      <c r="AB15" s="1098"/>
      <c r="AC15" s="1098"/>
      <c r="AD15" s="1098"/>
      <c r="AE15" s="1098"/>
      <c r="AF15" s="1098"/>
      <c r="AG15" s="1098"/>
      <c r="AH15" s="1098"/>
      <c r="AI15" s="1098"/>
      <c r="AJ15" s="1098"/>
      <c r="AK15" s="1098"/>
      <c r="AL15" s="1098"/>
      <c r="AM15" s="1098">
        <v>443</v>
      </c>
      <c r="AN15" s="1097">
        <f t="shared" si="5"/>
        <v>443</v>
      </c>
      <c r="AO15" s="1098"/>
      <c r="AP15" s="1098"/>
      <c r="AQ15" s="1098"/>
      <c r="AR15" s="1098"/>
      <c r="AS15" s="1098"/>
      <c r="AT15" s="1098"/>
      <c r="AU15" s="1098"/>
      <c r="AV15" s="1098"/>
      <c r="AW15" s="1098"/>
      <c r="AX15" s="1098"/>
      <c r="AY15" s="1098"/>
      <c r="AZ15" s="1098">
        <v>445</v>
      </c>
      <c r="BA15" s="1097">
        <f t="shared" si="7"/>
        <v>445</v>
      </c>
      <c r="BB15" s="1098"/>
      <c r="BC15" s="1098"/>
      <c r="BD15" s="1098"/>
      <c r="BE15" s="1098"/>
      <c r="BF15" s="1098"/>
      <c r="BG15" s="1098"/>
      <c r="BH15" s="1098"/>
      <c r="BI15" s="1098"/>
      <c r="BJ15" s="1098"/>
      <c r="BK15" s="1098"/>
      <c r="BL15" s="1098"/>
      <c r="BM15" s="1098">
        <v>402</v>
      </c>
      <c r="BN15" s="1097">
        <f t="shared" si="9"/>
        <v>402</v>
      </c>
      <c r="BO15" s="1098"/>
      <c r="BP15" s="1098"/>
      <c r="BQ15" s="1098"/>
      <c r="BR15" s="1098"/>
      <c r="BS15" s="1098"/>
      <c r="BT15" s="1098"/>
      <c r="BU15" s="1098"/>
      <c r="BV15" s="1098"/>
      <c r="BW15" s="1098"/>
      <c r="BX15" s="1098"/>
      <c r="BY15" s="1098"/>
      <c r="BZ15" s="1098">
        <v>482</v>
      </c>
      <c r="CA15" s="1097">
        <f t="shared" si="11"/>
        <v>482</v>
      </c>
      <c r="CB15" s="1098"/>
      <c r="CC15" s="1098"/>
      <c r="CD15" s="1098"/>
      <c r="CE15" s="1098"/>
      <c r="CF15" s="1098"/>
      <c r="CG15" s="1098"/>
      <c r="CH15" s="1098"/>
      <c r="CI15" s="1098"/>
      <c r="CJ15" s="1098"/>
      <c r="CK15" s="1098"/>
      <c r="CL15" s="1098"/>
      <c r="CM15" s="1098">
        <v>186</v>
      </c>
      <c r="CN15" s="1097">
        <f t="shared" si="13"/>
        <v>186</v>
      </c>
      <c r="CO15" s="1098"/>
      <c r="CP15" s="1098"/>
      <c r="CQ15" s="1098"/>
      <c r="CR15" s="1098"/>
      <c r="CS15" s="1098"/>
      <c r="CT15" s="1098"/>
      <c r="CU15" s="1098"/>
      <c r="CV15" s="1098"/>
      <c r="CW15" s="1098"/>
      <c r="CX15" s="1098"/>
      <c r="CY15" s="1098"/>
      <c r="CZ15" s="1098">
        <v>30</v>
      </c>
      <c r="DA15" s="1097">
        <f t="shared" si="15"/>
        <v>30</v>
      </c>
      <c r="DB15" s="1098"/>
      <c r="DC15" s="1098"/>
      <c r="DD15" s="1098"/>
      <c r="DE15" s="1098"/>
      <c r="DF15" s="1098"/>
      <c r="DG15" s="1098"/>
      <c r="DH15" s="1098"/>
      <c r="DI15" s="1098"/>
      <c r="DJ15" s="1098"/>
      <c r="DK15" s="1098"/>
      <c r="DL15" s="1098"/>
      <c r="DM15" s="1098">
        <v>850</v>
      </c>
      <c r="DN15" s="1097">
        <f t="shared" si="17"/>
        <v>850</v>
      </c>
      <c r="DO15" s="1098">
        <v>3</v>
      </c>
      <c r="DP15" s="1098">
        <v>6.2</v>
      </c>
      <c r="DQ15" s="1098">
        <v>6.4</v>
      </c>
      <c r="DR15" s="1098">
        <v>0.4</v>
      </c>
      <c r="DS15" s="1098">
        <v>0.1</v>
      </c>
      <c r="DT15" s="1098">
        <v>0.2</v>
      </c>
      <c r="DU15" s="1098">
        <v>0.3</v>
      </c>
      <c r="DV15" s="1098">
        <v>0.4</v>
      </c>
      <c r="DW15" s="1098">
        <v>0.2</v>
      </c>
      <c r="DX15" s="1098">
        <v>0.5</v>
      </c>
      <c r="DY15" s="1098">
        <v>0.4</v>
      </c>
      <c r="DZ15" s="1098">
        <v>0.5</v>
      </c>
      <c r="EA15" s="1097">
        <f t="shared" si="18"/>
        <v>18.599999999999998</v>
      </c>
      <c r="EB15" s="1098"/>
      <c r="EC15" s="1098"/>
      <c r="ED15" s="1098"/>
      <c r="EE15" s="1098"/>
      <c r="EF15" s="1098"/>
      <c r="EG15" s="1098"/>
      <c r="EH15" s="1098"/>
      <c r="EI15" s="1098"/>
      <c r="EJ15" s="1098"/>
      <c r="EK15" s="1098"/>
      <c r="EL15" s="1098"/>
      <c r="EM15" s="1098">
        <v>530</v>
      </c>
      <c r="EN15" s="1097">
        <f t="shared" si="20"/>
        <v>530</v>
      </c>
      <c r="EO15" s="1098"/>
      <c r="EP15" s="1098"/>
      <c r="EQ15" s="1098"/>
      <c r="ER15" s="1098"/>
      <c r="ES15" s="1098"/>
      <c r="ET15" s="1098"/>
      <c r="EU15" s="1098"/>
      <c r="EV15" s="1098"/>
      <c r="EW15" s="1098"/>
      <c r="EX15" s="1098"/>
      <c r="EY15" s="1098"/>
      <c r="EZ15" s="1098">
        <v>508</v>
      </c>
      <c r="FA15" s="1097">
        <f t="shared" si="21"/>
        <v>508</v>
      </c>
      <c r="FB15" s="1098"/>
      <c r="FC15" s="1098"/>
      <c r="FD15" s="1098"/>
      <c r="FE15" s="1098"/>
      <c r="FF15" s="1098"/>
      <c r="FG15" s="1098"/>
      <c r="FH15" s="1098"/>
      <c r="FI15" s="1098"/>
      <c r="FJ15" s="1098"/>
      <c r="FK15" s="1098"/>
      <c r="FL15" s="1098"/>
      <c r="FM15" s="1098">
        <v>443</v>
      </c>
      <c r="FN15" s="1097">
        <f t="shared" si="23"/>
        <v>443</v>
      </c>
      <c r="FO15" s="1098"/>
      <c r="FP15" s="1098"/>
      <c r="FQ15" s="1098"/>
      <c r="FR15" s="1098"/>
      <c r="FS15" s="1098"/>
      <c r="FT15" s="1098"/>
      <c r="FU15" s="1098"/>
      <c r="FV15" s="1098"/>
      <c r="FW15" s="1098"/>
      <c r="FX15" s="1098"/>
      <c r="FY15" s="1098"/>
      <c r="FZ15" s="1098">
        <v>342</v>
      </c>
      <c r="GA15" s="1097">
        <f t="shared" si="24"/>
        <v>342</v>
      </c>
      <c r="GB15" s="1098"/>
      <c r="GC15" s="1098"/>
      <c r="GD15" s="1098"/>
      <c r="GE15" s="1098"/>
      <c r="GF15" s="1098"/>
      <c r="GG15" s="1098"/>
      <c r="GH15" s="1098"/>
      <c r="GI15" s="1098"/>
      <c r="GJ15" s="1098"/>
      <c r="GK15" s="1098"/>
      <c r="GL15" s="1098"/>
      <c r="GM15" s="1098">
        <v>372</v>
      </c>
      <c r="GN15" s="1097">
        <f t="shared" si="26"/>
        <v>372</v>
      </c>
      <c r="GO15" s="1098"/>
      <c r="GP15" s="1098"/>
      <c r="GQ15" s="1098"/>
      <c r="GR15" s="1098"/>
      <c r="GS15" s="1098"/>
      <c r="GT15" s="1098"/>
      <c r="GU15" s="1098"/>
      <c r="GV15" s="1098"/>
      <c r="GW15" s="1098"/>
      <c r="GX15" s="1098"/>
      <c r="GY15" s="1098"/>
      <c r="GZ15" s="1098">
        <v>301</v>
      </c>
      <c r="HA15" s="1097">
        <f t="shared" si="28"/>
        <v>301</v>
      </c>
      <c r="HB15" s="1098"/>
      <c r="HC15" s="1098"/>
      <c r="HD15" s="1098"/>
      <c r="HE15" s="1098"/>
      <c r="HF15" s="1098"/>
      <c r="HG15" s="1098"/>
      <c r="HH15" s="1098"/>
      <c r="HI15" s="1098"/>
      <c r="HJ15" s="1098"/>
      <c r="HK15" s="1098"/>
      <c r="HL15" s="1098"/>
      <c r="HM15" s="1098"/>
      <c r="HN15" s="1097">
        <f t="shared" si="30"/>
        <v>0</v>
      </c>
      <c r="HO15" s="1098"/>
      <c r="HP15" s="1098"/>
      <c r="HQ15" s="1098"/>
      <c r="HR15" s="1098"/>
      <c r="HS15" s="1098"/>
      <c r="HT15" s="1098"/>
      <c r="HU15" s="1098"/>
      <c r="HV15" s="1098"/>
      <c r="HW15" s="1098"/>
      <c r="HX15" s="1098"/>
      <c r="HY15" s="1098"/>
      <c r="HZ15" s="1098"/>
      <c r="IA15" s="1097">
        <f t="shared" si="32"/>
        <v>0</v>
      </c>
      <c r="IB15" s="1098"/>
      <c r="IC15" s="1098"/>
      <c r="ID15" s="1098"/>
      <c r="IE15" s="1098"/>
      <c r="IF15" s="1098"/>
      <c r="IG15" s="1098"/>
      <c r="IH15" s="1098"/>
      <c r="II15" s="1098"/>
      <c r="IJ15" s="1098"/>
      <c r="IK15" s="1098"/>
      <c r="IL15" s="1098"/>
      <c r="IM15" s="1098">
        <v>356.5</v>
      </c>
      <c r="IN15" s="1097">
        <f t="shared" si="34"/>
        <v>356.5</v>
      </c>
      <c r="IO15" s="1098">
        <v>3</v>
      </c>
      <c r="IP15" s="1098">
        <v>3.5</v>
      </c>
      <c r="IQ15" s="1098">
        <v>4</v>
      </c>
      <c r="IR15" s="1098">
        <v>4</v>
      </c>
      <c r="IS15" s="1098">
        <v>3.5</v>
      </c>
      <c r="IT15" s="1098">
        <v>4</v>
      </c>
      <c r="IU15" s="1098">
        <v>4.2</v>
      </c>
      <c r="IV15" s="1098">
        <v>4.2</v>
      </c>
      <c r="IW15" s="1098">
        <v>4</v>
      </c>
      <c r="IX15" s="1098">
        <v>4.0999999999999996</v>
      </c>
      <c r="IY15" s="1098">
        <v>4.3</v>
      </c>
      <c r="IZ15" s="1098">
        <v>126.5</v>
      </c>
      <c r="JA15" s="1097">
        <f t="shared" si="35"/>
        <v>169.3</v>
      </c>
      <c r="JB15" s="1098"/>
      <c r="JC15" s="1098"/>
      <c r="JD15" s="1098"/>
      <c r="JE15" s="1098"/>
      <c r="JF15" s="1098"/>
      <c r="JG15" s="1098"/>
      <c r="JH15" s="1098"/>
      <c r="JI15" s="1098"/>
      <c r="JJ15" s="1098"/>
      <c r="JK15" s="1098"/>
      <c r="JL15" s="1098"/>
      <c r="JM15" s="1098">
        <v>416.5</v>
      </c>
      <c r="JN15" s="1097">
        <f t="shared" si="36"/>
        <v>416.5</v>
      </c>
      <c r="JO15" s="1098">
        <v>0</v>
      </c>
      <c r="JP15" s="1098"/>
      <c r="JQ15" s="1098"/>
      <c r="JR15" s="1098"/>
      <c r="JS15" s="1098"/>
      <c r="JT15" s="1098"/>
      <c r="JU15" s="1098"/>
      <c r="JV15" s="1098"/>
      <c r="JW15" s="1098"/>
      <c r="JX15" s="1098"/>
      <c r="JY15" s="1098"/>
      <c r="JZ15" s="1098"/>
      <c r="KA15" s="1097">
        <f t="shared" si="38"/>
        <v>0</v>
      </c>
      <c r="KC15" s="1116" cm="1">
        <f t="array" ref="KC15">IFERROR(((
_xlfn.XLOOKUP((DATE(YEAR($KC$5),MONTH($KC$5),1)),SMN.COSECHA.DATE,$B15:$KA15) /
_xlfn.XLOOKUP((DATE(YEAR($KC$5)-1,MONTH($KC$5),1)),SMN.COSECHA.DATE,$B15:$KA15)
)-1)*100,"")</f>
        <v>229.24901185770753</v>
      </c>
      <c r="KD15" s="1117">
        <f t="shared" si="39"/>
        <v>146.0129946839929</v>
      </c>
      <c r="KE15" s="1079" cm="1">
        <f t="array" ref="KE15">SUMIFS($B15:$KA15,SMN.COSECHA.DATE,"&gt;="&amp;DATE(YEAR($KC$5)-1,1,1),SMN.COSECHA.DATE,"&lt;="&amp;DATE(YEAR($KC$5)-1,MONTH($KC$5),1))</f>
        <v>169.3</v>
      </c>
      <c r="KF15" s="1118" cm="1">
        <f t="array" ref="KF15">SUMIFS($B15:$KA15,SMN.COSECHA.DATE,"&gt;="&amp;DATE(YEAR($KC$5),1,1),SMN.COSECHA.DATE,"&lt;="&amp;$KC$5)</f>
        <v>416.5</v>
      </c>
      <c r="KG15" s="62"/>
      <c r="KH15" s="1079">
        <f t="shared" si="40"/>
        <v>13464.8</v>
      </c>
      <c r="KI15" s="1080" t="s">
        <v>142</v>
      </c>
      <c r="KJ15" s="1081" t="str">
        <f t="shared" si="41"/>
        <v>OK</v>
      </c>
    </row>
    <row r="16" spans="1:296" ht="15" customHeight="1" x14ac:dyDescent="0.2">
      <c r="A16" s="1129" t="s">
        <v>566</v>
      </c>
      <c r="B16" s="1098">
        <v>107</v>
      </c>
      <c r="C16" s="1098">
        <v>117</v>
      </c>
      <c r="D16" s="1098">
        <v>75</v>
      </c>
      <c r="E16" s="1098">
        <v>108</v>
      </c>
      <c r="F16" s="1098">
        <v>135</v>
      </c>
      <c r="G16" s="1098">
        <v>146</v>
      </c>
      <c r="H16" s="1098">
        <v>107</v>
      </c>
      <c r="I16" s="1098">
        <v>133</v>
      </c>
      <c r="J16" s="1098">
        <v>92</v>
      </c>
      <c r="K16" s="1098">
        <v>185</v>
      </c>
      <c r="L16" s="1098">
        <v>31</v>
      </c>
      <c r="M16" s="1098">
        <v>75</v>
      </c>
      <c r="N16" s="1097">
        <f t="shared" si="1"/>
        <v>1311</v>
      </c>
      <c r="O16" s="1098">
        <v>146</v>
      </c>
      <c r="P16" s="1098">
        <v>69.5</v>
      </c>
      <c r="Q16" s="1098">
        <v>100</v>
      </c>
      <c r="R16" s="1098">
        <v>71</v>
      </c>
      <c r="S16" s="1098">
        <v>64</v>
      </c>
      <c r="T16" s="1098">
        <v>83</v>
      </c>
      <c r="U16" s="1098">
        <v>100.5</v>
      </c>
      <c r="V16" s="1098">
        <v>115</v>
      </c>
      <c r="W16" s="1098">
        <v>83.5</v>
      </c>
      <c r="X16" s="1098">
        <v>23</v>
      </c>
      <c r="Y16" s="1098">
        <v>60</v>
      </c>
      <c r="Z16" s="1098">
        <v>52</v>
      </c>
      <c r="AA16" s="1097">
        <f t="shared" si="3"/>
        <v>967.5</v>
      </c>
      <c r="AB16" s="1098">
        <v>66</v>
      </c>
      <c r="AC16" s="1098">
        <v>46</v>
      </c>
      <c r="AD16" s="1098">
        <v>33</v>
      </c>
      <c r="AE16" s="1098">
        <v>25</v>
      </c>
      <c r="AF16" s="1098">
        <v>47</v>
      </c>
      <c r="AG16" s="1098">
        <v>58</v>
      </c>
      <c r="AH16" s="1098">
        <v>70</v>
      </c>
      <c r="AI16" s="1098">
        <v>226</v>
      </c>
      <c r="AJ16" s="1098">
        <v>59</v>
      </c>
      <c r="AK16" s="1098">
        <v>37</v>
      </c>
      <c r="AL16" s="1098">
        <v>44</v>
      </c>
      <c r="AM16" s="1098">
        <v>51</v>
      </c>
      <c r="AN16" s="1097">
        <f t="shared" si="5"/>
        <v>762</v>
      </c>
      <c r="AO16" s="1098">
        <v>38</v>
      </c>
      <c r="AP16" s="1098">
        <v>37</v>
      </c>
      <c r="AQ16" s="1098">
        <v>41</v>
      </c>
      <c r="AR16" s="1098">
        <v>49</v>
      </c>
      <c r="AS16" s="1098">
        <v>60</v>
      </c>
      <c r="AT16" s="1098">
        <v>60</v>
      </c>
      <c r="AU16" s="1098">
        <v>48</v>
      </c>
      <c r="AV16" s="1098">
        <v>74</v>
      </c>
      <c r="AW16" s="1098">
        <v>71</v>
      </c>
      <c r="AX16" s="1098">
        <v>45</v>
      </c>
      <c r="AY16" s="1098">
        <v>67</v>
      </c>
      <c r="AZ16" s="1098">
        <v>68</v>
      </c>
      <c r="BA16" s="1097">
        <f t="shared" si="7"/>
        <v>658</v>
      </c>
      <c r="BB16" s="1098">
        <v>85</v>
      </c>
      <c r="BC16" s="1098">
        <v>75</v>
      </c>
      <c r="BD16" s="1098">
        <v>78</v>
      </c>
      <c r="BE16" s="1098">
        <v>104</v>
      </c>
      <c r="BF16" s="1098">
        <v>88</v>
      </c>
      <c r="BG16" s="1098">
        <v>84</v>
      </c>
      <c r="BH16" s="1098">
        <v>102</v>
      </c>
      <c r="BI16" s="1098">
        <v>90</v>
      </c>
      <c r="BJ16" s="1098">
        <v>103</v>
      </c>
      <c r="BK16" s="1098">
        <v>83</v>
      </c>
      <c r="BL16" s="1098">
        <v>87</v>
      </c>
      <c r="BM16" s="1098">
        <v>83</v>
      </c>
      <c r="BN16" s="1097">
        <f t="shared" si="9"/>
        <v>1062</v>
      </c>
      <c r="BO16" s="1098">
        <v>78</v>
      </c>
      <c r="BP16" s="1098">
        <v>83</v>
      </c>
      <c r="BQ16" s="1098">
        <v>56</v>
      </c>
      <c r="BR16" s="1098">
        <v>87</v>
      </c>
      <c r="BS16" s="1098">
        <v>104</v>
      </c>
      <c r="BT16" s="1098">
        <v>113</v>
      </c>
      <c r="BU16" s="1098">
        <v>119</v>
      </c>
      <c r="BV16" s="1098">
        <v>95</v>
      </c>
      <c r="BW16" s="1098">
        <v>119</v>
      </c>
      <c r="BX16" s="1098">
        <v>68</v>
      </c>
      <c r="BY16" s="1098">
        <v>96</v>
      </c>
      <c r="BZ16" s="1098">
        <v>99</v>
      </c>
      <c r="CA16" s="1097">
        <f t="shared" si="11"/>
        <v>1117</v>
      </c>
      <c r="CB16" s="1098">
        <v>98</v>
      </c>
      <c r="CC16" s="1098">
        <v>100</v>
      </c>
      <c r="CD16" s="1098">
        <v>87</v>
      </c>
      <c r="CE16" s="1098">
        <v>94</v>
      </c>
      <c r="CF16" s="1098">
        <v>118</v>
      </c>
      <c r="CG16" s="1098">
        <v>113</v>
      </c>
      <c r="CH16" s="1098">
        <v>110</v>
      </c>
      <c r="CI16" s="1098">
        <v>104</v>
      </c>
      <c r="CJ16" s="1098">
        <v>110</v>
      </c>
      <c r="CK16" s="1098">
        <v>84</v>
      </c>
      <c r="CL16" s="1098">
        <v>81</v>
      </c>
      <c r="CM16" s="1098">
        <v>91</v>
      </c>
      <c r="CN16" s="1097">
        <f t="shared" si="13"/>
        <v>1190</v>
      </c>
      <c r="CO16" s="1098">
        <v>84</v>
      </c>
      <c r="CP16" s="1098">
        <v>71</v>
      </c>
      <c r="CQ16" s="1098">
        <v>72</v>
      </c>
      <c r="CR16" s="1098">
        <v>81</v>
      </c>
      <c r="CS16" s="1098">
        <v>85</v>
      </c>
      <c r="CT16" s="1098">
        <v>83</v>
      </c>
      <c r="CU16" s="1098">
        <v>87</v>
      </c>
      <c r="CV16" s="1098">
        <v>95</v>
      </c>
      <c r="CW16" s="1098">
        <v>99</v>
      </c>
      <c r="CX16" s="1098">
        <v>76</v>
      </c>
      <c r="CY16" s="1098">
        <v>73</v>
      </c>
      <c r="CZ16" s="1098">
        <v>69</v>
      </c>
      <c r="DA16" s="1097">
        <f t="shared" si="15"/>
        <v>975</v>
      </c>
      <c r="DB16" s="1098">
        <v>69</v>
      </c>
      <c r="DC16" s="1098">
        <v>74</v>
      </c>
      <c r="DD16" s="1098">
        <v>79</v>
      </c>
      <c r="DE16" s="1098">
        <v>91</v>
      </c>
      <c r="DF16" s="1098">
        <v>91</v>
      </c>
      <c r="DG16" s="1098">
        <v>81</v>
      </c>
      <c r="DH16" s="1098">
        <v>109</v>
      </c>
      <c r="DI16" s="1098">
        <v>109</v>
      </c>
      <c r="DJ16" s="1098">
        <v>115</v>
      </c>
      <c r="DK16" s="1098">
        <v>74</v>
      </c>
      <c r="DL16" s="1098">
        <v>88</v>
      </c>
      <c r="DM16" s="1098">
        <v>79</v>
      </c>
      <c r="DN16" s="1097">
        <f t="shared" si="17"/>
        <v>1059</v>
      </c>
      <c r="DO16" s="1098">
        <v>15</v>
      </c>
      <c r="DP16" s="1098">
        <v>8</v>
      </c>
      <c r="DQ16" s="1098">
        <v>4</v>
      </c>
      <c r="DR16" s="1098">
        <v>4</v>
      </c>
      <c r="DS16" s="1098"/>
      <c r="DT16" s="1098"/>
      <c r="DU16" s="1098"/>
      <c r="DV16" s="1098"/>
      <c r="DW16" s="1098"/>
      <c r="DX16" s="1098"/>
      <c r="DY16" s="1098"/>
      <c r="DZ16" s="1098"/>
      <c r="EA16" s="1097">
        <f t="shared" si="18"/>
        <v>31</v>
      </c>
      <c r="EB16" s="1098">
        <v>86</v>
      </c>
      <c r="EC16" s="1098">
        <v>79</v>
      </c>
      <c r="ED16" s="1098">
        <v>73</v>
      </c>
      <c r="EE16" s="1098">
        <v>134</v>
      </c>
      <c r="EF16" s="1098">
        <v>146</v>
      </c>
      <c r="EG16" s="1098">
        <v>124</v>
      </c>
      <c r="EH16" s="1098">
        <v>93</v>
      </c>
      <c r="EI16" s="1098">
        <v>134</v>
      </c>
      <c r="EJ16" s="1098">
        <v>92</v>
      </c>
      <c r="EK16" s="1098">
        <v>101</v>
      </c>
      <c r="EL16" s="1098">
        <v>109</v>
      </c>
      <c r="EM16" s="1098">
        <v>85</v>
      </c>
      <c r="EN16" s="1097">
        <f t="shared" si="20"/>
        <v>1256</v>
      </c>
      <c r="EO16" s="1098">
        <v>71</v>
      </c>
      <c r="EP16" s="1098">
        <v>90</v>
      </c>
      <c r="EQ16" s="1098">
        <v>71</v>
      </c>
      <c r="ER16" s="1098">
        <v>110</v>
      </c>
      <c r="ES16" s="1098">
        <v>110</v>
      </c>
      <c r="ET16" s="1098">
        <v>98</v>
      </c>
      <c r="EU16" s="1098">
        <v>96</v>
      </c>
      <c r="EV16" s="1098">
        <v>108</v>
      </c>
      <c r="EW16" s="1098">
        <v>106</v>
      </c>
      <c r="EX16" s="1098">
        <v>76</v>
      </c>
      <c r="EY16" s="1098">
        <v>77</v>
      </c>
      <c r="EZ16" s="1098">
        <v>95</v>
      </c>
      <c r="FA16" s="1097">
        <f t="shared" si="21"/>
        <v>1108</v>
      </c>
      <c r="FB16" s="1098">
        <v>67</v>
      </c>
      <c r="FC16" s="1098">
        <v>69</v>
      </c>
      <c r="FD16" s="1098">
        <v>72</v>
      </c>
      <c r="FE16" s="1098">
        <v>89</v>
      </c>
      <c r="FF16" s="1098">
        <v>100</v>
      </c>
      <c r="FG16" s="1098">
        <v>98</v>
      </c>
      <c r="FH16" s="1098">
        <v>102</v>
      </c>
      <c r="FI16" s="1098">
        <v>89</v>
      </c>
      <c r="FJ16" s="1098">
        <v>74</v>
      </c>
      <c r="FK16" s="1098">
        <v>68</v>
      </c>
      <c r="FL16" s="1098">
        <v>74</v>
      </c>
      <c r="FM16" s="1098">
        <v>81</v>
      </c>
      <c r="FN16" s="1097">
        <f t="shared" si="23"/>
        <v>983</v>
      </c>
      <c r="FO16" s="1098">
        <v>79</v>
      </c>
      <c r="FP16" s="1098">
        <v>68</v>
      </c>
      <c r="FQ16" s="1098">
        <v>78</v>
      </c>
      <c r="FR16" s="1098">
        <v>98</v>
      </c>
      <c r="FS16" s="1098">
        <v>87</v>
      </c>
      <c r="FT16" s="1098">
        <v>96</v>
      </c>
      <c r="FU16" s="1098">
        <v>98</v>
      </c>
      <c r="FV16" s="1098">
        <v>94</v>
      </c>
      <c r="FW16" s="1098">
        <v>84</v>
      </c>
      <c r="FX16" s="1098">
        <v>70</v>
      </c>
      <c r="FY16" s="1098">
        <v>71</v>
      </c>
      <c r="FZ16" s="1098">
        <v>85</v>
      </c>
      <c r="GA16" s="1097">
        <f t="shared" si="24"/>
        <v>1008</v>
      </c>
      <c r="GB16" s="1098">
        <v>85</v>
      </c>
      <c r="GC16" s="1098">
        <v>77</v>
      </c>
      <c r="GD16" s="1098">
        <v>81</v>
      </c>
      <c r="GE16" s="1098">
        <v>84</v>
      </c>
      <c r="GF16" s="1098">
        <v>98</v>
      </c>
      <c r="GG16" s="1098">
        <v>102</v>
      </c>
      <c r="GH16" s="1098">
        <v>105</v>
      </c>
      <c r="GI16" s="1098">
        <v>103</v>
      </c>
      <c r="GJ16" s="1098">
        <v>104</v>
      </c>
      <c r="GK16" s="1098">
        <v>85</v>
      </c>
      <c r="GL16" s="1098">
        <v>79</v>
      </c>
      <c r="GM16" s="1098">
        <v>100</v>
      </c>
      <c r="GN16" s="1097">
        <f t="shared" si="26"/>
        <v>1103</v>
      </c>
      <c r="GO16" s="1098">
        <v>95</v>
      </c>
      <c r="GP16" s="1098">
        <v>92</v>
      </c>
      <c r="GQ16" s="1098">
        <v>91</v>
      </c>
      <c r="GR16" s="1098">
        <v>119</v>
      </c>
      <c r="GS16" s="1098">
        <v>122</v>
      </c>
      <c r="GT16" s="1098">
        <v>75</v>
      </c>
      <c r="GU16" s="1098">
        <v>120</v>
      </c>
      <c r="GV16" s="1098">
        <v>81</v>
      </c>
      <c r="GW16" s="1098">
        <v>68</v>
      </c>
      <c r="GX16" s="1098">
        <v>73</v>
      </c>
      <c r="GY16" s="1098">
        <v>84</v>
      </c>
      <c r="GZ16" s="1098">
        <v>95</v>
      </c>
      <c r="HA16" s="1097">
        <f t="shared" si="28"/>
        <v>1115</v>
      </c>
      <c r="HB16" s="1098">
        <v>94.5</v>
      </c>
      <c r="HC16" s="1098">
        <v>89.5</v>
      </c>
      <c r="HD16" s="1098">
        <v>109.5</v>
      </c>
      <c r="HE16" s="1098">
        <v>120</v>
      </c>
      <c r="HF16" s="1098">
        <v>120</v>
      </c>
      <c r="HG16" s="1098">
        <v>101</v>
      </c>
      <c r="HH16" s="1098">
        <v>131</v>
      </c>
      <c r="HI16" s="1098">
        <v>127</v>
      </c>
      <c r="HJ16" s="1098">
        <v>111</v>
      </c>
      <c r="HK16" s="1098">
        <v>97.5</v>
      </c>
      <c r="HL16" s="1098">
        <v>114</v>
      </c>
      <c r="HM16" s="1098">
        <v>110</v>
      </c>
      <c r="HN16" s="1097">
        <f t="shared" si="30"/>
        <v>1325</v>
      </c>
      <c r="HO16" s="1098">
        <v>99.5</v>
      </c>
      <c r="HP16" s="1098">
        <v>108.5</v>
      </c>
      <c r="HQ16" s="1098">
        <v>124</v>
      </c>
      <c r="HR16" s="1098">
        <v>126</v>
      </c>
      <c r="HS16" s="1098">
        <v>108.5</v>
      </c>
      <c r="HT16" s="1098">
        <v>116.5</v>
      </c>
      <c r="HU16" s="1098">
        <v>114.5</v>
      </c>
      <c r="HV16" s="1098">
        <v>130</v>
      </c>
      <c r="HW16" s="1098">
        <v>111.5</v>
      </c>
      <c r="HX16" s="1098">
        <v>71</v>
      </c>
      <c r="HY16" s="1098">
        <v>81.5</v>
      </c>
      <c r="HZ16" s="1098">
        <v>70</v>
      </c>
      <c r="IA16" s="1097">
        <f t="shared" si="32"/>
        <v>1261.5</v>
      </c>
      <c r="IB16" s="1098">
        <v>93</v>
      </c>
      <c r="IC16" s="1098">
        <v>108.5</v>
      </c>
      <c r="ID16" s="1098">
        <v>172.5</v>
      </c>
      <c r="IE16" s="1098">
        <v>138</v>
      </c>
      <c r="IF16" s="1098">
        <v>130</v>
      </c>
      <c r="IG16" s="1098">
        <v>142.5</v>
      </c>
      <c r="IH16" s="1098">
        <v>188.5</v>
      </c>
      <c r="II16" s="1098">
        <v>166.5</v>
      </c>
      <c r="IJ16" s="1098">
        <v>160</v>
      </c>
      <c r="IK16" s="1098">
        <v>165</v>
      </c>
      <c r="IL16" s="1098">
        <v>156</v>
      </c>
      <c r="IM16" s="1098">
        <v>122</v>
      </c>
      <c r="IN16" s="1097">
        <f t="shared" si="34"/>
        <v>1742.5</v>
      </c>
      <c r="IO16" s="1098">
        <v>111</v>
      </c>
      <c r="IP16" s="1098">
        <v>107</v>
      </c>
      <c r="IQ16" s="1098">
        <v>112.5</v>
      </c>
      <c r="IR16" s="1098">
        <v>117.5</v>
      </c>
      <c r="IS16" s="1098">
        <v>113</v>
      </c>
      <c r="IT16" s="1098">
        <v>99</v>
      </c>
      <c r="IU16" s="1098">
        <v>127.5</v>
      </c>
      <c r="IV16" s="1098">
        <v>147</v>
      </c>
      <c r="IW16" s="1098">
        <v>149</v>
      </c>
      <c r="IX16" s="1098">
        <v>119.5</v>
      </c>
      <c r="IY16" s="1098">
        <v>92</v>
      </c>
      <c r="IZ16" s="1098">
        <v>37</v>
      </c>
      <c r="JA16" s="1097">
        <f t="shared" si="35"/>
        <v>1332</v>
      </c>
      <c r="JB16" s="1098">
        <v>79</v>
      </c>
      <c r="JC16" s="1098">
        <v>66</v>
      </c>
      <c r="JD16" s="1098">
        <v>66</v>
      </c>
      <c r="JE16" s="1098">
        <v>83.5</v>
      </c>
      <c r="JF16" s="1098">
        <v>63</v>
      </c>
      <c r="JG16" s="1098">
        <v>68</v>
      </c>
      <c r="JH16" s="1098">
        <v>75</v>
      </c>
      <c r="JI16" s="1098">
        <v>66</v>
      </c>
      <c r="JJ16" s="1098">
        <v>134</v>
      </c>
      <c r="JK16" s="1098">
        <v>130</v>
      </c>
      <c r="JL16" s="1098">
        <v>114</v>
      </c>
      <c r="JM16" s="1098">
        <v>54</v>
      </c>
      <c r="JN16" s="1097">
        <f t="shared" si="36"/>
        <v>998.5</v>
      </c>
      <c r="JO16" s="1098">
        <v>65</v>
      </c>
      <c r="JP16" s="1098"/>
      <c r="JQ16" s="1098"/>
      <c r="JR16" s="1098"/>
      <c r="JS16" s="1098"/>
      <c r="JT16" s="1098"/>
      <c r="JU16" s="1098"/>
      <c r="JV16" s="1098"/>
      <c r="JW16" s="1098"/>
      <c r="JX16" s="1098"/>
      <c r="JY16" s="1098"/>
      <c r="JZ16" s="1098"/>
      <c r="KA16" s="1097">
        <f t="shared" si="38"/>
        <v>65</v>
      </c>
      <c r="KC16" s="1116" cm="1">
        <f t="array" ref="KC16">IFERROR(((
_xlfn.XLOOKUP((DATE(YEAR($KC$5),MONTH($KC$5),1)),SMN.COSECHA.DATE,$B16:$KA16) /
_xlfn.XLOOKUP((DATE(YEAR($KC$5)-1,MONTH($KC$5),1)),SMN.COSECHA.DATE,$B16:$KA16)
)-1)*100,"")</f>
        <v>45.945945945945944</v>
      </c>
      <c r="KD16" s="1117">
        <f t="shared" si="39"/>
        <v>-25.037537537537535</v>
      </c>
      <c r="KE16" s="1079" cm="1">
        <f t="array" ref="KE16">SUMIFS($B16:$KA16,SMN.COSECHA.DATE,"&gt;="&amp;DATE(YEAR($KC$5)-1,1,1),SMN.COSECHA.DATE,"&lt;="&amp;DATE(YEAR($KC$5)-1,MONTH($KC$5),1))</f>
        <v>1332</v>
      </c>
      <c r="KF16" s="1118" cm="1">
        <f t="array" ref="KF16">SUMIFS($B16:$KA16,SMN.COSECHA.DATE,"&gt;="&amp;DATE(YEAR($KC$5),1,1),SMN.COSECHA.DATE,"&lt;="&amp;$KC$5)</f>
        <v>998.5</v>
      </c>
      <c r="KG16" s="62"/>
      <c r="KH16" s="1079">
        <f t="shared" si="40"/>
        <v>42238</v>
      </c>
      <c r="KI16" s="1080" t="s">
        <v>566</v>
      </c>
      <c r="KJ16" s="1081" t="str">
        <f t="shared" si="41"/>
        <v>OK</v>
      </c>
    </row>
    <row r="17" spans="1:296" ht="15" customHeight="1" x14ac:dyDescent="0.2">
      <c r="A17" s="1129" t="s">
        <v>567</v>
      </c>
      <c r="B17" s="1098">
        <v>47</v>
      </c>
      <c r="C17" s="1098">
        <v>26</v>
      </c>
      <c r="D17" s="1098">
        <v>122</v>
      </c>
      <c r="E17" s="1098">
        <v>317</v>
      </c>
      <c r="F17" s="1098">
        <v>718</v>
      </c>
      <c r="G17" s="1098">
        <v>59</v>
      </c>
      <c r="H17" s="1098">
        <v>198</v>
      </c>
      <c r="I17" s="1098">
        <v>723</v>
      </c>
      <c r="J17" s="1098">
        <v>1504</v>
      </c>
      <c r="K17" s="1098">
        <v>487</v>
      </c>
      <c r="L17" s="1098">
        <v>7</v>
      </c>
      <c r="M17" s="1098"/>
      <c r="N17" s="1097">
        <f t="shared" si="1"/>
        <v>4208</v>
      </c>
      <c r="O17" s="1098">
        <v>67</v>
      </c>
      <c r="P17" s="1098">
        <v>31</v>
      </c>
      <c r="Q17" s="1098">
        <v>70</v>
      </c>
      <c r="R17" s="1098">
        <v>433</v>
      </c>
      <c r="S17" s="1098">
        <v>604</v>
      </c>
      <c r="T17" s="1098">
        <v>198</v>
      </c>
      <c r="U17" s="1098">
        <v>307</v>
      </c>
      <c r="V17" s="1098">
        <v>368</v>
      </c>
      <c r="W17" s="1098">
        <v>979</v>
      </c>
      <c r="X17" s="1098">
        <v>702</v>
      </c>
      <c r="Y17" s="1098">
        <v>292</v>
      </c>
      <c r="Z17" s="1098">
        <v>140</v>
      </c>
      <c r="AA17" s="1097">
        <f t="shared" si="3"/>
        <v>4191</v>
      </c>
      <c r="AB17" s="1098">
        <v>134</v>
      </c>
      <c r="AC17" s="1098">
        <v>43</v>
      </c>
      <c r="AD17" s="1098">
        <v>65</v>
      </c>
      <c r="AE17" s="1098">
        <v>463</v>
      </c>
      <c r="AF17" s="1098">
        <v>154</v>
      </c>
      <c r="AG17" s="1098">
        <v>58</v>
      </c>
      <c r="AH17" s="1098">
        <v>221</v>
      </c>
      <c r="AI17" s="1098">
        <v>714</v>
      </c>
      <c r="AJ17" s="1098">
        <v>1036</v>
      </c>
      <c r="AK17" s="1098">
        <v>597</v>
      </c>
      <c r="AL17" s="1098">
        <v>312</v>
      </c>
      <c r="AM17" s="1098">
        <v>95</v>
      </c>
      <c r="AN17" s="1097">
        <f t="shared" si="5"/>
        <v>3892</v>
      </c>
      <c r="AO17" s="1098">
        <v>51</v>
      </c>
      <c r="AP17" s="1098">
        <v>29</v>
      </c>
      <c r="AQ17" s="1098">
        <v>21</v>
      </c>
      <c r="AR17" s="1098">
        <v>475</v>
      </c>
      <c r="AS17" s="1098">
        <v>173</v>
      </c>
      <c r="AT17" s="1098">
        <v>100</v>
      </c>
      <c r="AU17" s="1098">
        <v>135</v>
      </c>
      <c r="AV17" s="1098">
        <v>729</v>
      </c>
      <c r="AW17" s="1098">
        <v>1013</v>
      </c>
      <c r="AX17" s="1098">
        <v>414</v>
      </c>
      <c r="AY17" s="1098">
        <v>135</v>
      </c>
      <c r="AZ17" s="1098">
        <v>131</v>
      </c>
      <c r="BA17" s="1097">
        <f t="shared" si="7"/>
        <v>3406</v>
      </c>
      <c r="BB17" s="1098">
        <v>34</v>
      </c>
      <c r="BC17" s="1098">
        <v>36</v>
      </c>
      <c r="BD17" s="1098">
        <v>26</v>
      </c>
      <c r="BE17" s="1098">
        <v>286</v>
      </c>
      <c r="BF17" s="1098">
        <v>285</v>
      </c>
      <c r="BG17" s="1098">
        <v>46</v>
      </c>
      <c r="BH17" s="1098">
        <v>350</v>
      </c>
      <c r="BI17" s="1098">
        <v>1001</v>
      </c>
      <c r="BJ17" s="1098">
        <v>1555</v>
      </c>
      <c r="BK17" s="1098">
        <v>259</v>
      </c>
      <c r="BL17" s="1098">
        <v>95</v>
      </c>
      <c r="BM17" s="1098">
        <v>66</v>
      </c>
      <c r="BN17" s="1097">
        <f t="shared" si="9"/>
        <v>4039</v>
      </c>
      <c r="BO17" s="1098">
        <v>49</v>
      </c>
      <c r="BP17" s="1098">
        <v>53</v>
      </c>
      <c r="BQ17" s="1098">
        <v>57</v>
      </c>
      <c r="BR17" s="1098">
        <v>278</v>
      </c>
      <c r="BS17" s="1098">
        <v>820</v>
      </c>
      <c r="BT17" s="1098">
        <v>123</v>
      </c>
      <c r="BU17" s="1098">
        <v>190</v>
      </c>
      <c r="BV17" s="1098">
        <v>730</v>
      </c>
      <c r="BW17" s="1098">
        <v>1539</v>
      </c>
      <c r="BX17" s="1098">
        <v>853</v>
      </c>
      <c r="BY17" s="1098">
        <v>223</v>
      </c>
      <c r="BZ17" s="1098">
        <v>172</v>
      </c>
      <c r="CA17" s="1097">
        <f t="shared" si="11"/>
        <v>5087</v>
      </c>
      <c r="CB17" s="1098">
        <v>108</v>
      </c>
      <c r="CC17" s="1098">
        <v>86</v>
      </c>
      <c r="CD17" s="1098">
        <v>234</v>
      </c>
      <c r="CE17" s="1098">
        <v>543</v>
      </c>
      <c r="CF17" s="1098">
        <v>448</v>
      </c>
      <c r="CG17" s="1098">
        <v>112</v>
      </c>
      <c r="CH17" s="1098">
        <v>237</v>
      </c>
      <c r="CI17" s="1098">
        <v>991</v>
      </c>
      <c r="CJ17" s="1098">
        <v>2138</v>
      </c>
      <c r="CK17" s="1098">
        <v>484</v>
      </c>
      <c r="CL17" s="1098">
        <v>467</v>
      </c>
      <c r="CM17" s="1098">
        <v>98</v>
      </c>
      <c r="CN17" s="1097">
        <f t="shared" si="13"/>
        <v>5946</v>
      </c>
      <c r="CO17" s="1098">
        <v>147</v>
      </c>
      <c r="CP17" s="1098">
        <v>133</v>
      </c>
      <c r="CQ17" s="1098">
        <v>455</v>
      </c>
      <c r="CR17" s="1098">
        <v>730</v>
      </c>
      <c r="CS17" s="1098">
        <v>479</v>
      </c>
      <c r="CT17" s="1098">
        <v>133</v>
      </c>
      <c r="CU17" s="1098">
        <v>148</v>
      </c>
      <c r="CV17" s="1098">
        <v>839</v>
      </c>
      <c r="CW17" s="1098">
        <v>1490</v>
      </c>
      <c r="CX17" s="1098">
        <v>788</v>
      </c>
      <c r="CY17" s="1098">
        <v>349</v>
      </c>
      <c r="CZ17" s="1098">
        <v>193</v>
      </c>
      <c r="DA17" s="1097">
        <f t="shared" si="15"/>
        <v>5884</v>
      </c>
      <c r="DB17" s="1098">
        <v>130</v>
      </c>
      <c r="DC17" s="1098">
        <v>147</v>
      </c>
      <c r="DD17" s="1098">
        <v>182</v>
      </c>
      <c r="DE17" s="1098">
        <v>365</v>
      </c>
      <c r="DF17" s="1098">
        <v>493</v>
      </c>
      <c r="DG17" s="1098">
        <v>102</v>
      </c>
      <c r="DH17" s="1098">
        <v>388</v>
      </c>
      <c r="DI17" s="1098">
        <v>1283</v>
      </c>
      <c r="DJ17" s="1098">
        <v>1003</v>
      </c>
      <c r="DK17" s="1098">
        <v>257</v>
      </c>
      <c r="DL17" s="1098">
        <v>218</v>
      </c>
      <c r="DM17" s="1098">
        <v>101</v>
      </c>
      <c r="DN17" s="1097">
        <f t="shared" si="17"/>
        <v>4669</v>
      </c>
      <c r="DO17" s="1098"/>
      <c r="DP17" s="1098"/>
      <c r="DQ17" s="1098"/>
      <c r="DR17" s="1098"/>
      <c r="DS17" s="1098"/>
      <c r="DT17" s="1098"/>
      <c r="DU17" s="1098"/>
      <c r="DV17" s="1098"/>
      <c r="DW17" s="1098"/>
      <c r="DX17" s="1098"/>
      <c r="DY17" s="1098"/>
      <c r="DZ17" s="1098"/>
      <c r="EA17" s="1097">
        <f t="shared" si="18"/>
        <v>0</v>
      </c>
      <c r="EB17" s="1098">
        <v>36</v>
      </c>
      <c r="EC17" s="1098">
        <v>42</v>
      </c>
      <c r="ED17" s="1098">
        <v>362</v>
      </c>
      <c r="EE17" s="1098">
        <v>229</v>
      </c>
      <c r="EF17" s="1098">
        <v>204</v>
      </c>
      <c r="EG17" s="1098">
        <v>48</v>
      </c>
      <c r="EH17" s="1098">
        <v>106</v>
      </c>
      <c r="EI17" s="1098">
        <v>1046</v>
      </c>
      <c r="EJ17" s="1098">
        <v>1035</v>
      </c>
      <c r="EK17" s="1098">
        <v>483</v>
      </c>
      <c r="EL17" s="1098">
        <v>200</v>
      </c>
      <c r="EM17" s="1098">
        <v>247</v>
      </c>
      <c r="EN17" s="1097">
        <f t="shared" si="20"/>
        <v>4038</v>
      </c>
      <c r="EO17" s="1098">
        <v>75</v>
      </c>
      <c r="EP17" s="1098">
        <v>86</v>
      </c>
      <c r="EQ17" s="1098">
        <v>85</v>
      </c>
      <c r="ER17" s="1098">
        <v>216</v>
      </c>
      <c r="ES17" s="1098">
        <v>170</v>
      </c>
      <c r="ET17" s="1098">
        <v>76</v>
      </c>
      <c r="EU17" s="1098">
        <v>1119</v>
      </c>
      <c r="EV17" s="1098">
        <v>818</v>
      </c>
      <c r="EW17" s="1098">
        <v>778</v>
      </c>
      <c r="EX17" s="1098">
        <v>188</v>
      </c>
      <c r="EY17" s="1098">
        <v>214</v>
      </c>
      <c r="EZ17" s="1098">
        <v>130</v>
      </c>
      <c r="FA17" s="1097">
        <f t="shared" si="21"/>
        <v>3955</v>
      </c>
      <c r="FB17" s="1098">
        <v>38</v>
      </c>
      <c r="FC17" s="1098">
        <v>16</v>
      </c>
      <c r="FD17" s="1098">
        <v>35</v>
      </c>
      <c r="FE17" s="1098">
        <v>118</v>
      </c>
      <c r="FF17" s="1098">
        <v>136</v>
      </c>
      <c r="FG17" s="1098">
        <v>97</v>
      </c>
      <c r="FH17" s="1098">
        <v>143</v>
      </c>
      <c r="FI17" s="1098">
        <v>1010</v>
      </c>
      <c r="FJ17" s="1098">
        <v>969</v>
      </c>
      <c r="FK17" s="1098">
        <v>400</v>
      </c>
      <c r="FL17" s="1098">
        <v>183</v>
      </c>
      <c r="FM17" s="1098">
        <v>182</v>
      </c>
      <c r="FN17" s="1097">
        <f t="shared" si="23"/>
        <v>3327</v>
      </c>
      <c r="FO17" s="1098">
        <v>66</v>
      </c>
      <c r="FP17" s="1098">
        <v>47</v>
      </c>
      <c r="FQ17" s="1098">
        <v>101</v>
      </c>
      <c r="FR17" s="1098">
        <v>92</v>
      </c>
      <c r="FS17" s="1098">
        <v>72</v>
      </c>
      <c r="FT17" s="1098">
        <v>87</v>
      </c>
      <c r="FU17" s="1098">
        <v>103</v>
      </c>
      <c r="FV17" s="1098">
        <v>1301</v>
      </c>
      <c r="FW17" s="1098">
        <v>847</v>
      </c>
      <c r="FX17" s="1098">
        <v>411</v>
      </c>
      <c r="FY17" s="1098">
        <v>115</v>
      </c>
      <c r="FZ17" s="1098">
        <v>53</v>
      </c>
      <c r="GA17" s="1097">
        <f t="shared" si="24"/>
        <v>3295</v>
      </c>
      <c r="GB17" s="1098">
        <v>61</v>
      </c>
      <c r="GC17" s="1098">
        <v>64</v>
      </c>
      <c r="GD17" s="1098">
        <v>118</v>
      </c>
      <c r="GE17" s="1098">
        <v>143</v>
      </c>
      <c r="GF17" s="1098">
        <v>126</v>
      </c>
      <c r="GG17" s="1098">
        <v>140</v>
      </c>
      <c r="GH17" s="1098">
        <v>473</v>
      </c>
      <c r="GI17" s="1098">
        <v>662</v>
      </c>
      <c r="GJ17" s="1098">
        <v>678</v>
      </c>
      <c r="GK17" s="1098">
        <v>338</v>
      </c>
      <c r="GL17" s="1098">
        <v>210</v>
      </c>
      <c r="GM17" s="1098">
        <v>117</v>
      </c>
      <c r="GN17" s="1097">
        <f t="shared" si="26"/>
        <v>3130</v>
      </c>
      <c r="GO17" s="1098">
        <v>56</v>
      </c>
      <c r="GP17" s="1098">
        <v>29</v>
      </c>
      <c r="GQ17" s="1098">
        <v>126</v>
      </c>
      <c r="GR17" s="1098">
        <v>124</v>
      </c>
      <c r="GS17" s="1098">
        <v>104</v>
      </c>
      <c r="GT17" s="1098">
        <v>54</v>
      </c>
      <c r="GU17" s="1098">
        <v>453</v>
      </c>
      <c r="GV17" s="1098">
        <v>641</v>
      </c>
      <c r="GW17" s="1098">
        <v>672</v>
      </c>
      <c r="GX17" s="1098">
        <v>456</v>
      </c>
      <c r="GY17" s="1098">
        <v>149</v>
      </c>
      <c r="GZ17" s="1098">
        <v>78</v>
      </c>
      <c r="HA17" s="1097">
        <f t="shared" si="28"/>
        <v>2942</v>
      </c>
      <c r="HB17" s="1098">
        <v>51</v>
      </c>
      <c r="HC17" s="1098">
        <v>45.5</v>
      </c>
      <c r="HD17" s="1098">
        <v>239</v>
      </c>
      <c r="HE17" s="1098">
        <v>200.5</v>
      </c>
      <c r="HF17" s="1098">
        <v>104.5</v>
      </c>
      <c r="HG17" s="1098">
        <v>86</v>
      </c>
      <c r="HH17" s="1098">
        <v>138.5</v>
      </c>
      <c r="HI17" s="1098">
        <v>1090</v>
      </c>
      <c r="HJ17" s="1098">
        <v>1018</v>
      </c>
      <c r="HK17" s="1098">
        <v>544</v>
      </c>
      <c r="HL17" s="1098">
        <v>291</v>
      </c>
      <c r="HM17" s="1098">
        <v>133.5</v>
      </c>
      <c r="HN17" s="1097">
        <f t="shared" si="30"/>
        <v>3941.5</v>
      </c>
      <c r="HO17" s="1098">
        <v>192</v>
      </c>
      <c r="HP17" s="1098">
        <v>59.5</v>
      </c>
      <c r="HQ17" s="1098">
        <v>250</v>
      </c>
      <c r="HR17" s="1098">
        <v>232</v>
      </c>
      <c r="HS17" s="1098">
        <v>147.5</v>
      </c>
      <c r="HT17" s="1098">
        <v>104.5</v>
      </c>
      <c r="HU17" s="1098">
        <v>207</v>
      </c>
      <c r="HV17" s="1098">
        <v>510.5</v>
      </c>
      <c r="HW17" s="1098">
        <v>1030</v>
      </c>
      <c r="HX17" s="1098">
        <v>326</v>
      </c>
      <c r="HY17" s="1098">
        <v>208.5</v>
      </c>
      <c r="HZ17" s="1098">
        <v>72</v>
      </c>
      <c r="IA17" s="1097">
        <f t="shared" si="32"/>
        <v>3339.5</v>
      </c>
      <c r="IB17" s="1098">
        <v>213.5</v>
      </c>
      <c r="IC17" s="1098">
        <v>150</v>
      </c>
      <c r="ID17" s="1098">
        <v>464</v>
      </c>
      <c r="IE17" s="1098">
        <v>168</v>
      </c>
      <c r="IF17" s="1098">
        <v>173.5</v>
      </c>
      <c r="IG17" s="1098">
        <v>189</v>
      </c>
      <c r="IH17" s="1098">
        <v>223</v>
      </c>
      <c r="II17" s="1098">
        <v>438</v>
      </c>
      <c r="IJ17" s="1098">
        <v>494</v>
      </c>
      <c r="IK17" s="1098">
        <v>493</v>
      </c>
      <c r="IL17" s="1098">
        <v>489</v>
      </c>
      <c r="IM17" s="1098">
        <v>168</v>
      </c>
      <c r="IN17" s="1097">
        <f t="shared" si="34"/>
        <v>3663</v>
      </c>
      <c r="IO17" s="1098">
        <v>95.5</v>
      </c>
      <c r="IP17" s="1098">
        <v>98.3</v>
      </c>
      <c r="IQ17" s="1098">
        <v>272</v>
      </c>
      <c r="IR17" s="1098">
        <v>186.5</v>
      </c>
      <c r="IS17" s="1098">
        <v>137.5</v>
      </c>
      <c r="IT17" s="1098">
        <v>141</v>
      </c>
      <c r="IU17" s="1098">
        <v>158</v>
      </c>
      <c r="IV17" s="1098">
        <v>242</v>
      </c>
      <c r="IW17" s="1098">
        <v>534.5</v>
      </c>
      <c r="IX17" s="1098">
        <v>418.25</v>
      </c>
      <c r="IY17" s="1098">
        <v>218</v>
      </c>
      <c r="IZ17" s="1098">
        <v>43</v>
      </c>
      <c r="JA17" s="1097">
        <f t="shared" si="35"/>
        <v>2544.5500000000002</v>
      </c>
      <c r="JB17" s="1098">
        <v>83</v>
      </c>
      <c r="JC17" s="1098">
        <v>14</v>
      </c>
      <c r="JD17" s="1098">
        <v>14</v>
      </c>
      <c r="JE17" s="1098">
        <v>112.75</v>
      </c>
      <c r="JF17" s="1098">
        <v>82</v>
      </c>
      <c r="JG17" s="1098">
        <v>23</v>
      </c>
      <c r="JH17" s="1098">
        <v>30.75</v>
      </c>
      <c r="JI17" s="1098">
        <v>234.85</v>
      </c>
      <c r="JJ17" s="1098">
        <v>617.75</v>
      </c>
      <c r="JK17" s="1098">
        <v>626</v>
      </c>
      <c r="JL17" s="1098">
        <v>218</v>
      </c>
      <c r="JM17" s="1098">
        <v>112</v>
      </c>
      <c r="JN17" s="1097">
        <f t="shared" si="36"/>
        <v>2168.1</v>
      </c>
      <c r="JO17" s="1098">
        <v>70</v>
      </c>
      <c r="JP17" s="1098"/>
      <c r="JQ17" s="1098"/>
      <c r="JR17" s="1098"/>
      <c r="JS17" s="1098"/>
      <c r="JT17" s="1098"/>
      <c r="JU17" s="1098"/>
      <c r="JV17" s="1098"/>
      <c r="JW17" s="1098"/>
      <c r="JX17" s="1098"/>
      <c r="JY17" s="1098"/>
      <c r="JZ17" s="1098"/>
      <c r="KA17" s="1097">
        <f t="shared" si="38"/>
        <v>70</v>
      </c>
      <c r="KC17" s="1116" cm="1">
        <f t="array" ref="KC17">IFERROR(((
_xlfn.XLOOKUP((DATE(YEAR($KC$5),MONTH($KC$5),1)),SMN.COSECHA.DATE,$B17:$KA17) /
_xlfn.XLOOKUP((DATE(YEAR($KC$5)-1,MONTH($KC$5),1)),SMN.COSECHA.DATE,$B17:$KA17)
)-1)*100,"")</f>
        <v>160.46511627906978</v>
      </c>
      <c r="KD17" s="1117">
        <f t="shared" si="39"/>
        <v>-14.79436442592994</v>
      </c>
      <c r="KE17" s="1079" cm="1">
        <f t="array" ref="KE17">SUMIFS($B17:$KA17,SMN.COSECHA.DATE,"&gt;="&amp;DATE(YEAR($KC$5)-1,1,1),SMN.COSECHA.DATE,"&lt;="&amp;DATE(YEAR($KC$5)-1,MONTH($KC$5),1))</f>
        <v>2544.5500000000002</v>
      </c>
      <c r="KF17" s="1118" cm="1">
        <f t="array" ref="KF17">SUMIFS($B17:$KA17,SMN.COSECHA.DATE,"&gt;="&amp;DATE(YEAR($KC$5),1,1),SMN.COSECHA.DATE,"&lt;="&amp;$KC$5)</f>
        <v>2168.1</v>
      </c>
      <c r="KG17" s="62"/>
      <c r="KH17" s="1079">
        <f t="shared" si="40"/>
        <v>147055.29999999999</v>
      </c>
      <c r="KI17" s="1080" t="s">
        <v>567</v>
      </c>
      <c r="KJ17" s="1081" t="str">
        <f t="shared" si="41"/>
        <v>OK</v>
      </c>
    </row>
    <row r="18" spans="1:296" ht="15" customHeight="1" x14ac:dyDescent="0.2">
      <c r="A18" s="1129" t="s">
        <v>568</v>
      </c>
      <c r="B18" s="1098"/>
      <c r="C18" s="1098"/>
      <c r="D18" s="1098"/>
      <c r="E18" s="1098"/>
      <c r="F18" s="1098"/>
      <c r="G18" s="1098"/>
      <c r="H18" s="1098"/>
      <c r="I18" s="1098"/>
      <c r="J18" s="1098"/>
      <c r="K18" s="1098"/>
      <c r="L18" s="1098"/>
      <c r="M18" s="1098">
        <v>30</v>
      </c>
      <c r="N18" s="1097">
        <f t="shared" si="1"/>
        <v>30</v>
      </c>
      <c r="O18" s="1098"/>
      <c r="P18" s="1098"/>
      <c r="Q18" s="1098"/>
      <c r="R18" s="1098"/>
      <c r="S18" s="1098"/>
      <c r="T18" s="1098"/>
      <c r="U18" s="1098"/>
      <c r="V18" s="1098"/>
      <c r="W18" s="1098"/>
      <c r="X18" s="1098"/>
      <c r="Y18" s="1098"/>
      <c r="Z18" s="1098">
        <v>30</v>
      </c>
      <c r="AA18" s="1097">
        <f t="shared" si="3"/>
        <v>30</v>
      </c>
      <c r="AB18" s="1098"/>
      <c r="AC18" s="1098"/>
      <c r="AD18" s="1098"/>
      <c r="AE18" s="1098"/>
      <c r="AF18" s="1098"/>
      <c r="AG18" s="1098"/>
      <c r="AH18" s="1098"/>
      <c r="AI18" s="1098"/>
      <c r="AJ18" s="1098"/>
      <c r="AK18" s="1098"/>
      <c r="AL18" s="1098"/>
      <c r="AM18" s="1098">
        <v>30</v>
      </c>
      <c r="AN18" s="1097">
        <f t="shared" si="5"/>
        <v>30</v>
      </c>
      <c r="AO18" s="1098"/>
      <c r="AP18" s="1098"/>
      <c r="AQ18" s="1098"/>
      <c r="AR18" s="1098"/>
      <c r="AS18" s="1098"/>
      <c r="AT18" s="1098"/>
      <c r="AU18" s="1098"/>
      <c r="AV18" s="1098"/>
      <c r="AW18" s="1098"/>
      <c r="AX18" s="1098"/>
      <c r="AY18" s="1098"/>
      <c r="AZ18" s="1098">
        <v>30</v>
      </c>
      <c r="BA18" s="1097">
        <f t="shared" si="7"/>
        <v>30</v>
      </c>
      <c r="BB18" s="1098"/>
      <c r="BC18" s="1098"/>
      <c r="BD18" s="1098"/>
      <c r="BE18" s="1098"/>
      <c r="BF18" s="1098"/>
      <c r="BG18" s="1098"/>
      <c r="BH18" s="1098"/>
      <c r="BI18" s="1098"/>
      <c r="BJ18" s="1098"/>
      <c r="BK18" s="1098"/>
      <c r="BL18" s="1098"/>
      <c r="BM18" s="1098">
        <v>30</v>
      </c>
      <c r="BN18" s="1097">
        <f t="shared" si="9"/>
        <v>30</v>
      </c>
      <c r="BO18" s="1098"/>
      <c r="BP18" s="1098"/>
      <c r="BQ18" s="1098"/>
      <c r="BR18" s="1098"/>
      <c r="BS18" s="1098"/>
      <c r="BT18" s="1098"/>
      <c r="BU18" s="1098"/>
      <c r="BV18" s="1098"/>
      <c r="BW18" s="1098"/>
      <c r="BX18" s="1098"/>
      <c r="BY18" s="1098"/>
      <c r="BZ18" s="1098">
        <v>30</v>
      </c>
      <c r="CA18" s="1097">
        <f t="shared" si="11"/>
        <v>30</v>
      </c>
      <c r="CB18" s="1098"/>
      <c r="CC18" s="1098"/>
      <c r="CD18" s="1098"/>
      <c r="CE18" s="1098"/>
      <c r="CF18" s="1098"/>
      <c r="CG18" s="1098"/>
      <c r="CH18" s="1098"/>
      <c r="CI18" s="1098"/>
      <c r="CJ18" s="1098"/>
      <c r="CK18" s="1098"/>
      <c r="CL18" s="1098"/>
      <c r="CM18" s="1098">
        <v>18</v>
      </c>
      <c r="CN18" s="1097">
        <f t="shared" si="13"/>
        <v>18</v>
      </c>
      <c r="CO18" s="1098"/>
      <c r="CP18" s="1098"/>
      <c r="CQ18" s="1098"/>
      <c r="CR18" s="1098"/>
      <c r="CS18" s="1098"/>
      <c r="CT18" s="1098"/>
      <c r="CU18" s="1098"/>
      <c r="CV18" s="1098"/>
      <c r="CW18" s="1098"/>
      <c r="CX18" s="1098"/>
      <c r="CY18" s="1098"/>
      <c r="CZ18" s="1098"/>
      <c r="DA18" s="1097">
        <f t="shared" si="15"/>
        <v>0</v>
      </c>
      <c r="DB18" s="1098"/>
      <c r="DC18" s="1098"/>
      <c r="DD18" s="1098"/>
      <c r="DE18" s="1098"/>
      <c r="DF18" s="1098"/>
      <c r="DG18" s="1098"/>
      <c r="DH18" s="1098"/>
      <c r="DI18" s="1098"/>
      <c r="DJ18" s="1098"/>
      <c r="DK18" s="1098"/>
      <c r="DL18" s="1098"/>
      <c r="DM18" s="1098">
        <v>26</v>
      </c>
      <c r="DN18" s="1097">
        <f t="shared" si="17"/>
        <v>26</v>
      </c>
      <c r="DO18" s="1098">
        <v>54</v>
      </c>
      <c r="DP18" s="1098">
        <v>72</v>
      </c>
      <c r="DQ18" s="1098">
        <v>32</v>
      </c>
      <c r="DR18" s="1098">
        <v>6</v>
      </c>
      <c r="DS18" s="1098"/>
      <c r="DT18" s="1098"/>
      <c r="DU18" s="1098"/>
      <c r="DV18" s="1098"/>
      <c r="DW18" s="1098"/>
      <c r="DX18" s="1098"/>
      <c r="DY18" s="1098"/>
      <c r="DZ18" s="1098"/>
      <c r="EA18" s="1097">
        <f t="shared" si="18"/>
        <v>164</v>
      </c>
      <c r="EB18" s="1098"/>
      <c r="EC18" s="1098"/>
      <c r="ED18" s="1098"/>
      <c r="EE18" s="1098"/>
      <c r="EF18" s="1098"/>
      <c r="EG18" s="1098"/>
      <c r="EH18" s="1098"/>
      <c r="EI18" s="1098"/>
      <c r="EJ18" s="1098"/>
      <c r="EK18" s="1098"/>
      <c r="EL18" s="1098"/>
      <c r="EM18" s="1098">
        <v>15</v>
      </c>
      <c r="EN18" s="1097">
        <f t="shared" si="20"/>
        <v>15</v>
      </c>
      <c r="EO18" s="1098"/>
      <c r="EP18" s="1098"/>
      <c r="EQ18" s="1098"/>
      <c r="ER18" s="1098"/>
      <c r="ES18" s="1098"/>
      <c r="ET18" s="1098"/>
      <c r="EU18" s="1098"/>
      <c r="EV18" s="1098"/>
      <c r="EW18" s="1098"/>
      <c r="EX18" s="1098"/>
      <c r="EY18" s="1098"/>
      <c r="EZ18" s="1098">
        <v>2</v>
      </c>
      <c r="FA18" s="1097">
        <f t="shared" si="21"/>
        <v>2</v>
      </c>
      <c r="FB18" s="1098"/>
      <c r="FC18" s="1098"/>
      <c r="FD18" s="1098"/>
      <c r="FE18" s="1098"/>
      <c r="FF18" s="1098"/>
      <c r="FG18" s="1098"/>
      <c r="FH18" s="1098"/>
      <c r="FI18" s="1098"/>
      <c r="FJ18" s="1098"/>
      <c r="FK18" s="1098"/>
      <c r="FL18" s="1098"/>
      <c r="FM18" s="1098">
        <v>2</v>
      </c>
      <c r="FN18" s="1097">
        <f t="shared" si="23"/>
        <v>2</v>
      </c>
      <c r="FO18" s="1098"/>
      <c r="FP18" s="1098"/>
      <c r="FQ18" s="1098"/>
      <c r="FR18" s="1098"/>
      <c r="FS18" s="1098"/>
      <c r="FT18" s="1098"/>
      <c r="FU18" s="1098"/>
      <c r="FV18" s="1098"/>
      <c r="FW18" s="1098"/>
      <c r="FX18" s="1098"/>
      <c r="FY18" s="1098"/>
      <c r="FZ18" s="1098"/>
      <c r="GA18" s="1097">
        <f t="shared" si="24"/>
        <v>0</v>
      </c>
      <c r="GB18" s="1098"/>
      <c r="GC18" s="1098"/>
      <c r="GD18" s="1098"/>
      <c r="GE18" s="1098"/>
      <c r="GF18" s="1098"/>
      <c r="GG18" s="1098"/>
      <c r="GH18" s="1098"/>
      <c r="GI18" s="1098"/>
      <c r="GJ18" s="1098"/>
      <c r="GK18" s="1098"/>
      <c r="GL18" s="1098"/>
      <c r="GM18" s="1098"/>
      <c r="GN18" s="1097">
        <f t="shared" si="26"/>
        <v>0</v>
      </c>
      <c r="GO18" s="1098"/>
      <c r="GP18" s="1098"/>
      <c r="GQ18" s="1098"/>
      <c r="GR18" s="1098"/>
      <c r="GS18" s="1098"/>
      <c r="GT18" s="1098"/>
      <c r="GU18" s="1098"/>
      <c r="GV18" s="1098"/>
      <c r="GW18" s="1098"/>
      <c r="GX18" s="1098"/>
      <c r="GY18" s="1098"/>
      <c r="GZ18" s="1098"/>
      <c r="HA18" s="1097">
        <f t="shared" si="28"/>
        <v>0</v>
      </c>
      <c r="HB18" s="1098"/>
      <c r="HC18" s="1098"/>
      <c r="HD18" s="1098"/>
      <c r="HE18" s="1098"/>
      <c r="HF18" s="1098"/>
      <c r="HG18" s="1098"/>
      <c r="HH18" s="1098"/>
      <c r="HI18" s="1098"/>
      <c r="HJ18" s="1098"/>
      <c r="HK18" s="1098"/>
      <c r="HL18" s="1098"/>
      <c r="HM18" s="1098"/>
      <c r="HN18" s="1097">
        <f t="shared" si="30"/>
        <v>0</v>
      </c>
      <c r="HO18" s="1098"/>
      <c r="HP18" s="1098"/>
      <c r="HQ18" s="1098"/>
      <c r="HR18" s="1098"/>
      <c r="HS18" s="1098"/>
      <c r="HT18" s="1098"/>
      <c r="HU18" s="1098"/>
      <c r="HV18" s="1098"/>
      <c r="HW18" s="1098"/>
      <c r="HX18" s="1098"/>
      <c r="HY18" s="1098"/>
      <c r="HZ18" s="1098"/>
      <c r="IA18" s="1097">
        <f t="shared" si="32"/>
        <v>0</v>
      </c>
      <c r="IB18" s="1098"/>
      <c r="IC18" s="1098"/>
      <c r="ID18" s="1098"/>
      <c r="IE18" s="1098"/>
      <c r="IF18" s="1098"/>
      <c r="IG18" s="1098"/>
      <c r="IH18" s="1098"/>
      <c r="II18" s="1098"/>
      <c r="IJ18" s="1098"/>
      <c r="IK18" s="1098"/>
      <c r="IL18" s="1098"/>
      <c r="IM18" s="1098">
        <v>2.5</v>
      </c>
      <c r="IN18" s="1097">
        <f t="shared" si="34"/>
        <v>2.5</v>
      </c>
      <c r="IO18" s="1098"/>
      <c r="IP18" s="1098"/>
      <c r="IQ18" s="1098"/>
      <c r="IR18" s="1098"/>
      <c r="IS18" s="1098"/>
      <c r="IT18" s="1098"/>
      <c r="IU18" s="1098"/>
      <c r="IV18" s="1098"/>
      <c r="IW18" s="1098"/>
      <c r="IX18" s="1098"/>
      <c r="IY18" s="1098"/>
      <c r="IZ18" s="1098"/>
      <c r="JA18" s="1097">
        <f t="shared" si="35"/>
        <v>0</v>
      </c>
      <c r="JB18" s="1098"/>
      <c r="JC18" s="1098"/>
      <c r="JD18" s="1098"/>
      <c r="JE18" s="1098"/>
      <c r="JF18" s="1098"/>
      <c r="JG18" s="1098"/>
      <c r="JH18" s="1098"/>
      <c r="JI18" s="1098"/>
      <c r="JJ18" s="1098"/>
      <c r="JK18" s="1098"/>
      <c r="JL18" s="1098"/>
      <c r="JM18" s="1098">
        <v>2.5</v>
      </c>
      <c r="JN18" s="1097">
        <f t="shared" si="36"/>
        <v>2.5</v>
      </c>
      <c r="JO18" s="1098">
        <v>0</v>
      </c>
      <c r="JP18" s="1098"/>
      <c r="JQ18" s="1098"/>
      <c r="JR18" s="1098"/>
      <c r="JS18" s="1098"/>
      <c r="JT18" s="1098"/>
      <c r="JU18" s="1098"/>
      <c r="JV18" s="1098"/>
      <c r="JW18" s="1098"/>
      <c r="JX18" s="1098"/>
      <c r="JY18" s="1098"/>
      <c r="JZ18" s="1098"/>
      <c r="KA18" s="1097">
        <f t="shared" si="38"/>
        <v>0</v>
      </c>
      <c r="KC18" s="1116" t="str" cm="1">
        <f t="array" ref="KC18">IFERROR(((
_xlfn.XLOOKUP((DATE(YEAR($KC$5),MONTH($KC$5),1)),SMN.COSECHA.DATE,$B18:$KA18) /
_xlfn.XLOOKUP((DATE(YEAR($KC$5)-1,MONTH($KC$5),1)),SMN.COSECHA.DATE,$B18:$KA18)
)-1)*100,"")</f>
        <v/>
      </c>
      <c r="KD18" s="1117" t="str">
        <f t="shared" si="39"/>
        <v/>
      </c>
      <c r="KE18" s="1079" cm="1">
        <f t="array" ref="KE18">SUMIFS($B18:$KA18,SMN.COSECHA.DATE,"&gt;="&amp;DATE(YEAR($KC$5)-1,1,1),SMN.COSECHA.DATE,"&lt;="&amp;DATE(YEAR($KC$5)-1,MONTH($KC$5),1))</f>
        <v>0</v>
      </c>
      <c r="KF18" s="1118" cm="1">
        <f t="array" ref="KF18">SUMIFS($B18:$KA18,SMN.COSECHA.DATE,"&gt;="&amp;DATE(YEAR($KC$5),1,1),SMN.COSECHA.DATE,"&lt;="&amp;$KC$5)</f>
        <v>2.5</v>
      </c>
      <c r="KG18" s="62"/>
      <c r="KH18" s="1079">
        <f t="shared" si="40"/>
        <v>764</v>
      </c>
      <c r="KI18" s="1080" t="s">
        <v>568</v>
      </c>
      <c r="KJ18" s="1081" t="str">
        <f t="shared" si="41"/>
        <v>OK</v>
      </c>
    </row>
    <row r="19" spans="1:296" ht="15" customHeight="1" x14ac:dyDescent="0.2">
      <c r="A19" s="1129" t="s">
        <v>137</v>
      </c>
      <c r="B19" s="1098"/>
      <c r="C19" s="1098"/>
      <c r="D19" s="1098"/>
      <c r="E19" s="1098"/>
      <c r="F19" s="1098"/>
      <c r="G19" s="1098"/>
      <c r="H19" s="1098"/>
      <c r="I19" s="1098"/>
      <c r="J19" s="1098"/>
      <c r="K19" s="1098"/>
      <c r="L19" s="1098"/>
      <c r="M19" s="1098">
        <v>418</v>
      </c>
      <c r="N19" s="1097">
        <f t="shared" si="1"/>
        <v>418</v>
      </c>
      <c r="O19" s="1098"/>
      <c r="P19" s="1098"/>
      <c r="Q19" s="1098"/>
      <c r="R19" s="1098"/>
      <c r="S19" s="1098"/>
      <c r="T19" s="1098"/>
      <c r="U19" s="1098"/>
      <c r="V19" s="1098"/>
      <c r="W19" s="1098"/>
      <c r="X19" s="1098"/>
      <c r="Y19" s="1098"/>
      <c r="Z19" s="1098">
        <v>447</v>
      </c>
      <c r="AA19" s="1097">
        <f t="shared" si="3"/>
        <v>447</v>
      </c>
      <c r="AB19" s="1098"/>
      <c r="AC19" s="1098"/>
      <c r="AD19" s="1098"/>
      <c r="AE19" s="1098"/>
      <c r="AF19" s="1098"/>
      <c r="AG19" s="1098"/>
      <c r="AH19" s="1098"/>
      <c r="AI19" s="1098"/>
      <c r="AJ19" s="1098"/>
      <c r="AK19" s="1098"/>
      <c r="AL19" s="1098"/>
      <c r="AM19" s="1098">
        <v>464</v>
      </c>
      <c r="AN19" s="1097">
        <f t="shared" si="5"/>
        <v>464</v>
      </c>
      <c r="AO19" s="1098"/>
      <c r="AP19" s="1098"/>
      <c r="AQ19" s="1098"/>
      <c r="AR19" s="1098"/>
      <c r="AS19" s="1098"/>
      <c r="AT19" s="1098"/>
      <c r="AU19" s="1098"/>
      <c r="AV19" s="1098"/>
      <c r="AW19" s="1098"/>
      <c r="AX19" s="1098"/>
      <c r="AY19" s="1098"/>
      <c r="AZ19" s="1098">
        <v>468</v>
      </c>
      <c r="BA19" s="1097">
        <f t="shared" si="7"/>
        <v>468</v>
      </c>
      <c r="BB19" s="1098"/>
      <c r="BC19" s="1098"/>
      <c r="BD19" s="1098"/>
      <c r="BE19" s="1098"/>
      <c r="BF19" s="1098"/>
      <c r="BG19" s="1098"/>
      <c r="BH19" s="1098"/>
      <c r="BI19" s="1098"/>
      <c r="BJ19" s="1098"/>
      <c r="BK19" s="1098"/>
      <c r="BL19" s="1098"/>
      <c r="BM19" s="1098">
        <v>403</v>
      </c>
      <c r="BN19" s="1097">
        <f t="shared" si="9"/>
        <v>403</v>
      </c>
      <c r="BO19" s="1098"/>
      <c r="BP19" s="1098"/>
      <c r="BQ19" s="1098"/>
      <c r="BR19" s="1098"/>
      <c r="BS19" s="1098"/>
      <c r="BT19" s="1098"/>
      <c r="BU19" s="1098"/>
      <c r="BV19" s="1098"/>
      <c r="BW19" s="1098"/>
      <c r="BX19" s="1098"/>
      <c r="BY19" s="1098"/>
      <c r="BZ19" s="1098">
        <v>465</v>
      </c>
      <c r="CA19" s="1097">
        <f t="shared" si="11"/>
        <v>465</v>
      </c>
      <c r="CB19" s="1098"/>
      <c r="CC19" s="1098"/>
      <c r="CD19" s="1098"/>
      <c r="CE19" s="1098"/>
      <c r="CF19" s="1098"/>
      <c r="CG19" s="1098"/>
      <c r="CH19" s="1098"/>
      <c r="CI19" s="1098"/>
      <c r="CJ19" s="1098"/>
      <c r="CK19" s="1098"/>
      <c r="CL19" s="1098"/>
      <c r="CM19" s="1098">
        <v>277</v>
      </c>
      <c r="CN19" s="1097">
        <f t="shared" si="13"/>
        <v>277</v>
      </c>
      <c r="CO19" s="1098"/>
      <c r="CP19" s="1098"/>
      <c r="CQ19" s="1098"/>
      <c r="CR19" s="1098"/>
      <c r="CS19" s="1098"/>
      <c r="CT19" s="1098"/>
      <c r="CU19" s="1098"/>
      <c r="CV19" s="1098"/>
      <c r="CW19" s="1098"/>
      <c r="CX19" s="1098"/>
      <c r="CY19" s="1098"/>
      <c r="CZ19" s="1098">
        <v>87</v>
      </c>
      <c r="DA19" s="1097">
        <f t="shared" si="15"/>
        <v>87</v>
      </c>
      <c r="DB19" s="1098"/>
      <c r="DC19" s="1098"/>
      <c r="DD19" s="1098"/>
      <c r="DE19" s="1098"/>
      <c r="DF19" s="1098"/>
      <c r="DG19" s="1098"/>
      <c r="DH19" s="1098"/>
      <c r="DI19" s="1098"/>
      <c r="DJ19" s="1098"/>
      <c r="DK19" s="1098"/>
      <c r="DL19" s="1098"/>
      <c r="DM19" s="1098">
        <v>506</v>
      </c>
      <c r="DN19" s="1097">
        <f t="shared" si="17"/>
        <v>506</v>
      </c>
      <c r="DO19" s="1098">
        <v>314</v>
      </c>
      <c r="DP19" s="1098">
        <v>490</v>
      </c>
      <c r="DQ19" s="1098">
        <v>122</v>
      </c>
      <c r="DR19" s="1098">
        <v>6</v>
      </c>
      <c r="DS19" s="1098"/>
      <c r="DT19" s="1098"/>
      <c r="DU19" s="1098"/>
      <c r="DV19" s="1098"/>
      <c r="DW19" s="1098"/>
      <c r="DX19" s="1098"/>
      <c r="DY19" s="1098"/>
      <c r="DZ19" s="1098">
        <v>1</v>
      </c>
      <c r="EA19" s="1097">
        <f t="shared" si="18"/>
        <v>933</v>
      </c>
      <c r="EB19" s="1098"/>
      <c r="EC19" s="1098"/>
      <c r="ED19" s="1098"/>
      <c r="EE19" s="1098"/>
      <c r="EF19" s="1098"/>
      <c r="EG19" s="1098"/>
      <c r="EH19" s="1098"/>
      <c r="EI19" s="1098"/>
      <c r="EJ19" s="1098"/>
      <c r="EK19" s="1098"/>
      <c r="EL19" s="1098"/>
      <c r="EM19" s="1098">
        <v>400</v>
      </c>
      <c r="EN19" s="1097">
        <f t="shared" si="20"/>
        <v>400</v>
      </c>
      <c r="EO19" s="1098"/>
      <c r="EP19" s="1098"/>
      <c r="EQ19" s="1098"/>
      <c r="ER19" s="1098"/>
      <c r="ES19" s="1098"/>
      <c r="ET19" s="1098"/>
      <c r="EU19" s="1098"/>
      <c r="EV19" s="1098"/>
      <c r="EW19" s="1098"/>
      <c r="EX19" s="1098"/>
      <c r="EY19" s="1098"/>
      <c r="EZ19" s="1098">
        <v>387</v>
      </c>
      <c r="FA19" s="1097">
        <f t="shared" si="21"/>
        <v>387</v>
      </c>
      <c r="FB19" s="1098"/>
      <c r="FC19" s="1098"/>
      <c r="FD19" s="1098"/>
      <c r="FE19" s="1098"/>
      <c r="FF19" s="1098"/>
      <c r="FG19" s="1098"/>
      <c r="FH19" s="1098"/>
      <c r="FI19" s="1098"/>
      <c r="FJ19" s="1098"/>
      <c r="FK19" s="1098"/>
      <c r="FL19" s="1098"/>
      <c r="FM19" s="1098">
        <v>376</v>
      </c>
      <c r="FN19" s="1097">
        <f t="shared" si="23"/>
        <v>376</v>
      </c>
      <c r="FO19" s="1098"/>
      <c r="FP19" s="1098"/>
      <c r="FQ19" s="1098"/>
      <c r="FR19" s="1098"/>
      <c r="FS19" s="1098"/>
      <c r="FT19" s="1098"/>
      <c r="FU19" s="1098"/>
      <c r="FV19" s="1098"/>
      <c r="FW19" s="1098"/>
      <c r="FX19" s="1098"/>
      <c r="FY19" s="1098"/>
      <c r="FZ19" s="1098">
        <v>376</v>
      </c>
      <c r="GA19" s="1097">
        <f t="shared" si="24"/>
        <v>376</v>
      </c>
      <c r="GB19" s="1098"/>
      <c r="GC19" s="1098"/>
      <c r="GD19" s="1098"/>
      <c r="GE19" s="1098"/>
      <c r="GF19" s="1098"/>
      <c r="GG19" s="1098"/>
      <c r="GH19" s="1098"/>
      <c r="GI19" s="1098"/>
      <c r="GJ19" s="1098"/>
      <c r="GK19" s="1098"/>
      <c r="GL19" s="1098"/>
      <c r="GM19" s="1098">
        <v>375</v>
      </c>
      <c r="GN19" s="1097">
        <f t="shared" si="26"/>
        <v>375</v>
      </c>
      <c r="GO19" s="1098"/>
      <c r="GP19" s="1098"/>
      <c r="GQ19" s="1098"/>
      <c r="GR19" s="1098"/>
      <c r="GS19" s="1098"/>
      <c r="GT19" s="1098"/>
      <c r="GU19" s="1098"/>
      <c r="GV19" s="1098"/>
      <c r="GW19" s="1098"/>
      <c r="GX19" s="1098"/>
      <c r="GY19" s="1098"/>
      <c r="GZ19" s="1098">
        <v>321</v>
      </c>
      <c r="HA19" s="1097">
        <f t="shared" si="28"/>
        <v>321</v>
      </c>
      <c r="HB19" s="1098"/>
      <c r="HC19" s="1098"/>
      <c r="HD19" s="1098"/>
      <c r="HE19" s="1098"/>
      <c r="HF19" s="1098"/>
      <c r="HG19" s="1098"/>
      <c r="HH19" s="1098"/>
      <c r="HI19" s="1098"/>
      <c r="HJ19" s="1098"/>
      <c r="HK19" s="1098"/>
      <c r="HL19" s="1098"/>
      <c r="HM19" s="1098"/>
      <c r="HN19" s="1097">
        <f t="shared" si="30"/>
        <v>0</v>
      </c>
      <c r="HO19" s="1098"/>
      <c r="HP19" s="1098"/>
      <c r="HQ19" s="1098"/>
      <c r="HR19" s="1098"/>
      <c r="HS19" s="1098"/>
      <c r="HT19" s="1098"/>
      <c r="HU19" s="1098"/>
      <c r="HV19" s="1098"/>
      <c r="HW19" s="1098"/>
      <c r="HX19" s="1098"/>
      <c r="HY19" s="1098"/>
      <c r="HZ19" s="1098"/>
      <c r="IA19" s="1097">
        <f t="shared" si="32"/>
        <v>0</v>
      </c>
      <c r="IB19" s="1098"/>
      <c r="IC19" s="1098"/>
      <c r="ID19" s="1098"/>
      <c r="IE19" s="1098"/>
      <c r="IF19" s="1098"/>
      <c r="IG19" s="1098"/>
      <c r="IH19" s="1098"/>
      <c r="II19" s="1098"/>
      <c r="IJ19" s="1098"/>
      <c r="IK19" s="1098"/>
      <c r="IL19" s="1098"/>
      <c r="IM19" s="1098">
        <v>390.5</v>
      </c>
      <c r="IN19" s="1097">
        <f t="shared" si="34"/>
        <v>390.5</v>
      </c>
      <c r="IO19" s="1098"/>
      <c r="IP19" s="1098"/>
      <c r="IQ19" s="1098"/>
      <c r="IR19" s="1098"/>
      <c r="IS19" s="1098"/>
      <c r="IT19" s="1098"/>
      <c r="IU19" s="1098"/>
      <c r="IV19" s="1098"/>
      <c r="IW19" s="1098"/>
      <c r="IX19" s="1098"/>
      <c r="IY19" s="1098"/>
      <c r="IZ19" s="1098">
        <v>157</v>
      </c>
      <c r="JA19" s="1097">
        <f t="shared" si="35"/>
        <v>157</v>
      </c>
      <c r="JB19" s="1098"/>
      <c r="JC19" s="1098"/>
      <c r="JD19" s="1098"/>
      <c r="JE19" s="1098"/>
      <c r="JF19" s="1098"/>
      <c r="JG19" s="1098"/>
      <c r="JH19" s="1098"/>
      <c r="JI19" s="1098"/>
      <c r="JJ19" s="1098"/>
      <c r="JK19" s="1098"/>
      <c r="JL19" s="1098"/>
      <c r="JM19" s="1098">
        <v>442.5</v>
      </c>
      <c r="JN19" s="1097">
        <f t="shared" si="36"/>
        <v>442.5</v>
      </c>
      <c r="JO19" s="1098">
        <v>0</v>
      </c>
      <c r="JP19" s="1098"/>
      <c r="JQ19" s="1098"/>
      <c r="JR19" s="1098"/>
      <c r="JS19" s="1098"/>
      <c r="JT19" s="1098"/>
      <c r="JU19" s="1098"/>
      <c r="JV19" s="1098"/>
      <c r="JW19" s="1098"/>
      <c r="JX19" s="1098"/>
      <c r="JY19" s="1098"/>
      <c r="JZ19" s="1098"/>
      <c r="KA19" s="1097">
        <f t="shared" si="38"/>
        <v>0</v>
      </c>
      <c r="KC19" s="1116" cm="1">
        <f t="array" ref="KC19">IFERROR(((
_xlfn.XLOOKUP((DATE(YEAR($KC$5),MONTH($KC$5),1)),SMN.COSECHA.DATE,$B19:$KA19) /
_xlfn.XLOOKUP((DATE(YEAR($KC$5)-1,MONTH($KC$5),1)),SMN.COSECHA.DATE,$B19:$KA19)
)-1)*100,"")</f>
        <v>181.84713375796179</v>
      </c>
      <c r="KD19" s="1117">
        <f t="shared" si="39"/>
        <v>181.84713375796179</v>
      </c>
      <c r="KE19" s="1079" cm="1">
        <f t="array" ref="KE19">SUMIFS($B19:$KA19,SMN.COSECHA.DATE,"&gt;="&amp;DATE(YEAR($KC$5)-1,1,1),SMN.COSECHA.DATE,"&lt;="&amp;DATE(YEAR($KC$5)-1,MONTH($KC$5),1))</f>
        <v>157</v>
      </c>
      <c r="KF19" s="1118" cm="1">
        <f t="array" ref="KF19">SUMIFS($B19:$KA19,SMN.COSECHA.DATE,"&gt;="&amp;DATE(YEAR($KC$5),1,1),SMN.COSECHA.DATE,"&lt;="&amp;$KC$5)</f>
        <v>442.5</v>
      </c>
      <c r="KG19" s="62"/>
      <c r="KH19" s="1079">
        <f t="shared" si="40"/>
        <v>14550</v>
      </c>
      <c r="KI19" s="1080" t="s">
        <v>137</v>
      </c>
      <c r="KJ19" s="1081" t="str">
        <f t="shared" si="41"/>
        <v>OK</v>
      </c>
    </row>
    <row r="20" spans="1:296" ht="15" customHeight="1" x14ac:dyDescent="0.2">
      <c r="A20" s="1129" t="s">
        <v>145</v>
      </c>
      <c r="B20" s="1098">
        <v>6387</v>
      </c>
      <c r="C20" s="1098">
        <v>22588</v>
      </c>
      <c r="D20" s="1098">
        <v>8077</v>
      </c>
      <c r="E20" s="1098">
        <v>265</v>
      </c>
      <c r="F20" s="1098">
        <v>1276</v>
      </c>
      <c r="G20" s="1098">
        <v>12322</v>
      </c>
      <c r="H20" s="1098">
        <v>9739</v>
      </c>
      <c r="I20" s="1098">
        <v>7660</v>
      </c>
      <c r="J20" s="1098">
        <v>655</v>
      </c>
      <c r="K20" s="1098">
        <v>568</v>
      </c>
      <c r="L20" s="1098">
        <v>1019</v>
      </c>
      <c r="M20" s="1098">
        <v>1023</v>
      </c>
      <c r="N20" s="1097">
        <f t="shared" si="1"/>
        <v>71579</v>
      </c>
      <c r="O20" s="1098">
        <v>8619</v>
      </c>
      <c r="P20" s="1098">
        <v>10923</v>
      </c>
      <c r="Q20" s="1098">
        <v>7216</v>
      </c>
      <c r="R20" s="1098">
        <v>1187</v>
      </c>
      <c r="S20" s="1098">
        <v>173</v>
      </c>
      <c r="T20" s="1098">
        <v>5259</v>
      </c>
      <c r="U20" s="1098">
        <v>19194</v>
      </c>
      <c r="V20" s="1098">
        <v>7664</v>
      </c>
      <c r="W20" s="1098">
        <v>403</v>
      </c>
      <c r="X20" s="1098">
        <v>525</v>
      </c>
      <c r="Y20" s="1098">
        <v>1133</v>
      </c>
      <c r="Z20" s="1098">
        <v>781</v>
      </c>
      <c r="AA20" s="1097">
        <f t="shared" si="3"/>
        <v>63077</v>
      </c>
      <c r="AB20" s="1098">
        <v>5372</v>
      </c>
      <c r="AC20" s="1098">
        <v>14386</v>
      </c>
      <c r="AD20" s="1098">
        <v>2730</v>
      </c>
      <c r="AE20" s="1098">
        <v>478</v>
      </c>
      <c r="AF20" s="1098">
        <v>206</v>
      </c>
      <c r="AG20" s="1098">
        <v>1256</v>
      </c>
      <c r="AH20" s="1098">
        <v>13031</v>
      </c>
      <c r="AI20" s="1098">
        <v>20810</v>
      </c>
      <c r="AJ20" s="1098">
        <v>858</v>
      </c>
      <c r="AK20" s="1098">
        <v>560</v>
      </c>
      <c r="AL20" s="1098">
        <v>1365</v>
      </c>
      <c r="AM20" s="1098">
        <v>2089</v>
      </c>
      <c r="AN20" s="1097">
        <f t="shared" si="5"/>
        <v>63141</v>
      </c>
      <c r="AO20" s="1098">
        <v>5687</v>
      </c>
      <c r="AP20" s="1098">
        <v>17584</v>
      </c>
      <c r="AQ20" s="1098">
        <v>5611</v>
      </c>
      <c r="AR20" s="1098">
        <v>178</v>
      </c>
      <c r="AS20" s="1098">
        <v>184</v>
      </c>
      <c r="AT20" s="1098">
        <v>1717</v>
      </c>
      <c r="AU20" s="1098">
        <v>19050</v>
      </c>
      <c r="AV20" s="1098">
        <v>10131</v>
      </c>
      <c r="AW20" s="1098">
        <v>415</v>
      </c>
      <c r="AX20" s="1098">
        <v>827</v>
      </c>
      <c r="AY20" s="1098">
        <v>1053</v>
      </c>
      <c r="AZ20" s="1098">
        <v>619</v>
      </c>
      <c r="BA20" s="1097">
        <f t="shared" si="7"/>
        <v>63056</v>
      </c>
      <c r="BB20" s="1098">
        <v>4141</v>
      </c>
      <c r="BC20" s="1098">
        <v>15341</v>
      </c>
      <c r="BD20" s="1098">
        <v>10260</v>
      </c>
      <c r="BE20" s="1098">
        <v>1129</v>
      </c>
      <c r="BF20" s="1098">
        <v>113</v>
      </c>
      <c r="BG20" s="1098">
        <v>1231</v>
      </c>
      <c r="BH20" s="1098">
        <v>13390</v>
      </c>
      <c r="BI20" s="1098">
        <v>11808</v>
      </c>
      <c r="BJ20" s="1098">
        <v>705</v>
      </c>
      <c r="BK20" s="1098">
        <v>1454</v>
      </c>
      <c r="BL20" s="1098">
        <v>1440</v>
      </c>
      <c r="BM20" s="1098">
        <v>3746</v>
      </c>
      <c r="BN20" s="1097">
        <f t="shared" si="9"/>
        <v>64758</v>
      </c>
      <c r="BO20" s="1098">
        <v>7452</v>
      </c>
      <c r="BP20" s="1098">
        <v>8409</v>
      </c>
      <c r="BQ20" s="1098">
        <v>7078</v>
      </c>
      <c r="BR20" s="1098">
        <v>450</v>
      </c>
      <c r="BS20" s="1098">
        <v>119</v>
      </c>
      <c r="BT20" s="1098">
        <v>6559</v>
      </c>
      <c r="BU20" s="1098">
        <v>8853</v>
      </c>
      <c r="BV20" s="1098">
        <v>8213</v>
      </c>
      <c r="BW20" s="1098">
        <v>2191</v>
      </c>
      <c r="BX20" s="1098">
        <v>2156</v>
      </c>
      <c r="BY20" s="1098">
        <v>2042</v>
      </c>
      <c r="BZ20" s="1098">
        <v>991</v>
      </c>
      <c r="CA20" s="1097">
        <f t="shared" si="11"/>
        <v>54513</v>
      </c>
      <c r="CB20" s="1098">
        <v>5699</v>
      </c>
      <c r="CC20" s="1098">
        <v>15236</v>
      </c>
      <c r="CD20" s="1098">
        <v>5815</v>
      </c>
      <c r="CE20" s="1098">
        <v>371</v>
      </c>
      <c r="CF20" s="1098">
        <v>110</v>
      </c>
      <c r="CG20" s="1098">
        <v>3060</v>
      </c>
      <c r="CH20" s="1098">
        <v>7885</v>
      </c>
      <c r="CI20" s="1098">
        <v>5787</v>
      </c>
      <c r="CJ20" s="1098">
        <v>918</v>
      </c>
      <c r="CK20" s="1098">
        <v>1614</v>
      </c>
      <c r="CL20" s="1098">
        <v>2400</v>
      </c>
      <c r="CM20" s="1098">
        <v>1917</v>
      </c>
      <c r="CN20" s="1097">
        <f t="shared" si="13"/>
        <v>50812</v>
      </c>
      <c r="CO20" s="1098">
        <v>7856</v>
      </c>
      <c r="CP20" s="1098">
        <v>8459</v>
      </c>
      <c r="CQ20" s="1098">
        <v>7179</v>
      </c>
      <c r="CR20" s="1098">
        <v>3955</v>
      </c>
      <c r="CS20" s="1098">
        <v>3821</v>
      </c>
      <c r="CT20" s="1098">
        <v>4429</v>
      </c>
      <c r="CU20" s="1098">
        <v>7773</v>
      </c>
      <c r="CV20" s="1098">
        <v>4837</v>
      </c>
      <c r="CW20" s="1098">
        <v>3097</v>
      </c>
      <c r="CX20" s="1098">
        <v>2623</v>
      </c>
      <c r="CY20" s="1098">
        <v>2505</v>
      </c>
      <c r="CZ20" s="1098">
        <v>1377</v>
      </c>
      <c r="DA20" s="1097">
        <f t="shared" si="15"/>
        <v>57911</v>
      </c>
      <c r="DB20" s="1098">
        <v>5674</v>
      </c>
      <c r="DC20" s="1098">
        <v>12854</v>
      </c>
      <c r="DD20" s="1098">
        <v>8936</v>
      </c>
      <c r="DE20" s="1098">
        <v>174</v>
      </c>
      <c r="DF20" s="1098">
        <v>1948</v>
      </c>
      <c r="DG20" s="1098">
        <v>7188</v>
      </c>
      <c r="DH20" s="1098">
        <v>7014</v>
      </c>
      <c r="DI20" s="1098">
        <v>8674</v>
      </c>
      <c r="DJ20" s="1098">
        <v>279</v>
      </c>
      <c r="DK20" s="1098">
        <v>799</v>
      </c>
      <c r="DL20" s="1098">
        <v>1199</v>
      </c>
      <c r="DM20" s="1098">
        <v>790</v>
      </c>
      <c r="DN20" s="1097">
        <f t="shared" si="17"/>
        <v>55529</v>
      </c>
      <c r="DO20" s="1098"/>
      <c r="DP20" s="1098"/>
      <c r="DQ20" s="1098"/>
      <c r="DR20" s="1098"/>
      <c r="DS20" s="1098"/>
      <c r="DT20" s="1098"/>
      <c r="DU20" s="1098"/>
      <c r="DV20" s="1098"/>
      <c r="DW20" s="1098"/>
      <c r="DX20" s="1098"/>
      <c r="DY20" s="1098"/>
      <c r="DZ20" s="1098"/>
      <c r="EA20" s="1097">
        <f t="shared" si="18"/>
        <v>0</v>
      </c>
      <c r="EB20" s="1098">
        <v>7357</v>
      </c>
      <c r="EC20" s="1098">
        <v>7955</v>
      </c>
      <c r="ED20" s="1098">
        <v>6323</v>
      </c>
      <c r="EE20" s="1098">
        <v>2380</v>
      </c>
      <c r="EF20" s="1098">
        <v>3245</v>
      </c>
      <c r="EG20" s="1098">
        <v>6965</v>
      </c>
      <c r="EH20" s="1098">
        <v>7949</v>
      </c>
      <c r="EI20" s="1098">
        <v>6338</v>
      </c>
      <c r="EJ20" s="1098">
        <v>2312</v>
      </c>
      <c r="EK20" s="1098">
        <v>1223</v>
      </c>
      <c r="EL20" s="1098">
        <v>994</v>
      </c>
      <c r="EM20" s="1098">
        <v>1426</v>
      </c>
      <c r="EN20" s="1097">
        <f t="shared" si="20"/>
        <v>54467</v>
      </c>
      <c r="EO20" s="1098">
        <v>5900</v>
      </c>
      <c r="EP20" s="1098">
        <v>12447</v>
      </c>
      <c r="EQ20" s="1098">
        <v>2366</v>
      </c>
      <c r="ER20" s="1098">
        <v>229</v>
      </c>
      <c r="ES20" s="1098">
        <v>1169</v>
      </c>
      <c r="ET20" s="1098">
        <v>7051</v>
      </c>
      <c r="EU20" s="1098">
        <v>7194</v>
      </c>
      <c r="EV20" s="1098">
        <v>5313</v>
      </c>
      <c r="EW20" s="1098">
        <v>1936</v>
      </c>
      <c r="EX20" s="1098">
        <v>776</v>
      </c>
      <c r="EY20" s="1098">
        <v>1050</v>
      </c>
      <c r="EZ20" s="1098">
        <v>1007</v>
      </c>
      <c r="FA20" s="1097">
        <f t="shared" si="21"/>
        <v>46438</v>
      </c>
      <c r="FB20" s="1098">
        <v>6253</v>
      </c>
      <c r="FC20" s="1098">
        <v>8489</v>
      </c>
      <c r="FD20" s="1098">
        <v>4226</v>
      </c>
      <c r="FE20" s="1098">
        <v>135</v>
      </c>
      <c r="FF20" s="1098">
        <v>850</v>
      </c>
      <c r="FG20" s="1098">
        <v>6464</v>
      </c>
      <c r="FH20" s="1098">
        <v>7584</v>
      </c>
      <c r="FI20" s="1098">
        <v>4596</v>
      </c>
      <c r="FJ20" s="1098">
        <v>1416</v>
      </c>
      <c r="FK20" s="1098">
        <v>753</v>
      </c>
      <c r="FL20" s="1098">
        <v>963</v>
      </c>
      <c r="FM20" s="1098">
        <v>1280</v>
      </c>
      <c r="FN20" s="1097">
        <f t="shared" si="23"/>
        <v>43009</v>
      </c>
      <c r="FO20" s="1098">
        <v>5510</v>
      </c>
      <c r="FP20" s="1098">
        <v>9831</v>
      </c>
      <c r="FQ20" s="1098">
        <v>4604</v>
      </c>
      <c r="FR20" s="1098">
        <v>152</v>
      </c>
      <c r="FS20" s="1098">
        <v>1274</v>
      </c>
      <c r="FT20" s="1098">
        <v>6231</v>
      </c>
      <c r="FU20" s="1098">
        <v>7590</v>
      </c>
      <c r="FV20" s="1098">
        <v>7488</v>
      </c>
      <c r="FW20" s="1098">
        <v>293</v>
      </c>
      <c r="FX20" s="1098">
        <v>514</v>
      </c>
      <c r="FY20" s="1098">
        <v>755</v>
      </c>
      <c r="FZ20" s="1098">
        <v>622</v>
      </c>
      <c r="GA20" s="1097">
        <f t="shared" si="24"/>
        <v>44864</v>
      </c>
      <c r="GB20" s="1098">
        <v>5792</v>
      </c>
      <c r="GC20" s="1098">
        <v>10675</v>
      </c>
      <c r="GD20" s="1098">
        <v>1379</v>
      </c>
      <c r="GE20" s="1098">
        <v>249</v>
      </c>
      <c r="GF20" s="1098">
        <v>1807</v>
      </c>
      <c r="GG20" s="1098">
        <v>8225</v>
      </c>
      <c r="GH20" s="1098">
        <v>10385</v>
      </c>
      <c r="GI20" s="1098">
        <v>990</v>
      </c>
      <c r="GJ20" s="1098">
        <v>1593</v>
      </c>
      <c r="GK20" s="1098">
        <v>613</v>
      </c>
      <c r="GL20" s="1098">
        <v>1057</v>
      </c>
      <c r="GM20" s="1098">
        <v>1027</v>
      </c>
      <c r="GN20" s="1097">
        <f t="shared" si="26"/>
        <v>43792</v>
      </c>
      <c r="GO20" s="1098">
        <v>6807</v>
      </c>
      <c r="GP20" s="1098">
        <v>11369</v>
      </c>
      <c r="GQ20" s="1098">
        <v>1604</v>
      </c>
      <c r="GR20" s="1098">
        <v>457</v>
      </c>
      <c r="GS20" s="1098">
        <v>2942</v>
      </c>
      <c r="GT20" s="1098">
        <v>6171</v>
      </c>
      <c r="GU20" s="1098">
        <v>8187</v>
      </c>
      <c r="GV20" s="1098">
        <v>3752</v>
      </c>
      <c r="GW20" s="1098">
        <v>756</v>
      </c>
      <c r="GX20" s="1098">
        <v>1081</v>
      </c>
      <c r="GY20" s="1098">
        <v>617</v>
      </c>
      <c r="GZ20" s="1098">
        <v>1206</v>
      </c>
      <c r="HA20" s="1097">
        <f t="shared" si="28"/>
        <v>44949</v>
      </c>
      <c r="HB20" s="1098">
        <v>6649</v>
      </c>
      <c r="HC20" s="1098">
        <v>10105</v>
      </c>
      <c r="HD20" s="1098">
        <v>936</v>
      </c>
      <c r="HE20" s="1098">
        <v>620</v>
      </c>
      <c r="HF20" s="1098">
        <v>2301</v>
      </c>
      <c r="HG20" s="1098">
        <v>8193</v>
      </c>
      <c r="HH20" s="1098">
        <v>9497</v>
      </c>
      <c r="HI20" s="1098">
        <v>1876</v>
      </c>
      <c r="HJ20" s="1098">
        <v>1037.5</v>
      </c>
      <c r="HK20" s="1098">
        <v>981</v>
      </c>
      <c r="HL20" s="1098">
        <v>3401</v>
      </c>
      <c r="HM20" s="1098">
        <v>3852</v>
      </c>
      <c r="HN20" s="1097">
        <f t="shared" si="30"/>
        <v>49448.5</v>
      </c>
      <c r="HO20" s="1098">
        <v>13302</v>
      </c>
      <c r="HP20" s="1098">
        <v>7262</v>
      </c>
      <c r="HQ20" s="1098">
        <v>577</v>
      </c>
      <c r="HR20" s="1098">
        <v>675</v>
      </c>
      <c r="HS20" s="1098">
        <v>2631</v>
      </c>
      <c r="HT20" s="1098">
        <v>10542</v>
      </c>
      <c r="HU20" s="1098">
        <v>7734</v>
      </c>
      <c r="HV20" s="1098">
        <v>2403</v>
      </c>
      <c r="HW20" s="1098">
        <v>665</v>
      </c>
      <c r="HX20" s="1098">
        <v>631</v>
      </c>
      <c r="HY20" s="1098">
        <v>761</v>
      </c>
      <c r="HZ20" s="1098">
        <v>1037</v>
      </c>
      <c r="IA20" s="1097">
        <f t="shared" si="32"/>
        <v>48220</v>
      </c>
      <c r="IB20" s="1098">
        <v>13976</v>
      </c>
      <c r="IC20" s="1098">
        <v>9346</v>
      </c>
      <c r="ID20" s="1098">
        <v>2627</v>
      </c>
      <c r="IE20" s="1098">
        <v>1157</v>
      </c>
      <c r="IF20" s="1098">
        <v>3141.5</v>
      </c>
      <c r="IG20" s="1098">
        <v>1417</v>
      </c>
      <c r="IH20" s="1098">
        <v>1129.3</v>
      </c>
      <c r="II20" s="1098">
        <v>1861</v>
      </c>
      <c r="IJ20" s="1098">
        <v>1830</v>
      </c>
      <c r="IK20" s="1098">
        <v>1431</v>
      </c>
      <c r="IL20" s="1098">
        <v>2506</v>
      </c>
      <c r="IM20" s="1098">
        <v>5652</v>
      </c>
      <c r="IN20" s="1097">
        <f t="shared" si="34"/>
        <v>46073.8</v>
      </c>
      <c r="IO20" s="1098">
        <v>12854</v>
      </c>
      <c r="IP20" s="1098">
        <v>12977</v>
      </c>
      <c r="IQ20" s="1098">
        <v>12931</v>
      </c>
      <c r="IR20" s="1098">
        <v>3504</v>
      </c>
      <c r="IS20" s="1098">
        <v>3562</v>
      </c>
      <c r="IT20" s="1098">
        <v>14524</v>
      </c>
      <c r="IU20" s="1098">
        <v>3980</v>
      </c>
      <c r="IV20" s="1098">
        <v>3894</v>
      </c>
      <c r="IW20" s="1098">
        <v>4127</v>
      </c>
      <c r="IX20" s="1098">
        <v>600</v>
      </c>
      <c r="IY20" s="1098">
        <v>668</v>
      </c>
      <c r="IZ20" s="1098">
        <v>382</v>
      </c>
      <c r="JA20" s="1097">
        <f t="shared" si="35"/>
        <v>74003</v>
      </c>
      <c r="JB20" s="1098">
        <v>6966</v>
      </c>
      <c r="JC20" s="1098">
        <v>6086</v>
      </c>
      <c r="JD20" s="1098">
        <v>6086</v>
      </c>
      <c r="JE20" s="1098">
        <v>6015</v>
      </c>
      <c r="JF20" s="1098">
        <v>6950</v>
      </c>
      <c r="JG20" s="1098">
        <v>12833</v>
      </c>
      <c r="JH20" s="1098">
        <v>10403</v>
      </c>
      <c r="JI20" s="1098">
        <v>4149</v>
      </c>
      <c r="JJ20" s="1098">
        <v>595</v>
      </c>
      <c r="JK20" s="1098">
        <v>610</v>
      </c>
      <c r="JL20" s="1098">
        <v>692</v>
      </c>
      <c r="JM20" s="1098">
        <v>1902</v>
      </c>
      <c r="JN20" s="1097">
        <f t="shared" si="36"/>
        <v>63287</v>
      </c>
      <c r="JO20" s="1098">
        <v>9426</v>
      </c>
      <c r="JP20" s="1098"/>
      <c r="JQ20" s="1098"/>
      <c r="JR20" s="1098"/>
      <c r="JS20" s="1098"/>
      <c r="JT20" s="1098"/>
      <c r="JU20" s="1098"/>
      <c r="JV20" s="1098"/>
      <c r="JW20" s="1098"/>
      <c r="JX20" s="1098"/>
      <c r="JY20" s="1098"/>
      <c r="JZ20" s="1098"/>
      <c r="KA20" s="1097">
        <f t="shared" si="38"/>
        <v>9426</v>
      </c>
      <c r="KC20" s="1116" cm="1">
        <f t="array" ref="KC20">IFERROR(((
_xlfn.XLOOKUP((DATE(YEAR($KC$5),MONTH($KC$5),1)),SMN.COSECHA.DATE,$B20:$KA20) /
_xlfn.XLOOKUP((DATE(YEAR($KC$5)-1,MONTH($KC$5),1)),SMN.COSECHA.DATE,$B20:$KA20)
)-1)*100,"")</f>
        <v>397.9057591623037</v>
      </c>
      <c r="KD20" s="1117">
        <f t="shared" si="39"/>
        <v>-14.480494034025648</v>
      </c>
      <c r="KE20" s="1079" cm="1">
        <f t="array" ref="KE20">SUMIFS($B20:$KA20,SMN.COSECHA.DATE,"&gt;="&amp;DATE(YEAR($KC$5)-1,1,1),SMN.COSECHA.DATE,"&lt;="&amp;DATE(YEAR($KC$5)-1,MONTH($KC$5),1))</f>
        <v>74003</v>
      </c>
      <c r="KF20" s="1118" cm="1">
        <f t="array" ref="KF20">SUMIFS($B20:$KA20,SMN.COSECHA.DATE,"&gt;="&amp;DATE(YEAR($KC$5),1,1),SMN.COSECHA.DATE,"&lt;="&amp;$KC$5)</f>
        <v>63287</v>
      </c>
      <c r="KG20" s="62"/>
      <c r="KH20" s="1079">
        <f t="shared" si="40"/>
        <v>2081548.6</v>
      </c>
      <c r="KI20" s="1080" t="s">
        <v>145</v>
      </c>
      <c r="KJ20" s="1081" t="str">
        <f t="shared" si="41"/>
        <v>OK</v>
      </c>
    </row>
    <row r="21" spans="1:296" ht="15" customHeight="1" x14ac:dyDescent="0.2">
      <c r="A21" s="1129" t="s">
        <v>140</v>
      </c>
      <c r="B21" s="1098"/>
      <c r="C21" s="1098"/>
      <c r="D21" s="1098"/>
      <c r="E21" s="1098"/>
      <c r="F21" s="1098"/>
      <c r="G21" s="1098"/>
      <c r="H21" s="1098"/>
      <c r="I21" s="1098"/>
      <c r="J21" s="1098"/>
      <c r="K21" s="1098"/>
      <c r="L21" s="1098"/>
      <c r="M21" s="1098">
        <v>139</v>
      </c>
      <c r="N21" s="1097">
        <f t="shared" si="1"/>
        <v>139</v>
      </c>
      <c r="O21" s="1098"/>
      <c r="P21" s="1098"/>
      <c r="Q21" s="1098"/>
      <c r="R21" s="1098"/>
      <c r="S21" s="1098"/>
      <c r="T21" s="1098"/>
      <c r="U21" s="1098"/>
      <c r="V21" s="1098"/>
      <c r="W21" s="1098"/>
      <c r="X21" s="1098"/>
      <c r="Y21" s="1098"/>
      <c r="Z21" s="1098">
        <v>138.86000000000001</v>
      </c>
      <c r="AA21" s="1097">
        <f t="shared" si="3"/>
        <v>138.86000000000001</v>
      </c>
      <c r="AB21" s="1098"/>
      <c r="AC21" s="1098"/>
      <c r="AD21" s="1098"/>
      <c r="AE21" s="1098"/>
      <c r="AF21" s="1098"/>
      <c r="AG21" s="1098"/>
      <c r="AH21" s="1098"/>
      <c r="AI21" s="1098"/>
      <c r="AJ21" s="1098"/>
      <c r="AK21" s="1098"/>
      <c r="AL21" s="1098"/>
      <c r="AM21" s="1098">
        <v>139</v>
      </c>
      <c r="AN21" s="1097">
        <f t="shared" si="5"/>
        <v>139</v>
      </c>
      <c r="AO21" s="1098"/>
      <c r="AP21" s="1098"/>
      <c r="AQ21" s="1098"/>
      <c r="AR21" s="1098"/>
      <c r="AS21" s="1098"/>
      <c r="AT21" s="1098"/>
      <c r="AU21" s="1098"/>
      <c r="AV21" s="1098"/>
      <c r="AW21" s="1098"/>
      <c r="AX21" s="1098"/>
      <c r="AY21" s="1098"/>
      <c r="AZ21" s="1098">
        <v>139</v>
      </c>
      <c r="BA21" s="1097">
        <f t="shared" si="7"/>
        <v>139</v>
      </c>
      <c r="BB21" s="1098"/>
      <c r="BC21" s="1098"/>
      <c r="BD21" s="1098"/>
      <c r="BE21" s="1098"/>
      <c r="BF21" s="1098"/>
      <c r="BG21" s="1098"/>
      <c r="BH21" s="1098"/>
      <c r="BI21" s="1098"/>
      <c r="BJ21" s="1098"/>
      <c r="BK21" s="1098"/>
      <c r="BL21" s="1098"/>
      <c r="BM21" s="1098">
        <v>135</v>
      </c>
      <c r="BN21" s="1097">
        <f t="shared" si="9"/>
        <v>135</v>
      </c>
      <c r="BO21" s="1098"/>
      <c r="BP21" s="1098"/>
      <c r="BQ21" s="1098"/>
      <c r="BR21" s="1098"/>
      <c r="BS21" s="1098"/>
      <c r="BT21" s="1098"/>
      <c r="BU21" s="1098"/>
      <c r="BV21" s="1098"/>
      <c r="BW21" s="1098"/>
      <c r="BX21" s="1098"/>
      <c r="BY21" s="1098"/>
      <c r="BZ21" s="1098">
        <v>125</v>
      </c>
      <c r="CA21" s="1097">
        <f t="shared" si="11"/>
        <v>125</v>
      </c>
      <c r="CB21" s="1098"/>
      <c r="CC21" s="1098"/>
      <c r="CD21" s="1098"/>
      <c r="CE21" s="1098"/>
      <c r="CF21" s="1098"/>
      <c r="CG21" s="1098"/>
      <c r="CH21" s="1098"/>
      <c r="CI21" s="1098"/>
      <c r="CJ21" s="1098"/>
      <c r="CK21" s="1098"/>
      <c r="CL21" s="1098"/>
      <c r="CM21" s="1098">
        <v>38</v>
      </c>
      <c r="CN21" s="1097">
        <f t="shared" si="13"/>
        <v>38</v>
      </c>
      <c r="CO21" s="1098"/>
      <c r="CP21" s="1098"/>
      <c r="CQ21" s="1098"/>
      <c r="CR21" s="1098"/>
      <c r="CS21" s="1098"/>
      <c r="CT21" s="1098"/>
      <c r="CU21" s="1098"/>
      <c r="CV21" s="1098"/>
      <c r="CW21" s="1098"/>
      <c r="CX21" s="1098"/>
      <c r="CY21" s="1098"/>
      <c r="CZ21" s="1098"/>
      <c r="DA21" s="1097">
        <f t="shared" si="15"/>
        <v>0</v>
      </c>
      <c r="DB21" s="1098"/>
      <c r="DC21" s="1098"/>
      <c r="DD21" s="1098"/>
      <c r="DE21" s="1098"/>
      <c r="DF21" s="1098"/>
      <c r="DG21" s="1098"/>
      <c r="DH21" s="1098"/>
      <c r="DI21" s="1098"/>
      <c r="DJ21" s="1098"/>
      <c r="DK21" s="1098"/>
      <c r="DL21" s="1098"/>
      <c r="DM21" s="1098">
        <v>81</v>
      </c>
      <c r="DN21" s="1097">
        <f t="shared" si="17"/>
        <v>81</v>
      </c>
      <c r="DO21" s="1098">
        <v>118</v>
      </c>
      <c r="DP21" s="1098">
        <v>82</v>
      </c>
      <c r="DQ21" s="1098">
        <v>105</v>
      </c>
      <c r="DR21" s="1098">
        <v>46</v>
      </c>
      <c r="DS21" s="1098">
        <v>1034</v>
      </c>
      <c r="DT21" s="1098">
        <v>43</v>
      </c>
      <c r="DU21" s="1098">
        <v>46</v>
      </c>
      <c r="DV21" s="1098">
        <v>38</v>
      </c>
      <c r="DW21" s="1098">
        <v>63</v>
      </c>
      <c r="DX21" s="1098">
        <v>97</v>
      </c>
      <c r="DY21" s="1098">
        <v>122</v>
      </c>
      <c r="DZ21" s="1098">
        <v>133</v>
      </c>
      <c r="EA21" s="1097">
        <f t="shared" si="18"/>
        <v>1927</v>
      </c>
      <c r="EB21" s="1098"/>
      <c r="EC21" s="1098"/>
      <c r="ED21" s="1098"/>
      <c r="EE21" s="1098"/>
      <c r="EF21" s="1098"/>
      <c r="EG21" s="1098"/>
      <c r="EH21" s="1098"/>
      <c r="EI21" s="1098"/>
      <c r="EJ21" s="1098"/>
      <c r="EK21" s="1098"/>
      <c r="EL21" s="1098"/>
      <c r="EM21" s="1098">
        <v>80</v>
      </c>
      <c r="EN21" s="1097">
        <f t="shared" si="20"/>
        <v>80</v>
      </c>
      <c r="EO21" s="1098"/>
      <c r="EP21" s="1098"/>
      <c r="EQ21" s="1098"/>
      <c r="ER21" s="1098"/>
      <c r="ES21" s="1098"/>
      <c r="ET21" s="1098"/>
      <c r="EU21" s="1098"/>
      <c r="EV21" s="1098"/>
      <c r="EW21" s="1098"/>
      <c r="EX21" s="1098"/>
      <c r="EY21" s="1098"/>
      <c r="EZ21" s="1098">
        <v>10</v>
      </c>
      <c r="FA21" s="1097">
        <f t="shared" si="21"/>
        <v>10</v>
      </c>
      <c r="FB21" s="1098"/>
      <c r="FC21" s="1098"/>
      <c r="FD21" s="1098"/>
      <c r="FE21" s="1098"/>
      <c r="FF21" s="1098"/>
      <c r="FG21" s="1098"/>
      <c r="FH21" s="1098"/>
      <c r="FI21" s="1098"/>
      <c r="FJ21" s="1098"/>
      <c r="FK21" s="1098"/>
      <c r="FL21" s="1098"/>
      <c r="FM21" s="1098">
        <v>16</v>
      </c>
      <c r="FN21" s="1097">
        <f t="shared" si="23"/>
        <v>16</v>
      </c>
      <c r="FO21" s="1098"/>
      <c r="FP21" s="1098"/>
      <c r="FQ21" s="1098"/>
      <c r="FR21" s="1098"/>
      <c r="FS21" s="1098"/>
      <c r="FT21" s="1098"/>
      <c r="FU21" s="1098"/>
      <c r="FV21" s="1098"/>
      <c r="FW21" s="1098"/>
      <c r="FX21" s="1098"/>
      <c r="FY21" s="1098"/>
      <c r="FZ21" s="1098">
        <v>6</v>
      </c>
      <c r="GA21" s="1097">
        <f t="shared" si="24"/>
        <v>6</v>
      </c>
      <c r="GB21" s="1098"/>
      <c r="GC21" s="1098"/>
      <c r="GD21" s="1098"/>
      <c r="GE21" s="1098"/>
      <c r="GF21" s="1098"/>
      <c r="GG21" s="1098"/>
      <c r="GH21" s="1098"/>
      <c r="GI21" s="1098"/>
      <c r="GJ21" s="1098"/>
      <c r="GK21" s="1098"/>
      <c r="GL21" s="1098"/>
      <c r="GM21" s="1098">
        <v>32</v>
      </c>
      <c r="GN21" s="1097">
        <f t="shared" si="26"/>
        <v>32</v>
      </c>
      <c r="GO21" s="1098"/>
      <c r="GP21" s="1098"/>
      <c r="GQ21" s="1098"/>
      <c r="GR21" s="1098"/>
      <c r="GS21" s="1098"/>
      <c r="GT21" s="1098"/>
      <c r="GU21" s="1098"/>
      <c r="GV21" s="1098"/>
      <c r="GW21" s="1098"/>
      <c r="GX21" s="1098"/>
      <c r="GY21" s="1098"/>
      <c r="GZ21" s="1098">
        <v>26</v>
      </c>
      <c r="HA21" s="1097">
        <f t="shared" si="28"/>
        <v>26</v>
      </c>
      <c r="HB21" s="1098"/>
      <c r="HC21" s="1098"/>
      <c r="HD21" s="1098"/>
      <c r="HE21" s="1098"/>
      <c r="HF21" s="1098"/>
      <c r="HG21" s="1098"/>
      <c r="HH21" s="1098"/>
      <c r="HI21" s="1098"/>
      <c r="HJ21" s="1098"/>
      <c r="HK21" s="1098"/>
      <c r="HL21" s="1098"/>
      <c r="HM21" s="1098"/>
      <c r="HN21" s="1097">
        <f t="shared" si="30"/>
        <v>0</v>
      </c>
      <c r="HO21" s="1098"/>
      <c r="HP21" s="1098"/>
      <c r="HQ21" s="1098"/>
      <c r="HR21" s="1098">
        <v>4</v>
      </c>
      <c r="HS21" s="1098">
        <v>0.7</v>
      </c>
      <c r="HT21" s="1098"/>
      <c r="HU21" s="1098"/>
      <c r="HV21" s="1098"/>
      <c r="HW21" s="1098"/>
      <c r="HX21" s="1098"/>
      <c r="HY21" s="1098"/>
      <c r="HZ21" s="1098"/>
      <c r="IA21" s="1097">
        <f t="shared" si="32"/>
        <v>4.7</v>
      </c>
      <c r="IB21" s="1098"/>
      <c r="IC21" s="1098"/>
      <c r="ID21" s="1098"/>
      <c r="IE21" s="1098"/>
      <c r="IF21" s="1098"/>
      <c r="IG21" s="1098"/>
      <c r="IH21" s="1098"/>
      <c r="II21" s="1098"/>
      <c r="IJ21" s="1098"/>
      <c r="IK21" s="1098"/>
      <c r="IL21" s="1098"/>
      <c r="IM21" s="1098">
        <v>34</v>
      </c>
      <c r="IN21" s="1097">
        <f t="shared" si="34"/>
        <v>34</v>
      </c>
      <c r="IO21" s="1098"/>
      <c r="IP21" s="1098"/>
      <c r="IQ21" s="1098"/>
      <c r="IR21" s="1098"/>
      <c r="IS21" s="1098"/>
      <c r="IT21" s="1098"/>
      <c r="IU21" s="1098"/>
      <c r="IV21" s="1098"/>
      <c r="IW21" s="1098"/>
      <c r="IX21" s="1098"/>
      <c r="IY21" s="1098"/>
      <c r="IZ21" s="1098">
        <v>12</v>
      </c>
      <c r="JA21" s="1097">
        <f t="shared" si="35"/>
        <v>12</v>
      </c>
      <c r="JB21" s="1098"/>
      <c r="JC21" s="1098"/>
      <c r="JD21" s="1098"/>
      <c r="JE21" s="1098"/>
      <c r="JF21" s="1098"/>
      <c r="JG21" s="1098"/>
      <c r="JH21" s="1098"/>
      <c r="JI21" s="1098"/>
      <c r="JJ21" s="1098"/>
      <c r="JK21" s="1098"/>
      <c r="JL21" s="1098"/>
      <c r="JM21" s="1098">
        <v>12</v>
      </c>
      <c r="JN21" s="1097">
        <f t="shared" si="36"/>
        <v>12</v>
      </c>
      <c r="JO21" s="1098">
        <v>0</v>
      </c>
      <c r="JP21" s="1098"/>
      <c r="JQ21" s="1098"/>
      <c r="JR21" s="1098"/>
      <c r="JS21" s="1098"/>
      <c r="JT21" s="1098"/>
      <c r="JU21" s="1098"/>
      <c r="JV21" s="1098"/>
      <c r="JW21" s="1098"/>
      <c r="JX21" s="1098"/>
      <c r="JY21" s="1098"/>
      <c r="JZ21" s="1098"/>
      <c r="KA21" s="1097">
        <f t="shared" si="38"/>
        <v>0</v>
      </c>
      <c r="KC21" s="1116" cm="1">
        <f t="array" ref="KC21">IFERROR(((
_xlfn.XLOOKUP((DATE(YEAR($KC$5),MONTH($KC$5),1)),SMN.COSECHA.DATE,$B21:$KA21) /
_xlfn.XLOOKUP((DATE(YEAR($KC$5)-1,MONTH($KC$5),1)),SMN.COSECHA.DATE,$B21:$KA21)
)-1)*100,"")</f>
        <v>0</v>
      </c>
      <c r="KD21" s="1117">
        <f t="shared" si="39"/>
        <v>0</v>
      </c>
      <c r="KE21" s="1079" cm="1">
        <f t="array" ref="KE21">SUMIFS($B21:$KA21,SMN.COSECHA.DATE,"&gt;="&amp;DATE(YEAR($KC$5)-1,1,1),SMN.COSECHA.DATE,"&lt;="&amp;DATE(YEAR($KC$5)-1,MONTH($KC$5),1))</f>
        <v>12</v>
      </c>
      <c r="KF21" s="1118" cm="1">
        <f t="array" ref="KF21">SUMIFS($B21:$KA21,SMN.COSECHA.DATE,"&gt;="&amp;DATE(YEAR($KC$5),1,1),SMN.COSECHA.DATE,"&lt;="&amp;$KC$5)</f>
        <v>12</v>
      </c>
      <c r="KG21" s="62"/>
      <c r="KH21" s="1079">
        <f t="shared" si="40"/>
        <v>5911.12</v>
      </c>
      <c r="KI21" s="1080" t="s">
        <v>140</v>
      </c>
      <c r="KJ21" s="1081" t="str">
        <f t="shared" si="41"/>
        <v>OK</v>
      </c>
    </row>
    <row r="22" spans="1:296" ht="15" customHeight="1" x14ac:dyDescent="0.2">
      <c r="A22" s="1129" t="s">
        <v>350</v>
      </c>
      <c r="B22" s="1098"/>
      <c r="C22" s="1098"/>
      <c r="D22" s="1098"/>
      <c r="E22" s="1098"/>
      <c r="F22" s="1098"/>
      <c r="G22" s="1098"/>
      <c r="H22" s="1098"/>
      <c r="I22" s="1098"/>
      <c r="J22" s="1098"/>
      <c r="K22" s="1098"/>
      <c r="L22" s="1098"/>
      <c r="M22" s="1098">
        <v>160</v>
      </c>
      <c r="N22" s="1097">
        <f t="shared" si="1"/>
        <v>160</v>
      </c>
      <c r="O22" s="1098"/>
      <c r="P22" s="1098"/>
      <c r="Q22" s="1098"/>
      <c r="R22" s="1098"/>
      <c r="S22" s="1098"/>
      <c r="T22" s="1098"/>
      <c r="U22" s="1098"/>
      <c r="V22" s="1098"/>
      <c r="W22" s="1098"/>
      <c r="X22" s="1098"/>
      <c r="Y22" s="1098"/>
      <c r="Z22" s="1098">
        <v>150</v>
      </c>
      <c r="AA22" s="1097">
        <f t="shared" si="3"/>
        <v>150</v>
      </c>
      <c r="AB22" s="1098"/>
      <c r="AC22" s="1098"/>
      <c r="AD22" s="1098"/>
      <c r="AE22" s="1098"/>
      <c r="AF22" s="1098"/>
      <c r="AG22" s="1098"/>
      <c r="AH22" s="1098"/>
      <c r="AI22" s="1098"/>
      <c r="AJ22" s="1098"/>
      <c r="AK22" s="1098"/>
      <c r="AL22" s="1098"/>
      <c r="AM22" s="1098">
        <v>152</v>
      </c>
      <c r="AN22" s="1097">
        <f t="shared" si="5"/>
        <v>152</v>
      </c>
      <c r="AO22" s="1098"/>
      <c r="AP22" s="1098"/>
      <c r="AQ22" s="1098"/>
      <c r="AR22" s="1098"/>
      <c r="AS22" s="1098"/>
      <c r="AT22" s="1098"/>
      <c r="AU22" s="1098"/>
      <c r="AV22" s="1098"/>
      <c r="AW22" s="1098"/>
      <c r="AX22" s="1098"/>
      <c r="AY22" s="1098"/>
      <c r="AZ22" s="1098">
        <v>157</v>
      </c>
      <c r="BA22" s="1097">
        <f t="shared" si="7"/>
        <v>157</v>
      </c>
      <c r="BB22" s="1098"/>
      <c r="BC22" s="1098"/>
      <c r="BD22" s="1098"/>
      <c r="BE22" s="1098"/>
      <c r="BF22" s="1098"/>
      <c r="BG22" s="1098"/>
      <c r="BH22" s="1098"/>
      <c r="BI22" s="1098"/>
      <c r="BJ22" s="1098"/>
      <c r="BK22" s="1098"/>
      <c r="BL22" s="1098"/>
      <c r="BM22" s="1098">
        <v>149</v>
      </c>
      <c r="BN22" s="1097">
        <f t="shared" si="9"/>
        <v>149</v>
      </c>
      <c r="BO22" s="1098"/>
      <c r="BP22" s="1098"/>
      <c r="BQ22" s="1098"/>
      <c r="BR22" s="1098"/>
      <c r="BS22" s="1098"/>
      <c r="BT22" s="1098"/>
      <c r="BU22" s="1098"/>
      <c r="BV22" s="1098"/>
      <c r="BW22" s="1098"/>
      <c r="BX22" s="1098"/>
      <c r="BY22" s="1098"/>
      <c r="BZ22" s="1098">
        <v>122</v>
      </c>
      <c r="CA22" s="1097">
        <f t="shared" si="11"/>
        <v>122</v>
      </c>
      <c r="CB22" s="1098"/>
      <c r="CC22" s="1098"/>
      <c r="CD22" s="1098"/>
      <c r="CE22" s="1098"/>
      <c r="CF22" s="1098"/>
      <c r="CG22" s="1098"/>
      <c r="CH22" s="1098"/>
      <c r="CI22" s="1098"/>
      <c r="CJ22" s="1098"/>
      <c r="CK22" s="1098"/>
      <c r="CL22" s="1098"/>
      <c r="CM22" s="1098">
        <v>49</v>
      </c>
      <c r="CN22" s="1097">
        <f t="shared" si="13"/>
        <v>49</v>
      </c>
      <c r="CO22" s="1098"/>
      <c r="CP22" s="1098"/>
      <c r="CQ22" s="1098"/>
      <c r="CR22" s="1098"/>
      <c r="CS22" s="1098"/>
      <c r="CT22" s="1098"/>
      <c r="CU22" s="1098"/>
      <c r="CV22" s="1098"/>
      <c r="CW22" s="1098"/>
      <c r="CX22" s="1098"/>
      <c r="CY22" s="1098"/>
      <c r="CZ22" s="1098"/>
      <c r="DA22" s="1097">
        <f t="shared" si="15"/>
        <v>0</v>
      </c>
      <c r="DB22" s="1098"/>
      <c r="DC22" s="1098"/>
      <c r="DD22" s="1098"/>
      <c r="DE22" s="1098"/>
      <c r="DF22" s="1098"/>
      <c r="DG22" s="1098"/>
      <c r="DH22" s="1098"/>
      <c r="DI22" s="1098"/>
      <c r="DJ22" s="1098"/>
      <c r="DK22" s="1098"/>
      <c r="DL22" s="1098"/>
      <c r="DM22" s="1098">
        <v>122</v>
      </c>
      <c r="DN22" s="1097">
        <f t="shared" si="17"/>
        <v>122</v>
      </c>
      <c r="DO22" s="1098"/>
      <c r="DP22" s="1098"/>
      <c r="DQ22" s="1098"/>
      <c r="DR22" s="1098"/>
      <c r="DS22" s="1098"/>
      <c r="DT22" s="1098"/>
      <c r="DU22" s="1098"/>
      <c r="DV22" s="1098"/>
      <c r="DW22" s="1098"/>
      <c r="DX22" s="1098"/>
      <c r="DY22" s="1098"/>
      <c r="DZ22" s="1098"/>
      <c r="EA22" s="1097">
        <f t="shared" si="18"/>
        <v>0</v>
      </c>
      <c r="EB22" s="1098"/>
      <c r="EC22" s="1098"/>
      <c r="ED22" s="1098"/>
      <c r="EE22" s="1098"/>
      <c r="EF22" s="1098"/>
      <c r="EG22" s="1098"/>
      <c r="EH22" s="1098"/>
      <c r="EI22" s="1098"/>
      <c r="EJ22" s="1098"/>
      <c r="EK22" s="1098"/>
      <c r="EL22" s="1098"/>
      <c r="EM22" s="1098">
        <v>100</v>
      </c>
      <c r="EN22" s="1097">
        <f t="shared" si="20"/>
        <v>100</v>
      </c>
      <c r="EO22" s="1098"/>
      <c r="EP22" s="1098"/>
      <c r="EQ22" s="1098"/>
      <c r="ER22" s="1098"/>
      <c r="ES22" s="1098"/>
      <c r="ET22" s="1098"/>
      <c r="EU22" s="1098"/>
      <c r="EV22" s="1098"/>
      <c r="EW22" s="1098"/>
      <c r="EX22" s="1098"/>
      <c r="EY22" s="1098"/>
      <c r="EZ22" s="1098">
        <v>91</v>
      </c>
      <c r="FA22" s="1097">
        <f t="shared" si="21"/>
        <v>91</v>
      </c>
      <c r="FB22" s="1098"/>
      <c r="FC22" s="1098"/>
      <c r="FD22" s="1098"/>
      <c r="FE22" s="1098"/>
      <c r="FF22" s="1098"/>
      <c r="FG22" s="1098"/>
      <c r="FH22" s="1098"/>
      <c r="FI22" s="1098"/>
      <c r="FJ22" s="1098"/>
      <c r="FK22" s="1098"/>
      <c r="FL22" s="1098"/>
      <c r="FM22" s="1098">
        <v>50</v>
      </c>
      <c r="FN22" s="1097">
        <f t="shared" si="23"/>
        <v>50</v>
      </c>
      <c r="FO22" s="1098"/>
      <c r="FP22" s="1098"/>
      <c r="FQ22" s="1098"/>
      <c r="FR22" s="1098"/>
      <c r="FS22" s="1098"/>
      <c r="FT22" s="1098"/>
      <c r="FU22" s="1098"/>
      <c r="FV22" s="1098"/>
      <c r="FW22" s="1098"/>
      <c r="FX22" s="1098"/>
      <c r="FY22" s="1098"/>
      <c r="FZ22" s="1098">
        <v>62</v>
      </c>
      <c r="GA22" s="1097">
        <f t="shared" si="24"/>
        <v>62</v>
      </c>
      <c r="GB22" s="1098"/>
      <c r="GC22" s="1098"/>
      <c r="GD22" s="1098"/>
      <c r="GE22" s="1098"/>
      <c r="GF22" s="1098"/>
      <c r="GG22" s="1098"/>
      <c r="GH22" s="1098"/>
      <c r="GI22" s="1098"/>
      <c r="GJ22" s="1098"/>
      <c r="GK22" s="1098"/>
      <c r="GL22" s="1098"/>
      <c r="GM22" s="1098">
        <v>65</v>
      </c>
      <c r="GN22" s="1097">
        <f t="shared" si="26"/>
        <v>65</v>
      </c>
      <c r="GO22" s="1098"/>
      <c r="GP22" s="1098"/>
      <c r="GQ22" s="1098"/>
      <c r="GR22" s="1098"/>
      <c r="GS22" s="1098"/>
      <c r="GT22" s="1098"/>
      <c r="GU22" s="1098"/>
      <c r="GV22" s="1098"/>
      <c r="GW22" s="1098"/>
      <c r="GX22" s="1098"/>
      <c r="GY22" s="1098"/>
      <c r="GZ22" s="1098">
        <v>33</v>
      </c>
      <c r="HA22" s="1097">
        <f t="shared" si="28"/>
        <v>33</v>
      </c>
      <c r="HB22" s="1098"/>
      <c r="HC22" s="1098"/>
      <c r="HD22" s="1098"/>
      <c r="HE22" s="1098"/>
      <c r="HF22" s="1098"/>
      <c r="HG22" s="1098"/>
      <c r="HH22" s="1098"/>
      <c r="HI22" s="1098"/>
      <c r="HJ22" s="1098"/>
      <c r="HK22" s="1098"/>
      <c r="HL22" s="1098"/>
      <c r="HM22" s="1098"/>
      <c r="HN22" s="1097">
        <f t="shared" si="30"/>
        <v>0</v>
      </c>
      <c r="HO22" s="1098"/>
      <c r="HP22" s="1098"/>
      <c r="HQ22" s="1098"/>
      <c r="HR22" s="1098"/>
      <c r="HS22" s="1098"/>
      <c r="HT22" s="1098"/>
      <c r="HU22" s="1098"/>
      <c r="HV22" s="1098"/>
      <c r="HW22" s="1098"/>
      <c r="HX22" s="1098"/>
      <c r="HY22" s="1098"/>
      <c r="HZ22" s="1098"/>
      <c r="IA22" s="1097">
        <f t="shared" si="32"/>
        <v>0</v>
      </c>
      <c r="IB22" s="1098"/>
      <c r="IC22" s="1098"/>
      <c r="ID22" s="1098"/>
      <c r="IE22" s="1098"/>
      <c r="IF22" s="1098"/>
      <c r="IG22" s="1098"/>
      <c r="IH22" s="1098"/>
      <c r="II22" s="1098"/>
      <c r="IJ22" s="1098"/>
      <c r="IK22" s="1098"/>
      <c r="IL22" s="1098"/>
      <c r="IM22" s="1098">
        <v>73.5</v>
      </c>
      <c r="IN22" s="1097">
        <f t="shared" si="34"/>
        <v>73.5</v>
      </c>
      <c r="IO22" s="1098"/>
      <c r="IP22" s="1098"/>
      <c r="IQ22" s="1098"/>
      <c r="IR22" s="1098"/>
      <c r="IS22" s="1098"/>
      <c r="IT22" s="1098"/>
      <c r="IU22" s="1098"/>
      <c r="IV22" s="1098"/>
      <c r="IW22" s="1098"/>
      <c r="IX22" s="1098"/>
      <c r="IY22" s="1098"/>
      <c r="IZ22" s="1098">
        <v>35</v>
      </c>
      <c r="JA22" s="1097">
        <f t="shared" si="35"/>
        <v>35</v>
      </c>
      <c r="JB22" s="1098"/>
      <c r="JC22" s="1098"/>
      <c r="JD22" s="1098"/>
      <c r="JE22" s="1098"/>
      <c r="JF22" s="1098"/>
      <c r="JG22" s="1098"/>
      <c r="JH22" s="1098"/>
      <c r="JI22" s="1098"/>
      <c r="JJ22" s="1098"/>
      <c r="JK22" s="1098"/>
      <c r="JL22" s="1098"/>
      <c r="JM22" s="1098">
        <v>95.5</v>
      </c>
      <c r="JN22" s="1097">
        <f t="shared" si="36"/>
        <v>95.5</v>
      </c>
      <c r="JO22" s="1098">
        <v>0</v>
      </c>
      <c r="JP22" s="1098"/>
      <c r="JQ22" s="1098"/>
      <c r="JR22" s="1098"/>
      <c r="JS22" s="1098"/>
      <c r="JT22" s="1098"/>
      <c r="JU22" s="1098"/>
      <c r="JV22" s="1098"/>
      <c r="JW22" s="1098"/>
      <c r="JX22" s="1098"/>
      <c r="JY22" s="1098"/>
      <c r="JZ22" s="1098"/>
      <c r="KA22" s="1097">
        <f t="shared" si="38"/>
        <v>0</v>
      </c>
      <c r="KC22" s="1116" cm="1">
        <f t="array" ref="KC22">IFERROR(((
_xlfn.XLOOKUP((DATE(YEAR($KC$5),MONTH($KC$5),1)),SMN.COSECHA.DATE,$B22:$KA22) /
_xlfn.XLOOKUP((DATE(YEAR($KC$5)-1,MONTH($KC$5),1)),SMN.COSECHA.DATE,$B22:$KA22)
)-1)*100,"")</f>
        <v>172.85714285714286</v>
      </c>
      <c r="KD22" s="1117">
        <f t="shared" si="39"/>
        <v>172.85714285714286</v>
      </c>
      <c r="KE22" s="1079" cm="1">
        <f t="array" ref="KE22">SUMIFS($B22:$KA22,SMN.COSECHA.DATE,"&gt;="&amp;DATE(YEAR($KC$5)-1,1,1),SMN.COSECHA.DATE,"&lt;="&amp;DATE(YEAR($KC$5)-1,MONTH($KC$5),1))</f>
        <v>35</v>
      </c>
      <c r="KF22" s="1118" cm="1">
        <f t="array" ref="KF22">SUMIFS($B22:$KA22,SMN.COSECHA.DATE,"&gt;="&amp;DATE(YEAR($KC$5),1,1),SMN.COSECHA.DATE,"&lt;="&amp;$KC$5)</f>
        <v>95.5</v>
      </c>
      <c r="KG22" s="62"/>
      <c r="KH22" s="1079">
        <f t="shared" si="40"/>
        <v>3012</v>
      </c>
      <c r="KI22" s="1080" t="s">
        <v>350</v>
      </c>
      <c r="KJ22" s="1081" t="str">
        <f t="shared" si="41"/>
        <v>OK</v>
      </c>
    </row>
    <row r="23" spans="1:296" ht="15" customHeight="1" x14ac:dyDescent="0.2">
      <c r="A23" s="1129" t="s">
        <v>144</v>
      </c>
      <c r="B23" s="1098">
        <v>22</v>
      </c>
      <c r="C23" s="1098">
        <v>14</v>
      </c>
      <c r="D23" s="1098">
        <v>34</v>
      </c>
      <c r="E23" s="1098">
        <v>34</v>
      </c>
      <c r="F23" s="1098">
        <v>35</v>
      </c>
      <c r="G23" s="1098">
        <v>22</v>
      </c>
      <c r="H23" s="1098">
        <v>16</v>
      </c>
      <c r="I23" s="1098">
        <v>65</v>
      </c>
      <c r="J23" s="1098">
        <v>97</v>
      </c>
      <c r="K23" s="1098">
        <v>72</v>
      </c>
      <c r="L23" s="1098"/>
      <c r="M23" s="1098">
        <v>17</v>
      </c>
      <c r="N23" s="1097">
        <f t="shared" si="1"/>
        <v>428</v>
      </c>
      <c r="O23" s="1098">
        <v>18.5</v>
      </c>
      <c r="P23" s="1098">
        <v>30.5</v>
      </c>
      <c r="Q23" s="1098">
        <v>33.25</v>
      </c>
      <c r="R23" s="1098">
        <v>84</v>
      </c>
      <c r="S23" s="1098">
        <v>29</v>
      </c>
      <c r="T23" s="1098">
        <v>21.25</v>
      </c>
      <c r="U23" s="1098">
        <v>31.25</v>
      </c>
      <c r="V23" s="1098">
        <v>52</v>
      </c>
      <c r="W23" s="1098">
        <v>134</v>
      </c>
      <c r="X23" s="1098">
        <v>29</v>
      </c>
      <c r="Y23" s="1098">
        <v>139</v>
      </c>
      <c r="Z23" s="1098">
        <v>32</v>
      </c>
      <c r="AA23" s="1097">
        <f t="shared" si="3"/>
        <v>633.75</v>
      </c>
      <c r="AB23" s="1098">
        <v>27</v>
      </c>
      <c r="AC23" s="1098">
        <v>27</v>
      </c>
      <c r="AD23" s="1098"/>
      <c r="AE23" s="1098">
        <v>10</v>
      </c>
      <c r="AF23" s="1098">
        <v>15</v>
      </c>
      <c r="AG23" s="1098">
        <v>25</v>
      </c>
      <c r="AH23" s="1098">
        <v>25</v>
      </c>
      <c r="AI23" s="1098">
        <v>49</v>
      </c>
      <c r="AJ23" s="1098">
        <v>231</v>
      </c>
      <c r="AK23" s="1098">
        <v>88</v>
      </c>
      <c r="AL23" s="1098">
        <v>74</v>
      </c>
      <c r="AM23" s="1098">
        <v>32</v>
      </c>
      <c r="AN23" s="1097">
        <f t="shared" si="5"/>
        <v>603</v>
      </c>
      <c r="AO23" s="1098">
        <v>19</v>
      </c>
      <c r="AP23" s="1098">
        <v>8</v>
      </c>
      <c r="AQ23" s="1098">
        <v>17</v>
      </c>
      <c r="AR23" s="1098">
        <v>16</v>
      </c>
      <c r="AS23" s="1098">
        <v>9</v>
      </c>
      <c r="AT23" s="1098">
        <v>19</v>
      </c>
      <c r="AU23" s="1098">
        <v>25</v>
      </c>
      <c r="AV23" s="1098">
        <v>75</v>
      </c>
      <c r="AW23" s="1098">
        <v>171</v>
      </c>
      <c r="AX23" s="1098">
        <v>197</v>
      </c>
      <c r="AY23" s="1098">
        <v>66</v>
      </c>
      <c r="AZ23" s="1098">
        <v>60</v>
      </c>
      <c r="BA23" s="1097">
        <f t="shared" si="7"/>
        <v>682</v>
      </c>
      <c r="BB23" s="1098">
        <v>46</v>
      </c>
      <c r="BC23" s="1098">
        <v>39</v>
      </c>
      <c r="BD23" s="1098">
        <v>41</v>
      </c>
      <c r="BE23" s="1098">
        <v>116</v>
      </c>
      <c r="BF23" s="1098">
        <v>53</v>
      </c>
      <c r="BG23" s="1098">
        <v>53</v>
      </c>
      <c r="BH23" s="1098">
        <v>52</v>
      </c>
      <c r="BI23" s="1098">
        <v>114</v>
      </c>
      <c r="BJ23" s="1098">
        <v>145</v>
      </c>
      <c r="BK23" s="1098">
        <v>121</v>
      </c>
      <c r="BL23" s="1098">
        <v>39</v>
      </c>
      <c r="BM23" s="1098">
        <v>37</v>
      </c>
      <c r="BN23" s="1097">
        <f t="shared" si="9"/>
        <v>856</v>
      </c>
      <c r="BO23" s="1098">
        <v>28</v>
      </c>
      <c r="BP23" s="1098">
        <v>39</v>
      </c>
      <c r="BQ23" s="1098">
        <v>24</v>
      </c>
      <c r="BR23" s="1098">
        <v>30</v>
      </c>
      <c r="BS23" s="1098">
        <v>114</v>
      </c>
      <c r="BT23" s="1098">
        <v>58</v>
      </c>
      <c r="BU23" s="1098">
        <v>57</v>
      </c>
      <c r="BV23" s="1098">
        <v>123</v>
      </c>
      <c r="BW23" s="1098">
        <v>140</v>
      </c>
      <c r="BX23" s="1098">
        <v>51</v>
      </c>
      <c r="BY23" s="1098">
        <v>33</v>
      </c>
      <c r="BZ23" s="1098">
        <v>32</v>
      </c>
      <c r="CA23" s="1097">
        <f t="shared" si="11"/>
        <v>729</v>
      </c>
      <c r="CB23" s="1098">
        <v>53</v>
      </c>
      <c r="CC23" s="1098">
        <v>55</v>
      </c>
      <c r="CD23" s="1098">
        <v>43</v>
      </c>
      <c r="CE23" s="1098">
        <v>34</v>
      </c>
      <c r="CF23" s="1098">
        <v>45</v>
      </c>
      <c r="CG23" s="1098">
        <v>45</v>
      </c>
      <c r="CH23" s="1098">
        <v>44</v>
      </c>
      <c r="CI23" s="1098">
        <v>119</v>
      </c>
      <c r="CJ23" s="1098">
        <v>176</v>
      </c>
      <c r="CK23" s="1098">
        <v>68</v>
      </c>
      <c r="CL23" s="1098">
        <v>23</v>
      </c>
      <c r="CM23" s="1098">
        <v>23</v>
      </c>
      <c r="CN23" s="1097">
        <f t="shared" si="13"/>
        <v>728</v>
      </c>
      <c r="CO23" s="1098">
        <v>25</v>
      </c>
      <c r="CP23" s="1098">
        <v>25</v>
      </c>
      <c r="CQ23" s="1098">
        <v>29</v>
      </c>
      <c r="CR23" s="1098">
        <v>56</v>
      </c>
      <c r="CS23" s="1098">
        <v>23</v>
      </c>
      <c r="CT23" s="1098">
        <v>29</v>
      </c>
      <c r="CU23" s="1098">
        <v>29</v>
      </c>
      <c r="CV23" s="1098">
        <v>104</v>
      </c>
      <c r="CW23" s="1098">
        <v>147</v>
      </c>
      <c r="CX23" s="1098">
        <v>97</v>
      </c>
      <c r="CY23" s="1098">
        <v>83</v>
      </c>
      <c r="CZ23" s="1098">
        <v>31</v>
      </c>
      <c r="DA23" s="1097">
        <f t="shared" si="15"/>
        <v>678</v>
      </c>
      <c r="DB23" s="1098">
        <v>27</v>
      </c>
      <c r="DC23" s="1098">
        <v>26</v>
      </c>
      <c r="DD23" s="1098">
        <v>29</v>
      </c>
      <c r="DE23" s="1098">
        <v>30</v>
      </c>
      <c r="DF23" s="1098">
        <v>68</v>
      </c>
      <c r="DG23" s="1098">
        <v>36</v>
      </c>
      <c r="DH23" s="1098">
        <v>31</v>
      </c>
      <c r="DI23" s="1098">
        <v>137</v>
      </c>
      <c r="DJ23" s="1098">
        <v>169</v>
      </c>
      <c r="DK23" s="1098">
        <v>81</v>
      </c>
      <c r="DL23" s="1098">
        <v>30</v>
      </c>
      <c r="DM23" s="1098">
        <v>752</v>
      </c>
      <c r="DN23" s="1097">
        <f t="shared" si="17"/>
        <v>1416</v>
      </c>
      <c r="DO23" s="1098">
        <v>3941</v>
      </c>
      <c r="DP23" s="1098">
        <v>7523</v>
      </c>
      <c r="DQ23" s="1098">
        <v>3647</v>
      </c>
      <c r="DR23" s="1098">
        <v>244</v>
      </c>
      <c r="DS23" s="1098">
        <v>18</v>
      </c>
      <c r="DT23" s="1098">
        <v>6</v>
      </c>
      <c r="DU23" s="1098">
        <v>3</v>
      </c>
      <c r="DV23" s="1098"/>
      <c r="DW23" s="1098"/>
      <c r="DX23" s="1098">
        <v>62</v>
      </c>
      <c r="DY23" s="1098">
        <v>56</v>
      </c>
      <c r="DZ23" s="1098">
        <v>46</v>
      </c>
      <c r="EA23" s="1097">
        <f t="shared" si="18"/>
        <v>15546</v>
      </c>
      <c r="EB23" s="1098">
        <v>27</v>
      </c>
      <c r="EC23" s="1098">
        <v>29</v>
      </c>
      <c r="ED23" s="1098">
        <v>34</v>
      </c>
      <c r="EE23" s="1098">
        <v>30</v>
      </c>
      <c r="EF23" s="1098">
        <v>27</v>
      </c>
      <c r="EG23" s="1098">
        <v>34</v>
      </c>
      <c r="EH23" s="1098">
        <v>33</v>
      </c>
      <c r="EI23" s="1098">
        <v>130</v>
      </c>
      <c r="EJ23" s="1098">
        <v>97</v>
      </c>
      <c r="EK23" s="1098">
        <v>58</v>
      </c>
      <c r="EL23" s="1098">
        <v>116</v>
      </c>
      <c r="EM23" s="1098">
        <v>15</v>
      </c>
      <c r="EN23" s="1097">
        <f t="shared" si="20"/>
        <v>630</v>
      </c>
      <c r="EO23" s="1098">
        <v>20</v>
      </c>
      <c r="EP23" s="1098">
        <v>23</v>
      </c>
      <c r="EQ23" s="1098">
        <v>13</v>
      </c>
      <c r="ER23" s="1098">
        <v>18</v>
      </c>
      <c r="ES23" s="1098">
        <v>21</v>
      </c>
      <c r="ET23" s="1098">
        <v>20</v>
      </c>
      <c r="EU23" s="1098">
        <v>35</v>
      </c>
      <c r="EV23" s="1098">
        <v>120</v>
      </c>
      <c r="EW23" s="1098">
        <v>101</v>
      </c>
      <c r="EX23" s="1098">
        <v>24</v>
      </c>
      <c r="EY23" s="1098">
        <v>41</v>
      </c>
      <c r="EZ23" s="1098">
        <v>34</v>
      </c>
      <c r="FA23" s="1097">
        <f t="shared" si="21"/>
        <v>470</v>
      </c>
      <c r="FB23" s="1098">
        <v>21</v>
      </c>
      <c r="FC23" s="1098">
        <v>21</v>
      </c>
      <c r="FD23" s="1098">
        <v>17</v>
      </c>
      <c r="FE23" s="1098">
        <v>28</v>
      </c>
      <c r="FF23" s="1098">
        <v>20</v>
      </c>
      <c r="FG23" s="1098">
        <v>19</v>
      </c>
      <c r="FH23" s="1098">
        <v>29</v>
      </c>
      <c r="FI23" s="1098">
        <v>146</v>
      </c>
      <c r="FJ23" s="1098">
        <v>88</v>
      </c>
      <c r="FK23" s="1098">
        <v>23</v>
      </c>
      <c r="FL23" s="1098">
        <v>28</v>
      </c>
      <c r="FM23" s="1098">
        <v>32</v>
      </c>
      <c r="FN23" s="1097">
        <f t="shared" si="23"/>
        <v>472</v>
      </c>
      <c r="FO23" s="1098">
        <v>26</v>
      </c>
      <c r="FP23" s="1098">
        <v>27</v>
      </c>
      <c r="FQ23" s="1098">
        <v>25</v>
      </c>
      <c r="FR23" s="1098">
        <v>30</v>
      </c>
      <c r="FS23" s="1098">
        <v>24</v>
      </c>
      <c r="FT23" s="1098">
        <v>25</v>
      </c>
      <c r="FU23" s="1098">
        <v>28</v>
      </c>
      <c r="FV23" s="1098">
        <v>79</v>
      </c>
      <c r="FW23" s="1098">
        <v>86</v>
      </c>
      <c r="FX23" s="1098">
        <v>33</v>
      </c>
      <c r="FY23" s="1098">
        <v>37</v>
      </c>
      <c r="FZ23" s="1098">
        <v>27</v>
      </c>
      <c r="GA23" s="1097">
        <f t="shared" si="24"/>
        <v>447</v>
      </c>
      <c r="GB23" s="1098">
        <v>31</v>
      </c>
      <c r="GC23" s="1098">
        <v>20</v>
      </c>
      <c r="GD23" s="1098">
        <v>19</v>
      </c>
      <c r="GE23" s="1098">
        <v>22</v>
      </c>
      <c r="GF23" s="1098">
        <v>26</v>
      </c>
      <c r="GG23" s="1098">
        <v>25</v>
      </c>
      <c r="GH23" s="1098">
        <v>20</v>
      </c>
      <c r="GI23" s="1098">
        <v>80</v>
      </c>
      <c r="GJ23" s="1098">
        <v>99</v>
      </c>
      <c r="GK23" s="1098">
        <v>28</v>
      </c>
      <c r="GL23" s="1098">
        <v>45</v>
      </c>
      <c r="GM23" s="1098">
        <v>33</v>
      </c>
      <c r="GN23" s="1097">
        <f t="shared" si="26"/>
        <v>448</v>
      </c>
      <c r="GO23" s="1098">
        <v>30</v>
      </c>
      <c r="GP23" s="1098">
        <v>24</v>
      </c>
      <c r="GQ23" s="1098">
        <v>19</v>
      </c>
      <c r="GR23" s="1098">
        <v>28</v>
      </c>
      <c r="GS23" s="1098">
        <v>33</v>
      </c>
      <c r="GT23" s="1098">
        <v>25</v>
      </c>
      <c r="GU23" s="1098">
        <v>25</v>
      </c>
      <c r="GV23" s="1098">
        <v>75</v>
      </c>
      <c r="GW23" s="1098">
        <v>78</v>
      </c>
      <c r="GX23" s="1098">
        <v>31</v>
      </c>
      <c r="GY23" s="1098">
        <v>25</v>
      </c>
      <c r="GZ23" s="1098">
        <v>30</v>
      </c>
      <c r="HA23" s="1097">
        <f t="shared" si="28"/>
        <v>423</v>
      </c>
      <c r="HB23" s="1098">
        <v>34</v>
      </c>
      <c r="HC23" s="1098">
        <v>21.75</v>
      </c>
      <c r="HD23" s="1098">
        <v>30.5</v>
      </c>
      <c r="HE23" s="1098">
        <v>29</v>
      </c>
      <c r="HF23" s="1098">
        <v>33</v>
      </c>
      <c r="HG23" s="1098">
        <v>31</v>
      </c>
      <c r="HH23" s="1098">
        <v>29</v>
      </c>
      <c r="HI23" s="1098">
        <v>97</v>
      </c>
      <c r="HJ23" s="1098">
        <v>103</v>
      </c>
      <c r="HK23" s="1098">
        <v>37</v>
      </c>
      <c r="HL23" s="1098">
        <v>26</v>
      </c>
      <c r="HM23" s="1098">
        <v>28</v>
      </c>
      <c r="HN23" s="1097">
        <f t="shared" si="30"/>
        <v>499.25</v>
      </c>
      <c r="HO23" s="1098">
        <v>28</v>
      </c>
      <c r="HP23" s="1098">
        <v>22</v>
      </c>
      <c r="HQ23" s="1098">
        <v>21.5</v>
      </c>
      <c r="HR23" s="1098">
        <v>29</v>
      </c>
      <c r="HS23" s="1098">
        <v>41</v>
      </c>
      <c r="HT23" s="1098">
        <v>38.003</v>
      </c>
      <c r="HU23" s="1098">
        <v>40.5</v>
      </c>
      <c r="HV23" s="1098">
        <v>78</v>
      </c>
      <c r="HW23" s="1098">
        <v>134</v>
      </c>
      <c r="HX23" s="1098">
        <v>37</v>
      </c>
      <c r="HY23" s="1098">
        <v>34</v>
      </c>
      <c r="HZ23" s="1098">
        <v>35</v>
      </c>
      <c r="IA23" s="1097">
        <f t="shared" si="32"/>
        <v>538.00299999999993</v>
      </c>
      <c r="IB23" s="1098">
        <v>45.8</v>
      </c>
      <c r="IC23" s="1098">
        <v>56</v>
      </c>
      <c r="ID23" s="1098">
        <v>45</v>
      </c>
      <c r="IE23" s="1098">
        <v>18</v>
      </c>
      <c r="IF23" s="1098">
        <v>48</v>
      </c>
      <c r="IG23" s="1098">
        <v>51</v>
      </c>
      <c r="IH23" s="1098">
        <v>44</v>
      </c>
      <c r="II23" s="1098">
        <v>55</v>
      </c>
      <c r="IJ23" s="1098">
        <v>45</v>
      </c>
      <c r="IK23" s="1098">
        <v>45.5</v>
      </c>
      <c r="IL23" s="1098">
        <v>48</v>
      </c>
      <c r="IM23" s="1098">
        <v>48</v>
      </c>
      <c r="IN23" s="1097">
        <f t="shared" si="34"/>
        <v>549.29999999999995</v>
      </c>
      <c r="IO23" s="1098">
        <v>24.5</v>
      </c>
      <c r="IP23" s="1098">
        <v>23</v>
      </c>
      <c r="IQ23" s="1098">
        <v>23</v>
      </c>
      <c r="IR23" s="1098">
        <v>24</v>
      </c>
      <c r="IS23" s="1098">
        <v>25.5</v>
      </c>
      <c r="IT23" s="1098">
        <v>5</v>
      </c>
      <c r="IU23" s="1098">
        <v>6</v>
      </c>
      <c r="IV23" s="1098">
        <v>5</v>
      </c>
      <c r="IW23" s="1098">
        <v>5.5</v>
      </c>
      <c r="IX23" s="1098">
        <v>16</v>
      </c>
      <c r="IY23" s="1098">
        <v>15</v>
      </c>
      <c r="IZ23" s="1098">
        <v>7</v>
      </c>
      <c r="JA23" s="1097">
        <f t="shared" si="35"/>
        <v>179.5</v>
      </c>
      <c r="JB23" s="1098">
        <v>26.5</v>
      </c>
      <c r="JC23" s="1098">
        <v>27.5</v>
      </c>
      <c r="JD23" s="1098">
        <v>33.5</v>
      </c>
      <c r="JE23" s="1098">
        <v>13</v>
      </c>
      <c r="JF23" s="1098">
        <v>25</v>
      </c>
      <c r="JG23" s="1098">
        <v>17</v>
      </c>
      <c r="JH23" s="1098">
        <v>23</v>
      </c>
      <c r="JI23" s="1098">
        <v>68.5</v>
      </c>
      <c r="JJ23" s="1098">
        <v>71</v>
      </c>
      <c r="JK23" s="1098">
        <v>73</v>
      </c>
      <c r="JL23" s="1098">
        <v>33</v>
      </c>
      <c r="JM23" s="1098">
        <v>14</v>
      </c>
      <c r="JN23" s="1097">
        <f t="shared" si="36"/>
        <v>425</v>
      </c>
      <c r="JO23" s="1098">
        <v>21</v>
      </c>
      <c r="JP23" s="1098"/>
      <c r="JQ23" s="1098"/>
      <c r="JR23" s="1098"/>
      <c r="JS23" s="1098"/>
      <c r="JT23" s="1098"/>
      <c r="JU23" s="1098"/>
      <c r="JV23" s="1098"/>
      <c r="JW23" s="1098"/>
      <c r="JX23" s="1098"/>
      <c r="JY23" s="1098"/>
      <c r="JZ23" s="1098"/>
      <c r="KA23" s="1097">
        <f t="shared" si="38"/>
        <v>21</v>
      </c>
      <c r="KC23" s="1116" cm="1">
        <f t="array" ref="KC23">IFERROR(((
_xlfn.XLOOKUP((DATE(YEAR($KC$5),MONTH($KC$5),1)),SMN.COSECHA.DATE,$B23:$KA23) /
_xlfn.XLOOKUP((DATE(YEAR($KC$5)-1,MONTH($KC$5),1)),SMN.COSECHA.DATE,$B23:$KA23)
)-1)*100,"")</f>
        <v>100</v>
      </c>
      <c r="KD23" s="1117">
        <f t="shared" si="39"/>
        <v>136.76880222841228</v>
      </c>
      <c r="KE23" s="1079" cm="1">
        <f t="array" ref="KE23">SUMIFS($B23:$KA23,SMN.COSECHA.DATE,"&gt;="&amp;DATE(YEAR($KC$5)-1,1,1),SMN.COSECHA.DATE,"&lt;="&amp;DATE(YEAR($KC$5)-1,MONTH($KC$5),1))</f>
        <v>179.5</v>
      </c>
      <c r="KF23" s="1118" cm="1">
        <f t="array" ref="KF23">SUMIFS($B23:$KA23,SMN.COSECHA.DATE,"&gt;="&amp;DATE(YEAR($KC$5),1,1),SMN.COSECHA.DATE,"&lt;="&amp;$KC$5)</f>
        <v>425</v>
      </c>
      <c r="KG23" s="62"/>
      <c r="KH23" s="1079">
        <f t="shared" si="40"/>
        <v>53947.606</v>
      </c>
      <c r="KI23" s="1080" t="s">
        <v>144</v>
      </c>
      <c r="KJ23" s="1081" t="str">
        <f t="shared" si="41"/>
        <v>OK</v>
      </c>
    </row>
    <row r="24" spans="1:296" ht="15" customHeight="1" x14ac:dyDescent="0.2">
      <c r="A24" s="1129" t="s">
        <v>138</v>
      </c>
      <c r="B24" s="1098"/>
      <c r="C24" s="1098"/>
      <c r="D24" s="1098"/>
      <c r="E24" s="1098"/>
      <c r="F24" s="1098"/>
      <c r="G24" s="1098"/>
      <c r="H24" s="1098"/>
      <c r="I24" s="1098"/>
      <c r="J24" s="1098"/>
      <c r="K24" s="1098"/>
      <c r="L24" s="1098"/>
      <c r="M24" s="1098">
        <v>1534</v>
      </c>
      <c r="N24" s="1097">
        <f t="shared" si="1"/>
        <v>1534</v>
      </c>
      <c r="O24" s="1098"/>
      <c r="P24" s="1098"/>
      <c r="Q24" s="1098"/>
      <c r="R24" s="1098"/>
      <c r="S24" s="1098"/>
      <c r="T24" s="1098"/>
      <c r="U24" s="1098"/>
      <c r="V24" s="1098"/>
      <c r="W24" s="1098"/>
      <c r="X24" s="1098"/>
      <c r="Y24" s="1098"/>
      <c r="Z24" s="1098">
        <v>1717</v>
      </c>
      <c r="AA24" s="1097">
        <f t="shared" si="3"/>
        <v>1717</v>
      </c>
      <c r="AB24" s="1098"/>
      <c r="AC24" s="1098"/>
      <c r="AD24" s="1098"/>
      <c r="AE24" s="1098"/>
      <c r="AF24" s="1098"/>
      <c r="AG24" s="1098"/>
      <c r="AH24" s="1098"/>
      <c r="AI24" s="1098"/>
      <c r="AJ24" s="1098"/>
      <c r="AK24" s="1098"/>
      <c r="AL24" s="1098"/>
      <c r="AM24" s="1098">
        <v>1738</v>
      </c>
      <c r="AN24" s="1097">
        <f t="shared" si="5"/>
        <v>1738</v>
      </c>
      <c r="AO24" s="1098"/>
      <c r="AP24" s="1098"/>
      <c r="AQ24" s="1098"/>
      <c r="AR24" s="1098"/>
      <c r="AS24" s="1098"/>
      <c r="AT24" s="1098"/>
      <c r="AU24" s="1098"/>
      <c r="AV24" s="1098"/>
      <c r="AW24" s="1098"/>
      <c r="AX24" s="1098"/>
      <c r="AY24" s="1098"/>
      <c r="AZ24" s="1098">
        <v>1942</v>
      </c>
      <c r="BA24" s="1097">
        <f t="shared" si="7"/>
        <v>1942</v>
      </c>
      <c r="BB24" s="1098"/>
      <c r="BC24" s="1098"/>
      <c r="BD24" s="1098"/>
      <c r="BE24" s="1098"/>
      <c r="BF24" s="1098"/>
      <c r="BG24" s="1098"/>
      <c r="BH24" s="1098"/>
      <c r="BI24" s="1098"/>
      <c r="BJ24" s="1098"/>
      <c r="BK24" s="1098"/>
      <c r="BL24" s="1098"/>
      <c r="BM24" s="1098">
        <v>1913</v>
      </c>
      <c r="BN24" s="1097">
        <f t="shared" si="9"/>
        <v>1913</v>
      </c>
      <c r="BO24" s="1098"/>
      <c r="BP24" s="1098"/>
      <c r="BQ24" s="1098"/>
      <c r="BR24" s="1098"/>
      <c r="BS24" s="1098"/>
      <c r="BT24" s="1098"/>
      <c r="BU24" s="1098"/>
      <c r="BV24" s="1098"/>
      <c r="BW24" s="1098"/>
      <c r="BX24" s="1098"/>
      <c r="BY24" s="1098"/>
      <c r="BZ24" s="1098">
        <v>1908</v>
      </c>
      <c r="CA24" s="1097">
        <f t="shared" si="11"/>
        <v>1908</v>
      </c>
      <c r="CB24" s="1098"/>
      <c r="CC24" s="1098"/>
      <c r="CD24" s="1098"/>
      <c r="CE24" s="1098"/>
      <c r="CF24" s="1098"/>
      <c r="CG24" s="1098"/>
      <c r="CH24" s="1098"/>
      <c r="CI24" s="1098"/>
      <c r="CJ24" s="1098"/>
      <c r="CK24" s="1098"/>
      <c r="CL24" s="1098"/>
      <c r="CM24" s="1098">
        <v>652</v>
      </c>
      <c r="CN24" s="1097">
        <f t="shared" si="13"/>
        <v>652</v>
      </c>
      <c r="CO24" s="1098"/>
      <c r="CP24" s="1098"/>
      <c r="CQ24" s="1098"/>
      <c r="CR24" s="1098"/>
      <c r="CS24" s="1098"/>
      <c r="CT24" s="1098"/>
      <c r="CU24" s="1098"/>
      <c r="CV24" s="1098"/>
      <c r="CW24" s="1098"/>
      <c r="CX24" s="1098"/>
      <c r="CY24" s="1098"/>
      <c r="CZ24" s="1098">
        <v>458</v>
      </c>
      <c r="DA24" s="1097">
        <f t="shared" si="15"/>
        <v>458</v>
      </c>
      <c r="DB24" s="1098"/>
      <c r="DC24" s="1098"/>
      <c r="DD24" s="1098"/>
      <c r="DE24" s="1098"/>
      <c r="DF24" s="1098"/>
      <c r="DG24" s="1098"/>
      <c r="DH24" s="1098"/>
      <c r="DI24" s="1098"/>
      <c r="DJ24" s="1098"/>
      <c r="DK24" s="1098"/>
      <c r="DL24" s="1098"/>
      <c r="DM24" s="1098">
        <v>2161</v>
      </c>
      <c r="DN24" s="1097">
        <f t="shared" si="17"/>
        <v>2161</v>
      </c>
      <c r="DO24" s="1098">
        <v>7</v>
      </c>
      <c r="DP24" s="1098">
        <v>15</v>
      </c>
      <c r="DQ24" s="1098">
        <v>6</v>
      </c>
      <c r="DR24" s="1098">
        <v>5</v>
      </c>
      <c r="DS24" s="1098">
        <v>3</v>
      </c>
      <c r="DT24" s="1098">
        <v>1</v>
      </c>
      <c r="DU24" s="1098">
        <v>0.5</v>
      </c>
      <c r="DV24" s="1098"/>
      <c r="DW24" s="1098"/>
      <c r="DX24" s="1098"/>
      <c r="DY24" s="1098"/>
      <c r="DZ24" s="1098"/>
      <c r="EA24" s="1097">
        <f t="shared" si="18"/>
        <v>37.5</v>
      </c>
      <c r="EB24" s="1098"/>
      <c r="EC24" s="1098"/>
      <c r="ED24" s="1098"/>
      <c r="EE24" s="1098"/>
      <c r="EF24" s="1098"/>
      <c r="EG24" s="1098"/>
      <c r="EH24" s="1098"/>
      <c r="EI24" s="1098"/>
      <c r="EJ24" s="1098"/>
      <c r="EK24" s="1098"/>
      <c r="EL24" s="1098"/>
      <c r="EM24" s="1098">
        <v>2272</v>
      </c>
      <c r="EN24" s="1097">
        <f t="shared" si="20"/>
        <v>2272</v>
      </c>
      <c r="EO24" s="1098"/>
      <c r="EP24" s="1098"/>
      <c r="EQ24" s="1098"/>
      <c r="ER24" s="1098"/>
      <c r="ES24" s="1098"/>
      <c r="ET24" s="1098"/>
      <c r="EU24" s="1098"/>
      <c r="EV24" s="1098"/>
      <c r="EW24" s="1098"/>
      <c r="EX24" s="1098"/>
      <c r="EY24" s="1098"/>
      <c r="EZ24" s="1098">
        <v>4399</v>
      </c>
      <c r="FA24" s="1097">
        <f t="shared" si="21"/>
        <v>4399</v>
      </c>
      <c r="FB24" s="1098"/>
      <c r="FC24" s="1098"/>
      <c r="FD24" s="1098"/>
      <c r="FE24" s="1098"/>
      <c r="FF24" s="1098"/>
      <c r="FG24" s="1098"/>
      <c r="FH24" s="1098"/>
      <c r="FI24" s="1098"/>
      <c r="FJ24" s="1098"/>
      <c r="FK24" s="1098"/>
      <c r="FL24" s="1098"/>
      <c r="FM24" s="1098">
        <v>4533</v>
      </c>
      <c r="FN24" s="1097">
        <f t="shared" si="23"/>
        <v>4533</v>
      </c>
      <c r="FO24" s="1098"/>
      <c r="FP24" s="1098"/>
      <c r="FQ24" s="1098"/>
      <c r="FR24" s="1098"/>
      <c r="FS24" s="1098"/>
      <c r="FT24" s="1098"/>
      <c r="FU24" s="1098"/>
      <c r="FV24" s="1098"/>
      <c r="FW24" s="1098"/>
      <c r="FX24" s="1098"/>
      <c r="FY24" s="1098"/>
      <c r="FZ24" s="1098">
        <v>4122</v>
      </c>
      <c r="GA24" s="1097">
        <f t="shared" si="24"/>
        <v>4122</v>
      </c>
      <c r="GB24" s="1098"/>
      <c r="GC24" s="1098"/>
      <c r="GD24" s="1098"/>
      <c r="GE24" s="1098"/>
      <c r="GF24" s="1098"/>
      <c r="GG24" s="1098"/>
      <c r="GH24" s="1098"/>
      <c r="GI24" s="1098"/>
      <c r="GJ24" s="1098"/>
      <c r="GK24" s="1098"/>
      <c r="GL24" s="1098"/>
      <c r="GM24" s="1098">
        <v>4202</v>
      </c>
      <c r="GN24" s="1097">
        <f t="shared" si="26"/>
        <v>4202</v>
      </c>
      <c r="GO24" s="1098"/>
      <c r="GP24" s="1098"/>
      <c r="GQ24" s="1098"/>
      <c r="GR24" s="1098"/>
      <c r="GS24" s="1098"/>
      <c r="GT24" s="1098"/>
      <c r="GU24" s="1098"/>
      <c r="GV24" s="1098"/>
      <c r="GW24" s="1098"/>
      <c r="GX24" s="1098"/>
      <c r="GY24" s="1098"/>
      <c r="GZ24" s="1098">
        <v>4577</v>
      </c>
      <c r="HA24" s="1097">
        <f t="shared" si="28"/>
        <v>4577</v>
      </c>
      <c r="HB24" s="1098"/>
      <c r="HC24" s="1098"/>
      <c r="HD24" s="1098"/>
      <c r="HE24" s="1098"/>
      <c r="HF24" s="1098"/>
      <c r="HG24" s="1098"/>
      <c r="HH24" s="1098"/>
      <c r="HI24" s="1098"/>
      <c r="HJ24" s="1098"/>
      <c r="HK24" s="1098"/>
      <c r="HL24" s="1098"/>
      <c r="HM24" s="1098"/>
      <c r="HN24" s="1097">
        <f t="shared" si="30"/>
        <v>0</v>
      </c>
      <c r="HO24" s="1098"/>
      <c r="HP24" s="1098"/>
      <c r="HQ24" s="1098"/>
      <c r="HR24" s="1098"/>
      <c r="HS24" s="1098"/>
      <c r="HT24" s="1098"/>
      <c r="HU24" s="1098"/>
      <c r="HV24" s="1098"/>
      <c r="HW24" s="1098"/>
      <c r="HX24" s="1098"/>
      <c r="HY24" s="1098"/>
      <c r="HZ24" s="1098"/>
      <c r="IA24" s="1097">
        <f t="shared" si="32"/>
        <v>0</v>
      </c>
      <c r="IB24" s="1098">
        <v>36</v>
      </c>
      <c r="IC24" s="1098"/>
      <c r="ID24" s="1098"/>
      <c r="IE24" s="1098"/>
      <c r="IF24" s="1098"/>
      <c r="IG24" s="1098"/>
      <c r="IH24" s="1098"/>
      <c r="II24" s="1098"/>
      <c r="IJ24" s="1098"/>
      <c r="IK24" s="1098"/>
      <c r="IL24" s="1098"/>
      <c r="IM24" s="1098">
        <v>4994</v>
      </c>
      <c r="IN24" s="1097">
        <f t="shared" si="34"/>
        <v>5030</v>
      </c>
      <c r="IO24" s="1098"/>
      <c r="IP24" s="1098"/>
      <c r="IQ24" s="1098"/>
      <c r="IR24" s="1098"/>
      <c r="IS24" s="1098"/>
      <c r="IT24" s="1098"/>
      <c r="IU24" s="1098"/>
      <c r="IV24" s="1098"/>
      <c r="IW24" s="1098"/>
      <c r="IX24" s="1098"/>
      <c r="IY24" s="1098"/>
      <c r="IZ24" s="1098">
        <v>141.5</v>
      </c>
      <c r="JA24" s="1097">
        <f t="shared" si="35"/>
        <v>141.5</v>
      </c>
      <c r="JB24" s="1098"/>
      <c r="JC24" s="1098"/>
      <c r="JD24" s="1098"/>
      <c r="JE24" s="1098"/>
      <c r="JF24" s="1098"/>
      <c r="JG24" s="1098"/>
      <c r="JH24" s="1098"/>
      <c r="JI24" s="1098"/>
      <c r="JJ24" s="1098"/>
      <c r="JK24" s="1098"/>
      <c r="JL24" s="1098"/>
      <c r="JM24" s="1098">
        <v>4732.1000000000004</v>
      </c>
      <c r="JN24" s="1097">
        <f t="shared" si="36"/>
        <v>4732.1000000000004</v>
      </c>
      <c r="JO24" s="1098">
        <v>0</v>
      </c>
      <c r="JP24" s="1098"/>
      <c r="JQ24" s="1098"/>
      <c r="JR24" s="1098"/>
      <c r="JS24" s="1098"/>
      <c r="JT24" s="1098"/>
      <c r="JU24" s="1098"/>
      <c r="JV24" s="1098"/>
      <c r="JW24" s="1098"/>
      <c r="JX24" s="1098"/>
      <c r="JY24" s="1098"/>
      <c r="JZ24" s="1098"/>
      <c r="KA24" s="1097">
        <f t="shared" si="38"/>
        <v>0</v>
      </c>
      <c r="KC24" s="1116" cm="1">
        <f t="array" ref="KC24">IFERROR(((
_xlfn.XLOOKUP((DATE(YEAR($KC$5),MONTH($KC$5),1)),SMN.COSECHA.DATE,$B24:$KA24) /
_xlfn.XLOOKUP((DATE(YEAR($KC$5)-1,MONTH($KC$5),1)),SMN.COSECHA.DATE,$B24:$KA24)
)-1)*100,"")</f>
        <v>3244.2402826855132</v>
      </c>
      <c r="KD24" s="1117">
        <f t="shared" si="39"/>
        <v>3244.2402826855132</v>
      </c>
      <c r="KE24" s="1079" cm="1">
        <f t="array" ref="KE24">SUMIFS($B24:$KA24,SMN.COSECHA.DATE,"&gt;="&amp;DATE(YEAR($KC$5)-1,1,1),SMN.COSECHA.DATE,"&lt;="&amp;DATE(YEAR($KC$5)-1,MONTH($KC$5),1))</f>
        <v>141.5</v>
      </c>
      <c r="KF24" s="1118" cm="1">
        <f t="array" ref="KF24">SUMIFS($B24:$KA24,SMN.COSECHA.DATE,"&gt;="&amp;DATE(YEAR($KC$5),1,1),SMN.COSECHA.DATE,"&lt;="&amp;$KC$5)</f>
        <v>4732.1000000000004</v>
      </c>
      <c r="KG24" s="62"/>
      <c r="KH24" s="1079">
        <f t="shared" si="40"/>
        <v>93070.200000000012</v>
      </c>
      <c r="KI24" s="1080" t="s">
        <v>138</v>
      </c>
      <c r="KJ24" s="1081" t="str">
        <f t="shared" si="41"/>
        <v>OK</v>
      </c>
    </row>
    <row r="25" spans="1:296" ht="15" customHeight="1" x14ac:dyDescent="0.2">
      <c r="A25" s="1129" t="s">
        <v>146</v>
      </c>
      <c r="B25" s="1098"/>
      <c r="C25" s="1098"/>
      <c r="D25" s="1098"/>
      <c r="E25" s="1098"/>
      <c r="F25" s="1098"/>
      <c r="G25" s="1098"/>
      <c r="H25" s="1098"/>
      <c r="I25" s="1098"/>
      <c r="J25" s="1098"/>
      <c r="K25" s="1098"/>
      <c r="L25" s="1098"/>
      <c r="M25" s="1098">
        <v>8305</v>
      </c>
      <c r="N25" s="1097">
        <f t="shared" si="1"/>
        <v>8305</v>
      </c>
      <c r="O25" s="1098"/>
      <c r="P25" s="1098"/>
      <c r="Q25" s="1098"/>
      <c r="R25" s="1098"/>
      <c r="S25" s="1098"/>
      <c r="T25" s="1098"/>
      <c r="U25" s="1098"/>
      <c r="V25" s="1098"/>
      <c r="W25" s="1098"/>
      <c r="X25" s="1098"/>
      <c r="Y25" s="1098"/>
      <c r="Z25" s="1098">
        <v>8004</v>
      </c>
      <c r="AA25" s="1097">
        <f t="shared" si="3"/>
        <v>8004</v>
      </c>
      <c r="AB25" s="1098"/>
      <c r="AC25" s="1098"/>
      <c r="AD25" s="1098"/>
      <c r="AE25" s="1098"/>
      <c r="AF25" s="1098"/>
      <c r="AG25" s="1098"/>
      <c r="AH25" s="1098"/>
      <c r="AI25" s="1098"/>
      <c r="AJ25" s="1098"/>
      <c r="AK25" s="1098"/>
      <c r="AL25" s="1098"/>
      <c r="AM25" s="1098">
        <v>9584</v>
      </c>
      <c r="AN25" s="1097">
        <f t="shared" si="5"/>
        <v>9584</v>
      </c>
      <c r="AO25" s="1098"/>
      <c r="AP25" s="1098"/>
      <c r="AQ25" s="1098"/>
      <c r="AR25" s="1098"/>
      <c r="AS25" s="1098"/>
      <c r="AT25" s="1098"/>
      <c r="AU25" s="1098"/>
      <c r="AV25" s="1098"/>
      <c r="AW25" s="1098"/>
      <c r="AX25" s="1098"/>
      <c r="AY25" s="1098"/>
      <c r="AZ25" s="1098">
        <v>13479</v>
      </c>
      <c r="BA25" s="1097">
        <f t="shared" si="7"/>
        <v>13479</v>
      </c>
      <c r="BB25" s="1098"/>
      <c r="BC25" s="1098"/>
      <c r="BD25" s="1098"/>
      <c r="BE25" s="1098"/>
      <c r="BF25" s="1098"/>
      <c r="BG25" s="1098"/>
      <c r="BH25" s="1098"/>
      <c r="BI25" s="1098"/>
      <c r="BJ25" s="1098"/>
      <c r="BK25" s="1098"/>
      <c r="BL25" s="1098"/>
      <c r="BM25" s="1098">
        <v>13479</v>
      </c>
      <c r="BN25" s="1097">
        <f t="shared" si="9"/>
        <v>13479</v>
      </c>
      <c r="BO25" s="1098"/>
      <c r="BP25" s="1098"/>
      <c r="BQ25" s="1098"/>
      <c r="BR25" s="1098"/>
      <c r="BS25" s="1098"/>
      <c r="BT25" s="1098"/>
      <c r="BU25" s="1098"/>
      <c r="BV25" s="1098"/>
      <c r="BW25" s="1098"/>
      <c r="BX25" s="1098"/>
      <c r="BY25" s="1098"/>
      <c r="BZ25" s="1098">
        <v>16191</v>
      </c>
      <c r="CA25" s="1097">
        <f t="shared" si="11"/>
        <v>16191</v>
      </c>
      <c r="CB25" s="1098"/>
      <c r="CC25" s="1098"/>
      <c r="CD25" s="1098"/>
      <c r="CE25" s="1098"/>
      <c r="CF25" s="1098"/>
      <c r="CG25" s="1098"/>
      <c r="CH25" s="1098"/>
      <c r="CI25" s="1098"/>
      <c r="CJ25" s="1098"/>
      <c r="CK25" s="1098"/>
      <c r="CL25" s="1098"/>
      <c r="CM25" s="1098">
        <v>933</v>
      </c>
      <c r="CN25" s="1097">
        <f t="shared" si="13"/>
        <v>933</v>
      </c>
      <c r="CO25" s="1098"/>
      <c r="CP25" s="1098"/>
      <c r="CQ25" s="1098"/>
      <c r="CR25" s="1098"/>
      <c r="CS25" s="1098"/>
      <c r="CT25" s="1098"/>
      <c r="CU25" s="1098"/>
      <c r="CV25" s="1098"/>
      <c r="CW25" s="1098"/>
      <c r="CX25" s="1098"/>
      <c r="CY25" s="1098"/>
      <c r="CZ25" s="1098"/>
      <c r="DA25" s="1097">
        <f t="shared" si="15"/>
        <v>0</v>
      </c>
      <c r="DB25" s="1098"/>
      <c r="DC25" s="1098"/>
      <c r="DD25" s="1098"/>
      <c r="DE25" s="1098"/>
      <c r="DF25" s="1098"/>
      <c r="DG25" s="1098"/>
      <c r="DH25" s="1098"/>
      <c r="DI25" s="1098"/>
      <c r="DJ25" s="1098"/>
      <c r="DK25" s="1098"/>
      <c r="DL25" s="1098"/>
      <c r="DM25" s="1098">
        <v>14226</v>
      </c>
      <c r="DN25" s="1097">
        <f t="shared" si="17"/>
        <v>14226</v>
      </c>
      <c r="DO25" s="1098">
        <v>320</v>
      </c>
      <c r="DP25" s="1098">
        <v>601</v>
      </c>
      <c r="DQ25" s="1098">
        <v>530</v>
      </c>
      <c r="DR25" s="1098">
        <v>255</v>
      </c>
      <c r="DS25" s="1098">
        <v>69</v>
      </c>
      <c r="DT25" s="1098">
        <v>74</v>
      </c>
      <c r="DU25" s="1098">
        <v>95</v>
      </c>
      <c r="DV25" s="1098">
        <v>69</v>
      </c>
      <c r="DW25" s="1098">
        <v>67</v>
      </c>
      <c r="DX25" s="1098">
        <v>66</v>
      </c>
      <c r="DY25" s="1098">
        <v>205</v>
      </c>
      <c r="DZ25" s="1098">
        <v>59</v>
      </c>
      <c r="EA25" s="1097">
        <f t="shared" si="18"/>
        <v>2410</v>
      </c>
      <c r="EB25" s="1098"/>
      <c r="EC25" s="1098"/>
      <c r="ED25" s="1098"/>
      <c r="EE25" s="1098"/>
      <c r="EF25" s="1098"/>
      <c r="EG25" s="1098"/>
      <c r="EH25" s="1098"/>
      <c r="EI25" s="1098"/>
      <c r="EJ25" s="1098"/>
      <c r="EK25" s="1098"/>
      <c r="EL25" s="1098"/>
      <c r="EM25" s="1098">
        <v>16000</v>
      </c>
      <c r="EN25" s="1097">
        <f t="shared" si="20"/>
        <v>16000</v>
      </c>
      <c r="EO25" s="1098"/>
      <c r="EP25" s="1098"/>
      <c r="EQ25" s="1098"/>
      <c r="ER25" s="1098"/>
      <c r="ES25" s="1098"/>
      <c r="ET25" s="1098"/>
      <c r="EU25" s="1098"/>
      <c r="EV25" s="1098"/>
      <c r="EW25" s="1098"/>
      <c r="EX25" s="1098"/>
      <c r="EY25" s="1098"/>
      <c r="EZ25" s="1098">
        <v>20860</v>
      </c>
      <c r="FA25" s="1097">
        <f t="shared" si="21"/>
        <v>20860</v>
      </c>
      <c r="FB25" s="1098"/>
      <c r="FC25" s="1098"/>
      <c r="FD25" s="1098"/>
      <c r="FE25" s="1098"/>
      <c r="FF25" s="1098"/>
      <c r="FG25" s="1098"/>
      <c r="FH25" s="1098"/>
      <c r="FI25" s="1098"/>
      <c r="FJ25" s="1098"/>
      <c r="FK25" s="1098"/>
      <c r="FL25" s="1098"/>
      <c r="FM25" s="1098">
        <v>25876</v>
      </c>
      <c r="FN25" s="1097">
        <f t="shared" si="23"/>
        <v>25876</v>
      </c>
      <c r="FO25" s="1098"/>
      <c r="FP25" s="1098"/>
      <c r="FQ25" s="1098"/>
      <c r="FR25" s="1098"/>
      <c r="FS25" s="1098"/>
      <c r="FT25" s="1098"/>
      <c r="FU25" s="1098"/>
      <c r="FV25" s="1098"/>
      <c r="FW25" s="1098"/>
      <c r="FX25" s="1098"/>
      <c r="FY25" s="1098"/>
      <c r="FZ25" s="1098">
        <v>30138</v>
      </c>
      <c r="GA25" s="1097">
        <f t="shared" si="24"/>
        <v>30138</v>
      </c>
      <c r="GB25" s="1098"/>
      <c r="GC25" s="1098"/>
      <c r="GD25" s="1098"/>
      <c r="GE25" s="1098"/>
      <c r="GF25" s="1098"/>
      <c r="GG25" s="1098"/>
      <c r="GH25" s="1098"/>
      <c r="GI25" s="1098"/>
      <c r="GJ25" s="1098"/>
      <c r="GK25" s="1098"/>
      <c r="GL25" s="1098"/>
      <c r="GM25" s="1098">
        <v>36477</v>
      </c>
      <c r="GN25" s="1097">
        <f t="shared" si="26"/>
        <v>36477</v>
      </c>
      <c r="GO25" s="1098"/>
      <c r="GP25" s="1098"/>
      <c r="GQ25" s="1098"/>
      <c r="GR25" s="1098"/>
      <c r="GS25" s="1098"/>
      <c r="GT25" s="1098"/>
      <c r="GU25" s="1098"/>
      <c r="GV25" s="1098"/>
      <c r="GW25" s="1098"/>
      <c r="GX25" s="1098"/>
      <c r="GY25" s="1098"/>
      <c r="GZ25" s="1098">
        <v>37184</v>
      </c>
      <c r="HA25" s="1097">
        <f t="shared" si="28"/>
        <v>37184</v>
      </c>
      <c r="HB25" s="1098"/>
      <c r="HC25" s="1098"/>
      <c r="HD25" s="1098"/>
      <c r="HE25" s="1098"/>
      <c r="HF25" s="1098"/>
      <c r="HG25" s="1098"/>
      <c r="HH25" s="1098"/>
      <c r="HI25" s="1098"/>
      <c r="HJ25" s="1098"/>
      <c r="HK25" s="1098"/>
      <c r="HL25" s="1098"/>
      <c r="HM25" s="1098"/>
      <c r="HN25" s="1097">
        <f t="shared" si="30"/>
        <v>0</v>
      </c>
      <c r="HO25" s="1098"/>
      <c r="HP25" s="1098"/>
      <c r="HQ25" s="1098"/>
      <c r="HR25" s="1098"/>
      <c r="HS25" s="1098"/>
      <c r="HT25" s="1098"/>
      <c r="HU25" s="1098"/>
      <c r="HV25" s="1098"/>
      <c r="HW25" s="1098"/>
      <c r="HX25" s="1098"/>
      <c r="HY25" s="1098"/>
      <c r="HZ25" s="1098"/>
      <c r="IA25" s="1097">
        <f t="shared" si="32"/>
        <v>0</v>
      </c>
      <c r="IB25" s="1098"/>
      <c r="IC25" s="1098"/>
      <c r="ID25" s="1098"/>
      <c r="IE25" s="1098"/>
      <c r="IF25" s="1098"/>
      <c r="IG25" s="1098"/>
      <c r="IH25" s="1098"/>
      <c r="II25" s="1098"/>
      <c r="IJ25" s="1098"/>
      <c r="IK25" s="1098"/>
      <c r="IL25" s="1098"/>
      <c r="IM25" s="1098">
        <v>42763</v>
      </c>
      <c r="IN25" s="1097">
        <f t="shared" si="34"/>
        <v>42763</v>
      </c>
      <c r="IO25" s="1098"/>
      <c r="IP25" s="1098"/>
      <c r="IQ25" s="1098"/>
      <c r="IR25" s="1098"/>
      <c r="IS25" s="1098"/>
      <c r="IT25" s="1098"/>
      <c r="IU25" s="1098"/>
      <c r="IV25" s="1098"/>
      <c r="IW25" s="1098"/>
      <c r="IX25" s="1098"/>
      <c r="IY25" s="1098"/>
      <c r="IZ25" s="1098">
        <v>7339</v>
      </c>
      <c r="JA25" s="1097">
        <f t="shared" si="35"/>
        <v>7339</v>
      </c>
      <c r="JB25" s="1098"/>
      <c r="JC25" s="1098"/>
      <c r="JD25" s="1098"/>
      <c r="JE25" s="1098"/>
      <c r="JF25" s="1098"/>
      <c r="JG25" s="1098"/>
      <c r="JH25" s="1098"/>
      <c r="JI25" s="1098"/>
      <c r="JJ25" s="1098"/>
      <c r="JK25" s="1098"/>
      <c r="JL25" s="1098"/>
      <c r="JM25" s="1098">
        <v>52423</v>
      </c>
      <c r="JN25" s="1097">
        <f t="shared" si="36"/>
        <v>52423</v>
      </c>
      <c r="JO25" s="1098">
        <v>0</v>
      </c>
      <c r="JP25" s="1098"/>
      <c r="JQ25" s="1098"/>
      <c r="JR25" s="1098"/>
      <c r="JS25" s="1098"/>
      <c r="JT25" s="1098"/>
      <c r="JU25" s="1098"/>
      <c r="JV25" s="1098"/>
      <c r="JW25" s="1098"/>
      <c r="JX25" s="1098"/>
      <c r="JY25" s="1098"/>
      <c r="JZ25" s="1098"/>
      <c r="KA25" s="1097">
        <f t="shared" si="38"/>
        <v>0</v>
      </c>
      <c r="KC25" s="1116" cm="1">
        <f t="array" ref="KC25">IFERROR(((
_xlfn.XLOOKUP((DATE(YEAR($KC$5),MONTH($KC$5),1)),SMN.COSECHA.DATE,$B25:$KA25) /
_xlfn.XLOOKUP((DATE(YEAR($KC$5)-1,MONTH($KC$5),1)),SMN.COSECHA.DATE,$B25:$KA25)
)-1)*100,"")</f>
        <v>614.30712631148663</v>
      </c>
      <c r="KD25" s="1117">
        <f t="shared" si="39"/>
        <v>614.30712631148663</v>
      </c>
      <c r="KE25" s="1079" cm="1">
        <f t="array" ref="KE25">SUMIFS($B25:$KA25,SMN.COSECHA.DATE,"&gt;="&amp;DATE(YEAR($KC$5)-1,1,1),SMN.COSECHA.DATE,"&lt;="&amp;DATE(YEAR($KC$5)-1,MONTH($KC$5),1))</f>
        <v>7339</v>
      </c>
      <c r="KF25" s="1118" cm="1">
        <f t="array" ref="KF25">SUMIFS($B25:$KA25,SMN.COSECHA.DATE,"&gt;="&amp;DATE(YEAR($KC$5),1,1),SMN.COSECHA.DATE,"&lt;="&amp;$KC$5)</f>
        <v>52423</v>
      </c>
      <c r="KG25" s="62"/>
      <c r="KH25" s="1079">
        <f t="shared" si="40"/>
        <v>694732</v>
      </c>
      <c r="KI25" s="1080" t="s">
        <v>146</v>
      </c>
      <c r="KJ25" s="1081" t="str">
        <f t="shared" si="41"/>
        <v>OK</v>
      </c>
    </row>
    <row r="26" spans="1:296" ht="15" customHeight="1" x14ac:dyDescent="0.2">
      <c r="A26" s="1129" t="s">
        <v>351</v>
      </c>
      <c r="B26" s="1098"/>
      <c r="C26" s="1098"/>
      <c r="D26" s="1098"/>
      <c r="E26" s="1098"/>
      <c r="F26" s="1098"/>
      <c r="G26" s="1098"/>
      <c r="H26" s="1098"/>
      <c r="I26" s="1098"/>
      <c r="J26" s="1098"/>
      <c r="K26" s="1098"/>
      <c r="L26" s="1098"/>
      <c r="M26" s="1098">
        <v>70</v>
      </c>
      <c r="N26" s="1097">
        <f t="shared" si="1"/>
        <v>70</v>
      </c>
      <c r="O26" s="1098"/>
      <c r="P26" s="1098"/>
      <c r="Q26" s="1098"/>
      <c r="R26" s="1098"/>
      <c r="S26" s="1098"/>
      <c r="T26" s="1098"/>
      <c r="U26" s="1098"/>
      <c r="V26" s="1098"/>
      <c r="W26" s="1098"/>
      <c r="X26" s="1098"/>
      <c r="Y26" s="1098"/>
      <c r="Z26" s="1098">
        <v>72</v>
      </c>
      <c r="AA26" s="1097">
        <f t="shared" si="3"/>
        <v>72</v>
      </c>
      <c r="AB26" s="1098"/>
      <c r="AC26" s="1098"/>
      <c r="AD26" s="1098"/>
      <c r="AE26" s="1098"/>
      <c r="AF26" s="1098"/>
      <c r="AG26" s="1098"/>
      <c r="AH26" s="1098"/>
      <c r="AI26" s="1098"/>
      <c r="AJ26" s="1098"/>
      <c r="AK26" s="1098"/>
      <c r="AL26" s="1098"/>
      <c r="AM26" s="1098">
        <v>72</v>
      </c>
      <c r="AN26" s="1097">
        <f t="shared" si="5"/>
        <v>72</v>
      </c>
      <c r="AO26" s="1098"/>
      <c r="AP26" s="1098"/>
      <c r="AQ26" s="1098"/>
      <c r="AR26" s="1098"/>
      <c r="AS26" s="1098"/>
      <c r="AT26" s="1098"/>
      <c r="AU26" s="1098"/>
      <c r="AV26" s="1098"/>
      <c r="AW26" s="1098"/>
      <c r="AX26" s="1098"/>
      <c r="AY26" s="1098"/>
      <c r="AZ26" s="1098">
        <v>79</v>
      </c>
      <c r="BA26" s="1097">
        <f t="shared" si="7"/>
        <v>79</v>
      </c>
      <c r="BB26" s="1098"/>
      <c r="BC26" s="1098"/>
      <c r="BD26" s="1098"/>
      <c r="BE26" s="1098"/>
      <c r="BF26" s="1098"/>
      <c r="BG26" s="1098"/>
      <c r="BH26" s="1098"/>
      <c r="BI26" s="1098"/>
      <c r="BJ26" s="1098"/>
      <c r="BK26" s="1098"/>
      <c r="BL26" s="1098"/>
      <c r="BM26" s="1098">
        <v>77</v>
      </c>
      <c r="BN26" s="1097">
        <f t="shared" si="9"/>
        <v>77</v>
      </c>
      <c r="BO26" s="1098"/>
      <c r="BP26" s="1098"/>
      <c r="BQ26" s="1098"/>
      <c r="BR26" s="1098"/>
      <c r="BS26" s="1098"/>
      <c r="BT26" s="1098"/>
      <c r="BU26" s="1098"/>
      <c r="BV26" s="1098"/>
      <c r="BW26" s="1098"/>
      <c r="BX26" s="1098"/>
      <c r="BY26" s="1098"/>
      <c r="BZ26" s="1098">
        <v>78</v>
      </c>
      <c r="CA26" s="1097">
        <f t="shared" si="11"/>
        <v>78</v>
      </c>
      <c r="CB26" s="1098"/>
      <c r="CC26" s="1098"/>
      <c r="CD26" s="1098"/>
      <c r="CE26" s="1098"/>
      <c r="CF26" s="1098"/>
      <c r="CG26" s="1098"/>
      <c r="CH26" s="1098"/>
      <c r="CI26" s="1098"/>
      <c r="CJ26" s="1098"/>
      <c r="CK26" s="1098"/>
      <c r="CL26" s="1098"/>
      <c r="CM26" s="1098">
        <v>35</v>
      </c>
      <c r="CN26" s="1097">
        <f t="shared" si="13"/>
        <v>35</v>
      </c>
      <c r="CO26" s="1098"/>
      <c r="CP26" s="1098"/>
      <c r="CQ26" s="1098"/>
      <c r="CR26" s="1098"/>
      <c r="CS26" s="1098"/>
      <c r="CT26" s="1098"/>
      <c r="CU26" s="1098"/>
      <c r="CV26" s="1098"/>
      <c r="CW26" s="1098"/>
      <c r="CX26" s="1098"/>
      <c r="CY26" s="1098"/>
      <c r="CZ26" s="1098"/>
      <c r="DA26" s="1097">
        <f t="shared" si="15"/>
        <v>0</v>
      </c>
      <c r="DB26" s="1098"/>
      <c r="DC26" s="1098"/>
      <c r="DD26" s="1098"/>
      <c r="DE26" s="1098"/>
      <c r="DF26" s="1098"/>
      <c r="DG26" s="1098"/>
      <c r="DH26" s="1098"/>
      <c r="DI26" s="1098"/>
      <c r="DJ26" s="1098"/>
      <c r="DK26" s="1098"/>
      <c r="DL26" s="1098"/>
      <c r="DM26" s="1098">
        <v>75</v>
      </c>
      <c r="DN26" s="1097">
        <f t="shared" si="17"/>
        <v>75</v>
      </c>
      <c r="DO26" s="1098">
        <v>7</v>
      </c>
      <c r="DP26" s="1098">
        <v>12</v>
      </c>
      <c r="DQ26" s="1098">
        <v>12</v>
      </c>
      <c r="DR26" s="1098"/>
      <c r="DS26" s="1098"/>
      <c r="DT26" s="1098">
        <v>1</v>
      </c>
      <c r="DU26" s="1098">
        <v>1</v>
      </c>
      <c r="DV26" s="1098">
        <v>2</v>
      </c>
      <c r="DW26" s="1098">
        <v>1</v>
      </c>
      <c r="DX26" s="1098">
        <v>1</v>
      </c>
      <c r="DY26" s="1098">
        <v>1</v>
      </c>
      <c r="DZ26" s="1098">
        <v>1</v>
      </c>
      <c r="EA26" s="1097">
        <f t="shared" si="18"/>
        <v>39</v>
      </c>
      <c r="EB26" s="1098"/>
      <c r="EC26" s="1098"/>
      <c r="ED26" s="1098"/>
      <c r="EE26" s="1098"/>
      <c r="EF26" s="1098"/>
      <c r="EG26" s="1098"/>
      <c r="EH26" s="1098"/>
      <c r="EI26" s="1098"/>
      <c r="EJ26" s="1098"/>
      <c r="EK26" s="1098"/>
      <c r="EL26" s="1098"/>
      <c r="EM26" s="1098">
        <v>60</v>
      </c>
      <c r="EN26" s="1097">
        <f t="shared" si="20"/>
        <v>60</v>
      </c>
      <c r="EO26" s="1098"/>
      <c r="EP26" s="1098"/>
      <c r="EQ26" s="1098"/>
      <c r="ER26" s="1098"/>
      <c r="ES26" s="1098"/>
      <c r="ET26" s="1098"/>
      <c r="EU26" s="1098"/>
      <c r="EV26" s="1098"/>
      <c r="EW26" s="1098"/>
      <c r="EX26" s="1098"/>
      <c r="EY26" s="1098"/>
      <c r="EZ26" s="1098">
        <v>25</v>
      </c>
      <c r="FA26" s="1097">
        <f t="shared" si="21"/>
        <v>25</v>
      </c>
      <c r="FB26" s="1098"/>
      <c r="FC26" s="1098"/>
      <c r="FD26" s="1098"/>
      <c r="FE26" s="1098"/>
      <c r="FF26" s="1098"/>
      <c r="FG26" s="1098"/>
      <c r="FH26" s="1098"/>
      <c r="FI26" s="1098"/>
      <c r="FJ26" s="1098"/>
      <c r="FK26" s="1098"/>
      <c r="FL26" s="1098"/>
      <c r="FM26" s="1098">
        <v>24</v>
      </c>
      <c r="FN26" s="1097">
        <f t="shared" si="23"/>
        <v>24</v>
      </c>
      <c r="FO26" s="1098"/>
      <c r="FP26" s="1098"/>
      <c r="FQ26" s="1098"/>
      <c r="FR26" s="1098"/>
      <c r="FS26" s="1098"/>
      <c r="FT26" s="1098"/>
      <c r="FU26" s="1098"/>
      <c r="FV26" s="1098"/>
      <c r="FW26" s="1098"/>
      <c r="FX26" s="1098"/>
      <c r="FY26" s="1098"/>
      <c r="FZ26" s="1098">
        <v>26</v>
      </c>
      <c r="GA26" s="1097">
        <f t="shared" si="24"/>
        <v>26</v>
      </c>
      <c r="GB26" s="1098"/>
      <c r="GC26" s="1098"/>
      <c r="GD26" s="1098"/>
      <c r="GE26" s="1098"/>
      <c r="GF26" s="1098"/>
      <c r="GG26" s="1098"/>
      <c r="GH26" s="1098"/>
      <c r="GI26" s="1098"/>
      <c r="GJ26" s="1098"/>
      <c r="GK26" s="1098"/>
      <c r="GL26" s="1098"/>
      <c r="GM26" s="1098">
        <v>48</v>
      </c>
      <c r="GN26" s="1097">
        <f t="shared" si="26"/>
        <v>48</v>
      </c>
      <c r="GO26" s="1098"/>
      <c r="GP26" s="1098"/>
      <c r="GQ26" s="1098"/>
      <c r="GR26" s="1098"/>
      <c r="GS26" s="1098"/>
      <c r="GT26" s="1098"/>
      <c r="GU26" s="1098"/>
      <c r="GV26" s="1098"/>
      <c r="GW26" s="1098"/>
      <c r="GX26" s="1098"/>
      <c r="GY26" s="1098"/>
      <c r="GZ26" s="1098">
        <v>34</v>
      </c>
      <c r="HA26" s="1097">
        <f t="shared" si="28"/>
        <v>34</v>
      </c>
      <c r="HB26" s="1098"/>
      <c r="HC26" s="1098"/>
      <c r="HD26" s="1098"/>
      <c r="HE26" s="1098"/>
      <c r="HF26" s="1098"/>
      <c r="HG26" s="1098"/>
      <c r="HH26" s="1098"/>
      <c r="HI26" s="1098"/>
      <c r="HJ26" s="1098"/>
      <c r="HK26" s="1098"/>
      <c r="HL26" s="1098"/>
      <c r="HM26" s="1098"/>
      <c r="HN26" s="1097">
        <f t="shared" si="30"/>
        <v>0</v>
      </c>
      <c r="HO26" s="1098"/>
      <c r="HP26" s="1098"/>
      <c r="HQ26" s="1098"/>
      <c r="HR26" s="1098"/>
      <c r="HS26" s="1098">
        <v>1</v>
      </c>
      <c r="HT26" s="1098"/>
      <c r="HU26" s="1098"/>
      <c r="HV26" s="1098"/>
      <c r="HW26" s="1098"/>
      <c r="HX26" s="1098"/>
      <c r="HY26" s="1098"/>
      <c r="HZ26" s="1098"/>
      <c r="IA26" s="1097">
        <f t="shared" si="32"/>
        <v>1</v>
      </c>
      <c r="IB26" s="1098">
        <v>10</v>
      </c>
      <c r="IC26" s="1098"/>
      <c r="ID26" s="1098"/>
      <c r="IE26" s="1098"/>
      <c r="IF26" s="1098"/>
      <c r="IG26" s="1098"/>
      <c r="IH26" s="1098"/>
      <c r="II26" s="1098"/>
      <c r="IJ26" s="1098"/>
      <c r="IK26" s="1098"/>
      <c r="IL26" s="1098"/>
      <c r="IM26" s="1098">
        <v>60</v>
      </c>
      <c r="IN26" s="1097">
        <f t="shared" si="34"/>
        <v>70</v>
      </c>
      <c r="IO26" s="1098"/>
      <c r="IP26" s="1098"/>
      <c r="IQ26" s="1098"/>
      <c r="IR26" s="1098"/>
      <c r="IS26" s="1098"/>
      <c r="IT26" s="1098"/>
      <c r="IU26" s="1098"/>
      <c r="IV26" s="1098"/>
      <c r="IW26" s="1098"/>
      <c r="IX26" s="1098"/>
      <c r="IY26" s="1098"/>
      <c r="IZ26" s="1098"/>
      <c r="JA26" s="1097">
        <f t="shared" si="35"/>
        <v>0</v>
      </c>
      <c r="JB26" s="1098"/>
      <c r="JC26" s="1098"/>
      <c r="JD26" s="1098"/>
      <c r="JE26" s="1098"/>
      <c r="JF26" s="1098"/>
      <c r="JG26" s="1098"/>
      <c r="JH26" s="1098"/>
      <c r="JI26" s="1098"/>
      <c r="JJ26" s="1098"/>
      <c r="JK26" s="1098"/>
      <c r="JL26" s="1098"/>
      <c r="JM26" s="1098">
        <v>61</v>
      </c>
      <c r="JN26" s="1097">
        <f t="shared" si="36"/>
        <v>61</v>
      </c>
      <c r="JO26" s="1098">
        <v>0</v>
      </c>
      <c r="JP26" s="1098"/>
      <c r="JQ26" s="1098"/>
      <c r="JR26" s="1098"/>
      <c r="JS26" s="1098"/>
      <c r="JT26" s="1098"/>
      <c r="JU26" s="1098"/>
      <c r="JV26" s="1098"/>
      <c r="JW26" s="1098"/>
      <c r="JX26" s="1098"/>
      <c r="JY26" s="1098"/>
      <c r="JZ26" s="1098"/>
      <c r="KA26" s="1097">
        <f t="shared" si="38"/>
        <v>0</v>
      </c>
      <c r="KC26" s="1116" t="str" cm="1">
        <f t="array" ref="KC26">IFERROR(((
_xlfn.XLOOKUP((DATE(YEAR($KC$5),MONTH($KC$5),1)),SMN.COSECHA.DATE,$B26:$KA26) /
_xlfn.XLOOKUP((DATE(YEAR($KC$5)-1,MONTH($KC$5),1)),SMN.COSECHA.DATE,$B26:$KA26)
)-1)*100,"")</f>
        <v/>
      </c>
      <c r="KD26" s="1117" t="str">
        <f t="shared" si="39"/>
        <v/>
      </c>
      <c r="KE26" s="1079" cm="1">
        <f t="array" ref="KE26">SUMIFS($B26:$KA26,SMN.COSECHA.DATE,"&gt;="&amp;DATE(YEAR($KC$5)-1,1,1),SMN.COSECHA.DATE,"&lt;="&amp;DATE(YEAR($KC$5)-1,MONTH($KC$5),1))</f>
        <v>0</v>
      </c>
      <c r="KF26" s="1118" cm="1">
        <f t="array" ref="KF26">SUMIFS($B26:$KA26,SMN.COSECHA.DATE,"&gt;="&amp;DATE(YEAR($KC$5),1,1),SMN.COSECHA.DATE,"&lt;="&amp;$KC$5)</f>
        <v>61</v>
      </c>
      <c r="KG26" s="62"/>
      <c r="KH26" s="1079">
        <f t="shared" si="40"/>
        <v>1752</v>
      </c>
      <c r="KI26" s="1080" t="s">
        <v>351</v>
      </c>
      <c r="KJ26" s="1081" t="str">
        <f t="shared" si="41"/>
        <v>OK</v>
      </c>
    </row>
    <row r="27" spans="1:296" ht="15" customHeight="1" x14ac:dyDescent="0.2">
      <c r="A27" s="1129" t="s">
        <v>139</v>
      </c>
      <c r="B27" s="1098"/>
      <c r="C27" s="1098"/>
      <c r="D27" s="1098"/>
      <c r="E27" s="1098"/>
      <c r="F27" s="1098"/>
      <c r="G27" s="1098"/>
      <c r="H27" s="1098"/>
      <c r="I27" s="1098"/>
      <c r="J27" s="1098"/>
      <c r="K27" s="1098"/>
      <c r="L27" s="1098"/>
      <c r="M27" s="1098">
        <v>3546</v>
      </c>
      <c r="N27" s="1097">
        <f t="shared" si="1"/>
        <v>3546</v>
      </c>
      <c r="O27" s="1098"/>
      <c r="P27" s="1098"/>
      <c r="Q27" s="1098"/>
      <c r="R27" s="1098"/>
      <c r="S27" s="1098"/>
      <c r="T27" s="1098"/>
      <c r="U27" s="1098"/>
      <c r="V27" s="1098"/>
      <c r="W27" s="1098"/>
      <c r="X27" s="1098"/>
      <c r="Y27" s="1098"/>
      <c r="Z27" s="1098">
        <v>1078.5</v>
      </c>
      <c r="AA27" s="1097">
        <f t="shared" si="3"/>
        <v>1078.5</v>
      </c>
      <c r="AB27" s="1098"/>
      <c r="AC27" s="1098"/>
      <c r="AD27" s="1098"/>
      <c r="AE27" s="1098"/>
      <c r="AF27" s="1098"/>
      <c r="AG27" s="1098"/>
      <c r="AH27" s="1098"/>
      <c r="AI27" s="1098"/>
      <c r="AJ27" s="1098"/>
      <c r="AK27" s="1098"/>
      <c r="AL27" s="1098"/>
      <c r="AM27" s="1098">
        <v>1699</v>
      </c>
      <c r="AN27" s="1097">
        <f t="shared" si="5"/>
        <v>1699</v>
      </c>
      <c r="AO27" s="1098"/>
      <c r="AP27" s="1098"/>
      <c r="AQ27" s="1098"/>
      <c r="AR27" s="1098"/>
      <c r="AS27" s="1098"/>
      <c r="AT27" s="1098"/>
      <c r="AU27" s="1098"/>
      <c r="AV27" s="1098"/>
      <c r="AW27" s="1098"/>
      <c r="AX27" s="1098"/>
      <c r="AY27" s="1098"/>
      <c r="AZ27" s="1098">
        <v>1744</v>
      </c>
      <c r="BA27" s="1097">
        <f t="shared" si="7"/>
        <v>1744</v>
      </c>
      <c r="BB27" s="1098"/>
      <c r="BC27" s="1098"/>
      <c r="BD27" s="1098"/>
      <c r="BE27" s="1098"/>
      <c r="BF27" s="1098"/>
      <c r="BG27" s="1098"/>
      <c r="BH27" s="1098"/>
      <c r="BI27" s="1098"/>
      <c r="BJ27" s="1098"/>
      <c r="BK27" s="1098"/>
      <c r="BL27" s="1098"/>
      <c r="BM27" s="1098">
        <v>1773</v>
      </c>
      <c r="BN27" s="1097">
        <f t="shared" si="9"/>
        <v>1773</v>
      </c>
      <c r="BO27" s="1098"/>
      <c r="BP27" s="1098"/>
      <c r="BQ27" s="1098"/>
      <c r="BR27" s="1098"/>
      <c r="BS27" s="1098"/>
      <c r="BT27" s="1098"/>
      <c r="BU27" s="1098"/>
      <c r="BV27" s="1098"/>
      <c r="BW27" s="1098"/>
      <c r="BX27" s="1098"/>
      <c r="BY27" s="1098"/>
      <c r="BZ27" s="1098">
        <v>2732</v>
      </c>
      <c r="CA27" s="1097">
        <f t="shared" si="11"/>
        <v>2732</v>
      </c>
      <c r="CB27" s="1098"/>
      <c r="CC27" s="1098"/>
      <c r="CD27" s="1098"/>
      <c r="CE27" s="1098"/>
      <c r="CF27" s="1098"/>
      <c r="CG27" s="1098"/>
      <c r="CH27" s="1098"/>
      <c r="CI27" s="1098"/>
      <c r="CJ27" s="1098"/>
      <c r="CK27" s="1098"/>
      <c r="CL27" s="1098"/>
      <c r="CM27" s="1098">
        <v>1132</v>
      </c>
      <c r="CN27" s="1097">
        <f t="shared" si="13"/>
        <v>1132</v>
      </c>
      <c r="CO27" s="1098"/>
      <c r="CP27" s="1098"/>
      <c r="CQ27" s="1098"/>
      <c r="CR27" s="1098"/>
      <c r="CS27" s="1098"/>
      <c r="CT27" s="1098"/>
      <c r="CU27" s="1098"/>
      <c r="CV27" s="1098"/>
      <c r="CW27" s="1098"/>
      <c r="CX27" s="1098"/>
      <c r="CY27" s="1098"/>
      <c r="CZ27" s="1098">
        <v>356</v>
      </c>
      <c r="DA27" s="1097">
        <f t="shared" si="15"/>
        <v>356</v>
      </c>
      <c r="DB27" s="1098"/>
      <c r="DC27" s="1098"/>
      <c r="DD27" s="1098"/>
      <c r="DE27" s="1098"/>
      <c r="DF27" s="1098"/>
      <c r="DG27" s="1098"/>
      <c r="DH27" s="1098"/>
      <c r="DI27" s="1098"/>
      <c r="DJ27" s="1098"/>
      <c r="DK27" s="1098"/>
      <c r="DL27" s="1098"/>
      <c r="DM27" s="1098">
        <v>2134</v>
      </c>
      <c r="DN27" s="1097">
        <f t="shared" si="17"/>
        <v>2134</v>
      </c>
      <c r="DO27" s="1098">
        <v>140</v>
      </c>
      <c r="DP27" s="1098">
        <v>107</v>
      </c>
      <c r="DQ27" s="1098">
        <v>30</v>
      </c>
      <c r="DR27" s="1098">
        <v>1</v>
      </c>
      <c r="DS27" s="1098">
        <v>3</v>
      </c>
      <c r="DT27" s="1098"/>
      <c r="DU27" s="1098"/>
      <c r="DV27" s="1098"/>
      <c r="DW27" s="1098"/>
      <c r="DX27" s="1098"/>
      <c r="DY27" s="1098">
        <v>3</v>
      </c>
      <c r="DZ27" s="1098">
        <v>5</v>
      </c>
      <c r="EA27" s="1097">
        <f t="shared" si="18"/>
        <v>289</v>
      </c>
      <c r="EB27" s="1098"/>
      <c r="EC27" s="1098"/>
      <c r="ED27" s="1098"/>
      <c r="EE27" s="1098"/>
      <c r="EF27" s="1098"/>
      <c r="EG27" s="1098"/>
      <c r="EH27" s="1098"/>
      <c r="EI27" s="1098"/>
      <c r="EJ27" s="1098"/>
      <c r="EK27" s="1098"/>
      <c r="EL27" s="1098"/>
      <c r="EM27" s="1098">
        <v>1456</v>
      </c>
      <c r="EN27" s="1097">
        <f t="shared" si="20"/>
        <v>1456</v>
      </c>
      <c r="EO27" s="1098"/>
      <c r="EP27" s="1098"/>
      <c r="EQ27" s="1098"/>
      <c r="ER27" s="1098"/>
      <c r="ES27" s="1098"/>
      <c r="ET27" s="1098"/>
      <c r="EU27" s="1098"/>
      <c r="EV27" s="1098"/>
      <c r="EW27" s="1098"/>
      <c r="EX27" s="1098"/>
      <c r="EY27" s="1098"/>
      <c r="EZ27" s="1098">
        <v>1218</v>
      </c>
      <c r="FA27" s="1097">
        <f t="shared" si="21"/>
        <v>1218</v>
      </c>
      <c r="FB27" s="1098"/>
      <c r="FC27" s="1098"/>
      <c r="FD27" s="1098"/>
      <c r="FE27" s="1098"/>
      <c r="FF27" s="1098"/>
      <c r="FG27" s="1098"/>
      <c r="FH27" s="1098"/>
      <c r="FI27" s="1098"/>
      <c r="FJ27" s="1098"/>
      <c r="FK27" s="1098"/>
      <c r="FL27" s="1098"/>
      <c r="FM27" s="1098">
        <v>1110</v>
      </c>
      <c r="FN27" s="1097">
        <f t="shared" si="23"/>
        <v>1110</v>
      </c>
      <c r="FO27" s="1098"/>
      <c r="FP27" s="1098"/>
      <c r="FQ27" s="1098"/>
      <c r="FR27" s="1098"/>
      <c r="FS27" s="1098"/>
      <c r="FT27" s="1098"/>
      <c r="FU27" s="1098"/>
      <c r="FV27" s="1098"/>
      <c r="FW27" s="1098"/>
      <c r="FX27" s="1098"/>
      <c r="FY27" s="1098"/>
      <c r="FZ27" s="1098">
        <v>980</v>
      </c>
      <c r="GA27" s="1097">
        <f t="shared" si="24"/>
        <v>980</v>
      </c>
      <c r="GB27" s="1098"/>
      <c r="GC27" s="1098"/>
      <c r="GD27" s="1098"/>
      <c r="GE27" s="1098"/>
      <c r="GF27" s="1098"/>
      <c r="GG27" s="1098"/>
      <c r="GH27" s="1098"/>
      <c r="GI27" s="1098"/>
      <c r="GJ27" s="1098"/>
      <c r="GK27" s="1098"/>
      <c r="GL27" s="1098"/>
      <c r="GM27" s="1098">
        <v>1830</v>
      </c>
      <c r="GN27" s="1097">
        <f t="shared" si="26"/>
        <v>1830</v>
      </c>
      <c r="GO27" s="1098"/>
      <c r="GP27" s="1098"/>
      <c r="GQ27" s="1098"/>
      <c r="GR27" s="1098"/>
      <c r="GS27" s="1098"/>
      <c r="GT27" s="1098"/>
      <c r="GU27" s="1098"/>
      <c r="GV27" s="1098"/>
      <c r="GW27" s="1098"/>
      <c r="GX27" s="1098"/>
      <c r="GY27" s="1098"/>
      <c r="GZ27" s="1098">
        <v>1778</v>
      </c>
      <c r="HA27" s="1097">
        <f t="shared" si="28"/>
        <v>1778</v>
      </c>
      <c r="HB27" s="1098"/>
      <c r="HC27" s="1098"/>
      <c r="HD27" s="1098"/>
      <c r="HE27" s="1098"/>
      <c r="HF27" s="1098"/>
      <c r="HG27" s="1098"/>
      <c r="HH27" s="1098"/>
      <c r="HI27" s="1098"/>
      <c r="HJ27" s="1098"/>
      <c r="HK27" s="1098"/>
      <c r="HL27" s="1098"/>
      <c r="HM27" s="1098"/>
      <c r="HN27" s="1097">
        <f t="shared" si="30"/>
        <v>0</v>
      </c>
      <c r="HO27" s="1098"/>
      <c r="HP27" s="1098"/>
      <c r="HQ27" s="1098"/>
      <c r="HR27" s="1098"/>
      <c r="HS27" s="1098"/>
      <c r="HT27" s="1098"/>
      <c r="HU27" s="1098"/>
      <c r="HV27" s="1098"/>
      <c r="HW27" s="1098"/>
      <c r="HX27" s="1098"/>
      <c r="HY27" s="1098"/>
      <c r="HZ27" s="1098"/>
      <c r="IA27" s="1097">
        <f t="shared" si="32"/>
        <v>0</v>
      </c>
      <c r="IB27" s="1098">
        <v>8</v>
      </c>
      <c r="IC27" s="1098"/>
      <c r="ID27" s="1098"/>
      <c r="IE27" s="1098"/>
      <c r="IF27" s="1098"/>
      <c r="IG27" s="1098"/>
      <c r="IH27" s="1098"/>
      <c r="II27" s="1098"/>
      <c r="IJ27" s="1098"/>
      <c r="IK27" s="1098"/>
      <c r="IL27" s="1098"/>
      <c r="IM27" s="1098">
        <v>1444.1</v>
      </c>
      <c r="IN27" s="1097">
        <f t="shared" si="34"/>
        <v>1452.1</v>
      </c>
      <c r="IO27" s="1098">
        <v>4.5</v>
      </c>
      <c r="IP27" s="1098">
        <v>4</v>
      </c>
      <c r="IQ27" s="1098">
        <v>4</v>
      </c>
      <c r="IR27" s="1098">
        <v>4</v>
      </c>
      <c r="IS27" s="1098">
        <v>5</v>
      </c>
      <c r="IT27" s="1098">
        <v>5.0999999999999996</v>
      </c>
      <c r="IU27" s="1098">
        <v>5.05</v>
      </c>
      <c r="IV27" s="1098">
        <v>5</v>
      </c>
      <c r="IW27" s="1098">
        <v>5.3</v>
      </c>
      <c r="IX27" s="1098">
        <v>5.0999999999999996</v>
      </c>
      <c r="IY27" s="1098">
        <v>5</v>
      </c>
      <c r="IZ27" s="1098">
        <v>565</v>
      </c>
      <c r="JA27" s="1097">
        <f t="shared" si="35"/>
        <v>617.04999999999995</v>
      </c>
      <c r="JB27" s="1098"/>
      <c r="JC27" s="1098"/>
      <c r="JD27" s="1098"/>
      <c r="JE27" s="1098"/>
      <c r="JF27" s="1098"/>
      <c r="JG27" s="1098"/>
      <c r="JH27" s="1098"/>
      <c r="JI27" s="1098"/>
      <c r="JJ27" s="1098"/>
      <c r="JK27" s="1098"/>
      <c r="JL27" s="1098"/>
      <c r="JM27" s="1098">
        <v>1687.75</v>
      </c>
      <c r="JN27" s="1097">
        <f t="shared" si="36"/>
        <v>1687.75</v>
      </c>
      <c r="JO27" s="1098">
        <v>0</v>
      </c>
      <c r="JP27" s="1098"/>
      <c r="JQ27" s="1098"/>
      <c r="JR27" s="1098"/>
      <c r="JS27" s="1098"/>
      <c r="JT27" s="1098"/>
      <c r="JU27" s="1098"/>
      <c r="JV27" s="1098"/>
      <c r="JW27" s="1098"/>
      <c r="JX27" s="1098"/>
      <c r="JY27" s="1098"/>
      <c r="JZ27" s="1098"/>
      <c r="KA27" s="1097">
        <f t="shared" si="38"/>
        <v>0</v>
      </c>
      <c r="KC27" s="1116" cm="1">
        <f t="array" ref="KC27">IFERROR(((
_xlfn.XLOOKUP((DATE(YEAR($KC$5),MONTH($KC$5),1)),SMN.COSECHA.DATE,$B27:$KA27) /
_xlfn.XLOOKUP((DATE(YEAR($KC$5)-1,MONTH($KC$5),1)),SMN.COSECHA.DATE,$B27:$KA27)
)-1)*100,"")</f>
        <v>198.71681415929206</v>
      </c>
      <c r="KD27" s="1117">
        <f t="shared" si="39"/>
        <v>173.51916376306625</v>
      </c>
      <c r="KE27" s="1079" cm="1">
        <f t="array" ref="KE27">SUMIFS($B27:$KA27,SMN.COSECHA.DATE,"&gt;="&amp;DATE(YEAR($KC$5)-1,1,1),SMN.COSECHA.DATE,"&lt;="&amp;DATE(YEAR($KC$5)-1,MONTH($KC$5),1))</f>
        <v>617.04999999999995</v>
      </c>
      <c r="KF27" s="1118" cm="1">
        <f t="array" ref="KF27">SUMIFS($B27:$KA27,SMN.COSECHA.DATE,"&gt;="&amp;DATE(YEAR($KC$5),1,1),SMN.COSECHA.DATE,"&lt;="&amp;$KC$5)</f>
        <v>1687.75</v>
      </c>
      <c r="KG27" s="62"/>
      <c r="KH27" s="1079">
        <f t="shared" si="40"/>
        <v>50132.800000000003</v>
      </c>
      <c r="KI27" s="1080" t="s">
        <v>139</v>
      </c>
      <c r="KJ27" s="1081" t="str">
        <f t="shared" si="41"/>
        <v>OK</v>
      </c>
    </row>
    <row r="28" spans="1:296" ht="15" customHeight="1" x14ac:dyDescent="0.2">
      <c r="A28" s="1129" t="s">
        <v>569</v>
      </c>
      <c r="B28" s="1098"/>
      <c r="C28" s="1098"/>
      <c r="D28" s="1098"/>
      <c r="E28" s="1098"/>
      <c r="F28" s="1098"/>
      <c r="G28" s="1098"/>
      <c r="H28" s="1098"/>
      <c r="I28" s="1098"/>
      <c r="J28" s="1098"/>
      <c r="K28" s="1098"/>
      <c r="L28" s="1098"/>
      <c r="M28" s="1098">
        <v>890</v>
      </c>
      <c r="N28" s="1097">
        <f t="shared" si="1"/>
        <v>890</v>
      </c>
      <c r="O28" s="1098"/>
      <c r="P28" s="1098"/>
      <c r="Q28" s="1098"/>
      <c r="R28" s="1098"/>
      <c r="S28" s="1098"/>
      <c r="T28" s="1098"/>
      <c r="U28" s="1098"/>
      <c r="V28" s="1098"/>
      <c r="W28" s="1098"/>
      <c r="X28" s="1098"/>
      <c r="Y28" s="1098"/>
      <c r="Z28" s="1098">
        <v>889.5</v>
      </c>
      <c r="AA28" s="1097">
        <f t="shared" si="3"/>
        <v>889.5</v>
      </c>
      <c r="AB28" s="1098"/>
      <c r="AC28" s="1098"/>
      <c r="AD28" s="1098"/>
      <c r="AE28" s="1098"/>
      <c r="AF28" s="1098"/>
      <c r="AG28" s="1098"/>
      <c r="AH28" s="1098"/>
      <c r="AI28" s="1098"/>
      <c r="AJ28" s="1098"/>
      <c r="AK28" s="1098"/>
      <c r="AL28" s="1098"/>
      <c r="AM28" s="1098">
        <v>885</v>
      </c>
      <c r="AN28" s="1097">
        <f t="shared" si="5"/>
        <v>885</v>
      </c>
      <c r="AO28" s="1098"/>
      <c r="AP28" s="1098"/>
      <c r="AQ28" s="1098"/>
      <c r="AR28" s="1098"/>
      <c r="AS28" s="1098"/>
      <c r="AT28" s="1098"/>
      <c r="AU28" s="1098"/>
      <c r="AV28" s="1098"/>
      <c r="AW28" s="1098"/>
      <c r="AX28" s="1098"/>
      <c r="AY28" s="1098"/>
      <c r="AZ28" s="1098">
        <v>894</v>
      </c>
      <c r="BA28" s="1097">
        <f t="shared" si="7"/>
        <v>894</v>
      </c>
      <c r="BB28" s="1098"/>
      <c r="BC28" s="1098"/>
      <c r="BD28" s="1098"/>
      <c r="BE28" s="1098"/>
      <c r="BF28" s="1098"/>
      <c r="BG28" s="1098"/>
      <c r="BH28" s="1098"/>
      <c r="BI28" s="1098"/>
      <c r="BJ28" s="1098"/>
      <c r="BK28" s="1098"/>
      <c r="BL28" s="1098"/>
      <c r="BM28" s="1098">
        <v>892</v>
      </c>
      <c r="BN28" s="1097">
        <f t="shared" si="9"/>
        <v>892</v>
      </c>
      <c r="BO28" s="1098"/>
      <c r="BP28" s="1098"/>
      <c r="BQ28" s="1098"/>
      <c r="BR28" s="1098"/>
      <c r="BS28" s="1098"/>
      <c r="BT28" s="1098"/>
      <c r="BU28" s="1098"/>
      <c r="BV28" s="1098"/>
      <c r="BW28" s="1098"/>
      <c r="BX28" s="1098"/>
      <c r="BY28" s="1098"/>
      <c r="BZ28" s="1098">
        <v>874</v>
      </c>
      <c r="CA28" s="1097">
        <f t="shared" si="11"/>
        <v>874</v>
      </c>
      <c r="CB28" s="1098"/>
      <c r="CC28" s="1098"/>
      <c r="CD28" s="1098"/>
      <c r="CE28" s="1098"/>
      <c r="CF28" s="1098"/>
      <c r="CG28" s="1098"/>
      <c r="CH28" s="1098"/>
      <c r="CI28" s="1098"/>
      <c r="CJ28" s="1098"/>
      <c r="CK28" s="1098"/>
      <c r="CL28" s="1098"/>
      <c r="CM28" s="1098">
        <v>866</v>
      </c>
      <c r="CN28" s="1097">
        <f t="shared" si="13"/>
        <v>866</v>
      </c>
      <c r="CO28" s="1098"/>
      <c r="CP28" s="1098"/>
      <c r="CQ28" s="1098"/>
      <c r="CR28" s="1098"/>
      <c r="CS28" s="1098"/>
      <c r="CT28" s="1098"/>
      <c r="CU28" s="1098"/>
      <c r="CV28" s="1098"/>
      <c r="CW28" s="1098"/>
      <c r="CX28" s="1098"/>
      <c r="CY28" s="1098"/>
      <c r="CZ28" s="1098"/>
      <c r="DA28" s="1097">
        <f t="shared" si="15"/>
        <v>0</v>
      </c>
      <c r="DB28" s="1098"/>
      <c r="DC28" s="1098"/>
      <c r="DD28" s="1098"/>
      <c r="DE28" s="1098"/>
      <c r="DF28" s="1098"/>
      <c r="DG28" s="1098"/>
      <c r="DH28" s="1098"/>
      <c r="DI28" s="1098"/>
      <c r="DJ28" s="1098"/>
      <c r="DK28" s="1098"/>
      <c r="DL28" s="1098"/>
      <c r="DM28" s="1098">
        <v>884</v>
      </c>
      <c r="DN28" s="1097">
        <f t="shared" si="17"/>
        <v>884</v>
      </c>
      <c r="DO28" s="1098">
        <v>1181</v>
      </c>
      <c r="DP28" s="1098">
        <v>939</v>
      </c>
      <c r="DQ28" s="1098">
        <v>793</v>
      </c>
      <c r="DR28" s="1098">
        <v>549</v>
      </c>
      <c r="DS28" s="1098">
        <v>501</v>
      </c>
      <c r="DT28" s="1098">
        <v>484</v>
      </c>
      <c r="DU28" s="1098">
        <v>456</v>
      </c>
      <c r="DV28" s="1098">
        <v>435</v>
      </c>
      <c r="DW28" s="1098">
        <v>420</v>
      </c>
      <c r="DX28" s="1098">
        <v>437</v>
      </c>
      <c r="DY28" s="1098">
        <v>398</v>
      </c>
      <c r="DZ28" s="1098">
        <v>411</v>
      </c>
      <c r="EA28" s="1097">
        <f t="shared" si="18"/>
        <v>7004</v>
      </c>
      <c r="EB28" s="1098"/>
      <c r="EC28" s="1098"/>
      <c r="ED28" s="1098"/>
      <c r="EE28" s="1098"/>
      <c r="EF28" s="1098"/>
      <c r="EG28" s="1098"/>
      <c r="EH28" s="1098"/>
      <c r="EI28" s="1098"/>
      <c r="EJ28" s="1098"/>
      <c r="EK28" s="1098"/>
      <c r="EL28" s="1098"/>
      <c r="EM28" s="1098">
        <v>800</v>
      </c>
      <c r="EN28" s="1097">
        <f t="shared" si="20"/>
        <v>800</v>
      </c>
      <c r="EO28" s="1098"/>
      <c r="EP28" s="1098"/>
      <c r="EQ28" s="1098"/>
      <c r="ER28" s="1098"/>
      <c r="ES28" s="1098"/>
      <c r="ET28" s="1098"/>
      <c r="EU28" s="1098"/>
      <c r="EV28" s="1098"/>
      <c r="EW28" s="1098"/>
      <c r="EX28" s="1098"/>
      <c r="EY28" s="1098"/>
      <c r="EZ28" s="1098">
        <v>6</v>
      </c>
      <c r="FA28" s="1097">
        <f t="shared" si="21"/>
        <v>6</v>
      </c>
      <c r="FB28" s="1098"/>
      <c r="FC28" s="1098"/>
      <c r="FD28" s="1098"/>
      <c r="FE28" s="1098"/>
      <c r="FF28" s="1098"/>
      <c r="FG28" s="1098"/>
      <c r="FH28" s="1098"/>
      <c r="FI28" s="1098"/>
      <c r="FJ28" s="1098"/>
      <c r="FK28" s="1098"/>
      <c r="FL28" s="1098"/>
      <c r="FM28" s="1098"/>
      <c r="FN28" s="1097">
        <f t="shared" si="23"/>
        <v>0</v>
      </c>
      <c r="FO28" s="1098"/>
      <c r="FP28" s="1098"/>
      <c r="FQ28" s="1098"/>
      <c r="FR28" s="1098"/>
      <c r="FS28" s="1098"/>
      <c r="FT28" s="1098"/>
      <c r="FU28" s="1098"/>
      <c r="FV28" s="1098"/>
      <c r="FW28" s="1098"/>
      <c r="FX28" s="1098"/>
      <c r="FY28" s="1098"/>
      <c r="FZ28" s="1098">
        <v>1476</v>
      </c>
      <c r="GA28" s="1097">
        <f t="shared" si="24"/>
        <v>1476</v>
      </c>
      <c r="GB28" s="1098"/>
      <c r="GC28" s="1098"/>
      <c r="GD28" s="1098"/>
      <c r="GE28" s="1098"/>
      <c r="GF28" s="1098"/>
      <c r="GG28" s="1098"/>
      <c r="GH28" s="1098"/>
      <c r="GI28" s="1098"/>
      <c r="GJ28" s="1098"/>
      <c r="GK28" s="1098"/>
      <c r="GL28" s="1098"/>
      <c r="GM28" s="1098">
        <v>1526</v>
      </c>
      <c r="GN28" s="1097">
        <f t="shared" si="26"/>
        <v>1526</v>
      </c>
      <c r="GO28" s="1098"/>
      <c r="GP28" s="1098"/>
      <c r="GQ28" s="1098"/>
      <c r="GR28" s="1098"/>
      <c r="GS28" s="1098"/>
      <c r="GT28" s="1098"/>
      <c r="GU28" s="1098"/>
      <c r="GV28" s="1098"/>
      <c r="GW28" s="1098"/>
      <c r="GX28" s="1098"/>
      <c r="GY28" s="1098"/>
      <c r="GZ28" s="1098">
        <v>1514</v>
      </c>
      <c r="HA28" s="1097">
        <f t="shared" si="28"/>
        <v>1514</v>
      </c>
      <c r="HB28" s="1098"/>
      <c r="HC28" s="1098"/>
      <c r="HD28" s="1098"/>
      <c r="HE28" s="1098"/>
      <c r="HF28" s="1098"/>
      <c r="HG28" s="1098"/>
      <c r="HH28" s="1098"/>
      <c r="HI28" s="1098"/>
      <c r="HJ28" s="1098"/>
      <c r="HK28" s="1098"/>
      <c r="HL28" s="1098"/>
      <c r="HM28" s="1098"/>
      <c r="HN28" s="1097">
        <f t="shared" si="30"/>
        <v>0</v>
      </c>
      <c r="HO28" s="1098"/>
      <c r="HP28" s="1098"/>
      <c r="HQ28" s="1098"/>
      <c r="HR28" s="1098"/>
      <c r="HS28" s="1098"/>
      <c r="HT28" s="1098"/>
      <c r="HU28" s="1098"/>
      <c r="HV28" s="1098"/>
      <c r="HW28" s="1098"/>
      <c r="HX28" s="1098"/>
      <c r="HY28" s="1098"/>
      <c r="HZ28" s="1098"/>
      <c r="IA28" s="1097">
        <f t="shared" si="32"/>
        <v>0</v>
      </c>
      <c r="IB28" s="1098"/>
      <c r="IC28" s="1098"/>
      <c r="ID28" s="1098"/>
      <c r="IE28" s="1098"/>
      <c r="IF28" s="1098"/>
      <c r="IG28" s="1098"/>
      <c r="IH28" s="1098"/>
      <c r="II28" s="1098"/>
      <c r="IJ28" s="1098"/>
      <c r="IK28" s="1098"/>
      <c r="IL28" s="1098"/>
      <c r="IM28" s="1098">
        <v>1495.02</v>
      </c>
      <c r="IN28" s="1097">
        <f t="shared" si="34"/>
        <v>1495.02</v>
      </c>
      <c r="IO28" s="1098"/>
      <c r="IP28" s="1098"/>
      <c r="IQ28" s="1098"/>
      <c r="IR28" s="1098"/>
      <c r="IS28" s="1098"/>
      <c r="IT28" s="1098"/>
      <c r="IU28" s="1098"/>
      <c r="IV28" s="1098"/>
      <c r="IW28" s="1098"/>
      <c r="IX28" s="1098"/>
      <c r="IY28" s="1098"/>
      <c r="IZ28" s="1098"/>
      <c r="JA28" s="1097">
        <f t="shared" si="35"/>
        <v>0</v>
      </c>
      <c r="JB28" s="1098"/>
      <c r="JC28" s="1098"/>
      <c r="JD28" s="1098"/>
      <c r="JE28" s="1098"/>
      <c r="JF28" s="1098"/>
      <c r="JG28" s="1098"/>
      <c r="JH28" s="1098"/>
      <c r="JI28" s="1098"/>
      <c r="JJ28" s="1098"/>
      <c r="JK28" s="1098"/>
      <c r="JL28" s="1098"/>
      <c r="JM28" s="1098">
        <v>15</v>
      </c>
      <c r="JN28" s="1097">
        <f t="shared" si="36"/>
        <v>15</v>
      </c>
      <c r="JO28" s="1098">
        <v>0</v>
      </c>
      <c r="JP28" s="1098"/>
      <c r="JQ28" s="1098"/>
      <c r="JR28" s="1098"/>
      <c r="JS28" s="1098"/>
      <c r="JT28" s="1098"/>
      <c r="JU28" s="1098"/>
      <c r="JV28" s="1098"/>
      <c r="JW28" s="1098"/>
      <c r="JX28" s="1098"/>
      <c r="JY28" s="1098"/>
      <c r="JZ28" s="1098"/>
      <c r="KA28" s="1097">
        <f t="shared" si="38"/>
        <v>0</v>
      </c>
      <c r="KC28" s="1116" t="str" cm="1">
        <f t="array" ref="KC28">IFERROR(((
_xlfn.XLOOKUP((DATE(YEAR($KC$5),MONTH($KC$5),1)),SMN.COSECHA.DATE,$B28:$KA28) /
_xlfn.XLOOKUP((DATE(YEAR($KC$5)-1,MONTH($KC$5),1)),SMN.COSECHA.DATE,$B28:$KA28)
)-1)*100,"")</f>
        <v/>
      </c>
      <c r="KD28" s="1117" t="str">
        <f t="shared" si="39"/>
        <v/>
      </c>
      <c r="KE28" s="1079" cm="1">
        <f t="array" ref="KE28">SUMIFS($B28:$KA28,SMN.COSECHA.DATE,"&gt;="&amp;DATE(YEAR($KC$5)-1,1,1),SMN.COSECHA.DATE,"&lt;="&amp;DATE(YEAR($KC$5)-1,MONTH($KC$5),1))</f>
        <v>0</v>
      </c>
      <c r="KF28" s="1118" cm="1">
        <f t="array" ref="KF28">SUMIFS($B28:$KA28,SMN.COSECHA.DATE,"&gt;="&amp;DATE(YEAR($KC$5),1,1),SMN.COSECHA.DATE,"&lt;="&amp;$KC$5)</f>
        <v>15</v>
      </c>
      <c r="KG28" s="62"/>
      <c r="KH28" s="1079">
        <f t="shared" si="40"/>
        <v>40041.039999999994</v>
      </c>
      <c r="KI28" s="1080" t="s">
        <v>569</v>
      </c>
      <c r="KJ28" s="1081" t="str">
        <f t="shared" si="41"/>
        <v>OK</v>
      </c>
    </row>
    <row r="29" spans="1:296" ht="15" customHeight="1" x14ac:dyDescent="0.2">
      <c r="A29" s="1129" t="s">
        <v>141</v>
      </c>
      <c r="B29" s="1098"/>
      <c r="C29" s="1098"/>
      <c r="D29" s="1098"/>
      <c r="E29" s="1098"/>
      <c r="F29" s="1098"/>
      <c r="G29" s="1098"/>
      <c r="H29" s="1098"/>
      <c r="I29" s="1098"/>
      <c r="J29" s="1098"/>
      <c r="K29" s="1098"/>
      <c r="L29" s="1098"/>
      <c r="M29" s="1098">
        <v>914</v>
      </c>
      <c r="N29" s="1097">
        <f t="shared" si="1"/>
        <v>914</v>
      </c>
      <c r="O29" s="1098"/>
      <c r="P29" s="1098"/>
      <c r="Q29" s="1098"/>
      <c r="R29" s="1098"/>
      <c r="S29" s="1098"/>
      <c r="T29" s="1098"/>
      <c r="U29" s="1098"/>
      <c r="V29" s="1098"/>
      <c r="W29" s="1098"/>
      <c r="X29" s="1098"/>
      <c r="Y29" s="1098"/>
      <c r="Z29" s="1098">
        <v>1037.5</v>
      </c>
      <c r="AA29" s="1097">
        <f t="shared" si="3"/>
        <v>1037.5</v>
      </c>
      <c r="AB29" s="1098"/>
      <c r="AC29" s="1098"/>
      <c r="AD29" s="1098"/>
      <c r="AE29" s="1098"/>
      <c r="AF29" s="1098"/>
      <c r="AG29" s="1098"/>
      <c r="AH29" s="1098"/>
      <c r="AI29" s="1098"/>
      <c r="AJ29" s="1098"/>
      <c r="AK29" s="1098"/>
      <c r="AL29" s="1098"/>
      <c r="AM29" s="1098">
        <v>1186</v>
      </c>
      <c r="AN29" s="1097">
        <f t="shared" si="5"/>
        <v>1186</v>
      </c>
      <c r="AO29" s="1098"/>
      <c r="AP29" s="1098"/>
      <c r="AQ29" s="1098"/>
      <c r="AR29" s="1098"/>
      <c r="AS29" s="1098"/>
      <c r="AT29" s="1098"/>
      <c r="AU29" s="1098"/>
      <c r="AV29" s="1098"/>
      <c r="AW29" s="1098"/>
      <c r="AX29" s="1098"/>
      <c r="AY29" s="1098"/>
      <c r="AZ29" s="1098">
        <v>1268</v>
      </c>
      <c r="BA29" s="1097">
        <f t="shared" si="7"/>
        <v>1268</v>
      </c>
      <c r="BB29" s="1098"/>
      <c r="BC29" s="1098"/>
      <c r="BD29" s="1098"/>
      <c r="BE29" s="1098"/>
      <c r="BF29" s="1098"/>
      <c r="BG29" s="1098"/>
      <c r="BH29" s="1098"/>
      <c r="BI29" s="1098"/>
      <c r="BJ29" s="1098"/>
      <c r="BK29" s="1098"/>
      <c r="BL29" s="1098"/>
      <c r="BM29" s="1098">
        <v>1434</v>
      </c>
      <c r="BN29" s="1097">
        <f t="shared" si="9"/>
        <v>1434</v>
      </c>
      <c r="BO29" s="1098"/>
      <c r="BP29" s="1098"/>
      <c r="BQ29" s="1098"/>
      <c r="BR29" s="1098"/>
      <c r="BS29" s="1098"/>
      <c r="BT29" s="1098"/>
      <c r="BU29" s="1098"/>
      <c r="BV29" s="1098"/>
      <c r="BW29" s="1098"/>
      <c r="BX29" s="1098"/>
      <c r="BY29" s="1098"/>
      <c r="BZ29" s="1098">
        <v>1188</v>
      </c>
      <c r="CA29" s="1097">
        <f t="shared" si="11"/>
        <v>1188</v>
      </c>
      <c r="CB29" s="1098"/>
      <c r="CC29" s="1098"/>
      <c r="CD29" s="1098"/>
      <c r="CE29" s="1098"/>
      <c r="CF29" s="1098"/>
      <c r="CG29" s="1098"/>
      <c r="CH29" s="1098"/>
      <c r="CI29" s="1098"/>
      <c r="CJ29" s="1098"/>
      <c r="CK29" s="1098"/>
      <c r="CL29" s="1098"/>
      <c r="CM29" s="1098">
        <v>909</v>
      </c>
      <c r="CN29" s="1097">
        <f t="shared" si="13"/>
        <v>909</v>
      </c>
      <c r="CO29" s="1098"/>
      <c r="CP29" s="1098"/>
      <c r="CQ29" s="1098"/>
      <c r="CR29" s="1098"/>
      <c r="CS29" s="1098"/>
      <c r="CT29" s="1098"/>
      <c r="CU29" s="1098"/>
      <c r="CV29" s="1098"/>
      <c r="CW29" s="1098"/>
      <c r="CX29" s="1098"/>
      <c r="CY29" s="1098"/>
      <c r="CZ29" s="1098">
        <v>176</v>
      </c>
      <c r="DA29" s="1097">
        <f t="shared" si="15"/>
        <v>176</v>
      </c>
      <c r="DB29" s="1098"/>
      <c r="DC29" s="1098"/>
      <c r="DD29" s="1098"/>
      <c r="DE29" s="1098"/>
      <c r="DF29" s="1098"/>
      <c r="DG29" s="1098"/>
      <c r="DH29" s="1098"/>
      <c r="DI29" s="1098"/>
      <c r="DJ29" s="1098"/>
      <c r="DK29" s="1098"/>
      <c r="DL29" s="1098"/>
      <c r="DM29" s="1098">
        <v>1296</v>
      </c>
      <c r="DN29" s="1097">
        <f t="shared" si="17"/>
        <v>1296</v>
      </c>
      <c r="DO29" s="1098">
        <v>27</v>
      </c>
      <c r="DP29" s="1098">
        <v>24</v>
      </c>
      <c r="DQ29" s="1098">
        <v>8</v>
      </c>
      <c r="DR29" s="1098">
        <v>1</v>
      </c>
      <c r="DS29" s="1098"/>
      <c r="DT29" s="1098"/>
      <c r="DU29" s="1098"/>
      <c r="DV29" s="1098"/>
      <c r="DW29" s="1098"/>
      <c r="DX29" s="1098"/>
      <c r="DY29" s="1098"/>
      <c r="DZ29" s="1098"/>
      <c r="EA29" s="1097">
        <f t="shared" si="18"/>
        <v>60</v>
      </c>
      <c r="EB29" s="1098"/>
      <c r="EC29" s="1098"/>
      <c r="ED29" s="1098"/>
      <c r="EE29" s="1098"/>
      <c r="EF29" s="1098"/>
      <c r="EG29" s="1098"/>
      <c r="EH29" s="1098"/>
      <c r="EI29" s="1098"/>
      <c r="EJ29" s="1098"/>
      <c r="EK29" s="1098"/>
      <c r="EL29" s="1098"/>
      <c r="EM29" s="1098">
        <v>1395</v>
      </c>
      <c r="EN29" s="1097">
        <f t="shared" si="20"/>
        <v>1395</v>
      </c>
      <c r="EO29" s="1098"/>
      <c r="EP29" s="1098"/>
      <c r="EQ29" s="1098"/>
      <c r="ER29" s="1098"/>
      <c r="ES29" s="1098"/>
      <c r="ET29" s="1098"/>
      <c r="EU29" s="1098"/>
      <c r="EV29" s="1098"/>
      <c r="EW29" s="1098"/>
      <c r="EX29" s="1098"/>
      <c r="EY29" s="1098"/>
      <c r="EZ29" s="1098">
        <v>890</v>
      </c>
      <c r="FA29" s="1097">
        <f t="shared" si="21"/>
        <v>890</v>
      </c>
      <c r="FB29" s="1098"/>
      <c r="FC29" s="1098"/>
      <c r="FD29" s="1098"/>
      <c r="FE29" s="1098"/>
      <c r="FF29" s="1098"/>
      <c r="FG29" s="1098"/>
      <c r="FH29" s="1098"/>
      <c r="FI29" s="1098"/>
      <c r="FJ29" s="1098"/>
      <c r="FK29" s="1098"/>
      <c r="FL29" s="1098"/>
      <c r="FM29" s="1098">
        <v>811</v>
      </c>
      <c r="FN29" s="1097">
        <f t="shared" si="23"/>
        <v>811</v>
      </c>
      <c r="FO29" s="1098"/>
      <c r="FP29" s="1098"/>
      <c r="FQ29" s="1098"/>
      <c r="FR29" s="1098"/>
      <c r="FS29" s="1098"/>
      <c r="FT29" s="1098"/>
      <c r="FU29" s="1098"/>
      <c r="FV29" s="1098"/>
      <c r="FW29" s="1098"/>
      <c r="FX29" s="1098"/>
      <c r="FY29" s="1098"/>
      <c r="FZ29" s="1098">
        <v>606</v>
      </c>
      <c r="GA29" s="1097">
        <f t="shared" si="24"/>
        <v>606</v>
      </c>
      <c r="GB29" s="1098"/>
      <c r="GC29" s="1098"/>
      <c r="GD29" s="1098"/>
      <c r="GE29" s="1098"/>
      <c r="GF29" s="1098"/>
      <c r="GG29" s="1098"/>
      <c r="GH29" s="1098"/>
      <c r="GI29" s="1098"/>
      <c r="GJ29" s="1098"/>
      <c r="GK29" s="1098"/>
      <c r="GL29" s="1098"/>
      <c r="GM29" s="1098">
        <v>863</v>
      </c>
      <c r="GN29" s="1097">
        <f t="shared" si="26"/>
        <v>863</v>
      </c>
      <c r="GO29" s="1098"/>
      <c r="GP29" s="1098"/>
      <c r="GQ29" s="1098"/>
      <c r="GR29" s="1098"/>
      <c r="GS29" s="1098"/>
      <c r="GT29" s="1098"/>
      <c r="GU29" s="1098"/>
      <c r="GV29" s="1098"/>
      <c r="GW29" s="1098"/>
      <c r="GX29" s="1098"/>
      <c r="GY29" s="1098"/>
      <c r="GZ29" s="1098">
        <v>922</v>
      </c>
      <c r="HA29" s="1097">
        <f t="shared" si="28"/>
        <v>922</v>
      </c>
      <c r="HB29" s="1098"/>
      <c r="HC29" s="1098"/>
      <c r="HD29" s="1098"/>
      <c r="HE29" s="1098"/>
      <c r="HF29" s="1098"/>
      <c r="HG29" s="1098"/>
      <c r="HH29" s="1098"/>
      <c r="HI29" s="1098"/>
      <c r="HJ29" s="1098"/>
      <c r="HK29" s="1098"/>
      <c r="HL29" s="1098"/>
      <c r="HM29" s="1098"/>
      <c r="HN29" s="1097">
        <f t="shared" si="30"/>
        <v>0</v>
      </c>
      <c r="HO29" s="1098"/>
      <c r="HP29" s="1098"/>
      <c r="HQ29" s="1098"/>
      <c r="HR29" s="1098"/>
      <c r="HS29" s="1098"/>
      <c r="HT29" s="1098"/>
      <c r="HU29" s="1098"/>
      <c r="HV29" s="1098"/>
      <c r="HW29" s="1098"/>
      <c r="HX29" s="1098"/>
      <c r="HY29" s="1098"/>
      <c r="HZ29" s="1098"/>
      <c r="IA29" s="1097">
        <f t="shared" si="32"/>
        <v>0</v>
      </c>
      <c r="IB29" s="1098">
        <v>80</v>
      </c>
      <c r="IC29" s="1098"/>
      <c r="ID29" s="1098"/>
      <c r="IE29" s="1098"/>
      <c r="IF29" s="1098"/>
      <c r="IG29" s="1098"/>
      <c r="IH29" s="1098"/>
      <c r="II29" s="1098"/>
      <c r="IJ29" s="1098"/>
      <c r="IK29" s="1098"/>
      <c r="IL29" s="1098"/>
      <c r="IM29" s="1098">
        <v>298.60000000000002</v>
      </c>
      <c r="IN29" s="1097">
        <f t="shared" si="34"/>
        <v>378.6</v>
      </c>
      <c r="IO29" s="1098"/>
      <c r="IP29" s="1098"/>
      <c r="IQ29" s="1098"/>
      <c r="IR29" s="1098"/>
      <c r="IS29" s="1098"/>
      <c r="IT29" s="1098"/>
      <c r="IU29" s="1098"/>
      <c r="IV29" s="1098"/>
      <c r="IW29" s="1098"/>
      <c r="IX29" s="1098"/>
      <c r="IY29" s="1098">
        <v>2</v>
      </c>
      <c r="IZ29" s="1098">
        <v>582</v>
      </c>
      <c r="JA29" s="1097">
        <f t="shared" si="35"/>
        <v>584</v>
      </c>
      <c r="JB29" s="1098"/>
      <c r="JC29" s="1098"/>
      <c r="JD29" s="1098"/>
      <c r="JE29" s="1098"/>
      <c r="JF29" s="1098"/>
      <c r="JG29" s="1098"/>
      <c r="JH29" s="1098"/>
      <c r="JI29" s="1098">
        <v>2</v>
      </c>
      <c r="JJ29" s="1098"/>
      <c r="JK29" s="1098"/>
      <c r="JL29" s="1098">
        <v>4.75</v>
      </c>
      <c r="JM29" s="1098">
        <v>1007.6</v>
      </c>
      <c r="JN29" s="1097">
        <f t="shared" si="36"/>
        <v>1014.35</v>
      </c>
      <c r="JO29" s="1098">
        <v>0</v>
      </c>
      <c r="JP29" s="1098"/>
      <c r="JQ29" s="1098"/>
      <c r="JR29" s="1098"/>
      <c r="JS29" s="1098"/>
      <c r="JT29" s="1098"/>
      <c r="JU29" s="1098"/>
      <c r="JV29" s="1098"/>
      <c r="JW29" s="1098"/>
      <c r="JX29" s="1098"/>
      <c r="JY29" s="1098"/>
      <c r="JZ29" s="1098"/>
      <c r="KA29" s="1097">
        <f t="shared" si="38"/>
        <v>0</v>
      </c>
      <c r="KC29" s="1116" cm="1">
        <f t="array" ref="KC29">IFERROR(((
_xlfn.XLOOKUP((DATE(YEAR($KC$5),MONTH($KC$5),1)),SMN.COSECHA.DATE,$B29:$KA29) /
_xlfn.XLOOKUP((DATE(YEAR($KC$5)-1,MONTH($KC$5),1)),SMN.COSECHA.DATE,$B29:$KA29)
)-1)*100,"")</f>
        <v>73.127147766323034</v>
      </c>
      <c r="KD29" s="1117">
        <f t="shared" si="39"/>
        <v>73.69006849315069</v>
      </c>
      <c r="KE29" s="1079" cm="1">
        <f t="array" ref="KE29">SUMIFS($B29:$KA29,SMN.COSECHA.DATE,"&gt;="&amp;DATE(YEAR($KC$5)-1,1,1),SMN.COSECHA.DATE,"&lt;="&amp;DATE(YEAR($KC$5)-1,MONTH($KC$5),1))</f>
        <v>584</v>
      </c>
      <c r="KF29" s="1118" cm="1">
        <f t="array" ref="KF29">SUMIFS($B29:$KA29,SMN.COSECHA.DATE,"&gt;="&amp;DATE(YEAR($KC$5),1,1),SMN.COSECHA.DATE,"&lt;="&amp;$KC$5)</f>
        <v>1014.35</v>
      </c>
      <c r="KG29" s="62"/>
      <c r="KH29" s="1079">
        <f t="shared" si="40"/>
        <v>32036.899999999994</v>
      </c>
      <c r="KI29" s="1080" t="s">
        <v>141</v>
      </c>
      <c r="KJ29" s="1081" t="str">
        <f t="shared" si="41"/>
        <v>OK</v>
      </c>
    </row>
    <row r="30" spans="1:296" ht="15" customHeight="1" x14ac:dyDescent="0.2">
      <c r="A30" s="1129" t="s">
        <v>135</v>
      </c>
      <c r="B30" s="1098"/>
      <c r="C30" s="1098"/>
      <c r="D30" s="1098"/>
      <c r="E30" s="1098"/>
      <c r="F30" s="1098"/>
      <c r="G30" s="1098"/>
      <c r="H30" s="1098"/>
      <c r="I30" s="1098"/>
      <c r="J30" s="1098"/>
      <c r="K30" s="1098"/>
      <c r="L30" s="1098"/>
      <c r="M30" s="1098">
        <v>25478</v>
      </c>
      <c r="N30" s="1097">
        <f t="shared" si="1"/>
        <v>25478</v>
      </c>
      <c r="O30" s="1098"/>
      <c r="P30" s="1098"/>
      <c r="Q30" s="1098"/>
      <c r="R30" s="1098"/>
      <c r="S30" s="1098"/>
      <c r="T30" s="1098"/>
      <c r="U30" s="1098"/>
      <c r="V30" s="1098"/>
      <c r="W30" s="1098"/>
      <c r="X30" s="1098"/>
      <c r="Y30" s="1098"/>
      <c r="Z30" s="1098">
        <v>25191.5</v>
      </c>
      <c r="AA30" s="1097">
        <f t="shared" si="3"/>
        <v>25191.5</v>
      </c>
      <c r="AB30" s="1098"/>
      <c r="AC30" s="1098"/>
      <c r="AD30" s="1098"/>
      <c r="AE30" s="1098"/>
      <c r="AF30" s="1098"/>
      <c r="AG30" s="1098"/>
      <c r="AH30" s="1098"/>
      <c r="AI30" s="1098"/>
      <c r="AJ30" s="1098"/>
      <c r="AK30" s="1098"/>
      <c r="AL30" s="1098"/>
      <c r="AM30" s="1098">
        <v>25094</v>
      </c>
      <c r="AN30" s="1097">
        <f t="shared" si="5"/>
        <v>25094</v>
      </c>
      <c r="AO30" s="1098"/>
      <c r="AP30" s="1098"/>
      <c r="AQ30" s="1098"/>
      <c r="AR30" s="1098"/>
      <c r="AS30" s="1098"/>
      <c r="AT30" s="1098"/>
      <c r="AU30" s="1098"/>
      <c r="AV30" s="1098"/>
      <c r="AW30" s="1098"/>
      <c r="AX30" s="1098"/>
      <c r="AY30" s="1098"/>
      <c r="AZ30" s="1098">
        <v>26246</v>
      </c>
      <c r="BA30" s="1097">
        <f t="shared" si="7"/>
        <v>26246</v>
      </c>
      <c r="BB30" s="1098"/>
      <c r="BC30" s="1098"/>
      <c r="BD30" s="1098"/>
      <c r="BE30" s="1098"/>
      <c r="BF30" s="1098"/>
      <c r="BG30" s="1098"/>
      <c r="BH30" s="1098"/>
      <c r="BI30" s="1098"/>
      <c r="BJ30" s="1098"/>
      <c r="BK30" s="1098"/>
      <c r="BL30" s="1098"/>
      <c r="BM30" s="1098">
        <v>28788</v>
      </c>
      <c r="BN30" s="1097">
        <f t="shared" si="9"/>
        <v>28788</v>
      </c>
      <c r="BO30" s="1098"/>
      <c r="BP30" s="1098"/>
      <c r="BQ30" s="1098"/>
      <c r="BR30" s="1098"/>
      <c r="BS30" s="1098"/>
      <c r="BT30" s="1098"/>
      <c r="BU30" s="1098"/>
      <c r="BV30" s="1098"/>
      <c r="BW30" s="1098"/>
      <c r="BX30" s="1098"/>
      <c r="BY30" s="1098"/>
      <c r="BZ30" s="1098">
        <v>31433</v>
      </c>
      <c r="CA30" s="1097">
        <f t="shared" si="11"/>
        <v>31433</v>
      </c>
      <c r="CB30" s="1098"/>
      <c r="CC30" s="1098"/>
      <c r="CD30" s="1098"/>
      <c r="CE30" s="1098"/>
      <c r="CF30" s="1098"/>
      <c r="CG30" s="1098"/>
      <c r="CH30" s="1098"/>
      <c r="CI30" s="1098"/>
      <c r="CJ30" s="1098"/>
      <c r="CK30" s="1098"/>
      <c r="CL30" s="1098"/>
      <c r="CM30" s="1098">
        <v>16046</v>
      </c>
      <c r="CN30" s="1097">
        <f t="shared" si="13"/>
        <v>16046</v>
      </c>
      <c r="CO30" s="1098"/>
      <c r="CP30" s="1098"/>
      <c r="CQ30" s="1098"/>
      <c r="CR30" s="1098"/>
      <c r="CS30" s="1098"/>
      <c r="CT30" s="1098"/>
      <c r="CU30" s="1098"/>
      <c r="CV30" s="1098"/>
      <c r="CW30" s="1098"/>
      <c r="CX30" s="1098"/>
      <c r="CY30" s="1098"/>
      <c r="CZ30" s="1098">
        <v>4599</v>
      </c>
      <c r="DA30" s="1097">
        <f t="shared" si="15"/>
        <v>4599</v>
      </c>
      <c r="DB30" s="1098"/>
      <c r="DC30" s="1098"/>
      <c r="DD30" s="1098"/>
      <c r="DE30" s="1098"/>
      <c r="DF30" s="1098"/>
      <c r="DG30" s="1098"/>
      <c r="DH30" s="1098"/>
      <c r="DI30" s="1098"/>
      <c r="DJ30" s="1098"/>
      <c r="DK30" s="1098"/>
      <c r="DL30" s="1098"/>
      <c r="DM30" s="1098">
        <v>36169</v>
      </c>
      <c r="DN30" s="1097">
        <f t="shared" si="17"/>
        <v>36169</v>
      </c>
      <c r="DO30" s="1098"/>
      <c r="DP30" s="1098"/>
      <c r="DQ30" s="1098"/>
      <c r="DR30" s="1098"/>
      <c r="DS30" s="1098"/>
      <c r="DT30" s="1098"/>
      <c r="DU30" s="1098"/>
      <c r="DV30" s="1098"/>
      <c r="DW30" s="1098"/>
      <c r="DX30" s="1098"/>
      <c r="DY30" s="1098"/>
      <c r="DZ30" s="1098"/>
      <c r="EA30" s="1097">
        <f t="shared" si="18"/>
        <v>0</v>
      </c>
      <c r="EB30" s="1098"/>
      <c r="EC30" s="1098"/>
      <c r="ED30" s="1098"/>
      <c r="EE30" s="1098"/>
      <c r="EF30" s="1098"/>
      <c r="EG30" s="1098"/>
      <c r="EH30" s="1098"/>
      <c r="EI30" s="1098"/>
      <c r="EJ30" s="1098"/>
      <c r="EK30" s="1098"/>
      <c r="EL30" s="1098"/>
      <c r="EM30" s="1098">
        <v>35253</v>
      </c>
      <c r="EN30" s="1097">
        <f t="shared" si="20"/>
        <v>35253</v>
      </c>
      <c r="EO30" s="1098"/>
      <c r="EP30" s="1098"/>
      <c r="EQ30" s="1098"/>
      <c r="ER30" s="1098"/>
      <c r="ES30" s="1098"/>
      <c r="ET30" s="1098"/>
      <c r="EU30" s="1098"/>
      <c r="EV30" s="1098"/>
      <c r="EW30" s="1098"/>
      <c r="EX30" s="1098"/>
      <c r="EY30" s="1098"/>
      <c r="EZ30" s="1098">
        <v>29471</v>
      </c>
      <c r="FA30" s="1097">
        <f t="shared" si="21"/>
        <v>29471</v>
      </c>
      <c r="FB30" s="1098"/>
      <c r="FC30" s="1098"/>
      <c r="FD30" s="1098"/>
      <c r="FE30" s="1098"/>
      <c r="FF30" s="1098"/>
      <c r="FG30" s="1098"/>
      <c r="FH30" s="1098"/>
      <c r="FI30" s="1098"/>
      <c r="FJ30" s="1098"/>
      <c r="FK30" s="1098"/>
      <c r="FL30" s="1098"/>
      <c r="FM30" s="1098">
        <v>31018</v>
      </c>
      <c r="FN30" s="1097">
        <f t="shared" si="23"/>
        <v>31018</v>
      </c>
      <c r="FO30" s="1098"/>
      <c r="FP30" s="1098"/>
      <c r="FQ30" s="1098"/>
      <c r="FR30" s="1098"/>
      <c r="FS30" s="1098"/>
      <c r="FT30" s="1098"/>
      <c r="FU30" s="1098"/>
      <c r="FV30" s="1098"/>
      <c r="FW30" s="1098"/>
      <c r="FX30" s="1098"/>
      <c r="FY30" s="1098"/>
      <c r="FZ30" s="1098">
        <v>31982</v>
      </c>
      <c r="GA30" s="1097">
        <f t="shared" si="24"/>
        <v>31982</v>
      </c>
      <c r="GB30" s="1098"/>
      <c r="GC30" s="1098"/>
      <c r="GD30" s="1098"/>
      <c r="GE30" s="1098"/>
      <c r="GF30" s="1098"/>
      <c r="GG30" s="1098"/>
      <c r="GH30" s="1098"/>
      <c r="GI30" s="1098"/>
      <c r="GJ30" s="1098"/>
      <c r="GK30" s="1098"/>
      <c r="GL30" s="1098"/>
      <c r="GM30" s="1098">
        <v>33128</v>
      </c>
      <c r="GN30" s="1097">
        <f t="shared" si="26"/>
        <v>33128</v>
      </c>
      <c r="GO30" s="1098"/>
      <c r="GP30" s="1098"/>
      <c r="GQ30" s="1098"/>
      <c r="GR30" s="1098"/>
      <c r="GS30" s="1098"/>
      <c r="GT30" s="1098"/>
      <c r="GU30" s="1098"/>
      <c r="GV30" s="1098"/>
      <c r="GW30" s="1098"/>
      <c r="GX30" s="1098"/>
      <c r="GY30" s="1098"/>
      <c r="GZ30" s="1098">
        <v>36626</v>
      </c>
      <c r="HA30" s="1097">
        <f t="shared" si="28"/>
        <v>36626</v>
      </c>
      <c r="HB30" s="1098"/>
      <c r="HC30" s="1098"/>
      <c r="HD30" s="1098"/>
      <c r="HE30" s="1098"/>
      <c r="HF30" s="1098"/>
      <c r="HG30" s="1098"/>
      <c r="HH30" s="1098"/>
      <c r="HI30" s="1098"/>
      <c r="HJ30" s="1098"/>
      <c r="HK30" s="1098"/>
      <c r="HL30" s="1098"/>
      <c r="HM30" s="1098"/>
      <c r="HN30" s="1097">
        <f t="shared" si="30"/>
        <v>0</v>
      </c>
      <c r="HO30" s="1098"/>
      <c r="HP30" s="1098"/>
      <c r="HQ30" s="1098"/>
      <c r="HR30" s="1098"/>
      <c r="HS30" s="1098"/>
      <c r="HT30" s="1098"/>
      <c r="HU30" s="1098"/>
      <c r="HV30" s="1098"/>
      <c r="HW30" s="1098"/>
      <c r="HX30" s="1098"/>
      <c r="HY30" s="1098">
        <v>41</v>
      </c>
      <c r="HZ30" s="1098"/>
      <c r="IA30" s="1097">
        <f t="shared" si="32"/>
        <v>41</v>
      </c>
      <c r="IB30" s="1098">
        <v>205.7</v>
      </c>
      <c r="IC30" s="1098"/>
      <c r="ID30" s="1098"/>
      <c r="IE30" s="1098"/>
      <c r="IF30" s="1098"/>
      <c r="IG30" s="1098"/>
      <c r="IH30" s="1098"/>
      <c r="II30" s="1098"/>
      <c r="IJ30" s="1098"/>
      <c r="IK30" s="1098"/>
      <c r="IL30" s="1098"/>
      <c r="IM30" s="1098">
        <v>31392.9</v>
      </c>
      <c r="IN30" s="1097">
        <f t="shared" si="34"/>
        <v>31598.600000000002</v>
      </c>
      <c r="IO30" s="1098"/>
      <c r="IP30" s="1098"/>
      <c r="IQ30" s="1098"/>
      <c r="IR30" s="1098"/>
      <c r="IS30" s="1098"/>
      <c r="IT30" s="1098"/>
      <c r="IU30" s="1098"/>
      <c r="IV30" s="1098"/>
      <c r="IW30" s="1098"/>
      <c r="IX30" s="1098"/>
      <c r="IY30" s="1098"/>
      <c r="IZ30" s="1098">
        <v>10746.75</v>
      </c>
      <c r="JA30" s="1097">
        <f t="shared" si="35"/>
        <v>10746.75</v>
      </c>
      <c r="JB30" s="1098"/>
      <c r="JC30" s="1098"/>
      <c r="JD30" s="1098"/>
      <c r="JE30" s="1098"/>
      <c r="JF30" s="1098"/>
      <c r="JG30" s="1098"/>
      <c r="JH30" s="1098"/>
      <c r="JI30" s="1098"/>
      <c r="JJ30" s="1098"/>
      <c r="JK30" s="1098"/>
      <c r="JL30" s="1098"/>
      <c r="JM30" s="1098">
        <v>36220.400000000001</v>
      </c>
      <c r="JN30" s="1097">
        <f t="shared" si="36"/>
        <v>36220.400000000001</v>
      </c>
      <c r="JO30" s="1098">
        <v>0</v>
      </c>
      <c r="JP30" s="1098"/>
      <c r="JQ30" s="1098"/>
      <c r="JR30" s="1098"/>
      <c r="JS30" s="1098"/>
      <c r="JT30" s="1098"/>
      <c r="JU30" s="1098"/>
      <c r="JV30" s="1098"/>
      <c r="JW30" s="1098"/>
      <c r="JX30" s="1098"/>
      <c r="JY30" s="1098"/>
      <c r="JZ30" s="1098"/>
      <c r="KA30" s="1097">
        <f t="shared" si="38"/>
        <v>0</v>
      </c>
      <c r="KC30" s="1116" cm="1">
        <f t="array" ref="KC30">IFERROR(((
_xlfn.XLOOKUP((DATE(YEAR($KC$5),MONTH($KC$5),1)),SMN.COSECHA.DATE,$B30:$KA30) /
_xlfn.XLOOKUP((DATE(YEAR($KC$5)-1,MONTH($KC$5),1)),SMN.COSECHA.DATE,$B30:$KA30)
)-1)*100,"")</f>
        <v>237.03584804708399</v>
      </c>
      <c r="KD30" s="1117">
        <f t="shared" si="39"/>
        <v>237.03584804708399</v>
      </c>
      <c r="KE30" s="1079" cm="1">
        <f t="array" ref="KE30">SUMIFS($B30:$KA30,SMN.COSECHA.DATE,"&gt;="&amp;DATE(YEAR($KC$5)-1,1,1),SMN.COSECHA.DATE,"&lt;="&amp;DATE(YEAR($KC$5)-1,MONTH($KC$5),1))</f>
        <v>10746.75</v>
      </c>
      <c r="KF30" s="1118" cm="1">
        <f t="array" ref="KF30">SUMIFS($B30:$KA30,SMN.COSECHA.DATE,"&gt;="&amp;DATE(YEAR($KC$5),1,1),SMN.COSECHA.DATE,"&lt;="&amp;$KC$5)</f>
        <v>36220.400000000001</v>
      </c>
      <c r="KG30" s="62"/>
      <c r="KH30" s="1079">
        <f t="shared" si="40"/>
        <v>939302.5</v>
      </c>
      <c r="KI30" s="1080" t="s">
        <v>135</v>
      </c>
      <c r="KJ30" s="1081" t="str">
        <f t="shared" si="41"/>
        <v>OK</v>
      </c>
    </row>
    <row r="31" spans="1:296" ht="15" customHeight="1" x14ac:dyDescent="0.2">
      <c r="A31" s="1129" t="s">
        <v>182</v>
      </c>
      <c r="B31" s="1098"/>
      <c r="C31" s="1098"/>
      <c r="D31" s="1098"/>
      <c r="E31" s="1098"/>
      <c r="F31" s="1098"/>
      <c r="G31" s="1098"/>
      <c r="H31" s="1098"/>
      <c r="I31" s="1098"/>
      <c r="J31" s="1098"/>
      <c r="K31" s="1098"/>
      <c r="L31" s="1098"/>
      <c r="M31" s="1098"/>
      <c r="N31" s="1097">
        <f t="shared" si="1"/>
        <v>0</v>
      </c>
      <c r="O31" s="1098"/>
      <c r="P31" s="1098"/>
      <c r="Q31" s="1098"/>
      <c r="R31" s="1098"/>
      <c r="S31" s="1098"/>
      <c r="T31" s="1098"/>
      <c r="U31" s="1098"/>
      <c r="V31" s="1098"/>
      <c r="W31" s="1098"/>
      <c r="X31" s="1098"/>
      <c r="Y31" s="1098"/>
      <c r="Z31" s="1098"/>
      <c r="AA31" s="1097">
        <f t="shared" si="3"/>
        <v>0</v>
      </c>
      <c r="AB31" s="1098"/>
      <c r="AC31" s="1098"/>
      <c r="AD31" s="1098"/>
      <c r="AE31" s="1098"/>
      <c r="AF31" s="1098"/>
      <c r="AG31" s="1098"/>
      <c r="AH31" s="1098"/>
      <c r="AI31" s="1098"/>
      <c r="AJ31" s="1098"/>
      <c r="AK31" s="1098"/>
      <c r="AL31" s="1098"/>
      <c r="AM31" s="1098">
        <v>519</v>
      </c>
      <c r="AN31" s="1097">
        <f t="shared" si="5"/>
        <v>519</v>
      </c>
      <c r="AO31" s="1098"/>
      <c r="AP31" s="1098"/>
      <c r="AQ31" s="1098"/>
      <c r="AR31" s="1098"/>
      <c r="AS31" s="1098"/>
      <c r="AT31" s="1098"/>
      <c r="AU31" s="1098"/>
      <c r="AV31" s="1098"/>
      <c r="AW31" s="1098"/>
      <c r="AX31" s="1098"/>
      <c r="AY31" s="1098"/>
      <c r="AZ31" s="1098">
        <v>883</v>
      </c>
      <c r="BA31" s="1097">
        <f t="shared" si="7"/>
        <v>883</v>
      </c>
      <c r="BB31" s="1098"/>
      <c r="BC31" s="1098"/>
      <c r="BD31" s="1098"/>
      <c r="BE31" s="1098"/>
      <c r="BF31" s="1098"/>
      <c r="BG31" s="1098"/>
      <c r="BH31" s="1098"/>
      <c r="BI31" s="1098"/>
      <c r="BJ31" s="1098"/>
      <c r="BK31" s="1098"/>
      <c r="BL31" s="1098"/>
      <c r="BM31" s="1098">
        <v>658</v>
      </c>
      <c r="BN31" s="1097">
        <f t="shared" si="9"/>
        <v>658</v>
      </c>
      <c r="BO31" s="1098"/>
      <c r="BP31" s="1098"/>
      <c r="BQ31" s="1098"/>
      <c r="BR31" s="1098"/>
      <c r="BS31" s="1098"/>
      <c r="BT31" s="1098"/>
      <c r="BU31" s="1098"/>
      <c r="BV31" s="1098"/>
      <c r="BW31" s="1098"/>
      <c r="BX31" s="1098"/>
      <c r="BY31" s="1098"/>
      <c r="BZ31" s="1098">
        <v>742</v>
      </c>
      <c r="CA31" s="1097">
        <f t="shared" si="11"/>
        <v>742</v>
      </c>
      <c r="CB31" s="1098"/>
      <c r="CC31" s="1098"/>
      <c r="CD31" s="1098"/>
      <c r="CE31" s="1098"/>
      <c r="CF31" s="1098"/>
      <c r="CG31" s="1098"/>
      <c r="CH31" s="1098"/>
      <c r="CI31" s="1098"/>
      <c r="CJ31" s="1098"/>
      <c r="CK31" s="1098"/>
      <c r="CL31" s="1098"/>
      <c r="CM31" s="1098">
        <v>407</v>
      </c>
      <c r="CN31" s="1097">
        <f t="shared" si="13"/>
        <v>407</v>
      </c>
      <c r="CO31" s="1098"/>
      <c r="CP31" s="1098"/>
      <c r="CQ31" s="1098"/>
      <c r="CR31" s="1098"/>
      <c r="CS31" s="1098"/>
      <c r="CT31" s="1098"/>
      <c r="CU31" s="1098"/>
      <c r="CV31" s="1098"/>
      <c r="CW31" s="1098"/>
      <c r="CX31" s="1098"/>
      <c r="CY31" s="1098"/>
      <c r="CZ31" s="1098">
        <v>14</v>
      </c>
      <c r="DA31" s="1097">
        <f t="shared" si="15"/>
        <v>14</v>
      </c>
      <c r="DB31" s="1098"/>
      <c r="DC31" s="1098"/>
      <c r="DD31" s="1098"/>
      <c r="DE31" s="1098"/>
      <c r="DF31" s="1098"/>
      <c r="DG31" s="1098"/>
      <c r="DH31" s="1098"/>
      <c r="DI31" s="1098"/>
      <c r="DJ31" s="1098"/>
      <c r="DK31" s="1098"/>
      <c r="DL31" s="1098"/>
      <c r="DM31" s="1098">
        <v>533</v>
      </c>
      <c r="DN31" s="1097">
        <f t="shared" si="17"/>
        <v>533</v>
      </c>
      <c r="DO31" s="1098">
        <v>9</v>
      </c>
      <c r="DP31" s="1098">
        <v>17</v>
      </c>
      <c r="DQ31" s="1098">
        <v>19</v>
      </c>
      <c r="DR31" s="1098">
        <v>4</v>
      </c>
      <c r="DS31" s="1098">
        <v>5</v>
      </c>
      <c r="DT31" s="1098">
        <v>11</v>
      </c>
      <c r="DU31" s="1098">
        <v>9</v>
      </c>
      <c r="DV31" s="1098">
        <v>5</v>
      </c>
      <c r="DW31" s="1098">
        <v>3</v>
      </c>
      <c r="DX31" s="1098">
        <v>1</v>
      </c>
      <c r="DY31" s="1098">
        <v>1</v>
      </c>
      <c r="DZ31" s="1098">
        <v>1</v>
      </c>
      <c r="EA31" s="1097">
        <f t="shared" si="18"/>
        <v>85</v>
      </c>
      <c r="EB31" s="1098"/>
      <c r="EC31" s="1098"/>
      <c r="ED31" s="1098"/>
      <c r="EE31" s="1098"/>
      <c r="EF31" s="1098"/>
      <c r="EG31" s="1098"/>
      <c r="EH31" s="1098"/>
      <c r="EI31" s="1098"/>
      <c r="EJ31" s="1098"/>
      <c r="EK31" s="1098"/>
      <c r="EL31" s="1098"/>
      <c r="EM31" s="1098">
        <v>13</v>
      </c>
      <c r="EN31" s="1097">
        <f t="shared" si="20"/>
        <v>13</v>
      </c>
      <c r="EO31" s="1098"/>
      <c r="EP31" s="1098"/>
      <c r="EQ31" s="1098"/>
      <c r="ER31" s="1098"/>
      <c r="ES31" s="1098"/>
      <c r="ET31" s="1098"/>
      <c r="EU31" s="1098"/>
      <c r="EV31" s="1098"/>
      <c r="EW31" s="1098"/>
      <c r="EX31" s="1098"/>
      <c r="EY31" s="1098"/>
      <c r="EZ31" s="1098">
        <v>493</v>
      </c>
      <c r="FA31" s="1097">
        <f t="shared" si="21"/>
        <v>493</v>
      </c>
      <c r="FB31" s="1098"/>
      <c r="FC31" s="1098"/>
      <c r="FD31" s="1098"/>
      <c r="FE31" s="1098"/>
      <c r="FF31" s="1098"/>
      <c r="FG31" s="1098"/>
      <c r="FH31" s="1098"/>
      <c r="FI31" s="1098"/>
      <c r="FJ31" s="1098"/>
      <c r="FK31" s="1098"/>
      <c r="FL31" s="1098"/>
      <c r="FM31" s="1098">
        <v>1138</v>
      </c>
      <c r="FN31" s="1097">
        <f t="shared" si="23"/>
        <v>1138</v>
      </c>
      <c r="FO31" s="1098"/>
      <c r="FP31" s="1098"/>
      <c r="FQ31" s="1098"/>
      <c r="FR31" s="1098"/>
      <c r="FS31" s="1098"/>
      <c r="FT31" s="1098"/>
      <c r="FU31" s="1098"/>
      <c r="FV31" s="1098"/>
      <c r="FW31" s="1098"/>
      <c r="FX31" s="1098"/>
      <c r="FY31" s="1098"/>
      <c r="FZ31" s="1098">
        <v>1419</v>
      </c>
      <c r="GA31" s="1097">
        <f t="shared" si="24"/>
        <v>1419</v>
      </c>
      <c r="GB31" s="1098"/>
      <c r="GC31" s="1098"/>
      <c r="GD31" s="1098"/>
      <c r="GE31" s="1098"/>
      <c r="GF31" s="1098"/>
      <c r="GG31" s="1098"/>
      <c r="GH31" s="1098"/>
      <c r="GI31" s="1098"/>
      <c r="GJ31" s="1098"/>
      <c r="GK31" s="1098"/>
      <c r="GL31" s="1098"/>
      <c r="GM31" s="1098">
        <v>736</v>
      </c>
      <c r="GN31" s="1097">
        <f t="shared" si="26"/>
        <v>736</v>
      </c>
      <c r="GO31" s="1098"/>
      <c r="GP31" s="1098"/>
      <c r="GQ31" s="1098"/>
      <c r="GR31" s="1098"/>
      <c r="GS31" s="1098"/>
      <c r="GT31" s="1098"/>
      <c r="GU31" s="1098"/>
      <c r="GV31" s="1098"/>
      <c r="GW31" s="1098"/>
      <c r="GX31" s="1098"/>
      <c r="GY31" s="1098"/>
      <c r="GZ31" s="1098">
        <v>704</v>
      </c>
      <c r="HA31" s="1097">
        <f t="shared" si="28"/>
        <v>704</v>
      </c>
      <c r="HB31" s="1098"/>
      <c r="HC31" s="1098"/>
      <c r="HD31" s="1098"/>
      <c r="HE31" s="1098"/>
      <c r="HF31" s="1098"/>
      <c r="HG31" s="1098"/>
      <c r="HH31" s="1098"/>
      <c r="HI31" s="1098"/>
      <c r="HJ31" s="1098"/>
      <c r="HK31" s="1098"/>
      <c r="HL31" s="1098"/>
      <c r="HM31" s="1098"/>
      <c r="HN31" s="1097">
        <f t="shared" si="30"/>
        <v>0</v>
      </c>
      <c r="HO31" s="1098"/>
      <c r="HP31" s="1098"/>
      <c r="HQ31" s="1098"/>
      <c r="HR31" s="1098"/>
      <c r="HS31" s="1098"/>
      <c r="HT31" s="1098"/>
      <c r="HU31" s="1098"/>
      <c r="HV31" s="1098"/>
      <c r="HW31" s="1098"/>
      <c r="HX31" s="1098"/>
      <c r="HY31" s="1098"/>
      <c r="HZ31" s="1098"/>
      <c r="IA31" s="1097">
        <f t="shared" si="32"/>
        <v>0</v>
      </c>
      <c r="IB31" s="1098"/>
      <c r="IC31" s="1098"/>
      <c r="ID31" s="1098"/>
      <c r="IE31" s="1098"/>
      <c r="IF31" s="1098"/>
      <c r="IG31" s="1098"/>
      <c r="IH31" s="1098"/>
      <c r="II31" s="1098"/>
      <c r="IJ31" s="1098"/>
      <c r="IK31" s="1098"/>
      <c r="IL31" s="1098"/>
      <c r="IM31" s="1098">
        <v>750.19</v>
      </c>
      <c r="IN31" s="1097">
        <f t="shared" si="34"/>
        <v>750.19</v>
      </c>
      <c r="IO31" s="1098"/>
      <c r="IP31" s="1098"/>
      <c r="IQ31" s="1098"/>
      <c r="IR31" s="1098"/>
      <c r="IS31" s="1098"/>
      <c r="IT31" s="1098"/>
      <c r="IU31" s="1098"/>
      <c r="IV31" s="1098"/>
      <c r="IW31" s="1098"/>
      <c r="IX31" s="1098"/>
      <c r="IY31" s="1098"/>
      <c r="IZ31" s="1098">
        <v>384</v>
      </c>
      <c r="JA31" s="1097">
        <f t="shared" si="35"/>
        <v>384</v>
      </c>
      <c r="JB31" s="1098"/>
      <c r="JC31" s="1098"/>
      <c r="JD31" s="1098"/>
      <c r="JE31" s="1098"/>
      <c r="JF31" s="1098"/>
      <c r="JG31" s="1098"/>
      <c r="JH31" s="1098"/>
      <c r="JI31" s="1098"/>
      <c r="JJ31" s="1098"/>
      <c r="JK31" s="1098"/>
      <c r="JL31" s="1098"/>
      <c r="JM31" s="1098">
        <v>355.99</v>
      </c>
      <c r="JN31" s="1097">
        <f t="shared" si="36"/>
        <v>355.99</v>
      </c>
      <c r="JO31" s="1098">
        <v>0</v>
      </c>
      <c r="JP31" s="1098"/>
      <c r="JQ31" s="1098"/>
      <c r="JR31" s="1098"/>
      <c r="JS31" s="1098"/>
      <c r="JT31" s="1098"/>
      <c r="JU31" s="1098"/>
      <c r="JV31" s="1098"/>
      <c r="JW31" s="1098"/>
      <c r="JX31" s="1098"/>
      <c r="JY31" s="1098"/>
      <c r="JZ31" s="1098"/>
      <c r="KA31" s="1097">
        <f t="shared" si="38"/>
        <v>0</v>
      </c>
      <c r="KC31" s="1116" cm="1">
        <f t="array" ref="KC31">IFERROR(((
_xlfn.XLOOKUP((DATE(YEAR($KC$5),MONTH($KC$5),1)),SMN.COSECHA.DATE,$B31:$KA31) /
_xlfn.XLOOKUP((DATE(YEAR($KC$5)-1,MONTH($KC$5),1)),SMN.COSECHA.DATE,$B31:$KA31)
)-1)*100,"")</f>
        <v>-7.2942708333333268</v>
      </c>
      <c r="KD31" s="1117">
        <f t="shared" si="39"/>
        <v>-7.2942708333333268</v>
      </c>
      <c r="KE31" s="1079" cm="1">
        <f t="array" ref="KE31">SUMIFS($B31:$KA31,SMN.COSECHA.DATE,"&gt;="&amp;DATE(YEAR($KC$5)-1,1,1),SMN.COSECHA.DATE,"&lt;="&amp;DATE(YEAR($KC$5)-1,MONTH($KC$5),1))</f>
        <v>384</v>
      </c>
      <c r="KF31" s="1118" cm="1">
        <f t="array" ref="KF31">SUMIFS($B31:$KA31,SMN.COSECHA.DATE,"&gt;="&amp;DATE(YEAR($KC$5),1,1),SMN.COSECHA.DATE,"&lt;="&amp;$KC$5)</f>
        <v>355.99</v>
      </c>
      <c r="KG31" s="62"/>
      <c r="KH31" s="1079">
        <f t="shared" si="40"/>
        <v>19668.36</v>
      </c>
      <c r="KI31" s="1080" t="s">
        <v>182</v>
      </c>
      <c r="KJ31" s="1081" t="str">
        <f t="shared" si="41"/>
        <v>OK</v>
      </c>
    </row>
    <row r="32" spans="1:296" ht="15" customHeight="1" x14ac:dyDescent="0.2">
      <c r="A32" s="1129" t="s">
        <v>570</v>
      </c>
      <c r="B32" s="1098">
        <v>1</v>
      </c>
      <c r="C32" s="1098">
        <v>1</v>
      </c>
      <c r="D32" s="1098">
        <v>1</v>
      </c>
      <c r="E32" s="1098">
        <v>1</v>
      </c>
      <c r="F32" s="1098">
        <v>1</v>
      </c>
      <c r="G32" s="1098">
        <v>1</v>
      </c>
      <c r="H32" s="1098">
        <v>1</v>
      </c>
      <c r="I32" s="1098">
        <v>1</v>
      </c>
      <c r="J32" s="1098">
        <v>1</v>
      </c>
      <c r="K32" s="1098">
        <v>1</v>
      </c>
      <c r="L32" s="1098">
        <v>2</v>
      </c>
      <c r="M32" s="1098">
        <v>2</v>
      </c>
      <c r="N32" s="1097">
        <f t="shared" si="1"/>
        <v>14</v>
      </c>
      <c r="O32" s="1098">
        <v>1.5</v>
      </c>
      <c r="P32" s="1098">
        <v>1</v>
      </c>
      <c r="Q32" s="1098">
        <v>1</v>
      </c>
      <c r="R32" s="1098">
        <v>1</v>
      </c>
      <c r="S32" s="1098">
        <v>1</v>
      </c>
      <c r="T32" s="1098">
        <v>1</v>
      </c>
      <c r="U32" s="1098">
        <v>1</v>
      </c>
      <c r="V32" s="1098">
        <v>1</v>
      </c>
      <c r="W32" s="1098">
        <v>1</v>
      </c>
      <c r="X32" s="1098">
        <v>0.5</v>
      </c>
      <c r="Y32" s="1098">
        <v>0.5</v>
      </c>
      <c r="Z32" s="1098">
        <v>0.5</v>
      </c>
      <c r="AA32" s="1097">
        <f t="shared" si="3"/>
        <v>11</v>
      </c>
      <c r="AB32" s="1098">
        <v>1</v>
      </c>
      <c r="AC32" s="1098">
        <v>1</v>
      </c>
      <c r="AD32" s="1098">
        <v>2</v>
      </c>
      <c r="AE32" s="1098">
        <v>1</v>
      </c>
      <c r="AF32" s="1098">
        <v>1</v>
      </c>
      <c r="AG32" s="1098">
        <v>1</v>
      </c>
      <c r="AH32" s="1098">
        <v>1</v>
      </c>
      <c r="AI32" s="1098">
        <v>1</v>
      </c>
      <c r="AJ32" s="1098">
        <v>1</v>
      </c>
      <c r="AK32" s="1098">
        <v>1</v>
      </c>
      <c r="AL32" s="1098">
        <v>1</v>
      </c>
      <c r="AM32" s="1098">
        <v>1</v>
      </c>
      <c r="AN32" s="1097">
        <f t="shared" si="5"/>
        <v>13</v>
      </c>
      <c r="AO32" s="1098">
        <v>1.25</v>
      </c>
      <c r="AP32" s="1098">
        <v>1</v>
      </c>
      <c r="AQ32" s="1098">
        <v>1</v>
      </c>
      <c r="AR32" s="1098">
        <v>1</v>
      </c>
      <c r="AS32" s="1098">
        <v>1</v>
      </c>
      <c r="AT32" s="1098">
        <v>1</v>
      </c>
      <c r="AU32" s="1098">
        <v>1</v>
      </c>
      <c r="AV32" s="1098">
        <v>1</v>
      </c>
      <c r="AW32" s="1098">
        <v>1</v>
      </c>
      <c r="AX32" s="1098">
        <v>1</v>
      </c>
      <c r="AY32" s="1098">
        <v>1</v>
      </c>
      <c r="AZ32" s="1098">
        <v>1</v>
      </c>
      <c r="BA32" s="1097">
        <f t="shared" si="7"/>
        <v>12.25</v>
      </c>
      <c r="BB32" s="1098">
        <v>1</v>
      </c>
      <c r="BC32" s="1098">
        <v>1</v>
      </c>
      <c r="BD32" s="1098">
        <v>1</v>
      </c>
      <c r="BE32" s="1098">
        <v>1</v>
      </c>
      <c r="BF32" s="1098">
        <v>1</v>
      </c>
      <c r="BG32" s="1098">
        <v>1</v>
      </c>
      <c r="BH32" s="1098">
        <v>1</v>
      </c>
      <c r="BI32" s="1098">
        <v>1</v>
      </c>
      <c r="BJ32" s="1098">
        <v>1</v>
      </c>
      <c r="BK32" s="1098">
        <v>1</v>
      </c>
      <c r="BL32" s="1098">
        <v>1</v>
      </c>
      <c r="BM32" s="1098">
        <v>1</v>
      </c>
      <c r="BN32" s="1097">
        <f t="shared" si="9"/>
        <v>12</v>
      </c>
      <c r="BO32" s="1098">
        <v>1</v>
      </c>
      <c r="BP32" s="1098"/>
      <c r="BQ32" s="1098">
        <v>1</v>
      </c>
      <c r="BR32" s="1098"/>
      <c r="BS32" s="1098">
        <v>1</v>
      </c>
      <c r="BT32" s="1098">
        <v>1</v>
      </c>
      <c r="BU32" s="1098"/>
      <c r="BV32" s="1098">
        <v>4</v>
      </c>
      <c r="BW32" s="1098">
        <v>1</v>
      </c>
      <c r="BX32" s="1098"/>
      <c r="BY32" s="1098">
        <v>1</v>
      </c>
      <c r="BZ32" s="1098"/>
      <c r="CA32" s="1097">
        <f t="shared" si="11"/>
        <v>10</v>
      </c>
      <c r="CB32" s="1098">
        <v>1</v>
      </c>
      <c r="CC32" s="1098">
        <v>1</v>
      </c>
      <c r="CD32" s="1098">
        <v>1</v>
      </c>
      <c r="CE32" s="1098">
        <v>1</v>
      </c>
      <c r="CF32" s="1098">
        <v>1</v>
      </c>
      <c r="CG32" s="1098">
        <v>1</v>
      </c>
      <c r="CH32" s="1098">
        <v>1</v>
      </c>
      <c r="CI32" s="1098">
        <v>1</v>
      </c>
      <c r="CJ32" s="1098">
        <v>1</v>
      </c>
      <c r="CK32" s="1098">
        <v>1</v>
      </c>
      <c r="CL32" s="1098">
        <v>1</v>
      </c>
      <c r="CM32" s="1098">
        <v>1</v>
      </c>
      <c r="CN32" s="1097">
        <f t="shared" si="13"/>
        <v>12</v>
      </c>
      <c r="CO32" s="1098">
        <v>1</v>
      </c>
      <c r="CP32" s="1098">
        <v>1</v>
      </c>
      <c r="CQ32" s="1098">
        <v>1</v>
      </c>
      <c r="CR32" s="1098">
        <v>1</v>
      </c>
      <c r="CS32" s="1098">
        <v>1</v>
      </c>
      <c r="CT32" s="1098">
        <v>1</v>
      </c>
      <c r="CU32" s="1098">
        <v>1</v>
      </c>
      <c r="CV32" s="1098">
        <v>1</v>
      </c>
      <c r="CW32" s="1098">
        <v>1</v>
      </c>
      <c r="CX32" s="1098">
        <v>1</v>
      </c>
      <c r="CY32" s="1098">
        <v>1</v>
      </c>
      <c r="CZ32" s="1098">
        <v>1</v>
      </c>
      <c r="DA32" s="1097">
        <f t="shared" si="15"/>
        <v>12</v>
      </c>
      <c r="DB32" s="1098">
        <v>1</v>
      </c>
      <c r="DC32" s="1098">
        <v>1</v>
      </c>
      <c r="DD32" s="1098">
        <v>1</v>
      </c>
      <c r="DE32" s="1098">
        <v>1</v>
      </c>
      <c r="DF32" s="1098">
        <v>1</v>
      </c>
      <c r="DG32" s="1098">
        <v>1</v>
      </c>
      <c r="DH32" s="1098">
        <v>1</v>
      </c>
      <c r="DI32" s="1098">
        <v>1</v>
      </c>
      <c r="DJ32" s="1098">
        <v>1</v>
      </c>
      <c r="DK32" s="1098">
        <v>1</v>
      </c>
      <c r="DL32" s="1098">
        <v>1</v>
      </c>
      <c r="DM32" s="1098">
        <v>6</v>
      </c>
      <c r="DN32" s="1097">
        <f t="shared" si="17"/>
        <v>17</v>
      </c>
      <c r="DO32" s="1098">
        <v>157</v>
      </c>
      <c r="DP32" s="1098">
        <v>283</v>
      </c>
      <c r="DQ32" s="1098">
        <v>171</v>
      </c>
      <c r="DR32" s="1098"/>
      <c r="DS32" s="1098"/>
      <c r="DT32" s="1098"/>
      <c r="DU32" s="1098"/>
      <c r="DV32" s="1098"/>
      <c r="DW32" s="1098"/>
      <c r="DX32" s="1098"/>
      <c r="DY32" s="1098"/>
      <c r="DZ32" s="1098"/>
      <c r="EA32" s="1097">
        <f t="shared" si="18"/>
        <v>611</v>
      </c>
      <c r="EB32" s="1098">
        <v>1</v>
      </c>
      <c r="EC32" s="1098"/>
      <c r="ED32" s="1098">
        <v>1</v>
      </c>
      <c r="EE32" s="1098"/>
      <c r="EF32" s="1098">
        <v>1</v>
      </c>
      <c r="EG32" s="1098"/>
      <c r="EH32" s="1098">
        <v>1</v>
      </c>
      <c r="EI32" s="1098"/>
      <c r="EJ32" s="1098">
        <v>1</v>
      </c>
      <c r="EK32" s="1098"/>
      <c r="EL32" s="1098">
        <v>1</v>
      </c>
      <c r="EM32" s="1098"/>
      <c r="EN32" s="1097">
        <f t="shared" si="20"/>
        <v>6</v>
      </c>
      <c r="EO32" s="1098"/>
      <c r="EP32" s="1098">
        <v>1</v>
      </c>
      <c r="EQ32" s="1098"/>
      <c r="ER32" s="1098">
        <v>1</v>
      </c>
      <c r="ES32" s="1098"/>
      <c r="ET32" s="1098">
        <v>1</v>
      </c>
      <c r="EU32" s="1098"/>
      <c r="EV32" s="1098">
        <v>1</v>
      </c>
      <c r="EW32" s="1098"/>
      <c r="EX32" s="1098">
        <v>1</v>
      </c>
      <c r="EY32" s="1098"/>
      <c r="EZ32" s="1098">
        <v>1</v>
      </c>
      <c r="FA32" s="1097">
        <f t="shared" si="21"/>
        <v>6</v>
      </c>
      <c r="FB32" s="1098"/>
      <c r="FC32" s="1098">
        <v>1</v>
      </c>
      <c r="FD32" s="1098"/>
      <c r="FE32" s="1098">
        <v>1</v>
      </c>
      <c r="FF32" s="1098"/>
      <c r="FG32" s="1098">
        <v>1</v>
      </c>
      <c r="FH32" s="1098"/>
      <c r="FI32" s="1098">
        <v>1</v>
      </c>
      <c r="FJ32" s="1098"/>
      <c r="FK32" s="1098">
        <v>1</v>
      </c>
      <c r="FL32" s="1098"/>
      <c r="FM32" s="1098">
        <v>1</v>
      </c>
      <c r="FN32" s="1097">
        <f t="shared" si="23"/>
        <v>6</v>
      </c>
      <c r="FO32" s="1098"/>
      <c r="FP32" s="1098">
        <v>1</v>
      </c>
      <c r="FQ32" s="1098"/>
      <c r="FR32" s="1098">
        <v>1</v>
      </c>
      <c r="FS32" s="1098"/>
      <c r="FT32" s="1098">
        <v>1</v>
      </c>
      <c r="FU32" s="1098"/>
      <c r="FV32" s="1098">
        <v>1</v>
      </c>
      <c r="FW32" s="1098"/>
      <c r="FX32" s="1098">
        <v>1</v>
      </c>
      <c r="FY32" s="1098"/>
      <c r="FZ32" s="1098">
        <v>1</v>
      </c>
      <c r="GA32" s="1097">
        <f t="shared" si="24"/>
        <v>6</v>
      </c>
      <c r="GB32" s="1098"/>
      <c r="GC32" s="1098">
        <v>1</v>
      </c>
      <c r="GD32" s="1098"/>
      <c r="GE32" s="1098">
        <v>1</v>
      </c>
      <c r="GF32" s="1098"/>
      <c r="GG32" s="1098">
        <v>1</v>
      </c>
      <c r="GH32" s="1098"/>
      <c r="GI32" s="1098">
        <v>1</v>
      </c>
      <c r="GJ32" s="1098"/>
      <c r="GK32" s="1098">
        <v>1</v>
      </c>
      <c r="GL32" s="1098"/>
      <c r="GM32" s="1098">
        <v>1</v>
      </c>
      <c r="GN32" s="1097">
        <f t="shared" si="26"/>
        <v>6</v>
      </c>
      <c r="GO32" s="1098"/>
      <c r="GP32" s="1098">
        <v>1</v>
      </c>
      <c r="GQ32" s="1098"/>
      <c r="GR32" s="1098">
        <v>1</v>
      </c>
      <c r="GS32" s="1098"/>
      <c r="GT32" s="1098">
        <v>1</v>
      </c>
      <c r="GU32" s="1098"/>
      <c r="GV32" s="1098">
        <v>1</v>
      </c>
      <c r="GW32" s="1098"/>
      <c r="GX32" s="1098">
        <v>1</v>
      </c>
      <c r="GY32" s="1098"/>
      <c r="GZ32" s="1098">
        <v>1</v>
      </c>
      <c r="HA32" s="1097">
        <f t="shared" si="28"/>
        <v>6</v>
      </c>
      <c r="HB32" s="1098">
        <v>0.5</v>
      </c>
      <c r="HC32" s="1098">
        <v>0.5</v>
      </c>
      <c r="HD32" s="1098">
        <v>0.5</v>
      </c>
      <c r="HE32" s="1098">
        <v>0.5</v>
      </c>
      <c r="HF32" s="1098">
        <v>0.5</v>
      </c>
      <c r="HG32" s="1098">
        <v>0.5</v>
      </c>
      <c r="HH32" s="1098">
        <v>0.5</v>
      </c>
      <c r="HI32" s="1098">
        <v>0.5</v>
      </c>
      <c r="HJ32" s="1098">
        <v>0.5</v>
      </c>
      <c r="HK32" s="1098">
        <v>0.5</v>
      </c>
      <c r="HL32" s="1098">
        <v>0.5</v>
      </c>
      <c r="HM32" s="1098">
        <v>0.5</v>
      </c>
      <c r="HN32" s="1097">
        <f t="shared" si="30"/>
        <v>6</v>
      </c>
      <c r="HO32" s="1098"/>
      <c r="HP32" s="1098"/>
      <c r="HQ32" s="1098">
        <v>0.5</v>
      </c>
      <c r="HR32" s="1098">
        <v>0.5</v>
      </c>
      <c r="HS32" s="1098">
        <v>0.5</v>
      </c>
      <c r="HT32" s="1098">
        <v>0.5</v>
      </c>
      <c r="HU32" s="1098">
        <v>0.3</v>
      </c>
      <c r="HV32" s="1098">
        <v>0.5</v>
      </c>
      <c r="HW32" s="1098">
        <v>0.5</v>
      </c>
      <c r="HX32" s="1098">
        <v>0.3</v>
      </c>
      <c r="HY32" s="1098">
        <v>0.3</v>
      </c>
      <c r="HZ32" s="1098">
        <v>0.5</v>
      </c>
      <c r="IA32" s="1097">
        <f t="shared" si="32"/>
        <v>4.3999999999999995</v>
      </c>
      <c r="IB32" s="1098"/>
      <c r="IC32" s="1098"/>
      <c r="ID32" s="1098"/>
      <c r="IE32" s="1098"/>
      <c r="IF32" s="1098"/>
      <c r="IG32" s="1098"/>
      <c r="IH32" s="1098"/>
      <c r="II32" s="1098"/>
      <c r="IJ32" s="1098">
        <v>9</v>
      </c>
      <c r="IK32" s="1098"/>
      <c r="IL32" s="1098"/>
      <c r="IM32" s="1098"/>
      <c r="IN32" s="1097">
        <f t="shared" si="34"/>
        <v>9</v>
      </c>
      <c r="IO32" s="1098"/>
      <c r="IP32" s="1098"/>
      <c r="IQ32" s="1098"/>
      <c r="IR32" s="1098"/>
      <c r="IS32" s="1098"/>
      <c r="IT32" s="1098"/>
      <c r="IU32" s="1098"/>
      <c r="IV32" s="1098"/>
      <c r="IW32" s="1098"/>
      <c r="IX32" s="1098"/>
      <c r="IY32" s="1098"/>
      <c r="IZ32" s="1098"/>
      <c r="JA32" s="1097">
        <f t="shared" si="35"/>
        <v>0</v>
      </c>
      <c r="JB32" s="1098"/>
      <c r="JC32" s="1098"/>
      <c r="JD32" s="1098"/>
      <c r="JE32" s="1098"/>
      <c r="JF32" s="1098"/>
      <c r="JG32" s="1098"/>
      <c r="JH32" s="1098"/>
      <c r="JI32" s="1098"/>
      <c r="JJ32" s="1098"/>
      <c r="JK32" s="1098"/>
      <c r="JL32" s="1098"/>
      <c r="JM32" s="1098"/>
      <c r="JN32" s="1097">
        <f t="shared" si="36"/>
        <v>0</v>
      </c>
      <c r="JO32" s="1098">
        <v>0</v>
      </c>
      <c r="JP32" s="1098"/>
      <c r="JQ32" s="1098"/>
      <c r="JR32" s="1098"/>
      <c r="JS32" s="1098"/>
      <c r="JT32" s="1098"/>
      <c r="JU32" s="1098"/>
      <c r="JV32" s="1098"/>
      <c r="JW32" s="1098"/>
      <c r="JX32" s="1098"/>
      <c r="JY32" s="1098"/>
      <c r="JZ32" s="1098"/>
      <c r="KA32" s="1097">
        <f t="shared" si="38"/>
        <v>0</v>
      </c>
      <c r="KC32" s="1116" t="str" cm="1">
        <f t="array" ref="KC32">IFERROR(((
_xlfn.XLOOKUP((DATE(YEAR($KC$5),MONTH($KC$5),1)),SMN.COSECHA.DATE,$B32:$KA32) /
_xlfn.XLOOKUP((DATE(YEAR($KC$5)-1,MONTH($KC$5),1)),SMN.COSECHA.DATE,$B32:$KA32)
)-1)*100,"")</f>
        <v/>
      </c>
      <c r="KD32" s="1117" t="str">
        <f t="shared" si="39"/>
        <v/>
      </c>
      <c r="KE32" s="1079" cm="1">
        <f t="array" ref="KE32">SUMIFS($B32:$KA32,SMN.COSECHA.DATE,"&gt;="&amp;DATE(YEAR($KC$5)-1,1,1),SMN.COSECHA.DATE,"&lt;="&amp;DATE(YEAR($KC$5)-1,MONTH($KC$5),1))</f>
        <v>0</v>
      </c>
      <c r="KF32" s="1118" cm="1">
        <f t="array" ref="KF32">SUMIFS($B32:$KA32,SMN.COSECHA.DATE,"&gt;="&amp;DATE(YEAR($KC$5),1,1),SMN.COSECHA.DATE,"&lt;="&amp;$KC$5)</f>
        <v>0</v>
      </c>
      <c r="KG32" s="62"/>
      <c r="KH32" s="1079">
        <f t="shared" si="40"/>
        <v>1531.3</v>
      </c>
      <c r="KI32" s="1080" t="s">
        <v>570</v>
      </c>
      <c r="KJ32" s="1081" t="str">
        <f t="shared" si="41"/>
        <v>OK</v>
      </c>
    </row>
    <row r="33" spans="1:296" ht="15" customHeight="1" x14ac:dyDescent="0.2">
      <c r="A33" s="1129" t="s">
        <v>149</v>
      </c>
      <c r="B33" s="1098">
        <v>67</v>
      </c>
      <c r="C33" s="1098">
        <v>6</v>
      </c>
      <c r="D33" s="1098">
        <v>5</v>
      </c>
      <c r="E33" s="1098">
        <v>5</v>
      </c>
      <c r="F33" s="1098">
        <v>34</v>
      </c>
      <c r="G33" s="1098"/>
      <c r="H33" s="1098">
        <v>1</v>
      </c>
      <c r="I33" s="1098">
        <v>2</v>
      </c>
      <c r="J33" s="1098">
        <v>67</v>
      </c>
      <c r="K33" s="1098">
        <v>6</v>
      </c>
      <c r="L33" s="1098"/>
      <c r="M33" s="1098">
        <v>5</v>
      </c>
      <c r="N33" s="1097">
        <f t="shared" si="1"/>
        <v>198</v>
      </c>
      <c r="O33" s="1098">
        <v>11</v>
      </c>
      <c r="P33" s="1098">
        <v>6</v>
      </c>
      <c r="Q33" s="1098">
        <v>7</v>
      </c>
      <c r="R33" s="1098">
        <v>10</v>
      </c>
      <c r="S33" s="1098">
        <v>5</v>
      </c>
      <c r="T33" s="1098">
        <v>5</v>
      </c>
      <c r="U33" s="1098">
        <v>7</v>
      </c>
      <c r="V33" s="1098">
        <v>173</v>
      </c>
      <c r="W33" s="1098">
        <v>7</v>
      </c>
      <c r="X33" s="1098">
        <v>4</v>
      </c>
      <c r="Y33" s="1098">
        <v>92</v>
      </c>
      <c r="Z33" s="1098">
        <v>7</v>
      </c>
      <c r="AA33" s="1097">
        <f t="shared" si="3"/>
        <v>334</v>
      </c>
      <c r="AB33" s="1098">
        <v>11</v>
      </c>
      <c r="AC33" s="1098">
        <v>1</v>
      </c>
      <c r="AD33" s="1098">
        <v>2</v>
      </c>
      <c r="AE33" s="1098">
        <v>15</v>
      </c>
      <c r="AF33" s="1098">
        <v>4</v>
      </c>
      <c r="AG33" s="1098">
        <v>44</v>
      </c>
      <c r="AH33" s="1098">
        <v>44</v>
      </c>
      <c r="AI33" s="1098">
        <v>4</v>
      </c>
      <c r="AJ33" s="1098">
        <v>3</v>
      </c>
      <c r="AK33" s="1098">
        <v>6</v>
      </c>
      <c r="AL33" s="1098">
        <v>78</v>
      </c>
      <c r="AM33" s="1098">
        <v>54</v>
      </c>
      <c r="AN33" s="1097">
        <f t="shared" si="5"/>
        <v>266</v>
      </c>
      <c r="AO33" s="1098">
        <v>4</v>
      </c>
      <c r="AP33" s="1098">
        <v>5</v>
      </c>
      <c r="AQ33" s="1098">
        <v>5</v>
      </c>
      <c r="AR33" s="1098">
        <v>3</v>
      </c>
      <c r="AS33" s="1098">
        <v>5</v>
      </c>
      <c r="AT33" s="1098">
        <v>6</v>
      </c>
      <c r="AU33" s="1098">
        <v>7</v>
      </c>
      <c r="AV33" s="1098">
        <v>48</v>
      </c>
      <c r="AW33" s="1098">
        <v>9</v>
      </c>
      <c r="AX33" s="1098">
        <v>78</v>
      </c>
      <c r="AY33" s="1098">
        <v>10</v>
      </c>
      <c r="AZ33" s="1098">
        <v>6</v>
      </c>
      <c r="BA33" s="1097">
        <f t="shared" si="7"/>
        <v>186</v>
      </c>
      <c r="BB33" s="1098">
        <v>9</v>
      </c>
      <c r="BC33" s="1098">
        <v>7</v>
      </c>
      <c r="BD33" s="1098">
        <v>9</v>
      </c>
      <c r="BE33" s="1098">
        <v>11</v>
      </c>
      <c r="BF33" s="1098">
        <v>10</v>
      </c>
      <c r="BG33" s="1098">
        <v>11</v>
      </c>
      <c r="BH33" s="1098">
        <v>124</v>
      </c>
      <c r="BI33" s="1098">
        <v>9</v>
      </c>
      <c r="BJ33" s="1098">
        <v>63</v>
      </c>
      <c r="BK33" s="1098">
        <v>12</v>
      </c>
      <c r="BL33" s="1098">
        <v>12</v>
      </c>
      <c r="BM33" s="1098">
        <v>13</v>
      </c>
      <c r="BN33" s="1097">
        <f t="shared" si="9"/>
        <v>290</v>
      </c>
      <c r="BO33" s="1098">
        <v>9</v>
      </c>
      <c r="BP33" s="1098">
        <v>7</v>
      </c>
      <c r="BQ33" s="1098">
        <v>7</v>
      </c>
      <c r="BR33" s="1098">
        <v>7</v>
      </c>
      <c r="BS33" s="1098">
        <v>7</v>
      </c>
      <c r="BT33" s="1098">
        <v>9</v>
      </c>
      <c r="BU33" s="1098">
        <v>7</v>
      </c>
      <c r="BV33" s="1098">
        <v>9</v>
      </c>
      <c r="BW33" s="1098">
        <v>8</v>
      </c>
      <c r="BX33" s="1098">
        <v>7</v>
      </c>
      <c r="BY33" s="1098">
        <v>10</v>
      </c>
      <c r="BZ33" s="1098">
        <v>11</v>
      </c>
      <c r="CA33" s="1097">
        <f t="shared" si="11"/>
        <v>98</v>
      </c>
      <c r="CB33" s="1098">
        <v>7</v>
      </c>
      <c r="CC33" s="1098">
        <v>7</v>
      </c>
      <c r="CD33" s="1098">
        <v>8</v>
      </c>
      <c r="CE33" s="1098">
        <v>8</v>
      </c>
      <c r="CF33" s="1098">
        <v>8</v>
      </c>
      <c r="CG33" s="1098">
        <v>10</v>
      </c>
      <c r="CH33" s="1098">
        <v>8</v>
      </c>
      <c r="CI33" s="1098">
        <v>7</v>
      </c>
      <c r="CJ33" s="1098">
        <v>8</v>
      </c>
      <c r="CK33" s="1098">
        <v>6</v>
      </c>
      <c r="CL33" s="1098">
        <v>9</v>
      </c>
      <c r="CM33" s="1098">
        <v>7</v>
      </c>
      <c r="CN33" s="1097">
        <f t="shared" si="13"/>
        <v>93</v>
      </c>
      <c r="CO33" s="1098">
        <v>8</v>
      </c>
      <c r="CP33" s="1098">
        <v>26</v>
      </c>
      <c r="CQ33" s="1098">
        <v>2</v>
      </c>
      <c r="CR33" s="1098">
        <v>1</v>
      </c>
      <c r="CS33" s="1098">
        <v>2</v>
      </c>
      <c r="CT33" s="1098">
        <v>3</v>
      </c>
      <c r="CU33" s="1098"/>
      <c r="CV33" s="1098">
        <v>4</v>
      </c>
      <c r="CW33" s="1098">
        <v>2</v>
      </c>
      <c r="CX33" s="1098">
        <v>2</v>
      </c>
      <c r="CY33" s="1098">
        <v>2</v>
      </c>
      <c r="CZ33" s="1098">
        <v>5</v>
      </c>
      <c r="DA33" s="1097">
        <f t="shared" si="15"/>
        <v>57</v>
      </c>
      <c r="DB33" s="1098">
        <v>8</v>
      </c>
      <c r="DC33" s="1098">
        <v>2</v>
      </c>
      <c r="DD33" s="1098">
        <v>3</v>
      </c>
      <c r="DE33" s="1098">
        <v>3</v>
      </c>
      <c r="DF33" s="1098">
        <v>3</v>
      </c>
      <c r="DG33" s="1098">
        <v>30</v>
      </c>
      <c r="DH33" s="1098">
        <v>112</v>
      </c>
      <c r="DI33" s="1098">
        <v>6</v>
      </c>
      <c r="DJ33" s="1098">
        <v>3</v>
      </c>
      <c r="DK33" s="1098">
        <v>2</v>
      </c>
      <c r="DL33" s="1098">
        <v>3</v>
      </c>
      <c r="DM33" s="1098">
        <v>3</v>
      </c>
      <c r="DN33" s="1097">
        <f t="shared" si="17"/>
        <v>178</v>
      </c>
      <c r="DO33" s="1098">
        <v>91</v>
      </c>
      <c r="DP33" s="1098">
        <v>156</v>
      </c>
      <c r="DQ33" s="1098">
        <v>190</v>
      </c>
      <c r="DR33" s="1098">
        <v>61</v>
      </c>
      <c r="DS33" s="1098">
        <v>30</v>
      </c>
      <c r="DT33" s="1098">
        <v>12</v>
      </c>
      <c r="DU33" s="1098"/>
      <c r="DV33" s="1098"/>
      <c r="DW33" s="1098"/>
      <c r="DX33" s="1098"/>
      <c r="DY33" s="1098"/>
      <c r="DZ33" s="1098"/>
      <c r="EA33" s="1097">
        <f t="shared" si="18"/>
        <v>540</v>
      </c>
      <c r="EB33" s="1098"/>
      <c r="EC33" s="1098">
        <v>2</v>
      </c>
      <c r="ED33" s="1098">
        <v>2</v>
      </c>
      <c r="EE33" s="1098">
        <v>2</v>
      </c>
      <c r="EF33" s="1098">
        <v>2</v>
      </c>
      <c r="EG33" s="1098">
        <v>1</v>
      </c>
      <c r="EH33" s="1098">
        <v>2</v>
      </c>
      <c r="EI33" s="1098">
        <v>1</v>
      </c>
      <c r="EJ33" s="1098">
        <v>2</v>
      </c>
      <c r="EK33" s="1098">
        <v>1</v>
      </c>
      <c r="EL33" s="1098">
        <v>2</v>
      </c>
      <c r="EM33" s="1098">
        <v>1</v>
      </c>
      <c r="EN33" s="1097">
        <f t="shared" si="20"/>
        <v>18</v>
      </c>
      <c r="EO33" s="1098">
        <v>1</v>
      </c>
      <c r="EP33" s="1098">
        <v>2</v>
      </c>
      <c r="EQ33" s="1098"/>
      <c r="ER33" s="1098">
        <v>2</v>
      </c>
      <c r="ES33" s="1098">
        <v>2</v>
      </c>
      <c r="ET33" s="1098">
        <v>1</v>
      </c>
      <c r="EU33" s="1098">
        <v>2</v>
      </c>
      <c r="EV33" s="1098">
        <v>2</v>
      </c>
      <c r="EW33" s="1098">
        <v>2</v>
      </c>
      <c r="EX33" s="1098"/>
      <c r="EY33" s="1098">
        <v>1</v>
      </c>
      <c r="EZ33" s="1098">
        <v>2</v>
      </c>
      <c r="FA33" s="1097">
        <f t="shared" si="21"/>
        <v>17</v>
      </c>
      <c r="FB33" s="1098">
        <v>2</v>
      </c>
      <c r="FC33" s="1098">
        <v>1</v>
      </c>
      <c r="FD33" s="1098">
        <v>2</v>
      </c>
      <c r="FE33" s="1098">
        <v>2</v>
      </c>
      <c r="FF33" s="1098">
        <v>2</v>
      </c>
      <c r="FG33" s="1098">
        <v>2</v>
      </c>
      <c r="FH33" s="1098">
        <v>1</v>
      </c>
      <c r="FI33" s="1098">
        <v>2</v>
      </c>
      <c r="FJ33" s="1098">
        <v>2</v>
      </c>
      <c r="FK33" s="1098">
        <v>2</v>
      </c>
      <c r="FL33" s="1098">
        <v>2</v>
      </c>
      <c r="FM33" s="1098">
        <v>2</v>
      </c>
      <c r="FN33" s="1097">
        <f t="shared" si="23"/>
        <v>22</v>
      </c>
      <c r="FO33" s="1098">
        <v>2</v>
      </c>
      <c r="FP33" s="1098">
        <v>4</v>
      </c>
      <c r="FQ33" s="1098">
        <v>3</v>
      </c>
      <c r="FR33" s="1098">
        <v>3</v>
      </c>
      <c r="FS33" s="1098">
        <v>3</v>
      </c>
      <c r="FT33" s="1098">
        <v>2</v>
      </c>
      <c r="FU33" s="1098">
        <v>2</v>
      </c>
      <c r="FV33" s="1098">
        <v>3</v>
      </c>
      <c r="FW33" s="1098">
        <v>3</v>
      </c>
      <c r="FX33" s="1098">
        <v>3</v>
      </c>
      <c r="FY33" s="1098">
        <v>2</v>
      </c>
      <c r="FZ33" s="1098">
        <v>2</v>
      </c>
      <c r="GA33" s="1097">
        <f t="shared" si="24"/>
        <v>32</v>
      </c>
      <c r="GB33" s="1098">
        <v>2</v>
      </c>
      <c r="GC33" s="1098">
        <v>2</v>
      </c>
      <c r="GD33" s="1098">
        <v>1</v>
      </c>
      <c r="GE33" s="1098">
        <v>3</v>
      </c>
      <c r="GF33" s="1098">
        <v>2</v>
      </c>
      <c r="GG33" s="1098">
        <v>2</v>
      </c>
      <c r="GH33" s="1098">
        <v>3</v>
      </c>
      <c r="GI33" s="1098">
        <v>4</v>
      </c>
      <c r="GJ33" s="1098">
        <v>53</v>
      </c>
      <c r="GK33" s="1098">
        <v>3</v>
      </c>
      <c r="GL33" s="1098">
        <v>2</v>
      </c>
      <c r="GM33" s="1098">
        <v>4</v>
      </c>
      <c r="GN33" s="1097">
        <f t="shared" si="26"/>
        <v>81</v>
      </c>
      <c r="GO33" s="1098">
        <v>8</v>
      </c>
      <c r="GP33" s="1098">
        <v>1</v>
      </c>
      <c r="GQ33" s="1098">
        <v>3</v>
      </c>
      <c r="GR33" s="1098">
        <v>3</v>
      </c>
      <c r="GS33" s="1098">
        <v>2</v>
      </c>
      <c r="GT33" s="1098">
        <v>3</v>
      </c>
      <c r="GU33" s="1098">
        <v>2</v>
      </c>
      <c r="GV33" s="1098">
        <v>2</v>
      </c>
      <c r="GW33" s="1098">
        <v>2</v>
      </c>
      <c r="GX33" s="1098">
        <v>3</v>
      </c>
      <c r="GY33" s="1098">
        <v>2</v>
      </c>
      <c r="GZ33" s="1098">
        <v>3</v>
      </c>
      <c r="HA33" s="1097">
        <f t="shared" si="28"/>
        <v>34</v>
      </c>
      <c r="HB33" s="1098">
        <v>3</v>
      </c>
      <c r="HC33" s="1098">
        <v>2</v>
      </c>
      <c r="HD33" s="1098">
        <v>3</v>
      </c>
      <c r="HE33" s="1098">
        <v>2</v>
      </c>
      <c r="HF33" s="1098">
        <v>4</v>
      </c>
      <c r="HG33" s="1098">
        <v>2</v>
      </c>
      <c r="HH33" s="1098">
        <v>2</v>
      </c>
      <c r="HI33" s="1098">
        <v>4</v>
      </c>
      <c r="HJ33" s="1098">
        <v>3</v>
      </c>
      <c r="HK33" s="1098">
        <v>3</v>
      </c>
      <c r="HL33" s="1098">
        <v>2</v>
      </c>
      <c r="HM33" s="1098">
        <v>2</v>
      </c>
      <c r="HN33" s="1097">
        <f t="shared" si="30"/>
        <v>32</v>
      </c>
      <c r="HO33" s="1098">
        <v>3</v>
      </c>
      <c r="HP33" s="1098">
        <v>3</v>
      </c>
      <c r="HQ33" s="1098">
        <v>4</v>
      </c>
      <c r="HR33" s="1098">
        <v>2</v>
      </c>
      <c r="HS33" s="1098"/>
      <c r="HT33" s="1098">
        <v>3</v>
      </c>
      <c r="HU33" s="1098"/>
      <c r="HV33" s="1098"/>
      <c r="HW33" s="1098">
        <v>2</v>
      </c>
      <c r="HX33" s="1098">
        <v>4</v>
      </c>
      <c r="HY33" s="1098">
        <v>4</v>
      </c>
      <c r="HZ33" s="1098"/>
      <c r="IA33" s="1097">
        <f t="shared" si="32"/>
        <v>25</v>
      </c>
      <c r="IB33" s="1098">
        <v>3</v>
      </c>
      <c r="IC33" s="1098">
        <v>2</v>
      </c>
      <c r="ID33" s="1098">
        <v>5</v>
      </c>
      <c r="IE33" s="1098">
        <v>6</v>
      </c>
      <c r="IF33" s="1098">
        <v>5</v>
      </c>
      <c r="IG33" s="1098">
        <v>5.5</v>
      </c>
      <c r="IH33" s="1098">
        <v>2</v>
      </c>
      <c r="II33" s="1098">
        <v>7</v>
      </c>
      <c r="IJ33" s="1098">
        <v>10</v>
      </c>
      <c r="IK33" s="1098">
        <v>11</v>
      </c>
      <c r="IL33" s="1098">
        <v>10</v>
      </c>
      <c r="IM33" s="1098">
        <v>5</v>
      </c>
      <c r="IN33" s="1097">
        <f t="shared" si="34"/>
        <v>71.5</v>
      </c>
      <c r="IO33" s="1098">
        <v>3</v>
      </c>
      <c r="IP33" s="1098">
        <v>3</v>
      </c>
      <c r="IQ33" s="1098">
        <v>2.9</v>
      </c>
      <c r="IR33" s="1098">
        <v>4</v>
      </c>
      <c r="IS33" s="1098">
        <v>3</v>
      </c>
      <c r="IT33" s="1098">
        <v>3.6</v>
      </c>
      <c r="IU33" s="1098">
        <v>3.4</v>
      </c>
      <c r="IV33" s="1098">
        <v>3.5</v>
      </c>
      <c r="IW33" s="1098">
        <v>3.5</v>
      </c>
      <c r="IX33" s="1098"/>
      <c r="IY33" s="1098"/>
      <c r="IZ33" s="1098"/>
      <c r="JA33" s="1097">
        <f t="shared" si="35"/>
        <v>29.9</v>
      </c>
      <c r="JB33" s="1098"/>
      <c r="JC33" s="1098"/>
      <c r="JD33" s="1098"/>
      <c r="JE33" s="1098"/>
      <c r="JF33" s="1098"/>
      <c r="JG33" s="1098"/>
      <c r="JH33" s="1098"/>
      <c r="JI33" s="1098"/>
      <c r="JJ33" s="1098"/>
      <c r="JK33" s="1098"/>
      <c r="JL33" s="1098"/>
      <c r="JM33" s="1098"/>
      <c r="JN33" s="1097">
        <f t="shared" si="36"/>
        <v>0</v>
      </c>
      <c r="JO33" s="1098">
        <v>0</v>
      </c>
      <c r="JP33" s="1098"/>
      <c r="JQ33" s="1098"/>
      <c r="JR33" s="1098"/>
      <c r="JS33" s="1098"/>
      <c r="JT33" s="1098"/>
      <c r="JU33" s="1098"/>
      <c r="JV33" s="1098"/>
      <c r="JW33" s="1098"/>
      <c r="JX33" s="1098"/>
      <c r="JY33" s="1098"/>
      <c r="JZ33" s="1098"/>
      <c r="KA33" s="1097">
        <f t="shared" si="38"/>
        <v>0</v>
      </c>
      <c r="KC33" s="1116" t="str" cm="1">
        <f t="array" ref="KC33">IFERROR(((
_xlfn.XLOOKUP((DATE(YEAR($KC$5),MONTH($KC$5),1)),SMN.COSECHA.DATE,$B33:$KA33) /
_xlfn.XLOOKUP((DATE(YEAR($KC$5)-1,MONTH($KC$5),1)),SMN.COSECHA.DATE,$B33:$KA33)
)-1)*100,"")</f>
        <v/>
      </c>
      <c r="KD33" s="1117">
        <f t="shared" si="39"/>
        <v>-100</v>
      </c>
      <c r="KE33" s="1079" cm="1">
        <f t="array" ref="KE33">SUMIFS($B33:$KA33,SMN.COSECHA.DATE,"&gt;="&amp;DATE(YEAR($KC$5)-1,1,1),SMN.COSECHA.DATE,"&lt;="&amp;DATE(YEAR($KC$5)-1,MONTH($KC$5),1))</f>
        <v>29.9</v>
      </c>
      <c r="KF33" s="1118" cm="1">
        <f t="array" ref="KF33">SUMIFS($B33:$KA33,SMN.COSECHA.DATE,"&gt;="&amp;DATE(YEAR($KC$5),1,1),SMN.COSECHA.DATE,"&lt;="&amp;$KC$5)</f>
        <v>0</v>
      </c>
      <c r="KG33" s="62"/>
      <c r="KH33" s="1079">
        <f t="shared" si="40"/>
        <v>4808.7999999999993</v>
      </c>
      <c r="KI33" s="1080" t="s">
        <v>149</v>
      </c>
      <c r="KJ33" s="1081" t="str">
        <f t="shared" si="41"/>
        <v>OK</v>
      </c>
    </row>
    <row r="34" spans="1:296" ht="15" customHeight="1" x14ac:dyDescent="0.2">
      <c r="A34" s="1129" t="s">
        <v>143</v>
      </c>
      <c r="B34" s="1098">
        <v>27</v>
      </c>
      <c r="C34" s="1098">
        <v>23</v>
      </c>
      <c r="D34" s="1098">
        <v>30</v>
      </c>
      <c r="E34" s="1098">
        <v>33</v>
      </c>
      <c r="F34" s="1098">
        <v>32</v>
      </c>
      <c r="G34" s="1098">
        <v>22</v>
      </c>
      <c r="H34" s="1098">
        <v>34</v>
      </c>
      <c r="I34" s="1098">
        <v>30</v>
      </c>
      <c r="J34" s="1098">
        <v>36</v>
      </c>
      <c r="K34" s="1098">
        <v>31</v>
      </c>
      <c r="L34" s="1098">
        <v>6</v>
      </c>
      <c r="M34" s="1098">
        <v>25</v>
      </c>
      <c r="N34" s="1097">
        <f t="shared" si="1"/>
        <v>329</v>
      </c>
      <c r="O34" s="1098">
        <v>27.25</v>
      </c>
      <c r="P34" s="1098">
        <v>30</v>
      </c>
      <c r="Q34" s="1098">
        <v>24.5</v>
      </c>
      <c r="R34" s="1098">
        <v>26</v>
      </c>
      <c r="S34" s="1098">
        <v>30.5</v>
      </c>
      <c r="T34" s="1098">
        <v>24.5</v>
      </c>
      <c r="U34" s="1098">
        <v>38.75</v>
      </c>
      <c r="V34" s="1098">
        <v>34</v>
      </c>
      <c r="W34" s="1098">
        <v>31.5</v>
      </c>
      <c r="X34" s="1098">
        <v>39</v>
      </c>
      <c r="Y34" s="1098">
        <v>25.75</v>
      </c>
      <c r="Z34" s="1098">
        <v>25.5</v>
      </c>
      <c r="AA34" s="1097">
        <f t="shared" si="3"/>
        <v>357.25</v>
      </c>
      <c r="AB34" s="1098">
        <v>18</v>
      </c>
      <c r="AC34" s="1098">
        <v>20</v>
      </c>
      <c r="AD34" s="1098">
        <v>16</v>
      </c>
      <c r="AE34" s="1098">
        <v>23</v>
      </c>
      <c r="AF34" s="1098">
        <v>11</v>
      </c>
      <c r="AG34" s="1098">
        <v>22</v>
      </c>
      <c r="AH34" s="1098">
        <v>24</v>
      </c>
      <c r="AI34" s="1098">
        <v>23</v>
      </c>
      <c r="AJ34" s="1098">
        <v>28</v>
      </c>
      <c r="AK34" s="1098">
        <v>41</v>
      </c>
      <c r="AL34" s="1098">
        <v>15</v>
      </c>
      <c r="AM34" s="1098">
        <v>23</v>
      </c>
      <c r="AN34" s="1097">
        <f t="shared" si="5"/>
        <v>264</v>
      </c>
      <c r="AO34" s="1098">
        <v>22</v>
      </c>
      <c r="AP34" s="1098">
        <v>18</v>
      </c>
      <c r="AQ34" s="1098">
        <v>27</v>
      </c>
      <c r="AR34" s="1098">
        <v>29</v>
      </c>
      <c r="AS34" s="1098">
        <v>27</v>
      </c>
      <c r="AT34" s="1098">
        <v>23</v>
      </c>
      <c r="AU34" s="1098">
        <v>30</v>
      </c>
      <c r="AV34" s="1098">
        <v>36</v>
      </c>
      <c r="AW34" s="1098">
        <v>35</v>
      </c>
      <c r="AX34" s="1098">
        <v>25</v>
      </c>
      <c r="AY34" s="1098">
        <v>22</v>
      </c>
      <c r="AZ34" s="1098">
        <v>33</v>
      </c>
      <c r="BA34" s="1097">
        <f t="shared" si="7"/>
        <v>327</v>
      </c>
      <c r="BB34" s="1098">
        <v>24</v>
      </c>
      <c r="BC34" s="1098">
        <v>19</v>
      </c>
      <c r="BD34" s="1098">
        <v>18</v>
      </c>
      <c r="BE34" s="1098">
        <v>27</v>
      </c>
      <c r="BF34" s="1098">
        <v>25</v>
      </c>
      <c r="BG34" s="1098">
        <v>21</v>
      </c>
      <c r="BH34" s="1098">
        <v>19</v>
      </c>
      <c r="BI34" s="1098">
        <v>21</v>
      </c>
      <c r="BJ34" s="1098">
        <v>26</v>
      </c>
      <c r="BK34" s="1098">
        <v>23</v>
      </c>
      <c r="BL34" s="1098">
        <v>23</v>
      </c>
      <c r="BM34" s="1098">
        <v>24</v>
      </c>
      <c r="BN34" s="1097">
        <f t="shared" si="9"/>
        <v>270</v>
      </c>
      <c r="BO34" s="1098">
        <v>21</v>
      </c>
      <c r="BP34" s="1098">
        <v>18</v>
      </c>
      <c r="BQ34" s="1098">
        <v>15</v>
      </c>
      <c r="BR34" s="1098">
        <v>9</v>
      </c>
      <c r="BS34" s="1098">
        <v>28</v>
      </c>
      <c r="BT34" s="1098">
        <v>23</v>
      </c>
      <c r="BU34" s="1098">
        <v>25</v>
      </c>
      <c r="BV34" s="1098">
        <v>23</v>
      </c>
      <c r="BW34" s="1098">
        <v>14</v>
      </c>
      <c r="BX34" s="1098">
        <v>19</v>
      </c>
      <c r="BY34" s="1098">
        <v>11</v>
      </c>
      <c r="BZ34" s="1098">
        <v>10</v>
      </c>
      <c r="CA34" s="1097">
        <f t="shared" si="11"/>
        <v>216</v>
      </c>
      <c r="CB34" s="1098">
        <v>15</v>
      </c>
      <c r="CC34" s="1098">
        <v>14</v>
      </c>
      <c r="CD34" s="1098">
        <v>18</v>
      </c>
      <c r="CE34" s="1098">
        <v>14</v>
      </c>
      <c r="CF34" s="1098">
        <v>13</v>
      </c>
      <c r="CG34" s="1098">
        <v>15</v>
      </c>
      <c r="CH34" s="1098">
        <v>15</v>
      </c>
      <c r="CI34" s="1098">
        <v>22</v>
      </c>
      <c r="CJ34" s="1098">
        <v>19</v>
      </c>
      <c r="CK34" s="1098">
        <v>12</v>
      </c>
      <c r="CL34" s="1098">
        <v>12</v>
      </c>
      <c r="CM34" s="1098">
        <v>12</v>
      </c>
      <c r="CN34" s="1097">
        <f t="shared" si="13"/>
        <v>181</v>
      </c>
      <c r="CO34" s="1098">
        <v>16</v>
      </c>
      <c r="CP34" s="1098">
        <v>13</v>
      </c>
      <c r="CQ34" s="1098">
        <v>12</v>
      </c>
      <c r="CR34" s="1098">
        <v>15</v>
      </c>
      <c r="CS34" s="1098">
        <v>18</v>
      </c>
      <c r="CT34" s="1098">
        <v>12</v>
      </c>
      <c r="CU34" s="1098">
        <v>14</v>
      </c>
      <c r="CV34" s="1098">
        <v>18</v>
      </c>
      <c r="CW34" s="1098">
        <v>14</v>
      </c>
      <c r="CX34" s="1098">
        <v>10</v>
      </c>
      <c r="CY34" s="1098">
        <v>10</v>
      </c>
      <c r="CZ34" s="1098">
        <v>14</v>
      </c>
      <c r="DA34" s="1097">
        <f t="shared" si="15"/>
        <v>166</v>
      </c>
      <c r="DB34" s="1098">
        <v>9</v>
      </c>
      <c r="DC34" s="1098">
        <v>11</v>
      </c>
      <c r="DD34" s="1098">
        <v>11</v>
      </c>
      <c r="DE34" s="1098">
        <v>11</v>
      </c>
      <c r="DF34" s="1098">
        <v>12</v>
      </c>
      <c r="DG34" s="1098">
        <v>9</v>
      </c>
      <c r="DH34" s="1098">
        <v>11</v>
      </c>
      <c r="DI34" s="1098">
        <v>17</v>
      </c>
      <c r="DJ34" s="1098">
        <v>13</v>
      </c>
      <c r="DK34" s="1098">
        <v>9</v>
      </c>
      <c r="DL34" s="1098">
        <v>12</v>
      </c>
      <c r="DM34" s="1098">
        <v>142</v>
      </c>
      <c r="DN34" s="1097">
        <f t="shared" si="17"/>
        <v>267</v>
      </c>
      <c r="DO34" s="1098"/>
      <c r="DP34" s="1098"/>
      <c r="DQ34" s="1098"/>
      <c r="DR34" s="1098">
        <v>1</v>
      </c>
      <c r="DS34" s="1098"/>
      <c r="DT34" s="1098"/>
      <c r="DU34" s="1098"/>
      <c r="DV34" s="1098">
        <v>19</v>
      </c>
      <c r="DW34" s="1098">
        <v>9</v>
      </c>
      <c r="DX34" s="1098"/>
      <c r="DY34" s="1098"/>
      <c r="DZ34" s="1098"/>
      <c r="EA34" s="1097">
        <f t="shared" si="18"/>
        <v>29</v>
      </c>
      <c r="EB34" s="1098">
        <v>13</v>
      </c>
      <c r="EC34" s="1098">
        <v>14</v>
      </c>
      <c r="ED34" s="1098">
        <v>10</v>
      </c>
      <c r="EE34" s="1098">
        <v>9</v>
      </c>
      <c r="EF34" s="1098">
        <v>11</v>
      </c>
      <c r="EG34" s="1098">
        <v>7</v>
      </c>
      <c r="EH34" s="1098">
        <v>8</v>
      </c>
      <c r="EI34" s="1098">
        <v>12</v>
      </c>
      <c r="EJ34" s="1098">
        <v>5</v>
      </c>
      <c r="EK34" s="1098">
        <v>11</v>
      </c>
      <c r="EL34" s="1098">
        <v>12</v>
      </c>
      <c r="EM34" s="1098">
        <v>21</v>
      </c>
      <c r="EN34" s="1097">
        <f t="shared" si="20"/>
        <v>133</v>
      </c>
      <c r="EO34" s="1098">
        <v>6</v>
      </c>
      <c r="EP34" s="1098">
        <v>5</v>
      </c>
      <c r="EQ34" s="1098">
        <v>7</v>
      </c>
      <c r="ER34" s="1098">
        <v>6</v>
      </c>
      <c r="ES34" s="1098">
        <v>6</v>
      </c>
      <c r="ET34" s="1098">
        <v>6</v>
      </c>
      <c r="EU34" s="1098">
        <v>7</v>
      </c>
      <c r="EV34" s="1098">
        <v>15</v>
      </c>
      <c r="EW34" s="1098">
        <v>15</v>
      </c>
      <c r="EX34" s="1098">
        <v>18</v>
      </c>
      <c r="EY34" s="1098">
        <v>13</v>
      </c>
      <c r="EZ34" s="1098">
        <v>15</v>
      </c>
      <c r="FA34" s="1097">
        <f t="shared" si="21"/>
        <v>119</v>
      </c>
      <c r="FB34" s="1098">
        <v>5</v>
      </c>
      <c r="FC34" s="1098">
        <v>7</v>
      </c>
      <c r="FD34" s="1098">
        <v>5</v>
      </c>
      <c r="FE34" s="1098">
        <v>6</v>
      </c>
      <c r="FF34" s="1098">
        <v>4</v>
      </c>
      <c r="FG34" s="1098">
        <v>5</v>
      </c>
      <c r="FH34" s="1098">
        <v>6</v>
      </c>
      <c r="FI34" s="1098">
        <v>9</v>
      </c>
      <c r="FJ34" s="1098">
        <v>6</v>
      </c>
      <c r="FK34" s="1098">
        <v>13</v>
      </c>
      <c r="FL34" s="1098">
        <v>11</v>
      </c>
      <c r="FM34" s="1098">
        <v>7</v>
      </c>
      <c r="FN34" s="1097">
        <f t="shared" si="23"/>
        <v>84</v>
      </c>
      <c r="FO34" s="1098">
        <v>19</v>
      </c>
      <c r="FP34" s="1098">
        <v>6</v>
      </c>
      <c r="FQ34" s="1098">
        <v>10</v>
      </c>
      <c r="FR34" s="1098">
        <v>7</v>
      </c>
      <c r="FS34" s="1098">
        <v>6</v>
      </c>
      <c r="FT34" s="1098">
        <v>7</v>
      </c>
      <c r="FU34" s="1098">
        <v>8</v>
      </c>
      <c r="FV34" s="1098">
        <v>13</v>
      </c>
      <c r="FW34" s="1098">
        <v>20</v>
      </c>
      <c r="FX34" s="1098">
        <v>17</v>
      </c>
      <c r="FY34" s="1098">
        <v>15</v>
      </c>
      <c r="FZ34" s="1098">
        <v>14</v>
      </c>
      <c r="GA34" s="1097">
        <f t="shared" si="24"/>
        <v>142</v>
      </c>
      <c r="GB34" s="1098">
        <v>9</v>
      </c>
      <c r="GC34" s="1098">
        <v>8</v>
      </c>
      <c r="GD34" s="1098">
        <v>6</v>
      </c>
      <c r="GE34" s="1098">
        <v>14</v>
      </c>
      <c r="GF34" s="1098">
        <v>11</v>
      </c>
      <c r="GG34" s="1098">
        <v>12</v>
      </c>
      <c r="GH34" s="1098">
        <v>12</v>
      </c>
      <c r="GI34" s="1098">
        <v>25</v>
      </c>
      <c r="GJ34" s="1098">
        <v>30</v>
      </c>
      <c r="GK34" s="1098">
        <v>33</v>
      </c>
      <c r="GL34" s="1098">
        <v>33</v>
      </c>
      <c r="GM34" s="1098">
        <v>29</v>
      </c>
      <c r="GN34" s="1097">
        <f t="shared" si="26"/>
        <v>222</v>
      </c>
      <c r="GO34" s="1098">
        <v>26</v>
      </c>
      <c r="GP34" s="1098">
        <v>19</v>
      </c>
      <c r="GQ34" s="1098">
        <v>24</v>
      </c>
      <c r="GR34" s="1098">
        <v>15</v>
      </c>
      <c r="GS34" s="1098">
        <v>13</v>
      </c>
      <c r="GT34" s="1098">
        <v>7</v>
      </c>
      <c r="GU34" s="1098">
        <v>10</v>
      </c>
      <c r="GV34" s="1098">
        <v>19</v>
      </c>
      <c r="GW34" s="1098">
        <v>19</v>
      </c>
      <c r="GX34" s="1098">
        <v>16</v>
      </c>
      <c r="GY34" s="1098">
        <v>23</v>
      </c>
      <c r="GZ34" s="1098">
        <v>29</v>
      </c>
      <c r="HA34" s="1097">
        <f t="shared" si="28"/>
        <v>220</v>
      </c>
      <c r="HB34" s="1098">
        <v>24.5</v>
      </c>
      <c r="HC34" s="1098">
        <v>17</v>
      </c>
      <c r="HD34" s="1098">
        <v>12.5</v>
      </c>
      <c r="HE34" s="1098">
        <v>12</v>
      </c>
      <c r="HF34" s="1098">
        <v>18.399999999999999</v>
      </c>
      <c r="HG34" s="1098">
        <v>17</v>
      </c>
      <c r="HH34" s="1098">
        <v>14</v>
      </c>
      <c r="HI34" s="1098">
        <v>24</v>
      </c>
      <c r="HJ34" s="1098">
        <v>24.5</v>
      </c>
      <c r="HK34" s="1098">
        <v>35</v>
      </c>
      <c r="HL34" s="1098">
        <v>31</v>
      </c>
      <c r="HM34" s="1098">
        <v>33</v>
      </c>
      <c r="HN34" s="1097">
        <f t="shared" si="30"/>
        <v>262.89999999999998</v>
      </c>
      <c r="HO34" s="1098">
        <v>15</v>
      </c>
      <c r="HP34" s="1098">
        <v>8.75</v>
      </c>
      <c r="HQ34" s="1098">
        <v>12.75</v>
      </c>
      <c r="HR34" s="1098">
        <v>14.75</v>
      </c>
      <c r="HS34" s="1098">
        <v>17.75</v>
      </c>
      <c r="HT34" s="1098">
        <v>12.5</v>
      </c>
      <c r="HU34" s="1098">
        <v>14.25</v>
      </c>
      <c r="HV34" s="1098">
        <v>13.45</v>
      </c>
      <c r="HW34" s="1098">
        <v>17.25</v>
      </c>
      <c r="HX34" s="1098">
        <v>25.25</v>
      </c>
      <c r="HY34" s="1098">
        <v>23.75</v>
      </c>
      <c r="HZ34" s="1098">
        <v>21.4</v>
      </c>
      <c r="IA34" s="1097">
        <f t="shared" si="32"/>
        <v>196.85</v>
      </c>
      <c r="IB34" s="1098">
        <v>34.75</v>
      </c>
      <c r="IC34" s="1098">
        <v>15.25</v>
      </c>
      <c r="ID34" s="1098">
        <v>17.75</v>
      </c>
      <c r="IE34" s="1098">
        <v>26.25</v>
      </c>
      <c r="IF34" s="1098">
        <v>21.25</v>
      </c>
      <c r="IG34" s="1098">
        <v>15.45</v>
      </c>
      <c r="IH34" s="1098">
        <v>20.25</v>
      </c>
      <c r="II34" s="1098">
        <v>14.75</v>
      </c>
      <c r="IJ34" s="1098">
        <v>15.2</v>
      </c>
      <c r="IK34" s="1098">
        <v>15.75</v>
      </c>
      <c r="IL34" s="1098">
        <v>35.25</v>
      </c>
      <c r="IM34" s="1098">
        <v>23.75</v>
      </c>
      <c r="IN34" s="1097">
        <f t="shared" si="34"/>
        <v>255.64999999999998</v>
      </c>
      <c r="IO34" s="1098">
        <v>21.25</v>
      </c>
      <c r="IP34" s="1098">
        <v>20.75</v>
      </c>
      <c r="IQ34" s="1098">
        <v>21.25</v>
      </c>
      <c r="IR34" s="1098">
        <v>17.75</v>
      </c>
      <c r="IS34" s="1098">
        <v>14.25</v>
      </c>
      <c r="IT34" s="1098">
        <v>12.25</v>
      </c>
      <c r="IU34" s="1098">
        <v>18.75</v>
      </c>
      <c r="IV34" s="1098">
        <v>12.75</v>
      </c>
      <c r="IW34" s="1098">
        <v>21.75</v>
      </c>
      <c r="IX34" s="1098">
        <v>28.25</v>
      </c>
      <c r="IY34" s="1098">
        <v>22</v>
      </c>
      <c r="IZ34" s="1098">
        <v>11.5</v>
      </c>
      <c r="JA34" s="1097">
        <f t="shared" si="35"/>
        <v>222.5</v>
      </c>
      <c r="JB34" s="1098">
        <v>11.5</v>
      </c>
      <c r="JC34" s="1098">
        <v>6.25</v>
      </c>
      <c r="JD34" s="1098">
        <v>8.25</v>
      </c>
      <c r="JE34" s="1098">
        <v>18.149999999999999</v>
      </c>
      <c r="JF34" s="1098">
        <v>12</v>
      </c>
      <c r="JG34" s="1098">
        <v>11</v>
      </c>
      <c r="JH34" s="1098">
        <v>8.5</v>
      </c>
      <c r="JI34" s="1098">
        <v>18.25</v>
      </c>
      <c r="JJ34" s="1098">
        <v>22.25</v>
      </c>
      <c r="JK34" s="1098">
        <v>23.25</v>
      </c>
      <c r="JL34" s="1098">
        <v>38.5</v>
      </c>
      <c r="JM34" s="1098">
        <v>34.5</v>
      </c>
      <c r="JN34" s="1097">
        <f t="shared" si="36"/>
        <v>212.4</v>
      </c>
      <c r="JO34" s="1098">
        <v>16</v>
      </c>
      <c r="JP34" s="1098"/>
      <c r="JQ34" s="1098"/>
      <c r="JR34" s="1098"/>
      <c r="JS34" s="1098"/>
      <c r="JT34" s="1098"/>
      <c r="JU34" s="1098"/>
      <c r="JV34" s="1098"/>
      <c r="JW34" s="1098"/>
      <c r="JX34" s="1098"/>
      <c r="JY34" s="1098"/>
      <c r="JZ34" s="1098"/>
      <c r="KA34" s="1097">
        <f t="shared" si="38"/>
        <v>16</v>
      </c>
      <c r="KC34" s="1116" cm="1">
        <f t="array" ref="KC34">IFERROR(((
_xlfn.XLOOKUP((DATE(YEAR($KC$5),MONTH($KC$5),1)),SMN.COSECHA.DATE,$B34:$KA34) /
_xlfn.XLOOKUP((DATE(YEAR($KC$5)-1,MONTH($KC$5),1)),SMN.COSECHA.DATE,$B34:$KA34)
)-1)*100,"")</f>
        <v>200</v>
      </c>
      <c r="KD34" s="1117">
        <f t="shared" si="39"/>
        <v>-4.5393258426966288</v>
      </c>
      <c r="KE34" s="1079" cm="1">
        <f t="array" ref="KE34">SUMIFS($B34:$KA34,SMN.COSECHA.DATE,"&gt;="&amp;DATE(YEAR($KC$5)-1,1,1),SMN.COSECHA.DATE,"&lt;="&amp;DATE(YEAR($KC$5)-1,MONTH($KC$5),1))</f>
        <v>222.5</v>
      </c>
      <c r="KF34" s="1118" cm="1">
        <f t="array" ref="KF34">SUMIFS($B34:$KA34,SMN.COSECHA.DATE,"&gt;="&amp;DATE(YEAR($KC$5),1,1),SMN.COSECHA.DATE,"&lt;="&amp;$KC$5)</f>
        <v>212.4</v>
      </c>
      <c r="KG34" s="62"/>
      <c r="KH34" s="1079">
        <f t="shared" si="40"/>
        <v>8327.0999999999985</v>
      </c>
      <c r="KI34" s="1080" t="s">
        <v>143</v>
      </c>
      <c r="KJ34" s="1081" t="str">
        <f t="shared" si="41"/>
        <v>OK</v>
      </c>
    </row>
    <row r="35" spans="1:296" ht="15" customHeight="1" x14ac:dyDescent="0.2">
      <c r="A35" s="1129" t="s">
        <v>571</v>
      </c>
      <c r="B35" s="1098"/>
      <c r="C35" s="1098"/>
      <c r="D35" s="1098"/>
      <c r="E35" s="1098"/>
      <c r="F35" s="1098"/>
      <c r="G35" s="1098"/>
      <c r="H35" s="1098"/>
      <c r="I35" s="1098"/>
      <c r="J35" s="1098"/>
      <c r="K35" s="1098"/>
      <c r="L35" s="1098"/>
      <c r="M35" s="1098">
        <v>148</v>
      </c>
      <c r="N35" s="1097">
        <f t="shared" si="1"/>
        <v>148</v>
      </c>
      <c r="O35" s="1098"/>
      <c r="P35" s="1098"/>
      <c r="Q35" s="1098"/>
      <c r="R35" s="1098"/>
      <c r="S35" s="1098"/>
      <c r="T35" s="1098"/>
      <c r="U35" s="1098"/>
      <c r="V35" s="1098"/>
      <c r="W35" s="1098"/>
      <c r="X35" s="1098"/>
      <c r="Y35" s="1098"/>
      <c r="Z35" s="1098">
        <v>211.75</v>
      </c>
      <c r="AA35" s="1097">
        <f t="shared" si="3"/>
        <v>211.75</v>
      </c>
      <c r="AB35" s="1098"/>
      <c r="AC35" s="1098"/>
      <c r="AD35" s="1098"/>
      <c r="AE35" s="1098"/>
      <c r="AF35" s="1098"/>
      <c r="AG35" s="1098"/>
      <c r="AH35" s="1098"/>
      <c r="AI35" s="1098"/>
      <c r="AJ35" s="1098"/>
      <c r="AK35" s="1098"/>
      <c r="AL35" s="1098"/>
      <c r="AM35" s="1098">
        <v>212</v>
      </c>
      <c r="AN35" s="1097">
        <f t="shared" si="5"/>
        <v>212</v>
      </c>
      <c r="AO35" s="1098"/>
      <c r="AP35" s="1098"/>
      <c r="AQ35" s="1098"/>
      <c r="AR35" s="1098"/>
      <c r="AS35" s="1098"/>
      <c r="AT35" s="1098"/>
      <c r="AU35" s="1098"/>
      <c r="AV35" s="1098"/>
      <c r="AW35" s="1098"/>
      <c r="AX35" s="1098"/>
      <c r="AY35" s="1098"/>
      <c r="AZ35" s="1098">
        <v>210</v>
      </c>
      <c r="BA35" s="1097">
        <f t="shared" si="7"/>
        <v>210</v>
      </c>
      <c r="BB35" s="1098"/>
      <c r="BC35" s="1098"/>
      <c r="BD35" s="1098"/>
      <c r="BE35" s="1098"/>
      <c r="BF35" s="1098"/>
      <c r="BG35" s="1098"/>
      <c r="BH35" s="1098"/>
      <c r="BI35" s="1098"/>
      <c r="BJ35" s="1098"/>
      <c r="BK35" s="1098"/>
      <c r="BL35" s="1098"/>
      <c r="BM35" s="1098">
        <v>190</v>
      </c>
      <c r="BN35" s="1097">
        <f t="shared" si="9"/>
        <v>190</v>
      </c>
      <c r="BO35" s="1098"/>
      <c r="BP35" s="1098"/>
      <c r="BQ35" s="1098"/>
      <c r="BR35" s="1098"/>
      <c r="BS35" s="1098"/>
      <c r="BT35" s="1098"/>
      <c r="BU35" s="1098"/>
      <c r="BV35" s="1098"/>
      <c r="BW35" s="1098"/>
      <c r="BX35" s="1098"/>
      <c r="BY35" s="1098"/>
      <c r="BZ35" s="1098">
        <v>150</v>
      </c>
      <c r="CA35" s="1097">
        <f t="shared" si="11"/>
        <v>150</v>
      </c>
      <c r="CB35" s="1098"/>
      <c r="CC35" s="1098"/>
      <c r="CD35" s="1098"/>
      <c r="CE35" s="1098"/>
      <c r="CF35" s="1098"/>
      <c r="CG35" s="1098"/>
      <c r="CH35" s="1098"/>
      <c r="CI35" s="1098"/>
      <c r="CJ35" s="1098"/>
      <c r="CK35" s="1098"/>
      <c r="CL35" s="1098"/>
      <c r="CM35" s="1098">
        <v>141</v>
      </c>
      <c r="CN35" s="1097">
        <f t="shared" si="13"/>
        <v>141</v>
      </c>
      <c r="CO35" s="1098"/>
      <c r="CP35" s="1098"/>
      <c r="CQ35" s="1098"/>
      <c r="CR35" s="1098"/>
      <c r="CS35" s="1098"/>
      <c r="CT35" s="1098"/>
      <c r="CU35" s="1098"/>
      <c r="CV35" s="1098"/>
      <c r="CW35" s="1098"/>
      <c r="CX35" s="1098"/>
      <c r="CY35" s="1098"/>
      <c r="CZ35" s="1098"/>
      <c r="DA35" s="1097">
        <f t="shared" si="15"/>
        <v>0</v>
      </c>
      <c r="DB35" s="1098"/>
      <c r="DC35" s="1098"/>
      <c r="DD35" s="1098"/>
      <c r="DE35" s="1098"/>
      <c r="DF35" s="1098"/>
      <c r="DG35" s="1098"/>
      <c r="DH35" s="1098"/>
      <c r="DI35" s="1098"/>
      <c r="DJ35" s="1098"/>
      <c r="DK35" s="1098"/>
      <c r="DL35" s="1098"/>
      <c r="DM35" s="1098">
        <v>191</v>
      </c>
      <c r="DN35" s="1097">
        <f t="shared" si="17"/>
        <v>191</v>
      </c>
      <c r="DO35" s="1098"/>
      <c r="DP35" s="1098"/>
      <c r="DQ35" s="1098"/>
      <c r="DR35" s="1098"/>
      <c r="DS35" s="1098"/>
      <c r="DT35" s="1098"/>
      <c r="DU35" s="1098"/>
      <c r="DV35" s="1098"/>
      <c r="DW35" s="1098"/>
      <c r="DX35" s="1098"/>
      <c r="DY35" s="1098"/>
      <c r="DZ35" s="1098"/>
      <c r="EA35" s="1097">
        <f t="shared" si="18"/>
        <v>0</v>
      </c>
      <c r="EB35" s="1098"/>
      <c r="EC35" s="1098"/>
      <c r="ED35" s="1098"/>
      <c r="EE35" s="1098"/>
      <c r="EF35" s="1098"/>
      <c r="EG35" s="1098"/>
      <c r="EH35" s="1098"/>
      <c r="EI35" s="1098"/>
      <c r="EJ35" s="1098"/>
      <c r="EK35" s="1098"/>
      <c r="EL35" s="1098"/>
      <c r="EM35" s="1098">
        <v>180</v>
      </c>
      <c r="EN35" s="1097">
        <f t="shared" si="20"/>
        <v>180</v>
      </c>
      <c r="EO35" s="1098"/>
      <c r="EP35" s="1098"/>
      <c r="EQ35" s="1098"/>
      <c r="ER35" s="1098"/>
      <c r="ES35" s="1098"/>
      <c r="ET35" s="1098"/>
      <c r="EU35" s="1098"/>
      <c r="EV35" s="1098"/>
      <c r="EW35" s="1098"/>
      <c r="EX35" s="1098"/>
      <c r="EY35" s="1098"/>
      <c r="EZ35" s="1098">
        <v>139</v>
      </c>
      <c r="FA35" s="1097">
        <f t="shared" si="21"/>
        <v>139</v>
      </c>
      <c r="FB35" s="1098"/>
      <c r="FC35" s="1098"/>
      <c r="FD35" s="1098"/>
      <c r="FE35" s="1098"/>
      <c r="FF35" s="1098"/>
      <c r="FG35" s="1098"/>
      <c r="FH35" s="1098"/>
      <c r="FI35" s="1098"/>
      <c r="FJ35" s="1098"/>
      <c r="FK35" s="1098"/>
      <c r="FL35" s="1098"/>
      <c r="FM35" s="1098">
        <v>117</v>
      </c>
      <c r="FN35" s="1097">
        <f t="shared" si="23"/>
        <v>117</v>
      </c>
      <c r="FO35" s="1098"/>
      <c r="FP35" s="1098"/>
      <c r="FQ35" s="1098"/>
      <c r="FR35" s="1098"/>
      <c r="FS35" s="1098"/>
      <c r="FT35" s="1098"/>
      <c r="FU35" s="1098"/>
      <c r="FV35" s="1098"/>
      <c r="FW35" s="1098"/>
      <c r="FX35" s="1098"/>
      <c r="FY35" s="1098"/>
      <c r="FZ35" s="1098">
        <v>123</v>
      </c>
      <c r="GA35" s="1097">
        <f t="shared" si="24"/>
        <v>123</v>
      </c>
      <c r="GB35" s="1098"/>
      <c r="GC35" s="1098"/>
      <c r="GD35" s="1098"/>
      <c r="GE35" s="1098"/>
      <c r="GF35" s="1098"/>
      <c r="GG35" s="1098"/>
      <c r="GH35" s="1098"/>
      <c r="GI35" s="1098"/>
      <c r="GJ35" s="1098"/>
      <c r="GK35" s="1098"/>
      <c r="GL35" s="1098"/>
      <c r="GM35" s="1098">
        <v>119</v>
      </c>
      <c r="GN35" s="1097">
        <f t="shared" si="26"/>
        <v>119</v>
      </c>
      <c r="GO35" s="1098"/>
      <c r="GP35" s="1098"/>
      <c r="GQ35" s="1098"/>
      <c r="GR35" s="1098"/>
      <c r="GS35" s="1098"/>
      <c r="GT35" s="1098"/>
      <c r="GU35" s="1098"/>
      <c r="GV35" s="1098"/>
      <c r="GW35" s="1098"/>
      <c r="GX35" s="1098"/>
      <c r="GY35" s="1098"/>
      <c r="GZ35" s="1098">
        <v>82</v>
      </c>
      <c r="HA35" s="1097">
        <f t="shared" si="28"/>
        <v>82</v>
      </c>
      <c r="HB35" s="1098"/>
      <c r="HC35" s="1098"/>
      <c r="HD35" s="1098"/>
      <c r="HE35" s="1098"/>
      <c r="HF35" s="1098"/>
      <c r="HG35" s="1098"/>
      <c r="HH35" s="1098"/>
      <c r="HI35" s="1098"/>
      <c r="HJ35" s="1098"/>
      <c r="HK35" s="1098"/>
      <c r="HL35" s="1098"/>
      <c r="HM35" s="1098"/>
      <c r="HN35" s="1097">
        <f t="shared" si="30"/>
        <v>0</v>
      </c>
      <c r="HO35" s="1098"/>
      <c r="HP35" s="1098"/>
      <c r="HQ35" s="1098"/>
      <c r="HR35" s="1098"/>
      <c r="HS35" s="1098"/>
      <c r="HT35" s="1098"/>
      <c r="HU35" s="1098"/>
      <c r="HV35" s="1098"/>
      <c r="HW35" s="1098"/>
      <c r="HX35" s="1098"/>
      <c r="HY35" s="1098"/>
      <c r="HZ35" s="1098"/>
      <c r="IA35" s="1097">
        <f t="shared" si="32"/>
        <v>0</v>
      </c>
      <c r="IB35" s="1098"/>
      <c r="IC35" s="1098"/>
      <c r="ID35" s="1098"/>
      <c r="IE35" s="1098"/>
      <c r="IF35" s="1098"/>
      <c r="IG35" s="1098"/>
      <c r="IH35" s="1098"/>
      <c r="II35" s="1098"/>
      <c r="IJ35" s="1098"/>
      <c r="IK35" s="1098"/>
      <c r="IL35" s="1098"/>
      <c r="IM35" s="1098">
        <v>140</v>
      </c>
      <c r="IN35" s="1097">
        <f t="shared" si="34"/>
        <v>140</v>
      </c>
      <c r="IO35" s="1098"/>
      <c r="IP35" s="1098"/>
      <c r="IQ35" s="1098"/>
      <c r="IR35" s="1098"/>
      <c r="IS35" s="1098"/>
      <c r="IT35" s="1098"/>
      <c r="IU35" s="1098"/>
      <c r="IV35" s="1098"/>
      <c r="IW35" s="1098"/>
      <c r="IX35" s="1098"/>
      <c r="IY35" s="1098"/>
      <c r="IZ35" s="1098">
        <v>82</v>
      </c>
      <c r="JA35" s="1097">
        <f t="shared" si="35"/>
        <v>82</v>
      </c>
      <c r="JB35" s="1098"/>
      <c r="JC35" s="1098"/>
      <c r="JD35" s="1098"/>
      <c r="JE35" s="1098"/>
      <c r="JF35" s="1098"/>
      <c r="JG35" s="1098"/>
      <c r="JH35" s="1098"/>
      <c r="JI35" s="1098"/>
      <c r="JJ35" s="1098"/>
      <c r="JK35" s="1098"/>
      <c r="JL35" s="1098"/>
      <c r="JM35" s="1098">
        <v>136</v>
      </c>
      <c r="JN35" s="1097">
        <f t="shared" si="36"/>
        <v>136</v>
      </c>
      <c r="JO35" s="1098">
        <v>0</v>
      </c>
      <c r="JP35" s="1098"/>
      <c r="JQ35" s="1098"/>
      <c r="JR35" s="1098"/>
      <c r="JS35" s="1098"/>
      <c r="JT35" s="1098"/>
      <c r="JU35" s="1098"/>
      <c r="JV35" s="1098"/>
      <c r="JW35" s="1098"/>
      <c r="JX35" s="1098"/>
      <c r="JY35" s="1098"/>
      <c r="JZ35" s="1098"/>
      <c r="KA35" s="1097">
        <f t="shared" si="38"/>
        <v>0</v>
      </c>
      <c r="KC35" s="1116" cm="1">
        <f t="array" ref="KC35">IFERROR(((
_xlfn.XLOOKUP((DATE(YEAR($KC$5),MONTH($KC$5),1)),SMN.COSECHA.DATE,$B35:$KA35) /
_xlfn.XLOOKUP((DATE(YEAR($KC$5)-1,MONTH($KC$5),1)),SMN.COSECHA.DATE,$B35:$KA35)
)-1)*100,"")</f>
        <v>65.853658536585357</v>
      </c>
      <c r="KD35" s="1117">
        <f t="shared" si="39"/>
        <v>65.853658536585357</v>
      </c>
      <c r="KE35" s="1079" cm="1">
        <f t="array" ref="KE35">SUMIFS($B35:$KA35,SMN.COSECHA.DATE,"&gt;="&amp;DATE(YEAR($KC$5)-1,1,1),SMN.COSECHA.DATE,"&lt;="&amp;DATE(YEAR($KC$5)-1,MONTH($KC$5),1))</f>
        <v>82</v>
      </c>
      <c r="KF35" s="1118" cm="1">
        <f t="array" ref="KF35">SUMIFS($B35:$KA35,SMN.COSECHA.DATE,"&gt;="&amp;DATE(YEAR($KC$5),1,1),SMN.COSECHA.DATE,"&lt;="&amp;$KC$5)</f>
        <v>136</v>
      </c>
      <c r="KG35" s="62"/>
      <c r="KH35" s="1079">
        <f t="shared" si="40"/>
        <v>4847.5</v>
      </c>
      <c r="KI35" s="1080" t="s">
        <v>571</v>
      </c>
      <c r="KJ35" s="1081" t="str">
        <f t="shared" si="41"/>
        <v>OK</v>
      </c>
    </row>
    <row r="36" spans="1:296" ht="15" customHeight="1" x14ac:dyDescent="0.2">
      <c r="A36" s="1129" t="s">
        <v>136</v>
      </c>
      <c r="B36" s="1098">
        <v>672</v>
      </c>
      <c r="C36" s="1098">
        <v>593</v>
      </c>
      <c r="D36" s="1098">
        <v>354</v>
      </c>
      <c r="E36" s="1098">
        <v>222</v>
      </c>
      <c r="F36" s="1098">
        <v>165</v>
      </c>
      <c r="G36" s="1098">
        <v>456</v>
      </c>
      <c r="H36" s="1098">
        <v>452</v>
      </c>
      <c r="I36" s="1098">
        <v>380</v>
      </c>
      <c r="J36" s="1098">
        <v>380</v>
      </c>
      <c r="K36" s="1098">
        <v>432</v>
      </c>
      <c r="L36" s="1098">
        <v>426</v>
      </c>
      <c r="M36" s="1098">
        <v>462</v>
      </c>
      <c r="N36" s="1097">
        <f t="shared" si="1"/>
        <v>4994</v>
      </c>
      <c r="O36" s="1098">
        <v>654</v>
      </c>
      <c r="P36" s="1098">
        <v>548</v>
      </c>
      <c r="Q36" s="1098">
        <v>703.5</v>
      </c>
      <c r="R36" s="1098">
        <v>551.5</v>
      </c>
      <c r="S36" s="1098">
        <v>356.5</v>
      </c>
      <c r="T36" s="1098">
        <v>282</v>
      </c>
      <c r="U36" s="1098">
        <v>461</v>
      </c>
      <c r="V36" s="1098">
        <v>475</v>
      </c>
      <c r="W36" s="1098">
        <v>459</v>
      </c>
      <c r="X36" s="1098">
        <v>471</v>
      </c>
      <c r="Y36" s="1098">
        <v>476.5</v>
      </c>
      <c r="Z36" s="1098">
        <v>459</v>
      </c>
      <c r="AA36" s="1097">
        <f t="shared" si="3"/>
        <v>5897</v>
      </c>
      <c r="AB36" s="1098">
        <v>450</v>
      </c>
      <c r="AC36" s="1098">
        <v>496</v>
      </c>
      <c r="AD36" s="1098">
        <v>432</v>
      </c>
      <c r="AE36" s="1098">
        <v>432</v>
      </c>
      <c r="AF36" s="1098">
        <v>479</v>
      </c>
      <c r="AG36" s="1098">
        <v>465</v>
      </c>
      <c r="AH36" s="1098">
        <v>404</v>
      </c>
      <c r="AI36" s="1098">
        <v>413</v>
      </c>
      <c r="AJ36" s="1098">
        <v>432</v>
      </c>
      <c r="AK36" s="1098">
        <v>445</v>
      </c>
      <c r="AL36" s="1098">
        <v>390</v>
      </c>
      <c r="AM36" s="1098">
        <v>395</v>
      </c>
      <c r="AN36" s="1097">
        <f t="shared" si="5"/>
        <v>5233</v>
      </c>
      <c r="AO36" s="1098">
        <v>426</v>
      </c>
      <c r="AP36" s="1098">
        <v>389</v>
      </c>
      <c r="AQ36" s="1098">
        <v>427</v>
      </c>
      <c r="AR36" s="1098">
        <v>372</v>
      </c>
      <c r="AS36" s="1098">
        <v>375</v>
      </c>
      <c r="AT36" s="1098">
        <v>398</v>
      </c>
      <c r="AU36" s="1098">
        <v>430</v>
      </c>
      <c r="AV36" s="1098">
        <v>456</v>
      </c>
      <c r="AW36" s="1098">
        <v>427</v>
      </c>
      <c r="AX36" s="1098">
        <v>495</v>
      </c>
      <c r="AY36" s="1098">
        <v>434</v>
      </c>
      <c r="AZ36" s="1098">
        <v>447</v>
      </c>
      <c r="BA36" s="1097">
        <f t="shared" si="7"/>
        <v>5076</v>
      </c>
      <c r="BB36" s="1098">
        <v>427</v>
      </c>
      <c r="BC36" s="1098">
        <v>462</v>
      </c>
      <c r="BD36" s="1098">
        <v>447</v>
      </c>
      <c r="BE36" s="1098">
        <v>432</v>
      </c>
      <c r="BF36" s="1098">
        <v>433</v>
      </c>
      <c r="BG36" s="1098">
        <v>461</v>
      </c>
      <c r="BH36" s="1098">
        <v>425</v>
      </c>
      <c r="BI36" s="1098">
        <v>442</v>
      </c>
      <c r="BJ36" s="1098">
        <v>473</v>
      </c>
      <c r="BK36" s="1098">
        <v>490</v>
      </c>
      <c r="BL36" s="1098">
        <v>443</v>
      </c>
      <c r="BM36" s="1098">
        <v>427</v>
      </c>
      <c r="BN36" s="1097">
        <f t="shared" si="9"/>
        <v>5362</v>
      </c>
      <c r="BO36" s="1098">
        <v>419</v>
      </c>
      <c r="BP36" s="1098">
        <v>418</v>
      </c>
      <c r="BQ36" s="1098">
        <v>432</v>
      </c>
      <c r="BR36" s="1098">
        <v>443</v>
      </c>
      <c r="BS36" s="1098">
        <v>455</v>
      </c>
      <c r="BT36" s="1098">
        <v>522</v>
      </c>
      <c r="BU36" s="1098">
        <v>519</v>
      </c>
      <c r="BV36" s="1098">
        <v>523</v>
      </c>
      <c r="BW36" s="1098">
        <v>560</v>
      </c>
      <c r="BX36" s="1098">
        <v>546</v>
      </c>
      <c r="BY36" s="1098">
        <v>584</v>
      </c>
      <c r="BZ36" s="1098">
        <v>525</v>
      </c>
      <c r="CA36" s="1097">
        <f t="shared" si="11"/>
        <v>5946</v>
      </c>
      <c r="CB36" s="1098">
        <v>474</v>
      </c>
      <c r="CC36" s="1098">
        <v>524</v>
      </c>
      <c r="CD36" s="1098">
        <v>519</v>
      </c>
      <c r="CE36" s="1098">
        <v>526</v>
      </c>
      <c r="CF36" s="1098">
        <v>555</v>
      </c>
      <c r="CG36" s="1098">
        <v>576</v>
      </c>
      <c r="CH36" s="1098">
        <v>609</v>
      </c>
      <c r="CI36" s="1098">
        <v>630</v>
      </c>
      <c r="CJ36" s="1098">
        <v>673</v>
      </c>
      <c r="CK36" s="1098">
        <v>583</v>
      </c>
      <c r="CL36" s="1098">
        <v>623</v>
      </c>
      <c r="CM36" s="1098">
        <v>527</v>
      </c>
      <c r="CN36" s="1097">
        <f t="shared" si="13"/>
        <v>6819</v>
      </c>
      <c r="CO36" s="1098">
        <v>559</v>
      </c>
      <c r="CP36" s="1098">
        <v>547</v>
      </c>
      <c r="CQ36" s="1098">
        <v>561</v>
      </c>
      <c r="CR36" s="1098">
        <v>585</v>
      </c>
      <c r="CS36" s="1098">
        <v>604</v>
      </c>
      <c r="CT36" s="1098">
        <v>620</v>
      </c>
      <c r="CU36" s="1098">
        <v>582</v>
      </c>
      <c r="CV36" s="1098">
        <v>627</v>
      </c>
      <c r="CW36" s="1098">
        <v>667</v>
      </c>
      <c r="CX36" s="1098">
        <v>635</v>
      </c>
      <c r="CY36" s="1098">
        <v>690</v>
      </c>
      <c r="CZ36" s="1098">
        <v>550</v>
      </c>
      <c r="DA36" s="1097">
        <f t="shared" si="15"/>
        <v>7227</v>
      </c>
      <c r="DB36" s="1098">
        <v>571</v>
      </c>
      <c r="DC36" s="1098">
        <v>592</v>
      </c>
      <c r="DD36" s="1098">
        <v>546</v>
      </c>
      <c r="DE36" s="1098">
        <v>606</v>
      </c>
      <c r="DF36" s="1098">
        <v>614</v>
      </c>
      <c r="DG36" s="1098">
        <v>653</v>
      </c>
      <c r="DH36" s="1098">
        <v>690</v>
      </c>
      <c r="DI36" s="1098">
        <v>603</v>
      </c>
      <c r="DJ36" s="1098">
        <v>609</v>
      </c>
      <c r="DK36" s="1098">
        <v>617</v>
      </c>
      <c r="DL36" s="1098">
        <v>632</v>
      </c>
      <c r="DM36" s="1098">
        <v>574</v>
      </c>
      <c r="DN36" s="1097">
        <f t="shared" si="17"/>
        <v>7307</v>
      </c>
      <c r="DO36" s="1098"/>
      <c r="DP36" s="1098"/>
      <c r="DQ36" s="1098"/>
      <c r="DR36" s="1098"/>
      <c r="DS36" s="1098"/>
      <c r="DT36" s="1098"/>
      <c r="DU36" s="1098"/>
      <c r="DV36" s="1098"/>
      <c r="DW36" s="1098"/>
      <c r="DX36" s="1098"/>
      <c r="DY36" s="1098"/>
      <c r="DZ36" s="1098"/>
      <c r="EA36" s="1097">
        <f t="shared" si="18"/>
        <v>0</v>
      </c>
      <c r="EB36" s="1098">
        <v>522</v>
      </c>
      <c r="EC36" s="1098">
        <v>533</v>
      </c>
      <c r="ED36" s="1098">
        <v>483</v>
      </c>
      <c r="EE36" s="1098">
        <v>568</v>
      </c>
      <c r="EF36" s="1098">
        <v>538</v>
      </c>
      <c r="EG36" s="1098">
        <v>544</v>
      </c>
      <c r="EH36" s="1098">
        <v>579</v>
      </c>
      <c r="EI36" s="1098">
        <v>518</v>
      </c>
      <c r="EJ36" s="1098">
        <v>574</v>
      </c>
      <c r="EK36" s="1098">
        <v>531</v>
      </c>
      <c r="EL36" s="1098">
        <v>671</v>
      </c>
      <c r="EM36" s="1098">
        <v>540</v>
      </c>
      <c r="EN36" s="1097">
        <f t="shared" si="20"/>
        <v>6601</v>
      </c>
      <c r="EO36" s="1098">
        <v>505</v>
      </c>
      <c r="EP36" s="1098">
        <v>533</v>
      </c>
      <c r="EQ36" s="1098">
        <v>498</v>
      </c>
      <c r="ER36" s="1098">
        <v>516</v>
      </c>
      <c r="ES36" s="1098">
        <v>556</v>
      </c>
      <c r="ET36" s="1098">
        <v>530</v>
      </c>
      <c r="EU36" s="1098">
        <v>539</v>
      </c>
      <c r="EV36" s="1098">
        <v>495</v>
      </c>
      <c r="EW36" s="1098">
        <v>601</v>
      </c>
      <c r="EX36" s="1098">
        <v>508</v>
      </c>
      <c r="EY36" s="1098">
        <v>574</v>
      </c>
      <c r="EZ36" s="1098">
        <v>478</v>
      </c>
      <c r="FA36" s="1097">
        <f t="shared" si="21"/>
        <v>6333</v>
      </c>
      <c r="FB36" s="1098">
        <v>481</v>
      </c>
      <c r="FC36" s="1098">
        <v>502</v>
      </c>
      <c r="FD36" s="1098">
        <v>442</v>
      </c>
      <c r="FE36" s="1098">
        <v>493</v>
      </c>
      <c r="FF36" s="1098">
        <v>573</v>
      </c>
      <c r="FG36" s="1098">
        <v>505</v>
      </c>
      <c r="FH36" s="1098">
        <v>401</v>
      </c>
      <c r="FI36" s="1098">
        <v>446</v>
      </c>
      <c r="FJ36" s="1098">
        <v>559</v>
      </c>
      <c r="FK36" s="1098">
        <v>469</v>
      </c>
      <c r="FL36" s="1098">
        <v>542</v>
      </c>
      <c r="FM36" s="1098">
        <v>475</v>
      </c>
      <c r="FN36" s="1097">
        <f t="shared" si="23"/>
        <v>5888</v>
      </c>
      <c r="FO36" s="1098">
        <v>449</v>
      </c>
      <c r="FP36" s="1098">
        <v>466</v>
      </c>
      <c r="FQ36" s="1098">
        <v>438</v>
      </c>
      <c r="FR36" s="1098">
        <v>485</v>
      </c>
      <c r="FS36" s="1098">
        <v>574</v>
      </c>
      <c r="FT36" s="1098">
        <v>483</v>
      </c>
      <c r="FU36" s="1098">
        <v>415</v>
      </c>
      <c r="FV36" s="1098">
        <v>511</v>
      </c>
      <c r="FW36" s="1098">
        <v>458</v>
      </c>
      <c r="FX36" s="1098">
        <v>425</v>
      </c>
      <c r="FY36" s="1098">
        <v>433</v>
      </c>
      <c r="FZ36" s="1098">
        <v>454</v>
      </c>
      <c r="GA36" s="1097">
        <f t="shared" si="24"/>
        <v>5591</v>
      </c>
      <c r="GB36" s="1098">
        <v>404</v>
      </c>
      <c r="GC36" s="1098">
        <v>509</v>
      </c>
      <c r="GD36" s="1098">
        <v>476</v>
      </c>
      <c r="GE36" s="1098">
        <v>477</v>
      </c>
      <c r="GF36" s="1098">
        <v>486</v>
      </c>
      <c r="GG36" s="1098">
        <v>497</v>
      </c>
      <c r="GH36" s="1098">
        <v>439</v>
      </c>
      <c r="GI36" s="1098">
        <v>430</v>
      </c>
      <c r="GJ36" s="1098">
        <v>426</v>
      </c>
      <c r="GK36" s="1098">
        <v>433</v>
      </c>
      <c r="GL36" s="1098">
        <v>488</v>
      </c>
      <c r="GM36" s="1098">
        <v>457</v>
      </c>
      <c r="GN36" s="1097">
        <f t="shared" si="26"/>
        <v>5522</v>
      </c>
      <c r="GO36" s="1098">
        <v>486</v>
      </c>
      <c r="GP36" s="1098">
        <v>559</v>
      </c>
      <c r="GQ36" s="1098">
        <v>667</v>
      </c>
      <c r="GR36" s="1098">
        <v>457</v>
      </c>
      <c r="GS36" s="1098">
        <v>650</v>
      </c>
      <c r="GT36" s="1098">
        <v>446</v>
      </c>
      <c r="GU36" s="1098">
        <v>409</v>
      </c>
      <c r="GV36" s="1098">
        <v>376</v>
      </c>
      <c r="GW36" s="1098">
        <v>416</v>
      </c>
      <c r="GX36" s="1098">
        <v>421</v>
      </c>
      <c r="GY36" s="1098">
        <v>635</v>
      </c>
      <c r="GZ36" s="1098">
        <v>566</v>
      </c>
      <c r="HA36" s="1097">
        <f t="shared" si="28"/>
        <v>6088</v>
      </c>
      <c r="HB36" s="1098">
        <v>455</v>
      </c>
      <c r="HC36" s="1098">
        <v>604</v>
      </c>
      <c r="HD36" s="1098">
        <v>533</v>
      </c>
      <c r="HE36" s="1098">
        <v>592.5</v>
      </c>
      <c r="HF36" s="1098">
        <v>548.5</v>
      </c>
      <c r="HG36" s="1098">
        <v>508</v>
      </c>
      <c r="HH36" s="1098">
        <v>485.5</v>
      </c>
      <c r="HI36" s="1098">
        <v>500.5</v>
      </c>
      <c r="HJ36" s="1098">
        <v>464</v>
      </c>
      <c r="HK36" s="1098">
        <v>533</v>
      </c>
      <c r="HL36" s="1098">
        <v>695</v>
      </c>
      <c r="HM36" s="1098">
        <v>594</v>
      </c>
      <c r="HN36" s="1097">
        <f t="shared" si="30"/>
        <v>6513</v>
      </c>
      <c r="HO36" s="1098">
        <v>525.5</v>
      </c>
      <c r="HP36" s="1098">
        <v>483</v>
      </c>
      <c r="HQ36" s="1098">
        <v>592</v>
      </c>
      <c r="HR36" s="1098">
        <v>555</v>
      </c>
      <c r="HS36" s="1098">
        <v>552</v>
      </c>
      <c r="HT36" s="1098">
        <v>502.5</v>
      </c>
      <c r="HU36" s="1098">
        <v>477.5</v>
      </c>
      <c r="HV36" s="1098">
        <v>387</v>
      </c>
      <c r="HW36" s="1098">
        <v>463</v>
      </c>
      <c r="HX36" s="1098">
        <v>534</v>
      </c>
      <c r="HY36" s="1098">
        <v>675</v>
      </c>
      <c r="HZ36" s="1098">
        <v>484</v>
      </c>
      <c r="IA36" s="1097">
        <f t="shared" si="32"/>
        <v>6230.5</v>
      </c>
      <c r="IB36" s="1098">
        <v>581</v>
      </c>
      <c r="IC36" s="1098">
        <v>661</v>
      </c>
      <c r="ID36" s="1098">
        <v>853.5</v>
      </c>
      <c r="IE36" s="1098">
        <v>649</v>
      </c>
      <c r="IF36" s="1098">
        <v>698.1</v>
      </c>
      <c r="IG36" s="1098">
        <v>562</v>
      </c>
      <c r="IH36" s="1098">
        <v>578</v>
      </c>
      <c r="II36" s="1098">
        <v>712</v>
      </c>
      <c r="IJ36" s="1098">
        <v>720</v>
      </c>
      <c r="IK36" s="1098">
        <v>579.5</v>
      </c>
      <c r="IL36" s="1098">
        <v>717</v>
      </c>
      <c r="IM36" s="1098">
        <v>595.5</v>
      </c>
      <c r="IN36" s="1097">
        <f t="shared" si="34"/>
        <v>7906.6</v>
      </c>
      <c r="IO36" s="1098">
        <v>546.5</v>
      </c>
      <c r="IP36" s="1098">
        <v>544.79999999999995</v>
      </c>
      <c r="IQ36" s="1098">
        <v>639.79999999999995</v>
      </c>
      <c r="IR36" s="1098">
        <v>544.5</v>
      </c>
      <c r="IS36" s="1098">
        <v>541</v>
      </c>
      <c r="IT36" s="1098">
        <v>521.1</v>
      </c>
      <c r="IU36" s="1098">
        <v>595.29999999999995</v>
      </c>
      <c r="IV36" s="1098">
        <v>571</v>
      </c>
      <c r="IW36" s="1098">
        <v>555</v>
      </c>
      <c r="IX36" s="1098">
        <v>455.5</v>
      </c>
      <c r="IY36" s="1098">
        <v>507.8</v>
      </c>
      <c r="IZ36" s="1098">
        <v>125</v>
      </c>
      <c r="JA36" s="1097">
        <f t="shared" si="35"/>
        <v>6147.3</v>
      </c>
      <c r="JB36" s="1098">
        <v>374.8</v>
      </c>
      <c r="JC36" s="1098">
        <v>237</v>
      </c>
      <c r="JD36" s="1098">
        <v>266</v>
      </c>
      <c r="JE36" s="1098">
        <v>546.5</v>
      </c>
      <c r="JF36" s="1098">
        <v>332.8</v>
      </c>
      <c r="JG36" s="1098">
        <v>543.6</v>
      </c>
      <c r="JH36" s="1098">
        <v>546</v>
      </c>
      <c r="JI36" s="1098">
        <v>607</v>
      </c>
      <c r="JJ36" s="1098">
        <v>606</v>
      </c>
      <c r="JK36" s="1098">
        <v>596</v>
      </c>
      <c r="JL36" s="1098">
        <v>536.5</v>
      </c>
      <c r="JM36" s="1098">
        <v>486</v>
      </c>
      <c r="JN36" s="1097">
        <f t="shared" si="36"/>
        <v>5678.2</v>
      </c>
      <c r="JO36" s="1098">
        <v>514</v>
      </c>
      <c r="JP36" s="1098"/>
      <c r="JQ36" s="1098"/>
      <c r="JR36" s="1098"/>
      <c r="JS36" s="1098"/>
      <c r="JT36" s="1098"/>
      <c r="JU36" s="1098"/>
      <c r="JV36" s="1098"/>
      <c r="JW36" s="1098"/>
      <c r="JX36" s="1098"/>
      <c r="JY36" s="1098"/>
      <c r="JZ36" s="1098"/>
      <c r="KA36" s="1097">
        <f t="shared" si="38"/>
        <v>514</v>
      </c>
      <c r="KC36" s="1116" cm="1">
        <f t="array" ref="KC36">IFERROR(((
_xlfn.XLOOKUP((DATE(YEAR($KC$5),MONTH($KC$5),1)),SMN.COSECHA.DATE,$B36:$KA36) /
_xlfn.XLOOKUP((DATE(YEAR($KC$5)-1,MONTH($KC$5),1)),SMN.COSECHA.DATE,$B36:$KA36)
)-1)*100,"")</f>
        <v>288.8</v>
      </c>
      <c r="KD36" s="1117">
        <f t="shared" si="39"/>
        <v>-7.6309924682380963</v>
      </c>
      <c r="KE36" s="1079" cm="1">
        <f t="array" ref="KE36">SUMIFS($B36:$KA36,SMN.COSECHA.DATE,"&gt;="&amp;DATE(YEAR($KC$5)-1,1,1),SMN.COSECHA.DATE,"&lt;="&amp;DATE(YEAR($KC$5)-1,MONTH($KC$5),1))</f>
        <v>6147.3</v>
      </c>
      <c r="KF36" s="1118" cm="1">
        <f t="array" ref="KF36">SUMIFS($B36:$KA36,SMN.COSECHA.DATE,"&gt;="&amp;DATE(YEAR($KC$5),1,1),SMN.COSECHA.DATE,"&lt;="&amp;$KC$5)</f>
        <v>5678.2</v>
      </c>
      <c r="KG36" s="62"/>
      <c r="KH36" s="1079">
        <f t="shared" si="40"/>
        <v>235759.19999999995</v>
      </c>
      <c r="KI36" s="1080" t="s">
        <v>136</v>
      </c>
      <c r="KJ36" s="1081" t="str">
        <f t="shared" si="41"/>
        <v>OK</v>
      </c>
    </row>
    <row r="37" spans="1:296" ht="15" customHeight="1" x14ac:dyDescent="0.2">
      <c r="A37" s="1144" t="s">
        <v>150</v>
      </c>
      <c r="B37" s="1135"/>
      <c r="C37" s="1135"/>
      <c r="D37" s="1135"/>
      <c r="E37" s="1135"/>
      <c r="F37" s="1135">
        <v>33</v>
      </c>
      <c r="G37" s="1135">
        <v>40</v>
      </c>
      <c r="H37" s="1135">
        <v>40</v>
      </c>
      <c r="I37" s="1135">
        <v>40</v>
      </c>
      <c r="J37" s="1135">
        <v>40</v>
      </c>
      <c r="K37" s="1135"/>
      <c r="L37" s="1135">
        <v>40</v>
      </c>
      <c r="M37" s="1135"/>
      <c r="N37" s="1136">
        <f t="shared" si="1"/>
        <v>233</v>
      </c>
      <c r="O37" s="1135">
        <v>38</v>
      </c>
      <c r="P37" s="1135">
        <v>8</v>
      </c>
      <c r="Q37" s="1135">
        <v>6</v>
      </c>
      <c r="R37" s="1135"/>
      <c r="S37" s="1135">
        <v>4</v>
      </c>
      <c r="T37" s="1135">
        <v>6</v>
      </c>
      <c r="U37" s="1135">
        <v>4</v>
      </c>
      <c r="V37" s="1135">
        <v>6</v>
      </c>
      <c r="W37" s="1135"/>
      <c r="X37" s="1135">
        <v>5</v>
      </c>
      <c r="Y37" s="1135"/>
      <c r="Z37" s="1135">
        <v>4</v>
      </c>
      <c r="AA37" s="1136">
        <f t="shared" si="3"/>
        <v>81</v>
      </c>
      <c r="AB37" s="1135">
        <v>5</v>
      </c>
      <c r="AC37" s="1135">
        <v>6</v>
      </c>
      <c r="AD37" s="1135">
        <v>1</v>
      </c>
      <c r="AE37" s="1135">
        <v>3</v>
      </c>
      <c r="AF37" s="1135">
        <v>5</v>
      </c>
      <c r="AG37" s="1135">
        <v>5</v>
      </c>
      <c r="AH37" s="1135">
        <v>5</v>
      </c>
      <c r="AI37" s="1135">
        <v>4</v>
      </c>
      <c r="AJ37" s="1135">
        <v>8</v>
      </c>
      <c r="AK37" s="1135"/>
      <c r="AL37" s="1135"/>
      <c r="AM37" s="1135"/>
      <c r="AN37" s="1136">
        <f t="shared" si="5"/>
        <v>42</v>
      </c>
      <c r="AO37" s="1135"/>
      <c r="AP37" s="1135">
        <v>16</v>
      </c>
      <c r="AQ37" s="1135">
        <v>16</v>
      </c>
      <c r="AR37" s="1135">
        <v>10</v>
      </c>
      <c r="AS37" s="1135">
        <v>4</v>
      </c>
      <c r="AT37" s="1135">
        <v>16</v>
      </c>
      <c r="AU37" s="1135"/>
      <c r="AV37" s="1135"/>
      <c r="AW37" s="1135">
        <v>25</v>
      </c>
      <c r="AX37" s="1135"/>
      <c r="AY37" s="1135"/>
      <c r="AZ37" s="1135">
        <v>10</v>
      </c>
      <c r="BA37" s="1136">
        <f t="shared" si="7"/>
        <v>97</v>
      </c>
      <c r="BB37" s="1135">
        <v>20</v>
      </c>
      <c r="BC37" s="1135"/>
      <c r="BD37" s="1135">
        <v>20</v>
      </c>
      <c r="BE37" s="1135"/>
      <c r="BF37" s="1135">
        <v>5</v>
      </c>
      <c r="BG37" s="1135"/>
      <c r="BH37" s="1135"/>
      <c r="BI37" s="1135"/>
      <c r="BJ37" s="1135"/>
      <c r="BK37" s="1135"/>
      <c r="BL37" s="1135"/>
      <c r="BM37" s="1135"/>
      <c r="BN37" s="1136">
        <f t="shared" si="9"/>
        <v>45</v>
      </c>
      <c r="BO37" s="1135"/>
      <c r="BP37" s="1135">
        <v>6</v>
      </c>
      <c r="BQ37" s="1135">
        <v>5</v>
      </c>
      <c r="BR37" s="1135">
        <v>16</v>
      </c>
      <c r="BS37" s="1135">
        <v>18</v>
      </c>
      <c r="BT37" s="1135">
        <v>24</v>
      </c>
      <c r="BU37" s="1135"/>
      <c r="BV37" s="1135"/>
      <c r="BW37" s="1135">
        <v>10</v>
      </c>
      <c r="BX37" s="1135"/>
      <c r="BY37" s="1135"/>
      <c r="BZ37" s="1135">
        <v>10</v>
      </c>
      <c r="CA37" s="1136">
        <f t="shared" si="11"/>
        <v>89</v>
      </c>
      <c r="CB37" s="1135">
        <v>11</v>
      </c>
      <c r="CC37" s="1135">
        <v>10</v>
      </c>
      <c r="CD37" s="1135"/>
      <c r="CE37" s="1135">
        <v>6</v>
      </c>
      <c r="CF37" s="1135">
        <v>11</v>
      </c>
      <c r="CG37" s="1135">
        <v>5</v>
      </c>
      <c r="CH37" s="1135">
        <v>5</v>
      </c>
      <c r="CI37" s="1135">
        <v>5</v>
      </c>
      <c r="CJ37" s="1135">
        <v>5</v>
      </c>
      <c r="CK37" s="1135">
        <v>5</v>
      </c>
      <c r="CL37" s="1135">
        <v>5</v>
      </c>
      <c r="CM37" s="1135">
        <v>10</v>
      </c>
      <c r="CN37" s="1136">
        <f t="shared" si="13"/>
        <v>78</v>
      </c>
      <c r="CO37" s="1135">
        <v>10</v>
      </c>
      <c r="CP37" s="1135">
        <v>13</v>
      </c>
      <c r="CQ37" s="1135"/>
      <c r="CR37" s="1135"/>
      <c r="CS37" s="1135"/>
      <c r="CT37" s="1135"/>
      <c r="CU37" s="1135"/>
      <c r="CV37" s="1135"/>
      <c r="CW37" s="1135">
        <v>4</v>
      </c>
      <c r="CX37" s="1135">
        <v>6</v>
      </c>
      <c r="CY37" s="1135"/>
      <c r="CZ37" s="1135">
        <v>7</v>
      </c>
      <c r="DA37" s="1136">
        <f t="shared" si="15"/>
        <v>40</v>
      </c>
      <c r="DB37" s="1135">
        <v>5</v>
      </c>
      <c r="DC37" s="1135">
        <v>5</v>
      </c>
      <c r="DD37" s="1135"/>
      <c r="DE37" s="1135"/>
      <c r="DF37" s="1135"/>
      <c r="DG37" s="1135"/>
      <c r="DH37" s="1135"/>
      <c r="DI37" s="1135"/>
      <c r="DJ37" s="1135"/>
      <c r="DK37" s="1135">
        <v>10</v>
      </c>
      <c r="DL37" s="1135">
        <v>20</v>
      </c>
      <c r="DM37" s="1135">
        <v>10</v>
      </c>
      <c r="DN37" s="1136">
        <f t="shared" si="17"/>
        <v>50</v>
      </c>
      <c r="DO37" s="1135"/>
      <c r="DP37" s="1135"/>
      <c r="DQ37" s="1135"/>
      <c r="DR37" s="1135"/>
      <c r="DS37" s="1135"/>
      <c r="DT37" s="1135"/>
      <c r="DU37" s="1135"/>
      <c r="DV37" s="1135"/>
      <c r="DW37" s="1135"/>
      <c r="DX37" s="1135"/>
      <c r="DY37" s="1135"/>
      <c r="DZ37" s="1135"/>
      <c r="EA37" s="1136">
        <f t="shared" si="18"/>
        <v>0</v>
      </c>
      <c r="EB37" s="1135">
        <v>7</v>
      </c>
      <c r="EC37" s="1135">
        <v>8</v>
      </c>
      <c r="ED37" s="1135">
        <v>9</v>
      </c>
      <c r="EE37" s="1135">
        <v>6</v>
      </c>
      <c r="EF37" s="1135">
        <v>8</v>
      </c>
      <c r="EG37" s="1135">
        <v>7</v>
      </c>
      <c r="EH37" s="1135"/>
      <c r="EI37" s="1135"/>
      <c r="EJ37" s="1135">
        <v>15</v>
      </c>
      <c r="EK37" s="1135">
        <v>7</v>
      </c>
      <c r="EL37" s="1135">
        <v>8</v>
      </c>
      <c r="EM37" s="1135"/>
      <c r="EN37" s="1136">
        <f t="shared" si="20"/>
        <v>75</v>
      </c>
      <c r="EO37" s="1135"/>
      <c r="EP37" s="1135">
        <v>15</v>
      </c>
      <c r="EQ37" s="1135"/>
      <c r="ER37" s="1135">
        <v>15</v>
      </c>
      <c r="ES37" s="1135"/>
      <c r="ET37" s="1135">
        <v>30</v>
      </c>
      <c r="EU37" s="1135"/>
      <c r="EV37" s="1135"/>
      <c r="EW37" s="1135">
        <v>15</v>
      </c>
      <c r="EX37" s="1135"/>
      <c r="EY37" s="1135">
        <v>15</v>
      </c>
      <c r="EZ37" s="1135"/>
      <c r="FA37" s="1136">
        <f t="shared" si="21"/>
        <v>90</v>
      </c>
      <c r="FB37" s="1135">
        <v>15</v>
      </c>
      <c r="FC37" s="1135"/>
      <c r="FD37" s="1135">
        <v>16</v>
      </c>
      <c r="FE37" s="1135"/>
      <c r="FF37" s="1135">
        <v>15</v>
      </c>
      <c r="FG37" s="1135"/>
      <c r="FH37" s="1135">
        <v>15</v>
      </c>
      <c r="FI37" s="1135"/>
      <c r="FJ37" s="1135">
        <v>15</v>
      </c>
      <c r="FK37" s="1135"/>
      <c r="FL37" s="1135">
        <v>15</v>
      </c>
      <c r="FM37" s="1135"/>
      <c r="FN37" s="1136">
        <f t="shared" si="23"/>
        <v>91</v>
      </c>
      <c r="FO37" s="1135">
        <v>15</v>
      </c>
      <c r="FP37" s="1135"/>
      <c r="FQ37" s="1135">
        <v>15</v>
      </c>
      <c r="FR37" s="1135"/>
      <c r="FS37" s="1135">
        <v>15</v>
      </c>
      <c r="FT37" s="1135"/>
      <c r="FU37" s="1135">
        <v>10</v>
      </c>
      <c r="FV37" s="1135"/>
      <c r="FW37" s="1135">
        <v>15</v>
      </c>
      <c r="FX37" s="1135"/>
      <c r="FY37" s="1135"/>
      <c r="FZ37" s="1135">
        <v>15</v>
      </c>
      <c r="GA37" s="1136">
        <f t="shared" si="24"/>
        <v>85</v>
      </c>
      <c r="GB37" s="1135">
        <v>15</v>
      </c>
      <c r="GC37" s="1135"/>
      <c r="GD37" s="1135">
        <v>15</v>
      </c>
      <c r="GE37" s="1135"/>
      <c r="GF37" s="1135">
        <v>15</v>
      </c>
      <c r="GG37" s="1135"/>
      <c r="GH37" s="1135">
        <v>15</v>
      </c>
      <c r="GI37" s="1135"/>
      <c r="GJ37" s="1135">
        <v>15</v>
      </c>
      <c r="GK37" s="1135"/>
      <c r="GL37" s="1135"/>
      <c r="GM37" s="1135">
        <v>15</v>
      </c>
      <c r="GN37" s="1136">
        <f t="shared" si="26"/>
        <v>90</v>
      </c>
      <c r="GO37" s="1135"/>
      <c r="GP37" s="1135"/>
      <c r="GQ37" s="1135">
        <v>15</v>
      </c>
      <c r="GR37" s="1135"/>
      <c r="GS37" s="1135">
        <v>15</v>
      </c>
      <c r="GT37" s="1135"/>
      <c r="GU37" s="1135">
        <v>15</v>
      </c>
      <c r="GV37" s="1135"/>
      <c r="GW37" s="1135">
        <v>15</v>
      </c>
      <c r="GX37" s="1135"/>
      <c r="GY37" s="1135">
        <v>15</v>
      </c>
      <c r="GZ37" s="1135"/>
      <c r="HA37" s="1136">
        <f t="shared" si="28"/>
        <v>75</v>
      </c>
      <c r="HB37" s="1135">
        <v>15</v>
      </c>
      <c r="HC37" s="1135"/>
      <c r="HD37" s="1135">
        <v>15</v>
      </c>
      <c r="HE37" s="1135"/>
      <c r="HF37" s="1135">
        <v>15</v>
      </c>
      <c r="HG37" s="1135"/>
      <c r="HH37" s="1135">
        <v>15</v>
      </c>
      <c r="HI37" s="1135"/>
      <c r="HJ37" s="1135">
        <v>15</v>
      </c>
      <c r="HK37" s="1135"/>
      <c r="HL37" s="1135">
        <v>15</v>
      </c>
      <c r="HM37" s="1135"/>
      <c r="HN37" s="1136">
        <f t="shared" si="30"/>
        <v>90</v>
      </c>
      <c r="HO37" s="1135"/>
      <c r="HP37" s="1135"/>
      <c r="HQ37" s="1135">
        <v>15</v>
      </c>
      <c r="HR37" s="1135"/>
      <c r="HS37" s="1135">
        <v>15</v>
      </c>
      <c r="HT37" s="1135"/>
      <c r="HU37" s="1135">
        <v>15</v>
      </c>
      <c r="HV37" s="1135"/>
      <c r="HW37" s="1135">
        <v>15</v>
      </c>
      <c r="HX37" s="1135"/>
      <c r="HY37" s="1135"/>
      <c r="HZ37" s="1135"/>
      <c r="IA37" s="1136">
        <f t="shared" si="32"/>
        <v>60</v>
      </c>
      <c r="IB37" s="1135">
        <v>15</v>
      </c>
      <c r="IC37" s="1135">
        <v>15</v>
      </c>
      <c r="ID37" s="1135">
        <v>15</v>
      </c>
      <c r="IE37" s="1135">
        <v>15</v>
      </c>
      <c r="IF37" s="1135">
        <v>15</v>
      </c>
      <c r="IG37" s="1135">
        <v>15</v>
      </c>
      <c r="IH37" s="1135">
        <v>15</v>
      </c>
      <c r="II37" s="1135">
        <v>14.5</v>
      </c>
      <c r="IJ37" s="1135">
        <v>14.5</v>
      </c>
      <c r="IK37" s="1135">
        <v>14.1</v>
      </c>
      <c r="IL37" s="1135">
        <v>15</v>
      </c>
      <c r="IM37" s="1135">
        <v>15</v>
      </c>
      <c r="IN37" s="1136">
        <f t="shared" si="34"/>
        <v>178.1</v>
      </c>
      <c r="IO37" s="1135">
        <v>15</v>
      </c>
      <c r="IP37" s="1135">
        <v>16</v>
      </c>
      <c r="IQ37" s="1135">
        <v>15</v>
      </c>
      <c r="IR37" s="1135">
        <v>15</v>
      </c>
      <c r="IS37" s="1135">
        <v>15</v>
      </c>
      <c r="IT37" s="1135">
        <v>15</v>
      </c>
      <c r="IU37" s="1135">
        <v>15</v>
      </c>
      <c r="IV37" s="1135">
        <v>15</v>
      </c>
      <c r="IW37" s="1135">
        <v>15</v>
      </c>
      <c r="IX37" s="1135">
        <v>15</v>
      </c>
      <c r="IY37" s="1135">
        <v>15</v>
      </c>
      <c r="IZ37" s="1135">
        <v>15</v>
      </c>
      <c r="JA37" s="1136">
        <f t="shared" si="35"/>
        <v>181</v>
      </c>
      <c r="JB37" s="1135">
        <v>35</v>
      </c>
      <c r="JC37" s="1135">
        <v>35</v>
      </c>
      <c r="JD37" s="1135">
        <v>35</v>
      </c>
      <c r="JE37" s="1135">
        <v>35</v>
      </c>
      <c r="JF37" s="1135">
        <v>35</v>
      </c>
      <c r="JG37" s="1135">
        <v>35</v>
      </c>
      <c r="JH37" s="1135">
        <v>35</v>
      </c>
      <c r="JI37" s="1135">
        <v>35</v>
      </c>
      <c r="JJ37" s="1135">
        <v>35</v>
      </c>
      <c r="JK37" s="1135">
        <v>35</v>
      </c>
      <c r="JL37" s="1135">
        <v>35</v>
      </c>
      <c r="JM37" s="1135">
        <v>35</v>
      </c>
      <c r="JN37" s="1136">
        <f t="shared" si="36"/>
        <v>420</v>
      </c>
      <c r="JO37" s="1135">
        <v>35</v>
      </c>
      <c r="JP37" s="1135"/>
      <c r="JQ37" s="1135"/>
      <c r="JR37" s="1135"/>
      <c r="JS37" s="1135"/>
      <c r="JT37" s="1135"/>
      <c r="JU37" s="1135"/>
      <c r="JV37" s="1135"/>
      <c r="JW37" s="1135"/>
      <c r="JX37" s="1135"/>
      <c r="JY37" s="1135"/>
      <c r="JZ37" s="1135"/>
      <c r="KA37" s="1136">
        <f t="shared" si="38"/>
        <v>35</v>
      </c>
      <c r="KC37" s="1137" cm="1">
        <f t="array" ref="KC37">IFERROR(((
_xlfn.XLOOKUP((DATE(YEAR($KC$5),MONTH($KC$5),1)),SMN.COSECHA.DATE,$B37:$KA37) /
_xlfn.XLOOKUP((DATE(YEAR($KC$5)-1,MONTH($KC$5),1)),SMN.COSECHA.DATE,$B37:$KA37)
)-1)*100,"")</f>
        <v>133.33333333333334</v>
      </c>
      <c r="KD37" s="1138">
        <f t="shared" si="39"/>
        <v>132.04419889502762</v>
      </c>
      <c r="KE37" s="1139" cm="1">
        <f t="array" ref="KE37">SUMIFS($B37:$KA37,SMN.COSECHA.DATE,"&gt;="&amp;DATE(YEAR($KC$5)-1,1,1),SMN.COSECHA.DATE,"&lt;="&amp;DATE(YEAR($KC$5)-1,MONTH($KC$5),1))</f>
        <v>181</v>
      </c>
      <c r="KF37" s="1140" cm="1">
        <f t="array" ref="KF37">SUMIFS($B37:$KA37,SMN.COSECHA.DATE,"&gt;="&amp;DATE(YEAR($KC$5),1,1),SMN.COSECHA.DATE,"&lt;="&amp;$KC$5)</f>
        <v>420</v>
      </c>
      <c r="KG37" s="1041"/>
      <c r="KH37" s="1139">
        <f t="shared" si="40"/>
        <v>3984.2</v>
      </c>
      <c r="KI37" s="1146" t="s">
        <v>572</v>
      </c>
      <c r="KJ37" s="1147" t="str">
        <f t="shared" si="41"/>
        <v>VER</v>
      </c>
    </row>
    <row r="38" spans="1:296" ht="15" customHeight="1" x14ac:dyDescent="0.2">
      <c r="A38" s="1269"/>
      <c r="B38" s="1135"/>
      <c r="C38" s="1135"/>
      <c r="D38" s="1135"/>
      <c r="E38" s="1135"/>
      <c r="F38" s="1135"/>
      <c r="G38" s="1135"/>
      <c r="H38" s="1135"/>
      <c r="I38" s="1135"/>
      <c r="J38" s="1135"/>
      <c r="K38" s="1135"/>
      <c r="L38" s="1135"/>
      <c r="M38" s="1135"/>
      <c r="N38" s="1136"/>
      <c r="O38" s="1135"/>
      <c r="P38" s="1135"/>
      <c r="Q38" s="1135"/>
      <c r="R38" s="1135"/>
      <c r="S38" s="1135"/>
      <c r="T38" s="1135"/>
      <c r="U38" s="1135"/>
      <c r="V38" s="1135"/>
      <c r="W38" s="1135"/>
      <c r="X38" s="1135"/>
      <c r="Y38" s="1135"/>
      <c r="Z38" s="1135"/>
      <c r="AA38" s="1136"/>
      <c r="AB38" s="1135"/>
      <c r="AC38" s="1135"/>
      <c r="AD38" s="1135"/>
      <c r="AE38" s="1135"/>
      <c r="AF38" s="1135"/>
      <c r="AG38" s="1135"/>
      <c r="AH38" s="1135"/>
      <c r="AI38" s="1135"/>
      <c r="AJ38" s="1135"/>
      <c r="AK38" s="1135"/>
      <c r="AL38" s="1135"/>
      <c r="AM38" s="1135"/>
      <c r="AN38" s="1136"/>
      <c r="AO38" s="1135"/>
      <c r="AP38" s="1135"/>
      <c r="AQ38" s="1135"/>
      <c r="AR38" s="1135"/>
      <c r="AS38" s="1135"/>
      <c r="AT38" s="1135"/>
      <c r="AU38" s="1135"/>
      <c r="AV38" s="1135"/>
      <c r="AW38" s="1135"/>
      <c r="AX38" s="1135"/>
      <c r="AY38" s="1135"/>
      <c r="AZ38" s="1135"/>
      <c r="BA38" s="1136"/>
      <c r="BB38" s="1135"/>
      <c r="BC38" s="1135"/>
      <c r="BD38" s="1135"/>
      <c r="BE38" s="1135"/>
      <c r="BF38" s="1135"/>
      <c r="BG38" s="1135"/>
      <c r="BH38" s="1135"/>
      <c r="BI38" s="1135"/>
      <c r="BJ38" s="1135"/>
      <c r="BK38" s="1135"/>
      <c r="BL38" s="1135"/>
      <c r="BM38" s="1135"/>
      <c r="BN38" s="1136"/>
      <c r="BO38" s="1135"/>
      <c r="BP38" s="1135"/>
      <c r="BQ38" s="1135"/>
      <c r="BR38" s="1135"/>
      <c r="BS38" s="1135"/>
      <c r="BT38" s="1135"/>
      <c r="BU38" s="1135"/>
      <c r="BV38" s="1135"/>
      <c r="BW38" s="1135"/>
      <c r="BX38" s="1135"/>
      <c r="BY38" s="1135"/>
      <c r="BZ38" s="1135"/>
      <c r="CA38" s="1136"/>
      <c r="CB38" s="1135"/>
      <c r="CC38" s="1135"/>
      <c r="CD38" s="1135"/>
      <c r="CE38" s="1135"/>
      <c r="CF38" s="1135"/>
      <c r="CG38" s="1135"/>
      <c r="CH38" s="1135"/>
      <c r="CI38" s="1135"/>
      <c r="CJ38" s="1135"/>
      <c r="CK38" s="1135"/>
      <c r="CL38" s="1135"/>
      <c r="CM38" s="1135"/>
      <c r="CN38" s="1136"/>
      <c r="CO38" s="1135"/>
      <c r="CP38" s="1135"/>
      <c r="CQ38" s="1135"/>
      <c r="CR38" s="1135"/>
      <c r="CS38" s="1135"/>
      <c r="CT38" s="1135"/>
      <c r="CU38" s="1135"/>
      <c r="CV38" s="1135"/>
      <c r="CW38" s="1135"/>
      <c r="CX38" s="1135"/>
      <c r="CY38" s="1135"/>
      <c r="CZ38" s="1135"/>
      <c r="DA38" s="1136"/>
      <c r="DB38" s="1135"/>
      <c r="DC38" s="1135"/>
      <c r="DD38" s="1135"/>
      <c r="DE38" s="1135"/>
      <c r="DF38" s="1135"/>
      <c r="DG38" s="1135"/>
      <c r="DH38" s="1135"/>
      <c r="DI38" s="1135"/>
      <c r="DJ38" s="1135"/>
      <c r="DK38" s="1135"/>
      <c r="DL38" s="1135"/>
      <c r="DM38" s="1135"/>
      <c r="DN38" s="1136"/>
      <c r="DO38" s="1135"/>
      <c r="DP38" s="1135"/>
      <c r="DQ38" s="1135"/>
      <c r="DR38" s="1135"/>
      <c r="DS38" s="1135"/>
      <c r="DT38" s="1135"/>
      <c r="DU38" s="1135"/>
      <c r="DV38" s="1135"/>
      <c r="DW38" s="1135"/>
      <c r="DX38" s="1135"/>
      <c r="DY38" s="1135"/>
      <c r="DZ38" s="1135"/>
      <c r="EA38" s="1136"/>
      <c r="EB38" s="1135"/>
      <c r="EC38" s="1135"/>
      <c r="ED38" s="1135"/>
      <c r="EE38" s="1135"/>
      <c r="EF38" s="1135"/>
      <c r="EG38" s="1135"/>
      <c r="EH38" s="1135"/>
      <c r="EI38" s="1135"/>
      <c r="EJ38" s="1135"/>
      <c r="EK38" s="1135"/>
      <c r="EL38" s="1135"/>
      <c r="EM38" s="1135"/>
      <c r="EN38" s="1136"/>
      <c r="EO38" s="1135"/>
      <c r="EP38" s="1135"/>
      <c r="EQ38" s="1135"/>
      <c r="ER38" s="1135"/>
      <c r="ES38" s="1135"/>
      <c r="ET38" s="1135"/>
      <c r="EU38" s="1135"/>
      <c r="EV38" s="1135"/>
      <c r="EW38" s="1135"/>
      <c r="EX38" s="1135"/>
      <c r="EY38" s="1135"/>
      <c r="EZ38" s="1135"/>
      <c r="FA38" s="1136"/>
      <c r="FB38" s="1135"/>
      <c r="FC38" s="1135"/>
      <c r="FD38" s="1135"/>
      <c r="FE38" s="1135"/>
      <c r="FF38" s="1135"/>
      <c r="FG38" s="1135"/>
      <c r="FH38" s="1135"/>
      <c r="FI38" s="1135"/>
      <c r="FJ38" s="1135"/>
      <c r="FK38" s="1135"/>
      <c r="FL38" s="1135"/>
      <c r="FM38" s="1135"/>
      <c r="FN38" s="1136"/>
      <c r="FO38" s="1135"/>
      <c r="FP38" s="1135"/>
      <c r="FQ38" s="1135"/>
      <c r="FR38" s="1135"/>
      <c r="FS38" s="1135"/>
      <c r="FT38" s="1135"/>
      <c r="FU38" s="1135"/>
      <c r="FV38" s="1135"/>
      <c r="FW38" s="1135"/>
      <c r="FX38" s="1135"/>
      <c r="FY38" s="1135"/>
      <c r="FZ38" s="1135"/>
      <c r="GA38" s="1136"/>
      <c r="GB38" s="1135"/>
      <c r="GC38" s="1135"/>
      <c r="GD38" s="1135"/>
      <c r="GE38" s="1135"/>
      <c r="GF38" s="1135"/>
      <c r="GG38" s="1135"/>
      <c r="GH38" s="1135"/>
      <c r="GI38" s="1135"/>
      <c r="GJ38" s="1135"/>
      <c r="GK38" s="1135"/>
      <c r="GL38" s="1135"/>
      <c r="GM38" s="1135"/>
      <c r="GN38" s="1136"/>
      <c r="GO38" s="1135"/>
      <c r="GP38" s="1135"/>
      <c r="GQ38" s="1135"/>
      <c r="GR38" s="1135"/>
      <c r="GS38" s="1135"/>
      <c r="GT38" s="1135"/>
      <c r="GU38" s="1135"/>
      <c r="GV38" s="1135"/>
      <c r="GW38" s="1135"/>
      <c r="GX38" s="1135"/>
      <c r="GY38" s="1135"/>
      <c r="GZ38" s="1135"/>
      <c r="HA38" s="1136"/>
      <c r="HB38" s="1135"/>
      <c r="HC38" s="1135"/>
      <c r="HD38" s="1135"/>
      <c r="HE38" s="1135"/>
      <c r="HF38" s="1135"/>
      <c r="HG38" s="1135"/>
      <c r="HH38" s="1135"/>
      <c r="HI38" s="1135"/>
      <c r="HJ38" s="1135"/>
      <c r="HK38" s="1135"/>
      <c r="HL38" s="1135"/>
      <c r="HM38" s="1135"/>
      <c r="HN38" s="1136"/>
      <c r="HO38" s="1135"/>
      <c r="HP38" s="1135"/>
      <c r="HQ38" s="1135"/>
      <c r="HR38" s="1135"/>
      <c r="HS38" s="1135"/>
      <c r="HT38" s="1135"/>
      <c r="HU38" s="1135"/>
      <c r="HV38" s="1135"/>
      <c r="HW38" s="1135"/>
      <c r="HX38" s="1135"/>
      <c r="HY38" s="1135"/>
      <c r="HZ38" s="1135"/>
      <c r="IA38" s="1136"/>
      <c r="IB38" s="1135"/>
      <c r="IC38" s="1135"/>
      <c r="ID38" s="1135"/>
      <c r="IE38" s="1135"/>
      <c r="IF38" s="1135"/>
      <c r="IG38" s="1135"/>
      <c r="IH38" s="1135"/>
      <c r="II38" s="1135"/>
      <c r="IJ38" s="1135"/>
      <c r="IK38" s="1135"/>
      <c r="IL38" s="1135"/>
      <c r="IM38" s="1135"/>
      <c r="IN38" s="1136"/>
      <c r="IO38" s="1135"/>
      <c r="IP38" s="1135"/>
      <c r="IQ38" s="1135"/>
      <c r="IR38" s="1135"/>
      <c r="IS38" s="1135"/>
      <c r="IT38" s="1135"/>
      <c r="IU38" s="1135"/>
      <c r="IV38" s="1135"/>
      <c r="IW38" s="1135"/>
      <c r="IX38" s="1135"/>
      <c r="IY38" s="1135"/>
      <c r="IZ38" s="1135"/>
      <c r="JA38" s="1136"/>
      <c r="JB38" s="1135"/>
      <c r="JC38" s="1135"/>
      <c r="JD38" s="1135"/>
      <c r="JE38" s="1135"/>
      <c r="JF38" s="1135"/>
      <c r="JG38" s="1135"/>
      <c r="JH38" s="1135"/>
      <c r="JI38" s="1135"/>
      <c r="JJ38" s="1135"/>
      <c r="JK38" s="1135"/>
      <c r="JL38" s="1135"/>
      <c r="JM38" s="1135"/>
      <c r="JN38" s="1136"/>
      <c r="JO38" s="1135"/>
      <c r="JP38" s="1135"/>
      <c r="JQ38" s="1135"/>
      <c r="JR38" s="1135"/>
      <c r="JS38" s="1135"/>
      <c r="JT38" s="1135"/>
      <c r="JU38" s="1135"/>
      <c r="JV38" s="1135"/>
      <c r="JW38" s="1135"/>
      <c r="JX38" s="1135"/>
      <c r="JY38" s="1135"/>
      <c r="JZ38" s="1135"/>
      <c r="KA38" s="1136"/>
      <c r="KC38" s="1137"/>
      <c r="KD38" s="1138"/>
      <c r="KE38" s="1139"/>
      <c r="KF38" s="1140"/>
      <c r="KG38" s="1041"/>
      <c r="KH38" s="1139"/>
      <c r="KI38" s="1146"/>
      <c r="KJ38" s="1147"/>
    </row>
    <row r="39" spans="1:296" ht="15" customHeight="1" x14ac:dyDescent="0.2">
      <c r="A39" s="1132" t="s">
        <v>151</v>
      </c>
      <c r="B39" s="1099" cm="1">
        <f t="array" ref="B39">SUMPRODUCT(('06.XLS'!$A$7:$A$45=$A39)*('06.XLS'!$B$5:$KA$5=B$5)*('06.XLS'!$B$7:$KA$45))</f>
        <v>5</v>
      </c>
      <c r="C39" s="1099" cm="1">
        <f t="array" ref="C39">SUMPRODUCT(('06.XLS'!$A$7:$A$45=$A39)*('06.XLS'!$B$5:$KA$5=C$5)*('06.XLS'!$B$7:$KA$45))</f>
        <v>2</v>
      </c>
      <c r="D39" s="1099" cm="1">
        <f t="array" ref="D39">SUMPRODUCT(('06.XLS'!$A$7:$A$45=$A39)*('06.XLS'!$B$5:$KA$5=D$5)*('06.XLS'!$B$7:$KA$45))</f>
        <v>6</v>
      </c>
      <c r="E39" s="1099" cm="1">
        <f t="array" ref="E39">SUMPRODUCT(('06.XLS'!$A$7:$A$45=$A39)*('06.XLS'!$B$5:$KA$5=E$5)*('06.XLS'!$B$7:$KA$45))</f>
        <v>11</v>
      </c>
      <c r="F39" s="1099" cm="1">
        <f t="array" ref="F39">SUMPRODUCT(('06.XLS'!$A$7:$A$45=$A39)*('06.XLS'!$B$5:$KA$5=F$5)*('06.XLS'!$B$7:$KA$45))</f>
        <v>24</v>
      </c>
      <c r="G39" s="1099" cm="1">
        <f t="array" ref="G39">SUMPRODUCT(('06.XLS'!$A$7:$A$45=$A39)*('06.XLS'!$B$5:$KA$5=G$5)*('06.XLS'!$B$7:$KA$45))</f>
        <v>5</v>
      </c>
      <c r="H39" s="1099" cm="1">
        <f t="array" ref="H39">SUMPRODUCT(('06.XLS'!$A$7:$A$45=$A39)*('06.XLS'!$B$5:$KA$5=H$5)*('06.XLS'!$B$7:$KA$45))</f>
        <v>6</v>
      </c>
      <c r="I39" s="1099" cm="1">
        <f t="array" ref="I39">SUMPRODUCT(('06.XLS'!$A$7:$A$45=$A39)*('06.XLS'!$B$5:$KA$5=I$5)*('06.XLS'!$B$7:$KA$45))</f>
        <v>4</v>
      </c>
      <c r="J39" s="1099" cm="1">
        <f t="array" ref="J39">SUMPRODUCT(('06.XLS'!$A$7:$A$45=$A39)*('06.XLS'!$B$5:$KA$5=J$5)*('06.XLS'!$B$7:$KA$45))</f>
        <v>8.5</v>
      </c>
      <c r="K39" s="1099" cm="1">
        <f t="array" ref="K39">SUMPRODUCT(('06.XLS'!$A$7:$A$45=$A39)*('06.XLS'!$B$5:$KA$5=K$5)*('06.XLS'!$B$7:$KA$45))</f>
        <v>6</v>
      </c>
      <c r="L39" s="1099" cm="1">
        <f t="array" ref="L39">SUMPRODUCT(('06.XLS'!$A$7:$A$45=$A39)*('06.XLS'!$B$5:$KA$5=L$5)*('06.XLS'!$B$7:$KA$45))</f>
        <v>1</v>
      </c>
      <c r="M39" s="1099" cm="1">
        <f t="array" ref="M39">SUMPRODUCT(('06.XLS'!$A$7:$A$45=$A39)*('06.XLS'!$B$5:$KA$5=M$5)*('06.XLS'!$B$7:$KA$45))</f>
        <v>3087</v>
      </c>
      <c r="N39" s="1100">
        <f t="shared" si="1"/>
        <v>3165.5</v>
      </c>
      <c r="O39" s="1099" cm="1">
        <f t="array" ref="O39">SUMPRODUCT(('06.XLS'!$A$7:$A$45=$A39)*('06.XLS'!$B$5:$KA$5=O$5)*('06.XLS'!$B$7:$KA$45))</f>
        <v>8</v>
      </c>
      <c r="P39" s="1099" cm="1">
        <f t="array" ref="P39">SUMPRODUCT(('06.XLS'!$A$7:$A$45=$A39)*('06.XLS'!$B$5:$KA$5=P$5)*('06.XLS'!$B$7:$KA$45))</f>
        <v>5</v>
      </c>
      <c r="Q39" s="1099" cm="1">
        <f t="array" ref="Q39">SUMPRODUCT(('06.XLS'!$A$7:$A$45=$A39)*('06.XLS'!$B$5:$KA$5=Q$5)*('06.XLS'!$B$7:$KA$45))</f>
        <v>5</v>
      </c>
      <c r="R39" s="1099" cm="1">
        <f t="array" ref="R39">SUMPRODUCT(('06.XLS'!$A$7:$A$45=$A39)*('06.XLS'!$B$5:$KA$5=R$5)*('06.XLS'!$B$7:$KA$45))</f>
        <v>4</v>
      </c>
      <c r="S39" s="1099" cm="1">
        <f t="array" ref="S39">SUMPRODUCT(('06.XLS'!$A$7:$A$45=$A39)*('06.XLS'!$B$5:$KA$5=S$5)*('06.XLS'!$B$7:$KA$45))</f>
        <v>19</v>
      </c>
      <c r="T39" s="1099" cm="1">
        <f t="array" ref="T39">SUMPRODUCT(('06.XLS'!$A$7:$A$45=$A39)*('06.XLS'!$B$5:$KA$5=T$5)*('06.XLS'!$B$7:$KA$45))</f>
        <v>10</v>
      </c>
      <c r="U39" s="1099" cm="1">
        <f t="array" ref="U39">SUMPRODUCT(('06.XLS'!$A$7:$A$45=$A39)*('06.XLS'!$B$5:$KA$5=U$5)*('06.XLS'!$B$7:$KA$45))</f>
        <v>15</v>
      </c>
      <c r="V39" s="1099" cm="1">
        <f t="array" ref="V39">SUMPRODUCT(('06.XLS'!$A$7:$A$45=$A39)*('06.XLS'!$B$5:$KA$5=V$5)*('06.XLS'!$B$7:$KA$45))</f>
        <v>6</v>
      </c>
      <c r="W39" s="1099" cm="1">
        <f t="array" ref="W39">SUMPRODUCT(('06.XLS'!$A$7:$A$45=$A39)*('06.XLS'!$B$5:$KA$5=W$5)*('06.XLS'!$B$7:$KA$45))</f>
        <v>9</v>
      </c>
      <c r="X39" s="1099" cm="1">
        <f t="array" ref="X39">SUMPRODUCT(('06.XLS'!$A$7:$A$45=$A39)*('06.XLS'!$B$5:$KA$5=X$5)*('06.XLS'!$B$7:$KA$45))</f>
        <v>5</v>
      </c>
      <c r="Y39" s="1099" cm="1">
        <f t="array" ref="Y39">SUMPRODUCT(('06.XLS'!$A$7:$A$45=$A39)*('06.XLS'!$B$5:$KA$5=Y$5)*('06.XLS'!$B$7:$KA$45))</f>
        <v>10</v>
      </c>
      <c r="Z39" s="1099" cm="1">
        <f t="array" ref="Z39">SUMPRODUCT(('06.XLS'!$A$7:$A$45=$A39)*('06.XLS'!$B$5:$KA$5=Z$5)*('06.XLS'!$B$7:$KA$45))</f>
        <v>4202</v>
      </c>
      <c r="AA39" s="1100">
        <f t="shared" si="3"/>
        <v>4298</v>
      </c>
      <c r="AB39" s="1099" cm="1">
        <f t="array" ref="AB39">SUMPRODUCT(('06.XLS'!$A$7:$A$45=$A39)*('06.XLS'!$B$5:$KA$5=AB$5)*('06.XLS'!$B$7:$KA$45))</f>
        <v>3</v>
      </c>
      <c r="AC39" s="1099" cm="1">
        <f t="array" ref="AC39">SUMPRODUCT(('06.XLS'!$A$7:$A$45=$A39)*('06.XLS'!$B$5:$KA$5=AC$5)*('06.XLS'!$B$7:$KA$45))</f>
        <v>3</v>
      </c>
      <c r="AD39" s="1099" cm="1">
        <f t="array" ref="AD39">SUMPRODUCT(('06.XLS'!$A$7:$A$45=$A39)*('06.XLS'!$B$5:$KA$5=AD$5)*('06.XLS'!$B$7:$KA$45))</f>
        <v>7</v>
      </c>
      <c r="AE39" s="1099" cm="1">
        <f t="array" ref="AE39">SUMPRODUCT(('06.XLS'!$A$7:$A$45=$A39)*('06.XLS'!$B$5:$KA$5=AE$5)*('06.XLS'!$B$7:$KA$45))</f>
        <v>17</v>
      </c>
      <c r="AF39" s="1099" cm="1">
        <f t="array" ref="AF39">SUMPRODUCT(('06.XLS'!$A$7:$A$45=$A39)*('06.XLS'!$B$5:$KA$5=AF$5)*('06.XLS'!$B$7:$KA$45))</f>
        <v>3</v>
      </c>
      <c r="AG39" s="1099" cm="1">
        <f t="array" ref="AG39">SUMPRODUCT(('06.XLS'!$A$7:$A$45=$A39)*('06.XLS'!$B$5:$KA$5=AG$5)*('06.XLS'!$B$7:$KA$45))</f>
        <v>6</v>
      </c>
      <c r="AH39" s="1099" cm="1">
        <f t="array" ref="AH39">SUMPRODUCT(('06.XLS'!$A$7:$A$45=$A39)*('06.XLS'!$B$5:$KA$5=AH$5)*('06.XLS'!$B$7:$KA$45))</f>
        <v>11</v>
      </c>
      <c r="AI39" s="1099" cm="1">
        <f t="array" ref="AI39">SUMPRODUCT(('06.XLS'!$A$7:$A$45=$A39)*('06.XLS'!$B$5:$KA$5=AI$5)*('06.XLS'!$B$7:$KA$45))</f>
        <v>8</v>
      </c>
      <c r="AJ39" s="1099" cm="1">
        <f t="array" ref="AJ39">SUMPRODUCT(('06.XLS'!$A$7:$A$45=$A39)*('06.XLS'!$B$5:$KA$5=AJ$5)*('06.XLS'!$B$7:$KA$45))</f>
        <v>9</v>
      </c>
      <c r="AK39" s="1099" cm="1">
        <f t="array" ref="AK39">SUMPRODUCT(('06.XLS'!$A$7:$A$45=$A39)*('06.XLS'!$B$5:$KA$5=AK$5)*('06.XLS'!$B$7:$KA$45))</f>
        <v>7</v>
      </c>
      <c r="AL39" s="1099" cm="1">
        <f t="array" ref="AL39">SUMPRODUCT(('06.XLS'!$A$7:$A$45=$A39)*('06.XLS'!$B$5:$KA$5=AL$5)*('06.XLS'!$B$7:$KA$45))</f>
        <v>3</v>
      </c>
      <c r="AM39" s="1099" cm="1">
        <f t="array" ref="AM39">SUMPRODUCT(('06.XLS'!$A$7:$A$45=$A39)*('06.XLS'!$B$5:$KA$5=AM$5)*('06.XLS'!$B$7:$KA$45))</f>
        <v>5848</v>
      </c>
      <c r="AN39" s="1100">
        <f t="shared" si="5"/>
        <v>5925</v>
      </c>
      <c r="AO39" s="1099" cm="1">
        <f t="array" ref="AO39">SUMPRODUCT(('06.XLS'!$A$7:$A$45=$A39)*('06.XLS'!$B$5:$KA$5=AO$5)*('06.XLS'!$B$7:$KA$45))</f>
        <v>7</v>
      </c>
      <c r="AP39" s="1099" cm="1">
        <f t="array" ref="AP39">SUMPRODUCT(('06.XLS'!$A$7:$A$45=$A39)*('06.XLS'!$B$5:$KA$5=AP$5)*('06.XLS'!$B$7:$KA$45))</f>
        <v>11</v>
      </c>
      <c r="AQ39" s="1099" cm="1">
        <f t="array" ref="AQ39">SUMPRODUCT(('06.XLS'!$A$7:$A$45=$A39)*('06.XLS'!$B$5:$KA$5=AQ$5)*('06.XLS'!$B$7:$KA$45))</f>
        <v>12</v>
      </c>
      <c r="AR39" s="1099" cm="1">
        <f t="array" ref="AR39">SUMPRODUCT(('06.XLS'!$A$7:$A$45=$A39)*('06.XLS'!$B$5:$KA$5=AR$5)*('06.XLS'!$B$7:$KA$45))</f>
        <v>22</v>
      </c>
      <c r="AS39" s="1099" cm="1">
        <f t="array" ref="AS39">SUMPRODUCT(('06.XLS'!$A$7:$A$45=$A39)*('06.XLS'!$B$5:$KA$5=AS$5)*('06.XLS'!$B$7:$KA$45))</f>
        <v>15</v>
      </c>
      <c r="AT39" s="1099" cm="1">
        <f t="array" ref="AT39">SUMPRODUCT(('06.XLS'!$A$7:$A$45=$A39)*('06.XLS'!$B$5:$KA$5=AT$5)*('06.XLS'!$B$7:$KA$45))</f>
        <v>8</v>
      </c>
      <c r="AU39" s="1099" cm="1">
        <f t="array" ref="AU39">SUMPRODUCT(('06.XLS'!$A$7:$A$45=$A39)*('06.XLS'!$B$5:$KA$5=AU$5)*('06.XLS'!$B$7:$KA$45))</f>
        <v>15</v>
      </c>
      <c r="AV39" s="1099" cm="1">
        <f t="array" ref="AV39">SUMPRODUCT(('06.XLS'!$A$7:$A$45=$A39)*('06.XLS'!$B$5:$KA$5=AV$5)*('06.XLS'!$B$7:$KA$45))</f>
        <v>20</v>
      </c>
      <c r="AW39" s="1099" cm="1">
        <f t="array" ref="AW39">SUMPRODUCT(('06.XLS'!$A$7:$A$45=$A39)*('06.XLS'!$B$5:$KA$5=AW$5)*('06.XLS'!$B$7:$KA$45))</f>
        <v>22</v>
      </c>
      <c r="AX39" s="1099" cm="1">
        <f t="array" ref="AX39">SUMPRODUCT(('06.XLS'!$A$7:$A$45=$A39)*('06.XLS'!$B$5:$KA$5=AX$5)*('06.XLS'!$B$7:$KA$45))</f>
        <v>12</v>
      </c>
      <c r="AY39" s="1099" cm="1">
        <f t="array" ref="AY39">SUMPRODUCT(('06.XLS'!$A$7:$A$45=$A39)*('06.XLS'!$B$5:$KA$5=AY$5)*('06.XLS'!$B$7:$KA$45))</f>
        <v>14</v>
      </c>
      <c r="AZ39" s="1099" cm="1">
        <f t="array" ref="AZ39">SUMPRODUCT(('06.XLS'!$A$7:$A$45=$A39)*('06.XLS'!$B$5:$KA$5=AZ$5)*('06.XLS'!$B$7:$KA$45))</f>
        <v>6016</v>
      </c>
      <c r="BA39" s="1100">
        <f t="shared" si="7"/>
        <v>6174</v>
      </c>
      <c r="BB39" s="1099" cm="1">
        <f t="array" ref="BB39">SUMPRODUCT(('06.XLS'!$A$7:$A$45=$A39)*('06.XLS'!$B$5:$KA$5=BB$5)*('06.XLS'!$B$7:$KA$45))</f>
        <v>12</v>
      </c>
      <c r="BC39" s="1099" cm="1">
        <f t="array" ref="BC39">SUMPRODUCT(('06.XLS'!$A$7:$A$45=$A39)*('06.XLS'!$B$5:$KA$5=BC$5)*('06.XLS'!$B$7:$KA$45))</f>
        <v>14</v>
      </c>
      <c r="BD39" s="1099" cm="1">
        <f t="array" ref="BD39">SUMPRODUCT(('06.XLS'!$A$7:$A$45=$A39)*('06.XLS'!$B$5:$KA$5=BD$5)*('06.XLS'!$B$7:$KA$45))</f>
        <v>11</v>
      </c>
      <c r="BE39" s="1099" cm="1">
        <f t="array" ref="BE39">SUMPRODUCT(('06.XLS'!$A$7:$A$45=$A39)*('06.XLS'!$B$5:$KA$5=BE$5)*('06.XLS'!$B$7:$KA$45))</f>
        <v>16</v>
      </c>
      <c r="BF39" s="1099" cm="1">
        <f t="array" ref="BF39">SUMPRODUCT(('06.XLS'!$A$7:$A$45=$A39)*('06.XLS'!$B$5:$KA$5=BF$5)*('06.XLS'!$B$7:$KA$45))</f>
        <v>19</v>
      </c>
      <c r="BG39" s="1099" cm="1">
        <f t="array" ref="BG39">SUMPRODUCT(('06.XLS'!$A$7:$A$45=$A39)*('06.XLS'!$B$5:$KA$5=BG$5)*('06.XLS'!$B$7:$KA$45))</f>
        <v>14</v>
      </c>
      <c r="BH39" s="1099" cm="1">
        <f t="array" ref="BH39">SUMPRODUCT(('06.XLS'!$A$7:$A$45=$A39)*('06.XLS'!$B$5:$KA$5=BH$5)*('06.XLS'!$B$7:$KA$45))</f>
        <v>20</v>
      </c>
      <c r="BI39" s="1099" cm="1">
        <f t="array" ref="BI39">SUMPRODUCT(('06.XLS'!$A$7:$A$45=$A39)*('06.XLS'!$B$5:$KA$5=BI$5)*('06.XLS'!$B$7:$KA$45))</f>
        <v>11</v>
      </c>
      <c r="BJ39" s="1099" cm="1">
        <f t="array" ref="BJ39">SUMPRODUCT(('06.XLS'!$A$7:$A$45=$A39)*('06.XLS'!$B$5:$KA$5=BJ$5)*('06.XLS'!$B$7:$KA$45))</f>
        <v>13</v>
      </c>
      <c r="BK39" s="1099" cm="1">
        <f t="array" ref="BK39">SUMPRODUCT(('06.XLS'!$A$7:$A$45=$A39)*('06.XLS'!$B$5:$KA$5=BK$5)*('06.XLS'!$B$7:$KA$45))</f>
        <v>14</v>
      </c>
      <c r="BL39" s="1099" cm="1">
        <f t="array" ref="BL39">SUMPRODUCT(('06.XLS'!$A$7:$A$45=$A39)*('06.XLS'!$B$5:$KA$5=BL$5)*('06.XLS'!$B$7:$KA$45))</f>
        <v>14</v>
      </c>
      <c r="BM39" s="1099" cm="1">
        <f t="array" ref="BM39">SUMPRODUCT(('06.XLS'!$A$7:$A$45=$A39)*('06.XLS'!$B$5:$KA$5=BM$5)*('06.XLS'!$B$7:$KA$45))</f>
        <v>90473</v>
      </c>
      <c r="BN39" s="1100">
        <f t="shared" si="9"/>
        <v>90631</v>
      </c>
      <c r="BO39" s="1099" cm="1">
        <f t="array" ref="BO39">SUMPRODUCT(('06.XLS'!$A$7:$A$45=$A39)*('06.XLS'!$B$5:$KA$5=BO$5)*('06.XLS'!$B$7:$KA$45))</f>
        <v>15</v>
      </c>
      <c r="BP39" s="1099" cm="1">
        <f t="array" ref="BP39">SUMPRODUCT(('06.XLS'!$A$7:$A$45=$A39)*('06.XLS'!$B$5:$KA$5=BP$5)*('06.XLS'!$B$7:$KA$45))</f>
        <v>8</v>
      </c>
      <c r="BQ39" s="1099" cm="1">
        <f t="array" ref="BQ39">SUMPRODUCT(('06.XLS'!$A$7:$A$45=$A39)*('06.XLS'!$B$5:$KA$5=BQ$5)*('06.XLS'!$B$7:$KA$45))</f>
        <v>8</v>
      </c>
      <c r="BR39" s="1099" cm="1">
        <f t="array" ref="BR39">SUMPRODUCT(('06.XLS'!$A$7:$A$45=$A39)*('06.XLS'!$B$5:$KA$5=BR$5)*('06.XLS'!$B$7:$KA$45))</f>
        <v>5</v>
      </c>
      <c r="BS39" s="1099" cm="1">
        <f t="array" ref="BS39">SUMPRODUCT(('06.XLS'!$A$7:$A$45=$A39)*('06.XLS'!$B$5:$KA$5=BS$5)*('06.XLS'!$B$7:$KA$45))</f>
        <v>13</v>
      </c>
      <c r="BT39" s="1099" cm="1">
        <f t="array" ref="BT39">SUMPRODUCT(('06.XLS'!$A$7:$A$45=$A39)*('06.XLS'!$B$5:$KA$5=BT$5)*('06.XLS'!$B$7:$KA$45))</f>
        <v>12</v>
      </c>
      <c r="BU39" s="1099" cm="1">
        <f t="array" ref="BU39">SUMPRODUCT(('06.XLS'!$A$7:$A$45=$A39)*('06.XLS'!$B$5:$KA$5=BU$5)*('06.XLS'!$B$7:$KA$45))</f>
        <v>8</v>
      </c>
      <c r="BV39" s="1099" cm="1">
        <f t="array" ref="BV39">SUMPRODUCT(('06.XLS'!$A$7:$A$45=$A39)*('06.XLS'!$B$5:$KA$5=BV$5)*('06.XLS'!$B$7:$KA$45))</f>
        <v>9</v>
      </c>
      <c r="BW39" s="1099" cm="1">
        <f t="array" ref="BW39">SUMPRODUCT(('06.XLS'!$A$7:$A$45=$A39)*('06.XLS'!$B$5:$KA$5=BW$5)*('06.XLS'!$B$7:$KA$45))</f>
        <v>7</v>
      </c>
      <c r="BX39" s="1099" cm="1">
        <f t="array" ref="BX39">SUMPRODUCT(('06.XLS'!$A$7:$A$45=$A39)*('06.XLS'!$B$5:$KA$5=BX$5)*('06.XLS'!$B$7:$KA$45))</f>
        <v>7</v>
      </c>
      <c r="BY39" s="1099" cm="1">
        <f t="array" ref="BY39">SUMPRODUCT(('06.XLS'!$A$7:$A$45=$A39)*('06.XLS'!$B$5:$KA$5=BY$5)*('06.XLS'!$B$7:$KA$45))</f>
        <v>3</v>
      </c>
      <c r="BZ39" s="1099" cm="1">
        <f t="array" ref="BZ39">SUMPRODUCT(('06.XLS'!$A$7:$A$45=$A39)*('06.XLS'!$B$5:$KA$5=BZ$5)*('06.XLS'!$B$7:$KA$45))</f>
        <v>6318</v>
      </c>
      <c r="CA39" s="1100">
        <f t="shared" si="11"/>
        <v>6413</v>
      </c>
      <c r="CB39" s="1099" cm="1">
        <f t="array" ref="CB39">SUMPRODUCT(('06.XLS'!$A$7:$A$45=$A39)*('06.XLS'!$B$5:$KA$5=CB$5)*('06.XLS'!$B$7:$KA$45))</f>
        <v>8</v>
      </c>
      <c r="CC39" s="1099" cm="1">
        <f t="array" ref="CC39">SUMPRODUCT(('06.XLS'!$A$7:$A$45=$A39)*('06.XLS'!$B$5:$KA$5=CC$5)*('06.XLS'!$B$7:$KA$45))</f>
        <v>6</v>
      </c>
      <c r="CD39" s="1099" cm="1">
        <f t="array" ref="CD39">SUMPRODUCT(('06.XLS'!$A$7:$A$45=$A39)*('06.XLS'!$B$5:$KA$5=CD$5)*('06.XLS'!$B$7:$KA$45))</f>
        <v>7</v>
      </c>
      <c r="CE39" s="1099" cm="1">
        <f t="array" ref="CE39">SUMPRODUCT(('06.XLS'!$A$7:$A$45=$A39)*('06.XLS'!$B$5:$KA$5=CE$5)*('06.XLS'!$B$7:$KA$45))</f>
        <v>7</v>
      </c>
      <c r="CF39" s="1099" cm="1">
        <f t="array" ref="CF39">SUMPRODUCT(('06.XLS'!$A$7:$A$45=$A39)*('06.XLS'!$B$5:$KA$5=CF$5)*('06.XLS'!$B$7:$KA$45))</f>
        <v>6</v>
      </c>
      <c r="CG39" s="1099" cm="1">
        <f t="array" ref="CG39">SUMPRODUCT(('06.XLS'!$A$7:$A$45=$A39)*('06.XLS'!$B$5:$KA$5=CG$5)*('06.XLS'!$B$7:$KA$45))</f>
        <v>7</v>
      </c>
      <c r="CH39" s="1099" cm="1">
        <f t="array" ref="CH39">SUMPRODUCT(('06.XLS'!$A$7:$A$45=$A39)*('06.XLS'!$B$5:$KA$5=CH$5)*('06.XLS'!$B$7:$KA$45))</f>
        <v>6</v>
      </c>
      <c r="CI39" s="1099" cm="1">
        <f t="array" ref="CI39">SUMPRODUCT(('06.XLS'!$A$7:$A$45=$A39)*('06.XLS'!$B$5:$KA$5=CI$5)*('06.XLS'!$B$7:$KA$45))</f>
        <v>4</v>
      </c>
      <c r="CJ39" s="1099" cm="1">
        <f t="array" ref="CJ39">SUMPRODUCT(('06.XLS'!$A$7:$A$45=$A39)*('06.XLS'!$B$5:$KA$5=CJ$5)*('06.XLS'!$B$7:$KA$45))</f>
        <v>3</v>
      </c>
      <c r="CK39" s="1099" cm="1">
        <f t="array" ref="CK39">SUMPRODUCT(('06.XLS'!$A$7:$A$45=$A39)*('06.XLS'!$B$5:$KA$5=CK$5)*('06.XLS'!$B$7:$KA$45))</f>
        <v>2</v>
      </c>
      <c r="CL39" s="1099" cm="1">
        <f t="array" ref="CL39">SUMPRODUCT(('06.XLS'!$A$7:$A$45=$A39)*('06.XLS'!$B$5:$KA$5=CL$5)*('06.XLS'!$B$7:$KA$45))</f>
        <v>3</v>
      </c>
      <c r="CM39" s="1099" cm="1">
        <f t="array" ref="CM39">SUMPRODUCT(('06.XLS'!$A$7:$A$45=$A39)*('06.XLS'!$B$5:$KA$5=CM$5)*('06.XLS'!$B$7:$KA$45))</f>
        <v>4416</v>
      </c>
      <c r="CN39" s="1100">
        <f t="shared" si="13"/>
        <v>4475</v>
      </c>
      <c r="CO39" s="1099" cm="1">
        <f t="array" ref="CO39">SUMPRODUCT(('06.XLS'!$A$7:$A$45=$A39)*('06.XLS'!$B$5:$KA$5=CO$5)*('06.XLS'!$B$7:$KA$45))</f>
        <v>5</v>
      </c>
      <c r="CP39" s="1099" cm="1">
        <f t="array" ref="CP39">SUMPRODUCT(('06.XLS'!$A$7:$A$45=$A39)*('06.XLS'!$B$5:$KA$5=CP$5)*('06.XLS'!$B$7:$KA$45))</f>
        <v>5</v>
      </c>
      <c r="CQ39" s="1099" cm="1">
        <f t="array" ref="CQ39">SUMPRODUCT(('06.XLS'!$A$7:$A$45=$A39)*('06.XLS'!$B$5:$KA$5=CQ$5)*('06.XLS'!$B$7:$KA$45))</f>
        <v>7</v>
      </c>
      <c r="CR39" s="1099" cm="1">
        <f t="array" ref="CR39">SUMPRODUCT(('06.XLS'!$A$7:$A$45=$A39)*('06.XLS'!$B$5:$KA$5=CR$5)*('06.XLS'!$B$7:$KA$45))</f>
        <v>3</v>
      </c>
      <c r="CS39" s="1099" cm="1">
        <f t="array" ref="CS39">SUMPRODUCT(('06.XLS'!$A$7:$A$45=$A39)*('06.XLS'!$B$5:$KA$5=CS$5)*('06.XLS'!$B$7:$KA$45))</f>
        <v>2</v>
      </c>
      <c r="CT39" s="1099" cm="1">
        <f t="array" ref="CT39">SUMPRODUCT(('06.XLS'!$A$7:$A$45=$A39)*('06.XLS'!$B$5:$KA$5=CT$5)*('06.XLS'!$B$7:$KA$45))</f>
        <v>2</v>
      </c>
      <c r="CU39" s="1099" cm="1">
        <f t="array" ref="CU39">SUMPRODUCT(('06.XLS'!$A$7:$A$45=$A39)*('06.XLS'!$B$5:$KA$5=CU$5)*('06.XLS'!$B$7:$KA$45))</f>
        <v>8</v>
      </c>
      <c r="CV39" s="1099" cm="1">
        <f t="array" ref="CV39">SUMPRODUCT(('06.XLS'!$A$7:$A$45=$A39)*('06.XLS'!$B$5:$KA$5=CV$5)*('06.XLS'!$B$7:$KA$45))</f>
        <v>8</v>
      </c>
      <c r="CW39" s="1099" cm="1">
        <f t="array" ref="CW39">SUMPRODUCT(('06.XLS'!$A$7:$A$45=$A39)*('06.XLS'!$B$5:$KA$5=CW$5)*('06.XLS'!$B$7:$KA$45))</f>
        <v>2</v>
      </c>
      <c r="CX39" s="1099" cm="1">
        <f t="array" ref="CX39">SUMPRODUCT(('06.XLS'!$A$7:$A$45=$A39)*('06.XLS'!$B$5:$KA$5=CX$5)*('06.XLS'!$B$7:$KA$45))</f>
        <v>3</v>
      </c>
      <c r="CY39" s="1099" cm="1">
        <f t="array" ref="CY39">SUMPRODUCT(('06.XLS'!$A$7:$A$45=$A39)*('06.XLS'!$B$5:$KA$5=CY$5)*('06.XLS'!$B$7:$KA$45))</f>
        <v>3</v>
      </c>
      <c r="CZ39" s="1099" cm="1">
        <f t="array" ref="CZ39">SUMPRODUCT(('06.XLS'!$A$7:$A$45=$A39)*('06.XLS'!$B$5:$KA$5=CZ$5)*('06.XLS'!$B$7:$KA$45))</f>
        <v>839</v>
      </c>
      <c r="DA39" s="1100">
        <f t="shared" si="15"/>
        <v>887</v>
      </c>
      <c r="DB39" s="1099" cm="1">
        <f t="array" ref="DB39">SUMPRODUCT(('06.XLS'!$A$7:$A$45=$A39)*('06.XLS'!$B$5:$KA$5=DB$5)*('06.XLS'!$B$7:$KA$45))</f>
        <v>5</v>
      </c>
      <c r="DC39" s="1099" cm="1">
        <f t="array" ref="DC39">SUMPRODUCT(('06.XLS'!$A$7:$A$45=$A39)*('06.XLS'!$B$5:$KA$5=DC$5)*('06.XLS'!$B$7:$KA$45))</f>
        <v>2</v>
      </c>
      <c r="DD39" s="1099" cm="1">
        <f t="array" ref="DD39">SUMPRODUCT(('06.XLS'!$A$7:$A$45=$A39)*('06.XLS'!$B$5:$KA$5=DD$5)*('06.XLS'!$B$7:$KA$45))</f>
        <v>1</v>
      </c>
      <c r="DE39" s="1099" cm="1">
        <f t="array" ref="DE39">SUMPRODUCT(('06.XLS'!$A$7:$A$45=$A39)*('06.XLS'!$B$5:$KA$5=DE$5)*('06.XLS'!$B$7:$KA$45))</f>
        <v>1</v>
      </c>
      <c r="DF39" s="1099" cm="1">
        <f t="array" ref="DF39">SUMPRODUCT(('06.XLS'!$A$7:$A$45=$A39)*('06.XLS'!$B$5:$KA$5=DF$5)*('06.XLS'!$B$7:$KA$45))</f>
        <v>2</v>
      </c>
      <c r="DG39" s="1099" cm="1">
        <f t="array" ref="DG39">SUMPRODUCT(('06.XLS'!$A$7:$A$45=$A39)*('06.XLS'!$B$5:$KA$5=DG$5)*('06.XLS'!$B$7:$KA$45))</f>
        <v>2</v>
      </c>
      <c r="DH39" s="1099" cm="1">
        <f t="array" ref="DH39">SUMPRODUCT(('06.XLS'!$A$7:$A$45=$A39)*('06.XLS'!$B$5:$KA$5=DH$5)*('06.XLS'!$B$7:$KA$45))</f>
        <v>2</v>
      </c>
      <c r="DI39" s="1099" cm="1">
        <f t="array" ref="DI39">SUMPRODUCT(('06.XLS'!$A$7:$A$45=$A39)*('06.XLS'!$B$5:$KA$5=DI$5)*('06.XLS'!$B$7:$KA$45))</f>
        <v>2</v>
      </c>
      <c r="DJ39" s="1099" cm="1">
        <f t="array" ref="DJ39">SUMPRODUCT(('06.XLS'!$A$7:$A$45=$A39)*('06.XLS'!$B$5:$KA$5=DJ$5)*('06.XLS'!$B$7:$KA$45))</f>
        <v>3</v>
      </c>
      <c r="DK39" s="1099" cm="1">
        <f t="array" ref="DK39">SUMPRODUCT(('06.XLS'!$A$7:$A$45=$A39)*('06.XLS'!$B$5:$KA$5=DK$5)*('06.XLS'!$B$7:$KA$45))</f>
        <v>3</v>
      </c>
      <c r="DL39" s="1099" cm="1">
        <f t="array" ref="DL39">SUMPRODUCT(('06.XLS'!$A$7:$A$45=$A39)*('06.XLS'!$B$5:$KA$5=DL$5)*('06.XLS'!$B$7:$KA$45))</f>
        <v>0</v>
      </c>
      <c r="DM39" s="1099" cm="1">
        <f t="array" ref="DM39">SUMPRODUCT(('06.XLS'!$A$7:$A$45=$A39)*('06.XLS'!$B$5:$KA$5=DM$5)*('06.XLS'!$B$7:$KA$45))</f>
        <v>21059</v>
      </c>
      <c r="DN39" s="1100">
        <f t="shared" si="17"/>
        <v>21082</v>
      </c>
      <c r="DO39" s="1099" cm="1">
        <f t="array" ref="DO39">SUMPRODUCT(('06.XLS'!$A$7:$A$45=$A39)*('06.XLS'!$B$5:$KA$5=DO$5)*('06.XLS'!$B$7:$KA$45))</f>
        <v>0</v>
      </c>
      <c r="DP39" s="1099" cm="1">
        <f t="array" ref="DP39">SUMPRODUCT(('06.XLS'!$A$7:$A$45=$A39)*('06.XLS'!$B$5:$KA$5=DP$5)*('06.XLS'!$B$7:$KA$45))</f>
        <v>0</v>
      </c>
      <c r="DQ39" s="1099" cm="1">
        <f t="array" ref="DQ39">SUMPRODUCT(('06.XLS'!$A$7:$A$45=$A39)*('06.XLS'!$B$5:$KA$5=DQ$5)*('06.XLS'!$B$7:$KA$45))</f>
        <v>0</v>
      </c>
      <c r="DR39" s="1099" cm="1">
        <f t="array" ref="DR39">SUMPRODUCT(('06.XLS'!$A$7:$A$45=$A39)*('06.XLS'!$B$5:$KA$5=DR$5)*('06.XLS'!$B$7:$KA$45))</f>
        <v>0</v>
      </c>
      <c r="DS39" s="1099" cm="1">
        <f t="array" ref="DS39">SUMPRODUCT(('06.XLS'!$A$7:$A$45=$A39)*('06.XLS'!$B$5:$KA$5=DS$5)*('06.XLS'!$B$7:$KA$45))</f>
        <v>0</v>
      </c>
      <c r="DT39" s="1099" cm="1">
        <f t="array" ref="DT39">SUMPRODUCT(('06.XLS'!$A$7:$A$45=$A39)*('06.XLS'!$B$5:$KA$5=DT$5)*('06.XLS'!$B$7:$KA$45))</f>
        <v>0</v>
      </c>
      <c r="DU39" s="1099" cm="1">
        <f t="array" ref="DU39">SUMPRODUCT(('06.XLS'!$A$7:$A$45=$A39)*('06.XLS'!$B$5:$KA$5=DU$5)*('06.XLS'!$B$7:$KA$45))</f>
        <v>0</v>
      </c>
      <c r="DV39" s="1099" cm="1">
        <f t="array" ref="DV39">SUMPRODUCT(('06.XLS'!$A$7:$A$45=$A39)*('06.XLS'!$B$5:$KA$5=DV$5)*('06.XLS'!$B$7:$KA$45))</f>
        <v>0</v>
      </c>
      <c r="DW39" s="1099" cm="1">
        <f t="array" ref="DW39">SUMPRODUCT(('06.XLS'!$A$7:$A$45=$A39)*('06.XLS'!$B$5:$KA$5=DW$5)*('06.XLS'!$B$7:$KA$45))</f>
        <v>0</v>
      </c>
      <c r="DX39" s="1099" cm="1">
        <f t="array" ref="DX39">SUMPRODUCT(('06.XLS'!$A$7:$A$45=$A39)*('06.XLS'!$B$5:$KA$5=DX$5)*('06.XLS'!$B$7:$KA$45))</f>
        <v>0</v>
      </c>
      <c r="DY39" s="1099" cm="1">
        <f t="array" ref="DY39">SUMPRODUCT(('06.XLS'!$A$7:$A$45=$A39)*('06.XLS'!$B$5:$KA$5=DY$5)*('06.XLS'!$B$7:$KA$45))</f>
        <v>0</v>
      </c>
      <c r="DZ39" s="1099" cm="1">
        <f t="array" ref="DZ39">SUMPRODUCT(('06.XLS'!$A$7:$A$45=$A39)*('06.XLS'!$B$5:$KA$5=DZ$5)*('06.XLS'!$B$7:$KA$45))</f>
        <v>5299</v>
      </c>
      <c r="EA39" s="1100">
        <f t="shared" si="18"/>
        <v>5299</v>
      </c>
      <c r="EB39" s="1099" cm="1">
        <f t="array" ref="EB39">SUMPRODUCT(('06.XLS'!$A$7:$A$45=$A39)*('06.XLS'!$B$5:$KA$5=EB$5)*('06.XLS'!$B$7:$KA$45))</f>
        <v>0</v>
      </c>
      <c r="EC39" s="1099" cm="1">
        <f t="array" ref="EC39">SUMPRODUCT(('06.XLS'!$A$7:$A$45=$A39)*('06.XLS'!$B$5:$KA$5=EC$5)*('06.XLS'!$B$7:$KA$45))</f>
        <v>0</v>
      </c>
      <c r="ED39" s="1099" cm="1">
        <f t="array" ref="ED39">SUMPRODUCT(('06.XLS'!$A$7:$A$45=$A39)*('06.XLS'!$B$5:$KA$5=ED$5)*('06.XLS'!$B$7:$KA$45))</f>
        <v>0</v>
      </c>
      <c r="EE39" s="1099" cm="1">
        <f t="array" ref="EE39">SUMPRODUCT(('06.XLS'!$A$7:$A$45=$A39)*('06.XLS'!$B$5:$KA$5=EE$5)*('06.XLS'!$B$7:$KA$45))</f>
        <v>0</v>
      </c>
      <c r="EF39" s="1099" cm="1">
        <f t="array" ref="EF39">SUMPRODUCT(('06.XLS'!$A$7:$A$45=$A39)*('06.XLS'!$B$5:$KA$5=EF$5)*('06.XLS'!$B$7:$KA$45))</f>
        <v>0</v>
      </c>
      <c r="EG39" s="1099" cm="1">
        <f t="array" ref="EG39">SUMPRODUCT(('06.XLS'!$A$7:$A$45=$A39)*('06.XLS'!$B$5:$KA$5=EG$5)*('06.XLS'!$B$7:$KA$45))</f>
        <v>0</v>
      </c>
      <c r="EH39" s="1099" cm="1">
        <f t="array" ref="EH39">SUMPRODUCT(('06.XLS'!$A$7:$A$45=$A39)*('06.XLS'!$B$5:$KA$5=EH$5)*('06.XLS'!$B$7:$KA$45))</f>
        <v>0</v>
      </c>
      <c r="EI39" s="1099" cm="1">
        <f t="array" ref="EI39">SUMPRODUCT(('06.XLS'!$A$7:$A$45=$A39)*('06.XLS'!$B$5:$KA$5=EI$5)*('06.XLS'!$B$7:$KA$45))</f>
        <v>0</v>
      </c>
      <c r="EJ39" s="1099" cm="1">
        <f t="array" ref="EJ39">SUMPRODUCT(('06.XLS'!$A$7:$A$45=$A39)*('06.XLS'!$B$5:$KA$5=EJ$5)*('06.XLS'!$B$7:$KA$45))</f>
        <v>0</v>
      </c>
      <c r="EK39" s="1099" cm="1">
        <f t="array" ref="EK39">SUMPRODUCT(('06.XLS'!$A$7:$A$45=$A39)*('06.XLS'!$B$5:$KA$5=EK$5)*('06.XLS'!$B$7:$KA$45))</f>
        <v>0</v>
      </c>
      <c r="EL39" s="1099" cm="1">
        <f t="array" ref="EL39">SUMPRODUCT(('06.XLS'!$A$7:$A$45=$A39)*('06.XLS'!$B$5:$KA$5=EL$5)*('06.XLS'!$B$7:$KA$45))</f>
        <v>0</v>
      </c>
      <c r="EM39" s="1099" cm="1">
        <f t="array" ref="EM39">SUMPRODUCT(('06.XLS'!$A$7:$A$45=$A39)*('06.XLS'!$B$5:$KA$5=EM$5)*('06.XLS'!$B$7:$KA$45))</f>
        <v>5299</v>
      </c>
      <c r="EN39" s="1100">
        <f t="shared" si="20"/>
        <v>5299</v>
      </c>
      <c r="EO39" s="1099" cm="1">
        <f t="array" ref="EO39">SUMPRODUCT(('06.XLS'!$A$7:$A$45=$A39)*('06.XLS'!$B$5:$KA$5=EO$5)*('06.XLS'!$B$7:$KA$45))</f>
        <v>0</v>
      </c>
      <c r="EP39" s="1099" cm="1">
        <f t="array" ref="EP39">SUMPRODUCT(('06.XLS'!$A$7:$A$45=$A39)*('06.XLS'!$B$5:$KA$5=EP$5)*('06.XLS'!$B$7:$KA$45))</f>
        <v>0</v>
      </c>
      <c r="EQ39" s="1099" cm="1">
        <f t="array" ref="EQ39">SUMPRODUCT(('06.XLS'!$A$7:$A$45=$A39)*('06.XLS'!$B$5:$KA$5=EQ$5)*('06.XLS'!$B$7:$KA$45))</f>
        <v>0</v>
      </c>
      <c r="ER39" s="1099" cm="1">
        <f t="array" ref="ER39">SUMPRODUCT(('06.XLS'!$A$7:$A$45=$A39)*('06.XLS'!$B$5:$KA$5=ER$5)*('06.XLS'!$B$7:$KA$45))</f>
        <v>0</v>
      </c>
      <c r="ES39" s="1099" cm="1">
        <f t="array" ref="ES39">SUMPRODUCT(('06.XLS'!$A$7:$A$45=$A39)*('06.XLS'!$B$5:$KA$5=ES$5)*('06.XLS'!$B$7:$KA$45))</f>
        <v>0</v>
      </c>
      <c r="ET39" s="1099" cm="1">
        <f t="array" ref="ET39">SUMPRODUCT(('06.XLS'!$A$7:$A$45=$A39)*('06.XLS'!$B$5:$KA$5=ET$5)*('06.XLS'!$B$7:$KA$45))</f>
        <v>0</v>
      </c>
      <c r="EU39" s="1099" cm="1">
        <f t="array" ref="EU39">SUMPRODUCT(('06.XLS'!$A$7:$A$45=$A39)*('06.XLS'!$B$5:$KA$5=EU$5)*('06.XLS'!$B$7:$KA$45))</f>
        <v>0</v>
      </c>
      <c r="EV39" s="1099" cm="1">
        <f t="array" ref="EV39">SUMPRODUCT(('06.XLS'!$A$7:$A$45=$A39)*('06.XLS'!$B$5:$KA$5=EV$5)*('06.XLS'!$B$7:$KA$45))</f>
        <v>0</v>
      </c>
      <c r="EW39" s="1099" cm="1">
        <f t="array" ref="EW39">SUMPRODUCT(('06.XLS'!$A$7:$A$45=$A39)*('06.XLS'!$B$5:$KA$5=EW$5)*('06.XLS'!$B$7:$KA$45))</f>
        <v>0</v>
      </c>
      <c r="EX39" s="1099" cm="1">
        <f t="array" ref="EX39">SUMPRODUCT(('06.XLS'!$A$7:$A$45=$A39)*('06.XLS'!$B$5:$KA$5=EX$5)*('06.XLS'!$B$7:$KA$45))</f>
        <v>0</v>
      </c>
      <c r="EY39" s="1099" cm="1">
        <f t="array" ref="EY39">SUMPRODUCT(('06.XLS'!$A$7:$A$45=$A39)*('06.XLS'!$B$5:$KA$5=EY$5)*('06.XLS'!$B$7:$KA$45))</f>
        <v>0</v>
      </c>
      <c r="EZ39" s="1099" cm="1">
        <f t="array" ref="EZ39">SUMPRODUCT(('06.XLS'!$A$7:$A$45=$A39)*('06.XLS'!$B$5:$KA$5=EZ$5)*('06.XLS'!$B$7:$KA$45))</f>
        <v>4532</v>
      </c>
      <c r="FA39" s="1100">
        <f t="shared" si="21"/>
        <v>4532</v>
      </c>
      <c r="FB39" s="1099" cm="1">
        <f t="array" ref="FB39">SUMPRODUCT(('06.XLS'!$A$7:$A$45=$A39)*('06.XLS'!$B$5:$KA$5=FB$5)*('06.XLS'!$B$7:$KA$45))</f>
        <v>0</v>
      </c>
      <c r="FC39" s="1099" cm="1">
        <f t="array" ref="FC39">SUMPRODUCT(('06.XLS'!$A$7:$A$45=$A39)*('06.XLS'!$B$5:$KA$5=FC$5)*('06.XLS'!$B$7:$KA$45))</f>
        <v>0</v>
      </c>
      <c r="FD39" s="1099" cm="1">
        <f t="array" ref="FD39">SUMPRODUCT(('06.XLS'!$A$7:$A$45=$A39)*('06.XLS'!$B$5:$KA$5=FD$5)*('06.XLS'!$B$7:$KA$45))</f>
        <v>0</v>
      </c>
      <c r="FE39" s="1099" cm="1">
        <f t="array" ref="FE39">SUMPRODUCT(('06.XLS'!$A$7:$A$45=$A39)*('06.XLS'!$B$5:$KA$5=FE$5)*('06.XLS'!$B$7:$KA$45))</f>
        <v>0</v>
      </c>
      <c r="FF39" s="1099" cm="1">
        <f t="array" ref="FF39">SUMPRODUCT(('06.XLS'!$A$7:$A$45=$A39)*('06.XLS'!$B$5:$KA$5=FF$5)*('06.XLS'!$B$7:$KA$45))</f>
        <v>0</v>
      </c>
      <c r="FG39" s="1099" cm="1">
        <f t="array" ref="FG39">SUMPRODUCT(('06.XLS'!$A$7:$A$45=$A39)*('06.XLS'!$B$5:$KA$5=FG$5)*('06.XLS'!$B$7:$KA$45))</f>
        <v>0</v>
      </c>
      <c r="FH39" s="1099" cm="1">
        <f t="array" ref="FH39">SUMPRODUCT(('06.XLS'!$A$7:$A$45=$A39)*('06.XLS'!$B$5:$KA$5=FH$5)*('06.XLS'!$B$7:$KA$45))</f>
        <v>0</v>
      </c>
      <c r="FI39" s="1099" cm="1">
        <f t="array" ref="FI39">SUMPRODUCT(('06.XLS'!$A$7:$A$45=$A39)*('06.XLS'!$B$5:$KA$5=FI$5)*('06.XLS'!$B$7:$KA$45))</f>
        <v>0</v>
      </c>
      <c r="FJ39" s="1099" cm="1">
        <f t="array" ref="FJ39">SUMPRODUCT(('06.XLS'!$A$7:$A$45=$A39)*('06.XLS'!$B$5:$KA$5=FJ$5)*('06.XLS'!$B$7:$KA$45))</f>
        <v>0</v>
      </c>
      <c r="FK39" s="1099" cm="1">
        <f t="array" ref="FK39">SUMPRODUCT(('06.XLS'!$A$7:$A$45=$A39)*('06.XLS'!$B$5:$KA$5=FK$5)*('06.XLS'!$B$7:$KA$45))</f>
        <v>0</v>
      </c>
      <c r="FL39" s="1099" cm="1">
        <f t="array" ref="FL39">SUMPRODUCT(('06.XLS'!$A$7:$A$45=$A39)*('06.XLS'!$B$5:$KA$5=FL$5)*('06.XLS'!$B$7:$KA$45))</f>
        <v>0</v>
      </c>
      <c r="FM39" s="1099" cm="1">
        <f t="array" ref="FM39">SUMPRODUCT(('06.XLS'!$A$7:$A$45=$A39)*('06.XLS'!$B$5:$KA$5=FM$5)*('06.XLS'!$B$7:$KA$45))</f>
        <v>4375</v>
      </c>
      <c r="FN39" s="1100">
        <f t="shared" si="23"/>
        <v>4375</v>
      </c>
      <c r="FO39" s="1099" cm="1">
        <f t="array" ref="FO39">SUMPRODUCT(('06.XLS'!$A$7:$A$45=$A39)*('06.XLS'!$B$5:$KA$5=FO$5)*('06.XLS'!$B$7:$KA$45))</f>
        <v>0</v>
      </c>
      <c r="FP39" s="1099" cm="1">
        <f t="array" ref="FP39">SUMPRODUCT(('06.XLS'!$A$7:$A$45=$A39)*('06.XLS'!$B$5:$KA$5=FP$5)*('06.XLS'!$B$7:$KA$45))</f>
        <v>0</v>
      </c>
      <c r="FQ39" s="1099" cm="1">
        <f t="array" ref="FQ39">SUMPRODUCT(('06.XLS'!$A$7:$A$45=$A39)*('06.XLS'!$B$5:$KA$5=FQ$5)*('06.XLS'!$B$7:$KA$45))</f>
        <v>0</v>
      </c>
      <c r="FR39" s="1099" cm="1">
        <f t="array" ref="FR39">SUMPRODUCT(('06.XLS'!$A$7:$A$45=$A39)*('06.XLS'!$B$5:$KA$5=FR$5)*('06.XLS'!$B$7:$KA$45))</f>
        <v>0</v>
      </c>
      <c r="FS39" s="1099" cm="1">
        <f t="array" ref="FS39">SUMPRODUCT(('06.XLS'!$A$7:$A$45=$A39)*('06.XLS'!$B$5:$KA$5=FS$5)*('06.XLS'!$B$7:$KA$45))</f>
        <v>0</v>
      </c>
      <c r="FT39" s="1099" cm="1">
        <f t="array" ref="FT39">SUMPRODUCT(('06.XLS'!$A$7:$A$45=$A39)*('06.XLS'!$B$5:$KA$5=FT$5)*('06.XLS'!$B$7:$KA$45))</f>
        <v>0</v>
      </c>
      <c r="FU39" s="1099" cm="1">
        <f t="array" ref="FU39">SUMPRODUCT(('06.XLS'!$A$7:$A$45=$A39)*('06.XLS'!$B$5:$KA$5=FU$5)*('06.XLS'!$B$7:$KA$45))</f>
        <v>0</v>
      </c>
      <c r="FV39" s="1099" cm="1">
        <f t="array" ref="FV39">SUMPRODUCT(('06.XLS'!$A$7:$A$45=$A39)*('06.XLS'!$B$5:$KA$5=FV$5)*('06.XLS'!$B$7:$KA$45))</f>
        <v>0</v>
      </c>
      <c r="FW39" s="1099" cm="1">
        <f t="array" ref="FW39">SUMPRODUCT(('06.XLS'!$A$7:$A$45=$A39)*('06.XLS'!$B$5:$KA$5=FW$5)*('06.XLS'!$B$7:$KA$45))</f>
        <v>0</v>
      </c>
      <c r="FX39" s="1099" cm="1">
        <f t="array" ref="FX39">SUMPRODUCT(('06.XLS'!$A$7:$A$45=$A39)*('06.XLS'!$B$5:$KA$5=FX$5)*('06.XLS'!$B$7:$KA$45))</f>
        <v>0</v>
      </c>
      <c r="FY39" s="1099" cm="1">
        <f t="array" ref="FY39">SUMPRODUCT(('06.XLS'!$A$7:$A$45=$A39)*('06.XLS'!$B$5:$KA$5=FY$5)*('06.XLS'!$B$7:$KA$45))</f>
        <v>0</v>
      </c>
      <c r="FZ39" s="1099" cm="1">
        <f t="array" ref="FZ39">SUMPRODUCT(('06.XLS'!$A$7:$A$45=$A39)*('06.XLS'!$B$5:$KA$5=FZ$5)*('06.XLS'!$B$7:$KA$45))</f>
        <v>109792</v>
      </c>
      <c r="GA39" s="1100">
        <f t="shared" si="24"/>
        <v>109792</v>
      </c>
      <c r="GB39" s="1099" cm="1">
        <f t="array" ref="GB39">SUMPRODUCT(('06.XLS'!$A$7:$A$45=$A39)*('06.XLS'!$B$5:$KA$5=GB$5)*('06.XLS'!$B$7:$KA$45))</f>
        <v>0</v>
      </c>
      <c r="GC39" s="1099" cm="1">
        <f t="array" ref="GC39">SUMPRODUCT(('06.XLS'!$A$7:$A$45=$A39)*('06.XLS'!$B$5:$KA$5=GC$5)*('06.XLS'!$B$7:$KA$45))</f>
        <v>0</v>
      </c>
      <c r="GD39" s="1099" cm="1">
        <f t="array" ref="GD39">SUMPRODUCT(('06.XLS'!$A$7:$A$45=$A39)*('06.XLS'!$B$5:$KA$5=GD$5)*('06.XLS'!$B$7:$KA$45))</f>
        <v>0</v>
      </c>
      <c r="GE39" s="1099" cm="1">
        <f t="array" ref="GE39">SUMPRODUCT(('06.XLS'!$A$7:$A$45=$A39)*('06.XLS'!$B$5:$KA$5=GE$5)*('06.XLS'!$B$7:$KA$45))</f>
        <v>1</v>
      </c>
      <c r="GF39" s="1099" cm="1">
        <f t="array" ref="GF39">SUMPRODUCT(('06.XLS'!$A$7:$A$45=$A39)*('06.XLS'!$B$5:$KA$5=GF$5)*('06.XLS'!$B$7:$KA$45))</f>
        <v>1</v>
      </c>
      <c r="GG39" s="1099" cm="1">
        <f t="array" ref="GG39">SUMPRODUCT(('06.XLS'!$A$7:$A$45=$A39)*('06.XLS'!$B$5:$KA$5=GG$5)*('06.XLS'!$B$7:$KA$45))</f>
        <v>1</v>
      </c>
      <c r="GH39" s="1099" cm="1">
        <f t="array" ref="GH39">SUMPRODUCT(('06.XLS'!$A$7:$A$45=$A39)*('06.XLS'!$B$5:$KA$5=GH$5)*('06.XLS'!$B$7:$KA$45))</f>
        <v>1</v>
      </c>
      <c r="GI39" s="1099" cm="1">
        <f t="array" ref="GI39">SUMPRODUCT(('06.XLS'!$A$7:$A$45=$A39)*('06.XLS'!$B$5:$KA$5=GI$5)*('06.XLS'!$B$7:$KA$45))</f>
        <v>0</v>
      </c>
      <c r="GJ39" s="1099" cm="1">
        <f t="array" ref="GJ39">SUMPRODUCT(('06.XLS'!$A$7:$A$45=$A39)*('06.XLS'!$B$5:$KA$5=GJ$5)*('06.XLS'!$B$7:$KA$45))</f>
        <v>0</v>
      </c>
      <c r="GK39" s="1099" cm="1">
        <f t="array" ref="GK39">SUMPRODUCT(('06.XLS'!$A$7:$A$45=$A39)*('06.XLS'!$B$5:$KA$5=GK$5)*('06.XLS'!$B$7:$KA$45))</f>
        <v>0</v>
      </c>
      <c r="GL39" s="1099" cm="1">
        <f t="array" ref="GL39">SUMPRODUCT(('06.XLS'!$A$7:$A$45=$A39)*('06.XLS'!$B$5:$KA$5=GL$5)*('06.XLS'!$B$7:$KA$45))</f>
        <v>0</v>
      </c>
      <c r="GM39" s="1099" cm="1">
        <f t="array" ref="GM39">SUMPRODUCT(('06.XLS'!$A$7:$A$45=$A39)*('06.XLS'!$B$5:$KA$5=GM$5)*('06.XLS'!$B$7:$KA$45))</f>
        <v>109405</v>
      </c>
      <c r="GN39" s="1100">
        <f t="shared" si="26"/>
        <v>109409</v>
      </c>
      <c r="GO39" s="1099" cm="1">
        <f t="array" ref="GO39">SUMPRODUCT(('06.XLS'!$A$7:$A$45=$A39)*('06.XLS'!$B$5:$KA$5=GO$5)*('06.XLS'!$B$7:$KA$45))</f>
        <v>0</v>
      </c>
      <c r="GP39" s="1099" cm="1">
        <f t="array" ref="GP39">SUMPRODUCT(('06.XLS'!$A$7:$A$45=$A39)*('06.XLS'!$B$5:$KA$5=GP$5)*('06.XLS'!$B$7:$KA$45))</f>
        <v>0</v>
      </c>
      <c r="GQ39" s="1099" cm="1">
        <f t="array" ref="GQ39">SUMPRODUCT(('06.XLS'!$A$7:$A$45=$A39)*('06.XLS'!$B$5:$KA$5=GQ$5)*('06.XLS'!$B$7:$KA$45))</f>
        <v>0</v>
      </c>
      <c r="GR39" s="1099" cm="1">
        <f t="array" ref="GR39">SUMPRODUCT(('06.XLS'!$A$7:$A$45=$A39)*('06.XLS'!$B$5:$KA$5=GR$5)*('06.XLS'!$B$7:$KA$45))</f>
        <v>0</v>
      </c>
      <c r="GS39" s="1099" cm="1">
        <f t="array" ref="GS39">SUMPRODUCT(('06.XLS'!$A$7:$A$45=$A39)*('06.XLS'!$B$5:$KA$5=GS$5)*('06.XLS'!$B$7:$KA$45))</f>
        <v>0</v>
      </c>
      <c r="GT39" s="1099" cm="1">
        <f t="array" ref="GT39">SUMPRODUCT(('06.XLS'!$A$7:$A$45=$A39)*('06.XLS'!$B$5:$KA$5=GT$5)*('06.XLS'!$B$7:$KA$45))</f>
        <v>0</v>
      </c>
      <c r="GU39" s="1099" cm="1">
        <f t="array" ref="GU39">SUMPRODUCT(('06.XLS'!$A$7:$A$45=$A39)*('06.XLS'!$B$5:$KA$5=GU$5)*('06.XLS'!$B$7:$KA$45))</f>
        <v>0</v>
      </c>
      <c r="GV39" s="1099" cm="1">
        <f t="array" ref="GV39">SUMPRODUCT(('06.XLS'!$A$7:$A$45=$A39)*('06.XLS'!$B$5:$KA$5=GV$5)*('06.XLS'!$B$7:$KA$45))</f>
        <v>0</v>
      </c>
      <c r="GW39" s="1099" cm="1">
        <f t="array" ref="GW39">SUMPRODUCT(('06.XLS'!$A$7:$A$45=$A39)*('06.XLS'!$B$5:$KA$5=GW$5)*('06.XLS'!$B$7:$KA$45))</f>
        <v>0</v>
      </c>
      <c r="GX39" s="1099" cm="1">
        <f t="array" ref="GX39">SUMPRODUCT(('06.XLS'!$A$7:$A$45=$A39)*('06.XLS'!$B$5:$KA$5=GX$5)*('06.XLS'!$B$7:$KA$45))</f>
        <v>0</v>
      </c>
      <c r="GY39" s="1099" cm="1">
        <f t="array" ref="GY39">SUMPRODUCT(('06.XLS'!$A$7:$A$45=$A39)*('06.XLS'!$B$5:$KA$5=GY$5)*('06.XLS'!$B$7:$KA$45))</f>
        <v>0</v>
      </c>
      <c r="GZ39" s="1099" cm="1">
        <f t="array" ref="GZ39">SUMPRODUCT(('06.XLS'!$A$7:$A$45=$A39)*('06.XLS'!$B$5:$KA$5=GZ$5)*('06.XLS'!$B$7:$KA$45))</f>
        <v>105453</v>
      </c>
      <c r="HA39" s="1100">
        <f t="shared" si="28"/>
        <v>105453</v>
      </c>
      <c r="HB39" s="1099" cm="1">
        <f t="array" ref="HB39">SUMPRODUCT(('06.XLS'!$A$7:$A$45=$A39)*('06.XLS'!$B$5:$KA$5=HB$5)*('06.XLS'!$B$7:$KA$45))</f>
        <v>26.5</v>
      </c>
      <c r="HC39" s="1099" cm="1">
        <f t="array" ref="HC39">SUMPRODUCT(('06.XLS'!$A$7:$A$45=$A39)*('06.XLS'!$B$5:$KA$5=HC$5)*('06.XLS'!$B$7:$KA$45))</f>
        <v>4</v>
      </c>
      <c r="HD39" s="1099" cm="1">
        <f t="array" ref="HD39">SUMPRODUCT(('06.XLS'!$A$7:$A$45=$A39)*('06.XLS'!$B$5:$KA$5=HD$5)*('06.XLS'!$B$7:$KA$45))</f>
        <v>7.5</v>
      </c>
      <c r="HE39" s="1099" cm="1">
        <f t="array" ref="HE39">SUMPRODUCT(('06.XLS'!$A$7:$A$45=$A39)*('06.XLS'!$B$5:$KA$5=HE$5)*('06.XLS'!$B$7:$KA$45))</f>
        <v>3</v>
      </c>
      <c r="HF39" s="1099" cm="1">
        <f t="array" ref="HF39">SUMPRODUCT(('06.XLS'!$A$7:$A$45=$A39)*('06.XLS'!$B$5:$KA$5=HF$5)*('06.XLS'!$B$7:$KA$45))</f>
        <v>7.5</v>
      </c>
      <c r="HG39" s="1099" cm="1">
        <f t="array" ref="HG39">SUMPRODUCT(('06.XLS'!$A$7:$A$45=$A39)*('06.XLS'!$B$5:$KA$5=HG$5)*('06.XLS'!$B$7:$KA$45))</f>
        <v>5</v>
      </c>
      <c r="HH39" s="1099" cm="1">
        <f t="array" ref="HH39">SUMPRODUCT(('06.XLS'!$A$7:$A$45=$A39)*('06.XLS'!$B$5:$KA$5=HH$5)*('06.XLS'!$B$7:$KA$45))</f>
        <v>5</v>
      </c>
      <c r="HI39" s="1099" cm="1">
        <f t="array" ref="HI39">SUMPRODUCT(('06.XLS'!$A$7:$A$45=$A39)*('06.XLS'!$B$5:$KA$5=HI$5)*('06.XLS'!$B$7:$KA$45))</f>
        <v>8</v>
      </c>
      <c r="HJ39" s="1099" cm="1">
        <f t="array" ref="HJ39">SUMPRODUCT(('06.XLS'!$A$7:$A$45=$A39)*('06.XLS'!$B$5:$KA$5=HJ$5)*('06.XLS'!$B$7:$KA$45))</f>
        <v>13</v>
      </c>
      <c r="HK39" s="1099" cm="1">
        <f t="array" ref="HK39">SUMPRODUCT(('06.XLS'!$A$7:$A$45=$A39)*('06.XLS'!$B$5:$KA$5=HK$5)*('06.XLS'!$B$7:$KA$45))</f>
        <v>29.5</v>
      </c>
      <c r="HL39" s="1099" cm="1">
        <f t="array" ref="HL39">SUMPRODUCT(('06.XLS'!$A$7:$A$45=$A39)*('06.XLS'!$B$5:$KA$5=HL$5)*('06.XLS'!$B$7:$KA$45))</f>
        <v>21</v>
      </c>
      <c r="HM39" s="1099" cm="1">
        <f t="array" ref="HM39">SUMPRODUCT(('06.XLS'!$A$7:$A$45=$A39)*('06.XLS'!$B$5:$KA$5=HM$5)*('06.XLS'!$B$7:$KA$45))</f>
        <v>24</v>
      </c>
      <c r="HN39" s="1100">
        <f t="shared" si="30"/>
        <v>154</v>
      </c>
      <c r="HO39" s="1099" cm="1">
        <f t="array" ref="HO39">SUMPRODUCT(('06.XLS'!$A$7:$A$45=$A39)*('06.XLS'!$B$5:$KA$5=HO$5)*('06.XLS'!$B$7:$KA$45))</f>
        <v>5</v>
      </c>
      <c r="HP39" s="1099" cm="1">
        <f t="array" ref="HP39">SUMPRODUCT(('06.XLS'!$A$7:$A$45=$A39)*('06.XLS'!$B$5:$KA$5=HP$5)*('06.XLS'!$B$7:$KA$45))</f>
        <v>6.5</v>
      </c>
      <c r="HQ39" s="1099" cm="1">
        <f t="array" ref="HQ39">SUMPRODUCT(('06.XLS'!$A$7:$A$45=$A39)*('06.XLS'!$B$5:$KA$5=HQ$5)*('06.XLS'!$B$7:$KA$45))</f>
        <v>254</v>
      </c>
      <c r="HR39" s="1099" cm="1">
        <f t="array" ref="HR39">SUMPRODUCT(('06.XLS'!$A$7:$A$45=$A39)*('06.XLS'!$B$5:$KA$5=HR$5)*('06.XLS'!$B$7:$KA$45))</f>
        <v>82.8</v>
      </c>
      <c r="HS39" s="1099" cm="1">
        <f t="array" ref="HS39">SUMPRODUCT(('06.XLS'!$A$7:$A$45=$A39)*('06.XLS'!$B$5:$KA$5=HS$5)*('06.XLS'!$B$7:$KA$45))</f>
        <v>9</v>
      </c>
      <c r="HT39" s="1099" cm="1">
        <f t="array" ref="HT39">SUMPRODUCT(('06.XLS'!$A$7:$A$45=$A39)*('06.XLS'!$B$5:$KA$5=HT$5)*('06.XLS'!$B$7:$KA$45))</f>
        <v>3.5</v>
      </c>
      <c r="HU39" s="1099" cm="1">
        <f t="array" ref="HU39">SUMPRODUCT(('06.XLS'!$A$7:$A$45=$A39)*('06.XLS'!$B$5:$KA$5=HU$5)*('06.XLS'!$B$7:$KA$45))</f>
        <v>4.5</v>
      </c>
      <c r="HV39" s="1099" cm="1">
        <f t="array" ref="HV39">SUMPRODUCT(('06.XLS'!$A$7:$A$45=$A39)*('06.XLS'!$B$5:$KA$5=HV$5)*('06.XLS'!$B$7:$KA$45))</f>
        <v>3</v>
      </c>
      <c r="HW39" s="1099" cm="1">
        <f t="array" ref="HW39">SUMPRODUCT(('06.XLS'!$A$7:$A$45=$A39)*('06.XLS'!$B$5:$KA$5=HW$5)*('06.XLS'!$B$7:$KA$45))</f>
        <v>3.5</v>
      </c>
      <c r="HX39" s="1099" cm="1">
        <f t="array" ref="HX39">SUMPRODUCT(('06.XLS'!$A$7:$A$45=$A39)*('06.XLS'!$B$5:$KA$5=HX$5)*('06.XLS'!$B$7:$KA$45))</f>
        <v>11.6</v>
      </c>
      <c r="HY39" s="1099" cm="1">
        <f t="array" ref="HY39">SUMPRODUCT(('06.XLS'!$A$7:$A$45=$A39)*('06.XLS'!$B$5:$KA$5=HY$5)*('06.XLS'!$B$7:$KA$45))</f>
        <v>2</v>
      </c>
      <c r="HZ39" s="1099" cm="1">
        <f t="array" ref="HZ39">SUMPRODUCT(('06.XLS'!$A$7:$A$45=$A39)*('06.XLS'!$B$5:$KA$5=HZ$5)*('06.XLS'!$B$7:$KA$45))</f>
        <v>15.5</v>
      </c>
      <c r="IA39" s="1100">
        <f t="shared" si="32"/>
        <v>400.90000000000003</v>
      </c>
      <c r="IB39" s="1099" cm="1">
        <f t="array" ref="IB39">SUMPRODUCT(('06.XLS'!$A$7:$A$45=$A39)*('06.XLS'!$B$5:$KA$5=IB$5)*('06.XLS'!$B$7:$KA$45))</f>
        <v>221</v>
      </c>
      <c r="IC39" s="1099" cm="1">
        <f t="array" ref="IC39">SUMPRODUCT(('06.XLS'!$A$7:$A$45=$A39)*('06.XLS'!$B$5:$KA$5=IC$5)*('06.XLS'!$B$7:$KA$45))</f>
        <v>13.8</v>
      </c>
      <c r="ID39" s="1099" cm="1">
        <f t="array" ref="ID39">SUMPRODUCT(('06.XLS'!$A$7:$A$45=$A39)*('06.XLS'!$B$5:$KA$5=ID$5)*('06.XLS'!$B$7:$KA$45))</f>
        <v>8</v>
      </c>
      <c r="IE39" s="1099" cm="1">
        <f t="array" ref="IE39">SUMPRODUCT(('06.XLS'!$A$7:$A$45=$A39)*('06.XLS'!$B$5:$KA$5=IE$5)*('06.XLS'!$B$7:$KA$45))</f>
        <v>4.5</v>
      </c>
      <c r="IF39" s="1099" cm="1">
        <f t="array" ref="IF39">SUMPRODUCT(('06.XLS'!$A$7:$A$45=$A39)*('06.XLS'!$B$5:$KA$5=IF$5)*('06.XLS'!$B$7:$KA$45))</f>
        <v>5.4</v>
      </c>
      <c r="IG39" s="1099" cm="1">
        <f t="array" ref="IG39">SUMPRODUCT(('06.XLS'!$A$7:$A$45=$A39)*('06.XLS'!$B$5:$KA$5=IG$5)*('06.XLS'!$B$7:$KA$45))</f>
        <v>6</v>
      </c>
      <c r="IH39" s="1099" cm="1">
        <f t="array" ref="IH39">SUMPRODUCT(('06.XLS'!$A$7:$A$45=$A39)*('06.XLS'!$B$5:$KA$5=IH$5)*('06.XLS'!$B$7:$KA$45))</f>
        <v>21.5</v>
      </c>
      <c r="II39" s="1099" cm="1">
        <f t="array" ref="II39">SUMPRODUCT(('06.XLS'!$A$7:$A$45=$A39)*('06.XLS'!$B$5:$KA$5=II$5)*('06.XLS'!$B$7:$KA$45))</f>
        <v>17</v>
      </c>
      <c r="IJ39" s="1099" cm="1">
        <f t="array" ref="IJ39">SUMPRODUCT(('06.XLS'!$A$7:$A$45=$A39)*('06.XLS'!$B$5:$KA$5=IJ$5)*('06.XLS'!$B$7:$KA$45))</f>
        <v>13</v>
      </c>
      <c r="IK39" s="1099" cm="1">
        <f t="array" ref="IK39">SUMPRODUCT(('06.XLS'!$A$7:$A$45=$A39)*('06.XLS'!$B$5:$KA$5=IK$5)*('06.XLS'!$B$7:$KA$45))</f>
        <v>13.55</v>
      </c>
      <c r="IL39" s="1099" cm="1">
        <f t="array" ref="IL39">SUMPRODUCT(('06.XLS'!$A$7:$A$45=$A39)*('06.XLS'!$B$5:$KA$5=IL$5)*('06.XLS'!$B$7:$KA$45))</f>
        <v>16.5</v>
      </c>
      <c r="IM39" s="1099" cm="1">
        <f t="array" ref="IM39">SUMPRODUCT(('06.XLS'!$A$7:$A$45=$A39)*('06.XLS'!$B$5:$KA$5=IM$5)*('06.XLS'!$B$7:$KA$45))</f>
        <v>102053.98999999999</v>
      </c>
      <c r="IN39" s="1100">
        <f t="shared" si="34"/>
        <v>102394.23999999999</v>
      </c>
      <c r="IO39" s="1099" cm="1">
        <f t="array" ref="IO39">SUMPRODUCT(('06.XLS'!$A$7:$A$45=$A39)*('06.XLS'!$B$5:$KA$5=IO$5)*('06.XLS'!$B$7:$KA$45))</f>
        <v>61.5</v>
      </c>
      <c r="IP39" s="1099" cm="1">
        <f t="array" ref="IP39">SUMPRODUCT(('06.XLS'!$A$7:$A$45=$A39)*('06.XLS'!$B$5:$KA$5=IP$5)*('06.XLS'!$B$7:$KA$45))</f>
        <v>63.5</v>
      </c>
      <c r="IQ39" s="1099" cm="1">
        <f t="array" ref="IQ39">SUMPRODUCT(('06.XLS'!$A$7:$A$45=$A39)*('06.XLS'!$B$5:$KA$5=IQ$5)*('06.XLS'!$B$7:$KA$45))</f>
        <v>88.4</v>
      </c>
      <c r="IR39" s="1099" cm="1">
        <f t="array" ref="IR39">SUMPRODUCT(('06.XLS'!$A$7:$A$45=$A39)*('06.XLS'!$B$5:$KA$5=IR$5)*('06.XLS'!$B$7:$KA$45))</f>
        <v>89.4</v>
      </c>
      <c r="IS39" s="1099" cm="1">
        <f t="array" ref="IS39">SUMPRODUCT(('06.XLS'!$A$7:$A$45=$A39)*('06.XLS'!$B$5:$KA$5=IS$5)*('06.XLS'!$B$7:$KA$45))</f>
        <v>59</v>
      </c>
      <c r="IT39" s="1099" cm="1">
        <f t="array" ref="IT39">SUMPRODUCT(('06.XLS'!$A$7:$A$45=$A39)*('06.XLS'!$B$5:$KA$5=IT$5)*('06.XLS'!$B$7:$KA$45))</f>
        <v>88.87</v>
      </c>
      <c r="IU39" s="1099" cm="1">
        <f t="array" ref="IU39">SUMPRODUCT(('06.XLS'!$A$7:$A$45=$A39)*('06.XLS'!$B$5:$KA$5=IU$5)*('06.XLS'!$B$7:$KA$45))</f>
        <v>85.87</v>
      </c>
      <c r="IV39" s="1099" cm="1">
        <f t="array" ref="IV39">SUMPRODUCT(('06.XLS'!$A$7:$A$45=$A39)*('06.XLS'!$B$5:$KA$5=IV$5)*('06.XLS'!$B$7:$KA$45))</f>
        <v>81.87</v>
      </c>
      <c r="IW39" s="1099" cm="1">
        <f t="array" ref="IW39">SUMPRODUCT(('06.XLS'!$A$7:$A$45=$A39)*('06.XLS'!$B$5:$KA$5=IW$5)*('06.XLS'!$B$7:$KA$45))</f>
        <v>84.5</v>
      </c>
      <c r="IX39" s="1099" cm="1">
        <f t="array" ref="IX39">SUMPRODUCT(('06.XLS'!$A$7:$A$45=$A39)*('06.XLS'!$B$5:$KA$5=IX$5)*('06.XLS'!$B$7:$KA$45))</f>
        <v>99.3</v>
      </c>
      <c r="IY39" s="1099" cm="1">
        <f t="array" ref="IY39">SUMPRODUCT(('06.XLS'!$A$7:$A$45=$A39)*('06.XLS'!$B$5:$KA$5=IY$5)*('06.XLS'!$B$7:$KA$45))</f>
        <v>82.6</v>
      </c>
      <c r="IZ39" s="1099" cm="1">
        <f t="array" ref="IZ39">SUMPRODUCT(('06.XLS'!$A$7:$A$45=$A39)*('06.XLS'!$B$5:$KA$5=IZ$5)*('06.XLS'!$B$7:$KA$45))</f>
        <v>41328.039999999994</v>
      </c>
      <c r="JA39" s="1100">
        <f t="shared" si="35"/>
        <v>42212.849999999991</v>
      </c>
      <c r="JB39" s="1099" cm="1">
        <f t="array" ref="JB39">SUMPRODUCT(('06.XLS'!$A$7:$A$45=$A39)*('06.XLS'!$B$5:$KA$5=JB$5)*('06.XLS'!$B$7:$KA$45))</f>
        <v>0</v>
      </c>
      <c r="JC39" s="1099" cm="1">
        <f t="array" ref="JC39">SUMPRODUCT(('06.XLS'!$A$7:$A$45=$A39)*('06.XLS'!$B$5:$KA$5=JC$5)*('06.XLS'!$B$7:$KA$45))</f>
        <v>0</v>
      </c>
      <c r="JD39" s="1099" cm="1">
        <f t="array" ref="JD39">SUMPRODUCT(('06.XLS'!$A$7:$A$45=$A39)*('06.XLS'!$B$5:$KA$5=JD$5)*('06.XLS'!$B$7:$KA$45))</f>
        <v>0</v>
      </c>
      <c r="JE39" s="1099" cm="1">
        <f t="array" ref="JE39">SUMPRODUCT(('06.XLS'!$A$7:$A$45=$A39)*('06.XLS'!$B$5:$KA$5=JE$5)*('06.XLS'!$B$7:$KA$45))</f>
        <v>0.5</v>
      </c>
      <c r="JF39" s="1099" cm="1">
        <f t="array" ref="JF39">SUMPRODUCT(('06.XLS'!$A$7:$A$45=$A39)*('06.XLS'!$B$5:$KA$5=JF$5)*('06.XLS'!$B$7:$KA$45))</f>
        <v>2</v>
      </c>
      <c r="JG39" s="1099" cm="1">
        <f t="array" ref="JG39">SUMPRODUCT(('06.XLS'!$A$7:$A$45=$A39)*('06.XLS'!$B$5:$KA$5=JG$5)*('06.XLS'!$B$7:$KA$45))</f>
        <v>3</v>
      </c>
      <c r="JH39" s="1099" cm="1">
        <f t="array" ref="JH39">SUMPRODUCT(('06.XLS'!$A$7:$A$45=$A39)*('06.XLS'!$B$5:$KA$5=JH$5)*('06.XLS'!$B$7:$KA$45))</f>
        <v>2</v>
      </c>
      <c r="JI39" s="1099" cm="1">
        <f t="array" ref="JI39">SUMPRODUCT(('06.XLS'!$A$7:$A$45=$A39)*('06.XLS'!$B$5:$KA$5=JI$5)*('06.XLS'!$B$7:$KA$45))</f>
        <v>1</v>
      </c>
      <c r="JJ39" s="1099" cm="1">
        <f t="array" ref="JJ39">SUMPRODUCT(('06.XLS'!$A$7:$A$45=$A39)*('06.XLS'!$B$5:$KA$5=JJ$5)*('06.XLS'!$B$7:$KA$45))</f>
        <v>1</v>
      </c>
      <c r="JK39" s="1099" cm="1">
        <f t="array" ref="JK39">SUMPRODUCT(('06.XLS'!$A$7:$A$45=$A39)*('06.XLS'!$B$5:$KA$5=JK$5)*('06.XLS'!$B$7:$KA$45))</f>
        <v>1</v>
      </c>
      <c r="JL39" s="1099" cm="1">
        <f t="array" ref="JL39">SUMPRODUCT(('06.XLS'!$A$7:$A$45=$A39)*('06.XLS'!$B$5:$KA$5=JL$5)*('06.XLS'!$B$7:$KA$45))</f>
        <v>1</v>
      </c>
      <c r="JM39" s="1099" cm="1">
        <f t="array" ref="JM39">SUMPRODUCT(('06.XLS'!$A$7:$A$45=$A39)*('06.XLS'!$B$5:$KA$5=JM$5)*('06.XLS'!$B$7:$KA$45))</f>
        <v>115722.32</v>
      </c>
      <c r="JN39" s="1100">
        <f t="shared" si="36"/>
        <v>115733.82</v>
      </c>
      <c r="JO39" s="1099" cm="1">
        <f t="array" ref="JO39">SUMPRODUCT(('06.XLS'!$A$7:$A$45=$A39)*('06.XLS'!$B$5:$KA$5=JO$5)*('06.XLS'!$B$7:$KA$45))</f>
        <v>5.5</v>
      </c>
      <c r="JP39" s="1099" cm="1">
        <f t="array" ref="JP39">SUMPRODUCT(('06.XLS'!$A$7:$A$45=$A39)*('06.XLS'!$B$5:$KA$5=JP$5)*('06.XLS'!$B$7:$KA$45))</f>
        <v>0</v>
      </c>
      <c r="JQ39" s="1099" cm="1">
        <f t="array" ref="JQ39">SUMPRODUCT(('06.XLS'!$A$7:$A$45=$A39)*('06.XLS'!$B$5:$KA$5=JQ$5)*('06.XLS'!$B$7:$KA$45))</f>
        <v>0</v>
      </c>
      <c r="JR39" s="1099" cm="1">
        <f t="array" ref="JR39">SUMPRODUCT(('06.XLS'!$A$7:$A$45=$A39)*('06.XLS'!$B$5:$KA$5=JR$5)*('06.XLS'!$B$7:$KA$45))</f>
        <v>0</v>
      </c>
      <c r="JS39" s="1099" cm="1">
        <f t="array" ref="JS39">SUMPRODUCT(('06.XLS'!$A$7:$A$45=$A39)*('06.XLS'!$B$5:$KA$5=JS$5)*('06.XLS'!$B$7:$KA$45))</f>
        <v>0</v>
      </c>
      <c r="JT39" s="1099" cm="1">
        <f t="array" ref="JT39">SUMPRODUCT(('06.XLS'!$A$7:$A$45=$A39)*('06.XLS'!$B$5:$KA$5=JT$5)*('06.XLS'!$B$7:$KA$45))</f>
        <v>0</v>
      </c>
      <c r="JU39" s="1099" cm="1">
        <f t="array" ref="JU39">SUMPRODUCT(('06.XLS'!$A$7:$A$45=$A39)*('06.XLS'!$B$5:$KA$5=JU$5)*('06.XLS'!$B$7:$KA$45))</f>
        <v>0</v>
      </c>
      <c r="JV39" s="1099" cm="1">
        <f t="array" ref="JV39">SUMPRODUCT(('06.XLS'!$A$7:$A$45=$A39)*('06.XLS'!$B$5:$KA$5=JV$5)*('06.XLS'!$B$7:$KA$45))</f>
        <v>0</v>
      </c>
      <c r="JW39" s="1099" cm="1">
        <f t="array" ref="JW39">SUMPRODUCT(('06.XLS'!$A$7:$A$45=$A39)*('06.XLS'!$B$5:$KA$5=JW$5)*('06.XLS'!$B$7:$KA$45))</f>
        <v>0</v>
      </c>
      <c r="JX39" s="1099" cm="1">
        <f t="array" ref="JX39">SUMPRODUCT(('06.XLS'!$A$7:$A$45=$A39)*('06.XLS'!$B$5:$KA$5=JX$5)*('06.XLS'!$B$7:$KA$45))</f>
        <v>0</v>
      </c>
      <c r="JY39" s="1099" cm="1">
        <f t="array" ref="JY39">SUMPRODUCT(('06.XLS'!$A$7:$A$45=$A39)*('06.XLS'!$B$5:$KA$5=JY$5)*('06.XLS'!$B$7:$KA$45))</f>
        <v>0</v>
      </c>
      <c r="JZ39" s="1099" cm="1">
        <f t="array" ref="JZ39">SUMPRODUCT(('06.XLS'!$A$7:$A$45=$A39)*('06.XLS'!$B$5:$KA$5=JZ$5)*('06.XLS'!$B$7:$KA$45))</f>
        <v>0</v>
      </c>
      <c r="KA39" s="1100">
        <f t="shared" si="38"/>
        <v>5.5</v>
      </c>
      <c r="KC39" s="1119" cm="1">
        <f t="array" ref="KC39">IFERROR(((
_xlfn.XLOOKUP((DATE(YEAR($KC$5),MONTH($KC$5),1)),SMN.COSECHA.DATE,$B39:$KA39) /
_xlfn.XLOOKUP((DATE(YEAR($KC$5)-1,MONTH($KC$5),1)),SMN.COSECHA.DATE,$B39:$KA39)
)-1)*100,"")</f>
        <v>180.00921408322296</v>
      </c>
      <c r="KD39" s="1120">
        <f t="shared" si="39"/>
        <v>174.16727370930894</v>
      </c>
      <c r="KE39" s="1121" cm="1">
        <f t="array" ref="KE39">SUMIFS($B39:$KA39,SMN.COSECHA.DATE,"&gt;="&amp;DATE(YEAR($KC$5)-1,1,1),SMN.COSECHA.DATE,"&lt;="&amp;DATE(YEAR($KC$5)-1,MONTH($KC$5),1))</f>
        <v>42212.849999999991</v>
      </c>
      <c r="KF39" s="1122" cm="1">
        <f t="array" ref="KF39">SUMIFS($B39:$KA39,SMN.COSECHA.DATE,"&gt;="&amp;DATE(YEAR($KC$5),1,1),SMN.COSECHA.DATE,"&lt;="&amp;$KC$5)</f>
        <v>115733.82</v>
      </c>
      <c r="KG39" s="1041"/>
      <c r="KH39" s="1082"/>
      <c r="KI39" s="1083"/>
      <c r="KJ39" s="1084"/>
    </row>
    <row r="40" spans="1:296" ht="15" customHeight="1" x14ac:dyDescent="0.2">
      <c r="A40" s="1145" t="s">
        <v>42</v>
      </c>
      <c r="B40" s="1135" cm="1">
        <f t="array" ref="B40">SUMPRODUCT(('06.XLS'!$A$7:$A$45=$A40)*('06.XLS'!$B$5:$KA$5=B$5)*('06.XLS'!$B$7:$KA$45))</f>
        <v>0</v>
      </c>
      <c r="C40" s="1135" cm="1">
        <f t="array" ref="C40">SUMPRODUCT(('06.XLS'!$A$7:$A$45=$A40)*('06.XLS'!$B$5:$KA$5=C$5)*('06.XLS'!$B$7:$KA$45))</f>
        <v>0</v>
      </c>
      <c r="D40" s="1135" cm="1">
        <f t="array" ref="D40">SUMPRODUCT(('06.XLS'!$A$7:$A$45=$A40)*('06.XLS'!$B$5:$KA$5=D$5)*('06.XLS'!$B$7:$KA$45))</f>
        <v>0</v>
      </c>
      <c r="E40" s="1135" cm="1">
        <f t="array" ref="E40">SUMPRODUCT(('06.XLS'!$A$7:$A$45=$A40)*('06.XLS'!$B$5:$KA$5=E$5)*('06.XLS'!$B$7:$KA$45))</f>
        <v>0</v>
      </c>
      <c r="F40" s="1135" cm="1">
        <f t="array" ref="F40">SUMPRODUCT(('06.XLS'!$A$7:$A$45=$A40)*('06.XLS'!$B$5:$KA$5=F$5)*('06.XLS'!$B$7:$KA$45))</f>
        <v>0</v>
      </c>
      <c r="G40" s="1135" cm="1">
        <f t="array" ref="G40">SUMPRODUCT(('06.XLS'!$A$7:$A$45=$A40)*('06.XLS'!$B$5:$KA$5=G$5)*('06.XLS'!$B$7:$KA$45))</f>
        <v>0</v>
      </c>
      <c r="H40" s="1135" cm="1">
        <f t="array" ref="H40">SUMPRODUCT(('06.XLS'!$A$7:$A$45=$A40)*('06.XLS'!$B$5:$KA$5=H$5)*('06.XLS'!$B$7:$KA$45))</f>
        <v>0</v>
      </c>
      <c r="I40" s="1135" cm="1">
        <f t="array" ref="I40">SUMPRODUCT(('06.XLS'!$A$7:$A$45=$A40)*('06.XLS'!$B$5:$KA$5=I$5)*('06.XLS'!$B$7:$KA$45))</f>
        <v>0</v>
      </c>
      <c r="J40" s="1135" cm="1">
        <f t="array" ref="J40">SUMPRODUCT(('06.XLS'!$A$7:$A$45=$A40)*('06.XLS'!$B$5:$KA$5=J$5)*('06.XLS'!$B$7:$KA$45))</f>
        <v>0</v>
      </c>
      <c r="K40" s="1135" cm="1">
        <f t="array" ref="K40">SUMPRODUCT(('06.XLS'!$A$7:$A$45=$A40)*('06.XLS'!$B$5:$KA$5=K$5)*('06.XLS'!$B$7:$KA$45))</f>
        <v>0</v>
      </c>
      <c r="L40" s="1135" cm="1">
        <f t="array" ref="L40">SUMPRODUCT(('06.XLS'!$A$7:$A$45=$A40)*('06.XLS'!$B$5:$KA$5=L$5)*('06.XLS'!$B$7:$KA$45))</f>
        <v>0</v>
      </c>
      <c r="M40" s="1135" cm="1">
        <f t="array" ref="M40">SUMPRODUCT(('06.XLS'!$A$7:$A$45=$A40)*('06.XLS'!$B$5:$KA$5=M$5)*('06.XLS'!$B$7:$KA$45))</f>
        <v>857</v>
      </c>
      <c r="N40" s="1136">
        <f t="shared" si="1"/>
        <v>857</v>
      </c>
      <c r="O40" s="1135" cm="1">
        <f t="array" ref="O40">SUMPRODUCT(('06.XLS'!$A$7:$A$45=$A40)*('06.XLS'!$B$5:$KA$5=O$5)*('06.XLS'!$B$7:$KA$45))</f>
        <v>0</v>
      </c>
      <c r="P40" s="1135" cm="1">
        <f t="array" ref="P40">SUMPRODUCT(('06.XLS'!$A$7:$A$45=$A40)*('06.XLS'!$B$5:$KA$5=P$5)*('06.XLS'!$B$7:$KA$45))</f>
        <v>0</v>
      </c>
      <c r="Q40" s="1135" cm="1">
        <f t="array" ref="Q40">SUMPRODUCT(('06.XLS'!$A$7:$A$45=$A40)*('06.XLS'!$B$5:$KA$5=Q$5)*('06.XLS'!$B$7:$KA$45))</f>
        <v>0</v>
      </c>
      <c r="R40" s="1135" cm="1">
        <f t="array" ref="R40">SUMPRODUCT(('06.XLS'!$A$7:$A$45=$A40)*('06.XLS'!$B$5:$KA$5=R$5)*('06.XLS'!$B$7:$KA$45))</f>
        <v>0</v>
      </c>
      <c r="S40" s="1135" cm="1">
        <f t="array" ref="S40">SUMPRODUCT(('06.XLS'!$A$7:$A$45=$A40)*('06.XLS'!$B$5:$KA$5=S$5)*('06.XLS'!$B$7:$KA$45))</f>
        <v>0</v>
      </c>
      <c r="T40" s="1135" cm="1">
        <f t="array" ref="T40">SUMPRODUCT(('06.XLS'!$A$7:$A$45=$A40)*('06.XLS'!$B$5:$KA$5=T$5)*('06.XLS'!$B$7:$KA$45))</f>
        <v>0</v>
      </c>
      <c r="U40" s="1135" cm="1">
        <f t="array" ref="U40">SUMPRODUCT(('06.XLS'!$A$7:$A$45=$A40)*('06.XLS'!$B$5:$KA$5=U$5)*('06.XLS'!$B$7:$KA$45))</f>
        <v>0</v>
      </c>
      <c r="V40" s="1135" cm="1">
        <f t="array" ref="V40">SUMPRODUCT(('06.XLS'!$A$7:$A$45=$A40)*('06.XLS'!$B$5:$KA$5=V$5)*('06.XLS'!$B$7:$KA$45))</f>
        <v>0</v>
      </c>
      <c r="W40" s="1135" cm="1">
        <f t="array" ref="W40">SUMPRODUCT(('06.XLS'!$A$7:$A$45=$A40)*('06.XLS'!$B$5:$KA$5=W$5)*('06.XLS'!$B$7:$KA$45))</f>
        <v>0</v>
      </c>
      <c r="X40" s="1135" cm="1">
        <f t="array" ref="X40">SUMPRODUCT(('06.XLS'!$A$7:$A$45=$A40)*('06.XLS'!$B$5:$KA$5=X$5)*('06.XLS'!$B$7:$KA$45))</f>
        <v>0</v>
      </c>
      <c r="Y40" s="1135" cm="1">
        <f t="array" ref="Y40">SUMPRODUCT(('06.XLS'!$A$7:$A$45=$A40)*('06.XLS'!$B$5:$KA$5=Y$5)*('06.XLS'!$B$7:$KA$45))</f>
        <v>0</v>
      </c>
      <c r="Z40" s="1135" cm="1">
        <f t="array" ref="Z40">SUMPRODUCT(('06.XLS'!$A$7:$A$45=$A40)*('06.XLS'!$B$5:$KA$5=Z$5)*('06.XLS'!$B$7:$KA$45))</f>
        <v>857</v>
      </c>
      <c r="AA40" s="1136">
        <f t="shared" si="3"/>
        <v>857</v>
      </c>
      <c r="AB40" s="1135" cm="1">
        <f t="array" ref="AB40">SUMPRODUCT(('06.XLS'!$A$7:$A$45=$A40)*('06.XLS'!$B$5:$KA$5=AB$5)*('06.XLS'!$B$7:$KA$45))</f>
        <v>0</v>
      </c>
      <c r="AC40" s="1135" cm="1">
        <f t="array" ref="AC40">SUMPRODUCT(('06.XLS'!$A$7:$A$45=$A40)*('06.XLS'!$B$5:$KA$5=AC$5)*('06.XLS'!$B$7:$KA$45))</f>
        <v>0</v>
      </c>
      <c r="AD40" s="1135" cm="1">
        <f t="array" ref="AD40">SUMPRODUCT(('06.XLS'!$A$7:$A$45=$A40)*('06.XLS'!$B$5:$KA$5=AD$5)*('06.XLS'!$B$7:$KA$45))</f>
        <v>0</v>
      </c>
      <c r="AE40" s="1135" cm="1">
        <f t="array" ref="AE40">SUMPRODUCT(('06.XLS'!$A$7:$A$45=$A40)*('06.XLS'!$B$5:$KA$5=AE$5)*('06.XLS'!$B$7:$KA$45))</f>
        <v>0</v>
      </c>
      <c r="AF40" s="1135" cm="1">
        <f t="array" ref="AF40">SUMPRODUCT(('06.XLS'!$A$7:$A$45=$A40)*('06.XLS'!$B$5:$KA$5=AF$5)*('06.XLS'!$B$7:$KA$45))</f>
        <v>0</v>
      </c>
      <c r="AG40" s="1135" cm="1">
        <f t="array" ref="AG40">SUMPRODUCT(('06.XLS'!$A$7:$A$45=$A40)*('06.XLS'!$B$5:$KA$5=AG$5)*('06.XLS'!$B$7:$KA$45))</f>
        <v>0</v>
      </c>
      <c r="AH40" s="1135" cm="1">
        <f t="array" ref="AH40">SUMPRODUCT(('06.XLS'!$A$7:$A$45=$A40)*('06.XLS'!$B$5:$KA$5=AH$5)*('06.XLS'!$B$7:$KA$45))</f>
        <v>0</v>
      </c>
      <c r="AI40" s="1135" cm="1">
        <f t="array" ref="AI40">SUMPRODUCT(('06.XLS'!$A$7:$A$45=$A40)*('06.XLS'!$B$5:$KA$5=AI$5)*('06.XLS'!$B$7:$KA$45))</f>
        <v>0</v>
      </c>
      <c r="AJ40" s="1135" cm="1">
        <f t="array" ref="AJ40">SUMPRODUCT(('06.XLS'!$A$7:$A$45=$A40)*('06.XLS'!$B$5:$KA$5=AJ$5)*('06.XLS'!$B$7:$KA$45))</f>
        <v>0</v>
      </c>
      <c r="AK40" s="1135" cm="1">
        <f t="array" ref="AK40">SUMPRODUCT(('06.XLS'!$A$7:$A$45=$A40)*('06.XLS'!$B$5:$KA$5=AK$5)*('06.XLS'!$B$7:$KA$45))</f>
        <v>0</v>
      </c>
      <c r="AL40" s="1135" cm="1">
        <f t="array" ref="AL40">SUMPRODUCT(('06.XLS'!$A$7:$A$45=$A40)*('06.XLS'!$B$5:$KA$5=AL$5)*('06.XLS'!$B$7:$KA$45))</f>
        <v>0</v>
      </c>
      <c r="AM40" s="1135" cm="1">
        <f t="array" ref="AM40">SUMPRODUCT(('06.XLS'!$A$7:$A$45=$A40)*('06.XLS'!$B$5:$KA$5=AM$5)*('06.XLS'!$B$7:$KA$45))</f>
        <v>857</v>
      </c>
      <c r="AN40" s="1136">
        <f t="shared" si="5"/>
        <v>857</v>
      </c>
      <c r="AO40" s="1135" cm="1">
        <f t="array" ref="AO40">SUMPRODUCT(('06.XLS'!$A$7:$A$45=$A40)*('06.XLS'!$B$5:$KA$5=AO$5)*('06.XLS'!$B$7:$KA$45))</f>
        <v>0</v>
      </c>
      <c r="AP40" s="1135" cm="1">
        <f t="array" ref="AP40">SUMPRODUCT(('06.XLS'!$A$7:$A$45=$A40)*('06.XLS'!$B$5:$KA$5=AP$5)*('06.XLS'!$B$7:$KA$45))</f>
        <v>0</v>
      </c>
      <c r="AQ40" s="1135" cm="1">
        <f t="array" ref="AQ40">SUMPRODUCT(('06.XLS'!$A$7:$A$45=$A40)*('06.XLS'!$B$5:$KA$5=AQ$5)*('06.XLS'!$B$7:$KA$45))</f>
        <v>0</v>
      </c>
      <c r="AR40" s="1135" cm="1">
        <f t="array" ref="AR40">SUMPRODUCT(('06.XLS'!$A$7:$A$45=$A40)*('06.XLS'!$B$5:$KA$5=AR$5)*('06.XLS'!$B$7:$KA$45))</f>
        <v>0</v>
      </c>
      <c r="AS40" s="1135" cm="1">
        <f t="array" ref="AS40">SUMPRODUCT(('06.XLS'!$A$7:$A$45=$A40)*('06.XLS'!$B$5:$KA$5=AS$5)*('06.XLS'!$B$7:$KA$45))</f>
        <v>0</v>
      </c>
      <c r="AT40" s="1135" cm="1">
        <f t="array" ref="AT40">SUMPRODUCT(('06.XLS'!$A$7:$A$45=$A40)*('06.XLS'!$B$5:$KA$5=AT$5)*('06.XLS'!$B$7:$KA$45))</f>
        <v>0</v>
      </c>
      <c r="AU40" s="1135" cm="1">
        <f t="array" ref="AU40">SUMPRODUCT(('06.XLS'!$A$7:$A$45=$A40)*('06.XLS'!$B$5:$KA$5=AU$5)*('06.XLS'!$B$7:$KA$45))</f>
        <v>0</v>
      </c>
      <c r="AV40" s="1135" cm="1">
        <f t="array" ref="AV40">SUMPRODUCT(('06.XLS'!$A$7:$A$45=$A40)*('06.XLS'!$B$5:$KA$5=AV$5)*('06.XLS'!$B$7:$KA$45))</f>
        <v>0</v>
      </c>
      <c r="AW40" s="1135" cm="1">
        <f t="array" ref="AW40">SUMPRODUCT(('06.XLS'!$A$7:$A$45=$A40)*('06.XLS'!$B$5:$KA$5=AW$5)*('06.XLS'!$B$7:$KA$45))</f>
        <v>0</v>
      </c>
      <c r="AX40" s="1135" cm="1">
        <f t="array" ref="AX40">SUMPRODUCT(('06.XLS'!$A$7:$A$45=$A40)*('06.XLS'!$B$5:$KA$5=AX$5)*('06.XLS'!$B$7:$KA$45))</f>
        <v>0</v>
      </c>
      <c r="AY40" s="1135" cm="1">
        <f t="array" ref="AY40">SUMPRODUCT(('06.XLS'!$A$7:$A$45=$A40)*('06.XLS'!$B$5:$KA$5=AY$5)*('06.XLS'!$B$7:$KA$45))</f>
        <v>0</v>
      </c>
      <c r="AZ40" s="1135" cm="1">
        <f t="array" ref="AZ40">SUMPRODUCT(('06.XLS'!$A$7:$A$45=$A40)*('06.XLS'!$B$5:$KA$5=AZ$5)*('06.XLS'!$B$7:$KA$45))</f>
        <v>895</v>
      </c>
      <c r="BA40" s="1136">
        <f t="shared" si="7"/>
        <v>895</v>
      </c>
      <c r="BB40" s="1135" cm="1">
        <f t="array" ref="BB40">SUMPRODUCT(('06.XLS'!$A$7:$A$45=$A40)*('06.XLS'!$B$5:$KA$5=BB$5)*('06.XLS'!$B$7:$KA$45))</f>
        <v>0</v>
      </c>
      <c r="BC40" s="1135" cm="1">
        <f t="array" ref="BC40">SUMPRODUCT(('06.XLS'!$A$7:$A$45=$A40)*('06.XLS'!$B$5:$KA$5=BC$5)*('06.XLS'!$B$7:$KA$45))</f>
        <v>0</v>
      </c>
      <c r="BD40" s="1135" cm="1">
        <f t="array" ref="BD40">SUMPRODUCT(('06.XLS'!$A$7:$A$45=$A40)*('06.XLS'!$B$5:$KA$5=BD$5)*('06.XLS'!$B$7:$KA$45))</f>
        <v>0</v>
      </c>
      <c r="BE40" s="1135" cm="1">
        <f t="array" ref="BE40">SUMPRODUCT(('06.XLS'!$A$7:$A$45=$A40)*('06.XLS'!$B$5:$KA$5=BE$5)*('06.XLS'!$B$7:$KA$45))</f>
        <v>0</v>
      </c>
      <c r="BF40" s="1135" cm="1">
        <f t="array" ref="BF40">SUMPRODUCT(('06.XLS'!$A$7:$A$45=$A40)*('06.XLS'!$B$5:$KA$5=BF$5)*('06.XLS'!$B$7:$KA$45))</f>
        <v>0</v>
      </c>
      <c r="BG40" s="1135" cm="1">
        <f t="array" ref="BG40">SUMPRODUCT(('06.XLS'!$A$7:$A$45=$A40)*('06.XLS'!$B$5:$KA$5=BG$5)*('06.XLS'!$B$7:$KA$45))</f>
        <v>0</v>
      </c>
      <c r="BH40" s="1135" cm="1">
        <f t="array" ref="BH40">SUMPRODUCT(('06.XLS'!$A$7:$A$45=$A40)*('06.XLS'!$B$5:$KA$5=BH$5)*('06.XLS'!$B$7:$KA$45))</f>
        <v>0</v>
      </c>
      <c r="BI40" s="1135" cm="1">
        <f t="array" ref="BI40">SUMPRODUCT(('06.XLS'!$A$7:$A$45=$A40)*('06.XLS'!$B$5:$KA$5=BI$5)*('06.XLS'!$B$7:$KA$45))</f>
        <v>0</v>
      </c>
      <c r="BJ40" s="1135" cm="1">
        <f t="array" ref="BJ40">SUMPRODUCT(('06.XLS'!$A$7:$A$45=$A40)*('06.XLS'!$B$5:$KA$5=BJ$5)*('06.XLS'!$B$7:$KA$45))</f>
        <v>0</v>
      </c>
      <c r="BK40" s="1135" cm="1">
        <f t="array" ref="BK40">SUMPRODUCT(('06.XLS'!$A$7:$A$45=$A40)*('06.XLS'!$B$5:$KA$5=BK$5)*('06.XLS'!$B$7:$KA$45))</f>
        <v>0</v>
      </c>
      <c r="BL40" s="1135" cm="1">
        <f t="array" ref="BL40">SUMPRODUCT(('06.XLS'!$A$7:$A$45=$A40)*('06.XLS'!$B$5:$KA$5=BL$5)*('06.XLS'!$B$7:$KA$45))</f>
        <v>0</v>
      </c>
      <c r="BM40" s="1135" cm="1">
        <f t="array" ref="BM40">SUMPRODUCT(('06.XLS'!$A$7:$A$45=$A40)*('06.XLS'!$B$5:$KA$5=BM$5)*('06.XLS'!$B$7:$KA$45))</f>
        <v>792</v>
      </c>
      <c r="BN40" s="1136">
        <f t="shared" si="9"/>
        <v>792</v>
      </c>
      <c r="BO40" s="1135" cm="1">
        <f t="array" ref="BO40">SUMPRODUCT(('06.XLS'!$A$7:$A$45=$A40)*('06.XLS'!$B$5:$KA$5=BO$5)*('06.XLS'!$B$7:$KA$45))</f>
        <v>0</v>
      </c>
      <c r="BP40" s="1135" cm="1">
        <f t="array" ref="BP40">SUMPRODUCT(('06.XLS'!$A$7:$A$45=$A40)*('06.XLS'!$B$5:$KA$5=BP$5)*('06.XLS'!$B$7:$KA$45))</f>
        <v>0</v>
      </c>
      <c r="BQ40" s="1135" cm="1">
        <f t="array" ref="BQ40">SUMPRODUCT(('06.XLS'!$A$7:$A$45=$A40)*('06.XLS'!$B$5:$KA$5=BQ$5)*('06.XLS'!$B$7:$KA$45))</f>
        <v>0</v>
      </c>
      <c r="BR40" s="1135" cm="1">
        <f t="array" ref="BR40">SUMPRODUCT(('06.XLS'!$A$7:$A$45=$A40)*('06.XLS'!$B$5:$KA$5=BR$5)*('06.XLS'!$B$7:$KA$45))</f>
        <v>0</v>
      </c>
      <c r="BS40" s="1135" cm="1">
        <f t="array" ref="BS40">SUMPRODUCT(('06.XLS'!$A$7:$A$45=$A40)*('06.XLS'!$B$5:$KA$5=BS$5)*('06.XLS'!$B$7:$KA$45))</f>
        <v>0</v>
      </c>
      <c r="BT40" s="1135" cm="1">
        <f t="array" ref="BT40">SUMPRODUCT(('06.XLS'!$A$7:$A$45=$A40)*('06.XLS'!$B$5:$KA$5=BT$5)*('06.XLS'!$B$7:$KA$45))</f>
        <v>0</v>
      </c>
      <c r="BU40" s="1135" cm="1">
        <f t="array" ref="BU40">SUMPRODUCT(('06.XLS'!$A$7:$A$45=$A40)*('06.XLS'!$B$5:$KA$5=BU$5)*('06.XLS'!$B$7:$KA$45))</f>
        <v>0</v>
      </c>
      <c r="BV40" s="1135" cm="1">
        <f t="array" ref="BV40">SUMPRODUCT(('06.XLS'!$A$7:$A$45=$A40)*('06.XLS'!$B$5:$KA$5=BV$5)*('06.XLS'!$B$7:$KA$45))</f>
        <v>0</v>
      </c>
      <c r="BW40" s="1135" cm="1">
        <f t="array" ref="BW40">SUMPRODUCT(('06.XLS'!$A$7:$A$45=$A40)*('06.XLS'!$B$5:$KA$5=BW$5)*('06.XLS'!$B$7:$KA$45))</f>
        <v>0</v>
      </c>
      <c r="BX40" s="1135" cm="1">
        <f t="array" ref="BX40">SUMPRODUCT(('06.XLS'!$A$7:$A$45=$A40)*('06.XLS'!$B$5:$KA$5=BX$5)*('06.XLS'!$B$7:$KA$45))</f>
        <v>0</v>
      </c>
      <c r="BY40" s="1135" cm="1">
        <f t="array" ref="BY40">SUMPRODUCT(('06.XLS'!$A$7:$A$45=$A40)*('06.XLS'!$B$5:$KA$5=BY$5)*('06.XLS'!$B$7:$KA$45))</f>
        <v>0</v>
      </c>
      <c r="BZ40" s="1135" cm="1">
        <f t="array" ref="BZ40">SUMPRODUCT(('06.XLS'!$A$7:$A$45=$A40)*('06.XLS'!$B$5:$KA$5=BZ$5)*('06.XLS'!$B$7:$KA$45))</f>
        <v>879</v>
      </c>
      <c r="CA40" s="1136">
        <f t="shared" si="11"/>
        <v>879</v>
      </c>
      <c r="CB40" s="1135" cm="1">
        <f t="array" ref="CB40">SUMPRODUCT(('06.XLS'!$A$7:$A$45=$A40)*('06.XLS'!$B$5:$KA$5=CB$5)*('06.XLS'!$B$7:$KA$45))</f>
        <v>0</v>
      </c>
      <c r="CC40" s="1135" cm="1">
        <f t="array" ref="CC40">SUMPRODUCT(('06.XLS'!$A$7:$A$45=$A40)*('06.XLS'!$B$5:$KA$5=CC$5)*('06.XLS'!$B$7:$KA$45))</f>
        <v>0</v>
      </c>
      <c r="CD40" s="1135" cm="1">
        <f t="array" ref="CD40">SUMPRODUCT(('06.XLS'!$A$7:$A$45=$A40)*('06.XLS'!$B$5:$KA$5=CD$5)*('06.XLS'!$B$7:$KA$45))</f>
        <v>0</v>
      </c>
      <c r="CE40" s="1135" cm="1">
        <f t="array" ref="CE40">SUMPRODUCT(('06.XLS'!$A$7:$A$45=$A40)*('06.XLS'!$B$5:$KA$5=CE$5)*('06.XLS'!$B$7:$KA$45))</f>
        <v>0</v>
      </c>
      <c r="CF40" s="1135" cm="1">
        <f t="array" ref="CF40">SUMPRODUCT(('06.XLS'!$A$7:$A$45=$A40)*('06.XLS'!$B$5:$KA$5=CF$5)*('06.XLS'!$B$7:$KA$45))</f>
        <v>0</v>
      </c>
      <c r="CG40" s="1135" cm="1">
        <f t="array" ref="CG40">SUMPRODUCT(('06.XLS'!$A$7:$A$45=$A40)*('06.XLS'!$B$5:$KA$5=CG$5)*('06.XLS'!$B$7:$KA$45))</f>
        <v>0</v>
      </c>
      <c r="CH40" s="1135" cm="1">
        <f t="array" ref="CH40">SUMPRODUCT(('06.XLS'!$A$7:$A$45=$A40)*('06.XLS'!$B$5:$KA$5=CH$5)*('06.XLS'!$B$7:$KA$45))</f>
        <v>0</v>
      </c>
      <c r="CI40" s="1135" cm="1">
        <f t="array" ref="CI40">SUMPRODUCT(('06.XLS'!$A$7:$A$45=$A40)*('06.XLS'!$B$5:$KA$5=CI$5)*('06.XLS'!$B$7:$KA$45))</f>
        <v>0</v>
      </c>
      <c r="CJ40" s="1135" cm="1">
        <f t="array" ref="CJ40">SUMPRODUCT(('06.XLS'!$A$7:$A$45=$A40)*('06.XLS'!$B$5:$KA$5=CJ$5)*('06.XLS'!$B$7:$KA$45))</f>
        <v>0</v>
      </c>
      <c r="CK40" s="1135" cm="1">
        <f t="array" ref="CK40">SUMPRODUCT(('06.XLS'!$A$7:$A$45=$A40)*('06.XLS'!$B$5:$KA$5=CK$5)*('06.XLS'!$B$7:$KA$45))</f>
        <v>0</v>
      </c>
      <c r="CL40" s="1135" cm="1">
        <f t="array" ref="CL40">SUMPRODUCT(('06.XLS'!$A$7:$A$45=$A40)*('06.XLS'!$B$5:$KA$5=CL$5)*('06.XLS'!$B$7:$KA$45))</f>
        <v>0</v>
      </c>
      <c r="CM40" s="1135" cm="1">
        <f t="array" ref="CM40">SUMPRODUCT(('06.XLS'!$A$7:$A$45=$A40)*('06.XLS'!$B$5:$KA$5=CM$5)*('06.XLS'!$B$7:$KA$45))</f>
        <v>660</v>
      </c>
      <c r="CN40" s="1136">
        <f t="shared" si="13"/>
        <v>660</v>
      </c>
      <c r="CO40" s="1135" cm="1">
        <f t="array" ref="CO40">SUMPRODUCT(('06.XLS'!$A$7:$A$45=$A40)*('06.XLS'!$B$5:$KA$5=CO$5)*('06.XLS'!$B$7:$KA$45))</f>
        <v>0</v>
      </c>
      <c r="CP40" s="1135" cm="1">
        <f t="array" ref="CP40">SUMPRODUCT(('06.XLS'!$A$7:$A$45=$A40)*('06.XLS'!$B$5:$KA$5=CP$5)*('06.XLS'!$B$7:$KA$45))</f>
        <v>0</v>
      </c>
      <c r="CQ40" s="1135" cm="1">
        <f t="array" ref="CQ40">SUMPRODUCT(('06.XLS'!$A$7:$A$45=$A40)*('06.XLS'!$B$5:$KA$5=CQ$5)*('06.XLS'!$B$7:$KA$45))</f>
        <v>0</v>
      </c>
      <c r="CR40" s="1135" cm="1">
        <f t="array" ref="CR40">SUMPRODUCT(('06.XLS'!$A$7:$A$45=$A40)*('06.XLS'!$B$5:$KA$5=CR$5)*('06.XLS'!$B$7:$KA$45))</f>
        <v>0</v>
      </c>
      <c r="CS40" s="1135" cm="1">
        <f t="array" ref="CS40">SUMPRODUCT(('06.XLS'!$A$7:$A$45=$A40)*('06.XLS'!$B$5:$KA$5=CS$5)*('06.XLS'!$B$7:$KA$45))</f>
        <v>0</v>
      </c>
      <c r="CT40" s="1135" cm="1">
        <f t="array" ref="CT40">SUMPRODUCT(('06.XLS'!$A$7:$A$45=$A40)*('06.XLS'!$B$5:$KA$5=CT$5)*('06.XLS'!$B$7:$KA$45))</f>
        <v>0</v>
      </c>
      <c r="CU40" s="1135" cm="1">
        <f t="array" ref="CU40">SUMPRODUCT(('06.XLS'!$A$7:$A$45=$A40)*('06.XLS'!$B$5:$KA$5=CU$5)*('06.XLS'!$B$7:$KA$45))</f>
        <v>0</v>
      </c>
      <c r="CV40" s="1135" cm="1">
        <f t="array" ref="CV40">SUMPRODUCT(('06.XLS'!$A$7:$A$45=$A40)*('06.XLS'!$B$5:$KA$5=CV$5)*('06.XLS'!$B$7:$KA$45))</f>
        <v>0</v>
      </c>
      <c r="CW40" s="1135" cm="1">
        <f t="array" ref="CW40">SUMPRODUCT(('06.XLS'!$A$7:$A$45=$A40)*('06.XLS'!$B$5:$KA$5=CW$5)*('06.XLS'!$B$7:$KA$45))</f>
        <v>0</v>
      </c>
      <c r="CX40" s="1135" cm="1">
        <f t="array" ref="CX40">SUMPRODUCT(('06.XLS'!$A$7:$A$45=$A40)*('06.XLS'!$B$5:$KA$5=CX$5)*('06.XLS'!$B$7:$KA$45))</f>
        <v>0</v>
      </c>
      <c r="CY40" s="1135" cm="1">
        <f t="array" ref="CY40">SUMPRODUCT(('06.XLS'!$A$7:$A$45=$A40)*('06.XLS'!$B$5:$KA$5=CY$5)*('06.XLS'!$B$7:$KA$45))</f>
        <v>0</v>
      </c>
      <c r="CZ40" s="1135" cm="1">
        <f t="array" ref="CZ40">SUMPRODUCT(('06.XLS'!$A$7:$A$45=$A40)*('06.XLS'!$B$5:$KA$5=CZ$5)*('06.XLS'!$B$7:$KA$45))</f>
        <v>150</v>
      </c>
      <c r="DA40" s="1136">
        <f t="shared" si="15"/>
        <v>150</v>
      </c>
      <c r="DB40" s="1135" cm="1">
        <f t="array" ref="DB40">SUMPRODUCT(('06.XLS'!$A$7:$A$45=$A40)*('06.XLS'!$B$5:$KA$5=DB$5)*('06.XLS'!$B$7:$KA$45))</f>
        <v>0</v>
      </c>
      <c r="DC40" s="1135" cm="1">
        <f t="array" ref="DC40">SUMPRODUCT(('06.XLS'!$A$7:$A$45=$A40)*('06.XLS'!$B$5:$KA$5=DC$5)*('06.XLS'!$B$7:$KA$45))</f>
        <v>0</v>
      </c>
      <c r="DD40" s="1135" cm="1">
        <f t="array" ref="DD40">SUMPRODUCT(('06.XLS'!$A$7:$A$45=$A40)*('06.XLS'!$B$5:$KA$5=DD$5)*('06.XLS'!$B$7:$KA$45))</f>
        <v>0</v>
      </c>
      <c r="DE40" s="1135" cm="1">
        <f t="array" ref="DE40">SUMPRODUCT(('06.XLS'!$A$7:$A$45=$A40)*('06.XLS'!$B$5:$KA$5=DE$5)*('06.XLS'!$B$7:$KA$45))</f>
        <v>0</v>
      </c>
      <c r="DF40" s="1135" cm="1">
        <f t="array" ref="DF40">SUMPRODUCT(('06.XLS'!$A$7:$A$45=$A40)*('06.XLS'!$B$5:$KA$5=DF$5)*('06.XLS'!$B$7:$KA$45))</f>
        <v>0</v>
      </c>
      <c r="DG40" s="1135" cm="1">
        <f t="array" ref="DG40">SUMPRODUCT(('06.XLS'!$A$7:$A$45=$A40)*('06.XLS'!$B$5:$KA$5=DG$5)*('06.XLS'!$B$7:$KA$45))</f>
        <v>0</v>
      </c>
      <c r="DH40" s="1135" cm="1">
        <f t="array" ref="DH40">SUMPRODUCT(('06.XLS'!$A$7:$A$45=$A40)*('06.XLS'!$B$5:$KA$5=DH$5)*('06.XLS'!$B$7:$KA$45))</f>
        <v>0</v>
      </c>
      <c r="DI40" s="1135" cm="1">
        <f t="array" ref="DI40">SUMPRODUCT(('06.XLS'!$A$7:$A$45=$A40)*('06.XLS'!$B$5:$KA$5=DI$5)*('06.XLS'!$B$7:$KA$45))</f>
        <v>0</v>
      </c>
      <c r="DJ40" s="1135" cm="1">
        <f t="array" ref="DJ40">SUMPRODUCT(('06.XLS'!$A$7:$A$45=$A40)*('06.XLS'!$B$5:$KA$5=DJ$5)*('06.XLS'!$B$7:$KA$45))</f>
        <v>0</v>
      </c>
      <c r="DK40" s="1135" cm="1">
        <f t="array" ref="DK40">SUMPRODUCT(('06.XLS'!$A$7:$A$45=$A40)*('06.XLS'!$B$5:$KA$5=DK$5)*('06.XLS'!$B$7:$KA$45))</f>
        <v>0</v>
      </c>
      <c r="DL40" s="1135" cm="1">
        <f t="array" ref="DL40">SUMPRODUCT(('06.XLS'!$A$7:$A$45=$A40)*('06.XLS'!$B$5:$KA$5=DL$5)*('06.XLS'!$B$7:$KA$45))</f>
        <v>0</v>
      </c>
      <c r="DM40" s="1135" cm="1">
        <f t="array" ref="DM40">SUMPRODUCT(('06.XLS'!$A$7:$A$45=$A40)*('06.XLS'!$B$5:$KA$5=DM$5)*('06.XLS'!$B$7:$KA$45))</f>
        <v>200</v>
      </c>
      <c r="DN40" s="1136">
        <f t="shared" si="17"/>
        <v>200</v>
      </c>
      <c r="DO40" s="1135" cm="1">
        <f t="array" ref="DO40">SUMPRODUCT(('06.XLS'!$A$7:$A$45=$A40)*('06.XLS'!$B$5:$KA$5=DO$5)*('06.XLS'!$B$7:$KA$45))</f>
        <v>0</v>
      </c>
      <c r="DP40" s="1135" cm="1">
        <f t="array" ref="DP40">SUMPRODUCT(('06.XLS'!$A$7:$A$45=$A40)*('06.XLS'!$B$5:$KA$5=DP$5)*('06.XLS'!$B$7:$KA$45))</f>
        <v>0</v>
      </c>
      <c r="DQ40" s="1135" cm="1">
        <f t="array" ref="DQ40">SUMPRODUCT(('06.XLS'!$A$7:$A$45=$A40)*('06.XLS'!$B$5:$KA$5=DQ$5)*('06.XLS'!$B$7:$KA$45))</f>
        <v>0</v>
      </c>
      <c r="DR40" s="1135" cm="1">
        <f t="array" ref="DR40">SUMPRODUCT(('06.XLS'!$A$7:$A$45=$A40)*('06.XLS'!$B$5:$KA$5=DR$5)*('06.XLS'!$B$7:$KA$45))</f>
        <v>0</v>
      </c>
      <c r="DS40" s="1135" cm="1">
        <f t="array" ref="DS40">SUMPRODUCT(('06.XLS'!$A$7:$A$45=$A40)*('06.XLS'!$B$5:$KA$5=DS$5)*('06.XLS'!$B$7:$KA$45))</f>
        <v>0</v>
      </c>
      <c r="DT40" s="1135" cm="1">
        <f t="array" ref="DT40">SUMPRODUCT(('06.XLS'!$A$7:$A$45=$A40)*('06.XLS'!$B$5:$KA$5=DT$5)*('06.XLS'!$B$7:$KA$45))</f>
        <v>0</v>
      </c>
      <c r="DU40" s="1135" cm="1">
        <f t="array" ref="DU40">SUMPRODUCT(('06.XLS'!$A$7:$A$45=$A40)*('06.XLS'!$B$5:$KA$5=DU$5)*('06.XLS'!$B$7:$KA$45))</f>
        <v>0</v>
      </c>
      <c r="DV40" s="1135" cm="1">
        <f t="array" ref="DV40">SUMPRODUCT(('06.XLS'!$A$7:$A$45=$A40)*('06.XLS'!$B$5:$KA$5=DV$5)*('06.XLS'!$B$7:$KA$45))</f>
        <v>0</v>
      </c>
      <c r="DW40" s="1135" cm="1">
        <f t="array" ref="DW40">SUMPRODUCT(('06.XLS'!$A$7:$A$45=$A40)*('06.XLS'!$B$5:$KA$5=DW$5)*('06.XLS'!$B$7:$KA$45))</f>
        <v>0</v>
      </c>
      <c r="DX40" s="1135" cm="1">
        <f t="array" ref="DX40">SUMPRODUCT(('06.XLS'!$A$7:$A$45=$A40)*('06.XLS'!$B$5:$KA$5=DX$5)*('06.XLS'!$B$7:$KA$45))</f>
        <v>0</v>
      </c>
      <c r="DY40" s="1135" cm="1">
        <f t="array" ref="DY40">SUMPRODUCT(('06.XLS'!$A$7:$A$45=$A40)*('06.XLS'!$B$5:$KA$5=DY$5)*('06.XLS'!$B$7:$KA$45))</f>
        <v>0</v>
      </c>
      <c r="DZ40" s="1135" cm="1">
        <f t="array" ref="DZ40">SUMPRODUCT(('06.XLS'!$A$7:$A$45=$A40)*('06.XLS'!$B$5:$KA$5=DZ$5)*('06.XLS'!$B$7:$KA$45))</f>
        <v>780</v>
      </c>
      <c r="EA40" s="1136">
        <f t="shared" si="18"/>
        <v>780</v>
      </c>
      <c r="EB40" s="1135" cm="1">
        <f t="array" ref="EB40">SUMPRODUCT(('06.XLS'!$A$7:$A$45=$A40)*('06.XLS'!$B$5:$KA$5=EB$5)*('06.XLS'!$B$7:$KA$45))</f>
        <v>0</v>
      </c>
      <c r="EC40" s="1135" cm="1">
        <f t="array" ref="EC40">SUMPRODUCT(('06.XLS'!$A$7:$A$45=$A40)*('06.XLS'!$B$5:$KA$5=EC$5)*('06.XLS'!$B$7:$KA$45))</f>
        <v>0</v>
      </c>
      <c r="ED40" s="1135" cm="1">
        <f t="array" ref="ED40">SUMPRODUCT(('06.XLS'!$A$7:$A$45=$A40)*('06.XLS'!$B$5:$KA$5=ED$5)*('06.XLS'!$B$7:$KA$45))</f>
        <v>0</v>
      </c>
      <c r="EE40" s="1135" cm="1">
        <f t="array" ref="EE40">SUMPRODUCT(('06.XLS'!$A$7:$A$45=$A40)*('06.XLS'!$B$5:$KA$5=EE$5)*('06.XLS'!$B$7:$KA$45))</f>
        <v>0</v>
      </c>
      <c r="EF40" s="1135" cm="1">
        <f t="array" ref="EF40">SUMPRODUCT(('06.XLS'!$A$7:$A$45=$A40)*('06.XLS'!$B$5:$KA$5=EF$5)*('06.XLS'!$B$7:$KA$45))</f>
        <v>0</v>
      </c>
      <c r="EG40" s="1135" cm="1">
        <f t="array" ref="EG40">SUMPRODUCT(('06.XLS'!$A$7:$A$45=$A40)*('06.XLS'!$B$5:$KA$5=EG$5)*('06.XLS'!$B$7:$KA$45))</f>
        <v>0</v>
      </c>
      <c r="EH40" s="1135" cm="1">
        <f t="array" ref="EH40">SUMPRODUCT(('06.XLS'!$A$7:$A$45=$A40)*('06.XLS'!$B$5:$KA$5=EH$5)*('06.XLS'!$B$7:$KA$45))</f>
        <v>0</v>
      </c>
      <c r="EI40" s="1135" cm="1">
        <f t="array" ref="EI40">SUMPRODUCT(('06.XLS'!$A$7:$A$45=$A40)*('06.XLS'!$B$5:$KA$5=EI$5)*('06.XLS'!$B$7:$KA$45))</f>
        <v>0</v>
      </c>
      <c r="EJ40" s="1135" cm="1">
        <f t="array" ref="EJ40">SUMPRODUCT(('06.XLS'!$A$7:$A$45=$A40)*('06.XLS'!$B$5:$KA$5=EJ$5)*('06.XLS'!$B$7:$KA$45))</f>
        <v>0</v>
      </c>
      <c r="EK40" s="1135" cm="1">
        <f t="array" ref="EK40">SUMPRODUCT(('06.XLS'!$A$7:$A$45=$A40)*('06.XLS'!$B$5:$KA$5=EK$5)*('06.XLS'!$B$7:$KA$45))</f>
        <v>0</v>
      </c>
      <c r="EL40" s="1135" cm="1">
        <f t="array" ref="EL40">SUMPRODUCT(('06.XLS'!$A$7:$A$45=$A40)*('06.XLS'!$B$5:$KA$5=EL$5)*('06.XLS'!$B$7:$KA$45))</f>
        <v>0</v>
      </c>
      <c r="EM40" s="1135" cm="1">
        <f t="array" ref="EM40">SUMPRODUCT(('06.XLS'!$A$7:$A$45=$A40)*('06.XLS'!$B$5:$KA$5=EM$5)*('06.XLS'!$B$7:$KA$45))</f>
        <v>780</v>
      </c>
      <c r="EN40" s="1136">
        <f t="shared" si="20"/>
        <v>780</v>
      </c>
      <c r="EO40" s="1135" cm="1">
        <f t="array" ref="EO40">SUMPRODUCT(('06.XLS'!$A$7:$A$45=$A40)*('06.XLS'!$B$5:$KA$5=EO$5)*('06.XLS'!$B$7:$KA$45))</f>
        <v>0</v>
      </c>
      <c r="EP40" s="1135" cm="1">
        <f t="array" ref="EP40">SUMPRODUCT(('06.XLS'!$A$7:$A$45=$A40)*('06.XLS'!$B$5:$KA$5=EP$5)*('06.XLS'!$B$7:$KA$45))</f>
        <v>0</v>
      </c>
      <c r="EQ40" s="1135" cm="1">
        <f t="array" ref="EQ40">SUMPRODUCT(('06.XLS'!$A$7:$A$45=$A40)*('06.XLS'!$B$5:$KA$5=EQ$5)*('06.XLS'!$B$7:$KA$45))</f>
        <v>0</v>
      </c>
      <c r="ER40" s="1135" cm="1">
        <f t="array" ref="ER40">SUMPRODUCT(('06.XLS'!$A$7:$A$45=$A40)*('06.XLS'!$B$5:$KA$5=ER$5)*('06.XLS'!$B$7:$KA$45))</f>
        <v>0</v>
      </c>
      <c r="ES40" s="1135" cm="1">
        <f t="array" ref="ES40">SUMPRODUCT(('06.XLS'!$A$7:$A$45=$A40)*('06.XLS'!$B$5:$KA$5=ES$5)*('06.XLS'!$B$7:$KA$45))</f>
        <v>0</v>
      </c>
      <c r="ET40" s="1135" cm="1">
        <f t="array" ref="ET40">SUMPRODUCT(('06.XLS'!$A$7:$A$45=$A40)*('06.XLS'!$B$5:$KA$5=ET$5)*('06.XLS'!$B$7:$KA$45))</f>
        <v>0</v>
      </c>
      <c r="EU40" s="1135" cm="1">
        <f t="array" ref="EU40">SUMPRODUCT(('06.XLS'!$A$7:$A$45=$A40)*('06.XLS'!$B$5:$KA$5=EU$5)*('06.XLS'!$B$7:$KA$45))</f>
        <v>0</v>
      </c>
      <c r="EV40" s="1135" cm="1">
        <f t="array" ref="EV40">SUMPRODUCT(('06.XLS'!$A$7:$A$45=$A40)*('06.XLS'!$B$5:$KA$5=EV$5)*('06.XLS'!$B$7:$KA$45))</f>
        <v>0</v>
      </c>
      <c r="EW40" s="1135" cm="1">
        <f t="array" ref="EW40">SUMPRODUCT(('06.XLS'!$A$7:$A$45=$A40)*('06.XLS'!$B$5:$KA$5=EW$5)*('06.XLS'!$B$7:$KA$45))</f>
        <v>0</v>
      </c>
      <c r="EX40" s="1135" cm="1">
        <f t="array" ref="EX40">SUMPRODUCT(('06.XLS'!$A$7:$A$45=$A40)*('06.XLS'!$B$5:$KA$5=EX$5)*('06.XLS'!$B$7:$KA$45))</f>
        <v>0</v>
      </c>
      <c r="EY40" s="1135" cm="1">
        <f t="array" ref="EY40">SUMPRODUCT(('06.XLS'!$A$7:$A$45=$A40)*('06.XLS'!$B$5:$KA$5=EY$5)*('06.XLS'!$B$7:$KA$45))</f>
        <v>0</v>
      </c>
      <c r="EZ40" s="1135" cm="1">
        <f t="array" ref="EZ40">SUMPRODUCT(('06.XLS'!$A$7:$A$45=$A40)*('06.XLS'!$B$5:$KA$5=EZ$5)*('06.XLS'!$B$7:$KA$45))</f>
        <v>898</v>
      </c>
      <c r="FA40" s="1136">
        <f t="shared" si="21"/>
        <v>898</v>
      </c>
      <c r="FB40" s="1135" cm="1">
        <f t="array" ref="FB40">SUMPRODUCT(('06.XLS'!$A$7:$A$45=$A40)*('06.XLS'!$B$5:$KA$5=FB$5)*('06.XLS'!$B$7:$KA$45))</f>
        <v>0</v>
      </c>
      <c r="FC40" s="1135" cm="1">
        <f t="array" ref="FC40">SUMPRODUCT(('06.XLS'!$A$7:$A$45=$A40)*('06.XLS'!$B$5:$KA$5=FC$5)*('06.XLS'!$B$7:$KA$45))</f>
        <v>0</v>
      </c>
      <c r="FD40" s="1135" cm="1">
        <f t="array" ref="FD40">SUMPRODUCT(('06.XLS'!$A$7:$A$45=$A40)*('06.XLS'!$B$5:$KA$5=FD$5)*('06.XLS'!$B$7:$KA$45))</f>
        <v>0</v>
      </c>
      <c r="FE40" s="1135" cm="1">
        <f t="array" ref="FE40">SUMPRODUCT(('06.XLS'!$A$7:$A$45=$A40)*('06.XLS'!$B$5:$KA$5=FE$5)*('06.XLS'!$B$7:$KA$45))</f>
        <v>0</v>
      </c>
      <c r="FF40" s="1135" cm="1">
        <f t="array" ref="FF40">SUMPRODUCT(('06.XLS'!$A$7:$A$45=$A40)*('06.XLS'!$B$5:$KA$5=FF$5)*('06.XLS'!$B$7:$KA$45))</f>
        <v>0</v>
      </c>
      <c r="FG40" s="1135" cm="1">
        <f t="array" ref="FG40">SUMPRODUCT(('06.XLS'!$A$7:$A$45=$A40)*('06.XLS'!$B$5:$KA$5=FG$5)*('06.XLS'!$B$7:$KA$45))</f>
        <v>0</v>
      </c>
      <c r="FH40" s="1135" cm="1">
        <f t="array" ref="FH40">SUMPRODUCT(('06.XLS'!$A$7:$A$45=$A40)*('06.XLS'!$B$5:$KA$5=FH$5)*('06.XLS'!$B$7:$KA$45))</f>
        <v>0</v>
      </c>
      <c r="FI40" s="1135" cm="1">
        <f t="array" ref="FI40">SUMPRODUCT(('06.XLS'!$A$7:$A$45=$A40)*('06.XLS'!$B$5:$KA$5=FI$5)*('06.XLS'!$B$7:$KA$45))</f>
        <v>0</v>
      </c>
      <c r="FJ40" s="1135" cm="1">
        <f t="array" ref="FJ40">SUMPRODUCT(('06.XLS'!$A$7:$A$45=$A40)*('06.XLS'!$B$5:$KA$5=FJ$5)*('06.XLS'!$B$7:$KA$45))</f>
        <v>0</v>
      </c>
      <c r="FK40" s="1135" cm="1">
        <f t="array" ref="FK40">SUMPRODUCT(('06.XLS'!$A$7:$A$45=$A40)*('06.XLS'!$B$5:$KA$5=FK$5)*('06.XLS'!$B$7:$KA$45))</f>
        <v>0</v>
      </c>
      <c r="FL40" s="1135" cm="1">
        <f t="array" ref="FL40">SUMPRODUCT(('06.XLS'!$A$7:$A$45=$A40)*('06.XLS'!$B$5:$KA$5=FL$5)*('06.XLS'!$B$7:$KA$45))</f>
        <v>0</v>
      </c>
      <c r="FM40" s="1135" cm="1">
        <f t="array" ref="FM40">SUMPRODUCT(('06.XLS'!$A$7:$A$45=$A40)*('06.XLS'!$B$5:$KA$5=FM$5)*('06.XLS'!$B$7:$KA$45))</f>
        <v>916</v>
      </c>
      <c r="FN40" s="1136">
        <f t="shared" si="23"/>
        <v>916</v>
      </c>
      <c r="FO40" s="1135" cm="1">
        <f t="array" ref="FO40">SUMPRODUCT(('06.XLS'!$A$7:$A$45=$A40)*('06.XLS'!$B$5:$KA$5=FO$5)*('06.XLS'!$B$7:$KA$45))</f>
        <v>0</v>
      </c>
      <c r="FP40" s="1135" cm="1">
        <f t="array" ref="FP40">SUMPRODUCT(('06.XLS'!$A$7:$A$45=$A40)*('06.XLS'!$B$5:$KA$5=FP$5)*('06.XLS'!$B$7:$KA$45))</f>
        <v>0</v>
      </c>
      <c r="FQ40" s="1135" cm="1">
        <f t="array" ref="FQ40">SUMPRODUCT(('06.XLS'!$A$7:$A$45=$A40)*('06.XLS'!$B$5:$KA$5=FQ$5)*('06.XLS'!$B$7:$KA$45))</f>
        <v>0</v>
      </c>
      <c r="FR40" s="1135" cm="1">
        <f t="array" ref="FR40">SUMPRODUCT(('06.XLS'!$A$7:$A$45=$A40)*('06.XLS'!$B$5:$KA$5=FR$5)*('06.XLS'!$B$7:$KA$45))</f>
        <v>0</v>
      </c>
      <c r="FS40" s="1135" cm="1">
        <f t="array" ref="FS40">SUMPRODUCT(('06.XLS'!$A$7:$A$45=$A40)*('06.XLS'!$B$5:$KA$5=FS$5)*('06.XLS'!$B$7:$KA$45))</f>
        <v>0</v>
      </c>
      <c r="FT40" s="1135" cm="1">
        <f t="array" ref="FT40">SUMPRODUCT(('06.XLS'!$A$7:$A$45=$A40)*('06.XLS'!$B$5:$KA$5=FT$5)*('06.XLS'!$B$7:$KA$45))</f>
        <v>0</v>
      </c>
      <c r="FU40" s="1135" cm="1">
        <f t="array" ref="FU40">SUMPRODUCT(('06.XLS'!$A$7:$A$45=$A40)*('06.XLS'!$B$5:$KA$5=FU$5)*('06.XLS'!$B$7:$KA$45))</f>
        <v>0</v>
      </c>
      <c r="FV40" s="1135" cm="1">
        <f t="array" ref="FV40">SUMPRODUCT(('06.XLS'!$A$7:$A$45=$A40)*('06.XLS'!$B$5:$KA$5=FV$5)*('06.XLS'!$B$7:$KA$45))</f>
        <v>0</v>
      </c>
      <c r="FW40" s="1135" cm="1">
        <f t="array" ref="FW40">SUMPRODUCT(('06.XLS'!$A$7:$A$45=$A40)*('06.XLS'!$B$5:$KA$5=FW$5)*('06.XLS'!$B$7:$KA$45))</f>
        <v>0</v>
      </c>
      <c r="FX40" s="1135" cm="1">
        <f t="array" ref="FX40">SUMPRODUCT(('06.XLS'!$A$7:$A$45=$A40)*('06.XLS'!$B$5:$KA$5=FX$5)*('06.XLS'!$B$7:$KA$45))</f>
        <v>0</v>
      </c>
      <c r="FY40" s="1135" cm="1">
        <f t="array" ref="FY40">SUMPRODUCT(('06.XLS'!$A$7:$A$45=$A40)*('06.XLS'!$B$5:$KA$5=FY$5)*('06.XLS'!$B$7:$KA$45))</f>
        <v>0</v>
      </c>
      <c r="FZ40" s="1135" cm="1">
        <f t="array" ref="FZ40">SUMPRODUCT(('06.XLS'!$A$7:$A$45=$A40)*('06.XLS'!$B$5:$KA$5=FZ$5)*('06.XLS'!$B$7:$KA$45))</f>
        <v>907</v>
      </c>
      <c r="GA40" s="1136">
        <f t="shared" si="24"/>
        <v>907</v>
      </c>
      <c r="GB40" s="1135" cm="1">
        <f t="array" ref="GB40">SUMPRODUCT(('06.XLS'!$A$7:$A$45=$A40)*('06.XLS'!$B$5:$KA$5=GB$5)*('06.XLS'!$B$7:$KA$45))</f>
        <v>0</v>
      </c>
      <c r="GC40" s="1135" cm="1">
        <f t="array" ref="GC40">SUMPRODUCT(('06.XLS'!$A$7:$A$45=$A40)*('06.XLS'!$B$5:$KA$5=GC$5)*('06.XLS'!$B$7:$KA$45))</f>
        <v>0</v>
      </c>
      <c r="GD40" s="1135" cm="1">
        <f t="array" ref="GD40">SUMPRODUCT(('06.XLS'!$A$7:$A$45=$A40)*('06.XLS'!$B$5:$KA$5=GD$5)*('06.XLS'!$B$7:$KA$45))</f>
        <v>0</v>
      </c>
      <c r="GE40" s="1135" cm="1">
        <f t="array" ref="GE40">SUMPRODUCT(('06.XLS'!$A$7:$A$45=$A40)*('06.XLS'!$B$5:$KA$5=GE$5)*('06.XLS'!$B$7:$KA$45))</f>
        <v>0</v>
      </c>
      <c r="GF40" s="1135" cm="1">
        <f t="array" ref="GF40">SUMPRODUCT(('06.XLS'!$A$7:$A$45=$A40)*('06.XLS'!$B$5:$KA$5=GF$5)*('06.XLS'!$B$7:$KA$45))</f>
        <v>0</v>
      </c>
      <c r="GG40" s="1135" cm="1">
        <f t="array" ref="GG40">SUMPRODUCT(('06.XLS'!$A$7:$A$45=$A40)*('06.XLS'!$B$5:$KA$5=GG$5)*('06.XLS'!$B$7:$KA$45))</f>
        <v>0</v>
      </c>
      <c r="GH40" s="1135" cm="1">
        <f t="array" ref="GH40">SUMPRODUCT(('06.XLS'!$A$7:$A$45=$A40)*('06.XLS'!$B$5:$KA$5=GH$5)*('06.XLS'!$B$7:$KA$45))</f>
        <v>0</v>
      </c>
      <c r="GI40" s="1135" cm="1">
        <f t="array" ref="GI40">SUMPRODUCT(('06.XLS'!$A$7:$A$45=$A40)*('06.XLS'!$B$5:$KA$5=GI$5)*('06.XLS'!$B$7:$KA$45))</f>
        <v>0</v>
      </c>
      <c r="GJ40" s="1135" cm="1">
        <f t="array" ref="GJ40">SUMPRODUCT(('06.XLS'!$A$7:$A$45=$A40)*('06.XLS'!$B$5:$KA$5=GJ$5)*('06.XLS'!$B$7:$KA$45))</f>
        <v>0</v>
      </c>
      <c r="GK40" s="1135" cm="1">
        <f t="array" ref="GK40">SUMPRODUCT(('06.XLS'!$A$7:$A$45=$A40)*('06.XLS'!$B$5:$KA$5=GK$5)*('06.XLS'!$B$7:$KA$45))</f>
        <v>0</v>
      </c>
      <c r="GL40" s="1135" cm="1">
        <f t="array" ref="GL40">SUMPRODUCT(('06.XLS'!$A$7:$A$45=$A40)*('06.XLS'!$B$5:$KA$5=GL$5)*('06.XLS'!$B$7:$KA$45))</f>
        <v>0</v>
      </c>
      <c r="GM40" s="1135" cm="1">
        <f t="array" ref="GM40">SUMPRODUCT(('06.XLS'!$A$7:$A$45=$A40)*('06.XLS'!$B$5:$KA$5=GM$5)*('06.XLS'!$B$7:$KA$45))</f>
        <v>904</v>
      </c>
      <c r="GN40" s="1136">
        <f t="shared" si="26"/>
        <v>904</v>
      </c>
      <c r="GO40" s="1135" cm="1">
        <f t="array" ref="GO40">SUMPRODUCT(('06.XLS'!$A$7:$A$45=$A40)*('06.XLS'!$B$5:$KA$5=GO$5)*('06.XLS'!$B$7:$KA$45))</f>
        <v>0</v>
      </c>
      <c r="GP40" s="1135" cm="1">
        <f t="array" ref="GP40">SUMPRODUCT(('06.XLS'!$A$7:$A$45=$A40)*('06.XLS'!$B$5:$KA$5=GP$5)*('06.XLS'!$B$7:$KA$45))</f>
        <v>0</v>
      </c>
      <c r="GQ40" s="1135" cm="1">
        <f t="array" ref="GQ40">SUMPRODUCT(('06.XLS'!$A$7:$A$45=$A40)*('06.XLS'!$B$5:$KA$5=GQ$5)*('06.XLS'!$B$7:$KA$45))</f>
        <v>0</v>
      </c>
      <c r="GR40" s="1135" cm="1">
        <f t="array" ref="GR40">SUMPRODUCT(('06.XLS'!$A$7:$A$45=$A40)*('06.XLS'!$B$5:$KA$5=GR$5)*('06.XLS'!$B$7:$KA$45))</f>
        <v>0</v>
      </c>
      <c r="GS40" s="1135" cm="1">
        <f t="array" ref="GS40">SUMPRODUCT(('06.XLS'!$A$7:$A$45=$A40)*('06.XLS'!$B$5:$KA$5=GS$5)*('06.XLS'!$B$7:$KA$45))</f>
        <v>0</v>
      </c>
      <c r="GT40" s="1135" cm="1">
        <f t="array" ref="GT40">SUMPRODUCT(('06.XLS'!$A$7:$A$45=$A40)*('06.XLS'!$B$5:$KA$5=GT$5)*('06.XLS'!$B$7:$KA$45))</f>
        <v>0</v>
      </c>
      <c r="GU40" s="1135" cm="1">
        <f t="array" ref="GU40">SUMPRODUCT(('06.XLS'!$A$7:$A$45=$A40)*('06.XLS'!$B$5:$KA$5=GU$5)*('06.XLS'!$B$7:$KA$45))</f>
        <v>0</v>
      </c>
      <c r="GV40" s="1135" cm="1">
        <f t="array" ref="GV40">SUMPRODUCT(('06.XLS'!$A$7:$A$45=$A40)*('06.XLS'!$B$5:$KA$5=GV$5)*('06.XLS'!$B$7:$KA$45))</f>
        <v>0</v>
      </c>
      <c r="GW40" s="1135" cm="1">
        <f t="array" ref="GW40">SUMPRODUCT(('06.XLS'!$A$7:$A$45=$A40)*('06.XLS'!$B$5:$KA$5=GW$5)*('06.XLS'!$B$7:$KA$45))</f>
        <v>0</v>
      </c>
      <c r="GX40" s="1135" cm="1">
        <f t="array" ref="GX40">SUMPRODUCT(('06.XLS'!$A$7:$A$45=$A40)*('06.XLS'!$B$5:$KA$5=GX$5)*('06.XLS'!$B$7:$KA$45))</f>
        <v>0</v>
      </c>
      <c r="GY40" s="1135" cm="1">
        <f t="array" ref="GY40">SUMPRODUCT(('06.XLS'!$A$7:$A$45=$A40)*('06.XLS'!$B$5:$KA$5=GY$5)*('06.XLS'!$B$7:$KA$45))</f>
        <v>0</v>
      </c>
      <c r="GZ40" s="1135" cm="1">
        <f t="array" ref="GZ40">SUMPRODUCT(('06.XLS'!$A$7:$A$45=$A40)*('06.XLS'!$B$5:$KA$5=GZ$5)*('06.XLS'!$B$7:$KA$45))</f>
        <v>683</v>
      </c>
      <c r="HA40" s="1136">
        <f t="shared" si="28"/>
        <v>683</v>
      </c>
      <c r="HB40" s="1135" cm="1">
        <f t="array" ref="HB40">SUMPRODUCT(('06.XLS'!$A$7:$A$45=$A40)*('06.XLS'!$B$5:$KA$5=HB$5)*('06.XLS'!$B$7:$KA$45))</f>
        <v>0</v>
      </c>
      <c r="HC40" s="1135" cm="1">
        <f t="array" ref="HC40">SUMPRODUCT(('06.XLS'!$A$7:$A$45=$A40)*('06.XLS'!$B$5:$KA$5=HC$5)*('06.XLS'!$B$7:$KA$45))</f>
        <v>0</v>
      </c>
      <c r="HD40" s="1135" cm="1">
        <f t="array" ref="HD40">SUMPRODUCT(('06.XLS'!$A$7:$A$45=$A40)*('06.XLS'!$B$5:$KA$5=HD$5)*('06.XLS'!$B$7:$KA$45))</f>
        <v>0</v>
      </c>
      <c r="HE40" s="1135" cm="1">
        <f t="array" ref="HE40">SUMPRODUCT(('06.XLS'!$A$7:$A$45=$A40)*('06.XLS'!$B$5:$KA$5=HE$5)*('06.XLS'!$B$7:$KA$45))</f>
        <v>0</v>
      </c>
      <c r="HF40" s="1135" cm="1">
        <f t="array" ref="HF40">SUMPRODUCT(('06.XLS'!$A$7:$A$45=$A40)*('06.XLS'!$B$5:$KA$5=HF$5)*('06.XLS'!$B$7:$KA$45))</f>
        <v>0</v>
      </c>
      <c r="HG40" s="1135" cm="1">
        <f t="array" ref="HG40">SUMPRODUCT(('06.XLS'!$A$7:$A$45=$A40)*('06.XLS'!$B$5:$KA$5=HG$5)*('06.XLS'!$B$7:$KA$45))</f>
        <v>0</v>
      </c>
      <c r="HH40" s="1135" cm="1">
        <f t="array" ref="HH40">SUMPRODUCT(('06.XLS'!$A$7:$A$45=$A40)*('06.XLS'!$B$5:$KA$5=HH$5)*('06.XLS'!$B$7:$KA$45))</f>
        <v>0</v>
      </c>
      <c r="HI40" s="1135" cm="1">
        <f t="array" ref="HI40">SUMPRODUCT(('06.XLS'!$A$7:$A$45=$A40)*('06.XLS'!$B$5:$KA$5=HI$5)*('06.XLS'!$B$7:$KA$45))</f>
        <v>0</v>
      </c>
      <c r="HJ40" s="1135" cm="1">
        <f t="array" ref="HJ40">SUMPRODUCT(('06.XLS'!$A$7:$A$45=$A40)*('06.XLS'!$B$5:$KA$5=HJ$5)*('06.XLS'!$B$7:$KA$45))</f>
        <v>0</v>
      </c>
      <c r="HK40" s="1135" cm="1">
        <f t="array" ref="HK40">SUMPRODUCT(('06.XLS'!$A$7:$A$45=$A40)*('06.XLS'!$B$5:$KA$5=HK$5)*('06.XLS'!$B$7:$KA$45))</f>
        <v>0</v>
      </c>
      <c r="HL40" s="1135" cm="1">
        <f t="array" ref="HL40">SUMPRODUCT(('06.XLS'!$A$7:$A$45=$A40)*('06.XLS'!$B$5:$KA$5=HL$5)*('06.XLS'!$B$7:$KA$45))</f>
        <v>0</v>
      </c>
      <c r="HM40" s="1135" cm="1">
        <f t="array" ref="HM40">SUMPRODUCT(('06.XLS'!$A$7:$A$45=$A40)*('06.XLS'!$B$5:$KA$5=HM$5)*('06.XLS'!$B$7:$KA$45))</f>
        <v>0</v>
      </c>
      <c r="HN40" s="1136">
        <f t="shared" si="30"/>
        <v>0</v>
      </c>
      <c r="HO40" s="1135" cm="1">
        <f t="array" ref="HO40">SUMPRODUCT(('06.XLS'!$A$7:$A$45=$A40)*('06.XLS'!$B$5:$KA$5=HO$5)*('06.XLS'!$B$7:$KA$45))</f>
        <v>0</v>
      </c>
      <c r="HP40" s="1135" cm="1">
        <f t="array" ref="HP40">SUMPRODUCT(('06.XLS'!$A$7:$A$45=$A40)*('06.XLS'!$B$5:$KA$5=HP$5)*('06.XLS'!$B$7:$KA$45))</f>
        <v>0</v>
      </c>
      <c r="HQ40" s="1135" cm="1">
        <f t="array" ref="HQ40">SUMPRODUCT(('06.XLS'!$A$7:$A$45=$A40)*('06.XLS'!$B$5:$KA$5=HQ$5)*('06.XLS'!$B$7:$KA$45))</f>
        <v>0</v>
      </c>
      <c r="HR40" s="1135" cm="1">
        <f t="array" ref="HR40">SUMPRODUCT(('06.XLS'!$A$7:$A$45=$A40)*('06.XLS'!$B$5:$KA$5=HR$5)*('06.XLS'!$B$7:$KA$45))</f>
        <v>0</v>
      </c>
      <c r="HS40" s="1135" cm="1">
        <f t="array" ref="HS40">SUMPRODUCT(('06.XLS'!$A$7:$A$45=$A40)*('06.XLS'!$B$5:$KA$5=HS$5)*('06.XLS'!$B$7:$KA$45))</f>
        <v>0</v>
      </c>
      <c r="HT40" s="1135" cm="1">
        <f t="array" ref="HT40">SUMPRODUCT(('06.XLS'!$A$7:$A$45=$A40)*('06.XLS'!$B$5:$KA$5=HT$5)*('06.XLS'!$B$7:$KA$45))</f>
        <v>0</v>
      </c>
      <c r="HU40" s="1135" cm="1">
        <f t="array" ref="HU40">SUMPRODUCT(('06.XLS'!$A$7:$A$45=$A40)*('06.XLS'!$B$5:$KA$5=HU$5)*('06.XLS'!$B$7:$KA$45))</f>
        <v>0</v>
      </c>
      <c r="HV40" s="1135" cm="1">
        <f t="array" ref="HV40">SUMPRODUCT(('06.XLS'!$A$7:$A$45=$A40)*('06.XLS'!$B$5:$KA$5=HV$5)*('06.XLS'!$B$7:$KA$45))</f>
        <v>0</v>
      </c>
      <c r="HW40" s="1135" cm="1">
        <f t="array" ref="HW40">SUMPRODUCT(('06.XLS'!$A$7:$A$45=$A40)*('06.XLS'!$B$5:$KA$5=HW$5)*('06.XLS'!$B$7:$KA$45))</f>
        <v>0</v>
      </c>
      <c r="HX40" s="1135" cm="1">
        <f t="array" ref="HX40">SUMPRODUCT(('06.XLS'!$A$7:$A$45=$A40)*('06.XLS'!$B$5:$KA$5=HX$5)*('06.XLS'!$B$7:$KA$45))</f>
        <v>0</v>
      </c>
      <c r="HY40" s="1135" cm="1">
        <f t="array" ref="HY40">SUMPRODUCT(('06.XLS'!$A$7:$A$45=$A40)*('06.XLS'!$B$5:$KA$5=HY$5)*('06.XLS'!$B$7:$KA$45))</f>
        <v>0</v>
      </c>
      <c r="HZ40" s="1135" cm="1">
        <f t="array" ref="HZ40">SUMPRODUCT(('06.XLS'!$A$7:$A$45=$A40)*('06.XLS'!$B$5:$KA$5=HZ$5)*('06.XLS'!$B$7:$KA$45))</f>
        <v>0</v>
      </c>
      <c r="IA40" s="1136">
        <f t="shared" si="32"/>
        <v>0</v>
      </c>
      <c r="IB40" s="1135" cm="1">
        <f t="array" ref="IB40">SUMPRODUCT(('06.XLS'!$A$7:$A$45=$A40)*('06.XLS'!$B$5:$KA$5=IB$5)*('06.XLS'!$B$7:$KA$45))</f>
        <v>220</v>
      </c>
      <c r="IC40" s="1135" cm="1">
        <f t="array" ref="IC40">SUMPRODUCT(('06.XLS'!$A$7:$A$45=$A40)*('06.XLS'!$B$5:$KA$5=IC$5)*('06.XLS'!$B$7:$KA$45))</f>
        <v>0</v>
      </c>
      <c r="ID40" s="1135" cm="1">
        <f t="array" ref="ID40">SUMPRODUCT(('06.XLS'!$A$7:$A$45=$A40)*('06.XLS'!$B$5:$KA$5=ID$5)*('06.XLS'!$B$7:$KA$45))</f>
        <v>0</v>
      </c>
      <c r="IE40" s="1135" cm="1">
        <f t="array" ref="IE40">SUMPRODUCT(('06.XLS'!$A$7:$A$45=$A40)*('06.XLS'!$B$5:$KA$5=IE$5)*('06.XLS'!$B$7:$KA$45))</f>
        <v>0</v>
      </c>
      <c r="IF40" s="1135" cm="1">
        <f t="array" ref="IF40">SUMPRODUCT(('06.XLS'!$A$7:$A$45=$A40)*('06.XLS'!$B$5:$KA$5=IF$5)*('06.XLS'!$B$7:$KA$45))</f>
        <v>0</v>
      </c>
      <c r="IG40" s="1135" cm="1">
        <f t="array" ref="IG40">SUMPRODUCT(('06.XLS'!$A$7:$A$45=$A40)*('06.XLS'!$B$5:$KA$5=IG$5)*('06.XLS'!$B$7:$KA$45))</f>
        <v>0</v>
      </c>
      <c r="IH40" s="1135" cm="1">
        <f t="array" ref="IH40">SUMPRODUCT(('06.XLS'!$A$7:$A$45=$A40)*('06.XLS'!$B$5:$KA$5=IH$5)*('06.XLS'!$B$7:$KA$45))</f>
        <v>0</v>
      </c>
      <c r="II40" s="1135" cm="1">
        <f t="array" ref="II40">SUMPRODUCT(('06.XLS'!$A$7:$A$45=$A40)*('06.XLS'!$B$5:$KA$5=II$5)*('06.XLS'!$B$7:$KA$45))</f>
        <v>0</v>
      </c>
      <c r="IJ40" s="1135" cm="1">
        <f t="array" ref="IJ40">SUMPRODUCT(('06.XLS'!$A$7:$A$45=$A40)*('06.XLS'!$B$5:$KA$5=IJ$5)*('06.XLS'!$B$7:$KA$45))</f>
        <v>0</v>
      </c>
      <c r="IK40" s="1135" cm="1">
        <f t="array" ref="IK40">SUMPRODUCT(('06.XLS'!$A$7:$A$45=$A40)*('06.XLS'!$B$5:$KA$5=IK$5)*('06.XLS'!$B$7:$KA$45))</f>
        <v>0</v>
      </c>
      <c r="IL40" s="1135" cm="1">
        <f t="array" ref="IL40">SUMPRODUCT(('06.XLS'!$A$7:$A$45=$A40)*('06.XLS'!$B$5:$KA$5=IL$5)*('06.XLS'!$B$7:$KA$45))</f>
        <v>0</v>
      </c>
      <c r="IM40" s="1135" cm="1">
        <f t="array" ref="IM40">SUMPRODUCT(('06.XLS'!$A$7:$A$45=$A40)*('06.XLS'!$B$5:$KA$5=IM$5)*('06.XLS'!$B$7:$KA$45))</f>
        <v>623</v>
      </c>
      <c r="IN40" s="1136">
        <f t="shared" si="34"/>
        <v>843</v>
      </c>
      <c r="IO40" s="1135" cm="1">
        <f t="array" ref="IO40">SUMPRODUCT(('06.XLS'!$A$7:$A$45=$A40)*('06.XLS'!$B$5:$KA$5=IO$5)*('06.XLS'!$B$7:$KA$45))</f>
        <v>61</v>
      </c>
      <c r="IP40" s="1135" cm="1">
        <f t="array" ref="IP40">SUMPRODUCT(('06.XLS'!$A$7:$A$45=$A40)*('06.XLS'!$B$5:$KA$5=IP$5)*('06.XLS'!$B$7:$KA$45))</f>
        <v>63</v>
      </c>
      <c r="IQ40" s="1135" cm="1">
        <f t="array" ref="IQ40">SUMPRODUCT(('06.XLS'!$A$7:$A$45=$A40)*('06.XLS'!$B$5:$KA$5=IQ$5)*('06.XLS'!$B$7:$KA$45))</f>
        <v>60</v>
      </c>
      <c r="IR40" s="1135" cm="1">
        <f t="array" ref="IR40">SUMPRODUCT(('06.XLS'!$A$7:$A$45=$A40)*('06.XLS'!$B$5:$KA$5=IR$5)*('06.XLS'!$B$7:$KA$45))</f>
        <v>61</v>
      </c>
      <c r="IS40" s="1135" cm="1">
        <f t="array" ref="IS40">SUMPRODUCT(('06.XLS'!$A$7:$A$45=$A40)*('06.XLS'!$B$5:$KA$5=IS$5)*('06.XLS'!$B$7:$KA$45))</f>
        <v>58</v>
      </c>
      <c r="IT40" s="1135" cm="1">
        <f t="array" ref="IT40">SUMPRODUCT(('06.XLS'!$A$7:$A$45=$A40)*('06.XLS'!$B$5:$KA$5=IT$5)*('06.XLS'!$B$7:$KA$45))</f>
        <v>88</v>
      </c>
      <c r="IU40" s="1135" cm="1">
        <f t="array" ref="IU40">SUMPRODUCT(('06.XLS'!$A$7:$A$45=$A40)*('06.XLS'!$B$5:$KA$5=IU$5)*('06.XLS'!$B$7:$KA$45))</f>
        <v>85</v>
      </c>
      <c r="IV40" s="1135" cm="1">
        <f t="array" ref="IV40">SUMPRODUCT(('06.XLS'!$A$7:$A$45=$A40)*('06.XLS'!$B$5:$KA$5=IV$5)*('06.XLS'!$B$7:$KA$45))</f>
        <v>81</v>
      </c>
      <c r="IW40" s="1135" cm="1">
        <f t="array" ref="IW40">SUMPRODUCT(('06.XLS'!$A$7:$A$45=$A40)*('06.XLS'!$B$5:$KA$5=IW$5)*('06.XLS'!$B$7:$KA$45))</f>
        <v>83</v>
      </c>
      <c r="IX40" s="1135" cm="1">
        <f t="array" ref="IX40">SUMPRODUCT(('06.XLS'!$A$7:$A$45=$A40)*('06.XLS'!$B$5:$KA$5=IX$5)*('06.XLS'!$B$7:$KA$45))</f>
        <v>82</v>
      </c>
      <c r="IY40" s="1135" cm="1">
        <f t="array" ref="IY40">SUMPRODUCT(('06.XLS'!$A$7:$A$45=$A40)*('06.XLS'!$B$5:$KA$5=IY$5)*('06.XLS'!$B$7:$KA$45))</f>
        <v>80</v>
      </c>
      <c r="IZ40" s="1135" cm="1">
        <f t="array" ref="IZ40">SUMPRODUCT(('06.XLS'!$A$7:$A$45=$A40)*('06.XLS'!$B$5:$KA$5=IZ$5)*('06.XLS'!$B$7:$KA$45))</f>
        <v>368</v>
      </c>
      <c r="JA40" s="1136">
        <f t="shared" si="35"/>
        <v>1170</v>
      </c>
      <c r="JB40" s="1135" cm="1">
        <f t="array" ref="JB40">SUMPRODUCT(('06.XLS'!$A$7:$A$45=$A40)*('06.XLS'!$B$5:$KA$5=JB$5)*('06.XLS'!$B$7:$KA$45))</f>
        <v>0</v>
      </c>
      <c r="JC40" s="1135" cm="1">
        <f t="array" ref="JC40">SUMPRODUCT(('06.XLS'!$A$7:$A$45=$A40)*('06.XLS'!$B$5:$KA$5=JC$5)*('06.XLS'!$B$7:$KA$45))</f>
        <v>0</v>
      </c>
      <c r="JD40" s="1135" cm="1">
        <f t="array" ref="JD40">SUMPRODUCT(('06.XLS'!$A$7:$A$45=$A40)*('06.XLS'!$B$5:$KA$5=JD$5)*('06.XLS'!$B$7:$KA$45))</f>
        <v>0</v>
      </c>
      <c r="JE40" s="1135" cm="1">
        <f t="array" ref="JE40">SUMPRODUCT(('06.XLS'!$A$7:$A$45=$A40)*('06.XLS'!$B$5:$KA$5=JE$5)*('06.XLS'!$B$7:$KA$45))</f>
        <v>0</v>
      </c>
      <c r="JF40" s="1135" cm="1">
        <f t="array" ref="JF40">SUMPRODUCT(('06.XLS'!$A$7:$A$45=$A40)*('06.XLS'!$B$5:$KA$5=JF$5)*('06.XLS'!$B$7:$KA$45))</f>
        <v>0</v>
      </c>
      <c r="JG40" s="1135" cm="1">
        <f t="array" ref="JG40">SUMPRODUCT(('06.XLS'!$A$7:$A$45=$A40)*('06.XLS'!$B$5:$KA$5=JG$5)*('06.XLS'!$B$7:$KA$45))</f>
        <v>0</v>
      </c>
      <c r="JH40" s="1135" cm="1">
        <f t="array" ref="JH40">SUMPRODUCT(('06.XLS'!$A$7:$A$45=$A40)*('06.XLS'!$B$5:$KA$5=JH$5)*('06.XLS'!$B$7:$KA$45))</f>
        <v>0</v>
      </c>
      <c r="JI40" s="1135" cm="1">
        <f t="array" ref="JI40">SUMPRODUCT(('06.XLS'!$A$7:$A$45=$A40)*('06.XLS'!$B$5:$KA$5=JI$5)*('06.XLS'!$B$7:$KA$45))</f>
        <v>0</v>
      </c>
      <c r="JJ40" s="1135" cm="1">
        <f t="array" ref="JJ40">SUMPRODUCT(('06.XLS'!$A$7:$A$45=$A40)*('06.XLS'!$B$5:$KA$5=JJ$5)*('06.XLS'!$B$7:$KA$45))</f>
        <v>0</v>
      </c>
      <c r="JK40" s="1135" cm="1">
        <f t="array" ref="JK40">SUMPRODUCT(('06.XLS'!$A$7:$A$45=$A40)*('06.XLS'!$B$5:$KA$5=JK$5)*('06.XLS'!$B$7:$KA$45))</f>
        <v>0</v>
      </c>
      <c r="JL40" s="1135" cm="1">
        <f t="array" ref="JL40">SUMPRODUCT(('06.XLS'!$A$7:$A$45=$A40)*('06.XLS'!$B$5:$KA$5=JL$5)*('06.XLS'!$B$7:$KA$45))</f>
        <v>0</v>
      </c>
      <c r="JM40" s="1135" cm="1">
        <f t="array" ref="JM40">SUMPRODUCT(('06.XLS'!$A$7:$A$45=$A40)*('06.XLS'!$B$5:$KA$5=JM$5)*('06.XLS'!$B$7:$KA$45))</f>
        <v>673.8</v>
      </c>
      <c r="JN40" s="1136">
        <f t="shared" si="36"/>
        <v>673.8</v>
      </c>
      <c r="JO40" s="1135" cm="1">
        <f t="array" ref="JO40">SUMPRODUCT(('06.XLS'!$A$7:$A$45=$A40)*('06.XLS'!$B$5:$KA$5=JO$5)*('06.XLS'!$B$7:$KA$45))</f>
        <v>0</v>
      </c>
      <c r="JP40" s="1135" cm="1">
        <f t="array" ref="JP40">SUMPRODUCT(('06.XLS'!$A$7:$A$45=$A40)*('06.XLS'!$B$5:$KA$5=JP$5)*('06.XLS'!$B$7:$KA$45))</f>
        <v>0</v>
      </c>
      <c r="JQ40" s="1135" cm="1">
        <f t="array" ref="JQ40">SUMPRODUCT(('06.XLS'!$A$7:$A$45=$A40)*('06.XLS'!$B$5:$KA$5=JQ$5)*('06.XLS'!$B$7:$KA$45))</f>
        <v>0</v>
      </c>
      <c r="JR40" s="1135" cm="1">
        <f t="array" ref="JR40">SUMPRODUCT(('06.XLS'!$A$7:$A$45=$A40)*('06.XLS'!$B$5:$KA$5=JR$5)*('06.XLS'!$B$7:$KA$45))</f>
        <v>0</v>
      </c>
      <c r="JS40" s="1135" cm="1">
        <f t="array" ref="JS40">SUMPRODUCT(('06.XLS'!$A$7:$A$45=$A40)*('06.XLS'!$B$5:$KA$5=JS$5)*('06.XLS'!$B$7:$KA$45))</f>
        <v>0</v>
      </c>
      <c r="JT40" s="1135" cm="1">
        <f t="array" ref="JT40">SUMPRODUCT(('06.XLS'!$A$7:$A$45=$A40)*('06.XLS'!$B$5:$KA$5=JT$5)*('06.XLS'!$B$7:$KA$45))</f>
        <v>0</v>
      </c>
      <c r="JU40" s="1135" cm="1">
        <f t="array" ref="JU40">SUMPRODUCT(('06.XLS'!$A$7:$A$45=$A40)*('06.XLS'!$B$5:$KA$5=JU$5)*('06.XLS'!$B$7:$KA$45))</f>
        <v>0</v>
      </c>
      <c r="JV40" s="1135" cm="1">
        <f t="array" ref="JV40">SUMPRODUCT(('06.XLS'!$A$7:$A$45=$A40)*('06.XLS'!$B$5:$KA$5=JV$5)*('06.XLS'!$B$7:$KA$45))</f>
        <v>0</v>
      </c>
      <c r="JW40" s="1135" cm="1">
        <f t="array" ref="JW40">SUMPRODUCT(('06.XLS'!$A$7:$A$45=$A40)*('06.XLS'!$B$5:$KA$5=JW$5)*('06.XLS'!$B$7:$KA$45))</f>
        <v>0</v>
      </c>
      <c r="JX40" s="1135" cm="1">
        <f t="array" ref="JX40">SUMPRODUCT(('06.XLS'!$A$7:$A$45=$A40)*('06.XLS'!$B$5:$KA$5=JX$5)*('06.XLS'!$B$7:$KA$45))</f>
        <v>0</v>
      </c>
      <c r="JY40" s="1135" cm="1">
        <f t="array" ref="JY40">SUMPRODUCT(('06.XLS'!$A$7:$A$45=$A40)*('06.XLS'!$B$5:$KA$5=JY$5)*('06.XLS'!$B$7:$KA$45))</f>
        <v>0</v>
      </c>
      <c r="JZ40" s="1135" cm="1">
        <f t="array" ref="JZ40">SUMPRODUCT(('06.XLS'!$A$7:$A$45=$A40)*('06.XLS'!$B$5:$KA$5=JZ$5)*('06.XLS'!$B$7:$KA$45))</f>
        <v>0</v>
      </c>
      <c r="KA40" s="1136">
        <f t="shared" si="38"/>
        <v>0</v>
      </c>
      <c r="KC40" s="1137" cm="1">
        <f t="array" ref="KC40">IFERROR(((
_xlfn.XLOOKUP((DATE(YEAR($KC$5),MONTH($KC$5),1)),SMN.COSECHA.DATE,$B40:$KA40) /
_xlfn.XLOOKUP((DATE(YEAR($KC$5)-1,MONTH($KC$5),1)),SMN.COSECHA.DATE,$B40:$KA40)
)-1)*100,"")</f>
        <v>83.097826086956502</v>
      </c>
      <c r="KD40" s="1138">
        <f t="shared" si="39"/>
        <v>-42.410256410256423</v>
      </c>
      <c r="KE40" s="1139" cm="1">
        <f t="array" ref="KE40">SUMIFS($B40:$KA40,SMN.COSECHA.DATE,"&gt;="&amp;DATE(YEAR($KC$5)-1,1,1),SMN.COSECHA.DATE,"&lt;="&amp;DATE(YEAR($KC$5)-1,MONTH($KC$5),1))</f>
        <v>1170</v>
      </c>
      <c r="KF40" s="1140" cm="1">
        <f t="array" ref="KF40">SUMIFS($B40:$KA40,SMN.COSECHA.DATE,"&gt;="&amp;DATE(YEAR($KC$5),1,1),SMN.COSECHA.DATE,"&lt;="&amp;$KC$5)</f>
        <v>673.8</v>
      </c>
      <c r="KG40" s="1041"/>
      <c r="KH40" s="1082"/>
      <c r="KI40" s="1083"/>
      <c r="KJ40" s="1084"/>
    </row>
    <row r="41" spans="1:296" ht="15" customHeight="1" x14ac:dyDescent="0.2">
      <c r="A41" s="1145" t="s">
        <v>37</v>
      </c>
      <c r="B41" s="1135" cm="1">
        <f t="array" ref="B41">SUMPRODUCT(('06.XLS'!$A$7:$A$45=$A41)*('06.XLS'!$B$5:$KA$5=B$5)*('06.XLS'!$B$7:$KA$45))</f>
        <v>0</v>
      </c>
      <c r="C41" s="1135" cm="1">
        <f t="array" ref="C41">SUMPRODUCT(('06.XLS'!$A$7:$A$45=$A41)*('06.XLS'!$B$5:$KA$5=C$5)*('06.XLS'!$B$7:$KA$45))</f>
        <v>0</v>
      </c>
      <c r="D41" s="1135" cm="1">
        <f t="array" ref="D41">SUMPRODUCT(('06.XLS'!$A$7:$A$45=$A41)*('06.XLS'!$B$5:$KA$5=D$5)*('06.XLS'!$B$7:$KA$45))</f>
        <v>0</v>
      </c>
      <c r="E41" s="1135" cm="1">
        <f t="array" ref="E41">SUMPRODUCT(('06.XLS'!$A$7:$A$45=$A41)*('06.XLS'!$B$5:$KA$5=E$5)*('06.XLS'!$B$7:$KA$45))</f>
        <v>0</v>
      </c>
      <c r="F41" s="1135" cm="1">
        <f t="array" ref="F41">SUMPRODUCT(('06.XLS'!$A$7:$A$45=$A41)*('06.XLS'!$B$5:$KA$5=F$5)*('06.XLS'!$B$7:$KA$45))</f>
        <v>0</v>
      </c>
      <c r="G41" s="1135" cm="1">
        <f t="array" ref="G41">SUMPRODUCT(('06.XLS'!$A$7:$A$45=$A41)*('06.XLS'!$B$5:$KA$5=G$5)*('06.XLS'!$B$7:$KA$45))</f>
        <v>0</v>
      </c>
      <c r="H41" s="1135" cm="1">
        <f t="array" ref="H41">SUMPRODUCT(('06.XLS'!$A$7:$A$45=$A41)*('06.XLS'!$B$5:$KA$5=H$5)*('06.XLS'!$B$7:$KA$45))</f>
        <v>0</v>
      </c>
      <c r="I41" s="1135" cm="1">
        <f t="array" ref="I41">SUMPRODUCT(('06.XLS'!$A$7:$A$45=$A41)*('06.XLS'!$B$5:$KA$5=I$5)*('06.XLS'!$B$7:$KA$45))</f>
        <v>0</v>
      </c>
      <c r="J41" s="1135" cm="1">
        <f t="array" ref="J41">SUMPRODUCT(('06.XLS'!$A$7:$A$45=$A41)*('06.XLS'!$B$5:$KA$5=J$5)*('06.XLS'!$B$7:$KA$45))</f>
        <v>0</v>
      </c>
      <c r="K41" s="1135" cm="1">
        <f t="array" ref="K41">SUMPRODUCT(('06.XLS'!$A$7:$A$45=$A41)*('06.XLS'!$B$5:$KA$5=K$5)*('06.XLS'!$B$7:$KA$45))</f>
        <v>0</v>
      </c>
      <c r="L41" s="1135" cm="1">
        <f t="array" ref="L41">SUMPRODUCT(('06.XLS'!$A$7:$A$45=$A41)*('06.XLS'!$B$5:$KA$5=L$5)*('06.XLS'!$B$7:$KA$45))</f>
        <v>0</v>
      </c>
      <c r="M41" s="1135" cm="1">
        <f t="array" ref="M41">SUMPRODUCT(('06.XLS'!$A$7:$A$45=$A41)*('06.XLS'!$B$5:$KA$5=M$5)*('06.XLS'!$B$7:$KA$45))</f>
        <v>1251</v>
      </c>
      <c r="N41" s="1136">
        <f t="shared" si="1"/>
        <v>1251</v>
      </c>
      <c r="O41" s="1135" cm="1">
        <f t="array" ref="O41">SUMPRODUCT(('06.XLS'!$A$7:$A$45=$A41)*('06.XLS'!$B$5:$KA$5=O$5)*('06.XLS'!$B$7:$KA$45))</f>
        <v>0</v>
      </c>
      <c r="P41" s="1135" cm="1">
        <f t="array" ref="P41">SUMPRODUCT(('06.XLS'!$A$7:$A$45=$A41)*('06.XLS'!$B$5:$KA$5=P$5)*('06.XLS'!$B$7:$KA$45))</f>
        <v>0</v>
      </c>
      <c r="Q41" s="1135" cm="1">
        <f t="array" ref="Q41">SUMPRODUCT(('06.XLS'!$A$7:$A$45=$A41)*('06.XLS'!$B$5:$KA$5=Q$5)*('06.XLS'!$B$7:$KA$45))</f>
        <v>0</v>
      </c>
      <c r="R41" s="1135" cm="1">
        <f t="array" ref="R41">SUMPRODUCT(('06.XLS'!$A$7:$A$45=$A41)*('06.XLS'!$B$5:$KA$5=R$5)*('06.XLS'!$B$7:$KA$45))</f>
        <v>0</v>
      </c>
      <c r="S41" s="1135" cm="1">
        <f t="array" ref="S41">SUMPRODUCT(('06.XLS'!$A$7:$A$45=$A41)*('06.XLS'!$B$5:$KA$5=S$5)*('06.XLS'!$B$7:$KA$45))</f>
        <v>0</v>
      </c>
      <c r="T41" s="1135" cm="1">
        <f t="array" ref="T41">SUMPRODUCT(('06.XLS'!$A$7:$A$45=$A41)*('06.XLS'!$B$5:$KA$5=T$5)*('06.XLS'!$B$7:$KA$45))</f>
        <v>0</v>
      </c>
      <c r="U41" s="1135" cm="1">
        <f t="array" ref="U41">SUMPRODUCT(('06.XLS'!$A$7:$A$45=$A41)*('06.XLS'!$B$5:$KA$5=U$5)*('06.XLS'!$B$7:$KA$45))</f>
        <v>0</v>
      </c>
      <c r="V41" s="1135" cm="1">
        <f t="array" ref="V41">SUMPRODUCT(('06.XLS'!$A$7:$A$45=$A41)*('06.XLS'!$B$5:$KA$5=V$5)*('06.XLS'!$B$7:$KA$45))</f>
        <v>0</v>
      </c>
      <c r="W41" s="1135" cm="1">
        <f t="array" ref="W41">SUMPRODUCT(('06.XLS'!$A$7:$A$45=$A41)*('06.XLS'!$B$5:$KA$5=W$5)*('06.XLS'!$B$7:$KA$45))</f>
        <v>0</v>
      </c>
      <c r="X41" s="1135" cm="1">
        <f t="array" ref="X41">SUMPRODUCT(('06.XLS'!$A$7:$A$45=$A41)*('06.XLS'!$B$5:$KA$5=X$5)*('06.XLS'!$B$7:$KA$45))</f>
        <v>0</v>
      </c>
      <c r="Y41" s="1135" cm="1">
        <f t="array" ref="Y41">SUMPRODUCT(('06.XLS'!$A$7:$A$45=$A41)*('06.XLS'!$B$5:$KA$5=Y$5)*('06.XLS'!$B$7:$KA$45))</f>
        <v>0</v>
      </c>
      <c r="Z41" s="1135" cm="1">
        <f t="array" ref="Z41">SUMPRODUCT(('06.XLS'!$A$7:$A$45=$A41)*('06.XLS'!$B$5:$KA$5=Z$5)*('06.XLS'!$B$7:$KA$45))</f>
        <v>1261.5</v>
      </c>
      <c r="AA41" s="1136">
        <f t="shared" si="3"/>
        <v>1261.5</v>
      </c>
      <c r="AB41" s="1135" cm="1">
        <f t="array" ref="AB41">SUMPRODUCT(('06.XLS'!$A$7:$A$45=$A41)*('06.XLS'!$B$5:$KA$5=AB$5)*('06.XLS'!$B$7:$KA$45))</f>
        <v>0</v>
      </c>
      <c r="AC41" s="1135" cm="1">
        <f t="array" ref="AC41">SUMPRODUCT(('06.XLS'!$A$7:$A$45=$A41)*('06.XLS'!$B$5:$KA$5=AC$5)*('06.XLS'!$B$7:$KA$45))</f>
        <v>0</v>
      </c>
      <c r="AD41" s="1135" cm="1">
        <f t="array" ref="AD41">SUMPRODUCT(('06.XLS'!$A$7:$A$45=$A41)*('06.XLS'!$B$5:$KA$5=AD$5)*('06.XLS'!$B$7:$KA$45))</f>
        <v>0</v>
      </c>
      <c r="AE41" s="1135" cm="1">
        <f t="array" ref="AE41">SUMPRODUCT(('06.XLS'!$A$7:$A$45=$A41)*('06.XLS'!$B$5:$KA$5=AE$5)*('06.XLS'!$B$7:$KA$45))</f>
        <v>0</v>
      </c>
      <c r="AF41" s="1135" cm="1">
        <f t="array" ref="AF41">SUMPRODUCT(('06.XLS'!$A$7:$A$45=$A41)*('06.XLS'!$B$5:$KA$5=AF$5)*('06.XLS'!$B$7:$KA$45))</f>
        <v>0</v>
      </c>
      <c r="AG41" s="1135" cm="1">
        <f t="array" ref="AG41">SUMPRODUCT(('06.XLS'!$A$7:$A$45=$A41)*('06.XLS'!$B$5:$KA$5=AG$5)*('06.XLS'!$B$7:$KA$45))</f>
        <v>0</v>
      </c>
      <c r="AH41" s="1135" cm="1">
        <f t="array" ref="AH41">SUMPRODUCT(('06.XLS'!$A$7:$A$45=$A41)*('06.XLS'!$B$5:$KA$5=AH$5)*('06.XLS'!$B$7:$KA$45))</f>
        <v>0</v>
      </c>
      <c r="AI41" s="1135" cm="1">
        <f t="array" ref="AI41">SUMPRODUCT(('06.XLS'!$A$7:$A$45=$A41)*('06.XLS'!$B$5:$KA$5=AI$5)*('06.XLS'!$B$7:$KA$45))</f>
        <v>0</v>
      </c>
      <c r="AJ41" s="1135" cm="1">
        <f t="array" ref="AJ41">SUMPRODUCT(('06.XLS'!$A$7:$A$45=$A41)*('06.XLS'!$B$5:$KA$5=AJ$5)*('06.XLS'!$B$7:$KA$45))</f>
        <v>0</v>
      </c>
      <c r="AK41" s="1135" cm="1">
        <f t="array" ref="AK41">SUMPRODUCT(('06.XLS'!$A$7:$A$45=$A41)*('06.XLS'!$B$5:$KA$5=AK$5)*('06.XLS'!$B$7:$KA$45))</f>
        <v>0</v>
      </c>
      <c r="AL41" s="1135" cm="1">
        <f t="array" ref="AL41">SUMPRODUCT(('06.XLS'!$A$7:$A$45=$A41)*('06.XLS'!$B$5:$KA$5=AL$5)*('06.XLS'!$B$7:$KA$45))</f>
        <v>0</v>
      </c>
      <c r="AM41" s="1135" cm="1">
        <f t="array" ref="AM41">SUMPRODUCT(('06.XLS'!$A$7:$A$45=$A41)*('06.XLS'!$B$5:$KA$5=AM$5)*('06.XLS'!$B$7:$KA$45))</f>
        <v>1258</v>
      </c>
      <c r="AN41" s="1136">
        <f t="shared" si="5"/>
        <v>1258</v>
      </c>
      <c r="AO41" s="1135" cm="1">
        <f t="array" ref="AO41">SUMPRODUCT(('06.XLS'!$A$7:$A$45=$A41)*('06.XLS'!$B$5:$KA$5=AO$5)*('06.XLS'!$B$7:$KA$45))</f>
        <v>0</v>
      </c>
      <c r="AP41" s="1135" cm="1">
        <f t="array" ref="AP41">SUMPRODUCT(('06.XLS'!$A$7:$A$45=$A41)*('06.XLS'!$B$5:$KA$5=AP$5)*('06.XLS'!$B$7:$KA$45))</f>
        <v>0</v>
      </c>
      <c r="AQ41" s="1135" cm="1">
        <f t="array" ref="AQ41">SUMPRODUCT(('06.XLS'!$A$7:$A$45=$A41)*('06.XLS'!$B$5:$KA$5=AQ$5)*('06.XLS'!$B$7:$KA$45))</f>
        <v>0</v>
      </c>
      <c r="AR41" s="1135" cm="1">
        <f t="array" ref="AR41">SUMPRODUCT(('06.XLS'!$A$7:$A$45=$A41)*('06.XLS'!$B$5:$KA$5=AR$5)*('06.XLS'!$B$7:$KA$45))</f>
        <v>0</v>
      </c>
      <c r="AS41" s="1135" cm="1">
        <f t="array" ref="AS41">SUMPRODUCT(('06.XLS'!$A$7:$A$45=$A41)*('06.XLS'!$B$5:$KA$5=AS$5)*('06.XLS'!$B$7:$KA$45))</f>
        <v>0</v>
      </c>
      <c r="AT41" s="1135" cm="1">
        <f t="array" ref="AT41">SUMPRODUCT(('06.XLS'!$A$7:$A$45=$A41)*('06.XLS'!$B$5:$KA$5=AT$5)*('06.XLS'!$B$7:$KA$45))</f>
        <v>0</v>
      </c>
      <c r="AU41" s="1135" cm="1">
        <f t="array" ref="AU41">SUMPRODUCT(('06.XLS'!$A$7:$A$45=$A41)*('06.XLS'!$B$5:$KA$5=AU$5)*('06.XLS'!$B$7:$KA$45))</f>
        <v>0</v>
      </c>
      <c r="AV41" s="1135" cm="1">
        <f t="array" ref="AV41">SUMPRODUCT(('06.XLS'!$A$7:$A$45=$A41)*('06.XLS'!$B$5:$KA$5=AV$5)*('06.XLS'!$B$7:$KA$45))</f>
        <v>0</v>
      </c>
      <c r="AW41" s="1135" cm="1">
        <f t="array" ref="AW41">SUMPRODUCT(('06.XLS'!$A$7:$A$45=$A41)*('06.XLS'!$B$5:$KA$5=AW$5)*('06.XLS'!$B$7:$KA$45))</f>
        <v>0</v>
      </c>
      <c r="AX41" s="1135" cm="1">
        <f t="array" ref="AX41">SUMPRODUCT(('06.XLS'!$A$7:$A$45=$A41)*('06.XLS'!$B$5:$KA$5=AX$5)*('06.XLS'!$B$7:$KA$45))</f>
        <v>0</v>
      </c>
      <c r="AY41" s="1135" cm="1">
        <f t="array" ref="AY41">SUMPRODUCT(('06.XLS'!$A$7:$A$45=$A41)*('06.XLS'!$B$5:$KA$5=AY$5)*('06.XLS'!$B$7:$KA$45))</f>
        <v>0</v>
      </c>
      <c r="AZ41" s="1135" cm="1">
        <f t="array" ref="AZ41">SUMPRODUCT(('06.XLS'!$A$7:$A$45=$A41)*('06.XLS'!$B$5:$KA$5=AZ$5)*('06.XLS'!$B$7:$KA$45))</f>
        <v>1212</v>
      </c>
      <c r="BA41" s="1136">
        <f t="shared" si="7"/>
        <v>1212</v>
      </c>
      <c r="BB41" s="1135" cm="1">
        <f t="array" ref="BB41">SUMPRODUCT(('06.XLS'!$A$7:$A$45=$A41)*('06.XLS'!$B$5:$KA$5=BB$5)*('06.XLS'!$B$7:$KA$45))</f>
        <v>0</v>
      </c>
      <c r="BC41" s="1135" cm="1">
        <f t="array" ref="BC41">SUMPRODUCT(('06.XLS'!$A$7:$A$45=$A41)*('06.XLS'!$B$5:$KA$5=BC$5)*('06.XLS'!$B$7:$KA$45))</f>
        <v>0</v>
      </c>
      <c r="BD41" s="1135" cm="1">
        <f t="array" ref="BD41">SUMPRODUCT(('06.XLS'!$A$7:$A$45=$A41)*('06.XLS'!$B$5:$KA$5=BD$5)*('06.XLS'!$B$7:$KA$45))</f>
        <v>0</v>
      </c>
      <c r="BE41" s="1135" cm="1">
        <f t="array" ref="BE41">SUMPRODUCT(('06.XLS'!$A$7:$A$45=$A41)*('06.XLS'!$B$5:$KA$5=BE$5)*('06.XLS'!$B$7:$KA$45))</f>
        <v>0</v>
      </c>
      <c r="BF41" s="1135" cm="1">
        <f t="array" ref="BF41">SUMPRODUCT(('06.XLS'!$A$7:$A$45=$A41)*('06.XLS'!$B$5:$KA$5=BF$5)*('06.XLS'!$B$7:$KA$45))</f>
        <v>0</v>
      </c>
      <c r="BG41" s="1135" cm="1">
        <f t="array" ref="BG41">SUMPRODUCT(('06.XLS'!$A$7:$A$45=$A41)*('06.XLS'!$B$5:$KA$5=BG$5)*('06.XLS'!$B$7:$KA$45))</f>
        <v>0</v>
      </c>
      <c r="BH41" s="1135" cm="1">
        <f t="array" ref="BH41">SUMPRODUCT(('06.XLS'!$A$7:$A$45=$A41)*('06.XLS'!$B$5:$KA$5=BH$5)*('06.XLS'!$B$7:$KA$45))</f>
        <v>0</v>
      </c>
      <c r="BI41" s="1135" cm="1">
        <f t="array" ref="BI41">SUMPRODUCT(('06.XLS'!$A$7:$A$45=$A41)*('06.XLS'!$B$5:$KA$5=BI$5)*('06.XLS'!$B$7:$KA$45))</f>
        <v>0</v>
      </c>
      <c r="BJ41" s="1135" cm="1">
        <f t="array" ref="BJ41">SUMPRODUCT(('06.XLS'!$A$7:$A$45=$A41)*('06.XLS'!$B$5:$KA$5=BJ$5)*('06.XLS'!$B$7:$KA$45))</f>
        <v>0</v>
      </c>
      <c r="BK41" s="1135" cm="1">
        <f t="array" ref="BK41">SUMPRODUCT(('06.XLS'!$A$7:$A$45=$A41)*('06.XLS'!$B$5:$KA$5=BK$5)*('06.XLS'!$B$7:$KA$45))</f>
        <v>0</v>
      </c>
      <c r="BL41" s="1135" cm="1">
        <f t="array" ref="BL41">SUMPRODUCT(('06.XLS'!$A$7:$A$45=$A41)*('06.XLS'!$B$5:$KA$5=BL$5)*('06.XLS'!$B$7:$KA$45))</f>
        <v>0</v>
      </c>
      <c r="BM41" s="1135" cm="1">
        <f t="array" ref="BM41">SUMPRODUCT(('06.XLS'!$A$7:$A$45=$A41)*('06.XLS'!$B$5:$KA$5=BM$5)*('06.XLS'!$B$7:$KA$45))</f>
        <v>1217</v>
      </c>
      <c r="BN41" s="1136">
        <f t="shared" si="9"/>
        <v>1217</v>
      </c>
      <c r="BO41" s="1135" cm="1">
        <f t="array" ref="BO41">SUMPRODUCT(('06.XLS'!$A$7:$A$45=$A41)*('06.XLS'!$B$5:$KA$5=BO$5)*('06.XLS'!$B$7:$KA$45))</f>
        <v>0</v>
      </c>
      <c r="BP41" s="1135" cm="1">
        <f t="array" ref="BP41">SUMPRODUCT(('06.XLS'!$A$7:$A$45=$A41)*('06.XLS'!$B$5:$KA$5=BP$5)*('06.XLS'!$B$7:$KA$45))</f>
        <v>0</v>
      </c>
      <c r="BQ41" s="1135" cm="1">
        <f t="array" ref="BQ41">SUMPRODUCT(('06.XLS'!$A$7:$A$45=$A41)*('06.XLS'!$B$5:$KA$5=BQ$5)*('06.XLS'!$B$7:$KA$45))</f>
        <v>0</v>
      </c>
      <c r="BR41" s="1135" cm="1">
        <f t="array" ref="BR41">SUMPRODUCT(('06.XLS'!$A$7:$A$45=$A41)*('06.XLS'!$B$5:$KA$5=BR$5)*('06.XLS'!$B$7:$KA$45))</f>
        <v>0</v>
      </c>
      <c r="BS41" s="1135" cm="1">
        <f t="array" ref="BS41">SUMPRODUCT(('06.XLS'!$A$7:$A$45=$A41)*('06.XLS'!$B$5:$KA$5=BS$5)*('06.XLS'!$B$7:$KA$45))</f>
        <v>0</v>
      </c>
      <c r="BT41" s="1135" cm="1">
        <f t="array" ref="BT41">SUMPRODUCT(('06.XLS'!$A$7:$A$45=$A41)*('06.XLS'!$B$5:$KA$5=BT$5)*('06.XLS'!$B$7:$KA$45))</f>
        <v>0</v>
      </c>
      <c r="BU41" s="1135" cm="1">
        <f t="array" ref="BU41">SUMPRODUCT(('06.XLS'!$A$7:$A$45=$A41)*('06.XLS'!$B$5:$KA$5=BU$5)*('06.XLS'!$B$7:$KA$45))</f>
        <v>0</v>
      </c>
      <c r="BV41" s="1135" cm="1">
        <f t="array" ref="BV41">SUMPRODUCT(('06.XLS'!$A$7:$A$45=$A41)*('06.XLS'!$B$5:$KA$5=BV$5)*('06.XLS'!$B$7:$KA$45))</f>
        <v>0</v>
      </c>
      <c r="BW41" s="1135" cm="1">
        <f t="array" ref="BW41">SUMPRODUCT(('06.XLS'!$A$7:$A$45=$A41)*('06.XLS'!$B$5:$KA$5=BW$5)*('06.XLS'!$B$7:$KA$45))</f>
        <v>0</v>
      </c>
      <c r="BX41" s="1135" cm="1">
        <f t="array" ref="BX41">SUMPRODUCT(('06.XLS'!$A$7:$A$45=$A41)*('06.XLS'!$B$5:$KA$5=BX$5)*('06.XLS'!$B$7:$KA$45))</f>
        <v>0</v>
      </c>
      <c r="BY41" s="1135" cm="1">
        <f t="array" ref="BY41">SUMPRODUCT(('06.XLS'!$A$7:$A$45=$A41)*('06.XLS'!$B$5:$KA$5=BY$5)*('06.XLS'!$B$7:$KA$45))</f>
        <v>0</v>
      </c>
      <c r="BZ41" s="1135" cm="1">
        <f t="array" ref="BZ41">SUMPRODUCT(('06.XLS'!$A$7:$A$45=$A41)*('06.XLS'!$B$5:$KA$5=BZ$5)*('06.XLS'!$B$7:$KA$45))</f>
        <v>1218</v>
      </c>
      <c r="CA41" s="1136">
        <f t="shared" si="11"/>
        <v>1218</v>
      </c>
      <c r="CB41" s="1135" cm="1">
        <f t="array" ref="CB41">SUMPRODUCT(('06.XLS'!$A$7:$A$45=$A41)*('06.XLS'!$B$5:$KA$5=CB$5)*('06.XLS'!$B$7:$KA$45))</f>
        <v>0</v>
      </c>
      <c r="CC41" s="1135" cm="1">
        <f t="array" ref="CC41">SUMPRODUCT(('06.XLS'!$A$7:$A$45=$A41)*('06.XLS'!$B$5:$KA$5=CC$5)*('06.XLS'!$B$7:$KA$45))</f>
        <v>0</v>
      </c>
      <c r="CD41" s="1135" cm="1">
        <f t="array" ref="CD41">SUMPRODUCT(('06.XLS'!$A$7:$A$45=$A41)*('06.XLS'!$B$5:$KA$5=CD$5)*('06.XLS'!$B$7:$KA$45))</f>
        <v>0</v>
      </c>
      <c r="CE41" s="1135" cm="1">
        <f t="array" ref="CE41">SUMPRODUCT(('06.XLS'!$A$7:$A$45=$A41)*('06.XLS'!$B$5:$KA$5=CE$5)*('06.XLS'!$B$7:$KA$45))</f>
        <v>0</v>
      </c>
      <c r="CF41" s="1135" cm="1">
        <f t="array" ref="CF41">SUMPRODUCT(('06.XLS'!$A$7:$A$45=$A41)*('06.XLS'!$B$5:$KA$5=CF$5)*('06.XLS'!$B$7:$KA$45))</f>
        <v>0</v>
      </c>
      <c r="CG41" s="1135" cm="1">
        <f t="array" ref="CG41">SUMPRODUCT(('06.XLS'!$A$7:$A$45=$A41)*('06.XLS'!$B$5:$KA$5=CG$5)*('06.XLS'!$B$7:$KA$45))</f>
        <v>0</v>
      </c>
      <c r="CH41" s="1135" cm="1">
        <f t="array" ref="CH41">SUMPRODUCT(('06.XLS'!$A$7:$A$45=$A41)*('06.XLS'!$B$5:$KA$5=CH$5)*('06.XLS'!$B$7:$KA$45))</f>
        <v>0</v>
      </c>
      <c r="CI41" s="1135" cm="1">
        <f t="array" ref="CI41">SUMPRODUCT(('06.XLS'!$A$7:$A$45=$A41)*('06.XLS'!$B$5:$KA$5=CI$5)*('06.XLS'!$B$7:$KA$45))</f>
        <v>0</v>
      </c>
      <c r="CJ41" s="1135" cm="1">
        <f t="array" ref="CJ41">SUMPRODUCT(('06.XLS'!$A$7:$A$45=$A41)*('06.XLS'!$B$5:$KA$5=CJ$5)*('06.XLS'!$B$7:$KA$45))</f>
        <v>0</v>
      </c>
      <c r="CK41" s="1135" cm="1">
        <f t="array" ref="CK41">SUMPRODUCT(('06.XLS'!$A$7:$A$45=$A41)*('06.XLS'!$B$5:$KA$5=CK$5)*('06.XLS'!$B$7:$KA$45))</f>
        <v>0</v>
      </c>
      <c r="CL41" s="1135" cm="1">
        <f t="array" ref="CL41">SUMPRODUCT(('06.XLS'!$A$7:$A$45=$A41)*('06.XLS'!$B$5:$KA$5=CL$5)*('06.XLS'!$B$7:$KA$45))</f>
        <v>0</v>
      </c>
      <c r="CM41" s="1135" cm="1">
        <f t="array" ref="CM41">SUMPRODUCT(('06.XLS'!$A$7:$A$45=$A41)*('06.XLS'!$B$5:$KA$5=CM$5)*('06.XLS'!$B$7:$KA$45))</f>
        <v>1060</v>
      </c>
      <c r="CN41" s="1136">
        <f t="shared" si="13"/>
        <v>1060</v>
      </c>
      <c r="CO41" s="1135" cm="1">
        <f t="array" ref="CO41">SUMPRODUCT(('06.XLS'!$A$7:$A$45=$A41)*('06.XLS'!$B$5:$KA$5=CO$5)*('06.XLS'!$B$7:$KA$45))</f>
        <v>0</v>
      </c>
      <c r="CP41" s="1135" cm="1">
        <f t="array" ref="CP41">SUMPRODUCT(('06.XLS'!$A$7:$A$45=$A41)*('06.XLS'!$B$5:$KA$5=CP$5)*('06.XLS'!$B$7:$KA$45))</f>
        <v>0</v>
      </c>
      <c r="CQ41" s="1135" cm="1">
        <f t="array" ref="CQ41">SUMPRODUCT(('06.XLS'!$A$7:$A$45=$A41)*('06.XLS'!$B$5:$KA$5=CQ$5)*('06.XLS'!$B$7:$KA$45))</f>
        <v>0</v>
      </c>
      <c r="CR41" s="1135" cm="1">
        <f t="array" ref="CR41">SUMPRODUCT(('06.XLS'!$A$7:$A$45=$A41)*('06.XLS'!$B$5:$KA$5=CR$5)*('06.XLS'!$B$7:$KA$45))</f>
        <v>0</v>
      </c>
      <c r="CS41" s="1135" cm="1">
        <f t="array" ref="CS41">SUMPRODUCT(('06.XLS'!$A$7:$A$45=$A41)*('06.XLS'!$B$5:$KA$5=CS$5)*('06.XLS'!$B$7:$KA$45))</f>
        <v>0</v>
      </c>
      <c r="CT41" s="1135" cm="1">
        <f t="array" ref="CT41">SUMPRODUCT(('06.XLS'!$A$7:$A$45=$A41)*('06.XLS'!$B$5:$KA$5=CT$5)*('06.XLS'!$B$7:$KA$45))</f>
        <v>0</v>
      </c>
      <c r="CU41" s="1135" cm="1">
        <f t="array" ref="CU41">SUMPRODUCT(('06.XLS'!$A$7:$A$45=$A41)*('06.XLS'!$B$5:$KA$5=CU$5)*('06.XLS'!$B$7:$KA$45))</f>
        <v>0</v>
      </c>
      <c r="CV41" s="1135" cm="1">
        <f t="array" ref="CV41">SUMPRODUCT(('06.XLS'!$A$7:$A$45=$A41)*('06.XLS'!$B$5:$KA$5=CV$5)*('06.XLS'!$B$7:$KA$45))</f>
        <v>0</v>
      </c>
      <c r="CW41" s="1135" cm="1">
        <f t="array" ref="CW41">SUMPRODUCT(('06.XLS'!$A$7:$A$45=$A41)*('06.XLS'!$B$5:$KA$5=CW$5)*('06.XLS'!$B$7:$KA$45))</f>
        <v>0</v>
      </c>
      <c r="CX41" s="1135" cm="1">
        <f t="array" ref="CX41">SUMPRODUCT(('06.XLS'!$A$7:$A$45=$A41)*('06.XLS'!$B$5:$KA$5=CX$5)*('06.XLS'!$B$7:$KA$45))</f>
        <v>0</v>
      </c>
      <c r="CY41" s="1135" cm="1">
        <f t="array" ref="CY41">SUMPRODUCT(('06.XLS'!$A$7:$A$45=$A41)*('06.XLS'!$B$5:$KA$5=CY$5)*('06.XLS'!$B$7:$KA$45))</f>
        <v>0</v>
      </c>
      <c r="CZ41" s="1135" cm="1">
        <f t="array" ref="CZ41">SUMPRODUCT(('06.XLS'!$A$7:$A$45=$A41)*('06.XLS'!$B$5:$KA$5=CZ$5)*('06.XLS'!$B$7:$KA$45))</f>
        <v>36</v>
      </c>
      <c r="DA41" s="1136">
        <f t="shared" si="15"/>
        <v>36</v>
      </c>
      <c r="DB41" s="1135" cm="1">
        <f t="array" ref="DB41">SUMPRODUCT(('06.XLS'!$A$7:$A$45=$A41)*('06.XLS'!$B$5:$KA$5=DB$5)*('06.XLS'!$B$7:$KA$45))</f>
        <v>0</v>
      </c>
      <c r="DC41" s="1135" cm="1">
        <f t="array" ref="DC41">SUMPRODUCT(('06.XLS'!$A$7:$A$45=$A41)*('06.XLS'!$B$5:$KA$5=DC$5)*('06.XLS'!$B$7:$KA$45))</f>
        <v>0</v>
      </c>
      <c r="DD41" s="1135" cm="1">
        <f t="array" ref="DD41">SUMPRODUCT(('06.XLS'!$A$7:$A$45=$A41)*('06.XLS'!$B$5:$KA$5=DD$5)*('06.XLS'!$B$7:$KA$45))</f>
        <v>0</v>
      </c>
      <c r="DE41" s="1135" cm="1">
        <f t="array" ref="DE41">SUMPRODUCT(('06.XLS'!$A$7:$A$45=$A41)*('06.XLS'!$B$5:$KA$5=DE$5)*('06.XLS'!$B$7:$KA$45))</f>
        <v>0</v>
      </c>
      <c r="DF41" s="1135" cm="1">
        <f t="array" ref="DF41">SUMPRODUCT(('06.XLS'!$A$7:$A$45=$A41)*('06.XLS'!$B$5:$KA$5=DF$5)*('06.XLS'!$B$7:$KA$45))</f>
        <v>0</v>
      </c>
      <c r="DG41" s="1135" cm="1">
        <f t="array" ref="DG41">SUMPRODUCT(('06.XLS'!$A$7:$A$45=$A41)*('06.XLS'!$B$5:$KA$5=DG$5)*('06.XLS'!$B$7:$KA$45))</f>
        <v>0</v>
      </c>
      <c r="DH41" s="1135" cm="1">
        <f t="array" ref="DH41">SUMPRODUCT(('06.XLS'!$A$7:$A$45=$A41)*('06.XLS'!$B$5:$KA$5=DH$5)*('06.XLS'!$B$7:$KA$45))</f>
        <v>0</v>
      </c>
      <c r="DI41" s="1135" cm="1">
        <f t="array" ref="DI41">SUMPRODUCT(('06.XLS'!$A$7:$A$45=$A41)*('06.XLS'!$B$5:$KA$5=DI$5)*('06.XLS'!$B$7:$KA$45))</f>
        <v>0</v>
      </c>
      <c r="DJ41" s="1135" cm="1">
        <f t="array" ref="DJ41">SUMPRODUCT(('06.XLS'!$A$7:$A$45=$A41)*('06.XLS'!$B$5:$KA$5=DJ$5)*('06.XLS'!$B$7:$KA$45))</f>
        <v>0</v>
      </c>
      <c r="DK41" s="1135" cm="1">
        <f t="array" ref="DK41">SUMPRODUCT(('06.XLS'!$A$7:$A$45=$A41)*('06.XLS'!$B$5:$KA$5=DK$5)*('06.XLS'!$B$7:$KA$45))</f>
        <v>0</v>
      </c>
      <c r="DL41" s="1135" cm="1">
        <f t="array" ref="DL41">SUMPRODUCT(('06.XLS'!$A$7:$A$45=$A41)*('06.XLS'!$B$5:$KA$5=DL$5)*('06.XLS'!$B$7:$KA$45))</f>
        <v>0</v>
      </c>
      <c r="DM41" s="1135" cm="1">
        <f t="array" ref="DM41">SUMPRODUCT(('06.XLS'!$A$7:$A$45=$A41)*('06.XLS'!$B$5:$KA$5=DM$5)*('06.XLS'!$B$7:$KA$45))</f>
        <v>647</v>
      </c>
      <c r="DN41" s="1136">
        <f t="shared" si="17"/>
        <v>647</v>
      </c>
      <c r="DO41" s="1135" cm="1">
        <f t="array" ref="DO41">SUMPRODUCT(('06.XLS'!$A$7:$A$45=$A41)*('06.XLS'!$B$5:$KA$5=DO$5)*('06.XLS'!$B$7:$KA$45))</f>
        <v>0</v>
      </c>
      <c r="DP41" s="1135" cm="1">
        <f t="array" ref="DP41">SUMPRODUCT(('06.XLS'!$A$7:$A$45=$A41)*('06.XLS'!$B$5:$KA$5=DP$5)*('06.XLS'!$B$7:$KA$45))</f>
        <v>0</v>
      </c>
      <c r="DQ41" s="1135" cm="1">
        <f t="array" ref="DQ41">SUMPRODUCT(('06.XLS'!$A$7:$A$45=$A41)*('06.XLS'!$B$5:$KA$5=DQ$5)*('06.XLS'!$B$7:$KA$45))</f>
        <v>0</v>
      </c>
      <c r="DR41" s="1135" cm="1">
        <f t="array" ref="DR41">SUMPRODUCT(('06.XLS'!$A$7:$A$45=$A41)*('06.XLS'!$B$5:$KA$5=DR$5)*('06.XLS'!$B$7:$KA$45))</f>
        <v>0</v>
      </c>
      <c r="DS41" s="1135" cm="1">
        <f t="array" ref="DS41">SUMPRODUCT(('06.XLS'!$A$7:$A$45=$A41)*('06.XLS'!$B$5:$KA$5=DS$5)*('06.XLS'!$B$7:$KA$45))</f>
        <v>0</v>
      </c>
      <c r="DT41" s="1135" cm="1">
        <f t="array" ref="DT41">SUMPRODUCT(('06.XLS'!$A$7:$A$45=$A41)*('06.XLS'!$B$5:$KA$5=DT$5)*('06.XLS'!$B$7:$KA$45))</f>
        <v>0</v>
      </c>
      <c r="DU41" s="1135" cm="1">
        <f t="array" ref="DU41">SUMPRODUCT(('06.XLS'!$A$7:$A$45=$A41)*('06.XLS'!$B$5:$KA$5=DU$5)*('06.XLS'!$B$7:$KA$45))</f>
        <v>0</v>
      </c>
      <c r="DV41" s="1135" cm="1">
        <f t="array" ref="DV41">SUMPRODUCT(('06.XLS'!$A$7:$A$45=$A41)*('06.XLS'!$B$5:$KA$5=DV$5)*('06.XLS'!$B$7:$KA$45))</f>
        <v>0</v>
      </c>
      <c r="DW41" s="1135" cm="1">
        <f t="array" ref="DW41">SUMPRODUCT(('06.XLS'!$A$7:$A$45=$A41)*('06.XLS'!$B$5:$KA$5=DW$5)*('06.XLS'!$B$7:$KA$45))</f>
        <v>0</v>
      </c>
      <c r="DX41" s="1135" cm="1">
        <f t="array" ref="DX41">SUMPRODUCT(('06.XLS'!$A$7:$A$45=$A41)*('06.XLS'!$B$5:$KA$5=DX$5)*('06.XLS'!$B$7:$KA$45))</f>
        <v>0</v>
      </c>
      <c r="DY41" s="1135" cm="1">
        <f t="array" ref="DY41">SUMPRODUCT(('06.XLS'!$A$7:$A$45=$A41)*('06.XLS'!$B$5:$KA$5=DY$5)*('06.XLS'!$B$7:$KA$45))</f>
        <v>0</v>
      </c>
      <c r="DZ41" s="1135" cm="1">
        <f t="array" ref="DZ41">SUMPRODUCT(('06.XLS'!$A$7:$A$45=$A41)*('06.XLS'!$B$5:$KA$5=DZ$5)*('06.XLS'!$B$7:$KA$45))</f>
        <v>1210</v>
      </c>
      <c r="EA41" s="1136">
        <f t="shared" si="18"/>
        <v>1210</v>
      </c>
      <c r="EB41" s="1135" cm="1">
        <f t="array" ref="EB41">SUMPRODUCT(('06.XLS'!$A$7:$A$45=$A41)*('06.XLS'!$B$5:$KA$5=EB$5)*('06.XLS'!$B$7:$KA$45))</f>
        <v>0</v>
      </c>
      <c r="EC41" s="1135" cm="1">
        <f t="array" ref="EC41">SUMPRODUCT(('06.XLS'!$A$7:$A$45=$A41)*('06.XLS'!$B$5:$KA$5=EC$5)*('06.XLS'!$B$7:$KA$45))</f>
        <v>0</v>
      </c>
      <c r="ED41" s="1135" cm="1">
        <f t="array" ref="ED41">SUMPRODUCT(('06.XLS'!$A$7:$A$45=$A41)*('06.XLS'!$B$5:$KA$5=ED$5)*('06.XLS'!$B$7:$KA$45))</f>
        <v>0</v>
      </c>
      <c r="EE41" s="1135" cm="1">
        <f t="array" ref="EE41">SUMPRODUCT(('06.XLS'!$A$7:$A$45=$A41)*('06.XLS'!$B$5:$KA$5=EE$5)*('06.XLS'!$B$7:$KA$45))</f>
        <v>0</v>
      </c>
      <c r="EF41" s="1135" cm="1">
        <f t="array" ref="EF41">SUMPRODUCT(('06.XLS'!$A$7:$A$45=$A41)*('06.XLS'!$B$5:$KA$5=EF$5)*('06.XLS'!$B$7:$KA$45))</f>
        <v>0</v>
      </c>
      <c r="EG41" s="1135" cm="1">
        <f t="array" ref="EG41">SUMPRODUCT(('06.XLS'!$A$7:$A$45=$A41)*('06.XLS'!$B$5:$KA$5=EG$5)*('06.XLS'!$B$7:$KA$45))</f>
        <v>0</v>
      </c>
      <c r="EH41" s="1135" cm="1">
        <f t="array" ref="EH41">SUMPRODUCT(('06.XLS'!$A$7:$A$45=$A41)*('06.XLS'!$B$5:$KA$5=EH$5)*('06.XLS'!$B$7:$KA$45))</f>
        <v>0</v>
      </c>
      <c r="EI41" s="1135" cm="1">
        <f t="array" ref="EI41">SUMPRODUCT(('06.XLS'!$A$7:$A$45=$A41)*('06.XLS'!$B$5:$KA$5=EI$5)*('06.XLS'!$B$7:$KA$45))</f>
        <v>0</v>
      </c>
      <c r="EJ41" s="1135" cm="1">
        <f t="array" ref="EJ41">SUMPRODUCT(('06.XLS'!$A$7:$A$45=$A41)*('06.XLS'!$B$5:$KA$5=EJ$5)*('06.XLS'!$B$7:$KA$45))</f>
        <v>0</v>
      </c>
      <c r="EK41" s="1135" cm="1">
        <f t="array" ref="EK41">SUMPRODUCT(('06.XLS'!$A$7:$A$45=$A41)*('06.XLS'!$B$5:$KA$5=EK$5)*('06.XLS'!$B$7:$KA$45))</f>
        <v>0</v>
      </c>
      <c r="EL41" s="1135" cm="1">
        <f t="array" ref="EL41">SUMPRODUCT(('06.XLS'!$A$7:$A$45=$A41)*('06.XLS'!$B$5:$KA$5=EL$5)*('06.XLS'!$B$7:$KA$45))</f>
        <v>0</v>
      </c>
      <c r="EM41" s="1135" cm="1">
        <f t="array" ref="EM41">SUMPRODUCT(('06.XLS'!$A$7:$A$45=$A41)*('06.XLS'!$B$5:$KA$5=EM$5)*('06.XLS'!$B$7:$KA$45))</f>
        <v>1210</v>
      </c>
      <c r="EN41" s="1136">
        <f t="shared" si="20"/>
        <v>1210</v>
      </c>
      <c r="EO41" s="1135" cm="1">
        <f t="array" ref="EO41">SUMPRODUCT(('06.XLS'!$A$7:$A$45=$A41)*('06.XLS'!$B$5:$KA$5=EO$5)*('06.XLS'!$B$7:$KA$45))</f>
        <v>0</v>
      </c>
      <c r="EP41" s="1135" cm="1">
        <f t="array" ref="EP41">SUMPRODUCT(('06.XLS'!$A$7:$A$45=$A41)*('06.XLS'!$B$5:$KA$5=EP$5)*('06.XLS'!$B$7:$KA$45))</f>
        <v>0</v>
      </c>
      <c r="EQ41" s="1135" cm="1">
        <f t="array" ref="EQ41">SUMPRODUCT(('06.XLS'!$A$7:$A$45=$A41)*('06.XLS'!$B$5:$KA$5=EQ$5)*('06.XLS'!$B$7:$KA$45))</f>
        <v>0</v>
      </c>
      <c r="ER41" s="1135" cm="1">
        <f t="array" ref="ER41">SUMPRODUCT(('06.XLS'!$A$7:$A$45=$A41)*('06.XLS'!$B$5:$KA$5=ER$5)*('06.XLS'!$B$7:$KA$45))</f>
        <v>0</v>
      </c>
      <c r="ES41" s="1135" cm="1">
        <f t="array" ref="ES41">SUMPRODUCT(('06.XLS'!$A$7:$A$45=$A41)*('06.XLS'!$B$5:$KA$5=ES$5)*('06.XLS'!$B$7:$KA$45))</f>
        <v>0</v>
      </c>
      <c r="ET41" s="1135" cm="1">
        <f t="array" ref="ET41">SUMPRODUCT(('06.XLS'!$A$7:$A$45=$A41)*('06.XLS'!$B$5:$KA$5=ET$5)*('06.XLS'!$B$7:$KA$45))</f>
        <v>0</v>
      </c>
      <c r="EU41" s="1135" cm="1">
        <f t="array" ref="EU41">SUMPRODUCT(('06.XLS'!$A$7:$A$45=$A41)*('06.XLS'!$B$5:$KA$5=EU$5)*('06.XLS'!$B$7:$KA$45))</f>
        <v>0</v>
      </c>
      <c r="EV41" s="1135" cm="1">
        <f t="array" ref="EV41">SUMPRODUCT(('06.XLS'!$A$7:$A$45=$A41)*('06.XLS'!$B$5:$KA$5=EV$5)*('06.XLS'!$B$7:$KA$45))</f>
        <v>0</v>
      </c>
      <c r="EW41" s="1135" cm="1">
        <f t="array" ref="EW41">SUMPRODUCT(('06.XLS'!$A$7:$A$45=$A41)*('06.XLS'!$B$5:$KA$5=EW$5)*('06.XLS'!$B$7:$KA$45))</f>
        <v>0</v>
      </c>
      <c r="EX41" s="1135" cm="1">
        <f t="array" ref="EX41">SUMPRODUCT(('06.XLS'!$A$7:$A$45=$A41)*('06.XLS'!$B$5:$KA$5=EX$5)*('06.XLS'!$B$7:$KA$45))</f>
        <v>0</v>
      </c>
      <c r="EY41" s="1135" cm="1">
        <f t="array" ref="EY41">SUMPRODUCT(('06.XLS'!$A$7:$A$45=$A41)*('06.XLS'!$B$5:$KA$5=EY$5)*('06.XLS'!$B$7:$KA$45))</f>
        <v>0</v>
      </c>
      <c r="EZ41" s="1135" cm="1">
        <f t="array" ref="EZ41">SUMPRODUCT(('06.XLS'!$A$7:$A$45=$A41)*('06.XLS'!$B$5:$KA$5=EZ$5)*('06.XLS'!$B$7:$KA$45))</f>
        <v>0</v>
      </c>
      <c r="FA41" s="1136">
        <f t="shared" si="21"/>
        <v>0</v>
      </c>
      <c r="FB41" s="1135" cm="1">
        <f t="array" ref="FB41">SUMPRODUCT(('06.XLS'!$A$7:$A$45=$A41)*('06.XLS'!$B$5:$KA$5=FB$5)*('06.XLS'!$B$7:$KA$45))</f>
        <v>0</v>
      </c>
      <c r="FC41" s="1135" cm="1">
        <f t="array" ref="FC41">SUMPRODUCT(('06.XLS'!$A$7:$A$45=$A41)*('06.XLS'!$B$5:$KA$5=FC$5)*('06.XLS'!$B$7:$KA$45))</f>
        <v>0</v>
      </c>
      <c r="FD41" s="1135" cm="1">
        <f t="array" ref="FD41">SUMPRODUCT(('06.XLS'!$A$7:$A$45=$A41)*('06.XLS'!$B$5:$KA$5=FD$5)*('06.XLS'!$B$7:$KA$45))</f>
        <v>0</v>
      </c>
      <c r="FE41" s="1135" cm="1">
        <f t="array" ref="FE41">SUMPRODUCT(('06.XLS'!$A$7:$A$45=$A41)*('06.XLS'!$B$5:$KA$5=FE$5)*('06.XLS'!$B$7:$KA$45))</f>
        <v>0</v>
      </c>
      <c r="FF41" s="1135" cm="1">
        <f t="array" ref="FF41">SUMPRODUCT(('06.XLS'!$A$7:$A$45=$A41)*('06.XLS'!$B$5:$KA$5=FF$5)*('06.XLS'!$B$7:$KA$45))</f>
        <v>0</v>
      </c>
      <c r="FG41" s="1135" cm="1">
        <f t="array" ref="FG41">SUMPRODUCT(('06.XLS'!$A$7:$A$45=$A41)*('06.XLS'!$B$5:$KA$5=FG$5)*('06.XLS'!$B$7:$KA$45))</f>
        <v>0</v>
      </c>
      <c r="FH41" s="1135" cm="1">
        <f t="array" ref="FH41">SUMPRODUCT(('06.XLS'!$A$7:$A$45=$A41)*('06.XLS'!$B$5:$KA$5=FH$5)*('06.XLS'!$B$7:$KA$45))</f>
        <v>0</v>
      </c>
      <c r="FI41" s="1135" cm="1">
        <f t="array" ref="FI41">SUMPRODUCT(('06.XLS'!$A$7:$A$45=$A41)*('06.XLS'!$B$5:$KA$5=FI$5)*('06.XLS'!$B$7:$KA$45))</f>
        <v>0</v>
      </c>
      <c r="FJ41" s="1135" cm="1">
        <f t="array" ref="FJ41">SUMPRODUCT(('06.XLS'!$A$7:$A$45=$A41)*('06.XLS'!$B$5:$KA$5=FJ$5)*('06.XLS'!$B$7:$KA$45))</f>
        <v>0</v>
      </c>
      <c r="FK41" s="1135" cm="1">
        <f t="array" ref="FK41">SUMPRODUCT(('06.XLS'!$A$7:$A$45=$A41)*('06.XLS'!$B$5:$KA$5=FK$5)*('06.XLS'!$B$7:$KA$45))</f>
        <v>0</v>
      </c>
      <c r="FL41" s="1135" cm="1">
        <f t="array" ref="FL41">SUMPRODUCT(('06.XLS'!$A$7:$A$45=$A41)*('06.XLS'!$B$5:$KA$5=FL$5)*('06.XLS'!$B$7:$KA$45))</f>
        <v>0</v>
      </c>
      <c r="FM41" s="1135" cm="1">
        <f t="array" ref="FM41">SUMPRODUCT(('06.XLS'!$A$7:$A$45=$A41)*('06.XLS'!$B$5:$KA$5=FM$5)*('06.XLS'!$B$7:$KA$45))</f>
        <v>0</v>
      </c>
      <c r="FN41" s="1136">
        <f t="shared" si="23"/>
        <v>0</v>
      </c>
      <c r="FO41" s="1135" cm="1">
        <f t="array" ref="FO41">SUMPRODUCT(('06.XLS'!$A$7:$A$45=$A41)*('06.XLS'!$B$5:$KA$5=FO$5)*('06.XLS'!$B$7:$KA$45))</f>
        <v>0</v>
      </c>
      <c r="FP41" s="1135" cm="1">
        <f t="array" ref="FP41">SUMPRODUCT(('06.XLS'!$A$7:$A$45=$A41)*('06.XLS'!$B$5:$KA$5=FP$5)*('06.XLS'!$B$7:$KA$45))</f>
        <v>0</v>
      </c>
      <c r="FQ41" s="1135" cm="1">
        <f t="array" ref="FQ41">SUMPRODUCT(('06.XLS'!$A$7:$A$45=$A41)*('06.XLS'!$B$5:$KA$5=FQ$5)*('06.XLS'!$B$7:$KA$45))</f>
        <v>0</v>
      </c>
      <c r="FR41" s="1135" cm="1">
        <f t="array" ref="FR41">SUMPRODUCT(('06.XLS'!$A$7:$A$45=$A41)*('06.XLS'!$B$5:$KA$5=FR$5)*('06.XLS'!$B$7:$KA$45))</f>
        <v>0</v>
      </c>
      <c r="FS41" s="1135" cm="1">
        <f t="array" ref="FS41">SUMPRODUCT(('06.XLS'!$A$7:$A$45=$A41)*('06.XLS'!$B$5:$KA$5=FS$5)*('06.XLS'!$B$7:$KA$45))</f>
        <v>0</v>
      </c>
      <c r="FT41" s="1135" cm="1">
        <f t="array" ref="FT41">SUMPRODUCT(('06.XLS'!$A$7:$A$45=$A41)*('06.XLS'!$B$5:$KA$5=FT$5)*('06.XLS'!$B$7:$KA$45))</f>
        <v>0</v>
      </c>
      <c r="FU41" s="1135" cm="1">
        <f t="array" ref="FU41">SUMPRODUCT(('06.XLS'!$A$7:$A$45=$A41)*('06.XLS'!$B$5:$KA$5=FU$5)*('06.XLS'!$B$7:$KA$45))</f>
        <v>0</v>
      </c>
      <c r="FV41" s="1135" cm="1">
        <f t="array" ref="FV41">SUMPRODUCT(('06.XLS'!$A$7:$A$45=$A41)*('06.XLS'!$B$5:$KA$5=FV$5)*('06.XLS'!$B$7:$KA$45))</f>
        <v>0</v>
      </c>
      <c r="FW41" s="1135" cm="1">
        <f t="array" ref="FW41">SUMPRODUCT(('06.XLS'!$A$7:$A$45=$A41)*('06.XLS'!$B$5:$KA$5=FW$5)*('06.XLS'!$B$7:$KA$45))</f>
        <v>0</v>
      </c>
      <c r="FX41" s="1135" cm="1">
        <f t="array" ref="FX41">SUMPRODUCT(('06.XLS'!$A$7:$A$45=$A41)*('06.XLS'!$B$5:$KA$5=FX$5)*('06.XLS'!$B$7:$KA$45))</f>
        <v>0</v>
      </c>
      <c r="FY41" s="1135" cm="1">
        <f t="array" ref="FY41">SUMPRODUCT(('06.XLS'!$A$7:$A$45=$A41)*('06.XLS'!$B$5:$KA$5=FY$5)*('06.XLS'!$B$7:$KA$45))</f>
        <v>0</v>
      </c>
      <c r="FZ41" s="1135" cm="1">
        <f t="array" ref="FZ41">SUMPRODUCT(('06.XLS'!$A$7:$A$45=$A41)*('06.XLS'!$B$5:$KA$5=FZ$5)*('06.XLS'!$B$7:$KA$45))</f>
        <v>0</v>
      </c>
      <c r="GA41" s="1136">
        <f t="shared" si="24"/>
        <v>0</v>
      </c>
      <c r="GB41" s="1135" cm="1">
        <f t="array" ref="GB41">SUMPRODUCT(('06.XLS'!$A$7:$A$45=$A41)*('06.XLS'!$B$5:$KA$5=GB$5)*('06.XLS'!$B$7:$KA$45))</f>
        <v>0</v>
      </c>
      <c r="GC41" s="1135" cm="1">
        <f t="array" ref="GC41">SUMPRODUCT(('06.XLS'!$A$7:$A$45=$A41)*('06.XLS'!$B$5:$KA$5=GC$5)*('06.XLS'!$B$7:$KA$45))</f>
        <v>0</v>
      </c>
      <c r="GD41" s="1135" cm="1">
        <f t="array" ref="GD41">SUMPRODUCT(('06.XLS'!$A$7:$A$45=$A41)*('06.XLS'!$B$5:$KA$5=GD$5)*('06.XLS'!$B$7:$KA$45))</f>
        <v>0</v>
      </c>
      <c r="GE41" s="1135" cm="1">
        <f t="array" ref="GE41">SUMPRODUCT(('06.XLS'!$A$7:$A$45=$A41)*('06.XLS'!$B$5:$KA$5=GE$5)*('06.XLS'!$B$7:$KA$45))</f>
        <v>0</v>
      </c>
      <c r="GF41" s="1135" cm="1">
        <f t="array" ref="GF41">SUMPRODUCT(('06.XLS'!$A$7:$A$45=$A41)*('06.XLS'!$B$5:$KA$5=GF$5)*('06.XLS'!$B$7:$KA$45))</f>
        <v>0</v>
      </c>
      <c r="GG41" s="1135" cm="1">
        <f t="array" ref="GG41">SUMPRODUCT(('06.XLS'!$A$7:$A$45=$A41)*('06.XLS'!$B$5:$KA$5=GG$5)*('06.XLS'!$B$7:$KA$45))</f>
        <v>0</v>
      </c>
      <c r="GH41" s="1135" cm="1">
        <f t="array" ref="GH41">SUMPRODUCT(('06.XLS'!$A$7:$A$45=$A41)*('06.XLS'!$B$5:$KA$5=GH$5)*('06.XLS'!$B$7:$KA$45))</f>
        <v>0</v>
      </c>
      <c r="GI41" s="1135" cm="1">
        <f t="array" ref="GI41">SUMPRODUCT(('06.XLS'!$A$7:$A$45=$A41)*('06.XLS'!$B$5:$KA$5=GI$5)*('06.XLS'!$B$7:$KA$45))</f>
        <v>0</v>
      </c>
      <c r="GJ41" s="1135" cm="1">
        <f t="array" ref="GJ41">SUMPRODUCT(('06.XLS'!$A$7:$A$45=$A41)*('06.XLS'!$B$5:$KA$5=GJ$5)*('06.XLS'!$B$7:$KA$45))</f>
        <v>0</v>
      </c>
      <c r="GK41" s="1135" cm="1">
        <f t="array" ref="GK41">SUMPRODUCT(('06.XLS'!$A$7:$A$45=$A41)*('06.XLS'!$B$5:$KA$5=GK$5)*('06.XLS'!$B$7:$KA$45))</f>
        <v>0</v>
      </c>
      <c r="GL41" s="1135" cm="1">
        <f t="array" ref="GL41">SUMPRODUCT(('06.XLS'!$A$7:$A$45=$A41)*('06.XLS'!$B$5:$KA$5=GL$5)*('06.XLS'!$B$7:$KA$45))</f>
        <v>0</v>
      </c>
      <c r="GM41" s="1135" cm="1">
        <f t="array" ref="GM41">SUMPRODUCT(('06.XLS'!$A$7:$A$45=$A41)*('06.XLS'!$B$5:$KA$5=GM$5)*('06.XLS'!$B$7:$KA$45))</f>
        <v>0</v>
      </c>
      <c r="GN41" s="1136">
        <f t="shared" si="26"/>
        <v>0</v>
      </c>
      <c r="GO41" s="1135" cm="1">
        <f t="array" ref="GO41">SUMPRODUCT(('06.XLS'!$A$7:$A$45=$A41)*('06.XLS'!$B$5:$KA$5=GO$5)*('06.XLS'!$B$7:$KA$45))</f>
        <v>0</v>
      </c>
      <c r="GP41" s="1135" cm="1">
        <f t="array" ref="GP41">SUMPRODUCT(('06.XLS'!$A$7:$A$45=$A41)*('06.XLS'!$B$5:$KA$5=GP$5)*('06.XLS'!$B$7:$KA$45))</f>
        <v>0</v>
      </c>
      <c r="GQ41" s="1135" cm="1">
        <f t="array" ref="GQ41">SUMPRODUCT(('06.XLS'!$A$7:$A$45=$A41)*('06.XLS'!$B$5:$KA$5=GQ$5)*('06.XLS'!$B$7:$KA$45))</f>
        <v>0</v>
      </c>
      <c r="GR41" s="1135" cm="1">
        <f t="array" ref="GR41">SUMPRODUCT(('06.XLS'!$A$7:$A$45=$A41)*('06.XLS'!$B$5:$KA$5=GR$5)*('06.XLS'!$B$7:$KA$45))</f>
        <v>0</v>
      </c>
      <c r="GS41" s="1135" cm="1">
        <f t="array" ref="GS41">SUMPRODUCT(('06.XLS'!$A$7:$A$45=$A41)*('06.XLS'!$B$5:$KA$5=GS$5)*('06.XLS'!$B$7:$KA$45))</f>
        <v>0</v>
      </c>
      <c r="GT41" s="1135" cm="1">
        <f t="array" ref="GT41">SUMPRODUCT(('06.XLS'!$A$7:$A$45=$A41)*('06.XLS'!$B$5:$KA$5=GT$5)*('06.XLS'!$B$7:$KA$45))</f>
        <v>0</v>
      </c>
      <c r="GU41" s="1135" cm="1">
        <f t="array" ref="GU41">SUMPRODUCT(('06.XLS'!$A$7:$A$45=$A41)*('06.XLS'!$B$5:$KA$5=GU$5)*('06.XLS'!$B$7:$KA$45))</f>
        <v>0</v>
      </c>
      <c r="GV41" s="1135" cm="1">
        <f t="array" ref="GV41">SUMPRODUCT(('06.XLS'!$A$7:$A$45=$A41)*('06.XLS'!$B$5:$KA$5=GV$5)*('06.XLS'!$B$7:$KA$45))</f>
        <v>0</v>
      </c>
      <c r="GW41" s="1135" cm="1">
        <f t="array" ref="GW41">SUMPRODUCT(('06.XLS'!$A$7:$A$45=$A41)*('06.XLS'!$B$5:$KA$5=GW$5)*('06.XLS'!$B$7:$KA$45))</f>
        <v>0</v>
      </c>
      <c r="GX41" s="1135" cm="1">
        <f t="array" ref="GX41">SUMPRODUCT(('06.XLS'!$A$7:$A$45=$A41)*('06.XLS'!$B$5:$KA$5=GX$5)*('06.XLS'!$B$7:$KA$45))</f>
        <v>0</v>
      </c>
      <c r="GY41" s="1135" cm="1">
        <f t="array" ref="GY41">SUMPRODUCT(('06.XLS'!$A$7:$A$45=$A41)*('06.XLS'!$B$5:$KA$5=GY$5)*('06.XLS'!$B$7:$KA$45))</f>
        <v>0</v>
      </c>
      <c r="GZ41" s="1135" cm="1">
        <f t="array" ref="GZ41">SUMPRODUCT(('06.XLS'!$A$7:$A$45=$A41)*('06.XLS'!$B$5:$KA$5=GZ$5)*('06.XLS'!$B$7:$KA$45))</f>
        <v>0</v>
      </c>
      <c r="HA41" s="1136">
        <f t="shared" si="28"/>
        <v>0</v>
      </c>
      <c r="HB41" s="1135" cm="1">
        <f t="array" ref="HB41">SUMPRODUCT(('06.XLS'!$A$7:$A$45=$A41)*('06.XLS'!$B$5:$KA$5=HB$5)*('06.XLS'!$B$7:$KA$45))</f>
        <v>0</v>
      </c>
      <c r="HC41" s="1135" cm="1">
        <f t="array" ref="HC41">SUMPRODUCT(('06.XLS'!$A$7:$A$45=$A41)*('06.XLS'!$B$5:$KA$5=HC$5)*('06.XLS'!$B$7:$KA$45))</f>
        <v>0</v>
      </c>
      <c r="HD41" s="1135" cm="1">
        <f t="array" ref="HD41">SUMPRODUCT(('06.XLS'!$A$7:$A$45=$A41)*('06.XLS'!$B$5:$KA$5=HD$5)*('06.XLS'!$B$7:$KA$45))</f>
        <v>0</v>
      </c>
      <c r="HE41" s="1135" cm="1">
        <f t="array" ref="HE41">SUMPRODUCT(('06.XLS'!$A$7:$A$45=$A41)*('06.XLS'!$B$5:$KA$5=HE$5)*('06.XLS'!$B$7:$KA$45))</f>
        <v>0</v>
      </c>
      <c r="HF41" s="1135" cm="1">
        <f t="array" ref="HF41">SUMPRODUCT(('06.XLS'!$A$7:$A$45=$A41)*('06.XLS'!$B$5:$KA$5=HF$5)*('06.XLS'!$B$7:$KA$45))</f>
        <v>0</v>
      </c>
      <c r="HG41" s="1135" cm="1">
        <f t="array" ref="HG41">SUMPRODUCT(('06.XLS'!$A$7:$A$45=$A41)*('06.XLS'!$B$5:$KA$5=HG$5)*('06.XLS'!$B$7:$KA$45))</f>
        <v>0</v>
      </c>
      <c r="HH41" s="1135" cm="1">
        <f t="array" ref="HH41">SUMPRODUCT(('06.XLS'!$A$7:$A$45=$A41)*('06.XLS'!$B$5:$KA$5=HH$5)*('06.XLS'!$B$7:$KA$45))</f>
        <v>0</v>
      </c>
      <c r="HI41" s="1135" cm="1">
        <f t="array" ref="HI41">SUMPRODUCT(('06.XLS'!$A$7:$A$45=$A41)*('06.XLS'!$B$5:$KA$5=HI$5)*('06.XLS'!$B$7:$KA$45))</f>
        <v>0</v>
      </c>
      <c r="HJ41" s="1135" cm="1">
        <f t="array" ref="HJ41">SUMPRODUCT(('06.XLS'!$A$7:$A$45=$A41)*('06.XLS'!$B$5:$KA$5=HJ$5)*('06.XLS'!$B$7:$KA$45))</f>
        <v>0</v>
      </c>
      <c r="HK41" s="1135" cm="1">
        <f t="array" ref="HK41">SUMPRODUCT(('06.XLS'!$A$7:$A$45=$A41)*('06.XLS'!$B$5:$KA$5=HK$5)*('06.XLS'!$B$7:$KA$45))</f>
        <v>0</v>
      </c>
      <c r="HL41" s="1135" cm="1">
        <f t="array" ref="HL41">SUMPRODUCT(('06.XLS'!$A$7:$A$45=$A41)*('06.XLS'!$B$5:$KA$5=HL$5)*('06.XLS'!$B$7:$KA$45))</f>
        <v>0</v>
      </c>
      <c r="HM41" s="1135" cm="1">
        <f t="array" ref="HM41">SUMPRODUCT(('06.XLS'!$A$7:$A$45=$A41)*('06.XLS'!$B$5:$KA$5=HM$5)*('06.XLS'!$B$7:$KA$45))</f>
        <v>0</v>
      </c>
      <c r="HN41" s="1136">
        <f t="shared" si="30"/>
        <v>0</v>
      </c>
      <c r="HO41" s="1135" cm="1">
        <f t="array" ref="HO41">SUMPRODUCT(('06.XLS'!$A$7:$A$45=$A41)*('06.XLS'!$B$5:$KA$5=HO$5)*('06.XLS'!$B$7:$KA$45))</f>
        <v>0</v>
      </c>
      <c r="HP41" s="1135" cm="1">
        <f t="array" ref="HP41">SUMPRODUCT(('06.XLS'!$A$7:$A$45=$A41)*('06.XLS'!$B$5:$KA$5=HP$5)*('06.XLS'!$B$7:$KA$45))</f>
        <v>0</v>
      </c>
      <c r="HQ41" s="1135" cm="1">
        <f t="array" ref="HQ41">SUMPRODUCT(('06.XLS'!$A$7:$A$45=$A41)*('06.XLS'!$B$5:$KA$5=HQ$5)*('06.XLS'!$B$7:$KA$45))</f>
        <v>159</v>
      </c>
      <c r="HR41" s="1135" cm="1">
        <f t="array" ref="HR41">SUMPRODUCT(('06.XLS'!$A$7:$A$45=$A41)*('06.XLS'!$B$5:$KA$5=HR$5)*('06.XLS'!$B$7:$KA$45))</f>
        <v>66</v>
      </c>
      <c r="HS41" s="1135" cm="1">
        <f t="array" ref="HS41">SUMPRODUCT(('06.XLS'!$A$7:$A$45=$A41)*('06.XLS'!$B$5:$KA$5=HS$5)*('06.XLS'!$B$7:$KA$45))</f>
        <v>0</v>
      </c>
      <c r="HT41" s="1135" cm="1">
        <f t="array" ref="HT41">SUMPRODUCT(('06.XLS'!$A$7:$A$45=$A41)*('06.XLS'!$B$5:$KA$5=HT$5)*('06.XLS'!$B$7:$KA$45))</f>
        <v>0</v>
      </c>
      <c r="HU41" s="1135" cm="1">
        <f t="array" ref="HU41">SUMPRODUCT(('06.XLS'!$A$7:$A$45=$A41)*('06.XLS'!$B$5:$KA$5=HU$5)*('06.XLS'!$B$7:$KA$45))</f>
        <v>0</v>
      </c>
      <c r="HV41" s="1135" cm="1">
        <f t="array" ref="HV41">SUMPRODUCT(('06.XLS'!$A$7:$A$45=$A41)*('06.XLS'!$B$5:$KA$5=HV$5)*('06.XLS'!$B$7:$KA$45))</f>
        <v>0</v>
      </c>
      <c r="HW41" s="1135" cm="1">
        <f t="array" ref="HW41">SUMPRODUCT(('06.XLS'!$A$7:$A$45=$A41)*('06.XLS'!$B$5:$KA$5=HW$5)*('06.XLS'!$B$7:$KA$45))</f>
        <v>0</v>
      </c>
      <c r="HX41" s="1135" cm="1">
        <f t="array" ref="HX41">SUMPRODUCT(('06.XLS'!$A$7:$A$45=$A41)*('06.XLS'!$B$5:$KA$5=HX$5)*('06.XLS'!$B$7:$KA$45))</f>
        <v>0</v>
      </c>
      <c r="HY41" s="1135" cm="1">
        <f t="array" ref="HY41">SUMPRODUCT(('06.XLS'!$A$7:$A$45=$A41)*('06.XLS'!$B$5:$KA$5=HY$5)*('06.XLS'!$B$7:$KA$45))</f>
        <v>0</v>
      </c>
      <c r="HZ41" s="1135" cm="1">
        <f t="array" ref="HZ41">SUMPRODUCT(('06.XLS'!$A$7:$A$45=$A41)*('06.XLS'!$B$5:$KA$5=HZ$5)*('06.XLS'!$B$7:$KA$45))</f>
        <v>0</v>
      </c>
      <c r="IA41" s="1136">
        <f t="shared" si="32"/>
        <v>225</v>
      </c>
      <c r="IB41" s="1135" cm="1">
        <f t="array" ref="IB41">SUMPRODUCT(('06.XLS'!$A$7:$A$45=$A41)*('06.XLS'!$B$5:$KA$5=IB$5)*('06.XLS'!$B$7:$KA$45))</f>
        <v>0</v>
      </c>
      <c r="IC41" s="1135" cm="1">
        <f t="array" ref="IC41">SUMPRODUCT(('06.XLS'!$A$7:$A$45=$A41)*('06.XLS'!$B$5:$KA$5=IC$5)*('06.XLS'!$B$7:$KA$45))</f>
        <v>0</v>
      </c>
      <c r="ID41" s="1135" cm="1">
        <f t="array" ref="ID41">SUMPRODUCT(('06.XLS'!$A$7:$A$45=$A41)*('06.XLS'!$B$5:$KA$5=ID$5)*('06.XLS'!$B$7:$KA$45))</f>
        <v>0</v>
      </c>
      <c r="IE41" s="1135" cm="1">
        <f t="array" ref="IE41">SUMPRODUCT(('06.XLS'!$A$7:$A$45=$A41)*('06.XLS'!$B$5:$KA$5=IE$5)*('06.XLS'!$B$7:$KA$45))</f>
        <v>0</v>
      </c>
      <c r="IF41" s="1135" cm="1">
        <f t="array" ref="IF41">SUMPRODUCT(('06.XLS'!$A$7:$A$45=$A41)*('06.XLS'!$B$5:$KA$5=IF$5)*('06.XLS'!$B$7:$KA$45))</f>
        <v>0</v>
      </c>
      <c r="IG41" s="1135" cm="1">
        <f t="array" ref="IG41">SUMPRODUCT(('06.XLS'!$A$7:$A$45=$A41)*('06.XLS'!$B$5:$KA$5=IG$5)*('06.XLS'!$B$7:$KA$45))</f>
        <v>0</v>
      </c>
      <c r="IH41" s="1135" cm="1">
        <f t="array" ref="IH41">SUMPRODUCT(('06.XLS'!$A$7:$A$45=$A41)*('06.XLS'!$B$5:$KA$5=IH$5)*('06.XLS'!$B$7:$KA$45))</f>
        <v>0</v>
      </c>
      <c r="II41" s="1135" cm="1">
        <f t="array" ref="II41">SUMPRODUCT(('06.XLS'!$A$7:$A$45=$A41)*('06.XLS'!$B$5:$KA$5=II$5)*('06.XLS'!$B$7:$KA$45))</f>
        <v>0</v>
      </c>
      <c r="IJ41" s="1135" cm="1">
        <f t="array" ref="IJ41">SUMPRODUCT(('06.XLS'!$A$7:$A$45=$A41)*('06.XLS'!$B$5:$KA$5=IJ$5)*('06.XLS'!$B$7:$KA$45))</f>
        <v>0</v>
      </c>
      <c r="IK41" s="1135" cm="1">
        <f t="array" ref="IK41">SUMPRODUCT(('06.XLS'!$A$7:$A$45=$A41)*('06.XLS'!$B$5:$KA$5=IK$5)*('06.XLS'!$B$7:$KA$45))</f>
        <v>0</v>
      </c>
      <c r="IL41" s="1135" cm="1">
        <f t="array" ref="IL41">SUMPRODUCT(('06.XLS'!$A$7:$A$45=$A41)*('06.XLS'!$B$5:$KA$5=IL$5)*('06.XLS'!$B$7:$KA$45))</f>
        <v>0</v>
      </c>
      <c r="IM41" s="1135" cm="1">
        <f t="array" ref="IM41">SUMPRODUCT(('06.XLS'!$A$7:$A$45=$A41)*('06.XLS'!$B$5:$KA$5=IM$5)*('06.XLS'!$B$7:$KA$45))</f>
        <v>1</v>
      </c>
      <c r="IN41" s="1136">
        <f t="shared" si="34"/>
        <v>1</v>
      </c>
      <c r="IO41" s="1135" cm="1">
        <f t="array" ref="IO41">SUMPRODUCT(('06.XLS'!$A$7:$A$45=$A41)*('06.XLS'!$B$5:$KA$5=IO$5)*('06.XLS'!$B$7:$KA$45))</f>
        <v>0</v>
      </c>
      <c r="IP41" s="1135" cm="1">
        <f t="array" ref="IP41">SUMPRODUCT(('06.XLS'!$A$7:$A$45=$A41)*('06.XLS'!$B$5:$KA$5=IP$5)*('06.XLS'!$B$7:$KA$45))</f>
        <v>0</v>
      </c>
      <c r="IQ41" s="1135" cm="1">
        <f t="array" ref="IQ41">SUMPRODUCT(('06.XLS'!$A$7:$A$45=$A41)*('06.XLS'!$B$5:$KA$5=IQ$5)*('06.XLS'!$B$7:$KA$45))</f>
        <v>0</v>
      </c>
      <c r="IR41" s="1135" cm="1">
        <f t="array" ref="IR41">SUMPRODUCT(('06.XLS'!$A$7:$A$45=$A41)*('06.XLS'!$B$5:$KA$5=IR$5)*('06.XLS'!$B$7:$KA$45))</f>
        <v>0</v>
      </c>
      <c r="IS41" s="1135" cm="1">
        <f t="array" ref="IS41">SUMPRODUCT(('06.XLS'!$A$7:$A$45=$A41)*('06.XLS'!$B$5:$KA$5=IS$5)*('06.XLS'!$B$7:$KA$45))</f>
        <v>0</v>
      </c>
      <c r="IT41" s="1135" cm="1">
        <f t="array" ref="IT41">SUMPRODUCT(('06.XLS'!$A$7:$A$45=$A41)*('06.XLS'!$B$5:$KA$5=IT$5)*('06.XLS'!$B$7:$KA$45))</f>
        <v>0</v>
      </c>
      <c r="IU41" s="1135" cm="1">
        <f t="array" ref="IU41">SUMPRODUCT(('06.XLS'!$A$7:$A$45=$A41)*('06.XLS'!$B$5:$KA$5=IU$5)*('06.XLS'!$B$7:$KA$45))</f>
        <v>0</v>
      </c>
      <c r="IV41" s="1135" cm="1">
        <f t="array" ref="IV41">SUMPRODUCT(('06.XLS'!$A$7:$A$45=$A41)*('06.XLS'!$B$5:$KA$5=IV$5)*('06.XLS'!$B$7:$KA$45))</f>
        <v>0</v>
      </c>
      <c r="IW41" s="1135" cm="1">
        <f t="array" ref="IW41">SUMPRODUCT(('06.XLS'!$A$7:$A$45=$A41)*('06.XLS'!$B$5:$KA$5=IW$5)*('06.XLS'!$B$7:$KA$45))</f>
        <v>0</v>
      </c>
      <c r="IX41" s="1135" cm="1">
        <f t="array" ref="IX41">SUMPRODUCT(('06.XLS'!$A$7:$A$45=$A41)*('06.XLS'!$B$5:$KA$5=IX$5)*('06.XLS'!$B$7:$KA$45))</f>
        <v>0</v>
      </c>
      <c r="IY41" s="1135" cm="1">
        <f t="array" ref="IY41">SUMPRODUCT(('06.XLS'!$A$7:$A$45=$A41)*('06.XLS'!$B$5:$KA$5=IY$5)*('06.XLS'!$B$7:$KA$45))</f>
        <v>0</v>
      </c>
      <c r="IZ41" s="1135" cm="1">
        <f t="array" ref="IZ41">SUMPRODUCT(('06.XLS'!$A$7:$A$45=$A41)*('06.XLS'!$B$5:$KA$5=IZ$5)*('06.XLS'!$B$7:$KA$45))</f>
        <v>0</v>
      </c>
      <c r="JA41" s="1136">
        <f t="shared" si="35"/>
        <v>0</v>
      </c>
      <c r="JB41" s="1135" cm="1">
        <f t="array" ref="JB41">SUMPRODUCT(('06.XLS'!$A$7:$A$45=$A41)*('06.XLS'!$B$5:$KA$5=JB$5)*('06.XLS'!$B$7:$KA$45))</f>
        <v>0</v>
      </c>
      <c r="JC41" s="1135" cm="1">
        <f t="array" ref="JC41">SUMPRODUCT(('06.XLS'!$A$7:$A$45=$A41)*('06.XLS'!$B$5:$KA$5=JC$5)*('06.XLS'!$B$7:$KA$45))</f>
        <v>0</v>
      </c>
      <c r="JD41" s="1135" cm="1">
        <f t="array" ref="JD41">SUMPRODUCT(('06.XLS'!$A$7:$A$45=$A41)*('06.XLS'!$B$5:$KA$5=JD$5)*('06.XLS'!$B$7:$KA$45))</f>
        <v>0</v>
      </c>
      <c r="JE41" s="1135" cm="1">
        <f t="array" ref="JE41">SUMPRODUCT(('06.XLS'!$A$7:$A$45=$A41)*('06.XLS'!$B$5:$KA$5=JE$5)*('06.XLS'!$B$7:$KA$45))</f>
        <v>0</v>
      </c>
      <c r="JF41" s="1135" cm="1">
        <f t="array" ref="JF41">SUMPRODUCT(('06.XLS'!$A$7:$A$45=$A41)*('06.XLS'!$B$5:$KA$5=JF$5)*('06.XLS'!$B$7:$KA$45))</f>
        <v>0</v>
      </c>
      <c r="JG41" s="1135" cm="1">
        <f t="array" ref="JG41">SUMPRODUCT(('06.XLS'!$A$7:$A$45=$A41)*('06.XLS'!$B$5:$KA$5=JG$5)*('06.XLS'!$B$7:$KA$45))</f>
        <v>0</v>
      </c>
      <c r="JH41" s="1135" cm="1">
        <f t="array" ref="JH41">SUMPRODUCT(('06.XLS'!$A$7:$A$45=$A41)*('06.XLS'!$B$5:$KA$5=JH$5)*('06.XLS'!$B$7:$KA$45))</f>
        <v>0</v>
      </c>
      <c r="JI41" s="1135" cm="1">
        <f t="array" ref="JI41">SUMPRODUCT(('06.XLS'!$A$7:$A$45=$A41)*('06.XLS'!$B$5:$KA$5=JI$5)*('06.XLS'!$B$7:$KA$45))</f>
        <v>0</v>
      </c>
      <c r="JJ41" s="1135" cm="1">
        <f t="array" ref="JJ41">SUMPRODUCT(('06.XLS'!$A$7:$A$45=$A41)*('06.XLS'!$B$5:$KA$5=JJ$5)*('06.XLS'!$B$7:$KA$45))</f>
        <v>0</v>
      </c>
      <c r="JK41" s="1135" cm="1">
        <f t="array" ref="JK41">SUMPRODUCT(('06.XLS'!$A$7:$A$45=$A41)*('06.XLS'!$B$5:$KA$5=JK$5)*('06.XLS'!$B$7:$KA$45))</f>
        <v>0</v>
      </c>
      <c r="JL41" s="1135" cm="1">
        <f t="array" ref="JL41">SUMPRODUCT(('06.XLS'!$A$7:$A$45=$A41)*('06.XLS'!$B$5:$KA$5=JL$5)*('06.XLS'!$B$7:$KA$45))</f>
        <v>0</v>
      </c>
      <c r="JM41" s="1135" cm="1">
        <f t="array" ref="JM41">SUMPRODUCT(('06.XLS'!$A$7:$A$45=$A41)*('06.XLS'!$B$5:$KA$5=JM$5)*('06.XLS'!$B$7:$KA$45))</f>
        <v>0</v>
      </c>
      <c r="JN41" s="1136">
        <f t="shared" si="36"/>
        <v>0</v>
      </c>
      <c r="JO41" s="1135" cm="1">
        <f t="array" ref="JO41">SUMPRODUCT(('06.XLS'!$A$7:$A$45=$A41)*('06.XLS'!$B$5:$KA$5=JO$5)*('06.XLS'!$B$7:$KA$45))</f>
        <v>0</v>
      </c>
      <c r="JP41" s="1135" cm="1">
        <f t="array" ref="JP41">SUMPRODUCT(('06.XLS'!$A$7:$A$45=$A41)*('06.XLS'!$B$5:$KA$5=JP$5)*('06.XLS'!$B$7:$KA$45))</f>
        <v>0</v>
      </c>
      <c r="JQ41" s="1135" cm="1">
        <f t="array" ref="JQ41">SUMPRODUCT(('06.XLS'!$A$7:$A$45=$A41)*('06.XLS'!$B$5:$KA$5=JQ$5)*('06.XLS'!$B$7:$KA$45))</f>
        <v>0</v>
      </c>
      <c r="JR41" s="1135" cm="1">
        <f t="array" ref="JR41">SUMPRODUCT(('06.XLS'!$A$7:$A$45=$A41)*('06.XLS'!$B$5:$KA$5=JR$5)*('06.XLS'!$B$7:$KA$45))</f>
        <v>0</v>
      </c>
      <c r="JS41" s="1135" cm="1">
        <f t="array" ref="JS41">SUMPRODUCT(('06.XLS'!$A$7:$A$45=$A41)*('06.XLS'!$B$5:$KA$5=JS$5)*('06.XLS'!$B$7:$KA$45))</f>
        <v>0</v>
      </c>
      <c r="JT41" s="1135" cm="1">
        <f t="array" ref="JT41">SUMPRODUCT(('06.XLS'!$A$7:$A$45=$A41)*('06.XLS'!$B$5:$KA$5=JT$5)*('06.XLS'!$B$7:$KA$45))</f>
        <v>0</v>
      </c>
      <c r="JU41" s="1135" cm="1">
        <f t="array" ref="JU41">SUMPRODUCT(('06.XLS'!$A$7:$A$45=$A41)*('06.XLS'!$B$5:$KA$5=JU$5)*('06.XLS'!$B$7:$KA$45))</f>
        <v>0</v>
      </c>
      <c r="JV41" s="1135" cm="1">
        <f t="array" ref="JV41">SUMPRODUCT(('06.XLS'!$A$7:$A$45=$A41)*('06.XLS'!$B$5:$KA$5=JV$5)*('06.XLS'!$B$7:$KA$45))</f>
        <v>0</v>
      </c>
      <c r="JW41" s="1135" cm="1">
        <f t="array" ref="JW41">SUMPRODUCT(('06.XLS'!$A$7:$A$45=$A41)*('06.XLS'!$B$5:$KA$5=JW$5)*('06.XLS'!$B$7:$KA$45))</f>
        <v>0</v>
      </c>
      <c r="JX41" s="1135" cm="1">
        <f t="array" ref="JX41">SUMPRODUCT(('06.XLS'!$A$7:$A$45=$A41)*('06.XLS'!$B$5:$KA$5=JX$5)*('06.XLS'!$B$7:$KA$45))</f>
        <v>0</v>
      </c>
      <c r="JY41" s="1135" cm="1">
        <f t="array" ref="JY41">SUMPRODUCT(('06.XLS'!$A$7:$A$45=$A41)*('06.XLS'!$B$5:$KA$5=JY$5)*('06.XLS'!$B$7:$KA$45))</f>
        <v>0</v>
      </c>
      <c r="JZ41" s="1135" cm="1">
        <f t="array" ref="JZ41">SUMPRODUCT(('06.XLS'!$A$7:$A$45=$A41)*('06.XLS'!$B$5:$KA$5=JZ$5)*('06.XLS'!$B$7:$KA$45))</f>
        <v>0</v>
      </c>
      <c r="KA41" s="1136">
        <f t="shared" si="38"/>
        <v>0</v>
      </c>
      <c r="KC41" s="1137" t="str" cm="1">
        <f t="array" ref="KC41">IFERROR(((
_xlfn.XLOOKUP((DATE(YEAR($KC$5),MONTH($KC$5),1)),SMN.COSECHA.DATE,$B41:$KA41) /
_xlfn.XLOOKUP((DATE(YEAR($KC$5)-1,MONTH($KC$5),1)),SMN.COSECHA.DATE,$B41:$KA41)
)-1)*100,"")</f>
        <v/>
      </c>
      <c r="KD41" s="1138" t="str">
        <f t="shared" si="39"/>
        <v/>
      </c>
      <c r="KE41" s="1139" cm="1">
        <f t="array" ref="KE41">SUMIFS($B41:$KA41,SMN.COSECHA.DATE,"&gt;="&amp;DATE(YEAR($KC$5)-1,1,1),SMN.COSECHA.DATE,"&lt;="&amp;DATE(YEAR($KC$5)-1,MONTH($KC$5),1))</f>
        <v>0</v>
      </c>
      <c r="KF41" s="1140" cm="1">
        <f t="array" ref="KF41">SUMIFS($B41:$KA41,SMN.COSECHA.DATE,"&gt;="&amp;DATE(YEAR($KC$5),1,1),SMN.COSECHA.DATE,"&lt;="&amp;$KC$5)</f>
        <v>0</v>
      </c>
      <c r="KG41" s="1041"/>
      <c r="KH41" s="1082"/>
      <c r="KI41" s="1083"/>
      <c r="KJ41" s="1084"/>
    </row>
    <row r="42" spans="1:296" ht="15" customHeight="1" x14ac:dyDescent="0.2">
      <c r="A42" s="1133"/>
      <c r="B42" s="1101"/>
      <c r="C42" s="1101"/>
      <c r="D42" s="1101"/>
      <c r="E42" s="1101"/>
      <c r="F42" s="1101"/>
      <c r="G42" s="1101"/>
      <c r="H42" s="1101"/>
      <c r="I42" s="1101"/>
      <c r="J42" s="1101"/>
      <c r="K42" s="1101"/>
      <c r="L42" s="1101"/>
      <c r="M42" s="1101"/>
      <c r="N42" s="1102"/>
      <c r="O42" s="1101"/>
      <c r="P42" s="1101"/>
      <c r="Q42" s="1101"/>
      <c r="R42" s="1101"/>
      <c r="S42" s="1101"/>
      <c r="T42" s="1101"/>
      <c r="U42" s="1101"/>
      <c r="V42" s="1101"/>
      <c r="W42" s="1101"/>
      <c r="X42" s="1101"/>
      <c r="Y42" s="1101"/>
      <c r="Z42" s="1101"/>
      <c r="AA42" s="1102"/>
      <c r="AB42" s="1101"/>
      <c r="AC42" s="1101"/>
      <c r="AD42" s="1101"/>
      <c r="AE42" s="1101"/>
      <c r="AF42" s="1101"/>
      <c r="AG42" s="1101"/>
      <c r="AH42" s="1101"/>
      <c r="AI42" s="1101"/>
      <c r="AJ42" s="1101"/>
      <c r="AK42" s="1101"/>
      <c r="AL42" s="1101"/>
      <c r="AM42" s="1101"/>
      <c r="AN42" s="1102"/>
      <c r="AO42" s="1101"/>
      <c r="AP42" s="1101"/>
      <c r="AQ42" s="1101"/>
      <c r="AR42" s="1101"/>
      <c r="AS42" s="1101"/>
      <c r="AT42" s="1101"/>
      <c r="AU42" s="1101"/>
      <c r="AV42" s="1101"/>
      <c r="AW42" s="1101"/>
      <c r="AX42" s="1101"/>
      <c r="AY42" s="1101"/>
      <c r="AZ42" s="1101"/>
      <c r="BA42" s="1102"/>
      <c r="BB42" s="1101"/>
      <c r="BC42" s="1101"/>
      <c r="BD42" s="1101"/>
      <c r="BE42" s="1101"/>
      <c r="BF42" s="1101"/>
      <c r="BG42" s="1101"/>
      <c r="BH42" s="1101"/>
      <c r="BI42" s="1101"/>
      <c r="BJ42" s="1101"/>
      <c r="BK42" s="1101"/>
      <c r="BL42" s="1101"/>
      <c r="BM42" s="1101"/>
      <c r="BN42" s="1102"/>
      <c r="BO42" s="1101"/>
      <c r="BP42" s="1101"/>
      <c r="BQ42" s="1101"/>
      <c r="BR42" s="1101"/>
      <c r="BS42" s="1101"/>
      <c r="BT42" s="1101"/>
      <c r="BU42" s="1101"/>
      <c r="BV42" s="1101"/>
      <c r="BW42" s="1101"/>
      <c r="BX42" s="1101"/>
      <c r="BY42" s="1101"/>
      <c r="BZ42" s="1101"/>
      <c r="CA42" s="1102"/>
      <c r="CB42" s="1101"/>
      <c r="CC42" s="1101"/>
      <c r="CD42" s="1101"/>
      <c r="CE42" s="1101"/>
      <c r="CF42" s="1101"/>
      <c r="CG42" s="1101"/>
      <c r="CH42" s="1101"/>
      <c r="CI42" s="1101"/>
      <c r="CJ42" s="1101"/>
      <c r="CK42" s="1101"/>
      <c r="CL42" s="1101"/>
      <c r="CM42" s="1101"/>
      <c r="CN42" s="1102"/>
      <c r="CO42" s="1101"/>
      <c r="CP42" s="1101"/>
      <c r="CQ42" s="1101"/>
      <c r="CR42" s="1101"/>
      <c r="CS42" s="1101"/>
      <c r="CT42" s="1101"/>
      <c r="CU42" s="1101"/>
      <c r="CV42" s="1101"/>
      <c r="CW42" s="1101"/>
      <c r="CX42" s="1101"/>
      <c r="CY42" s="1101"/>
      <c r="CZ42" s="1101"/>
      <c r="DA42" s="1102"/>
      <c r="DB42" s="1101"/>
      <c r="DC42" s="1101"/>
      <c r="DD42" s="1101"/>
      <c r="DE42" s="1101"/>
      <c r="DF42" s="1101"/>
      <c r="DG42" s="1101"/>
      <c r="DH42" s="1101"/>
      <c r="DI42" s="1101"/>
      <c r="DJ42" s="1101"/>
      <c r="DK42" s="1101"/>
      <c r="DL42" s="1101"/>
      <c r="DM42" s="1101"/>
      <c r="DN42" s="1102"/>
      <c r="DO42" s="1101"/>
      <c r="DP42" s="1101"/>
      <c r="DQ42" s="1101"/>
      <c r="DR42" s="1101"/>
      <c r="DS42" s="1101"/>
      <c r="DT42" s="1101"/>
      <c r="DU42" s="1101"/>
      <c r="DV42" s="1101"/>
      <c r="DW42" s="1101"/>
      <c r="DX42" s="1101"/>
      <c r="DY42" s="1101"/>
      <c r="DZ42" s="1101"/>
      <c r="EA42" s="1102"/>
      <c r="EB42" s="1101"/>
      <c r="EC42" s="1101"/>
      <c r="ED42" s="1101"/>
      <c r="EE42" s="1101"/>
      <c r="EF42" s="1101"/>
      <c r="EG42" s="1101"/>
      <c r="EH42" s="1101"/>
      <c r="EI42" s="1101"/>
      <c r="EJ42" s="1101"/>
      <c r="EK42" s="1101"/>
      <c r="EL42" s="1101"/>
      <c r="EM42" s="1101"/>
      <c r="EN42" s="1102"/>
      <c r="EO42" s="1101"/>
      <c r="EP42" s="1101"/>
      <c r="EQ42" s="1101"/>
      <c r="ER42" s="1101"/>
      <c r="ES42" s="1101"/>
      <c r="ET42" s="1101"/>
      <c r="EU42" s="1101"/>
      <c r="EV42" s="1101"/>
      <c r="EW42" s="1101"/>
      <c r="EX42" s="1101"/>
      <c r="EY42" s="1101"/>
      <c r="EZ42" s="1101"/>
      <c r="FA42" s="1102"/>
      <c r="FB42" s="1101"/>
      <c r="FC42" s="1101"/>
      <c r="FD42" s="1101"/>
      <c r="FE42" s="1101"/>
      <c r="FF42" s="1101"/>
      <c r="FG42" s="1101"/>
      <c r="FH42" s="1101"/>
      <c r="FI42" s="1101"/>
      <c r="FJ42" s="1101"/>
      <c r="FK42" s="1101"/>
      <c r="FL42" s="1101"/>
      <c r="FM42" s="1101"/>
      <c r="FN42" s="1102"/>
      <c r="FO42" s="1101"/>
      <c r="FP42" s="1101"/>
      <c r="FQ42" s="1101"/>
      <c r="FR42" s="1101"/>
      <c r="FS42" s="1101"/>
      <c r="FT42" s="1101"/>
      <c r="FU42" s="1101"/>
      <c r="FV42" s="1101"/>
      <c r="FW42" s="1101"/>
      <c r="FX42" s="1101"/>
      <c r="FY42" s="1101"/>
      <c r="FZ42" s="1101"/>
      <c r="GA42" s="1102"/>
      <c r="GB42" s="1101"/>
      <c r="GC42" s="1101"/>
      <c r="GD42" s="1101"/>
      <c r="GE42" s="1101"/>
      <c r="GF42" s="1101"/>
      <c r="GG42" s="1101"/>
      <c r="GH42" s="1101"/>
      <c r="GI42" s="1101"/>
      <c r="GJ42" s="1101"/>
      <c r="GK42" s="1101"/>
      <c r="GL42" s="1101"/>
      <c r="GM42" s="1101"/>
      <c r="GN42" s="1102"/>
      <c r="GO42" s="1101"/>
      <c r="GP42" s="1101"/>
      <c r="GQ42" s="1101"/>
      <c r="GR42" s="1101"/>
      <c r="GS42" s="1101"/>
      <c r="GT42" s="1101"/>
      <c r="GU42" s="1101"/>
      <c r="GV42" s="1101"/>
      <c r="GW42" s="1101"/>
      <c r="GX42" s="1101"/>
      <c r="GY42" s="1101"/>
      <c r="GZ42" s="1101"/>
      <c r="HA42" s="1102"/>
      <c r="HB42" s="1101"/>
      <c r="HC42" s="1101"/>
      <c r="HD42" s="1101"/>
      <c r="HE42" s="1101"/>
      <c r="HF42" s="1101"/>
      <c r="HG42" s="1101"/>
      <c r="HH42" s="1101"/>
      <c r="HI42" s="1101"/>
      <c r="HJ42" s="1101"/>
      <c r="HK42" s="1101"/>
      <c r="HL42" s="1101"/>
      <c r="HM42" s="1101"/>
      <c r="HN42" s="1102"/>
      <c r="HO42" s="1101"/>
      <c r="HP42" s="1101"/>
      <c r="HQ42" s="1101"/>
      <c r="HR42" s="1101"/>
      <c r="HS42" s="1101"/>
      <c r="HT42" s="1101"/>
      <c r="HU42" s="1101"/>
      <c r="HV42" s="1101"/>
      <c r="HW42" s="1101"/>
      <c r="HX42" s="1101"/>
      <c r="HY42" s="1101"/>
      <c r="HZ42" s="1101"/>
      <c r="IA42" s="1102"/>
      <c r="IB42" s="1101"/>
      <c r="IC42" s="1101"/>
      <c r="ID42" s="1101"/>
      <c r="IE42" s="1101"/>
      <c r="IF42" s="1101"/>
      <c r="IG42" s="1101"/>
      <c r="IH42" s="1101"/>
      <c r="II42" s="1101"/>
      <c r="IJ42" s="1101"/>
      <c r="IK42" s="1101"/>
      <c r="IL42" s="1101"/>
      <c r="IM42" s="1101"/>
      <c r="IN42" s="1102"/>
      <c r="IO42" s="1101"/>
      <c r="IP42" s="1101"/>
      <c r="IQ42" s="1101"/>
      <c r="IR42" s="1101"/>
      <c r="IS42" s="1101"/>
      <c r="IT42" s="1101"/>
      <c r="IU42" s="1101"/>
      <c r="IV42" s="1101"/>
      <c r="IW42" s="1101"/>
      <c r="IX42" s="1101"/>
      <c r="IY42" s="1101"/>
      <c r="IZ42" s="1101"/>
      <c r="JA42" s="1102"/>
      <c r="JB42" s="1101"/>
      <c r="JC42" s="1101"/>
      <c r="JD42" s="1101"/>
      <c r="JE42" s="1101"/>
      <c r="JF42" s="1101"/>
      <c r="JG42" s="1101"/>
      <c r="JH42" s="1101"/>
      <c r="JI42" s="1101"/>
      <c r="JJ42" s="1101"/>
      <c r="JK42" s="1101"/>
      <c r="JL42" s="1101"/>
      <c r="JM42" s="1101"/>
      <c r="JN42" s="1102"/>
      <c r="JO42" s="1101"/>
      <c r="JP42" s="1101"/>
      <c r="JQ42" s="1101"/>
      <c r="JR42" s="1101"/>
      <c r="JS42" s="1101"/>
      <c r="JT42" s="1101"/>
      <c r="JU42" s="1101"/>
      <c r="JV42" s="1101"/>
      <c r="JW42" s="1101"/>
      <c r="JX42" s="1101"/>
      <c r="JY42" s="1101"/>
      <c r="JZ42" s="1101"/>
      <c r="KA42" s="1102"/>
      <c r="KC42" s="1123"/>
      <c r="KD42" s="1124"/>
      <c r="KE42" s="1125"/>
      <c r="KF42" s="1126"/>
      <c r="KG42" s="62"/>
      <c r="KH42" s="1085"/>
      <c r="KI42" s="1086"/>
      <c r="KJ42" s="1087"/>
    </row>
    <row r="43" spans="1:296" ht="15" customHeight="1" x14ac:dyDescent="0.2">
      <c r="A43" s="93" t="s">
        <v>121</v>
      </c>
    </row>
    <row r="44" spans="1:296" ht="15" customHeight="1" x14ac:dyDescent="0.2">
      <c r="A44" s="93" t="s">
        <v>127</v>
      </c>
    </row>
  </sheetData>
  <sortState xmlns:xlrd2="http://schemas.microsoft.com/office/spreadsheetml/2017/richdata2" ref="A9:XFC37">
    <sortCondition ref="A37"/>
  </sortState>
  <pageMargins left="0.7" right="0.7" top="0.75" bottom="0.75" header="0.3" footer="0.3"/>
  <pageSetup paperSize="9" scale="10" orientation="portrait" r:id="rId1"/>
  <colBreaks count="3" manualBreakCount="3">
    <brk id="79" max="43" man="1"/>
    <brk id="157" max="43" man="1"/>
    <brk id="235" max="4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tabColor theme="6" tint="-0.249977111117893"/>
  </sheetPr>
  <dimension ref="A1:KJ90"/>
  <sheetViews>
    <sheetView showGridLines="0" view="pageBreakPreview" zoomScaleNormal="75" zoomScaleSheetLayoutView="100" workbookViewId="0">
      <pane xSplit="1" topLeftCell="JL1" activePane="topRight" state="frozen"/>
      <selection activeCell="IB59" sqref="IB59:JB59"/>
      <selection pane="topRight" activeCell="KC7" sqref="KC7:KF11"/>
    </sheetView>
  </sheetViews>
  <sheetFormatPr baseColWidth="10" defaultColWidth="9.7109375" defaultRowHeight="15" customHeight="1" x14ac:dyDescent="0.2"/>
  <cols>
    <col min="1" max="1" width="20.7109375" style="62" customWidth="1"/>
    <col min="2" max="83" width="9.7109375" style="62"/>
    <col min="84" max="287" width="9.7109375" style="66"/>
    <col min="288" max="288" width="9.7109375" customWidth="1"/>
    <col min="289" max="292" width="9.7109375" style="62"/>
    <col min="293" max="293" width="9.7109375" style="62" customWidth="1"/>
    <col min="294" max="296" width="9.7109375" style="62"/>
  </cols>
  <sheetData>
    <row r="1" spans="1:296" ht="15" customHeight="1" x14ac:dyDescent="0.25">
      <c r="A1" s="1134" t="s">
        <v>128</v>
      </c>
    </row>
    <row r="2" spans="1:296" ht="15" customHeight="1" x14ac:dyDescent="0.25">
      <c r="A2" s="1134" t="s">
        <v>356</v>
      </c>
    </row>
    <row r="3" spans="1:296" ht="15" customHeight="1" x14ac:dyDescent="0.25">
      <c r="A3" s="1134" t="s">
        <v>81</v>
      </c>
      <c r="BN3" s="63"/>
      <c r="KH3"/>
      <c r="KI3"/>
      <c r="KJ3"/>
    </row>
    <row r="4" spans="1:296" ht="15" customHeight="1" x14ac:dyDescent="0.2">
      <c r="A4" s="1127"/>
      <c r="B4" s="1088">
        <f>YEAR(B5)</f>
        <v>2005</v>
      </c>
      <c r="C4" s="1088"/>
      <c r="D4" s="1088"/>
      <c r="E4" s="1088"/>
      <c r="F4" s="1088"/>
      <c r="G4" s="1088"/>
      <c r="H4" s="1088"/>
      <c r="I4" s="1088"/>
      <c r="J4" s="1088"/>
      <c r="K4" s="1088"/>
      <c r="L4" s="1088"/>
      <c r="M4" s="1088"/>
      <c r="N4" s="1089" t="s">
        <v>22</v>
      </c>
      <c r="O4" s="1088">
        <f>YEAR(O5)</f>
        <v>2006</v>
      </c>
      <c r="P4" s="1088"/>
      <c r="Q4" s="1088"/>
      <c r="R4" s="1088"/>
      <c r="S4" s="1088"/>
      <c r="T4" s="1088"/>
      <c r="U4" s="1088"/>
      <c r="V4" s="1088"/>
      <c r="W4" s="1088"/>
      <c r="X4" s="1088"/>
      <c r="Y4" s="1088"/>
      <c r="Z4" s="1088"/>
      <c r="AA4" s="1089" t="s">
        <v>22</v>
      </c>
      <c r="AB4" s="1088">
        <f>YEAR(AB5)</f>
        <v>2007</v>
      </c>
      <c r="AC4" s="1088"/>
      <c r="AD4" s="1088"/>
      <c r="AE4" s="1088"/>
      <c r="AF4" s="1088"/>
      <c r="AG4" s="1088"/>
      <c r="AH4" s="1088"/>
      <c r="AI4" s="1088"/>
      <c r="AJ4" s="1088"/>
      <c r="AK4" s="1088"/>
      <c r="AL4" s="1088"/>
      <c r="AM4" s="1088"/>
      <c r="AN4" s="1089" t="s">
        <v>22</v>
      </c>
      <c r="AO4" s="1088">
        <f>YEAR(AO5)</f>
        <v>2008</v>
      </c>
      <c r="AP4" s="1088"/>
      <c r="AQ4" s="1088"/>
      <c r="AR4" s="1088"/>
      <c r="AS4" s="1088"/>
      <c r="AT4" s="1088"/>
      <c r="AU4" s="1088"/>
      <c r="AV4" s="1088"/>
      <c r="AW4" s="1088"/>
      <c r="AX4" s="1088"/>
      <c r="AY4" s="1088"/>
      <c r="AZ4" s="1088"/>
      <c r="BA4" s="1089" t="s">
        <v>22</v>
      </c>
      <c r="BB4" s="1088">
        <f>YEAR(BB5)</f>
        <v>2009</v>
      </c>
      <c r="BC4" s="1088"/>
      <c r="BD4" s="1088"/>
      <c r="BE4" s="1088"/>
      <c r="BF4" s="1088"/>
      <c r="BG4" s="1088"/>
      <c r="BH4" s="1088"/>
      <c r="BI4" s="1088"/>
      <c r="BJ4" s="1088"/>
      <c r="BK4" s="1088"/>
      <c r="BL4" s="1088"/>
      <c r="BM4" s="1088"/>
      <c r="BN4" s="1089" t="s">
        <v>22</v>
      </c>
      <c r="BO4" s="1088">
        <f>YEAR(BO5)</f>
        <v>2010</v>
      </c>
      <c r="BP4" s="1088"/>
      <c r="BQ4" s="1088"/>
      <c r="BR4" s="1088"/>
      <c r="BS4" s="1088"/>
      <c r="BT4" s="1088"/>
      <c r="BU4" s="1088"/>
      <c r="BV4" s="1088"/>
      <c r="BW4" s="1088"/>
      <c r="BX4" s="1088"/>
      <c r="BY4" s="1088"/>
      <c r="BZ4" s="1088"/>
      <c r="CA4" s="1089" t="s">
        <v>22</v>
      </c>
      <c r="CB4" s="1088">
        <f>YEAR(CB5)</f>
        <v>2011</v>
      </c>
      <c r="CC4" s="1088"/>
      <c r="CD4" s="1088"/>
      <c r="CE4" s="1088"/>
      <c r="CF4" s="1088"/>
      <c r="CG4" s="1088"/>
      <c r="CH4" s="1088"/>
      <c r="CI4" s="1088"/>
      <c r="CJ4" s="1088"/>
      <c r="CK4" s="1088"/>
      <c r="CL4" s="1088"/>
      <c r="CM4" s="1088"/>
      <c r="CN4" s="1089" t="s">
        <v>22</v>
      </c>
      <c r="CO4" s="1088">
        <f>YEAR(CO5)</f>
        <v>2012</v>
      </c>
      <c r="CP4" s="1088"/>
      <c r="CQ4" s="1088"/>
      <c r="CR4" s="1088"/>
      <c r="CS4" s="1088"/>
      <c r="CT4" s="1088"/>
      <c r="CU4" s="1088"/>
      <c r="CV4" s="1088"/>
      <c r="CW4" s="1088"/>
      <c r="CX4" s="1088"/>
      <c r="CY4" s="1088"/>
      <c r="CZ4" s="1088"/>
      <c r="DA4" s="1089" t="s">
        <v>22</v>
      </c>
      <c r="DB4" s="1088">
        <f>YEAR(DB5)</f>
        <v>2013</v>
      </c>
      <c r="DC4" s="1088"/>
      <c r="DD4" s="1088"/>
      <c r="DE4" s="1088"/>
      <c r="DF4" s="1088"/>
      <c r="DG4" s="1088"/>
      <c r="DH4" s="1088"/>
      <c r="DI4" s="1088"/>
      <c r="DJ4" s="1088"/>
      <c r="DK4" s="1088"/>
      <c r="DL4" s="1088"/>
      <c r="DM4" s="1088"/>
      <c r="DN4" s="1089" t="s">
        <v>22</v>
      </c>
      <c r="DO4" s="1088">
        <f>YEAR(DO5)</f>
        <v>2014</v>
      </c>
      <c r="DP4" s="1088"/>
      <c r="DQ4" s="1088"/>
      <c r="DR4" s="1088"/>
      <c r="DS4" s="1088"/>
      <c r="DT4" s="1088"/>
      <c r="DU4" s="1088"/>
      <c r="DV4" s="1088"/>
      <c r="DW4" s="1088"/>
      <c r="DX4" s="1088"/>
      <c r="DY4" s="1088"/>
      <c r="DZ4" s="1088"/>
      <c r="EA4" s="1089" t="s">
        <v>22</v>
      </c>
      <c r="EB4" s="1088">
        <f>YEAR(EB5)</f>
        <v>2015</v>
      </c>
      <c r="EC4" s="1088"/>
      <c r="ED4" s="1088"/>
      <c r="EE4" s="1088"/>
      <c r="EF4" s="1088"/>
      <c r="EG4" s="1088"/>
      <c r="EH4" s="1088"/>
      <c r="EI4" s="1088"/>
      <c r="EJ4" s="1088"/>
      <c r="EK4" s="1088"/>
      <c r="EL4" s="1088"/>
      <c r="EM4" s="1088"/>
      <c r="EN4" s="1089" t="s">
        <v>22</v>
      </c>
      <c r="EO4" s="1088">
        <f>YEAR(EO5)</f>
        <v>2016</v>
      </c>
      <c r="EP4" s="1088"/>
      <c r="EQ4" s="1088"/>
      <c r="ER4" s="1088"/>
      <c r="ES4" s="1088"/>
      <c r="ET4" s="1088"/>
      <c r="EU4" s="1088"/>
      <c r="EV4" s="1088"/>
      <c r="EW4" s="1088"/>
      <c r="EX4" s="1088"/>
      <c r="EY4" s="1088"/>
      <c r="EZ4" s="1088"/>
      <c r="FA4" s="1089" t="s">
        <v>22</v>
      </c>
      <c r="FB4" s="1088">
        <f>YEAR(FB5)</f>
        <v>2017</v>
      </c>
      <c r="FC4" s="1088"/>
      <c r="FD4" s="1088"/>
      <c r="FE4" s="1088"/>
      <c r="FF4" s="1088"/>
      <c r="FG4" s="1088"/>
      <c r="FH4" s="1088"/>
      <c r="FI4" s="1088"/>
      <c r="FJ4" s="1088"/>
      <c r="FK4" s="1088"/>
      <c r="FL4" s="1088"/>
      <c r="FM4" s="1088"/>
      <c r="FN4" s="1089" t="s">
        <v>22</v>
      </c>
      <c r="FO4" s="1088">
        <f>YEAR(FO5)</f>
        <v>2018</v>
      </c>
      <c r="FP4" s="1088"/>
      <c r="FQ4" s="1088"/>
      <c r="FR4" s="1088"/>
      <c r="FS4" s="1088"/>
      <c r="FT4" s="1088"/>
      <c r="FU4" s="1088"/>
      <c r="FV4" s="1088"/>
      <c r="FW4" s="1088"/>
      <c r="FX4" s="1088"/>
      <c r="FY4" s="1088"/>
      <c r="FZ4" s="1088"/>
      <c r="GA4" s="1089" t="s">
        <v>22</v>
      </c>
      <c r="GB4" s="1088">
        <f>YEAR(GB5)</f>
        <v>2019</v>
      </c>
      <c r="GC4" s="1088"/>
      <c r="GD4" s="1088"/>
      <c r="GE4" s="1088"/>
      <c r="GF4" s="1088"/>
      <c r="GG4" s="1088"/>
      <c r="GH4" s="1088"/>
      <c r="GI4" s="1088"/>
      <c r="GJ4" s="1088"/>
      <c r="GK4" s="1088"/>
      <c r="GL4" s="1088"/>
      <c r="GM4" s="1088"/>
      <c r="GN4" s="1089" t="s">
        <v>22</v>
      </c>
      <c r="GO4" s="1088">
        <f>YEAR(GO5)</f>
        <v>2020</v>
      </c>
      <c r="GP4" s="1088"/>
      <c r="GQ4" s="1088"/>
      <c r="GR4" s="1088"/>
      <c r="GS4" s="1088"/>
      <c r="GT4" s="1088"/>
      <c r="GU4" s="1088"/>
      <c r="GV4" s="1088"/>
      <c r="GW4" s="1088"/>
      <c r="GX4" s="1088"/>
      <c r="GY4" s="1088"/>
      <c r="GZ4" s="1088"/>
      <c r="HA4" s="1089" t="s">
        <v>22</v>
      </c>
      <c r="HB4" s="1088">
        <f>YEAR(HB5)</f>
        <v>2021</v>
      </c>
      <c r="HC4" s="1088"/>
      <c r="HD4" s="1088"/>
      <c r="HE4" s="1088"/>
      <c r="HF4" s="1088"/>
      <c r="HG4" s="1088"/>
      <c r="HH4" s="1088"/>
      <c r="HI4" s="1088"/>
      <c r="HJ4" s="1088"/>
      <c r="HK4" s="1088"/>
      <c r="HL4" s="1088"/>
      <c r="HM4" s="1088"/>
      <c r="HN4" s="1089" t="s">
        <v>22</v>
      </c>
      <c r="HO4" s="1088">
        <f>YEAR(HO5)</f>
        <v>2022</v>
      </c>
      <c r="HP4" s="1088"/>
      <c r="HQ4" s="1088"/>
      <c r="HR4" s="1088"/>
      <c r="HS4" s="1088"/>
      <c r="HT4" s="1088"/>
      <c r="HU4" s="1088"/>
      <c r="HV4" s="1088"/>
      <c r="HW4" s="1088"/>
      <c r="HX4" s="1088"/>
      <c r="HY4" s="1088"/>
      <c r="HZ4" s="1088"/>
      <c r="IA4" s="1089" t="s">
        <v>22</v>
      </c>
      <c r="IB4" s="1088">
        <f>YEAR(IB5)</f>
        <v>2023</v>
      </c>
      <c r="IC4" s="1088"/>
      <c r="ID4" s="1088"/>
      <c r="IE4" s="1088"/>
      <c r="IF4" s="1088"/>
      <c r="IG4" s="1088"/>
      <c r="IH4" s="1088"/>
      <c r="II4" s="1088"/>
      <c r="IJ4" s="1088"/>
      <c r="IK4" s="1088"/>
      <c r="IL4" s="1088"/>
      <c r="IM4" s="1088"/>
      <c r="IN4" s="1089" t="s">
        <v>22</v>
      </c>
      <c r="IO4" s="1088">
        <f>YEAR(IO5)</f>
        <v>2024</v>
      </c>
      <c r="IP4" s="1088"/>
      <c r="IQ4" s="1088"/>
      <c r="IR4" s="1088"/>
      <c r="IS4" s="1088"/>
      <c r="IT4" s="1088"/>
      <c r="IU4" s="1088"/>
      <c r="IV4" s="1088"/>
      <c r="IW4" s="1088"/>
      <c r="IX4" s="1088"/>
      <c r="IY4" s="1088"/>
      <c r="IZ4" s="1088"/>
      <c r="JA4" s="1089" t="s">
        <v>22</v>
      </c>
      <c r="JB4" s="1088">
        <f>YEAR(JB5)</f>
        <v>2025</v>
      </c>
      <c r="JC4" s="1088"/>
      <c r="JD4" s="1088"/>
      <c r="JE4" s="1088"/>
      <c r="JF4" s="1088"/>
      <c r="JG4" s="1088"/>
      <c r="JH4" s="1088"/>
      <c r="JI4" s="1088"/>
      <c r="JJ4" s="1088"/>
      <c r="JK4" s="1088"/>
      <c r="JL4" s="1088"/>
      <c r="JM4" s="1088"/>
      <c r="JN4" s="1089" t="s">
        <v>22</v>
      </c>
      <c r="JO4" s="1088">
        <f>YEAR(JO5)</f>
        <v>2026</v>
      </c>
      <c r="JP4" s="1088"/>
      <c r="JQ4" s="1088"/>
      <c r="JR4" s="1088"/>
      <c r="JS4" s="1088"/>
      <c r="JT4" s="1088"/>
      <c r="JU4" s="1088"/>
      <c r="JV4" s="1088"/>
      <c r="JW4" s="1088"/>
      <c r="JX4" s="1088"/>
      <c r="JY4" s="1088"/>
      <c r="JZ4" s="1088"/>
      <c r="KA4" s="1089" t="s">
        <v>22</v>
      </c>
      <c r="KC4" s="1103" t="str">
        <f>CONCATENATE("Var.% ",KF4,"/",KF4-1)</f>
        <v>Var.% 2025/2024</v>
      </c>
      <c r="KD4" s="1104"/>
      <c r="KE4" s="1105">
        <f>KF4-1</f>
        <v>2024</v>
      </c>
      <c r="KF4" s="1105">
        <f>YEAR(KC5)</f>
        <v>2025</v>
      </c>
      <c r="KH4" s="1073" t="s">
        <v>562</v>
      </c>
      <c r="KI4" s="1074"/>
      <c r="KJ4" s="1075"/>
    </row>
    <row r="5" spans="1:296" ht="15" customHeight="1" x14ac:dyDescent="0.2">
      <c r="A5" s="1128"/>
      <c r="B5" s="1090">
        <v>38353</v>
      </c>
      <c r="C5" s="1090">
        <v>38384</v>
      </c>
      <c r="D5" s="1090">
        <v>38412</v>
      </c>
      <c r="E5" s="1090">
        <v>38443</v>
      </c>
      <c r="F5" s="1090">
        <v>38473</v>
      </c>
      <c r="G5" s="1090">
        <v>38504</v>
      </c>
      <c r="H5" s="1090">
        <v>38534</v>
      </c>
      <c r="I5" s="1090">
        <v>38565</v>
      </c>
      <c r="J5" s="1090">
        <v>38596</v>
      </c>
      <c r="K5" s="1090">
        <v>38626</v>
      </c>
      <c r="L5" s="1090">
        <v>38657</v>
      </c>
      <c r="M5" s="1090">
        <v>38687</v>
      </c>
      <c r="N5" s="1091">
        <f>YEAR(M5)</f>
        <v>2005</v>
      </c>
      <c r="O5" s="1090">
        <v>38718</v>
      </c>
      <c r="P5" s="1090">
        <v>38749</v>
      </c>
      <c r="Q5" s="1090">
        <v>38777</v>
      </c>
      <c r="R5" s="1090">
        <v>38808</v>
      </c>
      <c r="S5" s="1090">
        <v>38838</v>
      </c>
      <c r="T5" s="1090">
        <v>38869</v>
      </c>
      <c r="U5" s="1090">
        <v>38899</v>
      </c>
      <c r="V5" s="1090">
        <v>38930</v>
      </c>
      <c r="W5" s="1090">
        <v>38961</v>
      </c>
      <c r="X5" s="1090">
        <v>38991</v>
      </c>
      <c r="Y5" s="1090">
        <v>39022</v>
      </c>
      <c r="Z5" s="1090">
        <v>39052</v>
      </c>
      <c r="AA5" s="1091">
        <f>YEAR(Z5)</f>
        <v>2006</v>
      </c>
      <c r="AB5" s="1090">
        <v>39083</v>
      </c>
      <c r="AC5" s="1090">
        <v>39114</v>
      </c>
      <c r="AD5" s="1090">
        <v>39142</v>
      </c>
      <c r="AE5" s="1090">
        <v>39173</v>
      </c>
      <c r="AF5" s="1090">
        <v>39203</v>
      </c>
      <c r="AG5" s="1090">
        <v>39234</v>
      </c>
      <c r="AH5" s="1090">
        <v>39264</v>
      </c>
      <c r="AI5" s="1090">
        <v>39295</v>
      </c>
      <c r="AJ5" s="1090">
        <v>39326</v>
      </c>
      <c r="AK5" s="1090">
        <v>39356</v>
      </c>
      <c r="AL5" s="1090">
        <v>39387</v>
      </c>
      <c r="AM5" s="1090">
        <v>39417</v>
      </c>
      <c r="AN5" s="1091">
        <f>YEAR(AM5)</f>
        <v>2007</v>
      </c>
      <c r="AO5" s="1090">
        <v>39448</v>
      </c>
      <c r="AP5" s="1090">
        <v>39479</v>
      </c>
      <c r="AQ5" s="1090">
        <v>39508</v>
      </c>
      <c r="AR5" s="1090">
        <v>39539</v>
      </c>
      <c r="AS5" s="1090">
        <v>39569</v>
      </c>
      <c r="AT5" s="1090">
        <v>39600</v>
      </c>
      <c r="AU5" s="1090">
        <v>39630</v>
      </c>
      <c r="AV5" s="1090">
        <v>39661</v>
      </c>
      <c r="AW5" s="1090">
        <v>39692</v>
      </c>
      <c r="AX5" s="1090">
        <v>39722</v>
      </c>
      <c r="AY5" s="1090">
        <v>39753</v>
      </c>
      <c r="AZ5" s="1090">
        <v>39783</v>
      </c>
      <c r="BA5" s="1091">
        <f>YEAR(AZ5)</f>
        <v>2008</v>
      </c>
      <c r="BB5" s="1090">
        <v>39814</v>
      </c>
      <c r="BC5" s="1090">
        <v>39845</v>
      </c>
      <c r="BD5" s="1090">
        <v>39873</v>
      </c>
      <c r="BE5" s="1090">
        <v>39904</v>
      </c>
      <c r="BF5" s="1090">
        <v>39934</v>
      </c>
      <c r="BG5" s="1090">
        <v>39965</v>
      </c>
      <c r="BH5" s="1090">
        <v>39995</v>
      </c>
      <c r="BI5" s="1090">
        <v>40026</v>
      </c>
      <c r="BJ5" s="1090">
        <v>40057</v>
      </c>
      <c r="BK5" s="1090">
        <v>40087</v>
      </c>
      <c r="BL5" s="1090">
        <v>40118</v>
      </c>
      <c r="BM5" s="1090">
        <v>40148</v>
      </c>
      <c r="BN5" s="1091">
        <f>YEAR(BM5)</f>
        <v>2009</v>
      </c>
      <c r="BO5" s="1090">
        <v>40179</v>
      </c>
      <c r="BP5" s="1090">
        <v>40210</v>
      </c>
      <c r="BQ5" s="1090">
        <v>40238</v>
      </c>
      <c r="BR5" s="1090">
        <v>40269</v>
      </c>
      <c r="BS5" s="1090">
        <v>40299</v>
      </c>
      <c r="BT5" s="1090">
        <v>40330</v>
      </c>
      <c r="BU5" s="1090">
        <v>40360</v>
      </c>
      <c r="BV5" s="1090">
        <v>40391</v>
      </c>
      <c r="BW5" s="1090">
        <v>40422</v>
      </c>
      <c r="BX5" s="1090">
        <v>40452</v>
      </c>
      <c r="BY5" s="1090">
        <v>40483</v>
      </c>
      <c r="BZ5" s="1090">
        <v>40513</v>
      </c>
      <c r="CA5" s="1091">
        <f>YEAR(BZ5)</f>
        <v>2010</v>
      </c>
      <c r="CB5" s="1090">
        <v>40544</v>
      </c>
      <c r="CC5" s="1090">
        <v>40575</v>
      </c>
      <c r="CD5" s="1090">
        <v>40603</v>
      </c>
      <c r="CE5" s="1090">
        <v>40634</v>
      </c>
      <c r="CF5" s="1090">
        <v>40664</v>
      </c>
      <c r="CG5" s="1090">
        <v>40695</v>
      </c>
      <c r="CH5" s="1090">
        <v>40725</v>
      </c>
      <c r="CI5" s="1090">
        <v>40756</v>
      </c>
      <c r="CJ5" s="1090">
        <v>40787</v>
      </c>
      <c r="CK5" s="1090">
        <v>40817</v>
      </c>
      <c r="CL5" s="1090">
        <v>40848</v>
      </c>
      <c r="CM5" s="1090">
        <v>40878</v>
      </c>
      <c r="CN5" s="1091">
        <f>YEAR(CM5)</f>
        <v>2011</v>
      </c>
      <c r="CO5" s="1090">
        <v>40909</v>
      </c>
      <c r="CP5" s="1090">
        <v>40940</v>
      </c>
      <c r="CQ5" s="1090">
        <v>40969</v>
      </c>
      <c r="CR5" s="1090">
        <v>41000</v>
      </c>
      <c r="CS5" s="1090">
        <v>41030</v>
      </c>
      <c r="CT5" s="1090">
        <v>41061</v>
      </c>
      <c r="CU5" s="1090">
        <v>41091</v>
      </c>
      <c r="CV5" s="1090">
        <v>41122</v>
      </c>
      <c r="CW5" s="1090">
        <v>41153</v>
      </c>
      <c r="CX5" s="1090">
        <v>41183</v>
      </c>
      <c r="CY5" s="1090">
        <v>41214</v>
      </c>
      <c r="CZ5" s="1090">
        <v>41244</v>
      </c>
      <c r="DA5" s="1091">
        <f>YEAR(CZ5)</f>
        <v>2012</v>
      </c>
      <c r="DB5" s="1090">
        <v>41275</v>
      </c>
      <c r="DC5" s="1090">
        <v>41306</v>
      </c>
      <c r="DD5" s="1090">
        <v>41334</v>
      </c>
      <c r="DE5" s="1090">
        <v>41365</v>
      </c>
      <c r="DF5" s="1090">
        <v>41395</v>
      </c>
      <c r="DG5" s="1090">
        <v>41426</v>
      </c>
      <c r="DH5" s="1090">
        <v>41456</v>
      </c>
      <c r="DI5" s="1090">
        <v>41487</v>
      </c>
      <c r="DJ5" s="1090">
        <v>41518</v>
      </c>
      <c r="DK5" s="1090">
        <v>41548</v>
      </c>
      <c r="DL5" s="1090">
        <v>41579</v>
      </c>
      <c r="DM5" s="1090">
        <v>41609</v>
      </c>
      <c r="DN5" s="1091">
        <f>YEAR(DM5)</f>
        <v>2013</v>
      </c>
      <c r="DO5" s="1090">
        <v>41640</v>
      </c>
      <c r="DP5" s="1090">
        <v>41671</v>
      </c>
      <c r="DQ5" s="1090">
        <v>41699</v>
      </c>
      <c r="DR5" s="1090">
        <v>41730</v>
      </c>
      <c r="DS5" s="1090">
        <v>41760</v>
      </c>
      <c r="DT5" s="1090">
        <v>41791</v>
      </c>
      <c r="DU5" s="1090">
        <v>41821</v>
      </c>
      <c r="DV5" s="1090">
        <v>41852</v>
      </c>
      <c r="DW5" s="1090">
        <v>41883</v>
      </c>
      <c r="DX5" s="1090">
        <v>41913</v>
      </c>
      <c r="DY5" s="1090">
        <v>41944</v>
      </c>
      <c r="DZ5" s="1090">
        <v>41974</v>
      </c>
      <c r="EA5" s="1091">
        <f>YEAR(DZ5)</f>
        <v>2014</v>
      </c>
      <c r="EB5" s="1090">
        <v>42005</v>
      </c>
      <c r="EC5" s="1090">
        <v>42036</v>
      </c>
      <c r="ED5" s="1090">
        <v>42064</v>
      </c>
      <c r="EE5" s="1090">
        <v>42095</v>
      </c>
      <c r="EF5" s="1090">
        <v>42125</v>
      </c>
      <c r="EG5" s="1090">
        <v>42156</v>
      </c>
      <c r="EH5" s="1090">
        <v>42186</v>
      </c>
      <c r="EI5" s="1090">
        <v>42217</v>
      </c>
      <c r="EJ5" s="1090">
        <v>42248</v>
      </c>
      <c r="EK5" s="1090">
        <v>42278</v>
      </c>
      <c r="EL5" s="1090">
        <v>42309</v>
      </c>
      <c r="EM5" s="1090">
        <v>42339</v>
      </c>
      <c r="EN5" s="1091">
        <f>YEAR(EM5)</f>
        <v>2015</v>
      </c>
      <c r="EO5" s="1090">
        <v>42370</v>
      </c>
      <c r="EP5" s="1090">
        <v>42401</v>
      </c>
      <c r="EQ5" s="1090">
        <v>42430</v>
      </c>
      <c r="ER5" s="1090">
        <v>42461</v>
      </c>
      <c r="ES5" s="1090">
        <v>42491</v>
      </c>
      <c r="ET5" s="1090">
        <v>42522</v>
      </c>
      <c r="EU5" s="1090">
        <v>42552</v>
      </c>
      <c r="EV5" s="1090">
        <v>42583</v>
      </c>
      <c r="EW5" s="1090">
        <v>42614</v>
      </c>
      <c r="EX5" s="1090">
        <v>42644</v>
      </c>
      <c r="EY5" s="1090">
        <v>42675</v>
      </c>
      <c r="EZ5" s="1090">
        <v>42705</v>
      </c>
      <c r="FA5" s="1091">
        <f>YEAR(EZ5)</f>
        <v>2016</v>
      </c>
      <c r="FB5" s="1090">
        <v>42736</v>
      </c>
      <c r="FC5" s="1090">
        <v>42767</v>
      </c>
      <c r="FD5" s="1090">
        <v>42795</v>
      </c>
      <c r="FE5" s="1090">
        <v>42826</v>
      </c>
      <c r="FF5" s="1090">
        <v>42856</v>
      </c>
      <c r="FG5" s="1090">
        <v>42887</v>
      </c>
      <c r="FH5" s="1090">
        <v>42917</v>
      </c>
      <c r="FI5" s="1090">
        <v>42948</v>
      </c>
      <c r="FJ5" s="1090">
        <v>42979</v>
      </c>
      <c r="FK5" s="1090">
        <v>43009</v>
      </c>
      <c r="FL5" s="1090">
        <v>43040</v>
      </c>
      <c r="FM5" s="1090">
        <v>43070</v>
      </c>
      <c r="FN5" s="1091">
        <f>YEAR(FM5)</f>
        <v>2017</v>
      </c>
      <c r="FO5" s="1090">
        <v>43101</v>
      </c>
      <c r="FP5" s="1090">
        <v>43132</v>
      </c>
      <c r="FQ5" s="1090">
        <v>43160</v>
      </c>
      <c r="FR5" s="1090">
        <v>43191</v>
      </c>
      <c r="FS5" s="1090">
        <v>43221</v>
      </c>
      <c r="FT5" s="1090">
        <v>43252</v>
      </c>
      <c r="FU5" s="1090">
        <v>43282</v>
      </c>
      <c r="FV5" s="1090">
        <v>43313</v>
      </c>
      <c r="FW5" s="1090">
        <v>43344</v>
      </c>
      <c r="FX5" s="1090">
        <v>43374</v>
      </c>
      <c r="FY5" s="1090">
        <v>43405</v>
      </c>
      <c r="FZ5" s="1090">
        <v>43435</v>
      </c>
      <c r="GA5" s="1091">
        <f>YEAR(FZ5)</f>
        <v>2018</v>
      </c>
      <c r="GB5" s="1090">
        <v>43466</v>
      </c>
      <c r="GC5" s="1090">
        <v>43497</v>
      </c>
      <c r="GD5" s="1090">
        <v>43525</v>
      </c>
      <c r="GE5" s="1090">
        <v>43556</v>
      </c>
      <c r="GF5" s="1090">
        <v>43586</v>
      </c>
      <c r="GG5" s="1090">
        <v>43617</v>
      </c>
      <c r="GH5" s="1090">
        <v>43647</v>
      </c>
      <c r="GI5" s="1090">
        <v>43678</v>
      </c>
      <c r="GJ5" s="1090">
        <v>43709</v>
      </c>
      <c r="GK5" s="1090">
        <v>43739</v>
      </c>
      <c r="GL5" s="1090">
        <v>43770</v>
      </c>
      <c r="GM5" s="1090">
        <v>43800</v>
      </c>
      <c r="GN5" s="1091">
        <f>YEAR(GM5)</f>
        <v>2019</v>
      </c>
      <c r="GO5" s="1090">
        <v>43831</v>
      </c>
      <c r="GP5" s="1090">
        <v>43862</v>
      </c>
      <c r="GQ5" s="1090">
        <v>43891</v>
      </c>
      <c r="GR5" s="1090">
        <v>43922</v>
      </c>
      <c r="GS5" s="1090">
        <v>43952</v>
      </c>
      <c r="GT5" s="1090">
        <v>43983</v>
      </c>
      <c r="GU5" s="1090">
        <v>44013</v>
      </c>
      <c r="GV5" s="1090">
        <v>44044</v>
      </c>
      <c r="GW5" s="1090">
        <v>44075</v>
      </c>
      <c r="GX5" s="1090">
        <v>44105</v>
      </c>
      <c r="GY5" s="1090">
        <v>44136</v>
      </c>
      <c r="GZ5" s="1090">
        <v>44166</v>
      </c>
      <c r="HA5" s="1091">
        <f>YEAR(GZ5)</f>
        <v>2020</v>
      </c>
      <c r="HB5" s="1090">
        <v>44197</v>
      </c>
      <c r="HC5" s="1090">
        <v>44228</v>
      </c>
      <c r="HD5" s="1090">
        <v>44256</v>
      </c>
      <c r="HE5" s="1090">
        <v>44287</v>
      </c>
      <c r="HF5" s="1090">
        <v>44317</v>
      </c>
      <c r="HG5" s="1090">
        <v>44348</v>
      </c>
      <c r="HH5" s="1090">
        <v>44378</v>
      </c>
      <c r="HI5" s="1090">
        <v>44409</v>
      </c>
      <c r="HJ5" s="1090">
        <v>44440</v>
      </c>
      <c r="HK5" s="1090">
        <v>44470</v>
      </c>
      <c r="HL5" s="1090">
        <v>44501</v>
      </c>
      <c r="HM5" s="1090">
        <v>44531</v>
      </c>
      <c r="HN5" s="1091">
        <f>YEAR(HM5)</f>
        <v>2021</v>
      </c>
      <c r="HO5" s="1090">
        <v>44562</v>
      </c>
      <c r="HP5" s="1090">
        <v>44593</v>
      </c>
      <c r="HQ5" s="1090">
        <v>44621</v>
      </c>
      <c r="HR5" s="1090">
        <v>44652</v>
      </c>
      <c r="HS5" s="1090">
        <v>44682</v>
      </c>
      <c r="HT5" s="1090">
        <v>44713</v>
      </c>
      <c r="HU5" s="1090">
        <v>44743</v>
      </c>
      <c r="HV5" s="1090">
        <v>44774</v>
      </c>
      <c r="HW5" s="1090">
        <v>44805</v>
      </c>
      <c r="HX5" s="1090">
        <v>44835</v>
      </c>
      <c r="HY5" s="1090">
        <v>44866</v>
      </c>
      <c r="HZ5" s="1090">
        <v>44896</v>
      </c>
      <c r="IA5" s="1091">
        <f>YEAR(HZ5)</f>
        <v>2022</v>
      </c>
      <c r="IB5" s="1090">
        <v>44927</v>
      </c>
      <c r="IC5" s="1090">
        <v>44958</v>
      </c>
      <c r="ID5" s="1090">
        <v>44986</v>
      </c>
      <c r="IE5" s="1090">
        <v>45017</v>
      </c>
      <c r="IF5" s="1090">
        <v>45047</v>
      </c>
      <c r="IG5" s="1090">
        <v>45078</v>
      </c>
      <c r="IH5" s="1090">
        <v>45108</v>
      </c>
      <c r="II5" s="1090">
        <v>45139</v>
      </c>
      <c r="IJ5" s="1090">
        <v>45170</v>
      </c>
      <c r="IK5" s="1090">
        <v>45200</v>
      </c>
      <c r="IL5" s="1090">
        <v>45231</v>
      </c>
      <c r="IM5" s="1090">
        <v>45261</v>
      </c>
      <c r="IN5" s="1091">
        <f>YEAR(IM5)</f>
        <v>2023</v>
      </c>
      <c r="IO5" s="1090">
        <v>45292</v>
      </c>
      <c r="IP5" s="1090">
        <v>45323</v>
      </c>
      <c r="IQ5" s="1090">
        <v>45352</v>
      </c>
      <c r="IR5" s="1090">
        <v>45383</v>
      </c>
      <c r="IS5" s="1090">
        <v>45413</v>
      </c>
      <c r="IT5" s="1090">
        <v>45444</v>
      </c>
      <c r="IU5" s="1090">
        <v>45474</v>
      </c>
      <c r="IV5" s="1090">
        <v>45505</v>
      </c>
      <c r="IW5" s="1090">
        <v>45536</v>
      </c>
      <c r="IX5" s="1090">
        <v>45566</v>
      </c>
      <c r="IY5" s="1090">
        <v>45597</v>
      </c>
      <c r="IZ5" s="1090">
        <v>45627</v>
      </c>
      <c r="JA5" s="1091">
        <f>YEAR(IZ5)</f>
        <v>2024</v>
      </c>
      <c r="JB5" s="1090">
        <v>45658</v>
      </c>
      <c r="JC5" s="1090">
        <v>45689</v>
      </c>
      <c r="JD5" s="1090">
        <v>45717</v>
      </c>
      <c r="JE5" s="1090">
        <v>45748</v>
      </c>
      <c r="JF5" s="1090">
        <v>45778</v>
      </c>
      <c r="JG5" s="1090">
        <v>45809</v>
      </c>
      <c r="JH5" s="1090">
        <v>45839</v>
      </c>
      <c r="JI5" s="1090">
        <v>45870</v>
      </c>
      <c r="JJ5" s="1090">
        <v>45901</v>
      </c>
      <c r="JK5" s="1090">
        <v>45931</v>
      </c>
      <c r="JL5" s="1090">
        <v>45962</v>
      </c>
      <c r="JM5" s="1090">
        <v>45992</v>
      </c>
      <c r="JN5" s="1091">
        <f>YEAR(JM5)</f>
        <v>2025</v>
      </c>
      <c r="JO5" s="1090">
        <v>46023</v>
      </c>
      <c r="JP5" s="1090">
        <v>46054</v>
      </c>
      <c r="JQ5" s="1090">
        <v>46082</v>
      </c>
      <c r="JR5" s="1090">
        <v>46113</v>
      </c>
      <c r="JS5" s="1090">
        <v>46143</v>
      </c>
      <c r="JT5" s="1090">
        <v>46174</v>
      </c>
      <c r="JU5" s="1090">
        <v>46204</v>
      </c>
      <c r="JV5" s="1090">
        <v>46235</v>
      </c>
      <c r="JW5" s="1090">
        <v>46266</v>
      </c>
      <c r="JX5" s="1090">
        <v>46296</v>
      </c>
      <c r="JY5" s="1090">
        <v>46327</v>
      </c>
      <c r="JZ5" s="1090">
        <v>46357</v>
      </c>
      <c r="KA5" s="1091">
        <f>YEAR(JZ5)</f>
        <v>2026</v>
      </c>
      <c r="KC5" s="1106">
        <f>JM5</f>
        <v>45992</v>
      </c>
      <c r="KD5" s="1107" t="str">
        <f>CONCATENATE("Ene.-",TEXT(KC5,"MMM."))</f>
        <v>Ene.-Dic.</v>
      </c>
      <c r="KE5" s="1108" t="str">
        <f>KD5</f>
        <v>Ene.-Dic.</v>
      </c>
      <c r="KF5" s="1108" t="str">
        <f>KD5</f>
        <v>Ene.-Dic.</v>
      </c>
      <c r="KH5" s="1076" t="s">
        <v>563</v>
      </c>
      <c r="KI5" s="1077"/>
      <c r="KJ5" s="1078"/>
    </row>
    <row r="6" spans="1:296" ht="15" customHeight="1" x14ac:dyDescent="0.2">
      <c r="A6" s="1129"/>
      <c r="B6" s="1092"/>
      <c r="C6" s="1092"/>
      <c r="D6" s="1092"/>
      <c r="E6" s="1092"/>
      <c r="F6" s="1092"/>
      <c r="G6" s="1092"/>
      <c r="H6" s="1092"/>
      <c r="I6" s="1092"/>
      <c r="J6" s="1092"/>
      <c r="K6" s="1092"/>
      <c r="L6" s="1092"/>
      <c r="M6" s="1092"/>
      <c r="N6" s="1093"/>
      <c r="O6" s="1092"/>
      <c r="P6" s="1092"/>
      <c r="Q6" s="1092"/>
      <c r="R6" s="1092"/>
      <c r="S6" s="1092"/>
      <c r="T6" s="1092"/>
      <c r="U6" s="1092"/>
      <c r="V6" s="1092"/>
      <c r="W6" s="1092"/>
      <c r="X6" s="1092"/>
      <c r="Y6" s="1092"/>
      <c r="Z6" s="1092"/>
      <c r="AA6" s="1093"/>
      <c r="AB6" s="1092"/>
      <c r="AC6" s="1092"/>
      <c r="AD6" s="1092"/>
      <c r="AE6" s="1092"/>
      <c r="AF6" s="1092"/>
      <c r="AG6" s="1092"/>
      <c r="AH6" s="1092"/>
      <c r="AI6" s="1092"/>
      <c r="AJ6" s="1092"/>
      <c r="AK6" s="1092"/>
      <c r="AL6" s="1092"/>
      <c r="AM6" s="1092"/>
      <c r="AN6" s="1093"/>
      <c r="AO6" s="1092"/>
      <c r="AP6" s="1092"/>
      <c r="AQ6" s="1092"/>
      <c r="AR6" s="1092"/>
      <c r="AS6" s="1092"/>
      <c r="AT6" s="1092"/>
      <c r="AU6" s="1092"/>
      <c r="AV6" s="1092"/>
      <c r="AW6" s="1092"/>
      <c r="AX6" s="1092"/>
      <c r="AY6" s="1092"/>
      <c r="AZ6" s="1092"/>
      <c r="BA6" s="1093"/>
      <c r="BB6" s="1092"/>
      <c r="BC6" s="1092"/>
      <c r="BD6" s="1092"/>
      <c r="BE6" s="1092"/>
      <c r="BF6" s="1092"/>
      <c r="BG6" s="1092"/>
      <c r="BH6" s="1092"/>
      <c r="BI6" s="1092"/>
      <c r="BJ6" s="1092"/>
      <c r="BK6" s="1092"/>
      <c r="BL6" s="1092"/>
      <c r="BM6" s="1092"/>
      <c r="BN6" s="1093"/>
      <c r="BO6" s="1092"/>
      <c r="BP6" s="1092"/>
      <c r="BQ6" s="1092"/>
      <c r="BR6" s="1092"/>
      <c r="BS6" s="1092"/>
      <c r="BT6" s="1092"/>
      <c r="BU6" s="1092"/>
      <c r="BV6" s="1092"/>
      <c r="BW6" s="1092"/>
      <c r="BX6" s="1092"/>
      <c r="BY6" s="1092"/>
      <c r="BZ6" s="1092"/>
      <c r="CA6" s="1093"/>
      <c r="CB6" s="1092"/>
      <c r="CC6" s="1092"/>
      <c r="CD6" s="1092"/>
      <c r="CE6" s="1092"/>
      <c r="CF6" s="1092"/>
      <c r="CG6" s="1092"/>
      <c r="CH6" s="1092"/>
      <c r="CI6" s="1092"/>
      <c r="CJ6" s="1092"/>
      <c r="CK6" s="1092"/>
      <c r="CL6" s="1092"/>
      <c r="CM6" s="1092"/>
      <c r="CN6" s="1093"/>
      <c r="CO6" s="1092"/>
      <c r="CP6" s="1092"/>
      <c r="CQ6" s="1092"/>
      <c r="CR6" s="1092"/>
      <c r="CS6" s="1092"/>
      <c r="CT6" s="1092"/>
      <c r="CU6" s="1092"/>
      <c r="CV6" s="1092"/>
      <c r="CW6" s="1092"/>
      <c r="CX6" s="1092"/>
      <c r="CY6" s="1092"/>
      <c r="CZ6" s="1092"/>
      <c r="DA6" s="1093"/>
      <c r="DB6" s="1092"/>
      <c r="DC6" s="1092"/>
      <c r="DD6" s="1092"/>
      <c r="DE6" s="1092"/>
      <c r="DF6" s="1092"/>
      <c r="DG6" s="1092"/>
      <c r="DH6" s="1092"/>
      <c r="DI6" s="1092"/>
      <c r="DJ6" s="1092"/>
      <c r="DK6" s="1092"/>
      <c r="DL6" s="1092"/>
      <c r="DM6" s="1092"/>
      <c r="DN6" s="1093"/>
      <c r="DO6" s="1092"/>
      <c r="DP6" s="1092"/>
      <c r="DQ6" s="1092"/>
      <c r="DR6" s="1092"/>
      <c r="DS6" s="1092"/>
      <c r="DT6" s="1092"/>
      <c r="DU6" s="1092"/>
      <c r="DV6" s="1092"/>
      <c r="DW6" s="1092"/>
      <c r="DX6" s="1092"/>
      <c r="DY6" s="1092"/>
      <c r="DZ6" s="1092"/>
      <c r="EA6" s="1093"/>
      <c r="EB6" s="1092"/>
      <c r="EC6" s="1092"/>
      <c r="ED6" s="1092"/>
      <c r="EE6" s="1092"/>
      <c r="EF6" s="1092"/>
      <c r="EG6" s="1092"/>
      <c r="EH6" s="1092"/>
      <c r="EI6" s="1092"/>
      <c r="EJ6" s="1092"/>
      <c r="EK6" s="1092"/>
      <c r="EL6" s="1092"/>
      <c r="EM6" s="1092"/>
      <c r="EN6" s="1093"/>
      <c r="EO6" s="1092"/>
      <c r="EP6" s="1092"/>
      <c r="EQ6" s="1092"/>
      <c r="ER6" s="1092"/>
      <c r="ES6" s="1092"/>
      <c r="ET6" s="1092"/>
      <c r="EU6" s="1092"/>
      <c r="EV6" s="1092"/>
      <c r="EW6" s="1092"/>
      <c r="EX6" s="1092"/>
      <c r="EY6" s="1092"/>
      <c r="EZ6" s="1092"/>
      <c r="FA6" s="1093"/>
      <c r="FB6" s="1092"/>
      <c r="FC6" s="1092"/>
      <c r="FD6" s="1092"/>
      <c r="FE6" s="1092"/>
      <c r="FF6" s="1092"/>
      <c r="FG6" s="1092"/>
      <c r="FH6" s="1092"/>
      <c r="FI6" s="1092"/>
      <c r="FJ6" s="1092"/>
      <c r="FK6" s="1092"/>
      <c r="FL6" s="1092"/>
      <c r="FM6" s="1092"/>
      <c r="FN6" s="1093"/>
      <c r="FO6" s="1092"/>
      <c r="FP6" s="1092"/>
      <c r="FQ6" s="1092"/>
      <c r="FR6" s="1092"/>
      <c r="FS6" s="1092"/>
      <c r="FT6" s="1092"/>
      <c r="FU6" s="1092"/>
      <c r="FV6" s="1092"/>
      <c r="FW6" s="1092"/>
      <c r="FX6" s="1092"/>
      <c r="FY6" s="1092"/>
      <c r="FZ6" s="1092"/>
      <c r="GA6" s="1093"/>
      <c r="GB6" s="1092"/>
      <c r="GC6" s="1092"/>
      <c r="GD6" s="1092"/>
      <c r="GE6" s="1092"/>
      <c r="GF6" s="1092"/>
      <c r="GG6" s="1092"/>
      <c r="GH6" s="1092"/>
      <c r="GI6" s="1092"/>
      <c r="GJ6" s="1092"/>
      <c r="GK6" s="1092"/>
      <c r="GL6" s="1092"/>
      <c r="GM6" s="1092"/>
      <c r="GN6" s="1093"/>
      <c r="GO6" s="1092"/>
      <c r="GP6" s="1092"/>
      <c r="GQ6" s="1092"/>
      <c r="GR6" s="1092"/>
      <c r="GS6" s="1092"/>
      <c r="GT6" s="1092"/>
      <c r="GU6" s="1092"/>
      <c r="GV6" s="1092"/>
      <c r="GW6" s="1092"/>
      <c r="GX6" s="1092"/>
      <c r="GY6" s="1092"/>
      <c r="GZ6" s="1092"/>
      <c r="HA6" s="1093"/>
      <c r="HB6" s="1092"/>
      <c r="HC6" s="1092"/>
      <c r="HD6" s="1092"/>
      <c r="HE6" s="1092"/>
      <c r="HF6" s="1092"/>
      <c r="HG6" s="1092"/>
      <c r="HH6" s="1092"/>
      <c r="HI6" s="1092"/>
      <c r="HJ6" s="1092"/>
      <c r="HK6" s="1092"/>
      <c r="HL6" s="1092"/>
      <c r="HM6" s="1092"/>
      <c r="HN6" s="1093"/>
      <c r="HO6" s="1092"/>
      <c r="HP6" s="1092"/>
      <c r="HQ6" s="1092"/>
      <c r="HR6" s="1092"/>
      <c r="HS6" s="1092"/>
      <c r="HT6" s="1092"/>
      <c r="HU6" s="1092"/>
      <c r="HV6" s="1092"/>
      <c r="HW6" s="1092"/>
      <c r="HX6" s="1092"/>
      <c r="HY6" s="1092"/>
      <c r="HZ6" s="1092"/>
      <c r="IA6" s="1093"/>
      <c r="IB6" s="1092"/>
      <c r="IC6" s="1092"/>
      <c r="ID6" s="1092"/>
      <c r="IE6" s="1092"/>
      <c r="IF6" s="1092"/>
      <c r="IG6" s="1092"/>
      <c r="IH6" s="1092"/>
      <c r="II6" s="1092"/>
      <c r="IJ6" s="1092"/>
      <c r="IK6" s="1092"/>
      <c r="IL6" s="1092"/>
      <c r="IM6" s="1092"/>
      <c r="IN6" s="1093"/>
      <c r="IO6" s="1092"/>
      <c r="IP6" s="1092"/>
      <c r="IQ6" s="1092"/>
      <c r="IR6" s="1092"/>
      <c r="IS6" s="1092"/>
      <c r="IT6" s="1092"/>
      <c r="IU6" s="1092"/>
      <c r="IV6" s="1092"/>
      <c r="IW6" s="1092"/>
      <c r="IX6" s="1092"/>
      <c r="IY6" s="1092"/>
      <c r="IZ6" s="1092"/>
      <c r="JA6" s="1093"/>
      <c r="JB6" s="1092"/>
      <c r="JC6" s="1092"/>
      <c r="JD6" s="1092"/>
      <c r="JE6" s="1092"/>
      <c r="JF6" s="1092"/>
      <c r="JG6" s="1092"/>
      <c r="JH6" s="1092"/>
      <c r="JI6" s="1092"/>
      <c r="JJ6" s="1092"/>
      <c r="JK6" s="1092"/>
      <c r="JL6" s="1092"/>
      <c r="JM6" s="1092"/>
      <c r="JN6" s="1093"/>
      <c r="JO6" s="1092"/>
      <c r="JP6" s="1092"/>
      <c r="JQ6" s="1092"/>
      <c r="JR6" s="1092"/>
      <c r="JS6" s="1092"/>
      <c r="JT6" s="1092"/>
      <c r="JU6" s="1092"/>
      <c r="JV6" s="1092"/>
      <c r="JW6" s="1092"/>
      <c r="JX6" s="1092"/>
      <c r="JY6" s="1092"/>
      <c r="JZ6" s="1092"/>
      <c r="KA6" s="1093"/>
      <c r="KC6" s="1109"/>
      <c r="KD6" s="1110"/>
      <c r="KE6" s="1111"/>
      <c r="KF6" s="1112"/>
      <c r="KH6" s="1079"/>
      <c r="KI6" s="1080"/>
      <c r="KJ6" s="1081"/>
    </row>
    <row r="7" spans="1:296" s="129" customFormat="1" ht="15" customHeight="1" x14ac:dyDescent="0.2">
      <c r="A7" s="1130" t="s">
        <v>151</v>
      </c>
      <c r="B7" s="1094">
        <f t="shared" ref="B7:M7" si="0">SUM(B9:B45)</f>
        <v>5</v>
      </c>
      <c r="C7" s="1094">
        <f t="shared" si="0"/>
        <v>2</v>
      </c>
      <c r="D7" s="1094">
        <f t="shared" si="0"/>
        <v>6</v>
      </c>
      <c r="E7" s="1094">
        <f t="shared" si="0"/>
        <v>11</v>
      </c>
      <c r="F7" s="1094">
        <f t="shared" si="0"/>
        <v>24</v>
      </c>
      <c r="G7" s="1094">
        <f t="shared" si="0"/>
        <v>5</v>
      </c>
      <c r="H7" s="1094">
        <f t="shared" si="0"/>
        <v>6</v>
      </c>
      <c r="I7" s="1094">
        <f t="shared" si="0"/>
        <v>4</v>
      </c>
      <c r="J7" s="1094">
        <f t="shared" si="0"/>
        <v>8.5</v>
      </c>
      <c r="K7" s="1094">
        <f t="shared" si="0"/>
        <v>6</v>
      </c>
      <c r="L7" s="1094">
        <f t="shared" si="0"/>
        <v>1</v>
      </c>
      <c r="M7" s="1094">
        <f t="shared" si="0"/>
        <v>3087</v>
      </c>
      <c r="N7" s="1095">
        <f>SUM(B7:M7)</f>
        <v>3165.5</v>
      </c>
      <c r="O7" s="1094">
        <f t="shared" ref="O7:Z7" si="1">SUM(O9:O45)</f>
        <v>8</v>
      </c>
      <c r="P7" s="1094">
        <f t="shared" si="1"/>
        <v>5</v>
      </c>
      <c r="Q7" s="1094">
        <f t="shared" si="1"/>
        <v>5</v>
      </c>
      <c r="R7" s="1094">
        <f t="shared" si="1"/>
        <v>4</v>
      </c>
      <c r="S7" s="1094">
        <f t="shared" si="1"/>
        <v>19</v>
      </c>
      <c r="T7" s="1094">
        <f t="shared" si="1"/>
        <v>10</v>
      </c>
      <c r="U7" s="1094">
        <f t="shared" si="1"/>
        <v>15</v>
      </c>
      <c r="V7" s="1094">
        <f t="shared" si="1"/>
        <v>6</v>
      </c>
      <c r="W7" s="1094">
        <f t="shared" si="1"/>
        <v>9</v>
      </c>
      <c r="X7" s="1094">
        <f t="shared" si="1"/>
        <v>5</v>
      </c>
      <c r="Y7" s="1094">
        <f t="shared" si="1"/>
        <v>10</v>
      </c>
      <c r="Z7" s="1094">
        <f t="shared" si="1"/>
        <v>4202</v>
      </c>
      <c r="AA7" s="1095">
        <f>SUM(O7:Z7)</f>
        <v>4298</v>
      </c>
      <c r="AB7" s="1094">
        <f t="shared" ref="AB7:AM7" si="2">SUM(AB9:AB45)</f>
        <v>3</v>
      </c>
      <c r="AC7" s="1094">
        <f t="shared" si="2"/>
        <v>3</v>
      </c>
      <c r="AD7" s="1094">
        <f t="shared" si="2"/>
        <v>7</v>
      </c>
      <c r="AE7" s="1094">
        <f t="shared" si="2"/>
        <v>17</v>
      </c>
      <c r="AF7" s="1094">
        <f t="shared" si="2"/>
        <v>3</v>
      </c>
      <c r="AG7" s="1094">
        <f t="shared" si="2"/>
        <v>6</v>
      </c>
      <c r="AH7" s="1094">
        <f t="shared" si="2"/>
        <v>11</v>
      </c>
      <c r="AI7" s="1094">
        <f t="shared" si="2"/>
        <v>8</v>
      </c>
      <c r="AJ7" s="1094">
        <f t="shared" si="2"/>
        <v>9</v>
      </c>
      <c r="AK7" s="1094">
        <f t="shared" si="2"/>
        <v>7</v>
      </c>
      <c r="AL7" s="1094">
        <f t="shared" si="2"/>
        <v>3</v>
      </c>
      <c r="AM7" s="1094">
        <f t="shared" si="2"/>
        <v>5848</v>
      </c>
      <c r="AN7" s="1095">
        <f>SUM(AB7:AM7)</f>
        <v>5925</v>
      </c>
      <c r="AO7" s="1094">
        <f t="shared" ref="AO7:AZ7" si="3">SUM(AO9:AO45)</f>
        <v>7</v>
      </c>
      <c r="AP7" s="1094">
        <f t="shared" si="3"/>
        <v>11</v>
      </c>
      <c r="AQ7" s="1094">
        <f t="shared" si="3"/>
        <v>12</v>
      </c>
      <c r="AR7" s="1094">
        <f t="shared" si="3"/>
        <v>22</v>
      </c>
      <c r="AS7" s="1094">
        <f t="shared" si="3"/>
        <v>15</v>
      </c>
      <c r="AT7" s="1094">
        <f t="shared" si="3"/>
        <v>8</v>
      </c>
      <c r="AU7" s="1094">
        <f t="shared" si="3"/>
        <v>15</v>
      </c>
      <c r="AV7" s="1094">
        <f t="shared" si="3"/>
        <v>20</v>
      </c>
      <c r="AW7" s="1094">
        <f t="shared" si="3"/>
        <v>22</v>
      </c>
      <c r="AX7" s="1094">
        <f t="shared" si="3"/>
        <v>12</v>
      </c>
      <c r="AY7" s="1094">
        <f t="shared" si="3"/>
        <v>14</v>
      </c>
      <c r="AZ7" s="1094">
        <f t="shared" si="3"/>
        <v>6016</v>
      </c>
      <c r="BA7" s="1095">
        <f>SUM(AO7:AZ7)</f>
        <v>6174</v>
      </c>
      <c r="BB7" s="1094">
        <f t="shared" ref="BB7:BM7" si="4">SUM(BB9:BB45)</f>
        <v>12</v>
      </c>
      <c r="BC7" s="1094">
        <f t="shared" si="4"/>
        <v>14</v>
      </c>
      <c r="BD7" s="1094">
        <f t="shared" si="4"/>
        <v>11</v>
      </c>
      <c r="BE7" s="1094">
        <f t="shared" si="4"/>
        <v>16</v>
      </c>
      <c r="BF7" s="1094">
        <f t="shared" si="4"/>
        <v>19</v>
      </c>
      <c r="BG7" s="1094">
        <f t="shared" si="4"/>
        <v>14</v>
      </c>
      <c r="BH7" s="1094">
        <f t="shared" si="4"/>
        <v>20</v>
      </c>
      <c r="BI7" s="1094">
        <f t="shared" si="4"/>
        <v>11</v>
      </c>
      <c r="BJ7" s="1094">
        <f t="shared" si="4"/>
        <v>13</v>
      </c>
      <c r="BK7" s="1094">
        <f t="shared" si="4"/>
        <v>14</v>
      </c>
      <c r="BL7" s="1094">
        <f t="shared" si="4"/>
        <v>14</v>
      </c>
      <c r="BM7" s="1094">
        <f t="shared" si="4"/>
        <v>90473</v>
      </c>
      <c r="BN7" s="1095">
        <f>SUM(BB7:BM7)</f>
        <v>90631</v>
      </c>
      <c r="BO7" s="1094">
        <f t="shared" ref="BO7:BZ7" si="5">SUM(BO9:BO45)</f>
        <v>15</v>
      </c>
      <c r="BP7" s="1094">
        <f t="shared" si="5"/>
        <v>8</v>
      </c>
      <c r="BQ7" s="1094">
        <f t="shared" si="5"/>
        <v>8</v>
      </c>
      <c r="BR7" s="1094">
        <f t="shared" si="5"/>
        <v>5</v>
      </c>
      <c r="BS7" s="1094">
        <f t="shared" si="5"/>
        <v>13</v>
      </c>
      <c r="BT7" s="1094">
        <f t="shared" si="5"/>
        <v>12</v>
      </c>
      <c r="BU7" s="1094">
        <f t="shared" si="5"/>
        <v>8</v>
      </c>
      <c r="BV7" s="1094">
        <f t="shared" si="5"/>
        <v>9</v>
      </c>
      <c r="BW7" s="1094">
        <f t="shared" si="5"/>
        <v>7</v>
      </c>
      <c r="BX7" s="1094">
        <f t="shared" si="5"/>
        <v>7</v>
      </c>
      <c r="BY7" s="1094">
        <f t="shared" si="5"/>
        <v>3</v>
      </c>
      <c r="BZ7" s="1094">
        <f t="shared" si="5"/>
        <v>6318</v>
      </c>
      <c r="CA7" s="1095">
        <f>SUM(BO7:BZ7)</f>
        <v>6413</v>
      </c>
      <c r="CB7" s="1094">
        <f t="shared" ref="CB7:CM7" si="6">SUM(CB9:CB45)</f>
        <v>8</v>
      </c>
      <c r="CC7" s="1094">
        <f t="shared" si="6"/>
        <v>6</v>
      </c>
      <c r="CD7" s="1094">
        <f t="shared" si="6"/>
        <v>7</v>
      </c>
      <c r="CE7" s="1094">
        <f t="shared" si="6"/>
        <v>7</v>
      </c>
      <c r="CF7" s="1094">
        <f t="shared" si="6"/>
        <v>6</v>
      </c>
      <c r="CG7" s="1094">
        <f t="shared" si="6"/>
        <v>7</v>
      </c>
      <c r="CH7" s="1094">
        <f t="shared" si="6"/>
        <v>6</v>
      </c>
      <c r="CI7" s="1094">
        <f t="shared" si="6"/>
        <v>4</v>
      </c>
      <c r="CJ7" s="1094">
        <f t="shared" si="6"/>
        <v>3</v>
      </c>
      <c r="CK7" s="1094">
        <f t="shared" si="6"/>
        <v>2</v>
      </c>
      <c r="CL7" s="1094">
        <f t="shared" si="6"/>
        <v>3</v>
      </c>
      <c r="CM7" s="1094">
        <f t="shared" si="6"/>
        <v>4416</v>
      </c>
      <c r="CN7" s="1095">
        <f>SUM(CB7:CM7)</f>
        <v>4475</v>
      </c>
      <c r="CO7" s="1094">
        <f t="shared" ref="CO7:CZ7" si="7">SUM(CO9:CO45)</f>
        <v>5</v>
      </c>
      <c r="CP7" s="1094">
        <f t="shared" si="7"/>
        <v>5</v>
      </c>
      <c r="CQ7" s="1094">
        <f t="shared" si="7"/>
        <v>7</v>
      </c>
      <c r="CR7" s="1094">
        <f t="shared" si="7"/>
        <v>3</v>
      </c>
      <c r="CS7" s="1094">
        <f t="shared" si="7"/>
        <v>2</v>
      </c>
      <c r="CT7" s="1094">
        <f t="shared" si="7"/>
        <v>2</v>
      </c>
      <c r="CU7" s="1094">
        <f t="shared" si="7"/>
        <v>8</v>
      </c>
      <c r="CV7" s="1094">
        <f t="shared" si="7"/>
        <v>8</v>
      </c>
      <c r="CW7" s="1094">
        <f t="shared" si="7"/>
        <v>2</v>
      </c>
      <c r="CX7" s="1094">
        <f t="shared" si="7"/>
        <v>3</v>
      </c>
      <c r="CY7" s="1094">
        <f t="shared" si="7"/>
        <v>3</v>
      </c>
      <c r="CZ7" s="1094">
        <f t="shared" si="7"/>
        <v>839</v>
      </c>
      <c r="DA7" s="1095">
        <f>SUM(CO7:CZ7)</f>
        <v>887</v>
      </c>
      <c r="DB7" s="1094">
        <f t="shared" ref="DB7:DM7" si="8">SUM(DB9:DB45)</f>
        <v>5</v>
      </c>
      <c r="DC7" s="1094">
        <f t="shared" si="8"/>
        <v>2</v>
      </c>
      <c r="DD7" s="1094">
        <f t="shared" si="8"/>
        <v>1</v>
      </c>
      <c r="DE7" s="1094">
        <f t="shared" si="8"/>
        <v>1</v>
      </c>
      <c r="DF7" s="1094">
        <f t="shared" si="8"/>
        <v>2</v>
      </c>
      <c r="DG7" s="1094">
        <f t="shared" si="8"/>
        <v>2</v>
      </c>
      <c r="DH7" s="1094">
        <f t="shared" si="8"/>
        <v>2</v>
      </c>
      <c r="DI7" s="1094">
        <f t="shared" si="8"/>
        <v>2</v>
      </c>
      <c r="DJ7" s="1094">
        <f t="shared" si="8"/>
        <v>3</v>
      </c>
      <c r="DK7" s="1094">
        <f t="shared" si="8"/>
        <v>3</v>
      </c>
      <c r="DL7" s="1094">
        <f t="shared" si="8"/>
        <v>0</v>
      </c>
      <c r="DM7" s="1094">
        <f t="shared" si="8"/>
        <v>21059</v>
      </c>
      <c r="DN7" s="1095">
        <f>SUM(DB7:DM7)</f>
        <v>21082</v>
      </c>
      <c r="DO7" s="1094">
        <f t="shared" ref="DO7:DZ7" si="9">SUM(DO9:DO45)</f>
        <v>0</v>
      </c>
      <c r="DP7" s="1094">
        <f t="shared" si="9"/>
        <v>0</v>
      </c>
      <c r="DQ7" s="1094">
        <f t="shared" si="9"/>
        <v>0</v>
      </c>
      <c r="DR7" s="1094">
        <f t="shared" si="9"/>
        <v>0</v>
      </c>
      <c r="DS7" s="1094">
        <f t="shared" si="9"/>
        <v>0</v>
      </c>
      <c r="DT7" s="1094">
        <f t="shared" si="9"/>
        <v>0</v>
      </c>
      <c r="DU7" s="1094">
        <f t="shared" si="9"/>
        <v>0</v>
      </c>
      <c r="DV7" s="1094">
        <f t="shared" si="9"/>
        <v>0</v>
      </c>
      <c r="DW7" s="1094">
        <f t="shared" si="9"/>
        <v>0</v>
      </c>
      <c r="DX7" s="1094">
        <f t="shared" si="9"/>
        <v>0</v>
      </c>
      <c r="DY7" s="1094">
        <f t="shared" si="9"/>
        <v>0</v>
      </c>
      <c r="DZ7" s="1094">
        <f t="shared" si="9"/>
        <v>5299</v>
      </c>
      <c r="EA7" s="1095">
        <f>SUM(DO7:DZ7)</f>
        <v>5299</v>
      </c>
      <c r="EB7" s="1094">
        <f t="shared" ref="EB7:EM7" si="10">SUM(EB9:EB45)</f>
        <v>0</v>
      </c>
      <c r="EC7" s="1094">
        <f t="shared" si="10"/>
        <v>0</v>
      </c>
      <c r="ED7" s="1094">
        <f t="shared" si="10"/>
        <v>0</v>
      </c>
      <c r="EE7" s="1094">
        <f t="shared" si="10"/>
        <v>0</v>
      </c>
      <c r="EF7" s="1094">
        <f t="shared" si="10"/>
        <v>0</v>
      </c>
      <c r="EG7" s="1094">
        <f t="shared" si="10"/>
        <v>0</v>
      </c>
      <c r="EH7" s="1094">
        <f t="shared" si="10"/>
        <v>0</v>
      </c>
      <c r="EI7" s="1094">
        <f t="shared" si="10"/>
        <v>0</v>
      </c>
      <c r="EJ7" s="1094">
        <f t="shared" si="10"/>
        <v>0</v>
      </c>
      <c r="EK7" s="1094">
        <f t="shared" si="10"/>
        <v>0</v>
      </c>
      <c r="EL7" s="1094">
        <f t="shared" si="10"/>
        <v>0</v>
      </c>
      <c r="EM7" s="1094">
        <f t="shared" si="10"/>
        <v>5299</v>
      </c>
      <c r="EN7" s="1095">
        <f>SUM(EB7:EM7)</f>
        <v>5299</v>
      </c>
      <c r="EO7" s="1094">
        <f>SUM(EO9:EO48)</f>
        <v>0</v>
      </c>
      <c r="EP7" s="1094">
        <f t="shared" ref="EP7:EV7" si="11">SUM(EP9:EP45)</f>
        <v>0</v>
      </c>
      <c r="EQ7" s="1094">
        <f t="shared" si="11"/>
        <v>0</v>
      </c>
      <c r="ER7" s="1094">
        <f t="shared" si="11"/>
        <v>0</v>
      </c>
      <c r="ES7" s="1094">
        <f t="shared" si="11"/>
        <v>0</v>
      </c>
      <c r="ET7" s="1094">
        <f t="shared" si="11"/>
        <v>0</v>
      </c>
      <c r="EU7" s="1094">
        <f t="shared" si="11"/>
        <v>0</v>
      </c>
      <c r="EV7" s="1094">
        <f t="shared" si="11"/>
        <v>0</v>
      </c>
      <c r="EW7" s="1094">
        <f>SUM(ED7:EG7)</f>
        <v>0</v>
      </c>
      <c r="EX7" s="1094">
        <f>SUM(EQ7:ET7)</f>
        <v>0</v>
      </c>
      <c r="EY7" s="1094">
        <f>SUM(EY9:EY45)</f>
        <v>0</v>
      </c>
      <c r="EZ7" s="1094">
        <f>SUM(EZ9:EZ45)</f>
        <v>4532</v>
      </c>
      <c r="FA7" s="1095">
        <f>SUM(EO7:EZ7)</f>
        <v>4532</v>
      </c>
      <c r="FB7" s="1094">
        <f t="shared" ref="FB7:FM7" si="12">SUM(FB9:FB45)</f>
        <v>0</v>
      </c>
      <c r="FC7" s="1094">
        <f t="shared" si="12"/>
        <v>0</v>
      </c>
      <c r="FD7" s="1094">
        <f t="shared" si="12"/>
        <v>0</v>
      </c>
      <c r="FE7" s="1094">
        <f t="shared" si="12"/>
        <v>0</v>
      </c>
      <c r="FF7" s="1094">
        <f t="shared" si="12"/>
        <v>0</v>
      </c>
      <c r="FG7" s="1094">
        <f t="shared" si="12"/>
        <v>0</v>
      </c>
      <c r="FH7" s="1094">
        <f t="shared" si="12"/>
        <v>0</v>
      </c>
      <c r="FI7" s="1094">
        <f t="shared" si="12"/>
        <v>0</v>
      </c>
      <c r="FJ7" s="1094">
        <f t="shared" si="12"/>
        <v>0</v>
      </c>
      <c r="FK7" s="1094">
        <f t="shared" si="12"/>
        <v>0</v>
      </c>
      <c r="FL7" s="1094">
        <f t="shared" si="12"/>
        <v>0</v>
      </c>
      <c r="FM7" s="1094">
        <f t="shared" si="12"/>
        <v>4375</v>
      </c>
      <c r="FN7" s="1095">
        <f>SUM(FB7:FM7)</f>
        <v>4375</v>
      </c>
      <c r="FO7" s="1094">
        <f t="shared" ref="FO7:FZ7" si="13">SUM(FO9:FO45)</f>
        <v>0</v>
      </c>
      <c r="FP7" s="1094">
        <f t="shared" si="13"/>
        <v>0</v>
      </c>
      <c r="FQ7" s="1094">
        <f t="shared" si="13"/>
        <v>0</v>
      </c>
      <c r="FR7" s="1094">
        <f t="shared" si="13"/>
        <v>0</v>
      </c>
      <c r="FS7" s="1094">
        <f t="shared" si="13"/>
        <v>0</v>
      </c>
      <c r="FT7" s="1094">
        <f t="shared" si="13"/>
        <v>0</v>
      </c>
      <c r="FU7" s="1094">
        <f t="shared" si="13"/>
        <v>0</v>
      </c>
      <c r="FV7" s="1094">
        <f t="shared" si="13"/>
        <v>0</v>
      </c>
      <c r="FW7" s="1094">
        <f t="shared" si="13"/>
        <v>0</v>
      </c>
      <c r="FX7" s="1094">
        <f t="shared" si="13"/>
        <v>0</v>
      </c>
      <c r="FY7" s="1094">
        <f t="shared" si="13"/>
        <v>0</v>
      </c>
      <c r="FZ7" s="1094">
        <f t="shared" si="13"/>
        <v>109792</v>
      </c>
      <c r="GA7" s="1095">
        <f>SUM(FO7:FZ7)</f>
        <v>109792</v>
      </c>
      <c r="GB7" s="1094">
        <f t="shared" ref="GB7:GM7" si="14">SUM(GB9:GB45)</f>
        <v>0</v>
      </c>
      <c r="GC7" s="1094">
        <f t="shared" si="14"/>
        <v>0</v>
      </c>
      <c r="GD7" s="1094">
        <f t="shared" si="14"/>
        <v>0</v>
      </c>
      <c r="GE7" s="1094">
        <f t="shared" si="14"/>
        <v>1</v>
      </c>
      <c r="GF7" s="1094">
        <f t="shared" si="14"/>
        <v>1</v>
      </c>
      <c r="GG7" s="1094">
        <f t="shared" si="14"/>
        <v>1</v>
      </c>
      <c r="GH7" s="1094">
        <f t="shared" si="14"/>
        <v>1</v>
      </c>
      <c r="GI7" s="1094">
        <f t="shared" si="14"/>
        <v>0</v>
      </c>
      <c r="GJ7" s="1094">
        <f t="shared" si="14"/>
        <v>0</v>
      </c>
      <c r="GK7" s="1094">
        <f t="shared" si="14"/>
        <v>0</v>
      </c>
      <c r="GL7" s="1094">
        <f t="shared" si="14"/>
        <v>0</v>
      </c>
      <c r="GM7" s="1094">
        <f t="shared" si="14"/>
        <v>109405</v>
      </c>
      <c r="GN7" s="1095">
        <f>SUM(GB7:GM7)</f>
        <v>109409</v>
      </c>
      <c r="GO7" s="1094">
        <f t="shared" ref="GO7:GZ7" si="15">SUM(GO9:GO45)</f>
        <v>0</v>
      </c>
      <c r="GP7" s="1094">
        <f t="shared" si="15"/>
        <v>0</v>
      </c>
      <c r="GQ7" s="1094">
        <f t="shared" si="15"/>
        <v>0</v>
      </c>
      <c r="GR7" s="1094">
        <f t="shared" si="15"/>
        <v>0</v>
      </c>
      <c r="GS7" s="1094">
        <f t="shared" si="15"/>
        <v>0</v>
      </c>
      <c r="GT7" s="1094">
        <f t="shared" si="15"/>
        <v>0</v>
      </c>
      <c r="GU7" s="1094">
        <f t="shared" si="15"/>
        <v>0</v>
      </c>
      <c r="GV7" s="1094">
        <f t="shared" si="15"/>
        <v>0</v>
      </c>
      <c r="GW7" s="1094">
        <f t="shared" si="15"/>
        <v>0</v>
      </c>
      <c r="GX7" s="1094">
        <f t="shared" si="15"/>
        <v>0</v>
      </c>
      <c r="GY7" s="1094">
        <f t="shared" si="15"/>
        <v>0</v>
      </c>
      <c r="GZ7" s="1094">
        <f t="shared" si="15"/>
        <v>105453</v>
      </c>
      <c r="HA7" s="1095">
        <f>SUM(GO7:GZ7)</f>
        <v>105453</v>
      </c>
      <c r="HB7" s="1094">
        <f t="shared" ref="HB7:HM7" si="16">SUM(HB9:HB45)</f>
        <v>26.5</v>
      </c>
      <c r="HC7" s="1094">
        <f t="shared" si="16"/>
        <v>4</v>
      </c>
      <c r="HD7" s="1094">
        <f t="shared" si="16"/>
        <v>7.5</v>
      </c>
      <c r="HE7" s="1094">
        <f t="shared" si="16"/>
        <v>3</v>
      </c>
      <c r="HF7" s="1094">
        <f t="shared" si="16"/>
        <v>7.5</v>
      </c>
      <c r="HG7" s="1094">
        <f t="shared" si="16"/>
        <v>5</v>
      </c>
      <c r="HH7" s="1094">
        <f t="shared" si="16"/>
        <v>5</v>
      </c>
      <c r="HI7" s="1094">
        <f t="shared" si="16"/>
        <v>8</v>
      </c>
      <c r="HJ7" s="1094">
        <f t="shared" si="16"/>
        <v>13</v>
      </c>
      <c r="HK7" s="1094">
        <f t="shared" si="16"/>
        <v>29.5</v>
      </c>
      <c r="HL7" s="1094">
        <f t="shared" si="16"/>
        <v>21</v>
      </c>
      <c r="HM7" s="1094">
        <f t="shared" si="16"/>
        <v>24</v>
      </c>
      <c r="HN7" s="1095">
        <f>SUM(HB7:HM7)</f>
        <v>154</v>
      </c>
      <c r="HO7" s="1094">
        <f t="shared" ref="HO7:HZ7" si="17">SUM(HO9:HO45)</f>
        <v>5</v>
      </c>
      <c r="HP7" s="1094">
        <f t="shared" si="17"/>
        <v>6.5</v>
      </c>
      <c r="HQ7" s="1094">
        <f t="shared" si="17"/>
        <v>254</v>
      </c>
      <c r="HR7" s="1094">
        <f t="shared" si="17"/>
        <v>82.8</v>
      </c>
      <c r="HS7" s="1094">
        <f t="shared" si="17"/>
        <v>9</v>
      </c>
      <c r="HT7" s="1094">
        <f t="shared" si="17"/>
        <v>3.5</v>
      </c>
      <c r="HU7" s="1094">
        <f t="shared" si="17"/>
        <v>4.5</v>
      </c>
      <c r="HV7" s="1094">
        <f t="shared" si="17"/>
        <v>3</v>
      </c>
      <c r="HW7" s="1094">
        <f t="shared" si="17"/>
        <v>3.5</v>
      </c>
      <c r="HX7" s="1094">
        <f t="shared" si="17"/>
        <v>11.6</v>
      </c>
      <c r="HY7" s="1094">
        <f t="shared" si="17"/>
        <v>2</v>
      </c>
      <c r="HZ7" s="1094">
        <f t="shared" si="17"/>
        <v>15.5</v>
      </c>
      <c r="IA7" s="1095">
        <f>SUM(HO7:HZ7)</f>
        <v>400.90000000000003</v>
      </c>
      <c r="IB7" s="1094">
        <f t="shared" ref="IB7:IM7" si="18">SUM(IB9:IB45)</f>
        <v>221</v>
      </c>
      <c r="IC7" s="1094">
        <f t="shared" si="18"/>
        <v>13.8</v>
      </c>
      <c r="ID7" s="1094">
        <f t="shared" si="18"/>
        <v>8</v>
      </c>
      <c r="IE7" s="1094">
        <f t="shared" si="18"/>
        <v>4.5</v>
      </c>
      <c r="IF7" s="1094">
        <f t="shared" si="18"/>
        <v>5.4</v>
      </c>
      <c r="IG7" s="1094">
        <f t="shared" si="18"/>
        <v>6</v>
      </c>
      <c r="IH7" s="1094">
        <f t="shared" si="18"/>
        <v>21.5</v>
      </c>
      <c r="II7" s="1094">
        <f t="shared" si="18"/>
        <v>17</v>
      </c>
      <c r="IJ7" s="1094">
        <f t="shared" si="18"/>
        <v>13</v>
      </c>
      <c r="IK7" s="1094">
        <f t="shared" si="18"/>
        <v>13.55</v>
      </c>
      <c r="IL7" s="1094">
        <f t="shared" si="18"/>
        <v>16.5</v>
      </c>
      <c r="IM7" s="1094">
        <f t="shared" si="18"/>
        <v>102053.98999999999</v>
      </c>
      <c r="IN7" s="1095">
        <f>SUM(IB7:IM7)</f>
        <v>102394.23999999999</v>
      </c>
      <c r="IO7" s="1094">
        <v>61.5</v>
      </c>
      <c r="IP7" s="1094">
        <v>63.5</v>
      </c>
      <c r="IQ7" s="1094">
        <v>88.4</v>
      </c>
      <c r="IR7" s="1094">
        <v>89.4</v>
      </c>
      <c r="IS7" s="1094">
        <v>59</v>
      </c>
      <c r="IT7" s="1094">
        <v>88.87</v>
      </c>
      <c r="IU7" s="1094">
        <v>85.87</v>
      </c>
      <c r="IV7" s="1094">
        <v>81.87</v>
      </c>
      <c r="IW7" s="1094">
        <v>84.5</v>
      </c>
      <c r="IX7" s="1094">
        <v>99.3</v>
      </c>
      <c r="IY7" s="1094">
        <v>82.6</v>
      </c>
      <c r="IZ7" s="1094">
        <v>41328.039999999994</v>
      </c>
      <c r="JA7" s="1095">
        <f>SUM(IO7:IZ7)</f>
        <v>42212.849999999991</v>
      </c>
      <c r="JB7" s="1094"/>
      <c r="JC7" s="1094"/>
      <c r="JD7" s="1094"/>
      <c r="JE7" s="1094">
        <v>0.5</v>
      </c>
      <c r="JF7" s="1094">
        <v>2</v>
      </c>
      <c r="JG7" s="1094">
        <v>3</v>
      </c>
      <c r="JH7" s="1094">
        <v>2</v>
      </c>
      <c r="JI7" s="1094">
        <v>1</v>
      </c>
      <c r="JJ7" s="1094">
        <v>1</v>
      </c>
      <c r="JK7" s="1094">
        <f>SUM(JK9:JK45)</f>
        <v>1</v>
      </c>
      <c r="JL7" s="1094">
        <f>SUM(JL9:JL45)</f>
        <v>1</v>
      </c>
      <c r="JM7" s="1094">
        <f>SUM(JM9:JM45)</f>
        <v>115722.32</v>
      </c>
      <c r="JN7" s="1095">
        <f>SUM(JB7:JM7)</f>
        <v>115733.82</v>
      </c>
      <c r="JO7" s="1094">
        <f t="shared" ref="JO7:JZ7" si="19">SUM(JO9:JO45)</f>
        <v>5.5</v>
      </c>
      <c r="JP7" s="1094">
        <f t="shared" si="19"/>
        <v>0</v>
      </c>
      <c r="JQ7" s="1094">
        <f t="shared" si="19"/>
        <v>0</v>
      </c>
      <c r="JR7" s="1094">
        <f t="shared" si="19"/>
        <v>0</v>
      </c>
      <c r="JS7" s="1094">
        <f t="shared" si="19"/>
        <v>0</v>
      </c>
      <c r="JT7" s="1094">
        <f t="shared" si="19"/>
        <v>0</v>
      </c>
      <c r="JU7" s="1094">
        <f t="shared" si="19"/>
        <v>0</v>
      </c>
      <c r="JV7" s="1094">
        <f t="shared" si="19"/>
        <v>0</v>
      </c>
      <c r="JW7" s="1094">
        <f t="shared" si="19"/>
        <v>0</v>
      </c>
      <c r="JX7" s="1094">
        <f t="shared" si="19"/>
        <v>0</v>
      </c>
      <c r="JY7" s="1094">
        <f t="shared" si="19"/>
        <v>0</v>
      </c>
      <c r="JZ7" s="1094">
        <f t="shared" si="19"/>
        <v>0</v>
      </c>
      <c r="KA7" s="1095">
        <f>SUM(JO7:JZ7)</f>
        <v>5.5</v>
      </c>
      <c r="KB7" s="72"/>
      <c r="KC7" s="1113">
        <f>IFERROR(((
_xlfn.XLOOKUP((DATE(YEAR($KC$5),MONTH($KC$5),1)),$B$5:$KA$5,$B7:$KA7) /
_xlfn.XLOOKUP((DATE(YEAR($KC$5)-1,MONTH($KC$5),1)),$B$5:$KA$5,$B7:$KA7)
)-1)*100,"")</f>
        <v>180.00921408322296</v>
      </c>
      <c r="KD7" s="1171">
        <f>IFERROR(((KF7/KE7)-1)*100,"")</f>
        <v>174.16727370930894</v>
      </c>
      <c r="KE7" s="1114">
        <f>SUMIFS($B7:$KA7,$B$5:$KA$5,"&gt;="&amp;DATE(YEAR($KC$5)-1,1,1),$B$5:$KA$5,"&lt;="&amp;DATE(YEAR($KC$5)-1,MONTH($KC$5),1))</f>
        <v>42212.849999999991</v>
      </c>
      <c r="KF7" s="1115">
        <f>SUMIFS($B7:$KA7,$B$5:$KA$5,"&gt;="&amp;DATE(YEAR($KC$5),1,1),$B$5:$KA$5,"&lt;="&amp;$KC$5)</f>
        <v>115733.82</v>
      </c>
      <c r="KG7" s="77"/>
      <c r="KH7" s="1121"/>
      <c r="KI7" s="1215"/>
      <c r="KJ7" s="1149"/>
    </row>
    <row r="8" spans="1:296" ht="15" customHeight="1" x14ac:dyDescent="0.2">
      <c r="A8" s="1129"/>
      <c r="B8" s="1096"/>
      <c r="C8" s="1096"/>
      <c r="D8" s="1096"/>
      <c r="E8" s="1096"/>
      <c r="F8" s="1096"/>
      <c r="G8" s="1096"/>
      <c r="H8" s="1096"/>
      <c r="I8" s="1096"/>
      <c r="J8" s="1096"/>
      <c r="K8" s="1096"/>
      <c r="L8" s="1096"/>
      <c r="M8" s="1096"/>
      <c r="N8" s="1097"/>
      <c r="O8" s="1096"/>
      <c r="P8" s="1096"/>
      <c r="Q8" s="1096"/>
      <c r="R8" s="1096"/>
      <c r="S8" s="1096"/>
      <c r="T8" s="1096"/>
      <c r="U8" s="1096"/>
      <c r="V8" s="1096"/>
      <c r="W8" s="1096"/>
      <c r="X8" s="1096"/>
      <c r="Y8" s="1096"/>
      <c r="Z8" s="1096"/>
      <c r="AA8" s="1097"/>
      <c r="AB8" s="1096"/>
      <c r="AC8" s="1096"/>
      <c r="AD8" s="1096"/>
      <c r="AE8" s="1096"/>
      <c r="AF8" s="1096"/>
      <c r="AG8" s="1096"/>
      <c r="AH8" s="1096"/>
      <c r="AI8" s="1096"/>
      <c r="AJ8" s="1096"/>
      <c r="AK8" s="1096"/>
      <c r="AL8" s="1096"/>
      <c r="AM8" s="1096"/>
      <c r="AN8" s="1097"/>
      <c r="AO8" s="1096"/>
      <c r="AP8" s="1096"/>
      <c r="AQ8" s="1096"/>
      <c r="AR8" s="1096"/>
      <c r="AS8" s="1096"/>
      <c r="AT8" s="1096"/>
      <c r="AU8" s="1096"/>
      <c r="AV8" s="1096"/>
      <c r="AW8" s="1096"/>
      <c r="AX8" s="1096"/>
      <c r="AY8" s="1096"/>
      <c r="AZ8" s="1096"/>
      <c r="BA8" s="1097"/>
      <c r="BB8" s="1096"/>
      <c r="BC8" s="1096"/>
      <c r="BD8" s="1096"/>
      <c r="BE8" s="1096"/>
      <c r="BF8" s="1096"/>
      <c r="BG8" s="1096"/>
      <c r="BH8" s="1096"/>
      <c r="BI8" s="1096"/>
      <c r="BJ8" s="1096"/>
      <c r="BK8" s="1096"/>
      <c r="BL8" s="1096"/>
      <c r="BM8" s="1096"/>
      <c r="BN8" s="1097"/>
      <c r="BO8" s="1096"/>
      <c r="BP8" s="1096"/>
      <c r="BQ8" s="1096"/>
      <c r="BR8" s="1096"/>
      <c r="BS8" s="1096"/>
      <c r="BT8" s="1096"/>
      <c r="BU8" s="1096"/>
      <c r="BV8" s="1096"/>
      <c r="BW8" s="1096"/>
      <c r="BX8" s="1096"/>
      <c r="BY8" s="1096"/>
      <c r="BZ8" s="1096"/>
      <c r="CA8" s="1097"/>
      <c r="CB8" s="1096"/>
      <c r="CC8" s="1096"/>
      <c r="CD8" s="1096"/>
      <c r="CE8" s="1096"/>
      <c r="CF8" s="1096"/>
      <c r="CG8" s="1096"/>
      <c r="CH8" s="1096"/>
      <c r="CI8" s="1096"/>
      <c r="CJ8" s="1096"/>
      <c r="CK8" s="1096"/>
      <c r="CL8" s="1096"/>
      <c r="CM8" s="1096"/>
      <c r="CN8" s="1097"/>
      <c r="CO8" s="1096"/>
      <c r="CP8" s="1096"/>
      <c r="CQ8" s="1096"/>
      <c r="CR8" s="1096"/>
      <c r="CS8" s="1096"/>
      <c r="CT8" s="1096"/>
      <c r="CU8" s="1096"/>
      <c r="CV8" s="1096"/>
      <c r="CW8" s="1096"/>
      <c r="CX8" s="1096"/>
      <c r="CY8" s="1096"/>
      <c r="CZ8" s="1096"/>
      <c r="DA8" s="1097"/>
      <c r="DB8" s="1096"/>
      <c r="DC8" s="1096"/>
      <c r="DD8" s="1096"/>
      <c r="DE8" s="1096"/>
      <c r="DF8" s="1096"/>
      <c r="DG8" s="1096"/>
      <c r="DH8" s="1096"/>
      <c r="DI8" s="1096"/>
      <c r="DJ8" s="1096"/>
      <c r="DK8" s="1096"/>
      <c r="DL8" s="1096"/>
      <c r="DM8" s="1096"/>
      <c r="DN8" s="1097"/>
      <c r="DO8" s="1096"/>
      <c r="DP8" s="1096"/>
      <c r="DQ8" s="1096"/>
      <c r="DR8" s="1096"/>
      <c r="DS8" s="1096"/>
      <c r="DT8" s="1096"/>
      <c r="DU8" s="1096"/>
      <c r="DV8" s="1096"/>
      <c r="DW8" s="1096"/>
      <c r="DX8" s="1096"/>
      <c r="DY8" s="1096"/>
      <c r="DZ8" s="1096"/>
      <c r="EA8" s="1097"/>
      <c r="EB8" s="1096"/>
      <c r="EC8" s="1096"/>
      <c r="ED8" s="1096"/>
      <c r="EE8" s="1096"/>
      <c r="EF8" s="1096"/>
      <c r="EG8" s="1096"/>
      <c r="EH8" s="1096"/>
      <c r="EI8" s="1096"/>
      <c r="EJ8" s="1096"/>
      <c r="EK8" s="1096"/>
      <c r="EL8" s="1096"/>
      <c r="EM8" s="1096"/>
      <c r="EN8" s="1097"/>
      <c r="EO8" s="1096"/>
      <c r="EP8" s="1096"/>
      <c r="EQ8" s="1096"/>
      <c r="ER8" s="1096"/>
      <c r="ES8" s="1096"/>
      <c r="ET8" s="1096"/>
      <c r="EU8" s="1096"/>
      <c r="EV8" s="1096"/>
      <c r="EW8" s="1096"/>
      <c r="EX8" s="1096"/>
      <c r="EY8" s="1096"/>
      <c r="EZ8" s="1096"/>
      <c r="FA8" s="1097"/>
      <c r="FB8" s="1096"/>
      <c r="FC8" s="1096"/>
      <c r="FD8" s="1096"/>
      <c r="FE8" s="1096"/>
      <c r="FF8" s="1096"/>
      <c r="FG8" s="1096"/>
      <c r="FH8" s="1096"/>
      <c r="FI8" s="1096"/>
      <c r="FJ8" s="1096"/>
      <c r="FK8" s="1096"/>
      <c r="FL8" s="1096"/>
      <c r="FM8" s="1096"/>
      <c r="FN8" s="1097"/>
      <c r="FO8" s="1096"/>
      <c r="FP8" s="1096"/>
      <c r="FQ8" s="1096"/>
      <c r="FR8" s="1096"/>
      <c r="FS8" s="1096"/>
      <c r="FT8" s="1096"/>
      <c r="FU8" s="1096"/>
      <c r="FV8" s="1096"/>
      <c r="FW8" s="1096"/>
      <c r="FX8" s="1096"/>
      <c r="FY8" s="1096"/>
      <c r="FZ8" s="1096"/>
      <c r="GA8" s="1097"/>
      <c r="GB8" s="1096"/>
      <c r="GC8" s="1096"/>
      <c r="GD8" s="1096"/>
      <c r="GE8" s="1096"/>
      <c r="GF8" s="1096"/>
      <c r="GG8" s="1096"/>
      <c r="GH8" s="1096"/>
      <c r="GI8" s="1096"/>
      <c r="GJ8" s="1096"/>
      <c r="GK8" s="1096"/>
      <c r="GL8" s="1096"/>
      <c r="GM8" s="1096"/>
      <c r="GN8" s="1097"/>
      <c r="GO8" s="1096"/>
      <c r="GP8" s="1096"/>
      <c r="GQ8" s="1096"/>
      <c r="GR8" s="1096"/>
      <c r="GS8" s="1096"/>
      <c r="GT8" s="1096"/>
      <c r="GU8" s="1096"/>
      <c r="GV8" s="1096"/>
      <c r="GW8" s="1096"/>
      <c r="GX8" s="1096"/>
      <c r="GY8" s="1096"/>
      <c r="GZ8" s="1096"/>
      <c r="HA8" s="1097"/>
      <c r="HB8" s="1096"/>
      <c r="HC8" s="1096"/>
      <c r="HD8" s="1096"/>
      <c r="HE8" s="1096"/>
      <c r="HF8" s="1096"/>
      <c r="HG8" s="1096"/>
      <c r="HH8" s="1096"/>
      <c r="HI8" s="1096"/>
      <c r="HJ8" s="1096"/>
      <c r="HK8" s="1096"/>
      <c r="HL8" s="1096"/>
      <c r="HM8" s="1096"/>
      <c r="HN8" s="1097"/>
      <c r="HO8" s="1096"/>
      <c r="HP8" s="1096"/>
      <c r="HQ8" s="1096"/>
      <c r="HR8" s="1096"/>
      <c r="HS8" s="1096"/>
      <c r="HT8" s="1096"/>
      <c r="HU8" s="1096"/>
      <c r="HV8" s="1096"/>
      <c r="HW8" s="1096"/>
      <c r="HX8" s="1096"/>
      <c r="HY8" s="1096"/>
      <c r="HZ8" s="1096"/>
      <c r="IA8" s="1097"/>
      <c r="IB8" s="1096"/>
      <c r="IC8" s="1096"/>
      <c r="ID8" s="1096"/>
      <c r="IE8" s="1096"/>
      <c r="IF8" s="1096"/>
      <c r="IG8" s="1096"/>
      <c r="IH8" s="1096"/>
      <c r="II8" s="1096"/>
      <c r="IJ8" s="1096"/>
      <c r="IK8" s="1096"/>
      <c r="IL8" s="1096"/>
      <c r="IM8" s="1096"/>
      <c r="IN8" s="1097"/>
      <c r="IO8" s="1096"/>
      <c r="IP8" s="1096"/>
      <c r="IQ8" s="1096"/>
      <c r="IR8" s="1096"/>
      <c r="IS8" s="1096"/>
      <c r="IT8" s="1096"/>
      <c r="IU8" s="1096"/>
      <c r="IV8" s="1096"/>
      <c r="IW8" s="1096"/>
      <c r="IX8" s="1096"/>
      <c r="IY8" s="1096"/>
      <c r="IZ8" s="1096"/>
      <c r="JA8" s="1097"/>
      <c r="JB8" s="1096"/>
      <c r="JC8" s="1096"/>
      <c r="JD8" s="1096"/>
      <c r="JE8" s="1096"/>
      <c r="JF8" s="1096"/>
      <c r="JG8" s="1096"/>
      <c r="JH8" s="1096"/>
      <c r="JI8" s="1096"/>
      <c r="JJ8" s="1096"/>
      <c r="JK8" s="1096"/>
      <c r="JL8" s="1096"/>
      <c r="JM8" s="1096"/>
      <c r="JN8" s="1097"/>
      <c r="JO8" s="1096"/>
      <c r="JP8" s="1096"/>
      <c r="JQ8" s="1096"/>
      <c r="JR8" s="1096"/>
      <c r="JS8" s="1096"/>
      <c r="JT8" s="1096"/>
      <c r="JU8" s="1096"/>
      <c r="JV8" s="1096"/>
      <c r="JW8" s="1096"/>
      <c r="JX8" s="1096"/>
      <c r="JY8" s="1096"/>
      <c r="JZ8" s="1096"/>
      <c r="KA8" s="1097"/>
      <c r="KB8" s="72"/>
      <c r="KC8" s="1137"/>
      <c r="KD8" s="1138"/>
      <c r="KE8" s="1139"/>
      <c r="KF8" s="1140"/>
      <c r="KG8" s="77"/>
      <c r="KH8" s="1079"/>
      <c r="KI8" s="1080"/>
      <c r="KJ8" s="1081"/>
    </row>
    <row r="9" spans="1:296" ht="15" customHeight="1" x14ac:dyDescent="0.2">
      <c r="A9" s="1143" t="s">
        <v>45</v>
      </c>
      <c r="B9" s="1135"/>
      <c r="C9" s="1135"/>
      <c r="D9" s="1135"/>
      <c r="E9" s="1135"/>
      <c r="F9" s="1135"/>
      <c r="G9" s="1135"/>
      <c r="H9" s="1135"/>
      <c r="I9" s="1135"/>
      <c r="J9" s="1135"/>
      <c r="K9" s="1135"/>
      <c r="L9" s="1135"/>
      <c r="M9" s="1135"/>
      <c r="N9" s="1136">
        <f t="shared" ref="N9:N45" si="20">SUM(B9:M9)</f>
        <v>0</v>
      </c>
      <c r="O9" s="1135"/>
      <c r="P9" s="1135"/>
      <c r="Q9" s="1135"/>
      <c r="R9" s="1135"/>
      <c r="S9" s="1135"/>
      <c r="T9" s="1135"/>
      <c r="U9" s="1135"/>
      <c r="V9" s="1135"/>
      <c r="W9" s="1135"/>
      <c r="X9" s="1135"/>
      <c r="Y9" s="1135"/>
      <c r="Z9" s="1135"/>
      <c r="AA9" s="1136">
        <f t="shared" ref="AA9:AA45" si="21">SUM(O9:Z9)</f>
        <v>0</v>
      </c>
      <c r="AB9" s="1135"/>
      <c r="AC9" s="1135"/>
      <c r="AD9" s="1135"/>
      <c r="AE9" s="1135"/>
      <c r="AF9" s="1135"/>
      <c r="AG9" s="1135"/>
      <c r="AH9" s="1135"/>
      <c r="AI9" s="1135"/>
      <c r="AJ9" s="1135"/>
      <c r="AK9" s="1135"/>
      <c r="AL9" s="1135"/>
      <c r="AM9" s="1135"/>
      <c r="AN9" s="1136">
        <f t="shared" ref="AN9:AN45" si="22">SUM(AB9:AM9)</f>
        <v>0</v>
      </c>
      <c r="AO9" s="1135"/>
      <c r="AP9" s="1135"/>
      <c r="AQ9" s="1135"/>
      <c r="AR9" s="1135"/>
      <c r="AS9" s="1135"/>
      <c r="AT9" s="1135"/>
      <c r="AU9" s="1135"/>
      <c r="AV9" s="1135"/>
      <c r="AW9" s="1135"/>
      <c r="AX9" s="1135"/>
      <c r="AY9" s="1135"/>
      <c r="AZ9" s="1135"/>
      <c r="BA9" s="1136">
        <f t="shared" ref="BA9:BA45" si="23">SUM(AO9:AZ9)</f>
        <v>0</v>
      </c>
      <c r="BB9" s="1135"/>
      <c r="BC9" s="1135"/>
      <c r="BD9" s="1135"/>
      <c r="BE9" s="1135"/>
      <c r="BF9" s="1135"/>
      <c r="BG9" s="1135"/>
      <c r="BH9" s="1135"/>
      <c r="BI9" s="1135"/>
      <c r="BJ9" s="1135"/>
      <c r="BK9" s="1135"/>
      <c r="BL9" s="1135"/>
      <c r="BM9" s="1135"/>
      <c r="BN9" s="1136">
        <f t="shared" ref="BN9:BN45" si="24">SUM(BB9:BM9)</f>
        <v>0</v>
      </c>
      <c r="BO9" s="1135"/>
      <c r="BP9" s="1135"/>
      <c r="BQ9" s="1135"/>
      <c r="BR9" s="1135"/>
      <c r="BS9" s="1135"/>
      <c r="BT9" s="1135"/>
      <c r="BU9" s="1135"/>
      <c r="BV9" s="1135"/>
      <c r="BW9" s="1135"/>
      <c r="BX9" s="1135"/>
      <c r="BY9" s="1135"/>
      <c r="BZ9" s="1135"/>
      <c r="CA9" s="1136">
        <f t="shared" ref="CA9:CA45" si="25">SUM(BO9:BZ9)</f>
        <v>0</v>
      </c>
      <c r="CB9" s="1135"/>
      <c r="CC9" s="1135"/>
      <c r="CD9" s="1135"/>
      <c r="CE9" s="1135"/>
      <c r="CF9" s="1135"/>
      <c r="CG9" s="1135"/>
      <c r="CH9" s="1135"/>
      <c r="CI9" s="1135"/>
      <c r="CJ9" s="1135"/>
      <c r="CK9" s="1135"/>
      <c r="CL9" s="1135"/>
      <c r="CM9" s="1135"/>
      <c r="CN9" s="1136">
        <f t="shared" ref="CN9:CN45" si="26">SUM(CB9:CM9)</f>
        <v>0</v>
      </c>
      <c r="CO9" s="1135"/>
      <c r="CP9" s="1135"/>
      <c r="CQ9" s="1135"/>
      <c r="CR9" s="1135"/>
      <c r="CS9" s="1135"/>
      <c r="CT9" s="1135"/>
      <c r="CU9" s="1135"/>
      <c r="CV9" s="1135"/>
      <c r="CW9" s="1135"/>
      <c r="CX9" s="1135"/>
      <c r="CY9" s="1135"/>
      <c r="CZ9" s="1135"/>
      <c r="DA9" s="1136">
        <f t="shared" ref="DA9:DA45" si="27">SUM(CO9:CZ9)</f>
        <v>0</v>
      </c>
      <c r="DB9" s="1135"/>
      <c r="DC9" s="1135"/>
      <c r="DD9" s="1135"/>
      <c r="DE9" s="1135"/>
      <c r="DF9" s="1135"/>
      <c r="DG9" s="1135"/>
      <c r="DH9" s="1135"/>
      <c r="DI9" s="1135"/>
      <c r="DJ9" s="1135"/>
      <c r="DK9" s="1135"/>
      <c r="DL9" s="1135"/>
      <c r="DM9" s="1135"/>
      <c r="DN9" s="1136">
        <f t="shared" ref="DN9:DN45" si="28">SUM(DB9:DM9)</f>
        <v>0</v>
      </c>
      <c r="DO9" s="1135"/>
      <c r="DP9" s="1135"/>
      <c r="DQ9" s="1135"/>
      <c r="DR9" s="1135"/>
      <c r="DS9" s="1135"/>
      <c r="DT9" s="1135"/>
      <c r="DU9" s="1135"/>
      <c r="DV9" s="1135"/>
      <c r="DW9" s="1135"/>
      <c r="DX9" s="1135"/>
      <c r="DY9" s="1135"/>
      <c r="DZ9" s="1135"/>
      <c r="EA9" s="1136">
        <f t="shared" ref="EA9:EA45" si="29">SUM(DO9:DZ9)</f>
        <v>0</v>
      </c>
      <c r="EB9" s="1135"/>
      <c r="EC9" s="1135"/>
      <c r="ED9" s="1135"/>
      <c r="EE9" s="1135"/>
      <c r="EF9" s="1135"/>
      <c r="EG9" s="1135"/>
      <c r="EH9" s="1135"/>
      <c r="EI9" s="1135"/>
      <c r="EJ9" s="1135"/>
      <c r="EK9" s="1135"/>
      <c r="EL9" s="1135"/>
      <c r="EM9" s="1135"/>
      <c r="EN9" s="1136">
        <f t="shared" ref="EN9:EN45" si="30">SUM(EB9:EM9)</f>
        <v>0</v>
      </c>
      <c r="EO9" s="1135"/>
      <c r="EP9" s="1135"/>
      <c r="EQ9" s="1135"/>
      <c r="ER9" s="1135"/>
      <c r="ES9" s="1135"/>
      <c r="ET9" s="1135"/>
      <c r="EU9" s="1135"/>
      <c r="EV9" s="1135"/>
      <c r="EW9" s="1135"/>
      <c r="EX9" s="1135"/>
      <c r="EY9" s="1135"/>
      <c r="EZ9" s="1135"/>
      <c r="FA9" s="1136">
        <f t="shared" ref="FA9:FA45" si="31">SUM(EO9:EZ9)</f>
        <v>0</v>
      </c>
      <c r="FB9" s="1135"/>
      <c r="FC9" s="1135"/>
      <c r="FD9" s="1135"/>
      <c r="FE9" s="1135"/>
      <c r="FF9" s="1135"/>
      <c r="FG9" s="1135"/>
      <c r="FH9" s="1135"/>
      <c r="FI9" s="1135"/>
      <c r="FJ9" s="1135"/>
      <c r="FK9" s="1135"/>
      <c r="FL9" s="1135"/>
      <c r="FM9" s="1135"/>
      <c r="FN9" s="1136">
        <f t="shared" ref="FN9:FN45" si="32">SUM(FB9:FM9)</f>
        <v>0</v>
      </c>
      <c r="FO9" s="1135"/>
      <c r="FP9" s="1135"/>
      <c r="FQ9" s="1135"/>
      <c r="FR9" s="1135"/>
      <c r="FS9" s="1135"/>
      <c r="FT9" s="1135"/>
      <c r="FU9" s="1135"/>
      <c r="FV9" s="1135"/>
      <c r="FW9" s="1135"/>
      <c r="FX9" s="1135"/>
      <c r="FY9" s="1135"/>
      <c r="FZ9" s="1135"/>
      <c r="GA9" s="1136">
        <f t="shared" ref="GA9:GA45" si="33">SUM(FO9:FZ9)</f>
        <v>0</v>
      </c>
      <c r="GB9" s="1135"/>
      <c r="GC9" s="1135"/>
      <c r="GD9" s="1135"/>
      <c r="GE9" s="1135">
        <v>1</v>
      </c>
      <c r="GF9" s="1135">
        <v>1</v>
      </c>
      <c r="GG9" s="1135">
        <v>1</v>
      </c>
      <c r="GH9" s="1135">
        <v>1</v>
      </c>
      <c r="GI9" s="1135"/>
      <c r="GJ9" s="1135"/>
      <c r="GK9" s="1135"/>
      <c r="GL9" s="1135"/>
      <c r="GM9" s="1135"/>
      <c r="GN9" s="1136">
        <f t="shared" ref="GN9:GN45" si="34">SUM(GB9:GM9)</f>
        <v>4</v>
      </c>
      <c r="GO9" s="1135"/>
      <c r="GP9" s="1135"/>
      <c r="GQ9" s="1135"/>
      <c r="GR9" s="1135"/>
      <c r="GS9" s="1135"/>
      <c r="GT9" s="1135"/>
      <c r="GU9" s="1135"/>
      <c r="GV9" s="1135"/>
      <c r="GW9" s="1135"/>
      <c r="GX9" s="1135"/>
      <c r="GY9" s="1135"/>
      <c r="GZ9" s="1135">
        <v>7</v>
      </c>
      <c r="HA9" s="1136">
        <f t="shared" ref="HA9:HA45" si="35">SUM(GO9:GZ9)</f>
        <v>7</v>
      </c>
      <c r="HB9" s="1135">
        <v>26.5</v>
      </c>
      <c r="HC9" s="1135">
        <v>4</v>
      </c>
      <c r="HD9" s="1135">
        <v>7.5</v>
      </c>
      <c r="HE9" s="1135">
        <v>3</v>
      </c>
      <c r="HF9" s="1135">
        <v>5</v>
      </c>
      <c r="HG9" s="1135">
        <v>5</v>
      </c>
      <c r="HH9" s="1135">
        <v>5</v>
      </c>
      <c r="HI9" s="1135">
        <v>8</v>
      </c>
      <c r="HJ9" s="1135">
        <v>13</v>
      </c>
      <c r="HK9" s="1135">
        <v>29.5</v>
      </c>
      <c r="HL9" s="1135">
        <v>21</v>
      </c>
      <c r="HM9" s="1135">
        <v>24</v>
      </c>
      <c r="HN9" s="1136">
        <f t="shared" ref="HN9:HN45" si="36">SUM(HB9:HM9)</f>
        <v>151.5</v>
      </c>
      <c r="HO9" s="1135">
        <v>5</v>
      </c>
      <c r="HP9" s="1135">
        <v>2.5</v>
      </c>
      <c r="HQ9" s="1135">
        <v>1</v>
      </c>
      <c r="HR9" s="1135">
        <v>3</v>
      </c>
      <c r="HS9" s="1135">
        <v>1.5</v>
      </c>
      <c r="HT9" s="1135">
        <v>2.5</v>
      </c>
      <c r="HU9" s="1135">
        <v>4.5</v>
      </c>
      <c r="HV9" s="1135">
        <v>3</v>
      </c>
      <c r="HW9" s="1135">
        <v>2</v>
      </c>
      <c r="HX9" s="1135">
        <v>1.6</v>
      </c>
      <c r="HY9" s="1135">
        <v>2</v>
      </c>
      <c r="HZ9" s="1135">
        <v>12</v>
      </c>
      <c r="IA9" s="1136">
        <f t="shared" ref="IA9:IA45" si="37">SUM(HO9:HZ9)</f>
        <v>40.6</v>
      </c>
      <c r="IB9" s="1135"/>
      <c r="IC9" s="1135">
        <v>9</v>
      </c>
      <c r="ID9" s="1135">
        <v>7</v>
      </c>
      <c r="IE9" s="1135">
        <v>2</v>
      </c>
      <c r="IF9" s="1135">
        <v>3</v>
      </c>
      <c r="IG9" s="1135">
        <v>2</v>
      </c>
      <c r="IH9" s="1135">
        <v>17.5</v>
      </c>
      <c r="II9" s="1135">
        <v>13</v>
      </c>
      <c r="IJ9" s="1135">
        <v>9</v>
      </c>
      <c r="IK9" s="1135">
        <v>9</v>
      </c>
      <c r="IL9" s="1135">
        <v>11.5</v>
      </c>
      <c r="IM9" s="1135">
        <v>11</v>
      </c>
      <c r="IN9" s="1136">
        <f t="shared" ref="IN9:IN45" si="38">SUM(IB9:IM9)</f>
        <v>94</v>
      </c>
      <c r="IO9" s="1135"/>
      <c r="IP9" s="1135"/>
      <c r="IQ9" s="1135"/>
      <c r="IR9" s="1135"/>
      <c r="IS9" s="1135"/>
      <c r="IT9" s="1135"/>
      <c r="IU9" s="1135"/>
      <c r="IV9" s="1135"/>
      <c r="IW9" s="1135"/>
      <c r="IX9" s="1135">
        <v>15</v>
      </c>
      <c r="IY9" s="1135"/>
      <c r="IZ9" s="1135"/>
      <c r="JA9" s="1136">
        <f t="shared" ref="JA9:JA45" si="39">SUM(IO9:IZ9)</f>
        <v>15</v>
      </c>
      <c r="JB9" s="1135"/>
      <c r="JC9" s="1135"/>
      <c r="JD9" s="1135"/>
      <c r="JE9" s="1135"/>
      <c r="JF9" s="1135"/>
      <c r="JG9" s="1135"/>
      <c r="JH9" s="1135"/>
      <c r="JI9" s="1135"/>
      <c r="JJ9" s="1135"/>
      <c r="JK9" s="1135"/>
      <c r="JL9" s="1135"/>
      <c r="JM9" s="1135"/>
      <c r="JN9" s="1136">
        <f t="shared" ref="JN9:JN45" si="40">SUM(JB9:JM9)</f>
        <v>0</v>
      </c>
      <c r="JO9" s="1135">
        <v>0</v>
      </c>
      <c r="JP9" s="1135"/>
      <c r="JQ9" s="1135"/>
      <c r="JR9" s="1135"/>
      <c r="JS9" s="1135"/>
      <c r="JT9" s="1135"/>
      <c r="JU9" s="1135"/>
      <c r="JV9" s="1135"/>
      <c r="JW9" s="1135"/>
      <c r="JX9" s="1135"/>
      <c r="JY9" s="1135"/>
      <c r="JZ9" s="1135"/>
      <c r="KA9" s="1136">
        <f t="shared" ref="KA9:KA45" si="41">SUM(JO9:JZ9)</f>
        <v>0</v>
      </c>
      <c r="KC9" s="1178" t="str">
        <f t="shared" ref="KC9:KC45" si="42">IFERROR(((
_xlfn.XLOOKUP((DATE(YEAR($KC$5),MONTH($KC$5),1)),$B$5:$KA$5,$B9:$KA9) /
_xlfn.XLOOKUP((DATE(YEAR($KC$5)-1,MONTH($KC$5),1)),$B$5:$KA$5,$B9:$KA9)
)-1)*100,"")</f>
        <v/>
      </c>
      <c r="KD9" s="1179">
        <f t="shared" ref="KD9:KD45" si="43">IFERROR(((KF9/KE9)-1)*100,"")</f>
        <v>-100</v>
      </c>
      <c r="KE9" s="1188">
        <f t="shared" ref="KE9:KE45" si="44">SUMIFS($B9:$KA9,$B$5:$KA$5,"&gt;="&amp;DATE(YEAR($KC$5)-1,1,1),$B$5:$KA$5,"&lt;="&amp;DATE(YEAR($KC$5)-1,MONTH($KC$5),1))</f>
        <v>15</v>
      </c>
      <c r="KF9" s="1189">
        <f t="shared" ref="KF9:KF45" si="45">SUMIFS($B9:$KA9,$B$5:$KA$5,"&gt;="&amp;DATE(YEAR($KC$5),1,1),$B$5:$KA$5,"&lt;="&amp;$KC$5)</f>
        <v>0</v>
      </c>
      <c r="KG9" s="1041"/>
      <c r="KH9" s="1139">
        <f t="shared" ref="KH9:KH45" si="46">SUM(B9:KA9)</f>
        <v>624.20000000000005</v>
      </c>
      <c r="KI9" s="1146" t="s">
        <v>45</v>
      </c>
      <c r="KJ9" s="1147" t="str">
        <f t="shared" ref="KJ9:KJ45" si="47">IF(EXACT(A9,KI9)=TRUE,"OK","VER")</f>
        <v>OK</v>
      </c>
    </row>
    <row r="10" spans="1:296" ht="15" customHeight="1" x14ac:dyDescent="0.2">
      <c r="A10" s="1143" t="s">
        <v>30</v>
      </c>
      <c r="B10" s="1135"/>
      <c r="C10" s="1135"/>
      <c r="D10" s="1135"/>
      <c r="E10" s="1135"/>
      <c r="F10" s="1135"/>
      <c r="G10" s="1135"/>
      <c r="H10" s="1135"/>
      <c r="I10" s="1135"/>
      <c r="J10" s="1135"/>
      <c r="K10" s="1135"/>
      <c r="L10" s="1135"/>
      <c r="M10" s="1135">
        <v>28</v>
      </c>
      <c r="N10" s="1136">
        <f t="shared" si="20"/>
        <v>28</v>
      </c>
      <c r="O10" s="1135"/>
      <c r="P10" s="1135"/>
      <c r="Q10" s="1135"/>
      <c r="R10" s="1135"/>
      <c r="S10" s="1135"/>
      <c r="T10" s="1135"/>
      <c r="U10" s="1135"/>
      <c r="V10" s="1135"/>
      <c r="W10" s="1135"/>
      <c r="X10" s="1135"/>
      <c r="Y10" s="1135"/>
      <c r="Z10" s="1135">
        <v>27.5</v>
      </c>
      <c r="AA10" s="1136">
        <f t="shared" si="21"/>
        <v>27.5</v>
      </c>
      <c r="AB10" s="1135"/>
      <c r="AC10" s="1135"/>
      <c r="AD10" s="1135"/>
      <c r="AE10" s="1135"/>
      <c r="AF10" s="1135"/>
      <c r="AG10" s="1135"/>
      <c r="AH10" s="1135"/>
      <c r="AI10" s="1135"/>
      <c r="AJ10" s="1135"/>
      <c r="AK10" s="1135"/>
      <c r="AL10" s="1135"/>
      <c r="AM10" s="1135">
        <v>29</v>
      </c>
      <c r="AN10" s="1136">
        <f t="shared" si="22"/>
        <v>29</v>
      </c>
      <c r="AO10" s="1135"/>
      <c r="AP10" s="1135"/>
      <c r="AQ10" s="1135"/>
      <c r="AR10" s="1135"/>
      <c r="AS10" s="1135"/>
      <c r="AT10" s="1135"/>
      <c r="AU10" s="1135"/>
      <c r="AV10" s="1135"/>
      <c r="AW10" s="1135"/>
      <c r="AX10" s="1135"/>
      <c r="AY10" s="1135"/>
      <c r="AZ10" s="1135">
        <v>16</v>
      </c>
      <c r="BA10" s="1136">
        <f t="shared" si="23"/>
        <v>16</v>
      </c>
      <c r="BB10" s="1135"/>
      <c r="BC10" s="1135"/>
      <c r="BD10" s="1135"/>
      <c r="BE10" s="1135"/>
      <c r="BF10" s="1135"/>
      <c r="BG10" s="1135"/>
      <c r="BH10" s="1135"/>
      <c r="BI10" s="1135"/>
      <c r="BJ10" s="1135"/>
      <c r="BK10" s="1135"/>
      <c r="BL10" s="1135"/>
      <c r="BM10" s="1135">
        <v>15</v>
      </c>
      <c r="BN10" s="1136">
        <f t="shared" si="24"/>
        <v>15</v>
      </c>
      <c r="BO10" s="1135"/>
      <c r="BP10" s="1135"/>
      <c r="BQ10" s="1135"/>
      <c r="BR10" s="1135"/>
      <c r="BS10" s="1135"/>
      <c r="BT10" s="1135"/>
      <c r="BU10" s="1135"/>
      <c r="BV10" s="1135"/>
      <c r="BW10" s="1135"/>
      <c r="BX10" s="1135"/>
      <c r="BY10" s="1135"/>
      <c r="BZ10" s="1135">
        <v>11</v>
      </c>
      <c r="CA10" s="1136">
        <f t="shared" si="25"/>
        <v>11</v>
      </c>
      <c r="CB10" s="1135"/>
      <c r="CC10" s="1135"/>
      <c r="CD10" s="1135"/>
      <c r="CE10" s="1135"/>
      <c r="CF10" s="1135"/>
      <c r="CG10" s="1135"/>
      <c r="CH10" s="1135"/>
      <c r="CI10" s="1135"/>
      <c r="CJ10" s="1135"/>
      <c r="CK10" s="1135"/>
      <c r="CL10" s="1135"/>
      <c r="CM10" s="1135">
        <v>9</v>
      </c>
      <c r="CN10" s="1136">
        <f t="shared" si="26"/>
        <v>9</v>
      </c>
      <c r="CO10" s="1135"/>
      <c r="CP10" s="1135"/>
      <c r="CQ10" s="1135"/>
      <c r="CR10" s="1135"/>
      <c r="CS10" s="1135"/>
      <c r="CT10" s="1135"/>
      <c r="CU10" s="1135"/>
      <c r="CV10" s="1135"/>
      <c r="CW10" s="1135"/>
      <c r="CX10" s="1135"/>
      <c r="CY10" s="1135"/>
      <c r="CZ10" s="1135"/>
      <c r="DA10" s="1136">
        <f t="shared" si="27"/>
        <v>0</v>
      </c>
      <c r="DB10" s="1135"/>
      <c r="DC10" s="1135"/>
      <c r="DD10" s="1135"/>
      <c r="DE10" s="1135"/>
      <c r="DF10" s="1135"/>
      <c r="DG10" s="1135"/>
      <c r="DH10" s="1135"/>
      <c r="DI10" s="1135"/>
      <c r="DJ10" s="1135"/>
      <c r="DK10" s="1135"/>
      <c r="DL10" s="1135"/>
      <c r="DM10" s="1135">
        <v>4</v>
      </c>
      <c r="DN10" s="1136">
        <f t="shared" si="28"/>
        <v>4</v>
      </c>
      <c r="DO10" s="1135"/>
      <c r="DP10" s="1135"/>
      <c r="DQ10" s="1135"/>
      <c r="DR10" s="1135"/>
      <c r="DS10" s="1135"/>
      <c r="DT10" s="1135"/>
      <c r="DU10" s="1135"/>
      <c r="DV10" s="1135"/>
      <c r="DW10" s="1135"/>
      <c r="DX10" s="1135"/>
      <c r="DY10" s="1135"/>
      <c r="DZ10" s="1135"/>
      <c r="EA10" s="1136">
        <f t="shared" si="29"/>
        <v>0</v>
      </c>
      <c r="EB10" s="1135"/>
      <c r="EC10" s="1135"/>
      <c r="ED10" s="1135"/>
      <c r="EE10" s="1135"/>
      <c r="EF10" s="1135"/>
      <c r="EG10" s="1135"/>
      <c r="EH10" s="1135"/>
      <c r="EI10" s="1135"/>
      <c r="EJ10" s="1135"/>
      <c r="EK10" s="1135"/>
      <c r="EL10" s="1135"/>
      <c r="EM10" s="1135"/>
      <c r="EN10" s="1136">
        <f t="shared" si="30"/>
        <v>0</v>
      </c>
      <c r="EO10" s="1135"/>
      <c r="EP10" s="1135"/>
      <c r="EQ10" s="1135"/>
      <c r="ER10" s="1135"/>
      <c r="ES10" s="1135"/>
      <c r="ET10" s="1135"/>
      <c r="EU10" s="1135"/>
      <c r="EV10" s="1135"/>
      <c r="EW10" s="1135"/>
      <c r="EX10" s="1135"/>
      <c r="EY10" s="1135"/>
      <c r="EZ10" s="1135"/>
      <c r="FA10" s="1136">
        <f t="shared" si="31"/>
        <v>0</v>
      </c>
      <c r="FB10" s="1135"/>
      <c r="FC10" s="1135"/>
      <c r="FD10" s="1135"/>
      <c r="FE10" s="1135"/>
      <c r="FF10" s="1135"/>
      <c r="FG10" s="1135"/>
      <c r="FH10" s="1135"/>
      <c r="FI10" s="1135"/>
      <c r="FJ10" s="1135"/>
      <c r="FK10" s="1135"/>
      <c r="FL10" s="1135"/>
      <c r="FM10" s="1135"/>
      <c r="FN10" s="1136">
        <f t="shared" si="32"/>
        <v>0</v>
      </c>
      <c r="FO10" s="1135"/>
      <c r="FP10" s="1135"/>
      <c r="FQ10" s="1135"/>
      <c r="FR10" s="1135"/>
      <c r="FS10" s="1135"/>
      <c r="FT10" s="1135"/>
      <c r="FU10" s="1135"/>
      <c r="FV10" s="1135"/>
      <c r="FW10" s="1135"/>
      <c r="FX10" s="1135"/>
      <c r="FY10" s="1135"/>
      <c r="FZ10" s="1135"/>
      <c r="GA10" s="1136">
        <f t="shared" si="33"/>
        <v>0</v>
      </c>
      <c r="GB10" s="1135"/>
      <c r="GC10" s="1135"/>
      <c r="GD10" s="1135"/>
      <c r="GE10" s="1135"/>
      <c r="GF10" s="1135"/>
      <c r="GG10" s="1135"/>
      <c r="GH10" s="1135"/>
      <c r="GI10" s="1135"/>
      <c r="GJ10" s="1135"/>
      <c r="GK10" s="1135"/>
      <c r="GL10" s="1135"/>
      <c r="GM10" s="1135"/>
      <c r="GN10" s="1136">
        <f t="shared" si="34"/>
        <v>0</v>
      </c>
      <c r="GO10" s="1135"/>
      <c r="GP10" s="1135"/>
      <c r="GQ10" s="1135"/>
      <c r="GR10" s="1135"/>
      <c r="GS10" s="1135"/>
      <c r="GT10" s="1135"/>
      <c r="GU10" s="1135"/>
      <c r="GV10" s="1135"/>
      <c r="GW10" s="1135"/>
      <c r="GX10" s="1135"/>
      <c r="GY10" s="1135"/>
      <c r="GZ10" s="1135"/>
      <c r="HA10" s="1136">
        <f t="shared" si="35"/>
        <v>0</v>
      </c>
      <c r="HB10" s="1135"/>
      <c r="HC10" s="1135"/>
      <c r="HD10" s="1135"/>
      <c r="HE10" s="1135"/>
      <c r="HF10" s="1135"/>
      <c r="HG10" s="1135"/>
      <c r="HH10" s="1135"/>
      <c r="HI10" s="1135"/>
      <c r="HJ10" s="1135"/>
      <c r="HK10" s="1135"/>
      <c r="HL10" s="1135"/>
      <c r="HM10" s="1135"/>
      <c r="HN10" s="1136">
        <f t="shared" si="36"/>
        <v>0</v>
      </c>
      <c r="HO10" s="1135"/>
      <c r="HP10" s="1135"/>
      <c r="HQ10" s="1135"/>
      <c r="HR10" s="1135">
        <v>2</v>
      </c>
      <c r="HS10" s="1135"/>
      <c r="HT10" s="1135"/>
      <c r="HU10" s="1135"/>
      <c r="HV10" s="1135"/>
      <c r="HW10" s="1135"/>
      <c r="HX10" s="1135"/>
      <c r="HY10" s="1135"/>
      <c r="HZ10" s="1135"/>
      <c r="IA10" s="1136">
        <f t="shared" si="37"/>
        <v>2</v>
      </c>
      <c r="IB10" s="1135"/>
      <c r="IC10" s="1135"/>
      <c r="ID10" s="1135"/>
      <c r="IE10" s="1135"/>
      <c r="IF10" s="1135"/>
      <c r="IG10" s="1135"/>
      <c r="IH10" s="1135"/>
      <c r="II10" s="1135"/>
      <c r="IJ10" s="1135"/>
      <c r="IK10" s="1135"/>
      <c r="IL10" s="1135"/>
      <c r="IM10" s="1135"/>
      <c r="IN10" s="1136">
        <f t="shared" si="38"/>
        <v>0</v>
      </c>
      <c r="IO10" s="1135"/>
      <c r="IP10" s="1135"/>
      <c r="IQ10" s="1135"/>
      <c r="IR10" s="1135"/>
      <c r="IS10" s="1135"/>
      <c r="IT10" s="1135"/>
      <c r="IU10" s="1135"/>
      <c r="IV10" s="1135"/>
      <c r="IW10" s="1135"/>
      <c r="IX10" s="1135"/>
      <c r="IY10" s="1135"/>
      <c r="IZ10" s="1135"/>
      <c r="JA10" s="1136">
        <f t="shared" si="39"/>
        <v>0</v>
      </c>
      <c r="JB10" s="1135"/>
      <c r="JC10" s="1135"/>
      <c r="JD10" s="1135"/>
      <c r="JE10" s="1135"/>
      <c r="JF10" s="1135"/>
      <c r="JG10" s="1135"/>
      <c r="JH10" s="1135"/>
      <c r="JI10" s="1135"/>
      <c r="JJ10" s="1135"/>
      <c r="JK10" s="1135"/>
      <c r="JL10" s="1135"/>
      <c r="JM10" s="1135"/>
      <c r="JN10" s="1136">
        <f t="shared" si="40"/>
        <v>0</v>
      </c>
      <c r="JO10" s="1135">
        <v>0</v>
      </c>
      <c r="JP10" s="1135"/>
      <c r="JQ10" s="1135"/>
      <c r="JR10" s="1135"/>
      <c r="JS10" s="1135"/>
      <c r="JT10" s="1135"/>
      <c r="JU10" s="1135"/>
      <c r="JV10" s="1135"/>
      <c r="JW10" s="1135"/>
      <c r="JX10" s="1135"/>
      <c r="JY10" s="1135"/>
      <c r="JZ10" s="1135"/>
      <c r="KA10" s="1136">
        <f t="shared" si="41"/>
        <v>0</v>
      </c>
      <c r="KC10" s="1137" t="str">
        <f t="shared" si="42"/>
        <v/>
      </c>
      <c r="KD10" s="1138" t="str">
        <f t="shared" si="43"/>
        <v/>
      </c>
      <c r="KE10" s="1139">
        <f t="shared" si="44"/>
        <v>0</v>
      </c>
      <c r="KF10" s="1140">
        <f t="shared" si="45"/>
        <v>0</v>
      </c>
      <c r="KG10" s="1041"/>
      <c r="KH10" s="1139">
        <f t="shared" si="46"/>
        <v>283</v>
      </c>
      <c r="KI10" s="1146" t="s">
        <v>30</v>
      </c>
      <c r="KJ10" s="1147" t="str">
        <f t="shared" si="47"/>
        <v>OK</v>
      </c>
    </row>
    <row r="11" spans="1:296" ht="15" customHeight="1" x14ac:dyDescent="0.2">
      <c r="A11" s="1143" t="s">
        <v>46</v>
      </c>
      <c r="B11" s="1135"/>
      <c r="C11" s="1135"/>
      <c r="D11" s="1135"/>
      <c r="E11" s="1135"/>
      <c r="F11" s="1135"/>
      <c r="G11" s="1135"/>
      <c r="H11" s="1135"/>
      <c r="I11" s="1135"/>
      <c r="J11" s="1135"/>
      <c r="K11" s="1135"/>
      <c r="L11" s="1135"/>
      <c r="M11" s="1135"/>
      <c r="N11" s="1136">
        <f t="shared" si="20"/>
        <v>0</v>
      </c>
      <c r="O11" s="1135"/>
      <c r="P11" s="1135"/>
      <c r="Q11" s="1135"/>
      <c r="R11" s="1135"/>
      <c r="S11" s="1135"/>
      <c r="T11" s="1135"/>
      <c r="U11" s="1135"/>
      <c r="V11" s="1135"/>
      <c r="W11" s="1135"/>
      <c r="X11" s="1135"/>
      <c r="Y11" s="1135"/>
      <c r="Z11" s="1135"/>
      <c r="AA11" s="1136">
        <f t="shared" si="21"/>
        <v>0</v>
      </c>
      <c r="AB11" s="1135"/>
      <c r="AC11" s="1135"/>
      <c r="AD11" s="1135"/>
      <c r="AE11" s="1135"/>
      <c r="AF11" s="1135"/>
      <c r="AG11" s="1135"/>
      <c r="AH11" s="1135"/>
      <c r="AI11" s="1135"/>
      <c r="AJ11" s="1135"/>
      <c r="AK11" s="1135"/>
      <c r="AL11" s="1135"/>
      <c r="AM11" s="1135"/>
      <c r="AN11" s="1136">
        <f t="shared" si="22"/>
        <v>0</v>
      </c>
      <c r="AO11" s="1135"/>
      <c r="AP11" s="1135"/>
      <c r="AQ11" s="1135"/>
      <c r="AR11" s="1135"/>
      <c r="AS11" s="1135"/>
      <c r="AT11" s="1135"/>
      <c r="AU11" s="1135"/>
      <c r="AV11" s="1135"/>
      <c r="AW11" s="1135"/>
      <c r="AX11" s="1135"/>
      <c r="AY11" s="1135"/>
      <c r="AZ11" s="1135"/>
      <c r="BA11" s="1136">
        <f t="shared" si="23"/>
        <v>0</v>
      </c>
      <c r="BB11" s="1135"/>
      <c r="BC11" s="1135"/>
      <c r="BD11" s="1135"/>
      <c r="BE11" s="1135"/>
      <c r="BF11" s="1135"/>
      <c r="BG11" s="1135"/>
      <c r="BH11" s="1135"/>
      <c r="BI11" s="1135"/>
      <c r="BJ11" s="1135"/>
      <c r="BK11" s="1135"/>
      <c r="BL11" s="1135"/>
      <c r="BM11" s="1135"/>
      <c r="BN11" s="1136">
        <f t="shared" si="24"/>
        <v>0</v>
      </c>
      <c r="BO11" s="1135"/>
      <c r="BP11" s="1135"/>
      <c r="BQ11" s="1135"/>
      <c r="BR11" s="1135"/>
      <c r="BS11" s="1135"/>
      <c r="BT11" s="1135"/>
      <c r="BU11" s="1135"/>
      <c r="BV11" s="1135"/>
      <c r="BW11" s="1135"/>
      <c r="BX11" s="1135"/>
      <c r="BY11" s="1135"/>
      <c r="BZ11" s="1135"/>
      <c r="CA11" s="1136">
        <f t="shared" si="25"/>
        <v>0</v>
      </c>
      <c r="CB11" s="1135"/>
      <c r="CC11" s="1135"/>
      <c r="CD11" s="1135"/>
      <c r="CE11" s="1135"/>
      <c r="CF11" s="1135"/>
      <c r="CG11" s="1135"/>
      <c r="CH11" s="1135"/>
      <c r="CI11" s="1135"/>
      <c r="CJ11" s="1135"/>
      <c r="CK11" s="1135"/>
      <c r="CL11" s="1135"/>
      <c r="CM11" s="1135"/>
      <c r="CN11" s="1136">
        <f t="shared" si="26"/>
        <v>0</v>
      </c>
      <c r="CO11" s="1135"/>
      <c r="CP11" s="1135"/>
      <c r="CQ11" s="1135"/>
      <c r="CR11" s="1135"/>
      <c r="CS11" s="1135"/>
      <c r="CT11" s="1135"/>
      <c r="CU11" s="1135"/>
      <c r="CV11" s="1135"/>
      <c r="CW11" s="1135"/>
      <c r="CX11" s="1135"/>
      <c r="CY11" s="1135"/>
      <c r="CZ11" s="1135"/>
      <c r="DA11" s="1136">
        <f t="shared" si="27"/>
        <v>0</v>
      </c>
      <c r="DB11" s="1135"/>
      <c r="DC11" s="1135"/>
      <c r="DD11" s="1135"/>
      <c r="DE11" s="1135"/>
      <c r="DF11" s="1135"/>
      <c r="DG11" s="1135"/>
      <c r="DH11" s="1135"/>
      <c r="DI11" s="1135"/>
      <c r="DJ11" s="1135"/>
      <c r="DK11" s="1135"/>
      <c r="DL11" s="1135"/>
      <c r="DM11" s="1135"/>
      <c r="DN11" s="1136">
        <f t="shared" si="28"/>
        <v>0</v>
      </c>
      <c r="DO11" s="1135"/>
      <c r="DP11" s="1135"/>
      <c r="DQ11" s="1135"/>
      <c r="DR11" s="1135"/>
      <c r="DS11" s="1135"/>
      <c r="DT11" s="1135"/>
      <c r="DU11" s="1135"/>
      <c r="DV11" s="1135"/>
      <c r="DW11" s="1135"/>
      <c r="DX11" s="1135"/>
      <c r="DY11" s="1135"/>
      <c r="DZ11" s="1135"/>
      <c r="EA11" s="1136">
        <f t="shared" si="29"/>
        <v>0</v>
      </c>
      <c r="EB11" s="1135"/>
      <c r="EC11" s="1135"/>
      <c r="ED11" s="1135"/>
      <c r="EE11" s="1135"/>
      <c r="EF11" s="1135"/>
      <c r="EG11" s="1135"/>
      <c r="EH11" s="1135"/>
      <c r="EI11" s="1135"/>
      <c r="EJ11" s="1135"/>
      <c r="EK11" s="1135"/>
      <c r="EL11" s="1135"/>
      <c r="EM11" s="1135"/>
      <c r="EN11" s="1136">
        <f t="shared" si="30"/>
        <v>0</v>
      </c>
      <c r="EO11" s="1135"/>
      <c r="EP11" s="1135"/>
      <c r="EQ11" s="1135"/>
      <c r="ER11" s="1135"/>
      <c r="ES11" s="1135"/>
      <c r="ET11" s="1135"/>
      <c r="EU11" s="1135"/>
      <c r="EV11" s="1135"/>
      <c r="EW11" s="1135"/>
      <c r="EX11" s="1135"/>
      <c r="EY11" s="1135"/>
      <c r="EZ11" s="1135"/>
      <c r="FA11" s="1136">
        <f t="shared" si="31"/>
        <v>0</v>
      </c>
      <c r="FB11" s="1135"/>
      <c r="FC11" s="1135"/>
      <c r="FD11" s="1135"/>
      <c r="FE11" s="1135"/>
      <c r="FF11" s="1135"/>
      <c r="FG11" s="1135"/>
      <c r="FH11" s="1135"/>
      <c r="FI11" s="1135"/>
      <c r="FJ11" s="1135"/>
      <c r="FK11" s="1135"/>
      <c r="FL11" s="1135"/>
      <c r="FM11" s="1135"/>
      <c r="FN11" s="1136">
        <f t="shared" si="32"/>
        <v>0</v>
      </c>
      <c r="FO11" s="1135"/>
      <c r="FP11" s="1135"/>
      <c r="FQ11" s="1135"/>
      <c r="FR11" s="1135"/>
      <c r="FS11" s="1135"/>
      <c r="FT11" s="1135"/>
      <c r="FU11" s="1135"/>
      <c r="FV11" s="1135"/>
      <c r="FW11" s="1135"/>
      <c r="FX11" s="1135"/>
      <c r="FY11" s="1135"/>
      <c r="FZ11" s="1135"/>
      <c r="GA11" s="1136">
        <f t="shared" si="33"/>
        <v>0</v>
      </c>
      <c r="GB11" s="1135"/>
      <c r="GC11" s="1135"/>
      <c r="GD11" s="1135"/>
      <c r="GE11" s="1135"/>
      <c r="GF11" s="1135"/>
      <c r="GG11" s="1135"/>
      <c r="GH11" s="1135"/>
      <c r="GI11" s="1135"/>
      <c r="GJ11" s="1135"/>
      <c r="GK11" s="1135"/>
      <c r="GL11" s="1135"/>
      <c r="GM11" s="1135"/>
      <c r="GN11" s="1136">
        <f t="shared" si="34"/>
        <v>0</v>
      </c>
      <c r="GO11" s="1135"/>
      <c r="GP11" s="1135"/>
      <c r="GQ11" s="1135"/>
      <c r="GR11" s="1135"/>
      <c r="GS11" s="1135"/>
      <c r="GT11" s="1135"/>
      <c r="GU11" s="1135"/>
      <c r="GV11" s="1135"/>
      <c r="GW11" s="1135"/>
      <c r="GX11" s="1135"/>
      <c r="GY11" s="1135"/>
      <c r="GZ11" s="1135"/>
      <c r="HA11" s="1136">
        <f t="shared" si="35"/>
        <v>0</v>
      </c>
      <c r="HB11" s="1135"/>
      <c r="HC11" s="1135"/>
      <c r="HD11" s="1135"/>
      <c r="HE11" s="1135"/>
      <c r="HF11" s="1135"/>
      <c r="HG11" s="1135"/>
      <c r="HH11" s="1135"/>
      <c r="HI11" s="1135"/>
      <c r="HJ11" s="1135"/>
      <c r="HK11" s="1135"/>
      <c r="HL11" s="1135"/>
      <c r="HM11" s="1135"/>
      <c r="HN11" s="1136">
        <f t="shared" si="36"/>
        <v>0</v>
      </c>
      <c r="HO11" s="1135"/>
      <c r="HP11" s="1135"/>
      <c r="HQ11" s="1135"/>
      <c r="HR11" s="1135"/>
      <c r="HS11" s="1135"/>
      <c r="HT11" s="1135"/>
      <c r="HU11" s="1135"/>
      <c r="HV11" s="1135"/>
      <c r="HW11" s="1135"/>
      <c r="HX11" s="1135"/>
      <c r="HY11" s="1135"/>
      <c r="HZ11" s="1135"/>
      <c r="IA11" s="1136">
        <f t="shared" si="37"/>
        <v>0</v>
      </c>
      <c r="IB11" s="1135"/>
      <c r="IC11" s="1135"/>
      <c r="ID11" s="1135"/>
      <c r="IE11" s="1135"/>
      <c r="IF11" s="1135"/>
      <c r="IG11" s="1135"/>
      <c r="IH11" s="1135"/>
      <c r="II11" s="1135"/>
      <c r="IJ11" s="1135"/>
      <c r="IK11" s="1135"/>
      <c r="IL11" s="1135"/>
      <c r="IM11" s="1135"/>
      <c r="IN11" s="1136">
        <f t="shared" si="38"/>
        <v>0</v>
      </c>
      <c r="IO11" s="1135"/>
      <c r="IP11" s="1135"/>
      <c r="IQ11" s="1135"/>
      <c r="IR11" s="1135"/>
      <c r="IS11" s="1135"/>
      <c r="IT11" s="1135"/>
      <c r="IU11" s="1135"/>
      <c r="IV11" s="1135"/>
      <c r="IW11" s="1135"/>
      <c r="IX11" s="1135"/>
      <c r="IY11" s="1135"/>
      <c r="IZ11" s="1135"/>
      <c r="JA11" s="1136">
        <f t="shared" si="39"/>
        <v>0</v>
      </c>
      <c r="JB11" s="1135"/>
      <c r="JC11" s="1135"/>
      <c r="JD11" s="1135"/>
      <c r="JE11" s="1135"/>
      <c r="JF11" s="1135"/>
      <c r="JG11" s="1135"/>
      <c r="JH11" s="1135"/>
      <c r="JI11" s="1135"/>
      <c r="JJ11" s="1135"/>
      <c r="JK11" s="1135"/>
      <c r="JL11" s="1135"/>
      <c r="JM11" s="1135"/>
      <c r="JN11" s="1136">
        <f t="shared" si="40"/>
        <v>0</v>
      </c>
      <c r="JO11" s="1135"/>
      <c r="JP11" s="1135"/>
      <c r="JQ11" s="1135"/>
      <c r="JR11" s="1135"/>
      <c r="JS11" s="1135"/>
      <c r="JT11" s="1135"/>
      <c r="JU11" s="1135"/>
      <c r="JV11" s="1135"/>
      <c r="JW11" s="1135"/>
      <c r="JX11" s="1135"/>
      <c r="JY11" s="1135"/>
      <c r="JZ11" s="1135"/>
      <c r="KA11" s="1136">
        <f t="shared" si="41"/>
        <v>0</v>
      </c>
      <c r="KC11" s="1137" t="str">
        <f t="shared" si="42"/>
        <v/>
      </c>
      <c r="KD11" s="1138" t="str">
        <f t="shared" si="43"/>
        <v/>
      </c>
      <c r="KE11" s="1139">
        <f t="shared" si="44"/>
        <v>0</v>
      </c>
      <c r="KF11" s="1140">
        <f t="shared" si="45"/>
        <v>0</v>
      </c>
      <c r="KG11" s="1041"/>
      <c r="KH11" s="1139">
        <f t="shared" si="46"/>
        <v>0</v>
      </c>
      <c r="KI11" s="1146" t="s">
        <v>46</v>
      </c>
      <c r="KJ11" s="1147" t="str">
        <f t="shared" si="47"/>
        <v>OK</v>
      </c>
    </row>
    <row r="12" spans="1:296" ht="15" customHeight="1" x14ac:dyDescent="0.2">
      <c r="A12" s="1143" t="s">
        <v>574</v>
      </c>
      <c r="B12" s="1135"/>
      <c r="C12" s="1135"/>
      <c r="D12" s="1135"/>
      <c r="E12" s="1135"/>
      <c r="F12" s="1135"/>
      <c r="G12" s="1135"/>
      <c r="H12" s="1135"/>
      <c r="I12" s="1135"/>
      <c r="J12" s="1135"/>
      <c r="K12" s="1135"/>
      <c r="L12" s="1135"/>
      <c r="M12" s="1135"/>
      <c r="N12" s="1136">
        <f t="shared" si="20"/>
        <v>0</v>
      </c>
      <c r="O12" s="1135"/>
      <c r="P12" s="1135"/>
      <c r="Q12" s="1135"/>
      <c r="R12" s="1135"/>
      <c r="S12" s="1135"/>
      <c r="T12" s="1135"/>
      <c r="U12" s="1135"/>
      <c r="V12" s="1135"/>
      <c r="W12" s="1135"/>
      <c r="X12" s="1135"/>
      <c r="Y12" s="1135"/>
      <c r="Z12" s="1135"/>
      <c r="AA12" s="1136">
        <f t="shared" si="21"/>
        <v>0</v>
      </c>
      <c r="AB12" s="1135"/>
      <c r="AC12" s="1135"/>
      <c r="AD12" s="1135"/>
      <c r="AE12" s="1135"/>
      <c r="AF12" s="1135"/>
      <c r="AG12" s="1135"/>
      <c r="AH12" s="1135"/>
      <c r="AI12" s="1135"/>
      <c r="AJ12" s="1135"/>
      <c r="AK12" s="1135"/>
      <c r="AL12" s="1135"/>
      <c r="AM12" s="1135"/>
      <c r="AN12" s="1136">
        <f t="shared" si="22"/>
        <v>0</v>
      </c>
      <c r="AO12" s="1135"/>
      <c r="AP12" s="1135"/>
      <c r="AQ12" s="1135"/>
      <c r="AR12" s="1135"/>
      <c r="AS12" s="1135"/>
      <c r="AT12" s="1135"/>
      <c r="AU12" s="1135"/>
      <c r="AV12" s="1135"/>
      <c r="AW12" s="1135"/>
      <c r="AX12" s="1135"/>
      <c r="AY12" s="1135"/>
      <c r="AZ12" s="1135"/>
      <c r="BA12" s="1136">
        <f t="shared" si="23"/>
        <v>0</v>
      </c>
      <c r="BB12" s="1135"/>
      <c r="BC12" s="1135"/>
      <c r="BD12" s="1135"/>
      <c r="BE12" s="1135"/>
      <c r="BF12" s="1135"/>
      <c r="BG12" s="1135"/>
      <c r="BH12" s="1135"/>
      <c r="BI12" s="1135"/>
      <c r="BJ12" s="1135"/>
      <c r="BK12" s="1135"/>
      <c r="BL12" s="1135"/>
      <c r="BM12" s="1135">
        <v>56784</v>
      </c>
      <c r="BN12" s="1136">
        <f t="shared" si="24"/>
        <v>56784</v>
      </c>
      <c r="BO12" s="1135"/>
      <c r="BP12" s="1135"/>
      <c r="BQ12" s="1135"/>
      <c r="BR12" s="1135"/>
      <c r="BS12" s="1135"/>
      <c r="BT12" s="1135"/>
      <c r="BU12" s="1135"/>
      <c r="BV12" s="1135"/>
      <c r="BW12" s="1135"/>
      <c r="BX12" s="1135"/>
      <c r="BY12" s="1135"/>
      <c r="BZ12" s="1135"/>
      <c r="CA12" s="1136">
        <f t="shared" si="25"/>
        <v>0</v>
      </c>
      <c r="CB12" s="1135"/>
      <c r="CC12" s="1135"/>
      <c r="CD12" s="1135"/>
      <c r="CE12" s="1135"/>
      <c r="CF12" s="1135"/>
      <c r="CG12" s="1135"/>
      <c r="CH12" s="1135"/>
      <c r="CI12" s="1135"/>
      <c r="CJ12" s="1135"/>
      <c r="CK12" s="1135"/>
      <c r="CL12" s="1135"/>
      <c r="CM12" s="1135"/>
      <c r="CN12" s="1136">
        <f t="shared" si="26"/>
        <v>0</v>
      </c>
      <c r="CO12" s="1135"/>
      <c r="CP12" s="1135"/>
      <c r="CQ12" s="1135"/>
      <c r="CR12" s="1135"/>
      <c r="CS12" s="1135"/>
      <c r="CT12" s="1135"/>
      <c r="CU12" s="1135"/>
      <c r="CV12" s="1135"/>
      <c r="CW12" s="1135"/>
      <c r="CX12" s="1135"/>
      <c r="CY12" s="1135"/>
      <c r="CZ12" s="1135"/>
      <c r="DA12" s="1136">
        <f t="shared" si="27"/>
        <v>0</v>
      </c>
      <c r="DB12" s="1135"/>
      <c r="DC12" s="1135"/>
      <c r="DD12" s="1135"/>
      <c r="DE12" s="1135"/>
      <c r="DF12" s="1135"/>
      <c r="DG12" s="1135"/>
      <c r="DH12" s="1135"/>
      <c r="DI12" s="1135"/>
      <c r="DJ12" s="1135"/>
      <c r="DK12" s="1135"/>
      <c r="DL12" s="1135"/>
      <c r="DM12" s="1135">
        <v>15789</v>
      </c>
      <c r="DN12" s="1136">
        <f t="shared" si="28"/>
        <v>15789</v>
      </c>
      <c r="DO12" s="1135"/>
      <c r="DP12" s="1135"/>
      <c r="DQ12" s="1135"/>
      <c r="DR12" s="1135"/>
      <c r="DS12" s="1135"/>
      <c r="DT12" s="1135"/>
      <c r="DU12" s="1135"/>
      <c r="DV12" s="1135"/>
      <c r="DW12" s="1135"/>
      <c r="DX12" s="1135"/>
      <c r="DY12" s="1135"/>
      <c r="DZ12" s="1135"/>
      <c r="EA12" s="1136">
        <f t="shared" si="29"/>
        <v>0</v>
      </c>
      <c r="EB12" s="1135"/>
      <c r="EC12" s="1135"/>
      <c r="ED12" s="1135"/>
      <c r="EE12" s="1135"/>
      <c r="EF12" s="1135"/>
      <c r="EG12" s="1135"/>
      <c r="EH12" s="1135"/>
      <c r="EI12" s="1135"/>
      <c r="EJ12" s="1135"/>
      <c r="EK12" s="1135"/>
      <c r="EL12" s="1135"/>
      <c r="EM12" s="1135"/>
      <c r="EN12" s="1136">
        <f t="shared" si="30"/>
        <v>0</v>
      </c>
      <c r="EO12" s="1135"/>
      <c r="EP12" s="1135"/>
      <c r="EQ12" s="1135"/>
      <c r="ER12" s="1135"/>
      <c r="ES12" s="1135"/>
      <c r="ET12" s="1135"/>
      <c r="EU12" s="1135"/>
      <c r="EV12" s="1135"/>
      <c r="EW12" s="1135"/>
      <c r="EX12" s="1135"/>
      <c r="EY12" s="1135"/>
      <c r="EZ12" s="1135"/>
      <c r="FA12" s="1136">
        <f t="shared" si="31"/>
        <v>0</v>
      </c>
      <c r="FB12" s="1135"/>
      <c r="FC12" s="1135"/>
      <c r="FD12" s="1135"/>
      <c r="FE12" s="1135"/>
      <c r="FF12" s="1135"/>
      <c r="FG12" s="1135"/>
      <c r="FH12" s="1135"/>
      <c r="FI12" s="1135"/>
      <c r="FJ12" s="1135"/>
      <c r="FK12" s="1135"/>
      <c r="FL12" s="1135"/>
      <c r="FM12" s="1135"/>
      <c r="FN12" s="1136">
        <f t="shared" si="32"/>
        <v>0</v>
      </c>
      <c r="FO12" s="1135"/>
      <c r="FP12" s="1135"/>
      <c r="FQ12" s="1135"/>
      <c r="FR12" s="1135"/>
      <c r="FS12" s="1135"/>
      <c r="FT12" s="1135"/>
      <c r="FU12" s="1135"/>
      <c r="FV12" s="1135"/>
      <c r="FW12" s="1135"/>
      <c r="FX12" s="1135"/>
      <c r="FY12" s="1135"/>
      <c r="FZ12" s="1135">
        <v>93214</v>
      </c>
      <c r="GA12" s="1136">
        <f t="shared" si="33"/>
        <v>93214</v>
      </c>
      <c r="GB12" s="1135"/>
      <c r="GC12" s="1135"/>
      <c r="GD12" s="1135"/>
      <c r="GE12" s="1135"/>
      <c r="GF12" s="1135"/>
      <c r="GG12" s="1135"/>
      <c r="GH12" s="1135"/>
      <c r="GI12" s="1135"/>
      <c r="GJ12" s="1135"/>
      <c r="GK12" s="1135"/>
      <c r="GL12" s="1135"/>
      <c r="GM12" s="1135">
        <v>93232</v>
      </c>
      <c r="GN12" s="1136">
        <f t="shared" si="34"/>
        <v>93232</v>
      </c>
      <c r="GO12" s="1135"/>
      <c r="GP12" s="1135"/>
      <c r="GQ12" s="1135"/>
      <c r="GR12" s="1135"/>
      <c r="GS12" s="1135"/>
      <c r="GT12" s="1135"/>
      <c r="GU12" s="1135"/>
      <c r="GV12" s="1135"/>
      <c r="GW12" s="1135"/>
      <c r="GX12" s="1135"/>
      <c r="GY12" s="1135"/>
      <c r="GZ12" s="1135">
        <v>91004</v>
      </c>
      <c r="HA12" s="1136">
        <f t="shared" si="35"/>
        <v>91004</v>
      </c>
      <c r="HB12" s="1135"/>
      <c r="HC12" s="1135"/>
      <c r="HD12" s="1135"/>
      <c r="HE12" s="1135"/>
      <c r="HF12" s="1135"/>
      <c r="HG12" s="1135"/>
      <c r="HH12" s="1135"/>
      <c r="HI12" s="1135"/>
      <c r="HJ12" s="1135"/>
      <c r="HK12" s="1135"/>
      <c r="HL12" s="1135"/>
      <c r="HM12" s="1135"/>
      <c r="HN12" s="1136">
        <f t="shared" si="36"/>
        <v>0</v>
      </c>
      <c r="HO12" s="1135"/>
      <c r="HP12" s="1135"/>
      <c r="HQ12" s="1135"/>
      <c r="HR12" s="1135"/>
      <c r="HS12" s="1135"/>
      <c r="HT12" s="1135"/>
      <c r="HU12" s="1135"/>
      <c r="HV12" s="1135"/>
      <c r="HW12" s="1135"/>
      <c r="HX12" s="1135"/>
      <c r="HY12" s="1135"/>
      <c r="HZ12" s="1135"/>
      <c r="IA12" s="1136">
        <f t="shared" si="37"/>
        <v>0</v>
      </c>
      <c r="IB12" s="1135"/>
      <c r="IC12" s="1135"/>
      <c r="ID12" s="1135"/>
      <c r="IE12" s="1135"/>
      <c r="IF12" s="1135"/>
      <c r="IG12" s="1135"/>
      <c r="IH12" s="1135"/>
      <c r="II12" s="1135"/>
      <c r="IJ12" s="1135"/>
      <c r="IK12" s="1135"/>
      <c r="IL12" s="1135"/>
      <c r="IM12" s="1135">
        <v>88938.05</v>
      </c>
      <c r="IN12" s="1136">
        <f t="shared" si="38"/>
        <v>88938.05</v>
      </c>
      <c r="IO12" s="1135"/>
      <c r="IP12" s="1135"/>
      <c r="IQ12" s="1135"/>
      <c r="IR12" s="1135"/>
      <c r="IS12" s="1135"/>
      <c r="IT12" s="1135"/>
      <c r="IU12" s="1135"/>
      <c r="IV12" s="1135"/>
      <c r="IW12" s="1135"/>
      <c r="IX12" s="1135"/>
      <c r="IY12" s="1135"/>
      <c r="IZ12" s="1135">
        <v>37560.019999999997</v>
      </c>
      <c r="JA12" s="1136">
        <f t="shared" si="39"/>
        <v>37560.019999999997</v>
      </c>
      <c r="JB12" s="1135"/>
      <c r="JC12" s="1135"/>
      <c r="JD12" s="1135"/>
      <c r="JE12" s="1135"/>
      <c r="JF12" s="1135"/>
      <c r="JG12" s="1135"/>
      <c r="JH12" s="1135"/>
      <c r="JI12" s="1135"/>
      <c r="JJ12" s="1135"/>
      <c r="JK12" s="1135"/>
      <c r="JL12" s="1135"/>
      <c r="JM12" s="1135">
        <v>102446.1</v>
      </c>
      <c r="JN12" s="1136">
        <f t="shared" si="40"/>
        <v>102446.1</v>
      </c>
      <c r="JO12" s="1135">
        <v>0</v>
      </c>
      <c r="JP12" s="1135"/>
      <c r="JQ12" s="1135"/>
      <c r="JR12" s="1135"/>
      <c r="JS12" s="1135"/>
      <c r="JT12" s="1135"/>
      <c r="JU12" s="1135"/>
      <c r="JV12" s="1135"/>
      <c r="JW12" s="1135"/>
      <c r="JX12" s="1135"/>
      <c r="JY12" s="1135"/>
      <c r="JZ12" s="1135"/>
      <c r="KA12" s="1136">
        <f t="shared" si="41"/>
        <v>0</v>
      </c>
      <c r="KC12" s="1137">
        <f t="shared" si="42"/>
        <v>172.75304965226326</v>
      </c>
      <c r="KD12" s="1138">
        <f t="shared" si="43"/>
        <v>172.75304965226326</v>
      </c>
      <c r="KE12" s="1139">
        <f t="shared" si="44"/>
        <v>37560.019999999997</v>
      </c>
      <c r="KF12" s="1140">
        <f t="shared" si="45"/>
        <v>102446.1</v>
      </c>
      <c r="KG12" s="1041"/>
      <c r="KH12" s="1139">
        <f t="shared" si="46"/>
        <v>1157934.3400000003</v>
      </c>
      <c r="KI12" s="1146" t="s">
        <v>574</v>
      </c>
      <c r="KJ12" s="1147" t="str">
        <f t="shared" si="47"/>
        <v>OK</v>
      </c>
    </row>
    <row r="13" spans="1:296" ht="15" customHeight="1" x14ac:dyDescent="0.2">
      <c r="A13" s="1151" t="s">
        <v>47</v>
      </c>
      <c r="B13" s="1135"/>
      <c r="C13" s="1135"/>
      <c r="D13" s="1135"/>
      <c r="E13" s="1135"/>
      <c r="F13" s="1135"/>
      <c r="G13" s="1135"/>
      <c r="H13" s="1135"/>
      <c r="I13" s="1135"/>
      <c r="J13" s="1135"/>
      <c r="K13" s="1135"/>
      <c r="L13" s="1135"/>
      <c r="M13" s="1135"/>
      <c r="N13" s="1136">
        <f t="shared" si="20"/>
        <v>0</v>
      </c>
      <c r="O13" s="1135"/>
      <c r="P13" s="1135"/>
      <c r="Q13" s="1135"/>
      <c r="R13" s="1135"/>
      <c r="S13" s="1135"/>
      <c r="T13" s="1135"/>
      <c r="U13" s="1135"/>
      <c r="V13" s="1135"/>
      <c r="W13" s="1135"/>
      <c r="X13" s="1135"/>
      <c r="Y13" s="1135"/>
      <c r="Z13" s="1135"/>
      <c r="AA13" s="1136">
        <f t="shared" si="21"/>
        <v>0</v>
      </c>
      <c r="AB13" s="1135"/>
      <c r="AC13" s="1135"/>
      <c r="AD13" s="1135"/>
      <c r="AE13" s="1135"/>
      <c r="AF13" s="1135"/>
      <c r="AG13" s="1135"/>
      <c r="AH13" s="1135"/>
      <c r="AI13" s="1135"/>
      <c r="AJ13" s="1135"/>
      <c r="AK13" s="1135"/>
      <c r="AL13" s="1135"/>
      <c r="AM13" s="1135"/>
      <c r="AN13" s="1136">
        <f t="shared" si="22"/>
        <v>0</v>
      </c>
      <c r="AO13" s="1135"/>
      <c r="AP13" s="1135"/>
      <c r="AQ13" s="1135"/>
      <c r="AR13" s="1135"/>
      <c r="AS13" s="1135"/>
      <c r="AT13" s="1135"/>
      <c r="AU13" s="1135"/>
      <c r="AV13" s="1135"/>
      <c r="AW13" s="1135"/>
      <c r="AX13" s="1135"/>
      <c r="AY13" s="1135"/>
      <c r="AZ13" s="1135"/>
      <c r="BA13" s="1136">
        <f t="shared" si="23"/>
        <v>0</v>
      </c>
      <c r="BB13" s="1135"/>
      <c r="BC13" s="1135"/>
      <c r="BD13" s="1135"/>
      <c r="BE13" s="1135"/>
      <c r="BF13" s="1135"/>
      <c r="BG13" s="1135">
        <v>1</v>
      </c>
      <c r="BH13" s="1135"/>
      <c r="BI13" s="1135"/>
      <c r="BJ13" s="1135"/>
      <c r="BK13" s="1135"/>
      <c r="BL13" s="1135"/>
      <c r="BM13" s="1135"/>
      <c r="BN13" s="1136">
        <f t="shared" si="24"/>
        <v>1</v>
      </c>
      <c r="BO13" s="1135"/>
      <c r="BP13" s="1135"/>
      <c r="BQ13" s="1135"/>
      <c r="BR13" s="1135"/>
      <c r="BS13" s="1135"/>
      <c r="BT13" s="1135"/>
      <c r="BU13" s="1135"/>
      <c r="BV13" s="1135"/>
      <c r="BW13" s="1135"/>
      <c r="BX13" s="1135"/>
      <c r="BY13" s="1135"/>
      <c r="BZ13" s="1135"/>
      <c r="CA13" s="1136">
        <f t="shared" si="25"/>
        <v>0</v>
      </c>
      <c r="CB13" s="1135"/>
      <c r="CC13" s="1135"/>
      <c r="CD13" s="1135"/>
      <c r="CE13" s="1135"/>
      <c r="CF13" s="1135"/>
      <c r="CG13" s="1135"/>
      <c r="CH13" s="1135"/>
      <c r="CI13" s="1135"/>
      <c r="CJ13" s="1135"/>
      <c r="CK13" s="1135"/>
      <c r="CL13" s="1135"/>
      <c r="CM13" s="1135"/>
      <c r="CN13" s="1136">
        <f t="shared" si="26"/>
        <v>0</v>
      </c>
      <c r="CO13" s="1135"/>
      <c r="CP13" s="1135"/>
      <c r="CQ13" s="1135"/>
      <c r="CR13" s="1135"/>
      <c r="CS13" s="1135"/>
      <c r="CT13" s="1135"/>
      <c r="CU13" s="1135"/>
      <c r="CV13" s="1135"/>
      <c r="CW13" s="1135"/>
      <c r="CX13" s="1135"/>
      <c r="CY13" s="1135"/>
      <c r="CZ13" s="1135"/>
      <c r="DA13" s="1136">
        <f t="shared" si="27"/>
        <v>0</v>
      </c>
      <c r="DB13" s="1135"/>
      <c r="DC13" s="1135"/>
      <c r="DD13" s="1135"/>
      <c r="DE13" s="1135"/>
      <c r="DF13" s="1135"/>
      <c r="DG13" s="1135"/>
      <c r="DH13" s="1135"/>
      <c r="DI13" s="1135"/>
      <c r="DJ13" s="1135"/>
      <c r="DK13" s="1135"/>
      <c r="DL13" s="1135"/>
      <c r="DM13" s="1135"/>
      <c r="DN13" s="1136">
        <f t="shared" si="28"/>
        <v>0</v>
      </c>
      <c r="DO13" s="1135"/>
      <c r="DP13" s="1135"/>
      <c r="DQ13" s="1135"/>
      <c r="DR13" s="1135"/>
      <c r="DS13" s="1135"/>
      <c r="DT13" s="1135"/>
      <c r="DU13" s="1135"/>
      <c r="DV13" s="1135"/>
      <c r="DW13" s="1135"/>
      <c r="DX13" s="1135"/>
      <c r="DY13" s="1135"/>
      <c r="DZ13" s="1135">
        <v>5</v>
      </c>
      <c r="EA13" s="1136">
        <f t="shared" si="29"/>
        <v>5</v>
      </c>
      <c r="EB13" s="1135"/>
      <c r="EC13" s="1135"/>
      <c r="ED13" s="1135"/>
      <c r="EE13" s="1135"/>
      <c r="EF13" s="1135"/>
      <c r="EG13" s="1135"/>
      <c r="EH13" s="1135"/>
      <c r="EI13" s="1135"/>
      <c r="EJ13" s="1135"/>
      <c r="EK13" s="1135"/>
      <c r="EL13" s="1135"/>
      <c r="EM13" s="1135">
        <v>5</v>
      </c>
      <c r="EN13" s="1136">
        <f t="shared" si="30"/>
        <v>5</v>
      </c>
      <c r="EO13" s="1135"/>
      <c r="EP13" s="1135"/>
      <c r="EQ13" s="1135"/>
      <c r="ER13" s="1135"/>
      <c r="ES13" s="1135"/>
      <c r="ET13" s="1135"/>
      <c r="EU13" s="1135"/>
      <c r="EV13" s="1135"/>
      <c r="EW13" s="1135"/>
      <c r="EX13" s="1135"/>
      <c r="EY13" s="1135"/>
      <c r="EZ13" s="1135"/>
      <c r="FA13" s="1136">
        <f t="shared" si="31"/>
        <v>0</v>
      </c>
      <c r="FB13" s="1135"/>
      <c r="FC13" s="1135"/>
      <c r="FD13" s="1135"/>
      <c r="FE13" s="1135"/>
      <c r="FF13" s="1135"/>
      <c r="FG13" s="1135"/>
      <c r="FH13" s="1135"/>
      <c r="FI13" s="1135"/>
      <c r="FJ13" s="1135"/>
      <c r="FK13" s="1135"/>
      <c r="FL13" s="1135"/>
      <c r="FM13" s="1135"/>
      <c r="FN13" s="1136">
        <f t="shared" si="32"/>
        <v>0</v>
      </c>
      <c r="FO13" s="1135"/>
      <c r="FP13" s="1135"/>
      <c r="FQ13" s="1135"/>
      <c r="FR13" s="1135"/>
      <c r="FS13" s="1135"/>
      <c r="FT13" s="1135"/>
      <c r="FU13" s="1135"/>
      <c r="FV13" s="1135"/>
      <c r="FW13" s="1135"/>
      <c r="FX13" s="1135"/>
      <c r="FY13" s="1135"/>
      <c r="FZ13" s="1135"/>
      <c r="GA13" s="1136">
        <f t="shared" si="33"/>
        <v>0</v>
      </c>
      <c r="GB13" s="1135"/>
      <c r="GC13" s="1135"/>
      <c r="GD13" s="1135"/>
      <c r="GE13" s="1135"/>
      <c r="GF13" s="1135"/>
      <c r="GG13" s="1135"/>
      <c r="GH13" s="1135"/>
      <c r="GI13" s="1135"/>
      <c r="GJ13" s="1135"/>
      <c r="GK13" s="1135"/>
      <c r="GL13" s="1135"/>
      <c r="GM13" s="1135"/>
      <c r="GN13" s="1136">
        <f t="shared" si="34"/>
        <v>0</v>
      </c>
      <c r="GO13" s="1135"/>
      <c r="GP13" s="1135"/>
      <c r="GQ13" s="1135"/>
      <c r="GR13" s="1135"/>
      <c r="GS13" s="1135"/>
      <c r="GT13" s="1135"/>
      <c r="GU13" s="1135"/>
      <c r="GV13" s="1135"/>
      <c r="GW13" s="1135"/>
      <c r="GX13" s="1135"/>
      <c r="GY13" s="1135"/>
      <c r="GZ13" s="1135">
        <v>1</v>
      </c>
      <c r="HA13" s="1136">
        <f t="shared" si="35"/>
        <v>1</v>
      </c>
      <c r="HB13" s="1135"/>
      <c r="HC13" s="1135"/>
      <c r="HD13" s="1135"/>
      <c r="HE13" s="1135"/>
      <c r="HF13" s="1135">
        <v>2.5</v>
      </c>
      <c r="HG13" s="1135"/>
      <c r="HH13" s="1135"/>
      <c r="HI13" s="1135"/>
      <c r="HJ13" s="1135"/>
      <c r="HK13" s="1135"/>
      <c r="HL13" s="1135"/>
      <c r="HM13" s="1135"/>
      <c r="HN13" s="1136">
        <f t="shared" si="36"/>
        <v>2.5</v>
      </c>
      <c r="HO13" s="1135"/>
      <c r="HP13" s="1135"/>
      <c r="HQ13" s="1135"/>
      <c r="HR13" s="1135"/>
      <c r="HS13" s="1135">
        <v>1.5</v>
      </c>
      <c r="HT13" s="1135">
        <v>1</v>
      </c>
      <c r="HU13" s="1135"/>
      <c r="HV13" s="1135"/>
      <c r="HW13" s="1135"/>
      <c r="HX13" s="1135">
        <v>3</v>
      </c>
      <c r="HY13" s="1135"/>
      <c r="HZ13" s="1135"/>
      <c r="IA13" s="1136">
        <f t="shared" si="37"/>
        <v>5.5</v>
      </c>
      <c r="IB13" s="1135">
        <v>1</v>
      </c>
      <c r="IC13" s="1135">
        <v>1.5</v>
      </c>
      <c r="ID13" s="1135">
        <v>1</v>
      </c>
      <c r="IE13" s="1135">
        <v>2.5</v>
      </c>
      <c r="IF13" s="1135">
        <v>2.4</v>
      </c>
      <c r="IG13" s="1135">
        <v>4</v>
      </c>
      <c r="IH13" s="1135">
        <v>4</v>
      </c>
      <c r="II13" s="1135">
        <v>4</v>
      </c>
      <c r="IJ13" s="1135">
        <v>4</v>
      </c>
      <c r="IK13" s="1135">
        <v>4.55</v>
      </c>
      <c r="IL13" s="1135">
        <v>5</v>
      </c>
      <c r="IM13" s="1135">
        <v>4</v>
      </c>
      <c r="IN13" s="1136">
        <f t="shared" si="38"/>
        <v>37.950000000000003</v>
      </c>
      <c r="IO13" s="1135"/>
      <c r="IP13" s="1135"/>
      <c r="IQ13" s="1135"/>
      <c r="IR13" s="1135"/>
      <c r="IS13" s="1135"/>
      <c r="IT13" s="1135"/>
      <c r="IU13" s="1135"/>
      <c r="IV13" s="1135"/>
      <c r="IW13" s="1135"/>
      <c r="IX13" s="1135"/>
      <c r="IY13" s="1135"/>
      <c r="IZ13" s="1135"/>
      <c r="JA13" s="1136">
        <f t="shared" si="39"/>
        <v>0</v>
      </c>
      <c r="JB13" s="1135"/>
      <c r="JC13" s="1135"/>
      <c r="JD13" s="1135"/>
      <c r="JE13" s="1135"/>
      <c r="JF13" s="1135"/>
      <c r="JG13" s="1135">
        <v>1</v>
      </c>
      <c r="JH13" s="1135">
        <v>1</v>
      </c>
      <c r="JI13" s="1135"/>
      <c r="JJ13" s="1135"/>
      <c r="JK13" s="1135"/>
      <c r="JL13" s="1135"/>
      <c r="JM13" s="1135">
        <v>1</v>
      </c>
      <c r="JN13" s="1136">
        <f t="shared" si="40"/>
        <v>3</v>
      </c>
      <c r="JO13" s="1135">
        <v>0</v>
      </c>
      <c r="JP13" s="1135"/>
      <c r="JQ13" s="1135"/>
      <c r="JR13" s="1135"/>
      <c r="JS13" s="1135"/>
      <c r="JT13" s="1135"/>
      <c r="JU13" s="1135"/>
      <c r="JV13" s="1135"/>
      <c r="JW13" s="1135"/>
      <c r="JX13" s="1135"/>
      <c r="JY13" s="1135"/>
      <c r="JZ13" s="1135"/>
      <c r="KA13" s="1136">
        <f t="shared" si="41"/>
        <v>0</v>
      </c>
      <c r="KC13" s="1137" t="str">
        <f t="shared" si="42"/>
        <v/>
      </c>
      <c r="KD13" s="1138" t="str">
        <f t="shared" si="43"/>
        <v/>
      </c>
      <c r="KE13" s="1139">
        <f t="shared" si="44"/>
        <v>0</v>
      </c>
      <c r="KF13" s="1140">
        <f t="shared" si="45"/>
        <v>3</v>
      </c>
      <c r="KG13" s="1041"/>
      <c r="KH13" s="1139">
        <f t="shared" si="46"/>
        <v>121.9</v>
      </c>
      <c r="KI13" s="1146" t="s">
        <v>47</v>
      </c>
      <c r="KJ13" s="1147" t="str">
        <f t="shared" si="47"/>
        <v>OK</v>
      </c>
    </row>
    <row r="14" spans="1:296" ht="15" customHeight="1" x14ac:dyDescent="0.2">
      <c r="A14" s="1143" t="s">
        <v>31</v>
      </c>
      <c r="B14" s="1135"/>
      <c r="C14" s="1135"/>
      <c r="D14" s="1135"/>
      <c r="E14" s="1135"/>
      <c r="F14" s="1135"/>
      <c r="G14" s="1135"/>
      <c r="H14" s="1135"/>
      <c r="I14" s="1135"/>
      <c r="J14" s="1135"/>
      <c r="K14" s="1135"/>
      <c r="L14" s="1135"/>
      <c r="M14" s="1135">
        <v>152</v>
      </c>
      <c r="N14" s="1136">
        <f t="shared" si="20"/>
        <v>152</v>
      </c>
      <c r="O14" s="1135"/>
      <c r="P14" s="1135"/>
      <c r="Q14" s="1135"/>
      <c r="R14" s="1135"/>
      <c r="S14" s="1135"/>
      <c r="T14" s="1135"/>
      <c r="U14" s="1135"/>
      <c r="V14" s="1135"/>
      <c r="W14" s="1135"/>
      <c r="X14" s="1135"/>
      <c r="Y14" s="1135"/>
      <c r="Z14" s="1135">
        <v>153</v>
      </c>
      <c r="AA14" s="1136">
        <f t="shared" si="21"/>
        <v>153</v>
      </c>
      <c r="AB14" s="1135"/>
      <c r="AC14" s="1135"/>
      <c r="AD14" s="1135"/>
      <c r="AE14" s="1135"/>
      <c r="AF14" s="1135"/>
      <c r="AG14" s="1135"/>
      <c r="AH14" s="1135"/>
      <c r="AI14" s="1135"/>
      <c r="AJ14" s="1135"/>
      <c r="AK14" s="1135"/>
      <c r="AL14" s="1135"/>
      <c r="AM14" s="1135">
        <v>148</v>
      </c>
      <c r="AN14" s="1136">
        <f t="shared" si="22"/>
        <v>148</v>
      </c>
      <c r="AO14" s="1135"/>
      <c r="AP14" s="1135"/>
      <c r="AQ14" s="1135"/>
      <c r="AR14" s="1135"/>
      <c r="AS14" s="1135"/>
      <c r="AT14" s="1135"/>
      <c r="AU14" s="1135"/>
      <c r="AV14" s="1135"/>
      <c r="AW14" s="1135"/>
      <c r="AX14" s="1135"/>
      <c r="AY14" s="1135"/>
      <c r="AZ14" s="1135">
        <v>99</v>
      </c>
      <c r="BA14" s="1136">
        <f t="shared" si="23"/>
        <v>99</v>
      </c>
      <c r="BB14" s="1135"/>
      <c r="BC14" s="1135"/>
      <c r="BD14" s="1135"/>
      <c r="BE14" s="1135"/>
      <c r="BF14" s="1135"/>
      <c r="BG14" s="1135"/>
      <c r="BH14" s="1135"/>
      <c r="BI14" s="1135"/>
      <c r="BJ14" s="1135"/>
      <c r="BK14" s="1135"/>
      <c r="BL14" s="1135"/>
      <c r="BM14" s="1135">
        <v>66</v>
      </c>
      <c r="BN14" s="1136">
        <f t="shared" si="24"/>
        <v>66</v>
      </c>
      <c r="BO14" s="1135"/>
      <c r="BP14" s="1135"/>
      <c r="BQ14" s="1135"/>
      <c r="BR14" s="1135"/>
      <c r="BS14" s="1135"/>
      <c r="BT14" s="1135"/>
      <c r="BU14" s="1135"/>
      <c r="BV14" s="1135"/>
      <c r="BW14" s="1135"/>
      <c r="BX14" s="1135"/>
      <c r="BY14" s="1135"/>
      <c r="BZ14" s="1135">
        <v>72</v>
      </c>
      <c r="CA14" s="1136">
        <f t="shared" si="25"/>
        <v>72</v>
      </c>
      <c r="CB14" s="1135"/>
      <c r="CC14" s="1135"/>
      <c r="CD14" s="1135"/>
      <c r="CE14" s="1135"/>
      <c r="CF14" s="1135"/>
      <c r="CG14" s="1135"/>
      <c r="CH14" s="1135"/>
      <c r="CI14" s="1135"/>
      <c r="CJ14" s="1135"/>
      <c r="CK14" s="1135"/>
      <c r="CL14" s="1135"/>
      <c r="CM14" s="1135">
        <v>70</v>
      </c>
      <c r="CN14" s="1136">
        <f t="shared" si="26"/>
        <v>70</v>
      </c>
      <c r="CO14" s="1135"/>
      <c r="CP14" s="1135"/>
      <c r="CQ14" s="1135"/>
      <c r="CR14" s="1135"/>
      <c r="CS14" s="1135"/>
      <c r="CT14" s="1135"/>
      <c r="CU14" s="1135"/>
      <c r="CV14" s="1135"/>
      <c r="CW14" s="1135"/>
      <c r="CX14" s="1135"/>
      <c r="CY14" s="1135"/>
      <c r="CZ14" s="1135">
        <v>16</v>
      </c>
      <c r="DA14" s="1136">
        <f t="shared" si="27"/>
        <v>16</v>
      </c>
      <c r="DB14" s="1135"/>
      <c r="DC14" s="1135"/>
      <c r="DD14" s="1135"/>
      <c r="DE14" s="1135"/>
      <c r="DF14" s="1135"/>
      <c r="DG14" s="1135"/>
      <c r="DH14" s="1135"/>
      <c r="DI14" s="1135"/>
      <c r="DJ14" s="1135"/>
      <c r="DK14" s="1135"/>
      <c r="DL14" s="1135"/>
      <c r="DM14" s="1135">
        <v>49</v>
      </c>
      <c r="DN14" s="1136">
        <f t="shared" si="28"/>
        <v>49</v>
      </c>
      <c r="DO14" s="1135"/>
      <c r="DP14" s="1135"/>
      <c r="DQ14" s="1135"/>
      <c r="DR14" s="1135"/>
      <c r="DS14" s="1135"/>
      <c r="DT14" s="1135"/>
      <c r="DU14" s="1135"/>
      <c r="DV14" s="1135"/>
      <c r="DW14" s="1135"/>
      <c r="DX14" s="1135"/>
      <c r="DY14" s="1135"/>
      <c r="DZ14" s="1135">
        <v>60</v>
      </c>
      <c r="EA14" s="1136">
        <f t="shared" si="29"/>
        <v>60</v>
      </c>
      <c r="EB14" s="1135"/>
      <c r="EC14" s="1135"/>
      <c r="ED14" s="1135"/>
      <c r="EE14" s="1135"/>
      <c r="EF14" s="1135"/>
      <c r="EG14" s="1135"/>
      <c r="EH14" s="1135"/>
      <c r="EI14" s="1135"/>
      <c r="EJ14" s="1135"/>
      <c r="EK14" s="1135"/>
      <c r="EL14" s="1135"/>
      <c r="EM14" s="1135">
        <v>60</v>
      </c>
      <c r="EN14" s="1136">
        <f t="shared" si="30"/>
        <v>60</v>
      </c>
      <c r="EO14" s="1135"/>
      <c r="EP14" s="1135"/>
      <c r="EQ14" s="1135"/>
      <c r="ER14" s="1135"/>
      <c r="ES14" s="1135"/>
      <c r="ET14" s="1135"/>
      <c r="EU14" s="1135"/>
      <c r="EV14" s="1135"/>
      <c r="EW14" s="1135"/>
      <c r="EX14" s="1135"/>
      <c r="EY14" s="1135"/>
      <c r="EZ14" s="1135">
        <v>1</v>
      </c>
      <c r="FA14" s="1136">
        <f t="shared" si="31"/>
        <v>1</v>
      </c>
      <c r="FB14" s="1135"/>
      <c r="FC14" s="1135"/>
      <c r="FD14" s="1135"/>
      <c r="FE14" s="1135"/>
      <c r="FF14" s="1135"/>
      <c r="FG14" s="1135"/>
      <c r="FH14" s="1135"/>
      <c r="FI14" s="1135"/>
      <c r="FJ14" s="1135"/>
      <c r="FK14" s="1135"/>
      <c r="FL14" s="1135"/>
      <c r="FM14" s="1135"/>
      <c r="FN14" s="1136">
        <f t="shared" si="32"/>
        <v>0</v>
      </c>
      <c r="FO14" s="1135"/>
      <c r="FP14" s="1135"/>
      <c r="FQ14" s="1135"/>
      <c r="FR14" s="1135"/>
      <c r="FS14" s="1135"/>
      <c r="FT14" s="1135"/>
      <c r="FU14" s="1135"/>
      <c r="FV14" s="1135"/>
      <c r="FW14" s="1135"/>
      <c r="FX14" s="1135"/>
      <c r="FY14" s="1135"/>
      <c r="FZ14" s="1135"/>
      <c r="GA14" s="1136">
        <f t="shared" si="33"/>
        <v>0</v>
      </c>
      <c r="GB14" s="1135"/>
      <c r="GC14" s="1135"/>
      <c r="GD14" s="1135"/>
      <c r="GE14" s="1135"/>
      <c r="GF14" s="1135"/>
      <c r="GG14" s="1135"/>
      <c r="GH14" s="1135"/>
      <c r="GI14" s="1135"/>
      <c r="GJ14" s="1135"/>
      <c r="GK14" s="1135"/>
      <c r="GL14" s="1135"/>
      <c r="GM14" s="1135">
        <v>46</v>
      </c>
      <c r="GN14" s="1136">
        <f t="shared" si="34"/>
        <v>46</v>
      </c>
      <c r="GO14" s="1135"/>
      <c r="GP14" s="1135"/>
      <c r="GQ14" s="1135"/>
      <c r="GR14" s="1135"/>
      <c r="GS14" s="1135"/>
      <c r="GT14" s="1135"/>
      <c r="GU14" s="1135"/>
      <c r="GV14" s="1135"/>
      <c r="GW14" s="1135"/>
      <c r="GX14" s="1135"/>
      <c r="GY14" s="1135"/>
      <c r="GZ14" s="1135">
        <v>54</v>
      </c>
      <c r="HA14" s="1136">
        <f t="shared" si="35"/>
        <v>54</v>
      </c>
      <c r="HB14" s="1135"/>
      <c r="HC14" s="1135"/>
      <c r="HD14" s="1135"/>
      <c r="HE14" s="1135"/>
      <c r="HF14" s="1135"/>
      <c r="HG14" s="1135"/>
      <c r="HH14" s="1135"/>
      <c r="HI14" s="1135"/>
      <c r="HJ14" s="1135"/>
      <c r="HK14" s="1135"/>
      <c r="HL14" s="1135"/>
      <c r="HM14" s="1135"/>
      <c r="HN14" s="1136">
        <f t="shared" si="36"/>
        <v>0</v>
      </c>
      <c r="HO14" s="1135"/>
      <c r="HP14" s="1135"/>
      <c r="HQ14" s="1135">
        <v>22</v>
      </c>
      <c r="HR14" s="1135">
        <v>1</v>
      </c>
      <c r="HS14" s="1135"/>
      <c r="HT14" s="1135"/>
      <c r="HU14" s="1135"/>
      <c r="HV14" s="1135"/>
      <c r="HW14" s="1135"/>
      <c r="HX14" s="1135"/>
      <c r="HY14" s="1135"/>
      <c r="HZ14" s="1135"/>
      <c r="IA14" s="1136">
        <f t="shared" si="37"/>
        <v>23</v>
      </c>
      <c r="IB14" s="1135"/>
      <c r="IC14" s="1135"/>
      <c r="ID14" s="1135"/>
      <c r="IE14" s="1135"/>
      <c r="IF14" s="1135"/>
      <c r="IG14" s="1135"/>
      <c r="IH14" s="1135"/>
      <c r="II14" s="1135"/>
      <c r="IJ14" s="1135"/>
      <c r="IK14" s="1135"/>
      <c r="IL14" s="1135"/>
      <c r="IM14" s="1135">
        <v>9.5</v>
      </c>
      <c r="IN14" s="1136">
        <f t="shared" si="38"/>
        <v>9.5</v>
      </c>
      <c r="IO14" s="1135"/>
      <c r="IP14" s="1135"/>
      <c r="IQ14" s="1135"/>
      <c r="IR14" s="1135"/>
      <c r="IS14" s="1135"/>
      <c r="IT14" s="1135"/>
      <c r="IU14" s="1135"/>
      <c r="IV14" s="1135"/>
      <c r="IW14" s="1135"/>
      <c r="IX14" s="1135"/>
      <c r="IY14" s="1135"/>
      <c r="IZ14" s="1135"/>
      <c r="JA14" s="1136">
        <f t="shared" si="39"/>
        <v>0</v>
      </c>
      <c r="JB14" s="1135"/>
      <c r="JC14" s="1135"/>
      <c r="JD14" s="1135"/>
      <c r="JE14" s="1135"/>
      <c r="JF14" s="1135"/>
      <c r="JG14" s="1135"/>
      <c r="JH14" s="1135"/>
      <c r="JI14" s="1135"/>
      <c r="JJ14" s="1135"/>
      <c r="JK14" s="1135"/>
      <c r="JL14" s="1135"/>
      <c r="JM14" s="1135"/>
      <c r="JN14" s="1136">
        <f t="shared" si="40"/>
        <v>0</v>
      </c>
      <c r="JO14" s="1135">
        <v>1</v>
      </c>
      <c r="JP14" s="1135"/>
      <c r="JQ14" s="1135"/>
      <c r="JR14" s="1135"/>
      <c r="JS14" s="1135"/>
      <c r="JT14" s="1135"/>
      <c r="JU14" s="1135"/>
      <c r="JV14" s="1135"/>
      <c r="JW14" s="1135"/>
      <c r="JX14" s="1135"/>
      <c r="JY14" s="1135"/>
      <c r="JZ14" s="1135"/>
      <c r="KA14" s="1136">
        <f t="shared" si="41"/>
        <v>1</v>
      </c>
      <c r="KC14" s="1137" t="str">
        <f t="shared" si="42"/>
        <v/>
      </c>
      <c r="KD14" s="1138" t="str">
        <f t="shared" si="43"/>
        <v/>
      </c>
      <c r="KE14" s="1139">
        <f t="shared" si="44"/>
        <v>0</v>
      </c>
      <c r="KF14" s="1140">
        <f t="shared" si="45"/>
        <v>0</v>
      </c>
      <c r="KG14" s="1041"/>
      <c r="KH14" s="1139">
        <f t="shared" si="46"/>
        <v>2159</v>
      </c>
      <c r="KI14" s="1146" t="s">
        <v>31</v>
      </c>
      <c r="KJ14" s="1147" t="str">
        <f t="shared" si="47"/>
        <v>OK</v>
      </c>
    </row>
    <row r="15" spans="1:296" ht="15" customHeight="1" x14ac:dyDescent="0.2">
      <c r="A15" s="1143" t="s">
        <v>91</v>
      </c>
      <c r="B15" s="1135"/>
      <c r="C15" s="1135"/>
      <c r="D15" s="1135"/>
      <c r="E15" s="1135"/>
      <c r="F15" s="1135"/>
      <c r="G15" s="1135"/>
      <c r="H15" s="1135"/>
      <c r="I15" s="1135"/>
      <c r="J15" s="1135"/>
      <c r="K15" s="1135"/>
      <c r="L15" s="1135"/>
      <c r="M15" s="1135">
        <v>58</v>
      </c>
      <c r="N15" s="1136">
        <f t="shared" si="20"/>
        <v>58</v>
      </c>
      <c r="O15" s="1135"/>
      <c r="P15" s="1135"/>
      <c r="Q15" s="1135"/>
      <c r="R15" s="1135"/>
      <c r="S15" s="1135"/>
      <c r="T15" s="1135"/>
      <c r="U15" s="1135"/>
      <c r="V15" s="1135"/>
      <c r="W15" s="1135"/>
      <c r="X15" s="1135"/>
      <c r="Y15" s="1135"/>
      <c r="Z15" s="1135">
        <v>59</v>
      </c>
      <c r="AA15" s="1136">
        <f t="shared" si="21"/>
        <v>59</v>
      </c>
      <c r="AB15" s="1135"/>
      <c r="AC15" s="1135"/>
      <c r="AD15" s="1135"/>
      <c r="AE15" s="1135"/>
      <c r="AF15" s="1135"/>
      <c r="AG15" s="1135"/>
      <c r="AH15" s="1135"/>
      <c r="AI15" s="1135"/>
      <c r="AJ15" s="1135"/>
      <c r="AK15" s="1135"/>
      <c r="AL15" s="1135"/>
      <c r="AM15" s="1135">
        <v>37</v>
      </c>
      <c r="AN15" s="1136">
        <f t="shared" si="22"/>
        <v>37</v>
      </c>
      <c r="AO15" s="1135"/>
      <c r="AP15" s="1135"/>
      <c r="AQ15" s="1135"/>
      <c r="AR15" s="1135"/>
      <c r="AS15" s="1135"/>
      <c r="AT15" s="1135"/>
      <c r="AU15" s="1135"/>
      <c r="AV15" s="1135"/>
      <c r="AW15" s="1135"/>
      <c r="AX15" s="1135"/>
      <c r="AY15" s="1135"/>
      <c r="AZ15" s="1135">
        <v>37</v>
      </c>
      <c r="BA15" s="1136">
        <f t="shared" si="23"/>
        <v>37</v>
      </c>
      <c r="BB15" s="1135"/>
      <c r="BC15" s="1135"/>
      <c r="BD15" s="1135"/>
      <c r="BE15" s="1135"/>
      <c r="BF15" s="1135"/>
      <c r="BG15" s="1135"/>
      <c r="BH15" s="1135"/>
      <c r="BI15" s="1135"/>
      <c r="BJ15" s="1135"/>
      <c r="BK15" s="1135"/>
      <c r="BL15" s="1135"/>
      <c r="BM15" s="1135">
        <v>16</v>
      </c>
      <c r="BN15" s="1136">
        <f t="shared" si="24"/>
        <v>16</v>
      </c>
      <c r="BO15" s="1135"/>
      <c r="BP15" s="1135"/>
      <c r="BQ15" s="1135"/>
      <c r="BR15" s="1135"/>
      <c r="BS15" s="1135"/>
      <c r="BT15" s="1135"/>
      <c r="BU15" s="1135"/>
      <c r="BV15" s="1135"/>
      <c r="BW15" s="1135"/>
      <c r="BX15" s="1135"/>
      <c r="BY15" s="1135"/>
      <c r="BZ15" s="1135">
        <v>37</v>
      </c>
      <c r="CA15" s="1136">
        <f t="shared" si="25"/>
        <v>37</v>
      </c>
      <c r="CB15" s="1135"/>
      <c r="CC15" s="1135"/>
      <c r="CD15" s="1135"/>
      <c r="CE15" s="1135"/>
      <c r="CF15" s="1135"/>
      <c r="CG15" s="1135"/>
      <c r="CH15" s="1135"/>
      <c r="CI15" s="1135"/>
      <c r="CJ15" s="1135"/>
      <c r="CK15" s="1135"/>
      <c r="CL15" s="1135"/>
      <c r="CM15" s="1135">
        <v>35</v>
      </c>
      <c r="CN15" s="1136">
        <f t="shared" si="26"/>
        <v>35</v>
      </c>
      <c r="CO15" s="1135"/>
      <c r="CP15" s="1135"/>
      <c r="CQ15" s="1135"/>
      <c r="CR15" s="1135"/>
      <c r="CS15" s="1135"/>
      <c r="CT15" s="1135"/>
      <c r="CU15" s="1135"/>
      <c r="CV15" s="1135"/>
      <c r="CW15" s="1135"/>
      <c r="CX15" s="1135"/>
      <c r="CY15" s="1135"/>
      <c r="CZ15" s="1135">
        <v>2</v>
      </c>
      <c r="DA15" s="1136">
        <f t="shared" si="27"/>
        <v>2</v>
      </c>
      <c r="DB15" s="1135"/>
      <c r="DC15" s="1135"/>
      <c r="DD15" s="1135"/>
      <c r="DE15" s="1135"/>
      <c r="DF15" s="1135"/>
      <c r="DG15" s="1135"/>
      <c r="DH15" s="1135"/>
      <c r="DI15" s="1135"/>
      <c r="DJ15" s="1135"/>
      <c r="DK15" s="1135"/>
      <c r="DL15" s="1135"/>
      <c r="DM15" s="1135">
        <v>34</v>
      </c>
      <c r="DN15" s="1136">
        <f t="shared" si="28"/>
        <v>34</v>
      </c>
      <c r="DO15" s="1135"/>
      <c r="DP15" s="1135"/>
      <c r="DQ15" s="1135"/>
      <c r="DR15" s="1135"/>
      <c r="DS15" s="1135"/>
      <c r="DT15" s="1135"/>
      <c r="DU15" s="1135"/>
      <c r="DV15" s="1135"/>
      <c r="DW15" s="1135"/>
      <c r="DX15" s="1135"/>
      <c r="DY15" s="1135"/>
      <c r="DZ15" s="1135">
        <v>30</v>
      </c>
      <c r="EA15" s="1136">
        <f t="shared" si="29"/>
        <v>30</v>
      </c>
      <c r="EB15" s="1135"/>
      <c r="EC15" s="1135"/>
      <c r="ED15" s="1135"/>
      <c r="EE15" s="1135"/>
      <c r="EF15" s="1135"/>
      <c r="EG15" s="1135"/>
      <c r="EH15" s="1135"/>
      <c r="EI15" s="1135"/>
      <c r="EJ15" s="1135"/>
      <c r="EK15" s="1135"/>
      <c r="EL15" s="1135"/>
      <c r="EM15" s="1135">
        <v>30</v>
      </c>
      <c r="EN15" s="1136">
        <f t="shared" si="30"/>
        <v>30</v>
      </c>
      <c r="EO15" s="1135"/>
      <c r="EP15" s="1135"/>
      <c r="EQ15" s="1135"/>
      <c r="ER15" s="1135"/>
      <c r="ES15" s="1135"/>
      <c r="ET15" s="1135"/>
      <c r="EU15" s="1135"/>
      <c r="EV15" s="1135"/>
      <c r="EW15" s="1135"/>
      <c r="EX15" s="1135"/>
      <c r="EY15" s="1135"/>
      <c r="EZ15" s="1135">
        <v>2</v>
      </c>
      <c r="FA15" s="1136">
        <f t="shared" si="31"/>
        <v>2</v>
      </c>
      <c r="FB15" s="1135"/>
      <c r="FC15" s="1135"/>
      <c r="FD15" s="1135"/>
      <c r="FE15" s="1135"/>
      <c r="FF15" s="1135"/>
      <c r="FG15" s="1135"/>
      <c r="FH15" s="1135"/>
      <c r="FI15" s="1135"/>
      <c r="FJ15" s="1135"/>
      <c r="FK15" s="1135"/>
      <c r="FL15" s="1135"/>
      <c r="FM15" s="1135"/>
      <c r="FN15" s="1136">
        <f t="shared" si="32"/>
        <v>0</v>
      </c>
      <c r="FO15" s="1135"/>
      <c r="FP15" s="1135"/>
      <c r="FQ15" s="1135"/>
      <c r="FR15" s="1135"/>
      <c r="FS15" s="1135"/>
      <c r="FT15" s="1135"/>
      <c r="FU15" s="1135"/>
      <c r="FV15" s="1135"/>
      <c r="FW15" s="1135"/>
      <c r="FX15" s="1135"/>
      <c r="FY15" s="1135"/>
      <c r="FZ15" s="1135"/>
      <c r="GA15" s="1136">
        <f t="shared" si="33"/>
        <v>0</v>
      </c>
      <c r="GB15" s="1135"/>
      <c r="GC15" s="1135"/>
      <c r="GD15" s="1135"/>
      <c r="GE15" s="1135"/>
      <c r="GF15" s="1135"/>
      <c r="GG15" s="1135"/>
      <c r="GH15" s="1135"/>
      <c r="GI15" s="1135"/>
      <c r="GJ15" s="1135"/>
      <c r="GK15" s="1135"/>
      <c r="GL15" s="1135"/>
      <c r="GM15" s="1135"/>
      <c r="GN15" s="1136">
        <f t="shared" si="34"/>
        <v>0</v>
      </c>
      <c r="GO15" s="1135"/>
      <c r="GP15" s="1135"/>
      <c r="GQ15" s="1135"/>
      <c r="GR15" s="1135"/>
      <c r="GS15" s="1135"/>
      <c r="GT15" s="1135"/>
      <c r="GU15" s="1135"/>
      <c r="GV15" s="1135"/>
      <c r="GW15" s="1135"/>
      <c r="GX15" s="1135"/>
      <c r="GY15" s="1135"/>
      <c r="GZ15" s="1135"/>
      <c r="HA15" s="1136">
        <f t="shared" si="35"/>
        <v>0</v>
      </c>
      <c r="HB15" s="1135"/>
      <c r="HC15" s="1135"/>
      <c r="HD15" s="1135"/>
      <c r="HE15" s="1135"/>
      <c r="HF15" s="1135"/>
      <c r="HG15" s="1135"/>
      <c r="HH15" s="1135"/>
      <c r="HI15" s="1135"/>
      <c r="HJ15" s="1135"/>
      <c r="HK15" s="1135"/>
      <c r="HL15" s="1135"/>
      <c r="HM15" s="1135"/>
      <c r="HN15" s="1136">
        <f t="shared" si="36"/>
        <v>0</v>
      </c>
      <c r="HO15" s="1135"/>
      <c r="HP15" s="1135"/>
      <c r="HQ15" s="1135">
        <v>1</v>
      </c>
      <c r="HR15" s="1135">
        <v>1</v>
      </c>
      <c r="HS15" s="1135"/>
      <c r="HT15" s="1135"/>
      <c r="HU15" s="1135"/>
      <c r="HV15" s="1135"/>
      <c r="HW15" s="1135"/>
      <c r="HX15" s="1135"/>
      <c r="HY15" s="1135"/>
      <c r="HZ15" s="1135"/>
      <c r="IA15" s="1136">
        <f t="shared" si="37"/>
        <v>2</v>
      </c>
      <c r="IB15" s="1135"/>
      <c r="IC15" s="1135"/>
      <c r="ID15" s="1135"/>
      <c r="IE15" s="1135"/>
      <c r="IF15" s="1135"/>
      <c r="IG15" s="1135"/>
      <c r="IH15" s="1135"/>
      <c r="II15" s="1135"/>
      <c r="IJ15" s="1135"/>
      <c r="IK15" s="1135"/>
      <c r="IL15" s="1135"/>
      <c r="IM15" s="1135">
        <v>3.5</v>
      </c>
      <c r="IN15" s="1136">
        <f t="shared" si="38"/>
        <v>3.5</v>
      </c>
      <c r="IO15" s="1135"/>
      <c r="IP15" s="1135"/>
      <c r="IQ15" s="1135"/>
      <c r="IR15" s="1135"/>
      <c r="IS15" s="1135"/>
      <c r="IT15" s="1135"/>
      <c r="IU15" s="1135"/>
      <c r="IV15" s="1135"/>
      <c r="IW15" s="1135"/>
      <c r="IX15" s="1135"/>
      <c r="IY15" s="1135"/>
      <c r="IZ15" s="1135"/>
      <c r="JA15" s="1136">
        <f t="shared" si="39"/>
        <v>0</v>
      </c>
      <c r="JB15" s="1135"/>
      <c r="JC15" s="1135"/>
      <c r="JD15" s="1135"/>
      <c r="JE15" s="1135"/>
      <c r="JF15" s="1135"/>
      <c r="JG15" s="1135"/>
      <c r="JH15" s="1135"/>
      <c r="JI15" s="1135"/>
      <c r="JJ15" s="1135"/>
      <c r="JK15" s="1135"/>
      <c r="JL15" s="1135"/>
      <c r="JM15" s="1135">
        <v>3.5</v>
      </c>
      <c r="JN15" s="1136">
        <f t="shared" si="40"/>
        <v>3.5</v>
      </c>
      <c r="JO15" s="1135">
        <v>0</v>
      </c>
      <c r="JP15" s="1135"/>
      <c r="JQ15" s="1135"/>
      <c r="JR15" s="1135"/>
      <c r="JS15" s="1135"/>
      <c r="JT15" s="1135"/>
      <c r="JU15" s="1135"/>
      <c r="JV15" s="1135"/>
      <c r="JW15" s="1135"/>
      <c r="JX15" s="1135"/>
      <c r="JY15" s="1135"/>
      <c r="JZ15" s="1135"/>
      <c r="KA15" s="1136">
        <f t="shared" si="41"/>
        <v>0</v>
      </c>
      <c r="KC15" s="1137" t="str">
        <f t="shared" si="42"/>
        <v/>
      </c>
      <c r="KD15" s="1138" t="str">
        <f t="shared" si="43"/>
        <v/>
      </c>
      <c r="KE15" s="1139">
        <f t="shared" si="44"/>
        <v>0</v>
      </c>
      <c r="KF15" s="1140">
        <f t="shared" si="45"/>
        <v>3.5</v>
      </c>
      <c r="KG15" s="1041"/>
      <c r="KH15" s="1139">
        <f t="shared" si="46"/>
        <v>772</v>
      </c>
      <c r="KI15" s="1146" t="s">
        <v>91</v>
      </c>
      <c r="KJ15" s="1147" t="str">
        <f t="shared" si="47"/>
        <v>OK</v>
      </c>
    </row>
    <row r="16" spans="1:296" ht="15" customHeight="1" x14ac:dyDescent="0.2">
      <c r="A16" s="1143" t="s">
        <v>32</v>
      </c>
      <c r="B16" s="1135"/>
      <c r="C16" s="1135"/>
      <c r="D16" s="1135"/>
      <c r="E16" s="1135"/>
      <c r="F16" s="1135"/>
      <c r="G16" s="1135"/>
      <c r="H16" s="1135"/>
      <c r="I16" s="1135"/>
      <c r="J16" s="1135"/>
      <c r="K16" s="1135"/>
      <c r="L16" s="1135"/>
      <c r="M16" s="1135">
        <v>24</v>
      </c>
      <c r="N16" s="1136">
        <f t="shared" si="20"/>
        <v>24</v>
      </c>
      <c r="O16" s="1135"/>
      <c r="P16" s="1135"/>
      <c r="Q16" s="1135"/>
      <c r="R16" s="1135"/>
      <c r="S16" s="1135"/>
      <c r="T16" s="1135"/>
      <c r="U16" s="1135"/>
      <c r="V16" s="1135"/>
      <c r="W16" s="1135"/>
      <c r="X16" s="1135"/>
      <c r="Y16" s="1135"/>
      <c r="Z16" s="1135">
        <v>27</v>
      </c>
      <c r="AA16" s="1136">
        <f t="shared" si="21"/>
        <v>27</v>
      </c>
      <c r="AB16" s="1135"/>
      <c r="AC16" s="1135"/>
      <c r="AD16" s="1135"/>
      <c r="AE16" s="1135"/>
      <c r="AF16" s="1135"/>
      <c r="AG16" s="1135"/>
      <c r="AH16" s="1135"/>
      <c r="AI16" s="1135"/>
      <c r="AJ16" s="1135"/>
      <c r="AK16" s="1135"/>
      <c r="AL16" s="1135"/>
      <c r="AM16" s="1135">
        <v>27</v>
      </c>
      <c r="AN16" s="1136">
        <f t="shared" si="22"/>
        <v>27</v>
      </c>
      <c r="AO16" s="1135"/>
      <c r="AP16" s="1135"/>
      <c r="AQ16" s="1135"/>
      <c r="AR16" s="1135"/>
      <c r="AS16" s="1135"/>
      <c r="AT16" s="1135"/>
      <c r="AU16" s="1135"/>
      <c r="AV16" s="1135"/>
      <c r="AW16" s="1135"/>
      <c r="AX16" s="1135"/>
      <c r="AY16" s="1135"/>
      <c r="AZ16" s="1135">
        <v>27</v>
      </c>
      <c r="BA16" s="1136">
        <f t="shared" si="23"/>
        <v>27</v>
      </c>
      <c r="BB16" s="1135"/>
      <c r="BC16" s="1135"/>
      <c r="BD16" s="1135"/>
      <c r="BE16" s="1135"/>
      <c r="BF16" s="1135"/>
      <c r="BG16" s="1135"/>
      <c r="BH16" s="1135"/>
      <c r="BI16" s="1135"/>
      <c r="BJ16" s="1135"/>
      <c r="BK16" s="1135"/>
      <c r="BL16" s="1135"/>
      <c r="BM16" s="1135">
        <v>16</v>
      </c>
      <c r="BN16" s="1136">
        <f t="shared" si="24"/>
        <v>16</v>
      </c>
      <c r="BO16" s="1135"/>
      <c r="BP16" s="1135"/>
      <c r="BQ16" s="1135"/>
      <c r="BR16" s="1135"/>
      <c r="BS16" s="1135"/>
      <c r="BT16" s="1135"/>
      <c r="BU16" s="1135"/>
      <c r="BV16" s="1135"/>
      <c r="BW16" s="1135"/>
      <c r="BX16" s="1135"/>
      <c r="BY16" s="1135"/>
      <c r="BZ16" s="1135">
        <v>17</v>
      </c>
      <c r="CA16" s="1136">
        <f t="shared" si="25"/>
        <v>17</v>
      </c>
      <c r="CB16" s="1135"/>
      <c r="CC16" s="1135"/>
      <c r="CD16" s="1135"/>
      <c r="CE16" s="1135"/>
      <c r="CF16" s="1135"/>
      <c r="CG16" s="1135"/>
      <c r="CH16" s="1135"/>
      <c r="CI16" s="1135"/>
      <c r="CJ16" s="1135"/>
      <c r="CK16" s="1135"/>
      <c r="CL16" s="1135"/>
      <c r="CM16" s="1135">
        <v>11</v>
      </c>
      <c r="CN16" s="1136">
        <f t="shared" si="26"/>
        <v>11</v>
      </c>
      <c r="CO16" s="1135"/>
      <c r="CP16" s="1135"/>
      <c r="CQ16" s="1135"/>
      <c r="CR16" s="1135"/>
      <c r="CS16" s="1135"/>
      <c r="CT16" s="1135"/>
      <c r="CU16" s="1135"/>
      <c r="CV16" s="1135"/>
      <c r="CW16" s="1135"/>
      <c r="CX16" s="1135"/>
      <c r="CY16" s="1135"/>
      <c r="CZ16" s="1135"/>
      <c r="DA16" s="1136">
        <f t="shared" si="27"/>
        <v>0</v>
      </c>
      <c r="DB16" s="1135"/>
      <c r="DC16" s="1135"/>
      <c r="DD16" s="1135"/>
      <c r="DE16" s="1135"/>
      <c r="DF16" s="1135"/>
      <c r="DG16" s="1135"/>
      <c r="DH16" s="1135"/>
      <c r="DI16" s="1135"/>
      <c r="DJ16" s="1135"/>
      <c r="DK16" s="1135"/>
      <c r="DL16" s="1135"/>
      <c r="DM16" s="1135">
        <v>4</v>
      </c>
      <c r="DN16" s="1136">
        <f t="shared" si="28"/>
        <v>4</v>
      </c>
      <c r="DO16" s="1135"/>
      <c r="DP16" s="1135"/>
      <c r="DQ16" s="1135"/>
      <c r="DR16" s="1135"/>
      <c r="DS16" s="1135"/>
      <c r="DT16" s="1135"/>
      <c r="DU16" s="1135"/>
      <c r="DV16" s="1135"/>
      <c r="DW16" s="1135"/>
      <c r="DX16" s="1135"/>
      <c r="DY16" s="1135"/>
      <c r="DZ16" s="1135">
        <v>6</v>
      </c>
      <c r="EA16" s="1136">
        <f t="shared" si="29"/>
        <v>6</v>
      </c>
      <c r="EB16" s="1135"/>
      <c r="EC16" s="1135"/>
      <c r="ED16" s="1135"/>
      <c r="EE16" s="1135"/>
      <c r="EF16" s="1135"/>
      <c r="EG16" s="1135"/>
      <c r="EH16" s="1135"/>
      <c r="EI16" s="1135"/>
      <c r="EJ16" s="1135"/>
      <c r="EK16" s="1135"/>
      <c r="EL16" s="1135"/>
      <c r="EM16" s="1135">
        <v>6</v>
      </c>
      <c r="EN16" s="1136">
        <f t="shared" si="30"/>
        <v>6</v>
      </c>
      <c r="EO16" s="1135"/>
      <c r="EP16" s="1135"/>
      <c r="EQ16" s="1135"/>
      <c r="ER16" s="1135"/>
      <c r="ES16" s="1135"/>
      <c r="ET16" s="1135"/>
      <c r="EU16" s="1135"/>
      <c r="EV16" s="1135"/>
      <c r="EW16" s="1135"/>
      <c r="EX16" s="1135"/>
      <c r="EY16" s="1135"/>
      <c r="EZ16" s="1135"/>
      <c r="FA16" s="1136">
        <f t="shared" si="31"/>
        <v>0</v>
      </c>
      <c r="FB16" s="1135"/>
      <c r="FC16" s="1135"/>
      <c r="FD16" s="1135"/>
      <c r="FE16" s="1135"/>
      <c r="FF16" s="1135"/>
      <c r="FG16" s="1135"/>
      <c r="FH16" s="1135"/>
      <c r="FI16" s="1135"/>
      <c r="FJ16" s="1135"/>
      <c r="FK16" s="1135"/>
      <c r="FL16" s="1135"/>
      <c r="FM16" s="1135"/>
      <c r="FN16" s="1136">
        <f t="shared" si="32"/>
        <v>0</v>
      </c>
      <c r="FO16" s="1135"/>
      <c r="FP16" s="1135"/>
      <c r="FQ16" s="1135"/>
      <c r="FR16" s="1135"/>
      <c r="FS16" s="1135"/>
      <c r="FT16" s="1135"/>
      <c r="FU16" s="1135"/>
      <c r="FV16" s="1135"/>
      <c r="FW16" s="1135"/>
      <c r="FX16" s="1135"/>
      <c r="FY16" s="1135"/>
      <c r="FZ16" s="1135"/>
      <c r="GA16" s="1136">
        <f t="shared" si="33"/>
        <v>0</v>
      </c>
      <c r="GB16" s="1135"/>
      <c r="GC16" s="1135"/>
      <c r="GD16" s="1135"/>
      <c r="GE16" s="1135"/>
      <c r="GF16" s="1135"/>
      <c r="GG16" s="1135"/>
      <c r="GH16" s="1135"/>
      <c r="GI16" s="1135"/>
      <c r="GJ16" s="1135"/>
      <c r="GK16" s="1135"/>
      <c r="GL16" s="1135"/>
      <c r="GM16" s="1135"/>
      <c r="GN16" s="1136">
        <f t="shared" si="34"/>
        <v>0</v>
      </c>
      <c r="GO16" s="1135"/>
      <c r="GP16" s="1135"/>
      <c r="GQ16" s="1135"/>
      <c r="GR16" s="1135"/>
      <c r="GS16" s="1135"/>
      <c r="GT16" s="1135"/>
      <c r="GU16" s="1135"/>
      <c r="GV16" s="1135"/>
      <c r="GW16" s="1135"/>
      <c r="GX16" s="1135"/>
      <c r="GY16" s="1135"/>
      <c r="GZ16" s="1135"/>
      <c r="HA16" s="1136">
        <f t="shared" si="35"/>
        <v>0</v>
      </c>
      <c r="HB16" s="1135"/>
      <c r="HC16" s="1135"/>
      <c r="HD16" s="1135"/>
      <c r="HE16" s="1135"/>
      <c r="HF16" s="1135"/>
      <c r="HG16" s="1135"/>
      <c r="HH16" s="1135"/>
      <c r="HI16" s="1135"/>
      <c r="HJ16" s="1135"/>
      <c r="HK16" s="1135"/>
      <c r="HL16" s="1135"/>
      <c r="HM16" s="1135"/>
      <c r="HN16" s="1136">
        <f t="shared" si="36"/>
        <v>0</v>
      </c>
      <c r="HO16" s="1135"/>
      <c r="HP16" s="1135"/>
      <c r="HQ16" s="1135">
        <v>2</v>
      </c>
      <c r="HR16" s="1135">
        <v>0.5</v>
      </c>
      <c r="HS16" s="1135"/>
      <c r="HT16" s="1135"/>
      <c r="HU16" s="1135"/>
      <c r="HV16" s="1135"/>
      <c r="HW16" s="1135"/>
      <c r="HX16" s="1135"/>
      <c r="HY16" s="1135"/>
      <c r="HZ16" s="1135"/>
      <c r="IA16" s="1136">
        <f t="shared" si="37"/>
        <v>2.5</v>
      </c>
      <c r="IB16" s="1135"/>
      <c r="IC16" s="1135"/>
      <c r="ID16" s="1135"/>
      <c r="IE16" s="1135"/>
      <c r="IF16" s="1135"/>
      <c r="IG16" s="1135"/>
      <c r="IH16" s="1135"/>
      <c r="II16" s="1135"/>
      <c r="IJ16" s="1135"/>
      <c r="IK16" s="1135"/>
      <c r="IL16" s="1135"/>
      <c r="IM16" s="1135">
        <v>1</v>
      </c>
      <c r="IN16" s="1136">
        <f t="shared" si="38"/>
        <v>1</v>
      </c>
      <c r="IO16" s="1135"/>
      <c r="IP16" s="1135"/>
      <c r="IQ16" s="1135"/>
      <c r="IR16" s="1135"/>
      <c r="IS16" s="1135"/>
      <c r="IT16" s="1135"/>
      <c r="IU16" s="1135"/>
      <c r="IV16" s="1135"/>
      <c r="IW16" s="1135"/>
      <c r="IX16" s="1135"/>
      <c r="IY16" s="1135"/>
      <c r="IZ16" s="1135"/>
      <c r="JA16" s="1136">
        <f t="shared" si="39"/>
        <v>0</v>
      </c>
      <c r="JB16" s="1135"/>
      <c r="JC16" s="1135"/>
      <c r="JD16" s="1135"/>
      <c r="JE16" s="1135"/>
      <c r="JF16" s="1135"/>
      <c r="JG16" s="1135"/>
      <c r="JH16" s="1135"/>
      <c r="JI16" s="1135"/>
      <c r="JJ16" s="1135"/>
      <c r="JK16" s="1135"/>
      <c r="JL16" s="1135"/>
      <c r="JM16" s="1135"/>
      <c r="JN16" s="1136">
        <f t="shared" si="40"/>
        <v>0</v>
      </c>
      <c r="JO16" s="1135">
        <v>0</v>
      </c>
      <c r="JP16" s="1135"/>
      <c r="JQ16" s="1135"/>
      <c r="JR16" s="1135"/>
      <c r="JS16" s="1135"/>
      <c r="JT16" s="1135"/>
      <c r="JU16" s="1135"/>
      <c r="JV16" s="1135"/>
      <c r="JW16" s="1135"/>
      <c r="JX16" s="1135"/>
      <c r="JY16" s="1135"/>
      <c r="JZ16" s="1135"/>
      <c r="KA16" s="1136">
        <f t="shared" si="41"/>
        <v>0</v>
      </c>
      <c r="KC16" s="1137" t="str">
        <f t="shared" si="42"/>
        <v/>
      </c>
      <c r="KD16" s="1138" t="str">
        <f t="shared" si="43"/>
        <v/>
      </c>
      <c r="KE16" s="1139">
        <f t="shared" si="44"/>
        <v>0</v>
      </c>
      <c r="KF16" s="1140">
        <f t="shared" si="45"/>
        <v>0</v>
      </c>
      <c r="KG16" s="1041"/>
      <c r="KH16" s="1139">
        <f t="shared" si="46"/>
        <v>337</v>
      </c>
      <c r="KI16" s="1146" t="s">
        <v>32</v>
      </c>
      <c r="KJ16" s="1147" t="str">
        <f t="shared" si="47"/>
        <v>OK</v>
      </c>
    </row>
    <row r="17" spans="1:296" ht="15" customHeight="1" x14ac:dyDescent="0.2">
      <c r="A17" s="1143" t="s">
        <v>43</v>
      </c>
      <c r="B17" s="1135"/>
      <c r="C17" s="1135"/>
      <c r="D17" s="1135"/>
      <c r="E17" s="1135"/>
      <c r="F17" s="1135"/>
      <c r="G17" s="1135"/>
      <c r="H17" s="1135"/>
      <c r="I17" s="1135"/>
      <c r="J17" s="1135"/>
      <c r="K17" s="1135"/>
      <c r="L17" s="1135"/>
      <c r="M17" s="1135">
        <v>68</v>
      </c>
      <c r="N17" s="1136">
        <f t="shared" si="20"/>
        <v>68</v>
      </c>
      <c r="O17" s="1135"/>
      <c r="P17" s="1135"/>
      <c r="Q17" s="1135"/>
      <c r="R17" s="1135"/>
      <c r="S17" s="1135"/>
      <c r="T17" s="1135"/>
      <c r="U17" s="1135"/>
      <c r="V17" s="1135"/>
      <c r="W17" s="1135"/>
      <c r="X17" s="1135"/>
      <c r="Y17" s="1135"/>
      <c r="Z17" s="1135">
        <v>71</v>
      </c>
      <c r="AA17" s="1136">
        <f t="shared" si="21"/>
        <v>71</v>
      </c>
      <c r="AB17" s="1135"/>
      <c r="AC17" s="1135"/>
      <c r="AD17" s="1135"/>
      <c r="AE17" s="1135"/>
      <c r="AF17" s="1135"/>
      <c r="AG17" s="1135"/>
      <c r="AH17" s="1135"/>
      <c r="AI17" s="1135"/>
      <c r="AJ17" s="1135"/>
      <c r="AK17" s="1135"/>
      <c r="AL17" s="1135"/>
      <c r="AM17" s="1135">
        <v>72</v>
      </c>
      <c r="AN17" s="1136">
        <f t="shared" si="22"/>
        <v>72</v>
      </c>
      <c r="AO17" s="1135"/>
      <c r="AP17" s="1135"/>
      <c r="AQ17" s="1135"/>
      <c r="AR17" s="1135"/>
      <c r="AS17" s="1135"/>
      <c r="AT17" s="1135"/>
      <c r="AU17" s="1135"/>
      <c r="AV17" s="1135"/>
      <c r="AW17" s="1135"/>
      <c r="AX17" s="1135"/>
      <c r="AY17" s="1135"/>
      <c r="AZ17" s="1135">
        <v>61</v>
      </c>
      <c r="BA17" s="1136">
        <f t="shared" si="23"/>
        <v>61</v>
      </c>
      <c r="BB17" s="1135"/>
      <c r="BC17" s="1135"/>
      <c r="BD17" s="1135"/>
      <c r="BE17" s="1135"/>
      <c r="BF17" s="1135"/>
      <c r="BG17" s="1135"/>
      <c r="BH17" s="1135"/>
      <c r="BI17" s="1135"/>
      <c r="BJ17" s="1135"/>
      <c r="BK17" s="1135"/>
      <c r="BL17" s="1135"/>
      <c r="BM17" s="1135">
        <v>59</v>
      </c>
      <c r="BN17" s="1136">
        <f t="shared" si="24"/>
        <v>59</v>
      </c>
      <c r="BO17" s="1135"/>
      <c r="BP17" s="1135"/>
      <c r="BQ17" s="1135"/>
      <c r="BR17" s="1135"/>
      <c r="BS17" s="1135"/>
      <c r="BT17" s="1135"/>
      <c r="BU17" s="1135"/>
      <c r="BV17" s="1135"/>
      <c r="BW17" s="1135"/>
      <c r="BX17" s="1135"/>
      <c r="BY17" s="1135"/>
      <c r="BZ17" s="1135">
        <v>61</v>
      </c>
      <c r="CA17" s="1136">
        <f t="shared" si="25"/>
        <v>61</v>
      </c>
      <c r="CB17" s="1135"/>
      <c r="CC17" s="1135"/>
      <c r="CD17" s="1135"/>
      <c r="CE17" s="1135"/>
      <c r="CF17" s="1135"/>
      <c r="CG17" s="1135"/>
      <c r="CH17" s="1135"/>
      <c r="CI17" s="1135"/>
      <c r="CJ17" s="1135"/>
      <c r="CK17" s="1135"/>
      <c r="CL17" s="1135"/>
      <c r="CM17" s="1135">
        <v>55</v>
      </c>
      <c r="CN17" s="1136">
        <f t="shared" si="26"/>
        <v>55</v>
      </c>
      <c r="CO17" s="1135"/>
      <c r="CP17" s="1135"/>
      <c r="CQ17" s="1135"/>
      <c r="CR17" s="1135"/>
      <c r="CS17" s="1135"/>
      <c r="CT17" s="1135"/>
      <c r="CU17" s="1135"/>
      <c r="CV17" s="1135"/>
      <c r="CW17" s="1135"/>
      <c r="CX17" s="1135"/>
      <c r="CY17" s="1135"/>
      <c r="CZ17" s="1135">
        <v>15</v>
      </c>
      <c r="DA17" s="1136">
        <f t="shared" si="27"/>
        <v>15</v>
      </c>
      <c r="DB17" s="1135"/>
      <c r="DC17" s="1135"/>
      <c r="DD17" s="1135"/>
      <c r="DE17" s="1135"/>
      <c r="DF17" s="1135"/>
      <c r="DG17" s="1135"/>
      <c r="DH17" s="1135"/>
      <c r="DI17" s="1135"/>
      <c r="DJ17" s="1135"/>
      <c r="DK17" s="1135"/>
      <c r="DL17" s="1135"/>
      <c r="DM17" s="1135">
        <v>33</v>
      </c>
      <c r="DN17" s="1136">
        <f t="shared" si="28"/>
        <v>33</v>
      </c>
      <c r="DO17" s="1135"/>
      <c r="DP17" s="1135"/>
      <c r="DQ17" s="1135"/>
      <c r="DR17" s="1135"/>
      <c r="DS17" s="1135"/>
      <c r="DT17" s="1135"/>
      <c r="DU17" s="1135"/>
      <c r="DV17" s="1135"/>
      <c r="DW17" s="1135"/>
      <c r="DX17" s="1135"/>
      <c r="DY17" s="1135"/>
      <c r="DZ17" s="1135">
        <v>45</v>
      </c>
      <c r="EA17" s="1136">
        <f t="shared" si="29"/>
        <v>45</v>
      </c>
      <c r="EB17" s="1135"/>
      <c r="EC17" s="1135"/>
      <c r="ED17" s="1135"/>
      <c r="EE17" s="1135"/>
      <c r="EF17" s="1135"/>
      <c r="EG17" s="1135"/>
      <c r="EH17" s="1135"/>
      <c r="EI17" s="1135"/>
      <c r="EJ17" s="1135"/>
      <c r="EK17" s="1135"/>
      <c r="EL17" s="1135"/>
      <c r="EM17" s="1135">
        <v>45</v>
      </c>
      <c r="EN17" s="1136">
        <f t="shared" si="30"/>
        <v>45</v>
      </c>
      <c r="EO17" s="1135"/>
      <c r="EP17" s="1135"/>
      <c r="EQ17" s="1135"/>
      <c r="ER17" s="1135"/>
      <c r="ES17" s="1135"/>
      <c r="ET17" s="1135"/>
      <c r="EU17" s="1135"/>
      <c r="EV17" s="1135"/>
      <c r="EW17" s="1135"/>
      <c r="EX17" s="1135"/>
      <c r="EY17" s="1135"/>
      <c r="EZ17" s="1135">
        <v>5</v>
      </c>
      <c r="FA17" s="1136">
        <f t="shared" si="31"/>
        <v>5</v>
      </c>
      <c r="FB17" s="1135"/>
      <c r="FC17" s="1135"/>
      <c r="FD17" s="1135"/>
      <c r="FE17" s="1135"/>
      <c r="FF17" s="1135"/>
      <c r="FG17" s="1135"/>
      <c r="FH17" s="1135"/>
      <c r="FI17" s="1135"/>
      <c r="FJ17" s="1135"/>
      <c r="FK17" s="1135"/>
      <c r="FL17" s="1135"/>
      <c r="FM17" s="1135"/>
      <c r="FN17" s="1136">
        <f t="shared" si="32"/>
        <v>0</v>
      </c>
      <c r="FO17" s="1135"/>
      <c r="FP17" s="1135"/>
      <c r="FQ17" s="1135"/>
      <c r="FR17" s="1135"/>
      <c r="FS17" s="1135"/>
      <c r="FT17" s="1135"/>
      <c r="FU17" s="1135"/>
      <c r="FV17" s="1135"/>
      <c r="FW17" s="1135"/>
      <c r="FX17" s="1135"/>
      <c r="FY17" s="1135"/>
      <c r="FZ17" s="1135"/>
      <c r="GA17" s="1136">
        <f t="shared" si="33"/>
        <v>0</v>
      </c>
      <c r="GB17" s="1135"/>
      <c r="GC17" s="1135"/>
      <c r="GD17" s="1135"/>
      <c r="GE17" s="1135"/>
      <c r="GF17" s="1135"/>
      <c r="GG17" s="1135"/>
      <c r="GH17" s="1135"/>
      <c r="GI17" s="1135"/>
      <c r="GJ17" s="1135"/>
      <c r="GK17" s="1135"/>
      <c r="GL17" s="1135"/>
      <c r="GM17" s="1135"/>
      <c r="GN17" s="1136">
        <f t="shared" si="34"/>
        <v>0</v>
      </c>
      <c r="GO17" s="1135"/>
      <c r="GP17" s="1135"/>
      <c r="GQ17" s="1135"/>
      <c r="GR17" s="1135"/>
      <c r="GS17" s="1135"/>
      <c r="GT17" s="1135"/>
      <c r="GU17" s="1135"/>
      <c r="GV17" s="1135"/>
      <c r="GW17" s="1135"/>
      <c r="GX17" s="1135"/>
      <c r="GY17" s="1135"/>
      <c r="GZ17" s="1135">
        <v>3</v>
      </c>
      <c r="HA17" s="1136">
        <f t="shared" si="35"/>
        <v>3</v>
      </c>
      <c r="HB17" s="1135"/>
      <c r="HC17" s="1135"/>
      <c r="HD17" s="1135"/>
      <c r="HE17" s="1135"/>
      <c r="HF17" s="1135"/>
      <c r="HG17" s="1135"/>
      <c r="HH17" s="1135"/>
      <c r="HI17" s="1135"/>
      <c r="HJ17" s="1135"/>
      <c r="HK17" s="1135"/>
      <c r="HL17" s="1135"/>
      <c r="HM17" s="1135"/>
      <c r="HN17" s="1136">
        <f t="shared" si="36"/>
        <v>0</v>
      </c>
      <c r="HO17" s="1135"/>
      <c r="HP17" s="1135"/>
      <c r="HQ17" s="1135"/>
      <c r="HR17" s="1135"/>
      <c r="HS17" s="1135"/>
      <c r="HT17" s="1135"/>
      <c r="HU17" s="1135"/>
      <c r="HV17" s="1135"/>
      <c r="HW17" s="1135"/>
      <c r="HX17" s="1135"/>
      <c r="HY17" s="1135"/>
      <c r="HZ17" s="1135"/>
      <c r="IA17" s="1136">
        <f t="shared" si="37"/>
        <v>0</v>
      </c>
      <c r="IB17" s="1135"/>
      <c r="IC17" s="1135"/>
      <c r="ID17" s="1135"/>
      <c r="IE17" s="1135"/>
      <c r="IF17" s="1135"/>
      <c r="IG17" s="1135"/>
      <c r="IH17" s="1135"/>
      <c r="II17" s="1135"/>
      <c r="IJ17" s="1135"/>
      <c r="IK17" s="1135"/>
      <c r="IL17" s="1135"/>
      <c r="IM17" s="1135"/>
      <c r="IN17" s="1136">
        <f t="shared" si="38"/>
        <v>0</v>
      </c>
      <c r="IO17" s="1135"/>
      <c r="IP17" s="1135"/>
      <c r="IQ17" s="1135"/>
      <c r="IR17" s="1135"/>
      <c r="IS17" s="1135"/>
      <c r="IT17" s="1135"/>
      <c r="IU17" s="1135"/>
      <c r="IV17" s="1135"/>
      <c r="IW17" s="1135"/>
      <c r="IX17" s="1135"/>
      <c r="IY17" s="1135"/>
      <c r="IZ17" s="1135"/>
      <c r="JA17" s="1136">
        <f t="shared" si="39"/>
        <v>0</v>
      </c>
      <c r="JB17" s="1135"/>
      <c r="JC17" s="1135"/>
      <c r="JD17" s="1135"/>
      <c r="JE17" s="1135"/>
      <c r="JF17" s="1135"/>
      <c r="JG17" s="1135"/>
      <c r="JH17" s="1135"/>
      <c r="JI17" s="1135"/>
      <c r="JJ17" s="1135"/>
      <c r="JK17" s="1135"/>
      <c r="JL17" s="1135"/>
      <c r="JM17" s="1135"/>
      <c r="JN17" s="1136">
        <f t="shared" si="40"/>
        <v>0</v>
      </c>
      <c r="JO17" s="1135"/>
      <c r="JP17" s="1135"/>
      <c r="JQ17" s="1135"/>
      <c r="JR17" s="1135"/>
      <c r="JS17" s="1135"/>
      <c r="JT17" s="1135"/>
      <c r="JU17" s="1135"/>
      <c r="JV17" s="1135"/>
      <c r="JW17" s="1135"/>
      <c r="JX17" s="1135"/>
      <c r="JY17" s="1135"/>
      <c r="JZ17" s="1135"/>
      <c r="KA17" s="1136">
        <f t="shared" si="41"/>
        <v>0</v>
      </c>
      <c r="KC17" s="1137" t="str">
        <f t="shared" si="42"/>
        <v/>
      </c>
      <c r="KD17" s="1138" t="str">
        <f t="shared" si="43"/>
        <v/>
      </c>
      <c r="KE17" s="1139">
        <f t="shared" si="44"/>
        <v>0</v>
      </c>
      <c r="KF17" s="1140">
        <f t="shared" si="45"/>
        <v>0</v>
      </c>
      <c r="KG17" s="1041"/>
      <c r="KH17" s="1139">
        <f t="shared" si="46"/>
        <v>1186</v>
      </c>
      <c r="KI17" s="1146" t="s">
        <v>43</v>
      </c>
      <c r="KJ17" s="1147" t="str">
        <f t="shared" si="47"/>
        <v>OK</v>
      </c>
    </row>
    <row r="18" spans="1:296" ht="15" customHeight="1" x14ac:dyDescent="0.2">
      <c r="A18" s="1143" t="s">
        <v>41</v>
      </c>
      <c r="B18" s="1135"/>
      <c r="C18" s="1135"/>
      <c r="D18" s="1135"/>
      <c r="E18" s="1135"/>
      <c r="F18" s="1135"/>
      <c r="G18" s="1135"/>
      <c r="H18" s="1135"/>
      <c r="I18" s="1135"/>
      <c r="J18" s="1135"/>
      <c r="K18" s="1135"/>
      <c r="L18" s="1135"/>
      <c r="M18" s="1135">
        <v>147</v>
      </c>
      <c r="N18" s="1136">
        <f t="shared" si="20"/>
        <v>147</v>
      </c>
      <c r="O18" s="1135"/>
      <c r="P18" s="1135"/>
      <c r="Q18" s="1135"/>
      <c r="R18" s="1135"/>
      <c r="S18" s="1135"/>
      <c r="T18" s="1135"/>
      <c r="U18" s="1135"/>
      <c r="V18" s="1135"/>
      <c r="W18" s="1135"/>
      <c r="X18" s="1135"/>
      <c r="Y18" s="1135"/>
      <c r="Z18" s="1135">
        <v>150.5</v>
      </c>
      <c r="AA18" s="1136">
        <f t="shared" si="21"/>
        <v>150.5</v>
      </c>
      <c r="AB18" s="1135"/>
      <c r="AC18" s="1135"/>
      <c r="AD18" s="1135"/>
      <c r="AE18" s="1135"/>
      <c r="AF18" s="1135"/>
      <c r="AG18" s="1135"/>
      <c r="AH18" s="1135"/>
      <c r="AI18" s="1135"/>
      <c r="AJ18" s="1135"/>
      <c r="AK18" s="1135"/>
      <c r="AL18" s="1135"/>
      <c r="AM18" s="1135">
        <v>153</v>
      </c>
      <c r="AN18" s="1136">
        <f t="shared" si="22"/>
        <v>153</v>
      </c>
      <c r="AO18" s="1135"/>
      <c r="AP18" s="1135"/>
      <c r="AQ18" s="1135"/>
      <c r="AR18" s="1135"/>
      <c r="AS18" s="1135"/>
      <c r="AT18" s="1135"/>
      <c r="AU18" s="1135"/>
      <c r="AV18" s="1135"/>
      <c r="AW18" s="1135"/>
      <c r="AX18" s="1135"/>
      <c r="AY18" s="1135"/>
      <c r="AZ18" s="1135">
        <v>162</v>
      </c>
      <c r="BA18" s="1136">
        <f t="shared" si="23"/>
        <v>162</v>
      </c>
      <c r="BB18" s="1135"/>
      <c r="BC18" s="1135"/>
      <c r="BD18" s="1135"/>
      <c r="BE18" s="1135"/>
      <c r="BF18" s="1135"/>
      <c r="BG18" s="1135"/>
      <c r="BH18" s="1135"/>
      <c r="BI18" s="1135"/>
      <c r="BJ18" s="1135"/>
      <c r="BK18" s="1135"/>
      <c r="BL18" s="1135"/>
      <c r="BM18" s="1135">
        <v>123</v>
      </c>
      <c r="BN18" s="1136">
        <f t="shared" si="24"/>
        <v>123</v>
      </c>
      <c r="BO18" s="1135"/>
      <c r="BP18" s="1135"/>
      <c r="BQ18" s="1135"/>
      <c r="BR18" s="1135"/>
      <c r="BS18" s="1135"/>
      <c r="BT18" s="1135"/>
      <c r="BU18" s="1135"/>
      <c r="BV18" s="1135"/>
      <c r="BW18" s="1135"/>
      <c r="BX18" s="1135"/>
      <c r="BY18" s="1135"/>
      <c r="BZ18" s="1135">
        <v>210</v>
      </c>
      <c r="CA18" s="1136">
        <f t="shared" si="25"/>
        <v>210</v>
      </c>
      <c r="CB18" s="1135"/>
      <c r="CC18" s="1135"/>
      <c r="CD18" s="1135"/>
      <c r="CE18" s="1135"/>
      <c r="CF18" s="1135"/>
      <c r="CG18" s="1135"/>
      <c r="CH18" s="1135"/>
      <c r="CI18" s="1135"/>
      <c r="CJ18" s="1135"/>
      <c r="CK18" s="1135"/>
      <c r="CL18" s="1135"/>
      <c r="CM18" s="1135">
        <v>166</v>
      </c>
      <c r="CN18" s="1136">
        <f t="shared" si="26"/>
        <v>166</v>
      </c>
      <c r="CO18" s="1135"/>
      <c r="CP18" s="1135"/>
      <c r="CQ18" s="1135"/>
      <c r="CR18" s="1135"/>
      <c r="CS18" s="1135"/>
      <c r="CT18" s="1135"/>
      <c r="CU18" s="1135"/>
      <c r="CV18" s="1135"/>
      <c r="CW18" s="1135"/>
      <c r="CX18" s="1135"/>
      <c r="CY18" s="1135"/>
      <c r="CZ18" s="1135">
        <v>8</v>
      </c>
      <c r="DA18" s="1136">
        <f t="shared" si="27"/>
        <v>8</v>
      </c>
      <c r="DB18" s="1135"/>
      <c r="DC18" s="1135"/>
      <c r="DD18" s="1135"/>
      <c r="DE18" s="1135"/>
      <c r="DF18" s="1135"/>
      <c r="DG18" s="1135"/>
      <c r="DH18" s="1135"/>
      <c r="DI18" s="1135"/>
      <c r="DJ18" s="1135"/>
      <c r="DK18" s="1135"/>
      <c r="DL18" s="1135"/>
      <c r="DM18" s="1135">
        <v>6</v>
      </c>
      <c r="DN18" s="1136">
        <f t="shared" si="28"/>
        <v>6</v>
      </c>
      <c r="DO18" s="1135"/>
      <c r="DP18" s="1135"/>
      <c r="DQ18" s="1135"/>
      <c r="DR18" s="1135"/>
      <c r="DS18" s="1135"/>
      <c r="DT18" s="1135"/>
      <c r="DU18" s="1135"/>
      <c r="DV18" s="1135"/>
      <c r="DW18" s="1135"/>
      <c r="DX18" s="1135"/>
      <c r="DY18" s="1135"/>
      <c r="DZ18" s="1135">
        <v>210</v>
      </c>
      <c r="EA18" s="1136">
        <f t="shared" si="29"/>
        <v>210</v>
      </c>
      <c r="EB18" s="1135"/>
      <c r="EC18" s="1135"/>
      <c r="ED18" s="1135"/>
      <c r="EE18" s="1135"/>
      <c r="EF18" s="1135"/>
      <c r="EG18" s="1135"/>
      <c r="EH18" s="1135"/>
      <c r="EI18" s="1135"/>
      <c r="EJ18" s="1135"/>
      <c r="EK18" s="1135"/>
      <c r="EL18" s="1135"/>
      <c r="EM18" s="1135">
        <v>210</v>
      </c>
      <c r="EN18" s="1136">
        <f t="shared" si="30"/>
        <v>210</v>
      </c>
      <c r="EO18" s="1135"/>
      <c r="EP18" s="1135"/>
      <c r="EQ18" s="1135"/>
      <c r="ER18" s="1135"/>
      <c r="ES18" s="1135"/>
      <c r="ET18" s="1135"/>
      <c r="EU18" s="1135"/>
      <c r="EV18" s="1135"/>
      <c r="EW18" s="1135"/>
      <c r="EX18" s="1135"/>
      <c r="EY18" s="1135"/>
      <c r="EZ18" s="1135">
        <v>153</v>
      </c>
      <c r="FA18" s="1136">
        <f t="shared" si="31"/>
        <v>153</v>
      </c>
      <c r="FB18" s="1135"/>
      <c r="FC18" s="1135"/>
      <c r="FD18" s="1135"/>
      <c r="FE18" s="1135"/>
      <c r="FF18" s="1135"/>
      <c r="FG18" s="1135"/>
      <c r="FH18" s="1135"/>
      <c r="FI18" s="1135"/>
      <c r="FJ18" s="1135"/>
      <c r="FK18" s="1135"/>
      <c r="FL18" s="1135"/>
      <c r="FM18" s="1135">
        <v>168</v>
      </c>
      <c r="FN18" s="1136">
        <f t="shared" si="32"/>
        <v>168</v>
      </c>
      <c r="FO18" s="1135"/>
      <c r="FP18" s="1135"/>
      <c r="FQ18" s="1135"/>
      <c r="FR18" s="1135"/>
      <c r="FS18" s="1135"/>
      <c r="FT18" s="1135"/>
      <c r="FU18" s="1135"/>
      <c r="FV18" s="1135"/>
      <c r="FW18" s="1135"/>
      <c r="FX18" s="1135"/>
      <c r="FY18" s="1135"/>
      <c r="FZ18" s="1135">
        <v>165</v>
      </c>
      <c r="GA18" s="1136">
        <f t="shared" si="33"/>
        <v>165</v>
      </c>
      <c r="GB18" s="1135"/>
      <c r="GC18" s="1135"/>
      <c r="GD18" s="1135"/>
      <c r="GE18" s="1135"/>
      <c r="GF18" s="1135"/>
      <c r="GG18" s="1135"/>
      <c r="GH18" s="1135"/>
      <c r="GI18" s="1135"/>
      <c r="GJ18" s="1135"/>
      <c r="GK18" s="1135"/>
      <c r="GL18" s="1135"/>
      <c r="GM18" s="1135">
        <v>227</v>
      </c>
      <c r="GN18" s="1136">
        <f t="shared" si="34"/>
        <v>227</v>
      </c>
      <c r="GO18" s="1135"/>
      <c r="GP18" s="1135"/>
      <c r="GQ18" s="1135"/>
      <c r="GR18" s="1135"/>
      <c r="GS18" s="1135"/>
      <c r="GT18" s="1135"/>
      <c r="GU18" s="1135"/>
      <c r="GV18" s="1135"/>
      <c r="GW18" s="1135"/>
      <c r="GX18" s="1135"/>
      <c r="GY18" s="1135"/>
      <c r="GZ18" s="1135">
        <v>129</v>
      </c>
      <c r="HA18" s="1136">
        <f t="shared" si="35"/>
        <v>129</v>
      </c>
      <c r="HB18" s="1135"/>
      <c r="HC18" s="1135"/>
      <c r="HD18" s="1135"/>
      <c r="HE18" s="1135"/>
      <c r="HF18" s="1135"/>
      <c r="HG18" s="1135"/>
      <c r="HH18" s="1135"/>
      <c r="HI18" s="1135"/>
      <c r="HJ18" s="1135"/>
      <c r="HK18" s="1135"/>
      <c r="HL18" s="1135"/>
      <c r="HM18" s="1135"/>
      <c r="HN18" s="1136">
        <f t="shared" si="36"/>
        <v>0</v>
      </c>
      <c r="HO18" s="1135"/>
      <c r="HP18" s="1135"/>
      <c r="HQ18" s="1135">
        <v>4</v>
      </c>
      <c r="HR18" s="1135"/>
      <c r="HS18" s="1135">
        <v>5</v>
      </c>
      <c r="HT18" s="1135"/>
      <c r="HU18" s="1135"/>
      <c r="HV18" s="1135"/>
      <c r="HW18" s="1135"/>
      <c r="HX18" s="1135"/>
      <c r="HY18" s="1135"/>
      <c r="HZ18" s="1135"/>
      <c r="IA18" s="1136">
        <f t="shared" si="37"/>
        <v>9</v>
      </c>
      <c r="IB18" s="1135"/>
      <c r="IC18" s="1135"/>
      <c r="ID18" s="1135"/>
      <c r="IE18" s="1135"/>
      <c r="IF18" s="1135"/>
      <c r="IG18" s="1135"/>
      <c r="IH18" s="1135"/>
      <c r="II18" s="1135"/>
      <c r="IJ18" s="1135"/>
      <c r="IK18" s="1135"/>
      <c r="IL18" s="1135"/>
      <c r="IM18" s="1135">
        <v>87</v>
      </c>
      <c r="IN18" s="1136">
        <f t="shared" si="38"/>
        <v>87</v>
      </c>
      <c r="IO18" s="1135"/>
      <c r="IP18" s="1135"/>
      <c r="IQ18" s="1135"/>
      <c r="IR18" s="1135"/>
      <c r="IS18" s="1135"/>
      <c r="IT18" s="1135"/>
      <c r="IU18" s="1135"/>
      <c r="IV18" s="1135"/>
      <c r="IW18" s="1135"/>
      <c r="IX18" s="1135"/>
      <c r="IY18" s="1135"/>
      <c r="IZ18" s="1135">
        <v>35</v>
      </c>
      <c r="JA18" s="1136">
        <f t="shared" si="39"/>
        <v>35</v>
      </c>
      <c r="JB18" s="1135"/>
      <c r="JC18" s="1135"/>
      <c r="JD18" s="1135"/>
      <c r="JE18" s="1135"/>
      <c r="JF18" s="1135"/>
      <c r="JG18" s="1135"/>
      <c r="JH18" s="1135"/>
      <c r="JI18" s="1135"/>
      <c r="JJ18" s="1135"/>
      <c r="JK18" s="1135"/>
      <c r="JL18" s="1135"/>
      <c r="JM18" s="1135">
        <v>99</v>
      </c>
      <c r="JN18" s="1136">
        <f t="shared" si="40"/>
        <v>99</v>
      </c>
      <c r="JO18" s="1135">
        <v>0</v>
      </c>
      <c r="JP18" s="1135"/>
      <c r="JQ18" s="1135"/>
      <c r="JR18" s="1135"/>
      <c r="JS18" s="1135"/>
      <c r="JT18" s="1135"/>
      <c r="JU18" s="1135"/>
      <c r="JV18" s="1135"/>
      <c r="JW18" s="1135"/>
      <c r="JX18" s="1135"/>
      <c r="JY18" s="1135"/>
      <c r="JZ18" s="1135"/>
      <c r="KA18" s="1136">
        <f t="shared" si="41"/>
        <v>0</v>
      </c>
      <c r="KC18" s="1137">
        <f t="shared" si="42"/>
        <v>182.85714285714286</v>
      </c>
      <c r="KD18" s="1138">
        <f t="shared" si="43"/>
        <v>182.85714285714286</v>
      </c>
      <c r="KE18" s="1139">
        <f t="shared" si="44"/>
        <v>35</v>
      </c>
      <c r="KF18" s="1140">
        <f t="shared" si="45"/>
        <v>99</v>
      </c>
      <c r="KG18" s="1041"/>
      <c r="KH18" s="1139">
        <f t="shared" si="46"/>
        <v>5235</v>
      </c>
      <c r="KI18" s="1146" t="s">
        <v>41</v>
      </c>
      <c r="KJ18" s="1147" t="str">
        <f t="shared" si="47"/>
        <v>OK</v>
      </c>
    </row>
    <row r="19" spans="1:296" ht="15" customHeight="1" x14ac:dyDescent="0.2">
      <c r="A19" s="1143" t="s">
        <v>575</v>
      </c>
      <c r="B19" s="1135">
        <v>4</v>
      </c>
      <c r="C19" s="1135">
        <v>2</v>
      </c>
      <c r="D19" s="1135">
        <v>4</v>
      </c>
      <c r="E19" s="1135">
        <v>5</v>
      </c>
      <c r="F19" s="1135">
        <v>14</v>
      </c>
      <c r="G19" s="1135">
        <v>3</v>
      </c>
      <c r="H19" s="1135">
        <v>4</v>
      </c>
      <c r="I19" s="1135">
        <v>4</v>
      </c>
      <c r="J19" s="1135">
        <v>5</v>
      </c>
      <c r="K19" s="1135">
        <v>4</v>
      </c>
      <c r="L19" s="1135">
        <v>1</v>
      </c>
      <c r="M19" s="1135">
        <v>3</v>
      </c>
      <c r="N19" s="1136">
        <f t="shared" si="20"/>
        <v>53</v>
      </c>
      <c r="O19" s="1135">
        <v>6</v>
      </c>
      <c r="P19" s="1135">
        <v>4</v>
      </c>
      <c r="Q19" s="1135">
        <v>3</v>
      </c>
      <c r="R19" s="1135">
        <v>3</v>
      </c>
      <c r="S19" s="1135">
        <v>13</v>
      </c>
      <c r="T19" s="1135">
        <v>6</v>
      </c>
      <c r="U19" s="1135">
        <v>9</v>
      </c>
      <c r="V19" s="1135">
        <v>5</v>
      </c>
      <c r="W19" s="1135">
        <v>5</v>
      </c>
      <c r="X19" s="1135">
        <v>2</v>
      </c>
      <c r="Y19" s="1135">
        <v>5</v>
      </c>
      <c r="Z19" s="1135">
        <v>6</v>
      </c>
      <c r="AA19" s="1136">
        <f t="shared" si="21"/>
        <v>67</v>
      </c>
      <c r="AB19" s="1135">
        <v>3</v>
      </c>
      <c r="AC19" s="1135">
        <v>1</v>
      </c>
      <c r="AD19" s="1135">
        <v>4</v>
      </c>
      <c r="AE19" s="1135">
        <v>10</v>
      </c>
      <c r="AF19" s="1135">
        <v>3</v>
      </c>
      <c r="AG19" s="1135">
        <v>5</v>
      </c>
      <c r="AH19" s="1135">
        <v>9</v>
      </c>
      <c r="AI19" s="1135">
        <v>5</v>
      </c>
      <c r="AJ19" s="1135">
        <v>7</v>
      </c>
      <c r="AK19" s="1135">
        <v>5</v>
      </c>
      <c r="AL19" s="1135">
        <v>3</v>
      </c>
      <c r="AM19" s="1135">
        <v>7</v>
      </c>
      <c r="AN19" s="1136">
        <f t="shared" si="22"/>
        <v>62</v>
      </c>
      <c r="AO19" s="1135">
        <v>6</v>
      </c>
      <c r="AP19" s="1135">
        <v>5</v>
      </c>
      <c r="AQ19" s="1135">
        <v>9</v>
      </c>
      <c r="AR19" s="1135">
        <v>10</v>
      </c>
      <c r="AS19" s="1135">
        <v>8</v>
      </c>
      <c r="AT19" s="1135">
        <v>3</v>
      </c>
      <c r="AU19" s="1135">
        <v>9</v>
      </c>
      <c r="AV19" s="1135">
        <v>10</v>
      </c>
      <c r="AW19" s="1135">
        <v>11</v>
      </c>
      <c r="AX19" s="1135">
        <v>5</v>
      </c>
      <c r="AY19" s="1135">
        <v>6</v>
      </c>
      <c r="AZ19" s="1135">
        <v>7</v>
      </c>
      <c r="BA19" s="1136">
        <f t="shared" si="23"/>
        <v>89</v>
      </c>
      <c r="BB19" s="1135">
        <v>8</v>
      </c>
      <c r="BC19" s="1135">
        <v>9</v>
      </c>
      <c r="BD19" s="1135">
        <v>7</v>
      </c>
      <c r="BE19" s="1135">
        <v>9</v>
      </c>
      <c r="BF19" s="1135">
        <v>10</v>
      </c>
      <c r="BG19" s="1135">
        <v>8</v>
      </c>
      <c r="BH19" s="1135">
        <v>13</v>
      </c>
      <c r="BI19" s="1135">
        <v>7</v>
      </c>
      <c r="BJ19" s="1135">
        <v>9</v>
      </c>
      <c r="BK19" s="1135">
        <v>6</v>
      </c>
      <c r="BL19" s="1135">
        <v>8</v>
      </c>
      <c r="BM19" s="1135">
        <v>11</v>
      </c>
      <c r="BN19" s="1136">
        <f t="shared" si="24"/>
        <v>105</v>
      </c>
      <c r="BO19" s="1135">
        <v>7</v>
      </c>
      <c r="BP19" s="1135">
        <v>2</v>
      </c>
      <c r="BQ19" s="1135">
        <v>3</v>
      </c>
      <c r="BR19" s="1135">
        <v>4</v>
      </c>
      <c r="BS19" s="1135">
        <v>6</v>
      </c>
      <c r="BT19" s="1135">
        <v>4</v>
      </c>
      <c r="BU19" s="1135">
        <v>3</v>
      </c>
      <c r="BV19" s="1135">
        <v>4</v>
      </c>
      <c r="BW19" s="1135">
        <v>3</v>
      </c>
      <c r="BX19" s="1135">
        <v>4</v>
      </c>
      <c r="BY19" s="1135">
        <v>2</v>
      </c>
      <c r="BZ19" s="1135">
        <v>2</v>
      </c>
      <c r="CA19" s="1136">
        <f t="shared" si="25"/>
        <v>44</v>
      </c>
      <c r="CB19" s="1135">
        <v>3</v>
      </c>
      <c r="CC19" s="1135">
        <v>3</v>
      </c>
      <c r="CD19" s="1135">
        <v>4</v>
      </c>
      <c r="CE19" s="1135">
        <v>3</v>
      </c>
      <c r="CF19" s="1135">
        <v>4</v>
      </c>
      <c r="CG19" s="1135">
        <v>4</v>
      </c>
      <c r="CH19" s="1135">
        <v>3</v>
      </c>
      <c r="CI19" s="1135">
        <v>2</v>
      </c>
      <c r="CJ19" s="1135">
        <v>2</v>
      </c>
      <c r="CK19" s="1135">
        <v>1</v>
      </c>
      <c r="CL19" s="1135">
        <v>2</v>
      </c>
      <c r="CM19" s="1135">
        <v>2</v>
      </c>
      <c r="CN19" s="1136">
        <f t="shared" si="26"/>
        <v>33</v>
      </c>
      <c r="CO19" s="1135">
        <v>4</v>
      </c>
      <c r="CP19" s="1135">
        <v>3</v>
      </c>
      <c r="CQ19" s="1135">
        <v>4</v>
      </c>
      <c r="CR19" s="1135">
        <v>2</v>
      </c>
      <c r="CS19" s="1135">
        <v>1</v>
      </c>
      <c r="CT19" s="1135">
        <v>2</v>
      </c>
      <c r="CU19" s="1135">
        <v>3</v>
      </c>
      <c r="CV19" s="1135">
        <v>3</v>
      </c>
      <c r="CW19" s="1135">
        <v>1</v>
      </c>
      <c r="CX19" s="1135">
        <v>1</v>
      </c>
      <c r="CY19" s="1135">
        <v>2</v>
      </c>
      <c r="CZ19" s="1135">
        <v>5</v>
      </c>
      <c r="DA19" s="1136">
        <f t="shared" si="27"/>
        <v>31</v>
      </c>
      <c r="DB19" s="1135">
        <v>2</v>
      </c>
      <c r="DC19" s="1135">
        <v>1</v>
      </c>
      <c r="DD19" s="1135"/>
      <c r="DE19" s="1135">
        <v>1</v>
      </c>
      <c r="DF19" s="1135">
        <v>1</v>
      </c>
      <c r="DG19" s="1135">
        <v>1</v>
      </c>
      <c r="DH19" s="1135">
        <v>1</v>
      </c>
      <c r="DI19" s="1135">
        <v>1</v>
      </c>
      <c r="DJ19" s="1135">
        <v>2</v>
      </c>
      <c r="DK19" s="1135">
        <v>3</v>
      </c>
      <c r="DL19" s="1135"/>
      <c r="DM19" s="1135">
        <v>1</v>
      </c>
      <c r="DN19" s="1136">
        <f t="shared" si="28"/>
        <v>14</v>
      </c>
      <c r="DO19" s="1135"/>
      <c r="DP19" s="1135"/>
      <c r="DQ19" s="1135"/>
      <c r="DR19" s="1135"/>
      <c r="DS19" s="1135"/>
      <c r="DT19" s="1135"/>
      <c r="DU19" s="1135"/>
      <c r="DV19" s="1135"/>
      <c r="DW19" s="1135"/>
      <c r="DX19" s="1135"/>
      <c r="DY19" s="1135"/>
      <c r="DZ19" s="1135"/>
      <c r="EA19" s="1136">
        <f t="shared" si="29"/>
        <v>0</v>
      </c>
      <c r="EB19" s="1135"/>
      <c r="EC19" s="1135"/>
      <c r="ED19" s="1135"/>
      <c r="EE19" s="1135"/>
      <c r="EF19" s="1135"/>
      <c r="EG19" s="1135"/>
      <c r="EH19" s="1135"/>
      <c r="EI19" s="1135"/>
      <c r="EJ19" s="1135"/>
      <c r="EK19" s="1135"/>
      <c r="EL19" s="1135"/>
      <c r="EM19" s="1135"/>
      <c r="EN19" s="1136">
        <f t="shared" si="30"/>
        <v>0</v>
      </c>
      <c r="EO19" s="1135"/>
      <c r="EP19" s="1135"/>
      <c r="EQ19" s="1135"/>
      <c r="ER19" s="1135"/>
      <c r="ES19" s="1135"/>
      <c r="ET19" s="1135"/>
      <c r="EU19" s="1135"/>
      <c r="EV19" s="1135"/>
      <c r="EW19" s="1135"/>
      <c r="EX19" s="1135"/>
      <c r="EY19" s="1135"/>
      <c r="EZ19" s="1135"/>
      <c r="FA19" s="1136">
        <f t="shared" si="31"/>
        <v>0</v>
      </c>
      <c r="FB19" s="1135"/>
      <c r="FC19" s="1135"/>
      <c r="FD19" s="1135"/>
      <c r="FE19" s="1135"/>
      <c r="FF19" s="1135"/>
      <c r="FG19" s="1135"/>
      <c r="FH19" s="1135"/>
      <c r="FI19" s="1135"/>
      <c r="FJ19" s="1135"/>
      <c r="FK19" s="1135"/>
      <c r="FL19" s="1135"/>
      <c r="FM19" s="1135"/>
      <c r="FN19" s="1136">
        <f t="shared" si="32"/>
        <v>0</v>
      </c>
      <c r="FO19" s="1135"/>
      <c r="FP19" s="1135"/>
      <c r="FQ19" s="1135"/>
      <c r="FR19" s="1135"/>
      <c r="FS19" s="1135"/>
      <c r="FT19" s="1135"/>
      <c r="FU19" s="1135"/>
      <c r="FV19" s="1135"/>
      <c r="FW19" s="1135"/>
      <c r="FX19" s="1135"/>
      <c r="FY19" s="1135"/>
      <c r="FZ19" s="1135"/>
      <c r="GA19" s="1136">
        <f t="shared" si="33"/>
        <v>0</v>
      </c>
      <c r="GB19" s="1135"/>
      <c r="GC19" s="1135"/>
      <c r="GD19" s="1135"/>
      <c r="GE19" s="1135"/>
      <c r="GF19" s="1135"/>
      <c r="GG19" s="1135"/>
      <c r="GH19" s="1135"/>
      <c r="GI19" s="1135"/>
      <c r="GJ19" s="1135"/>
      <c r="GK19" s="1135"/>
      <c r="GL19" s="1135"/>
      <c r="GM19" s="1135"/>
      <c r="GN19" s="1136">
        <f t="shared" si="34"/>
        <v>0</v>
      </c>
      <c r="GO19" s="1135"/>
      <c r="GP19" s="1135"/>
      <c r="GQ19" s="1135"/>
      <c r="GR19" s="1135"/>
      <c r="GS19" s="1135"/>
      <c r="GT19" s="1135"/>
      <c r="GU19" s="1135"/>
      <c r="GV19" s="1135"/>
      <c r="GW19" s="1135"/>
      <c r="GX19" s="1135"/>
      <c r="GY19" s="1135"/>
      <c r="GZ19" s="1135"/>
      <c r="HA19" s="1136">
        <f t="shared" si="35"/>
        <v>0</v>
      </c>
      <c r="HB19" s="1135"/>
      <c r="HC19" s="1135"/>
      <c r="HD19" s="1135"/>
      <c r="HE19" s="1135"/>
      <c r="HF19" s="1135"/>
      <c r="HG19" s="1135"/>
      <c r="HH19" s="1135"/>
      <c r="HI19" s="1135"/>
      <c r="HJ19" s="1135"/>
      <c r="HK19" s="1135"/>
      <c r="HL19" s="1135"/>
      <c r="HM19" s="1135"/>
      <c r="HN19" s="1136">
        <f t="shared" si="36"/>
        <v>0</v>
      </c>
      <c r="HO19" s="1135"/>
      <c r="HP19" s="1135"/>
      <c r="HQ19" s="1135"/>
      <c r="HR19" s="1135"/>
      <c r="HS19" s="1135"/>
      <c r="HT19" s="1135"/>
      <c r="HU19" s="1135"/>
      <c r="HV19" s="1135"/>
      <c r="HW19" s="1135"/>
      <c r="HX19" s="1135"/>
      <c r="HY19" s="1135"/>
      <c r="HZ19" s="1135"/>
      <c r="IA19" s="1136">
        <f t="shared" si="37"/>
        <v>0</v>
      </c>
      <c r="IB19" s="1135"/>
      <c r="IC19" s="1135"/>
      <c r="ID19" s="1135"/>
      <c r="IE19" s="1135"/>
      <c r="IF19" s="1135"/>
      <c r="IG19" s="1135"/>
      <c r="IH19" s="1135"/>
      <c r="II19" s="1135"/>
      <c r="IJ19" s="1135"/>
      <c r="IK19" s="1135"/>
      <c r="IL19" s="1135"/>
      <c r="IM19" s="1135"/>
      <c r="IN19" s="1136">
        <f t="shared" si="38"/>
        <v>0</v>
      </c>
      <c r="IO19" s="1135"/>
      <c r="IP19" s="1135"/>
      <c r="IQ19" s="1135"/>
      <c r="IR19" s="1135"/>
      <c r="IS19" s="1135"/>
      <c r="IT19" s="1135"/>
      <c r="IU19" s="1135"/>
      <c r="IV19" s="1135"/>
      <c r="IW19" s="1135"/>
      <c r="IX19" s="1135"/>
      <c r="IY19" s="1135"/>
      <c r="IZ19" s="1135"/>
      <c r="JA19" s="1136">
        <f t="shared" si="39"/>
        <v>0</v>
      </c>
      <c r="JB19" s="1135"/>
      <c r="JC19" s="1135"/>
      <c r="JD19" s="1135"/>
      <c r="JE19" s="1135"/>
      <c r="JF19" s="1135"/>
      <c r="JG19" s="1135"/>
      <c r="JH19" s="1135"/>
      <c r="JI19" s="1135"/>
      <c r="JJ19" s="1135"/>
      <c r="JK19" s="1135"/>
      <c r="JL19" s="1135"/>
      <c r="JM19" s="1135"/>
      <c r="JN19" s="1136">
        <f t="shared" si="40"/>
        <v>0</v>
      </c>
      <c r="JO19" s="1135">
        <v>0</v>
      </c>
      <c r="JP19" s="1135"/>
      <c r="JQ19" s="1135"/>
      <c r="JR19" s="1135"/>
      <c r="JS19" s="1135"/>
      <c r="JT19" s="1135"/>
      <c r="JU19" s="1135"/>
      <c r="JV19" s="1135"/>
      <c r="JW19" s="1135"/>
      <c r="JX19" s="1135"/>
      <c r="JY19" s="1135"/>
      <c r="JZ19" s="1135"/>
      <c r="KA19" s="1136">
        <f t="shared" si="41"/>
        <v>0</v>
      </c>
      <c r="KC19" s="1137" t="str">
        <f t="shared" si="42"/>
        <v/>
      </c>
      <c r="KD19" s="1138" t="str">
        <f t="shared" si="43"/>
        <v/>
      </c>
      <c r="KE19" s="1139">
        <f t="shared" si="44"/>
        <v>0</v>
      </c>
      <c r="KF19" s="1140">
        <f t="shared" si="45"/>
        <v>0</v>
      </c>
      <c r="KG19" s="1041"/>
      <c r="KH19" s="1139">
        <f t="shared" si="46"/>
        <v>996</v>
      </c>
      <c r="KI19" s="1146" t="s">
        <v>575</v>
      </c>
      <c r="KJ19" s="1147" t="str">
        <f t="shared" si="47"/>
        <v>OK</v>
      </c>
    </row>
    <row r="20" spans="1:296" ht="15" customHeight="1" x14ac:dyDescent="0.2">
      <c r="A20" s="1143" t="s">
        <v>576</v>
      </c>
      <c r="B20" s="1135"/>
      <c r="C20" s="1135"/>
      <c r="D20" s="1135"/>
      <c r="E20" s="1135"/>
      <c r="F20" s="1135"/>
      <c r="G20" s="1135"/>
      <c r="H20" s="1135"/>
      <c r="I20" s="1135"/>
      <c r="J20" s="1135"/>
      <c r="K20" s="1135"/>
      <c r="L20" s="1135"/>
      <c r="M20" s="1135">
        <v>57</v>
      </c>
      <c r="N20" s="1136">
        <f t="shared" si="20"/>
        <v>57</v>
      </c>
      <c r="O20" s="1135"/>
      <c r="P20" s="1135"/>
      <c r="Q20" s="1135"/>
      <c r="R20" s="1135"/>
      <c r="S20" s="1135"/>
      <c r="T20" s="1135"/>
      <c r="U20" s="1135"/>
      <c r="V20" s="1135"/>
      <c r="W20" s="1135"/>
      <c r="X20" s="1135"/>
      <c r="Y20" s="1135"/>
      <c r="Z20" s="1135">
        <v>59</v>
      </c>
      <c r="AA20" s="1136">
        <f t="shared" si="21"/>
        <v>59</v>
      </c>
      <c r="AB20" s="1135"/>
      <c r="AC20" s="1135"/>
      <c r="AD20" s="1135"/>
      <c r="AE20" s="1135"/>
      <c r="AF20" s="1135"/>
      <c r="AG20" s="1135"/>
      <c r="AH20" s="1135"/>
      <c r="AI20" s="1135"/>
      <c r="AJ20" s="1135"/>
      <c r="AK20" s="1135"/>
      <c r="AL20" s="1135"/>
      <c r="AM20" s="1135">
        <v>46</v>
      </c>
      <c r="AN20" s="1136">
        <f t="shared" si="22"/>
        <v>46</v>
      </c>
      <c r="AO20" s="1135"/>
      <c r="AP20" s="1135"/>
      <c r="AQ20" s="1135"/>
      <c r="AR20" s="1135"/>
      <c r="AS20" s="1135"/>
      <c r="AT20" s="1135"/>
      <c r="AU20" s="1135"/>
      <c r="AV20" s="1135"/>
      <c r="AW20" s="1135"/>
      <c r="AX20" s="1135"/>
      <c r="AY20" s="1135"/>
      <c r="AZ20" s="1135">
        <v>46</v>
      </c>
      <c r="BA20" s="1136">
        <f t="shared" si="23"/>
        <v>46</v>
      </c>
      <c r="BB20" s="1135"/>
      <c r="BC20" s="1135"/>
      <c r="BD20" s="1135"/>
      <c r="BE20" s="1135"/>
      <c r="BF20" s="1135"/>
      <c r="BG20" s="1135"/>
      <c r="BH20" s="1135"/>
      <c r="BI20" s="1135"/>
      <c r="BJ20" s="1135"/>
      <c r="BK20" s="1135"/>
      <c r="BL20" s="1135"/>
      <c r="BM20" s="1135">
        <v>25</v>
      </c>
      <c r="BN20" s="1136">
        <f t="shared" si="24"/>
        <v>25</v>
      </c>
      <c r="BO20" s="1135"/>
      <c r="BP20" s="1135"/>
      <c r="BQ20" s="1135"/>
      <c r="BR20" s="1135"/>
      <c r="BS20" s="1135"/>
      <c r="BT20" s="1135"/>
      <c r="BU20" s="1135"/>
      <c r="BV20" s="1135"/>
      <c r="BW20" s="1135"/>
      <c r="BX20" s="1135"/>
      <c r="BY20" s="1135"/>
      <c r="BZ20" s="1135">
        <v>29</v>
      </c>
      <c r="CA20" s="1136">
        <f t="shared" si="25"/>
        <v>29</v>
      </c>
      <c r="CB20" s="1135"/>
      <c r="CC20" s="1135"/>
      <c r="CD20" s="1135"/>
      <c r="CE20" s="1135"/>
      <c r="CF20" s="1135"/>
      <c r="CG20" s="1135"/>
      <c r="CH20" s="1135"/>
      <c r="CI20" s="1135"/>
      <c r="CJ20" s="1135"/>
      <c r="CK20" s="1135"/>
      <c r="CL20" s="1135"/>
      <c r="CM20" s="1135">
        <v>15</v>
      </c>
      <c r="CN20" s="1136">
        <f t="shared" si="26"/>
        <v>15</v>
      </c>
      <c r="CO20" s="1135"/>
      <c r="CP20" s="1135"/>
      <c r="CQ20" s="1135"/>
      <c r="CR20" s="1135"/>
      <c r="CS20" s="1135"/>
      <c r="CT20" s="1135"/>
      <c r="CU20" s="1135"/>
      <c r="CV20" s="1135"/>
      <c r="CW20" s="1135"/>
      <c r="CX20" s="1135"/>
      <c r="CY20" s="1135"/>
      <c r="CZ20" s="1135">
        <v>2</v>
      </c>
      <c r="DA20" s="1136">
        <f t="shared" si="27"/>
        <v>2</v>
      </c>
      <c r="DB20" s="1135"/>
      <c r="DC20" s="1135"/>
      <c r="DD20" s="1135"/>
      <c r="DE20" s="1135"/>
      <c r="DF20" s="1135"/>
      <c r="DG20" s="1135"/>
      <c r="DH20" s="1135"/>
      <c r="DI20" s="1135"/>
      <c r="DJ20" s="1135"/>
      <c r="DK20" s="1135"/>
      <c r="DL20" s="1135"/>
      <c r="DM20" s="1135">
        <v>9</v>
      </c>
      <c r="DN20" s="1136">
        <f t="shared" si="28"/>
        <v>9</v>
      </c>
      <c r="DO20" s="1135"/>
      <c r="DP20" s="1135"/>
      <c r="DQ20" s="1135"/>
      <c r="DR20" s="1135"/>
      <c r="DS20" s="1135"/>
      <c r="DT20" s="1135"/>
      <c r="DU20" s="1135"/>
      <c r="DV20" s="1135"/>
      <c r="DW20" s="1135"/>
      <c r="DX20" s="1135"/>
      <c r="DY20" s="1135"/>
      <c r="DZ20" s="1135">
        <v>20</v>
      </c>
      <c r="EA20" s="1136">
        <f t="shared" si="29"/>
        <v>20</v>
      </c>
      <c r="EB20" s="1135"/>
      <c r="EC20" s="1135"/>
      <c r="ED20" s="1135"/>
      <c r="EE20" s="1135"/>
      <c r="EF20" s="1135"/>
      <c r="EG20" s="1135"/>
      <c r="EH20" s="1135"/>
      <c r="EI20" s="1135"/>
      <c r="EJ20" s="1135"/>
      <c r="EK20" s="1135"/>
      <c r="EL20" s="1135"/>
      <c r="EM20" s="1135">
        <v>20</v>
      </c>
      <c r="EN20" s="1136">
        <f t="shared" si="30"/>
        <v>20</v>
      </c>
      <c r="EO20" s="1135"/>
      <c r="EP20" s="1135"/>
      <c r="EQ20" s="1135"/>
      <c r="ER20" s="1135"/>
      <c r="ES20" s="1135"/>
      <c r="ET20" s="1135"/>
      <c r="EU20" s="1135"/>
      <c r="EV20" s="1135"/>
      <c r="EW20" s="1135"/>
      <c r="EX20" s="1135"/>
      <c r="EY20" s="1135"/>
      <c r="EZ20" s="1135">
        <v>1</v>
      </c>
      <c r="FA20" s="1136">
        <f t="shared" si="31"/>
        <v>1</v>
      </c>
      <c r="FB20" s="1135"/>
      <c r="FC20" s="1135"/>
      <c r="FD20" s="1135"/>
      <c r="FE20" s="1135"/>
      <c r="FF20" s="1135"/>
      <c r="FG20" s="1135"/>
      <c r="FH20" s="1135"/>
      <c r="FI20" s="1135"/>
      <c r="FJ20" s="1135"/>
      <c r="FK20" s="1135"/>
      <c r="FL20" s="1135"/>
      <c r="FM20" s="1135"/>
      <c r="FN20" s="1136">
        <f t="shared" si="32"/>
        <v>0</v>
      </c>
      <c r="FO20" s="1135"/>
      <c r="FP20" s="1135"/>
      <c r="FQ20" s="1135"/>
      <c r="FR20" s="1135"/>
      <c r="FS20" s="1135"/>
      <c r="FT20" s="1135"/>
      <c r="FU20" s="1135"/>
      <c r="FV20" s="1135"/>
      <c r="FW20" s="1135"/>
      <c r="FX20" s="1135"/>
      <c r="FY20" s="1135"/>
      <c r="FZ20" s="1135"/>
      <c r="GA20" s="1136">
        <f t="shared" si="33"/>
        <v>0</v>
      </c>
      <c r="GB20" s="1135"/>
      <c r="GC20" s="1135"/>
      <c r="GD20" s="1135"/>
      <c r="GE20" s="1135"/>
      <c r="GF20" s="1135"/>
      <c r="GG20" s="1135"/>
      <c r="GH20" s="1135"/>
      <c r="GI20" s="1135"/>
      <c r="GJ20" s="1135"/>
      <c r="GK20" s="1135"/>
      <c r="GL20" s="1135"/>
      <c r="GM20" s="1135"/>
      <c r="GN20" s="1136">
        <f t="shared" si="34"/>
        <v>0</v>
      </c>
      <c r="GO20" s="1135"/>
      <c r="GP20" s="1135"/>
      <c r="GQ20" s="1135"/>
      <c r="GR20" s="1135"/>
      <c r="GS20" s="1135"/>
      <c r="GT20" s="1135"/>
      <c r="GU20" s="1135"/>
      <c r="GV20" s="1135"/>
      <c r="GW20" s="1135"/>
      <c r="GX20" s="1135"/>
      <c r="GY20" s="1135"/>
      <c r="GZ20" s="1135"/>
      <c r="HA20" s="1136">
        <f t="shared" si="35"/>
        <v>0</v>
      </c>
      <c r="HB20" s="1135"/>
      <c r="HC20" s="1135"/>
      <c r="HD20" s="1135"/>
      <c r="HE20" s="1135"/>
      <c r="HF20" s="1135"/>
      <c r="HG20" s="1135"/>
      <c r="HH20" s="1135"/>
      <c r="HI20" s="1135"/>
      <c r="HJ20" s="1135"/>
      <c r="HK20" s="1135"/>
      <c r="HL20" s="1135"/>
      <c r="HM20" s="1135"/>
      <c r="HN20" s="1136">
        <f t="shared" si="36"/>
        <v>0</v>
      </c>
      <c r="HO20" s="1135"/>
      <c r="HP20" s="1135"/>
      <c r="HQ20" s="1135"/>
      <c r="HR20" s="1135"/>
      <c r="HS20" s="1135"/>
      <c r="HT20" s="1135"/>
      <c r="HU20" s="1135"/>
      <c r="HV20" s="1135"/>
      <c r="HW20" s="1135"/>
      <c r="HX20" s="1135"/>
      <c r="HY20" s="1135"/>
      <c r="HZ20" s="1135"/>
      <c r="IA20" s="1136">
        <f t="shared" si="37"/>
        <v>0</v>
      </c>
      <c r="IB20" s="1135"/>
      <c r="IC20" s="1135"/>
      <c r="ID20" s="1135"/>
      <c r="IE20" s="1135"/>
      <c r="IF20" s="1135"/>
      <c r="IG20" s="1135"/>
      <c r="IH20" s="1135"/>
      <c r="II20" s="1135"/>
      <c r="IJ20" s="1135"/>
      <c r="IK20" s="1135"/>
      <c r="IL20" s="1135"/>
      <c r="IM20" s="1135">
        <v>1</v>
      </c>
      <c r="IN20" s="1136">
        <f t="shared" si="38"/>
        <v>1</v>
      </c>
      <c r="IO20" s="1135"/>
      <c r="IP20" s="1135"/>
      <c r="IQ20" s="1135"/>
      <c r="IR20" s="1135"/>
      <c r="IS20" s="1135"/>
      <c r="IT20" s="1135"/>
      <c r="IU20" s="1135"/>
      <c r="IV20" s="1135"/>
      <c r="IW20" s="1135"/>
      <c r="IX20" s="1135"/>
      <c r="IY20" s="1135"/>
      <c r="IZ20" s="1135"/>
      <c r="JA20" s="1136">
        <f t="shared" si="39"/>
        <v>0</v>
      </c>
      <c r="JB20" s="1135"/>
      <c r="JC20" s="1135"/>
      <c r="JD20" s="1135"/>
      <c r="JE20" s="1135"/>
      <c r="JF20" s="1135"/>
      <c r="JG20" s="1135"/>
      <c r="JH20" s="1135"/>
      <c r="JI20" s="1135"/>
      <c r="JJ20" s="1135"/>
      <c r="JK20" s="1135"/>
      <c r="JL20" s="1135"/>
      <c r="JM20" s="1135"/>
      <c r="JN20" s="1136">
        <f t="shared" si="40"/>
        <v>0</v>
      </c>
      <c r="JO20" s="1135">
        <v>0</v>
      </c>
      <c r="JP20" s="1135"/>
      <c r="JQ20" s="1135"/>
      <c r="JR20" s="1135"/>
      <c r="JS20" s="1135"/>
      <c r="JT20" s="1135"/>
      <c r="JU20" s="1135"/>
      <c r="JV20" s="1135"/>
      <c r="JW20" s="1135"/>
      <c r="JX20" s="1135"/>
      <c r="JY20" s="1135"/>
      <c r="JZ20" s="1135"/>
      <c r="KA20" s="1136">
        <f t="shared" si="41"/>
        <v>0</v>
      </c>
      <c r="KC20" s="1137" t="str">
        <f t="shared" si="42"/>
        <v/>
      </c>
      <c r="KD20" s="1138" t="str">
        <f t="shared" si="43"/>
        <v/>
      </c>
      <c r="KE20" s="1139">
        <f t="shared" si="44"/>
        <v>0</v>
      </c>
      <c r="KF20" s="1140">
        <f t="shared" si="45"/>
        <v>0</v>
      </c>
      <c r="KG20" s="1041"/>
      <c r="KH20" s="1139">
        <f t="shared" si="46"/>
        <v>660</v>
      </c>
      <c r="KI20" s="1146" t="s">
        <v>576</v>
      </c>
      <c r="KJ20" s="1147" t="str">
        <f t="shared" si="47"/>
        <v>OK</v>
      </c>
    </row>
    <row r="21" spans="1:296" ht="15" customHeight="1" x14ac:dyDescent="0.2">
      <c r="A21" s="1143" t="s">
        <v>33</v>
      </c>
      <c r="B21" s="1135"/>
      <c r="C21" s="1135"/>
      <c r="D21" s="1135"/>
      <c r="E21" s="1135"/>
      <c r="F21" s="1135"/>
      <c r="G21" s="1135"/>
      <c r="H21" s="1135"/>
      <c r="I21" s="1135"/>
      <c r="J21" s="1135"/>
      <c r="K21" s="1135"/>
      <c r="L21" s="1135"/>
      <c r="M21" s="1135">
        <v>79</v>
      </c>
      <c r="N21" s="1136">
        <f t="shared" si="20"/>
        <v>79</v>
      </c>
      <c r="O21" s="1135"/>
      <c r="P21" s="1135"/>
      <c r="Q21" s="1135"/>
      <c r="R21" s="1135"/>
      <c r="S21" s="1135"/>
      <c r="T21" s="1135"/>
      <c r="U21" s="1135"/>
      <c r="V21" s="1135"/>
      <c r="W21" s="1135"/>
      <c r="X21" s="1135"/>
      <c r="Y21" s="1135"/>
      <c r="Z21" s="1135">
        <v>79</v>
      </c>
      <c r="AA21" s="1136">
        <f t="shared" si="21"/>
        <v>79</v>
      </c>
      <c r="AB21" s="1135"/>
      <c r="AC21" s="1135"/>
      <c r="AD21" s="1135"/>
      <c r="AE21" s="1135"/>
      <c r="AF21" s="1135"/>
      <c r="AG21" s="1135"/>
      <c r="AH21" s="1135"/>
      <c r="AI21" s="1135"/>
      <c r="AJ21" s="1135"/>
      <c r="AK21" s="1135"/>
      <c r="AL21" s="1135"/>
      <c r="AM21" s="1135">
        <v>79</v>
      </c>
      <c r="AN21" s="1136">
        <f t="shared" si="22"/>
        <v>79</v>
      </c>
      <c r="AO21" s="1135"/>
      <c r="AP21" s="1135"/>
      <c r="AQ21" s="1135"/>
      <c r="AR21" s="1135"/>
      <c r="AS21" s="1135"/>
      <c r="AT21" s="1135"/>
      <c r="AU21" s="1135"/>
      <c r="AV21" s="1135"/>
      <c r="AW21" s="1135"/>
      <c r="AX21" s="1135"/>
      <c r="AY21" s="1135"/>
      <c r="AZ21" s="1135">
        <v>79</v>
      </c>
      <c r="BA21" s="1136">
        <f t="shared" si="23"/>
        <v>79</v>
      </c>
      <c r="BB21" s="1135"/>
      <c r="BC21" s="1135"/>
      <c r="BD21" s="1135"/>
      <c r="BE21" s="1135"/>
      <c r="BF21" s="1135"/>
      <c r="BG21" s="1135"/>
      <c r="BH21" s="1135"/>
      <c r="BI21" s="1135"/>
      <c r="BJ21" s="1135"/>
      <c r="BK21" s="1135"/>
      <c r="BL21" s="1135"/>
      <c r="BM21" s="1135">
        <v>39</v>
      </c>
      <c r="BN21" s="1136">
        <f t="shared" si="24"/>
        <v>39</v>
      </c>
      <c r="BO21" s="1135"/>
      <c r="BP21" s="1135"/>
      <c r="BQ21" s="1135"/>
      <c r="BR21" s="1135"/>
      <c r="BS21" s="1135"/>
      <c r="BT21" s="1135"/>
      <c r="BU21" s="1135"/>
      <c r="BV21" s="1135"/>
      <c r="BW21" s="1135"/>
      <c r="BX21" s="1135"/>
      <c r="BY21" s="1135"/>
      <c r="BZ21" s="1135">
        <v>66</v>
      </c>
      <c r="CA21" s="1136">
        <f t="shared" si="25"/>
        <v>66</v>
      </c>
      <c r="CB21" s="1135"/>
      <c r="CC21" s="1135"/>
      <c r="CD21" s="1135"/>
      <c r="CE21" s="1135"/>
      <c r="CF21" s="1135"/>
      <c r="CG21" s="1135"/>
      <c r="CH21" s="1135"/>
      <c r="CI21" s="1135"/>
      <c r="CJ21" s="1135"/>
      <c r="CK21" s="1135"/>
      <c r="CL21" s="1135"/>
      <c r="CM21" s="1135">
        <v>69</v>
      </c>
      <c r="CN21" s="1136">
        <f t="shared" si="26"/>
        <v>69</v>
      </c>
      <c r="CO21" s="1135"/>
      <c r="CP21" s="1135"/>
      <c r="CQ21" s="1135"/>
      <c r="CR21" s="1135"/>
      <c r="CS21" s="1135"/>
      <c r="CT21" s="1135"/>
      <c r="CU21" s="1135"/>
      <c r="CV21" s="1135"/>
      <c r="CW21" s="1135"/>
      <c r="CX21" s="1135"/>
      <c r="CY21" s="1135"/>
      <c r="CZ21" s="1135"/>
      <c r="DA21" s="1136">
        <f t="shared" si="27"/>
        <v>0</v>
      </c>
      <c r="DB21" s="1135"/>
      <c r="DC21" s="1135"/>
      <c r="DD21" s="1135"/>
      <c r="DE21" s="1135"/>
      <c r="DF21" s="1135"/>
      <c r="DG21" s="1135"/>
      <c r="DH21" s="1135"/>
      <c r="DI21" s="1135"/>
      <c r="DJ21" s="1135"/>
      <c r="DK21" s="1135"/>
      <c r="DL21" s="1135"/>
      <c r="DM21" s="1135">
        <v>42</v>
      </c>
      <c r="DN21" s="1136">
        <f t="shared" si="28"/>
        <v>42</v>
      </c>
      <c r="DO21" s="1135"/>
      <c r="DP21" s="1135"/>
      <c r="DQ21" s="1135"/>
      <c r="DR21" s="1135"/>
      <c r="DS21" s="1135"/>
      <c r="DT21" s="1135"/>
      <c r="DU21" s="1135"/>
      <c r="DV21" s="1135"/>
      <c r="DW21" s="1135"/>
      <c r="DX21" s="1135"/>
      <c r="DY21" s="1135"/>
      <c r="DZ21" s="1135">
        <v>65</v>
      </c>
      <c r="EA21" s="1136">
        <f t="shared" si="29"/>
        <v>65</v>
      </c>
      <c r="EB21" s="1135"/>
      <c r="EC21" s="1135"/>
      <c r="ED21" s="1135"/>
      <c r="EE21" s="1135"/>
      <c r="EF21" s="1135"/>
      <c r="EG21" s="1135"/>
      <c r="EH21" s="1135"/>
      <c r="EI21" s="1135"/>
      <c r="EJ21" s="1135"/>
      <c r="EK21" s="1135"/>
      <c r="EL21" s="1135"/>
      <c r="EM21" s="1135">
        <v>65</v>
      </c>
      <c r="EN21" s="1136">
        <f t="shared" si="30"/>
        <v>65</v>
      </c>
      <c r="EO21" s="1135"/>
      <c r="EP21" s="1135"/>
      <c r="EQ21" s="1135"/>
      <c r="ER21" s="1135"/>
      <c r="ES21" s="1135"/>
      <c r="ET21" s="1135"/>
      <c r="EU21" s="1135"/>
      <c r="EV21" s="1135"/>
      <c r="EW21" s="1135"/>
      <c r="EX21" s="1135"/>
      <c r="EY21" s="1135"/>
      <c r="EZ21" s="1135"/>
      <c r="FA21" s="1136">
        <f t="shared" si="31"/>
        <v>0</v>
      </c>
      <c r="FB21" s="1135"/>
      <c r="FC21" s="1135"/>
      <c r="FD21" s="1135"/>
      <c r="FE21" s="1135"/>
      <c r="FF21" s="1135"/>
      <c r="FG21" s="1135"/>
      <c r="FH21" s="1135"/>
      <c r="FI21" s="1135"/>
      <c r="FJ21" s="1135"/>
      <c r="FK21" s="1135"/>
      <c r="FL21" s="1135"/>
      <c r="FM21" s="1135"/>
      <c r="FN21" s="1136">
        <f t="shared" si="32"/>
        <v>0</v>
      </c>
      <c r="FO21" s="1135"/>
      <c r="FP21" s="1135"/>
      <c r="FQ21" s="1135"/>
      <c r="FR21" s="1135"/>
      <c r="FS21" s="1135"/>
      <c r="FT21" s="1135"/>
      <c r="FU21" s="1135"/>
      <c r="FV21" s="1135"/>
      <c r="FW21" s="1135"/>
      <c r="FX21" s="1135"/>
      <c r="FY21" s="1135"/>
      <c r="FZ21" s="1135"/>
      <c r="GA21" s="1136">
        <f t="shared" si="33"/>
        <v>0</v>
      </c>
      <c r="GB21" s="1135"/>
      <c r="GC21" s="1135"/>
      <c r="GD21" s="1135"/>
      <c r="GE21" s="1135"/>
      <c r="GF21" s="1135"/>
      <c r="GG21" s="1135"/>
      <c r="GH21" s="1135"/>
      <c r="GI21" s="1135"/>
      <c r="GJ21" s="1135"/>
      <c r="GK21" s="1135"/>
      <c r="GL21" s="1135"/>
      <c r="GM21" s="1135"/>
      <c r="GN21" s="1136">
        <f t="shared" si="34"/>
        <v>0</v>
      </c>
      <c r="GO21" s="1135"/>
      <c r="GP21" s="1135"/>
      <c r="GQ21" s="1135"/>
      <c r="GR21" s="1135"/>
      <c r="GS21" s="1135"/>
      <c r="GT21" s="1135"/>
      <c r="GU21" s="1135"/>
      <c r="GV21" s="1135"/>
      <c r="GW21" s="1135"/>
      <c r="GX21" s="1135"/>
      <c r="GY21" s="1135"/>
      <c r="GZ21" s="1135"/>
      <c r="HA21" s="1136">
        <f t="shared" si="35"/>
        <v>0</v>
      </c>
      <c r="HB21" s="1135"/>
      <c r="HC21" s="1135"/>
      <c r="HD21" s="1135"/>
      <c r="HE21" s="1135"/>
      <c r="HF21" s="1135"/>
      <c r="HG21" s="1135"/>
      <c r="HH21" s="1135"/>
      <c r="HI21" s="1135"/>
      <c r="HJ21" s="1135"/>
      <c r="HK21" s="1135"/>
      <c r="HL21" s="1135"/>
      <c r="HM21" s="1135"/>
      <c r="HN21" s="1136">
        <f t="shared" si="36"/>
        <v>0</v>
      </c>
      <c r="HO21" s="1135"/>
      <c r="HP21" s="1135"/>
      <c r="HQ21" s="1135"/>
      <c r="HR21" s="1135"/>
      <c r="HS21" s="1135"/>
      <c r="HT21" s="1135"/>
      <c r="HU21" s="1135"/>
      <c r="HV21" s="1135"/>
      <c r="HW21" s="1135"/>
      <c r="HX21" s="1135"/>
      <c r="HY21" s="1135"/>
      <c r="HZ21" s="1135"/>
      <c r="IA21" s="1136">
        <f t="shared" si="37"/>
        <v>0</v>
      </c>
      <c r="IB21" s="1135"/>
      <c r="IC21" s="1135"/>
      <c r="ID21" s="1135"/>
      <c r="IE21" s="1135"/>
      <c r="IF21" s="1135"/>
      <c r="IG21" s="1135"/>
      <c r="IH21" s="1135"/>
      <c r="II21" s="1135"/>
      <c r="IJ21" s="1135"/>
      <c r="IK21" s="1135"/>
      <c r="IL21" s="1135"/>
      <c r="IM21" s="1135"/>
      <c r="IN21" s="1136">
        <f t="shared" si="38"/>
        <v>0</v>
      </c>
      <c r="IO21" s="1135"/>
      <c r="IP21" s="1135"/>
      <c r="IQ21" s="1135"/>
      <c r="IR21" s="1135"/>
      <c r="IS21" s="1135"/>
      <c r="IT21" s="1135"/>
      <c r="IU21" s="1135"/>
      <c r="IV21" s="1135"/>
      <c r="IW21" s="1135"/>
      <c r="IX21" s="1135"/>
      <c r="IY21" s="1135"/>
      <c r="IZ21" s="1135">
        <v>48</v>
      </c>
      <c r="JA21" s="1136">
        <f t="shared" si="39"/>
        <v>48</v>
      </c>
      <c r="JB21" s="1135"/>
      <c r="JC21" s="1135"/>
      <c r="JD21" s="1135"/>
      <c r="JE21" s="1135"/>
      <c r="JF21" s="1135"/>
      <c r="JG21" s="1135"/>
      <c r="JH21" s="1135"/>
      <c r="JI21" s="1135"/>
      <c r="JJ21" s="1135"/>
      <c r="JK21" s="1135"/>
      <c r="JL21" s="1135"/>
      <c r="JM21" s="1135">
        <v>48</v>
      </c>
      <c r="JN21" s="1136">
        <f t="shared" si="40"/>
        <v>48</v>
      </c>
      <c r="JO21" s="1135">
        <v>0</v>
      </c>
      <c r="JP21" s="1135"/>
      <c r="JQ21" s="1135"/>
      <c r="JR21" s="1135"/>
      <c r="JS21" s="1135"/>
      <c r="JT21" s="1135"/>
      <c r="JU21" s="1135"/>
      <c r="JV21" s="1135"/>
      <c r="JW21" s="1135"/>
      <c r="JX21" s="1135"/>
      <c r="JY21" s="1135"/>
      <c r="JZ21" s="1135"/>
      <c r="KA21" s="1136">
        <f t="shared" si="41"/>
        <v>0</v>
      </c>
      <c r="KC21" s="1137">
        <f t="shared" si="42"/>
        <v>0</v>
      </c>
      <c r="KD21" s="1138">
        <f t="shared" si="43"/>
        <v>0</v>
      </c>
      <c r="KE21" s="1139">
        <f t="shared" si="44"/>
        <v>48</v>
      </c>
      <c r="KF21" s="1140">
        <f t="shared" si="45"/>
        <v>48</v>
      </c>
      <c r="KG21" s="1041"/>
      <c r="KH21" s="1139">
        <f t="shared" si="46"/>
        <v>1516</v>
      </c>
      <c r="KI21" s="1146" t="s">
        <v>33</v>
      </c>
      <c r="KJ21" s="1147" t="str">
        <f t="shared" si="47"/>
        <v>OK</v>
      </c>
    </row>
    <row r="22" spans="1:296" ht="15" customHeight="1" x14ac:dyDescent="0.2">
      <c r="A22" s="1143" t="s">
        <v>577</v>
      </c>
      <c r="B22" s="1135"/>
      <c r="C22" s="1135"/>
      <c r="D22" s="1135"/>
      <c r="E22" s="1135"/>
      <c r="F22" s="1135"/>
      <c r="G22" s="1135"/>
      <c r="H22" s="1135"/>
      <c r="I22" s="1135"/>
      <c r="J22" s="1135"/>
      <c r="K22" s="1135"/>
      <c r="L22" s="1135"/>
      <c r="M22" s="1135"/>
      <c r="N22" s="1136">
        <f t="shared" si="20"/>
        <v>0</v>
      </c>
      <c r="O22" s="1135"/>
      <c r="P22" s="1135"/>
      <c r="Q22" s="1135"/>
      <c r="R22" s="1135"/>
      <c r="S22" s="1135"/>
      <c r="T22" s="1135"/>
      <c r="U22" s="1135"/>
      <c r="V22" s="1135"/>
      <c r="W22" s="1135"/>
      <c r="X22" s="1135"/>
      <c r="Y22" s="1135"/>
      <c r="Z22" s="1135"/>
      <c r="AA22" s="1136">
        <f t="shared" si="21"/>
        <v>0</v>
      </c>
      <c r="AB22" s="1135"/>
      <c r="AC22" s="1135"/>
      <c r="AD22" s="1135"/>
      <c r="AE22" s="1135"/>
      <c r="AF22" s="1135"/>
      <c r="AG22" s="1135"/>
      <c r="AH22" s="1135"/>
      <c r="AI22" s="1135"/>
      <c r="AJ22" s="1135"/>
      <c r="AK22" s="1135"/>
      <c r="AL22" s="1135"/>
      <c r="AM22" s="1135">
        <v>329</v>
      </c>
      <c r="AN22" s="1136">
        <f t="shared" si="22"/>
        <v>329</v>
      </c>
      <c r="AO22" s="1135"/>
      <c r="AP22" s="1135"/>
      <c r="AQ22" s="1135"/>
      <c r="AR22" s="1135"/>
      <c r="AS22" s="1135"/>
      <c r="AT22" s="1135"/>
      <c r="AU22" s="1135"/>
      <c r="AV22" s="1135"/>
      <c r="AW22" s="1135"/>
      <c r="AX22" s="1135"/>
      <c r="AY22" s="1135"/>
      <c r="AZ22" s="1135">
        <v>323</v>
      </c>
      <c r="BA22" s="1136">
        <f t="shared" si="23"/>
        <v>323</v>
      </c>
      <c r="BB22" s="1135"/>
      <c r="BC22" s="1135"/>
      <c r="BD22" s="1135"/>
      <c r="BE22" s="1135"/>
      <c r="BF22" s="1135"/>
      <c r="BG22" s="1135"/>
      <c r="BH22" s="1135"/>
      <c r="BI22" s="1135"/>
      <c r="BJ22" s="1135"/>
      <c r="BK22" s="1135"/>
      <c r="BL22" s="1135"/>
      <c r="BM22" s="1135">
        <v>324</v>
      </c>
      <c r="BN22" s="1136">
        <f t="shared" si="24"/>
        <v>324</v>
      </c>
      <c r="BO22" s="1135"/>
      <c r="BP22" s="1135"/>
      <c r="BQ22" s="1135"/>
      <c r="BR22" s="1135"/>
      <c r="BS22" s="1135"/>
      <c r="BT22" s="1135"/>
      <c r="BU22" s="1135"/>
      <c r="BV22" s="1135"/>
      <c r="BW22" s="1135"/>
      <c r="BX22" s="1135"/>
      <c r="BY22" s="1135"/>
      <c r="BZ22" s="1135">
        <v>358</v>
      </c>
      <c r="CA22" s="1136">
        <f t="shared" si="25"/>
        <v>358</v>
      </c>
      <c r="CB22" s="1135"/>
      <c r="CC22" s="1135"/>
      <c r="CD22" s="1135"/>
      <c r="CE22" s="1135"/>
      <c r="CF22" s="1135"/>
      <c r="CG22" s="1135"/>
      <c r="CH22" s="1135"/>
      <c r="CI22" s="1135"/>
      <c r="CJ22" s="1135"/>
      <c r="CK22" s="1135"/>
      <c r="CL22" s="1135"/>
      <c r="CM22" s="1135">
        <v>124</v>
      </c>
      <c r="CN22" s="1136">
        <f t="shared" si="26"/>
        <v>124</v>
      </c>
      <c r="CO22" s="1135"/>
      <c r="CP22" s="1135"/>
      <c r="CQ22" s="1135"/>
      <c r="CR22" s="1135"/>
      <c r="CS22" s="1135"/>
      <c r="CT22" s="1135"/>
      <c r="CU22" s="1135"/>
      <c r="CV22" s="1135"/>
      <c r="CW22" s="1135"/>
      <c r="CX22" s="1135"/>
      <c r="CY22" s="1135"/>
      <c r="CZ22" s="1135">
        <v>107</v>
      </c>
      <c r="DA22" s="1136">
        <f t="shared" si="27"/>
        <v>107</v>
      </c>
      <c r="DB22" s="1135"/>
      <c r="DC22" s="1135"/>
      <c r="DD22" s="1135"/>
      <c r="DE22" s="1135"/>
      <c r="DF22" s="1135"/>
      <c r="DG22" s="1135"/>
      <c r="DH22" s="1135"/>
      <c r="DI22" s="1135"/>
      <c r="DJ22" s="1135"/>
      <c r="DK22" s="1135"/>
      <c r="DL22" s="1135"/>
      <c r="DM22" s="1135">
        <v>107</v>
      </c>
      <c r="DN22" s="1136">
        <f t="shared" si="28"/>
        <v>107</v>
      </c>
      <c r="DO22" s="1135"/>
      <c r="DP22" s="1135"/>
      <c r="DQ22" s="1135"/>
      <c r="DR22" s="1135"/>
      <c r="DS22" s="1135"/>
      <c r="DT22" s="1135"/>
      <c r="DU22" s="1135"/>
      <c r="DV22" s="1135"/>
      <c r="DW22" s="1135"/>
      <c r="DX22" s="1135"/>
      <c r="DY22" s="1135"/>
      <c r="DZ22" s="1135">
        <v>107</v>
      </c>
      <c r="EA22" s="1136">
        <f t="shared" si="29"/>
        <v>107</v>
      </c>
      <c r="EB22" s="1135"/>
      <c r="EC22" s="1135"/>
      <c r="ED22" s="1135"/>
      <c r="EE22" s="1135"/>
      <c r="EF22" s="1135"/>
      <c r="EG22" s="1135"/>
      <c r="EH22" s="1135"/>
      <c r="EI22" s="1135"/>
      <c r="EJ22" s="1135"/>
      <c r="EK22" s="1135"/>
      <c r="EL22" s="1135"/>
      <c r="EM22" s="1135">
        <v>107</v>
      </c>
      <c r="EN22" s="1136">
        <f t="shared" si="30"/>
        <v>107</v>
      </c>
      <c r="EO22" s="1135"/>
      <c r="EP22" s="1135"/>
      <c r="EQ22" s="1135"/>
      <c r="ER22" s="1135"/>
      <c r="ES22" s="1135"/>
      <c r="ET22" s="1135"/>
      <c r="EU22" s="1135"/>
      <c r="EV22" s="1135"/>
      <c r="EW22" s="1135"/>
      <c r="EX22" s="1135"/>
      <c r="EY22" s="1135"/>
      <c r="EZ22" s="1135">
        <v>431</v>
      </c>
      <c r="FA22" s="1136">
        <f t="shared" si="31"/>
        <v>431</v>
      </c>
      <c r="FB22" s="1135"/>
      <c r="FC22" s="1135"/>
      <c r="FD22" s="1135"/>
      <c r="FE22" s="1135"/>
      <c r="FF22" s="1135"/>
      <c r="FG22" s="1135"/>
      <c r="FH22" s="1135"/>
      <c r="FI22" s="1135"/>
      <c r="FJ22" s="1135"/>
      <c r="FK22" s="1135"/>
      <c r="FL22" s="1135"/>
      <c r="FM22" s="1135">
        <v>455</v>
      </c>
      <c r="FN22" s="1136">
        <f t="shared" si="32"/>
        <v>455</v>
      </c>
      <c r="FO22" s="1135"/>
      <c r="FP22" s="1135"/>
      <c r="FQ22" s="1135"/>
      <c r="FR22" s="1135"/>
      <c r="FS22" s="1135"/>
      <c r="FT22" s="1135"/>
      <c r="FU22" s="1135"/>
      <c r="FV22" s="1135"/>
      <c r="FW22" s="1135"/>
      <c r="FX22" s="1135"/>
      <c r="FY22" s="1135"/>
      <c r="FZ22" s="1135">
        <v>397</v>
      </c>
      <c r="GA22" s="1136">
        <f t="shared" si="33"/>
        <v>397</v>
      </c>
      <c r="GB22" s="1135"/>
      <c r="GC22" s="1135"/>
      <c r="GD22" s="1135"/>
      <c r="GE22" s="1135"/>
      <c r="GF22" s="1135"/>
      <c r="GG22" s="1135"/>
      <c r="GH22" s="1135"/>
      <c r="GI22" s="1135"/>
      <c r="GJ22" s="1135"/>
      <c r="GK22" s="1135"/>
      <c r="GL22" s="1135"/>
      <c r="GM22" s="1135">
        <v>485</v>
      </c>
      <c r="GN22" s="1136">
        <f t="shared" si="34"/>
        <v>485</v>
      </c>
      <c r="GO22" s="1135"/>
      <c r="GP22" s="1135"/>
      <c r="GQ22" s="1135"/>
      <c r="GR22" s="1135"/>
      <c r="GS22" s="1135"/>
      <c r="GT22" s="1135"/>
      <c r="GU22" s="1135"/>
      <c r="GV22" s="1135"/>
      <c r="GW22" s="1135"/>
      <c r="GX22" s="1135"/>
      <c r="GY22" s="1135"/>
      <c r="GZ22" s="1135">
        <v>412</v>
      </c>
      <c r="HA22" s="1136">
        <f t="shared" si="35"/>
        <v>412</v>
      </c>
      <c r="HB22" s="1135"/>
      <c r="HC22" s="1135"/>
      <c r="HD22" s="1135"/>
      <c r="HE22" s="1135"/>
      <c r="HF22" s="1135"/>
      <c r="HG22" s="1135"/>
      <c r="HH22" s="1135"/>
      <c r="HI22" s="1135"/>
      <c r="HJ22" s="1135"/>
      <c r="HK22" s="1135"/>
      <c r="HL22" s="1135"/>
      <c r="HM22" s="1135"/>
      <c r="HN22" s="1136">
        <f t="shared" si="36"/>
        <v>0</v>
      </c>
      <c r="HO22" s="1135"/>
      <c r="HP22" s="1135"/>
      <c r="HQ22" s="1135"/>
      <c r="HR22" s="1135"/>
      <c r="HS22" s="1135"/>
      <c r="HT22" s="1135"/>
      <c r="HU22" s="1135"/>
      <c r="HV22" s="1135"/>
      <c r="HW22" s="1135"/>
      <c r="HX22" s="1135"/>
      <c r="HY22" s="1135"/>
      <c r="HZ22" s="1135"/>
      <c r="IA22" s="1136">
        <f t="shared" si="37"/>
        <v>0</v>
      </c>
      <c r="IB22" s="1135"/>
      <c r="IC22" s="1135"/>
      <c r="ID22" s="1135"/>
      <c r="IE22" s="1135"/>
      <c r="IF22" s="1135"/>
      <c r="IG22" s="1135"/>
      <c r="IH22" s="1135"/>
      <c r="II22" s="1135"/>
      <c r="IJ22" s="1135"/>
      <c r="IK22" s="1135"/>
      <c r="IL22" s="1135"/>
      <c r="IM22" s="1135">
        <v>389</v>
      </c>
      <c r="IN22" s="1136">
        <f t="shared" si="38"/>
        <v>389</v>
      </c>
      <c r="IO22" s="1135"/>
      <c r="IP22" s="1135"/>
      <c r="IQ22" s="1135"/>
      <c r="IR22" s="1135"/>
      <c r="IS22" s="1135"/>
      <c r="IT22" s="1135"/>
      <c r="IU22" s="1135"/>
      <c r="IV22" s="1135"/>
      <c r="IW22" s="1135"/>
      <c r="IX22" s="1135"/>
      <c r="IY22" s="1135"/>
      <c r="IZ22" s="1135"/>
      <c r="JA22" s="1136">
        <f t="shared" si="39"/>
        <v>0</v>
      </c>
      <c r="JB22" s="1135"/>
      <c r="JC22" s="1135"/>
      <c r="JD22" s="1135"/>
      <c r="JE22" s="1135"/>
      <c r="JF22" s="1135"/>
      <c r="JG22" s="1135"/>
      <c r="JH22" s="1135"/>
      <c r="JI22" s="1135"/>
      <c r="JJ22" s="1135"/>
      <c r="JK22" s="1135"/>
      <c r="JL22" s="1135"/>
      <c r="JM22" s="1135">
        <v>108</v>
      </c>
      <c r="JN22" s="1136">
        <f t="shared" si="40"/>
        <v>108</v>
      </c>
      <c r="JO22" s="1135">
        <v>0</v>
      </c>
      <c r="JP22" s="1135"/>
      <c r="JQ22" s="1135"/>
      <c r="JR22" s="1135"/>
      <c r="JS22" s="1135"/>
      <c r="JT22" s="1135"/>
      <c r="JU22" s="1135"/>
      <c r="JV22" s="1135"/>
      <c r="JW22" s="1135"/>
      <c r="JX22" s="1135"/>
      <c r="JY22" s="1135"/>
      <c r="JZ22" s="1135"/>
      <c r="KA22" s="1136">
        <f t="shared" si="41"/>
        <v>0</v>
      </c>
      <c r="KC22" s="1137" t="str">
        <f t="shared" si="42"/>
        <v/>
      </c>
      <c r="KD22" s="1138" t="str">
        <f t="shared" si="43"/>
        <v/>
      </c>
      <c r="KE22" s="1139">
        <f t="shared" si="44"/>
        <v>0</v>
      </c>
      <c r="KF22" s="1140">
        <f t="shared" si="45"/>
        <v>108</v>
      </c>
      <c r="KG22" s="1041"/>
      <c r="KH22" s="1139">
        <f t="shared" si="46"/>
        <v>9126</v>
      </c>
      <c r="KI22" s="1146" t="s">
        <v>577</v>
      </c>
      <c r="KJ22" s="1147" t="str">
        <f t="shared" si="47"/>
        <v>OK</v>
      </c>
    </row>
    <row r="23" spans="1:296" ht="15" customHeight="1" x14ac:dyDescent="0.2">
      <c r="A23" s="1143" t="s">
        <v>34</v>
      </c>
      <c r="B23" s="1135"/>
      <c r="C23" s="1135"/>
      <c r="D23" s="1135"/>
      <c r="E23" s="1135"/>
      <c r="F23" s="1135"/>
      <c r="G23" s="1135"/>
      <c r="H23" s="1135"/>
      <c r="I23" s="1135"/>
      <c r="J23" s="1135"/>
      <c r="K23" s="1135"/>
      <c r="L23" s="1135"/>
      <c r="M23" s="1135">
        <v>17</v>
      </c>
      <c r="N23" s="1136">
        <f t="shared" si="20"/>
        <v>17</v>
      </c>
      <c r="O23" s="1135"/>
      <c r="P23" s="1135"/>
      <c r="Q23" s="1135"/>
      <c r="R23" s="1135"/>
      <c r="S23" s="1135"/>
      <c r="T23" s="1135"/>
      <c r="U23" s="1135"/>
      <c r="V23" s="1135"/>
      <c r="W23" s="1135"/>
      <c r="X23" s="1135"/>
      <c r="Y23" s="1135"/>
      <c r="Z23" s="1135">
        <v>17</v>
      </c>
      <c r="AA23" s="1136">
        <f t="shared" si="21"/>
        <v>17</v>
      </c>
      <c r="AB23" s="1135"/>
      <c r="AC23" s="1135"/>
      <c r="AD23" s="1135"/>
      <c r="AE23" s="1135"/>
      <c r="AF23" s="1135"/>
      <c r="AG23" s="1135"/>
      <c r="AH23" s="1135"/>
      <c r="AI23" s="1135"/>
      <c r="AJ23" s="1135"/>
      <c r="AK23" s="1135"/>
      <c r="AL23" s="1135"/>
      <c r="AM23" s="1135">
        <v>17</v>
      </c>
      <c r="AN23" s="1136">
        <f t="shared" si="22"/>
        <v>17</v>
      </c>
      <c r="AO23" s="1135"/>
      <c r="AP23" s="1135"/>
      <c r="AQ23" s="1135"/>
      <c r="AR23" s="1135"/>
      <c r="AS23" s="1135"/>
      <c r="AT23" s="1135"/>
      <c r="AU23" s="1135"/>
      <c r="AV23" s="1135"/>
      <c r="AW23" s="1135"/>
      <c r="AX23" s="1135"/>
      <c r="AY23" s="1135"/>
      <c r="AZ23" s="1135">
        <v>17</v>
      </c>
      <c r="BA23" s="1136">
        <f t="shared" si="23"/>
        <v>17</v>
      </c>
      <c r="BB23" s="1135"/>
      <c r="BC23" s="1135"/>
      <c r="BD23" s="1135"/>
      <c r="BE23" s="1135"/>
      <c r="BF23" s="1135"/>
      <c r="BG23" s="1135"/>
      <c r="BH23" s="1135"/>
      <c r="BI23" s="1135"/>
      <c r="BJ23" s="1135"/>
      <c r="BK23" s="1135"/>
      <c r="BL23" s="1135"/>
      <c r="BM23" s="1135">
        <v>17</v>
      </c>
      <c r="BN23" s="1136">
        <f t="shared" si="24"/>
        <v>17</v>
      </c>
      <c r="BO23" s="1135"/>
      <c r="BP23" s="1135"/>
      <c r="BQ23" s="1135"/>
      <c r="BR23" s="1135"/>
      <c r="BS23" s="1135"/>
      <c r="BT23" s="1135"/>
      <c r="BU23" s="1135"/>
      <c r="BV23" s="1135"/>
      <c r="BW23" s="1135"/>
      <c r="BX23" s="1135"/>
      <c r="BY23" s="1135"/>
      <c r="BZ23" s="1135">
        <v>17</v>
      </c>
      <c r="CA23" s="1136">
        <f t="shared" si="25"/>
        <v>17</v>
      </c>
      <c r="CB23" s="1135"/>
      <c r="CC23" s="1135"/>
      <c r="CD23" s="1135"/>
      <c r="CE23" s="1135"/>
      <c r="CF23" s="1135"/>
      <c r="CG23" s="1135"/>
      <c r="CH23" s="1135"/>
      <c r="CI23" s="1135"/>
      <c r="CJ23" s="1135"/>
      <c r="CK23" s="1135"/>
      <c r="CL23" s="1135"/>
      <c r="CM23" s="1135">
        <v>15</v>
      </c>
      <c r="CN23" s="1136">
        <f t="shared" si="26"/>
        <v>15</v>
      </c>
      <c r="CO23" s="1135"/>
      <c r="CP23" s="1135"/>
      <c r="CQ23" s="1135"/>
      <c r="CR23" s="1135"/>
      <c r="CS23" s="1135"/>
      <c r="CT23" s="1135"/>
      <c r="CU23" s="1135"/>
      <c r="CV23" s="1135"/>
      <c r="CW23" s="1135"/>
      <c r="CX23" s="1135"/>
      <c r="CY23" s="1135"/>
      <c r="CZ23" s="1135"/>
      <c r="DA23" s="1136">
        <f t="shared" si="27"/>
        <v>0</v>
      </c>
      <c r="DB23" s="1135"/>
      <c r="DC23" s="1135"/>
      <c r="DD23" s="1135"/>
      <c r="DE23" s="1135"/>
      <c r="DF23" s="1135"/>
      <c r="DG23" s="1135"/>
      <c r="DH23" s="1135"/>
      <c r="DI23" s="1135"/>
      <c r="DJ23" s="1135"/>
      <c r="DK23" s="1135"/>
      <c r="DL23" s="1135"/>
      <c r="DM23" s="1135"/>
      <c r="DN23" s="1136">
        <f t="shared" si="28"/>
        <v>0</v>
      </c>
      <c r="DO23" s="1135"/>
      <c r="DP23" s="1135"/>
      <c r="DQ23" s="1135"/>
      <c r="DR23" s="1135"/>
      <c r="DS23" s="1135"/>
      <c r="DT23" s="1135"/>
      <c r="DU23" s="1135"/>
      <c r="DV23" s="1135"/>
      <c r="DW23" s="1135"/>
      <c r="DX23" s="1135"/>
      <c r="DY23" s="1135"/>
      <c r="DZ23" s="1135">
        <v>15</v>
      </c>
      <c r="EA23" s="1136">
        <f t="shared" si="29"/>
        <v>15</v>
      </c>
      <c r="EB23" s="1135"/>
      <c r="EC23" s="1135"/>
      <c r="ED23" s="1135"/>
      <c r="EE23" s="1135"/>
      <c r="EF23" s="1135"/>
      <c r="EG23" s="1135"/>
      <c r="EH23" s="1135"/>
      <c r="EI23" s="1135"/>
      <c r="EJ23" s="1135"/>
      <c r="EK23" s="1135"/>
      <c r="EL23" s="1135"/>
      <c r="EM23" s="1135">
        <v>15</v>
      </c>
      <c r="EN23" s="1136">
        <f t="shared" si="30"/>
        <v>15</v>
      </c>
      <c r="EO23" s="1135"/>
      <c r="EP23" s="1135"/>
      <c r="EQ23" s="1135"/>
      <c r="ER23" s="1135"/>
      <c r="ES23" s="1135"/>
      <c r="ET23" s="1135"/>
      <c r="EU23" s="1135"/>
      <c r="EV23" s="1135"/>
      <c r="EW23" s="1135"/>
      <c r="EX23" s="1135"/>
      <c r="EY23" s="1135"/>
      <c r="EZ23" s="1135"/>
      <c r="FA23" s="1136">
        <f t="shared" si="31"/>
        <v>0</v>
      </c>
      <c r="FB23" s="1135"/>
      <c r="FC23" s="1135"/>
      <c r="FD23" s="1135"/>
      <c r="FE23" s="1135"/>
      <c r="FF23" s="1135"/>
      <c r="FG23" s="1135"/>
      <c r="FH23" s="1135"/>
      <c r="FI23" s="1135"/>
      <c r="FJ23" s="1135"/>
      <c r="FK23" s="1135"/>
      <c r="FL23" s="1135"/>
      <c r="FM23" s="1135"/>
      <c r="FN23" s="1136">
        <f t="shared" si="32"/>
        <v>0</v>
      </c>
      <c r="FO23" s="1135"/>
      <c r="FP23" s="1135"/>
      <c r="FQ23" s="1135"/>
      <c r="FR23" s="1135"/>
      <c r="FS23" s="1135"/>
      <c r="FT23" s="1135"/>
      <c r="FU23" s="1135"/>
      <c r="FV23" s="1135"/>
      <c r="FW23" s="1135"/>
      <c r="FX23" s="1135"/>
      <c r="FY23" s="1135"/>
      <c r="FZ23" s="1135"/>
      <c r="GA23" s="1136">
        <f t="shared" si="33"/>
        <v>0</v>
      </c>
      <c r="GB23" s="1135"/>
      <c r="GC23" s="1135"/>
      <c r="GD23" s="1135"/>
      <c r="GE23" s="1135"/>
      <c r="GF23" s="1135"/>
      <c r="GG23" s="1135"/>
      <c r="GH23" s="1135"/>
      <c r="GI23" s="1135"/>
      <c r="GJ23" s="1135"/>
      <c r="GK23" s="1135"/>
      <c r="GL23" s="1135"/>
      <c r="GM23" s="1135"/>
      <c r="GN23" s="1136">
        <f t="shared" si="34"/>
        <v>0</v>
      </c>
      <c r="GO23" s="1135"/>
      <c r="GP23" s="1135"/>
      <c r="GQ23" s="1135"/>
      <c r="GR23" s="1135"/>
      <c r="GS23" s="1135"/>
      <c r="GT23" s="1135"/>
      <c r="GU23" s="1135"/>
      <c r="GV23" s="1135"/>
      <c r="GW23" s="1135"/>
      <c r="GX23" s="1135"/>
      <c r="GY23" s="1135"/>
      <c r="GZ23" s="1135"/>
      <c r="HA23" s="1136">
        <f t="shared" si="35"/>
        <v>0</v>
      </c>
      <c r="HB23" s="1135"/>
      <c r="HC23" s="1135"/>
      <c r="HD23" s="1135"/>
      <c r="HE23" s="1135"/>
      <c r="HF23" s="1135"/>
      <c r="HG23" s="1135"/>
      <c r="HH23" s="1135"/>
      <c r="HI23" s="1135"/>
      <c r="HJ23" s="1135"/>
      <c r="HK23" s="1135"/>
      <c r="HL23" s="1135"/>
      <c r="HM23" s="1135"/>
      <c r="HN23" s="1136">
        <f t="shared" si="36"/>
        <v>0</v>
      </c>
      <c r="HO23" s="1135"/>
      <c r="HP23" s="1135"/>
      <c r="HQ23" s="1135"/>
      <c r="HR23" s="1135"/>
      <c r="HS23" s="1135"/>
      <c r="HT23" s="1135"/>
      <c r="HU23" s="1135"/>
      <c r="HV23" s="1135"/>
      <c r="HW23" s="1135"/>
      <c r="HX23" s="1135"/>
      <c r="HY23" s="1135"/>
      <c r="HZ23" s="1135"/>
      <c r="IA23" s="1136">
        <f t="shared" si="37"/>
        <v>0</v>
      </c>
      <c r="IB23" s="1135"/>
      <c r="IC23" s="1135"/>
      <c r="ID23" s="1135"/>
      <c r="IE23" s="1135"/>
      <c r="IF23" s="1135"/>
      <c r="IG23" s="1135"/>
      <c r="IH23" s="1135"/>
      <c r="II23" s="1135"/>
      <c r="IJ23" s="1135"/>
      <c r="IK23" s="1135"/>
      <c r="IL23" s="1135"/>
      <c r="IM23" s="1135"/>
      <c r="IN23" s="1136">
        <f t="shared" si="38"/>
        <v>0</v>
      </c>
      <c r="IO23" s="1135"/>
      <c r="IP23" s="1135"/>
      <c r="IQ23" s="1135"/>
      <c r="IR23" s="1135"/>
      <c r="IS23" s="1135"/>
      <c r="IT23" s="1135"/>
      <c r="IU23" s="1135"/>
      <c r="IV23" s="1135"/>
      <c r="IW23" s="1135"/>
      <c r="IX23" s="1135"/>
      <c r="IY23" s="1135"/>
      <c r="IZ23" s="1135"/>
      <c r="JA23" s="1136">
        <f t="shared" si="39"/>
        <v>0</v>
      </c>
      <c r="JB23" s="1135"/>
      <c r="JC23" s="1135"/>
      <c r="JD23" s="1135"/>
      <c r="JE23" s="1135"/>
      <c r="JF23" s="1135"/>
      <c r="JG23" s="1135"/>
      <c r="JH23" s="1135"/>
      <c r="JI23" s="1135"/>
      <c r="JJ23" s="1135"/>
      <c r="JK23" s="1135"/>
      <c r="JL23" s="1135"/>
      <c r="JM23" s="1135"/>
      <c r="JN23" s="1136">
        <f t="shared" si="40"/>
        <v>0</v>
      </c>
      <c r="JO23" s="1135">
        <v>0</v>
      </c>
      <c r="JP23" s="1135"/>
      <c r="JQ23" s="1135"/>
      <c r="JR23" s="1135"/>
      <c r="JS23" s="1135"/>
      <c r="JT23" s="1135"/>
      <c r="JU23" s="1135"/>
      <c r="JV23" s="1135"/>
      <c r="JW23" s="1135"/>
      <c r="JX23" s="1135"/>
      <c r="JY23" s="1135"/>
      <c r="JZ23" s="1135"/>
      <c r="KA23" s="1136">
        <f t="shared" si="41"/>
        <v>0</v>
      </c>
      <c r="KC23" s="1137" t="str">
        <f t="shared" si="42"/>
        <v/>
      </c>
      <c r="KD23" s="1138" t="str">
        <f t="shared" si="43"/>
        <v/>
      </c>
      <c r="KE23" s="1139">
        <f t="shared" si="44"/>
        <v>0</v>
      </c>
      <c r="KF23" s="1140">
        <f t="shared" si="45"/>
        <v>0</v>
      </c>
      <c r="KG23" s="1041"/>
      <c r="KH23" s="1139">
        <f t="shared" si="46"/>
        <v>294</v>
      </c>
      <c r="KI23" s="1146" t="s">
        <v>34</v>
      </c>
      <c r="KJ23" s="1147" t="str">
        <f t="shared" si="47"/>
        <v>OK</v>
      </c>
    </row>
    <row r="24" spans="1:296" ht="15" customHeight="1" x14ac:dyDescent="0.2">
      <c r="A24" s="1143" t="s">
        <v>35</v>
      </c>
      <c r="B24" s="1135"/>
      <c r="C24" s="1135"/>
      <c r="D24" s="1135"/>
      <c r="E24" s="1135"/>
      <c r="F24" s="1135"/>
      <c r="G24" s="1135"/>
      <c r="H24" s="1135"/>
      <c r="I24" s="1135"/>
      <c r="J24" s="1135"/>
      <c r="K24" s="1135"/>
      <c r="L24" s="1135"/>
      <c r="M24" s="1135">
        <v>8</v>
      </c>
      <c r="N24" s="1136">
        <f t="shared" si="20"/>
        <v>8</v>
      </c>
      <c r="O24" s="1135"/>
      <c r="P24" s="1135"/>
      <c r="Q24" s="1135"/>
      <c r="R24" s="1135"/>
      <c r="S24" s="1135"/>
      <c r="T24" s="1135"/>
      <c r="U24" s="1135"/>
      <c r="V24" s="1135"/>
      <c r="W24" s="1135"/>
      <c r="X24" s="1135"/>
      <c r="Y24" s="1135"/>
      <c r="Z24" s="1135">
        <v>9</v>
      </c>
      <c r="AA24" s="1136">
        <f t="shared" si="21"/>
        <v>9</v>
      </c>
      <c r="AB24" s="1135"/>
      <c r="AC24" s="1135"/>
      <c r="AD24" s="1135"/>
      <c r="AE24" s="1135"/>
      <c r="AF24" s="1135"/>
      <c r="AG24" s="1135"/>
      <c r="AH24" s="1135"/>
      <c r="AI24" s="1135"/>
      <c r="AJ24" s="1135"/>
      <c r="AK24" s="1135"/>
      <c r="AL24" s="1135"/>
      <c r="AM24" s="1135">
        <v>9</v>
      </c>
      <c r="AN24" s="1136">
        <f t="shared" si="22"/>
        <v>9</v>
      </c>
      <c r="AO24" s="1135"/>
      <c r="AP24" s="1135"/>
      <c r="AQ24" s="1135"/>
      <c r="AR24" s="1135"/>
      <c r="AS24" s="1135"/>
      <c r="AT24" s="1135"/>
      <c r="AU24" s="1135"/>
      <c r="AV24" s="1135"/>
      <c r="AW24" s="1135"/>
      <c r="AX24" s="1135"/>
      <c r="AY24" s="1135"/>
      <c r="AZ24" s="1135">
        <v>23</v>
      </c>
      <c r="BA24" s="1136">
        <f t="shared" si="23"/>
        <v>23</v>
      </c>
      <c r="BB24" s="1135"/>
      <c r="BC24" s="1135"/>
      <c r="BD24" s="1135"/>
      <c r="BE24" s="1135"/>
      <c r="BF24" s="1135"/>
      <c r="BG24" s="1135"/>
      <c r="BH24" s="1135"/>
      <c r="BI24" s="1135"/>
      <c r="BJ24" s="1135"/>
      <c r="BK24" s="1135"/>
      <c r="BL24" s="1135"/>
      <c r="BM24" s="1135">
        <v>9</v>
      </c>
      <c r="BN24" s="1136">
        <f t="shared" si="24"/>
        <v>9</v>
      </c>
      <c r="BO24" s="1135"/>
      <c r="BP24" s="1135"/>
      <c r="BQ24" s="1135"/>
      <c r="BR24" s="1135"/>
      <c r="BS24" s="1135"/>
      <c r="BT24" s="1135"/>
      <c r="BU24" s="1135"/>
      <c r="BV24" s="1135"/>
      <c r="BW24" s="1135"/>
      <c r="BX24" s="1135"/>
      <c r="BY24" s="1135"/>
      <c r="BZ24" s="1135">
        <v>14</v>
      </c>
      <c r="CA24" s="1136">
        <f t="shared" si="25"/>
        <v>14</v>
      </c>
      <c r="CB24" s="1135"/>
      <c r="CC24" s="1135"/>
      <c r="CD24" s="1135"/>
      <c r="CE24" s="1135"/>
      <c r="CF24" s="1135"/>
      <c r="CG24" s="1135"/>
      <c r="CH24" s="1135"/>
      <c r="CI24" s="1135"/>
      <c r="CJ24" s="1135"/>
      <c r="CK24" s="1135"/>
      <c r="CL24" s="1135"/>
      <c r="CM24" s="1135">
        <v>37</v>
      </c>
      <c r="CN24" s="1136">
        <f t="shared" si="26"/>
        <v>37</v>
      </c>
      <c r="CO24" s="1135"/>
      <c r="CP24" s="1135"/>
      <c r="CQ24" s="1135"/>
      <c r="CR24" s="1135"/>
      <c r="CS24" s="1135"/>
      <c r="CT24" s="1135"/>
      <c r="CU24" s="1135"/>
      <c r="CV24" s="1135"/>
      <c r="CW24" s="1135"/>
      <c r="CX24" s="1135"/>
      <c r="CY24" s="1135"/>
      <c r="CZ24" s="1135"/>
      <c r="DA24" s="1136">
        <f t="shared" si="27"/>
        <v>0</v>
      </c>
      <c r="DB24" s="1135"/>
      <c r="DC24" s="1135"/>
      <c r="DD24" s="1135"/>
      <c r="DE24" s="1135"/>
      <c r="DF24" s="1135"/>
      <c r="DG24" s="1135"/>
      <c r="DH24" s="1135"/>
      <c r="DI24" s="1135"/>
      <c r="DJ24" s="1135"/>
      <c r="DK24" s="1135"/>
      <c r="DL24" s="1135"/>
      <c r="DM24" s="1135"/>
      <c r="DN24" s="1136">
        <f t="shared" si="28"/>
        <v>0</v>
      </c>
      <c r="DO24" s="1135"/>
      <c r="DP24" s="1135"/>
      <c r="DQ24" s="1135"/>
      <c r="DR24" s="1135"/>
      <c r="DS24" s="1135"/>
      <c r="DT24" s="1135"/>
      <c r="DU24" s="1135"/>
      <c r="DV24" s="1135"/>
      <c r="DW24" s="1135"/>
      <c r="DX24" s="1135"/>
      <c r="DY24" s="1135"/>
      <c r="DZ24" s="1135">
        <v>13</v>
      </c>
      <c r="EA24" s="1136">
        <f t="shared" si="29"/>
        <v>13</v>
      </c>
      <c r="EB24" s="1135"/>
      <c r="EC24" s="1135"/>
      <c r="ED24" s="1135"/>
      <c r="EE24" s="1135"/>
      <c r="EF24" s="1135"/>
      <c r="EG24" s="1135"/>
      <c r="EH24" s="1135"/>
      <c r="EI24" s="1135"/>
      <c r="EJ24" s="1135"/>
      <c r="EK24" s="1135"/>
      <c r="EL24" s="1135"/>
      <c r="EM24" s="1135">
        <v>13</v>
      </c>
      <c r="EN24" s="1136">
        <f t="shared" si="30"/>
        <v>13</v>
      </c>
      <c r="EO24" s="1135"/>
      <c r="EP24" s="1135"/>
      <c r="EQ24" s="1135"/>
      <c r="ER24" s="1135"/>
      <c r="ES24" s="1135"/>
      <c r="ET24" s="1135"/>
      <c r="EU24" s="1135"/>
      <c r="EV24" s="1135"/>
      <c r="EW24" s="1135"/>
      <c r="EX24" s="1135"/>
      <c r="EY24" s="1135"/>
      <c r="EZ24" s="1135"/>
      <c r="FA24" s="1136">
        <f t="shared" si="31"/>
        <v>0</v>
      </c>
      <c r="FB24" s="1135"/>
      <c r="FC24" s="1135"/>
      <c r="FD24" s="1135"/>
      <c r="FE24" s="1135"/>
      <c r="FF24" s="1135"/>
      <c r="FG24" s="1135"/>
      <c r="FH24" s="1135"/>
      <c r="FI24" s="1135"/>
      <c r="FJ24" s="1135"/>
      <c r="FK24" s="1135"/>
      <c r="FL24" s="1135"/>
      <c r="FM24" s="1135"/>
      <c r="FN24" s="1136">
        <f t="shared" si="32"/>
        <v>0</v>
      </c>
      <c r="FO24" s="1135"/>
      <c r="FP24" s="1135"/>
      <c r="FQ24" s="1135"/>
      <c r="FR24" s="1135"/>
      <c r="FS24" s="1135"/>
      <c r="FT24" s="1135"/>
      <c r="FU24" s="1135"/>
      <c r="FV24" s="1135"/>
      <c r="FW24" s="1135"/>
      <c r="FX24" s="1135"/>
      <c r="FY24" s="1135"/>
      <c r="FZ24" s="1135"/>
      <c r="GA24" s="1136">
        <f t="shared" si="33"/>
        <v>0</v>
      </c>
      <c r="GB24" s="1135"/>
      <c r="GC24" s="1135"/>
      <c r="GD24" s="1135"/>
      <c r="GE24" s="1135"/>
      <c r="GF24" s="1135"/>
      <c r="GG24" s="1135"/>
      <c r="GH24" s="1135"/>
      <c r="GI24" s="1135"/>
      <c r="GJ24" s="1135"/>
      <c r="GK24" s="1135"/>
      <c r="GL24" s="1135"/>
      <c r="GM24" s="1135"/>
      <c r="GN24" s="1136">
        <f t="shared" si="34"/>
        <v>0</v>
      </c>
      <c r="GO24" s="1135"/>
      <c r="GP24" s="1135"/>
      <c r="GQ24" s="1135"/>
      <c r="GR24" s="1135"/>
      <c r="GS24" s="1135"/>
      <c r="GT24" s="1135"/>
      <c r="GU24" s="1135"/>
      <c r="GV24" s="1135"/>
      <c r="GW24" s="1135"/>
      <c r="GX24" s="1135"/>
      <c r="GY24" s="1135"/>
      <c r="GZ24" s="1135"/>
      <c r="HA24" s="1136">
        <f t="shared" si="35"/>
        <v>0</v>
      </c>
      <c r="HB24" s="1135"/>
      <c r="HC24" s="1135"/>
      <c r="HD24" s="1135"/>
      <c r="HE24" s="1135"/>
      <c r="HF24" s="1135"/>
      <c r="HG24" s="1135"/>
      <c r="HH24" s="1135"/>
      <c r="HI24" s="1135"/>
      <c r="HJ24" s="1135"/>
      <c r="HK24" s="1135"/>
      <c r="HL24" s="1135"/>
      <c r="HM24" s="1135"/>
      <c r="HN24" s="1136">
        <f t="shared" si="36"/>
        <v>0</v>
      </c>
      <c r="HO24" s="1135"/>
      <c r="HP24" s="1135"/>
      <c r="HQ24" s="1135"/>
      <c r="HR24" s="1135"/>
      <c r="HS24" s="1135"/>
      <c r="HT24" s="1135"/>
      <c r="HU24" s="1135"/>
      <c r="HV24" s="1135"/>
      <c r="HW24" s="1135"/>
      <c r="HX24" s="1135"/>
      <c r="HY24" s="1135"/>
      <c r="HZ24" s="1135"/>
      <c r="IA24" s="1136">
        <f t="shared" si="37"/>
        <v>0</v>
      </c>
      <c r="IB24" s="1135"/>
      <c r="IC24" s="1135"/>
      <c r="ID24" s="1135"/>
      <c r="IE24" s="1135"/>
      <c r="IF24" s="1135"/>
      <c r="IG24" s="1135"/>
      <c r="IH24" s="1135"/>
      <c r="II24" s="1135"/>
      <c r="IJ24" s="1135"/>
      <c r="IK24" s="1135"/>
      <c r="IL24" s="1135"/>
      <c r="IM24" s="1135"/>
      <c r="IN24" s="1136">
        <f t="shared" si="38"/>
        <v>0</v>
      </c>
      <c r="IO24" s="1135"/>
      <c r="IP24" s="1135"/>
      <c r="IQ24" s="1135"/>
      <c r="IR24" s="1135"/>
      <c r="IS24" s="1135"/>
      <c r="IT24" s="1135"/>
      <c r="IU24" s="1135"/>
      <c r="IV24" s="1135"/>
      <c r="IW24" s="1135"/>
      <c r="IX24" s="1135"/>
      <c r="IY24" s="1135"/>
      <c r="IZ24" s="1135"/>
      <c r="JA24" s="1136">
        <f t="shared" si="39"/>
        <v>0</v>
      </c>
      <c r="JB24" s="1135"/>
      <c r="JC24" s="1135"/>
      <c r="JD24" s="1135"/>
      <c r="JE24" s="1135"/>
      <c r="JF24" s="1135"/>
      <c r="JG24" s="1135"/>
      <c r="JH24" s="1135"/>
      <c r="JI24" s="1135"/>
      <c r="JJ24" s="1135"/>
      <c r="JK24" s="1135"/>
      <c r="JL24" s="1135"/>
      <c r="JM24" s="1135"/>
      <c r="JN24" s="1136">
        <f t="shared" si="40"/>
        <v>0</v>
      </c>
      <c r="JO24" s="1135">
        <v>0</v>
      </c>
      <c r="JP24" s="1135"/>
      <c r="JQ24" s="1135"/>
      <c r="JR24" s="1135"/>
      <c r="JS24" s="1135"/>
      <c r="JT24" s="1135"/>
      <c r="JU24" s="1135"/>
      <c r="JV24" s="1135"/>
      <c r="JW24" s="1135"/>
      <c r="JX24" s="1135"/>
      <c r="JY24" s="1135"/>
      <c r="JZ24" s="1135"/>
      <c r="KA24" s="1136">
        <f t="shared" si="41"/>
        <v>0</v>
      </c>
      <c r="KC24" s="1137" t="str">
        <f t="shared" si="42"/>
        <v/>
      </c>
      <c r="KD24" s="1138" t="str">
        <f t="shared" si="43"/>
        <v/>
      </c>
      <c r="KE24" s="1139">
        <f t="shared" si="44"/>
        <v>0</v>
      </c>
      <c r="KF24" s="1140">
        <f t="shared" si="45"/>
        <v>0</v>
      </c>
      <c r="KG24" s="1041"/>
      <c r="KH24" s="1139">
        <f t="shared" si="46"/>
        <v>270</v>
      </c>
      <c r="KI24" s="1146" t="s">
        <v>35</v>
      </c>
      <c r="KJ24" s="1147" t="str">
        <f t="shared" si="47"/>
        <v>OK</v>
      </c>
    </row>
    <row r="25" spans="1:296" ht="15" customHeight="1" x14ac:dyDescent="0.2">
      <c r="A25" s="1143" t="s">
        <v>36</v>
      </c>
      <c r="B25" s="1135"/>
      <c r="C25" s="1135"/>
      <c r="D25" s="1135"/>
      <c r="E25" s="1135"/>
      <c r="F25" s="1135"/>
      <c r="G25" s="1135"/>
      <c r="H25" s="1135"/>
      <c r="I25" s="1135"/>
      <c r="J25" s="1135"/>
      <c r="K25" s="1135"/>
      <c r="L25" s="1135"/>
      <c r="M25" s="1135">
        <v>49</v>
      </c>
      <c r="N25" s="1136">
        <f t="shared" si="20"/>
        <v>49</v>
      </c>
      <c r="O25" s="1135"/>
      <c r="P25" s="1135"/>
      <c r="Q25" s="1135"/>
      <c r="R25" s="1135"/>
      <c r="S25" s="1135"/>
      <c r="T25" s="1135"/>
      <c r="U25" s="1135"/>
      <c r="V25" s="1135"/>
      <c r="W25" s="1135"/>
      <c r="X25" s="1135"/>
      <c r="Y25" s="1135"/>
      <c r="Z25" s="1135">
        <v>76.5</v>
      </c>
      <c r="AA25" s="1136">
        <f t="shared" si="21"/>
        <v>76.5</v>
      </c>
      <c r="AB25" s="1135"/>
      <c r="AC25" s="1135"/>
      <c r="AD25" s="1135"/>
      <c r="AE25" s="1135"/>
      <c r="AF25" s="1135"/>
      <c r="AG25" s="1135"/>
      <c r="AH25" s="1135"/>
      <c r="AI25" s="1135"/>
      <c r="AJ25" s="1135"/>
      <c r="AK25" s="1135"/>
      <c r="AL25" s="1135"/>
      <c r="AM25" s="1135">
        <v>41</v>
      </c>
      <c r="AN25" s="1136">
        <f t="shared" si="22"/>
        <v>41</v>
      </c>
      <c r="AO25" s="1135"/>
      <c r="AP25" s="1135"/>
      <c r="AQ25" s="1135"/>
      <c r="AR25" s="1135"/>
      <c r="AS25" s="1135"/>
      <c r="AT25" s="1135"/>
      <c r="AU25" s="1135"/>
      <c r="AV25" s="1135"/>
      <c r="AW25" s="1135"/>
      <c r="AX25" s="1135"/>
      <c r="AY25" s="1135"/>
      <c r="AZ25" s="1135">
        <v>22</v>
      </c>
      <c r="BA25" s="1136">
        <f t="shared" si="23"/>
        <v>22</v>
      </c>
      <c r="BB25" s="1135"/>
      <c r="BC25" s="1135"/>
      <c r="BD25" s="1135"/>
      <c r="BE25" s="1135"/>
      <c r="BF25" s="1135"/>
      <c r="BG25" s="1135"/>
      <c r="BH25" s="1135"/>
      <c r="BI25" s="1135"/>
      <c r="BJ25" s="1135"/>
      <c r="BK25" s="1135"/>
      <c r="BL25" s="1135"/>
      <c r="BM25" s="1135">
        <v>10</v>
      </c>
      <c r="BN25" s="1136">
        <f t="shared" si="24"/>
        <v>10</v>
      </c>
      <c r="BO25" s="1135"/>
      <c r="BP25" s="1135"/>
      <c r="BQ25" s="1135"/>
      <c r="BR25" s="1135"/>
      <c r="BS25" s="1135"/>
      <c r="BT25" s="1135"/>
      <c r="BU25" s="1135"/>
      <c r="BV25" s="1135"/>
      <c r="BW25" s="1135"/>
      <c r="BX25" s="1135"/>
      <c r="BY25" s="1135"/>
      <c r="BZ25" s="1135">
        <v>9</v>
      </c>
      <c r="CA25" s="1136">
        <f t="shared" si="25"/>
        <v>9</v>
      </c>
      <c r="CB25" s="1135"/>
      <c r="CC25" s="1135"/>
      <c r="CD25" s="1135"/>
      <c r="CE25" s="1135"/>
      <c r="CF25" s="1135"/>
      <c r="CG25" s="1135"/>
      <c r="CH25" s="1135"/>
      <c r="CI25" s="1135"/>
      <c r="CJ25" s="1135"/>
      <c r="CK25" s="1135"/>
      <c r="CL25" s="1135"/>
      <c r="CM25" s="1135">
        <v>4</v>
      </c>
      <c r="CN25" s="1136">
        <f t="shared" si="26"/>
        <v>4</v>
      </c>
      <c r="CO25" s="1135"/>
      <c r="CP25" s="1135"/>
      <c r="CQ25" s="1135"/>
      <c r="CR25" s="1135"/>
      <c r="CS25" s="1135"/>
      <c r="CT25" s="1135"/>
      <c r="CU25" s="1135"/>
      <c r="CV25" s="1135"/>
      <c r="CW25" s="1135"/>
      <c r="CX25" s="1135"/>
      <c r="CY25" s="1135"/>
      <c r="CZ25" s="1135">
        <v>4</v>
      </c>
      <c r="DA25" s="1136">
        <f t="shared" si="27"/>
        <v>4</v>
      </c>
      <c r="DB25" s="1135"/>
      <c r="DC25" s="1135"/>
      <c r="DD25" s="1135"/>
      <c r="DE25" s="1135"/>
      <c r="DF25" s="1135"/>
      <c r="DG25" s="1135"/>
      <c r="DH25" s="1135"/>
      <c r="DI25" s="1135"/>
      <c r="DJ25" s="1135"/>
      <c r="DK25" s="1135"/>
      <c r="DL25" s="1135"/>
      <c r="DM25" s="1135">
        <v>5</v>
      </c>
      <c r="DN25" s="1136">
        <f t="shared" si="28"/>
        <v>5</v>
      </c>
      <c r="DO25" s="1135"/>
      <c r="DP25" s="1135"/>
      <c r="DQ25" s="1135"/>
      <c r="DR25" s="1135"/>
      <c r="DS25" s="1135"/>
      <c r="DT25" s="1135"/>
      <c r="DU25" s="1135"/>
      <c r="DV25" s="1135"/>
      <c r="DW25" s="1135"/>
      <c r="DX25" s="1135"/>
      <c r="DY25" s="1135"/>
      <c r="DZ25" s="1135">
        <v>3</v>
      </c>
      <c r="EA25" s="1136">
        <f t="shared" si="29"/>
        <v>3</v>
      </c>
      <c r="EB25" s="1135"/>
      <c r="EC25" s="1135"/>
      <c r="ED25" s="1135"/>
      <c r="EE25" s="1135"/>
      <c r="EF25" s="1135"/>
      <c r="EG25" s="1135"/>
      <c r="EH25" s="1135"/>
      <c r="EI25" s="1135"/>
      <c r="EJ25" s="1135"/>
      <c r="EK25" s="1135"/>
      <c r="EL25" s="1135"/>
      <c r="EM25" s="1135">
        <v>3</v>
      </c>
      <c r="EN25" s="1136">
        <f t="shared" si="30"/>
        <v>3</v>
      </c>
      <c r="EO25" s="1135"/>
      <c r="EP25" s="1135"/>
      <c r="EQ25" s="1135"/>
      <c r="ER25" s="1135"/>
      <c r="ES25" s="1135"/>
      <c r="ET25" s="1135"/>
      <c r="EU25" s="1135"/>
      <c r="EV25" s="1135"/>
      <c r="EW25" s="1135"/>
      <c r="EX25" s="1135"/>
      <c r="EY25" s="1135"/>
      <c r="EZ25" s="1135"/>
      <c r="FA25" s="1136">
        <f t="shared" si="31"/>
        <v>0</v>
      </c>
      <c r="FB25" s="1135"/>
      <c r="FC25" s="1135"/>
      <c r="FD25" s="1135"/>
      <c r="FE25" s="1135"/>
      <c r="FF25" s="1135"/>
      <c r="FG25" s="1135"/>
      <c r="FH25" s="1135"/>
      <c r="FI25" s="1135"/>
      <c r="FJ25" s="1135"/>
      <c r="FK25" s="1135"/>
      <c r="FL25" s="1135"/>
      <c r="FM25" s="1135"/>
      <c r="FN25" s="1136">
        <f t="shared" si="32"/>
        <v>0</v>
      </c>
      <c r="FO25" s="1135"/>
      <c r="FP25" s="1135"/>
      <c r="FQ25" s="1135"/>
      <c r="FR25" s="1135"/>
      <c r="FS25" s="1135"/>
      <c r="FT25" s="1135"/>
      <c r="FU25" s="1135"/>
      <c r="FV25" s="1135"/>
      <c r="FW25" s="1135"/>
      <c r="FX25" s="1135"/>
      <c r="FY25" s="1135"/>
      <c r="FZ25" s="1135"/>
      <c r="GA25" s="1136">
        <f t="shared" si="33"/>
        <v>0</v>
      </c>
      <c r="GB25" s="1135"/>
      <c r="GC25" s="1135"/>
      <c r="GD25" s="1135"/>
      <c r="GE25" s="1135"/>
      <c r="GF25" s="1135"/>
      <c r="GG25" s="1135"/>
      <c r="GH25" s="1135"/>
      <c r="GI25" s="1135"/>
      <c r="GJ25" s="1135"/>
      <c r="GK25" s="1135"/>
      <c r="GL25" s="1135"/>
      <c r="GM25" s="1135"/>
      <c r="GN25" s="1136">
        <f t="shared" si="34"/>
        <v>0</v>
      </c>
      <c r="GO25" s="1135"/>
      <c r="GP25" s="1135"/>
      <c r="GQ25" s="1135"/>
      <c r="GR25" s="1135"/>
      <c r="GS25" s="1135"/>
      <c r="GT25" s="1135"/>
      <c r="GU25" s="1135"/>
      <c r="GV25" s="1135"/>
      <c r="GW25" s="1135"/>
      <c r="GX25" s="1135"/>
      <c r="GY25" s="1135"/>
      <c r="GZ25" s="1135"/>
      <c r="HA25" s="1136">
        <f t="shared" si="35"/>
        <v>0</v>
      </c>
      <c r="HB25" s="1135"/>
      <c r="HC25" s="1135"/>
      <c r="HD25" s="1135"/>
      <c r="HE25" s="1135"/>
      <c r="HF25" s="1135"/>
      <c r="HG25" s="1135"/>
      <c r="HH25" s="1135"/>
      <c r="HI25" s="1135"/>
      <c r="HJ25" s="1135"/>
      <c r="HK25" s="1135"/>
      <c r="HL25" s="1135"/>
      <c r="HM25" s="1135"/>
      <c r="HN25" s="1136">
        <f t="shared" si="36"/>
        <v>0</v>
      </c>
      <c r="HO25" s="1135"/>
      <c r="HP25" s="1135"/>
      <c r="HQ25" s="1135"/>
      <c r="HR25" s="1135"/>
      <c r="HS25" s="1135"/>
      <c r="HT25" s="1135"/>
      <c r="HU25" s="1135"/>
      <c r="HV25" s="1135"/>
      <c r="HW25" s="1135"/>
      <c r="HX25" s="1135"/>
      <c r="HY25" s="1135"/>
      <c r="HZ25" s="1135"/>
      <c r="IA25" s="1136">
        <f t="shared" si="37"/>
        <v>0</v>
      </c>
      <c r="IB25" s="1135"/>
      <c r="IC25" s="1135"/>
      <c r="ID25" s="1135"/>
      <c r="IE25" s="1135"/>
      <c r="IF25" s="1135"/>
      <c r="IG25" s="1135"/>
      <c r="IH25" s="1135"/>
      <c r="II25" s="1135"/>
      <c r="IJ25" s="1135"/>
      <c r="IK25" s="1135"/>
      <c r="IL25" s="1135"/>
      <c r="IM25" s="1135"/>
      <c r="IN25" s="1136">
        <f t="shared" si="38"/>
        <v>0</v>
      </c>
      <c r="IO25" s="1135"/>
      <c r="IP25" s="1135"/>
      <c r="IQ25" s="1135"/>
      <c r="IR25" s="1135"/>
      <c r="IS25" s="1135"/>
      <c r="IT25" s="1135"/>
      <c r="IU25" s="1135"/>
      <c r="IV25" s="1135"/>
      <c r="IW25" s="1135"/>
      <c r="IX25" s="1135"/>
      <c r="IY25" s="1135"/>
      <c r="IZ25" s="1135"/>
      <c r="JA25" s="1136">
        <f t="shared" si="39"/>
        <v>0</v>
      </c>
      <c r="JB25" s="1135"/>
      <c r="JC25" s="1135"/>
      <c r="JD25" s="1135"/>
      <c r="JE25" s="1135"/>
      <c r="JF25" s="1135"/>
      <c r="JG25" s="1135"/>
      <c r="JH25" s="1135"/>
      <c r="JI25" s="1135"/>
      <c r="JJ25" s="1135"/>
      <c r="JK25" s="1135"/>
      <c r="JL25" s="1135"/>
      <c r="JM25" s="1135"/>
      <c r="JN25" s="1136">
        <f t="shared" si="40"/>
        <v>0</v>
      </c>
      <c r="JO25" s="1135">
        <v>0</v>
      </c>
      <c r="JP25" s="1135"/>
      <c r="JQ25" s="1135"/>
      <c r="JR25" s="1135"/>
      <c r="JS25" s="1135"/>
      <c r="JT25" s="1135"/>
      <c r="JU25" s="1135"/>
      <c r="JV25" s="1135"/>
      <c r="JW25" s="1135"/>
      <c r="JX25" s="1135"/>
      <c r="JY25" s="1135"/>
      <c r="JZ25" s="1135"/>
      <c r="KA25" s="1136">
        <f t="shared" si="41"/>
        <v>0</v>
      </c>
      <c r="KC25" s="1137" t="str">
        <f t="shared" si="42"/>
        <v/>
      </c>
      <c r="KD25" s="1138" t="str">
        <f t="shared" si="43"/>
        <v/>
      </c>
      <c r="KE25" s="1139">
        <f t="shared" si="44"/>
        <v>0</v>
      </c>
      <c r="KF25" s="1140">
        <f t="shared" si="45"/>
        <v>0</v>
      </c>
      <c r="KG25" s="1041"/>
      <c r="KH25" s="1139">
        <f t="shared" si="46"/>
        <v>453</v>
      </c>
      <c r="KI25" s="1146" t="s">
        <v>36</v>
      </c>
      <c r="KJ25" s="1147" t="str">
        <f t="shared" si="47"/>
        <v>OK</v>
      </c>
    </row>
    <row r="26" spans="1:296" ht="15" customHeight="1" x14ac:dyDescent="0.2">
      <c r="A26" s="1143" t="s">
        <v>48</v>
      </c>
      <c r="B26" s="1135"/>
      <c r="C26" s="1135"/>
      <c r="D26" s="1135"/>
      <c r="E26" s="1135"/>
      <c r="F26" s="1135"/>
      <c r="G26" s="1135"/>
      <c r="H26" s="1135"/>
      <c r="I26" s="1135"/>
      <c r="J26" s="1135"/>
      <c r="K26" s="1135"/>
      <c r="L26" s="1135"/>
      <c r="M26" s="1135"/>
      <c r="N26" s="1136">
        <f t="shared" si="20"/>
        <v>0</v>
      </c>
      <c r="O26" s="1135"/>
      <c r="P26" s="1135"/>
      <c r="Q26" s="1135"/>
      <c r="R26" s="1135"/>
      <c r="S26" s="1135"/>
      <c r="T26" s="1135"/>
      <c r="U26" s="1135"/>
      <c r="V26" s="1135"/>
      <c r="W26" s="1135"/>
      <c r="X26" s="1135"/>
      <c r="Y26" s="1135"/>
      <c r="Z26" s="1135"/>
      <c r="AA26" s="1136">
        <f t="shared" si="21"/>
        <v>0</v>
      </c>
      <c r="AB26" s="1135"/>
      <c r="AC26" s="1135"/>
      <c r="AD26" s="1135"/>
      <c r="AE26" s="1135"/>
      <c r="AF26" s="1135"/>
      <c r="AG26" s="1135"/>
      <c r="AH26" s="1135"/>
      <c r="AI26" s="1135"/>
      <c r="AJ26" s="1135"/>
      <c r="AK26" s="1135"/>
      <c r="AL26" s="1135"/>
      <c r="AM26" s="1135"/>
      <c r="AN26" s="1136">
        <f t="shared" si="22"/>
        <v>0</v>
      </c>
      <c r="AO26" s="1135"/>
      <c r="AP26" s="1135"/>
      <c r="AQ26" s="1135"/>
      <c r="AR26" s="1135"/>
      <c r="AS26" s="1135"/>
      <c r="AT26" s="1135"/>
      <c r="AU26" s="1135"/>
      <c r="AV26" s="1135"/>
      <c r="AW26" s="1135"/>
      <c r="AX26" s="1135"/>
      <c r="AY26" s="1135"/>
      <c r="AZ26" s="1135"/>
      <c r="BA26" s="1136">
        <f t="shared" si="23"/>
        <v>0</v>
      </c>
      <c r="BB26" s="1135"/>
      <c r="BC26" s="1135"/>
      <c r="BD26" s="1135"/>
      <c r="BE26" s="1135"/>
      <c r="BF26" s="1135"/>
      <c r="BG26" s="1135"/>
      <c r="BH26" s="1135"/>
      <c r="BI26" s="1135"/>
      <c r="BJ26" s="1135"/>
      <c r="BK26" s="1135"/>
      <c r="BL26" s="1135"/>
      <c r="BM26" s="1135"/>
      <c r="BN26" s="1136">
        <f t="shared" si="24"/>
        <v>0</v>
      </c>
      <c r="BO26" s="1135"/>
      <c r="BP26" s="1135"/>
      <c r="BQ26" s="1135"/>
      <c r="BR26" s="1135"/>
      <c r="BS26" s="1135"/>
      <c r="BT26" s="1135"/>
      <c r="BU26" s="1135"/>
      <c r="BV26" s="1135"/>
      <c r="BW26" s="1135"/>
      <c r="BX26" s="1135"/>
      <c r="BY26" s="1135"/>
      <c r="BZ26" s="1135"/>
      <c r="CA26" s="1136">
        <f t="shared" si="25"/>
        <v>0</v>
      </c>
      <c r="CB26" s="1135"/>
      <c r="CC26" s="1135"/>
      <c r="CD26" s="1135"/>
      <c r="CE26" s="1135"/>
      <c r="CF26" s="1135"/>
      <c r="CG26" s="1135"/>
      <c r="CH26" s="1135"/>
      <c r="CI26" s="1135"/>
      <c r="CJ26" s="1135"/>
      <c r="CK26" s="1135"/>
      <c r="CL26" s="1135"/>
      <c r="CM26" s="1135"/>
      <c r="CN26" s="1136">
        <f t="shared" si="26"/>
        <v>0</v>
      </c>
      <c r="CO26" s="1135"/>
      <c r="CP26" s="1135"/>
      <c r="CQ26" s="1135"/>
      <c r="CR26" s="1135"/>
      <c r="CS26" s="1135"/>
      <c r="CT26" s="1135"/>
      <c r="CU26" s="1135"/>
      <c r="CV26" s="1135"/>
      <c r="CW26" s="1135"/>
      <c r="CX26" s="1135"/>
      <c r="CY26" s="1135"/>
      <c r="CZ26" s="1135"/>
      <c r="DA26" s="1136">
        <f t="shared" si="27"/>
        <v>0</v>
      </c>
      <c r="DB26" s="1135"/>
      <c r="DC26" s="1135"/>
      <c r="DD26" s="1135"/>
      <c r="DE26" s="1135"/>
      <c r="DF26" s="1135"/>
      <c r="DG26" s="1135"/>
      <c r="DH26" s="1135"/>
      <c r="DI26" s="1135"/>
      <c r="DJ26" s="1135"/>
      <c r="DK26" s="1135"/>
      <c r="DL26" s="1135"/>
      <c r="DM26" s="1135"/>
      <c r="DN26" s="1136">
        <f t="shared" si="28"/>
        <v>0</v>
      </c>
      <c r="DO26" s="1135"/>
      <c r="DP26" s="1135"/>
      <c r="DQ26" s="1135"/>
      <c r="DR26" s="1135"/>
      <c r="DS26" s="1135"/>
      <c r="DT26" s="1135"/>
      <c r="DU26" s="1135"/>
      <c r="DV26" s="1135"/>
      <c r="DW26" s="1135"/>
      <c r="DX26" s="1135"/>
      <c r="DY26" s="1135"/>
      <c r="DZ26" s="1135"/>
      <c r="EA26" s="1136">
        <f t="shared" si="29"/>
        <v>0</v>
      </c>
      <c r="EB26" s="1135"/>
      <c r="EC26" s="1135"/>
      <c r="ED26" s="1135"/>
      <c r="EE26" s="1135"/>
      <c r="EF26" s="1135"/>
      <c r="EG26" s="1135"/>
      <c r="EH26" s="1135"/>
      <c r="EI26" s="1135"/>
      <c r="EJ26" s="1135"/>
      <c r="EK26" s="1135"/>
      <c r="EL26" s="1135"/>
      <c r="EM26" s="1135"/>
      <c r="EN26" s="1136">
        <f t="shared" si="30"/>
        <v>0</v>
      </c>
      <c r="EO26" s="1135"/>
      <c r="EP26" s="1135"/>
      <c r="EQ26" s="1135"/>
      <c r="ER26" s="1135"/>
      <c r="ES26" s="1135"/>
      <c r="ET26" s="1135"/>
      <c r="EU26" s="1135"/>
      <c r="EV26" s="1135"/>
      <c r="EW26" s="1135"/>
      <c r="EX26" s="1135"/>
      <c r="EY26" s="1135"/>
      <c r="EZ26" s="1135"/>
      <c r="FA26" s="1136">
        <f t="shared" si="31"/>
        <v>0</v>
      </c>
      <c r="FB26" s="1135"/>
      <c r="FC26" s="1135"/>
      <c r="FD26" s="1135"/>
      <c r="FE26" s="1135"/>
      <c r="FF26" s="1135"/>
      <c r="FG26" s="1135"/>
      <c r="FH26" s="1135"/>
      <c r="FI26" s="1135"/>
      <c r="FJ26" s="1135"/>
      <c r="FK26" s="1135"/>
      <c r="FL26" s="1135"/>
      <c r="FM26" s="1135"/>
      <c r="FN26" s="1136">
        <f t="shared" si="32"/>
        <v>0</v>
      </c>
      <c r="FO26" s="1135"/>
      <c r="FP26" s="1135"/>
      <c r="FQ26" s="1135"/>
      <c r="FR26" s="1135"/>
      <c r="FS26" s="1135"/>
      <c r="FT26" s="1135"/>
      <c r="FU26" s="1135"/>
      <c r="FV26" s="1135"/>
      <c r="FW26" s="1135"/>
      <c r="FX26" s="1135"/>
      <c r="FY26" s="1135"/>
      <c r="FZ26" s="1135"/>
      <c r="GA26" s="1136">
        <f t="shared" si="33"/>
        <v>0</v>
      </c>
      <c r="GB26" s="1135"/>
      <c r="GC26" s="1135"/>
      <c r="GD26" s="1135"/>
      <c r="GE26" s="1135"/>
      <c r="GF26" s="1135"/>
      <c r="GG26" s="1135"/>
      <c r="GH26" s="1135"/>
      <c r="GI26" s="1135"/>
      <c r="GJ26" s="1135"/>
      <c r="GK26" s="1135"/>
      <c r="GL26" s="1135"/>
      <c r="GM26" s="1135"/>
      <c r="GN26" s="1136">
        <f t="shared" si="34"/>
        <v>0</v>
      </c>
      <c r="GO26" s="1135"/>
      <c r="GP26" s="1135"/>
      <c r="GQ26" s="1135"/>
      <c r="GR26" s="1135"/>
      <c r="GS26" s="1135"/>
      <c r="GT26" s="1135"/>
      <c r="GU26" s="1135"/>
      <c r="GV26" s="1135"/>
      <c r="GW26" s="1135"/>
      <c r="GX26" s="1135"/>
      <c r="GY26" s="1135"/>
      <c r="GZ26" s="1135"/>
      <c r="HA26" s="1136">
        <f t="shared" si="35"/>
        <v>0</v>
      </c>
      <c r="HB26" s="1135"/>
      <c r="HC26" s="1135"/>
      <c r="HD26" s="1135"/>
      <c r="HE26" s="1135"/>
      <c r="HF26" s="1135"/>
      <c r="HG26" s="1135"/>
      <c r="HH26" s="1135"/>
      <c r="HI26" s="1135"/>
      <c r="HJ26" s="1135"/>
      <c r="HK26" s="1135"/>
      <c r="HL26" s="1135"/>
      <c r="HM26" s="1135"/>
      <c r="HN26" s="1136">
        <f t="shared" si="36"/>
        <v>0</v>
      </c>
      <c r="HO26" s="1135"/>
      <c r="HP26" s="1135"/>
      <c r="HQ26" s="1135"/>
      <c r="HR26" s="1135"/>
      <c r="HS26" s="1135"/>
      <c r="HT26" s="1135"/>
      <c r="HU26" s="1135"/>
      <c r="HV26" s="1135"/>
      <c r="HW26" s="1135"/>
      <c r="HX26" s="1135"/>
      <c r="HY26" s="1135"/>
      <c r="HZ26" s="1135"/>
      <c r="IA26" s="1136">
        <f t="shared" si="37"/>
        <v>0</v>
      </c>
      <c r="IB26" s="1135"/>
      <c r="IC26" s="1135"/>
      <c r="ID26" s="1135"/>
      <c r="IE26" s="1135"/>
      <c r="IF26" s="1135"/>
      <c r="IG26" s="1135"/>
      <c r="IH26" s="1135"/>
      <c r="II26" s="1135"/>
      <c r="IJ26" s="1135"/>
      <c r="IK26" s="1135"/>
      <c r="IL26" s="1135"/>
      <c r="IM26" s="1135"/>
      <c r="IN26" s="1136">
        <f t="shared" si="38"/>
        <v>0</v>
      </c>
      <c r="IO26" s="1135"/>
      <c r="IP26" s="1135"/>
      <c r="IQ26" s="1135"/>
      <c r="IR26" s="1135"/>
      <c r="IS26" s="1135"/>
      <c r="IT26" s="1135"/>
      <c r="IU26" s="1135"/>
      <c r="IV26" s="1135"/>
      <c r="IW26" s="1135"/>
      <c r="IX26" s="1135"/>
      <c r="IY26" s="1135"/>
      <c r="IZ26" s="1135"/>
      <c r="JA26" s="1136">
        <f t="shared" si="39"/>
        <v>0</v>
      </c>
      <c r="JB26" s="1135"/>
      <c r="JC26" s="1135"/>
      <c r="JD26" s="1135"/>
      <c r="JE26" s="1135"/>
      <c r="JF26" s="1135"/>
      <c r="JG26" s="1135"/>
      <c r="JH26" s="1135"/>
      <c r="JI26" s="1135"/>
      <c r="JJ26" s="1135"/>
      <c r="JK26" s="1135"/>
      <c r="JL26" s="1135"/>
      <c r="JM26" s="1135"/>
      <c r="JN26" s="1136">
        <f t="shared" si="40"/>
        <v>0</v>
      </c>
      <c r="JO26" s="1135"/>
      <c r="JP26" s="1135"/>
      <c r="JQ26" s="1135"/>
      <c r="JR26" s="1135"/>
      <c r="JS26" s="1135"/>
      <c r="JT26" s="1135"/>
      <c r="JU26" s="1135"/>
      <c r="JV26" s="1135"/>
      <c r="JW26" s="1135"/>
      <c r="JX26" s="1135"/>
      <c r="JY26" s="1135"/>
      <c r="JZ26" s="1135"/>
      <c r="KA26" s="1136">
        <f t="shared" si="41"/>
        <v>0</v>
      </c>
      <c r="KC26" s="1137" t="str">
        <f t="shared" si="42"/>
        <v/>
      </c>
      <c r="KD26" s="1138" t="str">
        <f t="shared" si="43"/>
        <v/>
      </c>
      <c r="KE26" s="1139">
        <f t="shared" si="44"/>
        <v>0</v>
      </c>
      <c r="KF26" s="1140">
        <f t="shared" si="45"/>
        <v>0</v>
      </c>
      <c r="KG26" s="1041"/>
      <c r="KH26" s="1139">
        <f t="shared" si="46"/>
        <v>0</v>
      </c>
      <c r="KI26" s="1146" t="s">
        <v>48</v>
      </c>
      <c r="KJ26" s="1147" t="str">
        <f t="shared" si="47"/>
        <v>OK</v>
      </c>
    </row>
    <row r="27" spans="1:296" ht="15" customHeight="1" x14ac:dyDescent="0.2">
      <c r="A27" s="1143" t="s">
        <v>37</v>
      </c>
      <c r="B27" s="1135"/>
      <c r="C27" s="1135"/>
      <c r="D27" s="1135"/>
      <c r="E27" s="1135"/>
      <c r="F27" s="1135"/>
      <c r="G27" s="1135"/>
      <c r="H27" s="1135"/>
      <c r="I27" s="1135"/>
      <c r="J27" s="1135"/>
      <c r="K27" s="1135"/>
      <c r="L27" s="1135"/>
      <c r="M27" s="1135">
        <v>1251</v>
      </c>
      <c r="N27" s="1136">
        <f t="shared" si="20"/>
        <v>1251</v>
      </c>
      <c r="O27" s="1135"/>
      <c r="P27" s="1135"/>
      <c r="Q27" s="1135"/>
      <c r="R27" s="1135"/>
      <c r="S27" s="1135"/>
      <c r="T27" s="1135"/>
      <c r="U27" s="1135"/>
      <c r="V27" s="1135"/>
      <c r="W27" s="1135"/>
      <c r="X27" s="1135"/>
      <c r="Y27" s="1135"/>
      <c r="Z27" s="1135">
        <v>1261.5</v>
      </c>
      <c r="AA27" s="1136">
        <f t="shared" si="21"/>
        <v>1261.5</v>
      </c>
      <c r="AB27" s="1135"/>
      <c r="AC27" s="1135"/>
      <c r="AD27" s="1135"/>
      <c r="AE27" s="1135"/>
      <c r="AF27" s="1135"/>
      <c r="AG27" s="1135"/>
      <c r="AH27" s="1135"/>
      <c r="AI27" s="1135"/>
      <c r="AJ27" s="1135"/>
      <c r="AK27" s="1135"/>
      <c r="AL27" s="1135"/>
      <c r="AM27" s="1135">
        <v>1258</v>
      </c>
      <c r="AN27" s="1136">
        <f t="shared" si="22"/>
        <v>1258</v>
      </c>
      <c r="AO27" s="1135"/>
      <c r="AP27" s="1135"/>
      <c r="AQ27" s="1135"/>
      <c r="AR27" s="1135"/>
      <c r="AS27" s="1135"/>
      <c r="AT27" s="1135"/>
      <c r="AU27" s="1135"/>
      <c r="AV27" s="1135"/>
      <c r="AW27" s="1135"/>
      <c r="AX27" s="1135"/>
      <c r="AY27" s="1135"/>
      <c r="AZ27" s="1135">
        <v>1212</v>
      </c>
      <c r="BA27" s="1136">
        <f t="shared" si="23"/>
        <v>1212</v>
      </c>
      <c r="BB27" s="1135"/>
      <c r="BC27" s="1135"/>
      <c r="BD27" s="1135"/>
      <c r="BE27" s="1135"/>
      <c r="BF27" s="1135"/>
      <c r="BG27" s="1135"/>
      <c r="BH27" s="1135"/>
      <c r="BI27" s="1135"/>
      <c r="BJ27" s="1135"/>
      <c r="BK27" s="1135"/>
      <c r="BL27" s="1135"/>
      <c r="BM27" s="1135">
        <v>1217</v>
      </c>
      <c r="BN27" s="1136">
        <f t="shared" si="24"/>
        <v>1217</v>
      </c>
      <c r="BO27" s="1135"/>
      <c r="BP27" s="1135"/>
      <c r="BQ27" s="1135"/>
      <c r="BR27" s="1135"/>
      <c r="BS27" s="1135"/>
      <c r="BT27" s="1135"/>
      <c r="BU27" s="1135"/>
      <c r="BV27" s="1135"/>
      <c r="BW27" s="1135"/>
      <c r="BX27" s="1135"/>
      <c r="BY27" s="1135"/>
      <c r="BZ27" s="1135">
        <v>1218</v>
      </c>
      <c r="CA27" s="1136">
        <f t="shared" si="25"/>
        <v>1218</v>
      </c>
      <c r="CB27" s="1135"/>
      <c r="CC27" s="1135"/>
      <c r="CD27" s="1135"/>
      <c r="CE27" s="1135"/>
      <c r="CF27" s="1135"/>
      <c r="CG27" s="1135"/>
      <c r="CH27" s="1135"/>
      <c r="CI27" s="1135"/>
      <c r="CJ27" s="1135"/>
      <c r="CK27" s="1135"/>
      <c r="CL27" s="1135"/>
      <c r="CM27" s="1135">
        <v>1060</v>
      </c>
      <c r="CN27" s="1136">
        <f t="shared" si="26"/>
        <v>1060</v>
      </c>
      <c r="CO27" s="1135"/>
      <c r="CP27" s="1135"/>
      <c r="CQ27" s="1135"/>
      <c r="CR27" s="1135"/>
      <c r="CS27" s="1135"/>
      <c r="CT27" s="1135"/>
      <c r="CU27" s="1135"/>
      <c r="CV27" s="1135"/>
      <c r="CW27" s="1135"/>
      <c r="CX27" s="1135"/>
      <c r="CY27" s="1135"/>
      <c r="CZ27" s="1135">
        <v>36</v>
      </c>
      <c r="DA27" s="1136">
        <f t="shared" si="27"/>
        <v>36</v>
      </c>
      <c r="DB27" s="1135"/>
      <c r="DC27" s="1135"/>
      <c r="DD27" s="1135"/>
      <c r="DE27" s="1135"/>
      <c r="DF27" s="1135"/>
      <c r="DG27" s="1135"/>
      <c r="DH27" s="1135"/>
      <c r="DI27" s="1135"/>
      <c r="DJ27" s="1135"/>
      <c r="DK27" s="1135"/>
      <c r="DL27" s="1135"/>
      <c r="DM27" s="1135">
        <v>647</v>
      </c>
      <c r="DN27" s="1136">
        <f t="shared" si="28"/>
        <v>647</v>
      </c>
      <c r="DO27" s="1135"/>
      <c r="DP27" s="1135"/>
      <c r="DQ27" s="1135"/>
      <c r="DR27" s="1135"/>
      <c r="DS27" s="1135"/>
      <c r="DT27" s="1135"/>
      <c r="DU27" s="1135"/>
      <c r="DV27" s="1135"/>
      <c r="DW27" s="1135"/>
      <c r="DX27" s="1135"/>
      <c r="DY27" s="1135"/>
      <c r="DZ27" s="1135">
        <v>1210</v>
      </c>
      <c r="EA27" s="1136">
        <f t="shared" si="29"/>
        <v>1210</v>
      </c>
      <c r="EB27" s="1135"/>
      <c r="EC27" s="1135"/>
      <c r="ED27" s="1135"/>
      <c r="EE27" s="1135"/>
      <c r="EF27" s="1135"/>
      <c r="EG27" s="1135"/>
      <c r="EH27" s="1135"/>
      <c r="EI27" s="1135"/>
      <c r="EJ27" s="1135"/>
      <c r="EK27" s="1135"/>
      <c r="EL27" s="1135"/>
      <c r="EM27" s="1135">
        <v>1210</v>
      </c>
      <c r="EN27" s="1136">
        <f t="shared" si="30"/>
        <v>1210</v>
      </c>
      <c r="EO27" s="1135"/>
      <c r="EP27" s="1135"/>
      <c r="EQ27" s="1135"/>
      <c r="ER27" s="1135"/>
      <c r="ES27" s="1135"/>
      <c r="ET27" s="1135"/>
      <c r="EU27" s="1135"/>
      <c r="EV27" s="1135"/>
      <c r="EW27" s="1135"/>
      <c r="EX27" s="1135"/>
      <c r="EY27" s="1135"/>
      <c r="EZ27" s="1135"/>
      <c r="FA27" s="1136">
        <f t="shared" si="31"/>
        <v>0</v>
      </c>
      <c r="FB27" s="1135"/>
      <c r="FC27" s="1135"/>
      <c r="FD27" s="1135"/>
      <c r="FE27" s="1135"/>
      <c r="FF27" s="1135"/>
      <c r="FG27" s="1135"/>
      <c r="FH27" s="1135"/>
      <c r="FI27" s="1135"/>
      <c r="FJ27" s="1135"/>
      <c r="FK27" s="1135"/>
      <c r="FL27" s="1135"/>
      <c r="FM27" s="1135"/>
      <c r="FN27" s="1136">
        <f t="shared" si="32"/>
        <v>0</v>
      </c>
      <c r="FO27" s="1135"/>
      <c r="FP27" s="1135"/>
      <c r="FQ27" s="1135"/>
      <c r="FR27" s="1135"/>
      <c r="FS27" s="1135"/>
      <c r="FT27" s="1135"/>
      <c r="FU27" s="1135"/>
      <c r="FV27" s="1135"/>
      <c r="FW27" s="1135"/>
      <c r="FX27" s="1135"/>
      <c r="FY27" s="1135"/>
      <c r="FZ27" s="1135"/>
      <c r="GA27" s="1136">
        <f t="shared" si="33"/>
        <v>0</v>
      </c>
      <c r="GB27" s="1135"/>
      <c r="GC27" s="1135"/>
      <c r="GD27" s="1135"/>
      <c r="GE27" s="1135"/>
      <c r="GF27" s="1135"/>
      <c r="GG27" s="1135"/>
      <c r="GH27" s="1135"/>
      <c r="GI27" s="1135"/>
      <c r="GJ27" s="1135"/>
      <c r="GK27" s="1135"/>
      <c r="GL27" s="1135"/>
      <c r="GM27" s="1135"/>
      <c r="GN27" s="1136">
        <f t="shared" si="34"/>
        <v>0</v>
      </c>
      <c r="GO27" s="1135"/>
      <c r="GP27" s="1135"/>
      <c r="GQ27" s="1135"/>
      <c r="GR27" s="1135"/>
      <c r="GS27" s="1135"/>
      <c r="GT27" s="1135"/>
      <c r="GU27" s="1135"/>
      <c r="GV27" s="1135"/>
      <c r="GW27" s="1135"/>
      <c r="GX27" s="1135"/>
      <c r="GY27" s="1135"/>
      <c r="GZ27" s="1135"/>
      <c r="HA27" s="1136">
        <f t="shared" si="35"/>
        <v>0</v>
      </c>
      <c r="HB27" s="1135"/>
      <c r="HC27" s="1135"/>
      <c r="HD27" s="1135"/>
      <c r="HE27" s="1135"/>
      <c r="HF27" s="1135"/>
      <c r="HG27" s="1135"/>
      <c r="HH27" s="1135"/>
      <c r="HI27" s="1135"/>
      <c r="HJ27" s="1135"/>
      <c r="HK27" s="1135"/>
      <c r="HL27" s="1135"/>
      <c r="HM27" s="1135"/>
      <c r="HN27" s="1136">
        <f t="shared" si="36"/>
        <v>0</v>
      </c>
      <c r="HO27" s="1135"/>
      <c r="HP27" s="1135"/>
      <c r="HQ27" s="1135">
        <v>159</v>
      </c>
      <c r="HR27" s="1135">
        <v>66</v>
      </c>
      <c r="HS27" s="1135"/>
      <c r="HT27" s="1135"/>
      <c r="HU27" s="1135"/>
      <c r="HV27" s="1135"/>
      <c r="HW27" s="1135"/>
      <c r="HX27" s="1135"/>
      <c r="HY27" s="1135"/>
      <c r="HZ27" s="1135"/>
      <c r="IA27" s="1136">
        <f t="shared" si="37"/>
        <v>225</v>
      </c>
      <c r="IB27" s="1135"/>
      <c r="IC27" s="1135"/>
      <c r="ID27" s="1135"/>
      <c r="IE27" s="1135"/>
      <c r="IF27" s="1135"/>
      <c r="IG27" s="1135"/>
      <c r="IH27" s="1135"/>
      <c r="II27" s="1135"/>
      <c r="IJ27" s="1135"/>
      <c r="IK27" s="1135"/>
      <c r="IL27" s="1135"/>
      <c r="IM27" s="1135">
        <v>1</v>
      </c>
      <c r="IN27" s="1136">
        <f t="shared" si="38"/>
        <v>1</v>
      </c>
      <c r="IO27" s="1135"/>
      <c r="IP27" s="1135"/>
      <c r="IQ27" s="1135"/>
      <c r="IR27" s="1135"/>
      <c r="IS27" s="1135"/>
      <c r="IT27" s="1135"/>
      <c r="IU27" s="1135"/>
      <c r="IV27" s="1135"/>
      <c r="IW27" s="1135"/>
      <c r="IX27" s="1135"/>
      <c r="IY27" s="1135"/>
      <c r="IZ27" s="1135"/>
      <c r="JA27" s="1136">
        <f t="shared" si="39"/>
        <v>0</v>
      </c>
      <c r="JB27" s="1135"/>
      <c r="JC27" s="1135"/>
      <c r="JD27" s="1135"/>
      <c r="JE27" s="1135"/>
      <c r="JF27" s="1135"/>
      <c r="JG27" s="1135"/>
      <c r="JH27" s="1135"/>
      <c r="JI27" s="1135"/>
      <c r="JJ27" s="1135"/>
      <c r="JK27" s="1135"/>
      <c r="JL27" s="1135"/>
      <c r="JM27" s="1135"/>
      <c r="JN27" s="1136">
        <f t="shared" si="40"/>
        <v>0</v>
      </c>
      <c r="JO27" s="1135">
        <v>0</v>
      </c>
      <c r="JP27" s="1135"/>
      <c r="JQ27" s="1135"/>
      <c r="JR27" s="1135"/>
      <c r="JS27" s="1135"/>
      <c r="JT27" s="1135"/>
      <c r="JU27" s="1135"/>
      <c r="JV27" s="1135"/>
      <c r="JW27" s="1135"/>
      <c r="JX27" s="1135"/>
      <c r="JY27" s="1135"/>
      <c r="JZ27" s="1135"/>
      <c r="KA27" s="1136">
        <f t="shared" si="41"/>
        <v>0</v>
      </c>
      <c r="KC27" s="1137" t="str">
        <f t="shared" si="42"/>
        <v/>
      </c>
      <c r="KD27" s="1138" t="str">
        <f t="shared" si="43"/>
        <v/>
      </c>
      <c r="KE27" s="1139">
        <f t="shared" si="44"/>
        <v>0</v>
      </c>
      <c r="KF27" s="1140">
        <f t="shared" si="45"/>
        <v>0</v>
      </c>
      <c r="KG27" s="1041"/>
      <c r="KH27" s="1139">
        <f t="shared" si="46"/>
        <v>23613</v>
      </c>
      <c r="KI27" s="1146" t="s">
        <v>37</v>
      </c>
      <c r="KJ27" s="1147" t="str">
        <f t="shared" si="47"/>
        <v>OK</v>
      </c>
    </row>
    <row r="28" spans="1:296" ht="15" customHeight="1" x14ac:dyDescent="0.2">
      <c r="A28" s="1143" t="s">
        <v>281</v>
      </c>
      <c r="B28" s="1135"/>
      <c r="C28" s="1135"/>
      <c r="D28" s="1135"/>
      <c r="E28" s="1135"/>
      <c r="F28" s="1135"/>
      <c r="G28" s="1135"/>
      <c r="H28" s="1135"/>
      <c r="I28" s="1135"/>
      <c r="J28" s="1135"/>
      <c r="K28" s="1135"/>
      <c r="L28" s="1135"/>
      <c r="M28" s="1135"/>
      <c r="N28" s="1136">
        <f t="shared" si="20"/>
        <v>0</v>
      </c>
      <c r="O28" s="1135"/>
      <c r="P28" s="1135"/>
      <c r="Q28" s="1135"/>
      <c r="R28" s="1135"/>
      <c r="S28" s="1135"/>
      <c r="T28" s="1135"/>
      <c r="U28" s="1135"/>
      <c r="V28" s="1135"/>
      <c r="W28" s="1135"/>
      <c r="X28" s="1135"/>
      <c r="Y28" s="1135"/>
      <c r="Z28" s="1135"/>
      <c r="AA28" s="1136">
        <f t="shared" si="21"/>
        <v>0</v>
      </c>
      <c r="AB28" s="1135"/>
      <c r="AC28" s="1135"/>
      <c r="AD28" s="1135"/>
      <c r="AE28" s="1135"/>
      <c r="AF28" s="1135"/>
      <c r="AG28" s="1135"/>
      <c r="AH28" s="1135"/>
      <c r="AI28" s="1135"/>
      <c r="AJ28" s="1135"/>
      <c r="AK28" s="1135"/>
      <c r="AL28" s="1135"/>
      <c r="AM28" s="1135"/>
      <c r="AN28" s="1136">
        <f t="shared" si="22"/>
        <v>0</v>
      </c>
      <c r="AO28" s="1135"/>
      <c r="AP28" s="1135"/>
      <c r="AQ28" s="1135"/>
      <c r="AR28" s="1135"/>
      <c r="AS28" s="1135"/>
      <c r="AT28" s="1135"/>
      <c r="AU28" s="1135"/>
      <c r="AV28" s="1135"/>
      <c r="AW28" s="1135"/>
      <c r="AX28" s="1135"/>
      <c r="AY28" s="1135"/>
      <c r="AZ28" s="1135"/>
      <c r="BA28" s="1136">
        <f t="shared" si="23"/>
        <v>0</v>
      </c>
      <c r="BB28" s="1135"/>
      <c r="BC28" s="1135"/>
      <c r="BD28" s="1135"/>
      <c r="BE28" s="1135"/>
      <c r="BF28" s="1135"/>
      <c r="BG28" s="1135"/>
      <c r="BH28" s="1135"/>
      <c r="BI28" s="1135"/>
      <c r="BJ28" s="1135"/>
      <c r="BK28" s="1135"/>
      <c r="BL28" s="1135"/>
      <c r="BM28" s="1135">
        <v>27990</v>
      </c>
      <c r="BN28" s="1136">
        <f t="shared" si="24"/>
        <v>27990</v>
      </c>
      <c r="BO28" s="1135"/>
      <c r="BP28" s="1135"/>
      <c r="BQ28" s="1135"/>
      <c r="BR28" s="1135"/>
      <c r="BS28" s="1135"/>
      <c r="BT28" s="1135"/>
      <c r="BU28" s="1135"/>
      <c r="BV28" s="1135"/>
      <c r="BW28" s="1135"/>
      <c r="BX28" s="1135"/>
      <c r="BY28" s="1135"/>
      <c r="BZ28" s="1135"/>
      <c r="CA28" s="1136">
        <f t="shared" si="25"/>
        <v>0</v>
      </c>
      <c r="CB28" s="1135"/>
      <c r="CC28" s="1135"/>
      <c r="CD28" s="1135"/>
      <c r="CE28" s="1135"/>
      <c r="CF28" s="1135"/>
      <c r="CG28" s="1135"/>
      <c r="CH28" s="1135"/>
      <c r="CI28" s="1135"/>
      <c r="CJ28" s="1135"/>
      <c r="CK28" s="1135"/>
      <c r="CL28" s="1135"/>
      <c r="CM28" s="1135"/>
      <c r="CN28" s="1136">
        <f t="shared" si="26"/>
        <v>0</v>
      </c>
      <c r="CO28" s="1135"/>
      <c r="CP28" s="1135"/>
      <c r="CQ28" s="1135"/>
      <c r="CR28" s="1135"/>
      <c r="CS28" s="1135"/>
      <c r="CT28" s="1135"/>
      <c r="CU28" s="1135"/>
      <c r="CV28" s="1135"/>
      <c r="CW28" s="1135"/>
      <c r="CX28" s="1135"/>
      <c r="CY28" s="1135"/>
      <c r="CZ28" s="1135"/>
      <c r="DA28" s="1136">
        <f t="shared" si="27"/>
        <v>0</v>
      </c>
      <c r="DB28" s="1135"/>
      <c r="DC28" s="1135"/>
      <c r="DD28" s="1135"/>
      <c r="DE28" s="1135"/>
      <c r="DF28" s="1135"/>
      <c r="DG28" s="1135"/>
      <c r="DH28" s="1135"/>
      <c r="DI28" s="1135"/>
      <c r="DJ28" s="1135"/>
      <c r="DK28" s="1135"/>
      <c r="DL28" s="1135"/>
      <c r="DM28" s="1135">
        <v>3528</v>
      </c>
      <c r="DN28" s="1136">
        <f t="shared" si="28"/>
        <v>3528</v>
      </c>
      <c r="DO28" s="1135"/>
      <c r="DP28" s="1135"/>
      <c r="DQ28" s="1135"/>
      <c r="DR28" s="1135"/>
      <c r="DS28" s="1135"/>
      <c r="DT28" s="1135"/>
      <c r="DU28" s="1135"/>
      <c r="DV28" s="1135"/>
      <c r="DW28" s="1135"/>
      <c r="DX28" s="1135"/>
      <c r="DY28" s="1135"/>
      <c r="DZ28" s="1135"/>
      <c r="EA28" s="1136">
        <f t="shared" si="29"/>
        <v>0</v>
      </c>
      <c r="EB28" s="1135"/>
      <c r="EC28" s="1135"/>
      <c r="ED28" s="1135"/>
      <c r="EE28" s="1135"/>
      <c r="EF28" s="1135"/>
      <c r="EG28" s="1135"/>
      <c r="EH28" s="1135"/>
      <c r="EI28" s="1135"/>
      <c r="EJ28" s="1135"/>
      <c r="EK28" s="1135"/>
      <c r="EL28" s="1135"/>
      <c r="EM28" s="1135"/>
      <c r="EN28" s="1136">
        <f t="shared" si="30"/>
        <v>0</v>
      </c>
      <c r="EO28" s="1135"/>
      <c r="EP28" s="1135"/>
      <c r="EQ28" s="1135"/>
      <c r="ER28" s="1135"/>
      <c r="ES28" s="1135"/>
      <c r="ET28" s="1135"/>
      <c r="EU28" s="1135"/>
      <c r="EV28" s="1135"/>
      <c r="EW28" s="1135"/>
      <c r="EX28" s="1135"/>
      <c r="EY28" s="1135"/>
      <c r="EZ28" s="1135"/>
      <c r="FA28" s="1136">
        <f t="shared" si="31"/>
        <v>0</v>
      </c>
      <c r="FB28" s="1135"/>
      <c r="FC28" s="1135"/>
      <c r="FD28" s="1135"/>
      <c r="FE28" s="1135"/>
      <c r="FF28" s="1135"/>
      <c r="FG28" s="1135"/>
      <c r="FH28" s="1135"/>
      <c r="FI28" s="1135"/>
      <c r="FJ28" s="1135"/>
      <c r="FK28" s="1135"/>
      <c r="FL28" s="1135"/>
      <c r="FM28" s="1135"/>
      <c r="FN28" s="1136">
        <f t="shared" si="32"/>
        <v>0</v>
      </c>
      <c r="FO28" s="1135"/>
      <c r="FP28" s="1135"/>
      <c r="FQ28" s="1135"/>
      <c r="FR28" s="1135"/>
      <c r="FS28" s="1135"/>
      <c r="FT28" s="1135"/>
      <c r="FU28" s="1135"/>
      <c r="FV28" s="1135"/>
      <c r="FW28" s="1135"/>
      <c r="FX28" s="1135"/>
      <c r="FY28" s="1135"/>
      <c r="FZ28" s="1135">
        <v>11728</v>
      </c>
      <c r="GA28" s="1136">
        <f t="shared" si="33"/>
        <v>11728</v>
      </c>
      <c r="GB28" s="1135"/>
      <c r="GC28" s="1135"/>
      <c r="GD28" s="1135"/>
      <c r="GE28" s="1135"/>
      <c r="GF28" s="1135"/>
      <c r="GG28" s="1135"/>
      <c r="GH28" s="1135"/>
      <c r="GI28" s="1135"/>
      <c r="GJ28" s="1135"/>
      <c r="GK28" s="1135"/>
      <c r="GL28" s="1135"/>
      <c r="GM28" s="1135">
        <v>11243</v>
      </c>
      <c r="GN28" s="1136">
        <f t="shared" si="34"/>
        <v>11243</v>
      </c>
      <c r="GO28" s="1135"/>
      <c r="GP28" s="1135"/>
      <c r="GQ28" s="1135"/>
      <c r="GR28" s="1135"/>
      <c r="GS28" s="1135"/>
      <c r="GT28" s="1135"/>
      <c r="GU28" s="1135"/>
      <c r="GV28" s="1135"/>
      <c r="GW28" s="1135"/>
      <c r="GX28" s="1135"/>
      <c r="GY28" s="1135"/>
      <c r="GZ28" s="1135">
        <v>10323</v>
      </c>
      <c r="HA28" s="1136">
        <f t="shared" si="35"/>
        <v>10323</v>
      </c>
      <c r="HB28" s="1135"/>
      <c r="HC28" s="1135"/>
      <c r="HD28" s="1135"/>
      <c r="HE28" s="1135"/>
      <c r="HF28" s="1135"/>
      <c r="HG28" s="1135"/>
      <c r="HH28" s="1135"/>
      <c r="HI28" s="1135"/>
      <c r="HJ28" s="1135"/>
      <c r="HK28" s="1135"/>
      <c r="HL28" s="1135"/>
      <c r="HM28" s="1135"/>
      <c r="HN28" s="1136">
        <f t="shared" si="36"/>
        <v>0</v>
      </c>
      <c r="HO28" s="1135"/>
      <c r="HP28" s="1135"/>
      <c r="HQ28" s="1135"/>
      <c r="HR28" s="1135"/>
      <c r="HS28" s="1135"/>
      <c r="HT28" s="1135"/>
      <c r="HU28" s="1135"/>
      <c r="HV28" s="1135"/>
      <c r="HW28" s="1135"/>
      <c r="HX28" s="1135"/>
      <c r="HY28" s="1135"/>
      <c r="HZ28" s="1135"/>
      <c r="IA28" s="1136">
        <f t="shared" si="37"/>
        <v>0</v>
      </c>
      <c r="IB28" s="1135"/>
      <c r="IC28" s="1135"/>
      <c r="ID28" s="1135"/>
      <c r="IE28" s="1135"/>
      <c r="IF28" s="1135"/>
      <c r="IG28" s="1135"/>
      <c r="IH28" s="1135"/>
      <c r="II28" s="1135"/>
      <c r="IJ28" s="1135"/>
      <c r="IK28" s="1135"/>
      <c r="IL28" s="1135"/>
      <c r="IM28" s="1135">
        <v>9970.5400000000009</v>
      </c>
      <c r="IN28" s="1136">
        <f t="shared" si="38"/>
        <v>9970.5400000000009</v>
      </c>
      <c r="IO28" s="1135"/>
      <c r="IP28" s="1135"/>
      <c r="IQ28" s="1135"/>
      <c r="IR28" s="1135"/>
      <c r="IS28" s="1135"/>
      <c r="IT28" s="1135"/>
      <c r="IU28" s="1135"/>
      <c r="IV28" s="1135"/>
      <c r="IW28" s="1135"/>
      <c r="IX28" s="1135"/>
      <c r="IY28" s="1135"/>
      <c r="IZ28" s="1135">
        <v>2681.02</v>
      </c>
      <c r="JA28" s="1136">
        <f t="shared" si="39"/>
        <v>2681.02</v>
      </c>
      <c r="JB28" s="1135"/>
      <c r="JC28" s="1135"/>
      <c r="JD28" s="1135"/>
      <c r="JE28" s="1135"/>
      <c r="JF28" s="1135"/>
      <c r="JG28" s="1135"/>
      <c r="JH28" s="1135"/>
      <c r="JI28" s="1135"/>
      <c r="JJ28" s="1135"/>
      <c r="JK28" s="1135"/>
      <c r="JL28" s="1135"/>
      <c r="JM28" s="1135">
        <v>11184.52</v>
      </c>
      <c r="JN28" s="1136">
        <f t="shared" si="40"/>
        <v>11184.52</v>
      </c>
      <c r="JO28" s="1135">
        <v>0</v>
      </c>
      <c r="JP28" s="1135"/>
      <c r="JQ28" s="1135"/>
      <c r="JR28" s="1135"/>
      <c r="JS28" s="1135"/>
      <c r="JT28" s="1135"/>
      <c r="JU28" s="1135"/>
      <c r="JV28" s="1135"/>
      <c r="JW28" s="1135"/>
      <c r="JX28" s="1135"/>
      <c r="JY28" s="1135"/>
      <c r="JZ28" s="1135"/>
      <c r="KA28" s="1136">
        <f t="shared" si="41"/>
        <v>0</v>
      </c>
      <c r="KC28" s="1137">
        <f t="shared" si="42"/>
        <v>317.17406061871981</v>
      </c>
      <c r="KD28" s="1138">
        <f t="shared" si="43"/>
        <v>317.17406061871981</v>
      </c>
      <c r="KE28" s="1139">
        <f t="shared" si="44"/>
        <v>2681.02</v>
      </c>
      <c r="KF28" s="1140">
        <f t="shared" si="45"/>
        <v>11184.52</v>
      </c>
      <c r="KG28" s="1041"/>
      <c r="KH28" s="1139">
        <f t="shared" si="46"/>
        <v>177296.15999999997</v>
      </c>
      <c r="KI28" s="1146" t="s">
        <v>281</v>
      </c>
      <c r="KJ28" s="1147" t="str">
        <f t="shared" si="47"/>
        <v>OK</v>
      </c>
    </row>
    <row r="29" spans="1:296" ht="15" customHeight="1" x14ac:dyDescent="0.2">
      <c r="A29" s="1148" t="s">
        <v>44</v>
      </c>
      <c r="B29" s="1135">
        <v>1</v>
      </c>
      <c r="C29" s="1135"/>
      <c r="D29" s="1135">
        <v>2</v>
      </c>
      <c r="E29" s="1135">
        <v>6</v>
      </c>
      <c r="F29" s="1135">
        <v>10</v>
      </c>
      <c r="G29" s="1135">
        <v>2</v>
      </c>
      <c r="H29" s="1135">
        <v>2</v>
      </c>
      <c r="I29" s="1135"/>
      <c r="J29" s="1135">
        <v>3.5</v>
      </c>
      <c r="K29" s="1135">
        <v>2</v>
      </c>
      <c r="L29" s="1135"/>
      <c r="M29" s="1135">
        <v>1</v>
      </c>
      <c r="N29" s="1136">
        <f t="shared" si="20"/>
        <v>29.5</v>
      </c>
      <c r="O29" s="1135">
        <v>2</v>
      </c>
      <c r="P29" s="1135">
        <v>1</v>
      </c>
      <c r="Q29" s="1135">
        <v>2</v>
      </c>
      <c r="R29" s="1135">
        <v>1</v>
      </c>
      <c r="S29" s="1135">
        <v>6</v>
      </c>
      <c r="T29" s="1135">
        <v>4</v>
      </c>
      <c r="U29" s="1135">
        <v>6</v>
      </c>
      <c r="V29" s="1135">
        <v>1</v>
      </c>
      <c r="W29" s="1135">
        <v>4</v>
      </c>
      <c r="X29" s="1135">
        <v>3</v>
      </c>
      <c r="Y29" s="1135">
        <v>5</v>
      </c>
      <c r="Z29" s="1135"/>
      <c r="AA29" s="1136">
        <f t="shared" si="21"/>
        <v>35</v>
      </c>
      <c r="AB29" s="1135"/>
      <c r="AC29" s="1135">
        <v>2</v>
      </c>
      <c r="AD29" s="1135">
        <v>3</v>
      </c>
      <c r="AE29" s="1135">
        <v>7</v>
      </c>
      <c r="AF29" s="1135"/>
      <c r="AG29" s="1135">
        <v>1</v>
      </c>
      <c r="AH29" s="1135">
        <v>2</v>
      </c>
      <c r="AI29" s="1135">
        <v>3</v>
      </c>
      <c r="AJ29" s="1135">
        <v>2</v>
      </c>
      <c r="AK29" s="1135">
        <v>2</v>
      </c>
      <c r="AL29" s="1135"/>
      <c r="AM29" s="1135">
        <v>8</v>
      </c>
      <c r="AN29" s="1136">
        <f t="shared" si="22"/>
        <v>30</v>
      </c>
      <c r="AO29" s="1135">
        <v>1</v>
      </c>
      <c r="AP29" s="1135">
        <v>6</v>
      </c>
      <c r="AQ29" s="1135">
        <v>3</v>
      </c>
      <c r="AR29" s="1135">
        <v>12</v>
      </c>
      <c r="AS29" s="1135">
        <v>7</v>
      </c>
      <c r="AT29" s="1135">
        <v>5</v>
      </c>
      <c r="AU29" s="1135">
        <v>6</v>
      </c>
      <c r="AV29" s="1135">
        <v>10</v>
      </c>
      <c r="AW29" s="1135">
        <v>11</v>
      </c>
      <c r="AX29" s="1135">
        <v>7</v>
      </c>
      <c r="AY29" s="1135">
        <v>8</v>
      </c>
      <c r="AZ29" s="1135">
        <v>8</v>
      </c>
      <c r="BA29" s="1136">
        <f t="shared" si="23"/>
        <v>84</v>
      </c>
      <c r="BB29" s="1135">
        <v>4</v>
      </c>
      <c r="BC29" s="1135">
        <v>5</v>
      </c>
      <c r="BD29" s="1135">
        <v>4</v>
      </c>
      <c r="BE29" s="1135">
        <v>7</v>
      </c>
      <c r="BF29" s="1135">
        <v>9</v>
      </c>
      <c r="BG29" s="1135">
        <v>5</v>
      </c>
      <c r="BH29" s="1135">
        <v>7</v>
      </c>
      <c r="BI29" s="1135">
        <v>4</v>
      </c>
      <c r="BJ29" s="1135">
        <v>4</v>
      </c>
      <c r="BK29" s="1135">
        <v>8</v>
      </c>
      <c r="BL29" s="1135">
        <v>6</v>
      </c>
      <c r="BM29" s="1135">
        <v>10</v>
      </c>
      <c r="BN29" s="1136">
        <f t="shared" si="24"/>
        <v>73</v>
      </c>
      <c r="BO29" s="1135">
        <v>8</v>
      </c>
      <c r="BP29" s="1135">
        <v>6</v>
      </c>
      <c r="BQ29" s="1135">
        <v>5</v>
      </c>
      <c r="BR29" s="1135">
        <v>1</v>
      </c>
      <c r="BS29" s="1135">
        <v>7</v>
      </c>
      <c r="BT29" s="1135">
        <v>8</v>
      </c>
      <c r="BU29" s="1135">
        <v>5</v>
      </c>
      <c r="BV29" s="1135">
        <v>5</v>
      </c>
      <c r="BW29" s="1135">
        <v>4</v>
      </c>
      <c r="BX29" s="1135">
        <v>3</v>
      </c>
      <c r="BY29" s="1135">
        <v>1</v>
      </c>
      <c r="BZ29" s="1135"/>
      <c r="CA29" s="1136">
        <f t="shared" si="25"/>
        <v>53</v>
      </c>
      <c r="CB29" s="1135">
        <v>5</v>
      </c>
      <c r="CC29" s="1135">
        <v>3</v>
      </c>
      <c r="CD29" s="1135">
        <v>3</v>
      </c>
      <c r="CE29" s="1135">
        <v>4</v>
      </c>
      <c r="CF29" s="1135">
        <v>2</v>
      </c>
      <c r="CG29" s="1135">
        <v>3</v>
      </c>
      <c r="CH29" s="1135">
        <v>3</v>
      </c>
      <c r="CI29" s="1135">
        <v>2</v>
      </c>
      <c r="CJ29" s="1135">
        <v>1</v>
      </c>
      <c r="CK29" s="1135">
        <v>1</v>
      </c>
      <c r="CL29" s="1135">
        <v>1</v>
      </c>
      <c r="CM29" s="1135">
        <v>2</v>
      </c>
      <c r="CN29" s="1136">
        <f t="shared" si="26"/>
        <v>30</v>
      </c>
      <c r="CO29" s="1135">
        <v>1</v>
      </c>
      <c r="CP29" s="1135">
        <v>2</v>
      </c>
      <c r="CQ29" s="1135">
        <v>3</v>
      </c>
      <c r="CR29" s="1135">
        <v>1</v>
      </c>
      <c r="CS29" s="1135">
        <v>1</v>
      </c>
      <c r="CT29" s="1135"/>
      <c r="CU29" s="1135">
        <v>5</v>
      </c>
      <c r="CV29" s="1135">
        <v>5</v>
      </c>
      <c r="CW29" s="1135">
        <v>1</v>
      </c>
      <c r="CX29" s="1135">
        <v>2</v>
      </c>
      <c r="CY29" s="1135">
        <v>1</v>
      </c>
      <c r="CZ29" s="1135">
        <v>2</v>
      </c>
      <c r="DA29" s="1136">
        <f t="shared" si="27"/>
        <v>24</v>
      </c>
      <c r="DB29" s="1135">
        <v>3</v>
      </c>
      <c r="DC29" s="1135">
        <v>1</v>
      </c>
      <c r="DD29" s="1135">
        <v>1</v>
      </c>
      <c r="DE29" s="1135"/>
      <c r="DF29" s="1135">
        <v>1</v>
      </c>
      <c r="DG29" s="1135">
        <v>1</v>
      </c>
      <c r="DH29" s="1135">
        <v>1</v>
      </c>
      <c r="DI29" s="1135">
        <v>1</v>
      </c>
      <c r="DJ29" s="1135">
        <v>1</v>
      </c>
      <c r="DK29" s="1135"/>
      <c r="DL29" s="1135"/>
      <c r="DM29" s="1135"/>
      <c r="DN29" s="1136">
        <f t="shared" si="28"/>
        <v>10</v>
      </c>
      <c r="DO29" s="1135"/>
      <c r="DP29" s="1135"/>
      <c r="DQ29" s="1135"/>
      <c r="DR29" s="1135"/>
      <c r="DS29" s="1135"/>
      <c r="DT29" s="1135"/>
      <c r="DU29" s="1135"/>
      <c r="DV29" s="1135"/>
      <c r="DW29" s="1135"/>
      <c r="DX29" s="1135"/>
      <c r="DY29" s="1135"/>
      <c r="DZ29" s="1135"/>
      <c r="EA29" s="1136">
        <f t="shared" si="29"/>
        <v>0</v>
      </c>
      <c r="EB29" s="1135"/>
      <c r="EC29" s="1135"/>
      <c r="ED29" s="1135"/>
      <c r="EE29" s="1135"/>
      <c r="EF29" s="1135"/>
      <c r="EG29" s="1135"/>
      <c r="EH29" s="1135"/>
      <c r="EI29" s="1135"/>
      <c r="EJ29" s="1135"/>
      <c r="EK29" s="1135"/>
      <c r="EL29" s="1135"/>
      <c r="EM29" s="1135"/>
      <c r="EN29" s="1136">
        <f t="shared" si="30"/>
        <v>0</v>
      </c>
      <c r="EO29" s="1135"/>
      <c r="EP29" s="1135"/>
      <c r="EQ29" s="1135"/>
      <c r="ER29" s="1135"/>
      <c r="ES29" s="1135"/>
      <c r="ET29" s="1135"/>
      <c r="EU29" s="1135"/>
      <c r="EV29" s="1135"/>
      <c r="EW29" s="1135"/>
      <c r="EX29" s="1135"/>
      <c r="EY29" s="1135"/>
      <c r="EZ29" s="1135"/>
      <c r="FA29" s="1136">
        <f t="shared" si="31"/>
        <v>0</v>
      </c>
      <c r="FB29" s="1135"/>
      <c r="FC29" s="1135"/>
      <c r="FD29" s="1135"/>
      <c r="FE29" s="1135"/>
      <c r="FF29" s="1135"/>
      <c r="FG29" s="1135"/>
      <c r="FH29" s="1135"/>
      <c r="FI29" s="1135"/>
      <c r="FJ29" s="1135"/>
      <c r="FK29" s="1135"/>
      <c r="FL29" s="1135"/>
      <c r="FM29" s="1135"/>
      <c r="FN29" s="1136">
        <f t="shared" si="32"/>
        <v>0</v>
      </c>
      <c r="FO29" s="1135"/>
      <c r="FP29" s="1135"/>
      <c r="FQ29" s="1135"/>
      <c r="FR29" s="1135"/>
      <c r="FS29" s="1135"/>
      <c r="FT29" s="1135"/>
      <c r="FU29" s="1135"/>
      <c r="FV29" s="1135"/>
      <c r="FW29" s="1135"/>
      <c r="FX29" s="1135"/>
      <c r="FY29" s="1135"/>
      <c r="FZ29" s="1135"/>
      <c r="GA29" s="1136">
        <f t="shared" si="33"/>
        <v>0</v>
      </c>
      <c r="GB29" s="1135"/>
      <c r="GC29" s="1135"/>
      <c r="GD29" s="1135"/>
      <c r="GE29" s="1135"/>
      <c r="GF29" s="1135"/>
      <c r="GG29" s="1135"/>
      <c r="GH29" s="1135"/>
      <c r="GI29" s="1135"/>
      <c r="GJ29" s="1135"/>
      <c r="GK29" s="1135"/>
      <c r="GL29" s="1135"/>
      <c r="GM29" s="1135"/>
      <c r="GN29" s="1136">
        <f t="shared" si="34"/>
        <v>0</v>
      </c>
      <c r="GO29" s="1135"/>
      <c r="GP29" s="1135"/>
      <c r="GQ29" s="1135"/>
      <c r="GR29" s="1135"/>
      <c r="GS29" s="1135"/>
      <c r="GT29" s="1135"/>
      <c r="GU29" s="1135"/>
      <c r="GV29" s="1135"/>
      <c r="GW29" s="1135"/>
      <c r="GX29" s="1135"/>
      <c r="GY29" s="1135"/>
      <c r="GZ29" s="1135"/>
      <c r="HA29" s="1136">
        <f t="shared" si="35"/>
        <v>0</v>
      </c>
      <c r="HB29" s="1135"/>
      <c r="HC29" s="1135"/>
      <c r="HD29" s="1135"/>
      <c r="HE29" s="1135"/>
      <c r="HF29" s="1135"/>
      <c r="HG29" s="1135"/>
      <c r="HH29" s="1135"/>
      <c r="HI29" s="1135"/>
      <c r="HJ29" s="1135"/>
      <c r="HK29" s="1135"/>
      <c r="HL29" s="1135"/>
      <c r="HM29" s="1135"/>
      <c r="HN29" s="1136">
        <f t="shared" si="36"/>
        <v>0</v>
      </c>
      <c r="HO29" s="1135"/>
      <c r="HP29" s="1135"/>
      <c r="HQ29" s="1135"/>
      <c r="HR29" s="1135"/>
      <c r="HS29" s="1135"/>
      <c r="HT29" s="1135"/>
      <c r="HU29" s="1135"/>
      <c r="HV29" s="1135"/>
      <c r="HW29" s="1135"/>
      <c r="HX29" s="1135">
        <v>7</v>
      </c>
      <c r="HY29" s="1135"/>
      <c r="HZ29" s="1135"/>
      <c r="IA29" s="1136">
        <f t="shared" si="37"/>
        <v>7</v>
      </c>
      <c r="IB29" s="1135"/>
      <c r="IC29" s="1135"/>
      <c r="ID29" s="1135"/>
      <c r="IE29" s="1135"/>
      <c r="IF29" s="1135"/>
      <c r="IG29" s="1135"/>
      <c r="IH29" s="1135"/>
      <c r="II29" s="1135"/>
      <c r="IJ29" s="1135"/>
      <c r="IK29" s="1135"/>
      <c r="IL29" s="1135"/>
      <c r="IM29" s="1135"/>
      <c r="IN29" s="1136">
        <f t="shared" si="38"/>
        <v>0</v>
      </c>
      <c r="IO29" s="1135">
        <v>0.5</v>
      </c>
      <c r="IP29" s="1135">
        <v>0.5</v>
      </c>
      <c r="IQ29" s="1135">
        <v>0.4</v>
      </c>
      <c r="IR29" s="1135">
        <v>0.4</v>
      </c>
      <c r="IS29" s="1135">
        <v>1</v>
      </c>
      <c r="IT29" s="1135">
        <v>0.87</v>
      </c>
      <c r="IU29" s="1135">
        <v>0.87</v>
      </c>
      <c r="IV29" s="1135">
        <v>0.87</v>
      </c>
      <c r="IW29" s="1135">
        <v>1.5</v>
      </c>
      <c r="IX29" s="1135">
        <v>1.3</v>
      </c>
      <c r="IY29" s="1135">
        <v>1.6</v>
      </c>
      <c r="IZ29" s="1135"/>
      <c r="JA29" s="1136">
        <f t="shared" si="39"/>
        <v>9.81</v>
      </c>
      <c r="JB29" s="1135"/>
      <c r="JC29" s="1135"/>
      <c r="JD29" s="1135"/>
      <c r="JE29" s="1135">
        <v>0.5</v>
      </c>
      <c r="JF29" s="1135">
        <v>0.5</v>
      </c>
      <c r="JG29" s="1135">
        <v>1</v>
      </c>
      <c r="JH29" s="1135">
        <v>1</v>
      </c>
      <c r="JI29" s="1135">
        <v>1</v>
      </c>
      <c r="JJ29" s="1135">
        <v>0.5</v>
      </c>
      <c r="JK29" s="1135">
        <v>0.5</v>
      </c>
      <c r="JL29" s="1135">
        <v>0.5</v>
      </c>
      <c r="JM29" s="1135">
        <v>0.5</v>
      </c>
      <c r="JN29" s="1136">
        <f t="shared" si="40"/>
        <v>6</v>
      </c>
      <c r="JO29" s="1135">
        <v>0</v>
      </c>
      <c r="JP29" s="1135"/>
      <c r="JQ29" s="1135"/>
      <c r="JR29" s="1135"/>
      <c r="JS29" s="1135"/>
      <c r="JT29" s="1135"/>
      <c r="JU29" s="1135"/>
      <c r="JV29" s="1135"/>
      <c r="JW29" s="1135"/>
      <c r="JX29" s="1135"/>
      <c r="JY29" s="1135"/>
      <c r="JZ29" s="1135"/>
      <c r="KA29" s="1136">
        <f t="shared" si="41"/>
        <v>0</v>
      </c>
      <c r="KC29" s="1137" t="str">
        <f t="shared" si="42"/>
        <v/>
      </c>
      <c r="KD29" s="1138">
        <f t="shared" si="43"/>
        <v>-38.837920489296643</v>
      </c>
      <c r="KE29" s="1139">
        <f t="shared" si="44"/>
        <v>9.81</v>
      </c>
      <c r="KF29" s="1140">
        <f t="shared" si="45"/>
        <v>6</v>
      </c>
      <c r="KG29" s="1041"/>
      <c r="KH29" s="1139">
        <f t="shared" si="46"/>
        <v>782.61999999999989</v>
      </c>
      <c r="KI29" s="1146" t="s">
        <v>44</v>
      </c>
      <c r="KJ29" s="1147" t="str">
        <f t="shared" si="47"/>
        <v>OK</v>
      </c>
    </row>
    <row r="30" spans="1:296" ht="15" customHeight="1" x14ac:dyDescent="0.2">
      <c r="A30" s="1148" t="s">
        <v>132</v>
      </c>
      <c r="B30" s="1135"/>
      <c r="C30" s="1135"/>
      <c r="D30" s="1135"/>
      <c r="E30" s="1135"/>
      <c r="F30" s="1135"/>
      <c r="G30" s="1135"/>
      <c r="H30" s="1135"/>
      <c r="I30" s="1135"/>
      <c r="J30" s="1135"/>
      <c r="K30" s="1135"/>
      <c r="L30" s="1135"/>
      <c r="M30" s="1135"/>
      <c r="N30" s="1136">
        <f t="shared" si="20"/>
        <v>0</v>
      </c>
      <c r="O30" s="1135"/>
      <c r="P30" s="1135"/>
      <c r="Q30" s="1135"/>
      <c r="R30" s="1135"/>
      <c r="S30" s="1135"/>
      <c r="T30" s="1135"/>
      <c r="U30" s="1135"/>
      <c r="V30" s="1135"/>
      <c r="W30" s="1135"/>
      <c r="X30" s="1135"/>
      <c r="Y30" s="1135"/>
      <c r="Z30" s="1135">
        <v>1056</v>
      </c>
      <c r="AA30" s="1136">
        <f t="shared" si="21"/>
        <v>1056</v>
      </c>
      <c r="AB30" s="1135"/>
      <c r="AC30" s="1135"/>
      <c r="AD30" s="1135"/>
      <c r="AE30" s="1135"/>
      <c r="AF30" s="1135"/>
      <c r="AG30" s="1135"/>
      <c r="AH30" s="1135"/>
      <c r="AI30" s="1135"/>
      <c r="AJ30" s="1135"/>
      <c r="AK30" s="1135"/>
      <c r="AL30" s="1135"/>
      <c r="AM30" s="1135">
        <v>1236</v>
      </c>
      <c r="AN30" s="1136">
        <f t="shared" si="22"/>
        <v>1236</v>
      </c>
      <c r="AO30" s="1135"/>
      <c r="AP30" s="1135"/>
      <c r="AQ30" s="1135"/>
      <c r="AR30" s="1135"/>
      <c r="AS30" s="1135"/>
      <c r="AT30" s="1135"/>
      <c r="AU30" s="1135"/>
      <c r="AV30" s="1135"/>
      <c r="AW30" s="1135"/>
      <c r="AX30" s="1135"/>
      <c r="AY30" s="1135"/>
      <c r="AZ30" s="1135">
        <v>1524</v>
      </c>
      <c r="BA30" s="1136">
        <f t="shared" si="23"/>
        <v>1524</v>
      </c>
      <c r="BB30" s="1135"/>
      <c r="BC30" s="1135"/>
      <c r="BD30" s="1135"/>
      <c r="BE30" s="1135"/>
      <c r="BF30" s="1135"/>
      <c r="BG30" s="1135"/>
      <c r="BH30" s="1135"/>
      <c r="BI30" s="1135"/>
      <c r="BJ30" s="1135"/>
      <c r="BK30" s="1135"/>
      <c r="BL30" s="1135"/>
      <c r="BM30" s="1135">
        <v>1532</v>
      </c>
      <c r="BN30" s="1136">
        <f t="shared" si="24"/>
        <v>1532</v>
      </c>
      <c r="BO30" s="1135"/>
      <c r="BP30" s="1135"/>
      <c r="BQ30" s="1135"/>
      <c r="BR30" s="1135"/>
      <c r="BS30" s="1135"/>
      <c r="BT30" s="1135"/>
      <c r="BU30" s="1135"/>
      <c r="BV30" s="1135"/>
      <c r="BW30" s="1135"/>
      <c r="BX30" s="1135"/>
      <c r="BY30" s="1135"/>
      <c r="BZ30" s="1135">
        <v>1681</v>
      </c>
      <c r="CA30" s="1136">
        <f t="shared" si="25"/>
        <v>1681</v>
      </c>
      <c r="CB30" s="1135"/>
      <c r="CC30" s="1135"/>
      <c r="CD30" s="1135"/>
      <c r="CE30" s="1135"/>
      <c r="CF30" s="1135"/>
      <c r="CG30" s="1135"/>
      <c r="CH30" s="1135"/>
      <c r="CI30" s="1135"/>
      <c r="CJ30" s="1135"/>
      <c r="CK30" s="1135"/>
      <c r="CL30" s="1135"/>
      <c r="CM30" s="1135">
        <v>1110</v>
      </c>
      <c r="CN30" s="1136">
        <f t="shared" si="26"/>
        <v>1110</v>
      </c>
      <c r="CO30" s="1135"/>
      <c r="CP30" s="1135"/>
      <c r="CQ30" s="1135"/>
      <c r="CR30" s="1135"/>
      <c r="CS30" s="1135"/>
      <c r="CT30" s="1135"/>
      <c r="CU30" s="1135"/>
      <c r="CV30" s="1135"/>
      <c r="CW30" s="1135"/>
      <c r="CX30" s="1135"/>
      <c r="CY30" s="1135"/>
      <c r="CZ30" s="1135"/>
      <c r="DA30" s="1136">
        <f t="shared" si="27"/>
        <v>0</v>
      </c>
      <c r="DB30" s="1135"/>
      <c r="DC30" s="1135"/>
      <c r="DD30" s="1135"/>
      <c r="DE30" s="1135"/>
      <c r="DF30" s="1135"/>
      <c r="DG30" s="1135"/>
      <c r="DH30" s="1135"/>
      <c r="DI30" s="1135"/>
      <c r="DJ30" s="1135"/>
      <c r="DK30" s="1135"/>
      <c r="DL30" s="1135"/>
      <c r="DM30" s="1135"/>
      <c r="DN30" s="1136">
        <f t="shared" si="28"/>
        <v>0</v>
      </c>
      <c r="DO30" s="1135"/>
      <c r="DP30" s="1135"/>
      <c r="DQ30" s="1135"/>
      <c r="DR30" s="1135"/>
      <c r="DS30" s="1135"/>
      <c r="DT30" s="1135"/>
      <c r="DU30" s="1135"/>
      <c r="DV30" s="1135"/>
      <c r="DW30" s="1135"/>
      <c r="DX30" s="1135"/>
      <c r="DY30" s="1135"/>
      <c r="DZ30" s="1135">
        <v>500</v>
      </c>
      <c r="EA30" s="1136">
        <f t="shared" si="29"/>
        <v>500</v>
      </c>
      <c r="EB30" s="1135"/>
      <c r="EC30" s="1135"/>
      <c r="ED30" s="1135"/>
      <c r="EE30" s="1135"/>
      <c r="EF30" s="1135"/>
      <c r="EG30" s="1135"/>
      <c r="EH30" s="1135"/>
      <c r="EI30" s="1135"/>
      <c r="EJ30" s="1135"/>
      <c r="EK30" s="1135"/>
      <c r="EL30" s="1135"/>
      <c r="EM30" s="1135">
        <v>500</v>
      </c>
      <c r="EN30" s="1136">
        <f t="shared" si="30"/>
        <v>500</v>
      </c>
      <c r="EO30" s="1135"/>
      <c r="EP30" s="1135"/>
      <c r="EQ30" s="1135"/>
      <c r="ER30" s="1135"/>
      <c r="ES30" s="1135"/>
      <c r="ET30" s="1135"/>
      <c r="EU30" s="1135"/>
      <c r="EV30" s="1135"/>
      <c r="EW30" s="1135"/>
      <c r="EX30" s="1135"/>
      <c r="EY30" s="1135"/>
      <c r="EZ30" s="1135">
        <v>844</v>
      </c>
      <c r="FA30" s="1136">
        <f t="shared" si="31"/>
        <v>844</v>
      </c>
      <c r="FB30" s="1135"/>
      <c r="FC30" s="1135"/>
      <c r="FD30" s="1135"/>
      <c r="FE30" s="1135"/>
      <c r="FF30" s="1135"/>
      <c r="FG30" s="1135"/>
      <c r="FH30" s="1135"/>
      <c r="FI30" s="1135"/>
      <c r="FJ30" s="1135"/>
      <c r="FK30" s="1135"/>
      <c r="FL30" s="1135"/>
      <c r="FM30" s="1135">
        <v>978</v>
      </c>
      <c r="FN30" s="1136">
        <f t="shared" si="32"/>
        <v>978</v>
      </c>
      <c r="FO30" s="1135"/>
      <c r="FP30" s="1135"/>
      <c r="FQ30" s="1135"/>
      <c r="FR30" s="1135"/>
      <c r="FS30" s="1135"/>
      <c r="FT30" s="1135"/>
      <c r="FU30" s="1135"/>
      <c r="FV30" s="1135"/>
      <c r="FW30" s="1135"/>
      <c r="FX30" s="1135"/>
      <c r="FY30" s="1135"/>
      <c r="FZ30" s="1135">
        <v>1040</v>
      </c>
      <c r="GA30" s="1136">
        <f t="shared" si="33"/>
        <v>1040</v>
      </c>
      <c r="GB30" s="1135"/>
      <c r="GC30" s="1135"/>
      <c r="GD30" s="1135"/>
      <c r="GE30" s="1135"/>
      <c r="GF30" s="1135"/>
      <c r="GG30" s="1135"/>
      <c r="GH30" s="1135"/>
      <c r="GI30" s="1135"/>
      <c r="GJ30" s="1135"/>
      <c r="GK30" s="1135"/>
      <c r="GL30" s="1135"/>
      <c r="GM30" s="1135">
        <v>864</v>
      </c>
      <c r="GN30" s="1136">
        <f t="shared" si="34"/>
        <v>864</v>
      </c>
      <c r="GO30" s="1135"/>
      <c r="GP30" s="1135"/>
      <c r="GQ30" s="1135"/>
      <c r="GR30" s="1135"/>
      <c r="GS30" s="1135"/>
      <c r="GT30" s="1135"/>
      <c r="GU30" s="1135"/>
      <c r="GV30" s="1135"/>
      <c r="GW30" s="1135"/>
      <c r="GX30" s="1135"/>
      <c r="GY30" s="1135"/>
      <c r="GZ30" s="1135">
        <v>832</v>
      </c>
      <c r="HA30" s="1136">
        <f t="shared" si="35"/>
        <v>832</v>
      </c>
      <c r="HB30" s="1135"/>
      <c r="HC30" s="1135"/>
      <c r="HD30" s="1135"/>
      <c r="HE30" s="1135"/>
      <c r="HF30" s="1135"/>
      <c r="HG30" s="1135"/>
      <c r="HH30" s="1135"/>
      <c r="HI30" s="1135"/>
      <c r="HJ30" s="1135"/>
      <c r="HK30" s="1135"/>
      <c r="HL30" s="1135"/>
      <c r="HM30" s="1135"/>
      <c r="HN30" s="1136">
        <f t="shared" si="36"/>
        <v>0</v>
      </c>
      <c r="HO30" s="1135"/>
      <c r="HP30" s="1135"/>
      <c r="HQ30" s="1135"/>
      <c r="HR30" s="1135"/>
      <c r="HS30" s="1135"/>
      <c r="HT30" s="1135"/>
      <c r="HU30" s="1135"/>
      <c r="HV30" s="1135"/>
      <c r="HW30" s="1135"/>
      <c r="HX30" s="1135"/>
      <c r="HY30" s="1135"/>
      <c r="HZ30" s="1135"/>
      <c r="IA30" s="1136">
        <f t="shared" si="37"/>
        <v>0</v>
      </c>
      <c r="IB30" s="1135"/>
      <c r="IC30" s="1135"/>
      <c r="ID30" s="1135"/>
      <c r="IE30" s="1135"/>
      <c r="IF30" s="1135"/>
      <c r="IG30" s="1135"/>
      <c r="IH30" s="1135"/>
      <c r="II30" s="1135"/>
      <c r="IJ30" s="1135"/>
      <c r="IK30" s="1135"/>
      <c r="IL30" s="1135"/>
      <c r="IM30" s="1135">
        <v>559</v>
      </c>
      <c r="IN30" s="1136">
        <f t="shared" si="38"/>
        <v>559</v>
      </c>
      <c r="IO30" s="1135"/>
      <c r="IP30" s="1135"/>
      <c r="IQ30" s="1135"/>
      <c r="IR30" s="1135"/>
      <c r="IS30" s="1135"/>
      <c r="IT30" s="1135"/>
      <c r="IU30" s="1135"/>
      <c r="IV30" s="1135"/>
      <c r="IW30" s="1135"/>
      <c r="IX30" s="1135"/>
      <c r="IY30" s="1135"/>
      <c r="IZ30" s="1135">
        <v>541</v>
      </c>
      <c r="JA30" s="1136">
        <f t="shared" si="39"/>
        <v>541</v>
      </c>
      <c r="JB30" s="1135"/>
      <c r="JC30" s="1135"/>
      <c r="JD30" s="1135"/>
      <c r="JE30" s="1135"/>
      <c r="JF30" s="1135"/>
      <c r="JG30" s="1135"/>
      <c r="JH30" s="1135"/>
      <c r="JI30" s="1135"/>
      <c r="JJ30" s="1135"/>
      <c r="JK30" s="1135"/>
      <c r="JL30" s="1135"/>
      <c r="JM30" s="1135">
        <v>559</v>
      </c>
      <c r="JN30" s="1136">
        <f t="shared" si="40"/>
        <v>559</v>
      </c>
      <c r="JO30" s="1135">
        <v>0</v>
      </c>
      <c r="JP30" s="1135"/>
      <c r="JQ30" s="1135"/>
      <c r="JR30" s="1135"/>
      <c r="JS30" s="1135"/>
      <c r="JT30" s="1135"/>
      <c r="JU30" s="1135"/>
      <c r="JV30" s="1135"/>
      <c r="JW30" s="1135"/>
      <c r="JX30" s="1135"/>
      <c r="JY30" s="1135"/>
      <c r="JZ30" s="1135"/>
      <c r="KA30" s="1136">
        <f t="shared" si="41"/>
        <v>0</v>
      </c>
      <c r="KC30" s="1137">
        <f t="shared" si="42"/>
        <v>3.3271719038816983</v>
      </c>
      <c r="KD30" s="1138">
        <f t="shared" si="43"/>
        <v>3.3271719038816983</v>
      </c>
      <c r="KE30" s="1139">
        <f t="shared" si="44"/>
        <v>541</v>
      </c>
      <c r="KF30" s="1140">
        <f t="shared" si="45"/>
        <v>559</v>
      </c>
      <c r="KG30" s="1041"/>
      <c r="KH30" s="1139">
        <f t="shared" si="46"/>
        <v>30712</v>
      </c>
      <c r="KI30" s="1146" t="s">
        <v>132</v>
      </c>
      <c r="KJ30" s="1147" t="str">
        <f t="shared" si="47"/>
        <v>OK</v>
      </c>
    </row>
    <row r="31" spans="1:296" ht="15" customHeight="1" x14ac:dyDescent="0.2">
      <c r="A31" s="1148" t="s">
        <v>578</v>
      </c>
      <c r="B31" s="1135"/>
      <c r="C31" s="1135"/>
      <c r="D31" s="1135"/>
      <c r="E31" s="1135"/>
      <c r="F31" s="1135"/>
      <c r="G31" s="1135"/>
      <c r="H31" s="1135"/>
      <c r="I31" s="1135"/>
      <c r="J31" s="1135"/>
      <c r="K31" s="1135"/>
      <c r="L31" s="1135"/>
      <c r="M31" s="1135">
        <v>65</v>
      </c>
      <c r="N31" s="1136">
        <f t="shared" si="20"/>
        <v>65</v>
      </c>
      <c r="O31" s="1135"/>
      <c r="P31" s="1135"/>
      <c r="Q31" s="1135"/>
      <c r="R31" s="1135"/>
      <c r="S31" s="1135"/>
      <c r="T31" s="1135"/>
      <c r="U31" s="1135"/>
      <c r="V31" s="1135"/>
      <c r="W31" s="1135"/>
      <c r="X31" s="1135"/>
      <c r="Y31" s="1135"/>
      <c r="Z31" s="1135">
        <v>68</v>
      </c>
      <c r="AA31" s="1136">
        <f t="shared" si="21"/>
        <v>68</v>
      </c>
      <c r="AB31" s="1135"/>
      <c r="AC31" s="1135"/>
      <c r="AD31" s="1135"/>
      <c r="AE31" s="1135"/>
      <c r="AF31" s="1135"/>
      <c r="AG31" s="1135"/>
      <c r="AH31" s="1135"/>
      <c r="AI31" s="1135"/>
      <c r="AJ31" s="1135"/>
      <c r="AK31" s="1135"/>
      <c r="AL31" s="1135"/>
      <c r="AM31" s="1135">
        <v>65</v>
      </c>
      <c r="AN31" s="1136">
        <f t="shared" si="22"/>
        <v>65</v>
      </c>
      <c r="AO31" s="1135"/>
      <c r="AP31" s="1135"/>
      <c r="AQ31" s="1135"/>
      <c r="AR31" s="1135"/>
      <c r="AS31" s="1135"/>
      <c r="AT31" s="1135"/>
      <c r="AU31" s="1135"/>
      <c r="AV31" s="1135"/>
      <c r="AW31" s="1135"/>
      <c r="AX31" s="1135"/>
      <c r="AY31" s="1135"/>
      <c r="AZ31" s="1135">
        <v>71</v>
      </c>
      <c r="BA31" s="1136">
        <f t="shared" si="23"/>
        <v>71</v>
      </c>
      <c r="BB31" s="1135"/>
      <c r="BC31" s="1135"/>
      <c r="BD31" s="1135"/>
      <c r="BE31" s="1135"/>
      <c r="BF31" s="1135"/>
      <c r="BG31" s="1135"/>
      <c r="BH31" s="1135"/>
      <c r="BI31" s="1135"/>
      <c r="BJ31" s="1135"/>
      <c r="BK31" s="1135"/>
      <c r="BL31" s="1135"/>
      <c r="BM31" s="1135">
        <v>46</v>
      </c>
      <c r="BN31" s="1136">
        <f t="shared" si="24"/>
        <v>46</v>
      </c>
      <c r="BO31" s="1135"/>
      <c r="BP31" s="1135"/>
      <c r="BQ31" s="1135"/>
      <c r="BR31" s="1135"/>
      <c r="BS31" s="1135"/>
      <c r="BT31" s="1135"/>
      <c r="BU31" s="1135"/>
      <c r="BV31" s="1135"/>
      <c r="BW31" s="1135"/>
      <c r="BX31" s="1135"/>
      <c r="BY31" s="1135"/>
      <c r="BZ31" s="1135">
        <v>61</v>
      </c>
      <c r="CA31" s="1136">
        <f t="shared" si="25"/>
        <v>61</v>
      </c>
      <c r="CB31" s="1135"/>
      <c r="CC31" s="1135"/>
      <c r="CD31" s="1135"/>
      <c r="CE31" s="1135"/>
      <c r="CF31" s="1135"/>
      <c r="CG31" s="1135"/>
      <c r="CH31" s="1135"/>
      <c r="CI31" s="1135"/>
      <c r="CJ31" s="1135"/>
      <c r="CK31" s="1135"/>
      <c r="CL31" s="1135"/>
      <c r="CM31" s="1135">
        <v>33</v>
      </c>
      <c r="CN31" s="1136">
        <f t="shared" si="26"/>
        <v>33</v>
      </c>
      <c r="CO31" s="1135"/>
      <c r="CP31" s="1135"/>
      <c r="CQ31" s="1135"/>
      <c r="CR31" s="1135"/>
      <c r="CS31" s="1135"/>
      <c r="CT31" s="1135"/>
      <c r="CU31" s="1135"/>
      <c r="CV31" s="1135"/>
      <c r="CW31" s="1135"/>
      <c r="CX31" s="1135"/>
      <c r="CY31" s="1135"/>
      <c r="CZ31" s="1135">
        <v>11</v>
      </c>
      <c r="DA31" s="1136">
        <f t="shared" si="27"/>
        <v>11</v>
      </c>
      <c r="DB31" s="1135"/>
      <c r="DC31" s="1135"/>
      <c r="DD31" s="1135"/>
      <c r="DE31" s="1135"/>
      <c r="DF31" s="1135"/>
      <c r="DG31" s="1135"/>
      <c r="DH31" s="1135"/>
      <c r="DI31" s="1135"/>
      <c r="DJ31" s="1135"/>
      <c r="DK31" s="1135"/>
      <c r="DL31" s="1135"/>
      <c r="DM31" s="1135">
        <v>13</v>
      </c>
      <c r="DN31" s="1136">
        <f t="shared" si="28"/>
        <v>13</v>
      </c>
      <c r="DO31" s="1135"/>
      <c r="DP31" s="1135"/>
      <c r="DQ31" s="1135"/>
      <c r="DR31" s="1135"/>
      <c r="DS31" s="1135"/>
      <c r="DT31" s="1135"/>
      <c r="DU31" s="1135"/>
      <c r="DV31" s="1135"/>
      <c r="DW31" s="1135"/>
      <c r="DX31" s="1135"/>
      <c r="DY31" s="1135"/>
      <c r="DZ31" s="1135">
        <v>40</v>
      </c>
      <c r="EA31" s="1136">
        <f t="shared" si="29"/>
        <v>40</v>
      </c>
      <c r="EB31" s="1135"/>
      <c r="EC31" s="1135"/>
      <c r="ED31" s="1135"/>
      <c r="EE31" s="1135"/>
      <c r="EF31" s="1135"/>
      <c r="EG31" s="1135"/>
      <c r="EH31" s="1135"/>
      <c r="EI31" s="1135"/>
      <c r="EJ31" s="1135"/>
      <c r="EK31" s="1135"/>
      <c r="EL31" s="1135"/>
      <c r="EM31" s="1135">
        <v>40</v>
      </c>
      <c r="EN31" s="1136">
        <f t="shared" si="30"/>
        <v>40</v>
      </c>
      <c r="EO31" s="1135"/>
      <c r="EP31" s="1135"/>
      <c r="EQ31" s="1135"/>
      <c r="ER31" s="1135"/>
      <c r="ES31" s="1135"/>
      <c r="ET31" s="1135"/>
      <c r="EU31" s="1135"/>
      <c r="EV31" s="1135"/>
      <c r="EW31" s="1135"/>
      <c r="EX31" s="1135"/>
      <c r="EY31" s="1135"/>
      <c r="EZ31" s="1135">
        <v>17</v>
      </c>
      <c r="FA31" s="1136">
        <f t="shared" si="31"/>
        <v>17</v>
      </c>
      <c r="FB31" s="1135"/>
      <c r="FC31" s="1135"/>
      <c r="FD31" s="1135"/>
      <c r="FE31" s="1135"/>
      <c r="FF31" s="1135"/>
      <c r="FG31" s="1135"/>
      <c r="FH31" s="1135"/>
      <c r="FI31" s="1135"/>
      <c r="FJ31" s="1135"/>
      <c r="FK31" s="1135"/>
      <c r="FL31" s="1135"/>
      <c r="FM31" s="1135"/>
      <c r="FN31" s="1136">
        <f t="shared" si="32"/>
        <v>0</v>
      </c>
      <c r="FO31" s="1135"/>
      <c r="FP31" s="1135"/>
      <c r="FQ31" s="1135"/>
      <c r="FR31" s="1135"/>
      <c r="FS31" s="1135"/>
      <c r="FT31" s="1135"/>
      <c r="FU31" s="1135"/>
      <c r="FV31" s="1135"/>
      <c r="FW31" s="1135"/>
      <c r="FX31" s="1135"/>
      <c r="FY31" s="1135"/>
      <c r="FZ31" s="1135">
        <v>12</v>
      </c>
      <c r="GA31" s="1136">
        <f t="shared" si="33"/>
        <v>12</v>
      </c>
      <c r="GB31" s="1135"/>
      <c r="GC31" s="1135"/>
      <c r="GD31" s="1135"/>
      <c r="GE31" s="1135"/>
      <c r="GF31" s="1135"/>
      <c r="GG31" s="1135"/>
      <c r="GH31" s="1135"/>
      <c r="GI31" s="1135"/>
      <c r="GJ31" s="1135"/>
      <c r="GK31" s="1135"/>
      <c r="GL31" s="1135"/>
      <c r="GM31" s="1135">
        <v>12</v>
      </c>
      <c r="GN31" s="1136">
        <f t="shared" si="34"/>
        <v>12</v>
      </c>
      <c r="GO31" s="1135"/>
      <c r="GP31" s="1135"/>
      <c r="GQ31" s="1135"/>
      <c r="GR31" s="1135"/>
      <c r="GS31" s="1135"/>
      <c r="GT31" s="1135"/>
      <c r="GU31" s="1135"/>
      <c r="GV31" s="1135"/>
      <c r="GW31" s="1135"/>
      <c r="GX31" s="1135"/>
      <c r="GY31" s="1135"/>
      <c r="GZ31" s="1135">
        <v>12</v>
      </c>
      <c r="HA31" s="1136">
        <f t="shared" si="35"/>
        <v>12</v>
      </c>
      <c r="HB31" s="1135"/>
      <c r="HC31" s="1135"/>
      <c r="HD31" s="1135"/>
      <c r="HE31" s="1135"/>
      <c r="HF31" s="1135"/>
      <c r="HG31" s="1135"/>
      <c r="HH31" s="1135"/>
      <c r="HI31" s="1135"/>
      <c r="HJ31" s="1135"/>
      <c r="HK31" s="1135"/>
      <c r="HL31" s="1135"/>
      <c r="HM31" s="1135"/>
      <c r="HN31" s="1136">
        <f t="shared" si="36"/>
        <v>0</v>
      </c>
      <c r="HO31" s="1135"/>
      <c r="HP31" s="1135"/>
      <c r="HQ31" s="1135"/>
      <c r="HR31" s="1135"/>
      <c r="HS31" s="1135"/>
      <c r="HT31" s="1135"/>
      <c r="HU31" s="1135"/>
      <c r="HV31" s="1135"/>
      <c r="HW31" s="1135"/>
      <c r="HX31" s="1135"/>
      <c r="HY31" s="1135"/>
      <c r="HZ31" s="1135"/>
      <c r="IA31" s="1136">
        <f t="shared" si="37"/>
        <v>0</v>
      </c>
      <c r="IB31" s="1135"/>
      <c r="IC31" s="1135"/>
      <c r="ID31" s="1135"/>
      <c r="IE31" s="1135"/>
      <c r="IF31" s="1135"/>
      <c r="IG31" s="1135"/>
      <c r="IH31" s="1135"/>
      <c r="II31" s="1135"/>
      <c r="IJ31" s="1135"/>
      <c r="IK31" s="1135"/>
      <c r="IL31" s="1135"/>
      <c r="IM31" s="1135"/>
      <c r="IN31" s="1136">
        <f t="shared" si="38"/>
        <v>0</v>
      </c>
      <c r="IO31" s="1135"/>
      <c r="IP31" s="1135"/>
      <c r="IQ31" s="1135"/>
      <c r="IR31" s="1135"/>
      <c r="IS31" s="1135"/>
      <c r="IT31" s="1135"/>
      <c r="IU31" s="1135"/>
      <c r="IV31" s="1135"/>
      <c r="IW31" s="1135"/>
      <c r="IX31" s="1135"/>
      <c r="IY31" s="1135"/>
      <c r="IZ31" s="1135"/>
      <c r="JA31" s="1136">
        <f t="shared" si="39"/>
        <v>0</v>
      </c>
      <c r="JB31" s="1135"/>
      <c r="JC31" s="1135"/>
      <c r="JD31" s="1135"/>
      <c r="JE31" s="1135"/>
      <c r="JF31" s="1135"/>
      <c r="JG31" s="1135"/>
      <c r="JH31" s="1135"/>
      <c r="JI31" s="1135"/>
      <c r="JJ31" s="1135"/>
      <c r="JK31" s="1135"/>
      <c r="JL31" s="1135"/>
      <c r="JM31" s="1135"/>
      <c r="JN31" s="1136">
        <f t="shared" si="40"/>
        <v>0</v>
      </c>
      <c r="JO31" s="1135">
        <v>0</v>
      </c>
      <c r="JP31" s="1135"/>
      <c r="JQ31" s="1135"/>
      <c r="JR31" s="1135"/>
      <c r="JS31" s="1135"/>
      <c r="JT31" s="1135"/>
      <c r="JU31" s="1135"/>
      <c r="JV31" s="1135"/>
      <c r="JW31" s="1135"/>
      <c r="JX31" s="1135"/>
      <c r="JY31" s="1135"/>
      <c r="JZ31" s="1135"/>
      <c r="KA31" s="1136">
        <f t="shared" si="41"/>
        <v>0</v>
      </c>
      <c r="KC31" s="1137" t="str">
        <f t="shared" si="42"/>
        <v/>
      </c>
      <c r="KD31" s="1138" t="str">
        <f t="shared" si="43"/>
        <v/>
      </c>
      <c r="KE31" s="1139">
        <f t="shared" si="44"/>
        <v>0</v>
      </c>
      <c r="KF31" s="1140">
        <f t="shared" si="45"/>
        <v>0</v>
      </c>
      <c r="KG31" s="1041"/>
      <c r="KH31" s="1139">
        <f t="shared" si="46"/>
        <v>1132</v>
      </c>
      <c r="KI31" s="1146" t="s">
        <v>578</v>
      </c>
      <c r="KJ31" s="1147" t="str">
        <f t="shared" si="47"/>
        <v>OK</v>
      </c>
    </row>
    <row r="32" spans="1:296" ht="15" customHeight="1" x14ac:dyDescent="0.2">
      <c r="A32" s="1148" t="s">
        <v>579</v>
      </c>
      <c r="B32" s="1135"/>
      <c r="C32" s="1135"/>
      <c r="D32" s="1135"/>
      <c r="E32" s="1135"/>
      <c r="F32" s="1135"/>
      <c r="G32" s="1135"/>
      <c r="H32" s="1135"/>
      <c r="I32" s="1135"/>
      <c r="J32" s="1135"/>
      <c r="K32" s="1135"/>
      <c r="L32" s="1135"/>
      <c r="M32" s="1135"/>
      <c r="N32" s="1136">
        <f t="shared" si="20"/>
        <v>0</v>
      </c>
      <c r="O32" s="1135"/>
      <c r="P32" s="1135"/>
      <c r="Q32" s="1135"/>
      <c r="R32" s="1135"/>
      <c r="S32" s="1135"/>
      <c r="T32" s="1135"/>
      <c r="U32" s="1135"/>
      <c r="V32" s="1135"/>
      <c r="W32" s="1135"/>
      <c r="X32" s="1135"/>
      <c r="Y32" s="1135"/>
      <c r="Z32" s="1135"/>
      <c r="AA32" s="1136">
        <f t="shared" si="21"/>
        <v>0</v>
      </c>
      <c r="AB32" s="1135"/>
      <c r="AC32" s="1135"/>
      <c r="AD32" s="1135"/>
      <c r="AE32" s="1135"/>
      <c r="AF32" s="1135"/>
      <c r="AG32" s="1135"/>
      <c r="AH32" s="1135"/>
      <c r="AI32" s="1135"/>
      <c r="AJ32" s="1135"/>
      <c r="AK32" s="1135"/>
      <c r="AL32" s="1135"/>
      <c r="AM32" s="1135"/>
      <c r="AN32" s="1136">
        <f t="shared" si="22"/>
        <v>0</v>
      </c>
      <c r="AO32" s="1135"/>
      <c r="AP32" s="1135"/>
      <c r="AQ32" s="1135"/>
      <c r="AR32" s="1135"/>
      <c r="AS32" s="1135"/>
      <c r="AT32" s="1135"/>
      <c r="AU32" s="1135"/>
      <c r="AV32" s="1135"/>
      <c r="AW32" s="1135"/>
      <c r="AX32" s="1135"/>
      <c r="AY32" s="1135"/>
      <c r="AZ32" s="1135"/>
      <c r="BA32" s="1136">
        <f t="shared" si="23"/>
        <v>0</v>
      </c>
      <c r="BB32" s="1135"/>
      <c r="BC32" s="1135"/>
      <c r="BD32" s="1135"/>
      <c r="BE32" s="1135"/>
      <c r="BF32" s="1135"/>
      <c r="BG32" s="1135"/>
      <c r="BH32" s="1135"/>
      <c r="BI32" s="1135"/>
      <c r="BJ32" s="1135"/>
      <c r="BK32" s="1135"/>
      <c r="BL32" s="1135"/>
      <c r="BM32" s="1135"/>
      <c r="BN32" s="1136">
        <f t="shared" si="24"/>
        <v>0</v>
      </c>
      <c r="BO32" s="1135"/>
      <c r="BP32" s="1135"/>
      <c r="BQ32" s="1135"/>
      <c r="BR32" s="1135"/>
      <c r="BS32" s="1135"/>
      <c r="BT32" s="1135"/>
      <c r="BU32" s="1135"/>
      <c r="BV32" s="1135"/>
      <c r="BW32" s="1135"/>
      <c r="BX32" s="1135"/>
      <c r="BY32" s="1135"/>
      <c r="BZ32" s="1135"/>
      <c r="CA32" s="1136">
        <f t="shared" si="25"/>
        <v>0</v>
      </c>
      <c r="CB32" s="1135"/>
      <c r="CC32" s="1135"/>
      <c r="CD32" s="1135"/>
      <c r="CE32" s="1135"/>
      <c r="CF32" s="1135"/>
      <c r="CG32" s="1135"/>
      <c r="CH32" s="1135"/>
      <c r="CI32" s="1135"/>
      <c r="CJ32" s="1135"/>
      <c r="CK32" s="1135"/>
      <c r="CL32" s="1135"/>
      <c r="CM32" s="1135"/>
      <c r="CN32" s="1136">
        <f t="shared" si="26"/>
        <v>0</v>
      </c>
      <c r="CO32" s="1135"/>
      <c r="CP32" s="1135"/>
      <c r="CQ32" s="1135"/>
      <c r="CR32" s="1135"/>
      <c r="CS32" s="1135"/>
      <c r="CT32" s="1135"/>
      <c r="CU32" s="1135"/>
      <c r="CV32" s="1135"/>
      <c r="CW32" s="1135"/>
      <c r="CX32" s="1135"/>
      <c r="CY32" s="1135"/>
      <c r="CZ32" s="1135"/>
      <c r="DA32" s="1136">
        <f t="shared" si="27"/>
        <v>0</v>
      </c>
      <c r="DB32" s="1135"/>
      <c r="DC32" s="1135"/>
      <c r="DD32" s="1135"/>
      <c r="DE32" s="1135"/>
      <c r="DF32" s="1135"/>
      <c r="DG32" s="1135"/>
      <c r="DH32" s="1135"/>
      <c r="DI32" s="1135"/>
      <c r="DJ32" s="1135"/>
      <c r="DK32" s="1135"/>
      <c r="DL32" s="1135"/>
      <c r="DM32" s="1135"/>
      <c r="DN32" s="1136">
        <f t="shared" si="28"/>
        <v>0</v>
      </c>
      <c r="DO32" s="1135"/>
      <c r="DP32" s="1135"/>
      <c r="DQ32" s="1135"/>
      <c r="DR32" s="1135"/>
      <c r="DS32" s="1135"/>
      <c r="DT32" s="1135"/>
      <c r="DU32" s="1135"/>
      <c r="DV32" s="1135"/>
      <c r="DW32" s="1135"/>
      <c r="DX32" s="1135"/>
      <c r="DY32" s="1135"/>
      <c r="DZ32" s="1135"/>
      <c r="EA32" s="1136">
        <f t="shared" si="29"/>
        <v>0</v>
      </c>
      <c r="EB32" s="1135"/>
      <c r="EC32" s="1135"/>
      <c r="ED32" s="1135"/>
      <c r="EE32" s="1135"/>
      <c r="EF32" s="1135"/>
      <c r="EG32" s="1135"/>
      <c r="EH32" s="1135"/>
      <c r="EI32" s="1135"/>
      <c r="EJ32" s="1135"/>
      <c r="EK32" s="1135"/>
      <c r="EL32" s="1135"/>
      <c r="EM32" s="1135"/>
      <c r="EN32" s="1136">
        <f t="shared" si="30"/>
        <v>0</v>
      </c>
      <c r="EO32" s="1135"/>
      <c r="EP32" s="1135"/>
      <c r="EQ32" s="1135"/>
      <c r="ER32" s="1135"/>
      <c r="ES32" s="1135"/>
      <c r="ET32" s="1135"/>
      <c r="EU32" s="1135"/>
      <c r="EV32" s="1135"/>
      <c r="EW32" s="1135"/>
      <c r="EX32" s="1135"/>
      <c r="EY32" s="1135"/>
      <c r="EZ32" s="1135"/>
      <c r="FA32" s="1136">
        <f t="shared" si="31"/>
        <v>0</v>
      </c>
      <c r="FB32" s="1135"/>
      <c r="FC32" s="1135"/>
      <c r="FD32" s="1135"/>
      <c r="FE32" s="1135"/>
      <c r="FF32" s="1135"/>
      <c r="FG32" s="1135"/>
      <c r="FH32" s="1135"/>
      <c r="FI32" s="1135"/>
      <c r="FJ32" s="1135"/>
      <c r="FK32" s="1135"/>
      <c r="FL32" s="1135"/>
      <c r="FM32" s="1135"/>
      <c r="FN32" s="1136">
        <f t="shared" si="32"/>
        <v>0</v>
      </c>
      <c r="FO32" s="1135"/>
      <c r="FP32" s="1135"/>
      <c r="FQ32" s="1135"/>
      <c r="FR32" s="1135"/>
      <c r="FS32" s="1135"/>
      <c r="FT32" s="1135"/>
      <c r="FU32" s="1135"/>
      <c r="FV32" s="1135"/>
      <c r="FW32" s="1135"/>
      <c r="FX32" s="1135"/>
      <c r="FY32" s="1135"/>
      <c r="FZ32" s="1135"/>
      <c r="GA32" s="1136">
        <f t="shared" si="33"/>
        <v>0</v>
      </c>
      <c r="GB32" s="1135"/>
      <c r="GC32" s="1135"/>
      <c r="GD32" s="1135"/>
      <c r="GE32" s="1135"/>
      <c r="GF32" s="1135"/>
      <c r="GG32" s="1135"/>
      <c r="GH32" s="1135"/>
      <c r="GI32" s="1135"/>
      <c r="GJ32" s="1135"/>
      <c r="GK32" s="1135"/>
      <c r="GL32" s="1135"/>
      <c r="GM32" s="1135"/>
      <c r="GN32" s="1136">
        <f t="shared" si="34"/>
        <v>0</v>
      </c>
      <c r="GO32" s="1135"/>
      <c r="GP32" s="1135"/>
      <c r="GQ32" s="1135"/>
      <c r="GR32" s="1135"/>
      <c r="GS32" s="1135"/>
      <c r="GT32" s="1135"/>
      <c r="GU32" s="1135"/>
      <c r="GV32" s="1135"/>
      <c r="GW32" s="1135"/>
      <c r="GX32" s="1135"/>
      <c r="GY32" s="1135"/>
      <c r="GZ32" s="1135"/>
      <c r="HA32" s="1136">
        <f t="shared" si="35"/>
        <v>0</v>
      </c>
      <c r="HB32" s="1135"/>
      <c r="HC32" s="1135"/>
      <c r="HD32" s="1135"/>
      <c r="HE32" s="1135"/>
      <c r="HF32" s="1135"/>
      <c r="HG32" s="1135"/>
      <c r="HH32" s="1135"/>
      <c r="HI32" s="1135"/>
      <c r="HJ32" s="1135"/>
      <c r="HK32" s="1135"/>
      <c r="HL32" s="1135"/>
      <c r="HM32" s="1135"/>
      <c r="HN32" s="1136">
        <f t="shared" si="36"/>
        <v>0</v>
      </c>
      <c r="HO32" s="1135"/>
      <c r="HP32" s="1135"/>
      <c r="HQ32" s="1135"/>
      <c r="HR32" s="1135"/>
      <c r="HS32" s="1135"/>
      <c r="HT32" s="1135"/>
      <c r="HU32" s="1135"/>
      <c r="HV32" s="1135"/>
      <c r="HW32" s="1135"/>
      <c r="HX32" s="1135"/>
      <c r="HY32" s="1135"/>
      <c r="HZ32" s="1135"/>
      <c r="IA32" s="1136">
        <f t="shared" si="37"/>
        <v>0</v>
      </c>
      <c r="IB32" s="1135"/>
      <c r="IC32" s="1135"/>
      <c r="ID32" s="1135"/>
      <c r="IE32" s="1135"/>
      <c r="IF32" s="1135"/>
      <c r="IG32" s="1135"/>
      <c r="IH32" s="1135"/>
      <c r="II32" s="1135"/>
      <c r="IJ32" s="1135"/>
      <c r="IK32" s="1135"/>
      <c r="IL32" s="1135"/>
      <c r="IM32" s="1135"/>
      <c r="IN32" s="1136">
        <f t="shared" si="38"/>
        <v>0</v>
      </c>
      <c r="IO32" s="1135"/>
      <c r="IP32" s="1135"/>
      <c r="IQ32" s="1135"/>
      <c r="IR32" s="1135"/>
      <c r="IS32" s="1135"/>
      <c r="IT32" s="1135"/>
      <c r="IU32" s="1135"/>
      <c r="IV32" s="1135"/>
      <c r="IW32" s="1135"/>
      <c r="IX32" s="1135"/>
      <c r="IY32" s="1135"/>
      <c r="IZ32" s="1135"/>
      <c r="JA32" s="1136">
        <f t="shared" si="39"/>
        <v>0</v>
      </c>
      <c r="JB32" s="1135"/>
      <c r="JC32" s="1135"/>
      <c r="JD32" s="1135"/>
      <c r="JE32" s="1135"/>
      <c r="JF32" s="1135"/>
      <c r="JG32" s="1135"/>
      <c r="JH32" s="1135"/>
      <c r="JI32" s="1135"/>
      <c r="JJ32" s="1135"/>
      <c r="JK32" s="1135"/>
      <c r="JL32" s="1135"/>
      <c r="JM32" s="1135"/>
      <c r="JN32" s="1136">
        <f t="shared" si="40"/>
        <v>0</v>
      </c>
      <c r="JO32" s="1135"/>
      <c r="JP32" s="1135"/>
      <c r="JQ32" s="1135"/>
      <c r="JR32" s="1135"/>
      <c r="JS32" s="1135"/>
      <c r="JT32" s="1135"/>
      <c r="JU32" s="1135"/>
      <c r="JV32" s="1135"/>
      <c r="JW32" s="1135"/>
      <c r="JX32" s="1135"/>
      <c r="JY32" s="1135"/>
      <c r="JZ32" s="1135"/>
      <c r="KA32" s="1136">
        <f t="shared" si="41"/>
        <v>0</v>
      </c>
      <c r="KC32" s="1137" t="str">
        <f t="shared" si="42"/>
        <v/>
      </c>
      <c r="KD32" s="1138" t="str">
        <f t="shared" si="43"/>
        <v/>
      </c>
      <c r="KE32" s="1139">
        <f t="shared" si="44"/>
        <v>0</v>
      </c>
      <c r="KF32" s="1140">
        <f t="shared" si="45"/>
        <v>0</v>
      </c>
      <c r="KG32" s="1041"/>
      <c r="KH32" s="1139">
        <f t="shared" si="46"/>
        <v>0</v>
      </c>
      <c r="KI32" s="1146" t="s">
        <v>579</v>
      </c>
      <c r="KJ32" s="1147" t="str">
        <f t="shared" si="47"/>
        <v>OK</v>
      </c>
    </row>
    <row r="33" spans="1:296" ht="15" customHeight="1" x14ac:dyDescent="0.2">
      <c r="A33" s="1152" t="s">
        <v>38</v>
      </c>
      <c r="B33" s="1135"/>
      <c r="C33" s="1135"/>
      <c r="D33" s="1135"/>
      <c r="E33" s="1135"/>
      <c r="F33" s="1135"/>
      <c r="G33" s="1135"/>
      <c r="H33" s="1135"/>
      <c r="I33" s="1135"/>
      <c r="J33" s="1135"/>
      <c r="K33" s="1135"/>
      <c r="L33" s="1135"/>
      <c r="M33" s="1135">
        <v>50</v>
      </c>
      <c r="N33" s="1136">
        <f t="shared" si="20"/>
        <v>50</v>
      </c>
      <c r="O33" s="1135"/>
      <c r="P33" s="1135"/>
      <c r="Q33" s="1135"/>
      <c r="R33" s="1135"/>
      <c r="S33" s="1135"/>
      <c r="T33" s="1135"/>
      <c r="U33" s="1135"/>
      <c r="V33" s="1135"/>
      <c r="W33" s="1135"/>
      <c r="X33" s="1135"/>
      <c r="Y33" s="1135"/>
      <c r="Z33" s="1135">
        <v>52</v>
      </c>
      <c r="AA33" s="1136">
        <f t="shared" si="21"/>
        <v>52</v>
      </c>
      <c r="AB33" s="1135"/>
      <c r="AC33" s="1135"/>
      <c r="AD33" s="1135"/>
      <c r="AE33" s="1135"/>
      <c r="AF33" s="1135"/>
      <c r="AG33" s="1135"/>
      <c r="AH33" s="1135"/>
      <c r="AI33" s="1135"/>
      <c r="AJ33" s="1135"/>
      <c r="AK33" s="1135"/>
      <c r="AL33" s="1135"/>
      <c r="AM33" s="1135">
        <v>53</v>
      </c>
      <c r="AN33" s="1136">
        <f t="shared" si="22"/>
        <v>53</v>
      </c>
      <c r="AO33" s="1135"/>
      <c r="AP33" s="1135"/>
      <c r="AQ33" s="1135"/>
      <c r="AR33" s="1135"/>
      <c r="AS33" s="1135"/>
      <c r="AT33" s="1135"/>
      <c r="AU33" s="1135"/>
      <c r="AV33" s="1135"/>
      <c r="AW33" s="1135"/>
      <c r="AX33" s="1135"/>
      <c r="AY33" s="1135"/>
      <c r="AZ33" s="1135">
        <v>51</v>
      </c>
      <c r="BA33" s="1136">
        <f t="shared" si="23"/>
        <v>51</v>
      </c>
      <c r="BB33" s="1135"/>
      <c r="BC33" s="1135"/>
      <c r="BD33" s="1135"/>
      <c r="BE33" s="1135"/>
      <c r="BF33" s="1135"/>
      <c r="BG33" s="1135"/>
      <c r="BH33" s="1135"/>
      <c r="BI33" s="1135"/>
      <c r="BJ33" s="1135"/>
      <c r="BK33" s="1135"/>
      <c r="BL33" s="1135"/>
      <c r="BM33" s="1135">
        <v>39</v>
      </c>
      <c r="BN33" s="1136">
        <f t="shared" si="24"/>
        <v>39</v>
      </c>
      <c r="BO33" s="1135"/>
      <c r="BP33" s="1135"/>
      <c r="BQ33" s="1135"/>
      <c r="BR33" s="1135"/>
      <c r="BS33" s="1135"/>
      <c r="BT33" s="1135"/>
      <c r="BU33" s="1135"/>
      <c r="BV33" s="1135"/>
      <c r="BW33" s="1135"/>
      <c r="BX33" s="1135"/>
      <c r="BY33" s="1135"/>
      <c r="BZ33" s="1135">
        <v>39</v>
      </c>
      <c r="CA33" s="1136">
        <f t="shared" si="25"/>
        <v>39</v>
      </c>
      <c r="CB33" s="1135"/>
      <c r="CC33" s="1135"/>
      <c r="CD33" s="1135"/>
      <c r="CE33" s="1135"/>
      <c r="CF33" s="1135"/>
      <c r="CG33" s="1135"/>
      <c r="CH33" s="1135"/>
      <c r="CI33" s="1135"/>
      <c r="CJ33" s="1135"/>
      <c r="CK33" s="1135"/>
      <c r="CL33" s="1135"/>
      <c r="CM33" s="1135">
        <v>31</v>
      </c>
      <c r="CN33" s="1136">
        <f t="shared" si="26"/>
        <v>31</v>
      </c>
      <c r="CO33" s="1135"/>
      <c r="CP33" s="1135"/>
      <c r="CQ33" s="1135"/>
      <c r="CR33" s="1135"/>
      <c r="CS33" s="1135"/>
      <c r="CT33" s="1135"/>
      <c r="CU33" s="1135"/>
      <c r="CV33" s="1135"/>
      <c r="CW33" s="1135"/>
      <c r="CX33" s="1135"/>
      <c r="CY33" s="1135"/>
      <c r="CZ33" s="1135">
        <v>8</v>
      </c>
      <c r="DA33" s="1136">
        <f t="shared" si="27"/>
        <v>8</v>
      </c>
      <c r="DB33" s="1135"/>
      <c r="DC33" s="1135"/>
      <c r="DD33" s="1135"/>
      <c r="DE33" s="1135"/>
      <c r="DF33" s="1135"/>
      <c r="DG33" s="1135"/>
      <c r="DH33" s="1135"/>
      <c r="DI33" s="1135"/>
      <c r="DJ33" s="1135"/>
      <c r="DK33" s="1135"/>
      <c r="DL33" s="1135"/>
      <c r="DM33" s="1135">
        <v>27</v>
      </c>
      <c r="DN33" s="1136">
        <f t="shared" si="28"/>
        <v>27</v>
      </c>
      <c r="DO33" s="1135"/>
      <c r="DP33" s="1135"/>
      <c r="DQ33" s="1135"/>
      <c r="DR33" s="1135"/>
      <c r="DS33" s="1135"/>
      <c r="DT33" s="1135"/>
      <c r="DU33" s="1135"/>
      <c r="DV33" s="1135"/>
      <c r="DW33" s="1135"/>
      <c r="DX33" s="1135"/>
      <c r="DY33" s="1135"/>
      <c r="DZ33" s="1135">
        <v>30</v>
      </c>
      <c r="EA33" s="1136">
        <f t="shared" si="29"/>
        <v>30</v>
      </c>
      <c r="EB33" s="1135"/>
      <c r="EC33" s="1135"/>
      <c r="ED33" s="1135"/>
      <c r="EE33" s="1135"/>
      <c r="EF33" s="1135"/>
      <c r="EG33" s="1135"/>
      <c r="EH33" s="1135"/>
      <c r="EI33" s="1135"/>
      <c r="EJ33" s="1135"/>
      <c r="EK33" s="1135"/>
      <c r="EL33" s="1135"/>
      <c r="EM33" s="1135">
        <v>30</v>
      </c>
      <c r="EN33" s="1136">
        <f t="shared" si="30"/>
        <v>30</v>
      </c>
      <c r="EO33" s="1135"/>
      <c r="EP33" s="1135"/>
      <c r="EQ33" s="1135"/>
      <c r="ER33" s="1135"/>
      <c r="ES33" s="1135"/>
      <c r="ET33" s="1135"/>
      <c r="EU33" s="1135"/>
      <c r="EV33" s="1135"/>
      <c r="EW33" s="1135"/>
      <c r="EX33" s="1135"/>
      <c r="EY33" s="1135"/>
      <c r="EZ33" s="1135"/>
      <c r="FA33" s="1136">
        <f t="shared" si="31"/>
        <v>0</v>
      </c>
      <c r="FB33" s="1135"/>
      <c r="FC33" s="1135"/>
      <c r="FD33" s="1135"/>
      <c r="FE33" s="1135"/>
      <c r="FF33" s="1135"/>
      <c r="FG33" s="1135"/>
      <c r="FH33" s="1135"/>
      <c r="FI33" s="1135"/>
      <c r="FJ33" s="1135"/>
      <c r="FK33" s="1135"/>
      <c r="FL33" s="1135"/>
      <c r="FM33" s="1135"/>
      <c r="FN33" s="1136">
        <f t="shared" si="32"/>
        <v>0</v>
      </c>
      <c r="FO33" s="1135"/>
      <c r="FP33" s="1135"/>
      <c r="FQ33" s="1135"/>
      <c r="FR33" s="1135"/>
      <c r="FS33" s="1135"/>
      <c r="FT33" s="1135"/>
      <c r="FU33" s="1135"/>
      <c r="FV33" s="1135"/>
      <c r="FW33" s="1135"/>
      <c r="FX33" s="1135"/>
      <c r="FY33" s="1135"/>
      <c r="FZ33" s="1135"/>
      <c r="GA33" s="1136">
        <f t="shared" si="33"/>
        <v>0</v>
      </c>
      <c r="GB33" s="1135"/>
      <c r="GC33" s="1135"/>
      <c r="GD33" s="1135"/>
      <c r="GE33" s="1135"/>
      <c r="GF33" s="1135"/>
      <c r="GG33" s="1135"/>
      <c r="GH33" s="1135"/>
      <c r="GI33" s="1135"/>
      <c r="GJ33" s="1135"/>
      <c r="GK33" s="1135"/>
      <c r="GL33" s="1135"/>
      <c r="GM33" s="1135"/>
      <c r="GN33" s="1136">
        <f t="shared" si="34"/>
        <v>0</v>
      </c>
      <c r="GO33" s="1135"/>
      <c r="GP33" s="1135"/>
      <c r="GQ33" s="1135"/>
      <c r="GR33" s="1135"/>
      <c r="GS33" s="1135"/>
      <c r="GT33" s="1135"/>
      <c r="GU33" s="1135"/>
      <c r="GV33" s="1135"/>
      <c r="GW33" s="1135"/>
      <c r="GX33" s="1135"/>
      <c r="GY33" s="1135"/>
      <c r="GZ33" s="1135"/>
      <c r="HA33" s="1136">
        <f t="shared" si="35"/>
        <v>0</v>
      </c>
      <c r="HB33" s="1135"/>
      <c r="HC33" s="1135"/>
      <c r="HD33" s="1135"/>
      <c r="HE33" s="1135"/>
      <c r="HF33" s="1135"/>
      <c r="HG33" s="1135"/>
      <c r="HH33" s="1135"/>
      <c r="HI33" s="1135"/>
      <c r="HJ33" s="1135"/>
      <c r="HK33" s="1135"/>
      <c r="HL33" s="1135"/>
      <c r="HM33" s="1135"/>
      <c r="HN33" s="1136">
        <f t="shared" si="36"/>
        <v>0</v>
      </c>
      <c r="HO33" s="1135"/>
      <c r="HP33" s="1135"/>
      <c r="HQ33" s="1135">
        <v>11</v>
      </c>
      <c r="HR33" s="1135"/>
      <c r="HS33" s="1135">
        <v>1</v>
      </c>
      <c r="HT33" s="1135"/>
      <c r="HU33" s="1135"/>
      <c r="HV33" s="1135"/>
      <c r="HW33" s="1135"/>
      <c r="HX33" s="1135"/>
      <c r="HY33" s="1135"/>
      <c r="HZ33" s="1135"/>
      <c r="IA33" s="1136">
        <f t="shared" si="37"/>
        <v>12</v>
      </c>
      <c r="IB33" s="1135"/>
      <c r="IC33" s="1135"/>
      <c r="ID33" s="1135"/>
      <c r="IE33" s="1135"/>
      <c r="IF33" s="1135"/>
      <c r="IG33" s="1135"/>
      <c r="IH33" s="1135"/>
      <c r="II33" s="1135"/>
      <c r="IJ33" s="1135"/>
      <c r="IK33" s="1135"/>
      <c r="IL33" s="1135"/>
      <c r="IM33" s="1135"/>
      <c r="IN33" s="1136">
        <f t="shared" si="38"/>
        <v>0</v>
      </c>
      <c r="IO33" s="1135"/>
      <c r="IP33" s="1135"/>
      <c r="IQ33" s="1135"/>
      <c r="IR33" s="1135"/>
      <c r="IS33" s="1135"/>
      <c r="IT33" s="1135"/>
      <c r="IU33" s="1135"/>
      <c r="IV33" s="1135"/>
      <c r="IW33" s="1135"/>
      <c r="IX33" s="1135"/>
      <c r="IY33" s="1135"/>
      <c r="IZ33" s="1135"/>
      <c r="JA33" s="1136">
        <f t="shared" si="39"/>
        <v>0</v>
      </c>
      <c r="JB33" s="1135"/>
      <c r="JC33" s="1135"/>
      <c r="JD33" s="1135"/>
      <c r="JE33" s="1135"/>
      <c r="JF33" s="1135"/>
      <c r="JG33" s="1135"/>
      <c r="JH33" s="1135"/>
      <c r="JI33" s="1135"/>
      <c r="JJ33" s="1135"/>
      <c r="JK33" s="1135"/>
      <c r="JL33" s="1135"/>
      <c r="JM33" s="1135"/>
      <c r="JN33" s="1136">
        <f t="shared" si="40"/>
        <v>0</v>
      </c>
      <c r="JO33" s="1135">
        <v>2</v>
      </c>
      <c r="JP33" s="1135"/>
      <c r="JQ33" s="1135"/>
      <c r="JR33" s="1135"/>
      <c r="JS33" s="1135"/>
      <c r="JT33" s="1135"/>
      <c r="JU33" s="1135"/>
      <c r="JV33" s="1135"/>
      <c r="JW33" s="1135"/>
      <c r="JX33" s="1135"/>
      <c r="JY33" s="1135"/>
      <c r="JZ33" s="1135"/>
      <c r="KA33" s="1136">
        <f t="shared" si="41"/>
        <v>2</v>
      </c>
      <c r="KC33" s="1137" t="str">
        <f t="shared" si="42"/>
        <v/>
      </c>
      <c r="KD33" s="1138" t="str">
        <f t="shared" si="43"/>
        <v/>
      </c>
      <c r="KE33" s="1139">
        <f t="shared" si="44"/>
        <v>0</v>
      </c>
      <c r="KF33" s="1140">
        <f t="shared" si="45"/>
        <v>0</v>
      </c>
      <c r="KG33" s="1041"/>
      <c r="KH33" s="1139">
        <f t="shared" si="46"/>
        <v>848</v>
      </c>
      <c r="KI33" s="1146" t="s">
        <v>38</v>
      </c>
      <c r="KJ33" s="1147" t="str">
        <f t="shared" si="47"/>
        <v>OK</v>
      </c>
    </row>
    <row r="34" spans="1:296" ht="15" customHeight="1" x14ac:dyDescent="0.2">
      <c r="A34" s="1148" t="s">
        <v>39</v>
      </c>
      <c r="B34" s="1135"/>
      <c r="C34" s="1135"/>
      <c r="D34" s="1135"/>
      <c r="E34" s="1135"/>
      <c r="F34" s="1135"/>
      <c r="G34" s="1135"/>
      <c r="H34" s="1135"/>
      <c r="I34" s="1135"/>
      <c r="J34" s="1135"/>
      <c r="K34" s="1135"/>
      <c r="L34" s="1135"/>
      <c r="M34" s="1135">
        <v>25</v>
      </c>
      <c r="N34" s="1136">
        <f t="shared" si="20"/>
        <v>25</v>
      </c>
      <c r="O34" s="1135"/>
      <c r="P34" s="1135"/>
      <c r="Q34" s="1135"/>
      <c r="R34" s="1135"/>
      <c r="S34" s="1135"/>
      <c r="T34" s="1135"/>
      <c r="U34" s="1135"/>
      <c r="V34" s="1135"/>
      <c r="W34" s="1135"/>
      <c r="X34" s="1135"/>
      <c r="Y34" s="1135"/>
      <c r="Z34" s="1135">
        <v>25</v>
      </c>
      <c r="AA34" s="1136">
        <f t="shared" si="21"/>
        <v>25</v>
      </c>
      <c r="AB34" s="1135"/>
      <c r="AC34" s="1135"/>
      <c r="AD34" s="1135"/>
      <c r="AE34" s="1135"/>
      <c r="AF34" s="1135"/>
      <c r="AG34" s="1135"/>
      <c r="AH34" s="1135"/>
      <c r="AI34" s="1135"/>
      <c r="AJ34" s="1135"/>
      <c r="AK34" s="1135"/>
      <c r="AL34" s="1135"/>
      <c r="AM34" s="1135">
        <v>27</v>
      </c>
      <c r="AN34" s="1136">
        <f t="shared" si="22"/>
        <v>27</v>
      </c>
      <c r="AO34" s="1135"/>
      <c r="AP34" s="1135"/>
      <c r="AQ34" s="1135"/>
      <c r="AR34" s="1135"/>
      <c r="AS34" s="1135"/>
      <c r="AT34" s="1135"/>
      <c r="AU34" s="1135"/>
      <c r="AV34" s="1135"/>
      <c r="AW34" s="1135"/>
      <c r="AX34" s="1135"/>
      <c r="AY34" s="1135"/>
      <c r="AZ34" s="1135">
        <v>27</v>
      </c>
      <c r="BA34" s="1136">
        <f t="shared" si="23"/>
        <v>27</v>
      </c>
      <c r="BB34" s="1135"/>
      <c r="BC34" s="1135"/>
      <c r="BD34" s="1135"/>
      <c r="BE34" s="1135"/>
      <c r="BF34" s="1135"/>
      <c r="BG34" s="1135"/>
      <c r="BH34" s="1135"/>
      <c r="BI34" s="1135"/>
      <c r="BJ34" s="1135"/>
      <c r="BK34" s="1135"/>
      <c r="BL34" s="1135"/>
      <c r="BM34" s="1135">
        <v>27</v>
      </c>
      <c r="BN34" s="1136">
        <f t="shared" si="24"/>
        <v>27</v>
      </c>
      <c r="BO34" s="1135"/>
      <c r="BP34" s="1135"/>
      <c r="BQ34" s="1135"/>
      <c r="BR34" s="1135"/>
      <c r="BS34" s="1135"/>
      <c r="BT34" s="1135"/>
      <c r="BU34" s="1135"/>
      <c r="BV34" s="1135"/>
      <c r="BW34" s="1135"/>
      <c r="BX34" s="1135"/>
      <c r="BY34" s="1135"/>
      <c r="BZ34" s="1135">
        <v>25</v>
      </c>
      <c r="CA34" s="1136">
        <f t="shared" si="25"/>
        <v>25</v>
      </c>
      <c r="CB34" s="1135"/>
      <c r="CC34" s="1135"/>
      <c r="CD34" s="1135"/>
      <c r="CE34" s="1135"/>
      <c r="CF34" s="1135"/>
      <c r="CG34" s="1135"/>
      <c r="CH34" s="1135"/>
      <c r="CI34" s="1135"/>
      <c r="CJ34" s="1135"/>
      <c r="CK34" s="1135"/>
      <c r="CL34" s="1135"/>
      <c r="CM34" s="1135">
        <v>7</v>
      </c>
      <c r="CN34" s="1136">
        <f t="shared" si="26"/>
        <v>7</v>
      </c>
      <c r="CO34" s="1135"/>
      <c r="CP34" s="1135"/>
      <c r="CQ34" s="1135"/>
      <c r="CR34" s="1135"/>
      <c r="CS34" s="1135"/>
      <c r="CT34" s="1135"/>
      <c r="CU34" s="1135"/>
      <c r="CV34" s="1135"/>
      <c r="CW34" s="1135"/>
      <c r="CX34" s="1135"/>
      <c r="CY34" s="1135"/>
      <c r="CZ34" s="1135"/>
      <c r="DA34" s="1136">
        <f t="shared" si="27"/>
        <v>0</v>
      </c>
      <c r="DB34" s="1135"/>
      <c r="DC34" s="1135"/>
      <c r="DD34" s="1135"/>
      <c r="DE34" s="1135"/>
      <c r="DF34" s="1135"/>
      <c r="DG34" s="1135"/>
      <c r="DH34" s="1135"/>
      <c r="DI34" s="1135"/>
      <c r="DJ34" s="1135"/>
      <c r="DK34" s="1135"/>
      <c r="DL34" s="1135"/>
      <c r="DM34" s="1135"/>
      <c r="DN34" s="1136">
        <f t="shared" si="28"/>
        <v>0</v>
      </c>
      <c r="DO34" s="1135"/>
      <c r="DP34" s="1135"/>
      <c r="DQ34" s="1135"/>
      <c r="DR34" s="1135"/>
      <c r="DS34" s="1135"/>
      <c r="DT34" s="1135"/>
      <c r="DU34" s="1135"/>
      <c r="DV34" s="1135"/>
      <c r="DW34" s="1135"/>
      <c r="DX34" s="1135"/>
      <c r="DY34" s="1135"/>
      <c r="DZ34" s="1135">
        <v>10</v>
      </c>
      <c r="EA34" s="1136">
        <f t="shared" si="29"/>
        <v>10</v>
      </c>
      <c r="EB34" s="1135"/>
      <c r="EC34" s="1135"/>
      <c r="ED34" s="1135"/>
      <c r="EE34" s="1135"/>
      <c r="EF34" s="1135"/>
      <c r="EG34" s="1135"/>
      <c r="EH34" s="1135"/>
      <c r="EI34" s="1135"/>
      <c r="EJ34" s="1135"/>
      <c r="EK34" s="1135"/>
      <c r="EL34" s="1135"/>
      <c r="EM34" s="1135">
        <v>10</v>
      </c>
      <c r="EN34" s="1136">
        <f t="shared" si="30"/>
        <v>10</v>
      </c>
      <c r="EO34" s="1135"/>
      <c r="EP34" s="1135"/>
      <c r="EQ34" s="1135"/>
      <c r="ER34" s="1135"/>
      <c r="ES34" s="1135"/>
      <c r="ET34" s="1135"/>
      <c r="EU34" s="1135"/>
      <c r="EV34" s="1135"/>
      <c r="EW34" s="1135"/>
      <c r="EX34" s="1135"/>
      <c r="EY34" s="1135"/>
      <c r="EZ34" s="1135">
        <v>7</v>
      </c>
      <c r="FA34" s="1136">
        <f t="shared" si="31"/>
        <v>7</v>
      </c>
      <c r="FB34" s="1135"/>
      <c r="FC34" s="1135"/>
      <c r="FD34" s="1135"/>
      <c r="FE34" s="1135"/>
      <c r="FF34" s="1135"/>
      <c r="FG34" s="1135"/>
      <c r="FH34" s="1135"/>
      <c r="FI34" s="1135"/>
      <c r="FJ34" s="1135"/>
      <c r="FK34" s="1135"/>
      <c r="FL34" s="1135"/>
      <c r="FM34" s="1135">
        <v>4</v>
      </c>
      <c r="FN34" s="1136">
        <f t="shared" si="32"/>
        <v>4</v>
      </c>
      <c r="FO34" s="1135"/>
      <c r="FP34" s="1135"/>
      <c r="FQ34" s="1135"/>
      <c r="FR34" s="1135"/>
      <c r="FS34" s="1135"/>
      <c r="FT34" s="1135"/>
      <c r="FU34" s="1135"/>
      <c r="FV34" s="1135"/>
      <c r="FW34" s="1135"/>
      <c r="FX34" s="1135"/>
      <c r="FY34" s="1135"/>
      <c r="FZ34" s="1135">
        <v>4</v>
      </c>
      <c r="GA34" s="1136">
        <f t="shared" si="33"/>
        <v>4</v>
      </c>
      <c r="GB34" s="1135"/>
      <c r="GC34" s="1135"/>
      <c r="GD34" s="1135"/>
      <c r="GE34" s="1135"/>
      <c r="GF34" s="1135"/>
      <c r="GG34" s="1135"/>
      <c r="GH34" s="1135"/>
      <c r="GI34" s="1135"/>
      <c r="GJ34" s="1135"/>
      <c r="GK34" s="1135"/>
      <c r="GL34" s="1135"/>
      <c r="GM34" s="1135">
        <v>6</v>
      </c>
      <c r="GN34" s="1136">
        <f t="shared" si="34"/>
        <v>6</v>
      </c>
      <c r="GO34" s="1135"/>
      <c r="GP34" s="1135"/>
      <c r="GQ34" s="1135"/>
      <c r="GR34" s="1135"/>
      <c r="GS34" s="1135"/>
      <c r="GT34" s="1135"/>
      <c r="GU34" s="1135"/>
      <c r="GV34" s="1135"/>
      <c r="GW34" s="1135"/>
      <c r="GX34" s="1135"/>
      <c r="GY34" s="1135"/>
      <c r="GZ34" s="1135">
        <v>4</v>
      </c>
      <c r="HA34" s="1136">
        <f t="shared" si="35"/>
        <v>4</v>
      </c>
      <c r="HB34" s="1135"/>
      <c r="HC34" s="1135"/>
      <c r="HD34" s="1135"/>
      <c r="HE34" s="1135"/>
      <c r="HF34" s="1135"/>
      <c r="HG34" s="1135"/>
      <c r="HH34" s="1135"/>
      <c r="HI34" s="1135"/>
      <c r="HJ34" s="1135"/>
      <c r="HK34" s="1135"/>
      <c r="HL34" s="1135"/>
      <c r="HM34" s="1135"/>
      <c r="HN34" s="1136">
        <f t="shared" si="36"/>
        <v>0</v>
      </c>
      <c r="HO34" s="1135"/>
      <c r="HP34" s="1135"/>
      <c r="HQ34" s="1135"/>
      <c r="HR34" s="1135"/>
      <c r="HS34" s="1135"/>
      <c r="HT34" s="1135"/>
      <c r="HU34" s="1135"/>
      <c r="HV34" s="1135"/>
      <c r="HW34" s="1135"/>
      <c r="HX34" s="1135"/>
      <c r="HY34" s="1135"/>
      <c r="HZ34" s="1135"/>
      <c r="IA34" s="1136">
        <f t="shared" si="37"/>
        <v>0</v>
      </c>
      <c r="IB34" s="1135"/>
      <c r="IC34" s="1135"/>
      <c r="ID34" s="1135"/>
      <c r="IE34" s="1135"/>
      <c r="IF34" s="1135"/>
      <c r="IG34" s="1135"/>
      <c r="IH34" s="1135"/>
      <c r="II34" s="1135"/>
      <c r="IJ34" s="1135"/>
      <c r="IK34" s="1135"/>
      <c r="IL34" s="1135"/>
      <c r="IM34" s="1135">
        <v>3.4</v>
      </c>
      <c r="IN34" s="1136">
        <f t="shared" si="38"/>
        <v>3.4</v>
      </c>
      <c r="IO34" s="1135"/>
      <c r="IP34" s="1135"/>
      <c r="IQ34" s="1135"/>
      <c r="IR34" s="1135"/>
      <c r="IS34" s="1135"/>
      <c r="IT34" s="1135"/>
      <c r="IU34" s="1135"/>
      <c r="IV34" s="1135"/>
      <c r="IW34" s="1135"/>
      <c r="IX34" s="1135"/>
      <c r="IY34" s="1135"/>
      <c r="IZ34" s="1135"/>
      <c r="JA34" s="1136">
        <f t="shared" si="39"/>
        <v>0</v>
      </c>
      <c r="JB34" s="1135"/>
      <c r="JC34" s="1135"/>
      <c r="JD34" s="1135"/>
      <c r="JE34" s="1135"/>
      <c r="JF34" s="1135"/>
      <c r="JG34" s="1135"/>
      <c r="JH34" s="1135"/>
      <c r="JI34" s="1135"/>
      <c r="JJ34" s="1135"/>
      <c r="JK34" s="1135"/>
      <c r="JL34" s="1135"/>
      <c r="JM34" s="1135">
        <v>2.4</v>
      </c>
      <c r="JN34" s="1136">
        <f t="shared" si="40"/>
        <v>2.4</v>
      </c>
      <c r="JO34" s="1135">
        <v>0</v>
      </c>
      <c r="JP34" s="1135"/>
      <c r="JQ34" s="1135"/>
      <c r="JR34" s="1135"/>
      <c r="JS34" s="1135"/>
      <c r="JT34" s="1135"/>
      <c r="JU34" s="1135"/>
      <c r="JV34" s="1135"/>
      <c r="JW34" s="1135"/>
      <c r="JX34" s="1135"/>
      <c r="JY34" s="1135"/>
      <c r="JZ34" s="1135"/>
      <c r="KA34" s="1136">
        <f t="shared" si="41"/>
        <v>0</v>
      </c>
      <c r="KC34" s="1137" t="str">
        <f t="shared" si="42"/>
        <v/>
      </c>
      <c r="KD34" s="1138" t="str">
        <f t="shared" si="43"/>
        <v/>
      </c>
      <c r="KE34" s="1139">
        <f t="shared" si="44"/>
        <v>0</v>
      </c>
      <c r="KF34" s="1140">
        <f t="shared" si="45"/>
        <v>2.4</v>
      </c>
      <c r="KG34" s="1041"/>
      <c r="KH34" s="1139">
        <f t="shared" si="46"/>
        <v>427.59999999999991</v>
      </c>
      <c r="KI34" s="1146" t="s">
        <v>39</v>
      </c>
      <c r="KJ34" s="1147" t="str">
        <f t="shared" si="47"/>
        <v>OK</v>
      </c>
    </row>
    <row r="35" spans="1:296" ht="15" customHeight="1" x14ac:dyDescent="0.2">
      <c r="A35" s="1148" t="s">
        <v>227</v>
      </c>
      <c r="B35" s="1135"/>
      <c r="C35" s="1135"/>
      <c r="D35" s="1135"/>
      <c r="E35" s="1135"/>
      <c r="F35" s="1135"/>
      <c r="G35" s="1135"/>
      <c r="H35" s="1135"/>
      <c r="I35" s="1135"/>
      <c r="J35" s="1135"/>
      <c r="K35" s="1135"/>
      <c r="L35" s="1135"/>
      <c r="M35" s="1135"/>
      <c r="N35" s="1136">
        <f t="shared" si="20"/>
        <v>0</v>
      </c>
      <c r="O35" s="1135"/>
      <c r="P35" s="1135"/>
      <c r="Q35" s="1135"/>
      <c r="R35" s="1135"/>
      <c r="S35" s="1135"/>
      <c r="T35" s="1135"/>
      <c r="U35" s="1135"/>
      <c r="V35" s="1135"/>
      <c r="W35" s="1135"/>
      <c r="X35" s="1135"/>
      <c r="Y35" s="1135"/>
      <c r="Z35" s="1135"/>
      <c r="AA35" s="1136">
        <f t="shared" si="21"/>
        <v>0</v>
      </c>
      <c r="AB35" s="1135"/>
      <c r="AC35" s="1135"/>
      <c r="AD35" s="1135"/>
      <c r="AE35" s="1135"/>
      <c r="AF35" s="1135"/>
      <c r="AG35" s="1135"/>
      <c r="AH35" s="1135"/>
      <c r="AI35" s="1135"/>
      <c r="AJ35" s="1135"/>
      <c r="AK35" s="1135"/>
      <c r="AL35" s="1135"/>
      <c r="AM35" s="1135"/>
      <c r="AN35" s="1136">
        <f t="shared" si="22"/>
        <v>0</v>
      </c>
      <c r="AO35" s="1135"/>
      <c r="AP35" s="1135"/>
      <c r="AQ35" s="1135"/>
      <c r="AR35" s="1135"/>
      <c r="AS35" s="1135"/>
      <c r="AT35" s="1135"/>
      <c r="AU35" s="1135"/>
      <c r="AV35" s="1135"/>
      <c r="AW35" s="1135"/>
      <c r="AX35" s="1135"/>
      <c r="AY35" s="1135"/>
      <c r="AZ35" s="1135"/>
      <c r="BA35" s="1136">
        <f t="shared" si="23"/>
        <v>0</v>
      </c>
      <c r="BB35" s="1135"/>
      <c r="BC35" s="1135"/>
      <c r="BD35" s="1135"/>
      <c r="BE35" s="1135"/>
      <c r="BF35" s="1135"/>
      <c r="BG35" s="1135"/>
      <c r="BH35" s="1135"/>
      <c r="BI35" s="1135"/>
      <c r="BJ35" s="1135"/>
      <c r="BK35" s="1135"/>
      <c r="BL35" s="1135"/>
      <c r="BM35" s="1135"/>
      <c r="BN35" s="1136">
        <f t="shared" si="24"/>
        <v>0</v>
      </c>
      <c r="BO35" s="1135"/>
      <c r="BP35" s="1135"/>
      <c r="BQ35" s="1135"/>
      <c r="BR35" s="1135"/>
      <c r="BS35" s="1135"/>
      <c r="BT35" s="1135"/>
      <c r="BU35" s="1135"/>
      <c r="BV35" s="1135"/>
      <c r="BW35" s="1135"/>
      <c r="BX35" s="1135"/>
      <c r="BY35" s="1135"/>
      <c r="BZ35" s="1135"/>
      <c r="CA35" s="1136">
        <f t="shared" si="25"/>
        <v>0</v>
      </c>
      <c r="CB35" s="1135"/>
      <c r="CC35" s="1135"/>
      <c r="CD35" s="1135"/>
      <c r="CE35" s="1135"/>
      <c r="CF35" s="1135"/>
      <c r="CG35" s="1135"/>
      <c r="CH35" s="1135"/>
      <c r="CI35" s="1135"/>
      <c r="CJ35" s="1135"/>
      <c r="CK35" s="1135"/>
      <c r="CL35" s="1135"/>
      <c r="CM35" s="1135"/>
      <c r="CN35" s="1136">
        <f t="shared" si="26"/>
        <v>0</v>
      </c>
      <c r="CO35" s="1135"/>
      <c r="CP35" s="1135"/>
      <c r="CQ35" s="1135"/>
      <c r="CR35" s="1135"/>
      <c r="CS35" s="1135"/>
      <c r="CT35" s="1135"/>
      <c r="CU35" s="1135"/>
      <c r="CV35" s="1135"/>
      <c r="CW35" s="1135"/>
      <c r="CX35" s="1135"/>
      <c r="CY35" s="1135"/>
      <c r="CZ35" s="1135"/>
      <c r="DA35" s="1136">
        <f t="shared" si="27"/>
        <v>0</v>
      </c>
      <c r="DB35" s="1135"/>
      <c r="DC35" s="1135"/>
      <c r="DD35" s="1135"/>
      <c r="DE35" s="1135"/>
      <c r="DF35" s="1135"/>
      <c r="DG35" s="1135"/>
      <c r="DH35" s="1135"/>
      <c r="DI35" s="1135"/>
      <c r="DJ35" s="1135"/>
      <c r="DK35" s="1135"/>
      <c r="DL35" s="1135"/>
      <c r="DM35" s="1135"/>
      <c r="DN35" s="1136">
        <f t="shared" si="28"/>
        <v>0</v>
      </c>
      <c r="DO35" s="1135"/>
      <c r="DP35" s="1135"/>
      <c r="DQ35" s="1135"/>
      <c r="DR35" s="1135"/>
      <c r="DS35" s="1135"/>
      <c r="DT35" s="1135"/>
      <c r="DU35" s="1135"/>
      <c r="DV35" s="1135"/>
      <c r="DW35" s="1135"/>
      <c r="DX35" s="1135"/>
      <c r="DY35" s="1135"/>
      <c r="DZ35" s="1135"/>
      <c r="EA35" s="1136">
        <f t="shared" si="29"/>
        <v>0</v>
      </c>
      <c r="EB35" s="1135"/>
      <c r="EC35" s="1135"/>
      <c r="ED35" s="1135"/>
      <c r="EE35" s="1135"/>
      <c r="EF35" s="1135"/>
      <c r="EG35" s="1135"/>
      <c r="EH35" s="1135"/>
      <c r="EI35" s="1135"/>
      <c r="EJ35" s="1135"/>
      <c r="EK35" s="1135"/>
      <c r="EL35" s="1135"/>
      <c r="EM35" s="1135"/>
      <c r="EN35" s="1136">
        <f t="shared" si="30"/>
        <v>0</v>
      </c>
      <c r="EO35" s="1135"/>
      <c r="EP35" s="1135"/>
      <c r="EQ35" s="1135"/>
      <c r="ER35" s="1135"/>
      <c r="ES35" s="1135"/>
      <c r="ET35" s="1135"/>
      <c r="EU35" s="1135"/>
      <c r="EV35" s="1135"/>
      <c r="EW35" s="1135"/>
      <c r="EX35" s="1135"/>
      <c r="EY35" s="1135"/>
      <c r="EZ35" s="1135"/>
      <c r="FA35" s="1136">
        <f t="shared" si="31"/>
        <v>0</v>
      </c>
      <c r="FB35" s="1135"/>
      <c r="FC35" s="1135"/>
      <c r="FD35" s="1135"/>
      <c r="FE35" s="1135"/>
      <c r="FF35" s="1135"/>
      <c r="FG35" s="1135"/>
      <c r="FH35" s="1135"/>
      <c r="FI35" s="1135"/>
      <c r="FJ35" s="1135"/>
      <c r="FK35" s="1135"/>
      <c r="FL35" s="1135"/>
      <c r="FM35" s="1135"/>
      <c r="FN35" s="1136">
        <f t="shared" si="32"/>
        <v>0</v>
      </c>
      <c r="FO35" s="1135"/>
      <c r="FP35" s="1135"/>
      <c r="FQ35" s="1135"/>
      <c r="FR35" s="1135"/>
      <c r="FS35" s="1135"/>
      <c r="FT35" s="1135"/>
      <c r="FU35" s="1135"/>
      <c r="FV35" s="1135"/>
      <c r="FW35" s="1135"/>
      <c r="FX35" s="1135"/>
      <c r="FY35" s="1135"/>
      <c r="FZ35" s="1135"/>
      <c r="GA35" s="1136">
        <f t="shared" si="33"/>
        <v>0</v>
      </c>
      <c r="GB35" s="1135"/>
      <c r="GC35" s="1135"/>
      <c r="GD35" s="1135"/>
      <c r="GE35" s="1135"/>
      <c r="GF35" s="1135"/>
      <c r="GG35" s="1135"/>
      <c r="GH35" s="1135"/>
      <c r="GI35" s="1135"/>
      <c r="GJ35" s="1135"/>
      <c r="GK35" s="1135"/>
      <c r="GL35" s="1135"/>
      <c r="GM35" s="1135"/>
      <c r="GN35" s="1136">
        <f t="shared" si="34"/>
        <v>0</v>
      </c>
      <c r="GO35" s="1135"/>
      <c r="GP35" s="1135"/>
      <c r="GQ35" s="1135"/>
      <c r="GR35" s="1135"/>
      <c r="GS35" s="1135"/>
      <c r="GT35" s="1135"/>
      <c r="GU35" s="1135"/>
      <c r="GV35" s="1135"/>
      <c r="GW35" s="1135"/>
      <c r="GX35" s="1135"/>
      <c r="GY35" s="1135"/>
      <c r="GZ35" s="1135"/>
      <c r="HA35" s="1136">
        <f t="shared" si="35"/>
        <v>0</v>
      </c>
      <c r="HB35" s="1135"/>
      <c r="HC35" s="1135"/>
      <c r="HD35" s="1135"/>
      <c r="HE35" s="1135"/>
      <c r="HF35" s="1135"/>
      <c r="HG35" s="1135"/>
      <c r="HH35" s="1135"/>
      <c r="HI35" s="1135"/>
      <c r="HJ35" s="1135"/>
      <c r="HK35" s="1135"/>
      <c r="HL35" s="1135"/>
      <c r="HM35" s="1135"/>
      <c r="HN35" s="1136">
        <f t="shared" si="36"/>
        <v>0</v>
      </c>
      <c r="HO35" s="1135"/>
      <c r="HP35" s="1135"/>
      <c r="HQ35" s="1135"/>
      <c r="HR35" s="1135"/>
      <c r="HS35" s="1135"/>
      <c r="HT35" s="1135"/>
      <c r="HU35" s="1135"/>
      <c r="HV35" s="1135"/>
      <c r="HW35" s="1135"/>
      <c r="HX35" s="1135"/>
      <c r="HY35" s="1135"/>
      <c r="HZ35" s="1135"/>
      <c r="IA35" s="1136">
        <f t="shared" si="37"/>
        <v>0</v>
      </c>
      <c r="IB35" s="1135"/>
      <c r="IC35" s="1135"/>
      <c r="ID35" s="1135"/>
      <c r="IE35" s="1135"/>
      <c r="IF35" s="1135"/>
      <c r="IG35" s="1135"/>
      <c r="IH35" s="1135"/>
      <c r="II35" s="1135"/>
      <c r="IJ35" s="1135"/>
      <c r="IK35" s="1135"/>
      <c r="IL35" s="1135"/>
      <c r="IM35" s="1135"/>
      <c r="IN35" s="1136">
        <f t="shared" si="38"/>
        <v>0</v>
      </c>
      <c r="IO35" s="1135"/>
      <c r="IP35" s="1135"/>
      <c r="IQ35" s="1135"/>
      <c r="IR35" s="1135"/>
      <c r="IS35" s="1135"/>
      <c r="IT35" s="1135"/>
      <c r="IU35" s="1135"/>
      <c r="IV35" s="1135"/>
      <c r="IW35" s="1135"/>
      <c r="IX35" s="1135"/>
      <c r="IY35" s="1135"/>
      <c r="IZ35" s="1135"/>
      <c r="JA35" s="1136">
        <f t="shared" si="39"/>
        <v>0</v>
      </c>
      <c r="JB35" s="1135"/>
      <c r="JC35" s="1135"/>
      <c r="JD35" s="1135"/>
      <c r="JE35" s="1135"/>
      <c r="JF35" s="1135"/>
      <c r="JG35" s="1135"/>
      <c r="JH35" s="1135"/>
      <c r="JI35" s="1135"/>
      <c r="JJ35" s="1135"/>
      <c r="JK35" s="1135"/>
      <c r="JL35" s="1135"/>
      <c r="JM35" s="1135"/>
      <c r="JN35" s="1136">
        <f t="shared" si="40"/>
        <v>0</v>
      </c>
      <c r="JO35" s="1135"/>
      <c r="JP35" s="1135"/>
      <c r="JQ35" s="1135"/>
      <c r="JR35" s="1135"/>
      <c r="JS35" s="1135"/>
      <c r="JT35" s="1135"/>
      <c r="JU35" s="1135"/>
      <c r="JV35" s="1135"/>
      <c r="JW35" s="1135"/>
      <c r="JX35" s="1135"/>
      <c r="JY35" s="1135"/>
      <c r="JZ35" s="1135"/>
      <c r="KA35" s="1136">
        <f t="shared" si="41"/>
        <v>0</v>
      </c>
      <c r="KC35" s="1137" t="str">
        <f t="shared" si="42"/>
        <v/>
      </c>
      <c r="KD35" s="1138" t="str">
        <f t="shared" si="43"/>
        <v/>
      </c>
      <c r="KE35" s="1139">
        <f t="shared" si="44"/>
        <v>0</v>
      </c>
      <c r="KF35" s="1140">
        <f t="shared" si="45"/>
        <v>0</v>
      </c>
      <c r="KG35" s="1041"/>
      <c r="KH35" s="1139">
        <f t="shared" si="46"/>
        <v>0</v>
      </c>
      <c r="KI35" s="1146" t="s">
        <v>227</v>
      </c>
      <c r="KJ35" s="1147" t="str">
        <f t="shared" si="47"/>
        <v>OK</v>
      </c>
    </row>
    <row r="36" spans="1:296" ht="15" customHeight="1" x14ac:dyDescent="0.2">
      <c r="A36" s="1148" t="s">
        <v>49</v>
      </c>
      <c r="B36" s="1135"/>
      <c r="C36" s="1135"/>
      <c r="D36" s="1135"/>
      <c r="E36" s="1135"/>
      <c r="F36" s="1135"/>
      <c r="G36" s="1135"/>
      <c r="H36" s="1135"/>
      <c r="I36" s="1135"/>
      <c r="J36" s="1135"/>
      <c r="K36" s="1135"/>
      <c r="L36" s="1135"/>
      <c r="M36" s="1135"/>
      <c r="N36" s="1136">
        <f t="shared" si="20"/>
        <v>0</v>
      </c>
      <c r="O36" s="1135"/>
      <c r="P36" s="1135"/>
      <c r="Q36" s="1135"/>
      <c r="R36" s="1135"/>
      <c r="S36" s="1135"/>
      <c r="T36" s="1135"/>
      <c r="U36" s="1135"/>
      <c r="V36" s="1135"/>
      <c r="W36" s="1135"/>
      <c r="X36" s="1135"/>
      <c r="Y36" s="1135"/>
      <c r="Z36" s="1135"/>
      <c r="AA36" s="1136">
        <f t="shared" si="21"/>
        <v>0</v>
      </c>
      <c r="AB36" s="1135"/>
      <c r="AC36" s="1135"/>
      <c r="AD36" s="1135"/>
      <c r="AE36" s="1135"/>
      <c r="AF36" s="1135"/>
      <c r="AG36" s="1135"/>
      <c r="AH36" s="1135"/>
      <c r="AI36" s="1135"/>
      <c r="AJ36" s="1135"/>
      <c r="AK36" s="1135"/>
      <c r="AL36" s="1135"/>
      <c r="AM36" s="1135"/>
      <c r="AN36" s="1136">
        <f t="shared" si="22"/>
        <v>0</v>
      </c>
      <c r="AO36" s="1135"/>
      <c r="AP36" s="1135"/>
      <c r="AQ36" s="1135"/>
      <c r="AR36" s="1135"/>
      <c r="AS36" s="1135"/>
      <c r="AT36" s="1135"/>
      <c r="AU36" s="1135"/>
      <c r="AV36" s="1135"/>
      <c r="AW36" s="1135"/>
      <c r="AX36" s="1135"/>
      <c r="AY36" s="1135"/>
      <c r="AZ36" s="1135"/>
      <c r="BA36" s="1136">
        <f t="shared" si="23"/>
        <v>0</v>
      </c>
      <c r="BB36" s="1135"/>
      <c r="BC36" s="1135"/>
      <c r="BD36" s="1135"/>
      <c r="BE36" s="1135"/>
      <c r="BF36" s="1135"/>
      <c r="BG36" s="1135"/>
      <c r="BH36" s="1135"/>
      <c r="BI36" s="1135"/>
      <c r="BJ36" s="1135"/>
      <c r="BK36" s="1135"/>
      <c r="BL36" s="1135"/>
      <c r="BM36" s="1135"/>
      <c r="BN36" s="1136">
        <f t="shared" si="24"/>
        <v>0</v>
      </c>
      <c r="BO36" s="1135"/>
      <c r="BP36" s="1135"/>
      <c r="BQ36" s="1135"/>
      <c r="BR36" s="1135"/>
      <c r="BS36" s="1135"/>
      <c r="BT36" s="1135"/>
      <c r="BU36" s="1135"/>
      <c r="BV36" s="1135"/>
      <c r="BW36" s="1135"/>
      <c r="BX36" s="1135"/>
      <c r="BY36" s="1135"/>
      <c r="BZ36" s="1135"/>
      <c r="CA36" s="1136">
        <f t="shared" si="25"/>
        <v>0</v>
      </c>
      <c r="CB36" s="1135"/>
      <c r="CC36" s="1135"/>
      <c r="CD36" s="1135"/>
      <c r="CE36" s="1135"/>
      <c r="CF36" s="1135"/>
      <c r="CG36" s="1135"/>
      <c r="CH36" s="1135"/>
      <c r="CI36" s="1135"/>
      <c r="CJ36" s="1135"/>
      <c r="CK36" s="1135"/>
      <c r="CL36" s="1135"/>
      <c r="CM36" s="1135"/>
      <c r="CN36" s="1136">
        <f t="shared" si="26"/>
        <v>0</v>
      </c>
      <c r="CO36" s="1135"/>
      <c r="CP36" s="1135"/>
      <c r="CQ36" s="1135"/>
      <c r="CR36" s="1135"/>
      <c r="CS36" s="1135"/>
      <c r="CT36" s="1135"/>
      <c r="CU36" s="1135"/>
      <c r="CV36" s="1135"/>
      <c r="CW36" s="1135"/>
      <c r="CX36" s="1135"/>
      <c r="CY36" s="1135"/>
      <c r="CZ36" s="1135"/>
      <c r="DA36" s="1136">
        <f t="shared" si="27"/>
        <v>0</v>
      </c>
      <c r="DB36" s="1135"/>
      <c r="DC36" s="1135"/>
      <c r="DD36" s="1135"/>
      <c r="DE36" s="1135"/>
      <c r="DF36" s="1135"/>
      <c r="DG36" s="1135"/>
      <c r="DH36" s="1135"/>
      <c r="DI36" s="1135"/>
      <c r="DJ36" s="1135"/>
      <c r="DK36" s="1135"/>
      <c r="DL36" s="1135"/>
      <c r="DM36" s="1135"/>
      <c r="DN36" s="1136">
        <f t="shared" si="28"/>
        <v>0</v>
      </c>
      <c r="DO36" s="1135"/>
      <c r="DP36" s="1135"/>
      <c r="DQ36" s="1135"/>
      <c r="DR36" s="1135"/>
      <c r="DS36" s="1135"/>
      <c r="DT36" s="1135"/>
      <c r="DU36" s="1135"/>
      <c r="DV36" s="1135"/>
      <c r="DW36" s="1135"/>
      <c r="DX36" s="1135"/>
      <c r="DY36" s="1135"/>
      <c r="DZ36" s="1135"/>
      <c r="EA36" s="1136">
        <f t="shared" si="29"/>
        <v>0</v>
      </c>
      <c r="EB36" s="1135"/>
      <c r="EC36" s="1135"/>
      <c r="ED36" s="1135"/>
      <c r="EE36" s="1135"/>
      <c r="EF36" s="1135"/>
      <c r="EG36" s="1135"/>
      <c r="EH36" s="1135"/>
      <c r="EI36" s="1135"/>
      <c r="EJ36" s="1135"/>
      <c r="EK36" s="1135"/>
      <c r="EL36" s="1135"/>
      <c r="EM36" s="1135"/>
      <c r="EN36" s="1136">
        <f t="shared" si="30"/>
        <v>0</v>
      </c>
      <c r="EO36" s="1135"/>
      <c r="EP36" s="1135"/>
      <c r="EQ36" s="1135"/>
      <c r="ER36" s="1135"/>
      <c r="ES36" s="1135"/>
      <c r="ET36" s="1135"/>
      <c r="EU36" s="1135"/>
      <c r="EV36" s="1135"/>
      <c r="EW36" s="1135"/>
      <c r="EX36" s="1135"/>
      <c r="EY36" s="1135"/>
      <c r="EZ36" s="1135"/>
      <c r="FA36" s="1136">
        <f t="shared" si="31"/>
        <v>0</v>
      </c>
      <c r="FB36" s="1135"/>
      <c r="FC36" s="1135"/>
      <c r="FD36" s="1135"/>
      <c r="FE36" s="1135"/>
      <c r="FF36" s="1135"/>
      <c r="FG36" s="1135"/>
      <c r="FH36" s="1135"/>
      <c r="FI36" s="1135"/>
      <c r="FJ36" s="1135"/>
      <c r="FK36" s="1135"/>
      <c r="FL36" s="1135"/>
      <c r="FM36" s="1135"/>
      <c r="FN36" s="1136">
        <f t="shared" si="32"/>
        <v>0</v>
      </c>
      <c r="FO36" s="1135"/>
      <c r="FP36" s="1135"/>
      <c r="FQ36" s="1135"/>
      <c r="FR36" s="1135"/>
      <c r="FS36" s="1135"/>
      <c r="FT36" s="1135"/>
      <c r="FU36" s="1135"/>
      <c r="FV36" s="1135"/>
      <c r="FW36" s="1135"/>
      <c r="FX36" s="1135"/>
      <c r="FY36" s="1135"/>
      <c r="FZ36" s="1135"/>
      <c r="GA36" s="1136">
        <f t="shared" si="33"/>
        <v>0</v>
      </c>
      <c r="GB36" s="1135"/>
      <c r="GC36" s="1135"/>
      <c r="GD36" s="1135"/>
      <c r="GE36" s="1135"/>
      <c r="GF36" s="1135"/>
      <c r="GG36" s="1135"/>
      <c r="GH36" s="1135"/>
      <c r="GI36" s="1135"/>
      <c r="GJ36" s="1135"/>
      <c r="GK36" s="1135"/>
      <c r="GL36" s="1135"/>
      <c r="GM36" s="1135"/>
      <c r="GN36" s="1136">
        <f t="shared" si="34"/>
        <v>0</v>
      </c>
      <c r="GO36" s="1135"/>
      <c r="GP36" s="1135"/>
      <c r="GQ36" s="1135"/>
      <c r="GR36" s="1135"/>
      <c r="GS36" s="1135"/>
      <c r="GT36" s="1135"/>
      <c r="GU36" s="1135"/>
      <c r="GV36" s="1135"/>
      <c r="GW36" s="1135"/>
      <c r="GX36" s="1135"/>
      <c r="GY36" s="1135"/>
      <c r="GZ36" s="1135"/>
      <c r="HA36" s="1136">
        <f t="shared" si="35"/>
        <v>0</v>
      </c>
      <c r="HB36" s="1135"/>
      <c r="HC36" s="1135"/>
      <c r="HD36" s="1135"/>
      <c r="HE36" s="1135"/>
      <c r="HF36" s="1135"/>
      <c r="HG36" s="1135"/>
      <c r="HH36" s="1135"/>
      <c r="HI36" s="1135"/>
      <c r="HJ36" s="1135"/>
      <c r="HK36" s="1135"/>
      <c r="HL36" s="1135"/>
      <c r="HM36" s="1135"/>
      <c r="HN36" s="1136">
        <f t="shared" si="36"/>
        <v>0</v>
      </c>
      <c r="HO36" s="1135"/>
      <c r="HP36" s="1135"/>
      <c r="HQ36" s="1135"/>
      <c r="HR36" s="1135"/>
      <c r="HS36" s="1135"/>
      <c r="HT36" s="1135"/>
      <c r="HU36" s="1135"/>
      <c r="HV36" s="1135"/>
      <c r="HW36" s="1135">
        <v>1.5</v>
      </c>
      <c r="HX36" s="1135"/>
      <c r="HY36" s="1135"/>
      <c r="HZ36" s="1135">
        <v>3.5</v>
      </c>
      <c r="IA36" s="1136">
        <f t="shared" si="37"/>
        <v>5</v>
      </c>
      <c r="IB36" s="1135"/>
      <c r="IC36" s="1135">
        <v>3.3</v>
      </c>
      <c r="ID36" s="1135"/>
      <c r="IE36" s="1135"/>
      <c r="IF36" s="1135"/>
      <c r="IG36" s="1135"/>
      <c r="IH36" s="1135"/>
      <c r="II36" s="1135"/>
      <c r="IJ36" s="1135"/>
      <c r="IK36" s="1135"/>
      <c r="IL36" s="1135"/>
      <c r="IM36" s="1135"/>
      <c r="IN36" s="1136">
        <f t="shared" si="38"/>
        <v>3.3</v>
      </c>
      <c r="IO36" s="1135"/>
      <c r="IP36" s="1135"/>
      <c r="IQ36" s="1135"/>
      <c r="IR36" s="1135"/>
      <c r="IS36" s="1135"/>
      <c r="IT36" s="1135"/>
      <c r="IU36" s="1135"/>
      <c r="IV36" s="1135"/>
      <c r="IW36" s="1135"/>
      <c r="IX36" s="1135">
        <v>1</v>
      </c>
      <c r="IY36" s="1135">
        <v>1</v>
      </c>
      <c r="IZ36" s="1135"/>
      <c r="JA36" s="1136">
        <f t="shared" si="39"/>
        <v>2</v>
      </c>
      <c r="JB36" s="1135"/>
      <c r="JC36" s="1135"/>
      <c r="JD36" s="1135"/>
      <c r="JE36" s="1135"/>
      <c r="JF36" s="1135">
        <v>1.5</v>
      </c>
      <c r="JG36" s="1135">
        <v>1</v>
      </c>
      <c r="JH36" s="1135"/>
      <c r="JI36" s="1135"/>
      <c r="JJ36" s="1135">
        <v>0.5</v>
      </c>
      <c r="JK36" s="1135">
        <v>0.5</v>
      </c>
      <c r="JL36" s="1135">
        <v>0.5</v>
      </c>
      <c r="JM36" s="1135">
        <v>0.5</v>
      </c>
      <c r="JN36" s="1136">
        <f t="shared" si="40"/>
        <v>4.5</v>
      </c>
      <c r="JO36" s="1135">
        <v>2.5</v>
      </c>
      <c r="JP36" s="1135"/>
      <c r="JQ36" s="1135"/>
      <c r="JR36" s="1135"/>
      <c r="JS36" s="1135"/>
      <c r="JT36" s="1135"/>
      <c r="JU36" s="1135"/>
      <c r="JV36" s="1135"/>
      <c r="JW36" s="1135"/>
      <c r="JX36" s="1135"/>
      <c r="JY36" s="1135"/>
      <c r="JZ36" s="1135"/>
      <c r="KA36" s="1136">
        <f t="shared" si="41"/>
        <v>2.5</v>
      </c>
      <c r="KC36" s="1137" t="str">
        <f t="shared" si="42"/>
        <v/>
      </c>
      <c r="KD36" s="1138">
        <f t="shared" si="43"/>
        <v>125</v>
      </c>
      <c r="KE36" s="1139">
        <f t="shared" si="44"/>
        <v>2</v>
      </c>
      <c r="KF36" s="1140">
        <f t="shared" si="45"/>
        <v>4.5</v>
      </c>
      <c r="KG36" s="1041"/>
      <c r="KH36" s="1139">
        <f t="shared" si="46"/>
        <v>34.6</v>
      </c>
      <c r="KI36" s="1146" t="s">
        <v>49</v>
      </c>
      <c r="KJ36" s="1147" t="str">
        <f t="shared" si="47"/>
        <v>OK</v>
      </c>
    </row>
    <row r="37" spans="1:296" ht="15" customHeight="1" x14ac:dyDescent="0.2">
      <c r="A37" s="1148" t="s">
        <v>40</v>
      </c>
      <c r="B37" s="1135"/>
      <c r="C37" s="1135"/>
      <c r="D37" s="1135"/>
      <c r="E37" s="1135"/>
      <c r="F37" s="1135"/>
      <c r="G37" s="1135"/>
      <c r="H37" s="1135"/>
      <c r="I37" s="1135"/>
      <c r="J37" s="1135"/>
      <c r="K37" s="1135"/>
      <c r="L37" s="1135"/>
      <c r="M37" s="1135">
        <v>148</v>
      </c>
      <c r="N37" s="1136">
        <f t="shared" si="20"/>
        <v>148</v>
      </c>
      <c r="O37" s="1135"/>
      <c r="P37" s="1135"/>
      <c r="Q37" s="1135"/>
      <c r="R37" s="1135"/>
      <c r="S37" s="1135"/>
      <c r="T37" s="1135"/>
      <c r="U37" s="1135"/>
      <c r="V37" s="1135"/>
      <c r="W37" s="1135"/>
      <c r="X37" s="1135"/>
      <c r="Y37" s="1135"/>
      <c r="Z37" s="1135">
        <v>148</v>
      </c>
      <c r="AA37" s="1136">
        <f t="shared" si="21"/>
        <v>148</v>
      </c>
      <c r="AB37" s="1135"/>
      <c r="AC37" s="1135"/>
      <c r="AD37" s="1135"/>
      <c r="AE37" s="1135"/>
      <c r="AF37" s="1135"/>
      <c r="AG37" s="1135"/>
      <c r="AH37" s="1135"/>
      <c r="AI37" s="1135"/>
      <c r="AJ37" s="1135"/>
      <c r="AK37" s="1135"/>
      <c r="AL37" s="1135"/>
      <c r="AM37" s="1135">
        <v>148</v>
      </c>
      <c r="AN37" s="1136">
        <f t="shared" si="22"/>
        <v>148</v>
      </c>
      <c r="AO37" s="1135"/>
      <c r="AP37" s="1135"/>
      <c r="AQ37" s="1135"/>
      <c r="AR37" s="1135"/>
      <c r="AS37" s="1135"/>
      <c r="AT37" s="1135"/>
      <c r="AU37" s="1135"/>
      <c r="AV37" s="1135"/>
      <c r="AW37" s="1135"/>
      <c r="AX37" s="1135"/>
      <c r="AY37" s="1135"/>
      <c r="AZ37" s="1135">
        <v>110</v>
      </c>
      <c r="BA37" s="1136">
        <f t="shared" si="23"/>
        <v>110</v>
      </c>
      <c r="BB37" s="1135"/>
      <c r="BC37" s="1135"/>
      <c r="BD37" s="1135"/>
      <c r="BE37" s="1135"/>
      <c r="BF37" s="1135"/>
      <c r="BG37" s="1135"/>
      <c r="BH37" s="1135"/>
      <c r="BI37" s="1135"/>
      <c r="BJ37" s="1135"/>
      <c r="BK37" s="1135"/>
      <c r="BL37" s="1135"/>
      <c r="BM37" s="1135">
        <v>75</v>
      </c>
      <c r="BN37" s="1136">
        <f t="shared" si="24"/>
        <v>75</v>
      </c>
      <c r="BO37" s="1135"/>
      <c r="BP37" s="1135"/>
      <c r="BQ37" s="1135"/>
      <c r="BR37" s="1135"/>
      <c r="BS37" s="1135"/>
      <c r="BT37" s="1135"/>
      <c r="BU37" s="1135"/>
      <c r="BV37" s="1135"/>
      <c r="BW37" s="1135"/>
      <c r="BX37" s="1135"/>
      <c r="BY37" s="1135"/>
      <c r="BZ37" s="1135">
        <v>99</v>
      </c>
      <c r="CA37" s="1136">
        <f t="shared" si="25"/>
        <v>99</v>
      </c>
      <c r="CB37" s="1135"/>
      <c r="CC37" s="1135"/>
      <c r="CD37" s="1135"/>
      <c r="CE37" s="1135"/>
      <c r="CF37" s="1135"/>
      <c r="CG37" s="1135"/>
      <c r="CH37" s="1135"/>
      <c r="CI37" s="1135"/>
      <c r="CJ37" s="1135"/>
      <c r="CK37" s="1135"/>
      <c r="CL37" s="1135"/>
      <c r="CM37" s="1135">
        <v>96</v>
      </c>
      <c r="CN37" s="1136">
        <f t="shared" si="26"/>
        <v>96</v>
      </c>
      <c r="CO37" s="1135"/>
      <c r="CP37" s="1135"/>
      <c r="CQ37" s="1135"/>
      <c r="CR37" s="1135"/>
      <c r="CS37" s="1135"/>
      <c r="CT37" s="1135"/>
      <c r="CU37" s="1135"/>
      <c r="CV37" s="1135"/>
      <c r="CW37" s="1135"/>
      <c r="CX37" s="1135"/>
      <c r="CY37" s="1135"/>
      <c r="CZ37" s="1135">
        <v>19</v>
      </c>
      <c r="DA37" s="1136">
        <f t="shared" si="27"/>
        <v>19</v>
      </c>
      <c r="DB37" s="1135"/>
      <c r="DC37" s="1135"/>
      <c r="DD37" s="1135"/>
      <c r="DE37" s="1135"/>
      <c r="DF37" s="1135"/>
      <c r="DG37" s="1135"/>
      <c r="DH37" s="1135"/>
      <c r="DI37" s="1135"/>
      <c r="DJ37" s="1135"/>
      <c r="DK37" s="1135"/>
      <c r="DL37" s="1135"/>
      <c r="DM37" s="1135">
        <v>99</v>
      </c>
      <c r="DN37" s="1136">
        <f t="shared" si="28"/>
        <v>99</v>
      </c>
      <c r="DO37" s="1135"/>
      <c r="DP37" s="1135"/>
      <c r="DQ37" s="1135"/>
      <c r="DR37" s="1135"/>
      <c r="DS37" s="1135"/>
      <c r="DT37" s="1135"/>
      <c r="DU37" s="1135"/>
      <c r="DV37" s="1135"/>
      <c r="DW37" s="1135"/>
      <c r="DX37" s="1135"/>
      <c r="DY37" s="1135"/>
      <c r="DZ37" s="1135">
        <v>80</v>
      </c>
      <c r="EA37" s="1136">
        <f t="shared" si="29"/>
        <v>80</v>
      </c>
      <c r="EB37" s="1135"/>
      <c r="EC37" s="1135"/>
      <c r="ED37" s="1135"/>
      <c r="EE37" s="1135"/>
      <c r="EF37" s="1135"/>
      <c r="EG37" s="1135"/>
      <c r="EH37" s="1135"/>
      <c r="EI37" s="1135"/>
      <c r="EJ37" s="1135"/>
      <c r="EK37" s="1135"/>
      <c r="EL37" s="1135"/>
      <c r="EM37" s="1135">
        <v>80</v>
      </c>
      <c r="EN37" s="1136">
        <f t="shared" si="30"/>
        <v>80</v>
      </c>
      <c r="EO37" s="1135"/>
      <c r="EP37" s="1135"/>
      <c r="EQ37" s="1135"/>
      <c r="ER37" s="1135"/>
      <c r="ES37" s="1135"/>
      <c r="ET37" s="1135"/>
      <c r="EU37" s="1135"/>
      <c r="EV37" s="1135"/>
      <c r="EW37" s="1135"/>
      <c r="EX37" s="1135"/>
      <c r="EY37" s="1135"/>
      <c r="EZ37" s="1135">
        <v>1</v>
      </c>
      <c r="FA37" s="1136">
        <f t="shared" si="31"/>
        <v>1</v>
      </c>
      <c r="FB37" s="1135"/>
      <c r="FC37" s="1135"/>
      <c r="FD37" s="1135"/>
      <c r="FE37" s="1135"/>
      <c r="FF37" s="1135"/>
      <c r="FG37" s="1135"/>
      <c r="FH37" s="1135"/>
      <c r="FI37" s="1135"/>
      <c r="FJ37" s="1135"/>
      <c r="FK37" s="1135"/>
      <c r="FL37" s="1135"/>
      <c r="FM37" s="1135"/>
      <c r="FN37" s="1136">
        <f t="shared" si="32"/>
        <v>0</v>
      </c>
      <c r="FO37" s="1135"/>
      <c r="FP37" s="1135"/>
      <c r="FQ37" s="1135"/>
      <c r="FR37" s="1135"/>
      <c r="FS37" s="1135"/>
      <c r="FT37" s="1135"/>
      <c r="FU37" s="1135"/>
      <c r="FV37" s="1135"/>
      <c r="FW37" s="1135"/>
      <c r="FX37" s="1135"/>
      <c r="FY37" s="1135"/>
      <c r="FZ37" s="1135"/>
      <c r="GA37" s="1136">
        <f t="shared" si="33"/>
        <v>0</v>
      </c>
      <c r="GB37" s="1135"/>
      <c r="GC37" s="1135"/>
      <c r="GD37" s="1135"/>
      <c r="GE37" s="1135"/>
      <c r="GF37" s="1135"/>
      <c r="GG37" s="1135"/>
      <c r="GH37" s="1135"/>
      <c r="GI37" s="1135"/>
      <c r="GJ37" s="1135"/>
      <c r="GK37" s="1135"/>
      <c r="GL37" s="1135"/>
      <c r="GM37" s="1135"/>
      <c r="GN37" s="1136">
        <f t="shared" si="34"/>
        <v>0</v>
      </c>
      <c r="GO37" s="1135"/>
      <c r="GP37" s="1135"/>
      <c r="GQ37" s="1135"/>
      <c r="GR37" s="1135"/>
      <c r="GS37" s="1135"/>
      <c r="GT37" s="1135"/>
      <c r="GU37" s="1135"/>
      <c r="GV37" s="1135"/>
      <c r="GW37" s="1135"/>
      <c r="GX37" s="1135"/>
      <c r="GY37" s="1135"/>
      <c r="GZ37" s="1135"/>
      <c r="HA37" s="1136">
        <f t="shared" si="35"/>
        <v>0</v>
      </c>
      <c r="HB37" s="1135"/>
      <c r="HC37" s="1135"/>
      <c r="HD37" s="1135"/>
      <c r="HE37" s="1135"/>
      <c r="HF37" s="1135"/>
      <c r="HG37" s="1135"/>
      <c r="HH37" s="1135"/>
      <c r="HI37" s="1135"/>
      <c r="HJ37" s="1135"/>
      <c r="HK37" s="1135"/>
      <c r="HL37" s="1135"/>
      <c r="HM37" s="1135"/>
      <c r="HN37" s="1136">
        <f t="shared" si="36"/>
        <v>0</v>
      </c>
      <c r="HO37" s="1135"/>
      <c r="HP37" s="1135">
        <v>4</v>
      </c>
      <c r="HQ37" s="1135">
        <v>54</v>
      </c>
      <c r="HR37" s="1135">
        <v>9.3000000000000007</v>
      </c>
      <c r="HS37" s="1135"/>
      <c r="HT37" s="1135"/>
      <c r="HU37" s="1135"/>
      <c r="HV37" s="1135"/>
      <c r="HW37" s="1135"/>
      <c r="HX37" s="1135"/>
      <c r="HY37" s="1135"/>
      <c r="HZ37" s="1135"/>
      <c r="IA37" s="1136">
        <f t="shared" si="37"/>
        <v>67.3</v>
      </c>
      <c r="IB37" s="1135"/>
      <c r="IC37" s="1135"/>
      <c r="ID37" s="1135"/>
      <c r="IE37" s="1135"/>
      <c r="IF37" s="1135"/>
      <c r="IG37" s="1135"/>
      <c r="IH37" s="1135"/>
      <c r="II37" s="1135"/>
      <c r="IJ37" s="1135"/>
      <c r="IK37" s="1135"/>
      <c r="IL37" s="1135"/>
      <c r="IM37" s="1135"/>
      <c r="IN37" s="1136">
        <f t="shared" si="38"/>
        <v>0</v>
      </c>
      <c r="IO37" s="1135"/>
      <c r="IP37" s="1135"/>
      <c r="IQ37" s="1135">
        <v>28</v>
      </c>
      <c r="IR37" s="1135">
        <v>28</v>
      </c>
      <c r="IS37" s="1135"/>
      <c r="IT37" s="1135"/>
      <c r="IU37" s="1135"/>
      <c r="IV37" s="1135"/>
      <c r="IW37" s="1135"/>
      <c r="IX37" s="1135"/>
      <c r="IY37" s="1135"/>
      <c r="IZ37" s="1135"/>
      <c r="JA37" s="1136">
        <f t="shared" si="39"/>
        <v>56</v>
      </c>
      <c r="JB37" s="1135"/>
      <c r="JC37" s="1135"/>
      <c r="JD37" s="1135"/>
      <c r="JE37" s="1135"/>
      <c r="JF37" s="1135"/>
      <c r="JG37" s="1135"/>
      <c r="JH37" s="1135"/>
      <c r="JI37" s="1135"/>
      <c r="JJ37" s="1135"/>
      <c r="JK37" s="1135"/>
      <c r="JL37" s="1135"/>
      <c r="JM37" s="1135"/>
      <c r="JN37" s="1136">
        <f t="shared" si="40"/>
        <v>0</v>
      </c>
      <c r="JO37" s="1135">
        <v>0</v>
      </c>
      <c r="JP37" s="1135"/>
      <c r="JQ37" s="1135"/>
      <c r="JR37" s="1135"/>
      <c r="JS37" s="1135"/>
      <c r="JT37" s="1135"/>
      <c r="JU37" s="1135"/>
      <c r="JV37" s="1135"/>
      <c r="JW37" s="1135"/>
      <c r="JX37" s="1135"/>
      <c r="JY37" s="1135"/>
      <c r="JZ37" s="1135"/>
      <c r="KA37" s="1136">
        <f t="shared" si="41"/>
        <v>0</v>
      </c>
      <c r="KC37" s="1137" t="str">
        <f t="shared" si="42"/>
        <v/>
      </c>
      <c r="KD37" s="1138">
        <f t="shared" si="43"/>
        <v>-100</v>
      </c>
      <c r="KE37" s="1139">
        <f t="shared" si="44"/>
        <v>56</v>
      </c>
      <c r="KF37" s="1140">
        <f t="shared" si="45"/>
        <v>0</v>
      </c>
      <c r="KG37" s="1041"/>
      <c r="KH37" s="1139">
        <f t="shared" si="46"/>
        <v>2452.6000000000004</v>
      </c>
      <c r="KI37" s="1146" t="s">
        <v>40</v>
      </c>
      <c r="KJ37" s="1147" t="str">
        <f t="shared" si="47"/>
        <v>OK</v>
      </c>
    </row>
    <row r="38" spans="1:296" ht="15" customHeight="1" x14ac:dyDescent="0.2">
      <c r="A38" s="1145" t="s">
        <v>42</v>
      </c>
      <c r="B38" s="1135"/>
      <c r="C38" s="1135"/>
      <c r="D38" s="1135"/>
      <c r="E38" s="1135"/>
      <c r="F38" s="1135"/>
      <c r="G38" s="1135"/>
      <c r="H38" s="1135"/>
      <c r="I38" s="1135"/>
      <c r="J38" s="1135"/>
      <c r="K38" s="1135"/>
      <c r="L38" s="1135"/>
      <c r="M38" s="1135">
        <v>857</v>
      </c>
      <c r="N38" s="1136">
        <f t="shared" si="20"/>
        <v>857</v>
      </c>
      <c r="O38" s="1135"/>
      <c r="P38" s="1135"/>
      <c r="Q38" s="1135"/>
      <c r="R38" s="1135"/>
      <c r="S38" s="1135"/>
      <c r="T38" s="1135"/>
      <c r="U38" s="1135"/>
      <c r="V38" s="1135"/>
      <c r="W38" s="1135"/>
      <c r="X38" s="1135"/>
      <c r="Y38" s="1135"/>
      <c r="Z38" s="1135">
        <v>857</v>
      </c>
      <c r="AA38" s="1136">
        <f t="shared" si="21"/>
        <v>857</v>
      </c>
      <c r="AB38" s="1135"/>
      <c r="AC38" s="1135"/>
      <c r="AD38" s="1135"/>
      <c r="AE38" s="1135"/>
      <c r="AF38" s="1135"/>
      <c r="AG38" s="1135"/>
      <c r="AH38" s="1135"/>
      <c r="AI38" s="1135"/>
      <c r="AJ38" s="1135"/>
      <c r="AK38" s="1135"/>
      <c r="AL38" s="1135"/>
      <c r="AM38" s="1135">
        <v>857</v>
      </c>
      <c r="AN38" s="1136">
        <f t="shared" si="22"/>
        <v>857</v>
      </c>
      <c r="AO38" s="1135"/>
      <c r="AP38" s="1135"/>
      <c r="AQ38" s="1135"/>
      <c r="AR38" s="1135"/>
      <c r="AS38" s="1135"/>
      <c r="AT38" s="1135"/>
      <c r="AU38" s="1135"/>
      <c r="AV38" s="1135"/>
      <c r="AW38" s="1135"/>
      <c r="AX38" s="1135"/>
      <c r="AY38" s="1135"/>
      <c r="AZ38" s="1135">
        <v>895</v>
      </c>
      <c r="BA38" s="1136">
        <f t="shared" si="23"/>
        <v>895</v>
      </c>
      <c r="BB38" s="1135"/>
      <c r="BC38" s="1135"/>
      <c r="BD38" s="1135"/>
      <c r="BE38" s="1135"/>
      <c r="BF38" s="1135"/>
      <c r="BG38" s="1135"/>
      <c r="BH38" s="1135"/>
      <c r="BI38" s="1135"/>
      <c r="BJ38" s="1135"/>
      <c r="BK38" s="1135"/>
      <c r="BL38" s="1135"/>
      <c r="BM38" s="1135">
        <v>792</v>
      </c>
      <c r="BN38" s="1136">
        <f t="shared" si="24"/>
        <v>792</v>
      </c>
      <c r="BO38" s="1135"/>
      <c r="BP38" s="1135"/>
      <c r="BQ38" s="1135"/>
      <c r="BR38" s="1135"/>
      <c r="BS38" s="1135"/>
      <c r="BT38" s="1135"/>
      <c r="BU38" s="1135"/>
      <c r="BV38" s="1135"/>
      <c r="BW38" s="1135"/>
      <c r="BX38" s="1135"/>
      <c r="BY38" s="1135"/>
      <c r="BZ38" s="1135">
        <v>879</v>
      </c>
      <c r="CA38" s="1136">
        <f t="shared" si="25"/>
        <v>879</v>
      </c>
      <c r="CB38" s="1135"/>
      <c r="CC38" s="1135"/>
      <c r="CD38" s="1135"/>
      <c r="CE38" s="1135"/>
      <c r="CF38" s="1135"/>
      <c r="CG38" s="1135"/>
      <c r="CH38" s="1135"/>
      <c r="CI38" s="1135"/>
      <c r="CJ38" s="1135"/>
      <c r="CK38" s="1135"/>
      <c r="CL38" s="1135"/>
      <c r="CM38" s="1135">
        <v>660</v>
      </c>
      <c r="CN38" s="1136">
        <f t="shared" si="26"/>
        <v>660</v>
      </c>
      <c r="CO38" s="1135"/>
      <c r="CP38" s="1135"/>
      <c r="CQ38" s="1135"/>
      <c r="CR38" s="1135"/>
      <c r="CS38" s="1135"/>
      <c r="CT38" s="1135"/>
      <c r="CU38" s="1135"/>
      <c r="CV38" s="1135"/>
      <c r="CW38" s="1135"/>
      <c r="CX38" s="1135"/>
      <c r="CY38" s="1135"/>
      <c r="CZ38" s="1135">
        <v>150</v>
      </c>
      <c r="DA38" s="1136">
        <f t="shared" si="27"/>
        <v>150</v>
      </c>
      <c r="DB38" s="1135"/>
      <c r="DC38" s="1135"/>
      <c r="DD38" s="1135"/>
      <c r="DE38" s="1135"/>
      <c r="DF38" s="1135"/>
      <c r="DG38" s="1135"/>
      <c r="DH38" s="1135"/>
      <c r="DI38" s="1135"/>
      <c r="DJ38" s="1135"/>
      <c r="DK38" s="1135"/>
      <c r="DL38" s="1135"/>
      <c r="DM38" s="1135">
        <v>200</v>
      </c>
      <c r="DN38" s="1136">
        <f t="shared" si="28"/>
        <v>200</v>
      </c>
      <c r="DO38" s="1135"/>
      <c r="DP38" s="1135"/>
      <c r="DQ38" s="1135"/>
      <c r="DR38" s="1135"/>
      <c r="DS38" s="1135"/>
      <c r="DT38" s="1135"/>
      <c r="DU38" s="1135"/>
      <c r="DV38" s="1135"/>
      <c r="DW38" s="1135"/>
      <c r="DX38" s="1135"/>
      <c r="DY38" s="1135"/>
      <c r="DZ38" s="1135">
        <v>780</v>
      </c>
      <c r="EA38" s="1136">
        <f t="shared" si="29"/>
        <v>780</v>
      </c>
      <c r="EB38" s="1135"/>
      <c r="EC38" s="1135"/>
      <c r="ED38" s="1135"/>
      <c r="EE38" s="1135"/>
      <c r="EF38" s="1135"/>
      <c r="EG38" s="1135"/>
      <c r="EH38" s="1135"/>
      <c r="EI38" s="1135"/>
      <c r="EJ38" s="1135"/>
      <c r="EK38" s="1135"/>
      <c r="EL38" s="1135"/>
      <c r="EM38" s="1135">
        <v>780</v>
      </c>
      <c r="EN38" s="1136">
        <f t="shared" si="30"/>
        <v>780</v>
      </c>
      <c r="EO38" s="1135"/>
      <c r="EP38" s="1135"/>
      <c r="EQ38" s="1135"/>
      <c r="ER38" s="1135"/>
      <c r="ES38" s="1135"/>
      <c r="ET38" s="1135"/>
      <c r="EU38" s="1135"/>
      <c r="EV38" s="1135"/>
      <c r="EW38" s="1135"/>
      <c r="EX38" s="1135"/>
      <c r="EY38" s="1135"/>
      <c r="EZ38" s="1135">
        <v>898</v>
      </c>
      <c r="FA38" s="1136">
        <f t="shared" si="31"/>
        <v>898</v>
      </c>
      <c r="FB38" s="1135"/>
      <c r="FC38" s="1135"/>
      <c r="FD38" s="1135"/>
      <c r="FE38" s="1135"/>
      <c r="FF38" s="1135"/>
      <c r="FG38" s="1135"/>
      <c r="FH38" s="1135"/>
      <c r="FI38" s="1135"/>
      <c r="FJ38" s="1135"/>
      <c r="FK38" s="1135"/>
      <c r="FL38" s="1135"/>
      <c r="FM38" s="1135">
        <v>916</v>
      </c>
      <c r="FN38" s="1136">
        <f t="shared" si="32"/>
        <v>916</v>
      </c>
      <c r="FO38" s="1135"/>
      <c r="FP38" s="1135"/>
      <c r="FQ38" s="1135"/>
      <c r="FR38" s="1135"/>
      <c r="FS38" s="1135"/>
      <c r="FT38" s="1135"/>
      <c r="FU38" s="1135"/>
      <c r="FV38" s="1135"/>
      <c r="FW38" s="1135"/>
      <c r="FX38" s="1135"/>
      <c r="FY38" s="1135"/>
      <c r="FZ38" s="1135">
        <v>907</v>
      </c>
      <c r="GA38" s="1136">
        <f t="shared" si="33"/>
        <v>907</v>
      </c>
      <c r="GB38" s="1135"/>
      <c r="GC38" s="1135"/>
      <c r="GD38" s="1135"/>
      <c r="GE38" s="1135"/>
      <c r="GF38" s="1135"/>
      <c r="GG38" s="1135"/>
      <c r="GH38" s="1135"/>
      <c r="GI38" s="1135"/>
      <c r="GJ38" s="1135"/>
      <c r="GK38" s="1135"/>
      <c r="GL38" s="1135"/>
      <c r="GM38" s="1135">
        <v>904</v>
      </c>
      <c r="GN38" s="1136">
        <f t="shared" si="34"/>
        <v>904</v>
      </c>
      <c r="GO38" s="1135"/>
      <c r="GP38" s="1135"/>
      <c r="GQ38" s="1135"/>
      <c r="GR38" s="1135"/>
      <c r="GS38" s="1135"/>
      <c r="GT38" s="1135"/>
      <c r="GU38" s="1135"/>
      <c r="GV38" s="1135"/>
      <c r="GW38" s="1135"/>
      <c r="GX38" s="1135"/>
      <c r="GY38" s="1135"/>
      <c r="GZ38" s="1135">
        <v>683</v>
      </c>
      <c r="HA38" s="1136">
        <f t="shared" si="35"/>
        <v>683</v>
      </c>
      <c r="HB38" s="1135"/>
      <c r="HC38" s="1135"/>
      <c r="HD38" s="1135"/>
      <c r="HE38" s="1135"/>
      <c r="HF38" s="1135"/>
      <c r="HG38" s="1135"/>
      <c r="HH38" s="1135"/>
      <c r="HI38" s="1135"/>
      <c r="HJ38" s="1135"/>
      <c r="HK38" s="1135"/>
      <c r="HL38" s="1135"/>
      <c r="HM38" s="1135"/>
      <c r="HN38" s="1136">
        <f t="shared" si="36"/>
        <v>0</v>
      </c>
      <c r="HO38" s="1135"/>
      <c r="HP38" s="1135"/>
      <c r="HQ38" s="1135"/>
      <c r="HR38" s="1135"/>
      <c r="HS38" s="1135"/>
      <c r="HT38" s="1135"/>
      <c r="HU38" s="1135"/>
      <c r="HV38" s="1135"/>
      <c r="HW38" s="1135"/>
      <c r="HX38" s="1135"/>
      <c r="HY38" s="1135"/>
      <c r="HZ38" s="1135"/>
      <c r="IA38" s="1136">
        <f t="shared" si="37"/>
        <v>0</v>
      </c>
      <c r="IB38" s="1135">
        <v>220</v>
      </c>
      <c r="IC38" s="1135"/>
      <c r="ID38" s="1135"/>
      <c r="IE38" s="1135"/>
      <c r="IF38" s="1135"/>
      <c r="IG38" s="1135"/>
      <c r="IH38" s="1135"/>
      <c r="II38" s="1135"/>
      <c r="IJ38" s="1135"/>
      <c r="IK38" s="1135"/>
      <c r="IL38" s="1135"/>
      <c r="IM38" s="1135">
        <v>623</v>
      </c>
      <c r="IN38" s="1136">
        <f t="shared" si="38"/>
        <v>843</v>
      </c>
      <c r="IO38" s="1135">
        <v>61</v>
      </c>
      <c r="IP38" s="1135">
        <v>63</v>
      </c>
      <c r="IQ38" s="1135">
        <v>60</v>
      </c>
      <c r="IR38" s="1135">
        <v>61</v>
      </c>
      <c r="IS38" s="1135">
        <v>58</v>
      </c>
      <c r="IT38" s="1135">
        <v>88</v>
      </c>
      <c r="IU38" s="1135">
        <v>85</v>
      </c>
      <c r="IV38" s="1135">
        <v>81</v>
      </c>
      <c r="IW38" s="1135">
        <v>83</v>
      </c>
      <c r="IX38" s="1135">
        <v>82</v>
      </c>
      <c r="IY38" s="1135">
        <v>80</v>
      </c>
      <c r="IZ38" s="1135">
        <v>368</v>
      </c>
      <c r="JA38" s="1136">
        <f t="shared" si="39"/>
        <v>1170</v>
      </c>
      <c r="JB38" s="1135"/>
      <c r="JC38" s="1135"/>
      <c r="JD38" s="1135"/>
      <c r="JE38" s="1135"/>
      <c r="JF38" s="1135"/>
      <c r="JG38" s="1135"/>
      <c r="JH38" s="1135"/>
      <c r="JI38" s="1135"/>
      <c r="JJ38" s="1135"/>
      <c r="JK38" s="1135"/>
      <c r="JL38" s="1135"/>
      <c r="JM38" s="1135">
        <v>673.8</v>
      </c>
      <c r="JN38" s="1136">
        <f t="shared" si="40"/>
        <v>673.8</v>
      </c>
      <c r="JO38" s="1135">
        <v>0</v>
      </c>
      <c r="JP38" s="1135"/>
      <c r="JQ38" s="1135"/>
      <c r="JR38" s="1135"/>
      <c r="JS38" s="1135"/>
      <c r="JT38" s="1135"/>
      <c r="JU38" s="1135"/>
      <c r="JV38" s="1135"/>
      <c r="JW38" s="1135"/>
      <c r="JX38" s="1135"/>
      <c r="JY38" s="1135"/>
      <c r="JZ38" s="1135"/>
      <c r="KA38" s="1136">
        <f t="shared" si="41"/>
        <v>0</v>
      </c>
      <c r="KC38" s="1137">
        <f t="shared" si="42"/>
        <v>83.097826086956502</v>
      </c>
      <c r="KD38" s="1138">
        <f t="shared" si="43"/>
        <v>-42.410256410256423</v>
      </c>
      <c r="KE38" s="1139">
        <f t="shared" si="44"/>
        <v>1170</v>
      </c>
      <c r="KF38" s="1140">
        <f t="shared" si="45"/>
        <v>673.8</v>
      </c>
      <c r="KG38" s="1041"/>
      <c r="KH38" s="1139">
        <f t="shared" si="46"/>
        <v>29403.599999999999</v>
      </c>
      <c r="KI38" s="1146" t="s">
        <v>42</v>
      </c>
      <c r="KJ38" s="1147" t="str">
        <f t="shared" si="47"/>
        <v>OK</v>
      </c>
    </row>
    <row r="39" spans="1:296" ht="15" customHeight="1" x14ac:dyDescent="0.2">
      <c r="A39" s="1145" t="s">
        <v>580</v>
      </c>
      <c r="B39" s="1135"/>
      <c r="C39" s="1135"/>
      <c r="D39" s="1135"/>
      <c r="E39" s="1135"/>
      <c r="F39" s="1135"/>
      <c r="G39" s="1135"/>
      <c r="H39" s="1135"/>
      <c r="I39" s="1135"/>
      <c r="J39" s="1135"/>
      <c r="K39" s="1135"/>
      <c r="L39" s="1135"/>
      <c r="M39" s="1135"/>
      <c r="N39" s="1136">
        <f t="shared" si="20"/>
        <v>0</v>
      </c>
      <c r="O39" s="1135"/>
      <c r="P39" s="1135"/>
      <c r="Q39" s="1135"/>
      <c r="R39" s="1135"/>
      <c r="S39" s="1135"/>
      <c r="T39" s="1135"/>
      <c r="U39" s="1135"/>
      <c r="V39" s="1135"/>
      <c r="W39" s="1135"/>
      <c r="X39" s="1135"/>
      <c r="Y39" s="1135"/>
      <c r="Z39" s="1135"/>
      <c r="AA39" s="1136">
        <f t="shared" si="21"/>
        <v>0</v>
      </c>
      <c r="AB39" s="1135"/>
      <c r="AC39" s="1135"/>
      <c r="AD39" s="1135"/>
      <c r="AE39" s="1135"/>
      <c r="AF39" s="1135"/>
      <c r="AG39" s="1135"/>
      <c r="AH39" s="1135"/>
      <c r="AI39" s="1135"/>
      <c r="AJ39" s="1135"/>
      <c r="AK39" s="1135"/>
      <c r="AL39" s="1135"/>
      <c r="AM39" s="1135"/>
      <c r="AN39" s="1136">
        <f t="shared" si="22"/>
        <v>0</v>
      </c>
      <c r="AO39" s="1135"/>
      <c r="AP39" s="1135"/>
      <c r="AQ39" s="1135"/>
      <c r="AR39" s="1135"/>
      <c r="AS39" s="1135"/>
      <c r="AT39" s="1135"/>
      <c r="AU39" s="1135"/>
      <c r="AV39" s="1135"/>
      <c r="AW39" s="1135"/>
      <c r="AX39" s="1135"/>
      <c r="AY39" s="1135"/>
      <c r="AZ39" s="1135"/>
      <c r="BA39" s="1136">
        <f t="shared" si="23"/>
        <v>0</v>
      </c>
      <c r="BB39" s="1135"/>
      <c r="BC39" s="1135"/>
      <c r="BD39" s="1135"/>
      <c r="BE39" s="1135"/>
      <c r="BF39" s="1135"/>
      <c r="BG39" s="1135"/>
      <c r="BH39" s="1135"/>
      <c r="BI39" s="1135"/>
      <c r="BJ39" s="1135"/>
      <c r="BK39" s="1135"/>
      <c r="BL39" s="1135"/>
      <c r="BM39" s="1135"/>
      <c r="BN39" s="1136">
        <f t="shared" si="24"/>
        <v>0</v>
      </c>
      <c r="BO39" s="1135"/>
      <c r="BP39" s="1135"/>
      <c r="BQ39" s="1135"/>
      <c r="BR39" s="1135"/>
      <c r="BS39" s="1135"/>
      <c r="BT39" s="1135"/>
      <c r="BU39" s="1135"/>
      <c r="BV39" s="1135"/>
      <c r="BW39" s="1135"/>
      <c r="BX39" s="1135"/>
      <c r="BY39" s="1135"/>
      <c r="BZ39" s="1135"/>
      <c r="CA39" s="1136">
        <f t="shared" si="25"/>
        <v>0</v>
      </c>
      <c r="CB39" s="1135"/>
      <c r="CC39" s="1135"/>
      <c r="CD39" s="1135"/>
      <c r="CE39" s="1135"/>
      <c r="CF39" s="1135"/>
      <c r="CG39" s="1135"/>
      <c r="CH39" s="1135"/>
      <c r="CI39" s="1135"/>
      <c r="CJ39" s="1135"/>
      <c r="CK39" s="1135"/>
      <c r="CL39" s="1135"/>
      <c r="CM39" s="1135"/>
      <c r="CN39" s="1136">
        <f t="shared" si="26"/>
        <v>0</v>
      </c>
      <c r="CO39" s="1135"/>
      <c r="CP39" s="1135"/>
      <c r="CQ39" s="1135"/>
      <c r="CR39" s="1135"/>
      <c r="CS39" s="1135"/>
      <c r="CT39" s="1135"/>
      <c r="CU39" s="1135"/>
      <c r="CV39" s="1135"/>
      <c r="CW39" s="1135"/>
      <c r="CX39" s="1135"/>
      <c r="CY39" s="1135"/>
      <c r="CZ39" s="1135"/>
      <c r="DA39" s="1136">
        <f t="shared" si="27"/>
        <v>0</v>
      </c>
      <c r="DB39" s="1135"/>
      <c r="DC39" s="1135"/>
      <c r="DD39" s="1135"/>
      <c r="DE39" s="1135"/>
      <c r="DF39" s="1135"/>
      <c r="DG39" s="1135"/>
      <c r="DH39" s="1135"/>
      <c r="DI39" s="1135"/>
      <c r="DJ39" s="1135"/>
      <c r="DK39" s="1135"/>
      <c r="DL39" s="1135"/>
      <c r="DM39" s="1135"/>
      <c r="DN39" s="1136">
        <f t="shared" si="28"/>
        <v>0</v>
      </c>
      <c r="DO39" s="1135"/>
      <c r="DP39" s="1135"/>
      <c r="DQ39" s="1135"/>
      <c r="DR39" s="1135"/>
      <c r="DS39" s="1135"/>
      <c r="DT39" s="1135"/>
      <c r="DU39" s="1135"/>
      <c r="DV39" s="1135"/>
      <c r="DW39" s="1135"/>
      <c r="DX39" s="1135"/>
      <c r="DY39" s="1135"/>
      <c r="DZ39" s="1135"/>
      <c r="EA39" s="1136">
        <f t="shared" si="29"/>
        <v>0</v>
      </c>
      <c r="EB39" s="1135"/>
      <c r="EC39" s="1135"/>
      <c r="ED39" s="1135"/>
      <c r="EE39" s="1135"/>
      <c r="EF39" s="1135"/>
      <c r="EG39" s="1135"/>
      <c r="EH39" s="1135"/>
      <c r="EI39" s="1135"/>
      <c r="EJ39" s="1135"/>
      <c r="EK39" s="1135"/>
      <c r="EL39" s="1135"/>
      <c r="EM39" s="1135"/>
      <c r="EN39" s="1136">
        <f t="shared" si="30"/>
        <v>0</v>
      </c>
      <c r="EO39" s="1135"/>
      <c r="EP39" s="1135"/>
      <c r="EQ39" s="1135"/>
      <c r="ER39" s="1135"/>
      <c r="ES39" s="1135"/>
      <c r="ET39" s="1135"/>
      <c r="EU39" s="1135"/>
      <c r="EV39" s="1135"/>
      <c r="EW39" s="1135"/>
      <c r="EX39" s="1135"/>
      <c r="EY39" s="1135"/>
      <c r="EZ39" s="1135"/>
      <c r="FA39" s="1136">
        <f t="shared" si="31"/>
        <v>0</v>
      </c>
      <c r="FB39" s="1135"/>
      <c r="FC39" s="1135"/>
      <c r="FD39" s="1135"/>
      <c r="FE39" s="1135"/>
      <c r="FF39" s="1135"/>
      <c r="FG39" s="1135"/>
      <c r="FH39" s="1135"/>
      <c r="FI39" s="1135"/>
      <c r="FJ39" s="1135"/>
      <c r="FK39" s="1135"/>
      <c r="FL39" s="1135"/>
      <c r="FM39" s="1135"/>
      <c r="FN39" s="1136">
        <f t="shared" si="32"/>
        <v>0</v>
      </c>
      <c r="FO39" s="1135"/>
      <c r="FP39" s="1135"/>
      <c r="FQ39" s="1135"/>
      <c r="FR39" s="1135"/>
      <c r="FS39" s="1135"/>
      <c r="FT39" s="1135"/>
      <c r="FU39" s="1135"/>
      <c r="FV39" s="1135"/>
      <c r="FW39" s="1135"/>
      <c r="FX39" s="1135"/>
      <c r="FY39" s="1135"/>
      <c r="FZ39" s="1135"/>
      <c r="GA39" s="1136">
        <f t="shared" si="33"/>
        <v>0</v>
      </c>
      <c r="GB39" s="1135"/>
      <c r="GC39" s="1135"/>
      <c r="GD39" s="1135"/>
      <c r="GE39" s="1135"/>
      <c r="GF39" s="1135"/>
      <c r="GG39" s="1135"/>
      <c r="GH39" s="1135"/>
      <c r="GI39" s="1135"/>
      <c r="GJ39" s="1135"/>
      <c r="GK39" s="1135"/>
      <c r="GL39" s="1135"/>
      <c r="GM39" s="1135"/>
      <c r="GN39" s="1136">
        <f t="shared" si="34"/>
        <v>0</v>
      </c>
      <c r="GO39" s="1135"/>
      <c r="GP39" s="1135"/>
      <c r="GQ39" s="1135"/>
      <c r="GR39" s="1135"/>
      <c r="GS39" s="1135"/>
      <c r="GT39" s="1135"/>
      <c r="GU39" s="1135"/>
      <c r="GV39" s="1135"/>
      <c r="GW39" s="1135"/>
      <c r="GX39" s="1135"/>
      <c r="GY39" s="1135"/>
      <c r="GZ39" s="1135"/>
      <c r="HA39" s="1136">
        <f t="shared" si="35"/>
        <v>0</v>
      </c>
      <c r="HB39" s="1135"/>
      <c r="HC39" s="1135"/>
      <c r="HD39" s="1135"/>
      <c r="HE39" s="1135"/>
      <c r="HF39" s="1135"/>
      <c r="HG39" s="1135"/>
      <c r="HH39" s="1135"/>
      <c r="HI39" s="1135"/>
      <c r="HJ39" s="1135"/>
      <c r="HK39" s="1135"/>
      <c r="HL39" s="1135"/>
      <c r="HM39" s="1135"/>
      <c r="HN39" s="1136">
        <f t="shared" si="36"/>
        <v>0</v>
      </c>
      <c r="HO39" s="1135"/>
      <c r="HP39" s="1135"/>
      <c r="HQ39" s="1135"/>
      <c r="HR39" s="1135"/>
      <c r="HS39" s="1135"/>
      <c r="HT39" s="1135"/>
      <c r="HU39" s="1135"/>
      <c r="HV39" s="1135"/>
      <c r="HW39" s="1135"/>
      <c r="HX39" s="1135"/>
      <c r="HY39" s="1135"/>
      <c r="HZ39" s="1135"/>
      <c r="IA39" s="1136">
        <f t="shared" si="37"/>
        <v>0</v>
      </c>
      <c r="IB39" s="1135"/>
      <c r="IC39" s="1135"/>
      <c r="ID39" s="1135"/>
      <c r="IE39" s="1135"/>
      <c r="IF39" s="1135"/>
      <c r="IG39" s="1135"/>
      <c r="IH39" s="1135"/>
      <c r="II39" s="1135"/>
      <c r="IJ39" s="1135"/>
      <c r="IK39" s="1135"/>
      <c r="IL39" s="1135"/>
      <c r="IM39" s="1135"/>
      <c r="IN39" s="1136">
        <f t="shared" si="38"/>
        <v>0</v>
      </c>
      <c r="IO39" s="1135"/>
      <c r="IP39" s="1135"/>
      <c r="IQ39" s="1135"/>
      <c r="IR39" s="1135"/>
      <c r="IS39" s="1135"/>
      <c r="IT39" s="1135"/>
      <c r="IU39" s="1135"/>
      <c r="IV39" s="1135"/>
      <c r="IW39" s="1135"/>
      <c r="IX39" s="1135"/>
      <c r="IY39" s="1135"/>
      <c r="IZ39" s="1135"/>
      <c r="JA39" s="1136">
        <f t="shared" si="39"/>
        <v>0</v>
      </c>
      <c r="JB39" s="1135"/>
      <c r="JC39" s="1135"/>
      <c r="JD39" s="1135"/>
      <c r="JE39" s="1135"/>
      <c r="JF39" s="1135"/>
      <c r="JG39" s="1135"/>
      <c r="JH39" s="1135"/>
      <c r="JI39" s="1135"/>
      <c r="JJ39" s="1135"/>
      <c r="JK39" s="1135"/>
      <c r="JL39" s="1135"/>
      <c r="JM39" s="1135"/>
      <c r="JN39" s="1136">
        <f t="shared" si="40"/>
        <v>0</v>
      </c>
      <c r="JO39" s="1135">
        <v>0</v>
      </c>
      <c r="JP39" s="1135"/>
      <c r="JQ39" s="1135"/>
      <c r="JR39" s="1135"/>
      <c r="JS39" s="1135"/>
      <c r="JT39" s="1135"/>
      <c r="JU39" s="1135"/>
      <c r="JV39" s="1135"/>
      <c r="JW39" s="1135"/>
      <c r="JX39" s="1135"/>
      <c r="JY39" s="1135"/>
      <c r="JZ39" s="1135"/>
      <c r="KA39" s="1136">
        <f t="shared" si="41"/>
        <v>0</v>
      </c>
      <c r="KC39" s="1137" t="str">
        <f t="shared" si="42"/>
        <v/>
      </c>
      <c r="KD39" s="1138" t="str">
        <f t="shared" si="43"/>
        <v/>
      </c>
      <c r="KE39" s="1139">
        <f t="shared" si="44"/>
        <v>0</v>
      </c>
      <c r="KF39" s="1140">
        <f t="shared" si="45"/>
        <v>0</v>
      </c>
      <c r="KG39" s="1041"/>
      <c r="KH39" s="1139">
        <f t="shared" si="46"/>
        <v>0</v>
      </c>
      <c r="KI39" s="1146" t="s">
        <v>580</v>
      </c>
      <c r="KJ39" s="1147" t="str">
        <f t="shared" si="47"/>
        <v>OK</v>
      </c>
    </row>
    <row r="40" spans="1:296" ht="15" customHeight="1" x14ac:dyDescent="0.2">
      <c r="A40" s="1145" t="s">
        <v>581</v>
      </c>
      <c r="B40" s="1135"/>
      <c r="C40" s="1135"/>
      <c r="D40" s="1135"/>
      <c r="E40" s="1135"/>
      <c r="F40" s="1135"/>
      <c r="G40" s="1135"/>
      <c r="H40" s="1135"/>
      <c r="I40" s="1135"/>
      <c r="J40" s="1135"/>
      <c r="K40" s="1135"/>
      <c r="L40" s="1135"/>
      <c r="M40" s="1135"/>
      <c r="N40" s="1136">
        <f t="shared" si="20"/>
        <v>0</v>
      </c>
      <c r="O40" s="1135"/>
      <c r="P40" s="1135"/>
      <c r="Q40" s="1135"/>
      <c r="R40" s="1135"/>
      <c r="S40" s="1135"/>
      <c r="T40" s="1135"/>
      <c r="U40" s="1135"/>
      <c r="V40" s="1135"/>
      <c r="W40" s="1135"/>
      <c r="X40" s="1135"/>
      <c r="Y40" s="1135"/>
      <c r="Z40" s="1135"/>
      <c r="AA40" s="1136">
        <f t="shared" si="21"/>
        <v>0</v>
      </c>
      <c r="AB40" s="1135"/>
      <c r="AC40" s="1135"/>
      <c r="AD40" s="1135"/>
      <c r="AE40" s="1135"/>
      <c r="AF40" s="1135"/>
      <c r="AG40" s="1135"/>
      <c r="AH40" s="1135"/>
      <c r="AI40" s="1135"/>
      <c r="AJ40" s="1135"/>
      <c r="AK40" s="1135"/>
      <c r="AL40" s="1135"/>
      <c r="AM40" s="1135"/>
      <c r="AN40" s="1136">
        <f t="shared" si="22"/>
        <v>0</v>
      </c>
      <c r="AO40" s="1135"/>
      <c r="AP40" s="1135"/>
      <c r="AQ40" s="1135"/>
      <c r="AR40" s="1135"/>
      <c r="AS40" s="1135"/>
      <c r="AT40" s="1135"/>
      <c r="AU40" s="1135"/>
      <c r="AV40" s="1135"/>
      <c r="AW40" s="1135"/>
      <c r="AX40" s="1135"/>
      <c r="AY40" s="1135"/>
      <c r="AZ40" s="1135"/>
      <c r="BA40" s="1136">
        <f t="shared" si="23"/>
        <v>0</v>
      </c>
      <c r="BB40" s="1135"/>
      <c r="BC40" s="1135"/>
      <c r="BD40" s="1135"/>
      <c r="BE40" s="1135"/>
      <c r="BF40" s="1135"/>
      <c r="BG40" s="1135"/>
      <c r="BH40" s="1135"/>
      <c r="BI40" s="1135"/>
      <c r="BJ40" s="1135"/>
      <c r="BK40" s="1135"/>
      <c r="BL40" s="1135"/>
      <c r="BM40" s="1135"/>
      <c r="BN40" s="1136">
        <f t="shared" si="24"/>
        <v>0</v>
      </c>
      <c r="BO40" s="1135"/>
      <c r="BP40" s="1135"/>
      <c r="BQ40" s="1135"/>
      <c r="BR40" s="1135"/>
      <c r="BS40" s="1135"/>
      <c r="BT40" s="1135"/>
      <c r="BU40" s="1135"/>
      <c r="BV40" s="1135"/>
      <c r="BW40" s="1135"/>
      <c r="BX40" s="1135"/>
      <c r="BY40" s="1135"/>
      <c r="BZ40" s="1135"/>
      <c r="CA40" s="1136">
        <f t="shared" si="25"/>
        <v>0</v>
      </c>
      <c r="CB40" s="1135"/>
      <c r="CC40" s="1135"/>
      <c r="CD40" s="1135"/>
      <c r="CE40" s="1135"/>
      <c r="CF40" s="1135"/>
      <c r="CG40" s="1135"/>
      <c r="CH40" s="1135"/>
      <c r="CI40" s="1135"/>
      <c r="CJ40" s="1135"/>
      <c r="CK40" s="1135"/>
      <c r="CL40" s="1135"/>
      <c r="CM40" s="1135"/>
      <c r="CN40" s="1136">
        <f t="shared" si="26"/>
        <v>0</v>
      </c>
      <c r="CO40" s="1135"/>
      <c r="CP40" s="1135"/>
      <c r="CQ40" s="1135"/>
      <c r="CR40" s="1135"/>
      <c r="CS40" s="1135"/>
      <c r="CT40" s="1135"/>
      <c r="CU40" s="1135"/>
      <c r="CV40" s="1135"/>
      <c r="CW40" s="1135"/>
      <c r="CX40" s="1135"/>
      <c r="CY40" s="1135"/>
      <c r="CZ40" s="1135"/>
      <c r="DA40" s="1136">
        <f t="shared" si="27"/>
        <v>0</v>
      </c>
      <c r="DB40" s="1135"/>
      <c r="DC40" s="1135"/>
      <c r="DD40" s="1135"/>
      <c r="DE40" s="1135"/>
      <c r="DF40" s="1135"/>
      <c r="DG40" s="1135"/>
      <c r="DH40" s="1135"/>
      <c r="DI40" s="1135"/>
      <c r="DJ40" s="1135"/>
      <c r="DK40" s="1135"/>
      <c r="DL40" s="1135"/>
      <c r="DM40" s="1135"/>
      <c r="DN40" s="1136">
        <f t="shared" si="28"/>
        <v>0</v>
      </c>
      <c r="DO40" s="1135"/>
      <c r="DP40" s="1135"/>
      <c r="DQ40" s="1135"/>
      <c r="DR40" s="1135"/>
      <c r="DS40" s="1135"/>
      <c r="DT40" s="1135"/>
      <c r="DU40" s="1135"/>
      <c r="DV40" s="1135"/>
      <c r="DW40" s="1135"/>
      <c r="DX40" s="1135"/>
      <c r="DY40" s="1135"/>
      <c r="DZ40" s="1135"/>
      <c r="EA40" s="1136">
        <f t="shared" si="29"/>
        <v>0</v>
      </c>
      <c r="EB40" s="1135"/>
      <c r="EC40" s="1135"/>
      <c r="ED40" s="1135"/>
      <c r="EE40" s="1135"/>
      <c r="EF40" s="1135"/>
      <c r="EG40" s="1135"/>
      <c r="EH40" s="1135"/>
      <c r="EI40" s="1135"/>
      <c r="EJ40" s="1135"/>
      <c r="EK40" s="1135"/>
      <c r="EL40" s="1135"/>
      <c r="EM40" s="1135"/>
      <c r="EN40" s="1136">
        <f t="shared" si="30"/>
        <v>0</v>
      </c>
      <c r="EO40" s="1135"/>
      <c r="EP40" s="1135"/>
      <c r="EQ40" s="1135"/>
      <c r="ER40" s="1135"/>
      <c r="ES40" s="1135"/>
      <c r="ET40" s="1135"/>
      <c r="EU40" s="1135"/>
      <c r="EV40" s="1135"/>
      <c r="EW40" s="1135"/>
      <c r="EX40" s="1135"/>
      <c r="EY40" s="1135"/>
      <c r="EZ40" s="1135"/>
      <c r="FA40" s="1136">
        <f t="shared" si="31"/>
        <v>0</v>
      </c>
      <c r="FB40" s="1135"/>
      <c r="FC40" s="1135"/>
      <c r="FD40" s="1135"/>
      <c r="FE40" s="1135"/>
      <c r="FF40" s="1135"/>
      <c r="FG40" s="1135"/>
      <c r="FH40" s="1135"/>
      <c r="FI40" s="1135"/>
      <c r="FJ40" s="1135"/>
      <c r="FK40" s="1135"/>
      <c r="FL40" s="1135"/>
      <c r="FM40" s="1135"/>
      <c r="FN40" s="1136">
        <f t="shared" si="32"/>
        <v>0</v>
      </c>
      <c r="FO40" s="1135"/>
      <c r="FP40" s="1135"/>
      <c r="FQ40" s="1135"/>
      <c r="FR40" s="1135"/>
      <c r="FS40" s="1135"/>
      <c r="FT40" s="1135"/>
      <c r="FU40" s="1135"/>
      <c r="FV40" s="1135"/>
      <c r="FW40" s="1135"/>
      <c r="FX40" s="1135"/>
      <c r="FY40" s="1135"/>
      <c r="FZ40" s="1135"/>
      <c r="GA40" s="1136">
        <f t="shared" si="33"/>
        <v>0</v>
      </c>
      <c r="GB40" s="1135"/>
      <c r="GC40" s="1135"/>
      <c r="GD40" s="1135"/>
      <c r="GE40" s="1135"/>
      <c r="GF40" s="1135"/>
      <c r="GG40" s="1135"/>
      <c r="GH40" s="1135"/>
      <c r="GI40" s="1135"/>
      <c r="GJ40" s="1135"/>
      <c r="GK40" s="1135"/>
      <c r="GL40" s="1135"/>
      <c r="GM40" s="1135"/>
      <c r="GN40" s="1136">
        <f t="shared" si="34"/>
        <v>0</v>
      </c>
      <c r="GO40" s="1135"/>
      <c r="GP40" s="1135"/>
      <c r="GQ40" s="1135"/>
      <c r="GR40" s="1135"/>
      <c r="GS40" s="1135"/>
      <c r="GT40" s="1135"/>
      <c r="GU40" s="1135"/>
      <c r="GV40" s="1135"/>
      <c r="GW40" s="1135"/>
      <c r="GX40" s="1135"/>
      <c r="GY40" s="1135"/>
      <c r="GZ40" s="1135"/>
      <c r="HA40" s="1136">
        <f t="shared" si="35"/>
        <v>0</v>
      </c>
      <c r="HB40" s="1135"/>
      <c r="HC40" s="1135"/>
      <c r="HD40" s="1135"/>
      <c r="HE40" s="1135"/>
      <c r="HF40" s="1135"/>
      <c r="HG40" s="1135"/>
      <c r="HH40" s="1135"/>
      <c r="HI40" s="1135"/>
      <c r="HJ40" s="1135"/>
      <c r="HK40" s="1135"/>
      <c r="HL40" s="1135"/>
      <c r="HM40" s="1135"/>
      <c r="HN40" s="1136">
        <f t="shared" si="36"/>
        <v>0</v>
      </c>
      <c r="HO40" s="1135"/>
      <c r="HP40" s="1135"/>
      <c r="HQ40" s="1135"/>
      <c r="HR40" s="1135"/>
      <c r="HS40" s="1135"/>
      <c r="HT40" s="1135"/>
      <c r="HU40" s="1135"/>
      <c r="HV40" s="1135"/>
      <c r="HW40" s="1135"/>
      <c r="HX40" s="1135"/>
      <c r="HY40" s="1135"/>
      <c r="HZ40" s="1135"/>
      <c r="IA40" s="1136">
        <f t="shared" si="37"/>
        <v>0</v>
      </c>
      <c r="IB40" s="1135"/>
      <c r="IC40" s="1135"/>
      <c r="ID40" s="1135"/>
      <c r="IE40" s="1135"/>
      <c r="IF40" s="1135"/>
      <c r="IG40" s="1135"/>
      <c r="IH40" s="1135"/>
      <c r="II40" s="1135"/>
      <c r="IJ40" s="1135"/>
      <c r="IK40" s="1135"/>
      <c r="IL40" s="1135"/>
      <c r="IM40" s="1135"/>
      <c r="IN40" s="1136">
        <f t="shared" si="38"/>
        <v>0</v>
      </c>
      <c r="IO40" s="1135"/>
      <c r="IP40" s="1135"/>
      <c r="IQ40" s="1135"/>
      <c r="IR40" s="1135"/>
      <c r="IS40" s="1135"/>
      <c r="IT40" s="1135"/>
      <c r="IU40" s="1135"/>
      <c r="IV40" s="1135"/>
      <c r="IW40" s="1135"/>
      <c r="IX40" s="1135"/>
      <c r="IY40" s="1135"/>
      <c r="IZ40" s="1135"/>
      <c r="JA40" s="1136">
        <f t="shared" si="39"/>
        <v>0</v>
      </c>
      <c r="JB40" s="1135"/>
      <c r="JC40" s="1135"/>
      <c r="JD40" s="1135"/>
      <c r="JE40" s="1135"/>
      <c r="JF40" s="1135"/>
      <c r="JG40" s="1135"/>
      <c r="JH40" s="1135"/>
      <c r="JI40" s="1135"/>
      <c r="JJ40" s="1135"/>
      <c r="JK40" s="1135"/>
      <c r="JL40" s="1135"/>
      <c r="JM40" s="1135"/>
      <c r="JN40" s="1136">
        <f t="shared" si="40"/>
        <v>0</v>
      </c>
      <c r="JO40" s="1135">
        <v>0</v>
      </c>
      <c r="JP40" s="1135"/>
      <c r="JQ40" s="1135"/>
      <c r="JR40" s="1135"/>
      <c r="JS40" s="1135"/>
      <c r="JT40" s="1135"/>
      <c r="JU40" s="1135"/>
      <c r="JV40" s="1135"/>
      <c r="JW40" s="1135"/>
      <c r="JX40" s="1135"/>
      <c r="JY40" s="1135"/>
      <c r="JZ40" s="1135"/>
      <c r="KA40" s="1136">
        <f t="shared" si="41"/>
        <v>0</v>
      </c>
      <c r="KC40" s="1137" t="str">
        <f t="shared" si="42"/>
        <v/>
      </c>
      <c r="KD40" s="1138" t="str">
        <f t="shared" si="43"/>
        <v/>
      </c>
      <c r="KE40" s="1139">
        <f t="shared" si="44"/>
        <v>0</v>
      </c>
      <c r="KF40" s="1140">
        <f t="shared" si="45"/>
        <v>0</v>
      </c>
      <c r="KG40" s="1041"/>
      <c r="KH40" s="1139">
        <f t="shared" si="46"/>
        <v>0</v>
      </c>
      <c r="KI40" s="1146" t="s">
        <v>581</v>
      </c>
      <c r="KJ40" s="1147" t="str">
        <f t="shared" si="47"/>
        <v>OK</v>
      </c>
    </row>
    <row r="41" spans="1:296" ht="15" customHeight="1" x14ac:dyDescent="0.2">
      <c r="A41" s="1145" t="s">
        <v>284</v>
      </c>
      <c r="B41" s="1135"/>
      <c r="C41" s="1135"/>
      <c r="D41" s="1135"/>
      <c r="E41" s="1135"/>
      <c r="F41" s="1135"/>
      <c r="G41" s="1135"/>
      <c r="H41" s="1135"/>
      <c r="I41" s="1135"/>
      <c r="J41" s="1135"/>
      <c r="K41" s="1135"/>
      <c r="L41" s="1135"/>
      <c r="M41" s="1135"/>
      <c r="N41" s="1136">
        <f t="shared" si="20"/>
        <v>0</v>
      </c>
      <c r="O41" s="1135"/>
      <c r="P41" s="1135"/>
      <c r="Q41" s="1135"/>
      <c r="R41" s="1135"/>
      <c r="S41" s="1135"/>
      <c r="T41" s="1135"/>
      <c r="U41" s="1135"/>
      <c r="V41" s="1135"/>
      <c r="W41" s="1135"/>
      <c r="X41" s="1135"/>
      <c r="Y41" s="1135"/>
      <c r="Z41" s="1135"/>
      <c r="AA41" s="1136">
        <f t="shared" si="21"/>
        <v>0</v>
      </c>
      <c r="AB41" s="1135"/>
      <c r="AC41" s="1135"/>
      <c r="AD41" s="1135"/>
      <c r="AE41" s="1135"/>
      <c r="AF41" s="1135"/>
      <c r="AG41" s="1135"/>
      <c r="AH41" s="1135"/>
      <c r="AI41" s="1135"/>
      <c r="AJ41" s="1135"/>
      <c r="AK41" s="1135"/>
      <c r="AL41" s="1135"/>
      <c r="AM41" s="1135"/>
      <c r="AN41" s="1136">
        <f t="shared" si="22"/>
        <v>0</v>
      </c>
      <c r="AO41" s="1135"/>
      <c r="AP41" s="1135"/>
      <c r="AQ41" s="1135"/>
      <c r="AR41" s="1135"/>
      <c r="AS41" s="1135"/>
      <c r="AT41" s="1135"/>
      <c r="AU41" s="1135"/>
      <c r="AV41" s="1135"/>
      <c r="AW41" s="1135"/>
      <c r="AX41" s="1135"/>
      <c r="AY41" s="1135"/>
      <c r="AZ41" s="1135"/>
      <c r="BA41" s="1136">
        <f t="shared" si="23"/>
        <v>0</v>
      </c>
      <c r="BB41" s="1135"/>
      <c r="BC41" s="1135"/>
      <c r="BD41" s="1135"/>
      <c r="BE41" s="1135"/>
      <c r="BF41" s="1135"/>
      <c r="BG41" s="1135"/>
      <c r="BH41" s="1135"/>
      <c r="BI41" s="1135"/>
      <c r="BJ41" s="1135"/>
      <c r="BK41" s="1135"/>
      <c r="BL41" s="1135"/>
      <c r="BM41" s="1135">
        <v>3</v>
      </c>
      <c r="BN41" s="1136">
        <f t="shared" si="24"/>
        <v>3</v>
      </c>
      <c r="BO41" s="1135"/>
      <c r="BP41" s="1135"/>
      <c r="BQ41" s="1135"/>
      <c r="BR41" s="1135"/>
      <c r="BS41" s="1135"/>
      <c r="BT41" s="1135"/>
      <c r="BU41" s="1135"/>
      <c r="BV41" s="1135"/>
      <c r="BW41" s="1135"/>
      <c r="BX41" s="1135"/>
      <c r="BY41" s="1135"/>
      <c r="BZ41" s="1135"/>
      <c r="CA41" s="1136">
        <f t="shared" si="25"/>
        <v>0</v>
      </c>
      <c r="CB41" s="1135"/>
      <c r="CC41" s="1135"/>
      <c r="CD41" s="1135"/>
      <c r="CE41" s="1135"/>
      <c r="CF41" s="1135"/>
      <c r="CG41" s="1135"/>
      <c r="CH41" s="1135"/>
      <c r="CI41" s="1135"/>
      <c r="CJ41" s="1135"/>
      <c r="CK41" s="1135"/>
      <c r="CL41" s="1135"/>
      <c r="CM41" s="1135"/>
      <c r="CN41" s="1136">
        <f t="shared" si="26"/>
        <v>0</v>
      </c>
      <c r="CO41" s="1135"/>
      <c r="CP41" s="1135"/>
      <c r="CQ41" s="1135"/>
      <c r="CR41" s="1135"/>
      <c r="CS41" s="1135"/>
      <c r="CT41" s="1135"/>
      <c r="CU41" s="1135"/>
      <c r="CV41" s="1135"/>
      <c r="CW41" s="1135"/>
      <c r="CX41" s="1135"/>
      <c r="CY41" s="1135"/>
      <c r="CZ41" s="1135"/>
      <c r="DA41" s="1136">
        <f t="shared" si="27"/>
        <v>0</v>
      </c>
      <c r="DB41" s="1135"/>
      <c r="DC41" s="1135"/>
      <c r="DD41" s="1135"/>
      <c r="DE41" s="1135"/>
      <c r="DF41" s="1135"/>
      <c r="DG41" s="1135"/>
      <c r="DH41" s="1135"/>
      <c r="DI41" s="1135"/>
      <c r="DJ41" s="1135"/>
      <c r="DK41" s="1135"/>
      <c r="DL41" s="1135"/>
      <c r="DM41" s="1135"/>
      <c r="DN41" s="1136">
        <f t="shared" si="28"/>
        <v>0</v>
      </c>
      <c r="DO41" s="1135"/>
      <c r="DP41" s="1135"/>
      <c r="DQ41" s="1135"/>
      <c r="DR41" s="1135"/>
      <c r="DS41" s="1135"/>
      <c r="DT41" s="1135"/>
      <c r="DU41" s="1135"/>
      <c r="DV41" s="1135"/>
      <c r="DW41" s="1135"/>
      <c r="DX41" s="1135"/>
      <c r="DY41" s="1135"/>
      <c r="DZ41" s="1135"/>
      <c r="EA41" s="1136">
        <f t="shared" si="29"/>
        <v>0</v>
      </c>
      <c r="EB41" s="1135"/>
      <c r="EC41" s="1135"/>
      <c r="ED41" s="1135"/>
      <c r="EE41" s="1135"/>
      <c r="EF41" s="1135"/>
      <c r="EG41" s="1135"/>
      <c r="EH41" s="1135"/>
      <c r="EI41" s="1135"/>
      <c r="EJ41" s="1135"/>
      <c r="EK41" s="1135"/>
      <c r="EL41" s="1135"/>
      <c r="EM41" s="1135"/>
      <c r="EN41" s="1136">
        <f t="shared" si="30"/>
        <v>0</v>
      </c>
      <c r="EO41" s="1135"/>
      <c r="EP41" s="1135"/>
      <c r="EQ41" s="1135"/>
      <c r="ER41" s="1135"/>
      <c r="ES41" s="1135"/>
      <c r="ET41" s="1135"/>
      <c r="EU41" s="1135"/>
      <c r="EV41" s="1135"/>
      <c r="EW41" s="1135"/>
      <c r="EX41" s="1135"/>
      <c r="EY41" s="1135"/>
      <c r="EZ41" s="1135">
        <v>3</v>
      </c>
      <c r="FA41" s="1136">
        <f t="shared" si="31"/>
        <v>3</v>
      </c>
      <c r="FB41" s="1135"/>
      <c r="FC41" s="1135"/>
      <c r="FD41" s="1135"/>
      <c r="FE41" s="1135"/>
      <c r="FF41" s="1135"/>
      <c r="FG41" s="1135"/>
      <c r="FH41" s="1135"/>
      <c r="FI41" s="1135"/>
      <c r="FJ41" s="1135"/>
      <c r="FK41" s="1135"/>
      <c r="FL41" s="1135"/>
      <c r="FM41" s="1135">
        <v>3</v>
      </c>
      <c r="FN41" s="1136">
        <f t="shared" si="32"/>
        <v>3</v>
      </c>
      <c r="FO41" s="1135"/>
      <c r="FP41" s="1135"/>
      <c r="FQ41" s="1135"/>
      <c r="FR41" s="1135"/>
      <c r="FS41" s="1135"/>
      <c r="FT41" s="1135"/>
      <c r="FU41" s="1135"/>
      <c r="FV41" s="1135"/>
      <c r="FW41" s="1135"/>
      <c r="FX41" s="1135"/>
      <c r="FY41" s="1135"/>
      <c r="FZ41" s="1135">
        <v>3</v>
      </c>
      <c r="GA41" s="1136">
        <f t="shared" si="33"/>
        <v>3</v>
      </c>
      <c r="GB41" s="1135"/>
      <c r="GC41" s="1135"/>
      <c r="GD41" s="1135"/>
      <c r="GE41" s="1135"/>
      <c r="GF41" s="1135"/>
      <c r="GG41" s="1135"/>
      <c r="GH41" s="1135"/>
      <c r="GI41" s="1135"/>
      <c r="GJ41" s="1135"/>
      <c r="GK41" s="1135"/>
      <c r="GL41" s="1135"/>
      <c r="GM41" s="1135">
        <v>6</v>
      </c>
      <c r="GN41" s="1136">
        <f t="shared" si="34"/>
        <v>6</v>
      </c>
      <c r="GO41" s="1135"/>
      <c r="GP41" s="1135"/>
      <c r="GQ41" s="1135"/>
      <c r="GR41" s="1135"/>
      <c r="GS41" s="1135"/>
      <c r="GT41" s="1135"/>
      <c r="GU41" s="1135"/>
      <c r="GV41" s="1135"/>
      <c r="GW41" s="1135"/>
      <c r="GX41" s="1135"/>
      <c r="GY41" s="1135"/>
      <c r="GZ41" s="1135"/>
      <c r="HA41" s="1136">
        <f t="shared" si="35"/>
        <v>0</v>
      </c>
      <c r="HB41" s="1135"/>
      <c r="HC41" s="1135"/>
      <c r="HD41" s="1135"/>
      <c r="HE41" s="1135"/>
      <c r="HF41" s="1135"/>
      <c r="HG41" s="1135"/>
      <c r="HH41" s="1135"/>
      <c r="HI41" s="1135"/>
      <c r="HJ41" s="1135"/>
      <c r="HK41" s="1135"/>
      <c r="HL41" s="1135"/>
      <c r="HM41" s="1135"/>
      <c r="HN41" s="1136">
        <f t="shared" si="36"/>
        <v>0</v>
      </c>
      <c r="HO41" s="1135"/>
      <c r="HP41" s="1135"/>
      <c r="HQ41" s="1135"/>
      <c r="HR41" s="1135"/>
      <c r="HS41" s="1135"/>
      <c r="HT41" s="1135"/>
      <c r="HU41" s="1135"/>
      <c r="HV41" s="1135"/>
      <c r="HW41" s="1135"/>
      <c r="HX41" s="1135"/>
      <c r="HY41" s="1135"/>
      <c r="HZ41" s="1135"/>
      <c r="IA41" s="1136">
        <f t="shared" si="37"/>
        <v>0</v>
      </c>
      <c r="IB41" s="1135"/>
      <c r="IC41" s="1135"/>
      <c r="ID41" s="1135"/>
      <c r="IE41" s="1135"/>
      <c r="IF41" s="1135"/>
      <c r="IG41" s="1135"/>
      <c r="IH41" s="1135"/>
      <c r="II41" s="1135"/>
      <c r="IJ41" s="1135"/>
      <c r="IK41" s="1135"/>
      <c r="IL41" s="1135"/>
      <c r="IM41" s="1135">
        <v>3</v>
      </c>
      <c r="IN41" s="1136">
        <f t="shared" si="38"/>
        <v>3</v>
      </c>
      <c r="IO41" s="1135"/>
      <c r="IP41" s="1135"/>
      <c r="IQ41" s="1135"/>
      <c r="IR41" s="1135"/>
      <c r="IS41" s="1135"/>
      <c r="IT41" s="1135"/>
      <c r="IU41" s="1135"/>
      <c r="IV41" s="1135"/>
      <c r="IW41" s="1135"/>
      <c r="IX41" s="1135"/>
      <c r="IY41" s="1135"/>
      <c r="IZ41" s="1135"/>
      <c r="JA41" s="1136">
        <f t="shared" si="39"/>
        <v>0</v>
      </c>
      <c r="JB41" s="1135"/>
      <c r="JC41" s="1135"/>
      <c r="JD41" s="1135"/>
      <c r="JE41" s="1135"/>
      <c r="JF41" s="1135"/>
      <c r="JG41" s="1135"/>
      <c r="JH41" s="1135"/>
      <c r="JI41" s="1135"/>
      <c r="JJ41" s="1135"/>
      <c r="JK41" s="1135"/>
      <c r="JL41" s="1135"/>
      <c r="JM41" s="1135">
        <v>3</v>
      </c>
      <c r="JN41" s="1136">
        <f t="shared" si="40"/>
        <v>3</v>
      </c>
      <c r="JO41" s="1135">
        <v>0</v>
      </c>
      <c r="JP41" s="1135"/>
      <c r="JQ41" s="1135"/>
      <c r="JR41" s="1135"/>
      <c r="JS41" s="1135"/>
      <c r="JT41" s="1135"/>
      <c r="JU41" s="1135"/>
      <c r="JV41" s="1135"/>
      <c r="JW41" s="1135"/>
      <c r="JX41" s="1135"/>
      <c r="JY41" s="1135"/>
      <c r="JZ41" s="1135"/>
      <c r="KA41" s="1136">
        <f t="shared" si="41"/>
        <v>0</v>
      </c>
      <c r="KC41" s="1137" t="str">
        <f t="shared" si="42"/>
        <v/>
      </c>
      <c r="KD41" s="1138" t="str">
        <f t="shared" si="43"/>
        <v/>
      </c>
      <c r="KE41" s="1139">
        <f t="shared" si="44"/>
        <v>0</v>
      </c>
      <c r="KF41" s="1140">
        <f t="shared" si="45"/>
        <v>3</v>
      </c>
      <c r="KG41" s="1041"/>
      <c r="KH41" s="1139">
        <f t="shared" si="46"/>
        <v>48</v>
      </c>
      <c r="KI41" s="1146" t="s">
        <v>284</v>
      </c>
      <c r="KJ41" s="1147" t="str">
        <f t="shared" si="47"/>
        <v>OK</v>
      </c>
    </row>
    <row r="42" spans="1:296" ht="15" customHeight="1" x14ac:dyDescent="0.2">
      <c r="A42" s="1145" t="s">
        <v>181</v>
      </c>
      <c r="B42" s="1135"/>
      <c r="C42" s="1135"/>
      <c r="D42" s="1135"/>
      <c r="E42" s="1135"/>
      <c r="F42" s="1135"/>
      <c r="G42" s="1135"/>
      <c r="H42" s="1135"/>
      <c r="I42" s="1135"/>
      <c r="J42" s="1135"/>
      <c r="K42" s="1135"/>
      <c r="L42" s="1135"/>
      <c r="M42" s="1135"/>
      <c r="N42" s="1136">
        <f t="shared" si="20"/>
        <v>0</v>
      </c>
      <c r="O42" s="1135"/>
      <c r="P42" s="1135"/>
      <c r="Q42" s="1135"/>
      <c r="R42" s="1135"/>
      <c r="S42" s="1135"/>
      <c r="T42" s="1135"/>
      <c r="U42" s="1135"/>
      <c r="V42" s="1135"/>
      <c r="W42" s="1135"/>
      <c r="X42" s="1135"/>
      <c r="Y42" s="1135"/>
      <c r="Z42" s="1135"/>
      <c r="AA42" s="1136">
        <f t="shared" si="21"/>
        <v>0</v>
      </c>
      <c r="AB42" s="1135"/>
      <c r="AC42" s="1135"/>
      <c r="AD42" s="1135"/>
      <c r="AE42" s="1135"/>
      <c r="AF42" s="1135"/>
      <c r="AG42" s="1135"/>
      <c r="AH42" s="1135"/>
      <c r="AI42" s="1135"/>
      <c r="AJ42" s="1135"/>
      <c r="AK42" s="1135"/>
      <c r="AL42" s="1135"/>
      <c r="AM42" s="1135">
        <v>1202</v>
      </c>
      <c r="AN42" s="1136">
        <f t="shared" si="22"/>
        <v>1202</v>
      </c>
      <c r="AO42" s="1135"/>
      <c r="AP42" s="1135"/>
      <c r="AQ42" s="1135"/>
      <c r="AR42" s="1135"/>
      <c r="AS42" s="1135"/>
      <c r="AT42" s="1135"/>
      <c r="AU42" s="1135"/>
      <c r="AV42" s="1135"/>
      <c r="AW42" s="1135"/>
      <c r="AX42" s="1135"/>
      <c r="AY42" s="1135"/>
      <c r="AZ42" s="1135">
        <v>1199</v>
      </c>
      <c r="BA42" s="1136">
        <f t="shared" si="23"/>
        <v>1199</v>
      </c>
      <c r="BB42" s="1135"/>
      <c r="BC42" s="1135"/>
      <c r="BD42" s="1135"/>
      <c r="BE42" s="1135"/>
      <c r="BF42" s="1135"/>
      <c r="BG42" s="1135"/>
      <c r="BH42" s="1135"/>
      <c r="BI42" s="1135"/>
      <c r="BJ42" s="1135"/>
      <c r="BK42" s="1135"/>
      <c r="BL42" s="1135"/>
      <c r="BM42" s="1135">
        <v>1228</v>
      </c>
      <c r="BN42" s="1136">
        <f t="shared" si="24"/>
        <v>1228</v>
      </c>
      <c r="BO42" s="1135"/>
      <c r="BP42" s="1135"/>
      <c r="BQ42" s="1135"/>
      <c r="BR42" s="1135"/>
      <c r="BS42" s="1135"/>
      <c r="BT42" s="1135"/>
      <c r="BU42" s="1135"/>
      <c r="BV42" s="1135"/>
      <c r="BW42" s="1135"/>
      <c r="BX42" s="1135"/>
      <c r="BY42" s="1135"/>
      <c r="BZ42" s="1135">
        <v>1413</v>
      </c>
      <c r="CA42" s="1136">
        <f t="shared" si="25"/>
        <v>1413</v>
      </c>
      <c r="CB42" s="1135"/>
      <c r="CC42" s="1135"/>
      <c r="CD42" s="1135"/>
      <c r="CE42" s="1135"/>
      <c r="CF42" s="1135"/>
      <c r="CG42" s="1135"/>
      <c r="CH42" s="1135"/>
      <c r="CI42" s="1135"/>
      <c r="CJ42" s="1135"/>
      <c r="CK42" s="1135"/>
      <c r="CL42" s="1135"/>
      <c r="CM42" s="1135">
        <v>805</v>
      </c>
      <c r="CN42" s="1136">
        <f t="shared" si="26"/>
        <v>805</v>
      </c>
      <c r="CO42" s="1135"/>
      <c r="CP42" s="1135"/>
      <c r="CQ42" s="1135"/>
      <c r="CR42" s="1135"/>
      <c r="CS42" s="1135"/>
      <c r="CT42" s="1135"/>
      <c r="CU42" s="1135"/>
      <c r="CV42" s="1135"/>
      <c r="CW42" s="1135"/>
      <c r="CX42" s="1135"/>
      <c r="CY42" s="1135"/>
      <c r="CZ42" s="1135">
        <v>454</v>
      </c>
      <c r="DA42" s="1136">
        <f t="shared" si="27"/>
        <v>454</v>
      </c>
      <c r="DB42" s="1135"/>
      <c r="DC42" s="1135"/>
      <c r="DD42" s="1135"/>
      <c r="DE42" s="1135"/>
      <c r="DF42" s="1135"/>
      <c r="DG42" s="1135"/>
      <c r="DH42" s="1135"/>
      <c r="DI42" s="1135"/>
      <c r="DJ42" s="1135"/>
      <c r="DK42" s="1135"/>
      <c r="DL42" s="1135"/>
      <c r="DM42" s="1135">
        <v>462</v>
      </c>
      <c r="DN42" s="1136">
        <f t="shared" si="28"/>
        <v>462</v>
      </c>
      <c r="DO42" s="1135"/>
      <c r="DP42" s="1135"/>
      <c r="DQ42" s="1135"/>
      <c r="DR42" s="1135"/>
      <c r="DS42" s="1135"/>
      <c r="DT42" s="1135"/>
      <c r="DU42" s="1135"/>
      <c r="DV42" s="1135"/>
      <c r="DW42" s="1135"/>
      <c r="DX42" s="1135"/>
      <c r="DY42" s="1135"/>
      <c r="DZ42" s="1135">
        <v>2000</v>
      </c>
      <c r="EA42" s="1136">
        <f t="shared" si="29"/>
        <v>2000</v>
      </c>
      <c r="EB42" s="1135"/>
      <c r="EC42" s="1135"/>
      <c r="ED42" s="1135"/>
      <c r="EE42" s="1135"/>
      <c r="EF42" s="1135"/>
      <c r="EG42" s="1135"/>
      <c r="EH42" s="1135"/>
      <c r="EI42" s="1135"/>
      <c r="EJ42" s="1135"/>
      <c r="EK42" s="1135"/>
      <c r="EL42" s="1135"/>
      <c r="EM42" s="1135">
        <v>2000</v>
      </c>
      <c r="EN42" s="1136">
        <f t="shared" si="30"/>
        <v>2000</v>
      </c>
      <c r="EO42" s="1135"/>
      <c r="EP42" s="1135"/>
      <c r="EQ42" s="1135"/>
      <c r="ER42" s="1135"/>
      <c r="ES42" s="1135"/>
      <c r="ET42" s="1135"/>
      <c r="EU42" s="1135"/>
      <c r="EV42" s="1135"/>
      <c r="EW42" s="1135"/>
      <c r="EX42" s="1135"/>
      <c r="EY42" s="1135"/>
      <c r="EZ42" s="1135">
        <v>2099</v>
      </c>
      <c r="FA42" s="1136">
        <f t="shared" si="31"/>
        <v>2099</v>
      </c>
      <c r="FB42" s="1135"/>
      <c r="FC42" s="1135"/>
      <c r="FD42" s="1135"/>
      <c r="FE42" s="1135"/>
      <c r="FF42" s="1135"/>
      <c r="FG42" s="1135"/>
      <c r="FH42" s="1135"/>
      <c r="FI42" s="1135"/>
      <c r="FJ42" s="1135"/>
      <c r="FK42" s="1135"/>
      <c r="FL42" s="1135"/>
      <c r="FM42" s="1135">
        <v>1781</v>
      </c>
      <c r="FN42" s="1136">
        <f t="shared" si="32"/>
        <v>1781</v>
      </c>
      <c r="FO42" s="1135"/>
      <c r="FP42" s="1135"/>
      <c r="FQ42" s="1135"/>
      <c r="FR42" s="1135"/>
      <c r="FS42" s="1135"/>
      <c r="FT42" s="1135"/>
      <c r="FU42" s="1135"/>
      <c r="FV42" s="1135"/>
      <c r="FW42" s="1135"/>
      <c r="FX42" s="1135"/>
      <c r="FY42" s="1135"/>
      <c r="FZ42" s="1135">
        <v>2252</v>
      </c>
      <c r="GA42" s="1136">
        <f t="shared" si="33"/>
        <v>2252</v>
      </c>
      <c r="GB42" s="1135"/>
      <c r="GC42" s="1135"/>
      <c r="GD42" s="1135"/>
      <c r="GE42" s="1135"/>
      <c r="GF42" s="1135"/>
      <c r="GG42" s="1135"/>
      <c r="GH42" s="1135"/>
      <c r="GI42" s="1135"/>
      <c r="GJ42" s="1135"/>
      <c r="GK42" s="1135"/>
      <c r="GL42" s="1135"/>
      <c r="GM42" s="1135">
        <v>2310</v>
      </c>
      <c r="GN42" s="1136">
        <f t="shared" si="34"/>
        <v>2310</v>
      </c>
      <c r="GO42" s="1135"/>
      <c r="GP42" s="1135"/>
      <c r="GQ42" s="1135"/>
      <c r="GR42" s="1135"/>
      <c r="GS42" s="1135"/>
      <c r="GT42" s="1135"/>
      <c r="GU42" s="1135"/>
      <c r="GV42" s="1135"/>
      <c r="GW42" s="1135"/>
      <c r="GX42" s="1135"/>
      <c r="GY42" s="1135"/>
      <c r="GZ42" s="1135">
        <v>1989</v>
      </c>
      <c r="HA42" s="1136">
        <f t="shared" si="35"/>
        <v>1989</v>
      </c>
      <c r="HB42" s="1135"/>
      <c r="HC42" s="1135"/>
      <c r="HD42" s="1135"/>
      <c r="HE42" s="1135"/>
      <c r="HF42" s="1135"/>
      <c r="HG42" s="1135"/>
      <c r="HH42" s="1135"/>
      <c r="HI42" s="1135"/>
      <c r="HJ42" s="1135"/>
      <c r="HK42" s="1135"/>
      <c r="HL42" s="1135"/>
      <c r="HM42" s="1135"/>
      <c r="HN42" s="1136">
        <f t="shared" si="36"/>
        <v>0</v>
      </c>
      <c r="HO42" s="1135"/>
      <c r="HP42" s="1135"/>
      <c r="HQ42" s="1135"/>
      <c r="HR42" s="1135"/>
      <c r="HS42" s="1135"/>
      <c r="HT42" s="1135"/>
      <c r="HU42" s="1135"/>
      <c r="HV42" s="1135"/>
      <c r="HW42" s="1135"/>
      <c r="HX42" s="1135"/>
      <c r="HY42" s="1135"/>
      <c r="HZ42" s="1135"/>
      <c r="IA42" s="1136">
        <f t="shared" si="37"/>
        <v>0</v>
      </c>
      <c r="IB42" s="1135"/>
      <c r="IC42" s="1135"/>
      <c r="ID42" s="1135"/>
      <c r="IE42" s="1135"/>
      <c r="IF42" s="1135"/>
      <c r="IG42" s="1135"/>
      <c r="IH42" s="1135"/>
      <c r="II42" s="1135"/>
      <c r="IJ42" s="1135"/>
      <c r="IK42" s="1135"/>
      <c r="IL42" s="1135"/>
      <c r="IM42" s="1135">
        <v>1450</v>
      </c>
      <c r="IN42" s="1136">
        <f t="shared" si="38"/>
        <v>1450</v>
      </c>
      <c r="IO42" s="1135"/>
      <c r="IP42" s="1135"/>
      <c r="IQ42" s="1135"/>
      <c r="IR42" s="1135"/>
      <c r="IS42" s="1135"/>
      <c r="IT42" s="1135"/>
      <c r="IU42" s="1135"/>
      <c r="IV42" s="1135"/>
      <c r="IW42" s="1135"/>
      <c r="IX42" s="1135"/>
      <c r="IY42" s="1135"/>
      <c r="IZ42" s="1135">
        <v>95</v>
      </c>
      <c r="JA42" s="1136">
        <f t="shared" si="39"/>
        <v>95</v>
      </c>
      <c r="JB42" s="1135"/>
      <c r="JC42" s="1135"/>
      <c r="JD42" s="1135"/>
      <c r="JE42" s="1135"/>
      <c r="JF42" s="1135"/>
      <c r="JG42" s="1135"/>
      <c r="JH42" s="1135"/>
      <c r="JI42" s="1135"/>
      <c r="JJ42" s="1135"/>
      <c r="JK42" s="1135"/>
      <c r="JL42" s="1135"/>
      <c r="JM42" s="1135">
        <v>593</v>
      </c>
      <c r="JN42" s="1136">
        <f t="shared" si="40"/>
        <v>593</v>
      </c>
      <c r="JO42" s="1135">
        <v>0</v>
      </c>
      <c r="JP42" s="1135"/>
      <c r="JQ42" s="1135"/>
      <c r="JR42" s="1135"/>
      <c r="JS42" s="1135"/>
      <c r="JT42" s="1135"/>
      <c r="JU42" s="1135"/>
      <c r="JV42" s="1135"/>
      <c r="JW42" s="1135"/>
      <c r="JX42" s="1135"/>
      <c r="JY42" s="1135"/>
      <c r="JZ42" s="1135"/>
      <c r="KA42" s="1136">
        <f t="shared" si="41"/>
        <v>0</v>
      </c>
      <c r="KC42" s="1137">
        <f t="shared" si="42"/>
        <v>524.21052631578948</v>
      </c>
      <c r="KD42" s="1138">
        <f t="shared" si="43"/>
        <v>524.21052631578948</v>
      </c>
      <c r="KE42" s="1139">
        <f t="shared" si="44"/>
        <v>95</v>
      </c>
      <c r="KF42" s="1140">
        <f t="shared" si="45"/>
        <v>593</v>
      </c>
      <c r="KG42" s="1041"/>
      <c r="KH42" s="1139">
        <f t="shared" si="46"/>
        <v>46664</v>
      </c>
      <c r="KI42" s="1146" t="s">
        <v>181</v>
      </c>
      <c r="KJ42" s="1147" t="str">
        <f t="shared" si="47"/>
        <v>OK</v>
      </c>
    </row>
    <row r="43" spans="1:296" ht="15" customHeight="1" x14ac:dyDescent="0.2">
      <c r="A43" s="1145" t="s">
        <v>582</v>
      </c>
      <c r="B43" s="1135"/>
      <c r="C43" s="1135"/>
      <c r="D43" s="1135"/>
      <c r="E43" s="1135"/>
      <c r="F43" s="1135"/>
      <c r="G43" s="1135"/>
      <c r="H43" s="1135"/>
      <c r="I43" s="1135"/>
      <c r="J43" s="1135"/>
      <c r="K43" s="1135"/>
      <c r="L43" s="1135"/>
      <c r="M43" s="1135"/>
      <c r="N43" s="1136">
        <f t="shared" si="20"/>
        <v>0</v>
      </c>
      <c r="O43" s="1135"/>
      <c r="P43" s="1135"/>
      <c r="Q43" s="1135"/>
      <c r="R43" s="1135"/>
      <c r="S43" s="1135"/>
      <c r="T43" s="1135"/>
      <c r="U43" s="1135"/>
      <c r="V43" s="1135"/>
      <c r="W43" s="1135"/>
      <c r="X43" s="1135"/>
      <c r="Y43" s="1135"/>
      <c r="Z43" s="1135"/>
      <c r="AA43" s="1136">
        <f t="shared" si="21"/>
        <v>0</v>
      </c>
      <c r="AB43" s="1135"/>
      <c r="AC43" s="1135"/>
      <c r="AD43" s="1135"/>
      <c r="AE43" s="1135"/>
      <c r="AF43" s="1135"/>
      <c r="AG43" s="1135"/>
      <c r="AH43" s="1135"/>
      <c r="AI43" s="1135"/>
      <c r="AJ43" s="1135"/>
      <c r="AK43" s="1135"/>
      <c r="AL43" s="1135"/>
      <c r="AM43" s="1135"/>
      <c r="AN43" s="1136">
        <f t="shared" si="22"/>
        <v>0</v>
      </c>
      <c r="AO43" s="1135"/>
      <c r="AP43" s="1135"/>
      <c r="AQ43" s="1135"/>
      <c r="AR43" s="1135"/>
      <c r="AS43" s="1135"/>
      <c r="AT43" s="1135"/>
      <c r="AU43" s="1135"/>
      <c r="AV43" s="1135"/>
      <c r="AW43" s="1135"/>
      <c r="AX43" s="1135"/>
      <c r="AY43" s="1135"/>
      <c r="AZ43" s="1135"/>
      <c r="BA43" s="1136">
        <f t="shared" si="23"/>
        <v>0</v>
      </c>
      <c r="BB43" s="1135"/>
      <c r="BC43" s="1135"/>
      <c r="BD43" s="1135"/>
      <c r="BE43" s="1135"/>
      <c r="BF43" s="1135"/>
      <c r="BG43" s="1135"/>
      <c r="BH43" s="1135"/>
      <c r="BI43" s="1135"/>
      <c r="BJ43" s="1135"/>
      <c r="BK43" s="1135"/>
      <c r="BL43" s="1135"/>
      <c r="BM43" s="1135"/>
      <c r="BN43" s="1136">
        <f t="shared" si="24"/>
        <v>0</v>
      </c>
      <c r="BO43" s="1135"/>
      <c r="BP43" s="1135"/>
      <c r="BQ43" s="1135"/>
      <c r="BR43" s="1135"/>
      <c r="BS43" s="1135"/>
      <c r="BT43" s="1135"/>
      <c r="BU43" s="1135"/>
      <c r="BV43" s="1135"/>
      <c r="BW43" s="1135"/>
      <c r="BX43" s="1135"/>
      <c r="BY43" s="1135"/>
      <c r="BZ43" s="1135"/>
      <c r="CA43" s="1136">
        <f t="shared" si="25"/>
        <v>0</v>
      </c>
      <c r="CB43" s="1135"/>
      <c r="CC43" s="1135"/>
      <c r="CD43" s="1135"/>
      <c r="CE43" s="1135"/>
      <c r="CF43" s="1135"/>
      <c r="CG43" s="1135"/>
      <c r="CH43" s="1135"/>
      <c r="CI43" s="1135"/>
      <c r="CJ43" s="1135"/>
      <c r="CK43" s="1135"/>
      <c r="CL43" s="1135"/>
      <c r="CM43" s="1135"/>
      <c r="CN43" s="1136">
        <f t="shared" si="26"/>
        <v>0</v>
      </c>
      <c r="CO43" s="1135"/>
      <c r="CP43" s="1135"/>
      <c r="CQ43" s="1135"/>
      <c r="CR43" s="1135"/>
      <c r="CS43" s="1135"/>
      <c r="CT43" s="1135"/>
      <c r="CU43" s="1135"/>
      <c r="CV43" s="1135"/>
      <c r="CW43" s="1135"/>
      <c r="CX43" s="1135"/>
      <c r="CY43" s="1135"/>
      <c r="CZ43" s="1135"/>
      <c r="DA43" s="1136">
        <f t="shared" si="27"/>
        <v>0</v>
      </c>
      <c r="DB43" s="1135"/>
      <c r="DC43" s="1135"/>
      <c r="DD43" s="1135"/>
      <c r="DE43" s="1135"/>
      <c r="DF43" s="1135"/>
      <c r="DG43" s="1135"/>
      <c r="DH43" s="1135"/>
      <c r="DI43" s="1135"/>
      <c r="DJ43" s="1135"/>
      <c r="DK43" s="1135"/>
      <c r="DL43" s="1135"/>
      <c r="DM43" s="1135"/>
      <c r="DN43" s="1136">
        <f t="shared" si="28"/>
        <v>0</v>
      </c>
      <c r="DO43" s="1135"/>
      <c r="DP43" s="1135"/>
      <c r="DQ43" s="1135"/>
      <c r="DR43" s="1135"/>
      <c r="DS43" s="1135"/>
      <c r="DT43" s="1135"/>
      <c r="DU43" s="1135"/>
      <c r="DV43" s="1135"/>
      <c r="DW43" s="1135"/>
      <c r="DX43" s="1135"/>
      <c r="DY43" s="1135"/>
      <c r="DZ43" s="1135"/>
      <c r="EA43" s="1136">
        <f t="shared" si="29"/>
        <v>0</v>
      </c>
      <c r="EB43" s="1135"/>
      <c r="EC43" s="1135"/>
      <c r="ED43" s="1135"/>
      <c r="EE43" s="1135"/>
      <c r="EF43" s="1135"/>
      <c r="EG43" s="1135"/>
      <c r="EH43" s="1135"/>
      <c r="EI43" s="1135"/>
      <c r="EJ43" s="1135"/>
      <c r="EK43" s="1135"/>
      <c r="EL43" s="1135"/>
      <c r="EM43" s="1135"/>
      <c r="EN43" s="1136">
        <f t="shared" si="30"/>
        <v>0</v>
      </c>
      <c r="EO43" s="1135"/>
      <c r="EP43" s="1135"/>
      <c r="EQ43" s="1135"/>
      <c r="ER43" s="1135"/>
      <c r="ES43" s="1135"/>
      <c r="ET43" s="1135"/>
      <c r="EU43" s="1135"/>
      <c r="EV43" s="1135"/>
      <c r="EW43" s="1135"/>
      <c r="EX43" s="1135"/>
      <c r="EY43" s="1135"/>
      <c r="EZ43" s="1135"/>
      <c r="FA43" s="1136">
        <f t="shared" si="31"/>
        <v>0</v>
      </c>
      <c r="FB43" s="1135"/>
      <c r="FC43" s="1135"/>
      <c r="FD43" s="1135"/>
      <c r="FE43" s="1135"/>
      <c r="FF43" s="1135"/>
      <c r="FG43" s="1135"/>
      <c r="FH43" s="1135"/>
      <c r="FI43" s="1135"/>
      <c r="FJ43" s="1135"/>
      <c r="FK43" s="1135"/>
      <c r="FL43" s="1135"/>
      <c r="FM43" s="1135"/>
      <c r="FN43" s="1136">
        <f t="shared" si="32"/>
        <v>0</v>
      </c>
      <c r="FO43" s="1135"/>
      <c r="FP43" s="1135"/>
      <c r="FQ43" s="1135"/>
      <c r="FR43" s="1135"/>
      <c r="FS43" s="1135"/>
      <c r="FT43" s="1135"/>
      <c r="FU43" s="1135"/>
      <c r="FV43" s="1135"/>
      <c r="FW43" s="1135"/>
      <c r="FX43" s="1135"/>
      <c r="FY43" s="1135"/>
      <c r="FZ43" s="1135"/>
      <c r="GA43" s="1136">
        <f t="shared" si="33"/>
        <v>0</v>
      </c>
      <c r="GB43" s="1135"/>
      <c r="GC43" s="1135"/>
      <c r="GD43" s="1135"/>
      <c r="GE43" s="1135"/>
      <c r="GF43" s="1135"/>
      <c r="GG43" s="1135"/>
      <c r="GH43" s="1135"/>
      <c r="GI43" s="1135"/>
      <c r="GJ43" s="1135"/>
      <c r="GK43" s="1135"/>
      <c r="GL43" s="1135"/>
      <c r="GM43" s="1135"/>
      <c r="GN43" s="1136">
        <f t="shared" si="34"/>
        <v>0</v>
      </c>
      <c r="GO43" s="1135"/>
      <c r="GP43" s="1135"/>
      <c r="GQ43" s="1135"/>
      <c r="GR43" s="1135"/>
      <c r="GS43" s="1135"/>
      <c r="GT43" s="1135"/>
      <c r="GU43" s="1135"/>
      <c r="GV43" s="1135"/>
      <c r="GW43" s="1135"/>
      <c r="GX43" s="1135"/>
      <c r="GY43" s="1135"/>
      <c r="GZ43" s="1135"/>
      <c r="HA43" s="1136">
        <f t="shared" si="35"/>
        <v>0</v>
      </c>
      <c r="HB43" s="1135"/>
      <c r="HC43" s="1135"/>
      <c r="HD43" s="1135"/>
      <c r="HE43" s="1135"/>
      <c r="HF43" s="1135"/>
      <c r="HG43" s="1135"/>
      <c r="HH43" s="1135"/>
      <c r="HI43" s="1135"/>
      <c r="HJ43" s="1135"/>
      <c r="HK43" s="1135"/>
      <c r="HL43" s="1135"/>
      <c r="HM43" s="1135"/>
      <c r="HN43" s="1136">
        <f t="shared" si="36"/>
        <v>0</v>
      </c>
      <c r="HO43" s="1135"/>
      <c r="HP43" s="1135"/>
      <c r="HQ43" s="1135"/>
      <c r="HR43" s="1135"/>
      <c r="HS43" s="1135"/>
      <c r="HT43" s="1135"/>
      <c r="HU43" s="1135"/>
      <c r="HV43" s="1135"/>
      <c r="HW43" s="1135"/>
      <c r="HX43" s="1135"/>
      <c r="HY43" s="1135"/>
      <c r="HZ43" s="1135"/>
      <c r="IA43" s="1136">
        <f t="shared" si="37"/>
        <v>0</v>
      </c>
      <c r="IB43" s="1135"/>
      <c r="IC43" s="1135"/>
      <c r="ID43" s="1135"/>
      <c r="IE43" s="1135"/>
      <c r="IF43" s="1135"/>
      <c r="IG43" s="1135"/>
      <c r="IH43" s="1135"/>
      <c r="II43" s="1135"/>
      <c r="IJ43" s="1135"/>
      <c r="IK43" s="1135"/>
      <c r="IL43" s="1135"/>
      <c r="IM43" s="1135"/>
      <c r="IN43" s="1136">
        <f t="shared" si="38"/>
        <v>0</v>
      </c>
      <c r="IO43" s="1135"/>
      <c r="IP43" s="1135"/>
      <c r="IQ43" s="1135"/>
      <c r="IR43" s="1135"/>
      <c r="IS43" s="1135"/>
      <c r="IT43" s="1135"/>
      <c r="IU43" s="1135"/>
      <c r="IV43" s="1135"/>
      <c r="IW43" s="1135"/>
      <c r="IX43" s="1135"/>
      <c r="IY43" s="1135"/>
      <c r="IZ43" s="1135"/>
      <c r="JA43" s="1136">
        <f t="shared" si="39"/>
        <v>0</v>
      </c>
      <c r="JB43" s="1135"/>
      <c r="JC43" s="1135"/>
      <c r="JD43" s="1135"/>
      <c r="JE43" s="1135"/>
      <c r="JF43" s="1135"/>
      <c r="JG43" s="1135"/>
      <c r="JH43" s="1135"/>
      <c r="JI43" s="1135"/>
      <c r="JJ43" s="1135"/>
      <c r="JK43" s="1135"/>
      <c r="JL43" s="1135"/>
      <c r="JM43" s="1135"/>
      <c r="JN43" s="1136">
        <f t="shared" si="40"/>
        <v>0</v>
      </c>
      <c r="JO43" s="1135">
        <v>0</v>
      </c>
      <c r="JP43" s="1135"/>
      <c r="JQ43" s="1135"/>
      <c r="JR43" s="1135"/>
      <c r="JS43" s="1135"/>
      <c r="JT43" s="1135"/>
      <c r="JU43" s="1135"/>
      <c r="JV43" s="1135"/>
      <c r="JW43" s="1135"/>
      <c r="JX43" s="1135"/>
      <c r="JY43" s="1135"/>
      <c r="JZ43" s="1135"/>
      <c r="KA43" s="1136">
        <f t="shared" si="41"/>
        <v>0</v>
      </c>
      <c r="KC43" s="1137" t="str">
        <f t="shared" si="42"/>
        <v/>
      </c>
      <c r="KD43" s="1138" t="str">
        <f t="shared" si="43"/>
        <v/>
      </c>
      <c r="KE43" s="1139">
        <f t="shared" si="44"/>
        <v>0</v>
      </c>
      <c r="KF43" s="1140">
        <f t="shared" si="45"/>
        <v>0</v>
      </c>
      <c r="KG43" s="1041"/>
      <c r="KH43" s="1139">
        <f t="shared" si="46"/>
        <v>0</v>
      </c>
      <c r="KI43" s="1146" t="s">
        <v>582</v>
      </c>
      <c r="KJ43" s="1147" t="str">
        <f t="shared" si="47"/>
        <v>OK</v>
      </c>
    </row>
    <row r="44" spans="1:296" s="1153" customFormat="1" ht="15" customHeight="1" x14ac:dyDescent="0.2">
      <c r="A44" s="1227" t="s">
        <v>215</v>
      </c>
      <c r="B44" s="1135"/>
      <c r="C44" s="1135"/>
      <c r="D44" s="1135"/>
      <c r="E44" s="1135"/>
      <c r="F44" s="1135"/>
      <c r="G44" s="1135"/>
      <c r="H44" s="1135"/>
      <c r="I44" s="1135"/>
      <c r="J44" s="1135"/>
      <c r="K44" s="1135"/>
      <c r="L44" s="1135"/>
      <c r="M44" s="1135"/>
      <c r="N44" s="1136">
        <f t="shared" si="20"/>
        <v>0</v>
      </c>
      <c r="O44" s="1135"/>
      <c r="P44" s="1135"/>
      <c r="Q44" s="1135"/>
      <c r="R44" s="1135"/>
      <c r="S44" s="1135"/>
      <c r="T44" s="1135"/>
      <c r="U44" s="1135"/>
      <c r="V44" s="1135"/>
      <c r="W44" s="1135"/>
      <c r="X44" s="1135"/>
      <c r="Y44" s="1135"/>
      <c r="Z44" s="1135"/>
      <c r="AA44" s="1136">
        <f t="shared" si="21"/>
        <v>0</v>
      </c>
      <c r="AB44" s="1135"/>
      <c r="AC44" s="1135"/>
      <c r="AD44" s="1135"/>
      <c r="AE44" s="1135"/>
      <c r="AF44" s="1135"/>
      <c r="AG44" s="1135"/>
      <c r="AH44" s="1135"/>
      <c r="AI44" s="1135"/>
      <c r="AJ44" s="1135"/>
      <c r="AK44" s="1135"/>
      <c r="AL44" s="1135"/>
      <c r="AM44" s="1135"/>
      <c r="AN44" s="1136">
        <f t="shared" si="22"/>
        <v>0</v>
      </c>
      <c r="AO44" s="1135"/>
      <c r="AP44" s="1135"/>
      <c r="AQ44" s="1135"/>
      <c r="AR44" s="1135"/>
      <c r="AS44" s="1135"/>
      <c r="AT44" s="1135"/>
      <c r="AU44" s="1135"/>
      <c r="AV44" s="1135"/>
      <c r="AW44" s="1135"/>
      <c r="AX44" s="1135"/>
      <c r="AY44" s="1135"/>
      <c r="AZ44" s="1135"/>
      <c r="BA44" s="1136">
        <f t="shared" si="23"/>
        <v>0</v>
      </c>
      <c r="BB44" s="1135"/>
      <c r="BC44" s="1135"/>
      <c r="BD44" s="1135"/>
      <c r="BE44" s="1135"/>
      <c r="BF44" s="1135"/>
      <c r="BG44" s="1135"/>
      <c r="BH44" s="1135"/>
      <c r="BI44" s="1135"/>
      <c r="BJ44" s="1135"/>
      <c r="BK44" s="1135"/>
      <c r="BL44" s="1135"/>
      <c r="BM44" s="1135"/>
      <c r="BN44" s="1136">
        <f t="shared" si="24"/>
        <v>0</v>
      </c>
      <c r="BO44" s="1135"/>
      <c r="BP44" s="1135"/>
      <c r="BQ44" s="1135"/>
      <c r="BR44" s="1135"/>
      <c r="BS44" s="1135"/>
      <c r="BT44" s="1135"/>
      <c r="BU44" s="1135"/>
      <c r="BV44" s="1135"/>
      <c r="BW44" s="1135"/>
      <c r="BX44" s="1135"/>
      <c r="BY44" s="1135"/>
      <c r="BZ44" s="1135"/>
      <c r="CA44" s="1136">
        <f t="shared" si="25"/>
        <v>0</v>
      </c>
      <c r="CB44" s="1135"/>
      <c r="CC44" s="1135"/>
      <c r="CD44" s="1135"/>
      <c r="CE44" s="1135"/>
      <c r="CF44" s="1135"/>
      <c r="CG44" s="1135"/>
      <c r="CH44" s="1135"/>
      <c r="CI44" s="1135"/>
      <c r="CJ44" s="1135"/>
      <c r="CK44" s="1135"/>
      <c r="CL44" s="1135"/>
      <c r="CM44" s="1135"/>
      <c r="CN44" s="1136">
        <f t="shared" si="26"/>
        <v>0</v>
      </c>
      <c r="CO44" s="1135"/>
      <c r="CP44" s="1135"/>
      <c r="CQ44" s="1135"/>
      <c r="CR44" s="1135"/>
      <c r="CS44" s="1135"/>
      <c r="CT44" s="1135"/>
      <c r="CU44" s="1135"/>
      <c r="CV44" s="1135"/>
      <c r="CW44" s="1135"/>
      <c r="CX44" s="1135"/>
      <c r="CY44" s="1135"/>
      <c r="CZ44" s="1135"/>
      <c r="DA44" s="1136">
        <f t="shared" si="27"/>
        <v>0</v>
      </c>
      <c r="DB44" s="1135"/>
      <c r="DC44" s="1135"/>
      <c r="DD44" s="1135"/>
      <c r="DE44" s="1135"/>
      <c r="DF44" s="1135"/>
      <c r="DG44" s="1135"/>
      <c r="DH44" s="1135"/>
      <c r="DI44" s="1135"/>
      <c r="DJ44" s="1135"/>
      <c r="DK44" s="1135"/>
      <c r="DL44" s="1135"/>
      <c r="DM44" s="1135"/>
      <c r="DN44" s="1136">
        <f t="shared" si="28"/>
        <v>0</v>
      </c>
      <c r="DO44" s="1135"/>
      <c r="DP44" s="1135"/>
      <c r="DQ44" s="1135"/>
      <c r="DR44" s="1135"/>
      <c r="DS44" s="1135"/>
      <c r="DT44" s="1135"/>
      <c r="DU44" s="1135"/>
      <c r="DV44" s="1135"/>
      <c r="DW44" s="1135"/>
      <c r="DX44" s="1135"/>
      <c r="DY44" s="1135"/>
      <c r="DZ44" s="1135">
        <v>70</v>
      </c>
      <c r="EA44" s="1136">
        <f t="shared" si="29"/>
        <v>70</v>
      </c>
      <c r="EB44" s="1135"/>
      <c r="EC44" s="1135"/>
      <c r="ED44" s="1135"/>
      <c r="EE44" s="1135"/>
      <c r="EF44" s="1135"/>
      <c r="EG44" s="1135"/>
      <c r="EH44" s="1135"/>
      <c r="EI44" s="1135"/>
      <c r="EJ44" s="1135"/>
      <c r="EK44" s="1135"/>
      <c r="EL44" s="1135"/>
      <c r="EM44" s="1135">
        <v>70</v>
      </c>
      <c r="EN44" s="1136">
        <f t="shared" si="30"/>
        <v>70</v>
      </c>
      <c r="EO44" s="1135"/>
      <c r="EP44" s="1135"/>
      <c r="EQ44" s="1135"/>
      <c r="ER44" s="1135"/>
      <c r="ES44" s="1135"/>
      <c r="ET44" s="1135"/>
      <c r="EU44" s="1135"/>
      <c r="EV44" s="1135"/>
      <c r="EW44" s="1135"/>
      <c r="EX44" s="1135"/>
      <c r="EY44" s="1135"/>
      <c r="EZ44" s="1135">
        <v>70</v>
      </c>
      <c r="FA44" s="1136">
        <f t="shared" si="31"/>
        <v>70</v>
      </c>
      <c r="FB44" s="1135"/>
      <c r="FC44" s="1135"/>
      <c r="FD44" s="1135"/>
      <c r="FE44" s="1135"/>
      <c r="FF44" s="1135"/>
      <c r="FG44" s="1135"/>
      <c r="FH44" s="1135"/>
      <c r="FI44" s="1135"/>
      <c r="FJ44" s="1135"/>
      <c r="FK44" s="1135"/>
      <c r="FL44" s="1135"/>
      <c r="FM44" s="1135">
        <v>70</v>
      </c>
      <c r="FN44" s="1136">
        <f t="shared" si="32"/>
        <v>70</v>
      </c>
      <c r="FO44" s="1135"/>
      <c r="FP44" s="1135"/>
      <c r="FQ44" s="1135"/>
      <c r="FR44" s="1135"/>
      <c r="FS44" s="1135"/>
      <c r="FT44" s="1135"/>
      <c r="FU44" s="1135"/>
      <c r="FV44" s="1135"/>
      <c r="FW44" s="1135"/>
      <c r="FX44" s="1135"/>
      <c r="FY44" s="1135"/>
      <c r="FZ44" s="1135">
        <v>70</v>
      </c>
      <c r="GA44" s="1136">
        <f t="shared" si="33"/>
        <v>70</v>
      </c>
      <c r="GB44" s="1135"/>
      <c r="GC44" s="1135"/>
      <c r="GD44" s="1135"/>
      <c r="GE44" s="1135"/>
      <c r="GF44" s="1135"/>
      <c r="GG44" s="1135"/>
      <c r="GH44" s="1135"/>
      <c r="GI44" s="1135"/>
      <c r="GJ44" s="1135"/>
      <c r="GK44" s="1135"/>
      <c r="GL44" s="1135"/>
      <c r="GM44" s="1135">
        <v>70</v>
      </c>
      <c r="GN44" s="1136">
        <f t="shared" si="34"/>
        <v>70</v>
      </c>
      <c r="GO44" s="1135"/>
      <c r="GP44" s="1135"/>
      <c r="GQ44" s="1135"/>
      <c r="GR44" s="1135"/>
      <c r="GS44" s="1135"/>
      <c r="GT44" s="1135"/>
      <c r="GU44" s="1135"/>
      <c r="GV44" s="1135"/>
      <c r="GW44" s="1135"/>
      <c r="GX44" s="1135"/>
      <c r="GY44" s="1135"/>
      <c r="GZ44" s="1135"/>
      <c r="HA44" s="1136">
        <f t="shared" si="35"/>
        <v>0</v>
      </c>
      <c r="HB44" s="1135"/>
      <c r="HC44" s="1135"/>
      <c r="HD44" s="1135"/>
      <c r="HE44" s="1135"/>
      <c r="HF44" s="1135"/>
      <c r="HG44" s="1135"/>
      <c r="HH44" s="1135"/>
      <c r="HI44" s="1135"/>
      <c r="HJ44" s="1135"/>
      <c r="HK44" s="1135"/>
      <c r="HL44" s="1135"/>
      <c r="HM44" s="1135"/>
      <c r="HN44" s="1136">
        <f t="shared" si="36"/>
        <v>0</v>
      </c>
      <c r="HO44" s="1135"/>
      <c r="HP44" s="1135"/>
      <c r="HQ44" s="1135"/>
      <c r="HR44" s="1135"/>
      <c r="HS44" s="1135"/>
      <c r="HT44" s="1135"/>
      <c r="HU44" s="1135"/>
      <c r="HV44" s="1135"/>
      <c r="HW44" s="1135"/>
      <c r="HX44" s="1135"/>
      <c r="HY44" s="1135"/>
      <c r="HZ44" s="1135"/>
      <c r="IA44" s="1136">
        <f t="shared" si="37"/>
        <v>0</v>
      </c>
      <c r="IB44" s="1135"/>
      <c r="IC44" s="1135"/>
      <c r="ID44" s="1135"/>
      <c r="IE44" s="1135"/>
      <c r="IF44" s="1135"/>
      <c r="IG44" s="1135"/>
      <c r="IH44" s="1135"/>
      <c r="II44" s="1135"/>
      <c r="IJ44" s="1135"/>
      <c r="IK44" s="1135"/>
      <c r="IL44" s="1135"/>
      <c r="IM44" s="1135"/>
      <c r="IN44" s="1136">
        <f t="shared" si="38"/>
        <v>0</v>
      </c>
      <c r="IO44" s="1135"/>
      <c r="IP44" s="1135"/>
      <c r="IQ44" s="1135"/>
      <c r="IR44" s="1135"/>
      <c r="IS44" s="1135"/>
      <c r="IT44" s="1135"/>
      <c r="IU44" s="1135"/>
      <c r="IV44" s="1135"/>
      <c r="IW44" s="1135"/>
      <c r="IX44" s="1135"/>
      <c r="IY44" s="1135"/>
      <c r="IZ44" s="1135"/>
      <c r="JA44" s="1136">
        <f t="shared" si="39"/>
        <v>0</v>
      </c>
      <c r="JB44" s="1135"/>
      <c r="JC44" s="1135"/>
      <c r="JD44" s="1135"/>
      <c r="JE44" s="1135"/>
      <c r="JF44" s="1135"/>
      <c r="JG44" s="1135"/>
      <c r="JH44" s="1135"/>
      <c r="JI44" s="1135"/>
      <c r="JJ44" s="1135"/>
      <c r="JK44" s="1135"/>
      <c r="JL44" s="1135"/>
      <c r="JM44" s="1135"/>
      <c r="JN44" s="1136">
        <f t="shared" si="40"/>
        <v>0</v>
      </c>
      <c r="JO44" s="1135"/>
      <c r="JP44" s="1135"/>
      <c r="JQ44" s="1135"/>
      <c r="JR44" s="1135"/>
      <c r="JS44" s="1135"/>
      <c r="JT44" s="1135"/>
      <c r="JU44" s="1135"/>
      <c r="JV44" s="1135"/>
      <c r="JW44" s="1135"/>
      <c r="JX44" s="1135"/>
      <c r="JY44" s="1135"/>
      <c r="JZ44" s="1135"/>
      <c r="KA44" s="1136">
        <f t="shared" si="41"/>
        <v>0</v>
      </c>
      <c r="KB44"/>
      <c r="KC44" s="1178" t="str">
        <f t="shared" si="42"/>
        <v/>
      </c>
      <c r="KD44" s="1179" t="str">
        <f t="shared" si="43"/>
        <v/>
      </c>
      <c r="KE44" s="1188">
        <f t="shared" si="44"/>
        <v>0</v>
      </c>
      <c r="KF44" s="1189">
        <f t="shared" si="45"/>
        <v>0</v>
      </c>
      <c r="KH44" s="1139">
        <f t="shared" si="46"/>
        <v>840</v>
      </c>
      <c r="KI44" s="1146" t="s">
        <v>215</v>
      </c>
      <c r="KJ44" s="1147" t="str">
        <f t="shared" si="47"/>
        <v>OK</v>
      </c>
    </row>
    <row r="45" spans="1:296" s="1153" customFormat="1" ht="15" customHeight="1" x14ac:dyDescent="0.2">
      <c r="A45" s="1228" t="s">
        <v>583</v>
      </c>
      <c r="B45" s="1229"/>
      <c r="C45" s="1229"/>
      <c r="D45" s="1229"/>
      <c r="E45" s="1229"/>
      <c r="F45" s="1229"/>
      <c r="G45" s="1229"/>
      <c r="H45" s="1229"/>
      <c r="I45" s="1229"/>
      <c r="J45" s="1229"/>
      <c r="K45" s="1229"/>
      <c r="L45" s="1229"/>
      <c r="M45" s="1229"/>
      <c r="N45" s="1136">
        <f t="shared" si="20"/>
        <v>0</v>
      </c>
      <c r="O45" s="1229"/>
      <c r="P45" s="1229"/>
      <c r="Q45" s="1229"/>
      <c r="R45" s="1229"/>
      <c r="S45" s="1229"/>
      <c r="T45" s="1229"/>
      <c r="U45" s="1229"/>
      <c r="V45" s="1229"/>
      <c r="W45" s="1229"/>
      <c r="X45" s="1229"/>
      <c r="Y45" s="1229"/>
      <c r="Z45" s="1229"/>
      <c r="AA45" s="1136">
        <f t="shared" si="21"/>
        <v>0</v>
      </c>
      <c r="AB45" s="1229"/>
      <c r="AC45" s="1229"/>
      <c r="AD45" s="1229"/>
      <c r="AE45" s="1229"/>
      <c r="AF45" s="1229"/>
      <c r="AG45" s="1229"/>
      <c r="AH45" s="1229"/>
      <c r="AI45" s="1229"/>
      <c r="AJ45" s="1229"/>
      <c r="AK45" s="1229"/>
      <c r="AL45" s="1229"/>
      <c r="AM45" s="1229"/>
      <c r="AN45" s="1136">
        <f t="shared" si="22"/>
        <v>0</v>
      </c>
      <c r="AO45" s="1229"/>
      <c r="AP45" s="1229"/>
      <c r="AQ45" s="1229"/>
      <c r="AR45" s="1229"/>
      <c r="AS45" s="1229"/>
      <c r="AT45" s="1229"/>
      <c r="AU45" s="1229"/>
      <c r="AV45" s="1229"/>
      <c r="AW45" s="1229"/>
      <c r="AX45" s="1229"/>
      <c r="AY45" s="1229"/>
      <c r="AZ45" s="1229"/>
      <c r="BA45" s="1136">
        <f t="shared" si="23"/>
        <v>0</v>
      </c>
      <c r="BB45" s="1229"/>
      <c r="BC45" s="1229"/>
      <c r="BD45" s="1229"/>
      <c r="BE45" s="1229"/>
      <c r="BF45" s="1229"/>
      <c r="BG45" s="1229"/>
      <c r="BH45" s="1229"/>
      <c r="BI45" s="1229"/>
      <c r="BJ45" s="1229"/>
      <c r="BK45" s="1229"/>
      <c r="BL45" s="1229"/>
      <c r="BM45" s="1229"/>
      <c r="BN45" s="1136">
        <f t="shared" si="24"/>
        <v>0</v>
      </c>
      <c r="BO45" s="1229"/>
      <c r="BP45" s="1229"/>
      <c r="BQ45" s="1229"/>
      <c r="BR45" s="1229"/>
      <c r="BS45" s="1229"/>
      <c r="BT45" s="1229"/>
      <c r="BU45" s="1229"/>
      <c r="BV45" s="1229"/>
      <c r="BW45" s="1229"/>
      <c r="BX45" s="1229"/>
      <c r="BY45" s="1229"/>
      <c r="BZ45" s="1229"/>
      <c r="CA45" s="1136">
        <f t="shared" si="25"/>
        <v>0</v>
      </c>
      <c r="CB45" s="1229"/>
      <c r="CC45" s="1229"/>
      <c r="CD45" s="1229"/>
      <c r="CE45" s="1229"/>
      <c r="CF45" s="1229"/>
      <c r="CG45" s="1229"/>
      <c r="CH45" s="1229"/>
      <c r="CI45" s="1229"/>
      <c r="CJ45" s="1229"/>
      <c r="CK45" s="1229"/>
      <c r="CL45" s="1229"/>
      <c r="CM45" s="1229"/>
      <c r="CN45" s="1136">
        <f t="shared" si="26"/>
        <v>0</v>
      </c>
      <c r="CO45" s="1229"/>
      <c r="CP45" s="1229"/>
      <c r="CQ45" s="1229"/>
      <c r="CR45" s="1229"/>
      <c r="CS45" s="1229"/>
      <c r="CT45" s="1229"/>
      <c r="CU45" s="1229"/>
      <c r="CV45" s="1229"/>
      <c r="CW45" s="1229"/>
      <c r="CX45" s="1229"/>
      <c r="CY45" s="1229"/>
      <c r="CZ45" s="1229"/>
      <c r="DA45" s="1136">
        <f t="shared" si="27"/>
        <v>0</v>
      </c>
      <c r="DB45" s="1229"/>
      <c r="DC45" s="1229"/>
      <c r="DD45" s="1229"/>
      <c r="DE45" s="1229"/>
      <c r="DF45" s="1229"/>
      <c r="DG45" s="1229"/>
      <c r="DH45" s="1229"/>
      <c r="DI45" s="1229"/>
      <c r="DJ45" s="1229"/>
      <c r="DK45" s="1229"/>
      <c r="DL45" s="1229"/>
      <c r="DM45" s="1229"/>
      <c r="DN45" s="1136">
        <f t="shared" si="28"/>
        <v>0</v>
      </c>
      <c r="DO45" s="1229"/>
      <c r="DP45" s="1229"/>
      <c r="DQ45" s="1229"/>
      <c r="DR45" s="1229"/>
      <c r="DS45" s="1229"/>
      <c r="DT45" s="1229"/>
      <c r="DU45" s="1229"/>
      <c r="DV45" s="1229"/>
      <c r="DW45" s="1229"/>
      <c r="DX45" s="1229"/>
      <c r="DY45" s="1229"/>
      <c r="DZ45" s="1229"/>
      <c r="EA45" s="1136">
        <f t="shared" si="29"/>
        <v>0</v>
      </c>
      <c r="EB45" s="1229"/>
      <c r="EC45" s="1229"/>
      <c r="ED45" s="1229"/>
      <c r="EE45" s="1229"/>
      <c r="EF45" s="1229"/>
      <c r="EG45" s="1229"/>
      <c r="EH45" s="1229"/>
      <c r="EI45" s="1229"/>
      <c r="EJ45" s="1229"/>
      <c r="EK45" s="1229"/>
      <c r="EL45" s="1229"/>
      <c r="EM45" s="1229"/>
      <c r="EN45" s="1136">
        <f t="shared" si="30"/>
        <v>0</v>
      </c>
      <c r="EO45" s="1229"/>
      <c r="EP45" s="1229"/>
      <c r="EQ45" s="1229"/>
      <c r="ER45" s="1229"/>
      <c r="ES45" s="1229"/>
      <c r="ET45" s="1229"/>
      <c r="EU45" s="1229"/>
      <c r="EV45" s="1229"/>
      <c r="EW45" s="1229"/>
      <c r="EX45" s="1229"/>
      <c r="EY45" s="1229"/>
      <c r="EZ45" s="1229"/>
      <c r="FA45" s="1136">
        <f t="shared" si="31"/>
        <v>0</v>
      </c>
      <c r="FB45" s="1229"/>
      <c r="FC45" s="1229"/>
      <c r="FD45" s="1229"/>
      <c r="FE45" s="1229"/>
      <c r="FF45" s="1229"/>
      <c r="FG45" s="1229"/>
      <c r="FH45" s="1229"/>
      <c r="FI45" s="1229"/>
      <c r="FJ45" s="1229"/>
      <c r="FK45" s="1229"/>
      <c r="FL45" s="1229"/>
      <c r="FM45" s="1229"/>
      <c r="FN45" s="1136">
        <f t="shared" si="32"/>
        <v>0</v>
      </c>
      <c r="FO45" s="1229"/>
      <c r="FP45" s="1229"/>
      <c r="FQ45" s="1229"/>
      <c r="FR45" s="1229"/>
      <c r="FS45" s="1229"/>
      <c r="FT45" s="1229"/>
      <c r="FU45" s="1229"/>
      <c r="FV45" s="1229"/>
      <c r="FW45" s="1229"/>
      <c r="FX45" s="1229"/>
      <c r="FY45" s="1229"/>
      <c r="FZ45" s="1229"/>
      <c r="GA45" s="1136">
        <f t="shared" si="33"/>
        <v>0</v>
      </c>
      <c r="GB45" s="1229"/>
      <c r="GC45" s="1229"/>
      <c r="GD45" s="1229"/>
      <c r="GE45" s="1229"/>
      <c r="GF45" s="1229"/>
      <c r="GG45" s="1229"/>
      <c r="GH45" s="1229"/>
      <c r="GI45" s="1229"/>
      <c r="GJ45" s="1229"/>
      <c r="GK45" s="1229"/>
      <c r="GL45" s="1229"/>
      <c r="GM45" s="1229"/>
      <c r="GN45" s="1136">
        <f t="shared" si="34"/>
        <v>0</v>
      </c>
      <c r="GO45" s="1229"/>
      <c r="GP45" s="1229"/>
      <c r="GQ45" s="1229"/>
      <c r="GR45" s="1229"/>
      <c r="GS45" s="1229"/>
      <c r="GT45" s="1229"/>
      <c r="GU45" s="1229"/>
      <c r="GV45" s="1229"/>
      <c r="GW45" s="1229"/>
      <c r="GX45" s="1229"/>
      <c r="GY45" s="1229"/>
      <c r="GZ45" s="1229"/>
      <c r="HA45" s="1136">
        <f t="shared" si="35"/>
        <v>0</v>
      </c>
      <c r="HB45" s="1229"/>
      <c r="HC45" s="1229"/>
      <c r="HD45" s="1229"/>
      <c r="HE45" s="1229"/>
      <c r="HF45" s="1229"/>
      <c r="HG45" s="1229"/>
      <c r="HH45" s="1229"/>
      <c r="HI45" s="1229"/>
      <c r="HJ45" s="1229"/>
      <c r="HK45" s="1229"/>
      <c r="HL45" s="1229"/>
      <c r="HM45" s="1229"/>
      <c r="HN45" s="1136">
        <f t="shared" si="36"/>
        <v>0</v>
      </c>
      <c r="HO45" s="1229"/>
      <c r="HP45" s="1229"/>
      <c r="HQ45" s="1229"/>
      <c r="HR45" s="1229"/>
      <c r="HS45" s="1229"/>
      <c r="HT45" s="1229"/>
      <c r="HU45" s="1229"/>
      <c r="HV45" s="1229"/>
      <c r="HW45" s="1229"/>
      <c r="HX45" s="1229"/>
      <c r="HY45" s="1229"/>
      <c r="HZ45" s="1229"/>
      <c r="IA45" s="1136">
        <f t="shared" si="37"/>
        <v>0</v>
      </c>
      <c r="IB45" s="1229"/>
      <c r="IC45" s="1229"/>
      <c r="ID45" s="1229"/>
      <c r="IE45" s="1229"/>
      <c r="IF45" s="1229"/>
      <c r="IG45" s="1229"/>
      <c r="IH45" s="1229"/>
      <c r="II45" s="1229"/>
      <c r="IJ45" s="1229"/>
      <c r="IK45" s="1229"/>
      <c r="IL45" s="1229"/>
      <c r="IM45" s="1229"/>
      <c r="IN45" s="1136">
        <f t="shared" si="38"/>
        <v>0</v>
      </c>
      <c r="IO45" s="1229"/>
      <c r="IP45" s="1229"/>
      <c r="IQ45" s="1229"/>
      <c r="IR45" s="1229"/>
      <c r="IS45" s="1229"/>
      <c r="IT45" s="1229"/>
      <c r="IU45" s="1229"/>
      <c r="IV45" s="1229"/>
      <c r="IW45" s="1229"/>
      <c r="IX45" s="1229"/>
      <c r="IY45" s="1229"/>
      <c r="IZ45" s="1229"/>
      <c r="JA45" s="1136">
        <f t="shared" si="39"/>
        <v>0</v>
      </c>
      <c r="JB45" s="1229"/>
      <c r="JC45" s="1229"/>
      <c r="JD45" s="1229"/>
      <c r="JE45" s="1229"/>
      <c r="JF45" s="1229"/>
      <c r="JG45" s="1229"/>
      <c r="JH45" s="1229"/>
      <c r="JI45" s="1229"/>
      <c r="JJ45" s="1229"/>
      <c r="JK45" s="1229"/>
      <c r="JL45" s="1229"/>
      <c r="JM45" s="1229"/>
      <c r="JN45" s="1136">
        <f t="shared" si="40"/>
        <v>0</v>
      </c>
      <c r="JO45" s="1229">
        <v>0</v>
      </c>
      <c r="JP45" s="1229"/>
      <c r="JQ45" s="1229"/>
      <c r="JR45" s="1229"/>
      <c r="JS45" s="1229"/>
      <c r="JT45" s="1229"/>
      <c r="JU45" s="1229"/>
      <c r="JV45" s="1229"/>
      <c r="JW45" s="1229"/>
      <c r="JX45" s="1229"/>
      <c r="JY45" s="1229"/>
      <c r="JZ45" s="1229"/>
      <c r="KA45" s="1136">
        <f t="shared" si="41"/>
        <v>0</v>
      </c>
      <c r="KB45"/>
      <c r="KC45" s="1178" t="str">
        <f t="shared" si="42"/>
        <v/>
      </c>
      <c r="KD45" s="1179" t="str">
        <f t="shared" si="43"/>
        <v/>
      </c>
      <c r="KE45" s="1188">
        <f t="shared" si="44"/>
        <v>0</v>
      </c>
      <c r="KF45" s="1189">
        <f t="shared" si="45"/>
        <v>0</v>
      </c>
      <c r="KH45" s="1139">
        <f t="shared" si="46"/>
        <v>0</v>
      </c>
      <c r="KI45" s="1146" t="s">
        <v>583</v>
      </c>
      <c r="KJ45" s="1147" t="str">
        <f t="shared" si="47"/>
        <v>OK</v>
      </c>
    </row>
    <row r="46" spans="1:296" ht="15" customHeight="1" x14ac:dyDescent="0.2">
      <c r="A46" s="1230"/>
      <c r="B46" s="1231"/>
      <c r="C46" s="1231"/>
      <c r="D46" s="1231"/>
      <c r="E46" s="1231"/>
      <c r="F46" s="1231"/>
      <c r="G46" s="1231"/>
      <c r="H46" s="1231"/>
      <c r="I46" s="1231"/>
      <c r="J46" s="1231"/>
      <c r="K46" s="1231"/>
      <c r="L46" s="1231"/>
      <c r="M46" s="1231"/>
      <c r="N46" s="1232"/>
      <c r="O46" s="1231"/>
      <c r="P46" s="1231"/>
      <c r="Q46" s="1231"/>
      <c r="R46" s="1231"/>
      <c r="S46" s="1231"/>
      <c r="T46" s="1231"/>
      <c r="U46" s="1231"/>
      <c r="V46" s="1231"/>
      <c r="W46" s="1231"/>
      <c r="X46" s="1231"/>
      <c r="Y46" s="1231"/>
      <c r="Z46" s="1231"/>
      <c r="AA46" s="1232"/>
      <c r="AB46" s="1231"/>
      <c r="AC46" s="1231"/>
      <c r="AD46" s="1231"/>
      <c r="AE46" s="1231"/>
      <c r="AF46" s="1231"/>
      <c r="AG46" s="1231"/>
      <c r="AH46" s="1231"/>
      <c r="AI46" s="1231"/>
      <c r="AJ46" s="1231"/>
      <c r="AK46" s="1231"/>
      <c r="AL46" s="1231"/>
      <c r="AM46" s="1231"/>
      <c r="AN46" s="1232"/>
      <c r="AO46" s="1231"/>
      <c r="AP46" s="1231"/>
      <c r="AQ46" s="1231"/>
      <c r="AR46" s="1231"/>
      <c r="AS46" s="1231"/>
      <c r="AT46" s="1231"/>
      <c r="AU46" s="1231"/>
      <c r="AV46" s="1231"/>
      <c r="AW46" s="1231"/>
      <c r="AX46" s="1231"/>
      <c r="AY46" s="1231"/>
      <c r="AZ46" s="1231"/>
      <c r="BA46" s="1232"/>
      <c r="BB46" s="1231"/>
      <c r="BC46" s="1231"/>
      <c r="BD46" s="1231"/>
      <c r="BE46" s="1231"/>
      <c r="BF46" s="1231"/>
      <c r="BG46" s="1231"/>
      <c r="BH46" s="1231"/>
      <c r="BI46" s="1231"/>
      <c r="BJ46" s="1231"/>
      <c r="BK46" s="1231"/>
      <c r="BL46" s="1231"/>
      <c r="BM46" s="1231"/>
      <c r="BN46" s="1232"/>
      <c r="BO46" s="1231"/>
      <c r="BP46" s="1231"/>
      <c r="BQ46" s="1231"/>
      <c r="BR46" s="1231"/>
      <c r="BS46" s="1231"/>
      <c r="BT46" s="1231"/>
      <c r="BU46" s="1231"/>
      <c r="BV46" s="1231"/>
      <c r="BW46" s="1231"/>
      <c r="BX46" s="1231"/>
      <c r="BY46" s="1231"/>
      <c r="BZ46" s="1231"/>
      <c r="CA46" s="1232"/>
      <c r="CB46" s="1231"/>
      <c r="CC46" s="1231"/>
      <c r="CD46" s="1231"/>
      <c r="CE46" s="1231"/>
      <c r="CF46" s="1231"/>
      <c r="CG46" s="1231"/>
      <c r="CH46" s="1231"/>
      <c r="CI46" s="1231"/>
      <c r="CJ46" s="1231"/>
      <c r="CK46" s="1231"/>
      <c r="CL46" s="1231"/>
      <c r="CM46" s="1231"/>
      <c r="CN46" s="1232"/>
      <c r="CO46" s="1231"/>
      <c r="CP46" s="1231"/>
      <c r="CQ46" s="1231"/>
      <c r="CR46" s="1231"/>
      <c r="CS46" s="1231"/>
      <c r="CT46" s="1231"/>
      <c r="CU46" s="1231"/>
      <c r="CV46" s="1231"/>
      <c r="CW46" s="1231"/>
      <c r="CX46" s="1231"/>
      <c r="CY46" s="1231"/>
      <c r="CZ46" s="1231"/>
      <c r="DA46" s="1232"/>
      <c r="DB46" s="1231"/>
      <c r="DC46" s="1231"/>
      <c r="DD46" s="1231"/>
      <c r="DE46" s="1231"/>
      <c r="DF46" s="1231"/>
      <c r="DG46" s="1231"/>
      <c r="DH46" s="1231"/>
      <c r="DI46" s="1231"/>
      <c r="DJ46" s="1231"/>
      <c r="DK46" s="1231"/>
      <c r="DL46" s="1231"/>
      <c r="DM46" s="1231"/>
      <c r="DN46" s="1232"/>
      <c r="DO46" s="1231"/>
      <c r="DP46" s="1231"/>
      <c r="DQ46" s="1231"/>
      <c r="DR46" s="1231"/>
      <c r="DS46" s="1231"/>
      <c r="DT46" s="1231"/>
      <c r="DU46" s="1231"/>
      <c r="DV46" s="1231"/>
      <c r="DW46" s="1231"/>
      <c r="DX46" s="1231"/>
      <c r="DY46" s="1231"/>
      <c r="DZ46" s="1231"/>
      <c r="EA46" s="1232"/>
      <c r="EB46" s="1231"/>
      <c r="EC46" s="1231"/>
      <c r="ED46" s="1231"/>
      <c r="EE46" s="1231"/>
      <c r="EF46" s="1231"/>
      <c r="EG46" s="1231"/>
      <c r="EH46" s="1231"/>
      <c r="EI46" s="1231"/>
      <c r="EJ46" s="1231"/>
      <c r="EK46" s="1231"/>
      <c r="EL46" s="1231"/>
      <c r="EM46" s="1231"/>
      <c r="EN46" s="1232"/>
      <c r="EO46" s="1231"/>
      <c r="EP46" s="1231"/>
      <c r="EQ46" s="1231"/>
      <c r="ER46" s="1231"/>
      <c r="ES46" s="1231"/>
      <c r="ET46" s="1231"/>
      <c r="EU46" s="1231"/>
      <c r="EV46" s="1231"/>
      <c r="EW46" s="1231"/>
      <c r="EX46" s="1231"/>
      <c r="EY46" s="1231"/>
      <c r="EZ46" s="1231"/>
      <c r="FA46" s="1232"/>
      <c r="FB46" s="1231"/>
      <c r="FC46" s="1231"/>
      <c r="FD46" s="1231"/>
      <c r="FE46" s="1231"/>
      <c r="FF46" s="1231"/>
      <c r="FG46" s="1231"/>
      <c r="FH46" s="1231"/>
      <c r="FI46" s="1231"/>
      <c r="FJ46" s="1231"/>
      <c r="FK46" s="1231"/>
      <c r="FL46" s="1231"/>
      <c r="FM46" s="1231"/>
      <c r="FN46" s="1232"/>
      <c r="FO46" s="1231"/>
      <c r="FP46" s="1231"/>
      <c r="FQ46" s="1231"/>
      <c r="FR46" s="1231"/>
      <c r="FS46" s="1231"/>
      <c r="FT46" s="1231"/>
      <c r="FU46" s="1231"/>
      <c r="FV46" s="1231"/>
      <c r="FW46" s="1231"/>
      <c r="FX46" s="1231"/>
      <c r="FY46" s="1231"/>
      <c r="FZ46" s="1231"/>
      <c r="GA46" s="1232"/>
      <c r="GB46" s="1231"/>
      <c r="GC46" s="1231"/>
      <c r="GD46" s="1231"/>
      <c r="GE46" s="1231"/>
      <c r="GF46" s="1231"/>
      <c r="GG46" s="1231"/>
      <c r="GH46" s="1231"/>
      <c r="GI46" s="1231"/>
      <c r="GJ46" s="1231"/>
      <c r="GK46" s="1231"/>
      <c r="GL46" s="1231"/>
      <c r="GM46" s="1231"/>
      <c r="GN46" s="1232"/>
      <c r="GO46" s="1231"/>
      <c r="GP46" s="1231"/>
      <c r="GQ46" s="1231"/>
      <c r="GR46" s="1231"/>
      <c r="GS46" s="1231"/>
      <c r="GT46" s="1231"/>
      <c r="GU46" s="1231"/>
      <c r="GV46" s="1231"/>
      <c r="GW46" s="1231"/>
      <c r="GX46" s="1231"/>
      <c r="GY46" s="1231"/>
      <c r="GZ46" s="1231"/>
      <c r="HA46" s="1232"/>
      <c r="HB46" s="1231"/>
      <c r="HC46" s="1231"/>
      <c r="HD46" s="1231"/>
      <c r="HE46" s="1231"/>
      <c r="HF46" s="1231"/>
      <c r="HG46" s="1231"/>
      <c r="HH46" s="1231"/>
      <c r="HI46" s="1231"/>
      <c r="HJ46" s="1231"/>
      <c r="HK46" s="1231"/>
      <c r="HL46" s="1231"/>
      <c r="HM46" s="1231"/>
      <c r="HN46" s="1232"/>
      <c r="HO46" s="1231"/>
      <c r="HP46" s="1231"/>
      <c r="HQ46" s="1231"/>
      <c r="HR46" s="1231"/>
      <c r="HS46" s="1231"/>
      <c r="HT46" s="1231"/>
      <c r="HU46" s="1231"/>
      <c r="HV46" s="1231"/>
      <c r="HW46" s="1231"/>
      <c r="HX46" s="1231"/>
      <c r="HY46" s="1231"/>
      <c r="HZ46" s="1231"/>
      <c r="IA46" s="1232"/>
      <c r="IB46" s="1231"/>
      <c r="IC46" s="1231"/>
      <c r="ID46" s="1231"/>
      <c r="IE46" s="1231"/>
      <c r="IF46" s="1231"/>
      <c r="IG46" s="1231"/>
      <c r="IH46" s="1231"/>
      <c r="II46" s="1231"/>
      <c r="IJ46" s="1231"/>
      <c r="IK46" s="1231"/>
      <c r="IL46" s="1231"/>
      <c r="IM46" s="1231"/>
      <c r="IN46" s="1232"/>
      <c r="IO46" s="1231"/>
      <c r="IP46" s="1231"/>
      <c r="IQ46" s="1231"/>
      <c r="IR46" s="1231"/>
      <c r="IS46" s="1231"/>
      <c r="IT46" s="1231"/>
      <c r="IU46" s="1231"/>
      <c r="IV46" s="1231"/>
      <c r="IW46" s="1231"/>
      <c r="IX46" s="1231"/>
      <c r="IY46" s="1231"/>
      <c r="IZ46" s="1231"/>
      <c r="JA46" s="1232"/>
      <c r="JB46" s="1231"/>
      <c r="JC46" s="1231"/>
      <c r="JD46" s="1231"/>
      <c r="JE46" s="1231"/>
      <c r="JF46" s="1231"/>
      <c r="JG46" s="1231"/>
      <c r="JH46" s="1231"/>
      <c r="JI46" s="1231"/>
      <c r="JJ46" s="1231"/>
      <c r="JK46" s="1231"/>
      <c r="JL46" s="1231"/>
      <c r="JM46" s="1231"/>
      <c r="JN46" s="1232"/>
      <c r="JO46" s="1231"/>
      <c r="JP46" s="1231"/>
      <c r="JQ46" s="1231"/>
      <c r="JR46" s="1231"/>
      <c r="JS46" s="1231"/>
      <c r="JT46" s="1231"/>
      <c r="JU46" s="1231"/>
      <c r="JV46" s="1231"/>
      <c r="JW46" s="1231"/>
      <c r="JX46" s="1231"/>
      <c r="JY46" s="1231"/>
      <c r="JZ46" s="1231"/>
      <c r="KA46" s="1232"/>
      <c r="KC46" s="1233"/>
      <c r="KD46" s="1234"/>
      <c r="KE46" s="1235"/>
      <c r="KF46" s="1236"/>
      <c r="KG46" s="1041"/>
      <c r="KH46" s="1235"/>
      <c r="KI46" s="1237"/>
      <c r="KJ46" s="1238"/>
    </row>
    <row r="47" spans="1:296" ht="15" customHeight="1" x14ac:dyDescent="0.2">
      <c r="A47" s="1239" t="s">
        <v>121</v>
      </c>
      <c r="B47" s="1041"/>
      <c r="C47" s="1041"/>
      <c r="D47" s="1041"/>
      <c r="E47" s="1041"/>
      <c r="F47" s="1041"/>
      <c r="G47" s="1041"/>
      <c r="H47" s="1041"/>
      <c r="I47" s="1041"/>
      <c r="J47" s="1041"/>
      <c r="K47" s="1041"/>
      <c r="L47" s="1041"/>
      <c r="M47" s="1041"/>
      <c r="N47" s="1041"/>
      <c r="O47" s="1041"/>
      <c r="P47" s="1041"/>
      <c r="Q47" s="1041"/>
      <c r="R47" s="1041"/>
      <c r="S47" s="1041"/>
      <c r="T47" s="1041"/>
      <c r="U47" s="1041"/>
      <c r="V47" s="1041"/>
      <c r="W47" s="1041"/>
      <c r="X47" s="1041"/>
      <c r="Y47" s="1041"/>
      <c r="Z47" s="1041"/>
      <c r="AA47" s="1041"/>
      <c r="AB47" s="1041"/>
      <c r="AC47" s="1041"/>
      <c r="AD47" s="1041"/>
      <c r="AE47" s="1041"/>
      <c r="AF47" s="1041"/>
      <c r="AG47" s="1041"/>
      <c r="AH47" s="1041"/>
      <c r="AI47" s="1041"/>
      <c r="AJ47" s="1041"/>
      <c r="AK47" s="1041"/>
      <c r="AL47" s="1041"/>
      <c r="AM47" s="1041"/>
      <c r="AN47" s="1041"/>
      <c r="AO47" s="1041"/>
      <c r="AP47" s="1041"/>
      <c r="AQ47" s="1041"/>
      <c r="AR47" s="1041"/>
      <c r="AS47" s="1041"/>
      <c r="AT47" s="1041"/>
      <c r="AU47" s="1041"/>
      <c r="AV47" s="1041"/>
      <c r="AW47" s="1041"/>
      <c r="AX47" s="1041"/>
      <c r="AY47" s="1041"/>
      <c r="AZ47" s="1041"/>
      <c r="BA47" s="1041"/>
      <c r="BB47" s="1041"/>
      <c r="BC47" s="1041"/>
      <c r="BD47" s="1041"/>
      <c r="BE47" s="1041"/>
      <c r="BF47" s="1041"/>
      <c r="BG47" s="1041"/>
      <c r="BH47" s="1041"/>
      <c r="BI47" s="1041"/>
      <c r="BJ47" s="1041"/>
      <c r="BK47" s="1041"/>
      <c r="BL47" s="1041"/>
      <c r="BM47" s="1041"/>
      <c r="BN47" s="1041"/>
      <c r="BO47" s="1041"/>
      <c r="BP47" s="1041"/>
      <c r="BQ47" s="1041"/>
      <c r="BR47" s="1041"/>
      <c r="BS47" s="1041"/>
      <c r="BT47" s="1041"/>
      <c r="BU47" s="1041"/>
      <c r="BV47" s="1041"/>
      <c r="BW47" s="1041"/>
      <c r="BX47" s="1041"/>
      <c r="BY47" s="1041"/>
      <c r="BZ47" s="1041"/>
      <c r="CA47" s="1041"/>
      <c r="CB47" s="1041"/>
      <c r="CC47" s="1041"/>
      <c r="CD47" s="1041"/>
      <c r="CE47" s="1041"/>
      <c r="CF47" s="1041"/>
      <c r="CG47" s="1041"/>
      <c r="CH47" s="1041"/>
      <c r="CI47" s="1041"/>
      <c r="CJ47" s="1041"/>
      <c r="CK47" s="1041"/>
      <c r="CL47" s="1041"/>
      <c r="CM47" s="1041"/>
      <c r="CN47" s="1041"/>
      <c r="CO47" s="1041"/>
      <c r="CP47" s="1041"/>
      <c r="CQ47" s="1041"/>
      <c r="CR47" s="1041"/>
      <c r="CS47" s="1041"/>
      <c r="CT47" s="1041"/>
      <c r="CU47" s="1041"/>
      <c r="CV47" s="1041"/>
      <c r="CW47" s="1041"/>
      <c r="CX47" s="1041"/>
      <c r="CY47" s="1041"/>
      <c r="CZ47" s="1041"/>
      <c r="DA47" s="1041"/>
      <c r="DB47" s="1041"/>
      <c r="DC47" s="1041"/>
      <c r="DD47" s="1041"/>
      <c r="DE47" s="1041"/>
      <c r="DF47" s="1041"/>
      <c r="DG47" s="1041"/>
      <c r="DH47" s="1041"/>
      <c r="DI47" s="1041"/>
      <c r="DJ47" s="1041"/>
      <c r="DK47" s="1041"/>
      <c r="DL47" s="1041"/>
      <c r="DM47" s="1041"/>
      <c r="DN47" s="1041"/>
      <c r="DO47" s="1041"/>
      <c r="DP47" s="1041"/>
      <c r="DQ47" s="1041"/>
      <c r="DR47" s="1041"/>
      <c r="DS47" s="1041"/>
      <c r="DT47" s="1041"/>
      <c r="DU47" s="1041"/>
      <c r="DV47" s="1041"/>
      <c r="DW47" s="1041"/>
      <c r="DX47" s="1041"/>
      <c r="DY47" s="1041"/>
      <c r="DZ47" s="1041"/>
      <c r="EA47" s="1041"/>
      <c r="EB47" s="1041"/>
      <c r="EC47" s="1041"/>
      <c r="ED47" s="1041"/>
      <c r="EE47" s="1041"/>
      <c r="EF47" s="1041"/>
      <c r="EG47" s="1041"/>
      <c r="EH47" s="1041"/>
      <c r="EI47" s="1041"/>
      <c r="EJ47" s="1041"/>
      <c r="EK47" s="1041"/>
      <c r="EL47" s="1041"/>
      <c r="EM47" s="1041"/>
      <c r="EN47" s="1041"/>
      <c r="EO47" s="1041"/>
      <c r="EP47" s="1041"/>
      <c r="EQ47" s="1041"/>
      <c r="ER47" s="1041"/>
      <c r="ES47" s="1041"/>
      <c r="ET47" s="1041"/>
      <c r="EU47" s="1041"/>
      <c r="EV47" s="1041"/>
      <c r="EW47" s="1041"/>
      <c r="EX47" s="1041"/>
      <c r="EY47" s="1041"/>
      <c r="EZ47" s="1041"/>
      <c r="FA47" s="1041"/>
      <c r="FB47" s="1041"/>
      <c r="FC47" s="1041"/>
      <c r="FD47" s="1041"/>
      <c r="FE47" s="1041"/>
      <c r="FF47" s="1041"/>
      <c r="FG47" s="1041"/>
      <c r="FH47" s="1041"/>
      <c r="FI47" s="1041"/>
      <c r="FJ47" s="1041"/>
      <c r="FK47" s="1041"/>
      <c r="FL47" s="1041"/>
      <c r="FM47" s="1041"/>
      <c r="FN47" s="1041"/>
      <c r="FO47" s="1041"/>
      <c r="FP47" s="1041"/>
      <c r="FQ47" s="1041"/>
      <c r="FR47" s="1041"/>
      <c r="FS47" s="1041"/>
      <c r="FT47" s="1041"/>
      <c r="FU47" s="1041"/>
      <c r="FV47" s="1041"/>
      <c r="FW47" s="1041"/>
      <c r="FX47" s="1041"/>
      <c r="FY47" s="1041"/>
      <c r="FZ47" s="1041"/>
      <c r="GA47" s="1041"/>
      <c r="GB47" s="1041"/>
      <c r="GC47" s="1041"/>
      <c r="GD47" s="1041"/>
      <c r="GE47" s="1041"/>
      <c r="GF47" s="1041"/>
      <c r="GG47" s="1041"/>
      <c r="GH47" s="1041"/>
      <c r="GI47" s="1041"/>
      <c r="GJ47" s="1041"/>
      <c r="GK47" s="1041"/>
      <c r="GL47" s="1041"/>
      <c r="GM47" s="1041"/>
      <c r="GN47" s="1041"/>
      <c r="GO47" s="1041"/>
      <c r="GP47" s="1041"/>
      <c r="GQ47" s="1041"/>
      <c r="GR47" s="1041"/>
      <c r="GS47" s="1041"/>
      <c r="GT47" s="1041"/>
      <c r="GU47" s="1041"/>
      <c r="GV47" s="1041"/>
      <c r="GW47" s="1041"/>
      <c r="GX47" s="1041"/>
      <c r="GY47" s="1041"/>
      <c r="GZ47" s="1041"/>
      <c r="HA47" s="1041"/>
      <c r="HB47" s="1041"/>
      <c r="HC47" s="1041"/>
      <c r="HD47" s="1041"/>
      <c r="HE47" s="1041"/>
      <c r="HF47" s="1041"/>
      <c r="HG47" s="1041"/>
      <c r="HH47" s="1041"/>
      <c r="HI47" s="1041"/>
      <c r="HJ47" s="1041"/>
      <c r="HK47" s="1041"/>
      <c r="HL47" s="1041"/>
      <c r="HM47" s="1041"/>
      <c r="HN47" s="1041"/>
      <c r="HO47" s="1041"/>
      <c r="HP47" s="1041"/>
      <c r="HQ47" s="1041"/>
      <c r="HR47" s="1041"/>
      <c r="HS47" s="1041"/>
      <c r="HT47" s="1041"/>
      <c r="HU47" s="1041"/>
      <c r="HV47" s="1041"/>
      <c r="HW47" s="1041"/>
      <c r="HX47" s="1041"/>
      <c r="HY47" s="1041"/>
      <c r="HZ47" s="1041"/>
      <c r="IA47" s="1041"/>
      <c r="IB47" s="1041"/>
      <c r="IC47" s="1041"/>
      <c r="ID47" s="1041"/>
      <c r="IE47" s="1041"/>
      <c r="IF47" s="1041"/>
      <c r="IG47" s="1041"/>
      <c r="IH47" s="1041"/>
      <c r="II47" s="1041"/>
      <c r="IJ47" s="1041"/>
      <c r="IK47" s="1041"/>
      <c r="IL47" s="1041"/>
      <c r="IM47" s="1041"/>
      <c r="IN47" s="1041"/>
      <c r="IO47" s="1041"/>
      <c r="IP47" s="1041"/>
      <c r="IQ47" s="1041"/>
      <c r="IR47" s="1041"/>
      <c r="IS47" s="1041"/>
      <c r="IT47" s="1041"/>
      <c r="IU47" s="1041"/>
      <c r="IV47" s="1041"/>
      <c r="IW47" s="1041"/>
      <c r="IX47" s="1041"/>
      <c r="IY47" s="1041"/>
      <c r="IZ47" s="1041"/>
      <c r="JA47" s="1041"/>
      <c r="JB47" s="1041"/>
      <c r="JC47" s="1041"/>
      <c r="JD47" s="1041"/>
      <c r="JE47" s="1041"/>
      <c r="JF47" s="1041"/>
      <c r="JG47" s="1041"/>
      <c r="JH47" s="1041"/>
      <c r="JI47" s="1041"/>
      <c r="JJ47" s="1041"/>
      <c r="JK47" s="1041"/>
      <c r="JL47" s="1041"/>
      <c r="JM47" s="1041"/>
      <c r="JN47" s="1041"/>
      <c r="JO47" s="1041"/>
      <c r="JP47" s="1041"/>
      <c r="JQ47" s="1041"/>
      <c r="JR47" s="1041"/>
      <c r="JS47" s="1041"/>
      <c r="JT47" s="1041"/>
      <c r="JU47" s="1041"/>
      <c r="JV47" s="1041"/>
      <c r="JW47" s="1041"/>
      <c r="JX47" s="1041"/>
      <c r="JY47" s="1041"/>
      <c r="JZ47" s="1041"/>
      <c r="KA47" s="1041"/>
      <c r="KC47" s="1041"/>
      <c r="KD47" s="1041"/>
      <c r="KE47" s="1041"/>
      <c r="KF47" s="1041"/>
      <c r="KG47" s="1041"/>
      <c r="KH47"/>
      <c r="KI47"/>
      <c r="KJ47"/>
    </row>
    <row r="48" spans="1:296" ht="15" customHeight="1" x14ac:dyDescent="0.2">
      <c r="A48" s="1239" t="s">
        <v>127</v>
      </c>
      <c r="B48" s="1041"/>
      <c r="C48" s="1041"/>
      <c r="D48" s="1041"/>
      <c r="E48" s="1041"/>
      <c r="F48" s="1041"/>
      <c r="G48" s="1041"/>
      <c r="H48" s="1041"/>
      <c r="I48" s="1041"/>
      <c r="J48" s="1041"/>
      <c r="K48" s="1041"/>
      <c r="L48" s="1041"/>
      <c r="M48" s="1041"/>
      <c r="N48" s="1041"/>
      <c r="O48" s="1041"/>
      <c r="P48" s="1041"/>
      <c r="Q48" s="1041"/>
      <c r="R48" s="1041"/>
      <c r="S48" s="1041"/>
      <c r="T48" s="1041"/>
      <c r="U48" s="1041"/>
      <c r="V48" s="1041"/>
      <c r="W48" s="1041"/>
      <c r="X48" s="1041"/>
      <c r="Y48" s="1041"/>
      <c r="Z48" s="1041"/>
      <c r="AA48" s="1041"/>
      <c r="AB48" s="1041"/>
      <c r="AC48" s="1041"/>
      <c r="AD48" s="1041"/>
      <c r="AE48" s="1041"/>
      <c r="AF48" s="1041"/>
      <c r="AG48" s="1041"/>
      <c r="AH48" s="1041"/>
      <c r="AI48" s="1041"/>
      <c r="AJ48" s="1041"/>
      <c r="AK48" s="1041"/>
      <c r="AL48" s="1041"/>
      <c r="AM48" s="1041"/>
      <c r="AN48" s="1041"/>
      <c r="AO48" s="1041"/>
      <c r="AP48" s="1041"/>
      <c r="AQ48" s="1041"/>
      <c r="AR48" s="1041"/>
      <c r="AS48" s="1041"/>
      <c r="AT48" s="1041"/>
      <c r="AU48" s="1041"/>
      <c r="AV48" s="1041"/>
      <c r="AW48" s="1041"/>
      <c r="AX48" s="1041"/>
      <c r="AY48" s="1041"/>
      <c r="AZ48" s="1041"/>
      <c r="BA48" s="1041"/>
      <c r="BB48" s="1041"/>
      <c r="BC48" s="1041"/>
      <c r="BD48" s="1041"/>
      <c r="BE48" s="1041"/>
      <c r="BF48" s="1041"/>
      <c r="BG48" s="1041"/>
      <c r="BH48" s="1041"/>
      <c r="BI48" s="1041"/>
      <c r="BJ48" s="1041"/>
      <c r="BK48" s="1041"/>
      <c r="BL48" s="1041"/>
      <c r="BM48" s="1041"/>
      <c r="BN48" s="1041"/>
      <c r="BO48" s="1041"/>
      <c r="BP48" s="1041"/>
      <c r="BQ48" s="1041"/>
      <c r="BR48" s="1041"/>
      <c r="BS48" s="1041"/>
      <c r="BT48" s="1041"/>
      <c r="BU48" s="1041"/>
      <c r="BV48" s="1041"/>
      <c r="BW48" s="1041"/>
      <c r="BX48" s="1041"/>
      <c r="BY48" s="1041"/>
      <c r="BZ48" s="1041"/>
      <c r="CA48" s="1041"/>
      <c r="CB48" s="1041"/>
      <c r="CC48" s="1041"/>
      <c r="CD48" s="1041"/>
      <c r="CE48" s="1041"/>
      <c r="CF48" s="1041"/>
      <c r="CG48" s="1041"/>
      <c r="CH48" s="1041"/>
      <c r="CI48" s="1041"/>
      <c r="CJ48" s="1041"/>
      <c r="CK48" s="1041"/>
      <c r="CL48" s="1041"/>
      <c r="CM48" s="1041"/>
      <c r="CN48" s="1041"/>
      <c r="CO48" s="1041"/>
      <c r="CP48" s="1041"/>
      <c r="CQ48" s="1041"/>
      <c r="CR48" s="1041"/>
      <c r="CS48" s="1041"/>
      <c r="CT48" s="1041"/>
      <c r="CU48" s="1041"/>
      <c r="CV48" s="1041"/>
      <c r="CW48" s="1041"/>
      <c r="CX48" s="1041"/>
      <c r="CY48" s="1041"/>
      <c r="CZ48" s="1041"/>
      <c r="DA48" s="1041"/>
      <c r="DB48" s="1041"/>
      <c r="DC48" s="1041"/>
      <c r="DD48" s="1041"/>
      <c r="DE48" s="1041"/>
      <c r="DF48" s="1041"/>
      <c r="DG48" s="1041"/>
      <c r="DH48" s="1041"/>
      <c r="DI48" s="1041"/>
      <c r="DJ48" s="1041"/>
      <c r="DK48" s="1041"/>
      <c r="DL48" s="1041"/>
      <c r="DM48" s="1041"/>
      <c r="DN48" s="1041"/>
      <c r="DO48" s="1041"/>
      <c r="DP48" s="1041"/>
      <c r="DQ48" s="1041"/>
      <c r="DR48" s="1041"/>
      <c r="DS48" s="1041"/>
      <c r="DT48" s="1041"/>
      <c r="DU48" s="1041"/>
      <c r="DV48" s="1041"/>
      <c r="DW48" s="1041"/>
      <c r="DX48" s="1041"/>
      <c r="DY48" s="1041"/>
      <c r="DZ48" s="1041"/>
      <c r="EA48" s="1041"/>
      <c r="EB48" s="1041"/>
      <c r="EC48" s="1041"/>
      <c r="ED48" s="1041"/>
      <c r="EE48" s="1041"/>
      <c r="EF48" s="1041"/>
      <c r="EG48" s="1041"/>
      <c r="EH48" s="1041"/>
      <c r="EI48" s="1041"/>
      <c r="EJ48" s="1041"/>
      <c r="EK48" s="1041"/>
      <c r="EL48" s="1041"/>
      <c r="EM48" s="1041"/>
      <c r="EN48" s="1041"/>
      <c r="EO48" s="1041"/>
      <c r="EP48" s="1041"/>
      <c r="EQ48" s="1041"/>
      <c r="ER48" s="1041"/>
      <c r="ES48" s="1041"/>
      <c r="ET48" s="1041"/>
      <c r="EU48" s="1041"/>
      <c r="EV48" s="1041"/>
      <c r="EW48" s="1041"/>
      <c r="EX48" s="1041"/>
      <c r="EY48" s="1041"/>
      <c r="EZ48" s="1041"/>
      <c r="FA48" s="1041"/>
      <c r="FB48" s="1041"/>
      <c r="FC48" s="1041"/>
      <c r="FD48" s="1041"/>
      <c r="FE48" s="1041"/>
      <c r="FF48" s="1041"/>
      <c r="FG48" s="1041"/>
      <c r="FH48" s="1041"/>
      <c r="FI48" s="1041"/>
      <c r="FJ48" s="1041"/>
      <c r="FK48" s="1041"/>
      <c r="FL48" s="1041"/>
      <c r="FM48" s="1041"/>
      <c r="FN48" s="1041"/>
      <c r="FO48" s="1041"/>
      <c r="FP48" s="1041"/>
      <c r="FQ48" s="1041"/>
      <c r="FR48" s="1041"/>
      <c r="FS48" s="1041"/>
      <c r="FT48" s="1041"/>
      <c r="FU48" s="1041"/>
      <c r="FV48" s="1041"/>
      <c r="FW48" s="1041"/>
      <c r="FX48" s="1041"/>
      <c r="FY48" s="1041"/>
      <c r="FZ48" s="1041"/>
      <c r="GA48" s="1041"/>
      <c r="GB48" s="1041"/>
      <c r="GC48" s="1041"/>
      <c r="GD48" s="1041"/>
      <c r="GE48" s="1041"/>
      <c r="GF48" s="1041"/>
      <c r="GG48" s="1041"/>
      <c r="GH48" s="1041"/>
      <c r="GI48" s="1041"/>
      <c r="GJ48" s="1041"/>
      <c r="GK48" s="1041"/>
      <c r="GL48" s="1041"/>
      <c r="GM48" s="1041"/>
      <c r="GN48" s="1041"/>
      <c r="GO48" s="1041"/>
      <c r="GP48" s="1041"/>
      <c r="GQ48" s="1041"/>
      <c r="GR48" s="1041"/>
      <c r="GS48" s="1041"/>
      <c r="GT48" s="1041"/>
      <c r="GU48" s="1041"/>
      <c r="GV48" s="1041"/>
      <c r="GW48" s="1041"/>
      <c r="GX48" s="1041"/>
      <c r="GY48" s="1041"/>
      <c r="GZ48" s="1041"/>
      <c r="HA48" s="1041"/>
      <c r="HB48" s="1041"/>
      <c r="HC48" s="1041"/>
      <c r="HD48" s="1041"/>
      <c r="HE48" s="1041"/>
      <c r="HF48" s="1041"/>
      <c r="HG48" s="1041"/>
      <c r="HH48" s="1041"/>
      <c r="HI48" s="1041"/>
      <c r="HJ48" s="1041"/>
      <c r="HK48" s="1041"/>
      <c r="HL48" s="1041"/>
      <c r="HM48" s="1041"/>
      <c r="HN48" s="1041"/>
      <c r="HO48" s="1041"/>
      <c r="HP48" s="1041"/>
      <c r="HQ48" s="1041"/>
      <c r="HR48" s="1041"/>
      <c r="HS48" s="1041"/>
      <c r="HT48" s="1041"/>
      <c r="HU48" s="1041"/>
      <c r="HV48" s="1041"/>
      <c r="HW48" s="1041"/>
      <c r="HX48" s="1041"/>
      <c r="HY48" s="1041"/>
      <c r="HZ48" s="1041"/>
      <c r="IA48" s="1041"/>
      <c r="IB48" s="1041"/>
      <c r="IC48" s="1041"/>
      <c r="ID48" s="1041"/>
      <c r="IE48" s="1041"/>
      <c r="IF48" s="1041"/>
      <c r="IG48" s="1041"/>
      <c r="IH48" s="1041"/>
      <c r="II48" s="1041"/>
      <c r="IJ48" s="1041"/>
      <c r="IK48" s="1041"/>
      <c r="IL48" s="1041"/>
      <c r="IM48" s="1041"/>
      <c r="IN48" s="1041"/>
      <c r="IO48" s="1041"/>
      <c r="IP48" s="1041"/>
      <c r="IQ48" s="1041"/>
      <c r="IR48" s="1041"/>
      <c r="IS48" s="1041"/>
      <c r="IT48" s="1041"/>
      <c r="IU48" s="1041"/>
      <c r="IV48" s="1041"/>
      <c r="IW48" s="1041"/>
      <c r="IX48" s="1041"/>
      <c r="IY48" s="1041"/>
      <c r="IZ48" s="1041"/>
      <c r="JA48" s="1041"/>
      <c r="JB48" s="1041"/>
      <c r="JC48" s="1041"/>
      <c r="JD48" s="1041"/>
      <c r="JE48" s="1041"/>
      <c r="JF48" s="1041"/>
      <c r="JG48" s="1041"/>
      <c r="JH48" s="1041"/>
      <c r="JI48" s="1041"/>
      <c r="JJ48" s="1041"/>
      <c r="JK48" s="1041"/>
      <c r="JL48" s="1041"/>
      <c r="JM48" s="1041"/>
      <c r="JN48" s="1041"/>
      <c r="JO48" s="1041"/>
      <c r="JP48" s="1041"/>
      <c r="JQ48" s="1041"/>
      <c r="JR48" s="1041"/>
      <c r="JS48" s="1041"/>
      <c r="JT48" s="1041"/>
      <c r="JU48" s="1041"/>
      <c r="JV48" s="1041"/>
      <c r="JW48" s="1041"/>
      <c r="JX48" s="1041"/>
      <c r="JY48" s="1041"/>
      <c r="JZ48" s="1041"/>
      <c r="KA48" s="1041"/>
      <c r="KC48" s="1041"/>
      <c r="KD48" s="1041"/>
      <c r="KE48" s="1041"/>
      <c r="KF48" s="1041"/>
      <c r="KG48" s="1041"/>
      <c r="KH48"/>
      <c r="KI48"/>
      <c r="KJ48"/>
    </row>
    <row r="49" spans="1:296" ht="15" customHeight="1" x14ac:dyDescent="0.2">
      <c r="A49" s="93"/>
      <c r="KH49"/>
      <c r="KI49"/>
      <c r="KJ49"/>
    </row>
    <row r="50" spans="1:296" ht="15" customHeigh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C50"/>
      <c r="KD50"/>
      <c r="KE50"/>
      <c r="KF50"/>
      <c r="KG50"/>
      <c r="KH50"/>
      <c r="KI50"/>
      <c r="KJ50"/>
    </row>
    <row r="51" spans="1:296" ht="15" customHeigh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C51"/>
      <c r="KD51"/>
      <c r="KE51"/>
      <c r="KF51"/>
      <c r="KG51"/>
      <c r="KH51"/>
      <c r="KI51"/>
      <c r="KJ51"/>
    </row>
    <row r="52" spans="1:296" ht="15" customHeigh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C52"/>
      <c r="KD52"/>
      <c r="KE52"/>
      <c r="KF52"/>
      <c r="KG52"/>
      <c r="KH52"/>
      <c r="KI52"/>
      <c r="KJ52"/>
    </row>
    <row r="53" spans="1:296" ht="15" customHeigh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C53"/>
      <c r="KD53"/>
      <c r="KE53"/>
      <c r="KF53"/>
      <c r="KG53"/>
      <c r="KH53"/>
      <c r="KI53"/>
      <c r="KJ53"/>
    </row>
    <row r="54" spans="1:296" ht="15" customHeigh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C54"/>
      <c r="KD54"/>
      <c r="KE54"/>
      <c r="KF54"/>
      <c r="KG54"/>
      <c r="KH54"/>
      <c r="KI54"/>
      <c r="KJ54"/>
    </row>
    <row r="55" spans="1:296" ht="15" customHeigh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C55"/>
      <c r="KD55"/>
      <c r="KE55"/>
      <c r="KF55"/>
      <c r="KG55"/>
      <c r="KH55"/>
      <c r="KI55"/>
      <c r="KJ55"/>
    </row>
    <row r="56" spans="1:296" ht="15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C56"/>
      <c r="KD56"/>
      <c r="KE56"/>
      <c r="KF56"/>
      <c r="KG56"/>
      <c r="KH56"/>
      <c r="KI56"/>
      <c r="KJ56"/>
    </row>
    <row r="57" spans="1:296" ht="15" customHeigh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C57"/>
      <c r="KD57"/>
      <c r="KE57"/>
      <c r="KF57"/>
      <c r="KG57"/>
      <c r="KH57"/>
      <c r="KI57"/>
      <c r="KJ57"/>
    </row>
    <row r="58" spans="1:296" ht="15" customHeigh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C58"/>
      <c r="KD58"/>
      <c r="KE58"/>
      <c r="KF58"/>
      <c r="KG58"/>
      <c r="KH58"/>
      <c r="KI58"/>
      <c r="KJ58"/>
    </row>
    <row r="59" spans="1:296" ht="15" customHeigh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C59"/>
      <c r="KD59"/>
      <c r="KE59"/>
      <c r="KF59"/>
      <c r="KG59"/>
      <c r="KH59"/>
      <c r="KI59"/>
      <c r="KJ59"/>
    </row>
    <row r="60" spans="1:296" ht="15" customHeigh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C60"/>
      <c r="KD60"/>
      <c r="KE60"/>
      <c r="KF60"/>
      <c r="KG60"/>
      <c r="KH60"/>
      <c r="KI60"/>
      <c r="KJ60"/>
    </row>
    <row r="61" spans="1:296" ht="15" customHeigh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C61"/>
      <c r="KD61"/>
      <c r="KE61"/>
      <c r="KF61"/>
      <c r="KG61"/>
      <c r="KH61"/>
      <c r="KI61"/>
      <c r="KJ61"/>
    </row>
    <row r="62" spans="1:296" ht="15" customHeigh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C62"/>
      <c r="KD62"/>
      <c r="KE62"/>
      <c r="KF62"/>
      <c r="KG62"/>
      <c r="KH62"/>
      <c r="KI62"/>
      <c r="KJ62"/>
    </row>
    <row r="63" spans="1:296" ht="15" customHeigh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C63"/>
      <c r="KD63"/>
      <c r="KE63"/>
      <c r="KF63"/>
      <c r="KG63"/>
      <c r="KH63"/>
      <c r="KI63"/>
      <c r="KJ63"/>
    </row>
    <row r="64" spans="1:296" ht="15" customHeigh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C64"/>
      <c r="KD64"/>
      <c r="KE64"/>
      <c r="KF64"/>
      <c r="KG64"/>
      <c r="KH64"/>
      <c r="KI64"/>
      <c r="KJ64"/>
    </row>
    <row r="65" customFormat="1" ht="15" customHeight="1" x14ac:dyDescent="0.2"/>
    <row r="66" customFormat="1" ht="15" customHeight="1" x14ac:dyDescent="0.2"/>
    <row r="67" customFormat="1" ht="15" customHeight="1" x14ac:dyDescent="0.2"/>
    <row r="68" customFormat="1" ht="15" customHeight="1" x14ac:dyDescent="0.2"/>
    <row r="69" customFormat="1" ht="15" customHeight="1" x14ac:dyDescent="0.2"/>
    <row r="70" customFormat="1" ht="15" customHeight="1" x14ac:dyDescent="0.2"/>
    <row r="71" customFormat="1" ht="15" customHeight="1" x14ac:dyDescent="0.2"/>
    <row r="72" customFormat="1" ht="15" customHeight="1" x14ac:dyDescent="0.2"/>
    <row r="73" customFormat="1" ht="15" customHeight="1" x14ac:dyDescent="0.2"/>
    <row r="74" customFormat="1" ht="15" customHeight="1" x14ac:dyDescent="0.2"/>
    <row r="75" customFormat="1" ht="15" customHeight="1" x14ac:dyDescent="0.2"/>
    <row r="76" customFormat="1" ht="15" customHeight="1" x14ac:dyDescent="0.2"/>
    <row r="77" customFormat="1" ht="15" customHeight="1" x14ac:dyDescent="0.2"/>
    <row r="78" customFormat="1" ht="15" customHeight="1" x14ac:dyDescent="0.2"/>
    <row r="79" customFormat="1" ht="15" customHeight="1" x14ac:dyDescent="0.2"/>
    <row r="80" customFormat="1" ht="15" customHeight="1" x14ac:dyDescent="0.2"/>
    <row r="81" customFormat="1" ht="15" customHeight="1" x14ac:dyDescent="0.2"/>
    <row r="82" customFormat="1" ht="15" customHeight="1" x14ac:dyDescent="0.2"/>
    <row r="83" customFormat="1" ht="15" customHeight="1" x14ac:dyDescent="0.2"/>
    <row r="84" customFormat="1" ht="15" customHeight="1" x14ac:dyDescent="0.2"/>
    <row r="85" customFormat="1" ht="15" customHeight="1" x14ac:dyDescent="0.2"/>
    <row r="86" customFormat="1" ht="15" customHeight="1" x14ac:dyDescent="0.2"/>
    <row r="87" customFormat="1" ht="15" customHeight="1" x14ac:dyDescent="0.2"/>
    <row r="88" customFormat="1" ht="15" customHeight="1" x14ac:dyDescent="0.2"/>
    <row r="89" customFormat="1" ht="15" customHeight="1" x14ac:dyDescent="0.2"/>
    <row r="90" customFormat="1" ht="15" customHeight="1" x14ac:dyDescent="0.2"/>
  </sheetData>
  <sortState xmlns:xlrd2="http://schemas.microsoft.com/office/spreadsheetml/2017/richdata2" ref="A9:KJ45">
    <sortCondition descending="1" sortBy="cellColor" ref="A9:A45" dxfId="7"/>
    <sortCondition ref="A9:A45"/>
  </sortState>
  <conditionalFormatting sqref="A1:A43 A91:A1048576 A46:A49">
    <cfRule type="duplicateValues" dxfId="4" priority="1"/>
  </conditionalFormatting>
  <printOptions horizontalCentered="1" verticalCentered="1"/>
  <pageMargins left="0.39370078740157483" right="0.31496062992125984" top="0.43307086614173229" bottom="0.35433070866141736" header="0" footer="0"/>
  <pageSetup paperSize="9" scale="10" orientation="landscape" r:id="rId1"/>
  <headerFooter alignWithMargins="0"/>
  <colBreaks count="1" manualBreakCount="1">
    <brk id="144" max="48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JU28"/>
  <sheetViews>
    <sheetView showGridLines="0" view="pageBreakPreview" zoomScaleNormal="70" zoomScaleSheetLayoutView="100" workbookViewId="0">
      <pane xSplit="1" topLeftCell="IV1" activePane="topRight" state="frozen"/>
      <selection activeCell="IB59" sqref="IB59:JB59"/>
      <selection pane="topRight" activeCell="JB14" sqref="JB14"/>
    </sheetView>
  </sheetViews>
  <sheetFormatPr baseColWidth="10" defaultColWidth="9.7109375" defaultRowHeight="15" customHeight="1" x14ac:dyDescent="0.2"/>
  <cols>
    <col min="1" max="1" width="39.28515625" customWidth="1"/>
    <col min="281" max="281" width="27.7109375" bestFit="1" customWidth="1"/>
  </cols>
  <sheetData>
    <row r="1" spans="1:281" ht="15" customHeight="1" x14ac:dyDescent="0.25">
      <c r="A1" s="1308" t="s">
        <v>163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62"/>
      <c r="CX1" s="62"/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2"/>
      <c r="DP1" s="62"/>
      <c r="DQ1" s="62"/>
      <c r="DR1" s="62"/>
      <c r="DS1" s="62"/>
      <c r="DT1" s="62"/>
      <c r="DU1" s="62"/>
      <c r="DV1" s="62"/>
      <c r="DW1" s="62"/>
      <c r="DX1" s="62"/>
      <c r="DY1" s="62"/>
      <c r="DZ1" s="62"/>
      <c r="EA1" s="62"/>
      <c r="EB1" s="62"/>
      <c r="EC1" s="62"/>
      <c r="ED1" s="62"/>
      <c r="EE1" s="62"/>
      <c r="EF1" s="62"/>
      <c r="EG1" s="62"/>
      <c r="EH1" s="62"/>
      <c r="EI1" s="62"/>
      <c r="EJ1" s="62"/>
      <c r="EK1" s="62"/>
      <c r="EL1" s="62"/>
      <c r="EM1" s="62"/>
      <c r="EN1" s="62"/>
      <c r="EO1" s="62"/>
      <c r="EP1" s="62"/>
      <c r="EQ1" s="62"/>
      <c r="ER1" s="62"/>
      <c r="ES1" s="62"/>
      <c r="ET1" s="62"/>
      <c r="EU1" s="62"/>
      <c r="EV1" s="62"/>
      <c r="EW1" s="62"/>
      <c r="EX1" s="62"/>
      <c r="EY1" s="62"/>
      <c r="EZ1" s="62"/>
      <c r="FA1" s="62"/>
      <c r="FB1" s="62"/>
      <c r="FC1" s="62"/>
      <c r="FD1" s="62"/>
      <c r="FE1" s="62"/>
      <c r="FF1" s="62"/>
      <c r="FG1" s="62"/>
      <c r="FH1" s="62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P1" s="1"/>
      <c r="JQ1" s="1"/>
      <c r="JR1" s="1"/>
      <c r="JS1" s="1"/>
      <c r="JT1" s="1"/>
      <c r="JU1" s="1"/>
    </row>
    <row r="2" spans="1:281" ht="15" customHeight="1" x14ac:dyDescent="0.25">
      <c r="A2" s="1308" t="s">
        <v>160</v>
      </c>
      <c r="B2" s="62"/>
      <c r="C2" s="62"/>
      <c r="D2" s="62"/>
      <c r="E2" s="96"/>
      <c r="F2" s="62"/>
      <c r="G2" s="62"/>
      <c r="H2" s="96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62"/>
      <c r="FD2" s="62"/>
      <c r="FE2" s="62"/>
      <c r="FF2" s="62"/>
      <c r="FG2" s="62"/>
      <c r="FH2" s="62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P2" s="1"/>
      <c r="JQ2" s="1"/>
      <c r="JR2" s="1"/>
      <c r="JS2" s="1"/>
      <c r="JT2" s="1"/>
      <c r="JU2" s="1"/>
    </row>
    <row r="3" spans="1:281" ht="15" customHeight="1" x14ac:dyDescent="0.25">
      <c r="A3" s="1457" t="s">
        <v>614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3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  <c r="CU3" s="62"/>
      <c r="CV3" s="62"/>
      <c r="CW3" s="62"/>
      <c r="CX3" s="62"/>
      <c r="CY3" s="62"/>
      <c r="CZ3" s="62"/>
      <c r="DA3" s="62"/>
      <c r="DB3" s="62"/>
      <c r="DC3" s="62"/>
      <c r="DD3" s="62"/>
      <c r="DE3" s="62"/>
      <c r="DF3" s="62"/>
      <c r="DG3" s="62"/>
      <c r="DH3" s="62"/>
      <c r="DI3" s="62"/>
      <c r="DJ3" s="62"/>
      <c r="DK3" s="62"/>
      <c r="DL3" s="62"/>
      <c r="DM3" s="62"/>
      <c r="DN3" s="62"/>
      <c r="DO3" s="62"/>
      <c r="DP3" s="62"/>
      <c r="DQ3" s="62"/>
      <c r="DR3" s="62"/>
      <c r="DS3" s="62"/>
      <c r="DT3" s="62"/>
      <c r="DU3" s="62"/>
      <c r="DV3" s="62"/>
      <c r="DW3" s="62"/>
      <c r="DX3" s="62"/>
      <c r="DY3" s="62"/>
      <c r="DZ3" s="62"/>
      <c r="EA3" s="62"/>
      <c r="EB3" s="62"/>
      <c r="EC3" s="62"/>
      <c r="ED3" s="62"/>
      <c r="EE3" s="62"/>
      <c r="EF3" s="62"/>
      <c r="EG3" s="62"/>
      <c r="EH3" s="62"/>
      <c r="EI3" s="62"/>
      <c r="EJ3" s="62"/>
      <c r="EK3" s="62"/>
      <c r="EL3" s="62"/>
      <c r="EM3" s="62"/>
      <c r="EN3" s="62"/>
      <c r="EO3" s="62"/>
      <c r="EP3" s="62"/>
      <c r="EQ3" s="62"/>
      <c r="ER3" s="62"/>
      <c r="ES3" s="62"/>
      <c r="ET3" s="62"/>
      <c r="EU3" s="62"/>
      <c r="EV3" s="62"/>
      <c r="EW3" s="62"/>
      <c r="EX3" s="62"/>
      <c r="EY3" s="62"/>
      <c r="EZ3" s="62"/>
      <c r="FA3" s="62"/>
      <c r="FB3" s="62"/>
      <c r="FC3" s="62"/>
      <c r="FD3" s="62"/>
      <c r="FE3" s="62"/>
      <c r="FF3" s="62"/>
      <c r="FG3" s="62"/>
      <c r="FH3" s="62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P3" s="1"/>
      <c r="JQ3" s="1"/>
      <c r="JR3" s="1"/>
      <c r="JS3" s="1"/>
      <c r="JT3" s="1"/>
      <c r="JU3" s="1"/>
    </row>
    <row r="4" spans="1:281" ht="15" customHeight="1" x14ac:dyDescent="0.2">
      <c r="A4" s="1127"/>
      <c r="B4" s="1088">
        <f t="shared" ref="B4" si="0">YEAR(B5)</f>
        <v>2006</v>
      </c>
      <c r="C4" s="1088"/>
      <c r="D4" s="1088"/>
      <c r="E4" s="1088"/>
      <c r="F4" s="1088"/>
      <c r="G4" s="1088"/>
      <c r="H4" s="1088"/>
      <c r="I4" s="1088"/>
      <c r="J4" s="1088"/>
      <c r="K4" s="1088"/>
      <c r="L4" s="1088"/>
      <c r="M4" s="1088"/>
      <c r="N4" s="1089" t="s">
        <v>22</v>
      </c>
      <c r="O4" s="1088">
        <f t="shared" ref="O4" si="1">YEAR(O5)</f>
        <v>2007</v>
      </c>
      <c r="P4" s="1088"/>
      <c r="Q4" s="1088"/>
      <c r="R4" s="1088"/>
      <c r="S4" s="1088"/>
      <c r="T4" s="1088"/>
      <c r="U4" s="1088"/>
      <c r="V4" s="1088"/>
      <c r="W4" s="1088"/>
      <c r="X4" s="1088"/>
      <c r="Y4" s="1088"/>
      <c r="Z4" s="1088"/>
      <c r="AA4" s="1089" t="s">
        <v>22</v>
      </c>
      <c r="AB4" s="1088">
        <f t="shared" ref="AB4" si="2">YEAR(AB5)</f>
        <v>2008</v>
      </c>
      <c r="AC4" s="1088"/>
      <c r="AD4" s="1088"/>
      <c r="AE4" s="1088"/>
      <c r="AF4" s="1088"/>
      <c r="AG4" s="1088"/>
      <c r="AH4" s="1088"/>
      <c r="AI4" s="1088"/>
      <c r="AJ4" s="1088"/>
      <c r="AK4" s="1088"/>
      <c r="AL4" s="1088"/>
      <c r="AM4" s="1088"/>
      <c r="AN4" s="1089" t="s">
        <v>22</v>
      </c>
      <c r="AO4" s="1088">
        <f t="shared" ref="AO4" si="3">YEAR(AO5)</f>
        <v>2009</v>
      </c>
      <c r="AP4" s="1088"/>
      <c r="AQ4" s="1088"/>
      <c r="AR4" s="1088"/>
      <c r="AS4" s="1088"/>
      <c r="AT4" s="1088"/>
      <c r="AU4" s="1088"/>
      <c r="AV4" s="1088"/>
      <c r="AW4" s="1088"/>
      <c r="AX4" s="1088"/>
      <c r="AY4" s="1088"/>
      <c r="AZ4" s="1088"/>
      <c r="BA4" s="1089" t="s">
        <v>22</v>
      </c>
      <c r="BB4" s="1088">
        <f t="shared" ref="BB4" si="4">YEAR(BB5)</f>
        <v>2010</v>
      </c>
      <c r="BC4" s="1088"/>
      <c r="BD4" s="1088"/>
      <c r="BE4" s="1088"/>
      <c r="BF4" s="1088"/>
      <c r="BG4" s="1088"/>
      <c r="BH4" s="1088"/>
      <c r="BI4" s="1088"/>
      <c r="BJ4" s="1088"/>
      <c r="BK4" s="1088"/>
      <c r="BL4" s="1088"/>
      <c r="BM4" s="1088"/>
      <c r="BN4" s="1089" t="s">
        <v>22</v>
      </c>
      <c r="BO4" s="1088">
        <f t="shared" ref="BO4" si="5">YEAR(BO5)</f>
        <v>2011</v>
      </c>
      <c r="BP4" s="1088"/>
      <c r="BQ4" s="1088"/>
      <c r="BR4" s="1088"/>
      <c r="BS4" s="1088"/>
      <c r="BT4" s="1088"/>
      <c r="BU4" s="1088"/>
      <c r="BV4" s="1088"/>
      <c r="BW4" s="1088"/>
      <c r="BX4" s="1088"/>
      <c r="BY4" s="1088"/>
      <c r="BZ4" s="1088"/>
      <c r="CA4" s="1089" t="s">
        <v>22</v>
      </c>
      <c r="CB4" s="1088">
        <f t="shared" ref="CB4" si="6">YEAR(CB5)</f>
        <v>2012</v>
      </c>
      <c r="CC4" s="1088"/>
      <c r="CD4" s="1088"/>
      <c r="CE4" s="1088"/>
      <c r="CF4" s="1088"/>
      <c r="CG4" s="1088"/>
      <c r="CH4" s="1088"/>
      <c r="CI4" s="1088"/>
      <c r="CJ4" s="1088"/>
      <c r="CK4" s="1088"/>
      <c r="CL4" s="1088"/>
      <c r="CM4" s="1088"/>
      <c r="CN4" s="1089" t="s">
        <v>22</v>
      </c>
      <c r="CO4" s="1088">
        <f t="shared" ref="CO4" si="7">YEAR(CO5)</f>
        <v>2013</v>
      </c>
      <c r="CP4" s="1088"/>
      <c r="CQ4" s="1088"/>
      <c r="CR4" s="1088"/>
      <c r="CS4" s="1088"/>
      <c r="CT4" s="1088"/>
      <c r="CU4" s="1088"/>
      <c r="CV4" s="1088"/>
      <c r="CW4" s="1088"/>
      <c r="CX4" s="1088"/>
      <c r="CY4" s="1088"/>
      <c r="CZ4" s="1088"/>
      <c r="DA4" s="1089" t="s">
        <v>22</v>
      </c>
      <c r="DB4" s="1088">
        <f t="shared" ref="DB4" si="8">YEAR(DB5)</f>
        <v>2014</v>
      </c>
      <c r="DC4" s="1088"/>
      <c r="DD4" s="1088"/>
      <c r="DE4" s="1088"/>
      <c r="DF4" s="1088"/>
      <c r="DG4" s="1088"/>
      <c r="DH4" s="1088"/>
      <c r="DI4" s="1088"/>
      <c r="DJ4" s="1088"/>
      <c r="DK4" s="1088"/>
      <c r="DL4" s="1088"/>
      <c r="DM4" s="1088"/>
      <c r="DN4" s="1089" t="s">
        <v>22</v>
      </c>
      <c r="DO4" s="1088">
        <f t="shared" ref="DO4" si="9">YEAR(DO5)</f>
        <v>2015</v>
      </c>
      <c r="DP4" s="1088"/>
      <c r="DQ4" s="1088"/>
      <c r="DR4" s="1088"/>
      <c r="DS4" s="1088"/>
      <c r="DT4" s="1088"/>
      <c r="DU4" s="1088"/>
      <c r="DV4" s="1088"/>
      <c r="DW4" s="1088"/>
      <c r="DX4" s="1088"/>
      <c r="DY4" s="1088"/>
      <c r="DZ4" s="1088"/>
      <c r="EA4" s="1089" t="s">
        <v>22</v>
      </c>
      <c r="EB4" s="1088">
        <f t="shared" ref="EB4" si="10">YEAR(EB5)</f>
        <v>2016</v>
      </c>
      <c r="EC4" s="1088"/>
      <c r="ED4" s="1088"/>
      <c r="EE4" s="1088"/>
      <c r="EF4" s="1088"/>
      <c r="EG4" s="1088"/>
      <c r="EH4" s="1088"/>
      <c r="EI4" s="1088"/>
      <c r="EJ4" s="1088"/>
      <c r="EK4" s="1088"/>
      <c r="EL4" s="1088"/>
      <c r="EM4" s="1088"/>
      <c r="EN4" s="1089" t="s">
        <v>22</v>
      </c>
      <c r="EO4" s="1088">
        <f t="shared" ref="EO4" si="11">YEAR(EO5)</f>
        <v>2017</v>
      </c>
      <c r="EP4" s="1088"/>
      <c r="EQ4" s="1088"/>
      <c r="ER4" s="1088"/>
      <c r="ES4" s="1088"/>
      <c r="ET4" s="1088"/>
      <c r="EU4" s="1088"/>
      <c r="EV4" s="1088"/>
      <c r="EW4" s="1088"/>
      <c r="EX4" s="1088"/>
      <c r="EY4" s="1088"/>
      <c r="EZ4" s="1088"/>
      <c r="FA4" s="1089" t="s">
        <v>22</v>
      </c>
      <c r="FB4" s="1088">
        <f t="shared" ref="FB4" si="12">YEAR(FB5)</f>
        <v>2018</v>
      </c>
      <c r="FC4" s="1088"/>
      <c r="FD4" s="1088"/>
      <c r="FE4" s="1088"/>
      <c r="FF4" s="1088"/>
      <c r="FG4" s="1088"/>
      <c r="FH4" s="1088"/>
      <c r="FI4" s="1088"/>
      <c r="FJ4" s="1088"/>
      <c r="FK4" s="1088"/>
      <c r="FL4" s="1088"/>
      <c r="FM4" s="1088"/>
      <c r="FN4" s="1089" t="s">
        <v>22</v>
      </c>
      <c r="FO4" s="1088">
        <f t="shared" ref="FO4" si="13">YEAR(FO5)</f>
        <v>2019</v>
      </c>
      <c r="FP4" s="1088"/>
      <c r="FQ4" s="1088"/>
      <c r="FR4" s="1088"/>
      <c r="FS4" s="1088"/>
      <c r="FT4" s="1088"/>
      <c r="FU4" s="1088"/>
      <c r="FV4" s="1088"/>
      <c r="FW4" s="1088"/>
      <c r="FX4" s="1088"/>
      <c r="FY4" s="1088"/>
      <c r="FZ4" s="1088"/>
      <c r="GA4" s="1089" t="s">
        <v>22</v>
      </c>
      <c r="GB4" s="1088">
        <f t="shared" ref="GB4" si="14">YEAR(GB5)</f>
        <v>2020</v>
      </c>
      <c r="GC4" s="1088"/>
      <c r="GD4" s="1088"/>
      <c r="GE4" s="1088"/>
      <c r="GF4" s="1088"/>
      <c r="GG4" s="1088"/>
      <c r="GH4" s="1088"/>
      <c r="GI4" s="1088"/>
      <c r="GJ4" s="1088"/>
      <c r="GK4" s="1088"/>
      <c r="GL4" s="1088"/>
      <c r="GM4" s="1088"/>
      <c r="GN4" s="1089" t="s">
        <v>22</v>
      </c>
      <c r="GO4" s="1088">
        <f t="shared" ref="GO4" si="15">YEAR(GO5)</f>
        <v>2021</v>
      </c>
      <c r="GP4" s="1088"/>
      <c r="GQ4" s="1088"/>
      <c r="GR4" s="1088"/>
      <c r="GS4" s="1088"/>
      <c r="GT4" s="1088"/>
      <c r="GU4" s="1088"/>
      <c r="GV4" s="1088"/>
      <c r="GW4" s="1088"/>
      <c r="GX4" s="1088"/>
      <c r="GY4" s="1088"/>
      <c r="GZ4" s="1088"/>
      <c r="HA4" s="1089" t="s">
        <v>22</v>
      </c>
      <c r="HB4" s="1088">
        <f t="shared" ref="HB4" si="16">YEAR(HB5)</f>
        <v>2022</v>
      </c>
      <c r="HC4" s="1088"/>
      <c r="HD4" s="1088"/>
      <c r="HE4" s="1088"/>
      <c r="HF4" s="1088"/>
      <c r="HG4" s="1088"/>
      <c r="HH4" s="1088"/>
      <c r="HI4" s="1088"/>
      <c r="HJ4" s="1088"/>
      <c r="HK4" s="1088"/>
      <c r="HL4" s="1088"/>
      <c r="HM4" s="1088"/>
      <c r="HN4" s="1089" t="s">
        <v>22</v>
      </c>
      <c r="HO4" s="1088">
        <f t="shared" ref="HO4" si="17">YEAR(HO5)</f>
        <v>2023</v>
      </c>
      <c r="HP4" s="1088"/>
      <c r="HQ4" s="1088"/>
      <c r="HR4" s="1088"/>
      <c r="HS4" s="1088"/>
      <c r="HT4" s="1088"/>
      <c r="HU4" s="1088"/>
      <c r="HV4" s="1088"/>
      <c r="HW4" s="1088"/>
      <c r="HX4" s="1088"/>
      <c r="HY4" s="1088"/>
      <c r="HZ4" s="1088"/>
      <c r="IA4" s="1089" t="s">
        <v>22</v>
      </c>
      <c r="IB4" s="1088">
        <f t="shared" ref="IB4" si="18">YEAR(IB5)</f>
        <v>2024</v>
      </c>
      <c r="IC4" s="1088"/>
      <c r="ID4" s="1088"/>
      <c r="IE4" s="1088"/>
      <c r="IF4" s="1088"/>
      <c r="IG4" s="1088"/>
      <c r="IH4" s="1088"/>
      <c r="II4" s="1088"/>
      <c r="IJ4" s="1088"/>
      <c r="IK4" s="1088"/>
      <c r="IL4" s="1088"/>
      <c r="IM4" s="1088"/>
      <c r="IN4" s="1089" t="s">
        <v>22</v>
      </c>
      <c r="IO4" s="1088">
        <f t="shared" ref="IO4" si="19">YEAR(IO5)</f>
        <v>2025</v>
      </c>
      <c r="IP4" s="1088"/>
      <c r="IQ4" s="1088"/>
      <c r="IR4" s="1088"/>
      <c r="IS4" s="1088"/>
      <c r="IT4" s="1088"/>
      <c r="IU4" s="1088"/>
      <c r="IV4" s="1088"/>
      <c r="IW4" s="1088"/>
      <c r="IX4" s="1088"/>
      <c r="IY4" s="1088"/>
      <c r="IZ4" s="1088"/>
      <c r="JA4" s="1089" t="s">
        <v>22</v>
      </c>
      <c r="JB4" s="1088">
        <f>YEAR(JB5)</f>
        <v>2026</v>
      </c>
      <c r="JC4" s="1088"/>
      <c r="JD4" s="1088"/>
      <c r="JE4" s="1088"/>
      <c r="JF4" s="1088"/>
      <c r="JG4" s="1088"/>
      <c r="JH4" s="1088"/>
      <c r="JI4" s="1088"/>
      <c r="JJ4" s="1088"/>
      <c r="JK4" s="1088"/>
      <c r="JL4" s="1088"/>
      <c r="JM4" s="1088"/>
      <c r="JN4" s="1089" t="s">
        <v>22</v>
      </c>
      <c r="JP4" s="1103" t="str">
        <f>CONCATENATE("Var.% ",JS4,"/",JS4-1)</f>
        <v>Var.% 2025/2024</v>
      </c>
      <c r="JQ4" s="1104"/>
      <c r="JR4" s="1105">
        <f>JS4-1</f>
        <v>2024</v>
      </c>
      <c r="JS4" s="1105">
        <f>YEAR(JP5)</f>
        <v>2025</v>
      </c>
      <c r="JT4" s="1"/>
      <c r="JU4" s="1011" t="s">
        <v>538</v>
      </c>
    </row>
    <row r="5" spans="1:281" ht="15" customHeight="1" x14ac:dyDescent="0.2">
      <c r="A5" s="1128"/>
      <c r="B5" s="1090">
        <v>38718</v>
      </c>
      <c r="C5" s="1090">
        <v>38749</v>
      </c>
      <c r="D5" s="1090">
        <v>38777</v>
      </c>
      <c r="E5" s="1090">
        <v>38808</v>
      </c>
      <c r="F5" s="1090">
        <v>38838</v>
      </c>
      <c r="G5" s="1090">
        <v>38869</v>
      </c>
      <c r="H5" s="1090">
        <v>38899</v>
      </c>
      <c r="I5" s="1090">
        <v>38930</v>
      </c>
      <c r="J5" s="1090">
        <v>38961</v>
      </c>
      <c r="K5" s="1090">
        <v>38991</v>
      </c>
      <c r="L5" s="1090">
        <v>39022</v>
      </c>
      <c r="M5" s="1090">
        <v>39052</v>
      </c>
      <c r="N5" s="1091">
        <f t="shared" ref="N5" si="20">YEAR(M5)</f>
        <v>2006</v>
      </c>
      <c r="O5" s="1090">
        <v>39083</v>
      </c>
      <c r="P5" s="1090">
        <v>39114</v>
      </c>
      <c r="Q5" s="1090">
        <v>39142</v>
      </c>
      <c r="R5" s="1090">
        <v>39173</v>
      </c>
      <c r="S5" s="1090">
        <v>39203</v>
      </c>
      <c r="T5" s="1090">
        <v>39234</v>
      </c>
      <c r="U5" s="1090">
        <v>39264</v>
      </c>
      <c r="V5" s="1090">
        <v>39295</v>
      </c>
      <c r="W5" s="1090">
        <v>39326</v>
      </c>
      <c r="X5" s="1090">
        <v>39356</v>
      </c>
      <c r="Y5" s="1090">
        <v>39387</v>
      </c>
      <c r="Z5" s="1090">
        <v>39417</v>
      </c>
      <c r="AA5" s="1091">
        <f t="shared" ref="AA5" si="21">YEAR(Z5)</f>
        <v>2007</v>
      </c>
      <c r="AB5" s="1090">
        <v>39448</v>
      </c>
      <c r="AC5" s="1090">
        <v>39479</v>
      </c>
      <c r="AD5" s="1090">
        <v>39508</v>
      </c>
      <c r="AE5" s="1090">
        <v>39539</v>
      </c>
      <c r="AF5" s="1090">
        <v>39569</v>
      </c>
      <c r="AG5" s="1090">
        <v>39600</v>
      </c>
      <c r="AH5" s="1090">
        <v>39630</v>
      </c>
      <c r="AI5" s="1090">
        <v>39661</v>
      </c>
      <c r="AJ5" s="1090">
        <v>39692</v>
      </c>
      <c r="AK5" s="1090">
        <v>39722</v>
      </c>
      <c r="AL5" s="1090">
        <v>39753</v>
      </c>
      <c r="AM5" s="1090">
        <v>39783</v>
      </c>
      <c r="AN5" s="1091">
        <f t="shared" ref="AN5" si="22">YEAR(AM5)</f>
        <v>2008</v>
      </c>
      <c r="AO5" s="1090">
        <v>39814</v>
      </c>
      <c r="AP5" s="1090">
        <v>39845</v>
      </c>
      <c r="AQ5" s="1090">
        <v>39873</v>
      </c>
      <c r="AR5" s="1090">
        <v>39904</v>
      </c>
      <c r="AS5" s="1090">
        <v>39934</v>
      </c>
      <c r="AT5" s="1090">
        <v>39965</v>
      </c>
      <c r="AU5" s="1090">
        <v>39995</v>
      </c>
      <c r="AV5" s="1090">
        <v>40026</v>
      </c>
      <c r="AW5" s="1090">
        <v>40057</v>
      </c>
      <c r="AX5" s="1090">
        <v>40087</v>
      </c>
      <c r="AY5" s="1090">
        <v>40118</v>
      </c>
      <c r="AZ5" s="1090">
        <v>40148</v>
      </c>
      <c r="BA5" s="1091">
        <f t="shared" ref="BA5" si="23">YEAR(AZ5)</f>
        <v>2009</v>
      </c>
      <c r="BB5" s="1090">
        <v>40179</v>
      </c>
      <c r="BC5" s="1090">
        <v>40210</v>
      </c>
      <c r="BD5" s="1090">
        <v>40238</v>
      </c>
      <c r="BE5" s="1090">
        <v>40269</v>
      </c>
      <c r="BF5" s="1090">
        <v>40299</v>
      </c>
      <c r="BG5" s="1090">
        <v>40330</v>
      </c>
      <c r="BH5" s="1090">
        <v>40360</v>
      </c>
      <c r="BI5" s="1090">
        <v>40391</v>
      </c>
      <c r="BJ5" s="1090">
        <v>40422</v>
      </c>
      <c r="BK5" s="1090">
        <v>40452</v>
      </c>
      <c r="BL5" s="1090">
        <v>40483</v>
      </c>
      <c r="BM5" s="1090">
        <v>40513</v>
      </c>
      <c r="BN5" s="1091">
        <f t="shared" ref="BN5" si="24">YEAR(BM5)</f>
        <v>2010</v>
      </c>
      <c r="BO5" s="1090">
        <v>40544</v>
      </c>
      <c r="BP5" s="1090">
        <v>40575</v>
      </c>
      <c r="BQ5" s="1090">
        <v>40603</v>
      </c>
      <c r="BR5" s="1090">
        <v>40634</v>
      </c>
      <c r="BS5" s="1090">
        <v>40664</v>
      </c>
      <c r="BT5" s="1090">
        <v>40695</v>
      </c>
      <c r="BU5" s="1090">
        <v>40725</v>
      </c>
      <c r="BV5" s="1090">
        <v>40756</v>
      </c>
      <c r="BW5" s="1090">
        <v>40787</v>
      </c>
      <c r="BX5" s="1090">
        <v>40817</v>
      </c>
      <c r="BY5" s="1090">
        <v>40848</v>
      </c>
      <c r="BZ5" s="1090">
        <v>40878</v>
      </c>
      <c r="CA5" s="1091">
        <f t="shared" ref="CA5" si="25">YEAR(BZ5)</f>
        <v>2011</v>
      </c>
      <c r="CB5" s="1090">
        <v>40909</v>
      </c>
      <c r="CC5" s="1090">
        <v>40940</v>
      </c>
      <c r="CD5" s="1090">
        <v>40969</v>
      </c>
      <c r="CE5" s="1090">
        <v>41000</v>
      </c>
      <c r="CF5" s="1090">
        <v>41030</v>
      </c>
      <c r="CG5" s="1090">
        <v>41061</v>
      </c>
      <c r="CH5" s="1090">
        <v>41091</v>
      </c>
      <c r="CI5" s="1090">
        <v>41122</v>
      </c>
      <c r="CJ5" s="1090">
        <v>41153</v>
      </c>
      <c r="CK5" s="1090">
        <v>41183</v>
      </c>
      <c r="CL5" s="1090">
        <v>41214</v>
      </c>
      <c r="CM5" s="1090">
        <v>41244</v>
      </c>
      <c r="CN5" s="1091">
        <f t="shared" ref="CN5" si="26">YEAR(CM5)</f>
        <v>2012</v>
      </c>
      <c r="CO5" s="1090">
        <v>41275</v>
      </c>
      <c r="CP5" s="1090">
        <v>41306</v>
      </c>
      <c r="CQ5" s="1090">
        <v>41334</v>
      </c>
      <c r="CR5" s="1090">
        <v>41365</v>
      </c>
      <c r="CS5" s="1090">
        <v>41395</v>
      </c>
      <c r="CT5" s="1090">
        <v>41426</v>
      </c>
      <c r="CU5" s="1090">
        <v>41456</v>
      </c>
      <c r="CV5" s="1090">
        <v>41487</v>
      </c>
      <c r="CW5" s="1090">
        <v>41518</v>
      </c>
      <c r="CX5" s="1090">
        <v>41548</v>
      </c>
      <c r="CY5" s="1090">
        <v>41579</v>
      </c>
      <c r="CZ5" s="1090">
        <v>41609</v>
      </c>
      <c r="DA5" s="1091">
        <f t="shared" ref="DA5" si="27">YEAR(CZ5)</f>
        <v>2013</v>
      </c>
      <c r="DB5" s="1090">
        <v>41640</v>
      </c>
      <c r="DC5" s="1090">
        <v>41671</v>
      </c>
      <c r="DD5" s="1090">
        <v>41699</v>
      </c>
      <c r="DE5" s="1090">
        <v>41730</v>
      </c>
      <c r="DF5" s="1090">
        <v>41760</v>
      </c>
      <c r="DG5" s="1090">
        <v>41791</v>
      </c>
      <c r="DH5" s="1090">
        <v>41821</v>
      </c>
      <c r="DI5" s="1090">
        <v>41852</v>
      </c>
      <c r="DJ5" s="1090">
        <v>41883</v>
      </c>
      <c r="DK5" s="1090">
        <v>41913</v>
      </c>
      <c r="DL5" s="1090">
        <v>41944</v>
      </c>
      <c r="DM5" s="1090">
        <v>41974</v>
      </c>
      <c r="DN5" s="1091">
        <f t="shared" ref="DN5" si="28">YEAR(DM5)</f>
        <v>2014</v>
      </c>
      <c r="DO5" s="1090">
        <v>42005</v>
      </c>
      <c r="DP5" s="1090">
        <v>42036</v>
      </c>
      <c r="DQ5" s="1090">
        <v>42064</v>
      </c>
      <c r="DR5" s="1090">
        <v>42095</v>
      </c>
      <c r="DS5" s="1090">
        <v>42125</v>
      </c>
      <c r="DT5" s="1090">
        <v>42156</v>
      </c>
      <c r="DU5" s="1090">
        <v>42186</v>
      </c>
      <c r="DV5" s="1090">
        <v>42217</v>
      </c>
      <c r="DW5" s="1090">
        <v>42248</v>
      </c>
      <c r="DX5" s="1090">
        <v>42278</v>
      </c>
      <c r="DY5" s="1090">
        <v>42309</v>
      </c>
      <c r="DZ5" s="1090">
        <v>42339</v>
      </c>
      <c r="EA5" s="1091">
        <f t="shared" ref="EA5" si="29">YEAR(DZ5)</f>
        <v>2015</v>
      </c>
      <c r="EB5" s="1090">
        <v>42370</v>
      </c>
      <c r="EC5" s="1090">
        <v>42401</v>
      </c>
      <c r="ED5" s="1090">
        <v>42430</v>
      </c>
      <c r="EE5" s="1090">
        <v>42461</v>
      </c>
      <c r="EF5" s="1090">
        <v>42491</v>
      </c>
      <c r="EG5" s="1090">
        <v>42522</v>
      </c>
      <c r="EH5" s="1090">
        <v>42552</v>
      </c>
      <c r="EI5" s="1090">
        <v>42583</v>
      </c>
      <c r="EJ5" s="1090">
        <v>42614</v>
      </c>
      <c r="EK5" s="1090">
        <v>42644</v>
      </c>
      <c r="EL5" s="1090">
        <v>42675</v>
      </c>
      <c r="EM5" s="1090">
        <v>42705</v>
      </c>
      <c r="EN5" s="1091">
        <f t="shared" ref="EN5" si="30">YEAR(EM5)</f>
        <v>2016</v>
      </c>
      <c r="EO5" s="1090">
        <v>42736</v>
      </c>
      <c r="EP5" s="1090">
        <v>42767</v>
      </c>
      <c r="EQ5" s="1090">
        <v>42795</v>
      </c>
      <c r="ER5" s="1090">
        <v>42826</v>
      </c>
      <c r="ES5" s="1090">
        <v>42856</v>
      </c>
      <c r="ET5" s="1090">
        <v>42887</v>
      </c>
      <c r="EU5" s="1090">
        <v>42917</v>
      </c>
      <c r="EV5" s="1090">
        <v>42948</v>
      </c>
      <c r="EW5" s="1090">
        <v>42979</v>
      </c>
      <c r="EX5" s="1090">
        <v>43009</v>
      </c>
      <c r="EY5" s="1090">
        <v>43040</v>
      </c>
      <c r="EZ5" s="1090">
        <v>43070</v>
      </c>
      <c r="FA5" s="1091">
        <f t="shared" ref="FA5" si="31">YEAR(EZ5)</f>
        <v>2017</v>
      </c>
      <c r="FB5" s="1090">
        <v>43101</v>
      </c>
      <c r="FC5" s="1090">
        <v>43132</v>
      </c>
      <c r="FD5" s="1090">
        <v>43160</v>
      </c>
      <c r="FE5" s="1090">
        <v>43191</v>
      </c>
      <c r="FF5" s="1090">
        <v>43221</v>
      </c>
      <c r="FG5" s="1090">
        <v>43252</v>
      </c>
      <c r="FH5" s="1090">
        <v>43282</v>
      </c>
      <c r="FI5" s="1090">
        <v>43313</v>
      </c>
      <c r="FJ5" s="1090">
        <v>43344</v>
      </c>
      <c r="FK5" s="1090">
        <v>43374</v>
      </c>
      <c r="FL5" s="1090">
        <v>43405</v>
      </c>
      <c r="FM5" s="1090">
        <v>43435</v>
      </c>
      <c r="FN5" s="1091">
        <f t="shared" ref="FN5" si="32">YEAR(FM5)</f>
        <v>2018</v>
      </c>
      <c r="FO5" s="1090">
        <v>43466</v>
      </c>
      <c r="FP5" s="1090">
        <v>43497</v>
      </c>
      <c r="FQ5" s="1090">
        <v>43525</v>
      </c>
      <c r="FR5" s="1090">
        <v>43556</v>
      </c>
      <c r="FS5" s="1090">
        <v>43586</v>
      </c>
      <c r="FT5" s="1090">
        <v>43617</v>
      </c>
      <c r="FU5" s="1090">
        <v>43647</v>
      </c>
      <c r="FV5" s="1090">
        <v>43678</v>
      </c>
      <c r="FW5" s="1090">
        <v>43709</v>
      </c>
      <c r="FX5" s="1090">
        <v>43739</v>
      </c>
      <c r="FY5" s="1090">
        <v>43770</v>
      </c>
      <c r="FZ5" s="1090">
        <v>43800</v>
      </c>
      <c r="GA5" s="1091">
        <f t="shared" ref="GA5" si="33">YEAR(FZ5)</f>
        <v>2019</v>
      </c>
      <c r="GB5" s="1090">
        <v>43831</v>
      </c>
      <c r="GC5" s="1090">
        <v>43862</v>
      </c>
      <c r="GD5" s="1090">
        <v>43891</v>
      </c>
      <c r="GE5" s="1090">
        <v>43922</v>
      </c>
      <c r="GF5" s="1090">
        <v>43952</v>
      </c>
      <c r="GG5" s="1090">
        <v>43983</v>
      </c>
      <c r="GH5" s="1090">
        <v>44013</v>
      </c>
      <c r="GI5" s="1090">
        <v>44044</v>
      </c>
      <c r="GJ5" s="1090">
        <v>44075</v>
      </c>
      <c r="GK5" s="1090">
        <v>44105</v>
      </c>
      <c r="GL5" s="1090">
        <v>44136</v>
      </c>
      <c r="GM5" s="1090">
        <v>44166</v>
      </c>
      <c r="GN5" s="1091">
        <f t="shared" ref="GN5" si="34">YEAR(GM5)</f>
        <v>2020</v>
      </c>
      <c r="GO5" s="1090">
        <v>44197</v>
      </c>
      <c r="GP5" s="1090">
        <v>44228</v>
      </c>
      <c r="GQ5" s="1090">
        <v>44256</v>
      </c>
      <c r="GR5" s="1090">
        <v>44287</v>
      </c>
      <c r="GS5" s="1090">
        <v>44317</v>
      </c>
      <c r="GT5" s="1090">
        <v>44348</v>
      </c>
      <c r="GU5" s="1090">
        <v>44378</v>
      </c>
      <c r="GV5" s="1090">
        <v>44409</v>
      </c>
      <c r="GW5" s="1090">
        <v>44440</v>
      </c>
      <c r="GX5" s="1090">
        <v>44470</v>
      </c>
      <c r="GY5" s="1090">
        <v>44501</v>
      </c>
      <c r="GZ5" s="1090">
        <v>44531</v>
      </c>
      <c r="HA5" s="1091">
        <f t="shared" ref="HA5" si="35">YEAR(GZ5)</f>
        <v>2021</v>
      </c>
      <c r="HB5" s="1090">
        <v>44562</v>
      </c>
      <c r="HC5" s="1090">
        <v>44593</v>
      </c>
      <c r="HD5" s="1090">
        <v>44621</v>
      </c>
      <c r="HE5" s="1090">
        <v>44652</v>
      </c>
      <c r="HF5" s="1090">
        <v>44682</v>
      </c>
      <c r="HG5" s="1090">
        <v>44713</v>
      </c>
      <c r="HH5" s="1090">
        <v>44743</v>
      </c>
      <c r="HI5" s="1090">
        <v>44774</v>
      </c>
      <c r="HJ5" s="1090">
        <v>44805</v>
      </c>
      <c r="HK5" s="1090">
        <v>44835</v>
      </c>
      <c r="HL5" s="1090">
        <v>44866</v>
      </c>
      <c r="HM5" s="1090">
        <v>44896</v>
      </c>
      <c r="HN5" s="1091">
        <f t="shared" ref="HN5" si="36">YEAR(HM5)</f>
        <v>2022</v>
      </c>
      <c r="HO5" s="1090">
        <v>44927</v>
      </c>
      <c r="HP5" s="1090">
        <v>44958</v>
      </c>
      <c r="HQ5" s="1090">
        <v>44986</v>
      </c>
      <c r="HR5" s="1090">
        <v>45017</v>
      </c>
      <c r="HS5" s="1090">
        <v>45047</v>
      </c>
      <c r="HT5" s="1090">
        <v>45078</v>
      </c>
      <c r="HU5" s="1090">
        <v>45108</v>
      </c>
      <c r="HV5" s="1090">
        <v>45139</v>
      </c>
      <c r="HW5" s="1090">
        <v>45170</v>
      </c>
      <c r="HX5" s="1090">
        <v>45200</v>
      </c>
      <c r="HY5" s="1090">
        <v>45231</v>
      </c>
      <c r="HZ5" s="1090">
        <v>45261</v>
      </c>
      <c r="IA5" s="1091">
        <f t="shared" ref="IA5" si="37">YEAR(HZ5)</f>
        <v>2023</v>
      </c>
      <c r="IB5" s="1090">
        <v>45292</v>
      </c>
      <c r="IC5" s="1090">
        <v>45323</v>
      </c>
      <c r="ID5" s="1090">
        <v>45352</v>
      </c>
      <c r="IE5" s="1090">
        <v>45383</v>
      </c>
      <c r="IF5" s="1090">
        <v>45413</v>
      </c>
      <c r="IG5" s="1090">
        <v>45444</v>
      </c>
      <c r="IH5" s="1090">
        <v>45474</v>
      </c>
      <c r="II5" s="1090">
        <v>45505</v>
      </c>
      <c r="IJ5" s="1090">
        <v>45536</v>
      </c>
      <c r="IK5" s="1090">
        <v>45566</v>
      </c>
      <c r="IL5" s="1090">
        <v>45597</v>
      </c>
      <c r="IM5" s="1090">
        <v>45627</v>
      </c>
      <c r="IN5" s="1091">
        <f t="shared" ref="IN5" si="38">YEAR(IM5)</f>
        <v>2024</v>
      </c>
      <c r="IO5" s="1090">
        <v>45658</v>
      </c>
      <c r="IP5" s="1090">
        <v>45689</v>
      </c>
      <c r="IQ5" s="1090">
        <v>45717</v>
      </c>
      <c r="IR5" s="1090">
        <v>45748</v>
      </c>
      <c r="IS5" s="1090">
        <v>45778</v>
      </c>
      <c r="IT5" s="1090">
        <v>45809</v>
      </c>
      <c r="IU5" s="1090">
        <v>45839</v>
      </c>
      <c r="IV5" s="1090">
        <v>45870</v>
      </c>
      <c r="IW5" s="1090">
        <v>45901</v>
      </c>
      <c r="IX5" s="1090">
        <v>45931</v>
      </c>
      <c r="IY5" s="1090">
        <v>45962</v>
      </c>
      <c r="IZ5" s="1090">
        <v>45992</v>
      </c>
      <c r="JA5" s="1091">
        <f t="shared" ref="JA5" si="39">YEAR(IZ5)</f>
        <v>2025</v>
      </c>
      <c r="JB5" s="1090">
        <v>46023</v>
      </c>
      <c r="JC5" s="1090">
        <v>46054</v>
      </c>
      <c r="JD5" s="1090">
        <v>46082</v>
      </c>
      <c r="JE5" s="1090">
        <v>46113</v>
      </c>
      <c r="JF5" s="1090">
        <v>46143</v>
      </c>
      <c r="JG5" s="1090">
        <v>46174</v>
      </c>
      <c r="JH5" s="1090">
        <v>46204</v>
      </c>
      <c r="JI5" s="1090">
        <v>46235</v>
      </c>
      <c r="JJ5" s="1090">
        <v>46266</v>
      </c>
      <c r="JK5" s="1090">
        <v>46296</v>
      </c>
      <c r="JL5" s="1090">
        <v>46327</v>
      </c>
      <c r="JM5" s="1090">
        <v>46357</v>
      </c>
      <c r="JN5" s="1091">
        <f>YEAR(JM5)</f>
        <v>2026</v>
      </c>
      <c r="JP5" s="1106">
        <f>IZ5</f>
        <v>45992</v>
      </c>
      <c r="JQ5" s="1107" t="str">
        <f>CONCATENATE("Ene.-",TEXT(JP5,"MMM."))</f>
        <v>Ene.-Dic.</v>
      </c>
      <c r="JR5" s="1108" t="str">
        <f>JQ5</f>
        <v>Ene.-Dic.</v>
      </c>
      <c r="JS5" s="1108" t="str">
        <f>JQ5</f>
        <v>Ene.-Dic.</v>
      </c>
      <c r="JT5" s="1"/>
      <c r="JU5" s="8"/>
    </row>
    <row r="6" spans="1:281" ht="15" customHeight="1" x14ac:dyDescent="0.2">
      <c r="A6" s="1129"/>
      <c r="B6" s="1092"/>
      <c r="C6" s="1092"/>
      <c r="D6" s="1092"/>
      <c r="E6" s="1092"/>
      <c r="F6" s="1092"/>
      <c r="G6" s="1092"/>
      <c r="H6" s="1092"/>
      <c r="I6" s="1092"/>
      <c r="J6" s="1092"/>
      <c r="K6" s="1092"/>
      <c r="L6" s="1092"/>
      <c r="M6" s="1092"/>
      <c r="N6" s="1093"/>
      <c r="O6" s="1092"/>
      <c r="P6" s="1092"/>
      <c r="Q6" s="1092"/>
      <c r="R6" s="1092"/>
      <c r="S6" s="1092"/>
      <c r="T6" s="1092"/>
      <c r="U6" s="1092"/>
      <c r="V6" s="1092"/>
      <c r="W6" s="1092"/>
      <c r="X6" s="1092"/>
      <c r="Y6" s="1092"/>
      <c r="Z6" s="1092"/>
      <c r="AA6" s="1093"/>
      <c r="AB6" s="1092"/>
      <c r="AC6" s="1092"/>
      <c r="AD6" s="1092"/>
      <c r="AE6" s="1092"/>
      <c r="AF6" s="1092"/>
      <c r="AG6" s="1092"/>
      <c r="AH6" s="1092"/>
      <c r="AI6" s="1092"/>
      <c r="AJ6" s="1092"/>
      <c r="AK6" s="1092"/>
      <c r="AL6" s="1092"/>
      <c r="AM6" s="1092"/>
      <c r="AN6" s="1093"/>
      <c r="AO6" s="1092"/>
      <c r="AP6" s="1092"/>
      <c r="AQ6" s="1092"/>
      <c r="AR6" s="1092"/>
      <c r="AS6" s="1092"/>
      <c r="AT6" s="1092"/>
      <c r="AU6" s="1092"/>
      <c r="AV6" s="1092"/>
      <c r="AW6" s="1092"/>
      <c r="AX6" s="1092"/>
      <c r="AY6" s="1092"/>
      <c r="AZ6" s="1092"/>
      <c r="BA6" s="1093"/>
      <c r="BB6" s="1092"/>
      <c r="BC6" s="1092"/>
      <c r="BD6" s="1092"/>
      <c r="BE6" s="1092"/>
      <c r="BF6" s="1092"/>
      <c r="BG6" s="1092"/>
      <c r="BH6" s="1092"/>
      <c r="BI6" s="1092"/>
      <c r="BJ6" s="1092"/>
      <c r="BK6" s="1092"/>
      <c r="BL6" s="1092"/>
      <c r="BM6" s="1092"/>
      <c r="BN6" s="1093"/>
      <c r="BO6" s="1092"/>
      <c r="BP6" s="1092"/>
      <c r="BQ6" s="1092"/>
      <c r="BR6" s="1092"/>
      <c r="BS6" s="1092"/>
      <c r="BT6" s="1092"/>
      <c r="BU6" s="1092"/>
      <c r="BV6" s="1092"/>
      <c r="BW6" s="1092"/>
      <c r="BX6" s="1092"/>
      <c r="BY6" s="1092"/>
      <c r="BZ6" s="1092"/>
      <c r="CA6" s="1093"/>
      <c r="CB6" s="1092"/>
      <c r="CC6" s="1092"/>
      <c r="CD6" s="1092"/>
      <c r="CE6" s="1092"/>
      <c r="CF6" s="1092"/>
      <c r="CG6" s="1092"/>
      <c r="CH6" s="1092"/>
      <c r="CI6" s="1092"/>
      <c r="CJ6" s="1092"/>
      <c r="CK6" s="1092"/>
      <c r="CL6" s="1092"/>
      <c r="CM6" s="1092"/>
      <c r="CN6" s="1093"/>
      <c r="CO6" s="1092"/>
      <c r="CP6" s="1092"/>
      <c r="CQ6" s="1092"/>
      <c r="CR6" s="1092"/>
      <c r="CS6" s="1092"/>
      <c r="CT6" s="1092"/>
      <c r="CU6" s="1092"/>
      <c r="CV6" s="1092"/>
      <c r="CW6" s="1092"/>
      <c r="CX6" s="1092"/>
      <c r="CY6" s="1092"/>
      <c r="CZ6" s="1092"/>
      <c r="DA6" s="1093"/>
      <c r="DB6" s="1092"/>
      <c r="DC6" s="1092"/>
      <c r="DD6" s="1092"/>
      <c r="DE6" s="1092"/>
      <c r="DF6" s="1092"/>
      <c r="DG6" s="1092"/>
      <c r="DH6" s="1092"/>
      <c r="DI6" s="1092"/>
      <c r="DJ6" s="1092"/>
      <c r="DK6" s="1092"/>
      <c r="DL6" s="1092"/>
      <c r="DM6" s="1092"/>
      <c r="DN6" s="1093"/>
      <c r="DO6" s="1092"/>
      <c r="DP6" s="1092"/>
      <c r="DQ6" s="1092"/>
      <c r="DR6" s="1092"/>
      <c r="DS6" s="1092"/>
      <c r="DT6" s="1092"/>
      <c r="DU6" s="1092"/>
      <c r="DV6" s="1092"/>
      <c r="DW6" s="1092"/>
      <c r="DX6" s="1092"/>
      <c r="DY6" s="1092"/>
      <c r="DZ6" s="1092"/>
      <c r="EA6" s="1093"/>
      <c r="EB6" s="1092"/>
      <c r="EC6" s="1092"/>
      <c r="ED6" s="1092"/>
      <c r="EE6" s="1092"/>
      <c r="EF6" s="1092"/>
      <c r="EG6" s="1092"/>
      <c r="EH6" s="1092"/>
      <c r="EI6" s="1092"/>
      <c r="EJ6" s="1092"/>
      <c r="EK6" s="1092"/>
      <c r="EL6" s="1092"/>
      <c r="EM6" s="1092"/>
      <c r="EN6" s="1093"/>
      <c r="EO6" s="1092"/>
      <c r="EP6" s="1092"/>
      <c r="EQ6" s="1092"/>
      <c r="ER6" s="1092"/>
      <c r="ES6" s="1092"/>
      <c r="ET6" s="1092"/>
      <c r="EU6" s="1092"/>
      <c r="EV6" s="1092"/>
      <c r="EW6" s="1092"/>
      <c r="EX6" s="1092"/>
      <c r="EY6" s="1092"/>
      <c r="EZ6" s="1092"/>
      <c r="FA6" s="1093"/>
      <c r="FB6" s="1092"/>
      <c r="FC6" s="1092"/>
      <c r="FD6" s="1092"/>
      <c r="FE6" s="1092"/>
      <c r="FF6" s="1092"/>
      <c r="FG6" s="1092"/>
      <c r="FH6" s="1092"/>
      <c r="FI6" s="1092"/>
      <c r="FJ6" s="1092"/>
      <c r="FK6" s="1092"/>
      <c r="FL6" s="1092"/>
      <c r="FM6" s="1092"/>
      <c r="FN6" s="1093"/>
      <c r="FO6" s="1092"/>
      <c r="FP6" s="1092"/>
      <c r="FQ6" s="1092"/>
      <c r="FR6" s="1092"/>
      <c r="FS6" s="1092"/>
      <c r="FT6" s="1092"/>
      <c r="FU6" s="1092"/>
      <c r="FV6" s="1092"/>
      <c r="FW6" s="1092"/>
      <c r="FX6" s="1092"/>
      <c r="FY6" s="1092"/>
      <c r="FZ6" s="1092"/>
      <c r="GA6" s="1093"/>
      <c r="GB6" s="1092"/>
      <c r="GC6" s="1092"/>
      <c r="GD6" s="1092"/>
      <c r="GE6" s="1092"/>
      <c r="GF6" s="1092"/>
      <c r="GG6" s="1092"/>
      <c r="GH6" s="1092"/>
      <c r="GI6" s="1092"/>
      <c r="GJ6" s="1092"/>
      <c r="GK6" s="1092"/>
      <c r="GL6" s="1092"/>
      <c r="GM6" s="1092"/>
      <c r="GN6" s="1093"/>
      <c r="GO6" s="1092"/>
      <c r="GP6" s="1092"/>
      <c r="GQ6" s="1092"/>
      <c r="GR6" s="1092"/>
      <c r="GS6" s="1092"/>
      <c r="GT6" s="1092"/>
      <c r="GU6" s="1092"/>
      <c r="GV6" s="1092"/>
      <c r="GW6" s="1092"/>
      <c r="GX6" s="1092"/>
      <c r="GY6" s="1092"/>
      <c r="GZ6" s="1092"/>
      <c r="HA6" s="1093"/>
      <c r="HB6" s="1092"/>
      <c r="HC6" s="1092"/>
      <c r="HD6" s="1092"/>
      <c r="HE6" s="1092"/>
      <c r="HF6" s="1092"/>
      <c r="HG6" s="1092"/>
      <c r="HH6" s="1092"/>
      <c r="HI6" s="1092"/>
      <c r="HJ6" s="1092"/>
      <c r="HK6" s="1092"/>
      <c r="HL6" s="1092"/>
      <c r="HM6" s="1092"/>
      <c r="HN6" s="1093"/>
      <c r="HO6" s="1092"/>
      <c r="HP6" s="1092"/>
      <c r="HQ6" s="1092"/>
      <c r="HR6" s="1092"/>
      <c r="HS6" s="1092"/>
      <c r="HT6" s="1092"/>
      <c r="HU6" s="1092"/>
      <c r="HV6" s="1092"/>
      <c r="HW6" s="1092"/>
      <c r="HX6" s="1092"/>
      <c r="HY6" s="1092"/>
      <c r="HZ6" s="1092"/>
      <c r="IA6" s="1093"/>
      <c r="IB6" s="1092"/>
      <c r="IC6" s="1092"/>
      <c r="ID6" s="1092"/>
      <c r="IE6" s="1092"/>
      <c r="IF6" s="1092"/>
      <c r="IG6" s="1092"/>
      <c r="IH6" s="1092"/>
      <c r="II6" s="1092"/>
      <c r="IJ6" s="1092"/>
      <c r="IK6" s="1092"/>
      <c r="IL6" s="1092"/>
      <c r="IM6" s="1092"/>
      <c r="IN6" s="1093"/>
      <c r="IO6" s="1092"/>
      <c r="IP6" s="1092"/>
      <c r="IQ6" s="1092"/>
      <c r="IR6" s="1092"/>
      <c r="IS6" s="1092"/>
      <c r="IT6" s="1092"/>
      <c r="IU6" s="1092"/>
      <c r="IV6" s="1092"/>
      <c r="IW6" s="1092"/>
      <c r="IX6" s="1092"/>
      <c r="IY6" s="1092"/>
      <c r="IZ6" s="1092"/>
      <c r="JA6" s="1093"/>
      <c r="JB6" s="1092"/>
      <c r="JC6" s="1092"/>
      <c r="JD6" s="1092"/>
      <c r="JE6" s="1092"/>
      <c r="JF6" s="1092"/>
      <c r="JG6" s="1092"/>
      <c r="JH6" s="1092"/>
      <c r="JI6" s="1092"/>
      <c r="JJ6" s="1092"/>
      <c r="JK6" s="1092"/>
      <c r="JL6" s="1092"/>
      <c r="JM6" s="1092"/>
      <c r="JN6" s="1093"/>
      <c r="JP6" s="1137"/>
      <c r="JQ6" s="1138"/>
      <c r="JR6" s="1139"/>
      <c r="JS6" s="1140"/>
      <c r="JT6" s="1"/>
      <c r="JU6" s="8"/>
    </row>
    <row r="7" spans="1:281" s="1422" customFormat="1" ht="15" customHeight="1" x14ac:dyDescent="0.2">
      <c r="A7" s="1130" t="s">
        <v>603</v>
      </c>
      <c r="B7" s="1094">
        <f t="shared" ref="B7:M7" si="40">B9+B12</f>
        <v>72</v>
      </c>
      <c r="C7" s="1094">
        <f t="shared" si="40"/>
        <v>71</v>
      </c>
      <c r="D7" s="1094">
        <f t="shared" si="40"/>
        <v>84</v>
      </c>
      <c r="E7" s="1094">
        <f t="shared" si="40"/>
        <v>104</v>
      </c>
      <c r="F7" s="1094">
        <f t="shared" si="40"/>
        <v>75</v>
      </c>
      <c r="G7" s="1094">
        <f t="shared" si="40"/>
        <v>68</v>
      </c>
      <c r="H7" s="1094">
        <f t="shared" si="40"/>
        <v>73</v>
      </c>
      <c r="I7" s="1094">
        <f t="shared" si="40"/>
        <v>82</v>
      </c>
      <c r="J7" s="1094">
        <f t="shared" si="40"/>
        <v>77</v>
      </c>
      <c r="K7" s="1094">
        <f t="shared" si="40"/>
        <v>62</v>
      </c>
      <c r="L7" s="1094">
        <f t="shared" si="40"/>
        <v>66</v>
      </c>
      <c r="M7" s="1094">
        <f t="shared" si="40"/>
        <v>71</v>
      </c>
      <c r="N7" s="1095">
        <f>SUM(B7:M7)</f>
        <v>905</v>
      </c>
      <c r="O7" s="1094">
        <f t="shared" ref="O7:Z7" si="41">O9+O12</f>
        <v>75</v>
      </c>
      <c r="P7" s="1094">
        <f t="shared" si="41"/>
        <v>73</v>
      </c>
      <c r="Q7" s="1094">
        <f t="shared" si="41"/>
        <v>121</v>
      </c>
      <c r="R7" s="1094">
        <f t="shared" si="41"/>
        <v>111</v>
      </c>
      <c r="S7" s="1094">
        <f t="shared" si="41"/>
        <v>94</v>
      </c>
      <c r="T7" s="1094">
        <f t="shared" si="41"/>
        <v>104</v>
      </c>
      <c r="U7" s="1094">
        <f t="shared" si="41"/>
        <v>112</v>
      </c>
      <c r="V7" s="1094">
        <f t="shared" si="41"/>
        <v>104</v>
      </c>
      <c r="W7" s="1094">
        <f t="shared" si="41"/>
        <v>96</v>
      </c>
      <c r="X7" s="1094">
        <f t="shared" si="41"/>
        <v>93</v>
      </c>
      <c r="Y7" s="1094">
        <f t="shared" si="41"/>
        <v>89</v>
      </c>
      <c r="Z7" s="1094">
        <f t="shared" si="41"/>
        <v>98</v>
      </c>
      <c r="AA7" s="1095">
        <f>SUM(O7:Z7)</f>
        <v>1170</v>
      </c>
      <c r="AB7" s="1094">
        <f t="shared" ref="AB7:AM7" si="42">AB9+AB12</f>
        <v>93</v>
      </c>
      <c r="AC7" s="1094">
        <f t="shared" si="42"/>
        <v>105</v>
      </c>
      <c r="AD7" s="1094">
        <f t="shared" si="42"/>
        <v>135</v>
      </c>
      <c r="AE7" s="1094">
        <f t="shared" si="42"/>
        <v>113</v>
      </c>
      <c r="AF7" s="1094">
        <f t="shared" si="42"/>
        <v>122</v>
      </c>
      <c r="AG7" s="1094">
        <f t="shared" si="42"/>
        <v>123</v>
      </c>
      <c r="AH7" s="1094">
        <f t="shared" si="42"/>
        <v>117</v>
      </c>
      <c r="AI7" s="1094">
        <f t="shared" si="42"/>
        <v>118</v>
      </c>
      <c r="AJ7" s="1094">
        <f t="shared" si="42"/>
        <v>139</v>
      </c>
      <c r="AK7" s="1094">
        <f t="shared" si="42"/>
        <v>96</v>
      </c>
      <c r="AL7" s="1094">
        <f t="shared" si="42"/>
        <v>101</v>
      </c>
      <c r="AM7" s="1094">
        <f t="shared" si="42"/>
        <v>120.4</v>
      </c>
      <c r="AN7" s="1095">
        <f>SUM(AB7:AM7)</f>
        <v>1382.4</v>
      </c>
      <c r="AO7" s="1094">
        <f t="shared" ref="AO7:AZ7" si="43">AO9+AO12</f>
        <v>112</v>
      </c>
      <c r="AP7" s="1094">
        <f t="shared" si="43"/>
        <v>86</v>
      </c>
      <c r="AQ7" s="1094">
        <f t="shared" si="43"/>
        <v>81</v>
      </c>
      <c r="AR7" s="1094">
        <f t="shared" si="43"/>
        <v>91</v>
      </c>
      <c r="AS7" s="1094">
        <f t="shared" si="43"/>
        <v>69</v>
      </c>
      <c r="AT7" s="1094">
        <f t="shared" si="43"/>
        <v>108</v>
      </c>
      <c r="AU7" s="1094">
        <f t="shared" si="43"/>
        <v>84</v>
      </c>
      <c r="AV7" s="1094">
        <f t="shared" si="43"/>
        <v>99</v>
      </c>
      <c r="AW7" s="1094">
        <f t="shared" si="43"/>
        <v>98</v>
      </c>
      <c r="AX7" s="1094">
        <f t="shared" si="43"/>
        <v>93</v>
      </c>
      <c r="AY7" s="1094">
        <f t="shared" si="43"/>
        <v>102</v>
      </c>
      <c r="AZ7" s="1094">
        <f t="shared" si="43"/>
        <v>108</v>
      </c>
      <c r="BA7" s="1095">
        <f>SUM(AO7:AZ7)</f>
        <v>1131</v>
      </c>
      <c r="BB7" s="1094">
        <f t="shared" ref="BB7:BM7" si="44">BB9+BB12</f>
        <v>142</v>
      </c>
      <c r="BC7" s="1094">
        <f t="shared" si="44"/>
        <v>168</v>
      </c>
      <c r="BD7" s="1094">
        <f t="shared" si="44"/>
        <v>177</v>
      </c>
      <c r="BE7" s="1094">
        <f t="shared" si="44"/>
        <v>209</v>
      </c>
      <c r="BF7" s="1094">
        <f t="shared" si="44"/>
        <v>241</v>
      </c>
      <c r="BG7" s="1094">
        <f t="shared" si="44"/>
        <v>225</v>
      </c>
      <c r="BH7" s="1094">
        <f t="shared" si="44"/>
        <v>218</v>
      </c>
      <c r="BI7" s="1094">
        <f t="shared" si="44"/>
        <v>226</v>
      </c>
      <c r="BJ7" s="1094">
        <f t="shared" si="44"/>
        <v>253</v>
      </c>
      <c r="BK7" s="1094">
        <f t="shared" si="44"/>
        <v>213</v>
      </c>
      <c r="BL7" s="1094">
        <f t="shared" si="44"/>
        <v>215</v>
      </c>
      <c r="BM7" s="1094">
        <f t="shared" si="44"/>
        <v>258</v>
      </c>
      <c r="BN7" s="1095">
        <f>SUM(BB7:BM7)</f>
        <v>2545</v>
      </c>
      <c r="BO7" s="1094">
        <f t="shared" ref="BO7:BZ7" si="45">BO9+BO12</f>
        <v>244</v>
      </c>
      <c r="BP7" s="1094">
        <f t="shared" si="45"/>
        <v>254</v>
      </c>
      <c r="BQ7" s="1094">
        <f t="shared" si="45"/>
        <v>232</v>
      </c>
      <c r="BR7" s="1094">
        <f t="shared" si="45"/>
        <v>279</v>
      </c>
      <c r="BS7" s="1094">
        <f t="shared" si="45"/>
        <v>225</v>
      </c>
      <c r="BT7" s="1094">
        <f t="shared" si="45"/>
        <v>223</v>
      </c>
      <c r="BU7" s="1094">
        <f t="shared" si="45"/>
        <v>232</v>
      </c>
      <c r="BV7" s="1094">
        <f t="shared" si="45"/>
        <v>238</v>
      </c>
      <c r="BW7" s="1094">
        <f t="shared" si="45"/>
        <v>246</v>
      </c>
      <c r="BX7" s="1094">
        <f t="shared" si="45"/>
        <v>210</v>
      </c>
      <c r="BY7" s="1094">
        <f t="shared" si="45"/>
        <v>235</v>
      </c>
      <c r="BZ7" s="1094">
        <f t="shared" si="45"/>
        <v>230</v>
      </c>
      <c r="CA7" s="1095">
        <f>SUM(BO7:BZ7)</f>
        <v>2848</v>
      </c>
      <c r="CB7" s="1094">
        <f t="shared" ref="CB7:CM7" si="46">CB9+CB12</f>
        <v>236</v>
      </c>
      <c r="CC7" s="1094">
        <f t="shared" si="46"/>
        <v>242</v>
      </c>
      <c r="CD7" s="1094">
        <f t="shared" si="46"/>
        <v>245</v>
      </c>
      <c r="CE7" s="1094">
        <f t="shared" si="46"/>
        <v>273</v>
      </c>
      <c r="CF7" s="1094">
        <f t="shared" si="46"/>
        <v>211</v>
      </c>
      <c r="CG7" s="1094">
        <f t="shared" si="46"/>
        <v>211</v>
      </c>
      <c r="CH7" s="1094">
        <f t="shared" si="46"/>
        <v>194</v>
      </c>
      <c r="CI7" s="1094">
        <f t="shared" si="46"/>
        <v>201</v>
      </c>
      <c r="CJ7" s="1094">
        <f t="shared" si="46"/>
        <v>236</v>
      </c>
      <c r="CK7" s="1094">
        <f t="shared" si="46"/>
        <v>230</v>
      </c>
      <c r="CL7" s="1094">
        <f t="shared" si="46"/>
        <v>248</v>
      </c>
      <c r="CM7" s="1094">
        <f t="shared" si="46"/>
        <v>321</v>
      </c>
      <c r="CN7" s="1095">
        <f t="shared" ref="CN7:CN14" si="47">SUM(CB7:CM7)</f>
        <v>2848</v>
      </c>
      <c r="CO7" s="1094">
        <f t="shared" ref="CO7:CZ7" si="48">CO9+CO12</f>
        <v>234</v>
      </c>
      <c r="CP7" s="1094">
        <f t="shared" si="48"/>
        <v>233</v>
      </c>
      <c r="CQ7" s="1094">
        <f t="shared" si="48"/>
        <v>283</v>
      </c>
      <c r="CR7" s="1094">
        <f t="shared" si="48"/>
        <v>231</v>
      </c>
      <c r="CS7" s="1094">
        <f t="shared" si="48"/>
        <v>223</v>
      </c>
      <c r="CT7" s="1094">
        <f t="shared" si="48"/>
        <v>240</v>
      </c>
      <c r="CU7" s="1094">
        <f t="shared" si="48"/>
        <v>275</v>
      </c>
      <c r="CV7" s="1094">
        <f t="shared" si="48"/>
        <v>257</v>
      </c>
      <c r="CW7" s="1094">
        <f t="shared" si="48"/>
        <v>199</v>
      </c>
      <c r="CX7" s="1094">
        <f t="shared" si="48"/>
        <v>226</v>
      </c>
      <c r="CY7" s="1094">
        <f t="shared" si="48"/>
        <v>232</v>
      </c>
      <c r="CZ7" s="1094">
        <f t="shared" si="48"/>
        <v>288</v>
      </c>
      <c r="DA7" s="1095">
        <f t="shared" ref="DA7:DA16" si="49">SUM(CO7:CZ7)</f>
        <v>2921</v>
      </c>
      <c r="DB7" s="1094">
        <f t="shared" ref="DB7:DM7" si="50">DB9+DB12</f>
        <v>327</v>
      </c>
      <c r="DC7" s="1094">
        <f t="shared" si="50"/>
        <v>345</v>
      </c>
      <c r="DD7" s="1094">
        <f t="shared" si="50"/>
        <v>401</v>
      </c>
      <c r="DE7" s="1094">
        <f t="shared" si="50"/>
        <v>432</v>
      </c>
      <c r="DF7" s="1094">
        <f t="shared" si="50"/>
        <v>404</v>
      </c>
      <c r="DG7" s="1094">
        <f t="shared" si="50"/>
        <v>387</v>
      </c>
      <c r="DH7" s="1094">
        <f t="shared" si="50"/>
        <v>442</v>
      </c>
      <c r="DI7" s="1094">
        <f t="shared" si="50"/>
        <v>172</v>
      </c>
      <c r="DJ7" s="1094">
        <f t="shared" si="50"/>
        <v>178</v>
      </c>
      <c r="DK7" s="1094">
        <f t="shared" si="50"/>
        <v>272</v>
      </c>
      <c r="DL7" s="1094">
        <f t="shared" si="50"/>
        <v>229</v>
      </c>
      <c r="DM7" s="1094">
        <f t="shared" si="50"/>
        <v>248</v>
      </c>
      <c r="DN7" s="1095">
        <f>SUM(DB7:DM7)</f>
        <v>3837</v>
      </c>
      <c r="DO7" s="1094">
        <f t="shared" ref="DO7:DZ7" si="51">DO9+DO12</f>
        <v>211</v>
      </c>
      <c r="DP7" s="1094">
        <f t="shared" si="51"/>
        <v>273</v>
      </c>
      <c r="DQ7" s="1094">
        <f t="shared" si="51"/>
        <v>182</v>
      </c>
      <c r="DR7" s="1094">
        <f t="shared" si="51"/>
        <v>239</v>
      </c>
      <c r="DS7" s="1094">
        <f t="shared" si="51"/>
        <v>359</v>
      </c>
      <c r="DT7" s="1094">
        <f t="shared" si="51"/>
        <v>360</v>
      </c>
      <c r="DU7" s="1094">
        <f t="shared" si="51"/>
        <v>423</v>
      </c>
      <c r="DV7" s="1094">
        <f t="shared" si="51"/>
        <v>467</v>
      </c>
      <c r="DW7" s="1094">
        <f t="shared" si="51"/>
        <v>522</v>
      </c>
      <c r="DX7" s="1094">
        <f t="shared" si="51"/>
        <v>442</v>
      </c>
      <c r="DY7" s="1094">
        <f t="shared" si="51"/>
        <v>510.78</v>
      </c>
      <c r="DZ7" s="1094">
        <f t="shared" si="51"/>
        <v>466</v>
      </c>
      <c r="EA7" s="1095">
        <f t="shared" ref="EA7:EA24" si="52">SUM(DO7:DZ7)</f>
        <v>4454.78</v>
      </c>
      <c r="EB7" s="1094">
        <f t="shared" ref="EB7:EM7" si="53">EB9+EB12</f>
        <v>474</v>
      </c>
      <c r="EC7" s="1094">
        <f t="shared" si="53"/>
        <v>406</v>
      </c>
      <c r="ED7" s="1094">
        <f t="shared" si="53"/>
        <v>476</v>
      </c>
      <c r="EE7" s="1094">
        <f t="shared" si="53"/>
        <v>391</v>
      </c>
      <c r="EF7" s="1094">
        <f t="shared" si="53"/>
        <v>377</v>
      </c>
      <c r="EG7" s="1094">
        <f t="shared" si="53"/>
        <v>401</v>
      </c>
      <c r="EH7" s="1094">
        <f t="shared" si="53"/>
        <v>433</v>
      </c>
      <c r="EI7" s="1094">
        <f t="shared" si="53"/>
        <v>446.61099999999999</v>
      </c>
      <c r="EJ7" s="1094">
        <f t="shared" si="53"/>
        <v>526.85900000000004</v>
      </c>
      <c r="EK7" s="1094">
        <f t="shared" si="53"/>
        <v>465.07299999999998</v>
      </c>
      <c r="EL7" s="1094">
        <f t="shared" si="53"/>
        <v>416</v>
      </c>
      <c r="EM7" s="1094">
        <f t="shared" si="53"/>
        <v>420</v>
      </c>
      <c r="EN7" s="1095">
        <f t="shared" ref="EN7:EN24" si="54">SUM(EB7:EM7)</f>
        <v>5232.5429999999997</v>
      </c>
      <c r="EO7" s="1094">
        <f t="shared" ref="EO7:EZ7" si="55">EO9+EO12</f>
        <v>386</v>
      </c>
      <c r="EP7" s="1094">
        <f t="shared" si="55"/>
        <v>285</v>
      </c>
      <c r="EQ7" s="1094">
        <f t="shared" si="55"/>
        <v>295</v>
      </c>
      <c r="ER7" s="1094">
        <f t="shared" si="55"/>
        <v>387</v>
      </c>
      <c r="ES7" s="1094">
        <f t="shared" si="55"/>
        <v>444</v>
      </c>
      <c r="ET7" s="1094">
        <f t="shared" si="55"/>
        <v>385</v>
      </c>
      <c r="EU7" s="1094">
        <f t="shared" si="55"/>
        <v>423</v>
      </c>
      <c r="EV7" s="1094">
        <f t="shared" si="55"/>
        <v>412</v>
      </c>
      <c r="EW7" s="1094">
        <f t="shared" si="55"/>
        <v>455</v>
      </c>
      <c r="EX7" s="1094">
        <f t="shared" si="55"/>
        <v>452</v>
      </c>
      <c r="EY7" s="1094">
        <f t="shared" si="55"/>
        <v>489</v>
      </c>
      <c r="EZ7" s="1094">
        <f t="shared" si="55"/>
        <v>460</v>
      </c>
      <c r="FA7" s="1095">
        <f t="shared" ref="FA7:FA24" si="56">SUM(EO7:EZ7)</f>
        <v>4873</v>
      </c>
      <c r="FB7" s="1094">
        <f t="shared" ref="FB7:FM7" si="57">FB9+FB12</f>
        <v>464</v>
      </c>
      <c r="FC7" s="1094">
        <f t="shared" si="57"/>
        <v>467</v>
      </c>
      <c r="FD7" s="1094">
        <f t="shared" si="57"/>
        <v>528</v>
      </c>
      <c r="FE7" s="1094">
        <f t="shared" si="57"/>
        <v>435</v>
      </c>
      <c r="FF7" s="1094">
        <f t="shared" si="57"/>
        <v>477</v>
      </c>
      <c r="FG7" s="1094">
        <f t="shared" si="57"/>
        <v>520</v>
      </c>
      <c r="FH7" s="1094">
        <f t="shared" si="57"/>
        <v>496</v>
      </c>
      <c r="FI7" s="1094">
        <f t="shared" si="57"/>
        <v>437</v>
      </c>
      <c r="FJ7" s="1094">
        <f t="shared" si="57"/>
        <v>485</v>
      </c>
      <c r="FK7" s="1094">
        <f t="shared" si="57"/>
        <v>420</v>
      </c>
      <c r="FL7" s="1094">
        <f t="shared" si="57"/>
        <v>423</v>
      </c>
      <c r="FM7" s="1094">
        <f t="shared" si="57"/>
        <v>437</v>
      </c>
      <c r="FN7" s="1095">
        <f>SUM(FB7:FM7)</f>
        <v>5589</v>
      </c>
      <c r="FO7" s="1094">
        <f t="shared" ref="FO7:FZ7" si="58">FO9+FO12</f>
        <v>389</v>
      </c>
      <c r="FP7" s="1094">
        <f t="shared" si="58"/>
        <v>435</v>
      </c>
      <c r="FQ7" s="1094">
        <f t="shared" si="58"/>
        <v>487</v>
      </c>
      <c r="FR7" s="1094">
        <f t="shared" si="58"/>
        <v>543</v>
      </c>
      <c r="FS7" s="1094">
        <f t="shared" si="58"/>
        <v>524</v>
      </c>
      <c r="FT7" s="1094">
        <f t="shared" si="58"/>
        <v>461</v>
      </c>
      <c r="FU7" s="1094">
        <f t="shared" si="58"/>
        <v>465</v>
      </c>
      <c r="FV7" s="1094">
        <f t="shared" si="58"/>
        <v>495</v>
      </c>
      <c r="FW7" s="1094">
        <f t="shared" si="58"/>
        <v>547</v>
      </c>
      <c r="FX7" s="1094">
        <f t="shared" si="58"/>
        <v>541</v>
      </c>
      <c r="FY7" s="1094">
        <f t="shared" si="58"/>
        <v>538</v>
      </c>
      <c r="FZ7" s="1094">
        <f t="shared" si="58"/>
        <v>542</v>
      </c>
      <c r="GA7" s="1095">
        <f>SUM(FO7:FZ7)</f>
        <v>5967</v>
      </c>
      <c r="GB7" s="1094">
        <f t="shared" ref="GB7:GM7" si="59">GB9+GB12</f>
        <v>475</v>
      </c>
      <c r="GC7" s="1094">
        <f t="shared" si="59"/>
        <v>474</v>
      </c>
      <c r="GD7" s="1094">
        <f t="shared" si="59"/>
        <v>344</v>
      </c>
      <c r="GE7" s="1094">
        <f t="shared" si="59"/>
        <v>358</v>
      </c>
      <c r="GF7" s="1094">
        <f t="shared" si="59"/>
        <v>362</v>
      </c>
      <c r="GG7" s="1094">
        <f t="shared" si="59"/>
        <v>304</v>
      </c>
      <c r="GH7" s="1094">
        <f t="shared" si="59"/>
        <v>357</v>
      </c>
      <c r="GI7" s="1094">
        <f t="shared" si="59"/>
        <v>398</v>
      </c>
      <c r="GJ7" s="1094">
        <f t="shared" si="59"/>
        <v>439</v>
      </c>
      <c r="GK7" s="1094">
        <f t="shared" si="59"/>
        <v>451</v>
      </c>
      <c r="GL7" s="1094">
        <f t="shared" si="59"/>
        <v>481</v>
      </c>
      <c r="GM7" s="1094">
        <f t="shared" si="59"/>
        <v>509</v>
      </c>
      <c r="GN7" s="1095">
        <f>SUM(GB7:GM7)</f>
        <v>4952</v>
      </c>
      <c r="GO7" s="1094">
        <f t="shared" ref="GO7:GZ7" si="60">GO9+GO12</f>
        <v>449</v>
      </c>
      <c r="GP7" s="1094">
        <f t="shared" si="60"/>
        <v>446</v>
      </c>
      <c r="GQ7" s="1094">
        <f t="shared" si="60"/>
        <v>487</v>
      </c>
      <c r="GR7" s="1094">
        <f t="shared" si="60"/>
        <v>511</v>
      </c>
      <c r="GS7" s="1094">
        <f t="shared" si="60"/>
        <v>471.09500000000003</v>
      </c>
      <c r="GT7" s="1094">
        <f t="shared" si="60"/>
        <v>508.73</v>
      </c>
      <c r="GU7" s="1094">
        <f t="shared" si="60"/>
        <v>538.04</v>
      </c>
      <c r="GV7" s="1094">
        <f t="shared" si="60"/>
        <v>513.21</v>
      </c>
      <c r="GW7" s="1094">
        <f t="shared" si="60"/>
        <v>524.88200000000006</v>
      </c>
      <c r="GX7" s="1094">
        <f t="shared" si="60"/>
        <v>514.42499999999995</v>
      </c>
      <c r="GY7" s="1094">
        <f t="shared" si="60"/>
        <v>508.565</v>
      </c>
      <c r="GZ7" s="1094">
        <f t="shared" si="60"/>
        <v>533.32999999999993</v>
      </c>
      <c r="HA7" s="1095">
        <f>SUM(GO7:GZ7)</f>
        <v>6005.277</v>
      </c>
      <c r="HB7" s="1094">
        <f t="shared" ref="HB7:HM7" si="61">HB9+HB12</f>
        <v>453.15</v>
      </c>
      <c r="HC7" s="1094">
        <f t="shared" si="61"/>
        <v>513.94000000000005</v>
      </c>
      <c r="HD7" s="1094">
        <f t="shared" si="61"/>
        <v>524.07000000000005</v>
      </c>
      <c r="HE7" s="1094">
        <f t="shared" si="61"/>
        <v>568.48</v>
      </c>
      <c r="HF7" s="1094">
        <f t="shared" si="61"/>
        <v>547.92499999999995</v>
      </c>
      <c r="HG7" s="1094">
        <f t="shared" si="61"/>
        <v>490.26900000000001</v>
      </c>
      <c r="HH7" s="1094">
        <f t="shared" si="61"/>
        <v>509.16800000000001</v>
      </c>
      <c r="HI7" s="1094">
        <f t="shared" si="61"/>
        <v>488.90999999999997</v>
      </c>
      <c r="HJ7" s="1094">
        <f t="shared" si="61"/>
        <v>474.24400000000003</v>
      </c>
      <c r="HK7" s="1094">
        <f t="shared" si="61"/>
        <v>488.54400000000004</v>
      </c>
      <c r="HL7" s="1094">
        <f t="shared" si="61"/>
        <v>482.5</v>
      </c>
      <c r="HM7" s="1094">
        <f t="shared" si="61"/>
        <v>491.93999999999994</v>
      </c>
      <c r="HN7" s="1095">
        <f>SUM(HB7:HM7)</f>
        <v>6033.14</v>
      </c>
      <c r="HO7" s="1094">
        <f t="shared" ref="HO7:IM7" si="62">HO9+HO12</f>
        <v>462.77499999999998</v>
      </c>
      <c r="HP7" s="1094">
        <f t="shared" si="62"/>
        <v>510.88</v>
      </c>
      <c r="HQ7" s="1094">
        <f t="shared" si="62"/>
        <v>503.40999999999997</v>
      </c>
      <c r="HR7" s="1094">
        <f t="shared" si="62"/>
        <v>561.40149999999994</v>
      </c>
      <c r="HS7" s="1094">
        <f t="shared" si="62"/>
        <v>506.54599999999999</v>
      </c>
      <c r="HT7" s="1094">
        <f t="shared" si="62"/>
        <v>443.14</v>
      </c>
      <c r="HU7" s="1094">
        <f t="shared" si="62"/>
        <v>419.6</v>
      </c>
      <c r="HV7" s="1094">
        <f t="shared" si="62"/>
        <v>429.90499999999997</v>
      </c>
      <c r="HW7" s="1094">
        <f t="shared" si="62"/>
        <v>448.77499999999998</v>
      </c>
      <c r="HX7" s="1094">
        <f t="shared" si="62"/>
        <v>417.21600000000001</v>
      </c>
      <c r="HY7" s="1094">
        <f t="shared" si="62"/>
        <v>446.86</v>
      </c>
      <c r="HZ7" s="1094">
        <f t="shared" si="62"/>
        <v>466.47199999999998</v>
      </c>
      <c r="IA7" s="1095">
        <f t="shared" si="62"/>
        <v>5616.9805000000006</v>
      </c>
      <c r="IB7" s="1094">
        <f t="shared" si="62"/>
        <v>466.43928</v>
      </c>
      <c r="IC7" s="1094">
        <f t="shared" si="62"/>
        <v>460.28</v>
      </c>
      <c r="ID7" s="1094">
        <f t="shared" si="62"/>
        <v>492.97748000000001</v>
      </c>
      <c r="IE7" s="1094">
        <f t="shared" si="62"/>
        <v>496.01500000000004</v>
      </c>
      <c r="IF7" s="1094">
        <f t="shared" si="62"/>
        <v>471.13500000000005</v>
      </c>
      <c r="IG7" s="1094">
        <f t="shared" si="62"/>
        <v>470.73</v>
      </c>
      <c r="IH7" s="1094">
        <f t="shared" si="62"/>
        <v>454.23</v>
      </c>
      <c r="II7" s="1094">
        <f t="shared" si="62"/>
        <v>478.11</v>
      </c>
      <c r="IJ7" s="1094">
        <f t="shared" si="62"/>
        <v>447.15350000000001</v>
      </c>
      <c r="IK7" s="1094">
        <f t="shared" si="62"/>
        <v>448.44799999999998</v>
      </c>
      <c r="IL7" s="1094">
        <f t="shared" si="62"/>
        <v>468.02300000000002</v>
      </c>
      <c r="IM7" s="1094">
        <f t="shared" si="62"/>
        <v>462.15999999999997</v>
      </c>
      <c r="IN7" s="1095">
        <f>SUM(IB7:IM7)</f>
        <v>5615.7012600000007</v>
      </c>
      <c r="IO7" s="1094">
        <f t="shared" ref="IO7:IZ7" si="63">IO9+IO12</f>
        <v>429.47800000000007</v>
      </c>
      <c r="IP7" s="1094">
        <f t="shared" si="63"/>
        <v>403.28300000000002</v>
      </c>
      <c r="IQ7" s="1094">
        <f t="shared" si="63"/>
        <v>458.108</v>
      </c>
      <c r="IR7" s="1094">
        <f t="shared" si="63"/>
        <v>452.48400000000004</v>
      </c>
      <c r="IS7" s="1094">
        <f t="shared" si="63"/>
        <v>497.20000000000005</v>
      </c>
      <c r="IT7" s="1094">
        <f t="shared" si="63"/>
        <v>467.41500000000002</v>
      </c>
      <c r="IU7" s="1094">
        <f t="shared" si="63"/>
        <v>467.07499999999999</v>
      </c>
      <c r="IV7" s="1094">
        <f t="shared" si="63"/>
        <v>478.81299999999999</v>
      </c>
      <c r="IW7" s="1094">
        <f t="shared" si="63"/>
        <v>457.58100000000002</v>
      </c>
      <c r="IX7" s="1094">
        <f t="shared" si="63"/>
        <v>421.358</v>
      </c>
      <c r="IY7" s="1094">
        <f t="shared" si="63"/>
        <v>410.10500000000002</v>
      </c>
      <c r="IZ7" s="1094">
        <f t="shared" si="63"/>
        <v>399.84800000000001</v>
      </c>
      <c r="JA7" s="1095">
        <f>SUM(IO7:IZ7)</f>
        <v>5342.7479999999996</v>
      </c>
      <c r="JB7" s="1094">
        <f t="shared" ref="JB7:JM7" si="64">JB9+JB12</f>
        <v>399.64499999999998</v>
      </c>
      <c r="JC7" s="1094">
        <f t="shared" si="64"/>
        <v>388.17499999999995</v>
      </c>
      <c r="JD7" s="1094">
        <f t="shared" si="64"/>
        <v>0</v>
      </c>
      <c r="JE7" s="1094">
        <f t="shared" si="64"/>
        <v>0</v>
      </c>
      <c r="JF7" s="1094">
        <f t="shared" si="64"/>
        <v>0</v>
      </c>
      <c r="JG7" s="1094">
        <f t="shared" si="64"/>
        <v>0</v>
      </c>
      <c r="JH7" s="1094">
        <f t="shared" si="64"/>
        <v>0</v>
      </c>
      <c r="JI7" s="1094">
        <f t="shared" si="64"/>
        <v>0</v>
      </c>
      <c r="JJ7" s="1094">
        <f t="shared" si="64"/>
        <v>0</v>
      </c>
      <c r="JK7" s="1094">
        <f t="shared" si="64"/>
        <v>0</v>
      </c>
      <c r="JL7" s="1094">
        <f t="shared" si="64"/>
        <v>0</v>
      </c>
      <c r="JM7" s="1094">
        <f t="shared" si="64"/>
        <v>0</v>
      </c>
      <c r="JN7" s="1095">
        <f>SUM(JB7:JM7)</f>
        <v>787.81999999999994</v>
      </c>
      <c r="JO7" s="1452"/>
      <c r="JP7" s="1113">
        <f>IFERROR(((
_xlfn.XLOOKUP((DATE(YEAR($JP$5),MONTH($JP$5),1)),$B$5:$JN$5,$B7:$JN7) /
_xlfn.XLOOKUP((DATE(YEAR($JP$5)-1,MONTH($JP$5),1)),$B$5:$JN$5,$B7:$JN7)
)-1)*100,"")</f>
        <v>-13.482776527609474</v>
      </c>
      <c r="JQ7" s="1171">
        <f>IFERROR(((JS7/JR7)-1)*100,"")</f>
        <v>-4.8605373997405499</v>
      </c>
      <c r="JR7" s="1114">
        <f>SUMIFS($B7:$JN7,$B$5:$JN$5,"&gt;="&amp;DATE(YEAR($JP$5)-1,1,1),$B$5:$JN$5,"&lt;="&amp;DATE(YEAR($JP$5)-1,MONTH($JP$5),1))</f>
        <v>5615.7012600000007</v>
      </c>
      <c r="JS7" s="1115">
        <f>SUMIFS($B7:$JN7,$B$5:$JN$5,"&gt;="&amp;DATE(YEAR($JP$5),1,1),$B$5:$JN$5,"&lt;="&amp;$JP$5)</f>
        <v>5342.7479999999996</v>
      </c>
      <c r="JT7" s="1456"/>
      <c r="JU7" s="1454" t="s">
        <v>543</v>
      </c>
    </row>
    <row r="8" spans="1:281" ht="15" customHeight="1" x14ac:dyDescent="0.2">
      <c r="A8" s="1129"/>
      <c r="B8" s="1096"/>
      <c r="C8" s="1096"/>
      <c r="D8" s="1096"/>
      <c r="E8" s="1096"/>
      <c r="F8" s="1096"/>
      <c r="G8" s="1096"/>
      <c r="H8" s="1096"/>
      <c r="I8" s="1096"/>
      <c r="J8" s="1096"/>
      <c r="K8" s="1096"/>
      <c r="L8" s="1096"/>
      <c r="M8" s="1096"/>
      <c r="N8" s="1097"/>
      <c r="O8" s="1096"/>
      <c r="P8" s="1096"/>
      <c r="Q8" s="1096"/>
      <c r="R8" s="1096"/>
      <c r="S8" s="1096"/>
      <c r="T8" s="1096"/>
      <c r="U8" s="1096"/>
      <c r="V8" s="1096"/>
      <c r="W8" s="1096"/>
      <c r="X8" s="1096"/>
      <c r="Y8" s="1096"/>
      <c r="Z8" s="1096"/>
      <c r="AA8" s="1097"/>
      <c r="AB8" s="1096"/>
      <c r="AC8" s="1096"/>
      <c r="AD8" s="1096"/>
      <c r="AE8" s="1096"/>
      <c r="AF8" s="1096"/>
      <c r="AG8" s="1096"/>
      <c r="AH8" s="1096"/>
      <c r="AI8" s="1096"/>
      <c r="AJ8" s="1096"/>
      <c r="AK8" s="1096"/>
      <c r="AL8" s="1096"/>
      <c r="AM8" s="1096"/>
      <c r="AN8" s="1097"/>
      <c r="AO8" s="1096"/>
      <c r="AP8" s="1096"/>
      <c r="AQ8" s="1096"/>
      <c r="AR8" s="1096"/>
      <c r="AS8" s="1096"/>
      <c r="AT8" s="1096"/>
      <c r="AU8" s="1096"/>
      <c r="AV8" s="1096"/>
      <c r="AW8" s="1096"/>
      <c r="AX8" s="1096"/>
      <c r="AY8" s="1096"/>
      <c r="AZ8" s="1096"/>
      <c r="BA8" s="1097"/>
      <c r="BB8" s="1096"/>
      <c r="BC8" s="1096"/>
      <c r="BD8" s="1096"/>
      <c r="BE8" s="1096"/>
      <c r="BF8" s="1096"/>
      <c r="BG8" s="1096"/>
      <c r="BH8" s="1096"/>
      <c r="BI8" s="1096"/>
      <c r="BJ8" s="1096"/>
      <c r="BK8" s="1096"/>
      <c r="BL8" s="1096"/>
      <c r="BM8" s="1096"/>
      <c r="BN8" s="1097"/>
      <c r="BO8" s="1096"/>
      <c r="BP8" s="1096"/>
      <c r="BQ8" s="1096"/>
      <c r="BR8" s="1096"/>
      <c r="BS8" s="1096"/>
      <c r="BT8" s="1096"/>
      <c r="BU8" s="1096"/>
      <c r="BV8" s="1096"/>
      <c r="BW8" s="1096"/>
      <c r="BX8" s="1096"/>
      <c r="BY8" s="1096"/>
      <c r="BZ8" s="1096"/>
      <c r="CA8" s="1097"/>
      <c r="CB8" s="1096"/>
      <c r="CC8" s="1096"/>
      <c r="CD8" s="1096"/>
      <c r="CE8" s="1096"/>
      <c r="CF8" s="1096"/>
      <c r="CG8" s="1096"/>
      <c r="CH8" s="1096"/>
      <c r="CI8" s="1096"/>
      <c r="CJ8" s="1096"/>
      <c r="CK8" s="1096"/>
      <c r="CL8" s="1096"/>
      <c r="CM8" s="1096"/>
      <c r="CN8" s="1097"/>
      <c r="CO8" s="1096"/>
      <c r="CP8" s="1096"/>
      <c r="CQ8" s="1096"/>
      <c r="CR8" s="1096"/>
      <c r="CS8" s="1096"/>
      <c r="CT8" s="1096"/>
      <c r="CU8" s="1096"/>
      <c r="CV8" s="1096"/>
      <c r="CW8" s="1096"/>
      <c r="CX8" s="1096"/>
      <c r="CY8" s="1096"/>
      <c r="CZ8" s="1096"/>
      <c r="DA8" s="1097"/>
      <c r="DB8" s="1096"/>
      <c r="DC8" s="1096"/>
      <c r="DD8" s="1096"/>
      <c r="DE8" s="1096"/>
      <c r="DF8" s="1096"/>
      <c r="DG8" s="1096"/>
      <c r="DH8" s="1096"/>
      <c r="DI8" s="1096"/>
      <c r="DJ8" s="1096"/>
      <c r="DK8" s="1096"/>
      <c r="DL8" s="1096"/>
      <c r="DM8" s="1096"/>
      <c r="DN8" s="1097"/>
      <c r="DO8" s="1096"/>
      <c r="DP8" s="1096"/>
      <c r="DQ8" s="1096"/>
      <c r="DR8" s="1096"/>
      <c r="DS8" s="1096"/>
      <c r="DT8" s="1096"/>
      <c r="DU8" s="1096"/>
      <c r="DV8" s="1096"/>
      <c r="DW8" s="1096"/>
      <c r="DX8" s="1096"/>
      <c r="DY8" s="1096"/>
      <c r="DZ8" s="1096"/>
      <c r="EA8" s="1097"/>
      <c r="EB8" s="1096"/>
      <c r="EC8" s="1096"/>
      <c r="ED8" s="1096"/>
      <c r="EE8" s="1096"/>
      <c r="EF8" s="1096"/>
      <c r="EG8" s="1096"/>
      <c r="EH8" s="1096"/>
      <c r="EI8" s="1096"/>
      <c r="EJ8" s="1096"/>
      <c r="EK8" s="1096"/>
      <c r="EL8" s="1096"/>
      <c r="EM8" s="1096"/>
      <c r="EN8" s="1097"/>
      <c r="EO8" s="1096"/>
      <c r="EP8" s="1096"/>
      <c r="EQ8" s="1096"/>
      <c r="ER8" s="1096"/>
      <c r="ES8" s="1096"/>
      <c r="ET8" s="1096"/>
      <c r="EU8" s="1096"/>
      <c r="EV8" s="1096"/>
      <c r="EW8" s="1096"/>
      <c r="EX8" s="1096"/>
      <c r="EY8" s="1096"/>
      <c r="EZ8" s="1096"/>
      <c r="FA8" s="1097"/>
      <c r="FB8" s="1096"/>
      <c r="FC8" s="1096"/>
      <c r="FD8" s="1096"/>
      <c r="FE8" s="1096"/>
      <c r="FF8" s="1096"/>
      <c r="FG8" s="1096"/>
      <c r="FH8" s="1096"/>
      <c r="FI8" s="1096"/>
      <c r="FJ8" s="1096"/>
      <c r="FK8" s="1096"/>
      <c r="FL8" s="1096"/>
      <c r="FM8" s="1096"/>
      <c r="FN8" s="1097"/>
      <c r="FO8" s="1096"/>
      <c r="FP8" s="1096"/>
      <c r="FQ8" s="1096"/>
      <c r="FR8" s="1096"/>
      <c r="FS8" s="1096"/>
      <c r="FT8" s="1096"/>
      <c r="FU8" s="1096"/>
      <c r="FV8" s="1096"/>
      <c r="FW8" s="1096"/>
      <c r="FX8" s="1096"/>
      <c r="FY8" s="1096"/>
      <c r="FZ8" s="1096"/>
      <c r="GA8" s="1097"/>
      <c r="GB8" s="1096"/>
      <c r="GC8" s="1096"/>
      <c r="GD8" s="1096"/>
      <c r="GE8" s="1096"/>
      <c r="GF8" s="1096"/>
      <c r="GG8" s="1096"/>
      <c r="GH8" s="1096"/>
      <c r="GI8" s="1096"/>
      <c r="GJ8" s="1096"/>
      <c r="GK8" s="1096"/>
      <c r="GL8" s="1096"/>
      <c r="GM8" s="1096"/>
      <c r="GN8" s="1097"/>
      <c r="GO8" s="1096"/>
      <c r="GP8" s="1096"/>
      <c r="GQ8" s="1096"/>
      <c r="GR8" s="1096"/>
      <c r="GS8" s="1096"/>
      <c r="GT8" s="1096"/>
      <c r="GU8" s="1096"/>
      <c r="GV8" s="1096"/>
      <c r="GW8" s="1096"/>
      <c r="GX8" s="1096"/>
      <c r="GY8" s="1096"/>
      <c r="GZ8" s="1096"/>
      <c r="HA8" s="1097"/>
      <c r="HB8" s="1096"/>
      <c r="HC8" s="1096"/>
      <c r="HD8" s="1096"/>
      <c r="HE8" s="1096"/>
      <c r="HF8" s="1096"/>
      <c r="HG8" s="1096"/>
      <c r="HH8" s="1096"/>
      <c r="HI8" s="1096"/>
      <c r="HJ8" s="1096"/>
      <c r="HK8" s="1096"/>
      <c r="HL8" s="1096"/>
      <c r="HM8" s="1096"/>
      <c r="HN8" s="1097"/>
      <c r="HO8" s="1096"/>
      <c r="HP8" s="1096"/>
      <c r="HQ8" s="1096"/>
      <c r="HR8" s="1096"/>
      <c r="HS8" s="1096"/>
      <c r="HT8" s="1096"/>
      <c r="HU8" s="1096"/>
      <c r="HV8" s="1096"/>
      <c r="HW8" s="1096"/>
      <c r="HX8" s="1096"/>
      <c r="HY8" s="1096"/>
      <c r="HZ8" s="1096"/>
      <c r="IA8" s="1097"/>
      <c r="IB8" s="1096"/>
      <c r="IC8" s="1096"/>
      <c r="ID8" s="1096"/>
      <c r="IE8" s="1096"/>
      <c r="IF8" s="1096"/>
      <c r="IG8" s="1096"/>
      <c r="IH8" s="1096"/>
      <c r="II8" s="1096"/>
      <c r="IJ8" s="1096"/>
      <c r="IK8" s="1096"/>
      <c r="IL8" s="1096"/>
      <c r="IM8" s="1096"/>
      <c r="IN8" s="1097"/>
      <c r="IO8" s="1096"/>
      <c r="IP8" s="1096"/>
      <c r="IQ8" s="1096"/>
      <c r="IR8" s="1096"/>
      <c r="IS8" s="1096"/>
      <c r="IT8" s="1096"/>
      <c r="IU8" s="1096"/>
      <c r="IV8" s="1096"/>
      <c r="IW8" s="1096"/>
      <c r="IX8" s="1096"/>
      <c r="IY8" s="1096"/>
      <c r="IZ8" s="1096"/>
      <c r="JA8" s="1097"/>
      <c r="JB8" s="1096"/>
      <c r="JC8" s="1096"/>
      <c r="JD8" s="1096"/>
      <c r="JE8" s="1096"/>
      <c r="JF8" s="1096"/>
      <c r="JG8" s="1096"/>
      <c r="JH8" s="1096"/>
      <c r="JI8" s="1096"/>
      <c r="JJ8" s="1096"/>
      <c r="JK8" s="1096"/>
      <c r="JL8" s="1096"/>
      <c r="JM8" s="1096"/>
      <c r="JN8" s="1097"/>
      <c r="JO8" s="72"/>
      <c r="JP8" s="1137"/>
      <c r="JQ8" s="1138"/>
      <c r="JR8" s="1139"/>
      <c r="JS8" s="1140"/>
      <c r="JT8" s="97"/>
      <c r="JU8" s="9"/>
    </row>
    <row r="9" spans="1:281" s="129" customFormat="1" ht="15" customHeight="1" x14ac:dyDescent="0.2">
      <c r="A9" s="1451" t="s">
        <v>604</v>
      </c>
      <c r="B9" s="1099">
        <f t="shared" ref="B9:M9" si="65">SUM(B10:B11)</f>
        <v>72</v>
      </c>
      <c r="C9" s="1099">
        <f t="shared" si="65"/>
        <v>71</v>
      </c>
      <c r="D9" s="1099">
        <f t="shared" si="65"/>
        <v>84</v>
      </c>
      <c r="E9" s="1099">
        <f t="shared" si="65"/>
        <v>104</v>
      </c>
      <c r="F9" s="1099">
        <f t="shared" si="65"/>
        <v>75</v>
      </c>
      <c r="G9" s="1099">
        <f t="shared" si="65"/>
        <v>68</v>
      </c>
      <c r="H9" s="1099">
        <f t="shared" si="65"/>
        <v>73</v>
      </c>
      <c r="I9" s="1099">
        <f t="shared" si="65"/>
        <v>82</v>
      </c>
      <c r="J9" s="1099">
        <f t="shared" si="65"/>
        <v>77</v>
      </c>
      <c r="K9" s="1099">
        <f t="shared" si="65"/>
        <v>62</v>
      </c>
      <c r="L9" s="1099">
        <f t="shared" si="65"/>
        <v>66</v>
      </c>
      <c r="M9" s="1099">
        <f t="shared" si="65"/>
        <v>71</v>
      </c>
      <c r="N9" s="1100">
        <f t="shared" ref="N9:N24" si="66">SUM(B9:M9)</f>
        <v>905</v>
      </c>
      <c r="O9" s="1099">
        <f t="shared" ref="O9:Z9" si="67">SUM(O10:O11)</f>
        <v>59</v>
      </c>
      <c r="P9" s="1099">
        <f t="shared" si="67"/>
        <v>57</v>
      </c>
      <c r="Q9" s="1099">
        <f t="shared" si="67"/>
        <v>97</v>
      </c>
      <c r="R9" s="1099">
        <f t="shared" si="67"/>
        <v>82</v>
      </c>
      <c r="S9" s="1099">
        <f t="shared" si="67"/>
        <v>72</v>
      </c>
      <c r="T9" s="1099">
        <f t="shared" si="67"/>
        <v>84</v>
      </c>
      <c r="U9" s="1099">
        <f t="shared" si="67"/>
        <v>90</v>
      </c>
      <c r="V9" s="1099">
        <f t="shared" si="67"/>
        <v>83</v>
      </c>
      <c r="W9" s="1099">
        <f t="shared" si="67"/>
        <v>73</v>
      </c>
      <c r="X9" s="1099">
        <f t="shared" si="67"/>
        <v>69</v>
      </c>
      <c r="Y9" s="1099">
        <f t="shared" si="67"/>
        <v>70</v>
      </c>
      <c r="Z9" s="1099">
        <f t="shared" si="67"/>
        <v>78</v>
      </c>
      <c r="AA9" s="1100">
        <f t="shared" ref="AA9:AA24" si="68">SUM(O9:Z9)</f>
        <v>914</v>
      </c>
      <c r="AB9" s="1099">
        <f t="shared" ref="AB9:AM9" si="69">SUM(AB10:AB11)</f>
        <v>75</v>
      </c>
      <c r="AC9" s="1099">
        <f t="shared" si="69"/>
        <v>84</v>
      </c>
      <c r="AD9" s="1099">
        <f t="shared" si="69"/>
        <v>96</v>
      </c>
      <c r="AE9" s="1099">
        <f t="shared" si="69"/>
        <v>81</v>
      </c>
      <c r="AF9" s="1099">
        <f t="shared" si="69"/>
        <v>80</v>
      </c>
      <c r="AG9" s="1099">
        <f t="shared" si="69"/>
        <v>90</v>
      </c>
      <c r="AH9" s="1099">
        <f t="shared" si="69"/>
        <v>81</v>
      </c>
      <c r="AI9" s="1099">
        <f t="shared" si="69"/>
        <v>81</v>
      </c>
      <c r="AJ9" s="1099">
        <f t="shared" si="69"/>
        <v>95</v>
      </c>
      <c r="AK9" s="1099">
        <f t="shared" si="69"/>
        <v>59</v>
      </c>
      <c r="AL9" s="1099">
        <f t="shared" si="69"/>
        <v>68</v>
      </c>
      <c r="AM9" s="1099">
        <f t="shared" si="69"/>
        <v>95.4</v>
      </c>
      <c r="AN9" s="1100">
        <f>SUM(AB9:AM9)</f>
        <v>985.4</v>
      </c>
      <c r="AO9" s="1099">
        <f t="shared" ref="AO9:AZ9" si="70">SUM(AO10:AO11)</f>
        <v>87</v>
      </c>
      <c r="AP9" s="1099">
        <f t="shared" si="70"/>
        <v>64</v>
      </c>
      <c r="AQ9" s="1099">
        <f t="shared" si="70"/>
        <v>63</v>
      </c>
      <c r="AR9" s="1099">
        <f t="shared" si="70"/>
        <v>65</v>
      </c>
      <c r="AS9" s="1099">
        <f t="shared" si="70"/>
        <v>51</v>
      </c>
      <c r="AT9" s="1099">
        <f t="shared" si="70"/>
        <v>81</v>
      </c>
      <c r="AU9" s="1099">
        <f t="shared" si="70"/>
        <v>59</v>
      </c>
      <c r="AV9" s="1099">
        <f t="shared" si="70"/>
        <v>67</v>
      </c>
      <c r="AW9" s="1099">
        <f t="shared" si="70"/>
        <v>74</v>
      </c>
      <c r="AX9" s="1099">
        <f t="shared" si="70"/>
        <v>66</v>
      </c>
      <c r="AY9" s="1099">
        <f t="shared" si="70"/>
        <v>68</v>
      </c>
      <c r="AZ9" s="1099">
        <f t="shared" si="70"/>
        <v>68</v>
      </c>
      <c r="BA9" s="1100">
        <f>SUM(AO9:AZ9)</f>
        <v>813</v>
      </c>
      <c r="BB9" s="1099">
        <f t="shared" ref="BB9:BM9" si="71">SUM(BB10:BB11)</f>
        <v>95</v>
      </c>
      <c r="BC9" s="1099">
        <f t="shared" si="71"/>
        <v>95</v>
      </c>
      <c r="BD9" s="1099">
        <f t="shared" si="71"/>
        <v>102</v>
      </c>
      <c r="BE9" s="1099">
        <f t="shared" si="71"/>
        <v>136</v>
      </c>
      <c r="BF9" s="1099">
        <f t="shared" si="71"/>
        <v>167</v>
      </c>
      <c r="BG9" s="1099">
        <f t="shared" si="71"/>
        <v>156</v>
      </c>
      <c r="BH9" s="1099">
        <f t="shared" si="71"/>
        <v>162</v>
      </c>
      <c r="BI9" s="1099">
        <f t="shared" si="71"/>
        <v>164</v>
      </c>
      <c r="BJ9" s="1099">
        <f t="shared" si="71"/>
        <v>171</v>
      </c>
      <c r="BK9" s="1099">
        <f t="shared" si="71"/>
        <v>150</v>
      </c>
      <c r="BL9" s="1099">
        <f t="shared" si="71"/>
        <v>140</v>
      </c>
      <c r="BM9" s="1099">
        <f t="shared" si="71"/>
        <v>163</v>
      </c>
      <c r="BN9" s="1100">
        <f>SUM(BB9:BM9)</f>
        <v>1701</v>
      </c>
      <c r="BO9" s="1099">
        <f t="shared" ref="BO9:BZ9" si="72">SUM(BO10:BO11)</f>
        <v>160</v>
      </c>
      <c r="BP9" s="1099">
        <f t="shared" si="72"/>
        <v>164</v>
      </c>
      <c r="BQ9" s="1099">
        <f t="shared" si="72"/>
        <v>160</v>
      </c>
      <c r="BR9" s="1099">
        <f t="shared" si="72"/>
        <v>185</v>
      </c>
      <c r="BS9" s="1099">
        <f t="shared" si="72"/>
        <v>141</v>
      </c>
      <c r="BT9" s="1099">
        <f t="shared" si="72"/>
        <v>133</v>
      </c>
      <c r="BU9" s="1099">
        <f t="shared" si="72"/>
        <v>150</v>
      </c>
      <c r="BV9" s="1099">
        <f t="shared" si="72"/>
        <v>157</v>
      </c>
      <c r="BW9" s="1099">
        <f t="shared" si="72"/>
        <v>163</v>
      </c>
      <c r="BX9" s="1099">
        <f t="shared" si="72"/>
        <v>136</v>
      </c>
      <c r="BY9" s="1099">
        <f t="shared" si="72"/>
        <v>129</v>
      </c>
      <c r="BZ9" s="1099">
        <f t="shared" si="72"/>
        <v>129</v>
      </c>
      <c r="CA9" s="1100">
        <f t="shared" ref="CA9:CA16" si="73">SUM(BO9:BZ9)</f>
        <v>1807</v>
      </c>
      <c r="CB9" s="1099">
        <f t="shared" ref="CB9:CM9" si="74">SUM(CB10:CB11)</f>
        <v>129</v>
      </c>
      <c r="CC9" s="1099">
        <f t="shared" si="74"/>
        <v>126</v>
      </c>
      <c r="CD9" s="1099">
        <f t="shared" si="74"/>
        <v>137</v>
      </c>
      <c r="CE9" s="1099">
        <f t="shared" si="74"/>
        <v>121</v>
      </c>
      <c r="CF9" s="1099">
        <f t="shared" si="74"/>
        <v>104</v>
      </c>
      <c r="CG9" s="1099">
        <f t="shared" si="74"/>
        <v>108</v>
      </c>
      <c r="CH9" s="1099">
        <f t="shared" si="74"/>
        <v>96</v>
      </c>
      <c r="CI9" s="1099">
        <f t="shared" si="74"/>
        <v>108</v>
      </c>
      <c r="CJ9" s="1099">
        <f t="shared" si="74"/>
        <v>121</v>
      </c>
      <c r="CK9" s="1099">
        <f t="shared" si="74"/>
        <v>94</v>
      </c>
      <c r="CL9" s="1099">
        <f t="shared" si="74"/>
        <v>101</v>
      </c>
      <c r="CM9" s="1099">
        <f t="shared" si="74"/>
        <v>115</v>
      </c>
      <c r="CN9" s="1100">
        <f t="shared" si="47"/>
        <v>1360</v>
      </c>
      <c r="CO9" s="1099">
        <f t="shared" ref="CO9:CZ9" si="75">SUM(CO10:CO11)</f>
        <v>73</v>
      </c>
      <c r="CP9" s="1099">
        <f t="shared" si="75"/>
        <v>92</v>
      </c>
      <c r="CQ9" s="1099">
        <f t="shared" si="75"/>
        <v>88</v>
      </c>
      <c r="CR9" s="1099">
        <f t="shared" si="75"/>
        <v>80</v>
      </c>
      <c r="CS9" s="1099">
        <f t="shared" si="75"/>
        <v>72</v>
      </c>
      <c r="CT9" s="1099">
        <f t="shared" si="75"/>
        <v>93</v>
      </c>
      <c r="CU9" s="1099">
        <f t="shared" si="75"/>
        <v>120</v>
      </c>
      <c r="CV9" s="1099">
        <f t="shared" si="75"/>
        <v>104</v>
      </c>
      <c r="CW9" s="1099">
        <f t="shared" si="75"/>
        <v>102</v>
      </c>
      <c r="CX9" s="1099">
        <f t="shared" si="75"/>
        <v>101</v>
      </c>
      <c r="CY9" s="1099">
        <f t="shared" si="75"/>
        <v>77</v>
      </c>
      <c r="CZ9" s="1099">
        <f t="shared" si="75"/>
        <v>108</v>
      </c>
      <c r="DA9" s="1100">
        <f t="shared" si="49"/>
        <v>1110</v>
      </c>
      <c r="DB9" s="1099">
        <f t="shared" ref="DB9:DM9" si="76">SUM(DB10:DB11)</f>
        <v>106</v>
      </c>
      <c r="DC9" s="1099">
        <f t="shared" si="76"/>
        <v>91</v>
      </c>
      <c r="DD9" s="1099">
        <f t="shared" si="76"/>
        <v>79</v>
      </c>
      <c r="DE9" s="1099">
        <f t="shared" si="76"/>
        <v>76</v>
      </c>
      <c r="DF9" s="1099">
        <f t="shared" si="76"/>
        <v>76</v>
      </c>
      <c r="DG9" s="1099">
        <f t="shared" si="76"/>
        <v>75</v>
      </c>
      <c r="DH9" s="1099">
        <f t="shared" si="76"/>
        <v>73</v>
      </c>
      <c r="DI9" s="1099">
        <f t="shared" si="76"/>
        <v>101</v>
      </c>
      <c r="DJ9" s="1099">
        <f t="shared" si="76"/>
        <v>105</v>
      </c>
      <c r="DK9" s="1099">
        <f t="shared" si="76"/>
        <v>187</v>
      </c>
      <c r="DL9" s="1099">
        <f t="shared" si="76"/>
        <v>158</v>
      </c>
      <c r="DM9" s="1099">
        <f t="shared" si="76"/>
        <v>159</v>
      </c>
      <c r="DN9" s="1100">
        <f>SUM(DB9:DM9)</f>
        <v>1286</v>
      </c>
      <c r="DO9" s="1099">
        <f t="shared" ref="DO9:DZ9" si="77">SUM(DO10:DO11)</f>
        <v>134</v>
      </c>
      <c r="DP9" s="1099">
        <f t="shared" si="77"/>
        <v>167</v>
      </c>
      <c r="DQ9" s="1099">
        <f t="shared" si="77"/>
        <v>100</v>
      </c>
      <c r="DR9" s="1099">
        <f t="shared" si="77"/>
        <v>154</v>
      </c>
      <c r="DS9" s="1099">
        <f t="shared" si="77"/>
        <v>237</v>
      </c>
      <c r="DT9" s="1099">
        <f t="shared" si="77"/>
        <v>256</v>
      </c>
      <c r="DU9" s="1099">
        <f t="shared" si="77"/>
        <v>296</v>
      </c>
      <c r="DV9" s="1099">
        <f t="shared" si="77"/>
        <v>354</v>
      </c>
      <c r="DW9" s="1099">
        <f t="shared" si="77"/>
        <v>382</v>
      </c>
      <c r="DX9" s="1099">
        <f t="shared" si="77"/>
        <v>280</v>
      </c>
      <c r="DY9" s="1099">
        <f t="shared" si="77"/>
        <v>357.78</v>
      </c>
      <c r="DZ9" s="1099">
        <f t="shared" si="77"/>
        <v>297</v>
      </c>
      <c r="EA9" s="1100">
        <f t="shared" si="52"/>
        <v>3014.7799999999997</v>
      </c>
      <c r="EB9" s="1099">
        <f t="shared" ref="EB9:EM9" si="78">SUM(EB10:EB11)</f>
        <v>308</v>
      </c>
      <c r="EC9" s="1099">
        <f t="shared" si="78"/>
        <v>258</v>
      </c>
      <c r="ED9" s="1099">
        <f t="shared" si="78"/>
        <v>295</v>
      </c>
      <c r="EE9" s="1099">
        <f t="shared" si="78"/>
        <v>212</v>
      </c>
      <c r="EF9" s="1099">
        <f t="shared" si="78"/>
        <v>203</v>
      </c>
      <c r="EG9" s="1099">
        <f t="shared" si="78"/>
        <v>206</v>
      </c>
      <c r="EH9" s="1099">
        <f t="shared" si="78"/>
        <v>230</v>
      </c>
      <c r="EI9" s="1099">
        <f t="shared" si="78"/>
        <v>265.61099999999999</v>
      </c>
      <c r="EJ9" s="1099">
        <f t="shared" si="78"/>
        <v>333.85900000000004</v>
      </c>
      <c r="EK9" s="1099">
        <f t="shared" si="78"/>
        <v>300.07299999999998</v>
      </c>
      <c r="EL9" s="1099">
        <f t="shared" si="78"/>
        <v>249</v>
      </c>
      <c r="EM9" s="1099">
        <f t="shared" si="78"/>
        <v>255</v>
      </c>
      <c r="EN9" s="1100">
        <f t="shared" si="54"/>
        <v>3115.5429999999997</v>
      </c>
      <c r="EO9" s="1099">
        <f t="shared" ref="EO9:EZ9" si="79">SUM(EO10:EO11)</f>
        <v>225</v>
      </c>
      <c r="EP9" s="1099">
        <f t="shared" si="79"/>
        <v>133</v>
      </c>
      <c r="EQ9" s="1099">
        <f t="shared" si="79"/>
        <v>129</v>
      </c>
      <c r="ER9" s="1099">
        <f t="shared" si="79"/>
        <v>189</v>
      </c>
      <c r="ES9" s="1099">
        <f t="shared" si="79"/>
        <v>276</v>
      </c>
      <c r="ET9" s="1099">
        <f t="shared" si="79"/>
        <v>161</v>
      </c>
      <c r="EU9" s="1099">
        <f t="shared" si="79"/>
        <v>178</v>
      </c>
      <c r="EV9" s="1099">
        <f t="shared" si="79"/>
        <v>178</v>
      </c>
      <c r="EW9" s="1099">
        <f t="shared" si="79"/>
        <v>181</v>
      </c>
      <c r="EX9" s="1099">
        <f t="shared" si="79"/>
        <v>201</v>
      </c>
      <c r="EY9" s="1099">
        <f t="shared" si="79"/>
        <v>221</v>
      </c>
      <c r="EZ9" s="1099">
        <f t="shared" si="79"/>
        <v>198</v>
      </c>
      <c r="FA9" s="1100">
        <f t="shared" si="56"/>
        <v>2270</v>
      </c>
      <c r="FB9" s="1099">
        <f t="shared" ref="FB9:FM9" si="80">SUM(FB10:FB11)</f>
        <v>186</v>
      </c>
      <c r="FC9" s="1099">
        <f t="shared" si="80"/>
        <v>187</v>
      </c>
      <c r="FD9" s="1099">
        <f t="shared" si="80"/>
        <v>225</v>
      </c>
      <c r="FE9" s="1099">
        <f t="shared" si="80"/>
        <v>215</v>
      </c>
      <c r="FF9" s="1099">
        <f t="shared" si="80"/>
        <v>215</v>
      </c>
      <c r="FG9" s="1099">
        <f t="shared" si="80"/>
        <v>255</v>
      </c>
      <c r="FH9" s="1099">
        <f t="shared" si="80"/>
        <v>226</v>
      </c>
      <c r="FI9" s="1099">
        <f t="shared" si="80"/>
        <v>227</v>
      </c>
      <c r="FJ9" s="1099">
        <f t="shared" si="80"/>
        <v>235</v>
      </c>
      <c r="FK9" s="1099">
        <f t="shared" si="80"/>
        <v>210</v>
      </c>
      <c r="FL9" s="1099">
        <f t="shared" si="80"/>
        <v>212</v>
      </c>
      <c r="FM9" s="1099">
        <f t="shared" si="80"/>
        <v>217</v>
      </c>
      <c r="FN9" s="1100">
        <f>SUM(FB9:FM9)</f>
        <v>2610</v>
      </c>
      <c r="FO9" s="1099">
        <f t="shared" ref="FO9:FZ9" si="81">SUM(FO10:FO11)</f>
        <v>184</v>
      </c>
      <c r="FP9" s="1099">
        <f t="shared" si="81"/>
        <v>195</v>
      </c>
      <c r="FQ9" s="1099">
        <f t="shared" si="81"/>
        <v>230</v>
      </c>
      <c r="FR9" s="1099">
        <f t="shared" si="81"/>
        <v>237</v>
      </c>
      <c r="FS9" s="1099">
        <f t="shared" si="81"/>
        <v>256</v>
      </c>
      <c r="FT9" s="1099">
        <f t="shared" si="81"/>
        <v>218</v>
      </c>
      <c r="FU9" s="1099">
        <f t="shared" si="81"/>
        <v>218</v>
      </c>
      <c r="FV9" s="1099">
        <f t="shared" si="81"/>
        <v>268</v>
      </c>
      <c r="FW9" s="1099">
        <f t="shared" si="81"/>
        <v>274</v>
      </c>
      <c r="FX9" s="1099">
        <f t="shared" si="81"/>
        <v>265</v>
      </c>
      <c r="FY9" s="1099">
        <f t="shared" si="81"/>
        <v>274</v>
      </c>
      <c r="FZ9" s="1099">
        <f t="shared" si="81"/>
        <v>259</v>
      </c>
      <c r="GA9" s="1100">
        <f>SUM(FO9:FZ9)</f>
        <v>2878</v>
      </c>
      <c r="GB9" s="1099">
        <f t="shared" ref="GB9:GM9" si="82">SUM(GB10:GB11)</f>
        <v>233</v>
      </c>
      <c r="GC9" s="1099">
        <f t="shared" si="82"/>
        <v>231</v>
      </c>
      <c r="GD9" s="1099">
        <f t="shared" si="82"/>
        <v>156</v>
      </c>
      <c r="GE9" s="1099">
        <f t="shared" si="82"/>
        <v>187</v>
      </c>
      <c r="GF9" s="1099">
        <f t="shared" si="82"/>
        <v>156</v>
      </c>
      <c r="GG9" s="1099">
        <f t="shared" si="82"/>
        <v>139</v>
      </c>
      <c r="GH9" s="1099">
        <f t="shared" si="82"/>
        <v>177</v>
      </c>
      <c r="GI9" s="1099">
        <f t="shared" si="82"/>
        <v>208</v>
      </c>
      <c r="GJ9" s="1099">
        <f t="shared" si="82"/>
        <v>234</v>
      </c>
      <c r="GK9" s="1099">
        <f t="shared" si="82"/>
        <v>225</v>
      </c>
      <c r="GL9" s="1099">
        <f t="shared" si="82"/>
        <v>226</v>
      </c>
      <c r="GM9" s="1099">
        <f t="shared" si="82"/>
        <v>236</v>
      </c>
      <c r="GN9" s="1100">
        <f t="shared" ref="GN9:GN24" si="83">SUM(GB9:GM9)</f>
        <v>2408</v>
      </c>
      <c r="GO9" s="1099">
        <f t="shared" ref="GO9:GZ9" si="84">SUM(GO10:GO11)</f>
        <v>220</v>
      </c>
      <c r="GP9" s="1099">
        <f t="shared" si="84"/>
        <v>229</v>
      </c>
      <c r="GQ9" s="1099">
        <f t="shared" si="84"/>
        <v>246</v>
      </c>
      <c r="GR9" s="1099">
        <f t="shared" si="84"/>
        <v>235</v>
      </c>
      <c r="GS9" s="1099">
        <f t="shared" si="84"/>
        <v>218.745</v>
      </c>
      <c r="GT9" s="1099">
        <f t="shared" si="84"/>
        <v>239.73000000000002</v>
      </c>
      <c r="GU9" s="1099">
        <f t="shared" si="84"/>
        <v>257.57</v>
      </c>
      <c r="GV9" s="1099">
        <f t="shared" si="84"/>
        <v>248.70499999999998</v>
      </c>
      <c r="GW9" s="1099">
        <f t="shared" si="84"/>
        <v>267.392</v>
      </c>
      <c r="GX9" s="1099">
        <f t="shared" si="84"/>
        <v>250.73499999999999</v>
      </c>
      <c r="GY9" s="1099">
        <f t="shared" si="84"/>
        <v>239.685</v>
      </c>
      <c r="GZ9" s="1099">
        <f t="shared" si="84"/>
        <v>253.98</v>
      </c>
      <c r="HA9" s="1100">
        <f t="shared" ref="HA9:HA24" si="85">SUM(GO9:GZ9)</f>
        <v>2906.5419999999999</v>
      </c>
      <c r="HB9" s="1099">
        <f t="shared" ref="HB9:HM9" si="86">SUM(HB10:HB11)</f>
        <v>186.9</v>
      </c>
      <c r="HC9" s="1099">
        <f t="shared" si="86"/>
        <v>224.6</v>
      </c>
      <c r="HD9" s="1099">
        <f t="shared" si="86"/>
        <v>257.92</v>
      </c>
      <c r="HE9" s="1099">
        <f t="shared" si="86"/>
        <v>283.39999999999998</v>
      </c>
      <c r="HF9" s="1099">
        <f t="shared" si="86"/>
        <v>263.99</v>
      </c>
      <c r="HG9" s="1099">
        <f t="shared" si="86"/>
        <v>246.785</v>
      </c>
      <c r="HH9" s="1099">
        <f t="shared" si="86"/>
        <v>260.98</v>
      </c>
      <c r="HI9" s="1099">
        <f t="shared" si="86"/>
        <v>271.61</v>
      </c>
      <c r="HJ9" s="1099">
        <f t="shared" si="86"/>
        <v>253.74</v>
      </c>
      <c r="HK9" s="1099">
        <f t="shared" si="86"/>
        <v>256.34000000000003</v>
      </c>
      <c r="HL9" s="1099">
        <f t="shared" si="86"/>
        <v>245.59</v>
      </c>
      <c r="HM9" s="1099">
        <f t="shared" si="86"/>
        <v>254.70999999999998</v>
      </c>
      <c r="HN9" s="1100">
        <f>SUM(HB9:HM9)</f>
        <v>3006.5650000000005</v>
      </c>
      <c r="HO9" s="1099">
        <f t="shared" ref="HO9:IM9" si="87">SUM(HO10:HO11)</f>
        <v>233.88</v>
      </c>
      <c r="HP9" s="1099">
        <f t="shared" si="87"/>
        <v>249.45</v>
      </c>
      <c r="HQ9" s="1099">
        <f t="shared" si="87"/>
        <v>280.52</v>
      </c>
      <c r="HR9" s="1099">
        <f t="shared" si="87"/>
        <v>298.02</v>
      </c>
      <c r="HS9" s="1099">
        <f t="shared" si="87"/>
        <v>263.26</v>
      </c>
      <c r="HT9" s="1099">
        <f t="shared" si="87"/>
        <v>248.61999999999998</v>
      </c>
      <c r="HU9" s="1099">
        <f t="shared" si="87"/>
        <v>237.32</v>
      </c>
      <c r="HV9" s="1099">
        <f t="shared" si="87"/>
        <v>221.06</v>
      </c>
      <c r="HW9" s="1099">
        <f t="shared" si="87"/>
        <v>242.69499999999999</v>
      </c>
      <c r="HX9" s="1099">
        <f t="shared" si="87"/>
        <v>209.285</v>
      </c>
      <c r="HY9" s="1099">
        <f t="shared" si="87"/>
        <v>230.09</v>
      </c>
      <c r="HZ9" s="1099">
        <f t="shared" si="87"/>
        <v>235.81</v>
      </c>
      <c r="IA9" s="1100">
        <f t="shared" si="87"/>
        <v>2950.01</v>
      </c>
      <c r="IB9" s="1099">
        <f t="shared" si="87"/>
        <v>243.10999999999999</v>
      </c>
      <c r="IC9" s="1099">
        <f t="shared" si="87"/>
        <v>232.47499999999999</v>
      </c>
      <c r="ID9" s="1099">
        <f t="shared" si="87"/>
        <v>249.68</v>
      </c>
      <c r="IE9" s="1099">
        <f t="shared" si="87"/>
        <v>262.40500000000003</v>
      </c>
      <c r="IF9" s="1099">
        <f t="shared" si="87"/>
        <v>257.59500000000003</v>
      </c>
      <c r="IG9" s="1099">
        <f t="shared" si="87"/>
        <v>248.72</v>
      </c>
      <c r="IH9" s="1099">
        <f t="shared" si="87"/>
        <v>238.13</v>
      </c>
      <c r="II9" s="1099">
        <f t="shared" si="87"/>
        <v>249.10999999999999</v>
      </c>
      <c r="IJ9" s="1099">
        <f t="shared" si="87"/>
        <v>240.34300000000002</v>
      </c>
      <c r="IK9" s="1099">
        <f t="shared" si="87"/>
        <v>215.595</v>
      </c>
      <c r="IL9" s="1099">
        <f t="shared" si="87"/>
        <v>221.10500000000002</v>
      </c>
      <c r="IM9" s="1099">
        <f t="shared" si="87"/>
        <v>219.065</v>
      </c>
      <c r="IN9" s="1100">
        <f t="shared" ref="IN9:IN24" si="88">SUM(IB9:IM9)</f>
        <v>2877.3330000000001</v>
      </c>
      <c r="IO9" s="1099">
        <f t="shared" ref="IO9:IZ9" si="89">SUM(IO10:IO11)</f>
        <v>217.23000000000002</v>
      </c>
      <c r="IP9" s="1099">
        <f t="shared" si="89"/>
        <v>218.16</v>
      </c>
      <c r="IQ9" s="1099">
        <f t="shared" si="89"/>
        <v>228.07500000000002</v>
      </c>
      <c r="IR9" s="1099">
        <f t="shared" si="89"/>
        <v>251.191</v>
      </c>
      <c r="IS9" s="1099">
        <f t="shared" si="89"/>
        <v>260.82</v>
      </c>
      <c r="IT9" s="1099">
        <f t="shared" si="89"/>
        <v>252.54500000000002</v>
      </c>
      <c r="IU9" s="1099">
        <f t="shared" si="89"/>
        <v>262.32499999999999</v>
      </c>
      <c r="IV9" s="1099">
        <f t="shared" si="89"/>
        <v>266.40499999999997</v>
      </c>
      <c r="IW9" s="1099">
        <f t="shared" si="89"/>
        <v>258.13</v>
      </c>
      <c r="IX9" s="1099">
        <f t="shared" si="89"/>
        <v>233.93</v>
      </c>
      <c r="IY9" s="1099">
        <f t="shared" si="89"/>
        <v>234.155</v>
      </c>
      <c r="IZ9" s="1099">
        <f t="shared" si="89"/>
        <v>161.52000000000001</v>
      </c>
      <c r="JA9" s="1100">
        <f t="shared" ref="JA9" si="90">SUM(IO9:IZ9)</f>
        <v>2844.4860000000003</v>
      </c>
      <c r="JB9" s="1099">
        <f t="shared" ref="JB9:JM9" si="91">SUM(JB10:JB11)</f>
        <v>166.64500000000001</v>
      </c>
      <c r="JC9" s="1099">
        <f t="shared" si="91"/>
        <v>149.405</v>
      </c>
      <c r="JD9" s="1099">
        <f t="shared" si="91"/>
        <v>0</v>
      </c>
      <c r="JE9" s="1099">
        <f t="shared" si="91"/>
        <v>0</v>
      </c>
      <c r="JF9" s="1099">
        <f t="shared" si="91"/>
        <v>0</v>
      </c>
      <c r="JG9" s="1099">
        <f t="shared" si="91"/>
        <v>0</v>
      </c>
      <c r="JH9" s="1099">
        <f t="shared" si="91"/>
        <v>0</v>
      </c>
      <c r="JI9" s="1099">
        <f t="shared" si="91"/>
        <v>0</v>
      </c>
      <c r="JJ9" s="1099">
        <f t="shared" si="91"/>
        <v>0</v>
      </c>
      <c r="JK9" s="1099">
        <f t="shared" si="91"/>
        <v>0</v>
      </c>
      <c r="JL9" s="1099">
        <f t="shared" si="91"/>
        <v>0</v>
      </c>
      <c r="JM9" s="1099">
        <f t="shared" si="91"/>
        <v>0</v>
      </c>
      <c r="JN9" s="1100">
        <f t="shared" ref="JN9:JN24" si="92">SUM(JB9:JM9)</f>
        <v>316.05</v>
      </c>
      <c r="JO9" s="71"/>
      <c r="JP9" s="1176">
        <f t="shared" ref="JP9:JP24" si="93">IFERROR(((
_xlfn.XLOOKUP((DATE(YEAR($JP$5),MONTH($JP$5),1)),$B$5:$JN$5,$B9:$JN9) /
_xlfn.XLOOKUP((DATE(YEAR($JP$5)-1,MONTH($JP$5),1)),$B$5:$JN$5,$B9:$JN9)
)-1)*100,"")</f>
        <v>-26.268459133133991</v>
      </c>
      <c r="JQ9" s="1177">
        <f t="shared" ref="JQ9:JQ24" si="94">IFERROR(((JS9/JR9)-1)*100,"")</f>
        <v>-1.1415779821105088</v>
      </c>
      <c r="JR9" s="1186">
        <f t="shared" ref="JR9:JR24" si="95">SUMIFS($B9:$JN9,$B$5:$JN$5,"&gt;="&amp;DATE(YEAR($JP$5)-1,1,1),$B$5:$JN$5,"&lt;="&amp;DATE(YEAR($JP$5)-1,MONTH($JP$5),1))</f>
        <v>2877.3330000000001</v>
      </c>
      <c r="JS9" s="1187">
        <f t="shared" ref="JS9:JS24" si="96">SUMIFS($B9:$JN9,$B$5:$JN$5,"&gt;="&amp;DATE(YEAR($JP$5),1,1),$B$5:$JN$5,"&lt;="&amp;$JP$5)</f>
        <v>2844.4860000000003</v>
      </c>
      <c r="JT9" s="98"/>
      <c r="JU9" s="30" t="s">
        <v>539</v>
      </c>
    </row>
    <row r="10" spans="1:281" ht="15" customHeight="1" x14ac:dyDescent="0.2">
      <c r="A10" s="1455" t="s">
        <v>357</v>
      </c>
      <c r="B10" s="1135">
        <v>16</v>
      </c>
      <c r="C10" s="1135">
        <v>17</v>
      </c>
      <c r="D10" s="1135">
        <v>18</v>
      </c>
      <c r="E10" s="1135">
        <v>19</v>
      </c>
      <c r="F10" s="1135"/>
      <c r="G10" s="1135">
        <v>4</v>
      </c>
      <c r="H10" s="1135">
        <v>6</v>
      </c>
      <c r="I10" s="1135">
        <v>5</v>
      </c>
      <c r="J10" s="1135">
        <v>3</v>
      </c>
      <c r="K10" s="1135"/>
      <c r="L10" s="1135">
        <v>2</v>
      </c>
      <c r="M10" s="1135">
        <v>1</v>
      </c>
      <c r="N10" s="1136">
        <f>SUM(B10:M10)</f>
        <v>91</v>
      </c>
      <c r="O10" s="1135">
        <v>1</v>
      </c>
      <c r="P10" s="1135">
        <v>2</v>
      </c>
      <c r="Q10" s="1135">
        <v>26</v>
      </c>
      <c r="R10" s="1135">
        <v>20</v>
      </c>
      <c r="S10" s="1135">
        <v>28</v>
      </c>
      <c r="T10" s="1135">
        <v>31</v>
      </c>
      <c r="U10" s="1135">
        <v>29</v>
      </c>
      <c r="V10" s="1135">
        <v>29</v>
      </c>
      <c r="W10" s="1135">
        <v>16</v>
      </c>
      <c r="X10" s="1135">
        <v>17</v>
      </c>
      <c r="Y10" s="1135">
        <v>22</v>
      </c>
      <c r="Z10" s="1135">
        <v>26</v>
      </c>
      <c r="AA10" s="1136">
        <f>SUM(O10:Z10)</f>
        <v>247</v>
      </c>
      <c r="AB10" s="1135">
        <v>24</v>
      </c>
      <c r="AC10" s="1135">
        <v>28</v>
      </c>
      <c r="AD10" s="1135">
        <v>36</v>
      </c>
      <c r="AE10" s="1135">
        <v>33</v>
      </c>
      <c r="AF10" s="1135">
        <v>20</v>
      </c>
      <c r="AG10" s="1135">
        <v>37</v>
      </c>
      <c r="AH10" s="1135">
        <v>34</v>
      </c>
      <c r="AI10" s="1135">
        <v>32</v>
      </c>
      <c r="AJ10" s="1135">
        <v>30</v>
      </c>
      <c r="AK10" s="1135">
        <v>31</v>
      </c>
      <c r="AL10" s="1135">
        <v>14</v>
      </c>
      <c r="AM10" s="1135">
        <v>0.4</v>
      </c>
      <c r="AN10" s="1136">
        <f>SUM(AB10:AM10)</f>
        <v>319.39999999999998</v>
      </c>
      <c r="AO10" s="1135">
        <v>31</v>
      </c>
      <c r="AP10" s="1135">
        <v>8</v>
      </c>
      <c r="AQ10" s="1135">
        <v>5</v>
      </c>
      <c r="AR10" s="1135">
        <v>13</v>
      </c>
      <c r="AS10" s="1135">
        <v>5</v>
      </c>
      <c r="AT10" s="1135">
        <v>14</v>
      </c>
      <c r="AU10" s="1135">
        <v>8</v>
      </c>
      <c r="AV10" s="1135">
        <v>10</v>
      </c>
      <c r="AW10" s="1135">
        <v>7</v>
      </c>
      <c r="AX10" s="1135">
        <v>5</v>
      </c>
      <c r="AY10" s="1135">
        <v>14</v>
      </c>
      <c r="AZ10" s="1135">
        <v>14</v>
      </c>
      <c r="BA10" s="1136">
        <f>SUM(AO10:AZ10)</f>
        <v>134</v>
      </c>
      <c r="BB10" s="1135">
        <v>21</v>
      </c>
      <c r="BC10" s="1135">
        <v>26</v>
      </c>
      <c r="BD10" s="1135">
        <v>13</v>
      </c>
      <c r="BE10" s="1135">
        <v>53</v>
      </c>
      <c r="BF10" s="1135">
        <v>62</v>
      </c>
      <c r="BG10" s="1135">
        <v>59</v>
      </c>
      <c r="BH10" s="1135">
        <v>63</v>
      </c>
      <c r="BI10" s="1135">
        <v>60</v>
      </c>
      <c r="BJ10" s="1135">
        <v>65</v>
      </c>
      <c r="BK10" s="1135">
        <v>56</v>
      </c>
      <c r="BL10" s="1135">
        <v>45</v>
      </c>
      <c r="BM10" s="1135">
        <v>48</v>
      </c>
      <c r="BN10" s="1136">
        <f>SUM(BB10:BM10)</f>
        <v>571</v>
      </c>
      <c r="BO10" s="1135">
        <v>53</v>
      </c>
      <c r="BP10" s="1135">
        <v>66</v>
      </c>
      <c r="BQ10" s="1135">
        <v>66</v>
      </c>
      <c r="BR10" s="1135">
        <v>84</v>
      </c>
      <c r="BS10" s="1135">
        <v>57</v>
      </c>
      <c r="BT10" s="1135">
        <v>46</v>
      </c>
      <c r="BU10" s="1135">
        <v>56</v>
      </c>
      <c r="BV10" s="1135">
        <v>58</v>
      </c>
      <c r="BW10" s="1135">
        <v>86</v>
      </c>
      <c r="BX10" s="1135">
        <v>71</v>
      </c>
      <c r="BY10" s="1135">
        <v>64</v>
      </c>
      <c r="BZ10" s="1135">
        <v>77</v>
      </c>
      <c r="CA10" s="1136">
        <f>SUM(BO10:BZ10)</f>
        <v>784</v>
      </c>
      <c r="CB10" s="1135">
        <v>74</v>
      </c>
      <c r="CC10" s="1135">
        <v>66</v>
      </c>
      <c r="CD10" s="1135">
        <v>72</v>
      </c>
      <c r="CE10" s="1135">
        <v>61</v>
      </c>
      <c r="CF10" s="1135">
        <v>54</v>
      </c>
      <c r="CG10" s="1135">
        <v>58</v>
      </c>
      <c r="CH10" s="1135">
        <v>43</v>
      </c>
      <c r="CI10" s="1135">
        <v>51</v>
      </c>
      <c r="CJ10" s="1135">
        <v>40</v>
      </c>
      <c r="CK10" s="1135">
        <v>45</v>
      </c>
      <c r="CL10" s="1135">
        <v>35</v>
      </c>
      <c r="CM10" s="1135">
        <v>38</v>
      </c>
      <c r="CN10" s="1136">
        <f>SUM(CB10:CM10)</f>
        <v>637</v>
      </c>
      <c r="CO10" s="1135">
        <v>39</v>
      </c>
      <c r="CP10" s="1135">
        <v>39</v>
      </c>
      <c r="CQ10" s="1135">
        <v>35</v>
      </c>
      <c r="CR10" s="1135">
        <v>22</v>
      </c>
      <c r="CS10" s="1135">
        <v>22</v>
      </c>
      <c r="CT10" s="1135">
        <v>27</v>
      </c>
      <c r="CU10" s="1135">
        <v>39</v>
      </c>
      <c r="CV10" s="1135">
        <v>32</v>
      </c>
      <c r="CW10" s="1135">
        <v>23</v>
      </c>
      <c r="CX10" s="1135">
        <v>28</v>
      </c>
      <c r="CY10" s="1135">
        <v>30</v>
      </c>
      <c r="CZ10" s="1135">
        <v>43</v>
      </c>
      <c r="DA10" s="1136">
        <f>SUM(CO10:CZ10)</f>
        <v>379</v>
      </c>
      <c r="DB10" s="1135">
        <v>33</v>
      </c>
      <c r="DC10" s="1135">
        <v>29</v>
      </c>
      <c r="DD10" s="1135">
        <v>24</v>
      </c>
      <c r="DE10" s="1135">
        <v>25</v>
      </c>
      <c r="DF10" s="1135">
        <v>28</v>
      </c>
      <c r="DG10" s="1135">
        <v>31</v>
      </c>
      <c r="DH10" s="1135">
        <v>24</v>
      </c>
      <c r="DI10" s="1135">
        <v>7</v>
      </c>
      <c r="DJ10" s="1135">
        <v>5</v>
      </c>
      <c r="DK10" s="1135">
        <v>9</v>
      </c>
      <c r="DL10" s="1135">
        <v>10</v>
      </c>
      <c r="DM10" s="1135">
        <v>4</v>
      </c>
      <c r="DN10" s="1136">
        <f>SUM(DB10:DM10)</f>
        <v>229</v>
      </c>
      <c r="DO10" s="1135">
        <v>5</v>
      </c>
      <c r="DP10" s="1135">
        <v>16</v>
      </c>
      <c r="DQ10" s="1135">
        <v>1</v>
      </c>
      <c r="DR10" s="1135">
        <v>5</v>
      </c>
      <c r="DS10" s="1135">
        <v>14</v>
      </c>
      <c r="DT10" s="1135">
        <v>13</v>
      </c>
      <c r="DU10" s="1135">
        <v>13</v>
      </c>
      <c r="DV10" s="1135">
        <v>21</v>
      </c>
      <c r="DW10" s="1135">
        <v>21</v>
      </c>
      <c r="DX10" s="1135">
        <v>23</v>
      </c>
      <c r="DY10" s="1135">
        <v>16.78</v>
      </c>
      <c r="DZ10" s="1135">
        <v>9</v>
      </c>
      <c r="EA10" s="1136">
        <f>SUM(DO10:DZ10)</f>
        <v>157.78</v>
      </c>
      <c r="EB10" s="1135">
        <v>16</v>
      </c>
      <c r="EC10" s="1135">
        <v>9</v>
      </c>
      <c r="ED10" s="1135">
        <v>12</v>
      </c>
      <c r="EE10" s="1135">
        <v>6</v>
      </c>
      <c r="EF10" s="1135">
        <v>5</v>
      </c>
      <c r="EG10" s="1135">
        <v>10</v>
      </c>
      <c r="EH10" s="1135">
        <v>12</v>
      </c>
      <c r="EI10" s="1135">
        <v>45.746000000000002</v>
      </c>
      <c r="EJ10" s="1135">
        <v>79.97</v>
      </c>
      <c r="EK10" s="1135">
        <v>84.611999999999995</v>
      </c>
      <c r="EL10" s="1135">
        <v>63</v>
      </c>
      <c r="EM10" s="1135">
        <v>59</v>
      </c>
      <c r="EN10" s="1136">
        <f>SUM(EB10:EM10)</f>
        <v>402.32799999999997</v>
      </c>
      <c r="EO10" s="1135">
        <v>52</v>
      </c>
      <c r="EP10" s="1135">
        <v>23</v>
      </c>
      <c r="EQ10" s="1135">
        <v>23</v>
      </c>
      <c r="ER10" s="1135">
        <v>82</v>
      </c>
      <c r="ES10" s="1135">
        <v>56</v>
      </c>
      <c r="ET10" s="1135">
        <v>9</v>
      </c>
      <c r="EU10" s="1135">
        <v>13</v>
      </c>
      <c r="EV10" s="1135">
        <v>10</v>
      </c>
      <c r="EW10" s="1135">
        <v>10</v>
      </c>
      <c r="EX10" s="1135">
        <v>23</v>
      </c>
      <c r="EY10" s="1135">
        <v>26</v>
      </c>
      <c r="EZ10" s="1135">
        <v>19</v>
      </c>
      <c r="FA10" s="1136">
        <f>SUM(EO10:EZ10)</f>
        <v>346</v>
      </c>
      <c r="FB10" s="1135">
        <v>10</v>
      </c>
      <c r="FC10" s="1135">
        <v>27</v>
      </c>
      <c r="FD10" s="1135">
        <v>16</v>
      </c>
      <c r="FE10" s="1135">
        <v>11</v>
      </c>
      <c r="FF10" s="1135">
        <v>18</v>
      </c>
      <c r="FG10" s="1135">
        <v>13</v>
      </c>
      <c r="FH10" s="1135">
        <v>16</v>
      </c>
      <c r="FI10" s="1135">
        <v>13</v>
      </c>
      <c r="FJ10" s="1135">
        <v>15</v>
      </c>
      <c r="FK10" s="1135">
        <v>10</v>
      </c>
      <c r="FL10" s="1135">
        <v>11</v>
      </c>
      <c r="FM10" s="1135">
        <v>11</v>
      </c>
      <c r="FN10" s="1136">
        <f>SUM(FB10:FM10)</f>
        <v>171</v>
      </c>
      <c r="FO10" s="1135">
        <v>9</v>
      </c>
      <c r="FP10" s="1135">
        <v>10</v>
      </c>
      <c r="FQ10" s="1135">
        <v>12</v>
      </c>
      <c r="FR10" s="1135">
        <v>14</v>
      </c>
      <c r="FS10" s="1135">
        <v>14</v>
      </c>
      <c r="FT10" s="1135">
        <v>12</v>
      </c>
      <c r="FU10" s="1135">
        <v>13</v>
      </c>
      <c r="FV10" s="1135">
        <v>15</v>
      </c>
      <c r="FW10" s="1135">
        <v>19</v>
      </c>
      <c r="FX10" s="1135">
        <v>18</v>
      </c>
      <c r="FY10" s="1135">
        <v>18</v>
      </c>
      <c r="FZ10" s="1135">
        <v>21</v>
      </c>
      <c r="GA10" s="1136">
        <f>SUM(FO10:FZ10)</f>
        <v>175</v>
      </c>
      <c r="GB10" s="1135">
        <v>15</v>
      </c>
      <c r="GC10" s="1135">
        <v>16</v>
      </c>
      <c r="GD10" s="1135">
        <v>8</v>
      </c>
      <c r="GE10" s="1135">
        <v>13</v>
      </c>
      <c r="GF10" s="1135">
        <v>9</v>
      </c>
      <c r="GG10" s="1135">
        <v>14</v>
      </c>
      <c r="GH10" s="1135">
        <v>16</v>
      </c>
      <c r="GI10" s="1135">
        <v>19</v>
      </c>
      <c r="GJ10" s="1135">
        <v>20</v>
      </c>
      <c r="GK10" s="1135">
        <v>20</v>
      </c>
      <c r="GL10" s="1135">
        <v>21</v>
      </c>
      <c r="GM10" s="1135">
        <v>22</v>
      </c>
      <c r="GN10" s="1136">
        <f>SUM(GB10:GM10)</f>
        <v>193</v>
      </c>
      <c r="GO10" s="1135">
        <v>18</v>
      </c>
      <c r="GP10" s="1135">
        <v>22</v>
      </c>
      <c r="GQ10" s="1135">
        <v>23</v>
      </c>
      <c r="GR10" s="1135">
        <v>17</v>
      </c>
      <c r="GS10" s="1135">
        <v>15.05</v>
      </c>
      <c r="GT10" s="1135">
        <v>15.3</v>
      </c>
      <c r="GU10" s="1135">
        <v>17.63</v>
      </c>
      <c r="GV10" s="1135">
        <v>18.350000000000001</v>
      </c>
      <c r="GW10" s="1135">
        <v>16.8</v>
      </c>
      <c r="GX10" s="1135">
        <v>16.41</v>
      </c>
      <c r="GY10" s="1135">
        <v>15.15</v>
      </c>
      <c r="GZ10" s="1135">
        <v>17.2</v>
      </c>
      <c r="HA10" s="1136">
        <f>SUM(GO10:GZ10)</f>
        <v>211.89</v>
      </c>
      <c r="HB10" s="1135">
        <v>11.25</v>
      </c>
      <c r="HC10" s="1135">
        <v>15.66</v>
      </c>
      <c r="HD10" s="1135">
        <v>14.48</v>
      </c>
      <c r="HE10" s="1135">
        <v>18.5</v>
      </c>
      <c r="HF10" s="1135">
        <v>17.13</v>
      </c>
      <c r="HG10" s="1135">
        <v>13.44</v>
      </c>
      <c r="HH10" s="1135">
        <v>14.87</v>
      </c>
      <c r="HI10" s="1135">
        <v>16.260000000000002</v>
      </c>
      <c r="HJ10" s="1135">
        <v>14.58</v>
      </c>
      <c r="HK10" s="1135">
        <v>15.82</v>
      </c>
      <c r="HL10" s="1135">
        <v>14.57</v>
      </c>
      <c r="HM10" s="1135">
        <v>15.57</v>
      </c>
      <c r="HN10" s="1136">
        <f>SUM(HB10:HM10)</f>
        <v>182.13</v>
      </c>
      <c r="HO10" s="1135">
        <f>2.4+7.72+3.85</f>
        <v>13.969999999999999</v>
      </c>
      <c r="HP10" s="1135">
        <f>8.78+6.25+2.52</f>
        <v>17.55</v>
      </c>
      <c r="HQ10" s="1135">
        <v>17</v>
      </c>
      <c r="HR10" s="1135">
        <f>3.1+2.75+11.25+4.5</f>
        <v>21.6</v>
      </c>
      <c r="HS10" s="1135">
        <f>2.88+10.1+2.3</f>
        <v>15.280000000000001</v>
      </c>
      <c r="HT10" s="1135">
        <f>2+8.75+2.7</f>
        <v>13.45</v>
      </c>
      <c r="HU10" s="1135">
        <f>1.8+7.8+3.35</f>
        <v>12.95</v>
      </c>
      <c r="HV10" s="1135">
        <v>10.89</v>
      </c>
      <c r="HW10" s="1135">
        <v>12.475</v>
      </c>
      <c r="HX10" s="1135">
        <v>10.275</v>
      </c>
      <c r="HY10" s="1135">
        <v>12.72</v>
      </c>
      <c r="HZ10" s="1135">
        <v>15.62</v>
      </c>
      <c r="IA10" s="1136">
        <f>SUM(HO10:HZ10)</f>
        <v>173.78000000000003</v>
      </c>
      <c r="IB10" s="1135">
        <v>13.574999999999999</v>
      </c>
      <c r="IC10" s="1135">
        <v>15.125</v>
      </c>
      <c r="ID10" s="1135">
        <v>16.024999999999999</v>
      </c>
      <c r="IE10" s="1135">
        <v>17.074999999999999</v>
      </c>
      <c r="IF10" s="1135">
        <v>16.725000000000001</v>
      </c>
      <c r="IG10" s="1135">
        <v>14.93</v>
      </c>
      <c r="IH10" s="1135">
        <v>13.89</v>
      </c>
      <c r="II10" s="1135">
        <v>15.44</v>
      </c>
      <c r="IJ10" s="1135">
        <v>13.15</v>
      </c>
      <c r="IK10" s="1135">
        <v>12.6</v>
      </c>
      <c r="IL10" s="1135">
        <v>12.55</v>
      </c>
      <c r="IM10" s="1135">
        <v>12.5</v>
      </c>
      <c r="IN10" s="1136">
        <f>SUM(IB10:IM10)</f>
        <v>173.58500000000001</v>
      </c>
      <c r="IO10" s="1135">
        <v>12.9</v>
      </c>
      <c r="IP10" s="1135">
        <v>12.75</v>
      </c>
      <c r="IQ10" s="1135">
        <v>12.4</v>
      </c>
      <c r="IR10" s="1135">
        <v>17.100000000000001</v>
      </c>
      <c r="IS10" s="1135">
        <v>17.899999999999999</v>
      </c>
      <c r="IT10" s="1135">
        <v>16.84</v>
      </c>
      <c r="IU10" s="1135">
        <v>17.649999999999999</v>
      </c>
      <c r="IV10" s="1135">
        <v>17.14</v>
      </c>
      <c r="IW10" s="1135">
        <v>16.420000000000002</v>
      </c>
      <c r="IX10" s="1135">
        <f>14.39+1.265</f>
        <v>15.655000000000001</v>
      </c>
      <c r="IY10" s="1135">
        <v>14.59</v>
      </c>
      <c r="IZ10" s="1135">
        <v>9.5500000000000007</v>
      </c>
      <c r="JA10" s="1136">
        <f>SUM(IO10:IZ10)</f>
        <v>180.89500000000001</v>
      </c>
      <c r="JB10" s="1135">
        <v>10.65</v>
      </c>
      <c r="JC10" s="1135">
        <v>9.4499999999999993</v>
      </c>
      <c r="JD10" s="1135"/>
      <c r="JE10" s="1135"/>
      <c r="JF10" s="1135"/>
      <c r="JG10" s="1135"/>
      <c r="JH10" s="1135"/>
      <c r="JI10" s="1135"/>
      <c r="JJ10" s="1135"/>
      <c r="JK10" s="1135"/>
      <c r="JL10" s="1135"/>
      <c r="JM10" s="1135"/>
      <c r="JN10" s="1136">
        <f>SUM(JB10:JM10)</f>
        <v>20.100000000000001</v>
      </c>
      <c r="JP10" s="1137">
        <f>IFERROR(((
_xlfn.XLOOKUP((DATE(YEAR($JP$5),MONTH($JP$5),1)),$B$5:$JN$5,$B10:$JN10) /
_xlfn.XLOOKUP((DATE(YEAR($JP$5)-1,MONTH($JP$5),1)),$B$5:$JN$5,$B10:$JN10)
)-1)*100,"")</f>
        <v>-23.599999999999998</v>
      </c>
      <c r="JQ10" s="1138">
        <f>IFERROR(((JS10/JR10)-1)*100,"")</f>
        <v>4.2111933634818577</v>
      </c>
      <c r="JR10" s="1139">
        <f>SUMIFS($B10:$JN10,$B$5:$JN$5,"&gt;="&amp;DATE(YEAR($JP$5)-1,1,1),$B$5:$JN$5,"&lt;="&amp;DATE(YEAR($JP$5)-1,MONTH($JP$5),1))</f>
        <v>173.58500000000001</v>
      </c>
      <c r="JS10" s="1140">
        <f>SUMIFS($B10:$JN10,$B$5:$JN$5,"&gt;="&amp;DATE(YEAR($JP$5),1,1),$B$5:$JN$5,"&lt;="&amp;$JP$5)</f>
        <v>180.89500000000001</v>
      </c>
      <c r="JT10" s="3"/>
      <c r="JU10" s="8" t="s">
        <v>357</v>
      </c>
    </row>
    <row r="11" spans="1:281" ht="15" customHeight="1" x14ac:dyDescent="0.2">
      <c r="A11" s="1455" t="s">
        <v>358</v>
      </c>
      <c r="B11" s="1135">
        <v>56</v>
      </c>
      <c r="C11" s="1135">
        <v>54</v>
      </c>
      <c r="D11" s="1135">
        <v>66</v>
      </c>
      <c r="E11" s="1135">
        <v>85</v>
      </c>
      <c r="F11" s="1135">
        <v>75</v>
      </c>
      <c r="G11" s="1135">
        <v>64</v>
      </c>
      <c r="H11" s="1135">
        <v>67</v>
      </c>
      <c r="I11" s="1135">
        <v>77</v>
      </c>
      <c r="J11" s="1135">
        <v>74</v>
      </c>
      <c r="K11" s="1135">
        <v>62</v>
      </c>
      <c r="L11" s="1135">
        <v>64</v>
      </c>
      <c r="M11" s="1135">
        <v>70</v>
      </c>
      <c r="N11" s="1136">
        <f>SUM(B11:M11)</f>
        <v>814</v>
      </c>
      <c r="O11" s="1135">
        <v>58</v>
      </c>
      <c r="P11" s="1135">
        <v>55</v>
      </c>
      <c r="Q11" s="1135">
        <v>71</v>
      </c>
      <c r="R11" s="1135">
        <v>62</v>
      </c>
      <c r="S11" s="1135">
        <v>44</v>
      </c>
      <c r="T11" s="1135">
        <v>53</v>
      </c>
      <c r="U11" s="1135">
        <v>61</v>
      </c>
      <c r="V11" s="1135">
        <v>54</v>
      </c>
      <c r="W11" s="1135">
        <v>57</v>
      </c>
      <c r="X11" s="1135">
        <v>52</v>
      </c>
      <c r="Y11" s="1135">
        <v>48</v>
      </c>
      <c r="Z11" s="1135">
        <v>52</v>
      </c>
      <c r="AA11" s="1136">
        <f>SUM(O11:Z11)</f>
        <v>667</v>
      </c>
      <c r="AB11" s="1135">
        <v>51</v>
      </c>
      <c r="AC11" s="1135">
        <v>56</v>
      </c>
      <c r="AD11" s="1135">
        <v>60</v>
      </c>
      <c r="AE11" s="1135">
        <v>48</v>
      </c>
      <c r="AF11" s="1135">
        <v>60</v>
      </c>
      <c r="AG11" s="1135">
        <v>53</v>
      </c>
      <c r="AH11" s="1135">
        <v>47</v>
      </c>
      <c r="AI11" s="1135">
        <v>49</v>
      </c>
      <c r="AJ11" s="1135">
        <v>65</v>
      </c>
      <c r="AK11" s="1135">
        <v>28</v>
      </c>
      <c r="AL11" s="1135">
        <v>54</v>
      </c>
      <c r="AM11" s="1135">
        <v>95</v>
      </c>
      <c r="AN11" s="1136">
        <f>SUM(AB11:AM11)</f>
        <v>666</v>
      </c>
      <c r="AO11" s="1135">
        <v>56</v>
      </c>
      <c r="AP11" s="1135">
        <v>56</v>
      </c>
      <c r="AQ11" s="1135">
        <v>58</v>
      </c>
      <c r="AR11" s="1135">
        <v>52</v>
      </c>
      <c r="AS11" s="1135">
        <v>46</v>
      </c>
      <c r="AT11" s="1135">
        <v>67</v>
      </c>
      <c r="AU11" s="1135">
        <v>51</v>
      </c>
      <c r="AV11" s="1135">
        <v>57</v>
      </c>
      <c r="AW11" s="1135">
        <v>67</v>
      </c>
      <c r="AX11" s="1135">
        <v>61</v>
      </c>
      <c r="AY11" s="1135">
        <v>54</v>
      </c>
      <c r="AZ11" s="1135">
        <v>54</v>
      </c>
      <c r="BA11" s="1136">
        <f>SUM(AO11:AZ11)</f>
        <v>679</v>
      </c>
      <c r="BB11" s="1135">
        <v>74</v>
      </c>
      <c r="BC11" s="1135">
        <v>69</v>
      </c>
      <c r="BD11" s="1135">
        <v>89</v>
      </c>
      <c r="BE11" s="1135">
        <v>83</v>
      </c>
      <c r="BF11" s="1135">
        <v>105</v>
      </c>
      <c r="BG11" s="1135">
        <v>97</v>
      </c>
      <c r="BH11" s="1135">
        <v>99</v>
      </c>
      <c r="BI11" s="1135">
        <v>104</v>
      </c>
      <c r="BJ11" s="1135">
        <v>106</v>
      </c>
      <c r="BK11" s="1135">
        <v>94</v>
      </c>
      <c r="BL11" s="1135">
        <v>95</v>
      </c>
      <c r="BM11" s="1135">
        <v>115</v>
      </c>
      <c r="BN11" s="1136">
        <f>SUM(BB11:BM11)</f>
        <v>1130</v>
      </c>
      <c r="BO11" s="1135">
        <v>107</v>
      </c>
      <c r="BP11" s="1135">
        <v>98</v>
      </c>
      <c r="BQ11" s="1135">
        <v>94</v>
      </c>
      <c r="BR11" s="1135">
        <v>101</v>
      </c>
      <c r="BS11" s="1135">
        <v>84</v>
      </c>
      <c r="BT11" s="1135">
        <v>87</v>
      </c>
      <c r="BU11" s="1135">
        <v>94</v>
      </c>
      <c r="BV11" s="1135">
        <v>99</v>
      </c>
      <c r="BW11" s="1135">
        <v>77</v>
      </c>
      <c r="BX11" s="1135">
        <v>65</v>
      </c>
      <c r="BY11" s="1135">
        <v>65</v>
      </c>
      <c r="BZ11" s="1135">
        <v>52</v>
      </c>
      <c r="CA11" s="1136">
        <f>SUM(BO11:BZ11)</f>
        <v>1023</v>
      </c>
      <c r="CB11" s="1135">
        <v>55</v>
      </c>
      <c r="CC11" s="1135">
        <v>60</v>
      </c>
      <c r="CD11" s="1135">
        <v>65</v>
      </c>
      <c r="CE11" s="1135">
        <v>60</v>
      </c>
      <c r="CF11" s="1135">
        <v>50</v>
      </c>
      <c r="CG11" s="1135">
        <v>50</v>
      </c>
      <c r="CH11" s="1135">
        <v>53</v>
      </c>
      <c r="CI11" s="1135">
        <v>57</v>
      </c>
      <c r="CJ11" s="1135">
        <v>81</v>
      </c>
      <c r="CK11" s="1135">
        <v>49</v>
      </c>
      <c r="CL11" s="1135">
        <v>66</v>
      </c>
      <c r="CM11" s="1135">
        <v>77</v>
      </c>
      <c r="CN11" s="1136">
        <f>SUM(CB11:CM11)</f>
        <v>723</v>
      </c>
      <c r="CO11" s="1135">
        <v>34</v>
      </c>
      <c r="CP11" s="1135">
        <v>53</v>
      </c>
      <c r="CQ11" s="1135">
        <v>53</v>
      </c>
      <c r="CR11" s="1135">
        <v>58</v>
      </c>
      <c r="CS11" s="1135">
        <v>50</v>
      </c>
      <c r="CT11" s="1135">
        <v>66</v>
      </c>
      <c r="CU11" s="1135">
        <v>81</v>
      </c>
      <c r="CV11" s="1135">
        <v>72</v>
      </c>
      <c r="CW11" s="1135">
        <v>79</v>
      </c>
      <c r="CX11" s="1135">
        <v>73</v>
      </c>
      <c r="CY11" s="1135">
        <v>47</v>
      </c>
      <c r="CZ11" s="1135">
        <v>65</v>
      </c>
      <c r="DA11" s="1136">
        <f>SUM(CO11:CZ11)</f>
        <v>731</v>
      </c>
      <c r="DB11" s="1135">
        <v>73</v>
      </c>
      <c r="DC11" s="1135">
        <v>62</v>
      </c>
      <c r="DD11" s="1135">
        <v>55</v>
      </c>
      <c r="DE11" s="1135">
        <v>51</v>
      </c>
      <c r="DF11" s="1135">
        <v>48</v>
      </c>
      <c r="DG11" s="1135">
        <v>44</v>
      </c>
      <c r="DH11" s="1135">
        <v>49</v>
      </c>
      <c r="DI11" s="1135">
        <v>94</v>
      </c>
      <c r="DJ11" s="1135">
        <v>100</v>
      </c>
      <c r="DK11" s="1135">
        <v>178</v>
      </c>
      <c r="DL11" s="1135">
        <v>148</v>
      </c>
      <c r="DM11" s="1135">
        <v>155</v>
      </c>
      <c r="DN11" s="1136">
        <f>SUM(DB11:DM11)</f>
        <v>1057</v>
      </c>
      <c r="DO11" s="1135">
        <v>129</v>
      </c>
      <c r="DP11" s="1135">
        <v>151</v>
      </c>
      <c r="DQ11" s="1135">
        <v>99</v>
      </c>
      <c r="DR11" s="1135">
        <v>149</v>
      </c>
      <c r="DS11" s="1135">
        <v>223</v>
      </c>
      <c r="DT11" s="1135">
        <v>243</v>
      </c>
      <c r="DU11" s="1135">
        <v>283</v>
      </c>
      <c r="DV11" s="1135">
        <v>333</v>
      </c>
      <c r="DW11" s="1135">
        <v>361</v>
      </c>
      <c r="DX11" s="1135">
        <v>257</v>
      </c>
      <c r="DY11" s="1135">
        <v>341</v>
      </c>
      <c r="DZ11" s="1135">
        <v>288</v>
      </c>
      <c r="EA11" s="1136">
        <f>SUM(DO11:DZ11)</f>
        <v>2857</v>
      </c>
      <c r="EB11" s="1135">
        <v>292</v>
      </c>
      <c r="EC11" s="1135">
        <v>249</v>
      </c>
      <c r="ED11" s="1135">
        <v>283</v>
      </c>
      <c r="EE11" s="1135">
        <v>206</v>
      </c>
      <c r="EF11" s="1135">
        <v>198</v>
      </c>
      <c r="EG11" s="1135">
        <v>196</v>
      </c>
      <c r="EH11" s="1135">
        <v>218</v>
      </c>
      <c r="EI11" s="1135">
        <v>219.86500000000001</v>
      </c>
      <c r="EJ11" s="1135">
        <v>253.88900000000001</v>
      </c>
      <c r="EK11" s="1135">
        <v>215.46100000000001</v>
      </c>
      <c r="EL11" s="1135">
        <v>186</v>
      </c>
      <c r="EM11" s="1135">
        <v>196</v>
      </c>
      <c r="EN11" s="1136">
        <f>SUM(EB11:EM11)</f>
        <v>2713.2150000000001</v>
      </c>
      <c r="EO11" s="1135">
        <v>173</v>
      </c>
      <c r="EP11" s="1135">
        <v>110</v>
      </c>
      <c r="EQ11" s="1135">
        <v>106</v>
      </c>
      <c r="ER11" s="1135">
        <v>107</v>
      </c>
      <c r="ES11" s="1135">
        <v>220</v>
      </c>
      <c r="ET11" s="1135">
        <v>152</v>
      </c>
      <c r="EU11" s="1135">
        <v>165</v>
      </c>
      <c r="EV11" s="1135">
        <v>168</v>
      </c>
      <c r="EW11" s="1135">
        <v>171</v>
      </c>
      <c r="EX11" s="1135">
        <v>178</v>
      </c>
      <c r="EY11" s="1135">
        <v>195</v>
      </c>
      <c r="EZ11" s="1135">
        <v>179</v>
      </c>
      <c r="FA11" s="1136">
        <f>SUM(EO11:EZ11)</f>
        <v>1924</v>
      </c>
      <c r="FB11" s="1135">
        <v>176</v>
      </c>
      <c r="FC11" s="1135">
        <v>160</v>
      </c>
      <c r="FD11" s="1135">
        <v>209</v>
      </c>
      <c r="FE11" s="1135">
        <v>204</v>
      </c>
      <c r="FF11" s="1135">
        <v>197</v>
      </c>
      <c r="FG11" s="1135">
        <v>242</v>
      </c>
      <c r="FH11" s="1135">
        <v>210</v>
      </c>
      <c r="FI11" s="1135">
        <v>214</v>
      </c>
      <c r="FJ11" s="1135">
        <v>220</v>
      </c>
      <c r="FK11" s="1135">
        <v>200</v>
      </c>
      <c r="FL11" s="1135">
        <v>201</v>
      </c>
      <c r="FM11" s="1135">
        <v>206</v>
      </c>
      <c r="FN11" s="1136">
        <f>SUM(FB11:FM11)</f>
        <v>2439</v>
      </c>
      <c r="FO11" s="1135">
        <v>175</v>
      </c>
      <c r="FP11" s="1135">
        <v>185</v>
      </c>
      <c r="FQ11" s="1135">
        <v>218</v>
      </c>
      <c r="FR11" s="1135">
        <v>223</v>
      </c>
      <c r="FS11" s="1135">
        <v>242</v>
      </c>
      <c r="FT11" s="1135">
        <v>206</v>
      </c>
      <c r="FU11" s="1135">
        <v>205</v>
      </c>
      <c r="FV11" s="1135">
        <v>253</v>
      </c>
      <c r="FW11" s="1135">
        <v>255</v>
      </c>
      <c r="FX11" s="1135">
        <v>247</v>
      </c>
      <c r="FY11" s="1135">
        <v>256</v>
      </c>
      <c r="FZ11" s="1135">
        <v>238</v>
      </c>
      <c r="GA11" s="1136">
        <f>SUM(FO11:FZ11)</f>
        <v>2703</v>
      </c>
      <c r="GB11" s="1135">
        <v>218</v>
      </c>
      <c r="GC11" s="1135">
        <v>215</v>
      </c>
      <c r="GD11" s="1135">
        <v>148</v>
      </c>
      <c r="GE11" s="1135">
        <v>174</v>
      </c>
      <c r="GF11" s="1135">
        <v>147</v>
      </c>
      <c r="GG11" s="1135">
        <v>125</v>
      </c>
      <c r="GH11" s="1135">
        <v>161</v>
      </c>
      <c r="GI11" s="1135">
        <v>189</v>
      </c>
      <c r="GJ11" s="1135">
        <v>214</v>
      </c>
      <c r="GK11" s="1135">
        <v>205</v>
      </c>
      <c r="GL11" s="1135">
        <v>205</v>
      </c>
      <c r="GM11" s="1135">
        <v>214</v>
      </c>
      <c r="GN11" s="1136">
        <f>SUM(GB11:GM11)</f>
        <v>2215</v>
      </c>
      <c r="GO11" s="1135">
        <v>202</v>
      </c>
      <c r="GP11" s="1135">
        <v>207</v>
      </c>
      <c r="GQ11" s="1135">
        <v>223</v>
      </c>
      <c r="GR11" s="1135">
        <v>218</v>
      </c>
      <c r="GS11" s="1135">
        <v>203.69499999999999</v>
      </c>
      <c r="GT11" s="1135">
        <v>224.43</v>
      </c>
      <c r="GU11" s="1135">
        <v>239.94</v>
      </c>
      <c r="GV11" s="1135">
        <v>230.35499999999999</v>
      </c>
      <c r="GW11" s="1135">
        <v>250.59200000000001</v>
      </c>
      <c r="GX11" s="1135">
        <v>234.32499999999999</v>
      </c>
      <c r="GY11" s="1135">
        <v>224.535</v>
      </c>
      <c r="GZ11" s="1135">
        <v>236.78</v>
      </c>
      <c r="HA11" s="1136">
        <f>SUM(GO11:GZ11)</f>
        <v>2694.652</v>
      </c>
      <c r="HB11" s="1135">
        <v>175.65</v>
      </c>
      <c r="HC11" s="1135">
        <v>208.94</v>
      </c>
      <c r="HD11" s="1135">
        <v>243.44</v>
      </c>
      <c r="HE11" s="1135">
        <v>264.89999999999998</v>
      </c>
      <c r="HF11" s="1135">
        <v>246.86</v>
      </c>
      <c r="HG11" s="1135">
        <v>233.345</v>
      </c>
      <c r="HH11" s="1135">
        <v>246.11</v>
      </c>
      <c r="HI11" s="1135">
        <v>255.35</v>
      </c>
      <c r="HJ11" s="1135">
        <v>239.16</v>
      </c>
      <c r="HK11" s="1135">
        <v>240.52</v>
      </c>
      <c r="HL11" s="1135">
        <v>231.02</v>
      </c>
      <c r="HM11" s="1135">
        <v>239.14</v>
      </c>
      <c r="HN11" s="1136">
        <f>SUM(HB11:HM11)</f>
        <v>2824.4349999999995</v>
      </c>
      <c r="HO11" s="1135">
        <f>78.49+83.99+57.43</f>
        <v>219.91</v>
      </c>
      <c r="HP11" s="1135">
        <f>93.14+50.18+88.58</f>
        <v>231.89999999999998</v>
      </c>
      <c r="HQ11" s="1135">
        <v>263.52</v>
      </c>
      <c r="HR11" s="1135">
        <f>109.47+113.42+53.53</f>
        <v>276.41999999999996</v>
      </c>
      <c r="HS11" s="1135">
        <f>98.05+104.66+45.27</f>
        <v>247.98</v>
      </c>
      <c r="HT11" s="1135">
        <f>84+96.07+54.7+0.4</f>
        <v>235.17</v>
      </c>
      <c r="HU11" s="1135">
        <f>79.71+88.03+56.63</f>
        <v>224.37</v>
      </c>
      <c r="HV11" s="1135">
        <v>210.17</v>
      </c>
      <c r="HW11" s="1135">
        <v>230.22</v>
      </c>
      <c r="HX11" s="1135">
        <v>199.01</v>
      </c>
      <c r="HY11" s="1135">
        <v>217.37</v>
      </c>
      <c r="HZ11" s="1135">
        <v>220.19</v>
      </c>
      <c r="IA11" s="1136">
        <f>SUM(HO11:HZ11)</f>
        <v>2776.23</v>
      </c>
      <c r="IB11" s="1135">
        <v>229.535</v>
      </c>
      <c r="IC11" s="1135">
        <v>217.35</v>
      </c>
      <c r="ID11" s="1135">
        <v>233.655</v>
      </c>
      <c r="IE11" s="1135">
        <v>245.33</v>
      </c>
      <c r="IF11" s="1135">
        <v>240.87</v>
      </c>
      <c r="IG11" s="1135">
        <v>233.79</v>
      </c>
      <c r="IH11" s="1135">
        <v>224.24</v>
      </c>
      <c r="II11" s="1135">
        <v>233.67</v>
      </c>
      <c r="IJ11" s="1135">
        <v>227.19300000000001</v>
      </c>
      <c r="IK11" s="1135">
        <v>202.995</v>
      </c>
      <c r="IL11" s="1135">
        <v>208.55500000000001</v>
      </c>
      <c r="IM11" s="1135">
        <v>206.565</v>
      </c>
      <c r="IN11" s="1136">
        <f>SUM(IB11:IM11)</f>
        <v>2703.748</v>
      </c>
      <c r="IO11" s="1135">
        <v>204.33</v>
      </c>
      <c r="IP11" s="1135">
        <v>205.41</v>
      </c>
      <c r="IQ11" s="1135">
        <v>215.67500000000001</v>
      </c>
      <c r="IR11" s="1135">
        <v>234.09100000000001</v>
      </c>
      <c r="IS11" s="1135">
        <v>242.92</v>
      </c>
      <c r="IT11" s="1135">
        <v>235.70500000000001</v>
      </c>
      <c r="IU11" s="1135">
        <v>244.67500000000001</v>
      </c>
      <c r="IV11" s="1135">
        <v>249.26499999999999</v>
      </c>
      <c r="IW11" s="1135">
        <v>241.71</v>
      </c>
      <c r="IX11" s="1135">
        <v>218.27500000000001</v>
      </c>
      <c r="IY11" s="1135">
        <v>219.565</v>
      </c>
      <c r="IZ11" s="1135">
        <v>151.97</v>
      </c>
      <c r="JA11" s="1136">
        <f>SUM(IO11:IZ11)</f>
        <v>2663.5909999999999</v>
      </c>
      <c r="JB11" s="1135">
        <v>155.995</v>
      </c>
      <c r="JC11" s="1135">
        <v>139.95500000000001</v>
      </c>
      <c r="JD11" s="1135"/>
      <c r="JE11" s="1135"/>
      <c r="JF11" s="1135"/>
      <c r="JG11" s="1135"/>
      <c r="JH11" s="1135"/>
      <c r="JI11" s="1135"/>
      <c r="JJ11" s="1135"/>
      <c r="JK11" s="1135"/>
      <c r="JL11" s="1135"/>
      <c r="JM11" s="1135"/>
      <c r="JN11" s="1136">
        <f>SUM(JB11:JM11)</f>
        <v>295.95000000000005</v>
      </c>
      <c r="JP11" s="1137">
        <f>IFERROR(((
_xlfn.XLOOKUP((DATE(YEAR($JP$5),MONTH($JP$5),1)),$B$5:$JN$5,$B11:$JN11) /
_xlfn.XLOOKUP((DATE(YEAR($JP$5)-1,MONTH($JP$5),1)),$B$5:$JN$5,$B11:$JN11)
)-1)*100,"")</f>
        <v>-26.429937307869189</v>
      </c>
      <c r="JQ11" s="1138">
        <f>IFERROR(((JS11/JR11)-1)*100,"")</f>
        <v>-1.4852345706774517</v>
      </c>
      <c r="JR11" s="1139">
        <f>SUMIFS($B11:$JN11,$B$5:$JN$5,"&gt;="&amp;DATE(YEAR($JP$5)-1,1,1),$B$5:$JN$5,"&lt;="&amp;DATE(YEAR($JP$5)-1,MONTH($JP$5),1))</f>
        <v>2703.748</v>
      </c>
      <c r="JS11" s="1140">
        <f>SUMIFS($B11:$JN11,$B$5:$JN$5,"&gt;="&amp;DATE(YEAR($JP$5),1,1),$B$5:$JN$5,"&lt;="&amp;$JP$5)</f>
        <v>2663.5909999999999</v>
      </c>
      <c r="JT11" s="3"/>
      <c r="JU11" s="8" t="s">
        <v>540</v>
      </c>
    </row>
    <row r="12" spans="1:281" s="129" customFormat="1" ht="15" customHeight="1" x14ac:dyDescent="0.2">
      <c r="A12" s="1451" t="s">
        <v>366</v>
      </c>
      <c r="B12" s="1099">
        <f t="shared" ref="B12:AI12" si="97">SUM(B13:B14)</f>
        <v>0</v>
      </c>
      <c r="C12" s="1099">
        <f t="shared" si="97"/>
        <v>0</v>
      </c>
      <c r="D12" s="1099">
        <f t="shared" si="97"/>
        <v>0</v>
      </c>
      <c r="E12" s="1099">
        <f t="shared" si="97"/>
        <v>0</v>
      </c>
      <c r="F12" s="1099">
        <f t="shared" si="97"/>
        <v>0</v>
      </c>
      <c r="G12" s="1099">
        <f t="shared" si="97"/>
        <v>0</v>
      </c>
      <c r="H12" s="1099">
        <f t="shared" si="97"/>
        <v>0</v>
      </c>
      <c r="I12" s="1099">
        <f t="shared" si="97"/>
        <v>0</v>
      </c>
      <c r="J12" s="1099">
        <f t="shared" si="97"/>
        <v>0</v>
      </c>
      <c r="K12" s="1099">
        <f t="shared" si="97"/>
        <v>0</v>
      </c>
      <c r="L12" s="1099">
        <f t="shared" si="97"/>
        <v>0</v>
      </c>
      <c r="M12" s="1099">
        <f t="shared" si="97"/>
        <v>0</v>
      </c>
      <c r="N12" s="1100">
        <f t="shared" si="66"/>
        <v>0</v>
      </c>
      <c r="O12" s="1099">
        <f t="shared" si="97"/>
        <v>16</v>
      </c>
      <c r="P12" s="1099">
        <f t="shared" si="97"/>
        <v>16</v>
      </c>
      <c r="Q12" s="1099">
        <f t="shared" si="97"/>
        <v>24</v>
      </c>
      <c r="R12" s="1099">
        <f t="shared" si="97"/>
        <v>29</v>
      </c>
      <c r="S12" s="1099">
        <f t="shared" si="97"/>
        <v>22</v>
      </c>
      <c r="T12" s="1099">
        <f t="shared" si="97"/>
        <v>20</v>
      </c>
      <c r="U12" s="1099">
        <f t="shared" si="97"/>
        <v>22</v>
      </c>
      <c r="V12" s="1099">
        <f t="shared" si="97"/>
        <v>21</v>
      </c>
      <c r="W12" s="1099">
        <f t="shared" si="97"/>
        <v>23</v>
      </c>
      <c r="X12" s="1099">
        <f t="shared" si="97"/>
        <v>24</v>
      </c>
      <c r="Y12" s="1099">
        <f t="shared" si="97"/>
        <v>19</v>
      </c>
      <c r="Z12" s="1099">
        <f t="shared" si="97"/>
        <v>20</v>
      </c>
      <c r="AA12" s="1100">
        <f t="shared" si="68"/>
        <v>256</v>
      </c>
      <c r="AB12" s="1099">
        <f t="shared" si="97"/>
        <v>18</v>
      </c>
      <c r="AC12" s="1099">
        <f t="shared" si="97"/>
        <v>21</v>
      </c>
      <c r="AD12" s="1099">
        <f t="shared" si="97"/>
        <v>39</v>
      </c>
      <c r="AE12" s="1099">
        <f t="shared" si="97"/>
        <v>32</v>
      </c>
      <c r="AF12" s="1099">
        <f t="shared" si="97"/>
        <v>42</v>
      </c>
      <c r="AG12" s="1099">
        <f t="shared" si="97"/>
        <v>33</v>
      </c>
      <c r="AH12" s="1099">
        <f t="shared" si="97"/>
        <v>36</v>
      </c>
      <c r="AI12" s="1099">
        <f t="shared" si="97"/>
        <v>37</v>
      </c>
      <c r="AJ12" s="1099">
        <f t="shared" ref="AJ12:AZ12" si="98">SUM(AJ13:AJ14)</f>
        <v>44</v>
      </c>
      <c r="AK12" s="1099">
        <f t="shared" si="98"/>
        <v>37</v>
      </c>
      <c r="AL12" s="1099">
        <f t="shared" si="98"/>
        <v>33</v>
      </c>
      <c r="AM12" s="1099">
        <f t="shared" si="98"/>
        <v>25</v>
      </c>
      <c r="AN12" s="1100">
        <f t="shared" si="98"/>
        <v>397</v>
      </c>
      <c r="AO12" s="1099">
        <f t="shared" si="98"/>
        <v>25</v>
      </c>
      <c r="AP12" s="1099">
        <f t="shared" si="98"/>
        <v>22</v>
      </c>
      <c r="AQ12" s="1099">
        <f t="shared" si="98"/>
        <v>18</v>
      </c>
      <c r="AR12" s="1099">
        <f t="shared" si="98"/>
        <v>26</v>
      </c>
      <c r="AS12" s="1099">
        <f t="shared" si="98"/>
        <v>18</v>
      </c>
      <c r="AT12" s="1099">
        <f t="shared" si="98"/>
        <v>27</v>
      </c>
      <c r="AU12" s="1099">
        <f t="shared" si="98"/>
        <v>25</v>
      </c>
      <c r="AV12" s="1099">
        <f t="shared" si="98"/>
        <v>32</v>
      </c>
      <c r="AW12" s="1099">
        <f t="shared" si="98"/>
        <v>24</v>
      </c>
      <c r="AX12" s="1099">
        <f t="shared" si="98"/>
        <v>27</v>
      </c>
      <c r="AY12" s="1099">
        <f t="shared" si="98"/>
        <v>34</v>
      </c>
      <c r="AZ12" s="1099">
        <f t="shared" si="98"/>
        <v>40</v>
      </c>
      <c r="BA12" s="1100">
        <f t="shared" ref="BA12:BA24" si="99">SUM(AO12:AZ12)</f>
        <v>318</v>
      </c>
      <c r="BB12" s="1099">
        <f t="shared" ref="BB12:BM12" si="100">SUM(BB13:BB14)</f>
        <v>47</v>
      </c>
      <c r="BC12" s="1099">
        <f t="shared" si="100"/>
        <v>73</v>
      </c>
      <c r="BD12" s="1099">
        <f t="shared" si="100"/>
        <v>75</v>
      </c>
      <c r="BE12" s="1099">
        <f t="shared" si="100"/>
        <v>73</v>
      </c>
      <c r="BF12" s="1099">
        <f t="shared" si="100"/>
        <v>74</v>
      </c>
      <c r="BG12" s="1099">
        <f t="shared" si="100"/>
        <v>69</v>
      </c>
      <c r="BH12" s="1099">
        <f t="shared" si="100"/>
        <v>56</v>
      </c>
      <c r="BI12" s="1099">
        <f t="shared" si="100"/>
        <v>62</v>
      </c>
      <c r="BJ12" s="1099">
        <f t="shared" si="100"/>
        <v>82</v>
      </c>
      <c r="BK12" s="1099">
        <f t="shared" si="100"/>
        <v>63</v>
      </c>
      <c r="BL12" s="1099">
        <f t="shared" si="100"/>
        <v>75</v>
      </c>
      <c r="BM12" s="1099">
        <f t="shared" si="100"/>
        <v>95</v>
      </c>
      <c r="BN12" s="1100">
        <f t="shared" ref="BN12:BN24" si="101">SUM(BB12:BM12)</f>
        <v>844</v>
      </c>
      <c r="BO12" s="1099">
        <f t="shared" ref="BO12:BY12" si="102">SUM(BO13:BO14)</f>
        <v>84</v>
      </c>
      <c r="BP12" s="1099">
        <f t="shared" si="102"/>
        <v>90</v>
      </c>
      <c r="BQ12" s="1099">
        <f t="shared" si="102"/>
        <v>72</v>
      </c>
      <c r="BR12" s="1099">
        <f t="shared" si="102"/>
        <v>94</v>
      </c>
      <c r="BS12" s="1099">
        <f t="shared" si="102"/>
        <v>84</v>
      </c>
      <c r="BT12" s="1099">
        <f t="shared" si="102"/>
        <v>90</v>
      </c>
      <c r="BU12" s="1099">
        <f t="shared" si="102"/>
        <v>82</v>
      </c>
      <c r="BV12" s="1099">
        <f t="shared" si="102"/>
        <v>81</v>
      </c>
      <c r="BW12" s="1099">
        <f t="shared" si="102"/>
        <v>83</v>
      </c>
      <c r="BX12" s="1099">
        <f t="shared" si="102"/>
        <v>74</v>
      </c>
      <c r="BY12" s="1099">
        <f t="shared" si="102"/>
        <v>106</v>
      </c>
      <c r="BZ12" s="1099">
        <f>SUM(BZ13:BZ14)</f>
        <v>101</v>
      </c>
      <c r="CA12" s="1100">
        <f t="shared" si="73"/>
        <v>1041</v>
      </c>
      <c r="CB12" s="1099">
        <f t="shared" ref="CB12:CM12" si="103">SUM(CB13:CB14)</f>
        <v>107</v>
      </c>
      <c r="CC12" s="1099">
        <f t="shared" si="103"/>
        <v>116</v>
      </c>
      <c r="CD12" s="1099">
        <f t="shared" si="103"/>
        <v>108</v>
      </c>
      <c r="CE12" s="1099">
        <f t="shared" si="103"/>
        <v>152</v>
      </c>
      <c r="CF12" s="1099">
        <f t="shared" si="103"/>
        <v>107</v>
      </c>
      <c r="CG12" s="1099">
        <f t="shared" si="103"/>
        <v>103</v>
      </c>
      <c r="CH12" s="1099">
        <f t="shared" si="103"/>
        <v>98</v>
      </c>
      <c r="CI12" s="1099">
        <f t="shared" si="103"/>
        <v>93</v>
      </c>
      <c r="CJ12" s="1099">
        <f t="shared" si="103"/>
        <v>115</v>
      </c>
      <c r="CK12" s="1099">
        <f t="shared" si="103"/>
        <v>136</v>
      </c>
      <c r="CL12" s="1099">
        <f t="shared" si="103"/>
        <v>147</v>
      </c>
      <c r="CM12" s="1099">
        <f t="shared" si="103"/>
        <v>206</v>
      </c>
      <c r="CN12" s="1100">
        <f t="shared" si="47"/>
        <v>1488</v>
      </c>
      <c r="CO12" s="1099">
        <f t="shared" ref="CO12:EM12" si="104">SUM(CO13:CO14)</f>
        <v>161</v>
      </c>
      <c r="CP12" s="1099">
        <f t="shared" si="104"/>
        <v>141</v>
      </c>
      <c r="CQ12" s="1099">
        <f t="shared" si="104"/>
        <v>195</v>
      </c>
      <c r="CR12" s="1099">
        <f t="shared" si="104"/>
        <v>151</v>
      </c>
      <c r="CS12" s="1099">
        <f t="shared" si="104"/>
        <v>151</v>
      </c>
      <c r="CT12" s="1099">
        <f t="shared" si="104"/>
        <v>147</v>
      </c>
      <c r="CU12" s="1099">
        <f t="shared" si="104"/>
        <v>155</v>
      </c>
      <c r="CV12" s="1099">
        <f t="shared" si="104"/>
        <v>153</v>
      </c>
      <c r="CW12" s="1099">
        <f t="shared" si="104"/>
        <v>97</v>
      </c>
      <c r="CX12" s="1099">
        <f t="shared" si="104"/>
        <v>125</v>
      </c>
      <c r="CY12" s="1099">
        <f t="shared" si="104"/>
        <v>155</v>
      </c>
      <c r="CZ12" s="1099">
        <f t="shared" si="104"/>
        <v>180</v>
      </c>
      <c r="DA12" s="1100">
        <f t="shared" si="49"/>
        <v>1811</v>
      </c>
      <c r="DB12" s="1099">
        <f t="shared" si="104"/>
        <v>221</v>
      </c>
      <c r="DC12" s="1099">
        <f t="shared" si="104"/>
        <v>254</v>
      </c>
      <c r="DD12" s="1099">
        <f t="shared" si="104"/>
        <v>322</v>
      </c>
      <c r="DE12" s="1099">
        <f t="shared" si="104"/>
        <v>356</v>
      </c>
      <c r="DF12" s="1099">
        <f t="shared" si="104"/>
        <v>328</v>
      </c>
      <c r="DG12" s="1099">
        <f t="shared" si="104"/>
        <v>312</v>
      </c>
      <c r="DH12" s="1099">
        <f t="shared" si="104"/>
        <v>369</v>
      </c>
      <c r="DI12" s="1099">
        <f t="shared" si="104"/>
        <v>71</v>
      </c>
      <c r="DJ12" s="1099">
        <f t="shared" si="104"/>
        <v>73</v>
      </c>
      <c r="DK12" s="1099">
        <f t="shared" si="104"/>
        <v>85</v>
      </c>
      <c r="DL12" s="1099">
        <f t="shared" si="104"/>
        <v>71</v>
      </c>
      <c r="DM12" s="1099">
        <f t="shared" si="104"/>
        <v>89</v>
      </c>
      <c r="DN12" s="1100">
        <f t="shared" ref="DN12:DN24" si="105">SUM(DB12:DM12)</f>
        <v>2551</v>
      </c>
      <c r="DO12" s="1099">
        <f t="shared" si="104"/>
        <v>77</v>
      </c>
      <c r="DP12" s="1099">
        <f t="shared" si="104"/>
        <v>106</v>
      </c>
      <c r="DQ12" s="1099">
        <f t="shared" si="104"/>
        <v>82</v>
      </c>
      <c r="DR12" s="1099">
        <f t="shared" si="104"/>
        <v>85</v>
      </c>
      <c r="DS12" s="1099">
        <f t="shared" si="104"/>
        <v>122</v>
      </c>
      <c r="DT12" s="1099">
        <f t="shared" si="104"/>
        <v>104</v>
      </c>
      <c r="DU12" s="1099">
        <f t="shared" si="104"/>
        <v>127</v>
      </c>
      <c r="DV12" s="1099">
        <f t="shared" si="104"/>
        <v>113</v>
      </c>
      <c r="DW12" s="1099">
        <f t="shared" si="104"/>
        <v>140</v>
      </c>
      <c r="DX12" s="1099">
        <f t="shared" si="104"/>
        <v>162</v>
      </c>
      <c r="DY12" s="1099">
        <f t="shared" si="104"/>
        <v>153</v>
      </c>
      <c r="DZ12" s="1099">
        <f t="shared" si="104"/>
        <v>169</v>
      </c>
      <c r="EA12" s="1100">
        <f t="shared" si="52"/>
        <v>1440</v>
      </c>
      <c r="EB12" s="1099">
        <f t="shared" si="104"/>
        <v>166</v>
      </c>
      <c r="EC12" s="1099">
        <f t="shared" si="104"/>
        <v>148</v>
      </c>
      <c r="ED12" s="1099">
        <f t="shared" si="104"/>
        <v>181</v>
      </c>
      <c r="EE12" s="1099">
        <f t="shared" si="104"/>
        <v>179</v>
      </c>
      <c r="EF12" s="1099">
        <f t="shared" si="104"/>
        <v>174</v>
      </c>
      <c r="EG12" s="1099">
        <f t="shared" si="104"/>
        <v>195</v>
      </c>
      <c r="EH12" s="1099">
        <f t="shared" si="104"/>
        <v>203</v>
      </c>
      <c r="EI12" s="1099">
        <f t="shared" si="104"/>
        <v>181</v>
      </c>
      <c r="EJ12" s="1099">
        <f t="shared" si="104"/>
        <v>193</v>
      </c>
      <c r="EK12" s="1099">
        <f t="shared" si="104"/>
        <v>165</v>
      </c>
      <c r="EL12" s="1099">
        <f t="shared" si="104"/>
        <v>167</v>
      </c>
      <c r="EM12" s="1099">
        <f t="shared" si="104"/>
        <v>165</v>
      </c>
      <c r="EN12" s="1100">
        <f t="shared" si="54"/>
        <v>2117</v>
      </c>
      <c r="EO12" s="1099">
        <f>SUM(EO13:EO14)</f>
        <v>161</v>
      </c>
      <c r="EP12" s="1099">
        <f t="shared" ref="EP12:EZ12" si="106">SUM(EP13:EP14)</f>
        <v>152</v>
      </c>
      <c r="EQ12" s="1099">
        <f t="shared" si="106"/>
        <v>166</v>
      </c>
      <c r="ER12" s="1099">
        <f t="shared" si="106"/>
        <v>198</v>
      </c>
      <c r="ES12" s="1099">
        <f t="shared" si="106"/>
        <v>168</v>
      </c>
      <c r="ET12" s="1099">
        <f t="shared" si="106"/>
        <v>224</v>
      </c>
      <c r="EU12" s="1099">
        <f t="shared" si="106"/>
        <v>245</v>
      </c>
      <c r="EV12" s="1099">
        <f t="shared" si="106"/>
        <v>234</v>
      </c>
      <c r="EW12" s="1099">
        <f t="shared" si="106"/>
        <v>274</v>
      </c>
      <c r="EX12" s="1099">
        <f t="shared" si="106"/>
        <v>251</v>
      </c>
      <c r="EY12" s="1099">
        <f t="shared" si="106"/>
        <v>268</v>
      </c>
      <c r="EZ12" s="1099">
        <f t="shared" si="106"/>
        <v>262</v>
      </c>
      <c r="FA12" s="1100">
        <f t="shared" si="56"/>
        <v>2603</v>
      </c>
      <c r="FB12" s="1099">
        <f t="shared" ref="FB12:FM12" si="107">SUM(FB13:FB14)</f>
        <v>278</v>
      </c>
      <c r="FC12" s="1099">
        <f t="shared" si="107"/>
        <v>280</v>
      </c>
      <c r="FD12" s="1099">
        <f t="shared" si="107"/>
        <v>303</v>
      </c>
      <c r="FE12" s="1099">
        <f t="shared" si="107"/>
        <v>220</v>
      </c>
      <c r="FF12" s="1099">
        <f t="shared" si="107"/>
        <v>262</v>
      </c>
      <c r="FG12" s="1099">
        <f t="shared" si="107"/>
        <v>265</v>
      </c>
      <c r="FH12" s="1099">
        <f t="shared" si="107"/>
        <v>270</v>
      </c>
      <c r="FI12" s="1099">
        <f t="shared" si="107"/>
        <v>210</v>
      </c>
      <c r="FJ12" s="1099">
        <f t="shared" si="107"/>
        <v>250</v>
      </c>
      <c r="FK12" s="1099">
        <f t="shared" si="107"/>
        <v>210</v>
      </c>
      <c r="FL12" s="1099">
        <f t="shared" si="107"/>
        <v>211</v>
      </c>
      <c r="FM12" s="1099">
        <f t="shared" si="107"/>
        <v>220</v>
      </c>
      <c r="FN12" s="1100">
        <f>SUM(FB12:FM12)</f>
        <v>2979</v>
      </c>
      <c r="FO12" s="1099">
        <f>SUM(FO13:FO14)</f>
        <v>205</v>
      </c>
      <c r="FP12" s="1099">
        <f t="shared" ref="FP12:FW12" si="108">FP13+FP14</f>
        <v>240</v>
      </c>
      <c r="FQ12" s="1099">
        <f t="shared" si="108"/>
        <v>257</v>
      </c>
      <c r="FR12" s="1099">
        <f t="shared" si="108"/>
        <v>306</v>
      </c>
      <c r="FS12" s="1099">
        <f t="shared" si="108"/>
        <v>268</v>
      </c>
      <c r="FT12" s="1099">
        <f t="shared" si="108"/>
        <v>243</v>
      </c>
      <c r="FU12" s="1099">
        <f t="shared" si="108"/>
        <v>247</v>
      </c>
      <c r="FV12" s="1099">
        <f t="shared" si="108"/>
        <v>227</v>
      </c>
      <c r="FW12" s="1099">
        <f t="shared" si="108"/>
        <v>273</v>
      </c>
      <c r="FX12" s="1099">
        <f>SUM(FX13:FX14)</f>
        <v>276</v>
      </c>
      <c r="FY12" s="1099">
        <f>SUM(FY13:FY14)</f>
        <v>264</v>
      </c>
      <c r="FZ12" s="1099">
        <f>SUM(FZ13:FZ14)</f>
        <v>283</v>
      </c>
      <c r="GA12" s="1100">
        <f t="shared" ref="GA12:GA24" si="109">SUM(FO12:FZ12)</f>
        <v>3089</v>
      </c>
      <c r="GB12" s="1099">
        <f t="shared" ref="GB12:GM12" si="110">SUM(GB13:GB14)</f>
        <v>242</v>
      </c>
      <c r="GC12" s="1099">
        <f t="shared" si="110"/>
        <v>243</v>
      </c>
      <c r="GD12" s="1099">
        <f t="shared" si="110"/>
        <v>188</v>
      </c>
      <c r="GE12" s="1099">
        <f t="shared" si="110"/>
        <v>171</v>
      </c>
      <c r="GF12" s="1099">
        <f t="shared" si="110"/>
        <v>206</v>
      </c>
      <c r="GG12" s="1099">
        <f t="shared" si="110"/>
        <v>165</v>
      </c>
      <c r="GH12" s="1099">
        <f t="shared" si="110"/>
        <v>180</v>
      </c>
      <c r="GI12" s="1099">
        <f t="shared" si="110"/>
        <v>190</v>
      </c>
      <c r="GJ12" s="1099">
        <f t="shared" si="110"/>
        <v>205</v>
      </c>
      <c r="GK12" s="1099">
        <f t="shared" si="110"/>
        <v>226</v>
      </c>
      <c r="GL12" s="1099">
        <f t="shared" si="110"/>
        <v>255</v>
      </c>
      <c r="GM12" s="1099">
        <f t="shared" si="110"/>
        <v>273</v>
      </c>
      <c r="GN12" s="1100">
        <f t="shared" si="83"/>
        <v>2544</v>
      </c>
      <c r="GO12" s="1099">
        <f>SUM(GO13:GO14)</f>
        <v>229</v>
      </c>
      <c r="GP12" s="1099">
        <f>SUM(GP13:GP14)</f>
        <v>217</v>
      </c>
      <c r="GQ12" s="1099">
        <f>SUM(GQ13:GQ14)</f>
        <v>241</v>
      </c>
      <c r="GR12" s="1099">
        <f t="shared" ref="GR12:GZ12" si="111">SUM(GR13:GR14)</f>
        <v>276</v>
      </c>
      <c r="GS12" s="1099">
        <f t="shared" si="111"/>
        <v>252.35</v>
      </c>
      <c r="GT12" s="1099">
        <f t="shared" si="111"/>
        <v>269</v>
      </c>
      <c r="GU12" s="1099">
        <f t="shared" si="111"/>
        <v>280.46999999999997</v>
      </c>
      <c r="GV12" s="1099">
        <f t="shared" si="111"/>
        <v>264.505</v>
      </c>
      <c r="GW12" s="1099">
        <f t="shared" si="111"/>
        <v>257.49</v>
      </c>
      <c r="GX12" s="1099">
        <f t="shared" si="111"/>
        <v>263.69</v>
      </c>
      <c r="GY12" s="1099">
        <f t="shared" si="111"/>
        <v>268.88</v>
      </c>
      <c r="GZ12" s="1099">
        <f t="shared" si="111"/>
        <v>279.34999999999997</v>
      </c>
      <c r="HA12" s="1100">
        <f t="shared" si="85"/>
        <v>3098.7349999999997</v>
      </c>
      <c r="HB12" s="1099">
        <f t="shared" ref="HB12:HM12" si="112">SUM(HB13:HB14)</f>
        <v>266.25</v>
      </c>
      <c r="HC12" s="1099">
        <f t="shared" si="112"/>
        <v>289.34000000000003</v>
      </c>
      <c r="HD12" s="1099">
        <f t="shared" si="112"/>
        <v>266.15000000000003</v>
      </c>
      <c r="HE12" s="1099">
        <f t="shared" si="112"/>
        <v>285.08</v>
      </c>
      <c r="HF12" s="1099">
        <f t="shared" si="112"/>
        <v>283.935</v>
      </c>
      <c r="HG12" s="1099">
        <f t="shared" si="112"/>
        <v>243.48400000000001</v>
      </c>
      <c r="HH12" s="1099">
        <f t="shared" si="112"/>
        <v>248.18799999999999</v>
      </c>
      <c r="HI12" s="1099">
        <f t="shared" si="112"/>
        <v>217.29999999999998</v>
      </c>
      <c r="HJ12" s="1099">
        <f t="shared" si="112"/>
        <v>220.50399999999999</v>
      </c>
      <c r="HK12" s="1099">
        <f t="shared" si="112"/>
        <v>232.20400000000001</v>
      </c>
      <c r="HL12" s="1099">
        <f t="shared" si="112"/>
        <v>236.91000000000003</v>
      </c>
      <c r="HM12" s="1099">
        <f t="shared" si="112"/>
        <v>237.23</v>
      </c>
      <c r="HN12" s="1100">
        <f t="shared" ref="HN12:HN24" si="113">SUM(HB12:HM12)</f>
        <v>3026.5749999999998</v>
      </c>
      <c r="HO12" s="1099">
        <f t="shared" ref="HO12:IM12" si="114">SUM(HO13:HO14)</f>
        <v>228.89500000000001</v>
      </c>
      <c r="HP12" s="1099">
        <f t="shared" si="114"/>
        <v>261.43</v>
      </c>
      <c r="HQ12" s="1099">
        <f t="shared" si="114"/>
        <v>222.89000000000001</v>
      </c>
      <c r="HR12" s="1099">
        <f t="shared" si="114"/>
        <v>263.38149999999996</v>
      </c>
      <c r="HS12" s="1099">
        <f t="shared" si="114"/>
        <v>243.286</v>
      </c>
      <c r="HT12" s="1099">
        <f t="shared" si="114"/>
        <v>194.52</v>
      </c>
      <c r="HU12" s="1099">
        <f t="shared" si="114"/>
        <v>182.28</v>
      </c>
      <c r="HV12" s="1099">
        <f t="shared" si="114"/>
        <v>208.845</v>
      </c>
      <c r="HW12" s="1099">
        <f t="shared" si="114"/>
        <v>206.08</v>
      </c>
      <c r="HX12" s="1099">
        <f t="shared" si="114"/>
        <v>207.93099999999998</v>
      </c>
      <c r="HY12" s="1099">
        <f t="shared" si="114"/>
        <v>216.77</v>
      </c>
      <c r="HZ12" s="1099">
        <f t="shared" si="114"/>
        <v>230.66200000000001</v>
      </c>
      <c r="IA12" s="1100">
        <f t="shared" si="114"/>
        <v>2666.9705000000004</v>
      </c>
      <c r="IB12" s="1099">
        <f t="shared" si="114"/>
        <v>223.32928000000001</v>
      </c>
      <c r="IC12" s="1099">
        <f t="shared" si="114"/>
        <v>227.80500000000001</v>
      </c>
      <c r="ID12" s="1099">
        <f t="shared" si="114"/>
        <v>243.29748000000001</v>
      </c>
      <c r="IE12" s="1099">
        <f t="shared" si="114"/>
        <v>233.61</v>
      </c>
      <c r="IF12" s="1099">
        <f t="shared" si="114"/>
        <v>213.54000000000002</v>
      </c>
      <c r="IG12" s="1099">
        <f t="shared" si="114"/>
        <v>222.01</v>
      </c>
      <c r="IH12" s="1099">
        <f t="shared" si="114"/>
        <v>216.1</v>
      </c>
      <c r="II12" s="1099">
        <f t="shared" si="114"/>
        <v>229</v>
      </c>
      <c r="IJ12" s="1099">
        <f t="shared" si="114"/>
        <v>206.81049999999999</v>
      </c>
      <c r="IK12" s="1099">
        <f t="shared" si="114"/>
        <v>232.85299999999998</v>
      </c>
      <c r="IL12" s="1099">
        <f t="shared" si="114"/>
        <v>246.91800000000001</v>
      </c>
      <c r="IM12" s="1099">
        <f t="shared" si="114"/>
        <v>243.095</v>
      </c>
      <c r="IN12" s="1100">
        <f t="shared" si="88"/>
        <v>2738.3682599999997</v>
      </c>
      <c r="IO12" s="1099">
        <f t="shared" ref="IO12:IZ12" si="115">SUM(IO13:IO14)</f>
        <v>212.24800000000002</v>
      </c>
      <c r="IP12" s="1099">
        <f t="shared" si="115"/>
        <v>185.12299999999999</v>
      </c>
      <c r="IQ12" s="1099">
        <f t="shared" si="115"/>
        <v>230.03299999999999</v>
      </c>
      <c r="IR12" s="1099">
        <f t="shared" si="115"/>
        <v>201.29300000000001</v>
      </c>
      <c r="IS12" s="1099">
        <f t="shared" si="115"/>
        <v>236.38000000000002</v>
      </c>
      <c r="IT12" s="1099">
        <f t="shared" si="115"/>
        <v>214.87</v>
      </c>
      <c r="IU12" s="1099">
        <f t="shared" si="115"/>
        <v>204.75</v>
      </c>
      <c r="IV12" s="1099">
        <f t="shared" si="115"/>
        <v>212.40799999999999</v>
      </c>
      <c r="IW12" s="1099">
        <f t="shared" si="115"/>
        <v>199.45099999999999</v>
      </c>
      <c r="IX12" s="1099">
        <f t="shared" si="115"/>
        <v>187.428</v>
      </c>
      <c r="IY12" s="1099">
        <f t="shared" si="115"/>
        <v>175.95</v>
      </c>
      <c r="IZ12" s="1099">
        <f t="shared" si="115"/>
        <v>238.328</v>
      </c>
      <c r="JA12" s="1100">
        <f t="shared" ref="JA12:JA14" si="116">SUM(IO12:IZ12)</f>
        <v>2498.2619999999997</v>
      </c>
      <c r="JB12" s="1099">
        <f t="shared" ref="JB12:JM12" si="117">SUM(JB13:JB14)</f>
        <v>233</v>
      </c>
      <c r="JC12" s="1099">
        <f t="shared" si="117"/>
        <v>238.76999999999998</v>
      </c>
      <c r="JD12" s="1099">
        <f t="shared" si="117"/>
        <v>0</v>
      </c>
      <c r="JE12" s="1099">
        <f t="shared" si="117"/>
        <v>0</v>
      </c>
      <c r="JF12" s="1099">
        <f t="shared" si="117"/>
        <v>0</v>
      </c>
      <c r="JG12" s="1099">
        <f t="shared" si="117"/>
        <v>0</v>
      </c>
      <c r="JH12" s="1099">
        <f t="shared" si="117"/>
        <v>0</v>
      </c>
      <c r="JI12" s="1099">
        <f t="shared" si="117"/>
        <v>0</v>
      </c>
      <c r="JJ12" s="1099">
        <f t="shared" si="117"/>
        <v>0</v>
      </c>
      <c r="JK12" s="1099">
        <f t="shared" si="117"/>
        <v>0</v>
      </c>
      <c r="JL12" s="1099">
        <f t="shared" si="117"/>
        <v>0</v>
      </c>
      <c r="JM12" s="1099">
        <f t="shared" si="117"/>
        <v>0</v>
      </c>
      <c r="JN12" s="1100">
        <f t="shared" si="92"/>
        <v>471.77</v>
      </c>
      <c r="JO12" s="71"/>
      <c r="JP12" s="1119">
        <f t="shared" si="93"/>
        <v>-1.9609617639194554</v>
      </c>
      <c r="JQ12" s="1120">
        <f t="shared" si="94"/>
        <v>-8.7682238911139017</v>
      </c>
      <c r="JR12" s="1121">
        <f t="shared" si="95"/>
        <v>2738.3682599999997</v>
      </c>
      <c r="JS12" s="1122">
        <f t="shared" si="96"/>
        <v>2498.2619999999997</v>
      </c>
      <c r="JT12" s="98"/>
      <c r="JU12" s="30" t="s">
        <v>541</v>
      </c>
    </row>
    <row r="13" spans="1:281" ht="15" customHeight="1" x14ac:dyDescent="0.2">
      <c r="A13" s="1455" t="s">
        <v>359</v>
      </c>
      <c r="B13" s="1135"/>
      <c r="C13" s="1135"/>
      <c r="D13" s="1135"/>
      <c r="E13" s="1135"/>
      <c r="F13" s="1135"/>
      <c r="G13" s="1135"/>
      <c r="H13" s="1135"/>
      <c r="I13" s="1135"/>
      <c r="J13" s="1135"/>
      <c r="K13" s="1135"/>
      <c r="L13" s="1135"/>
      <c r="M13" s="1135"/>
      <c r="N13" s="1136">
        <f t="shared" si="66"/>
        <v>0</v>
      </c>
      <c r="O13" s="1135">
        <v>12</v>
      </c>
      <c r="P13" s="1135">
        <v>6</v>
      </c>
      <c r="Q13" s="1135">
        <v>14</v>
      </c>
      <c r="R13" s="1135">
        <v>17</v>
      </c>
      <c r="S13" s="1135">
        <v>12</v>
      </c>
      <c r="T13" s="1135">
        <v>14</v>
      </c>
      <c r="U13" s="1135">
        <v>14</v>
      </c>
      <c r="V13" s="1135">
        <v>11</v>
      </c>
      <c r="W13" s="1135">
        <v>13</v>
      </c>
      <c r="X13" s="1135">
        <v>14</v>
      </c>
      <c r="Y13" s="1135">
        <v>16</v>
      </c>
      <c r="Z13" s="1135">
        <v>17</v>
      </c>
      <c r="AA13" s="1136">
        <f t="shared" si="68"/>
        <v>160</v>
      </c>
      <c r="AB13" s="1135">
        <v>13</v>
      </c>
      <c r="AC13" s="1135">
        <v>17</v>
      </c>
      <c r="AD13" s="1135">
        <v>34</v>
      </c>
      <c r="AE13" s="1135">
        <v>18</v>
      </c>
      <c r="AF13" s="1135">
        <v>23</v>
      </c>
      <c r="AG13" s="1135">
        <v>27</v>
      </c>
      <c r="AH13" s="1135">
        <v>22</v>
      </c>
      <c r="AI13" s="1135">
        <v>20</v>
      </c>
      <c r="AJ13" s="1135">
        <v>25</v>
      </c>
      <c r="AK13" s="1135">
        <v>27</v>
      </c>
      <c r="AL13" s="1135">
        <v>28</v>
      </c>
      <c r="AM13" s="1135">
        <v>5</v>
      </c>
      <c r="AN13" s="1136">
        <f>SUM(AB13:AM13)</f>
        <v>259</v>
      </c>
      <c r="AO13" s="1135">
        <v>20</v>
      </c>
      <c r="AP13" s="1135">
        <v>19</v>
      </c>
      <c r="AQ13" s="1135">
        <v>16</v>
      </c>
      <c r="AR13" s="1135">
        <v>22</v>
      </c>
      <c r="AS13" s="1135">
        <v>15</v>
      </c>
      <c r="AT13" s="1135">
        <v>20</v>
      </c>
      <c r="AU13" s="1135">
        <v>19</v>
      </c>
      <c r="AV13" s="1135">
        <v>21</v>
      </c>
      <c r="AW13" s="1135">
        <v>15</v>
      </c>
      <c r="AX13" s="1135">
        <v>19</v>
      </c>
      <c r="AY13" s="1135">
        <v>30</v>
      </c>
      <c r="AZ13" s="1135">
        <v>35</v>
      </c>
      <c r="BA13" s="1136">
        <f t="shared" si="99"/>
        <v>251</v>
      </c>
      <c r="BB13" s="1135">
        <v>46</v>
      </c>
      <c r="BC13" s="1135">
        <v>72</v>
      </c>
      <c r="BD13" s="1135">
        <v>74</v>
      </c>
      <c r="BE13" s="1135">
        <v>69</v>
      </c>
      <c r="BF13" s="1135">
        <v>71</v>
      </c>
      <c r="BG13" s="1135">
        <v>67</v>
      </c>
      <c r="BH13" s="1135">
        <v>54</v>
      </c>
      <c r="BI13" s="1135">
        <v>58</v>
      </c>
      <c r="BJ13" s="1135">
        <v>79</v>
      </c>
      <c r="BK13" s="1135">
        <v>58</v>
      </c>
      <c r="BL13" s="1135">
        <v>71</v>
      </c>
      <c r="BM13" s="1135">
        <v>90</v>
      </c>
      <c r="BN13" s="1136">
        <f t="shared" si="101"/>
        <v>809</v>
      </c>
      <c r="BO13" s="1135">
        <v>80</v>
      </c>
      <c r="BP13" s="1135">
        <v>81</v>
      </c>
      <c r="BQ13" s="1135">
        <v>69</v>
      </c>
      <c r="BR13" s="1135">
        <v>84</v>
      </c>
      <c r="BS13" s="1135">
        <v>74</v>
      </c>
      <c r="BT13" s="1135">
        <v>70</v>
      </c>
      <c r="BU13" s="1135">
        <v>73</v>
      </c>
      <c r="BV13" s="1135">
        <v>74</v>
      </c>
      <c r="BW13" s="1135">
        <v>79</v>
      </c>
      <c r="BX13" s="1135">
        <v>71</v>
      </c>
      <c r="BY13" s="1135">
        <v>103</v>
      </c>
      <c r="BZ13" s="1135">
        <v>96</v>
      </c>
      <c r="CA13" s="1136">
        <f>SUM(BO13:BZ13)</f>
        <v>954</v>
      </c>
      <c r="CB13" s="1135">
        <v>105</v>
      </c>
      <c r="CC13" s="1135">
        <v>114</v>
      </c>
      <c r="CD13" s="1135">
        <v>105</v>
      </c>
      <c r="CE13" s="1135">
        <v>150</v>
      </c>
      <c r="CF13" s="1135">
        <v>104</v>
      </c>
      <c r="CG13" s="1135">
        <v>98</v>
      </c>
      <c r="CH13" s="1135">
        <v>92</v>
      </c>
      <c r="CI13" s="1135">
        <v>86</v>
      </c>
      <c r="CJ13" s="1135">
        <v>107</v>
      </c>
      <c r="CK13" s="1135">
        <v>125</v>
      </c>
      <c r="CL13" s="1135">
        <v>136</v>
      </c>
      <c r="CM13" s="1135">
        <v>197</v>
      </c>
      <c r="CN13" s="1136">
        <f t="shared" si="47"/>
        <v>1419</v>
      </c>
      <c r="CO13" s="1135">
        <v>157</v>
      </c>
      <c r="CP13" s="1135">
        <v>139</v>
      </c>
      <c r="CQ13" s="1135">
        <v>189</v>
      </c>
      <c r="CR13" s="1135">
        <v>130</v>
      </c>
      <c r="CS13" s="1135">
        <v>123</v>
      </c>
      <c r="CT13" s="1135">
        <v>121</v>
      </c>
      <c r="CU13" s="1135">
        <v>128</v>
      </c>
      <c r="CV13" s="1135">
        <v>114</v>
      </c>
      <c r="CW13" s="1135">
        <v>87</v>
      </c>
      <c r="CX13" s="1135">
        <v>109</v>
      </c>
      <c r="CY13" s="1135">
        <v>124</v>
      </c>
      <c r="CZ13" s="1135">
        <v>162</v>
      </c>
      <c r="DA13" s="1136">
        <f t="shared" si="49"/>
        <v>1583</v>
      </c>
      <c r="DB13" s="1135">
        <v>207</v>
      </c>
      <c r="DC13" s="1135">
        <v>247</v>
      </c>
      <c r="DD13" s="1135">
        <v>314</v>
      </c>
      <c r="DE13" s="1135">
        <v>348</v>
      </c>
      <c r="DF13" s="1135">
        <v>321</v>
      </c>
      <c r="DG13" s="1135">
        <v>303</v>
      </c>
      <c r="DH13" s="1135">
        <v>359</v>
      </c>
      <c r="DI13" s="1135">
        <v>68</v>
      </c>
      <c r="DJ13" s="1135">
        <v>70</v>
      </c>
      <c r="DK13" s="1135">
        <v>83</v>
      </c>
      <c r="DL13" s="1135">
        <v>68</v>
      </c>
      <c r="DM13" s="1135">
        <v>87</v>
      </c>
      <c r="DN13" s="1136">
        <f t="shared" si="105"/>
        <v>2475</v>
      </c>
      <c r="DO13" s="1135">
        <v>76</v>
      </c>
      <c r="DP13" s="1135">
        <v>104</v>
      </c>
      <c r="DQ13" s="1135">
        <v>80</v>
      </c>
      <c r="DR13" s="1135">
        <v>83</v>
      </c>
      <c r="DS13" s="1135">
        <v>120</v>
      </c>
      <c r="DT13" s="1135">
        <v>102</v>
      </c>
      <c r="DU13" s="1135">
        <v>124</v>
      </c>
      <c r="DV13" s="1135">
        <v>109</v>
      </c>
      <c r="DW13" s="1135">
        <v>135</v>
      </c>
      <c r="DX13" s="1135">
        <v>155</v>
      </c>
      <c r="DY13" s="1135">
        <v>139</v>
      </c>
      <c r="DZ13" s="1135">
        <v>154</v>
      </c>
      <c r="EA13" s="1136">
        <f t="shared" si="52"/>
        <v>1381</v>
      </c>
      <c r="EB13" s="1135">
        <v>156</v>
      </c>
      <c r="EC13" s="1135">
        <v>137</v>
      </c>
      <c r="ED13" s="1135">
        <v>171</v>
      </c>
      <c r="EE13" s="1135">
        <v>171</v>
      </c>
      <c r="EF13" s="1135">
        <v>159</v>
      </c>
      <c r="EG13" s="1135">
        <v>170</v>
      </c>
      <c r="EH13" s="1135">
        <v>180</v>
      </c>
      <c r="EI13" s="1135">
        <v>157</v>
      </c>
      <c r="EJ13" s="1135">
        <v>178</v>
      </c>
      <c r="EK13" s="1135">
        <v>150</v>
      </c>
      <c r="EL13" s="1135">
        <v>150</v>
      </c>
      <c r="EM13" s="1135">
        <v>145</v>
      </c>
      <c r="EN13" s="1136">
        <f t="shared" si="54"/>
        <v>1924</v>
      </c>
      <c r="EO13" s="1135">
        <v>148</v>
      </c>
      <c r="EP13" s="1135">
        <v>145</v>
      </c>
      <c r="EQ13" s="1135">
        <v>157</v>
      </c>
      <c r="ER13" s="1135">
        <v>181</v>
      </c>
      <c r="ES13" s="1135">
        <v>157</v>
      </c>
      <c r="ET13" s="1135">
        <v>203</v>
      </c>
      <c r="EU13" s="1135">
        <v>225</v>
      </c>
      <c r="EV13" s="1135">
        <v>204</v>
      </c>
      <c r="EW13" s="1135">
        <v>242</v>
      </c>
      <c r="EX13" s="1135">
        <v>226</v>
      </c>
      <c r="EY13" s="1135">
        <v>251</v>
      </c>
      <c r="EZ13" s="1135">
        <v>247</v>
      </c>
      <c r="FA13" s="1136">
        <f t="shared" si="56"/>
        <v>2386</v>
      </c>
      <c r="FB13" s="1135">
        <v>259</v>
      </c>
      <c r="FC13" s="1135">
        <v>259</v>
      </c>
      <c r="FD13" s="1135">
        <v>284</v>
      </c>
      <c r="FE13" s="1135">
        <v>197</v>
      </c>
      <c r="FF13" s="1135">
        <v>238</v>
      </c>
      <c r="FG13" s="1135">
        <v>243</v>
      </c>
      <c r="FH13" s="1135">
        <v>246</v>
      </c>
      <c r="FI13" s="1135">
        <v>189</v>
      </c>
      <c r="FJ13" s="1135">
        <v>234</v>
      </c>
      <c r="FK13" s="1135">
        <v>196</v>
      </c>
      <c r="FL13" s="1135">
        <v>199</v>
      </c>
      <c r="FM13" s="1135">
        <v>206</v>
      </c>
      <c r="FN13" s="1136">
        <f t="shared" ref="FN13:FN24" si="118">SUM(FB13:FM13)</f>
        <v>2750</v>
      </c>
      <c r="FO13" s="1135">
        <v>193</v>
      </c>
      <c r="FP13" s="1135">
        <v>222</v>
      </c>
      <c r="FQ13" s="1135">
        <v>243</v>
      </c>
      <c r="FR13" s="1135">
        <v>282</v>
      </c>
      <c r="FS13" s="1135">
        <v>248</v>
      </c>
      <c r="FT13" s="1135">
        <v>226</v>
      </c>
      <c r="FU13" s="1135">
        <v>223</v>
      </c>
      <c r="FV13" s="1135">
        <v>202</v>
      </c>
      <c r="FW13" s="1135">
        <v>252</v>
      </c>
      <c r="FX13" s="1135">
        <v>256</v>
      </c>
      <c r="FY13" s="1135">
        <v>245</v>
      </c>
      <c r="FZ13" s="1135">
        <v>265</v>
      </c>
      <c r="GA13" s="1136">
        <f t="shared" si="109"/>
        <v>2857</v>
      </c>
      <c r="GB13" s="1135">
        <v>233</v>
      </c>
      <c r="GC13" s="1135">
        <v>235</v>
      </c>
      <c r="GD13" s="1135">
        <v>181</v>
      </c>
      <c r="GE13" s="1135">
        <v>164</v>
      </c>
      <c r="GF13" s="1135">
        <v>201</v>
      </c>
      <c r="GG13" s="1135">
        <v>158</v>
      </c>
      <c r="GH13" s="1135">
        <v>171</v>
      </c>
      <c r="GI13" s="1135">
        <v>175</v>
      </c>
      <c r="GJ13" s="1135">
        <v>188</v>
      </c>
      <c r="GK13" s="1135">
        <v>209</v>
      </c>
      <c r="GL13" s="1135">
        <v>238</v>
      </c>
      <c r="GM13" s="1135">
        <v>259</v>
      </c>
      <c r="GN13" s="1136">
        <f t="shared" si="83"/>
        <v>2412</v>
      </c>
      <c r="GO13" s="1135">
        <v>215</v>
      </c>
      <c r="GP13" s="1135">
        <v>207</v>
      </c>
      <c r="GQ13" s="1135">
        <v>233</v>
      </c>
      <c r="GR13" s="1135">
        <v>269</v>
      </c>
      <c r="GS13" s="1135">
        <v>244.76</v>
      </c>
      <c r="GT13" s="1135">
        <v>261.05</v>
      </c>
      <c r="GU13" s="1135">
        <v>269.57</v>
      </c>
      <c r="GV13" s="1135">
        <v>252.745</v>
      </c>
      <c r="GW13" s="1135">
        <v>245.9</v>
      </c>
      <c r="GX13" s="1135">
        <v>250.77</v>
      </c>
      <c r="GY13" s="1135">
        <v>254.65</v>
      </c>
      <c r="GZ13" s="1135">
        <v>266.77999999999997</v>
      </c>
      <c r="HA13" s="1136">
        <f t="shared" si="85"/>
        <v>2970.2250000000004</v>
      </c>
      <c r="HB13" s="1135">
        <v>253.25</v>
      </c>
      <c r="HC13" s="1135">
        <v>277.87</v>
      </c>
      <c r="HD13" s="1135">
        <v>258.47000000000003</v>
      </c>
      <c r="HE13" s="1135">
        <v>276.64999999999998</v>
      </c>
      <c r="HF13" s="1135">
        <v>273.73500000000001</v>
      </c>
      <c r="HG13" s="1135">
        <v>231.42400000000001</v>
      </c>
      <c r="HH13" s="1135">
        <v>236.738</v>
      </c>
      <c r="HI13" s="1135">
        <v>205.73</v>
      </c>
      <c r="HJ13" s="1135">
        <v>208.804</v>
      </c>
      <c r="HK13" s="1135">
        <v>220.6</v>
      </c>
      <c r="HL13" s="1135">
        <v>226.33</v>
      </c>
      <c r="HM13" s="1135">
        <v>226.85</v>
      </c>
      <c r="HN13" s="1136">
        <f t="shared" si="113"/>
        <v>2896.4509999999996</v>
      </c>
      <c r="HO13" s="1135">
        <f>186.15+33.25</f>
        <v>219.4</v>
      </c>
      <c r="HP13" s="1135">
        <v>250.86500000000001</v>
      </c>
      <c r="HQ13" s="1135">
        <f>188.87+27</f>
        <v>215.87</v>
      </c>
      <c r="HR13" s="1135">
        <v>256.41649999999998</v>
      </c>
      <c r="HS13" s="1135">
        <v>238.756</v>
      </c>
      <c r="HT13" s="1135">
        <v>189.46</v>
      </c>
      <c r="HU13" s="1135">
        <v>181.36</v>
      </c>
      <c r="HV13" s="1135">
        <v>205.69499999999999</v>
      </c>
      <c r="HW13" s="1135">
        <v>202.09</v>
      </c>
      <c r="HX13" s="1135">
        <v>203.98099999999999</v>
      </c>
      <c r="HY13" s="1135">
        <v>213.61</v>
      </c>
      <c r="HZ13" s="1135">
        <v>227.792</v>
      </c>
      <c r="IA13" s="1136">
        <f>SUM(HO13:HZ13)</f>
        <v>2605.2955000000002</v>
      </c>
      <c r="IB13" s="1135">
        <v>220.71928</v>
      </c>
      <c r="IC13" s="1135">
        <v>225.95500000000001</v>
      </c>
      <c r="ID13" s="1135">
        <v>241.29748000000001</v>
      </c>
      <c r="IE13" s="1135">
        <v>231.14</v>
      </c>
      <c r="IF13" s="1135">
        <v>211.27</v>
      </c>
      <c r="IG13" s="1135">
        <v>218.78</v>
      </c>
      <c r="IH13" s="1135">
        <v>212.25</v>
      </c>
      <c r="II13" s="1135">
        <v>224.9</v>
      </c>
      <c r="IJ13" s="1135">
        <v>204.1405</v>
      </c>
      <c r="IK13" s="1135">
        <v>230.09299999999999</v>
      </c>
      <c r="IL13" s="1135">
        <v>243.238</v>
      </c>
      <c r="IM13" s="1135">
        <v>239.405</v>
      </c>
      <c r="IN13" s="1136">
        <f t="shared" si="88"/>
        <v>2703.1882599999999</v>
      </c>
      <c r="IO13" s="1135">
        <v>209.22800000000001</v>
      </c>
      <c r="IP13" s="1135">
        <v>182.27799999999999</v>
      </c>
      <c r="IQ13" s="1135">
        <v>227.13</v>
      </c>
      <c r="IR13" s="1135">
        <v>198.19300000000001</v>
      </c>
      <c r="IS13" s="1135">
        <v>233.58</v>
      </c>
      <c r="IT13" s="1135">
        <v>211.6</v>
      </c>
      <c r="IU13" s="1135">
        <v>204.07</v>
      </c>
      <c r="IV13" s="1135">
        <v>207.06299999999999</v>
      </c>
      <c r="IW13" s="1135">
        <v>193.77099999999999</v>
      </c>
      <c r="IX13" s="1135">
        <v>181.88300000000001</v>
      </c>
      <c r="IY13" s="1135">
        <v>170.25</v>
      </c>
      <c r="IZ13" s="1135">
        <v>218.77</v>
      </c>
      <c r="JA13" s="1136">
        <f t="shared" si="116"/>
        <v>2437.8159999999998</v>
      </c>
      <c r="JB13" s="1135">
        <v>215.12</v>
      </c>
      <c r="JC13" s="1135">
        <v>220.73</v>
      </c>
      <c r="JD13" s="1135"/>
      <c r="JE13" s="1135"/>
      <c r="JF13" s="1135"/>
      <c r="JG13" s="1135"/>
      <c r="JH13" s="1135"/>
      <c r="JI13" s="1135"/>
      <c r="JJ13" s="1135"/>
      <c r="JK13" s="1135"/>
      <c r="JL13" s="1135"/>
      <c r="JM13" s="1135"/>
      <c r="JN13" s="1136">
        <f t="shared" si="92"/>
        <v>435.85</v>
      </c>
      <c r="JP13" s="1137">
        <f t="shared" si="93"/>
        <v>-8.6192853115014234</v>
      </c>
      <c r="JQ13" s="1138">
        <f t="shared" si="94"/>
        <v>-9.8170099333000245</v>
      </c>
      <c r="JR13" s="1139">
        <f t="shared" si="95"/>
        <v>2703.1882599999999</v>
      </c>
      <c r="JS13" s="1140">
        <f t="shared" si="96"/>
        <v>2437.8159999999998</v>
      </c>
      <c r="JT13" s="3"/>
      <c r="JU13" s="8" t="s">
        <v>359</v>
      </c>
    </row>
    <row r="14" spans="1:281" ht="15" customHeight="1" x14ac:dyDescent="0.2">
      <c r="A14" s="1458" t="s">
        <v>605</v>
      </c>
      <c r="B14" s="1135"/>
      <c r="C14" s="1135"/>
      <c r="D14" s="1135"/>
      <c r="E14" s="1135"/>
      <c r="F14" s="1135"/>
      <c r="G14" s="1135"/>
      <c r="H14" s="1135"/>
      <c r="I14" s="1135"/>
      <c r="J14" s="1135"/>
      <c r="K14" s="1135"/>
      <c r="L14" s="1135"/>
      <c r="M14" s="1135"/>
      <c r="N14" s="1136">
        <f t="shared" si="66"/>
        <v>0</v>
      </c>
      <c r="O14" s="1135">
        <v>4</v>
      </c>
      <c r="P14" s="1135">
        <v>10</v>
      </c>
      <c r="Q14" s="1135">
        <v>10</v>
      </c>
      <c r="R14" s="1135">
        <v>12</v>
      </c>
      <c r="S14" s="1135">
        <v>10</v>
      </c>
      <c r="T14" s="1135">
        <v>6</v>
      </c>
      <c r="U14" s="1135">
        <v>8</v>
      </c>
      <c r="V14" s="1135">
        <v>10</v>
      </c>
      <c r="W14" s="1135">
        <v>10</v>
      </c>
      <c r="X14" s="1135">
        <v>10</v>
      </c>
      <c r="Y14" s="1135">
        <v>3</v>
      </c>
      <c r="Z14" s="1135">
        <v>3</v>
      </c>
      <c r="AA14" s="1136">
        <f t="shared" si="68"/>
        <v>96</v>
      </c>
      <c r="AB14" s="1135">
        <v>5</v>
      </c>
      <c r="AC14" s="1135">
        <v>4</v>
      </c>
      <c r="AD14" s="1135">
        <v>5</v>
      </c>
      <c r="AE14" s="1135">
        <v>14</v>
      </c>
      <c r="AF14" s="1135">
        <v>19</v>
      </c>
      <c r="AG14" s="1135">
        <v>6</v>
      </c>
      <c r="AH14" s="1135">
        <v>14</v>
      </c>
      <c r="AI14" s="1135">
        <v>17</v>
      </c>
      <c r="AJ14" s="1135">
        <v>19</v>
      </c>
      <c r="AK14" s="1135">
        <v>10</v>
      </c>
      <c r="AL14" s="1135">
        <v>5</v>
      </c>
      <c r="AM14" s="1135">
        <v>20</v>
      </c>
      <c r="AN14" s="1136">
        <f>SUM(AB14:AM14)</f>
        <v>138</v>
      </c>
      <c r="AO14" s="1135">
        <v>5</v>
      </c>
      <c r="AP14" s="1135">
        <v>3</v>
      </c>
      <c r="AQ14" s="1135">
        <v>2</v>
      </c>
      <c r="AR14" s="1135">
        <v>4</v>
      </c>
      <c r="AS14" s="1135">
        <v>3</v>
      </c>
      <c r="AT14" s="1135">
        <v>7</v>
      </c>
      <c r="AU14" s="1135">
        <v>6</v>
      </c>
      <c r="AV14" s="1135">
        <v>11</v>
      </c>
      <c r="AW14" s="1135">
        <v>9</v>
      </c>
      <c r="AX14" s="1135">
        <v>8</v>
      </c>
      <c r="AY14" s="1135">
        <v>4</v>
      </c>
      <c r="AZ14" s="1135">
        <v>5</v>
      </c>
      <c r="BA14" s="1136">
        <f t="shared" si="99"/>
        <v>67</v>
      </c>
      <c r="BB14" s="1135">
        <v>1</v>
      </c>
      <c r="BC14" s="1135">
        <v>1</v>
      </c>
      <c r="BD14" s="1135">
        <v>1</v>
      </c>
      <c r="BE14" s="1135">
        <v>4</v>
      </c>
      <c r="BF14" s="1135">
        <v>3</v>
      </c>
      <c r="BG14" s="1135">
        <v>2</v>
      </c>
      <c r="BH14" s="1135">
        <v>2</v>
      </c>
      <c r="BI14" s="1135">
        <v>4</v>
      </c>
      <c r="BJ14" s="1135">
        <v>3</v>
      </c>
      <c r="BK14" s="1135">
        <v>5</v>
      </c>
      <c r="BL14" s="1135">
        <v>4</v>
      </c>
      <c r="BM14" s="1135">
        <v>5</v>
      </c>
      <c r="BN14" s="1136">
        <f t="shared" si="101"/>
        <v>35</v>
      </c>
      <c r="BO14" s="1135">
        <v>4</v>
      </c>
      <c r="BP14" s="1135">
        <v>9</v>
      </c>
      <c r="BQ14" s="1135">
        <v>3</v>
      </c>
      <c r="BR14" s="1135">
        <v>10</v>
      </c>
      <c r="BS14" s="1135">
        <v>10</v>
      </c>
      <c r="BT14" s="1135">
        <v>20</v>
      </c>
      <c r="BU14" s="1135">
        <v>9</v>
      </c>
      <c r="BV14" s="1135">
        <v>7</v>
      </c>
      <c r="BW14" s="1135">
        <v>4</v>
      </c>
      <c r="BX14" s="1135">
        <v>3</v>
      </c>
      <c r="BY14" s="1135">
        <v>3</v>
      </c>
      <c r="BZ14" s="1135">
        <v>5</v>
      </c>
      <c r="CA14" s="1136">
        <f t="shared" si="73"/>
        <v>87</v>
      </c>
      <c r="CB14" s="1135">
        <v>2</v>
      </c>
      <c r="CC14" s="1135">
        <v>2</v>
      </c>
      <c r="CD14" s="1135">
        <v>3</v>
      </c>
      <c r="CE14" s="1135">
        <v>2</v>
      </c>
      <c r="CF14" s="1135">
        <v>3</v>
      </c>
      <c r="CG14" s="1135">
        <v>5</v>
      </c>
      <c r="CH14" s="1135">
        <v>6</v>
      </c>
      <c r="CI14" s="1135">
        <v>7</v>
      </c>
      <c r="CJ14" s="1135">
        <v>8</v>
      </c>
      <c r="CK14" s="1135">
        <v>11</v>
      </c>
      <c r="CL14" s="1135">
        <v>11</v>
      </c>
      <c r="CM14" s="1135">
        <v>9</v>
      </c>
      <c r="CN14" s="1136">
        <f t="shared" si="47"/>
        <v>69</v>
      </c>
      <c r="CO14" s="1135">
        <v>4</v>
      </c>
      <c r="CP14" s="1135">
        <v>2</v>
      </c>
      <c r="CQ14" s="1135">
        <v>6</v>
      </c>
      <c r="CR14" s="1135">
        <v>21</v>
      </c>
      <c r="CS14" s="1135">
        <v>28</v>
      </c>
      <c r="CT14" s="1135">
        <v>26</v>
      </c>
      <c r="CU14" s="1135">
        <v>27</v>
      </c>
      <c r="CV14" s="1135">
        <v>39</v>
      </c>
      <c r="CW14" s="1135">
        <v>10</v>
      </c>
      <c r="CX14" s="1135">
        <v>16</v>
      </c>
      <c r="CY14" s="1135">
        <v>31</v>
      </c>
      <c r="CZ14" s="1135">
        <v>18</v>
      </c>
      <c r="DA14" s="1136">
        <f t="shared" si="49"/>
        <v>228</v>
      </c>
      <c r="DB14" s="1135">
        <v>14</v>
      </c>
      <c r="DC14" s="1135">
        <v>7</v>
      </c>
      <c r="DD14" s="1135">
        <v>8</v>
      </c>
      <c r="DE14" s="1135">
        <v>8</v>
      </c>
      <c r="DF14" s="1135">
        <v>7</v>
      </c>
      <c r="DG14" s="1135">
        <v>9</v>
      </c>
      <c r="DH14" s="1135">
        <v>10</v>
      </c>
      <c r="DI14" s="1135">
        <v>3</v>
      </c>
      <c r="DJ14" s="1135">
        <v>3</v>
      </c>
      <c r="DK14" s="1135">
        <v>2</v>
      </c>
      <c r="DL14" s="1135">
        <v>3</v>
      </c>
      <c r="DM14" s="1135">
        <v>2</v>
      </c>
      <c r="DN14" s="1136">
        <f t="shared" si="105"/>
        <v>76</v>
      </c>
      <c r="DO14" s="1135">
        <v>1</v>
      </c>
      <c r="DP14" s="1135">
        <v>2</v>
      </c>
      <c r="DQ14" s="1135">
        <v>2</v>
      </c>
      <c r="DR14" s="1135">
        <v>2</v>
      </c>
      <c r="DS14" s="1135">
        <v>2</v>
      </c>
      <c r="DT14" s="1135">
        <v>2</v>
      </c>
      <c r="DU14" s="1135">
        <v>3</v>
      </c>
      <c r="DV14" s="1135">
        <v>4</v>
      </c>
      <c r="DW14" s="1135">
        <v>5</v>
      </c>
      <c r="DX14" s="1135">
        <v>7</v>
      </c>
      <c r="DY14" s="1135">
        <v>14</v>
      </c>
      <c r="DZ14" s="1135">
        <v>15</v>
      </c>
      <c r="EA14" s="1136">
        <f t="shared" si="52"/>
        <v>59</v>
      </c>
      <c r="EB14" s="1135">
        <v>10</v>
      </c>
      <c r="EC14" s="1135">
        <v>11</v>
      </c>
      <c r="ED14" s="1135">
        <v>10</v>
      </c>
      <c r="EE14" s="1135">
        <v>8</v>
      </c>
      <c r="EF14" s="1135">
        <v>15</v>
      </c>
      <c r="EG14" s="1135">
        <v>25</v>
      </c>
      <c r="EH14" s="1135">
        <v>23</v>
      </c>
      <c r="EI14" s="1135">
        <v>24</v>
      </c>
      <c r="EJ14" s="1135">
        <v>15</v>
      </c>
      <c r="EK14" s="1135">
        <v>15</v>
      </c>
      <c r="EL14" s="1135">
        <v>17</v>
      </c>
      <c r="EM14" s="1135">
        <v>20</v>
      </c>
      <c r="EN14" s="1136">
        <f t="shared" si="54"/>
        <v>193</v>
      </c>
      <c r="EO14" s="1135">
        <v>13</v>
      </c>
      <c r="EP14" s="1135">
        <v>7</v>
      </c>
      <c r="EQ14" s="1135">
        <v>9</v>
      </c>
      <c r="ER14" s="1135">
        <v>17</v>
      </c>
      <c r="ES14" s="1135">
        <v>11</v>
      </c>
      <c r="ET14" s="1135">
        <v>21</v>
      </c>
      <c r="EU14" s="1135">
        <v>20</v>
      </c>
      <c r="EV14" s="1135">
        <v>30</v>
      </c>
      <c r="EW14" s="1135">
        <v>32</v>
      </c>
      <c r="EX14" s="1135">
        <v>25</v>
      </c>
      <c r="EY14" s="1135">
        <v>17</v>
      </c>
      <c r="EZ14" s="1135">
        <v>15</v>
      </c>
      <c r="FA14" s="1136">
        <f t="shared" si="56"/>
        <v>217</v>
      </c>
      <c r="FB14" s="1135">
        <v>19</v>
      </c>
      <c r="FC14" s="1135">
        <v>21</v>
      </c>
      <c r="FD14" s="1135">
        <v>19</v>
      </c>
      <c r="FE14" s="1135">
        <v>23</v>
      </c>
      <c r="FF14" s="1135">
        <v>24</v>
      </c>
      <c r="FG14" s="1135">
        <v>22</v>
      </c>
      <c r="FH14" s="1135">
        <v>24</v>
      </c>
      <c r="FI14" s="1135">
        <v>21</v>
      </c>
      <c r="FJ14" s="1135">
        <v>16</v>
      </c>
      <c r="FK14" s="1135">
        <v>14</v>
      </c>
      <c r="FL14" s="1135">
        <v>12</v>
      </c>
      <c r="FM14" s="1135">
        <v>14</v>
      </c>
      <c r="FN14" s="1136">
        <f t="shared" si="118"/>
        <v>229</v>
      </c>
      <c r="FO14" s="1135">
        <v>12</v>
      </c>
      <c r="FP14" s="1135">
        <v>18</v>
      </c>
      <c r="FQ14" s="1135">
        <v>14</v>
      </c>
      <c r="FR14" s="1135">
        <v>24</v>
      </c>
      <c r="FS14" s="1135">
        <v>20</v>
      </c>
      <c r="FT14" s="1135">
        <v>17</v>
      </c>
      <c r="FU14" s="1135">
        <v>24</v>
      </c>
      <c r="FV14" s="1135">
        <v>25</v>
      </c>
      <c r="FW14" s="1135">
        <v>21</v>
      </c>
      <c r="FX14" s="1135">
        <v>20</v>
      </c>
      <c r="FY14" s="1135">
        <v>19</v>
      </c>
      <c r="FZ14" s="1135">
        <v>18</v>
      </c>
      <c r="GA14" s="1136">
        <f t="shared" si="109"/>
        <v>232</v>
      </c>
      <c r="GB14" s="1135">
        <v>9</v>
      </c>
      <c r="GC14" s="1135">
        <v>8</v>
      </c>
      <c r="GD14" s="1135">
        <v>7</v>
      </c>
      <c r="GE14" s="1135">
        <v>7</v>
      </c>
      <c r="GF14" s="1135">
        <v>5</v>
      </c>
      <c r="GG14" s="1135">
        <v>7</v>
      </c>
      <c r="GH14" s="1135">
        <v>9</v>
      </c>
      <c r="GI14" s="1135">
        <v>15</v>
      </c>
      <c r="GJ14" s="1135">
        <v>17</v>
      </c>
      <c r="GK14" s="1135">
        <v>17</v>
      </c>
      <c r="GL14" s="1135">
        <v>17</v>
      </c>
      <c r="GM14" s="1135">
        <v>14</v>
      </c>
      <c r="GN14" s="1136">
        <f t="shared" si="83"/>
        <v>132</v>
      </c>
      <c r="GO14" s="1135">
        <v>14</v>
      </c>
      <c r="GP14" s="1135">
        <v>10</v>
      </c>
      <c r="GQ14" s="1135">
        <v>8</v>
      </c>
      <c r="GR14" s="1135">
        <v>7</v>
      </c>
      <c r="GS14" s="1135">
        <f>6.17+1.42</f>
        <v>7.59</v>
      </c>
      <c r="GT14" s="1135">
        <f>6.48+1.08+0.39</f>
        <v>7.95</v>
      </c>
      <c r="GU14" s="1135">
        <v>10.9</v>
      </c>
      <c r="GV14" s="1135">
        <f>10.32+0.91+0.53</f>
        <v>11.76</v>
      </c>
      <c r="GW14" s="1135">
        <f>10.7+0.89</f>
        <v>11.59</v>
      </c>
      <c r="GX14" s="1135">
        <f>11.16+0.91+0.85</f>
        <v>12.92</v>
      </c>
      <c r="GY14" s="1135">
        <v>14.23</v>
      </c>
      <c r="GZ14" s="1135">
        <v>12.57</v>
      </c>
      <c r="HA14" s="1136">
        <f t="shared" si="85"/>
        <v>128.51000000000002</v>
      </c>
      <c r="HB14" s="1135">
        <v>13</v>
      </c>
      <c r="HC14" s="1135">
        <f>9.4+2.07</f>
        <v>11.47</v>
      </c>
      <c r="HD14" s="1135">
        <f>6.41+1.27</f>
        <v>7.68</v>
      </c>
      <c r="HE14" s="1135">
        <f>6.86+0.91+0.66</f>
        <v>8.43</v>
      </c>
      <c r="HF14" s="1135">
        <f>8.34+1.86</f>
        <v>10.199999999999999</v>
      </c>
      <c r="HG14" s="1135">
        <f>10.39+1.67</f>
        <v>12.06</v>
      </c>
      <c r="HH14" s="1135">
        <f>248.188-236.738</f>
        <v>11.449999999999989</v>
      </c>
      <c r="HI14" s="1135">
        <f>10.09+1.48</f>
        <v>11.57</v>
      </c>
      <c r="HJ14" s="1135">
        <v>11.7</v>
      </c>
      <c r="HK14" s="1135">
        <f>10.664+0.6+0.34</f>
        <v>11.603999999999999</v>
      </c>
      <c r="HL14" s="1135">
        <f>0.98+0.26+0.62+8.72</f>
        <v>10.58</v>
      </c>
      <c r="HM14" s="1135">
        <f>9.14+0.97+0.27</f>
        <v>10.38</v>
      </c>
      <c r="HN14" s="1136">
        <f t="shared" si="113"/>
        <v>130.124</v>
      </c>
      <c r="HO14" s="1135">
        <f>8.055+1.1+0.34</f>
        <v>9.4949999999999992</v>
      </c>
      <c r="HP14" s="1135">
        <f>8.785+1.47+0.31</f>
        <v>10.565000000000001</v>
      </c>
      <c r="HQ14" s="1135">
        <f>0.76+6.26</f>
        <v>7.02</v>
      </c>
      <c r="HR14" s="1135">
        <v>6.9649999999999999</v>
      </c>
      <c r="HS14" s="1135">
        <f>3.31+1+0.22</f>
        <v>4.53</v>
      </c>
      <c r="HT14" s="1135">
        <f>4.36+0.7</f>
        <v>5.0600000000000005</v>
      </c>
      <c r="HU14" s="1135">
        <v>0.92</v>
      </c>
      <c r="HV14" s="1135">
        <v>3.15</v>
      </c>
      <c r="HW14" s="1135">
        <v>3.99</v>
      </c>
      <c r="HX14" s="1135">
        <v>3.9499999999999997</v>
      </c>
      <c r="HY14" s="1135">
        <f>2.23+0.93</f>
        <v>3.16</v>
      </c>
      <c r="HZ14" s="1135">
        <f>2.19+0.68</f>
        <v>2.87</v>
      </c>
      <c r="IA14" s="1136">
        <f>SUM(HO14:HZ14)</f>
        <v>61.675000000000004</v>
      </c>
      <c r="IB14" s="1135">
        <f>1.64+0.97</f>
        <v>2.61</v>
      </c>
      <c r="IC14" s="1135">
        <f>1.22+0.63</f>
        <v>1.85</v>
      </c>
      <c r="ID14" s="1135">
        <f>1.35+0.65</f>
        <v>2</v>
      </c>
      <c r="IE14" s="1135">
        <v>2.4700000000000273</v>
      </c>
      <c r="IF14" s="1135">
        <v>2.27</v>
      </c>
      <c r="IG14" s="1135">
        <f>2.68+0.55</f>
        <v>3.2300000000000004</v>
      </c>
      <c r="IH14" s="1135">
        <f>216.1-212.25</f>
        <v>3.8499999999999943</v>
      </c>
      <c r="II14" s="1135">
        <v>4.0999999999999996</v>
      </c>
      <c r="IJ14" s="1135">
        <f>2.12+0.55</f>
        <v>2.67</v>
      </c>
      <c r="IK14" s="1135">
        <v>2.76</v>
      </c>
      <c r="IL14" s="1135">
        <v>3.68</v>
      </c>
      <c r="IM14" s="1135">
        <f>2.81+0.88</f>
        <v>3.69</v>
      </c>
      <c r="IN14" s="1136">
        <f t="shared" si="88"/>
        <v>35.180000000000021</v>
      </c>
      <c r="IO14" s="1135">
        <v>3.0199999999999996</v>
      </c>
      <c r="IP14" s="1135">
        <v>2.8449999999999998</v>
      </c>
      <c r="IQ14" s="1135">
        <v>2.903</v>
      </c>
      <c r="IR14" s="1135">
        <v>3.1</v>
      </c>
      <c r="IS14" s="1135">
        <v>2.8000000000000003</v>
      </c>
      <c r="IT14" s="1135">
        <v>3.27</v>
      </c>
      <c r="IU14" s="1135">
        <v>0.68</v>
      </c>
      <c r="IV14" s="1135">
        <f>4.81+0.535</f>
        <v>5.3449999999999998</v>
      </c>
      <c r="IW14" s="1135">
        <f>4.93+0.75</f>
        <v>5.68</v>
      </c>
      <c r="IX14" s="1135">
        <f>4.75+0.795</f>
        <v>5.5449999999999999</v>
      </c>
      <c r="IY14" s="1135">
        <f>5.08+0.62</f>
        <v>5.7</v>
      </c>
      <c r="IZ14" s="1135">
        <v>19.558</v>
      </c>
      <c r="JA14" s="1136">
        <f t="shared" si="116"/>
        <v>60.445999999999998</v>
      </c>
      <c r="JB14" s="1135">
        <v>17.88</v>
      </c>
      <c r="JC14" s="1135">
        <v>18.04</v>
      </c>
      <c r="JD14" s="1135"/>
      <c r="JE14" s="1135"/>
      <c r="JF14" s="1135"/>
      <c r="JG14" s="1135"/>
      <c r="JH14" s="1135"/>
      <c r="JI14" s="1135"/>
      <c r="JJ14" s="1135"/>
      <c r="JK14" s="1135"/>
      <c r="JL14" s="1135"/>
      <c r="JM14" s="1135"/>
      <c r="JN14" s="1136">
        <f t="shared" si="92"/>
        <v>35.92</v>
      </c>
      <c r="JP14" s="1137">
        <f t="shared" si="93"/>
        <v>430.02710027100272</v>
      </c>
      <c r="JQ14" s="1138">
        <f t="shared" si="94"/>
        <v>71.819215463331318</v>
      </c>
      <c r="JR14" s="1139">
        <f t="shared" si="95"/>
        <v>35.180000000000021</v>
      </c>
      <c r="JS14" s="1140">
        <f t="shared" si="96"/>
        <v>60.445999999999998</v>
      </c>
      <c r="JT14" s="99"/>
      <c r="JU14" s="8" t="s">
        <v>542</v>
      </c>
    </row>
    <row r="15" spans="1:281" ht="15" customHeight="1" x14ac:dyDescent="0.2">
      <c r="A15" s="1143"/>
      <c r="B15" s="1135"/>
      <c r="C15" s="1135"/>
      <c r="D15" s="1135"/>
      <c r="E15" s="1135"/>
      <c r="F15" s="1135"/>
      <c r="G15" s="1135"/>
      <c r="H15" s="1135"/>
      <c r="I15" s="1135"/>
      <c r="J15" s="1135"/>
      <c r="K15" s="1135"/>
      <c r="L15" s="1135"/>
      <c r="M15" s="1135"/>
      <c r="N15" s="1136"/>
      <c r="O15" s="1135"/>
      <c r="P15" s="1135"/>
      <c r="Q15" s="1135"/>
      <c r="R15" s="1135"/>
      <c r="S15" s="1135"/>
      <c r="T15" s="1135"/>
      <c r="U15" s="1135"/>
      <c r="V15" s="1135"/>
      <c r="W15" s="1135"/>
      <c r="X15" s="1135"/>
      <c r="Y15" s="1135"/>
      <c r="Z15" s="1135"/>
      <c r="AA15" s="1136"/>
      <c r="AB15" s="1135"/>
      <c r="AC15" s="1135"/>
      <c r="AD15" s="1135"/>
      <c r="AE15" s="1135"/>
      <c r="AF15" s="1135"/>
      <c r="AG15" s="1135"/>
      <c r="AH15" s="1135"/>
      <c r="AI15" s="1135"/>
      <c r="AJ15" s="1135"/>
      <c r="AK15" s="1135"/>
      <c r="AL15" s="1135"/>
      <c r="AM15" s="1135"/>
      <c r="AN15" s="1136"/>
      <c r="AO15" s="1135"/>
      <c r="AP15" s="1135"/>
      <c r="AQ15" s="1135"/>
      <c r="AR15" s="1135"/>
      <c r="AS15" s="1135"/>
      <c r="AT15" s="1135"/>
      <c r="AU15" s="1135"/>
      <c r="AV15" s="1135"/>
      <c r="AW15" s="1135"/>
      <c r="AX15" s="1135"/>
      <c r="AY15" s="1135"/>
      <c r="AZ15" s="1135"/>
      <c r="BA15" s="1136"/>
      <c r="BB15" s="1135"/>
      <c r="BC15" s="1135"/>
      <c r="BD15" s="1135"/>
      <c r="BE15" s="1135"/>
      <c r="BF15" s="1135"/>
      <c r="BG15" s="1135"/>
      <c r="BH15" s="1135"/>
      <c r="BI15" s="1135"/>
      <c r="BJ15" s="1135"/>
      <c r="BK15" s="1135"/>
      <c r="BL15" s="1135"/>
      <c r="BM15" s="1135"/>
      <c r="BN15" s="1136"/>
      <c r="BO15" s="1135"/>
      <c r="BP15" s="1135"/>
      <c r="BQ15" s="1135"/>
      <c r="BR15" s="1135"/>
      <c r="BS15" s="1135"/>
      <c r="BT15" s="1135"/>
      <c r="BU15" s="1135"/>
      <c r="BV15" s="1135"/>
      <c r="BW15" s="1135"/>
      <c r="BX15" s="1135"/>
      <c r="BY15" s="1135"/>
      <c r="BZ15" s="1135"/>
      <c r="CA15" s="1136"/>
      <c r="CB15" s="1135"/>
      <c r="CC15" s="1135"/>
      <c r="CD15" s="1135"/>
      <c r="CE15" s="1135"/>
      <c r="CF15" s="1135"/>
      <c r="CG15" s="1135"/>
      <c r="CH15" s="1135"/>
      <c r="CI15" s="1135"/>
      <c r="CJ15" s="1135"/>
      <c r="CK15" s="1135"/>
      <c r="CL15" s="1135"/>
      <c r="CM15" s="1135"/>
      <c r="CN15" s="1136"/>
      <c r="CO15" s="1135"/>
      <c r="CP15" s="1135"/>
      <c r="CQ15" s="1135"/>
      <c r="CR15" s="1135"/>
      <c r="CS15" s="1135"/>
      <c r="CT15" s="1135"/>
      <c r="CU15" s="1135"/>
      <c r="CV15" s="1135"/>
      <c r="CW15" s="1135"/>
      <c r="CX15" s="1135"/>
      <c r="CY15" s="1135"/>
      <c r="CZ15" s="1135"/>
      <c r="DA15" s="1136"/>
      <c r="DB15" s="1135"/>
      <c r="DC15" s="1135"/>
      <c r="DD15" s="1135"/>
      <c r="DE15" s="1135"/>
      <c r="DF15" s="1135"/>
      <c r="DG15" s="1135"/>
      <c r="DH15" s="1135"/>
      <c r="DI15" s="1135"/>
      <c r="DJ15" s="1135"/>
      <c r="DK15" s="1135"/>
      <c r="DL15" s="1135"/>
      <c r="DM15" s="1135"/>
      <c r="DN15" s="1136"/>
      <c r="DO15" s="1135"/>
      <c r="DP15" s="1135"/>
      <c r="DQ15" s="1135"/>
      <c r="DR15" s="1135"/>
      <c r="DS15" s="1135"/>
      <c r="DT15" s="1135"/>
      <c r="DU15" s="1135"/>
      <c r="DV15" s="1135"/>
      <c r="DW15" s="1135"/>
      <c r="DX15" s="1135"/>
      <c r="DY15" s="1135"/>
      <c r="DZ15" s="1135"/>
      <c r="EA15" s="1136"/>
      <c r="EB15" s="1135"/>
      <c r="EC15" s="1135"/>
      <c r="ED15" s="1135"/>
      <c r="EE15" s="1135"/>
      <c r="EF15" s="1135"/>
      <c r="EG15" s="1135"/>
      <c r="EH15" s="1135"/>
      <c r="EI15" s="1135"/>
      <c r="EJ15" s="1135"/>
      <c r="EK15" s="1135"/>
      <c r="EL15" s="1135"/>
      <c r="EM15" s="1135"/>
      <c r="EN15" s="1136"/>
      <c r="EO15" s="1135"/>
      <c r="EP15" s="1135"/>
      <c r="EQ15" s="1135"/>
      <c r="ER15" s="1135"/>
      <c r="ES15" s="1135"/>
      <c r="ET15" s="1135"/>
      <c r="EU15" s="1135"/>
      <c r="EV15" s="1135"/>
      <c r="EW15" s="1135"/>
      <c r="EX15" s="1135"/>
      <c r="EY15" s="1135"/>
      <c r="EZ15" s="1135"/>
      <c r="FA15" s="1136"/>
      <c r="FB15" s="1135"/>
      <c r="FC15" s="1135"/>
      <c r="FD15" s="1135"/>
      <c r="FE15" s="1135"/>
      <c r="FF15" s="1135"/>
      <c r="FG15" s="1135"/>
      <c r="FH15" s="1135"/>
      <c r="FI15" s="1135"/>
      <c r="FJ15" s="1135"/>
      <c r="FK15" s="1135"/>
      <c r="FL15" s="1135"/>
      <c r="FM15" s="1135"/>
      <c r="FN15" s="1136"/>
      <c r="FO15" s="1135"/>
      <c r="FP15" s="1135"/>
      <c r="FQ15" s="1135"/>
      <c r="FR15" s="1135"/>
      <c r="FS15" s="1135"/>
      <c r="FT15" s="1135"/>
      <c r="FU15" s="1135"/>
      <c r="FV15" s="1135"/>
      <c r="FW15" s="1135"/>
      <c r="FX15" s="1135"/>
      <c r="FY15" s="1135"/>
      <c r="FZ15" s="1135"/>
      <c r="GA15" s="1136"/>
      <c r="GB15" s="1135"/>
      <c r="GC15" s="1135"/>
      <c r="GD15" s="1135"/>
      <c r="GE15" s="1135"/>
      <c r="GF15" s="1135"/>
      <c r="GG15" s="1135"/>
      <c r="GH15" s="1135"/>
      <c r="GI15" s="1135"/>
      <c r="GJ15" s="1135"/>
      <c r="GK15" s="1135"/>
      <c r="GL15" s="1135"/>
      <c r="GM15" s="1135"/>
      <c r="GN15" s="1136"/>
      <c r="GO15" s="1135"/>
      <c r="GP15" s="1135"/>
      <c r="GQ15" s="1135"/>
      <c r="GR15" s="1135"/>
      <c r="GS15" s="1135"/>
      <c r="GT15" s="1135"/>
      <c r="GU15" s="1135"/>
      <c r="GV15" s="1135"/>
      <c r="GW15" s="1135"/>
      <c r="GX15" s="1135"/>
      <c r="GY15" s="1135"/>
      <c r="GZ15" s="1135"/>
      <c r="HA15" s="1136"/>
      <c r="HB15" s="1135"/>
      <c r="HC15" s="1135"/>
      <c r="HD15" s="1135"/>
      <c r="HE15" s="1135"/>
      <c r="HF15" s="1135"/>
      <c r="HG15" s="1135"/>
      <c r="HH15" s="1135"/>
      <c r="HI15" s="1135"/>
      <c r="HJ15" s="1135"/>
      <c r="HK15" s="1135"/>
      <c r="HL15" s="1135"/>
      <c r="HM15" s="1135"/>
      <c r="HN15" s="1136"/>
      <c r="HO15" s="1135"/>
      <c r="HP15" s="1135"/>
      <c r="HQ15" s="1135"/>
      <c r="HR15" s="1135"/>
      <c r="HS15" s="1135"/>
      <c r="HT15" s="1135"/>
      <c r="HU15" s="1135"/>
      <c r="HV15" s="1135"/>
      <c r="HW15" s="1135"/>
      <c r="HX15" s="1135"/>
      <c r="HY15" s="1135"/>
      <c r="HZ15" s="1135"/>
      <c r="IA15" s="1136"/>
      <c r="IB15" s="1135"/>
      <c r="IC15" s="1135"/>
      <c r="ID15" s="1135"/>
      <c r="IE15" s="1135"/>
      <c r="IF15" s="1135"/>
      <c r="IG15" s="1135"/>
      <c r="IH15" s="1135"/>
      <c r="II15" s="1135"/>
      <c r="IJ15" s="1135"/>
      <c r="IK15" s="1135"/>
      <c r="IL15" s="1135"/>
      <c r="IM15" s="1135"/>
      <c r="IN15" s="1136"/>
      <c r="IO15" s="1135"/>
      <c r="IP15" s="1135"/>
      <c r="IQ15" s="1135"/>
      <c r="IR15" s="1135"/>
      <c r="IS15" s="1135"/>
      <c r="IT15" s="1135"/>
      <c r="IU15" s="1135"/>
      <c r="IV15" s="1135"/>
      <c r="IW15" s="1135"/>
      <c r="IX15" s="1135"/>
      <c r="IY15" s="1135"/>
      <c r="IZ15" s="1135"/>
      <c r="JA15" s="1136"/>
      <c r="JB15" s="1135"/>
      <c r="JC15" s="1135"/>
      <c r="JD15" s="1135"/>
      <c r="JE15" s="1135"/>
      <c r="JF15" s="1135"/>
      <c r="JG15" s="1135"/>
      <c r="JH15" s="1135"/>
      <c r="JI15" s="1135"/>
      <c r="JJ15" s="1135"/>
      <c r="JK15" s="1135"/>
      <c r="JL15" s="1135"/>
      <c r="JM15" s="1135"/>
      <c r="JN15" s="1136"/>
      <c r="JP15" s="1137" t="str">
        <f t="shared" si="93"/>
        <v/>
      </c>
      <c r="JQ15" s="1138" t="str">
        <f t="shared" si="94"/>
        <v/>
      </c>
      <c r="JR15" s="1139">
        <f t="shared" si="95"/>
        <v>0</v>
      </c>
      <c r="JS15" s="1140">
        <f t="shared" si="96"/>
        <v>0</v>
      </c>
      <c r="JT15" s="3"/>
      <c r="JU15" s="8"/>
    </row>
    <row r="16" spans="1:281" s="1209" customFormat="1" ht="15" customHeight="1" x14ac:dyDescent="0.2">
      <c r="A16" s="1130" t="s">
        <v>367</v>
      </c>
      <c r="B16" s="1208"/>
      <c r="C16" s="1208"/>
      <c r="D16" s="1208"/>
      <c r="E16" s="1208"/>
      <c r="F16" s="1208"/>
      <c r="G16" s="1208"/>
      <c r="H16" s="1208"/>
      <c r="I16" s="1208"/>
      <c r="J16" s="1208"/>
      <c r="K16" s="1208"/>
      <c r="L16" s="1208"/>
      <c r="M16" s="1208"/>
      <c r="N16" s="1095">
        <f t="shared" si="66"/>
        <v>0</v>
      </c>
      <c r="O16" s="1208">
        <f t="shared" ref="O16:AZ16" si="119">SUM(O18:O24)</f>
        <v>16</v>
      </c>
      <c r="P16" s="1208">
        <f t="shared" si="119"/>
        <v>16</v>
      </c>
      <c r="Q16" s="1208">
        <f t="shared" si="119"/>
        <v>24</v>
      </c>
      <c r="R16" s="1208">
        <f t="shared" si="119"/>
        <v>29</v>
      </c>
      <c r="S16" s="1208">
        <f t="shared" si="119"/>
        <v>22</v>
      </c>
      <c r="T16" s="1208">
        <f t="shared" si="119"/>
        <v>20</v>
      </c>
      <c r="U16" s="1208">
        <f t="shared" si="119"/>
        <v>22</v>
      </c>
      <c r="V16" s="1208">
        <f t="shared" si="119"/>
        <v>21</v>
      </c>
      <c r="W16" s="1208">
        <f t="shared" si="119"/>
        <v>23</v>
      </c>
      <c r="X16" s="1208">
        <f t="shared" si="119"/>
        <v>24</v>
      </c>
      <c r="Y16" s="1208">
        <f t="shared" si="119"/>
        <v>19</v>
      </c>
      <c r="Z16" s="1208">
        <f t="shared" si="119"/>
        <v>20</v>
      </c>
      <c r="AA16" s="1095">
        <f t="shared" si="68"/>
        <v>256</v>
      </c>
      <c r="AB16" s="1208">
        <f t="shared" si="119"/>
        <v>18</v>
      </c>
      <c r="AC16" s="1208">
        <f t="shared" si="119"/>
        <v>21</v>
      </c>
      <c r="AD16" s="1208">
        <f t="shared" si="119"/>
        <v>39</v>
      </c>
      <c r="AE16" s="1208">
        <f t="shared" si="119"/>
        <v>32</v>
      </c>
      <c r="AF16" s="1208">
        <f t="shared" si="119"/>
        <v>42</v>
      </c>
      <c r="AG16" s="1208">
        <f t="shared" si="119"/>
        <v>33</v>
      </c>
      <c r="AH16" s="1208">
        <f t="shared" si="119"/>
        <v>36</v>
      </c>
      <c r="AI16" s="1208">
        <f t="shared" si="119"/>
        <v>37</v>
      </c>
      <c r="AJ16" s="1208">
        <f t="shared" si="119"/>
        <v>44</v>
      </c>
      <c r="AK16" s="1208">
        <f t="shared" si="119"/>
        <v>37</v>
      </c>
      <c r="AL16" s="1208">
        <f t="shared" si="119"/>
        <v>33</v>
      </c>
      <c r="AM16" s="1208">
        <f t="shared" si="119"/>
        <v>25</v>
      </c>
      <c r="AN16" s="1095">
        <f t="shared" si="119"/>
        <v>397</v>
      </c>
      <c r="AO16" s="1208">
        <f t="shared" si="119"/>
        <v>25</v>
      </c>
      <c r="AP16" s="1208">
        <f t="shared" si="119"/>
        <v>22</v>
      </c>
      <c r="AQ16" s="1208">
        <f t="shared" si="119"/>
        <v>18</v>
      </c>
      <c r="AR16" s="1208">
        <f t="shared" si="119"/>
        <v>26</v>
      </c>
      <c r="AS16" s="1208">
        <f t="shared" si="119"/>
        <v>18</v>
      </c>
      <c r="AT16" s="1208">
        <f t="shared" si="119"/>
        <v>27</v>
      </c>
      <c r="AU16" s="1208">
        <f t="shared" si="119"/>
        <v>25</v>
      </c>
      <c r="AV16" s="1208">
        <f t="shared" si="119"/>
        <v>32</v>
      </c>
      <c r="AW16" s="1208">
        <f t="shared" si="119"/>
        <v>24</v>
      </c>
      <c r="AX16" s="1208">
        <f t="shared" si="119"/>
        <v>27</v>
      </c>
      <c r="AY16" s="1208">
        <f t="shared" si="119"/>
        <v>34</v>
      </c>
      <c r="AZ16" s="1208">
        <f t="shared" si="119"/>
        <v>40</v>
      </c>
      <c r="BA16" s="1095">
        <f t="shared" si="99"/>
        <v>318</v>
      </c>
      <c r="BB16" s="1208">
        <f t="shared" ref="BB16:BM16" si="120">SUM(BB18:BB24)</f>
        <v>47</v>
      </c>
      <c r="BC16" s="1208">
        <f t="shared" si="120"/>
        <v>73</v>
      </c>
      <c r="BD16" s="1208">
        <f t="shared" si="120"/>
        <v>75</v>
      </c>
      <c r="BE16" s="1208">
        <f t="shared" si="120"/>
        <v>73</v>
      </c>
      <c r="BF16" s="1208">
        <f t="shared" si="120"/>
        <v>74</v>
      </c>
      <c r="BG16" s="1208">
        <f t="shared" si="120"/>
        <v>69</v>
      </c>
      <c r="BH16" s="1208">
        <f t="shared" si="120"/>
        <v>56</v>
      </c>
      <c r="BI16" s="1208">
        <f t="shared" si="120"/>
        <v>62</v>
      </c>
      <c r="BJ16" s="1208">
        <f t="shared" si="120"/>
        <v>82</v>
      </c>
      <c r="BK16" s="1208">
        <f t="shared" si="120"/>
        <v>63</v>
      </c>
      <c r="BL16" s="1208">
        <f t="shared" si="120"/>
        <v>75</v>
      </c>
      <c r="BM16" s="1208">
        <f t="shared" si="120"/>
        <v>95</v>
      </c>
      <c r="BN16" s="1095">
        <f t="shared" si="101"/>
        <v>844</v>
      </c>
      <c r="BO16" s="1208">
        <f t="shared" ref="BO16:BU16" si="121">SUM(BO18:BO24)</f>
        <v>84</v>
      </c>
      <c r="BP16" s="1208">
        <f t="shared" si="121"/>
        <v>90</v>
      </c>
      <c r="BQ16" s="1208">
        <f t="shared" si="121"/>
        <v>72</v>
      </c>
      <c r="BR16" s="1208">
        <f t="shared" si="121"/>
        <v>94</v>
      </c>
      <c r="BS16" s="1208">
        <f t="shared" si="121"/>
        <v>84</v>
      </c>
      <c r="BT16" s="1208">
        <f t="shared" si="121"/>
        <v>90</v>
      </c>
      <c r="BU16" s="1208">
        <f t="shared" si="121"/>
        <v>82</v>
      </c>
      <c r="BV16" s="1208">
        <f>SUM(BV18:BV24)</f>
        <v>81</v>
      </c>
      <c r="BW16" s="1208">
        <f>SUM(BW18:BW24)</f>
        <v>83</v>
      </c>
      <c r="BX16" s="1208">
        <f>SUM(BX18:BX24)</f>
        <v>74</v>
      </c>
      <c r="BY16" s="1208">
        <f>SUM(BY18:BY24)</f>
        <v>106</v>
      </c>
      <c r="BZ16" s="1208">
        <f>SUM(BZ18:BZ24)</f>
        <v>101</v>
      </c>
      <c r="CA16" s="1095">
        <f t="shared" si="73"/>
        <v>1041</v>
      </c>
      <c r="CB16" s="1208">
        <f t="shared" ref="CB16:CK16" si="122">SUM(CB18:CB24)</f>
        <v>107</v>
      </c>
      <c r="CC16" s="1208">
        <f t="shared" si="122"/>
        <v>116</v>
      </c>
      <c r="CD16" s="1208">
        <f t="shared" si="122"/>
        <v>108</v>
      </c>
      <c r="CE16" s="1208">
        <f t="shared" si="122"/>
        <v>152</v>
      </c>
      <c r="CF16" s="1208">
        <f t="shared" si="122"/>
        <v>107</v>
      </c>
      <c r="CG16" s="1208">
        <f t="shared" si="122"/>
        <v>103</v>
      </c>
      <c r="CH16" s="1208">
        <f t="shared" si="122"/>
        <v>98</v>
      </c>
      <c r="CI16" s="1208">
        <f t="shared" si="122"/>
        <v>93</v>
      </c>
      <c r="CJ16" s="1208">
        <f t="shared" si="122"/>
        <v>115</v>
      </c>
      <c r="CK16" s="1208">
        <f t="shared" si="122"/>
        <v>136</v>
      </c>
      <c r="CL16" s="1208">
        <f>SUM(CL18:CL24)</f>
        <v>147</v>
      </c>
      <c r="CM16" s="1208">
        <f>SUM(CM18:CM24)</f>
        <v>206</v>
      </c>
      <c r="CN16" s="1095">
        <f>SUM(CB16:CM16)</f>
        <v>1488</v>
      </c>
      <c r="CO16" s="1208">
        <f t="shared" ref="CO16:CZ16" si="123">SUM(CO18:CO24)</f>
        <v>161</v>
      </c>
      <c r="CP16" s="1208">
        <f t="shared" si="123"/>
        <v>141</v>
      </c>
      <c r="CQ16" s="1208">
        <f t="shared" si="123"/>
        <v>195</v>
      </c>
      <c r="CR16" s="1208">
        <f t="shared" si="123"/>
        <v>151</v>
      </c>
      <c r="CS16" s="1208">
        <f t="shared" si="123"/>
        <v>151</v>
      </c>
      <c r="CT16" s="1208">
        <f t="shared" si="123"/>
        <v>147</v>
      </c>
      <c r="CU16" s="1208">
        <f t="shared" si="123"/>
        <v>155</v>
      </c>
      <c r="CV16" s="1208">
        <f t="shared" si="123"/>
        <v>153</v>
      </c>
      <c r="CW16" s="1208">
        <f t="shared" si="123"/>
        <v>97</v>
      </c>
      <c r="CX16" s="1208">
        <f t="shared" si="123"/>
        <v>125</v>
      </c>
      <c r="CY16" s="1208">
        <f t="shared" si="123"/>
        <v>155</v>
      </c>
      <c r="CZ16" s="1208">
        <f t="shared" si="123"/>
        <v>180</v>
      </c>
      <c r="DA16" s="1095">
        <f t="shared" si="49"/>
        <v>1811</v>
      </c>
      <c r="DB16" s="1208">
        <f t="shared" ref="DB16:EM16" si="124">SUM(DB18:DB24)</f>
        <v>221</v>
      </c>
      <c r="DC16" s="1208">
        <f t="shared" si="124"/>
        <v>254</v>
      </c>
      <c r="DD16" s="1208">
        <f t="shared" si="124"/>
        <v>322</v>
      </c>
      <c r="DE16" s="1208">
        <f t="shared" si="124"/>
        <v>356</v>
      </c>
      <c r="DF16" s="1208">
        <f t="shared" si="124"/>
        <v>328</v>
      </c>
      <c r="DG16" s="1208">
        <f t="shared" si="124"/>
        <v>312</v>
      </c>
      <c r="DH16" s="1208">
        <f t="shared" si="124"/>
        <v>369</v>
      </c>
      <c r="DI16" s="1208">
        <f t="shared" si="124"/>
        <v>71</v>
      </c>
      <c r="DJ16" s="1208">
        <f t="shared" si="124"/>
        <v>73</v>
      </c>
      <c r="DK16" s="1208">
        <f t="shared" si="124"/>
        <v>85</v>
      </c>
      <c r="DL16" s="1208">
        <f t="shared" si="124"/>
        <v>71</v>
      </c>
      <c r="DM16" s="1208">
        <f t="shared" si="124"/>
        <v>89</v>
      </c>
      <c r="DN16" s="1095">
        <f t="shared" si="105"/>
        <v>2551</v>
      </c>
      <c r="DO16" s="1208">
        <f t="shared" si="124"/>
        <v>77</v>
      </c>
      <c r="DP16" s="1208">
        <f t="shared" si="124"/>
        <v>106</v>
      </c>
      <c r="DQ16" s="1208">
        <f t="shared" si="124"/>
        <v>82</v>
      </c>
      <c r="DR16" s="1208">
        <f t="shared" si="124"/>
        <v>85</v>
      </c>
      <c r="DS16" s="1208">
        <f t="shared" si="124"/>
        <v>122</v>
      </c>
      <c r="DT16" s="1208">
        <f t="shared" si="124"/>
        <v>104</v>
      </c>
      <c r="DU16" s="1208">
        <f t="shared" si="124"/>
        <v>127</v>
      </c>
      <c r="DV16" s="1208">
        <f t="shared" si="124"/>
        <v>113</v>
      </c>
      <c r="DW16" s="1208">
        <f t="shared" si="124"/>
        <v>140</v>
      </c>
      <c r="DX16" s="1208">
        <f t="shared" si="124"/>
        <v>162</v>
      </c>
      <c r="DY16" s="1208">
        <f t="shared" si="124"/>
        <v>153</v>
      </c>
      <c r="DZ16" s="1208">
        <f t="shared" si="124"/>
        <v>169</v>
      </c>
      <c r="EA16" s="1095">
        <f t="shared" si="52"/>
        <v>1440</v>
      </c>
      <c r="EB16" s="1208">
        <f t="shared" si="124"/>
        <v>166</v>
      </c>
      <c r="EC16" s="1208">
        <f t="shared" si="124"/>
        <v>148</v>
      </c>
      <c r="ED16" s="1208">
        <f t="shared" si="124"/>
        <v>181</v>
      </c>
      <c r="EE16" s="1208">
        <f t="shared" si="124"/>
        <v>179</v>
      </c>
      <c r="EF16" s="1208">
        <f t="shared" si="124"/>
        <v>174</v>
      </c>
      <c r="EG16" s="1208">
        <f t="shared" si="124"/>
        <v>195</v>
      </c>
      <c r="EH16" s="1208">
        <f t="shared" si="124"/>
        <v>203</v>
      </c>
      <c r="EI16" s="1208">
        <f t="shared" si="124"/>
        <v>181</v>
      </c>
      <c r="EJ16" s="1208">
        <f t="shared" si="124"/>
        <v>193</v>
      </c>
      <c r="EK16" s="1208">
        <f t="shared" si="124"/>
        <v>165</v>
      </c>
      <c r="EL16" s="1208">
        <f t="shared" si="124"/>
        <v>167</v>
      </c>
      <c r="EM16" s="1208">
        <f t="shared" si="124"/>
        <v>165</v>
      </c>
      <c r="EN16" s="1095">
        <f t="shared" si="54"/>
        <v>2117</v>
      </c>
      <c r="EO16" s="1208">
        <f>SUM(EO18:EO24)</f>
        <v>161</v>
      </c>
      <c r="EP16" s="1208">
        <f t="shared" ref="EP16:EZ16" si="125">SUM(EP18:EP24)</f>
        <v>152</v>
      </c>
      <c r="EQ16" s="1208">
        <f t="shared" si="125"/>
        <v>166</v>
      </c>
      <c r="ER16" s="1208">
        <f t="shared" si="125"/>
        <v>198</v>
      </c>
      <c r="ES16" s="1208">
        <f t="shared" si="125"/>
        <v>168</v>
      </c>
      <c r="ET16" s="1208">
        <f t="shared" si="125"/>
        <v>224</v>
      </c>
      <c r="EU16" s="1208">
        <f t="shared" si="125"/>
        <v>245</v>
      </c>
      <c r="EV16" s="1208">
        <f t="shared" si="125"/>
        <v>234</v>
      </c>
      <c r="EW16" s="1208">
        <f t="shared" si="125"/>
        <v>274</v>
      </c>
      <c r="EX16" s="1208">
        <f t="shared" si="125"/>
        <v>251</v>
      </c>
      <c r="EY16" s="1208">
        <f t="shared" si="125"/>
        <v>268</v>
      </c>
      <c r="EZ16" s="1208">
        <f t="shared" si="125"/>
        <v>262</v>
      </c>
      <c r="FA16" s="1095">
        <f t="shared" si="56"/>
        <v>2603</v>
      </c>
      <c r="FB16" s="1208">
        <f>SUM(FB18:FB24)</f>
        <v>278</v>
      </c>
      <c r="FC16" s="1208">
        <f t="shared" ref="FC16:FM16" si="126">SUM(FC18:FC24)</f>
        <v>280</v>
      </c>
      <c r="FD16" s="1208">
        <f t="shared" si="126"/>
        <v>303</v>
      </c>
      <c r="FE16" s="1208">
        <f t="shared" si="126"/>
        <v>220</v>
      </c>
      <c r="FF16" s="1208">
        <f t="shared" si="126"/>
        <v>262</v>
      </c>
      <c r="FG16" s="1208">
        <f t="shared" si="126"/>
        <v>265</v>
      </c>
      <c r="FH16" s="1208">
        <f t="shared" si="126"/>
        <v>270</v>
      </c>
      <c r="FI16" s="1208">
        <f t="shared" si="126"/>
        <v>210</v>
      </c>
      <c r="FJ16" s="1208">
        <f t="shared" si="126"/>
        <v>250</v>
      </c>
      <c r="FK16" s="1208">
        <f t="shared" si="126"/>
        <v>210</v>
      </c>
      <c r="FL16" s="1208">
        <f t="shared" si="126"/>
        <v>211</v>
      </c>
      <c r="FM16" s="1208">
        <f t="shared" si="126"/>
        <v>220</v>
      </c>
      <c r="FN16" s="1095">
        <f t="shared" si="118"/>
        <v>2979</v>
      </c>
      <c r="FO16" s="1208">
        <f t="shared" ref="FO16:FZ16" si="127">SUM(FO18:FO24)</f>
        <v>205</v>
      </c>
      <c r="FP16" s="1208">
        <f t="shared" si="127"/>
        <v>240</v>
      </c>
      <c r="FQ16" s="1208">
        <f t="shared" si="127"/>
        <v>257</v>
      </c>
      <c r="FR16" s="1208">
        <f>SUM(FR18:FR24)</f>
        <v>306</v>
      </c>
      <c r="FS16" s="1208">
        <f t="shared" si="127"/>
        <v>268</v>
      </c>
      <c r="FT16" s="1208">
        <f t="shared" si="127"/>
        <v>243</v>
      </c>
      <c r="FU16" s="1208">
        <f t="shared" si="127"/>
        <v>247</v>
      </c>
      <c r="FV16" s="1208">
        <f t="shared" si="127"/>
        <v>227</v>
      </c>
      <c r="FW16" s="1208">
        <f t="shared" si="127"/>
        <v>273</v>
      </c>
      <c r="FX16" s="1208">
        <f t="shared" si="127"/>
        <v>276</v>
      </c>
      <c r="FY16" s="1208">
        <f t="shared" si="127"/>
        <v>264</v>
      </c>
      <c r="FZ16" s="1208">
        <f t="shared" si="127"/>
        <v>283</v>
      </c>
      <c r="GA16" s="1095">
        <f t="shared" si="109"/>
        <v>3089</v>
      </c>
      <c r="GB16" s="1208">
        <f t="shared" ref="GB16:GM16" si="128">SUM(GB18:GB24)</f>
        <v>242</v>
      </c>
      <c r="GC16" s="1208">
        <f t="shared" si="128"/>
        <v>243</v>
      </c>
      <c r="GD16" s="1208">
        <f t="shared" si="128"/>
        <v>188</v>
      </c>
      <c r="GE16" s="1208">
        <f t="shared" si="128"/>
        <v>171</v>
      </c>
      <c r="GF16" s="1208">
        <f t="shared" si="128"/>
        <v>206</v>
      </c>
      <c r="GG16" s="1208">
        <f t="shared" si="128"/>
        <v>165</v>
      </c>
      <c r="GH16" s="1208">
        <f t="shared" si="128"/>
        <v>180</v>
      </c>
      <c r="GI16" s="1208">
        <f t="shared" si="128"/>
        <v>190</v>
      </c>
      <c r="GJ16" s="1208">
        <f t="shared" si="128"/>
        <v>205</v>
      </c>
      <c r="GK16" s="1208">
        <f t="shared" si="128"/>
        <v>226</v>
      </c>
      <c r="GL16" s="1208">
        <f t="shared" si="128"/>
        <v>255</v>
      </c>
      <c r="GM16" s="1208">
        <f t="shared" si="128"/>
        <v>273</v>
      </c>
      <c r="GN16" s="1095">
        <f t="shared" si="83"/>
        <v>2544</v>
      </c>
      <c r="GO16" s="1208">
        <f t="shared" ref="GO16:GZ16" si="129">SUM(GO18:GO24)</f>
        <v>229</v>
      </c>
      <c r="GP16" s="1208">
        <f t="shared" si="129"/>
        <v>217</v>
      </c>
      <c r="GQ16" s="1208">
        <f t="shared" si="129"/>
        <v>241</v>
      </c>
      <c r="GR16" s="1208">
        <f t="shared" si="129"/>
        <v>276</v>
      </c>
      <c r="GS16" s="1208">
        <f t="shared" si="129"/>
        <v>252.26999999999998</v>
      </c>
      <c r="GT16" s="1208">
        <f t="shared" si="129"/>
        <v>269.15999999999997</v>
      </c>
      <c r="GU16" s="1208">
        <f t="shared" si="129"/>
        <v>280.40999999999997</v>
      </c>
      <c r="GV16" s="1208">
        <f t="shared" si="129"/>
        <v>264.52499999999998</v>
      </c>
      <c r="GW16" s="1208">
        <f t="shared" si="129"/>
        <v>257.46999999999997</v>
      </c>
      <c r="GX16" s="1208">
        <f t="shared" si="129"/>
        <v>263.63</v>
      </c>
      <c r="GY16" s="1208">
        <f t="shared" si="129"/>
        <v>268.83000000000004</v>
      </c>
      <c r="GZ16" s="1208">
        <f t="shared" si="129"/>
        <v>279.20999999999998</v>
      </c>
      <c r="HA16" s="1095">
        <f t="shared" si="85"/>
        <v>3098.5049999999997</v>
      </c>
      <c r="HB16" s="1208">
        <f t="shared" ref="HB16:HM16" si="130">SUM(HB18:HB24)</f>
        <v>266.25</v>
      </c>
      <c r="HC16" s="1208">
        <f t="shared" si="130"/>
        <v>289.34000000000003</v>
      </c>
      <c r="HD16" s="1208">
        <f t="shared" si="130"/>
        <v>266.11999999999995</v>
      </c>
      <c r="HE16" s="1208">
        <f t="shared" si="130"/>
        <v>285.04000000000002</v>
      </c>
      <c r="HF16" s="1208">
        <f t="shared" si="130"/>
        <v>283.95500000000004</v>
      </c>
      <c r="HG16" s="1208">
        <f t="shared" si="130"/>
        <v>243.49800000000002</v>
      </c>
      <c r="HH16" s="1208">
        <f t="shared" si="130"/>
        <v>248.14800000000002</v>
      </c>
      <c r="HI16" s="1208">
        <f t="shared" si="130"/>
        <v>217.28000000000003</v>
      </c>
      <c r="HJ16" s="1208">
        <f t="shared" si="130"/>
        <v>220.51400000000001</v>
      </c>
      <c r="HK16" s="1208">
        <f t="shared" si="130"/>
        <v>232.22</v>
      </c>
      <c r="HL16" s="1208">
        <f t="shared" si="130"/>
        <v>236.91</v>
      </c>
      <c r="HM16" s="1208">
        <f t="shared" si="130"/>
        <v>237.24</v>
      </c>
      <c r="HN16" s="1095">
        <f t="shared" si="113"/>
        <v>3026.5150000000003</v>
      </c>
      <c r="HO16" s="1208">
        <f t="shared" ref="HO16:IM16" si="131">SUM(HO18:HO24)</f>
        <v>228.88</v>
      </c>
      <c r="HP16" s="1208">
        <f t="shared" si="131"/>
        <v>261.435</v>
      </c>
      <c r="HQ16" s="1208">
        <f t="shared" si="131"/>
        <v>222.93</v>
      </c>
      <c r="HR16" s="1208">
        <f t="shared" si="131"/>
        <v>263.34000000000003</v>
      </c>
      <c r="HS16" s="1208">
        <f t="shared" si="131"/>
        <v>243.27499999999998</v>
      </c>
      <c r="HT16" s="1208">
        <f t="shared" si="131"/>
        <v>194.53</v>
      </c>
      <c r="HU16" s="1208">
        <f t="shared" si="131"/>
        <v>182.29999999999998</v>
      </c>
      <c r="HV16" s="1208">
        <f t="shared" si="131"/>
        <v>208.89499999999998</v>
      </c>
      <c r="HW16" s="1208">
        <f t="shared" si="131"/>
        <v>206.04</v>
      </c>
      <c r="HX16" s="1208">
        <f t="shared" si="131"/>
        <v>207.93</v>
      </c>
      <c r="HY16" s="1208">
        <f t="shared" si="131"/>
        <v>216.73000000000002</v>
      </c>
      <c r="HZ16" s="1208">
        <f t="shared" si="131"/>
        <v>230.69</v>
      </c>
      <c r="IA16" s="1095">
        <f t="shared" si="131"/>
        <v>2666.9749999999995</v>
      </c>
      <c r="IB16" s="1208">
        <f t="shared" si="131"/>
        <v>223.33360000000002</v>
      </c>
      <c r="IC16" s="1208">
        <f t="shared" si="131"/>
        <v>227.83200000000002</v>
      </c>
      <c r="ID16" s="1208">
        <f t="shared" si="131"/>
        <v>243.334</v>
      </c>
      <c r="IE16" s="1208">
        <f t="shared" si="131"/>
        <v>233.63000000000002</v>
      </c>
      <c r="IF16" s="1208">
        <f t="shared" si="131"/>
        <v>213.57</v>
      </c>
      <c r="IG16" s="1208">
        <f t="shared" si="131"/>
        <v>221.97999999999996</v>
      </c>
      <c r="IH16" s="1208">
        <f t="shared" si="131"/>
        <v>216.15</v>
      </c>
      <c r="II16" s="1208">
        <f t="shared" si="131"/>
        <v>228.98000000000002</v>
      </c>
      <c r="IJ16" s="1208">
        <f t="shared" si="131"/>
        <v>206.82999999999998</v>
      </c>
      <c r="IK16" s="1208">
        <f t="shared" si="131"/>
        <v>232.82599999999999</v>
      </c>
      <c r="IL16" s="1208">
        <f t="shared" si="131"/>
        <v>246.91800000000001</v>
      </c>
      <c r="IM16" s="1208">
        <f t="shared" si="131"/>
        <v>243.065</v>
      </c>
      <c r="IN16" s="1095">
        <f t="shared" si="88"/>
        <v>2738.4486000000002</v>
      </c>
      <c r="IO16" s="1208">
        <f t="shared" ref="IO16:IZ16" si="132">SUM(IO18:IO24)</f>
        <v>212.27799999999999</v>
      </c>
      <c r="IP16" s="1208">
        <f t="shared" si="132"/>
        <v>185.12799999999999</v>
      </c>
      <c r="IQ16" s="1208">
        <f t="shared" si="132"/>
        <v>230.04000000000002</v>
      </c>
      <c r="IR16" s="1208">
        <f t="shared" si="132"/>
        <v>201.28799999999998</v>
      </c>
      <c r="IS16" s="1208">
        <f t="shared" si="132"/>
        <v>236.38000000000002</v>
      </c>
      <c r="IT16" s="1208">
        <f t="shared" si="132"/>
        <v>214.86999999999998</v>
      </c>
      <c r="IU16" s="1208">
        <f t="shared" si="132"/>
        <v>204.75</v>
      </c>
      <c r="IV16" s="1208">
        <f t="shared" si="132"/>
        <v>212.40800000000002</v>
      </c>
      <c r="IW16" s="1208">
        <f t="shared" si="132"/>
        <v>199.45099999999996</v>
      </c>
      <c r="IX16" s="1208">
        <f t="shared" si="132"/>
        <v>187.42500000000001</v>
      </c>
      <c r="IY16" s="1208">
        <f t="shared" si="132"/>
        <v>175.95000000000002</v>
      </c>
      <c r="IZ16" s="1208">
        <f t="shared" si="132"/>
        <v>218.77699999999999</v>
      </c>
      <c r="JA16" s="1095">
        <f t="shared" ref="JA16:JA24" si="133">SUM(IO16:IZ16)</f>
        <v>2478.7449999999999</v>
      </c>
      <c r="JB16" s="1208">
        <f t="shared" ref="JB16:JM16" si="134">SUM(JB18:JB24)</f>
        <v>231.92000000000002</v>
      </c>
      <c r="JC16" s="1208">
        <f t="shared" si="134"/>
        <v>237.57</v>
      </c>
      <c r="JD16" s="1208">
        <f t="shared" si="134"/>
        <v>0</v>
      </c>
      <c r="JE16" s="1208">
        <f t="shared" si="134"/>
        <v>0</v>
      </c>
      <c r="JF16" s="1208">
        <f t="shared" si="134"/>
        <v>0</v>
      </c>
      <c r="JG16" s="1208">
        <f t="shared" si="134"/>
        <v>0</v>
      </c>
      <c r="JH16" s="1208">
        <f t="shared" si="134"/>
        <v>0</v>
      </c>
      <c r="JI16" s="1208">
        <f t="shared" si="134"/>
        <v>0</v>
      </c>
      <c r="JJ16" s="1208">
        <f t="shared" si="134"/>
        <v>0</v>
      </c>
      <c r="JK16" s="1208">
        <f t="shared" si="134"/>
        <v>0</v>
      </c>
      <c r="JL16" s="1208">
        <f t="shared" si="134"/>
        <v>0</v>
      </c>
      <c r="JM16" s="1208">
        <f t="shared" si="134"/>
        <v>0</v>
      </c>
      <c r="JN16" s="1095">
        <f t="shared" si="92"/>
        <v>469.49</v>
      </c>
      <c r="JO16" s="1452"/>
      <c r="JP16" s="1113">
        <f t="shared" si="93"/>
        <v>-9.9923888671754497</v>
      </c>
      <c r="JQ16" s="1171">
        <f t="shared" si="94"/>
        <v>-9.4836032343276528</v>
      </c>
      <c r="JR16" s="1114">
        <f t="shared" si="95"/>
        <v>2738.4486000000002</v>
      </c>
      <c r="JS16" s="1115">
        <f t="shared" si="96"/>
        <v>2478.7449999999999</v>
      </c>
      <c r="JT16" s="1453"/>
      <c r="JU16" s="1454"/>
    </row>
    <row r="17" spans="1:281" ht="15" customHeight="1" x14ac:dyDescent="0.2">
      <c r="A17" s="1129"/>
      <c r="B17" s="1096"/>
      <c r="C17" s="1096"/>
      <c r="D17" s="1096"/>
      <c r="E17" s="1096"/>
      <c r="F17" s="1096"/>
      <c r="G17" s="1096"/>
      <c r="H17" s="1096"/>
      <c r="I17" s="1096"/>
      <c r="J17" s="1096"/>
      <c r="K17" s="1096"/>
      <c r="L17" s="1096"/>
      <c r="M17" s="1096"/>
      <c r="N17" s="1097"/>
      <c r="O17" s="1096"/>
      <c r="P17" s="1096"/>
      <c r="Q17" s="1096"/>
      <c r="R17" s="1096"/>
      <c r="S17" s="1096"/>
      <c r="T17" s="1096"/>
      <c r="U17" s="1096"/>
      <c r="V17" s="1096"/>
      <c r="W17" s="1096"/>
      <c r="X17" s="1096"/>
      <c r="Y17" s="1096"/>
      <c r="Z17" s="1096"/>
      <c r="AA17" s="1097"/>
      <c r="AB17" s="1096"/>
      <c r="AC17" s="1096"/>
      <c r="AD17" s="1096"/>
      <c r="AE17" s="1096"/>
      <c r="AF17" s="1096"/>
      <c r="AG17" s="1096"/>
      <c r="AH17" s="1096"/>
      <c r="AI17" s="1096"/>
      <c r="AJ17" s="1096"/>
      <c r="AK17" s="1096"/>
      <c r="AL17" s="1096"/>
      <c r="AM17" s="1096"/>
      <c r="AN17" s="1097"/>
      <c r="AO17" s="1096"/>
      <c r="AP17" s="1096"/>
      <c r="AQ17" s="1096"/>
      <c r="AR17" s="1096"/>
      <c r="AS17" s="1096"/>
      <c r="AT17" s="1096"/>
      <c r="AU17" s="1096"/>
      <c r="AV17" s="1096"/>
      <c r="AW17" s="1096"/>
      <c r="AX17" s="1096"/>
      <c r="AY17" s="1096"/>
      <c r="AZ17" s="1096"/>
      <c r="BA17" s="1097"/>
      <c r="BB17" s="1096"/>
      <c r="BC17" s="1096"/>
      <c r="BD17" s="1096"/>
      <c r="BE17" s="1096"/>
      <c r="BF17" s="1096"/>
      <c r="BG17" s="1096"/>
      <c r="BH17" s="1096"/>
      <c r="BI17" s="1096"/>
      <c r="BJ17" s="1096"/>
      <c r="BK17" s="1096"/>
      <c r="BL17" s="1096"/>
      <c r="BM17" s="1096"/>
      <c r="BN17" s="1097"/>
      <c r="BO17" s="1096"/>
      <c r="BP17" s="1096"/>
      <c r="BQ17" s="1096"/>
      <c r="BR17" s="1096"/>
      <c r="BS17" s="1096"/>
      <c r="BT17" s="1096"/>
      <c r="BU17" s="1096"/>
      <c r="BV17" s="1096"/>
      <c r="BW17" s="1096"/>
      <c r="BX17" s="1096"/>
      <c r="BY17" s="1096"/>
      <c r="BZ17" s="1096"/>
      <c r="CA17" s="1097"/>
      <c r="CB17" s="1096"/>
      <c r="CC17" s="1096"/>
      <c r="CD17" s="1096"/>
      <c r="CE17" s="1096"/>
      <c r="CF17" s="1096"/>
      <c r="CG17" s="1096"/>
      <c r="CH17" s="1096"/>
      <c r="CI17" s="1096"/>
      <c r="CJ17" s="1096"/>
      <c r="CK17" s="1096"/>
      <c r="CL17" s="1096"/>
      <c r="CM17" s="1096"/>
      <c r="CN17" s="1097"/>
      <c r="CO17" s="1096"/>
      <c r="CP17" s="1096"/>
      <c r="CQ17" s="1096"/>
      <c r="CR17" s="1096"/>
      <c r="CS17" s="1096"/>
      <c r="CT17" s="1096"/>
      <c r="CU17" s="1096"/>
      <c r="CV17" s="1096"/>
      <c r="CW17" s="1096"/>
      <c r="CX17" s="1096"/>
      <c r="CY17" s="1096"/>
      <c r="CZ17" s="1096"/>
      <c r="DA17" s="1097"/>
      <c r="DB17" s="1096"/>
      <c r="DC17" s="1096"/>
      <c r="DD17" s="1096"/>
      <c r="DE17" s="1096"/>
      <c r="DF17" s="1096"/>
      <c r="DG17" s="1096"/>
      <c r="DH17" s="1096"/>
      <c r="DI17" s="1096"/>
      <c r="DJ17" s="1096"/>
      <c r="DK17" s="1096"/>
      <c r="DL17" s="1096"/>
      <c r="DM17" s="1096"/>
      <c r="DN17" s="1097"/>
      <c r="DO17" s="1096"/>
      <c r="DP17" s="1096"/>
      <c r="DQ17" s="1096"/>
      <c r="DR17" s="1096"/>
      <c r="DS17" s="1096"/>
      <c r="DT17" s="1096"/>
      <c r="DU17" s="1096"/>
      <c r="DV17" s="1096"/>
      <c r="DW17" s="1096"/>
      <c r="DX17" s="1096"/>
      <c r="DY17" s="1096"/>
      <c r="DZ17" s="1096"/>
      <c r="EA17" s="1097"/>
      <c r="EB17" s="1096"/>
      <c r="EC17" s="1096"/>
      <c r="ED17" s="1096"/>
      <c r="EE17" s="1096"/>
      <c r="EF17" s="1096"/>
      <c r="EG17" s="1096"/>
      <c r="EH17" s="1096"/>
      <c r="EI17" s="1096"/>
      <c r="EJ17" s="1096"/>
      <c r="EK17" s="1096"/>
      <c r="EL17" s="1096"/>
      <c r="EM17" s="1096"/>
      <c r="EN17" s="1097"/>
      <c r="EO17" s="1096"/>
      <c r="EP17" s="1096"/>
      <c r="EQ17" s="1096"/>
      <c r="ER17" s="1096"/>
      <c r="ES17" s="1096"/>
      <c r="ET17" s="1096"/>
      <c r="EU17" s="1096"/>
      <c r="EV17" s="1096"/>
      <c r="EW17" s="1096"/>
      <c r="EX17" s="1096"/>
      <c r="EY17" s="1096"/>
      <c r="EZ17" s="1096"/>
      <c r="FA17" s="1097"/>
      <c r="FB17" s="1096"/>
      <c r="FC17" s="1096"/>
      <c r="FD17" s="1096"/>
      <c r="FE17" s="1096"/>
      <c r="FF17" s="1096"/>
      <c r="FG17" s="1096"/>
      <c r="FH17" s="1096"/>
      <c r="FI17" s="1096"/>
      <c r="FJ17" s="1096"/>
      <c r="FK17" s="1096"/>
      <c r="FL17" s="1096"/>
      <c r="FM17" s="1096"/>
      <c r="FN17" s="1097"/>
      <c r="FO17" s="1096"/>
      <c r="FP17" s="1096"/>
      <c r="FQ17" s="1096"/>
      <c r="FR17" s="1096"/>
      <c r="FS17" s="1096"/>
      <c r="FT17" s="1096"/>
      <c r="FU17" s="1096"/>
      <c r="FV17" s="1096"/>
      <c r="FW17" s="1096"/>
      <c r="FX17" s="1096"/>
      <c r="FY17" s="1096"/>
      <c r="FZ17" s="1096"/>
      <c r="GA17" s="1097"/>
      <c r="GB17" s="1096"/>
      <c r="GC17" s="1096"/>
      <c r="GD17" s="1096"/>
      <c r="GE17" s="1096"/>
      <c r="GF17" s="1096"/>
      <c r="GG17" s="1096"/>
      <c r="GH17" s="1096"/>
      <c r="GI17" s="1096"/>
      <c r="GJ17" s="1096"/>
      <c r="GK17" s="1096"/>
      <c r="GL17" s="1096"/>
      <c r="GM17" s="1096"/>
      <c r="GN17" s="1097"/>
      <c r="GO17" s="1096"/>
      <c r="GP17" s="1096"/>
      <c r="GQ17" s="1096"/>
      <c r="GR17" s="1096"/>
      <c r="GS17" s="1096"/>
      <c r="GT17" s="1096"/>
      <c r="GU17" s="1096"/>
      <c r="GV17" s="1096"/>
      <c r="GW17" s="1096"/>
      <c r="GX17" s="1096"/>
      <c r="GY17" s="1096"/>
      <c r="GZ17" s="1096"/>
      <c r="HA17" s="1097"/>
      <c r="HB17" s="1096"/>
      <c r="HC17" s="1096"/>
      <c r="HD17" s="1096"/>
      <c r="HE17" s="1096"/>
      <c r="HF17" s="1096"/>
      <c r="HG17" s="1096"/>
      <c r="HH17" s="1096"/>
      <c r="HI17" s="1096"/>
      <c r="HJ17" s="1096"/>
      <c r="HK17" s="1096"/>
      <c r="HL17" s="1096"/>
      <c r="HM17" s="1096"/>
      <c r="HN17" s="1097"/>
      <c r="HO17" s="1096"/>
      <c r="HP17" s="1096"/>
      <c r="HQ17" s="1096"/>
      <c r="HR17" s="1096"/>
      <c r="HS17" s="1096"/>
      <c r="HT17" s="1096"/>
      <c r="HU17" s="1096"/>
      <c r="HV17" s="1096"/>
      <c r="HW17" s="1096"/>
      <c r="HX17" s="1096"/>
      <c r="HY17" s="1096"/>
      <c r="HZ17" s="1096"/>
      <c r="IA17" s="1097"/>
      <c r="IB17" s="1096"/>
      <c r="IC17" s="1096"/>
      <c r="ID17" s="1096"/>
      <c r="IE17" s="1096"/>
      <c r="IF17" s="1096"/>
      <c r="IG17" s="1096"/>
      <c r="IH17" s="1096"/>
      <c r="II17" s="1096"/>
      <c r="IJ17" s="1096"/>
      <c r="IK17" s="1096"/>
      <c r="IL17" s="1096"/>
      <c r="IM17" s="1096"/>
      <c r="IN17" s="1097"/>
      <c r="IO17" s="1096"/>
      <c r="IP17" s="1096"/>
      <c r="IQ17" s="1096"/>
      <c r="IR17" s="1096"/>
      <c r="IS17" s="1096"/>
      <c r="IT17" s="1096"/>
      <c r="IU17" s="1096"/>
      <c r="IV17" s="1096"/>
      <c r="IW17" s="1096"/>
      <c r="IX17" s="1096"/>
      <c r="IY17" s="1096"/>
      <c r="IZ17" s="1096"/>
      <c r="JA17" s="1097"/>
      <c r="JB17" s="1096"/>
      <c r="JC17" s="1096"/>
      <c r="JD17" s="1096"/>
      <c r="JE17" s="1096"/>
      <c r="JF17" s="1096"/>
      <c r="JG17" s="1096"/>
      <c r="JH17" s="1096"/>
      <c r="JI17" s="1096"/>
      <c r="JJ17" s="1096"/>
      <c r="JK17" s="1096"/>
      <c r="JL17" s="1096"/>
      <c r="JM17" s="1096"/>
      <c r="JN17" s="1097"/>
      <c r="JO17" s="72"/>
      <c r="JP17" s="1137"/>
      <c r="JQ17" s="1138"/>
      <c r="JR17" s="1139"/>
      <c r="JS17" s="1140"/>
      <c r="JT17" s="97"/>
      <c r="JU17" s="9"/>
    </row>
    <row r="18" spans="1:281" ht="15" customHeight="1" x14ac:dyDescent="0.2">
      <c r="A18" s="1143" t="s">
        <v>364</v>
      </c>
      <c r="B18" s="1135"/>
      <c r="C18" s="1135"/>
      <c r="D18" s="1135"/>
      <c r="E18" s="1135"/>
      <c r="F18" s="1135"/>
      <c r="G18" s="1135"/>
      <c r="H18" s="1135"/>
      <c r="I18" s="1135"/>
      <c r="J18" s="1135"/>
      <c r="K18" s="1135"/>
      <c r="L18" s="1135"/>
      <c r="M18" s="1135"/>
      <c r="N18" s="1136">
        <f t="shared" ref="N18:N23" si="135">SUM(B18:M18)</f>
        <v>0</v>
      </c>
      <c r="O18" s="1135"/>
      <c r="P18" s="1135"/>
      <c r="Q18" s="1135"/>
      <c r="R18" s="1135"/>
      <c r="S18" s="1135"/>
      <c r="T18" s="1135"/>
      <c r="U18" s="1135"/>
      <c r="V18" s="1135"/>
      <c r="W18" s="1135"/>
      <c r="X18" s="1135"/>
      <c r="Y18" s="1135"/>
      <c r="Z18" s="1135"/>
      <c r="AA18" s="1136">
        <f t="shared" ref="AA18:AA23" si="136">SUM(O18:Z18)</f>
        <v>0</v>
      </c>
      <c r="AB18" s="1135"/>
      <c r="AC18" s="1135"/>
      <c r="AD18" s="1135"/>
      <c r="AE18" s="1135"/>
      <c r="AF18" s="1135"/>
      <c r="AG18" s="1135"/>
      <c r="AH18" s="1135"/>
      <c r="AI18" s="1135"/>
      <c r="AJ18" s="1135"/>
      <c r="AK18" s="1135"/>
      <c r="AL18" s="1135"/>
      <c r="AM18" s="1135"/>
      <c r="AN18" s="1136"/>
      <c r="AO18" s="1135"/>
      <c r="AP18" s="1135"/>
      <c r="AQ18" s="1135"/>
      <c r="AR18" s="1135"/>
      <c r="AS18" s="1135"/>
      <c r="AT18" s="1135"/>
      <c r="AU18" s="1135"/>
      <c r="AV18" s="1135"/>
      <c r="AW18" s="1135"/>
      <c r="AX18" s="1135"/>
      <c r="AY18" s="1135"/>
      <c r="AZ18" s="1135"/>
      <c r="BA18" s="1136"/>
      <c r="BB18" s="1135"/>
      <c r="BC18" s="1135"/>
      <c r="BD18" s="1135"/>
      <c r="BE18" s="1135"/>
      <c r="BF18" s="1135"/>
      <c r="BG18" s="1135"/>
      <c r="BH18" s="1135"/>
      <c r="BI18" s="1135"/>
      <c r="BJ18" s="1135"/>
      <c r="BK18" s="1135"/>
      <c r="BL18" s="1135"/>
      <c r="BM18" s="1135"/>
      <c r="BN18" s="1136"/>
      <c r="BO18" s="1135"/>
      <c r="BP18" s="1135"/>
      <c r="BQ18" s="1135"/>
      <c r="BR18" s="1135"/>
      <c r="BS18" s="1135"/>
      <c r="BT18" s="1135"/>
      <c r="BU18" s="1135"/>
      <c r="BV18" s="1135"/>
      <c r="BW18" s="1135"/>
      <c r="BX18" s="1135"/>
      <c r="BY18" s="1135"/>
      <c r="BZ18" s="1135"/>
      <c r="CA18" s="1136"/>
      <c r="CB18" s="1135"/>
      <c r="CC18" s="1135"/>
      <c r="CD18" s="1135"/>
      <c r="CE18" s="1135"/>
      <c r="CF18" s="1135"/>
      <c r="CG18" s="1135"/>
      <c r="CH18" s="1135"/>
      <c r="CI18" s="1135"/>
      <c r="CJ18" s="1135"/>
      <c r="CK18" s="1135"/>
      <c r="CL18" s="1135"/>
      <c r="CM18" s="1135"/>
      <c r="CN18" s="1136"/>
      <c r="CO18" s="1135">
        <v>2</v>
      </c>
      <c r="CP18" s="1135">
        <v>1</v>
      </c>
      <c r="CQ18" s="1135">
        <v>5</v>
      </c>
      <c r="CR18" s="1135">
        <v>10</v>
      </c>
      <c r="CS18" s="1135">
        <v>15</v>
      </c>
      <c r="CT18" s="1135">
        <v>11</v>
      </c>
      <c r="CU18" s="1135">
        <v>13</v>
      </c>
      <c r="CV18" s="1135">
        <v>21</v>
      </c>
      <c r="CW18" s="1135">
        <v>7</v>
      </c>
      <c r="CX18" s="1135">
        <v>6</v>
      </c>
      <c r="CY18" s="1135">
        <v>11</v>
      </c>
      <c r="CZ18" s="1135">
        <v>4</v>
      </c>
      <c r="DA18" s="1136">
        <f t="shared" ref="DA18:DA24" si="137">SUM(CO18:CZ18)</f>
        <v>106</v>
      </c>
      <c r="DB18" s="1135">
        <v>4</v>
      </c>
      <c r="DC18" s="1135">
        <v>4</v>
      </c>
      <c r="DD18" s="1135">
        <v>4</v>
      </c>
      <c r="DE18" s="1135">
        <v>5</v>
      </c>
      <c r="DF18" s="1135">
        <v>3</v>
      </c>
      <c r="DG18" s="1135">
        <v>5</v>
      </c>
      <c r="DH18" s="1135">
        <v>6</v>
      </c>
      <c r="DI18" s="1135">
        <v>2</v>
      </c>
      <c r="DJ18" s="1135">
        <v>1</v>
      </c>
      <c r="DK18" s="1135">
        <v>2</v>
      </c>
      <c r="DL18" s="1135">
        <v>2</v>
      </c>
      <c r="DM18" s="1135">
        <v>1</v>
      </c>
      <c r="DN18" s="1136">
        <f t="shared" ref="DN18:DN23" si="138">SUM(DB18:DM18)</f>
        <v>39</v>
      </c>
      <c r="DO18" s="1135">
        <v>1</v>
      </c>
      <c r="DP18" s="1135">
        <v>1</v>
      </c>
      <c r="DQ18" s="1135">
        <v>1</v>
      </c>
      <c r="DR18" s="1135">
        <v>1</v>
      </c>
      <c r="DS18" s="1135">
        <v>2</v>
      </c>
      <c r="DT18" s="1135">
        <v>2</v>
      </c>
      <c r="DU18" s="1135">
        <v>2</v>
      </c>
      <c r="DV18" s="1135">
        <v>2</v>
      </c>
      <c r="DW18" s="1135">
        <v>3</v>
      </c>
      <c r="DX18" s="1135">
        <v>5</v>
      </c>
      <c r="DY18" s="1135">
        <v>10</v>
      </c>
      <c r="DZ18" s="1135">
        <v>9</v>
      </c>
      <c r="EA18" s="1136">
        <f t="shared" ref="EA18:EA23" si="139">SUM(DO18:DZ18)</f>
        <v>39</v>
      </c>
      <c r="EB18" s="1135">
        <v>8</v>
      </c>
      <c r="EC18" s="1135">
        <v>8</v>
      </c>
      <c r="ED18" s="1135">
        <v>8</v>
      </c>
      <c r="EE18" s="1135">
        <v>7</v>
      </c>
      <c r="EF18" s="1135">
        <v>4</v>
      </c>
      <c r="EG18" s="1135">
        <v>10</v>
      </c>
      <c r="EH18" s="1135">
        <v>10</v>
      </c>
      <c r="EI18" s="1135">
        <v>14</v>
      </c>
      <c r="EJ18" s="1135">
        <v>3</v>
      </c>
      <c r="EK18" s="1135">
        <v>5</v>
      </c>
      <c r="EL18" s="1135">
        <v>10</v>
      </c>
      <c r="EM18" s="1135">
        <v>12</v>
      </c>
      <c r="EN18" s="1136">
        <f t="shared" ref="EN18:EN23" si="140">SUM(EB18:EM18)</f>
        <v>99</v>
      </c>
      <c r="EO18" s="1135">
        <v>8</v>
      </c>
      <c r="EP18" s="1135">
        <v>2</v>
      </c>
      <c r="EQ18" s="1135">
        <v>2</v>
      </c>
      <c r="ER18" s="1135">
        <v>9</v>
      </c>
      <c r="ES18" s="1135">
        <v>1</v>
      </c>
      <c r="ET18" s="1135">
        <v>11</v>
      </c>
      <c r="EU18" s="1135">
        <v>9</v>
      </c>
      <c r="EV18" s="1135">
        <v>13</v>
      </c>
      <c r="EW18" s="1135">
        <v>12</v>
      </c>
      <c r="EX18" s="1135">
        <v>11</v>
      </c>
      <c r="EY18" s="1135">
        <v>5</v>
      </c>
      <c r="EZ18" s="1135">
        <v>7</v>
      </c>
      <c r="FA18" s="1136">
        <f t="shared" ref="FA18:FA23" si="141">SUM(EO18:EZ18)</f>
        <v>90</v>
      </c>
      <c r="FB18" s="1135">
        <v>6</v>
      </c>
      <c r="FC18" s="1135">
        <v>6</v>
      </c>
      <c r="FD18" s="1135">
        <v>4</v>
      </c>
      <c r="FE18" s="1135">
        <v>3</v>
      </c>
      <c r="FF18" s="1135">
        <v>5</v>
      </c>
      <c r="FG18" s="1135">
        <v>6</v>
      </c>
      <c r="FH18" s="1135">
        <v>7</v>
      </c>
      <c r="FI18" s="1135">
        <v>7</v>
      </c>
      <c r="FJ18" s="1135">
        <v>5</v>
      </c>
      <c r="FK18" s="1135">
        <v>3</v>
      </c>
      <c r="FL18" s="1135">
        <v>4</v>
      </c>
      <c r="FM18" s="1135">
        <v>5</v>
      </c>
      <c r="FN18" s="1136">
        <f t="shared" ref="FN18:FN23" si="142">SUM(FB18:FM18)</f>
        <v>61</v>
      </c>
      <c r="FO18" s="1135">
        <v>4</v>
      </c>
      <c r="FP18" s="1135">
        <v>7</v>
      </c>
      <c r="FQ18" s="1135">
        <v>6</v>
      </c>
      <c r="FR18" s="1135">
        <v>8</v>
      </c>
      <c r="FS18" s="1135">
        <v>7</v>
      </c>
      <c r="FT18" s="1135">
        <v>4</v>
      </c>
      <c r="FU18" s="1135">
        <v>8</v>
      </c>
      <c r="FV18" s="1135">
        <v>9</v>
      </c>
      <c r="FW18" s="1135">
        <v>6</v>
      </c>
      <c r="FX18" s="1135">
        <v>6</v>
      </c>
      <c r="FY18" s="1135">
        <v>6</v>
      </c>
      <c r="FZ18" s="1135">
        <v>5</v>
      </c>
      <c r="GA18" s="1136">
        <f t="shared" ref="GA18:GA23" si="143">SUM(FO18:FZ18)</f>
        <v>76</v>
      </c>
      <c r="GB18" s="1135">
        <v>3</v>
      </c>
      <c r="GC18" s="1135">
        <v>3</v>
      </c>
      <c r="GD18" s="1135">
        <v>4</v>
      </c>
      <c r="GE18" s="1135">
        <v>4</v>
      </c>
      <c r="GF18" s="1135">
        <v>1</v>
      </c>
      <c r="GG18" s="1135">
        <v>3</v>
      </c>
      <c r="GH18" s="1135">
        <v>4</v>
      </c>
      <c r="GI18" s="1135">
        <v>6</v>
      </c>
      <c r="GJ18" s="1135">
        <v>7</v>
      </c>
      <c r="GK18" s="1135">
        <v>7</v>
      </c>
      <c r="GL18" s="1135">
        <v>8</v>
      </c>
      <c r="GM18" s="1135">
        <v>6</v>
      </c>
      <c r="GN18" s="1136">
        <f t="shared" ref="GN18:GN23" si="144">SUM(GB18:GM18)</f>
        <v>56</v>
      </c>
      <c r="GO18" s="1135">
        <v>6</v>
      </c>
      <c r="GP18" s="1135">
        <v>4</v>
      </c>
      <c r="GQ18" s="1135">
        <v>3</v>
      </c>
      <c r="GR18" s="1135">
        <v>3</v>
      </c>
      <c r="GS18" s="1135">
        <v>3</v>
      </c>
      <c r="GT18" s="1135">
        <v>3.59</v>
      </c>
      <c r="GU18" s="1135">
        <f>0.32+2.09+0.8</f>
        <v>3.21</v>
      </c>
      <c r="GV18" s="1135">
        <f>0.4+2.73+0.82</f>
        <v>3.9499999999999997</v>
      </c>
      <c r="GW18" s="1135">
        <v>4.83</v>
      </c>
      <c r="GX18" s="1135">
        <f>0.42+4.02+0.47+0.45</f>
        <v>5.3599999999999994</v>
      </c>
      <c r="GY18" s="1135">
        <f>0.45+4.8+0.48+0.35</f>
        <v>6.08</v>
      </c>
      <c r="GZ18" s="1135">
        <v>5.46</v>
      </c>
      <c r="HA18" s="1136">
        <f t="shared" ref="HA18:HA23" si="145">SUM(GO18:GZ18)</f>
        <v>51.48</v>
      </c>
      <c r="HB18" s="1135">
        <v>5.3</v>
      </c>
      <c r="HC18" s="1135">
        <v>5.05</v>
      </c>
      <c r="HD18" s="1135">
        <v>3.23</v>
      </c>
      <c r="HE18" s="1135">
        <f>2.81+0.39+0.49</f>
        <v>3.6900000000000004</v>
      </c>
      <c r="HF18" s="1135">
        <f>3.34+0.45+0.55</f>
        <v>4.34</v>
      </c>
      <c r="HG18" s="1135">
        <v>5.32</v>
      </c>
      <c r="HH18" s="1135">
        <f>4.42+0.65</f>
        <v>5.07</v>
      </c>
      <c r="HI18" s="1135">
        <f>4.95+0.78</f>
        <v>5.73</v>
      </c>
      <c r="HJ18" s="1135">
        <f>5.8+0.33+0.25</f>
        <v>6.38</v>
      </c>
      <c r="HK18" s="1135">
        <v>6.47</v>
      </c>
      <c r="HL18" s="1135">
        <f>4.9+0.38+0.1</f>
        <v>5.38</v>
      </c>
      <c r="HM18" s="1135">
        <f>4.51+0.56+0.12</f>
        <v>5.19</v>
      </c>
      <c r="HN18" s="1136">
        <f t="shared" ref="HN18:HN23" si="146">SUM(HB18:HM18)</f>
        <v>61.150000000000006</v>
      </c>
      <c r="HO18" s="1135">
        <f>4.25+0.63+0.15</f>
        <v>5.03</v>
      </c>
      <c r="HP18" s="1135">
        <f>4.15+0.85+0.12</f>
        <v>5.12</v>
      </c>
      <c r="HQ18" s="1135">
        <f>3.08+0.6</f>
        <v>3.68</v>
      </c>
      <c r="HR18" s="1135">
        <f>0.8+1.13</f>
        <v>1.93</v>
      </c>
      <c r="HS18" s="1135">
        <f>0+2.05</f>
        <v>2.0499999999999998</v>
      </c>
      <c r="HT18" s="1135">
        <f>0.25+0.35+0.25</f>
        <v>0.85</v>
      </c>
      <c r="HU18" s="1135">
        <v>0.52</v>
      </c>
      <c r="HV18" s="1135">
        <f>0.9+0.55</f>
        <v>1.4500000000000002</v>
      </c>
      <c r="HW18" s="1135">
        <v>2</v>
      </c>
      <c r="HX18" s="1135">
        <v>1.85</v>
      </c>
      <c r="HY18" s="1135">
        <f>0.85+0.53</f>
        <v>1.38</v>
      </c>
      <c r="HZ18" s="1135">
        <f>0.8+0.33</f>
        <v>1.1300000000000001</v>
      </c>
      <c r="IA18" s="1136">
        <f t="shared" ref="IA18:IA23" si="147">SUM(HO18:HZ18)</f>
        <v>26.99</v>
      </c>
      <c r="IB18" s="1135">
        <f>0.62+0.57</f>
        <v>1.19</v>
      </c>
      <c r="IC18" s="1135">
        <v>0.55000000000000004</v>
      </c>
      <c r="ID18" s="1135">
        <f>0.25+0.35</f>
        <v>0.6</v>
      </c>
      <c r="IE18" s="1135">
        <v>0.7</v>
      </c>
      <c r="IF18" s="1135">
        <f>0.45+0.3</f>
        <v>0.75</v>
      </c>
      <c r="IG18" s="1135">
        <v>0.9</v>
      </c>
      <c r="IH18" s="1135">
        <v>1.65</v>
      </c>
      <c r="II18" s="1135">
        <f>1.4+0.25</f>
        <v>1.65</v>
      </c>
      <c r="IJ18" s="1135">
        <v>0.85</v>
      </c>
      <c r="IK18" s="1135">
        <v>0.9</v>
      </c>
      <c r="IL18" s="1135">
        <f>0.85+0.28</f>
        <v>1.1299999999999999</v>
      </c>
      <c r="IM18" s="1135">
        <f>0.8+0.33</f>
        <v>1.1300000000000001</v>
      </c>
      <c r="IN18" s="1136">
        <f t="shared" ref="IN18:IN23" si="148">SUM(IB18:IM18)</f>
        <v>12.000000000000002</v>
      </c>
      <c r="IO18" s="1135">
        <v>0.95</v>
      </c>
      <c r="IP18" s="1135">
        <v>0.89999999999999991</v>
      </c>
      <c r="IQ18" s="1135">
        <v>0.89</v>
      </c>
      <c r="IR18" s="1135">
        <v>0.96</v>
      </c>
      <c r="IS18" s="1135">
        <v>0.35</v>
      </c>
      <c r="IT18" s="1135">
        <v>0.6</v>
      </c>
      <c r="IU18" s="1135"/>
      <c r="IV18" s="1135">
        <f>1.5+0.13+0.165</f>
        <v>1.7949999999999999</v>
      </c>
      <c r="IW18" s="1135">
        <f>1.6+0.5</f>
        <v>2.1</v>
      </c>
      <c r="IX18" s="1135">
        <f>1.2+0.22</f>
        <v>1.42</v>
      </c>
      <c r="IY18" s="1135">
        <f>1.5+0.33</f>
        <v>1.83</v>
      </c>
      <c r="IZ18" s="1135">
        <v>0</v>
      </c>
      <c r="JA18" s="1136">
        <f t="shared" ref="JA18:JA23" si="149">SUM(IO18:IZ18)</f>
        <v>11.795</v>
      </c>
      <c r="JB18" s="1135">
        <v>8.3000000000000007</v>
      </c>
      <c r="JC18" s="1135">
        <v>8.35</v>
      </c>
      <c r="JD18" s="1135"/>
      <c r="JE18" s="1135"/>
      <c r="JF18" s="1135"/>
      <c r="JG18" s="1135"/>
      <c r="JH18" s="1135"/>
      <c r="JI18" s="1135"/>
      <c r="JJ18" s="1135"/>
      <c r="JK18" s="1135"/>
      <c r="JL18" s="1135"/>
      <c r="JM18" s="1135"/>
      <c r="JN18" s="1136">
        <f t="shared" ref="JN18:JN23" si="150">SUM(JB18:JM18)</f>
        <v>16.649999999999999</v>
      </c>
      <c r="JP18" s="1137">
        <f t="shared" ref="JP18:JP23" si="151">IFERROR(((
_xlfn.XLOOKUP((DATE(YEAR($JP$5),MONTH($JP$5),1)),$B$5:$JN$5,$B18:$JN18) /
_xlfn.XLOOKUP((DATE(YEAR($JP$5)-1,MONTH($JP$5),1)),$B$5:$JN$5,$B18:$JN18)
)-1)*100,"")</f>
        <v>-100</v>
      </c>
      <c r="JQ18" s="1138">
        <f t="shared" ref="JQ18:JQ23" si="152">IFERROR(((JS18/JR18)-1)*100,"")</f>
        <v>-1.708333333333345</v>
      </c>
      <c r="JR18" s="1139">
        <f t="shared" ref="JR18:JR23" si="153">SUMIFS($B18:$JN18,$B$5:$JN$5,"&gt;="&amp;DATE(YEAR($JP$5)-1,1,1),$B$5:$JN$5,"&lt;="&amp;DATE(YEAR($JP$5)-1,MONTH($JP$5),1))</f>
        <v>12.000000000000002</v>
      </c>
      <c r="JS18" s="1140">
        <f t="shared" ref="JS18:JS23" si="154">SUMIFS($B18:$JN18,$B$5:$JN$5,"&gt;="&amp;DATE(YEAR($JP$5),1,1),$B$5:$JN$5,"&lt;="&amp;$JP$5)</f>
        <v>11.795</v>
      </c>
      <c r="JT18" s="100"/>
      <c r="JU18" s="8"/>
    </row>
    <row r="19" spans="1:281" ht="15" customHeight="1" x14ac:dyDescent="0.2">
      <c r="A19" s="1143" t="s">
        <v>365</v>
      </c>
      <c r="B19" s="1135"/>
      <c r="C19" s="1135"/>
      <c r="D19" s="1135"/>
      <c r="E19" s="1135"/>
      <c r="F19" s="1135"/>
      <c r="G19" s="1135"/>
      <c r="H19" s="1135"/>
      <c r="I19" s="1135"/>
      <c r="J19" s="1135"/>
      <c r="K19" s="1135"/>
      <c r="L19" s="1135"/>
      <c r="M19" s="1135"/>
      <c r="N19" s="1136">
        <f t="shared" si="135"/>
        <v>0</v>
      </c>
      <c r="O19" s="1135"/>
      <c r="P19" s="1135"/>
      <c r="Q19" s="1135"/>
      <c r="R19" s="1135"/>
      <c r="S19" s="1135"/>
      <c r="T19" s="1135"/>
      <c r="U19" s="1135"/>
      <c r="V19" s="1135"/>
      <c r="W19" s="1135"/>
      <c r="X19" s="1135"/>
      <c r="Y19" s="1135"/>
      <c r="Z19" s="1135"/>
      <c r="AA19" s="1136">
        <f t="shared" si="136"/>
        <v>0</v>
      </c>
      <c r="AB19" s="1135"/>
      <c r="AC19" s="1135"/>
      <c r="AD19" s="1135"/>
      <c r="AE19" s="1135"/>
      <c r="AF19" s="1135"/>
      <c r="AG19" s="1135"/>
      <c r="AH19" s="1135"/>
      <c r="AI19" s="1135"/>
      <c r="AJ19" s="1135"/>
      <c r="AK19" s="1135"/>
      <c r="AL19" s="1135"/>
      <c r="AM19" s="1135"/>
      <c r="AN19" s="1136"/>
      <c r="AO19" s="1135"/>
      <c r="AP19" s="1135"/>
      <c r="AQ19" s="1135"/>
      <c r="AR19" s="1135"/>
      <c r="AS19" s="1135"/>
      <c r="AT19" s="1135"/>
      <c r="AU19" s="1135"/>
      <c r="AV19" s="1135"/>
      <c r="AW19" s="1135"/>
      <c r="AX19" s="1135"/>
      <c r="AY19" s="1135"/>
      <c r="AZ19" s="1135"/>
      <c r="BA19" s="1136"/>
      <c r="BB19" s="1135"/>
      <c r="BC19" s="1135"/>
      <c r="BD19" s="1135"/>
      <c r="BE19" s="1135"/>
      <c r="BF19" s="1135"/>
      <c r="BG19" s="1135"/>
      <c r="BH19" s="1135"/>
      <c r="BI19" s="1135"/>
      <c r="BJ19" s="1135"/>
      <c r="BK19" s="1135"/>
      <c r="BL19" s="1135"/>
      <c r="BM19" s="1135"/>
      <c r="BN19" s="1136"/>
      <c r="BO19" s="1135"/>
      <c r="BP19" s="1135"/>
      <c r="BQ19" s="1135"/>
      <c r="BR19" s="1135"/>
      <c r="BS19" s="1135"/>
      <c r="BT19" s="1135"/>
      <c r="BU19" s="1135"/>
      <c r="BV19" s="1135"/>
      <c r="BW19" s="1135"/>
      <c r="BX19" s="1135"/>
      <c r="BY19" s="1135"/>
      <c r="BZ19" s="1135"/>
      <c r="CA19" s="1136"/>
      <c r="CB19" s="1135"/>
      <c r="CC19" s="1135"/>
      <c r="CD19" s="1135"/>
      <c r="CE19" s="1135"/>
      <c r="CF19" s="1135"/>
      <c r="CG19" s="1135"/>
      <c r="CH19" s="1135"/>
      <c r="CI19" s="1135"/>
      <c r="CJ19" s="1135"/>
      <c r="CK19" s="1135"/>
      <c r="CL19" s="1135"/>
      <c r="CM19" s="1135"/>
      <c r="CN19" s="1136"/>
      <c r="CO19" s="1135"/>
      <c r="CP19" s="1135">
        <v>1</v>
      </c>
      <c r="CQ19" s="1135">
        <v>1</v>
      </c>
      <c r="CR19" s="1135">
        <v>2</v>
      </c>
      <c r="CS19" s="1135">
        <v>1</v>
      </c>
      <c r="CT19" s="1135">
        <v>2</v>
      </c>
      <c r="CU19" s="1135">
        <v>2</v>
      </c>
      <c r="CV19" s="1135">
        <v>1</v>
      </c>
      <c r="CW19" s="1135">
        <v>1</v>
      </c>
      <c r="CX19" s="1135">
        <v>2</v>
      </c>
      <c r="CY19" s="1135">
        <v>2</v>
      </c>
      <c r="CZ19" s="1135">
        <v>4</v>
      </c>
      <c r="DA19" s="1136">
        <f t="shared" si="137"/>
        <v>19</v>
      </c>
      <c r="DB19" s="1135">
        <v>8</v>
      </c>
      <c r="DC19" s="1135">
        <v>10</v>
      </c>
      <c r="DD19" s="1135">
        <v>13</v>
      </c>
      <c r="DE19" s="1135">
        <v>11</v>
      </c>
      <c r="DF19" s="1135">
        <v>13</v>
      </c>
      <c r="DG19" s="1135">
        <v>5</v>
      </c>
      <c r="DH19" s="1135">
        <v>11</v>
      </c>
      <c r="DI19" s="1135">
        <v>2</v>
      </c>
      <c r="DJ19" s="1135">
        <v>3</v>
      </c>
      <c r="DK19" s="1135">
        <v>2</v>
      </c>
      <c r="DL19" s="1135"/>
      <c r="DM19" s="1135">
        <v>2</v>
      </c>
      <c r="DN19" s="1136">
        <f t="shared" si="138"/>
        <v>80</v>
      </c>
      <c r="DO19" s="1135">
        <v>2</v>
      </c>
      <c r="DP19" s="1135">
        <v>2</v>
      </c>
      <c r="DQ19" s="1135">
        <v>2</v>
      </c>
      <c r="DR19" s="1135">
        <v>2</v>
      </c>
      <c r="DS19" s="1135">
        <v>2</v>
      </c>
      <c r="DT19" s="1135">
        <v>2</v>
      </c>
      <c r="DU19" s="1135">
        <v>1</v>
      </c>
      <c r="DV19" s="1135">
        <v>1</v>
      </c>
      <c r="DW19" s="1135">
        <v>2</v>
      </c>
      <c r="DX19" s="1135">
        <v>2</v>
      </c>
      <c r="DY19" s="1135">
        <v>1</v>
      </c>
      <c r="DZ19" s="1135">
        <v>1</v>
      </c>
      <c r="EA19" s="1136">
        <f t="shared" si="139"/>
        <v>20</v>
      </c>
      <c r="EB19" s="1135">
        <v>1</v>
      </c>
      <c r="EC19" s="1135">
        <v>1</v>
      </c>
      <c r="ED19" s="1135">
        <v>1</v>
      </c>
      <c r="EE19" s="1135">
        <v>2</v>
      </c>
      <c r="EF19" s="1135">
        <v>1</v>
      </c>
      <c r="EG19" s="1135">
        <v>2</v>
      </c>
      <c r="EH19" s="1135">
        <v>2</v>
      </c>
      <c r="EI19" s="1135">
        <v>2</v>
      </c>
      <c r="EJ19" s="1135">
        <v>6</v>
      </c>
      <c r="EK19" s="1135">
        <v>6</v>
      </c>
      <c r="EL19" s="1135">
        <v>4</v>
      </c>
      <c r="EM19" s="1135">
        <v>3</v>
      </c>
      <c r="EN19" s="1136">
        <f t="shared" si="140"/>
        <v>31</v>
      </c>
      <c r="EO19" s="1135">
        <v>3</v>
      </c>
      <c r="EP19" s="1135">
        <v>3</v>
      </c>
      <c r="EQ19" s="1135">
        <v>2</v>
      </c>
      <c r="ER19" s="1135">
        <v>2</v>
      </c>
      <c r="ES19" s="1135">
        <v>2</v>
      </c>
      <c r="ET19" s="1135">
        <v>2</v>
      </c>
      <c r="EU19" s="1135">
        <v>2</v>
      </c>
      <c r="EV19" s="1135">
        <v>2</v>
      </c>
      <c r="EW19" s="1135">
        <v>2</v>
      </c>
      <c r="EX19" s="1135">
        <v>2</v>
      </c>
      <c r="EY19" s="1135">
        <v>2</v>
      </c>
      <c r="EZ19" s="1135">
        <v>2</v>
      </c>
      <c r="FA19" s="1136">
        <f t="shared" si="141"/>
        <v>26</v>
      </c>
      <c r="FB19" s="1135">
        <v>2</v>
      </c>
      <c r="FC19" s="1135">
        <v>2</v>
      </c>
      <c r="FD19" s="1135">
        <v>3</v>
      </c>
      <c r="FE19" s="1135">
        <v>3</v>
      </c>
      <c r="FF19" s="1135">
        <v>3</v>
      </c>
      <c r="FG19" s="1135">
        <v>3</v>
      </c>
      <c r="FH19" s="1135">
        <v>3</v>
      </c>
      <c r="FI19" s="1135">
        <v>2</v>
      </c>
      <c r="FJ19" s="1135">
        <v>2</v>
      </c>
      <c r="FK19" s="1135">
        <v>2</v>
      </c>
      <c r="FL19" s="1135">
        <v>2</v>
      </c>
      <c r="FM19" s="1135">
        <v>2</v>
      </c>
      <c r="FN19" s="1136">
        <f t="shared" si="142"/>
        <v>29</v>
      </c>
      <c r="FO19" s="1135">
        <v>2</v>
      </c>
      <c r="FP19" s="1135">
        <v>2</v>
      </c>
      <c r="FQ19" s="1135">
        <v>2</v>
      </c>
      <c r="FR19" s="1135">
        <v>3</v>
      </c>
      <c r="FS19" s="1135">
        <v>2</v>
      </c>
      <c r="FT19" s="1135">
        <v>2</v>
      </c>
      <c r="FU19" s="1135">
        <v>2</v>
      </c>
      <c r="FV19" s="1135">
        <v>3</v>
      </c>
      <c r="FW19" s="1135">
        <v>3</v>
      </c>
      <c r="FX19" s="1135">
        <v>3</v>
      </c>
      <c r="FY19" s="1135">
        <v>3</v>
      </c>
      <c r="FZ19" s="1135">
        <v>3</v>
      </c>
      <c r="GA19" s="1136">
        <f t="shared" si="143"/>
        <v>30</v>
      </c>
      <c r="GB19" s="1135">
        <v>3</v>
      </c>
      <c r="GC19" s="1135">
        <v>3</v>
      </c>
      <c r="GD19" s="1135">
        <v>2</v>
      </c>
      <c r="GE19" s="1135">
        <v>2</v>
      </c>
      <c r="GF19" s="1135">
        <v>2</v>
      </c>
      <c r="GG19" s="1135">
        <v>2</v>
      </c>
      <c r="GH19" s="1135">
        <v>2</v>
      </c>
      <c r="GI19" s="1135">
        <v>3</v>
      </c>
      <c r="GJ19" s="1135">
        <v>2</v>
      </c>
      <c r="GK19" s="1135">
        <v>2</v>
      </c>
      <c r="GL19" s="1135">
        <v>2</v>
      </c>
      <c r="GM19" s="1135">
        <v>3</v>
      </c>
      <c r="GN19" s="1136">
        <f t="shared" si="144"/>
        <v>28</v>
      </c>
      <c r="GO19" s="1135">
        <v>2</v>
      </c>
      <c r="GP19" s="1135">
        <v>2</v>
      </c>
      <c r="GQ19" s="1135">
        <v>2</v>
      </c>
      <c r="GR19" s="1135">
        <v>2</v>
      </c>
      <c r="GS19" s="1135">
        <v>1.9</v>
      </c>
      <c r="GT19" s="1135">
        <v>1.82</v>
      </c>
      <c r="GU19" s="1135">
        <v>1.98</v>
      </c>
      <c r="GV19" s="1135">
        <v>2.23</v>
      </c>
      <c r="GW19" s="1135">
        <v>1.59</v>
      </c>
      <c r="GX19" s="1135">
        <v>1.87</v>
      </c>
      <c r="GY19" s="1135">
        <v>2.2799999999999998</v>
      </c>
      <c r="GZ19" s="1135">
        <v>2.5499999999999998</v>
      </c>
      <c r="HA19" s="1136">
        <f t="shared" si="145"/>
        <v>24.220000000000006</v>
      </c>
      <c r="HB19" s="1135">
        <v>2.4</v>
      </c>
      <c r="HC19" s="1135">
        <v>2.2999999999999998</v>
      </c>
      <c r="HD19" s="1135">
        <v>2.2000000000000002</v>
      </c>
      <c r="HE19" s="1135">
        <v>2.4</v>
      </c>
      <c r="HF19" s="1135">
        <v>2.0950000000000002</v>
      </c>
      <c r="HG19" s="1135">
        <v>1.82</v>
      </c>
      <c r="HH19" s="1135">
        <v>2.15</v>
      </c>
      <c r="HI19" s="1135">
        <v>1.95</v>
      </c>
      <c r="HJ19" s="1135">
        <v>2.08</v>
      </c>
      <c r="HK19" s="1135">
        <v>1.5</v>
      </c>
      <c r="HL19" s="1135">
        <v>1.75</v>
      </c>
      <c r="HM19" s="1135">
        <v>1.95</v>
      </c>
      <c r="HN19" s="1136">
        <f t="shared" si="146"/>
        <v>24.595000000000002</v>
      </c>
      <c r="HO19" s="1135">
        <v>1.6</v>
      </c>
      <c r="HP19" s="1135">
        <v>2.0350000000000001</v>
      </c>
      <c r="HQ19" s="1135">
        <v>1.7</v>
      </c>
      <c r="HR19" s="1135">
        <v>2</v>
      </c>
      <c r="HS19" s="1135">
        <v>1.7949999999999999</v>
      </c>
      <c r="HT19" s="1135">
        <v>1.78</v>
      </c>
      <c r="HU19" s="1135">
        <v>1.87</v>
      </c>
      <c r="HV19" s="1135">
        <v>1.655</v>
      </c>
      <c r="HW19" s="1135">
        <v>1.75</v>
      </c>
      <c r="HX19" s="1135">
        <v>1.69</v>
      </c>
      <c r="HY19" s="1135">
        <v>1.8</v>
      </c>
      <c r="HZ19" s="1135">
        <v>2.2599999999999998</v>
      </c>
      <c r="IA19" s="1136">
        <f t="shared" si="147"/>
        <v>21.934999999999995</v>
      </c>
      <c r="IB19" s="1135">
        <v>2</v>
      </c>
      <c r="IC19" s="1135">
        <v>1.895</v>
      </c>
      <c r="ID19" s="1135">
        <v>2.1549999999999998</v>
      </c>
      <c r="IE19" s="1135">
        <v>2.04</v>
      </c>
      <c r="IF19" s="1135">
        <v>1.66</v>
      </c>
      <c r="IG19" s="1135">
        <v>1.37</v>
      </c>
      <c r="IH19" s="1135">
        <v>1.29</v>
      </c>
      <c r="II19" s="1135">
        <v>1.1000000000000001</v>
      </c>
      <c r="IJ19" s="1135">
        <v>1.28</v>
      </c>
      <c r="IK19" s="1135">
        <v>1.3660000000000001</v>
      </c>
      <c r="IL19" s="1135">
        <v>1.2829999999999999</v>
      </c>
      <c r="IM19" s="1135">
        <v>1.2849999999999999</v>
      </c>
      <c r="IN19" s="1136">
        <f t="shared" si="148"/>
        <v>18.724</v>
      </c>
      <c r="IO19" s="1135">
        <v>1.3779999999999999</v>
      </c>
      <c r="IP19" s="1135">
        <v>1.1779999999999999</v>
      </c>
      <c r="IQ19" s="1135">
        <v>1</v>
      </c>
      <c r="IR19" s="1135">
        <v>1.2</v>
      </c>
      <c r="IS19" s="1135">
        <v>1.1000000000000001</v>
      </c>
      <c r="IT19" s="1135">
        <v>1.2</v>
      </c>
      <c r="IU19" s="1135">
        <v>1</v>
      </c>
      <c r="IV19" s="1135">
        <v>1.1930000000000001</v>
      </c>
      <c r="IW19" s="1135">
        <v>1.0980000000000001</v>
      </c>
      <c r="IX19" s="1135">
        <v>0.95499999999999996</v>
      </c>
      <c r="IY19" s="1135">
        <v>1.05</v>
      </c>
      <c r="IZ19" s="1135">
        <v>1.1919999999999999</v>
      </c>
      <c r="JA19" s="1136">
        <f t="shared" si="149"/>
        <v>13.544000000000002</v>
      </c>
      <c r="JB19" s="1135">
        <v>1.06</v>
      </c>
      <c r="JC19" s="1135">
        <v>1.1000000000000001</v>
      </c>
      <c r="JD19" s="1135"/>
      <c r="JE19" s="1135"/>
      <c r="JF19" s="1135"/>
      <c r="JG19" s="1135"/>
      <c r="JH19" s="1135"/>
      <c r="JI19" s="1135"/>
      <c r="JJ19" s="1135"/>
      <c r="JK19" s="1135"/>
      <c r="JL19" s="1135"/>
      <c r="JM19" s="1135"/>
      <c r="JN19" s="1136">
        <f t="shared" si="150"/>
        <v>2.16</v>
      </c>
      <c r="JP19" s="1137">
        <f t="shared" si="151"/>
        <v>-7.2373540856031093</v>
      </c>
      <c r="JQ19" s="1138">
        <f t="shared" si="152"/>
        <v>-27.665028839991447</v>
      </c>
      <c r="JR19" s="1139">
        <f t="shared" si="153"/>
        <v>18.724</v>
      </c>
      <c r="JS19" s="1140">
        <f t="shared" si="154"/>
        <v>13.544000000000002</v>
      </c>
      <c r="JT19" s="100"/>
      <c r="JU19" s="8"/>
    </row>
    <row r="20" spans="1:281" ht="15" customHeight="1" x14ac:dyDescent="0.2">
      <c r="A20" s="1143" t="s">
        <v>361</v>
      </c>
      <c r="B20" s="1135"/>
      <c r="C20" s="1135"/>
      <c r="D20" s="1135"/>
      <c r="E20" s="1135"/>
      <c r="F20" s="1135"/>
      <c r="G20" s="1135"/>
      <c r="H20" s="1135"/>
      <c r="I20" s="1135"/>
      <c r="J20" s="1135"/>
      <c r="K20" s="1135"/>
      <c r="L20" s="1135"/>
      <c r="M20" s="1135"/>
      <c r="N20" s="1136">
        <f t="shared" si="135"/>
        <v>0</v>
      </c>
      <c r="O20" s="1135">
        <v>1</v>
      </c>
      <c r="P20" s="1135">
        <v>1</v>
      </c>
      <c r="Q20" s="1135">
        <v>2</v>
      </c>
      <c r="R20" s="1135">
        <v>4</v>
      </c>
      <c r="S20" s="1135">
        <v>4</v>
      </c>
      <c r="T20" s="1135">
        <v>3</v>
      </c>
      <c r="U20" s="1135">
        <v>3</v>
      </c>
      <c r="V20" s="1135">
        <v>3</v>
      </c>
      <c r="W20" s="1135">
        <v>3</v>
      </c>
      <c r="X20" s="1135">
        <v>4</v>
      </c>
      <c r="Y20" s="1135">
        <v>5</v>
      </c>
      <c r="Z20" s="1135">
        <v>3</v>
      </c>
      <c r="AA20" s="1136">
        <f t="shared" si="136"/>
        <v>36</v>
      </c>
      <c r="AB20" s="1135">
        <v>2</v>
      </c>
      <c r="AC20" s="1135">
        <v>5</v>
      </c>
      <c r="AD20" s="1135">
        <v>17</v>
      </c>
      <c r="AE20" s="1135">
        <v>6</v>
      </c>
      <c r="AF20" s="1135">
        <v>9</v>
      </c>
      <c r="AG20" s="1135">
        <v>12</v>
      </c>
      <c r="AH20" s="1135">
        <v>7</v>
      </c>
      <c r="AI20" s="1135">
        <v>6</v>
      </c>
      <c r="AJ20" s="1135">
        <v>7</v>
      </c>
      <c r="AK20" s="1135">
        <v>8</v>
      </c>
      <c r="AL20" s="1135">
        <v>9</v>
      </c>
      <c r="AM20" s="1135">
        <f>1+6</f>
        <v>7</v>
      </c>
      <c r="AN20" s="1136">
        <f>SUM(AB20:AM20)</f>
        <v>95</v>
      </c>
      <c r="AO20" s="1135">
        <v>7</v>
      </c>
      <c r="AP20" s="1135">
        <v>7</v>
      </c>
      <c r="AQ20" s="1135">
        <v>5</v>
      </c>
      <c r="AR20" s="1135">
        <v>7</v>
      </c>
      <c r="AS20" s="1135">
        <v>6</v>
      </c>
      <c r="AT20" s="1135">
        <v>6</v>
      </c>
      <c r="AU20" s="1135">
        <v>6</v>
      </c>
      <c r="AV20" s="1135">
        <v>5</v>
      </c>
      <c r="AW20" s="1135">
        <v>3</v>
      </c>
      <c r="AX20" s="1135">
        <v>4</v>
      </c>
      <c r="AY20" s="1135">
        <v>8</v>
      </c>
      <c r="AZ20" s="1135">
        <v>9</v>
      </c>
      <c r="BA20" s="1136">
        <f>SUM(AO20:AZ20)</f>
        <v>73</v>
      </c>
      <c r="BB20" s="1135">
        <v>9</v>
      </c>
      <c r="BC20" s="1135">
        <v>10</v>
      </c>
      <c r="BD20" s="1135">
        <v>11</v>
      </c>
      <c r="BE20" s="1135">
        <v>5</v>
      </c>
      <c r="BF20" s="1135">
        <v>5</v>
      </c>
      <c r="BG20" s="1135">
        <v>7</v>
      </c>
      <c r="BH20" s="1135">
        <v>5</v>
      </c>
      <c r="BI20" s="1135">
        <v>3</v>
      </c>
      <c r="BJ20" s="1135">
        <v>9</v>
      </c>
      <c r="BK20" s="1135">
        <v>9</v>
      </c>
      <c r="BL20" s="1135">
        <v>13</v>
      </c>
      <c r="BM20" s="1135">
        <v>18</v>
      </c>
      <c r="BN20" s="1136">
        <f>SUM(BB20:BM20)</f>
        <v>104</v>
      </c>
      <c r="BO20" s="1135">
        <v>13</v>
      </c>
      <c r="BP20" s="1135">
        <v>14</v>
      </c>
      <c r="BQ20" s="1135">
        <v>13</v>
      </c>
      <c r="BR20" s="1135">
        <v>12</v>
      </c>
      <c r="BS20" s="1135">
        <v>12</v>
      </c>
      <c r="BT20" s="1135">
        <v>14</v>
      </c>
      <c r="BU20" s="1135">
        <v>15</v>
      </c>
      <c r="BV20" s="1135">
        <v>10</v>
      </c>
      <c r="BW20" s="1135">
        <v>17</v>
      </c>
      <c r="BX20" s="1135">
        <v>12</v>
      </c>
      <c r="BY20" s="1135">
        <v>23</v>
      </c>
      <c r="BZ20" s="1135">
        <v>17</v>
      </c>
      <c r="CA20" s="1136">
        <f>SUM(BO20:BZ20)</f>
        <v>172</v>
      </c>
      <c r="CB20" s="1135">
        <v>17</v>
      </c>
      <c r="CC20" s="1135">
        <v>32</v>
      </c>
      <c r="CD20" s="1135">
        <v>25</v>
      </c>
      <c r="CE20" s="1135">
        <v>34</v>
      </c>
      <c r="CF20" s="1135">
        <v>25</v>
      </c>
      <c r="CG20" s="1135">
        <v>20</v>
      </c>
      <c r="CH20" s="1135">
        <v>24</v>
      </c>
      <c r="CI20" s="1135">
        <v>22</v>
      </c>
      <c r="CJ20" s="1135">
        <v>19</v>
      </c>
      <c r="CK20" s="1135">
        <v>20</v>
      </c>
      <c r="CL20" s="1135">
        <v>30</v>
      </c>
      <c r="CM20" s="1135">
        <v>67</v>
      </c>
      <c r="CN20" s="1136">
        <f>SUM(CB20:CM20)</f>
        <v>335</v>
      </c>
      <c r="CO20" s="1135">
        <v>50</v>
      </c>
      <c r="CP20" s="1135">
        <v>40</v>
      </c>
      <c r="CQ20" s="1135">
        <v>44</v>
      </c>
      <c r="CR20" s="1135">
        <v>28</v>
      </c>
      <c r="CS20" s="1135">
        <v>30</v>
      </c>
      <c r="CT20" s="1135">
        <v>22</v>
      </c>
      <c r="CU20" s="1135">
        <v>24</v>
      </c>
      <c r="CV20" s="1135">
        <v>22</v>
      </c>
      <c r="CW20" s="1135">
        <v>8</v>
      </c>
      <c r="CX20" s="1135">
        <v>17</v>
      </c>
      <c r="CY20" s="1135">
        <v>21</v>
      </c>
      <c r="CZ20" s="1135">
        <v>31</v>
      </c>
      <c r="DA20" s="1136">
        <f t="shared" si="137"/>
        <v>337</v>
      </c>
      <c r="DB20" s="1135">
        <v>39</v>
      </c>
      <c r="DC20" s="1135">
        <v>32</v>
      </c>
      <c r="DD20" s="1135">
        <v>43</v>
      </c>
      <c r="DE20" s="1135">
        <v>40</v>
      </c>
      <c r="DF20" s="1135">
        <v>34</v>
      </c>
      <c r="DG20" s="1135">
        <v>26</v>
      </c>
      <c r="DH20" s="1135">
        <v>40</v>
      </c>
      <c r="DI20" s="1135">
        <v>6</v>
      </c>
      <c r="DJ20" s="1135">
        <v>5</v>
      </c>
      <c r="DK20" s="1135">
        <v>4</v>
      </c>
      <c r="DL20" s="1135">
        <v>3</v>
      </c>
      <c r="DM20" s="1135">
        <v>9</v>
      </c>
      <c r="DN20" s="1136">
        <f t="shared" si="138"/>
        <v>281</v>
      </c>
      <c r="DO20" s="1135">
        <v>5</v>
      </c>
      <c r="DP20" s="1135">
        <v>17</v>
      </c>
      <c r="DQ20" s="1135">
        <v>2</v>
      </c>
      <c r="DR20" s="1135">
        <v>4</v>
      </c>
      <c r="DS20" s="1135">
        <v>23</v>
      </c>
      <c r="DT20" s="1135">
        <v>17</v>
      </c>
      <c r="DU20" s="1135">
        <v>17</v>
      </c>
      <c r="DV20" s="1135">
        <v>16</v>
      </c>
      <c r="DW20" s="1135">
        <v>19</v>
      </c>
      <c r="DX20" s="1135">
        <v>29</v>
      </c>
      <c r="DY20" s="1135">
        <v>18</v>
      </c>
      <c r="DZ20" s="1135">
        <v>22</v>
      </c>
      <c r="EA20" s="1136">
        <f t="shared" si="139"/>
        <v>189</v>
      </c>
      <c r="EB20" s="1135">
        <v>26</v>
      </c>
      <c r="EC20" s="1135">
        <v>25</v>
      </c>
      <c r="ED20" s="1135">
        <v>30</v>
      </c>
      <c r="EE20" s="1135">
        <v>27</v>
      </c>
      <c r="EF20" s="1135">
        <v>22</v>
      </c>
      <c r="EG20" s="1135">
        <v>18</v>
      </c>
      <c r="EH20" s="1135">
        <v>21</v>
      </c>
      <c r="EI20" s="1135">
        <v>10</v>
      </c>
      <c r="EJ20" s="1135">
        <v>9</v>
      </c>
      <c r="EK20" s="1135">
        <v>7</v>
      </c>
      <c r="EL20" s="1135">
        <v>1</v>
      </c>
      <c r="EM20" s="1135">
        <v>1</v>
      </c>
      <c r="EN20" s="1136">
        <f t="shared" si="140"/>
        <v>197</v>
      </c>
      <c r="EO20" s="1135">
        <v>5</v>
      </c>
      <c r="EP20" s="1135"/>
      <c r="EQ20" s="1135"/>
      <c r="ER20" s="1135">
        <v>7</v>
      </c>
      <c r="ES20" s="1135">
        <v>9</v>
      </c>
      <c r="ET20" s="1135">
        <v>16</v>
      </c>
      <c r="EU20" s="1135">
        <v>32</v>
      </c>
      <c r="EV20" s="1135">
        <v>29</v>
      </c>
      <c r="EW20" s="1135">
        <v>38</v>
      </c>
      <c r="EX20" s="1135">
        <v>43</v>
      </c>
      <c r="EY20" s="1135">
        <v>45</v>
      </c>
      <c r="EZ20" s="1135">
        <v>49</v>
      </c>
      <c r="FA20" s="1136">
        <f t="shared" si="141"/>
        <v>273</v>
      </c>
      <c r="FB20" s="1135">
        <v>48</v>
      </c>
      <c r="FC20" s="1135">
        <v>50</v>
      </c>
      <c r="FD20" s="1135">
        <v>57</v>
      </c>
      <c r="FE20" s="1135">
        <v>22</v>
      </c>
      <c r="FF20" s="1135">
        <v>70</v>
      </c>
      <c r="FG20" s="1135">
        <v>63</v>
      </c>
      <c r="FH20" s="1135">
        <v>65</v>
      </c>
      <c r="FI20" s="1135">
        <v>36</v>
      </c>
      <c r="FJ20" s="1135">
        <v>56</v>
      </c>
      <c r="FK20" s="1135">
        <v>18</v>
      </c>
      <c r="FL20" s="1135">
        <v>19</v>
      </c>
      <c r="FM20" s="1135">
        <v>21</v>
      </c>
      <c r="FN20" s="1136">
        <f t="shared" si="142"/>
        <v>525</v>
      </c>
      <c r="FO20" s="1135">
        <v>19</v>
      </c>
      <c r="FP20" s="1135">
        <v>58</v>
      </c>
      <c r="FQ20" s="1135">
        <v>69</v>
      </c>
      <c r="FR20" s="1135">
        <v>69</v>
      </c>
      <c r="FS20" s="1135">
        <v>61</v>
      </c>
      <c r="FT20" s="1135">
        <v>52</v>
      </c>
      <c r="FU20" s="1135">
        <v>21</v>
      </c>
      <c r="FV20" s="1135">
        <v>20</v>
      </c>
      <c r="FW20" s="1135">
        <v>67</v>
      </c>
      <c r="FX20" s="1135">
        <v>66</v>
      </c>
      <c r="FY20" s="1135">
        <v>59</v>
      </c>
      <c r="FZ20" s="1135">
        <v>57</v>
      </c>
      <c r="GA20" s="1136">
        <f t="shared" si="143"/>
        <v>618</v>
      </c>
      <c r="GB20" s="1135">
        <v>51</v>
      </c>
      <c r="GC20" s="1135">
        <v>51</v>
      </c>
      <c r="GD20" s="1135">
        <v>12</v>
      </c>
      <c r="GE20" s="1135">
        <v>12</v>
      </c>
      <c r="GF20" s="1135">
        <v>35</v>
      </c>
      <c r="GG20" s="1135">
        <v>8</v>
      </c>
      <c r="GH20" s="1135">
        <v>9</v>
      </c>
      <c r="GI20" s="1135">
        <v>8</v>
      </c>
      <c r="GJ20" s="1135">
        <v>11</v>
      </c>
      <c r="GK20" s="1135">
        <v>12</v>
      </c>
      <c r="GL20" s="1135">
        <v>45</v>
      </c>
      <c r="GM20" s="1135">
        <v>31</v>
      </c>
      <c r="GN20" s="1136">
        <f t="shared" si="144"/>
        <v>285</v>
      </c>
      <c r="GO20" s="1135">
        <v>16</v>
      </c>
      <c r="GP20" s="1135">
        <v>18</v>
      </c>
      <c r="GQ20" s="1135">
        <v>16</v>
      </c>
      <c r="GR20" s="1135">
        <v>54</v>
      </c>
      <c r="GS20" s="1135">
        <v>18.95</v>
      </c>
      <c r="GT20" s="1135">
        <v>22.45</v>
      </c>
      <c r="GU20" s="1135">
        <v>22.7</v>
      </c>
      <c r="GV20" s="1135">
        <v>20.100000000000001</v>
      </c>
      <c r="GW20" s="1135">
        <v>23.55</v>
      </c>
      <c r="GX20" s="1135">
        <v>43.7</v>
      </c>
      <c r="GY20" s="1135">
        <v>19.95</v>
      </c>
      <c r="GZ20" s="1135">
        <v>44.95</v>
      </c>
      <c r="HA20" s="1136">
        <f t="shared" si="145"/>
        <v>320.34999999999997</v>
      </c>
      <c r="HB20" s="1135">
        <v>23.1</v>
      </c>
      <c r="HC20" s="1135">
        <v>56.46</v>
      </c>
      <c r="HD20" s="1135">
        <v>58.39</v>
      </c>
      <c r="HE20" s="1135">
        <v>63.87</v>
      </c>
      <c r="HF20" s="1135">
        <v>60.25</v>
      </c>
      <c r="HG20" s="1135">
        <v>45.5</v>
      </c>
      <c r="HH20" s="1135">
        <v>47.35</v>
      </c>
      <c r="HI20" s="1135">
        <v>6.5</v>
      </c>
      <c r="HJ20" s="1135">
        <v>9.25</v>
      </c>
      <c r="HK20" s="1135">
        <v>11.75</v>
      </c>
      <c r="HL20" s="1135">
        <v>14.2</v>
      </c>
      <c r="HM20" s="1135">
        <v>14</v>
      </c>
      <c r="HN20" s="1136">
        <f t="shared" si="146"/>
        <v>410.62</v>
      </c>
      <c r="HO20" s="1135">
        <v>14.1</v>
      </c>
      <c r="HP20" s="1135">
        <v>19.5</v>
      </c>
      <c r="HQ20" s="1135">
        <v>14.8</v>
      </c>
      <c r="HR20" s="1135">
        <f>16.7+2.7</f>
        <v>19.399999999999999</v>
      </c>
      <c r="HS20" s="1135">
        <v>18.2</v>
      </c>
      <c r="HT20" s="1135">
        <v>13.5</v>
      </c>
      <c r="HU20" s="1135">
        <v>7.5</v>
      </c>
      <c r="HV20" s="1135">
        <v>15.8</v>
      </c>
      <c r="HW20" s="1135">
        <v>14.8</v>
      </c>
      <c r="HX20" s="1135">
        <v>23.35</v>
      </c>
      <c r="HY20" s="1135">
        <v>16</v>
      </c>
      <c r="HZ20" s="1135">
        <v>18.850000000000001</v>
      </c>
      <c r="IA20" s="1136">
        <f t="shared" si="147"/>
        <v>195.8</v>
      </c>
      <c r="IB20" s="1135">
        <v>17.25</v>
      </c>
      <c r="IC20" s="1135">
        <v>20.95</v>
      </c>
      <c r="ID20" s="1135">
        <v>24.05</v>
      </c>
      <c r="IE20" s="1135">
        <v>19.2</v>
      </c>
      <c r="IF20" s="1135">
        <v>12.6</v>
      </c>
      <c r="IG20" s="1135">
        <v>16</v>
      </c>
      <c r="IH20" s="1135">
        <v>10.4</v>
      </c>
      <c r="II20" s="1135">
        <v>17.649999999999999</v>
      </c>
      <c r="IJ20" s="1135">
        <v>18.25</v>
      </c>
      <c r="IK20" s="1135">
        <v>24.25</v>
      </c>
      <c r="IL20" s="1135">
        <v>26.75</v>
      </c>
      <c r="IM20" s="1135">
        <v>30.7</v>
      </c>
      <c r="IN20" s="1136">
        <f t="shared" si="148"/>
        <v>238.04999999999998</v>
      </c>
      <c r="IO20" s="1135">
        <v>25.55</v>
      </c>
      <c r="IP20" s="1135">
        <v>25.2</v>
      </c>
      <c r="IQ20" s="1135">
        <v>26.5</v>
      </c>
      <c r="IR20" s="1135">
        <v>29</v>
      </c>
      <c r="IS20" s="1135">
        <v>25</v>
      </c>
      <c r="IT20" s="1135">
        <v>16.95</v>
      </c>
      <c r="IU20" s="1135">
        <v>19.5</v>
      </c>
      <c r="IV20" s="1135">
        <v>17.25</v>
      </c>
      <c r="IW20" s="1135">
        <v>12.48</v>
      </c>
      <c r="IX20" s="1135">
        <v>9.7899999999999991</v>
      </c>
      <c r="IY20" s="1135">
        <v>10.07</v>
      </c>
      <c r="IZ20" s="1135">
        <v>15.62</v>
      </c>
      <c r="JA20" s="1136">
        <f t="shared" si="149"/>
        <v>232.90999999999997</v>
      </c>
      <c r="JB20" s="1135">
        <v>17.5</v>
      </c>
      <c r="JC20" s="1135">
        <v>22.23</v>
      </c>
      <c r="JD20" s="1135"/>
      <c r="JE20" s="1135"/>
      <c r="JF20" s="1135"/>
      <c r="JG20" s="1135"/>
      <c r="JH20" s="1135"/>
      <c r="JI20" s="1135"/>
      <c r="JJ20" s="1135"/>
      <c r="JK20" s="1135"/>
      <c r="JL20" s="1135"/>
      <c r="JM20" s="1135"/>
      <c r="JN20" s="1136">
        <f t="shared" si="150"/>
        <v>39.730000000000004</v>
      </c>
      <c r="JP20" s="1137">
        <f t="shared" si="151"/>
        <v>-49.120521172638441</v>
      </c>
      <c r="JQ20" s="1138">
        <f t="shared" si="152"/>
        <v>-2.1592102499474963</v>
      </c>
      <c r="JR20" s="1139">
        <f t="shared" si="153"/>
        <v>238.04999999999998</v>
      </c>
      <c r="JS20" s="1140">
        <f t="shared" si="154"/>
        <v>232.90999999999997</v>
      </c>
      <c r="JT20" s="100"/>
      <c r="JU20" s="8"/>
    </row>
    <row r="21" spans="1:281" ht="15" customHeight="1" x14ac:dyDescent="0.2">
      <c r="A21" s="1143" t="s">
        <v>362</v>
      </c>
      <c r="B21" s="1135"/>
      <c r="C21" s="1135"/>
      <c r="D21" s="1135"/>
      <c r="E21" s="1135"/>
      <c r="F21" s="1135"/>
      <c r="G21" s="1135"/>
      <c r="H21" s="1135"/>
      <c r="I21" s="1135"/>
      <c r="J21" s="1135"/>
      <c r="K21" s="1135"/>
      <c r="L21" s="1135"/>
      <c r="M21" s="1135"/>
      <c r="N21" s="1136">
        <f t="shared" si="135"/>
        <v>0</v>
      </c>
      <c r="O21" s="1135"/>
      <c r="P21" s="1135"/>
      <c r="Q21" s="1135"/>
      <c r="R21" s="1135"/>
      <c r="S21" s="1135"/>
      <c r="T21" s="1135"/>
      <c r="U21" s="1135"/>
      <c r="V21" s="1135"/>
      <c r="W21" s="1135"/>
      <c r="X21" s="1135"/>
      <c r="Y21" s="1135"/>
      <c r="Z21" s="1135"/>
      <c r="AA21" s="1136">
        <f t="shared" si="136"/>
        <v>0</v>
      </c>
      <c r="AB21" s="1135"/>
      <c r="AC21" s="1135"/>
      <c r="AD21" s="1135"/>
      <c r="AE21" s="1135"/>
      <c r="AF21" s="1135"/>
      <c r="AG21" s="1135"/>
      <c r="AH21" s="1135"/>
      <c r="AI21" s="1135"/>
      <c r="AJ21" s="1135"/>
      <c r="AK21" s="1135"/>
      <c r="AL21" s="1135"/>
      <c r="AM21" s="1135"/>
      <c r="AN21" s="1136"/>
      <c r="AO21" s="1135"/>
      <c r="AP21" s="1135"/>
      <c r="AQ21" s="1135"/>
      <c r="AR21" s="1135"/>
      <c r="AS21" s="1135"/>
      <c r="AT21" s="1135"/>
      <c r="AU21" s="1135"/>
      <c r="AV21" s="1135"/>
      <c r="AW21" s="1135"/>
      <c r="AX21" s="1135"/>
      <c r="AY21" s="1135"/>
      <c r="AZ21" s="1135"/>
      <c r="BA21" s="1136"/>
      <c r="BB21" s="1135"/>
      <c r="BC21" s="1135"/>
      <c r="BD21" s="1135"/>
      <c r="BE21" s="1135"/>
      <c r="BF21" s="1135"/>
      <c r="BG21" s="1135"/>
      <c r="BH21" s="1135"/>
      <c r="BI21" s="1135"/>
      <c r="BJ21" s="1135"/>
      <c r="BK21" s="1135"/>
      <c r="BL21" s="1135"/>
      <c r="BM21" s="1135"/>
      <c r="BN21" s="1136"/>
      <c r="BO21" s="1135"/>
      <c r="BP21" s="1135"/>
      <c r="BQ21" s="1135"/>
      <c r="BR21" s="1135"/>
      <c r="BS21" s="1135"/>
      <c r="BT21" s="1135"/>
      <c r="BU21" s="1135"/>
      <c r="BV21" s="1135"/>
      <c r="BW21" s="1135"/>
      <c r="BX21" s="1135"/>
      <c r="BY21" s="1135"/>
      <c r="BZ21" s="1135"/>
      <c r="CA21" s="1136"/>
      <c r="CB21" s="1135"/>
      <c r="CC21" s="1135"/>
      <c r="CD21" s="1135"/>
      <c r="CE21" s="1135"/>
      <c r="CF21" s="1135"/>
      <c r="CG21" s="1135"/>
      <c r="CH21" s="1135"/>
      <c r="CI21" s="1135"/>
      <c r="CJ21" s="1135"/>
      <c r="CK21" s="1135"/>
      <c r="CL21" s="1135"/>
      <c r="CM21" s="1135"/>
      <c r="CN21" s="1136"/>
      <c r="CO21" s="1135"/>
      <c r="CP21" s="1135">
        <v>1</v>
      </c>
      <c r="CQ21" s="1135"/>
      <c r="CR21" s="1135"/>
      <c r="CS21" s="1135"/>
      <c r="CT21" s="1135">
        <v>1</v>
      </c>
      <c r="CU21" s="1135"/>
      <c r="CV21" s="1135"/>
      <c r="CW21" s="1135">
        <v>1</v>
      </c>
      <c r="CX21" s="1135">
        <v>5</v>
      </c>
      <c r="CY21" s="1135">
        <v>4</v>
      </c>
      <c r="CZ21" s="1135">
        <v>6</v>
      </c>
      <c r="DA21" s="1136">
        <f t="shared" si="137"/>
        <v>18</v>
      </c>
      <c r="DB21" s="1135">
        <v>10</v>
      </c>
      <c r="DC21" s="1135">
        <v>10</v>
      </c>
      <c r="DD21" s="1135">
        <v>8</v>
      </c>
      <c r="DE21" s="1135">
        <v>13</v>
      </c>
      <c r="DF21" s="1135">
        <v>10</v>
      </c>
      <c r="DG21" s="1135">
        <v>9</v>
      </c>
      <c r="DH21" s="1135">
        <v>13</v>
      </c>
      <c r="DI21" s="1135">
        <v>3</v>
      </c>
      <c r="DJ21" s="1135">
        <v>5</v>
      </c>
      <c r="DK21" s="1135">
        <v>4</v>
      </c>
      <c r="DL21" s="1135">
        <v>2</v>
      </c>
      <c r="DM21" s="1135">
        <v>6</v>
      </c>
      <c r="DN21" s="1136">
        <f t="shared" si="138"/>
        <v>93</v>
      </c>
      <c r="DO21" s="1135">
        <v>3</v>
      </c>
      <c r="DP21" s="1135">
        <v>11</v>
      </c>
      <c r="DQ21" s="1135">
        <v>9</v>
      </c>
      <c r="DR21" s="1135">
        <v>9</v>
      </c>
      <c r="DS21" s="1135">
        <v>14</v>
      </c>
      <c r="DT21" s="1135">
        <v>13</v>
      </c>
      <c r="DU21" s="1135">
        <v>18</v>
      </c>
      <c r="DV21" s="1135">
        <v>21</v>
      </c>
      <c r="DW21" s="1135">
        <v>33</v>
      </c>
      <c r="DX21" s="1135">
        <v>45</v>
      </c>
      <c r="DY21" s="1135">
        <v>29</v>
      </c>
      <c r="DZ21" s="1135">
        <v>35</v>
      </c>
      <c r="EA21" s="1136">
        <f t="shared" si="139"/>
        <v>240</v>
      </c>
      <c r="EB21" s="1135">
        <v>37</v>
      </c>
      <c r="EC21" s="1135">
        <v>29</v>
      </c>
      <c r="ED21" s="1135">
        <v>39</v>
      </c>
      <c r="EE21" s="1135">
        <v>35</v>
      </c>
      <c r="EF21" s="1135">
        <v>27</v>
      </c>
      <c r="EG21" s="1135">
        <v>34</v>
      </c>
      <c r="EH21" s="1135">
        <v>38</v>
      </c>
      <c r="EI21" s="1135">
        <v>11</v>
      </c>
      <c r="EJ21" s="1135">
        <v>5</v>
      </c>
      <c r="EK21" s="1135">
        <v>4</v>
      </c>
      <c r="EL21" s="1135">
        <v>4</v>
      </c>
      <c r="EM21" s="1135">
        <v>2</v>
      </c>
      <c r="EN21" s="1136">
        <f t="shared" si="140"/>
        <v>265</v>
      </c>
      <c r="EO21" s="1135">
        <v>2</v>
      </c>
      <c r="EP21" s="1135">
        <v>2</v>
      </c>
      <c r="EQ21" s="1135">
        <v>4</v>
      </c>
      <c r="ER21" s="1135">
        <v>7</v>
      </c>
      <c r="ES21" s="1135">
        <v>8</v>
      </c>
      <c r="ET21" s="1135">
        <v>39</v>
      </c>
      <c r="EU21" s="1135">
        <v>39</v>
      </c>
      <c r="EV21" s="1135">
        <v>39</v>
      </c>
      <c r="EW21" s="1135">
        <v>50</v>
      </c>
      <c r="EX21" s="1135">
        <v>30</v>
      </c>
      <c r="EY21" s="1135">
        <v>51</v>
      </c>
      <c r="EZ21" s="1135">
        <v>37</v>
      </c>
      <c r="FA21" s="1136">
        <f t="shared" si="141"/>
        <v>308</v>
      </c>
      <c r="FB21" s="1135">
        <v>56</v>
      </c>
      <c r="FC21" s="1135">
        <v>49</v>
      </c>
      <c r="FD21" s="1135">
        <v>64</v>
      </c>
      <c r="FE21" s="1135">
        <v>65</v>
      </c>
      <c r="FF21" s="1135">
        <v>55</v>
      </c>
      <c r="FG21" s="1135">
        <v>74</v>
      </c>
      <c r="FH21" s="1135">
        <v>75</v>
      </c>
      <c r="FI21" s="1135">
        <v>61</v>
      </c>
      <c r="FJ21" s="1135">
        <v>72</v>
      </c>
      <c r="FK21" s="1135">
        <v>67</v>
      </c>
      <c r="FL21" s="1135">
        <v>66</v>
      </c>
      <c r="FM21" s="1135">
        <v>70</v>
      </c>
      <c r="FN21" s="1136">
        <f t="shared" si="142"/>
        <v>774</v>
      </c>
      <c r="FO21" s="1135">
        <v>68</v>
      </c>
      <c r="FP21" s="1135">
        <v>55</v>
      </c>
      <c r="FQ21" s="1135">
        <v>62</v>
      </c>
      <c r="FR21" s="1135">
        <v>84</v>
      </c>
      <c r="FS21" s="1135">
        <v>77</v>
      </c>
      <c r="FT21" s="1135">
        <v>67</v>
      </c>
      <c r="FU21" s="1135">
        <v>82</v>
      </c>
      <c r="FV21" s="1135">
        <v>73</v>
      </c>
      <c r="FW21" s="1135">
        <v>72</v>
      </c>
      <c r="FX21" s="1135">
        <v>71</v>
      </c>
      <c r="FY21" s="1135">
        <v>67</v>
      </c>
      <c r="FZ21" s="1135">
        <v>74</v>
      </c>
      <c r="GA21" s="1136">
        <f t="shared" si="143"/>
        <v>852</v>
      </c>
      <c r="GB21" s="1135">
        <v>69</v>
      </c>
      <c r="GC21" s="1135">
        <v>69</v>
      </c>
      <c r="GD21" s="1135">
        <v>66</v>
      </c>
      <c r="GE21" s="1135">
        <v>60</v>
      </c>
      <c r="GF21" s="1135">
        <v>65</v>
      </c>
      <c r="GG21" s="1135">
        <v>56</v>
      </c>
      <c r="GH21" s="1135">
        <v>63</v>
      </c>
      <c r="GI21" s="1135">
        <v>62</v>
      </c>
      <c r="GJ21" s="1135">
        <v>67</v>
      </c>
      <c r="GK21" s="1135">
        <v>70</v>
      </c>
      <c r="GL21" s="1135">
        <v>64</v>
      </c>
      <c r="GM21" s="1135">
        <v>85</v>
      </c>
      <c r="GN21" s="1136">
        <f t="shared" si="144"/>
        <v>796</v>
      </c>
      <c r="GO21" s="1135">
        <v>73</v>
      </c>
      <c r="GP21" s="1135">
        <v>70</v>
      </c>
      <c r="GQ21" s="1135">
        <v>73</v>
      </c>
      <c r="GR21" s="1135">
        <v>74</v>
      </c>
      <c r="GS21" s="1135">
        <v>82.85</v>
      </c>
      <c r="GT21" s="1135">
        <v>91.95</v>
      </c>
      <c r="GU21" s="1135">
        <v>97</v>
      </c>
      <c r="GV21" s="1135">
        <v>89.95</v>
      </c>
      <c r="GW21" s="1135">
        <v>82.55</v>
      </c>
      <c r="GX21" s="1135">
        <v>64.5</v>
      </c>
      <c r="GY21" s="1135">
        <v>87.4</v>
      </c>
      <c r="GZ21" s="1135">
        <v>73.2</v>
      </c>
      <c r="HA21" s="1136">
        <f t="shared" si="145"/>
        <v>959.4</v>
      </c>
      <c r="HB21" s="1135">
        <v>84.45</v>
      </c>
      <c r="HC21" s="1135">
        <v>77.47</v>
      </c>
      <c r="HD21" s="1135">
        <v>68.099999999999994</v>
      </c>
      <c r="HE21" s="1135">
        <v>73.3</v>
      </c>
      <c r="HF21" s="1135">
        <v>72.3</v>
      </c>
      <c r="HG21" s="1135">
        <v>59.75</v>
      </c>
      <c r="HH21" s="1135">
        <v>63.05</v>
      </c>
      <c r="HI21" s="1135">
        <v>67.349999999999994</v>
      </c>
      <c r="HJ21" s="1135">
        <v>68.849999999999994</v>
      </c>
      <c r="HK21" s="1135">
        <v>73.5</v>
      </c>
      <c r="HL21" s="1135">
        <v>77.08</v>
      </c>
      <c r="HM21" s="1135">
        <v>74.5</v>
      </c>
      <c r="HN21" s="1136">
        <f t="shared" si="146"/>
        <v>859.7</v>
      </c>
      <c r="HO21" s="1135">
        <v>70.05</v>
      </c>
      <c r="HP21" s="1135">
        <v>87.72</v>
      </c>
      <c r="HQ21" s="1135">
        <f>73.55+7.2</f>
        <v>80.75</v>
      </c>
      <c r="HR21" s="1135">
        <f>79.3+7.5</f>
        <v>86.8</v>
      </c>
      <c r="HS21" s="1135">
        <v>80.599999999999994</v>
      </c>
      <c r="HT21" s="1135">
        <v>65.75</v>
      </c>
      <c r="HU21" s="1135">
        <v>66</v>
      </c>
      <c r="HV21" s="1135">
        <v>73.75</v>
      </c>
      <c r="HW21" s="1135">
        <v>78.099999999999994</v>
      </c>
      <c r="HX21" s="1135">
        <v>64.8</v>
      </c>
      <c r="HY21" s="1135">
        <v>78.5</v>
      </c>
      <c r="HZ21" s="1135">
        <v>82.8</v>
      </c>
      <c r="IA21" s="1136">
        <f t="shared" si="147"/>
        <v>915.61999999999989</v>
      </c>
      <c r="IB21" s="1135">
        <v>82.754999999999995</v>
      </c>
      <c r="IC21" s="1135">
        <v>84</v>
      </c>
      <c r="ID21" s="1135">
        <v>89.35</v>
      </c>
      <c r="IE21" s="1135">
        <v>86.05</v>
      </c>
      <c r="IF21" s="1135">
        <v>76.7</v>
      </c>
      <c r="IG21" s="1135">
        <v>64.5</v>
      </c>
      <c r="IH21" s="1135">
        <v>75.3</v>
      </c>
      <c r="II21" s="1135">
        <v>85</v>
      </c>
      <c r="IJ21" s="1135">
        <v>80.400000000000006</v>
      </c>
      <c r="IK21" s="1135">
        <v>83.15</v>
      </c>
      <c r="IL21" s="1135">
        <v>87.15</v>
      </c>
      <c r="IM21" s="1135">
        <v>84.05</v>
      </c>
      <c r="IN21" s="1136">
        <f t="shared" si="148"/>
        <v>978.40499999999986</v>
      </c>
      <c r="IO21" s="1135">
        <v>78.5</v>
      </c>
      <c r="IP21" s="1135">
        <v>69.55</v>
      </c>
      <c r="IQ21" s="1135">
        <v>81.650000000000006</v>
      </c>
      <c r="IR21" s="1135">
        <v>69.3</v>
      </c>
      <c r="IS21" s="1135">
        <v>85.9</v>
      </c>
      <c r="IT21" s="1135">
        <v>75.8</v>
      </c>
      <c r="IU21" s="1135">
        <v>71.099999999999994</v>
      </c>
      <c r="IV21" s="1135">
        <v>74.25</v>
      </c>
      <c r="IW21" s="1135">
        <v>66.2</v>
      </c>
      <c r="IX21" s="1135">
        <f>61.37+0.03</f>
        <v>61.4</v>
      </c>
      <c r="IY21" s="1135">
        <v>46.89</v>
      </c>
      <c r="IZ21" s="1135">
        <v>76.400000000000006</v>
      </c>
      <c r="JA21" s="1136">
        <f t="shared" si="149"/>
        <v>856.93999999999994</v>
      </c>
      <c r="JB21" s="1135">
        <v>79.650000000000006</v>
      </c>
      <c r="JC21" s="1135">
        <v>82.9</v>
      </c>
      <c r="JD21" s="1135"/>
      <c r="JE21" s="1135"/>
      <c r="JF21" s="1135"/>
      <c r="JG21" s="1135"/>
      <c r="JH21" s="1135"/>
      <c r="JI21" s="1135"/>
      <c r="JJ21" s="1135"/>
      <c r="JK21" s="1135"/>
      <c r="JL21" s="1135"/>
      <c r="JM21" s="1135"/>
      <c r="JN21" s="1136">
        <f t="shared" si="150"/>
        <v>162.55000000000001</v>
      </c>
      <c r="JP21" s="1137">
        <f t="shared" si="151"/>
        <v>-9.1017251635930876</v>
      </c>
      <c r="JQ21" s="1138">
        <f t="shared" si="152"/>
        <v>-12.414593138833096</v>
      </c>
      <c r="JR21" s="1139">
        <f t="shared" si="153"/>
        <v>978.40499999999986</v>
      </c>
      <c r="JS21" s="1140">
        <f t="shared" si="154"/>
        <v>856.93999999999994</v>
      </c>
      <c r="JT21" s="100"/>
      <c r="JU21" s="8"/>
    </row>
    <row r="22" spans="1:281" ht="15" customHeight="1" x14ac:dyDescent="0.2">
      <c r="A22" s="1143" t="s">
        <v>363</v>
      </c>
      <c r="B22" s="1135"/>
      <c r="C22" s="1135"/>
      <c r="D22" s="1135"/>
      <c r="E22" s="1135"/>
      <c r="F22" s="1135"/>
      <c r="G22" s="1135"/>
      <c r="H22" s="1135"/>
      <c r="I22" s="1135"/>
      <c r="J22" s="1135"/>
      <c r="K22" s="1135"/>
      <c r="L22" s="1135"/>
      <c r="M22" s="1135"/>
      <c r="N22" s="1136">
        <f t="shared" si="135"/>
        <v>0</v>
      </c>
      <c r="O22" s="1135"/>
      <c r="P22" s="1135"/>
      <c r="Q22" s="1135"/>
      <c r="R22" s="1135"/>
      <c r="S22" s="1135"/>
      <c r="T22" s="1135"/>
      <c r="U22" s="1135"/>
      <c r="V22" s="1135"/>
      <c r="W22" s="1135"/>
      <c r="X22" s="1135"/>
      <c r="Y22" s="1135"/>
      <c r="Z22" s="1135"/>
      <c r="AA22" s="1136">
        <f t="shared" si="136"/>
        <v>0</v>
      </c>
      <c r="AB22" s="1135"/>
      <c r="AC22" s="1135"/>
      <c r="AD22" s="1135"/>
      <c r="AE22" s="1135"/>
      <c r="AF22" s="1135"/>
      <c r="AG22" s="1135"/>
      <c r="AH22" s="1135"/>
      <c r="AI22" s="1135"/>
      <c r="AJ22" s="1135"/>
      <c r="AK22" s="1135"/>
      <c r="AL22" s="1135"/>
      <c r="AM22" s="1135"/>
      <c r="AN22" s="1136"/>
      <c r="AO22" s="1135"/>
      <c r="AP22" s="1135"/>
      <c r="AQ22" s="1135"/>
      <c r="AR22" s="1135"/>
      <c r="AS22" s="1135"/>
      <c r="AT22" s="1135"/>
      <c r="AU22" s="1135"/>
      <c r="AV22" s="1135"/>
      <c r="AW22" s="1135"/>
      <c r="AX22" s="1135"/>
      <c r="AY22" s="1135"/>
      <c r="AZ22" s="1135"/>
      <c r="BA22" s="1136"/>
      <c r="BB22" s="1135"/>
      <c r="BC22" s="1135"/>
      <c r="BD22" s="1135"/>
      <c r="BE22" s="1135"/>
      <c r="BF22" s="1135"/>
      <c r="BG22" s="1135"/>
      <c r="BH22" s="1135"/>
      <c r="BI22" s="1135"/>
      <c r="BJ22" s="1135"/>
      <c r="BK22" s="1135"/>
      <c r="BL22" s="1135"/>
      <c r="BM22" s="1135"/>
      <c r="BN22" s="1136"/>
      <c r="BO22" s="1135"/>
      <c r="BP22" s="1135"/>
      <c r="BQ22" s="1135"/>
      <c r="BR22" s="1135"/>
      <c r="BS22" s="1135"/>
      <c r="BT22" s="1135"/>
      <c r="BU22" s="1135"/>
      <c r="BV22" s="1135"/>
      <c r="BW22" s="1135"/>
      <c r="BX22" s="1135"/>
      <c r="BY22" s="1135"/>
      <c r="BZ22" s="1135"/>
      <c r="CA22" s="1136"/>
      <c r="CB22" s="1135"/>
      <c r="CC22" s="1135"/>
      <c r="CD22" s="1135"/>
      <c r="CE22" s="1135"/>
      <c r="CF22" s="1135"/>
      <c r="CG22" s="1135"/>
      <c r="CH22" s="1135"/>
      <c r="CI22" s="1135"/>
      <c r="CJ22" s="1135"/>
      <c r="CK22" s="1135"/>
      <c r="CL22" s="1135"/>
      <c r="CM22" s="1135"/>
      <c r="CN22" s="1136"/>
      <c r="CO22" s="1135"/>
      <c r="CP22" s="1135"/>
      <c r="CQ22" s="1135"/>
      <c r="CR22" s="1135"/>
      <c r="CS22" s="1135"/>
      <c r="CT22" s="1135"/>
      <c r="CU22" s="1135"/>
      <c r="CV22" s="1135"/>
      <c r="CW22" s="1135"/>
      <c r="CX22" s="1135"/>
      <c r="CY22" s="1135"/>
      <c r="CZ22" s="1135">
        <v>1</v>
      </c>
      <c r="DA22" s="1136">
        <f t="shared" si="137"/>
        <v>1</v>
      </c>
      <c r="DB22" s="1135">
        <v>3</v>
      </c>
      <c r="DC22" s="1135">
        <v>4</v>
      </c>
      <c r="DD22" s="1135">
        <v>5</v>
      </c>
      <c r="DE22" s="1135">
        <v>2</v>
      </c>
      <c r="DF22" s="1135">
        <v>2</v>
      </c>
      <c r="DG22" s="1135">
        <v>1</v>
      </c>
      <c r="DH22" s="1135">
        <v>2</v>
      </c>
      <c r="DI22" s="1135">
        <v>1</v>
      </c>
      <c r="DJ22" s="1135"/>
      <c r="DK22" s="1135"/>
      <c r="DL22" s="1135"/>
      <c r="DM22" s="1135"/>
      <c r="DN22" s="1136">
        <f t="shared" si="138"/>
        <v>20</v>
      </c>
      <c r="DO22" s="1135"/>
      <c r="DP22" s="1135"/>
      <c r="DQ22" s="1135"/>
      <c r="DR22" s="1135"/>
      <c r="DS22" s="1135">
        <v>1</v>
      </c>
      <c r="DT22" s="1135"/>
      <c r="DU22" s="1135"/>
      <c r="DV22" s="1135"/>
      <c r="DW22" s="1135"/>
      <c r="DX22" s="1135"/>
      <c r="DY22" s="1135"/>
      <c r="DZ22" s="1135"/>
      <c r="EA22" s="1136">
        <f t="shared" si="139"/>
        <v>1</v>
      </c>
      <c r="EB22" s="1135"/>
      <c r="EC22" s="1135"/>
      <c r="ED22" s="1135"/>
      <c r="EE22" s="1135"/>
      <c r="EF22" s="1135"/>
      <c r="EG22" s="1135"/>
      <c r="EH22" s="1135"/>
      <c r="EI22" s="1135"/>
      <c r="EJ22" s="1135"/>
      <c r="EK22" s="1135"/>
      <c r="EL22" s="1135"/>
      <c r="EM22" s="1135"/>
      <c r="EN22" s="1136">
        <f t="shared" si="140"/>
        <v>0</v>
      </c>
      <c r="EO22" s="1135"/>
      <c r="EP22" s="1135"/>
      <c r="EQ22" s="1135"/>
      <c r="ER22" s="1135"/>
      <c r="ES22" s="1135"/>
      <c r="ET22" s="1135"/>
      <c r="EU22" s="1135"/>
      <c r="EV22" s="1135"/>
      <c r="EW22" s="1135"/>
      <c r="EX22" s="1135"/>
      <c r="EY22" s="1135"/>
      <c r="EZ22" s="1135"/>
      <c r="FA22" s="1136">
        <f t="shared" si="141"/>
        <v>0</v>
      </c>
      <c r="FB22" s="1135"/>
      <c r="FC22" s="1135"/>
      <c r="FD22" s="1135"/>
      <c r="FE22" s="1135"/>
      <c r="FF22" s="1135"/>
      <c r="FG22" s="1135"/>
      <c r="FH22" s="1135"/>
      <c r="FI22" s="1135"/>
      <c r="FJ22" s="1135"/>
      <c r="FK22" s="1135"/>
      <c r="FL22" s="1135"/>
      <c r="FM22" s="1135"/>
      <c r="FN22" s="1136">
        <f t="shared" si="142"/>
        <v>0</v>
      </c>
      <c r="FO22" s="1135"/>
      <c r="FP22" s="1135"/>
      <c r="FQ22" s="1135"/>
      <c r="FR22" s="1135"/>
      <c r="FS22" s="1135"/>
      <c r="FT22" s="1135"/>
      <c r="FU22" s="1135"/>
      <c r="FV22" s="1135"/>
      <c r="FW22" s="1135"/>
      <c r="FX22" s="1135"/>
      <c r="FY22" s="1135"/>
      <c r="FZ22" s="1135"/>
      <c r="GA22" s="1136">
        <f t="shared" si="143"/>
        <v>0</v>
      </c>
      <c r="GB22" s="1135"/>
      <c r="GC22" s="1135"/>
      <c r="GD22" s="1135"/>
      <c r="GE22" s="1135"/>
      <c r="GF22" s="1135"/>
      <c r="GG22" s="1135"/>
      <c r="GH22" s="1135"/>
      <c r="GI22" s="1135"/>
      <c r="GJ22" s="1135"/>
      <c r="GK22" s="1135"/>
      <c r="GL22" s="1135"/>
      <c r="GM22" s="1135"/>
      <c r="GN22" s="1136">
        <f t="shared" si="144"/>
        <v>0</v>
      </c>
      <c r="GO22" s="1135">
        <v>2</v>
      </c>
      <c r="GP22" s="1135"/>
      <c r="GQ22" s="1135"/>
      <c r="GR22" s="1135"/>
      <c r="GS22" s="1135">
        <v>0.88</v>
      </c>
      <c r="GT22" s="1135">
        <v>0.5</v>
      </c>
      <c r="GU22" s="1135">
        <v>0.42</v>
      </c>
      <c r="GV22" s="1135">
        <v>0.34499999999999997</v>
      </c>
      <c r="GW22" s="1135">
        <v>0.2</v>
      </c>
      <c r="GX22" s="1135"/>
      <c r="GY22" s="1135"/>
      <c r="GZ22" s="1135">
        <v>0.55000000000000004</v>
      </c>
      <c r="HA22" s="1136">
        <f t="shared" si="145"/>
        <v>4.8949999999999996</v>
      </c>
      <c r="HB22" s="1135">
        <v>0.3</v>
      </c>
      <c r="HC22" s="1135">
        <v>0.26</v>
      </c>
      <c r="HD22" s="1135">
        <v>0.2</v>
      </c>
      <c r="HE22" s="1135">
        <v>0.23</v>
      </c>
      <c r="HF22" s="1135">
        <v>0.27</v>
      </c>
      <c r="HG22" s="1135">
        <v>0.22</v>
      </c>
      <c r="HH22" s="1135">
        <v>0.15</v>
      </c>
      <c r="HI22" s="1135">
        <v>0.2</v>
      </c>
      <c r="HJ22" s="1135"/>
      <c r="HK22" s="1135"/>
      <c r="HL22" s="1135"/>
      <c r="HM22" s="1135"/>
      <c r="HN22" s="1136">
        <f t="shared" si="146"/>
        <v>1.8299999999999998</v>
      </c>
      <c r="HO22" s="1135"/>
      <c r="HP22" s="1135">
        <v>0.21</v>
      </c>
      <c r="HQ22" s="1135">
        <v>0.3</v>
      </c>
      <c r="HR22" s="1135">
        <v>0.23</v>
      </c>
      <c r="HS22" s="1135">
        <v>0.28000000000000003</v>
      </c>
      <c r="HT22" s="1135">
        <v>0.15</v>
      </c>
      <c r="HU22" s="1135">
        <v>0.41</v>
      </c>
      <c r="HV22" s="1135">
        <v>0.39</v>
      </c>
      <c r="HW22" s="1135">
        <v>0.49</v>
      </c>
      <c r="HX22" s="1135">
        <v>0.04</v>
      </c>
      <c r="HY22" s="1135">
        <v>0.4</v>
      </c>
      <c r="HZ22" s="1135">
        <v>0.25</v>
      </c>
      <c r="IA22" s="1136">
        <f t="shared" si="147"/>
        <v>3.15</v>
      </c>
      <c r="IB22" s="1135">
        <v>0.4</v>
      </c>
      <c r="IC22" s="1135">
        <v>0.04</v>
      </c>
      <c r="ID22" s="1135">
        <v>0.15</v>
      </c>
      <c r="IE22" s="1135">
        <v>0.93</v>
      </c>
      <c r="IF22" s="1135">
        <v>0.26</v>
      </c>
      <c r="IG22" s="1135">
        <v>0.06</v>
      </c>
      <c r="IH22" s="1135">
        <v>0.06</v>
      </c>
      <c r="II22" s="1135">
        <v>0.18</v>
      </c>
      <c r="IJ22" s="1135">
        <v>0.09</v>
      </c>
      <c r="IK22" s="1135"/>
      <c r="IL22" s="1135"/>
      <c r="IM22" s="1135"/>
      <c r="IN22" s="1136">
        <f t="shared" si="148"/>
        <v>2.17</v>
      </c>
      <c r="IO22" s="1135"/>
      <c r="IP22" s="1135"/>
      <c r="IQ22" s="1135"/>
      <c r="IR22" s="1135">
        <v>3.7999999999999999E-2</v>
      </c>
      <c r="IS22" s="1135"/>
      <c r="IT22" s="1135"/>
      <c r="IU22" s="1135"/>
      <c r="IV22" s="1135">
        <v>0.06</v>
      </c>
      <c r="IW22" s="1135">
        <v>0.13300000000000001</v>
      </c>
      <c r="IX22" s="1135"/>
      <c r="IY22" s="1135">
        <v>0.06</v>
      </c>
      <c r="IZ22" s="1135">
        <v>9.5000000000000001E-2</v>
      </c>
      <c r="JA22" s="1136">
        <f t="shared" si="149"/>
        <v>0.38600000000000001</v>
      </c>
      <c r="JB22" s="1135">
        <v>0.13</v>
      </c>
      <c r="JC22" s="1135">
        <v>0</v>
      </c>
      <c r="JD22" s="1135"/>
      <c r="JE22" s="1135"/>
      <c r="JF22" s="1135"/>
      <c r="JG22" s="1135"/>
      <c r="JH22" s="1135"/>
      <c r="JI22" s="1135"/>
      <c r="JJ22" s="1135"/>
      <c r="JK22" s="1135"/>
      <c r="JL22" s="1135"/>
      <c r="JM22" s="1135"/>
      <c r="JN22" s="1136">
        <f t="shared" si="150"/>
        <v>0.13</v>
      </c>
      <c r="JP22" s="1137" t="str">
        <f t="shared" si="151"/>
        <v/>
      </c>
      <c r="JQ22" s="1138">
        <f t="shared" si="152"/>
        <v>-82.211981566820285</v>
      </c>
      <c r="JR22" s="1139">
        <f t="shared" si="153"/>
        <v>2.17</v>
      </c>
      <c r="JS22" s="1140">
        <f t="shared" si="154"/>
        <v>0.38600000000000001</v>
      </c>
      <c r="JT22" s="100"/>
      <c r="JU22" s="8"/>
    </row>
    <row r="23" spans="1:281" ht="15" customHeight="1" x14ac:dyDescent="0.2">
      <c r="A23" s="1143" t="s">
        <v>360</v>
      </c>
      <c r="B23" s="1135"/>
      <c r="C23" s="1135"/>
      <c r="D23" s="1135"/>
      <c r="E23" s="1135"/>
      <c r="F23" s="1135"/>
      <c r="G23" s="1135"/>
      <c r="H23" s="1135"/>
      <c r="I23" s="1135"/>
      <c r="J23" s="1135"/>
      <c r="K23" s="1135"/>
      <c r="L23" s="1135"/>
      <c r="M23" s="1135"/>
      <c r="N23" s="1136">
        <f t="shared" si="135"/>
        <v>0</v>
      </c>
      <c r="O23" s="1135">
        <v>8</v>
      </c>
      <c r="P23" s="1135">
        <v>3</v>
      </c>
      <c r="Q23" s="1135">
        <v>9</v>
      </c>
      <c r="R23" s="1135">
        <v>10</v>
      </c>
      <c r="S23" s="1135">
        <v>5</v>
      </c>
      <c r="T23" s="1135">
        <v>8</v>
      </c>
      <c r="U23" s="1135">
        <v>8</v>
      </c>
      <c r="V23" s="1135">
        <v>7</v>
      </c>
      <c r="W23" s="1135">
        <v>9</v>
      </c>
      <c r="X23" s="1135">
        <v>9</v>
      </c>
      <c r="Y23" s="1135">
        <v>10</v>
      </c>
      <c r="Z23" s="1135">
        <v>12</v>
      </c>
      <c r="AA23" s="1136">
        <f t="shared" si="136"/>
        <v>98</v>
      </c>
      <c r="AB23" s="1135">
        <v>10</v>
      </c>
      <c r="AC23" s="1135">
        <v>9</v>
      </c>
      <c r="AD23" s="1135">
        <v>15</v>
      </c>
      <c r="AE23" s="1135">
        <v>13</v>
      </c>
      <c r="AF23" s="1135">
        <v>13</v>
      </c>
      <c r="AG23" s="1135">
        <v>12</v>
      </c>
      <c r="AH23" s="1135">
        <v>12</v>
      </c>
      <c r="AI23" s="1135">
        <v>12</v>
      </c>
      <c r="AJ23" s="1135">
        <v>16</v>
      </c>
      <c r="AK23" s="1135">
        <v>17</v>
      </c>
      <c r="AL23" s="1135">
        <v>17</v>
      </c>
      <c r="AM23" s="1135">
        <f>10+4</f>
        <v>14</v>
      </c>
      <c r="AN23" s="1136">
        <f>SUM(AB23:AM23)</f>
        <v>160</v>
      </c>
      <c r="AO23" s="1135">
        <v>13</v>
      </c>
      <c r="AP23" s="1135">
        <v>12</v>
      </c>
      <c r="AQ23" s="1135">
        <v>10</v>
      </c>
      <c r="AR23" s="1135">
        <v>15</v>
      </c>
      <c r="AS23" s="1135">
        <v>8</v>
      </c>
      <c r="AT23" s="1135">
        <v>12</v>
      </c>
      <c r="AU23" s="1135">
        <v>10</v>
      </c>
      <c r="AV23" s="1135">
        <v>14</v>
      </c>
      <c r="AW23" s="1135">
        <v>10</v>
      </c>
      <c r="AX23" s="1135">
        <v>12</v>
      </c>
      <c r="AY23" s="1135">
        <v>20</v>
      </c>
      <c r="AZ23" s="1135">
        <v>24</v>
      </c>
      <c r="BA23" s="1136">
        <f>SUM(AO23:AZ23)</f>
        <v>160</v>
      </c>
      <c r="BB23" s="1135">
        <v>33</v>
      </c>
      <c r="BC23" s="1135">
        <v>58</v>
      </c>
      <c r="BD23" s="1135">
        <v>58</v>
      </c>
      <c r="BE23" s="1135">
        <v>59</v>
      </c>
      <c r="BF23" s="1135">
        <v>63</v>
      </c>
      <c r="BG23" s="1135">
        <v>57</v>
      </c>
      <c r="BH23" s="1135">
        <v>46</v>
      </c>
      <c r="BI23" s="1135">
        <v>56</v>
      </c>
      <c r="BJ23" s="1135">
        <v>65</v>
      </c>
      <c r="BK23" s="1135">
        <v>46</v>
      </c>
      <c r="BL23" s="1135">
        <v>54</v>
      </c>
      <c r="BM23" s="1135">
        <v>68</v>
      </c>
      <c r="BN23" s="1136">
        <f>SUM(BB23:BM23)</f>
        <v>663</v>
      </c>
      <c r="BO23" s="1135">
        <v>64</v>
      </c>
      <c r="BP23" s="1135">
        <v>65</v>
      </c>
      <c r="BQ23" s="1135">
        <v>55</v>
      </c>
      <c r="BR23" s="1135">
        <v>69</v>
      </c>
      <c r="BS23" s="1135">
        <v>59</v>
      </c>
      <c r="BT23" s="1135">
        <v>54</v>
      </c>
      <c r="BU23" s="1135">
        <v>56</v>
      </c>
      <c r="BV23" s="1135">
        <v>63</v>
      </c>
      <c r="BW23" s="1135">
        <v>60</v>
      </c>
      <c r="BX23" s="1135">
        <v>57</v>
      </c>
      <c r="BY23" s="1135">
        <v>69</v>
      </c>
      <c r="BZ23" s="1135">
        <v>73</v>
      </c>
      <c r="CA23" s="1136">
        <f>SUM(BO23:BZ23)</f>
        <v>744</v>
      </c>
      <c r="CB23" s="1135">
        <v>83</v>
      </c>
      <c r="CC23" s="1135">
        <v>80</v>
      </c>
      <c r="CD23" s="1135">
        <v>77</v>
      </c>
      <c r="CE23" s="1135">
        <v>110</v>
      </c>
      <c r="CF23" s="1135">
        <v>74</v>
      </c>
      <c r="CG23" s="1135">
        <v>73</v>
      </c>
      <c r="CH23" s="1135">
        <v>65</v>
      </c>
      <c r="CI23" s="1135">
        <v>62</v>
      </c>
      <c r="CJ23" s="1135">
        <v>84</v>
      </c>
      <c r="CK23" s="1135">
        <v>99</v>
      </c>
      <c r="CL23" s="1135">
        <v>103</v>
      </c>
      <c r="CM23" s="1135">
        <v>125</v>
      </c>
      <c r="CN23" s="1136">
        <f>SUM(CB23:CM23)</f>
        <v>1035</v>
      </c>
      <c r="CO23" s="1135">
        <v>105</v>
      </c>
      <c r="CP23" s="1135">
        <v>97</v>
      </c>
      <c r="CQ23" s="1135">
        <v>143</v>
      </c>
      <c r="CR23" s="1135">
        <v>99</v>
      </c>
      <c r="CS23" s="1135">
        <v>90</v>
      </c>
      <c r="CT23" s="1135">
        <v>95</v>
      </c>
      <c r="CU23" s="1135">
        <v>102</v>
      </c>
      <c r="CV23" s="1135">
        <v>90</v>
      </c>
      <c r="CW23" s="1135">
        <v>76</v>
      </c>
      <c r="CX23" s="1135">
        <f>85+8</f>
        <v>93</v>
      </c>
      <c r="CY23" s="1135">
        <f>95+18</f>
        <v>113</v>
      </c>
      <c r="CZ23" s="1135">
        <f>118+8</f>
        <v>126</v>
      </c>
      <c r="DA23" s="1136">
        <f t="shared" si="137"/>
        <v>1229</v>
      </c>
      <c r="DB23" s="1135">
        <f>147+6</f>
        <v>153</v>
      </c>
      <c r="DC23" s="1135">
        <v>190</v>
      </c>
      <c r="DD23" s="1135">
        <v>244</v>
      </c>
      <c r="DE23" s="1135">
        <v>281</v>
      </c>
      <c r="DF23" s="1135">
        <v>260</v>
      </c>
      <c r="DG23" s="1135">
        <v>261</v>
      </c>
      <c r="DH23" s="1135">
        <v>291</v>
      </c>
      <c r="DI23" s="1135">
        <v>56</v>
      </c>
      <c r="DJ23" s="1135">
        <v>58</v>
      </c>
      <c r="DK23" s="1135">
        <v>72</v>
      </c>
      <c r="DL23" s="1135">
        <v>61</v>
      </c>
      <c r="DM23" s="1135">
        <v>70</v>
      </c>
      <c r="DN23" s="1136">
        <f t="shared" si="138"/>
        <v>1997</v>
      </c>
      <c r="DO23" s="1135">
        <v>64</v>
      </c>
      <c r="DP23" s="1135">
        <v>73</v>
      </c>
      <c r="DQ23" s="1135">
        <v>66</v>
      </c>
      <c r="DR23" s="1135">
        <v>67</v>
      </c>
      <c r="DS23" s="1135">
        <v>79</v>
      </c>
      <c r="DT23" s="1135">
        <v>68</v>
      </c>
      <c r="DU23" s="1135">
        <v>66</v>
      </c>
      <c r="DV23" s="1135">
        <v>69</v>
      </c>
      <c r="DW23" s="1135">
        <v>80</v>
      </c>
      <c r="DX23" s="1135">
        <v>76</v>
      </c>
      <c r="DY23" s="1135">
        <v>88</v>
      </c>
      <c r="DZ23" s="1135">
        <v>94</v>
      </c>
      <c r="EA23" s="1136">
        <f t="shared" si="139"/>
        <v>890</v>
      </c>
      <c r="EB23" s="1135">
        <v>91</v>
      </c>
      <c r="EC23" s="1135">
        <v>82</v>
      </c>
      <c r="ED23" s="1135">
        <v>99</v>
      </c>
      <c r="EE23" s="1135">
        <v>107</v>
      </c>
      <c r="EF23" s="1135">
        <v>109</v>
      </c>
      <c r="EG23" s="1135">
        <v>115</v>
      </c>
      <c r="EH23" s="1135">
        <v>117</v>
      </c>
      <c r="EI23" s="1135">
        <v>138</v>
      </c>
      <c r="EJ23" s="1135">
        <v>168</v>
      </c>
      <c r="EK23" s="1135">
        <v>140</v>
      </c>
      <c r="EL23" s="1135">
        <v>137</v>
      </c>
      <c r="EM23" s="1135">
        <v>133</v>
      </c>
      <c r="EN23" s="1136">
        <f t="shared" si="140"/>
        <v>1436</v>
      </c>
      <c r="EO23" s="1135">
        <v>135</v>
      </c>
      <c r="EP23" s="1135">
        <v>138</v>
      </c>
      <c r="EQ23" s="1135">
        <v>149</v>
      </c>
      <c r="ER23" s="1135">
        <v>160</v>
      </c>
      <c r="ES23" s="1135">
        <v>135</v>
      </c>
      <c r="ET23" s="1135">
        <v>145</v>
      </c>
      <c r="EU23" s="1135">
        <v>150</v>
      </c>
      <c r="EV23" s="1135">
        <v>134</v>
      </c>
      <c r="EW23" s="1135">
        <v>158</v>
      </c>
      <c r="EX23" s="1135">
        <v>153</v>
      </c>
      <c r="EY23" s="1135">
        <v>152</v>
      </c>
      <c r="EZ23" s="1135">
        <v>158</v>
      </c>
      <c r="FA23" s="1136">
        <f t="shared" si="141"/>
        <v>1767</v>
      </c>
      <c r="FB23" s="1135">
        <v>151</v>
      </c>
      <c r="FC23" s="1135">
        <v>156</v>
      </c>
      <c r="FD23" s="1135">
        <v>160</v>
      </c>
      <c r="FE23" s="1135">
        <v>105</v>
      </c>
      <c r="FF23" s="1135">
        <v>112</v>
      </c>
      <c r="FG23" s="1135">
        <v>103</v>
      </c>
      <c r="FH23" s="1135">
        <v>105</v>
      </c>
      <c r="FI23" s="1135">
        <v>89</v>
      </c>
      <c r="FJ23" s="1135">
        <v>104</v>
      </c>
      <c r="FK23" s="1135">
        <v>108</v>
      </c>
      <c r="FL23" s="1135">
        <v>112</v>
      </c>
      <c r="FM23" s="1135">
        <v>112</v>
      </c>
      <c r="FN23" s="1136">
        <f t="shared" si="142"/>
        <v>1417</v>
      </c>
      <c r="FO23" s="1135">
        <v>104</v>
      </c>
      <c r="FP23" s="1135">
        <v>106</v>
      </c>
      <c r="FQ23" s="1135">
        <v>109</v>
      </c>
      <c r="FR23" s="1135">
        <v>129</v>
      </c>
      <c r="FS23" s="1135">
        <v>111</v>
      </c>
      <c r="FT23" s="1135">
        <v>107</v>
      </c>
      <c r="FU23" s="1135">
        <v>120</v>
      </c>
      <c r="FV23" s="1135">
        <v>111</v>
      </c>
      <c r="FW23" s="1135">
        <v>114</v>
      </c>
      <c r="FX23" s="1135">
        <v>119</v>
      </c>
      <c r="FY23" s="1135">
        <v>120</v>
      </c>
      <c r="FZ23" s="1135">
        <v>133</v>
      </c>
      <c r="GA23" s="1136">
        <f t="shared" si="143"/>
        <v>1383</v>
      </c>
      <c r="GB23" s="1135">
        <v>109</v>
      </c>
      <c r="GC23" s="1135">
        <v>111</v>
      </c>
      <c r="GD23" s="1135">
        <v>99</v>
      </c>
      <c r="GE23" s="1135">
        <v>88</v>
      </c>
      <c r="GF23" s="1135">
        <v>99</v>
      </c>
      <c r="GG23" s="1135">
        <v>93</v>
      </c>
      <c r="GH23" s="1135">
        <v>97</v>
      </c>
      <c r="GI23" s="1135">
        <v>102</v>
      </c>
      <c r="GJ23" s="1135">
        <v>106</v>
      </c>
      <c r="GK23" s="1135">
        <v>123</v>
      </c>
      <c r="GL23" s="1135">
        <v>125</v>
      </c>
      <c r="GM23" s="1135">
        <v>138</v>
      </c>
      <c r="GN23" s="1136">
        <f t="shared" si="144"/>
        <v>1290</v>
      </c>
      <c r="GO23" s="1135">
        <v>122</v>
      </c>
      <c r="GP23" s="1135">
        <v>116</v>
      </c>
      <c r="GQ23" s="1135">
        <v>141</v>
      </c>
      <c r="GR23" s="1135">
        <v>137</v>
      </c>
      <c r="GS23" s="1135">
        <v>139.19999999999999</v>
      </c>
      <c r="GT23" s="1135">
        <v>142.85</v>
      </c>
      <c r="GU23" s="1135">
        <v>146.1</v>
      </c>
      <c r="GV23" s="1135">
        <v>139.05000000000001</v>
      </c>
      <c r="GW23" s="1135">
        <v>136.85</v>
      </c>
      <c r="GX23" s="1135">
        <v>139.19999999999999</v>
      </c>
      <c r="GY23" s="1135">
        <v>143.62</v>
      </c>
      <c r="GZ23" s="1135">
        <v>143.80000000000001</v>
      </c>
      <c r="HA23" s="1136">
        <f t="shared" si="145"/>
        <v>1646.6699999999998</v>
      </c>
      <c r="HB23" s="1135">
        <v>141.30000000000001</v>
      </c>
      <c r="HC23" s="1135">
        <v>139.80000000000001</v>
      </c>
      <c r="HD23" s="1135">
        <v>129.1</v>
      </c>
      <c r="HE23" s="1135">
        <v>136.25</v>
      </c>
      <c r="HF23" s="1135">
        <v>138.30000000000001</v>
      </c>
      <c r="HG23" s="1135">
        <v>123.39400000000001</v>
      </c>
      <c r="HH23" s="1135">
        <v>123.078</v>
      </c>
      <c r="HI23" s="1135">
        <v>128.75</v>
      </c>
      <c r="HJ23" s="1135">
        <v>127.95399999999999</v>
      </c>
      <c r="HK23" s="1135">
        <v>133.4</v>
      </c>
      <c r="HL23" s="1135">
        <v>132.85</v>
      </c>
      <c r="HM23" s="1135">
        <v>135.9</v>
      </c>
      <c r="HN23" s="1136">
        <f t="shared" si="146"/>
        <v>1590.076</v>
      </c>
      <c r="HO23" s="1135">
        <v>133.19999999999999</v>
      </c>
      <c r="HP23" s="1135">
        <v>140.05000000000001</v>
      </c>
      <c r="HQ23" s="1135">
        <v>100.5</v>
      </c>
      <c r="HR23" s="1135">
        <f>126.18+19.5</f>
        <v>145.68</v>
      </c>
      <c r="HS23" s="1135">
        <v>137.35</v>
      </c>
      <c r="HT23" s="1135">
        <v>107.4</v>
      </c>
      <c r="HU23" s="1135">
        <v>104.4</v>
      </c>
      <c r="HV23" s="1135">
        <v>113.15</v>
      </c>
      <c r="HW23" s="1135">
        <v>106</v>
      </c>
      <c r="HX23" s="1135">
        <v>111.3</v>
      </c>
      <c r="HY23" s="1135">
        <v>115.75</v>
      </c>
      <c r="HZ23" s="1135">
        <v>118</v>
      </c>
      <c r="IA23" s="1136">
        <f t="shared" si="147"/>
        <v>1432.78</v>
      </c>
      <c r="IB23" s="1135">
        <v>117.8386</v>
      </c>
      <c r="IC23" s="1135">
        <v>118.05</v>
      </c>
      <c r="ID23" s="1135">
        <v>124.24299999999999</v>
      </c>
      <c r="IE23" s="1135">
        <v>121</v>
      </c>
      <c r="IF23" s="1135">
        <v>119.1</v>
      </c>
      <c r="IG23" s="1135">
        <v>135.94999999999999</v>
      </c>
      <c r="IH23" s="1135">
        <v>123.85</v>
      </c>
      <c r="II23" s="1135">
        <v>119.7</v>
      </c>
      <c r="IJ23" s="1135">
        <v>102.46</v>
      </c>
      <c r="IK23" s="1135">
        <v>119.66</v>
      </c>
      <c r="IL23" s="1135">
        <v>126.405</v>
      </c>
      <c r="IM23" s="1135">
        <v>121.6</v>
      </c>
      <c r="IN23" s="1136">
        <f t="shared" si="148"/>
        <v>1449.8565999999998</v>
      </c>
      <c r="IO23" s="1135">
        <v>102.7</v>
      </c>
      <c r="IP23" s="1135">
        <v>85.1</v>
      </c>
      <c r="IQ23" s="1135">
        <v>116.5</v>
      </c>
      <c r="IR23" s="1135">
        <v>96.85</v>
      </c>
      <c r="IS23" s="1135">
        <v>120</v>
      </c>
      <c r="IT23" s="1135">
        <v>116.4</v>
      </c>
      <c r="IU23" s="1135">
        <v>111.6</v>
      </c>
      <c r="IV23" s="1135">
        <v>113.4</v>
      </c>
      <c r="IW23" s="1135">
        <v>113.05</v>
      </c>
      <c r="IX23" s="1135">
        <v>108.79</v>
      </c>
      <c r="IY23" s="1135">
        <v>110.95</v>
      </c>
      <c r="IZ23" s="1135">
        <v>124.05</v>
      </c>
      <c r="JA23" s="1136">
        <f t="shared" si="149"/>
        <v>1319.3899999999999</v>
      </c>
      <c r="JB23" s="1135">
        <v>115.7</v>
      </c>
      <c r="JC23" s="1135">
        <v>113.3</v>
      </c>
      <c r="JD23" s="1135"/>
      <c r="JE23" s="1135"/>
      <c r="JF23" s="1135"/>
      <c r="JG23" s="1135"/>
      <c r="JH23" s="1135"/>
      <c r="JI23" s="1135"/>
      <c r="JJ23" s="1135"/>
      <c r="JK23" s="1135"/>
      <c r="JL23" s="1135"/>
      <c r="JM23" s="1135"/>
      <c r="JN23" s="1136">
        <f t="shared" si="150"/>
        <v>229</v>
      </c>
      <c r="JP23" s="1137">
        <f t="shared" si="151"/>
        <v>2.0148026315789602</v>
      </c>
      <c r="JQ23" s="1138">
        <f t="shared" si="152"/>
        <v>-8.9985864808974867</v>
      </c>
      <c r="JR23" s="1139">
        <f t="shared" si="153"/>
        <v>1449.8565999999998</v>
      </c>
      <c r="JS23" s="1140">
        <f t="shared" si="154"/>
        <v>1319.3899999999999</v>
      </c>
      <c r="JT23" s="100"/>
      <c r="JU23" s="8"/>
    </row>
    <row r="24" spans="1:281" ht="15" customHeight="1" x14ac:dyDescent="0.2">
      <c r="A24" s="1615" t="s">
        <v>647</v>
      </c>
      <c r="B24" s="1135"/>
      <c r="C24" s="1135"/>
      <c r="D24" s="1135"/>
      <c r="E24" s="1135"/>
      <c r="F24" s="1135"/>
      <c r="G24" s="1135"/>
      <c r="H24" s="1135"/>
      <c r="I24" s="1135"/>
      <c r="J24" s="1135"/>
      <c r="K24" s="1135"/>
      <c r="L24" s="1135"/>
      <c r="M24" s="1135"/>
      <c r="N24" s="1136">
        <f t="shared" si="66"/>
        <v>0</v>
      </c>
      <c r="O24" s="1135">
        <v>7</v>
      </c>
      <c r="P24" s="1135">
        <v>12</v>
      </c>
      <c r="Q24" s="1135">
        <v>13</v>
      </c>
      <c r="R24" s="1135">
        <v>15</v>
      </c>
      <c r="S24" s="1135">
        <v>13</v>
      </c>
      <c r="T24" s="1135">
        <v>9</v>
      </c>
      <c r="U24" s="1135">
        <v>11</v>
      </c>
      <c r="V24" s="1135">
        <v>11</v>
      </c>
      <c r="W24" s="1135">
        <v>11</v>
      </c>
      <c r="X24" s="1135">
        <v>11</v>
      </c>
      <c r="Y24" s="1135">
        <v>4</v>
      </c>
      <c r="Z24" s="1135">
        <v>5</v>
      </c>
      <c r="AA24" s="1136">
        <f t="shared" si="68"/>
        <v>122</v>
      </c>
      <c r="AB24" s="1135">
        <v>6</v>
      </c>
      <c r="AC24" s="1135">
        <v>7</v>
      </c>
      <c r="AD24" s="1135">
        <v>7</v>
      </c>
      <c r="AE24" s="1135">
        <v>13</v>
      </c>
      <c r="AF24" s="1135">
        <v>20</v>
      </c>
      <c r="AG24" s="1135">
        <v>9</v>
      </c>
      <c r="AH24" s="1135">
        <v>17</v>
      </c>
      <c r="AI24" s="1135">
        <v>19</v>
      </c>
      <c r="AJ24" s="1135">
        <v>21</v>
      </c>
      <c r="AK24" s="1135">
        <v>12</v>
      </c>
      <c r="AL24" s="1135">
        <v>7</v>
      </c>
      <c r="AM24" s="1135">
        <v>4</v>
      </c>
      <c r="AN24" s="1136">
        <f>SUM(AB24:AM24)</f>
        <v>142</v>
      </c>
      <c r="AO24" s="1135">
        <v>5</v>
      </c>
      <c r="AP24" s="1135">
        <v>3</v>
      </c>
      <c r="AQ24" s="1135">
        <v>3</v>
      </c>
      <c r="AR24" s="1135">
        <v>4</v>
      </c>
      <c r="AS24" s="1135">
        <v>4</v>
      </c>
      <c r="AT24" s="1135">
        <v>9</v>
      </c>
      <c r="AU24" s="1135">
        <v>9</v>
      </c>
      <c r="AV24" s="1135">
        <v>13</v>
      </c>
      <c r="AW24" s="1135">
        <v>11</v>
      </c>
      <c r="AX24" s="1135">
        <v>11</v>
      </c>
      <c r="AY24" s="1135">
        <v>6</v>
      </c>
      <c r="AZ24" s="1135">
        <v>7</v>
      </c>
      <c r="BA24" s="1136">
        <f t="shared" si="99"/>
        <v>85</v>
      </c>
      <c r="BB24" s="1135">
        <v>5</v>
      </c>
      <c r="BC24" s="1135">
        <v>5</v>
      </c>
      <c r="BD24" s="1135">
        <v>6</v>
      </c>
      <c r="BE24" s="1135">
        <v>9</v>
      </c>
      <c r="BF24" s="1135">
        <v>6</v>
      </c>
      <c r="BG24" s="1135">
        <v>5</v>
      </c>
      <c r="BH24" s="1135">
        <v>5</v>
      </c>
      <c r="BI24" s="1135">
        <v>3</v>
      </c>
      <c r="BJ24" s="1135">
        <v>8</v>
      </c>
      <c r="BK24" s="1135">
        <v>8</v>
      </c>
      <c r="BL24" s="1135">
        <v>8</v>
      </c>
      <c r="BM24" s="1135">
        <v>9</v>
      </c>
      <c r="BN24" s="1136">
        <f t="shared" si="101"/>
        <v>77</v>
      </c>
      <c r="BO24" s="1135">
        <v>7</v>
      </c>
      <c r="BP24" s="1135">
        <v>11</v>
      </c>
      <c r="BQ24" s="1135">
        <v>4</v>
      </c>
      <c r="BR24" s="1135">
        <v>13</v>
      </c>
      <c r="BS24" s="1135">
        <v>13</v>
      </c>
      <c r="BT24" s="1135">
        <v>22</v>
      </c>
      <c r="BU24" s="1135">
        <v>11</v>
      </c>
      <c r="BV24" s="1135">
        <v>8</v>
      </c>
      <c r="BW24" s="1135">
        <v>6</v>
      </c>
      <c r="BX24" s="1135">
        <v>5</v>
      </c>
      <c r="BY24" s="1135">
        <v>14</v>
      </c>
      <c r="BZ24" s="1135">
        <v>11</v>
      </c>
      <c r="CA24" s="1136">
        <f>SUM(BO24:BZ24)</f>
        <v>125</v>
      </c>
      <c r="CB24" s="1135">
        <v>7</v>
      </c>
      <c r="CC24" s="1135">
        <v>4</v>
      </c>
      <c r="CD24" s="1135">
        <v>6</v>
      </c>
      <c r="CE24" s="1135">
        <v>8</v>
      </c>
      <c r="CF24" s="1135">
        <v>8</v>
      </c>
      <c r="CG24" s="1135">
        <v>10</v>
      </c>
      <c r="CH24" s="1135">
        <v>9</v>
      </c>
      <c r="CI24" s="1135">
        <v>9</v>
      </c>
      <c r="CJ24" s="1135">
        <v>12</v>
      </c>
      <c r="CK24" s="1135">
        <v>17</v>
      </c>
      <c r="CL24" s="1135">
        <v>14</v>
      </c>
      <c r="CM24" s="1135">
        <v>14</v>
      </c>
      <c r="CN24" s="1136">
        <f>SUM(CB24:CM24)</f>
        <v>118</v>
      </c>
      <c r="CO24" s="1135">
        <v>4</v>
      </c>
      <c r="CP24" s="1135">
        <v>1</v>
      </c>
      <c r="CQ24" s="1135">
        <v>2</v>
      </c>
      <c r="CR24" s="1135">
        <v>12</v>
      </c>
      <c r="CS24" s="1135">
        <v>15</v>
      </c>
      <c r="CT24" s="1135">
        <v>16</v>
      </c>
      <c r="CU24" s="1135">
        <v>14</v>
      </c>
      <c r="CV24" s="1135">
        <v>19</v>
      </c>
      <c r="CW24" s="1135">
        <v>4</v>
      </c>
      <c r="CX24" s="1135">
        <v>2</v>
      </c>
      <c r="CY24" s="1135">
        <v>4</v>
      </c>
      <c r="CZ24" s="1135">
        <v>8</v>
      </c>
      <c r="DA24" s="1136">
        <f t="shared" si="137"/>
        <v>101</v>
      </c>
      <c r="DB24" s="1135">
        <v>4</v>
      </c>
      <c r="DC24" s="1135">
        <v>4</v>
      </c>
      <c r="DD24" s="1135">
        <v>5</v>
      </c>
      <c r="DE24" s="1135">
        <v>4</v>
      </c>
      <c r="DF24" s="1135">
        <v>6</v>
      </c>
      <c r="DG24" s="1135">
        <v>5</v>
      </c>
      <c r="DH24" s="1135">
        <v>6</v>
      </c>
      <c r="DI24" s="1135">
        <v>1</v>
      </c>
      <c r="DJ24" s="1135">
        <v>1</v>
      </c>
      <c r="DK24" s="1135">
        <v>1</v>
      </c>
      <c r="DL24" s="1135">
        <v>3</v>
      </c>
      <c r="DM24" s="1135">
        <v>1</v>
      </c>
      <c r="DN24" s="1136">
        <f t="shared" si="105"/>
        <v>41</v>
      </c>
      <c r="DO24" s="1135">
        <v>2</v>
      </c>
      <c r="DP24" s="1135">
        <v>2</v>
      </c>
      <c r="DQ24" s="1135">
        <v>2</v>
      </c>
      <c r="DR24" s="1135">
        <v>2</v>
      </c>
      <c r="DS24" s="1135">
        <v>1</v>
      </c>
      <c r="DT24" s="1135">
        <v>2</v>
      </c>
      <c r="DU24" s="1135">
        <v>23</v>
      </c>
      <c r="DV24" s="1135">
        <v>4</v>
      </c>
      <c r="DW24" s="1135">
        <v>3</v>
      </c>
      <c r="DX24" s="1135">
        <v>5</v>
      </c>
      <c r="DY24" s="1135">
        <v>7</v>
      </c>
      <c r="DZ24" s="1135">
        <v>8</v>
      </c>
      <c r="EA24" s="1136">
        <f t="shared" si="52"/>
        <v>61</v>
      </c>
      <c r="EB24" s="1135">
        <v>3</v>
      </c>
      <c r="EC24" s="1135">
        <v>3</v>
      </c>
      <c r="ED24" s="1135">
        <v>4</v>
      </c>
      <c r="EE24" s="1135">
        <v>1</v>
      </c>
      <c r="EF24" s="1135">
        <v>11</v>
      </c>
      <c r="EG24" s="1135">
        <v>16</v>
      </c>
      <c r="EH24" s="1135">
        <v>15</v>
      </c>
      <c r="EI24" s="1135">
        <v>6</v>
      </c>
      <c r="EJ24" s="1135">
        <v>2</v>
      </c>
      <c r="EK24" s="1135">
        <v>3</v>
      </c>
      <c r="EL24" s="1135">
        <v>11</v>
      </c>
      <c r="EM24" s="1135">
        <v>14</v>
      </c>
      <c r="EN24" s="1136">
        <f t="shared" si="54"/>
        <v>89</v>
      </c>
      <c r="EO24" s="1135">
        <v>8</v>
      </c>
      <c r="EP24" s="1135">
        <v>7</v>
      </c>
      <c r="EQ24" s="1135">
        <v>9</v>
      </c>
      <c r="ER24" s="1135">
        <v>13</v>
      </c>
      <c r="ES24" s="1135">
        <v>13</v>
      </c>
      <c r="ET24" s="1135">
        <v>11</v>
      </c>
      <c r="EU24" s="1135">
        <v>13</v>
      </c>
      <c r="EV24" s="1135">
        <v>17</v>
      </c>
      <c r="EW24" s="1135">
        <v>14</v>
      </c>
      <c r="EX24" s="1135">
        <v>12</v>
      </c>
      <c r="EY24" s="1135">
        <v>13</v>
      </c>
      <c r="EZ24" s="1135">
        <v>9</v>
      </c>
      <c r="FA24" s="1136">
        <f t="shared" si="56"/>
        <v>139</v>
      </c>
      <c r="FB24" s="1135">
        <v>15</v>
      </c>
      <c r="FC24" s="1135">
        <v>17</v>
      </c>
      <c r="FD24" s="1135">
        <v>15</v>
      </c>
      <c r="FE24" s="1135">
        <v>22</v>
      </c>
      <c r="FF24" s="1135">
        <v>17</v>
      </c>
      <c r="FG24" s="1135">
        <v>16</v>
      </c>
      <c r="FH24" s="1135">
        <v>15</v>
      </c>
      <c r="FI24" s="1135">
        <v>15</v>
      </c>
      <c r="FJ24" s="1135">
        <v>11</v>
      </c>
      <c r="FK24" s="1135">
        <v>12</v>
      </c>
      <c r="FL24" s="1135">
        <v>8</v>
      </c>
      <c r="FM24" s="1135">
        <v>10</v>
      </c>
      <c r="FN24" s="1136">
        <f t="shared" si="118"/>
        <v>173</v>
      </c>
      <c r="FO24" s="1135">
        <v>8</v>
      </c>
      <c r="FP24" s="1135">
        <v>12</v>
      </c>
      <c r="FQ24" s="1135">
        <v>9</v>
      </c>
      <c r="FR24" s="1135">
        <v>13</v>
      </c>
      <c r="FS24" s="1135">
        <v>10</v>
      </c>
      <c r="FT24" s="1135">
        <v>11</v>
      </c>
      <c r="FU24" s="1135">
        <v>14</v>
      </c>
      <c r="FV24" s="1135">
        <v>11</v>
      </c>
      <c r="FW24" s="1135">
        <v>11</v>
      </c>
      <c r="FX24" s="1135">
        <v>11</v>
      </c>
      <c r="FY24" s="1135">
        <v>9</v>
      </c>
      <c r="FZ24" s="1135">
        <v>11</v>
      </c>
      <c r="GA24" s="1136">
        <f t="shared" si="109"/>
        <v>130</v>
      </c>
      <c r="GB24" s="1135">
        <v>7</v>
      </c>
      <c r="GC24" s="1135">
        <v>6</v>
      </c>
      <c r="GD24" s="1135">
        <v>5</v>
      </c>
      <c r="GE24" s="1135">
        <v>5</v>
      </c>
      <c r="GF24" s="1135">
        <v>4</v>
      </c>
      <c r="GG24" s="1135">
        <v>3</v>
      </c>
      <c r="GH24" s="1135">
        <v>5</v>
      </c>
      <c r="GI24" s="1135">
        <v>9</v>
      </c>
      <c r="GJ24" s="1135">
        <v>12</v>
      </c>
      <c r="GK24" s="1135">
        <v>12</v>
      </c>
      <c r="GL24" s="1135">
        <v>11</v>
      </c>
      <c r="GM24" s="1135">
        <v>10</v>
      </c>
      <c r="GN24" s="1136">
        <f t="shared" si="83"/>
        <v>89</v>
      </c>
      <c r="GO24" s="1135">
        <v>8</v>
      </c>
      <c r="GP24" s="1135">
        <v>7</v>
      </c>
      <c r="GQ24" s="1135">
        <v>6</v>
      </c>
      <c r="GR24" s="1135">
        <v>6</v>
      </c>
      <c r="GS24" s="1135">
        <v>5.49</v>
      </c>
      <c r="GT24" s="1135">
        <f>269-263</f>
        <v>6</v>
      </c>
      <c r="GU24" s="1135">
        <v>9</v>
      </c>
      <c r="GV24" s="1135">
        <v>8.9</v>
      </c>
      <c r="GW24" s="1135">
        <v>7.9</v>
      </c>
      <c r="GX24" s="1135">
        <v>9</v>
      </c>
      <c r="GY24" s="1135">
        <v>9.5</v>
      </c>
      <c r="GZ24" s="1135">
        <v>8.6999999999999993</v>
      </c>
      <c r="HA24" s="1136">
        <f t="shared" si="85"/>
        <v>91.490000000000009</v>
      </c>
      <c r="HB24" s="1135">
        <v>9.4</v>
      </c>
      <c r="HC24" s="1135">
        <v>8</v>
      </c>
      <c r="HD24" s="1135">
        <v>4.9000000000000004</v>
      </c>
      <c r="HE24" s="1135">
        <v>5.3</v>
      </c>
      <c r="HF24" s="1135">
        <v>6.4</v>
      </c>
      <c r="HG24" s="1135">
        <v>7.4939999999999998</v>
      </c>
      <c r="HH24" s="1135">
        <v>7.3</v>
      </c>
      <c r="HI24" s="1135">
        <v>6.8</v>
      </c>
      <c r="HJ24" s="1135">
        <v>6</v>
      </c>
      <c r="HK24" s="1135">
        <v>5.6</v>
      </c>
      <c r="HL24" s="1135">
        <v>5.65</v>
      </c>
      <c r="HM24" s="1135">
        <v>5.7</v>
      </c>
      <c r="HN24" s="1136">
        <f t="shared" si="113"/>
        <v>78.543999999999997</v>
      </c>
      <c r="HO24" s="1135">
        <v>4.9000000000000004</v>
      </c>
      <c r="HP24" s="1135">
        <v>6.8</v>
      </c>
      <c r="HQ24" s="1135">
        <v>21.2</v>
      </c>
      <c r="HR24" s="1135">
        <v>7.3</v>
      </c>
      <c r="HS24" s="1135">
        <v>3</v>
      </c>
      <c r="HT24" s="1135">
        <v>5.0999999999999996</v>
      </c>
      <c r="HU24" s="1135">
        <v>1.6</v>
      </c>
      <c r="HV24" s="1135">
        <v>2.7</v>
      </c>
      <c r="HW24" s="1135">
        <v>2.9</v>
      </c>
      <c r="HX24" s="1135">
        <v>4.9000000000000004</v>
      </c>
      <c r="HY24" s="1135">
        <v>2.9</v>
      </c>
      <c r="HZ24" s="1135">
        <v>7.4</v>
      </c>
      <c r="IA24" s="1136">
        <f t="shared" ref="IA24" si="155">SUM(HO24:HZ24)</f>
        <v>70.7</v>
      </c>
      <c r="IB24" s="1135">
        <v>1.9</v>
      </c>
      <c r="IC24" s="1135">
        <v>2.347</v>
      </c>
      <c r="ID24" s="1135">
        <v>2.786</v>
      </c>
      <c r="IE24" s="1135">
        <v>3.710000000000008</v>
      </c>
      <c r="IF24" s="1135">
        <v>2.5</v>
      </c>
      <c r="IG24" s="1135">
        <v>3.2</v>
      </c>
      <c r="IH24" s="1135">
        <v>3.6</v>
      </c>
      <c r="II24" s="1135">
        <v>3.7</v>
      </c>
      <c r="IJ24" s="1135">
        <v>3.5</v>
      </c>
      <c r="IK24" s="1135">
        <v>3.5</v>
      </c>
      <c r="IL24" s="1135">
        <v>4.2</v>
      </c>
      <c r="IM24" s="1135">
        <v>4.3</v>
      </c>
      <c r="IN24" s="1136">
        <f t="shared" si="88"/>
        <v>39.243000000000009</v>
      </c>
      <c r="IO24" s="1135">
        <v>3.2</v>
      </c>
      <c r="IP24" s="1135">
        <v>3.2</v>
      </c>
      <c r="IQ24" s="1135">
        <v>3.5</v>
      </c>
      <c r="IR24" s="1135">
        <v>3.94</v>
      </c>
      <c r="IS24" s="1135">
        <v>4.03</v>
      </c>
      <c r="IT24" s="1135">
        <v>3.92</v>
      </c>
      <c r="IU24" s="1135">
        <v>1.55</v>
      </c>
      <c r="IV24" s="1135">
        <v>4.46</v>
      </c>
      <c r="IW24" s="1135">
        <v>4.3899999999999997</v>
      </c>
      <c r="IX24" s="1135">
        <v>5.07</v>
      </c>
      <c r="IY24" s="1135">
        <v>5.0999999999999996</v>
      </c>
      <c r="IZ24" s="1135">
        <v>1.42</v>
      </c>
      <c r="JA24" s="1136">
        <f t="shared" si="133"/>
        <v>43.78</v>
      </c>
      <c r="JB24" s="1135">
        <v>9.58</v>
      </c>
      <c r="JC24" s="1135">
        <v>9.69</v>
      </c>
      <c r="JD24" s="1135"/>
      <c r="JE24" s="1135"/>
      <c r="JF24" s="1135"/>
      <c r="JG24" s="1135"/>
      <c r="JH24" s="1135"/>
      <c r="JI24" s="1135"/>
      <c r="JJ24" s="1135"/>
      <c r="JK24" s="1135"/>
      <c r="JL24" s="1135"/>
      <c r="JM24" s="1135"/>
      <c r="JN24" s="1136">
        <f t="shared" si="92"/>
        <v>19.27</v>
      </c>
      <c r="JP24" s="1137">
        <f t="shared" si="93"/>
        <v>-66.976744186046517</v>
      </c>
      <c r="JQ24" s="1138">
        <f t="shared" si="94"/>
        <v>11.561297556252036</v>
      </c>
      <c r="JR24" s="1139">
        <f t="shared" si="95"/>
        <v>39.243000000000009</v>
      </c>
      <c r="JS24" s="1140">
        <f t="shared" si="96"/>
        <v>43.78</v>
      </c>
      <c r="JT24" s="100"/>
      <c r="JU24" s="37"/>
    </row>
    <row r="25" spans="1:281" ht="15" customHeight="1" x14ac:dyDescent="0.2">
      <c r="A25" s="1450"/>
      <c r="B25" s="1231"/>
      <c r="C25" s="1231"/>
      <c r="D25" s="1231"/>
      <c r="E25" s="1231"/>
      <c r="F25" s="1231"/>
      <c r="G25" s="1231"/>
      <c r="H25" s="1231"/>
      <c r="I25" s="1231"/>
      <c r="J25" s="1231"/>
      <c r="K25" s="1231"/>
      <c r="L25" s="1231"/>
      <c r="M25" s="1231"/>
      <c r="N25" s="1232"/>
      <c r="O25" s="1231"/>
      <c r="P25" s="1231"/>
      <c r="Q25" s="1231"/>
      <c r="R25" s="1231"/>
      <c r="S25" s="1231"/>
      <c r="T25" s="1231"/>
      <c r="U25" s="1231"/>
      <c r="V25" s="1231"/>
      <c r="W25" s="1231"/>
      <c r="X25" s="1231"/>
      <c r="Y25" s="1231"/>
      <c r="Z25" s="1231"/>
      <c r="AA25" s="1232"/>
      <c r="AB25" s="1231"/>
      <c r="AC25" s="1231"/>
      <c r="AD25" s="1231"/>
      <c r="AE25" s="1231"/>
      <c r="AF25" s="1231"/>
      <c r="AG25" s="1231"/>
      <c r="AH25" s="1231"/>
      <c r="AI25" s="1231"/>
      <c r="AJ25" s="1231"/>
      <c r="AK25" s="1231"/>
      <c r="AL25" s="1231"/>
      <c r="AM25" s="1231"/>
      <c r="AN25" s="1232"/>
      <c r="AO25" s="1231"/>
      <c r="AP25" s="1231"/>
      <c r="AQ25" s="1231"/>
      <c r="AR25" s="1231"/>
      <c r="AS25" s="1231"/>
      <c r="AT25" s="1231"/>
      <c r="AU25" s="1231"/>
      <c r="AV25" s="1231"/>
      <c r="AW25" s="1231"/>
      <c r="AX25" s="1231"/>
      <c r="AY25" s="1231"/>
      <c r="AZ25" s="1231"/>
      <c r="BA25" s="1232"/>
      <c r="BB25" s="1231"/>
      <c r="BC25" s="1231"/>
      <c r="BD25" s="1231"/>
      <c r="BE25" s="1231"/>
      <c r="BF25" s="1231"/>
      <c r="BG25" s="1231"/>
      <c r="BH25" s="1231"/>
      <c r="BI25" s="1231"/>
      <c r="BJ25" s="1231"/>
      <c r="BK25" s="1231"/>
      <c r="BL25" s="1231"/>
      <c r="BM25" s="1231"/>
      <c r="BN25" s="1232"/>
      <c r="BO25" s="1231"/>
      <c r="BP25" s="1231"/>
      <c r="BQ25" s="1231"/>
      <c r="BR25" s="1231"/>
      <c r="BS25" s="1231"/>
      <c r="BT25" s="1231"/>
      <c r="BU25" s="1231"/>
      <c r="BV25" s="1231"/>
      <c r="BW25" s="1231"/>
      <c r="BX25" s="1231"/>
      <c r="BY25" s="1231"/>
      <c r="BZ25" s="1231"/>
      <c r="CA25" s="1232"/>
      <c r="CB25" s="1231"/>
      <c r="CC25" s="1231"/>
      <c r="CD25" s="1231"/>
      <c r="CE25" s="1231"/>
      <c r="CF25" s="1231"/>
      <c r="CG25" s="1231"/>
      <c r="CH25" s="1231"/>
      <c r="CI25" s="1231"/>
      <c r="CJ25" s="1231"/>
      <c r="CK25" s="1231"/>
      <c r="CL25" s="1231"/>
      <c r="CM25" s="1231"/>
      <c r="CN25" s="1232"/>
      <c r="CO25" s="1231"/>
      <c r="CP25" s="1231"/>
      <c r="CQ25" s="1231"/>
      <c r="CR25" s="1231"/>
      <c r="CS25" s="1231"/>
      <c r="CT25" s="1231"/>
      <c r="CU25" s="1231"/>
      <c r="CV25" s="1231"/>
      <c r="CW25" s="1231"/>
      <c r="CX25" s="1231"/>
      <c r="CY25" s="1231"/>
      <c r="CZ25" s="1231"/>
      <c r="DA25" s="1232"/>
      <c r="DB25" s="1231"/>
      <c r="DC25" s="1231"/>
      <c r="DD25" s="1231"/>
      <c r="DE25" s="1231"/>
      <c r="DF25" s="1231"/>
      <c r="DG25" s="1231"/>
      <c r="DH25" s="1231"/>
      <c r="DI25" s="1231"/>
      <c r="DJ25" s="1231"/>
      <c r="DK25" s="1231"/>
      <c r="DL25" s="1231"/>
      <c r="DM25" s="1231"/>
      <c r="DN25" s="1232"/>
      <c r="DO25" s="1231"/>
      <c r="DP25" s="1231"/>
      <c r="DQ25" s="1231"/>
      <c r="DR25" s="1231"/>
      <c r="DS25" s="1231"/>
      <c r="DT25" s="1231"/>
      <c r="DU25" s="1231"/>
      <c r="DV25" s="1231"/>
      <c r="DW25" s="1231"/>
      <c r="DX25" s="1231"/>
      <c r="DY25" s="1231"/>
      <c r="DZ25" s="1231"/>
      <c r="EA25" s="1232"/>
      <c r="EB25" s="1231"/>
      <c r="EC25" s="1231"/>
      <c r="ED25" s="1231"/>
      <c r="EE25" s="1231"/>
      <c r="EF25" s="1231"/>
      <c r="EG25" s="1231"/>
      <c r="EH25" s="1231"/>
      <c r="EI25" s="1231"/>
      <c r="EJ25" s="1231"/>
      <c r="EK25" s="1231"/>
      <c r="EL25" s="1231"/>
      <c r="EM25" s="1231"/>
      <c r="EN25" s="1232"/>
      <c r="EO25" s="1231"/>
      <c r="EP25" s="1231"/>
      <c r="EQ25" s="1231"/>
      <c r="ER25" s="1231"/>
      <c r="ES25" s="1231"/>
      <c r="ET25" s="1231"/>
      <c r="EU25" s="1231"/>
      <c r="EV25" s="1231"/>
      <c r="EW25" s="1231"/>
      <c r="EX25" s="1231"/>
      <c r="EY25" s="1231"/>
      <c r="EZ25" s="1231"/>
      <c r="FA25" s="1232"/>
      <c r="FB25" s="1231"/>
      <c r="FC25" s="1231"/>
      <c r="FD25" s="1231"/>
      <c r="FE25" s="1231"/>
      <c r="FF25" s="1231"/>
      <c r="FG25" s="1231"/>
      <c r="FH25" s="1231"/>
      <c r="FI25" s="1231"/>
      <c r="FJ25" s="1231"/>
      <c r="FK25" s="1231"/>
      <c r="FL25" s="1231"/>
      <c r="FM25" s="1231"/>
      <c r="FN25" s="1232"/>
      <c r="FO25" s="1231"/>
      <c r="FP25" s="1231"/>
      <c r="FQ25" s="1231"/>
      <c r="FR25" s="1231"/>
      <c r="FS25" s="1231"/>
      <c r="FT25" s="1231"/>
      <c r="FU25" s="1231"/>
      <c r="FV25" s="1231"/>
      <c r="FW25" s="1231"/>
      <c r="FX25" s="1231"/>
      <c r="FY25" s="1231"/>
      <c r="FZ25" s="1231"/>
      <c r="GA25" s="1232"/>
      <c r="GB25" s="1231"/>
      <c r="GC25" s="1231"/>
      <c r="GD25" s="1231"/>
      <c r="GE25" s="1231"/>
      <c r="GF25" s="1231"/>
      <c r="GG25" s="1231"/>
      <c r="GH25" s="1231"/>
      <c r="GI25" s="1231"/>
      <c r="GJ25" s="1231"/>
      <c r="GK25" s="1231"/>
      <c r="GL25" s="1231"/>
      <c r="GM25" s="1231"/>
      <c r="GN25" s="1232"/>
      <c r="GO25" s="1231"/>
      <c r="GP25" s="1231"/>
      <c r="GQ25" s="1231"/>
      <c r="GR25" s="1231"/>
      <c r="GS25" s="1231"/>
      <c r="GT25" s="1231"/>
      <c r="GU25" s="1231"/>
      <c r="GV25" s="1231"/>
      <c r="GW25" s="1231"/>
      <c r="GX25" s="1231"/>
      <c r="GY25" s="1231"/>
      <c r="GZ25" s="1231"/>
      <c r="HA25" s="1232"/>
      <c r="HB25" s="1231"/>
      <c r="HC25" s="1231"/>
      <c r="HD25" s="1231"/>
      <c r="HE25" s="1231"/>
      <c r="HF25" s="1231"/>
      <c r="HG25" s="1231"/>
      <c r="HH25" s="1231"/>
      <c r="HI25" s="1231"/>
      <c r="HJ25" s="1231"/>
      <c r="HK25" s="1231"/>
      <c r="HL25" s="1231"/>
      <c r="HM25" s="1231"/>
      <c r="HN25" s="1232"/>
      <c r="HO25" s="1231"/>
      <c r="HP25" s="1231"/>
      <c r="HQ25" s="1231"/>
      <c r="HR25" s="1231"/>
      <c r="HS25" s="1231"/>
      <c r="HT25" s="1231"/>
      <c r="HU25" s="1231"/>
      <c r="HV25" s="1231"/>
      <c r="HW25" s="1231"/>
      <c r="HX25" s="1231"/>
      <c r="HY25" s="1231"/>
      <c r="HZ25" s="1231"/>
      <c r="IA25" s="1232"/>
      <c r="IB25" s="1231"/>
      <c r="IC25" s="1231"/>
      <c r="ID25" s="1231"/>
      <c r="IE25" s="1231"/>
      <c r="IF25" s="1231"/>
      <c r="IG25" s="1231"/>
      <c r="IH25" s="1231"/>
      <c r="II25" s="1231"/>
      <c r="IJ25" s="1231"/>
      <c r="IK25" s="1231"/>
      <c r="IL25" s="1231"/>
      <c r="IM25" s="1231"/>
      <c r="IN25" s="1232"/>
      <c r="IO25" s="1231"/>
      <c r="IP25" s="1231"/>
      <c r="IQ25" s="1231"/>
      <c r="IR25" s="1231"/>
      <c r="IS25" s="1231"/>
      <c r="IT25" s="1231"/>
      <c r="IU25" s="1231"/>
      <c r="IV25" s="1231"/>
      <c r="IW25" s="1231"/>
      <c r="IX25" s="1231"/>
      <c r="IY25" s="1231"/>
      <c r="IZ25" s="1231"/>
      <c r="JA25" s="1232"/>
      <c r="JB25" s="1231"/>
      <c r="JC25" s="1231"/>
      <c r="JD25" s="1231"/>
      <c r="JE25" s="1231"/>
      <c r="JF25" s="1231"/>
      <c r="JG25" s="1231"/>
      <c r="JH25" s="1231"/>
      <c r="JI25" s="1231"/>
      <c r="JJ25" s="1231"/>
      <c r="JK25" s="1231"/>
      <c r="JL25" s="1231"/>
      <c r="JM25" s="1231"/>
      <c r="JN25" s="1232"/>
      <c r="JP25" s="1233"/>
      <c r="JQ25" s="1234"/>
      <c r="JR25" s="1235"/>
      <c r="JS25" s="1236"/>
      <c r="JT25" s="100"/>
      <c r="JU25" s="1"/>
    </row>
    <row r="26" spans="1:281" ht="15" customHeight="1" x14ac:dyDescent="0.2">
      <c r="A26" s="85" t="s">
        <v>125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0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34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34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P26" s="1"/>
      <c r="JQ26" s="1"/>
      <c r="JR26" s="1"/>
      <c r="JS26" s="1"/>
      <c r="JT26" s="1"/>
      <c r="JU26" s="1"/>
    </row>
    <row r="27" spans="1:281" ht="15" customHeight="1" x14ac:dyDescent="0.2">
      <c r="A27" s="85" t="s">
        <v>288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8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3">
        <f t="shared" ref="JB27:JM27" si="156">JB16-JB12</f>
        <v>-1.0799999999999841</v>
      </c>
      <c r="JC27" s="3">
        <f t="shared" si="156"/>
        <v>-1.1999999999999886</v>
      </c>
      <c r="JD27" s="3">
        <f t="shared" si="156"/>
        <v>0</v>
      </c>
      <c r="JE27" s="102">
        <f t="shared" si="156"/>
        <v>0</v>
      </c>
      <c r="JF27" s="102">
        <f t="shared" si="156"/>
        <v>0</v>
      </c>
      <c r="JG27" s="102">
        <f t="shared" si="156"/>
        <v>0</v>
      </c>
      <c r="JH27" s="102">
        <f t="shared" si="156"/>
        <v>0</v>
      </c>
      <c r="JI27" s="102">
        <f t="shared" si="156"/>
        <v>0</v>
      </c>
      <c r="JJ27" s="102">
        <f t="shared" si="156"/>
        <v>0</v>
      </c>
      <c r="JK27" s="102">
        <f t="shared" si="156"/>
        <v>0</v>
      </c>
      <c r="JL27" s="102">
        <f t="shared" si="156"/>
        <v>0</v>
      </c>
      <c r="JM27" s="102">
        <f t="shared" si="156"/>
        <v>0</v>
      </c>
      <c r="JN27" s="1"/>
      <c r="JP27" s="1"/>
      <c r="JQ27" s="1"/>
      <c r="JR27" s="1"/>
      <c r="JS27" s="1"/>
      <c r="JT27" s="1"/>
      <c r="JU27" s="1"/>
    </row>
    <row r="28" spans="1:281" ht="15" customHeight="1" x14ac:dyDescent="0.2">
      <c r="A28" s="85" t="s">
        <v>283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02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P28" s="1"/>
      <c r="JQ28" s="1"/>
      <c r="JR28" s="1"/>
      <c r="JS28" s="1"/>
      <c r="JT28" s="1"/>
      <c r="JU28" s="1"/>
    </row>
  </sheetData>
  <sortState xmlns:xlrd2="http://schemas.microsoft.com/office/spreadsheetml/2017/richdata2" ref="A10:JU11">
    <sortCondition ref="A10:A11"/>
  </sortState>
  <phoneticPr fontId="3" type="noConversion"/>
  <conditionalFormatting sqref="A4:A25">
    <cfRule type="duplicateValues" dxfId="3" priority="1"/>
  </conditionalFormatting>
  <printOptions horizontalCentered="1" verticalCentered="1"/>
  <pageMargins left="0.74803149606299213" right="0.74803149606299213" top="0.98425196850393704" bottom="0.98425196850393704" header="0" footer="0"/>
  <pageSetup paperSize="9" scale="10" orientation="landscape" r:id="rId1"/>
  <headerFooter alignWithMargins="0"/>
  <ignoredErrors>
    <ignoredError sqref="FN7 FN24 FN9 FN16 FN12:FN14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-0.499984740745262"/>
  </sheetPr>
  <dimension ref="A1:LY44"/>
  <sheetViews>
    <sheetView showGridLines="0" view="pageBreakPreview" zoomScale="80" zoomScaleNormal="75" zoomScaleSheetLayoutView="80" workbookViewId="0">
      <pane xSplit="1" topLeftCell="KO1" activePane="topRight" state="frozen"/>
      <selection activeCell="IB59" sqref="IB59:JB59"/>
      <selection pane="topRight" activeCell="LI7" sqref="LI7"/>
    </sheetView>
  </sheetViews>
  <sheetFormatPr baseColWidth="10" defaultColWidth="9.7109375" defaultRowHeight="15" customHeight="1" x14ac:dyDescent="0.2"/>
  <cols>
    <col min="1" max="1" width="20.7109375" style="1" customWidth="1"/>
    <col min="2" max="326" width="9.7109375" style="1"/>
    <col min="328" max="332" width="9.7109375" style="1"/>
    <col min="333" max="335" width="9.7109375" style="1012"/>
  </cols>
  <sheetData>
    <row r="1" spans="1:336" ht="15" customHeight="1" x14ac:dyDescent="0.2">
      <c r="A1" s="1273" t="s">
        <v>162</v>
      </c>
      <c r="AO1" s="5"/>
    </row>
    <row r="2" spans="1:336" ht="15" customHeight="1" x14ac:dyDescent="0.2">
      <c r="A2" s="1273" t="s">
        <v>606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AG2" s="106"/>
      <c r="AH2" s="106"/>
      <c r="AO2" s="5"/>
      <c r="BF2" s="102"/>
    </row>
    <row r="3" spans="1:336" ht="15" customHeight="1" x14ac:dyDescent="0.2">
      <c r="A3" s="1273" t="s">
        <v>589</v>
      </c>
      <c r="AP3" s="5"/>
    </row>
    <row r="4" spans="1:336" ht="15" customHeight="1" x14ac:dyDescent="0.2">
      <c r="A4" s="1275"/>
      <c r="B4" s="1247">
        <f t="shared" ref="B4" si="0">YEAR(B5)</f>
        <v>2002</v>
      </c>
      <c r="C4" s="1088"/>
      <c r="D4" s="1088"/>
      <c r="E4" s="1088"/>
      <c r="F4" s="1088"/>
      <c r="G4" s="1088"/>
      <c r="H4" s="1088"/>
      <c r="I4" s="1088"/>
      <c r="J4" s="1088"/>
      <c r="K4" s="1088"/>
      <c r="L4" s="1088"/>
      <c r="M4" s="1088"/>
      <c r="N4" s="1089" t="s">
        <v>29</v>
      </c>
      <c r="O4" s="1247">
        <f t="shared" ref="O4" si="1">YEAR(O5)</f>
        <v>2003</v>
      </c>
      <c r="P4" s="1088"/>
      <c r="Q4" s="1088"/>
      <c r="R4" s="1088"/>
      <c r="S4" s="1088"/>
      <c r="T4" s="1088"/>
      <c r="U4" s="1088"/>
      <c r="V4" s="1088"/>
      <c r="W4" s="1088"/>
      <c r="X4" s="1088"/>
      <c r="Y4" s="1088"/>
      <c r="Z4" s="1088"/>
      <c r="AA4" s="1089" t="s">
        <v>29</v>
      </c>
      <c r="AB4" s="1247">
        <f t="shared" ref="AB4" si="2">YEAR(AB5)</f>
        <v>2004</v>
      </c>
      <c r="AC4" s="1088"/>
      <c r="AD4" s="1088"/>
      <c r="AE4" s="1088"/>
      <c r="AF4" s="1088"/>
      <c r="AG4" s="1088"/>
      <c r="AH4" s="1088"/>
      <c r="AI4" s="1088"/>
      <c r="AJ4" s="1088"/>
      <c r="AK4" s="1088"/>
      <c r="AL4" s="1088"/>
      <c r="AM4" s="1088"/>
      <c r="AN4" s="1089" t="s">
        <v>29</v>
      </c>
      <c r="AO4" s="1247">
        <f t="shared" ref="AO4" si="3">YEAR(AO5)</f>
        <v>2005</v>
      </c>
      <c r="AP4" s="1088"/>
      <c r="AQ4" s="1088"/>
      <c r="AR4" s="1088"/>
      <c r="AS4" s="1088"/>
      <c r="AT4" s="1088"/>
      <c r="AU4" s="1088"/>
      <c r="AV4" s="1088"/>
      <c r="AW4" s="1088"/>
      <c r="AX4" s="1088"/>
      <c r="AY4" s="1088"/>
      <c r="AZ4" s="1088"/>
      <c r="BA4" s="1089" t="s">
        <v>29</v>
      </c>
      <c r="BB4" s="1247">
        <f t="shared" ref="BB4" si="4">YEAR(BB5)</f>
        <v>2006</v>
      </c>
      <c r="BC4" s="1088"/>
      <c r="BD4" s="1088"/>
      <c r="BE4" s="1088"/>
      <c r="BF4" s="1088"/>
      <c r="BG4" s="1088"/>
      <c r="BH4" s="1088"/>
      <c r="BI4" s="1088"/>
      <c r="BJ4" s="1088"/>
      <c r="BK4" s="1088"/>
      <c r="BL4" s="1088"/>
      <c r="BM4" s="1088"/>
      <c r="BN4" s="1089" t="s">
        <v>29</v>
      </c>
      <c r="BO4" s="1247">
        <f t="shared" ref="BO4" si="5">YEAR(BO5)</f>
        <v>2007</v>
      </c>
      <c r="BP4" s="1088"/>
      <c r="BQ4" s="1088"/>
      <c r="BR4" s="1088"/>
      <c r="BS4" s="1088"/>
      <c r="BT4" s="1088"/>
      <c r="BU4" s="1088"/>
      <c r="BV4" s="1088"/>
      <c r="BW4" s="1088"/>
      <c r="BX4" s="1088"/>
      <c r="BY4" s="1088"/>
      <c r="BZ4" s="1088"/>
      <c r="CA4" s="1089" t="s">
        <v>29</v>
      </c>
      <c r="CB4" s="1247">
        <f t="shared" ref="CB4" si="6">YEAR(CB5)</f>
        <v>2008</v>
      </c>
      <c r="CC4" s="1088"/>
      <c r="CD4" s="1088"/>
      <c r="CE4" s="1088"/>
      <c r="CF4" s="1088"/>
      <c r="CG4" s="1088"/>
      <c r="CH4" s="1088"/>
      <c r="CI4" s="1088"/>
      <c r="CJ4" s="1088"/>
      <c r="CK4" s="1088"/>
      <c r="CL4" s="1088"/>
      <c r="CM4" s="1088"/>
      <c r="CN4" s="1089" t="s">
        <v>29</v>
      </c>
      <c r="CO4" s="1247">
        <f t="shared" ref="CO4" si="7">YEAR(CO5)</f>
        <v>2009</v>
      </c>
      <c r="CP4" s="1088"/>
      <c r="CQ4" s="1088"/>
      <c r="CR4" s="1088"/>
      <c r="CS4" s="1088"/>
      <c r="CT4" s="1088"/>
      <c r="CU4" s="1088"/>
      <c r="CV4" s="1088"/>
      <c r="CW4" s="1088"/>
      <c r="CX4" s="1088"/>
      <c r="CY4" s="1088"/>
      <c r="CZ4" s="1088"/>
      <c r="DA4" s="1089" t="s">
        <v>29</v>
      </c>
      <c r="DB4" s="1247">
        <f t="shared" ref="DB4" si="8">YEAR(DB5)</f>
        <v>2010</v>
      </c>
      <c r="DC4" s="1088"/>
      <c r="DD4" s="1088"/>
      <c r="DE4" s="1088"/>
      <c r="DF4" s="1088"/>
      <c r="DG4" s="1088"/>
      <c r="DH4" s="1088"/>
      <c r="DI4" s="1088"/>
      <c r="DJ4" s="1088"/>
      <c r="DK4" s="1088"/>
      <c r="DL4" s="1088"/>
      <c r="DM4" s="1088"/>
      <c r="DN4" s="1089" t="s">
        <v>29</v>
      </c>
      <c r="DO4" s="1247">
        <f t="shared" ref="DO4" si="9">YEAR(DO5)</f>
        <v>2011</v>
      </c>
      <c r="DP4" s="1088"/>
      <c r="DQ4" s="1088"/>
      <c r="DR4" s="1088"/>
      <c r="DS4" s="1088"/>
      <c r="DT4" s="1088"/>
      <c r="DU4" s="1088"/>
      <c r="DV4" s="1088"/>
      <c r="DW4" s="1088"/>
      <c r="DX4" s="1088"/>
      <c r="DY4" s="1088"/>
      <c r="DZ4" s="1088"/>
      <c r="EA4" s="1089" t="s">
        <v>29</v>
      </c>
      <c r="EB4" s="1247">
        <f t="shared" ref="EB4" si="10">YEAR(EB5)</f>
        <v>2012</v>
      </c>
      <c r="EC4" s="1088"/>
      <c r="ED4" s="1088"/>
      <c r="EE4" s="1088"/>
      <c r="EF4" s="1088"/>
      <c r="EG4" s="1088"/>
      <c r="EH4" s="1088"/>
      <c r="EI4" s="1088"/>
      <c r="EJ4" s="1088"/>
      <c r="EK4" s="1088"/>
      <c r="EL4" s="1088"/>
      <c r="EM4" s="1088"/>
      <c r="EN4" s="1089" t="s">
        <v>29</v>
      </c>
      <c r="EO4" s="1247">
        <f t="shared" ref="EO4" si="11">YEAR(EO5)</f>
        <v>2013</v>
      </c>
      <c r="EP4" s="1088"/>
      <c r="EQ4" s="1088"/>
      <c r="ER4" s="1088"/>
      <c r="ES4" s="1088"/>
      <c r="ET4" s="1088"/>
      <c r="EU4" s="1088"/>
      <c r="EV4" s="1088"/>
      <c r="EW4" s="1088"/>
      <c r="EX4" s="1088"/>
      <c r="EY4" s="1088"/>
      <c r="EZ4" s="1088"/>
      <c r="FA4" s="1089" t="s">
        <v>29</v>
      </c>
      <c r="FB4" s="1247">
        <f t="shared" ref="FB4" si="12">YEAR(FB5)</f>
        <v>2014</v>
      </c>
      <c r="FC4" s="1088"/>
      <c r="FD4" s="1088"/>
      <c r="FE4" s="1088"/>
      <c r="FF4" s="1088"/>
      <c r="FG4" s="1088"/>
      <c r="FH4" s="1088"/>
      <c r="FI4" s="1088"/>
      <c r="FJ4" s="1088"/>
      <c r="FK4" s="1088"/>
      <c r="FL4" s="1088"/>
      <c r="FM4" s="1088"/>
      <c r="FN4" s="1089" t="s">
        <v>29</v>
      </c>
      <c r="FO4" s="1247">
        <f t="shared" ref="FO4" si="13">YEAR(FO5)</f>
        <v>2015</v>
      </c>
      <c r="FP4" s="1088"/>
      <c r="FQ4" s="1088"/>
      <c r="FR4" s="1088"/>
      <c r="FS4" s="1088"/>
      <c r="FT4" s="1088"/>
      <c r="FU4" s="1088"/>
      <c r="FV4" s="1088"/>
      <c r="FW4" s="1088"/>
      <c r="FX4" s="1088"/>
      <c r="FY4" s="1088"/>
      <c r="FZ4" s="1088"/>
      <c r="GA4" s="1089" t="s">
        <v>29</v>
      </c>
      <c r="GB4" s="1247">
        <f t="shared" ref="GB4" si="14">YEAR(GB5)</f>
        <v>2016</v>
      </c>
      <c r="GC4" s="1088"/>
      <c r="GD4" s="1088"/>
      <c r="GE4" s="1088"/>
      <c r="GF4" s="1088"/>
      <c r="GG4" s="1088"/>
      <c r="GH4" s="1088"/>
      <c r="GI4" s="1088"/>
      <c r="GJ4" s="1088"/>
      <c r="GK4" s="1088"/>
      <c r="GL4" s="1088"/>
      <c r="GM4" s="1088"/>
      <c r="GN4" s="1089" t="s">
        <v>29</v>
      </c>
      <c r="GO4" s="1247">
        <f t="shared" ref="GO4" si="15">YEAR(GO5)</f>
        <v>2017</v>
      </c>
      <c r="GP4" s="1088"/>
      <c r="GQ4" s="1088"/>
      <c r="GR4" s="1088"/>
      <c r="GS4" s="1088"/>
      <c r="GT4" s="1088"/>
      <c r="GU4" s="1088"/>
      <c r="GV4" s="1088"/>
      <c r="GW4" s="1088"/>
      <c r="GX4" s="1088"/>
      <c r="GY4" s="1088"/>
      <c r="GZ4" s="1088"/>
      <c r="HA4" s="1089" t="s">
        <v>29</v>
      </c>
      <c r="HB4" s="1247">
        <f t="shared" ref="HB4" si="16">YEAR(HB5)</f>
        <v>2018</v>
      </c>
      <c r="HC4" s="1088"/>
      <c r="HD4" s="1088"/>
      <c r="HE4" s="1088"/>
      <c r="HF4" s="1088"/>
      <c r="HG4" s="1088"/>
      <c r="HH4" s="1088"/>
      <c r="HI4" s="1088"/>
      <c r="HJ4" s="1088"/>
      <c r="HK4" s="1088"/>
      <c r="HL4" s="1088"/>
      <c r="HM4" s="1088"/>
      <c r="HN4" s="1089" t="s">
        <v>29</v>
      </c>
      <c r="HO4" s="1247">
        <f t="shared" ref="HO4" si="17">YEAR(HO5)</f>
        <v>2019</v>
      </c>
      <c r="HP4" s="1088"/>
      <c r="HQ4" s="1088"/>
      <c r="HR4" s="1088"/>
      <c r="HS4" s="1088"/>
      <c r="HT4" s="1088"/>
      <c r="HU4" s="1088"/>
      <c r="HV4" s="1088"/>
      <c r="HW4" s="1088"/>
      <c r="HX4" s="1088"/>
      <c r="HY4" s="1088"/>
      <c r="HZ4" s="1088"/>
      <c r="IA4" s="1089" t="s">
        <v>29</v>
      </c>
      <c r="IB4" s="1247">
        <f t="shared" ref="IB4" si="18">YEAR(IB5)</f>
        <v>2020</v>
      </c>
      <c r="IC4" s="1088"/>
      <c r="ID4" s="1088"/>
      <c r="IE4" s="1088"/>
      <c r="IF4" s="1088"/>
      <c r="IG4" s="1088"/>
      <c r="IH4" s="1088"/>
      <c r="II4" s="1088"/>
      <c r="IJ4" s="1088"/>
      <c r="IK4" s="1088"/>
      <c r="IL4" s="1088"/>
      <c r="IM4" s="1088"/>
      <c r="IN4" s="1089" t="s">
        <v>29</v>
      </c>
      <c r="IO4" s="1247">
        <f t="shared" ref="IO4" si="19">YEAR(IO5)</f>
        <v>2021</v>
      </c>
      <c r="IP4" s="1088"/>
      <c r="IQ4" s="1088"/>
      <c r="IR4" s="1088"/>
      <c r="IS4" s="1088"/>
      <c r="IT4" s="1088"/>
      <c r="IU4" s="1088"/>
      <c r="IV4" s="1088"/>
      <c r="IW4" s="1088"/>
      <c r="IX4" s="1088"/>
      <c r="IY4" s="1088"/>
      <c r="IZ4" s="1088"/>
      <c r="JA4" s="1089" t="s">
        <v>29</v>
      </c>
      <c r="JB4" s="1247">
        <f t="shared" ref="JB4" si="20">YEAR(JB5)</f>
        <v>2022</v>
      </c>
      <c r="JC4" s="1088"/>
      <c r="JD4" s="1088"/>
      <c r="JE4" s="1088"/>
      <c r="JF4" s="1088"/>
      <c r="JG4" s="1088"/>
      <c r="JH4" s="1088"/>
      <c r="JI4" s="1088"/>
      <c r="JJ4" s="1088"/>
      <c r="JK4" s="1088"/>
      <c r="JL4" s="1088"/>
      <c r="JM4" s="1088"/>
      <c r="JN4" s="1089" t="s">
        <v>29</v>
      </c>
      <c r="JO4" s="1247">
        <f t="shared" ref="JO4" si="21">YEAR(JO5)</f>
        <v>2023</v>
      </c>
      <c r="JP4" s="1088"/>
      <c r="JQ4" s="1088"/>
      <c r="JR4" s="1088"/>
      <c r="JS4" s="1088"/>
      <c r="JT4" s="1088"/>
      <c r="JU4" s="1088"/>
      <c r="JV4" s="1088"/>
      <c r="JW4" s="1088"/>
      <c r="JX4" s="1088"/>
      <c r="JY4" s="1088"/>
      <c r="JZ4" s="1088"/>
      <c r="KA4" s="1089" t="s">
        <v>29</v>
      </c>
      <c r="KB4" s="1247">
        <f t="shared" ref="KB4" si="22">YEAR(KB5)</f>
        <v>2024</v>
      </c>
      <c r="KC4" s="1088"/>
      <c r="KD4" s="1088"/>
      <c r="KE4" s="1088"/>
      <c r="KF4" s="1088"/>
      <c r="KG4" s="1088"/>
      <c r="KH4" s="1088"/>
      <c r="KI4" s="1088"/>
      <c r="KJ4" s="1088"/>
      <c r="KK4" s="1088"/>
      <c r="KL4" s="1088"/>
      <c r="KM4" s="1088"/>
      <c r="KN4" s="1089" t="s">
        <v>29</v>
      </c>
      <c r="KO4" s="1247">
        <f t="shared" ref="KO4" si="23">YEAR(KO5)</f>
        <v>2025</v>
      </c>
      <c r="KP4" s="1088"/>
      <c r="KQ4" s="1088"/>
      <c r="KR4" s="1088"/>
      <c r="KS4" s="1088"/>
      <c r="KT4" s="1088"/>
      <c r="KU4" s="1088"/>
      <c r="KV4" s="1088"/>
      <c r="KW4" s="1088"/>
      <c r="KX4" s="1088"/>
      <c r="KY4" s="1088"/>
      <c r="KZ4" s="1088"/>
      <c r="LA4" s="1089" t="s">
        <v>29</v>
      </c>
      <c r="LB4" s="1247">
        <f>YEAR(LB5)</f>
        <v>2026</v>
      </c>
      <c r="LC4" s="1088"/>
      <c r="LD4" s="1088"/>
      <c r="LE4" s="1088"/>
      <c r="LF4" s="1088"/>
      <c r="LG4" s="1088"/>
      <c r="LH4" s="1088"/>
      <c r="LI4" s="1088"/>
      <c r="LJ4" s="1088"/>
      <c r="LK4" s="1088"/>
      <c r="LL4" s="1088"/>
      <c r="LM4" s="1088"/>
      <c r="LN4" s="1089" t="s">
        <v>29</v>
      </c>
      <c r="LP4" s="1103" t="str">
        <f>CONCATENATE("Var.% ",LS4,"/",LS4-1)</f>
        <v>Var.% 2026/2025</v>
      </c>
      <c r="LQ4" s="1104"/>
      <c r="LR4" s="1105">
        <f>LS4-1</f>
        <v>2025</v>
      </c>
      <c r="LS4" s="1105">
        <f>YEAR(LP5)</f>
        <v>2026</v>
      </c>
      <c r="LV4" s="1073" t="s">
        <v>562</v>
      </c>
      <c r="LW4" s="1074"/>
      <c r="LX4" s="1075"/>
    </row>
    <row r="5" spans="1:336" ht="15" customHeight="1" x14ac:dyDescent="0.2">
      <c r="A5" s="1276"/>
      <c r="B5" s="1248">
        <v>37257</v>
      </c>
      <c r="C5" s="1090">
        <v>37288</v>
      </c>
      <c r="D5" s="1090">
        <v>37316</v>
      </c>
      <c r="E5" s="1090">
        <v>37347</v>
      </c>
      <c r="F5" s="1090">
        <v>37377</v>
      </c>
      <c r="G5" s="1090">
        <v>37408</v>
      </c>
      <c r="H5" s="1090">
        <v>37438</v>
      </c>
      <c r="I5" s="1090">
        <v>37469</v>
      </c>
      <c r="J5" s="1090">
        <v>37500</v>
      </c>
      <c r="K5" s="1090">
        <v>37530</v>
      </c>
      <c r="L5" s="1090">
        <v>37561</v>
      </c>
      <c r="M5" s="1090">
        <v>37591</v>
      </c>
      <c r="N5" s="1091">
        <f>YEAR(M5)</f>
        <v>2002</v>
      </c>
      <c r="O5" s="1248">
        <v>37622</v>
      </c>
      <c r="P5" s="1090">
        <v>37653</v>
      </c>
      <c r="Q5" s="1090">
        <v>37681</v>
      </c>
      <c r="R5" s="1090">
        <v>37712</v>
      </c>
      <c r="S5" s="1090">
        <v>37742</v>
      </c>
      <c r="T5" s="1090">
        <v>37773</v>
      </c>
      <c r="U5" s="1090">
        <v>37803</v>
      </c>
      <c r="V5" s="1090">
        <v>37834</v>
      </c>
      <c r="W5" s="1090">
        <v>37865</v>
      </c>
      <c r="X5" s="1090">
        <v>37895</v>
      </c>
      <c r="Y5" s="1090">
        <v>37926</v>
      </c>
      <c r="Z5" s="1090">
        <v>37956</v>
      </c>
      <c r="AA5" s="1091">
        <f>YEAR(Z5)</f>
        <v>2003</v>
      </c>
      <c r="AB5" s="1248">
        <v>37987</v>
      </c>
      <c r="AC5" s="1090">
        <v>38018</v>
      </c>
      <c r="AD5" s="1090">
        <v>38047</v>
      </c>
      <c r="AE5" s="1090">
        <v>38078</v>
      </c>
      <c r="AF5" s="1090">
        <v>38108</v>
      </c>
      <c r="AG5" s="1090">
        <v>38139</v>
      </c>
      <c r="AH5" s="1090">
        <v>38169</v>
      </c>
      <c r="AI5" s="1090">
        <v>38200</v>
      </c>
      <c r="AJ5" s="1090">
        <v>38231</v>
      </c>
      <c r="AK5" s="1090">
        <v>38261</v>
      </c>
      <c r="AL5" s="1090">
        <v>38292</v>
      </c>
      <c r="AM5" s="1090">
        <v>38322</v>
      </c>
      <c r="AN5" s="1091">
        <f>YEAR(AM5)</f>
        <v>2004</v>
      </c>
      <c r="AO5" s="1248">
        <v>38353</v>
      </c>
      <c r="AP5" s="1090">
        <v>38384</v>
      </c>
      <c r="AQ5" s="1090">
        <v>38412</v>
      </c>
      <c r="AR5" s="1090">
        <v>38443</v>
      </c>
      <c r="AS5" s="1090">
        <v>38473</v>
      </c>
      <c r="AT5" s="1090">
        <v>38504</v>
      </c>
      <c r="AU5" s="1090">
        <v>38534</v>
      </c>
      <c r="AV5" s="1090">
        <v>38565</v>
      </c>
      <c r="AW5" s="1090">
        <v>38596</v>
      </c>
      <c r="AX5" s="1090">
        <v>38626</v>
      </c>
      <c r="AY5" s="1090">
        <v>38657</v>
      </c>
      <c r="AZ5" s="1090">
        <v>38687</v>
      </c>
      <c r="BA5" s="1091">
        <f>YEAR(AZ5)</f>
        <v>2005</v>
      </c>
      <c r="BB5" s="1248">
        <v>38718</v>
      </c>
      <c r="BC5" s="1090">
        <v>38749</v>
      </c>
      <c r="BD5" s="1090">
        <v>38777</v>
      </c>
      <c r="BE5" s="1090">
        <v>38808</v>
      </c>
      <c r="BF5" s="1090">
        <v>38838</v>
      </c>
      <c r="BG5" s="1090">
        <v>38869</v>
      </c>
      <c r="BH5" s="1090">
        <v>38899</v>
      </c>
      <c r="BI5" s="1090">
        <v>38930</v>
      </c>
      <c r="BJ5" s="1090">
        <v>38961</v>
      </c>
      <c r="BK5" s="1090">
        <v>38991</v>
      </c>
      <c r="BL5" s="1090">
        <v>39022</v>
      </c>
      <c r="BM5" s="1090">
        <v>39052</v>
      </c>
      <c r="BN5" s="1091">
        <f>YEAR(BM5)</f>
        <v>2006</v>
      </c>
      <c r="BO5" s="1248">
        <v>39083</v>
      </c>
      <c r="BP5" s="1090">
        <v>39114</v>
      </c>
      <c r="BQ5" s="1090">
        <v>39142</v>
      </c>
      <c r="BR5" s="1090">
        <v>39173</v>
      </c>
      <c r="BS5" s="1090">
        <v>39203</v>
      </c>
      <c r="BT5" s="1090">
        <v>39234</v>
      </c>
      <c r="BU5" s="1090">
        <v>39264</v>
      </c>
      <c r="BV5" s="1090">
        <v>39295</v>
      </c>
      <c r="BW5" s="1090">
        <v>39326</v>
      </c>
      <c r="BX5" s="1090">
        <v>39356</v>
      </c>
      <c r="BY5" s="1090">
        <v>39387</v>
      </c>
      <c r="BZ5" s="1090">
        <v>39417</v>
      </c>
      <c r="CA5" s="1091">
        <f>YEAR(BZ5)</f>
        <v>2007</v>
      </c>
      <c r="CB5" s="1248">
        <v>39448</v>
      </c>
      <c r="CC5" s="1090">
        <v>39479</v>
      </c>
      <c r="CD5" s="1090">
        <v>39508</v>
      </c>
      <c r="CE5" s="1090">
        <v>39539</v>
      </c>
      <c r="CF5" s="1090">
        <v>39569</v>
      </c>
      <c r="CG5" s="1090">
        <v>39600</v>
      </c>
      <c r="CH5" s="1090">
        <v>39630</v>
      </c>
      <c r="CI5" s="1090">
        <v>39661</v>
      </c>
      <c r="CJ5" s="1090">
        <v>39692</v>
      </c>
      <c r="CK5" s="1090">
        <v>39722</v>
      </c>
      <c r="CL5" s="1090">
        <v>39753</v>
      </c>
      <c r="CM5" s="1090">
        <v>39783</v>
      </c>
      <c r="CN5" s="1091">
        <f>YEAR(CM5)</f>
        <v>2008</v>
      </c>
      <c r="CO5" s="1248">
        <v>39814</v>
      </c>
      <c r="CP5" s="1090">
        <v>39845</v>
      </c>
      <c r="CQ5" s="1090">
        <v>39873</v>
      </c>
      <c r="CR5" s="1090">
        <v>39904</v>
      </c>
      <c r="CS5" s="1090">
        <v>39934</v>
      </c>
      <c r="CT5" s="1090">
        <v>39965</v>
      </c>
      <c r="CU5" s="1090">
        <v>39995</v>
      </c>
      <c r="CV5" s="1090">
        <v>40026</v>
      </c>
      <c r="CW5" s="1090">
        <v>40057</v>
      </c>
      <c r="CX5" s="1090">
        <v>40087</v>
      </c>
      <c r="CY5" s="1090">
        <v>40118</v>
      </c>
      <c r="CZ5" s="1090">
        <v>40148</v>
      </c>
      <c r="DA5" s="1091">
        <f>YEAR(CZ5)</f>
        <v>2009</v>
      </c>
      <c r="DB5" s="1248">
        <v>40179</v>
      </c>
      <c r="DC5" s="1090">
        <v>40210</v>
      </c>
      <c r="DD5" s="1090">
        <v>40238</v>
      </c>
      <c r="DE5" s="1090">
        <v>40269</v>
      </c>
      <c r="DF5" s="1090">
        <v>40299</v>
      </c>
      <c r="DG5" s="1090">
        <v>40330</v>
      </c>
      <c r="DH5" s="1090">
        <v>40360</v>
      </c>
      <c r="DI5" s="1090">
        <v>40391</v>
      </c>
      <c r="DJ5" s="1090">
        <v>40422</v>
      </c>
      <c r="DK5" s="1090">
        <v>40452</v>
      </c>
      <c r="DL5" s="1090">
        <v>40483</v>
      </c>
      <c r="DM5" s="1090">
        <v>40513</v>
      </c>
      <c r="DN5" s="1091">
        <f>YEAR(DM5)</f>
        <v>2010</v>
      </c>
      <c r="DO5" s="1248">
        <v>40544</v>
      </c>
      <c r="DP5" s="1090">
        <v>40575</v>
      </c>
      <c r="DQ5" s="1090">
        <v>40603</v>
      </c>
      <c r="DR5" s="1090">
        <v>40634</v>
      </c>
      <c r="DS5" s="1090">
        <v>40664</v>
      </c>
      <c r="DT5" s="1090">
        <v>40695</v>
      </c>
      <c r="DU5" s="1090">
        <v>40725</v>
      </c>
      <c r="DV5" s="1090">
        <v>40756</v>
      </c>
      <c r="DW5" s="1090">
        <v>40787</v>
      </c>
      <c r="DX5" s="1090">
        <v>40817</v>
      </c>
      <c r="DY5" s="1090">
        <v>40848</v>
      </c>
      <c r="DZ5" s="1090">
        <v>40878</v>
      </c>
      <c r="EA5" s="1091">
        <f>YEAR(DZ5)</f>
        <v>2011</v>
      </c>
      <c r="EB5" s="1248">
        <v>40909</v>
      </c>
      <c r="EC5" s="1090">
        <v>40940</v>
      </c>
      <c r="ED5" s="1090">
        <v>40969</v>
      </c>
      <c r="EE5" s="1090">
        <v>41000</v>
      </c>
      <c r="EF5" s="1090">
        <v>41030</v>
      </c>
      <c r="EG5" s="1090">
        <v>41061</v>
      </c>
      <c r="EH5" s="1090">
        <v>41091</v>
      </c>
      <c r="EI5" s="1090">
        <v>41122</v>
      </c>
      <c r="EJ5" s="1090">
        <v>41153</v>
      </c>
      <c r="EK5" s="1090">
        <v>41183</v>
      </c>
      <c r="EL5" s="1090">
        <v>41214</v>
      </c>
      <c r="EM5" s="1090">
        <v>41244</v>
      </c>
      <c r="EN5" s="1091">
        <f>YEAR(EM5)</f>
        <v>2012</v>
      </c>
      <c r="EO5" s="1248">
        <v>41275</v>
      </c>
      <c r="EP5" s="1090">
        <v>41306</v>
      </c>
      <c r="EQ5" s="1090">
        <v>41334</v>
      </c>
      <c r="ER5" s="1090">
        <v>41365</v>
      </c>
      <c r="ES5" s="1090">
        <v>41395</v>
      </c>
      <c r="ET5" s="1090">
        <v>41426</v>
      </c>
      <c r="EU5" s="1090">
        <v>41456</v>
      </c>
      <c r="EV5" s="1090">
        <v>41487</v>
      </c>
      <c r="EW5" s="1090">
        <v>41518</v>
      </c>
      <c r="EX5" s="1090">
        <v>41548</v>
      </c>
      <c r="EY5" s="1090">
        <v>41579</v>
      </c>
      <c r="EZ5" s="1090">
        <v>41609</v>
      </c>
      <c r="FA5" s="1091">
        <f>YEAR(EZ5)</f>
        <v>2013</v>
      </c>
      <c r="FB5" s="1248">
        <v>41640</v>
      </c>
      <c r="FC5" s="1090">
        <v>41671</v>
      </c>
      <c r="FD5" s="1090">
        <v>41699</v>
      </c>
      <c r="FE5" s="1090">
        <v>41730</v>
      </c>
      <c r="FF5" s="1090">
        <v>41760</v>
      </c>
      <c r="FG5" s="1090">
        <v>41791</v>
      </c>
      <c r="FH5" s="1090">
        <v>41821</v>
      </c>
      <c r="FI5" s="1090">
        <v>41852</v>
      </c>
      <c r="FJ5" s="1090">
        <v>41883</v>
      </c>
      <c r="FK5" s="1090">
        <v>41913</v>
      </c>
      <c r="FL5" s="1090">
        <v>41944</v>
      </c>
      <c r="FM5" s="1090">
        <v>41974</v>
      </c>
      <c r="FN5" s="1091">
        <f>YEAR(FM5)</f>
        <v>2014</v>
      </c>
      <c r="FO5" s="1248">
        <v>42005</v>
      </c>
      <c r="FP5" s="1090">
        <v>42036</v>
      </c>
      <c r="FQ5" s="1090">
        <v>42064</v>
      </c>
      <c r="FR5" s="1090">
        <v>42095</v>
      </c>
      <c r="FS5" s="1090">
        <v>42125</v>
      </c>
      <c r="FT5" s="1090">
        <v>42156</v>
      </c>
      <c r="FU5" s="1090">
        <v>42186</v>
      </c>
      <c r="FV5" s="1090">
        <v>42217</v>
      </c>
      <c r="FW5" s="1090">
        <v>42248</v>
      </c>
      <c r="FX5" s="1090">
        <v>42278</v>
      </c>
      <c r="FY5" s="1090">
        <v>42309</v>
      </c>
      <c r="FZ5" s="1090">
        <v>42339</v>
      </c>
      <c r="GA5" s="1091">
        <f>YEAR(FZ5)</f>
        <v>2015</v>
      </c>
      <c r="GB5" s="1248">
        <v>42370</v>
      </c>
      <c r="GC5" s="1090">
        <v>42401</v>
      </c>
      <c r="GD5" s="1090">
        <v>42430</v>
      </c>
      <c r="GE5" s="1090">
        <v>42461</v>
      </c>
      <c r="GF5" s="1090">
        <v>42491</v>
      </c>
      <c r="GG5" s="1090">
        <v>42522</v>
      </c>
      <c r="GH5" s="1090">
        <v>42552</v>
      </c>
      <c r="GI5" s="1090">
        <v>42583</v>
      </c>
      <c r="GJ5" s="1090">
        <v>42614</v>
      </c>
      <c r="GK5" s="1090">
        <v>42644</v>
      </c>
      <c r="GL5" s="1090">
        <v>42675</v>
      </c>
      <c r="GM5" s="1090">
        <v>42705</v>
      </c>
      <c r="GN5" s="1091">
        <f>YEAR(GM5)</f>
        <v>2016</v>
      </c>
      <c r="GO5" s="1248">
        <v>42736</v>
      </c>
      <c r="GP5" s="1090">
        <v>42767</v>
      </c>
      <c r="GQ5" s="1090">
        <v>42795</v>
      </c>
      <c r="GR5" s="1090">
        <v>42826</v>
      </c>
      <c r="GS5" s="1090">
        <v>42856</v>
      </c>
      <c r="GT5" s="1090">
        <v>42887</v>
      </c>
      <c r="GU5" s="1090">
        <v>42917</v>
      </c>
      <c r="GV5" s="1090">
        <v>42948</v>
      </c>
      <c r="GW5" s="1090">
        <v>42979</v>
      </c>
      <c r="GX5" s="1090">
        <v>43009</v>
      </c>
      <c r="GY5" s="1090">
        <v>43040</v>
      </c>
      <c r="GZ5" s="1090">
        <v>43070</v>
      </c>
      <c r="HA5" s="1091">
        <f>YEAR(GZ5)</f>
        <v>2017</v>
      </c>
      <c r="HB5" s="1248">
        <v>43101</v>
      </c>
      <c r="HC5" s="1090">
        <v>43132</v>
      </c>
      <c r="HD5" s="1090">
        <v>43160</v>
      </c>
      <c r="HE5" s="1090">
        <v>43191</v>
      </c>
      <c r="HF5" s="1090">
        <v>43221</v>
      </c>
      <c r="HG5" s="1090">
        <v>43252</v>
      </c>
      <c r="HH5" s="1090">
        <v>43282</v>
      </c>
      <c r="HI5" s="1090">
        <v>43313</v>
      </c>
      <c r="HJ5" s="1090">
        <v>43344</v>
      </c>
      <c r="HK5" s="1090">
        <v>43374</v>
      </c>
      <c r="HL5" s="1090">
        <v>43405</v>
      </c>
      <c r="HM5" s="1090">
        <v>43435</v>
      </c>
      <c r="HN5" s="1091">
        <f>YEAR(HM5)</f>
        <v>2018</v>
      </c>
      <c r="HO5" s="1248">
        <v>43466</v>
      </c>
      <c r="HP5" s="1090">
        <v>43497</v>
      </c>
      <c r="HQ5" s="1090">
        <v>43525</v>
      </c>
      <c r="HR5" s="1090">
        <v>43556</v>
      </c>
      <c r="HS5" s="1090">
        <v>43586</v>
      </c>
      <c r="HT5" s="1090">
        <v>43617</v>
      </c>
      <c r="HU5" s="1090">
        <v>43647</v>
      </c>
      <c r="HV5" s="1090">
        <v>43678</v>
      </c>
      <c r="HW5" s="1090">
        <v>43709</v>
      </c>
      <c r="HX5" s="1090">
        <v>43739</v>
      </c>
      <c r="HY5" s="1090">
        <v>43770</v>
      </c>
      <c r="HZ5" s="1090">
        <v>43800</v>
      </c>
      <c r="IA5" s="1091">
        <f>YEAR(HZ5)</f>
        <v>2019</v>
      </c>
      <c r="IB5" s="1248">
        <v>43831</v>
      </c>
      <c r="IC5" s="1090">
        <v>43862</v>
      </c>
      <c r="ID5" s="1090">
        <v>43891</v>
      </c>
      <c r="IE5" s="1090">
        <v>43922</v>
      </c>
      <c r="IF5" s="1090">
        <v>43952</v>
      </c>
      <c r="IG5" s="1090">
        <v>43983</v>
      </c>
      <c r="IH5" s="1090">
        <v>44013</v>
      </c>
      <c r="II5" s="1090">
        <v>44044</v>
      </c>
      <c r="IJ5" s="1090">
        <v>44075</v>
      </c>
      <c r="IK5" s="1090">
        <v>44105</v>
      </c>
      <c r="IL5" s="1090">
        <v>44136</v>
      </c>
      <c r="IM5" s="1090">
        <v>44166</v>
      </c>
      <c r="IN5" s="1091">
        <f>YEAR(IM5)</f>
        <v>2020</v>
      </c>
      <c r="IO5" s="1248">
        <v>44197</v>
      </c>
      <c r="IP5" s="1090">
        <v>44228</v>
      </c>
      <c r="IQ5" s="1090">
        <v>44256</v>
      </c>
      <c r="IR5" s="1090">
        <v>44287</v>
      </c>
      <c r="IS5" s="1090">
        <v>44317</v>
      </c>
      <c r="IT5" s="1090">
        <v>44348</v>
      </c>
      <c r="IU5" s="1090">
        <v>44378</v>
      </c>
      <c r="IV5" s="1090">
        <v>44409</v>
      </c>
      <c r="IW5" s="1090">
        <v>44440</v>
      </c>
      <c r="IX5" s="1090">
        <v>44470</v>
      </c>
      <c r="IY5" s="1090">
        <v>44501</v>
      </c>
      <c r="IZ5" s="1090">
        <v>44531</v>
      </c>
      <c r="JA5" s="1091">
        <f>YEAR(IZ5)</f>
        <v>2021</v>
      </c>
      <c r="JB5" s="1248">
        <v>44562</v>
      </c>
      <c r="JC5" s="1090">
        <v>44593</v>
      </c>
      <c r="JD5" s="1090">
        <v>44621</v>
      </c>
      <c r="JE5" s="1090">
        <v>44652</v>
      </c>
      <c r="JF5" s="1090">
        <v>44682</v>
      </c>
      <c r="JG5" s="1090">
        <v>44713</v>
      </c>
      <c r="JH5" s="1090">
        <v>44743</v>
      </c>
      <c r="JI5" s="1090">
        <v>44774</v>
      </c>
      <c r="JJ5" s="1090">
        <v>44805</v>
      </c>
      <c r="JK5" s="1090">
        <v>44835</v>
      </c>
      <c r="JL5" s="1090">
        <v>44866</v>
      </c>
      <c r="JM5" s="1090">
        <v>44896</v>
      </c>
      <c r="JN5" s="1091">
        <f>YEAR(JM5)</f>
        <v>2022</v>
      </c>
      <c r="JO5" s="1248">
        <v>44927</v>
      </c>
      <c r="JP5" s="1090">
        <v>44958</v>
      </c>
      <c r="JQ5" s="1090">
        <v>44986</v>
      </c>
      <c r="JR5" s="1090">
        <v>45017</v>
      </c>
      <c r="JS5" s="1090">
        <v>45047</v>
      </c>
      <c r="JT5" s="1090">
        <v>45078</v>
      </c>
      <c r="JU5" s="1090">
        <v>45108</v>
      </c>
      <c r="JV5" s="1090">
        <v>45139</v>
      </c>
      <c r="JW5" s="1090">
        <v>45170</v>
      </c>
      <c r="JX5" s="1090">
        <v>45200</v>
      </c>
      <c r="JY5" s="1090">
        <v>45231</v>
      </c>
      <c r="JZ5" s="1090">
        <v>45261</v>
      </c>
      <c r="KA5" s="1091">
        <f>YEAR(JZ5)</f>
        <v>2023</v>
      </c>
      <c r="KB5" s="1248">
        <v>45292</v>
      </c>
      <c r="KC5" s="1090">
        <v>45323</v>
      </c>
      <c r="KD5" s="1090">
        <v>45352</v>
      </c>
      <c r="KE5" s="1090">
        <v>45383</v>
      </c>
      <c r="KF5" s="1090">
        <v>45413</v>
      </c>
      <c r="KG5" s="1090">
        <v>45444</v>
      </c>
      <c r="KH5" s="1090">
        <v>45474</v>
      </c>
      <c r="KI5" s="1090">
        <v>45505</v>
      </c>
      <c r="KJ5" s="1090">
        <v>45536</v>
      </c>
      <c r="KK5" s="1090">
        <v>45566</v>
      </c>
      <c r="KL5" s="1090">
        <v>45597</v>
      </c>
      <c r="KM5" s="1090">
        <v>45627</v>
      </c>
      <c r="KN5" s="1091">
        <f>YEAR(KM5)</f>
        <v>2024</v>
      </c>
      <c r="KO5" s="1248">
        <v>45658</v>
      </c>
      <c r="KP5" s="1090">
        <v>45689</v>
      </c>
      <c r="KQ5" s="1090">
        <v>45717</v>
      </c>
      <c r="KR5" s="1090">
        <v>45748</v>
      </c>
      <c r="KS5" s="1090">
        <v>45778</v>
      </c>
      <c r="KT5" s="1090">
        <v>45809</v>
      </c>
      <c r="KU5" s="1090">
        <v>45839</v>
      </c>
      <c r="KV5" s="1090">
        <v>45870</v>
      </c>
      <c r="KW5" s="1090">
        <v>45901</v>
      </c>
      <c r="KX5" s="1090">
        <v>45931</v>
      </c>
      <c r="KY5" s="1090">
        <v>45962</v>
      </c>
      <c r="KZ5" s="1090">
        <v>45992</v>
      </c>
      <c r="LA5" s="1091">
        <f>YEAR(KZ5)</f>
        <v>2025</v>
      </c>
      <c r="LB5" s="1248">
        <v>46023</v>
      </c>
      <c r="LC5" s="1090">
        <v>46054</v>
      </c>
      <c r="LD5" s="1090">
        <v>46082</v>
      </c>
      <c r="LE5" s="1090">
        <v>46113</v>
      </c>
      <c r="LF5" s="1090">
        <v>46143</v>
      </c>
      <c r="LG5" s="1090">
        <v>46174</v>
      </c>
      <c r="LH5" s="1090">
        <v>46204</v>
      </c>
      <c r="LI5" s="1090">
        <v>46235</v>
      </c>
      <c r="LJ5" s="1090">
        <v>46266</v>
      </c>
      <c r="LK5" s="1090">
        <v>46296</v>
      </c>
      <c r="LL5" s="1090">
        <v>46327</v>
      </c>
      <c r="LM5" s="1090">
        <v>46357</v>
      </c>
      <c r="LN5" s="1091">
        <f>YEAR(LM5)</f>
        <v>2026</v>
      </c>
      <c r="LP5" s="1106">
        <f>LI5</f>
        <v>46235</v>
      </c>
      <c r="LQ5" s="1107" t="str">
        <f>CONCATENATE("Ene.-",TEXT(LP5,"MMM."))</f>
        <v>Ene.-Ago.</v>
      </c>
      <c r="LR5" s="1108" t="str">
        <f>LQ5</f>
        <v>Ene.-Ago.</v>
      </c>
      <c r="LS5" s="1108" t="str">
        <f>LQ5</f>
        <v>Ene.-Ago.</v>
      </c>
      <c r="LT5" s="5"/>
      <c r="LV5" s="1076" t="s">
        <v>563</v>
      </c>
      <c r="LW5" s="1077"/>
      <c r="LX5" s="1078"/>
    </row>
    <row r="6" spans="1:336" ht="15" customHeight="1" x14ac:dyDescent="0.2">
      <c r="A6" s="1277"/>
      <c r="B6" s="1249"/>
      <c r="C6" s="1092"/>
      <c r="D6" s="1092"/>
      <c r="E6" s="1092"/>
      <c r="F6" s="1092"/>
      <c r="G6" s="1092"/>
      <c r="H6" s="1092"/>
      <c r="I6" s="1092"/>
      <c r="J6" s="1092"/>
      <c r="K6" s="1092"/>
      <c r="L6" s="1092"/>
      <c r="M6" s="1092"/>
      <c r="N6" s="1093"/>
      <c r="O6" s="1249"/>
      <c r="P6" s="1092"/>
      <c r="Q6" s="1092"/>
      <c r="R6" s="1092"/>
      <c r="S6" s="1092"/>
      <c r="T6" s="1092"/>
      <c r="U6" s="1092"/>
      <c r="V6" s="1092"/>
      <c r="W6" s="1092"/>
      <c r="X6" s="1092"/>
      <c r="Y6" s="1092"/>
      <c r="Z6" s="1092"/>
      <c r="AA6" s="1093"/>
      <c r="AB6" s="1249"/>
      <c r="AC6" s="1092"/>
      <c r="AD6" s="1092"/>
      <c r="AE6" s="1092"/>
      <c r="AF6" s="1092"/>
      <c r="AG6" s="1092"/>
      <c r="AH6" s="1092"/>
      <c r="AI6" s="1092"/>
      <c r="AJ6" s="1092"/>
      <c r="AK6" s="1092"/>
      <c r="AL6" s="1092"/>
      <c r="AM6" s="1092"/>
      <c r="AN6" s="1093"/>
      <c r="AO6" s="1249"/>
      <c r="AP6" s="1092"/>
      <c r="AQ6" s="1092"/>
      <c r="AR6" s="1092"/>
      <c r="AS6" s="1092"/>
      <c r="AT6" s="1092"/>
      <c r="AU6" s="1092"/>
      <c r="AV6" s="1092"/>
      <c r="AW6" s="1092"/>
      <c r="AX6" s="1092"/>
      <c r="AY6" s="1092"/>
      <c r="AZ6" s="1092"/>
      <c r="BA6" s="1093"/>
      <c r="BB6" s="1249"/>
      <c r="BC6" s="1092"/>
      <c r="BD6" s="1092"/>
      <c r="BE6" s="1092"/>
      <c r="BF6" s="1092"/>
      <c r="BG6" s="1092"/>
      <c r="BH6" s="1092"/>
      <c r="BI6" s="1092"/>
      <c r="BJ6" s="1092"/>
      <c r="BK6" s="1092"/>
      <c r="BL6" s="1092"/>
      <c r="BM6" s="1092"/>
      <c r="BN6" s="1093"/>
      <c r="BO6" s="1249"/>
      <c r="BP6" s="1092"/>
      <c r="BQ6" s="1092"/>
      <c r="BR6" s="1092"/>
      <c r="BS6" s="1092"/>
      <c r="BT6" s="1092"/>
      <c r="BU6" s="1092"/>
      <c r="BV6" s="1092"/>
      <c r="BW6" s="1092"/>
      <c r="BX6" s="1092"/>
      <c r="BY6" s="1092"/>
      <c r="BZ6" s="1092"/>
      <c r="CA6" s="1093"/>
      <c r="CB6" s="1249"/>
      <c r="CC6" s="1092"/>
      <c r="CD6" s="1092"/>
      <c r="CE6" s="1092"/>
      <c r="CF6" s="1092"/>
      <c r="CG6" s="1092"/>
      <c r="CH6" s="1092"/>
      <c r="CI6" s="1092"/>
      <c r="CJ6" s="1092"/>
      <c r="CK6" s="1092"/>
      <c r="CL6" s="1092"/>
      <c r="CM6" s="1092"/>
      <c r="CN6" s="1093"/>
      <c r="CO6" s="1249"/>
      <c r="CP6" s="1092"/>
      <c r="CQ6" s="1092"/>
      <c r="CR6" s="1092"/>
      <c r="CS6" s="1092"/>
      <c r="CT6" s="1092"/>
      <c r="CU6" s="1092"/>
      <c r="CV6" s="1092"/>
      <c r="CW6" s="1092"/>
      <c r="CX6" s="1092"/>
      <c r="CY6" s="1092"/>
      <c r="CZ6" s="1092"/>
      <c r="DA6" s="1093"/>
      <c r="DB6" s="1249"/>
      <c r="DC6" s="1092"/>
      <c r="DD6" s="1092"/>
      <c r="DE6" s="1092"/>
      <c r="DF6" s="1092"/>
      <c r="DG6" s="1092"/>
      <c r="DH6" s="1092"/>
      <c r="DI6" s="1092"/>
      <c r="DJ6" s="1092"/>
      <c r="DK6" s="1092"/>
      <c r="DL6" s="1092"/>
      <c r="DM6" s="1092"/>
      <c r="DN6" s="1093"/>
      <c r="DO6" s="1249"/>
      <c r="DP6" s="1092"/>
      <c r="DQ6" s="1092"/>
      <c r="DR6" s="1092"/>
      <c r="DS6" s="1092"/>
      <c r="DT6" s="1092"/>
      <c r="DU6" s="1092"/>
      <c r="DV6" s="1092"/>
      <c r="DW6" s="1092"/>
      <c r="DX6" s="1092"/>
      <c r="DY6" s="1092"/>
      <c r="DZ6" s="1092"/>
      <c r="EA6" s="1093"/>
      <c r="EB6" s="1249"/>
      <c r="EC6" s="1092"/>
      <c r="ED6" s="1092"/>
      <c r="EE6" s="1092"/>
      <c r="EF6" s="1092"/>
      <c r="EG6" s="1092"/>
      <c r="EH6" s="1092"/>
      <c r="EI6" s="1092"/>
      <c r="EJ6" s="1092"/>
      <c r="EK6" s="1092"/>
      <c r="EL6" s="1092"/>
      <c r="EM6" s="1092"/>
      <c r="EN6" s="1093"/>
      <c r="EO6" s="1249"/>
      <c r="EP6" s="1092"/>
      <c r="EQ6" s="1092"/>
      <c r="ER6" s="1092"/>
      <c r="ES6" s="1092"/>
      <c r="ET6" s="1092"/>
      <c r="EU6" s="1092"/>
      <c r="EV6" s="1092"/>
      <c r="EW6" s="1092"/>
      <c r="EX6" s="1092"/>
      <c r="EY6" s="1092"/>
      <c r="EZ6" s="1092"/>
      <c r="FA6" s="1093"/>
      <c r="FB6" s="1249"/>
      <c r="FC6" s="1092"/>
      <c r="FD6" s="1092"/>
      <c r="FE6" s="1092"/>
      <c r="FF6" s="1092"/>
      <c r="FG6" s="1092"/>
      <c r="FH6" s="1092"/>
      <c r="FI6" s="1092"/>
      <c r="FJ6" s="1092"/>
      <c r="FK6" s="1092"/>
      <c r="FL6" s="1092"/>
      <c r="FM6" s="1092"/>
      <c r="FN6" s="1093"/>
      <c r="FO6" s="1249"/>
      <c r="FP6" s="1092"/>
      <c r="FQ6" s="1092"/>
      <c r="FR6" s="1092"/>
      <c r="FS6" s="1092"/>
      <c r="FT6" s="1092"/>
      <c r="FU6" s="1092"/>
      <c r="FV6" s="1092"/>
      <c r="FW6" s="1092"/>
      <c r="FX6" s="1092"/>
      <c r="FY6" s="1092"/>
      <c r="FZ6" s="1092"/>
      <c r="GA6" s="1093"/>
      <c r="GB6" s="1249"/>
      <c r="GC6" s="1092"/>
      <c r="GD6" s="1092"/>
      <c r="GE6" s="1092"/>
      <c r="GF6" s="1092"/>
      <c r="GG6" s="1092"/>
      <c r="GH6" s="1092"/>
      <c r="GI6" s="1092"/>
      <c r="GJ6" s="1092"/>
      <c r="GK6" s="1092"/>
      <c r="GL6" s="1092"/>
      <c r="GM6" s="1092"/>
      <c r="GN6" s="1093"/>
      <c r="GO6" s="1249"/>
      <c r="GP6" s="1092"/>
      <c r="GQ6" s="1092"/>
      <c r="GR6" s="1092"/>
      <c r="GS6" s="1092"/>
      <c r="GT6" s="1092"/>
      <c r="GU6" s="1092"/>
      <c r="GV6" s="1092"/>
      <c r="GW6" s="1092"/>
      <c r="GX6" s="1092"/>
      <c r="GY6" s="1092"/>
      <c r="GZ6" s="1092"/>
      <c r="HA6" s="1093"/>
      <c r="HB6" s="1249"/>
      <c r="HC6" s="1092"/>
      <c r="HD6" s="1092"/>
      <c r="HE6" s="1092"/>
      <c r="HF6" s="1092"/>
      <c r="HG6" s="1092"/>
      <c r="HH6" s="1092"/>
      <c r="HI6" s="1092"/>
      <c r="HJ6" s="1092"/>
      <c r="HK6" s="1092"/>
      <c r="HL6" s="1092"/>
      <c r="HM6" s="1092"/>
      <c r="HN6" s="1093"/>
      <c r="HO6" s="1249"/>
      <c r="HP6" s="1092"/>
      <c r="HQ6" s="1092"/>
      <c r="HR6" s="1092"/>
      <c r="HS6" s="1092"/>
      <c r="HT6" s="1092"/>
      <c r="HU6" s="1092"/>
      <c r="HV6" s="1092"/>
      <c r="HW6" s="1092"/>
      <c r="HX6" s="1092"/>
      <c r="HY6" s="1092"/>
      <c r="HZ6" s="1092"/>
      <c r="IA6" s="1093"/>
      <c r="IB6" s="1249"/>
      <c r="IC6" s="1092"/>
      <c r="ID6" s="1092"/>
      <c r="IE6" s="1092"/>
      <c r="IF6" s="1092"/>
      <c r="IG6" s="1092"/>
      <c r="IH6" s="1092"/>
      <c r="II6" s="1092"/>
      <c r="IJ6" s="1092"/>
      <c r="IK6" s="1092"/>
      <c r="IL6" s="1092"/>
      <c r="IM6" s="1092"/>
      <c r="IN6" s="1093"/>
      <c r="IO6" s="1249"/>
      <c r="IP6" s="1092"/>
      <c r="IQ6" s="1092"/>
      <c r="IR6" s="1092"/>
      <c r="IS6" s="1092"/>
      <c r="IT6" s="1092"/>
      <c r="IU6" s="1092"/>
      <c r="IV6" s="1092"/>
      <c r="IW6" s="1092"/>
      <c r="IX6" s="1092"/>
      <c r="IY6" s="1092"/>
      <c r="IZ6" s="1092"/>
      <c r="JA6" s="1093"/>
      <c r="JB6" s="1249"/>
      <c r="JC6" s="1092"/>
      <c r="JD6" s="1092"/>
      <c r="JE6" s="1092"/>
      <c r="JF6" s="1092"/>
      <c r="JG6" s="1092"/>
      <c r="JH6" s="1092"/>
      <c r="JI6" s="1092"/>
      <c r="JJ6" s="1092"/>
      <c r="JK6" s="1092"/>
      <c r="JL6" s="1092"/>
      <c r="JM6" s="1092"/>
      <c r="JN6" s="1093"/>
      <c r="JO6" s="1249"/>
      <c r="JP6" s="1092"/>
      <c r="JQ6" s="1092"/>
      <c r="JR6" s="1092"/>
      <c r="JS6" s="1092"/>
      <c r="JT6" s="1092"/>
      <c r="JU6" s="1092"/>
      <c r="JV6" s="1092"/>
      <c r="JW6" s="1092"/>
      <c r="JX6" s="1092"/>
      <c r="JY6" s="1092"/>
      <c r="JZ6" s="1092"/>
      <c r="KA6" s="1093"/>
      <c r="KB6" s="1249"/>
      <c r="KC6" s="1092"/>
      <c r="KD6" s="1092"/>
      <c r="KE6" s="1092"/>
      <c r="KF6" s="1092"/>
      <c r="KG6" s="1092"/>
      <c r="KH6" s="1092"/>
      <c r="KI6" s="1092"/>
      <c r="KJ6" s="1092"/>
      <c r="KK6" s="1092"/>
      <c r="KL6" s="1092"/>
      <c r="KM6" s="1092"/>
      <c r="KN6" s="1093"/>
      <c r="KO6" s="1249"/>
      <c r="KP6" s="1092"/>
      <c r="KQ6" s="1092"/>
      <c r="KR6" s="1092"/>
      <c r="KS6" s="1092"/>
      <c r="KT6" s="1092"/>
      <c r="KU6" s="1092"/>
      <c r="KV6" s="1092"/>
      <c r="KW6" s="1092"/>
      <c r="KX6" s="1092"/>
      <c r="KY6" s="1092"/>
      <c r="KZ6" s="1092"/>
      <c r="LA6" s="1093"/>
      <c r="LB6" s="1249"/>
      <c r="LC6" s="1092"/>
      <c r="LD6" s="1092"/>
      <c r="LE6" s="1092"/>
      <c r="LF6" s="1092"/>
      <c r="LG6" s="1092"/>
      <c r="LH6" s="1092"/>
      <c r="LI6" s="1092"/>
      <c r="LJ6" s="1092"/>
      <c r="LK6" s="1092"/>
      <c r="LL6" s="1092"/>
      <c r="LM6" s="1092"/>
      <c r="LN6" s="1093"/>
      <c r="LP6" s="1109"/>
      <c r="LQ6" s="1110"/>
      <c r="LR6" s="1111"/>
      <c r="LS6" s="1112"/>
      <c r="LT6" s="5"/>
      <c r="LV6" s="1283"/>
      <c r="LW6" s="1160"/>
      <c r="LX6" s="1266"/>
    </row>
    <row r="7" spans="1:336" ht="15" customHeight="1" x14ac:dyDescent="0.2">
      <c r="A7" s="1278" t="s">
        <v>22</v>
      </c>
      <c r="B7" s="1250">
        <f t="shared" ref="B7:BM7" si="24">SUM(B9:B39)</f>
        <v>3201.768</v>
      </c>
      <c r="C7" s="1094">
        <f t="shared" si="24"/>
        <v>3319.9829999999997</v>
      </c>
      <c r="D7" s="1094">
        <f t="shared" si="24"/>
        <v>2447.6639999999998</v>
      </c>
      <c r="E7" s="1094">
        <f t="shared" si="24"/>
        <v>3949.3110000000001</v>
      </c>
      <c r="F7" s="1094">
        <f t="shared" si="24"/>
        <v>3014.748</v>
      </c>
      <c r="G7" s="1094">
        <f t="shared" si="24"/>
        <v>2227.1969999999997</v>
      </c>
      <c r="H7" s="1094">
        <f t="shared" si="24"/>
        <v>2735.5009999999997</v>
      </c>
      <c r="I7" s="1094">
        <f t="shared" si="24"/>
        <v>2980.6209999999996</v>
      </c>
      <c r="J7" s="1094">
        <f t="shared" si="24"/>
        <v>4028.2279999999992</v>
      </c>
      <c r="K7" s="1094">
        <f t="shared" si="24"/>
        <v>4729.0920000000006</v>
      </c>
      <c r="L7" s="1094">
        <f t="shared" si="24"/>
        <v>4479.9610000000002</v>
      </c>
      <c r="M7" s="1094">
        <f t="shared" si="24"/>
        <v>5574.6949999999997</v>
      </c>
      <c r="N7" s="1095">
        <f>SUM(B7:M7)</f>
        <v>42688.769</v>
      </c>
      <c r="O7" s="1250">
        <f t="shared" si="24"/>
        <v>4281.0450000000001</v>
      </c>
      <c r="P7" s="1094">
        <f t="shared" si="24"/>
        <v>4073.0480000000002</v>
      </c>
      <c r="Q7" s="1094">
        <f t="shared" si="24"/>
        <v>4613.1770000000006</v>
      </c>
      <c r="R7" s="1094">
        <f t="shared" si="24"/>
        <v>3364.1169999999993</v>
      </c>
      <c r="S7" s="1094">
        <f t="shared" si="24"/>
        <v>4045.7900000000013</v>
      </c>
      <c r="T7" s="1094">
        <f t="shared" si="24"/>
        <v>2838.7829999999999</v>
      </c>
      <c r="U7" s="1094">
        <f t="shared" si="24"/>
        <v>3823.7020000000002</v>
      </c>
      <c r="V7" s="1094">
        <f t="shared" si="24"/>
        <v>5987.5589999999993</v>
      </c>
      <c r="W7" s="1094">
        <f t="shared" si="24"/>
        <v>7389.6139999999996</v>
      </c>
      <c r="X7" s="1094">
        <f t="shared" si="24"/>
        <v>5125.1729999999998</v>
      </c>
      <c r="Y7" s="1094">
        <f t="shared" si="24"/>
        <v>5454.4780000000001</v>
      </c>
      <c r="Z7" s="1094">
        <f t="shared" si="24"/>
        <v>7149.5839999999998</v>
      </c>
      <c r="AA7" s="1095">
        <f>SUM(O7:Z7)</f>
        <v>58146.070000000007</v>
      </c>
      <c r="AB7" s="1250">
        <f t="shared" si="24"/>
        <v>4855.8329999999996</v>
      </c>
      <c r="AC7" s="1094">
        <f t="shared" si="24"/>
        <v>6533.6839999999984</v>
      </c>
      <c r="AD7" s="1094">
        <f t="shared" si="24"/>
        <v>7242.2210000000005</v>
      </c>
      <c r="AE7" s="1094">
        <f t="shared" si="24"/>
        <v>5121.0480000000007</v>
      </c>
      <c r="AF7" s="1094">
        <f t="shared" si="24"/>
        <v>5252.704999999999</v>
      </c>
      <c r="AG7" s="1094">
        <f t="shared" si="24"/>
        <v>4973.1049999999996</v>
      </c>
      <c r="AH7" s="1094">
        <f t="shared" si="24"/>
        <v>3627.0349999999999</v>
      </c>
      <c r="AI7" s="1094">
        <f t="shared" si="24"/>
        <v>4880.9749999999995</v>
      </c>
      <c r="AJ7" s="1094">
        <f t="shared" si="24"/>
        <v>5067.8270000000002</v>
      </c>
      <c r="AK7" s="1094">
        <f t="shared" si="24"/>
        <v>4068.4189999999999</v>
      </c>
      <c r="AL7" s="1094">
        <f t="shared" si="24"/>
        <v>5219.4709999999995</v>
      </c>
      <c r="AM7" s="1094">
        <f t="shared" si="24"/>
        <v>4790.0050000000001</v>
      </c>
      <c r="AN7" s="1095">
        <f>SUM(AB7:AM7)</f>
        <v>61632.327999999987</v>
      </c>
      <c r="AO7" s="1250">
        <f t="shared" si="24"/>
        <v>3077.9479999999999</v>
      </c>
      <c r="AP7" s="1094">
        <f t="shared" si="24"/>
        <v>5241.4980000000005</v>
      </c>
      <c r="AQ7" s="1094">
        <f t="shared" si="24"/>
        <v>4847.5640000000003</v>
      </c>
      <c r="AR7" s="1094">
        <f t="shared" si="24"/>
        <v>3554.0339999999997</v>
      </c>
      <c r="AS7" s="1094">
        <f t="shared" si="24"/>
        <v>2119.451</v>
      </c>
      <c r="AT7" s="1094">
        <f t="shared" si="24"/>
        <v>5999</v>
      </c>
      <c r="AU7" s="1094">
        <f t="shared" si="24"/>
        <v>788</v>
      </c>
      <c r="AV7" s="1094">
        <f t="shared" si="24"/>
        <v>5176</v>
      </c>
      <c r="AW7" s="1094">
        <f t="shared" si="24"/>
        <v>4199.25</v>
      </c>
      <c r="AX7" s="1094">
        <f t="shared" si="24"/>
        <v>5838.1180000000004</v>
      </c>
      <c r="AY7" s="1094">
        <f t="shared" si="24"/>
        <v>4623.049</v>
      </c>
      <c r="AZ7" s="1094">
        <f t="shared" si="24"/>
        <v>7290.0680000000002</v>
      </c>
      <c r="BA7" s="1095">
        <f>SUM(AO7:AZ7)</f>
        <v>52753.98</v>
      </c>
      <c r="BB7" s="1250">
        <f t="shared" si="24"/>
        <v>3958.319</v>
      </c>
      <c r="BC7" s="1094">
        <f t="shared" si="24"/>
        <v>2825.1059999999998</v>
      </c>
      <c r="BD7" s="1094">
        <f t="shared" si="24"/>
        <v>6882.3190000000004</v>
      </c>
      <c r="BE7" s="1094">
        <f t="shared" si="24"/>
        <v>2473</v>
      </c>
      <c r="BF7" s="1094">
        <f t="shared" si="24"/>
        <v>3752.502</v>
      </c>
      <c r="BG7" s="1094">
        <f t="shared" si="24"/>
        <v>4779.5190000000002</v>
      </c>
      <c r="BH7" s="1094">
        <f t="shared" si="24"/>
        <v>3978.886</v>
      </c>
      <c r="BI7" s="1094">
        <f t="shared" si="24"/>
        <v>6738</v>
      </c>
      <c r="BJ7" s="1094">
        <f t="shared" si="24"/>
        <v>7416</v>
      </c>
      <c r="BK7" s="1094">
        <f t="shared" si="24"/>
        <v>3721.9589999999998</v>
      </c>
      <c r="BL7" s="1094">
        <f t="shared" si="24"/>
        <v>3508.6770000000001</v>
      </c>
      <c r="BM7" s="1094">
        <f t="shared" si="24"/>
        <v>7530</v>
      </c>
      <c r="BN7" s="1095">
        <f>SUM(BB7:BM7)</f>
        <v>57564.287000000004</v>
      </c>
      <c r="BO7" s="1250">
        <f t="shared" ref="BO7:DZ7" si="25">SUM(BO9:BO39)</f>
        <v>4725.4529999999986</v>
      </c>
      <c r="BP7" s="1094">
        <f t="shared" si="25"/>
        <v>4998.3380000000006</v>
      </c>
      <c r="BQ7" s="1094">
        <f t="shared" si="25"/>
        <v>3438.9430000000002</v>
      </c>
      <c r="BR7" s="1094">
        <f t="shared" si="25"/>
        <v>2892.2799999999997</v>
      </c>
      <c r="BS7" s="1094">
        <f t="shared" si="25"/>
        <v>3540.3699999999994</v>
      </c>
      <c r="BT7" s="1094">
        <f t="shared" si="25"/>
        <v>9141.0999999999985</v>
      </c>
      <c r="BU7" s="1094">
        <f t="shared" si="25"/>
        <v>2976.9589999999998</v>
      </c>
      <c r="BV7" s="1094">
        <f t="shared" si="25"/>
        <v>4952.7420000000002</v>
      </c>
      <c r="BW7" s="1094">
        <f t="shared" si="25"/>
        <v>5645.0190000000002</v>
      </c>
      <c r="BX7" s="1094">
        <f t="shared" si="25"/>
        <v>3809.576</v>
      </c>
      <c r="BY7" s="1094">
        <f t="shared" si="25"/>
        <v>4244.4870000000001</v>
      </c>
      <c r="BZ7" s="1094">
        <f t="shared" si="25"/>
        <v>2226</v>
      </c>
      <c r="CA7" s="1095">
        <f>SUM(BO7:BZ7)</f>
        <v>52591.267</v>
      </c>
      <c r="CB7" s="1250">
        <f t="shared" si="25"/>
        <v>2442</v>
      </c>
      <c r="CC7" s="1094">
        <f t="shared" si="25"/>
        <v>3362</v>
      </c>
      <c r="CD7" s="1094">
        <f t="shared" si="25"/>
        <v>2911</v>
      </c>
      <c r="CE7" s="1094">
        <f t="shared" si="25"/>
        <v>2948</v>
      </c>
      <c r="CF7" s="1094">
        <f t="shared" si="25"/>
        <v>4510</v>
      </c>
      <c r="CG7" s="1094">
        <f t="shared" si="25"/>
        <v>6329</v>
      </c>
      <c r="CH7" s="1094">
        <f t="shared" si="25"/>
        <v>1123</v>
      </c>
      <c r="CI7" s="1094">
        <f t="shared" si="25"/>
        <v>799</v>
      </c>
      <c r="CJ7" s="1094">
        <f t="shared" si="25"/>
        <v>4183</v>
      </c>
      <c r="CK7" s="1094">
        <f t="shared" si="25"/>
        <v>3151</v>
      </c>
      <c r="CL7" s="1094">
        <f t="shared" si="25"/>
        <v>2532</v>
      </c>
      <c r="CM7" s="1094">
        <f t="shared" si="25"/>
        <v>3834</v>
      </c>
      <c r="CN7" s="1095">
        <f>SUM(CB7:CM7)</f>
        <v>38124</v>
      </c>
      <c r="CO7" s="1250">
        <f t="shared" si="25"/>
        <v>1412</v>
      </c>
      <c r="CP7" s="1094">
        <f t="shared" si="25"/>
        <v>1636</v>
      </c>
      <c r="CQ7" s="1094">
        <f t="shared" si="25"/>
        <v>1348</v>
      </c>
      <c r="CR7" s="1094">
        <f t="shared" si="25"/>
        <v>1327</v>
      </c>
      <c r="CS7" s="1094">
        <f t="shared" si="25"/>
        <v>1216</v>
      </c>
      <c r="CT7" s="1094">
        <f t="shared" si="25"/>
        <v>2730</v>
      </c>
      <c r="CU7" s="1094">
        <f t="shared" si="25"/>
        <v>770</v>
      </c>
      <c r="CV7" s="1094">
        <f t="shared" si="25"/>
        <v>2073</v>
      </c>
      <c r="CW7" s="1094">
        <f t="shared" si="25"/>
        <v>2985</v>
      </c>
      <c r="CX7" s="1094">
        <f t="shared" si="25"/>
        <v>3688</v>
      </c>
      <c r="CY7" s="1094">
        <f t="shared" si="25"/>
        <v>2024</v>
      </c>
      <c r="CZ7" s="1094">
        <f t="shared" si="25"/>
        <v>2303</v>
      </c>
      <c r="DA7" s="1095">
        <f>SUM(CO7:CZ7)</f>
        <v>23512</v>
      </c>
      <c r="DB7" s="1250">
        <f t="shared" si="25"/>
        <v>2097</v>
      </c>
      <c r="DC7" s="1094">
        <f t="shared" si="25"/>
        <v>2885</v>
      </c>
      <c r="DD7" s="1094">
        <f t="shared" si="25"/>
        <v>3110</v>
      </c>
      <c r="DE7" s="1094">
        <f t="shared" si="25"/>
        <v>2516</v>
      </c>
      <c r="DF7" s="1094">
        <f t="shared" si="25"/>
        <v>5458</v>
      </c>
      <c r="DG7" s="1094">
        <f t="shared" si="25"/>
        <v>9458</v>
      </c>
      <c r="DH7" s="1094">
        <f t="shared" si="25"/>
        <v>1174</v>
      </c>
      <c r="DI7" s="1094">
        <f t="shared" si="25"/>
        <v>1666</v>
      </c>
      <c r="DJ7" s="1094">
        <f t="shared" si="25"/>
        <v>3881</v>
      </c>
      <c r="DK7" s="1094">
        <f t="shared" si="25"/>
        <v>3018</v>
      </c>
      <c r="DL7" s="1094">
        <f t="shared" si="25"/>
        <v>2874</v>
      </c>
      <c r="DM7" s="1094">
        <f t="shared" si="25"/>
        <v>3543</v>
      </c>
      <c r="DN7" s="1095">
        <f>SUM(DB7:DM7)</f>
        <v>41680</v>
      </c>
      <c r="DO7" s="1250">
        <f t="shared" si="25"/>
        <v>2629</v>
      </c>
      <c r="DP7" s="1094">
        <f t="shared" si="25"/>
        <v>917</v>
      </c>
      <c r="DQ7" s="1094">
        <f t="shared" si="25"/>
        <v>933</v>
      </c>
      <c r="DR7" s="1094">
        <f t="shared" si="25"/>
        <v>690</v>
      </c>
      <c r="DS7" s="1094">
        <f t="shared" si="25"/>
        <v>1282</v>
      </c>
      <c r="DT7" s="1094">
        <f t="shared" si="25"/>
        <v>4118</v>
      </c>
      <c r="DU7" s="1094">
        <f t="shared" si="25"/>
        <v>2070</v>
      </c>
      <c r="DV7" s="1094">
        <f t="shared" si="25"/>
        <v>3630</v>
      </c>
      <c r="DW7" s="1094">
        <f t="shared" si="25"/>
        <v>4143</v>
      </c>
      <c r="DX7" s="1094">
        <f t="shared" si="25"/>
        <v>3321</v>
      </c>
      <c r="DY7" s="1094">
        <f t="shared" si="25"/>
        <v>2490</v>
      </c>
      <c r="DZ7" s="1094">
        <f t="shared" si="25"/>
        <v>723</v>
      </c>
      <c r="EA7" s="1095">
        <f>SUM(DO7:DZ7)</f>
        <v>26946</v>
      </c>
      <c r="EB7" s="1250">
        <f t="shared" ref="EB7:GM7" si="26">SUM(EB9:EB39)</f>
        <v>1156</v>
      </c>
      <c r="EC7" s="1094">
        <f t="shared" si="26"/>
        <v>990</v>
      </c>
      <c r="ED7" s="1094">
        <f t="shared" si="26"/>
        <v>1433</v>
      </c>
      <c r="EE7" s="1094">
        <f t="shared" si="26"/>
        <v>2614</v>
      </c>
      <c r="EF7" s="1094">
        <f t="shared" si="26"/>
        <v>722</v>
      </c>
      <c r="EG7" s="1094">
        <f t="shared" si="26"/>
        <v>4174</v>
      </c>
      <c r="EH7" s="1094">
        <f t="shared" si="26"/>
        <v>1341</v>
      </c>
      <c r="EI7" s="1094">
        <f t="shared" si="26"/>
        <v>3099</v>
      </c>
      <c r="EJ7" s="1094">
        <f t="shared" si="26"/>
        <v>5333</v>
      </c>
      <c r="EK7" s="1094">
        <f t="shared" si="26"/>
        <v>5436</v>
      </c>
      <c r="EL7" s="1094">
        <f t="shared" si="26"/>
        <v>4143</v>
      </c>
      <c r="EM7" s="1094">
        <f t="shared" si="26"/>
        <v>1319</v>
      </c>
      <c r="EN7" s="1095">
        <f>SUM(EB7:EM7)</f>
        <v>31760</v>
      </c>
      <c r="EO7" s="1250">
        <f t="shared" si="26"/>
        <v>554</v>
      </c>
      <c r="EP7" s="1094">
        <f t="shared" si="26"/>
        <v>1108</v>
      </c>
      <c r="EQ7" s="1094">
        <f t="shared" si="26"/>
        <v>1385</v>
      </c>
      <c r="ER7" s="1094">
        <f t="shared" si="26"/>
        <v>1482</v>
      </c>
      <c r="ES7" s="1094">
        <f t="shared" si="26"/>
        <v>1700</v>
      </c>
      <c r="ET7" s="1094">
        <f t="shared" si="26"/>
        <v>3311</v>
      </c>
      <c r="EU7" s="1094">
        <f t="shared" si="26"/>
        <v>1011</v>
      </c>
      <c r="EV7" s="1094">
        <f t="shared" si="26"/>
        <v>811</v>
      </c>
      <c r="EW7" s="1094">
        <f t="shared" si="26"/>
        <v>1714</v>
      </c>
      <c r="EX7" s="1094">
        <f t="shared" si="26"/>
        <v>3186</v>
      </c>
      <c r="EY7" s="1094">
        <f t="shared" si="26"/>
        <v>2300</v>
      </c>
      <c r="EZ7" s="1094">
        <f t="shared" si="26"/>
        <v>1743</v>
      </c>
      <c r="FA7" s="1095">
        <f>SUM(EO7:EZ7)</f>
        <v>20305</v>
      </c>
      <c r="FB7" s="1250">
        <f t="shared" si="26"/>
        <v>2194</v>
      </c>
      <c r="FC7" s="1094">
        <f t="shared" si="26"/>
        <v>1755</v>
      </c>
      <c r="FD7" s="1094">
        <f t="shared" si="26"/>
        <v>823</v>
      </c>
      <c r="FE7" s="1094">
        <f t="shared" si="26"/>
        <v>1332</v>
      </c>
      <c r="FF7" s="1094">
        <f t="shared" si="26"/>
        <v>2316</v>
      </c>
      <c r="FG7" s="1094">
        <f t="shared" si="26"/>
        <v>9770</v>
      </c>
      <c r="FH7" s="1094">
        <f t="shared" si="26"/>
        <v>804</v>
      </c>
      <c r="FI7" s="1094">
        <f t="shared" si="26"/>
        <v>1030</v>
      </c>
      <c r="FJ7" s="1094">
        <f t="shared" si="26"/>
        <v>2289</v>
      </c>
      <c r="FK7" s="1094">
        <f t="shared" si="26"/>
        <v>949</v>
      </c>
      <c r="FL7" s="1094">
        <f t="shared" si="26"/>
        <v>3221.5</v>
      </c>
      <c r="FM7" s="1094">
        <f t="shared" si="26"/>
        <v>1531</v>
      </c>
      <c r="FN7" s="1095">
        <f>SUM(FB7:FM7)</f>
        <v>28014.5</v>
      </c>
      <c r="FO7" s="1250">
        <f t="shared" si="26"/>
        <v>906</v>
      </c>
      <c r="FP7" s="1094">
        <f t="shared" si="26"/>
        <v>306</v>
      </c>
      <c r="FQ7" s="1094">
        <f t="shared" si="26"/>
        <v>405</v>
      </c>
      <c r="FR7" s="1094">
        <f t="shared" si="26"/>
        <v>651</v>
      </c>
      <c r="FS7" s="1094">
        <f t="shared" si="26"/>
        <v>2866</v>
      </c>
      <c r="FT7" s="1094">
        <f t="shared" si="26"/>
        <v>1512</v>
      </c>
      <c r="FU7" s="1094">
        <f t="shared" si="26"/>
        <v>2258</v>
      </c>
      <c r="FV7" s="1094">
        <f t="shared" si="26"/>
        <v>3270</v>
      </c>
      <c r="FW7" s="1094">
        <f t="shared" si="26"/>
        <v>3749</v>
      </c>
      <c r="FX7" s="1094">
        <f t="shared" si="26"/>
        <v>1023</v>
      </c>
      <c r="FY7" s="1094">
        <f t="shared" si="26"/>
        <v>2137</v>
      </c>
      <c r="FZ7" s="1094">
        <f t="shared" si="26"/>
        <v>3017</v>
      </c>
      <c r="GA7" s="1095">
        <f>SUM(FO7:FZ7)</f>
        <v>22100</v>
      </c>
      <c r="GB7" s="1250">
        <f t="shared" si="26"/>
        <v>299</v>
      </c>
      <c r="GC7" s="1094">
        <f t="shared" si="26"/>
        <v>326</v>
      </c>
      <c r="GD7" s="1094">
        <f t="shared" si="26"/>
        <v>173.87199999999999</v>
      </c>
      <c r="GE7" s="1094">
        <f t="shared" si="26"/>
        <v>1070.2539999999999</v>
      </c>
      <c r="GF7" s="1094">
        <f t="shared" si="26"/>
        <v>486.19899999999996</v>
      </c>
      <c r="GG7" s="1094">
        <f t="shared" si="26"/>
        <v>6174</v>
      </c>
      <c r="GH7" s="1094">
        <f t="shared" si="26"/>
        <v>701</v>
      </c>
      <c r="GI7" s="1094">
        <f t="shared" si="26"/>
        <v>337</v>
      </c>
      <c r="GJ7" s="1094">
        <f t="shared" si="26"/>
        <v>617</v>
      </c>
      <c r="GK7" s="1094">
        <f t="shared" si="26"/>
        <v>1767</v>
      </c>
      <c r="GL7" s="1094">
        <f t="shared" si="26"/>
        <v>1051</v>
      </c>
      <c r="GM7" s="1094">
        <f t="shared" si="26"/>
        <v>1275</v>
      </c>
      <c r="GN7" s="1095">
        <f>SUM(GB7:GM7)</f>
        <v>14277.325000000001</v>
      </c>
      <c r="GO7" s="1250">
        <f t="shared" ref="GO7:IZ7" si="27">SUM(GO9:GO39)</f>
        <v>240.98099999999999</v>
      </c>
      <c r="GP7" s="1094">
        <f t="shared" si="27"/>
        <v>1313.83</v>
      </c>
      <c r="GQ7" s="1094">
        <f t="shared" si="27"/>
        <v>1459.8449999999998</v>
      </c>
      <c r="GR7" s="1094">
        <f t="shared" si="27"/>
        <v>839</v>
      </c>
      <c r="GS7" s="1094">
        <f t="shared" si="27"/>
        <v>1135</v>
      </c>
      <c r="GT7" s="1094">
        <f t="shared" si="27"/>
        <v>462</v>
      </c>
      <c r="GU7" s="1094">
        <f t="shared" si="27"/>
        <v>949.32299999999998</v>
      </c>
      <c r="GV7" s="1094">
        <f t="shared" si="27"/>
        <v>3466.5899999999997</v>
      </c>
      <c r="GW7" s="1094">
        <f t="shared" si="27"/>
        <v>1612.7850000000003</v>
      </c>
      <c r="GX7" s="1094">
        <f t="shared" si="27"/>
        <v>892.47899999999993</v>
      </c>
      <c r="GY7" s="1094">
        <f t="shared" si="27"/>
        <v>721.93100000000004</v>
      </c>
      <c r="GZ7" s="1094">
        <f t="shared" si="27"/>
        <v>527.49400000000003</v>
      </c>
      <c r="HA7" s="1095">
        <f>SUM(GO7:GZ7)</f>
        <v>13621.258</v>
      </c>
      <c r="HB7" s="1250">
        <f t="shared" si="27"/>
        <v>2771</v>
      </c>
      <c r="HC7" s="1094">
        <f t="shared" si="27"/>
        <v>1329</v>
      </c>
      <c r="HD7" s="1094">
        <f t="shared" si="27"/>
        <v>854.67200000000003</v>
      </c>
      <c r="HE7" s="1094">
        <f t="shared" si="27"/>
        <v>392.49399999999997</v>
      </c>
      <c r="HF7" s="1094">
        <f t="shared" si="27"/>
        <v>439</v>
      </c>
      <c r="HG7" s="1094">
        <f t="shared" si="27"/>
        <v>2206</v>
      </c>
      <c r="HH7" s="1094">
        <f t="shared" si="27"/>
        <v>3251</v>
      </c>
      <c r="HI7" s="1094">
        <f t="shared" si="27"/>
        <v>5315</v>
      </c>
      <c r="HJ7" s="1094">
        <f t="shared" si="27"/>
        <v>4756.4189999999999</v>
      </c>
      <c r="HK7" s="1094">
        <f t="shared" si="27"/>
        <v>2404.8069999999998</v>
      </c>
      <c r="HL7" s="1094">
        <f t="shared" si="27"/>
        <v>1175.98</v>
      </c>
      <c r="HM7" s="1094">
        <f t="shared" si="27"/>
        <v>1891.1739999999998</v>
      </c>
      <c r="HN7" s="1095">
        <f>SUM(HB7:HM7)</f>
        <v>26786.545999999998</v>
      </c>
      <c r="HO7" s="1250">
        <f t="shared" si="27"/>
        <v>315.767</v>
      </c>
      <c r="HP7" s="1094">
        <f t="shared" si="27"/>
        <v>846.44199999999989</v>
      </c>
      <c r="HQ7" s="1094">
        <f t="shared" si="27"/>
        <v>1708.2209999999998</v>
      </c>
      <c r="HR7" s="1094">
        <f t="shared" si="27"/>
        <v>386.56799999999998</v>
      </c>
      <c r="HS7" s="1094">
        <f t="shared" si="27"/>
        <v>1558.2900000000002</v>
      </c>
      <c r="HT7" s="1094">
        <f t="shared" si="27"/>
        <v>1365.4940000000001</v>
      </c>
      <c r="HU7" s="1094">
        <f t="shared" si="27"/>
        <v>662.39499999999998</v>
      </c>
      <c r="HV7" s="1094">
        <f t="shared" si="27"/>
        <v>1362.1449999999998</v>
      </c>
      <c r="HW7" s="1094">
        <f t="shared" si="27"/>
        <v>2237.9940000000001</v>
      </c>
      <c r="HX7" s="1094">
        <f t="shared" si="27"/>
        <v>2099</v>
      </c>
      <c r="HY7" s="1094">
        <f t="shared" si="27"/>
        <v>486</v>
      </c>
      <c r="HZ7" s="1094">
        <f t="shared" si="27"/>
        <v>281.39999999999998</v>
      </c>
      <c r="IA7" s="1095">
        <f>SUM(HO7:HZ7)</f>
        <v>13309.716</v>
      </c>
      <c r="IB7" s="1250">
        <f t="shared" si="27"/>
        <v>483</v>
      </c>
      <c r="IC7" s="1094">
        <f t="shared" si="27"/>
        <v>813</v>
      </c>
      <c r="ID7" s="1094">
        <f t="shared" si="27"/>
        <v>576</v>
      </c>
      <c r="IE7" s="1094">
        <f t="shared" si="27"/>
        <v>0</v>
      </c>
      <c r="IF7" s="1094">
        <f t="shared" si="27"/>
        <v>0</v>
      </c>
      <c r="IG7" s="1094">
        <f t="shared" si="27"/>
        <v>964</v>
      </c>
      <c r="IH7" s="1094">
        <f t="shared" si="27"/>
        <v>145.78199999999998</v>
      </c>
      <c r="II7" s="1094">
        <f t="shared" si="27"/>
        <v>132.55199999999999</v>
      </c>
      <c r="IJ7" s="1094">
        <f t="shared" si="27"/>
        <v>728.30199999999991</v>
      </c>
      <c r="IK7" s="1094">
        <f t="shared" si="27"/>
        <v>889.29199999999992</v>
      </c>
      <c r="IL7" s="1094">
        <f t="shared" si="27"/>
        <v>2279.2919999999999</v>
      </c>
      <c r="IM7" s="1094">
        <f t="shared" si="27"/>
        <v>709.82100000000003</v>
      </c>
      <c r="IN7" s="1095">
        <f>SUM(IB7:IM7)</f>
        <v>7721.0409999999993</v>
      </c>
      <c r="IO7" s="1250">
        <f t="shared" si="27"/>
        <v>322.99700000000001</v>
      </c>
      <c r="IP7" s="1094">
        <f t="shared" si="27"/>
        <v>183.29</v>
      </c>
      <c r="IQ7" s="1094">
        <f t="shared" si="27"/>
        <v>850.58999999999992</v>
      </c>
      <c r="IR7" s="1094">
        <f t="shared" si="27"/>
        <v>305.02199999999999</v>
      </c>
      <c r="IS7" s="1094">
        <f t="shared" si="27"/>
        <v>480.20100000000002</v>
      </c>
      <c r="IT7" s="1094">
        <f t="shared" si="27"/>
        <v>1283.25</v>
      </c>
      <c r="IU7" s="1094">
        <f t="shared" si="27"/>
        <v>2279.7460000000001</v>
      </c>
      <c r="IV7" s="1094">
        <f t="shared" si="27"/>
        <v>2551.8348999999998</v>
      </c>
      <c r="IW7" s="1094">
        <f t="shared" si="27"/>
        <v>2885.9759999999997</v>
      </c>
      <c r="IX7" s="1094">
        <f t="shared" si="27"/>
        <v>2344.8870000000002</v>
      </c>
      <c r="IY7" s="1094">
        <f t="shared" si="27"/>
        <v>1842.3110000000001</v>
      </c>
      <c r="IZ7" s="1094">
        <f t="shared" si="27"/>
        <v>159.10599999999999</v>
      </c>
      <c r="JA7" s="1095">
        <f>SUM(IO7:IZ7)</f>
        <v>15489.210899999998</v>
      </c>
      <c r="JB7" s="1250">
        <f t="shared" ref="JB7:KZ7" si="28">SUM(JB9:JB39)</f>
        <v>142.03899999999999</v>
      </c>
      <c r="JC7" s="1094">
        <f t="shared" si="28"/>
        <v>60.604999999999997</v>
      </c>
      <c r="JD7" s="1094">
        <f t="shared" si="28"/>
        <v>72.08</v>
      </c>
      <c r="JE7" s="1094">
        <f t="shared" si="28"/>
        <v>1002.253</v>
      </c>
      <c r="JF7" s="1094">
        <f t="shared" si="28"/>
        <v>113.44399999999999</v>
      </c>
      <c r="JG7" s="1094">
        <f t="shared" si="28"/>
        <v>783.59100000000001</v>
      </c>
      <c r="JH7" s="1094">
        <f t="shared" si="28"/>
        <v>1347.8920000000001</v>
      </c>
      <c r="JI7" s="1094">
        <f t="shared" si="28"/>
        <v>312.55200000000002</v>
      </c>
      <c r="JJ7" s="1094">
        <f t="shared" si="28"/>
        <v>515.53800000000001</v>
      </c>
      <c r="JK7" s="1094">
        <f t="shared" si="28"/>
        <v>1078.674</v>
      </c>
      <c r="JL7" s="1094">
        <f t="shared" si="28"/>
        <v>504.00000000000011</v>
      </c>
      <c r="JM7" s="1094">
        <f t="shared" si="28"/>
        <v>255.01900000000001</v>
      </c>
      <c r="JN7" s="1095">
        <f>SUM(JB7:JM7)</f>
        <v>6187.6870000000008</v>
      </c>
      <c r="JO7" s="1250">
        <f t="shared" si="28"/>
        <v>344.94799999999998</v>
      </c>
      <c r="JP7" s="1094">
        <f t="shared" si="28"/>
        <v>15.305999999999999</v>
      </c>
      <c r="JQ7" s="1094">
        <f t="shared" si="28"/>
        <v>18.352</v>
      </c>
      <c r="JR7" s="1094">
        <f t="shared" si="28"/>
        <v>44.323999999999998</v>
      </c>
      <c r="JS7" s="1094">
        <f t="shared" si="28"/>
        <v>131.828</v>
      </c>
      <c r="JT7" s="1094">
        <f t="shared" si="28"/>
        <v>48.244999999999997</v>
      </c>
      <c r="JU7" s="1094">
        <f t="shared" si="28"/>
        <v>4997.3310000000001</v>
      </c>
      <c r="JV7" s="1094">
        <f t="shared" si="28"/>
        <v>4964.7079999999996</v>
      </c>
      <c r="JW7" s="1094">
        <f t="shared" si="28"/>
        <v>3287.549</v>
      </c>
      <c r="JX7" s="1094">
        <f t="shared" si="28"/>
        <v>1605.3589999999999</v>
      </c>
      <c r="JY7" s="1094">
        <f t="shared" si="28"/>
        <v>959.63400000000001</v>
      </c>
      <c r="JZ7" s="1094">
        <f t="shared" si="28"/>
        <v>72</v>
      </c>
      <c r="KA7" s="1095">
        <f>SUM(JO7:JZ7)</f>
        <v>16489.584000000003</v>
      </c>
      <c r="KB7" s="1250">
        <f t="shared" si="28"/>
        <v>0</v>
      </c>
      <c r="KC7" s="1094">
        <f t="shared" si="28"/>
        <v>233.435</v>
      </c>
      <c r="KD7" s="1094">
        <f t="shared" si="28"/>
        <v>111.916</v>
      </c>
      <c r="KE7" s="1094">
        <f t="shared" si="28"/>
        <v>249.67000000000002</v>
      </c>
      <c r="KF7" s="1094">
        <f t="shared" si="28"/>
        <v>274.51599999999996</v>
      </c>
      <c r="KG7" s="1094">
        <f t="shared" si="28"/>
        <v>389.91999999999996</v>
      </c>
      <c r="KH7" s="1094">
        <f t="shared" si="28"/>
        <v>4408.1859999999997</v>
      </c>
      <c r="KI7" s="1094">
        <f t="shared" si="28"/>
        <v>3969.25</v>
      </c>
      <c r="KJ7" s="1094">
        <f t="shared" si="28"/>
        <v>4116.3399999999992</v>
      </c>
      <c r="KK7" s="1094">
        <f t="shared" si="28"/>
        <v>1915.7160000000001</v>
      </c>
      <c r="KL7" s="1094">
        <f t="shared" si="28"/>
        <v>275.79499999999996</v>
      </c>
      <c r="KM7" s="1094">
        <f t="shared" si="28"/>
        <v>867.25199999999995</v>
      </c>
      <c r="KN7" s="1095">
        <f>SUM(KB7:KM7)</f>
        <v>16811.995999999999</v>
      </c>
      <c r="KO7" s="1250">
        <f t="shared" si="28"/>
        <v>582.2940000000001</v>
      </c>
      <c r="KP7" s="1094">
        <f t="shared" si="28"/>
        <v>115.86900000000001</v>
      </c>
      <c r="KQ7" s="1094">
        <f t="shared" si="28"/>
        <v>56.622</v>
      </c>
      <c r="KR7" s="1094">
        <f t="shared" si="28"/>
        <v>306.19200000000001</v>
      </c>
      <c r="KS7" s="1094">
        <f t="shared" si="28"/>
        <v>542.197</v>
      </c>
      <c r="KT7" s="1094">
        <f t="shared" si="28"/>
        <v>215.154</v>
      </c>
      <c r="KU7" s="1094">
        <f t="shared" si="28"/>
        <v>1659.528</v>
      </c>
      <c r="KV7" s="1094">
        <f t="shared" si="28"/>
        <v>2953.3940000000002</v>
      </c>
      <c r="KW7" s="1094">
        <f t="shared" si="28"/>
        <v>3548.2349999999997</v>
      </c>
      <c r="KX7" s="1094">
        <f t="shared" si="28"/>
        <v>2157.3980000000001</v>
      </c>
      <c r="KY7" s="1094">
        <f t="shared" si="28"/>
        <v>793.5920000000001</v>
      </c>
      <c r="KZ7" s="1094">
        <f t="shared" si="28"/>
        <v>756.83500000000004</v>
      </c>
      <c r="LA7" s="1095">
        <f>SUM(KO7:KZ7)</f>
        <v>13687.310000000001</v>
      </c>
      <c r="LB7" s="1250">
        <f>SUM(LB9:LB39)</f>
        <v>635.48900000029016</v>
      </c>
      <c r="LC7" s="1094">
        <f>SUM(LC9:LC39)</f>
        <v>605.25300000000016</v>
      </c>
      <c r="LD7" s="1094">
        <f>SUM(LD9:LD39)</f>
        <v>117.24499999999999</v>
      </c>
      <c r="LE7" s="1094">
        <f t="shared" ref="LE7:LM7" si="29">SUM(LE9:LE39)</f>
        <v>408.072</v>
      </c>
      <c r="LF7" s="1094">
        <v>226.30200000000002</v>
      </c>
      <c r="LG7" s="1094">
        <v>512.52300000000002</v>
      </c>
      <c r="LH7" s="1094">
        <v>1046.9929999999999</v>
      </c>
      <c r="LI7" s="1094">
        <v>1747.0740000000001</v>
      </c>
      <c r="LJ7" s="1094">
        <f t="shared" si="29"/>
        <v>0</v>
      </c>
      <c r="LK7" s="1094">
        <f t="shared" si="29"/>
        <v>0</v>
      </c>
      <c r="LL7" s="1094">
        <f t="shared" si="29"/>
        <v>0</v>
      </c>
      <c r="LM7" s="1094">
        <f t="shared" si="29"/>
        <v>0</v>
      </c>
      <c r="LN7" s="1095">
        <f>SUM(LB7:LM7)</f>
        <v>5298.9510000002902</v>
      </c>
      <c r="LP7" s="1113">
        <f>IFERROR(((
_xlfn.XLOOKUP((DATE(YEAR($LP$5),MONTH($LP$5),1)),$B$5:$LN$5,$B7:$LN7) /
_xlfn.XLOOKUP((DATE(YEAR($LP$5)-1,MONTH($LP$5),1)),$B$5:$LN$5,$B7:$LN7)
)-1)*100,"")</f>
        <v>-40.845210628856151</v>
      </c>
      <c r="LQ7" s="1171">
        <f>IFERROR(((LS7/LR7)-1)*100,"")</f>
        <v>-17.606204081628142</v>
      </c>
      <c r="LR7" s="1114">
        <f>SUMIFS($B7:$LN7,$B$5:$LN$5,"&gt;="&amp;DATE(YEAR($LP$5)-1,1,1),$B$5:$LN$5,"&lt;="&amp;DATE(YEAR($LP$5)-1,MONTH($LP$5),1))</f>
        <v>6431.25</v>
      </c>
      <c r="LS7" s="1115">
        <f>SUMIFS($B7:$LN7,$B$5:$LN$5,"&gt;="&amp;DATE(YEAR($LP$5),1,1),$B$5:$LN$5,"&lt;="&amp;$LP$5)</f>
        <v>5298.9510000002902</v>
      </c>
      <c r="LT7" s="38"/>
      <c r="LU7" s="1013"/>
      <c r="LV7" s="1284"/>
      <c r="LW7" s="1285"/>
      <c r="LX7" s="1266"/>
    </row>
    <row r="8" spans="1:336" ht="15" customHeight="1" x14ac:dyDescent="0.2">
      <c r="A8" s="1279"/>
      <c r="B8" s="1251"/>
      <c r="C8" s="1096"/>
      <c r="D8" s="1096"/>
      <c r="E8" s="1096"/>
      <c r="F8" s="1096"/>
      <c r="G8" s="1096"/>
      <c r="H8" s="1096"/>
      <c r="I8" s="1096"/>
      <c r="J8" s="1096"/>
      <c r="K8" s="1096"/>
      <c r="L8" s="1096"/>
      <c r="M8" s="1096"/>
      <c r="N8" s="1097"/>
      <c r="O8" s="1251"/>
      <c r="P8" s="1096"/>
      <c r="Q8" s="1096"/>
      <c r="R8" s="1096"/>
      <c r="S8" s="1096"/>
      <c r="T8" s="1096"/>
      <c r="U8" s="1096"/>
      <c r="V8" s="1096"/>
      <c r="W8" s="1096"/>
      <c r="X8" s="1096"/>
      <c r="Y8" s="1096"/>
      <c r="Z8" s="1096"/>
      <c r="AA8" s="1097"/>
      <c r="AB8" s="1251"/>
      <c r="AC8" s="1096"/>
      <c r="AD8" s="1096"/>
      <c r="AE8" s="1096"/>
      <c r="AF8" s="1096"/>
      <c r="AG8" s="1096"/>
      <c r="AH8" s="1096"/>
      <c r="AI8" s="1096"/>
      <c r="AJ8" s="1096"/>
      <c r="AK8" s="1096"/>
      <c r="AL8" s="1096"/>
      <c r="AM8" s="1096"/>
      <c r="AN8" s="1097"/>
      <c r="AO8" s="1251"/>
      <c r="AP8" s="1096"/>
      <c r="AQ8" s="1096"/>
      <c r="AR8" s="1096"/>
      <c r="AS8" s="1096"/>
      <c r="AT8" s="1096"/>
      <c r="AU8" s="1096"/>
      <c r="AV8" s="1096"/>
      <c r="AW8" s="1096"/>
      <c r="AX8" s="1096"/>
      <c r="AY8" s="1096"/>
      <c r="AZ8" s="1096"/>
      <c r="BA8" s="1097"/>
      <c r="BB8" s="1251"/>
      <c r="BC8" s="1096"/>
      <c r="BD8" s="1096"/>
      <c r="BE8" s="1096"/>
      <c r="BF8" s="1096"/>
      <c r="BG8" s="1096"/>
      <c r="BH8" s="1096"/>
      <c r="BI8" s="1096"/>
      <c r="BJ8" s="1096"/>
      <c r="BK8" s="1096"/>
      <c r="BL8" s="1096"/>
      <c r="BM8" s="1096"/>
      <c r="BN8" s="1097"/>
      <c r="BO8" s="1251"/>
      <c r="BP8" s="1096"/>
      <c r="BQ8" s="1096"/>
      <c r="BR8" s="1096"/>
      <c r="BS8" s="1096"/>
      <c r="BT8" s="1096"/>
      <c r="BU8" s="1096"/>
      <c r="BV8" s="1096"/>
      <c r="BW8" s="1096"/>
      <c r="BX8" s="1096"/>
      <c r="BY8" s="1096"/>
      <c r="BZ8" s="1096"/>
      <c r="CA8" s="1097"/>
      <c r="CB8" s="1251"/>
      <c r="CC8" s="1096"/>
      <c r="CD8" s="1096"/>
      <c r="CE8" s="1096"/>
      <c r="CF8" s="1096"/>
      <c r="CG8" s="1096"/>
      <c r="CH8" s="1096"/>
      <c r="CI8" s="1096"/>
      <c r="CJ8" s="1096"/>
      <c r="CK8" s="1096"/>
      <c r="CL8" s="1096"/>
      <c r="CM8" s="1096"/>
      <c r="CN8" s="1097"/>
      <c r="CO8" s="1251"/>
      <c r="CP8" s="1096"/>
      <c r="CQ8" s="1096"/>
      <c r="CR8" s="1096"/>
      <c r="CS8" s="1096"/>
      <c r="CT8" s="1096"/>
      <c r="CU8" s="1096"/>
      <c r="CV8" s="1096"/>
      <c r="CW8" s="1096"/>
      <c r="CX8" s="1096"/>
      <c r="CY8" s="1096"/>
      <c r="CZ8" s="1096"/>
      <c r="DA8" s="1097"/>
      <c r="DB8" s="1251"/>
      <c r="DC8" s="1096"/>
      <c r="DD8" s="1096"/>
      <c r="DE8" s="1096"/>
      <c r="DF8" s="1096"/>
      <c r="DG8" s="1096"/>
      <c r="DH8" s="1096"/>
      <c r="DI8" s="1096"/>
      <c r="DJ8" s="1096"/>
      <c r="DK8" s="1096"/>
      <c r="DL8" s="1096"/>
      <c r="DM8" s="1096"/>
      <c r="DN8" s="1097"/>
      <c r="DO8" s="1251"/>
      <c r="DP8" s="1096"/>
      <c r="DQ8" s="1096"/>
      <c r="DR8" s="1096"/>
      <c r="DS8" s="1096"/>
      <c r="DT8" s="1096"/>
      <c r="DU8" s="1096"/>
      <c r="DV8" s="1096"/>
      <c r="DW8" s="1096"/>
      <c r="DX8" s="1096"/>
      <c r="DY8" s="1096"/>
      <c r="DZ8" s="1096"/>
      <c r="EA8" s="1097"/>
      <c r="EB8" s="1251"/>
      <c r="EC8" s="1096"/>
      <c r="ED8" s="1096"/>
      <c r="EE8" s="1096"/>
      <c r="EF8" s="1096"/>
      <c r="EG8" s="1096"/>
      <c r="EH8" s="1096"/>
      <c r="EI8" s="1096"/>
      <c r="EJ8" s="1096"/>
      <c r="EK8" s="1096"/>
      <c r="EL8" s="1096"/>
      <c r="EM8" s="1096"/>
      <c r="EN8" s="1097"/>
      <c r="EO8" s="1251"/>
      <c r="EP8" s="1096"/>
      <c r="EQ8" s="1096"/>
      <c r="ER8" s="1096"/>
      <c r="ES8" s="1096"/>
      <c r="ET8" s="1096"/>
      <c r="EU8" s="1096"/>
      <c r="EV8" s="1096"/>
      <c r="EW8" s="1096"/>
      <c r="EX8" s="1096"/>
      <c r="EY8" s="1096"/>
      <c r="EZ8" s="1096"/>
      <c r="FA8" s="1097"/>
      <c r="FB8" s="1251"/>
      <c r="FC8" s="1096"/>
      <c r="FD8" s="1096"/>
      <c r="FE8" s="1096"/>
      <c r="FF8" s="1096"/>
      <c r="FG8" s="1096"/>
      <c r="FH8" s="1096"/>
      <c r="FI8" s="1096"/>
      <c r="FJ8" s="1096"/>
      <c r="FK8" s="1096"/>
      <c r="FL8" s="1096"/>
      <c r="FM8" s="1096"/>
      <c r="FN8" s="1097"/>
      <c r="FO8" s="1251"/>
      <c r="FP8" s="1096"/>
      <c r="FQ8" s="1096"/>
      <c r="FR8" s="1096"/>
      <c r="FS8" s="1096"/>
      <c r="FT8" s="1096"/>
      <c r="FU8" s="1096"/>
      <c r="FV8" s="1096"/>
      <c r="FW8" s="1096"/>
      <c r="FX8" s="1096"/>
      <c r="FY8" s="1096"/>
      <c r="FZ8" s="1096"/>
      <c r="GA8" s="1097"/>
      <c r="GB8" s="1251"/>
      <c r="GC8" s="1096"/>
      <c r="GD8" s="1096"/>
      <c r="GE8" s="1096"/>
      <c r="GF8" s="1096"/>
      <c r="GG8" s="1096"/>
      <c r="GH8" s="1096"/>
      <c r="GI8" s="1096"/>
      <c r="GJ8" s="1096"/>
      <c r="GK8" s="1096"/>
      <c r="GL8" s="1096"/>
      <c r="GM8" s="1096"/>
      <c r="GN8" s="1097"/>
      <c r="GO8" s="1251"/>
      <c r="GP8" s="1096"/>
      <c r="GQ8" s="1096"/>
      <c r="GR8" s="1096"/>
      <c r="GS8" s="1096"/>
      <c r="GT8" s="1096"/>
      <c r="GU8" s="1096"/>
      <c r="GV8" s="1096"/>
      <c r="GW8" s="1096"/>
      <c r="GX8" s="1096"/>
      <c r="GY8" s="1096"/>
      <c r="GZ8" s="1096"/>
      <c r="HA8" s="1097"/>
      <c r="HB8" s="1251"/>
      <c r="HC8" s="1096"/>
      <c r="HD8" s="1096"/>
      <c r="HE8" s="1096"/>
      <c r="HF8" s="1096"/>
      <c r="HG8" s="1096"/>
      <c r="HH8" s="1096"/>
      <c r="HI8" s="1096"/>
      <c r="HJ8" s="1096"/>
      <c r="HK8" s="1096"/>
      <c r="HL8" s="1096"/>
      <c r="HM8" s="1096"/>
      <c r="HN8" s="1097"/>
      <c r="HO8" s="1251"/>
      <c r="HP8" s="1096"/>
      <c r="HQ8" s="1096"/>
      <c r="HR8" s="1096"/>
      <c r="HS8" s="1096"/>
      <c r="HT8" s="1096"/>
      <c r="HU8" s="1096"/>
      <c r="HV8" s="1096"/>
      <c r="HW8" s="1096"/>
      <c r="HX8" s="1096"/>
      <c r="HY8" s="1096"/>
      <c r="HZ8" s="1096"/>
      <c r="IA8" s="1097"/>
      <c r="IB8" s="1251"/>
      <c r="IC8" s="1096"/>
      <c r="ID8" s="1096"/>
      <c r="IE8" s="1096"/>
      <c r="IF8" s="1096"/>
      <c r="IG8" s="1096"/>
      <c r="IH8" s="1096"/>
      <c r="II8" s="1096"/>
      <c r="IJ8" s="1096"/>
      <c r="IK8" s="1096"/>
      <c r="IL8" s="1096"/>
      <c r="IM8" s="1096"/>
      <c r="IN8" s="1097"/>
      <c r="IO8" s="1251"/>
      <c r="IP8" s="1096"/>
      <c r="IQ8" s="1096"/>
      <c r="IR8" s="1096"/>
      <c r="IS8" s="1096"/>
      <c r="IT8" s="1096"/>
      <c r="IU8" s="1096"/>
      <c r="IV8" s="1096"/>
      <c r="IW8" s="1096"/>
      <c r="IX8" s="1096"/>
      <c r="IY8" s="1096"/>
      <c r="IZ8" s="1096"/>
      <c r="JA8" s="1097"/>
      <c r="JB8" s="1251"/>
      <c r="JC8" s="1096"/>
      <c r="JD8" s="1096"/>
      <c r="JE8" s="1096"/>
      <c r="JF8" s="1096"/>
      <c r="JG8" s="1096"/>
      <c r="JH8" s="1096"/>
      <c r="JI8" s="1096"/>
      <c r="JJ8" s="1096"/>
      <c r="JK8" s="1096"/>
      <c r="JL8" s="1096"/>
      <c r="JM8" s="1096"/>
      <c r="JN8" s="1097"/>
      <c r="JO8" s="1251"/>
      <c r="JP8" s="1096"/>
      <c r="JQ8" s="1096"/>
      <c r="JR8" s="1096"/>
      <c r="JS8" s="1096"/>
      <c r="JT8" s="1096"/>
      <c r="JU8" s="1096"/>
      <c r="JV8" s="1096"/>
      <c r="JW8" s="1096"/>
      <c r="JX8" s="1096"/>
      <c r="JY8" s="1096"/>
      <c r="JZ8" s="1096"/>
      <c r="KA8" s="1097"/>
      <c r="KB8" s="1251"/>
      <c r="KC8" s="1096"/>
      <c r="KD8" s="1096"/>
      <c r="KE8" s="1096"/>
      <c r="KF8" s="1096"/>
      <c r="KG8" s="1096"/>
      <c r="KH8" s="1096"/>
      <c r="KI8" s="1096"/>
      <c r="KJ8" s="1096"/>
      <c r="KK8" s="1096"/>
      <c r="KL8" s="1096"/>
      <c r="KM8" s="1096"/>
      <c r="KN8" s="1097"/>
      <c r="KO8" s="1251"/>
      <c r="KP8" s="1096"/>
      <c r="KQ8" s="1096"/>
      <c r="KR8" s="1096"/>
      <c r="KS8" s="1096"/>
      <c r="KT8" s="1096"/>
      <c r="KU8" s="1096"/>
      <c r="KV8" s="1096"/>
      <c r="KW8" s="1096"/>
      <c r="KX8" s="1096"/>
      <c r="KY8" s="1096"/>
      <c r="KZ8" s="1096"/>
      <c r="LA8" s="1097"/>
      <c r="LB8" s="1251"/>
      <c r="LC8" s="1096"/>
      <c r="LD8" s="1096"/>
      <c r="LE8" s="1096"/>
      <c r="LF8" s="1096"/>
      <c r="LG8" s="1096"/>
      <c r="LH8" s="1096"/>
      <c r="LI8" s="1096"/>
      <c r="LJ8" s="1096"/>
      <c r="LK8" s="1096"/>
      <c r="LL8" s="1096"/>
      <c r="LM8" s="1096"/>
      <c r="LN8" s="1097"/>
      <c r="LP8" s="1137"/>
      <c r="LQ8" s="1138"/>
      <c r="LR8" s="1139"/>
      <c r="LS8" s="1140"/>
      <c r="LT8" s="38"/>
      <c r="LU8" s="1013"/>
      <c r="LV8" s="1284"/>
      <c r="LW8" s="1286"/>
      <c r="LX8" s="1266"/>
    </row>
    <row r="9" spans="1:336" ht="15" customHeight="1" x14ac:dyDescent="0.2">
      <c r="A9" s="1280" t="s">
        <v>50</v>
      </c>
      <c r="B9" s="1252">
        <v>174.87700000000001</v>
      </c>
      <c r="C9" s="1098">
        <v>32.79</v>
      </c>
      <c r="D9" s="1098">
        <v>39.194000000000003</v>
      </c>
      <c r="E9" s="1098">
        <v>30.483000000000001</v>
      </c>
      <c r="F9" s="1098">
        <v>18.422000000000001</v>
      </c>
      <c r="G9" s="1098">
        <v>15.42</v>
      </c>
      <c r="H9" s="1098">
        <v>27.628</v>
      </c>
      <c r="I9" s="1098">
        <v>45.116</v>
      </c>
      <c r="J9" s="1098">
        <v>143.45699999999999</v>
      </c>
      <c r="K9" s="1098"/>
      <c r="L9" s="1098">
        <v>20.239999999999998</v>
      </c>
      <c r="M9" s="1098">
        <v>136.39500000000001</v>
      </c>
      <c r="N9" s="1097">
        <f t="shared" ref="N9:N38" si="30">SUM(B9:M9)</f>
        <v>684.02199999999993</v>
      </c>
      <c r="O9" s="1252">
        <v>78.302000000000007</v>
      </c>
      <c r="P9" s="1098">
        <v>60.445999999999998</v>
      </c>
      <c r="Q9" s="1098">
        <v>64.102000000000004</v>
      </c>
      <c r="R9" s="1098"/>
      <c r="S9" s="1098">
        <v>79.421000000000006</v>
      </c>
      <c r="T9" s="1098">
        <v>76.981999999999999</v>
      </c>
      <c r="U9" s="1098">
        <v>52.488</v>
      </c>
      <c r="V9" s="1098">
        <v>91.792000000000002</v>
      </c>
      <c r="W9" s="1098">
        <v>39.311999999999998</v>
      </c>
      <c r="X9" s="1098">
        <v>159.44900000000001</v>
      </c>
      <c r="Y9" s="1098">
        <v>149.357</v>
      </c>
      <c r="Z9" s="1098">
        <v>14.276</v>
      </c>
      <c r="AA9" s="1097">
        <f t="shared" ref="AA9:AA38" si="31">SUM(O9:Z9)</f>
        <v>865.92700000000002</v>
      </c>
      <c r="AB9" s="1252"/>
      <c r="AC9" s="1098">
        <v>17.808</v>
      </c>
      <c r="AD9" s="1098">
        <v>16.263999999999999</v>
      </c>
      <c r="AE9" s="1098">
        <v>47.61</v>
      </c>
      <c r="AF9" s="1098">
        <v>24.866</v>
      </c>
      <c r="AG9" s="1098">
        <v>182.37700000000001</v>
      </c>
      <c r="AH9" s="1098"/>
      <c r="AI9" s="1098">
        <v>148.34399999999999</v>
      </c>
      <c r="AJ9" s="1098">
        <v>248.50899999999999</v>
      </c>
      <c r="AK9" s="1098">
        <v>345.81200000000001</v>
      </c>
      <c r="AL9" s="1098">
        <v>456.47500000000002</v>
      </c>
      <c r="AM9" s="1098">
        <v>397.03899999999999</v>
      </c>
      <c r="AN9" s="1097">
        <f t="shared" ref="AN9:AN38" si="32">SUM(AB9:AM9)</f>
        <v>1885.104</v>
      </c>
      <c r="AO9" s="1252">
        <v>170.34200000000001</v>
      </c>
      <c r="AP9" s="1098">
        <v>259.03500000000003</v>
      </c>
      <c r="AQ9" s="1098">
        <v>110.07599999999999</v>
      </c>
      <c r="AR9" s="1098">
        <v>32.384999999999998</v>
      </c>
      <c r="AS9" s="1098">
        <v>45.463999999999999</v>
      </c>
      <c r="AT9" s="1098">
        <v>358</v>
      </c>
      <c r="AU9" s="1098">
        <v>31</v>
      </c>
      <c r="AV9" s="1098">
        <v>113</v>
      </c>
      <c r="AW9" s="1098">
        <v>111</v>
      </c>
      <c r="AX9" s="1098">
        <v>307</v>
      </c>
      <c r="AY9" s="1098">
        <v>268</v>
      </c>
      <c r="AZ9" s="1098">
        <v>412</v>
      </c>
      <c r="BA9" s="1097">
        <f t="shared" ref="BA9:BA38" si="33">SUM(AO9:AZ9)</f>
        <v>2217.3020000000001</v>
      </c>
      <c r="BB9" s="1252">
        <v>111</v>
      </c>
      <c r="BC9" s="1098">
        <v>67</v>
      </c>
      <c r="BD9" s="1098">
        <v>111</v>
      </c>
      <c r="BE9" s="1098"/>
      <c r="BF9" s="1098">
        <v>104</v>
      </c>
      <c r="BG9" s="1098">
        <v>23</v>
      </c>
      <c r="BH9" s="1098">
        <v>241</v>
      </c>
      <c r="BI9" s="1098">
        <v>113</v>
      </c>
      <c r="BJ9" s="1098">
        <v>129</v>
      </c>
      <c r="BK9" s="1098">
        <v>63.575000000000003</v>
      </c>
      <c r="BL9" s="1098">
        <v>153.173</v>
      </c>
      <c r="BM9" s="1098">
        <v>44</v>
      </c>
      <c r="BN9" s="1097">
        <f t="shared" ref="BN9:BN38" si="34">SUM(BB9:BM9)</f>
        <v>1159.748</v>
      </c>
      <c r="BO9" s="1252">
        <v>63.860999999999997</v>
      </c>
      <c r="BP9" s="1098">
        <v>148.29300000000001</v>
      </c>
      <c r="BQ9" s="1098">
        <v>46.850999999999999</v>
      </c>
      <c r="BR9" s="1098">
        <v>2.637</v>
      </c>
      <c r="BS9" s="1098">
        <v>71.055000000000007</v>
      </c>
      <c r="BT9" s="1098">
        <v>52.847000000000001</v>
      </c>
      <c r="BU9" s="1098"/>
      <c r="BV9" s="1098">
        <v>55.875999999999998</v>
      </c>
      <c r="BW9" s="1098">
        <v>100.994</v>
      </c>
      <c r="BX9" s="1098">
        <v>93.850999999999999</v>
      </c>
      <c r="BY9" s="1098">
        <v>46</v>
      </c>
      <c r="BZ9" s="1098"/>
      <c r="CA9" s="1097">
        <f t="shared" ref="CA9:CA38" si="35">SUM(BO9:BZ9)</f>
        <v>682.26499999999999</v>
      </c>
      <c r="CB9" s="1252">
        <v>13</v>
      </c>
      <c r="CC9" s="1098">
        <v>36</v>
      </c>
      <c r="CD9" s="1098"/>
      <c r="CE9" s="1098"/>
      <c r="CF9" s="1098"/>
      <c r="CG9" s="1098"/>
      <c r="CH9" s="1098"/>
      <c r="CI9" s="1098"/>
      <c r="CJ9" s="1098"/>
      <c r="CK9" s="1098"/>
      <c r="CL9" s="1098"/>
      <c r="CM9" s="1098"/>
      <c r="CN9" s="1097">
        <f t="shared" ref="CN9:CN38" si="36">SUM(CB9:CM9)</f>
        <v>49</v>
      </c>
      <c r="CO9" s="1252"/>
      <c r="CP9" s="1098"/>
      <c r="CQ9" s="1098"/>
      <c r="CR9" s="1098"/>
      <c r="CS9" s="1098"/>
      <c r="CT9" s="1098"/>
      <c r="CU9" s="1098"/>
      <c r="CV9" s="1098"/>
      <c r="CW9" s="1098"/>
      <c r="CX9" s="1098"/>
      <c r="CY9" s="1098"/>
      <c r="CZ9" s="1098"/>
      <c r="DA9" s="1097">
        <f t="shared" ref="DA9:DA38" si="37">SUM(CO9:CZ9)</f>
        <v>0</v>
      </c>
      <c r="DB9" s="1252"/>
      <c r="DC9" s="1098"/>
      <c r="DD9" s="1098"/>
      <c r="DE9" s="1098"/>
      <c r="DF9" s="1098"/>
      <c r="DG9" s="1098"/>
      <c r="DH9" s="1098"/>
      <c r="DI9" s="1098"/>
      <c r="DJ9" s="1098"/>
      <c r="DK9" s="1098"/>
      <c r="DL9" s="1098"/>
      <c r="DM9" s="1098"/>
      <c r="DN9" s="1097">
        <f t="shared" ref="DN9:DN38" si="38">SUM(DB9:DM9)</f>
        <v>0</v>
      </c>
      <c r="DO9" s="1252"/>
      <c r="DP9" s="1098"/>
      <c r="DQ9" s="1098"/>
      <c r="DR9" s="1098"/>
      <c r="DS9" s="1098"/>
      <c r="DT9" s="1098"/>
      <c r="DU9" s="1098"/>
      <c r="DV9" s="1098"/>
      <c r="DW9" s="1098"/>
      <c r="DX9" s="1098"/>
      <c r="DY9" s="1098"/>
      <c r="DZ9" s="1098"/>
      <c r="EA9" s="1097">
        <f t="shared" ref="EA9:EA38" si="39">SUM(DO9:DZ9)</f>
        <v>0</v>
      </c>
      <c r="EB9" s="1252"/>
      <c r="EC9" s="1098"/>
      <c r="ED9" s="1098"/>
      <c r="EE9" s="1098"/>
      <c r="EF9" s="1098"/>
      <c r="EG9" s="1098"/>
      <c r="EH9" s="1098"/>
      <c r="EI9" s="1098"/>
      <c r="EJ9" s="1098"/>
      <c r="EK9" s="1098"/>
      <c r="EL9" s="1098"/>
      <c r="EM9" s="1098"/>
      <c r="EN9" s="1097">
        <f t="shared" ref="EN9:EN38" si="40">SUM(EB9:EM9)</f>
        <v>0</v>
      </c>
      <c r="EO9" s="1252"/>
      <c r="EP9" s="1098"/>
      <c r="EQ9" s="1098"/>
      <c r="ER9" s="1098"/>
      <c r="ES9" s="1098"/>
      <c r="ET9" s="1098"/>
      <c r="EU9" s="1098"/>
      <c r="EV9" s="1098"/>
      <c r="EW9" s="1098"/>
      <c r="EX9" s="1098"/>
      <c r="EY9" s="1098"/>
      <c r="EZ9" s="1098"/>
      <c r="FA9" s="1097">
        <f t="shared" ref="FA9:FA38" si="41">SUM(EO9:EZ9)</f>
        <v>0</v>
      </c>
      <c r="FB9" s="1252"/>
      <c r="FC9" s="1098"/>
      <c r="FD9" s="1098"/>
      <c r="FE9" s="1098"/>
      <c r="FF9" s="1098"/>
      <c r="FG9" s="1098"/>
      <c r="FH9" s="1098"/>
      <c r="FI9" s="1098"/>
      <c r="FJ9" s="1098"/>
      <c r="FK9" s="1098"/>
      <c r="FL9" s="1098"/>
      <c r="FM9" s="1098"/>
      <c r="FN9" s="1097">
        <f t="shared" ref="FN9:FN38" si="42">SUM(FB9:FM9)</f>
        <v>0</v>
      </c>
      <c r="FO9" s="1252"/>
      <c r="FP9" s="1098"/>
      <c r="FQ9" s="1098"/>
      <c r="FR9" s="1098"/>
      <c r="FS9" s="1098"/>
      <c r="FT9" s="1098"/>
      <c r="FU9" s="1098"/>
      <c r="FV9" s="1098"/>
      <c r="FW9" s="1098"/>
      <c r="FX9" s="1098"/>
      <c r="FY9" s="1098"/>
      <c r="FZ9" s="1098"/>
      <c r="GA9" s="1097">
        <f t="shared" ref="GA9:GA38" si="43">SUM(FO9:FZ9)</f>
        <v>0</v>
      </c>
      <c r="GB9" s="1252"/>
      <c r="GC9" s="1098"/>
      <c r="GD9" s="1098"/>
      <c r="GE9" s="1098"/>
      <c r="GF9" s="1098"/>
      <c r="GG9" s="1098"/>
      <c r="GH9" s="1098"/>
      <c r="GI9" s="1098"/>
      <c r="GJ9" s="1098"/>
      <c r="GK9" s="1098"/>
      <c r="GL9" s="1098"/>
      <c r="GM9" s="1098"/>
      <c r="GN9" s="1097">
        <f t="shared" ref="GN9:GN38" si="44">SUM(GB9:GM9)</f>
        <v>0</v>
      </c>
      <c r="GO9" s="1252"/>
      <c r="GP9" s="1098"/>
      <c r="GQ9" s="1098"/>
      <c r="GR9" s="1098"/>
      <c r="GS9" s="1098"/>
      <c r="GT9" s="1098"/>
      <c r="GU9" s="1098"/>
      <c r="GV9" s="1098"/>
      <c r="GW9" s="1098"/>
      <c r="GX9" s="1098"/>
      <c r="GY9" s="1098"/>
      <c r="GZ9" s="1098"/>
      <c r="HA9" s="1097">
        <f t="shared" ref="HA9:HA38" si="45">SUM(GO9:GZ9)</f>
        <v>0</v>
      </c>
      <c r="HB9" s="1252"/>
      <c r="HC9" s="1098"/>
      <c r="HD9" s="1098"/>
      <c r="HE9" s="1098"/>
      <c r="HF9" s="1098"/>
      <c r="HG9" s="1098"/>
      <c r="HH9" s="1098"/>
      <c r="HI9" s="1098"/>
      <c r="HJ9" s="1098"/>
      <c r="HK9" s="1098"/>
      <c r="HL9" s="1098"/>
      <c r="HM9" s="1098"/>
      <c r="HN9" s="1097">
        <f t="shared" ref="HN9:HN38" si="46">SUM(HB9:HM9)</f>
        <v>0</v>
      </c>
      <c r="HO9" s="1252"/>
      <c r="HP9" s="1098"/>
      <c r="HQ9" s="1098"/>
      <c r="HR9" s="1098"/>
      <c r="HS9" s="1098"/>
      <c r="HT9" s="1098"/>
      <c r="HU9" s="1098"/>
      <c r="HV9" s="1098"/>
      <c r="HW9" s="1098"/>
      <c r="HX9" s="1098"/>
      <c r="HY9" s="1098"/>
      <c r="HZ9" s="1098"/>
      <c r="IA9" s="1097">
        <f t="shared" ref="IA9:IA38" si="47">SUM(HO9:HZ9)</f>
        <v>0</v>
      </c>
      <c r="IB9" s="1252"/>
      <c r="IC9" s="1098"/>
      <c r="ID9" s="1098"/>
      <c r="IE9" s="1098"/>
      <c r="IF9" s="1098"/>
      <c r="IG9" s="1098"/>
      <c r="IH9" s="1098"/>
      <c r="II9" s="1098">
        <v>5.2960000000000003</v>
      </c>
      <c r="IJ9" s="1098">
        <v>12.746</v>
      </c>
      <c r="IK9" s="1098"/>
      <c r="IL9" s="1098"/>
      <c r="IM9" s="1098"/>
      <c r="IN9" s="1097">
        <f t="shared" ref="IN9:IN38" si="48">SUM(IB9:IM9)</f>
        <v>18.042000000000002</v>
      </c>
      <c r="IO9" s="1252">
        <v>5.3680000000000003</v>
      </c>
      <c r="IP9" s="1098"/>
      <c r="IQ9" s="1098"/>
      <c r="IR9" s="1098"/>
      <c r="IS9" s="1098"/>
      <c r="IT9" s="1098">
        <v>4.2249999999999996</v>
      </c>
      <c r="IU9" s="1098"/>
      <c r="IV9" s="1098">
        <v>3.996</v>
      </c>
      <c r="IW9" s="1098">
        <v>2.145</v>
      </c>
      <c r="IX9" s="1098">
        <v>22.076000000000001</v>
      </c>
      <c r="IY9" s="1098">
        <v>5.5170000000000003</v>
      </c>
      <c r="IZ9" s="1098">
        <v>5.7690000000000001</v>
      </c>
      <c r="JA9" s="1097">
        <f t="shared" ref="JA9:JA38" si="49">SUM(IO9:IZ9)</f>
        <v>49.096000000000004</v>
      </c>
      <c r="JB9" s="1252"/>
      <c r="JC9" s="1098"/>
      <c r="JD9" s="1098"/>
      <c r="JE9" s="1098"/>
      <c r="JF9" s="1098"/>
      <c r="JG9" s="1098">
        <v>26.372</v>
      </c>
      <c r="JH9" s="1098"/>
      <c r="JI9" s="1098">
        <v>3.2810000000000001</v>
      </c>
      <c r="JJ9" s="1098"/>
      <c r="JK9" s="1098"/>
      <c r="JL9" s="1098"/>
      <c r="JM9" s="1098"/>
      <c r="JN9" s="1097">
        <f t="shared" ref="JN9:JN38" si="50">SUM(JB9:JM9)</f>
        <v>29.652999999999999</v>
      </c>
      <c r="JO9" s="1252"/>
      <c r="JP9" s="1098"/>
      <c r="JQ9" s="1098"/>
      <c r="JR9" s="1098"/>
      <c r="JS9" s="1098"/>
      <c r="JT9" s="1098"/>
      <c r="JU9" s="1098">
        <v>6.9829999999999997</v>
      </c>
      <c r="JV9" s="1098">
        <v>40.607999999999997</v>
      </c>
      <c r="JW9" s="1098"/>
      <c r="JX9" s="1098"/>
      <c r="JY9" s="1098"/>
      <c r="JZ9" s="1098"/>
      <c r="KA9" s="1097">
        <f t="shared" ref="KA9:KA38" si="51">SUM(JO9:JZ9)</f>
        <v>47.590999999999994</v>
      </c>
      <c r="KB9" s="1252"/>
      <c r="KC9" s="1098"/>
      <c r="KD9" s="1098"/>
      <c r="KE9" s="1098"/>
      <c r="KF9" s="1098"/>
      <c r="KG9" s="1098"/>
      <c r="KH9" s="1098">
        <v>59.715000000000003</v>
      </c>
      <c r="KI9" s="1098">
        <v>89.36</v>
      </c>
      <c r="KJ9" s="1098">
        <v>40.564999999999998</v>
      </c>
      <c r="KK9" s="1098">
        <v>16.024000000000001</v>
      </c>
      <c r="KL9" s="1098"/>
      <c r="KM9" s="1098"/>
      <c r="KN9" s="1097">
        <f t="shared" ref="KN9:KN38" si="52">SUM(KB9:KM9)</f>
        <v>205.66399999999999</v>
      </c>
      <c r="KO9" s="1252"/>
      <c r="KP9" s="1098"/>
      <c r="KQ9" s="1098"/>
      <c r="KR9" s="1098"/>
      <c r="KS9" s="1098"/>
      <c r="KT9" s="1098"/>
      <c r="KU9" s="1098"/>
      <c r="KV9" s="1098">
        <v>42.625999999999998</v>
      </c>
      <c r="KW9" s="1098">
        <v>16.922000000000001</v>
      </c>
      <c r="KX9" s="1098">
        <v>28.303000000000001</v>
      </c>
      <c r="KY9" s="1098"/>
      <c r="KZ9" s="1098">
        <v>6.0910000000000002</v>
      </c>
      <c r="LA9" s="1097">
        <f t="shared" ref="LA9:LA38" si="53">SUM(KO9:KZ9)</f>
        <v>93.941999999999993</v>
      </c>
      <c r="LB9" s="1252">
        <v>9.9999999999999994E-12</v>
      </c>
      <c r="LC9" s="1098"/>
      <c r="LD9" s="1098"/>
      <c r="LE9" s="1098"/>
      <c r="LF9" s="1098"/>
      <c r="LG9" s="1098">
        <v>2.476</v>
      </c>
      <c r="LH9" s="1098">
        <v>20</v>
      </c>
      <c r="LI9" s="1098">
        <v>26.148000000000003</v>
      </c>
      <c r="LJ9" s="1098"/>
      <c r="LK9" s="1098"/>
      <c r="LL9" s="1098"/>
      <c r="LM9" s="1098"/>
      <c r="LN9" s="1097">
        <f t="shared" ref="LN9:LN38" si="54">SUM(LB9:LM9)</f>
        <v>48.62400000001</v>
      </c>
      <c r="LP9" s="1178">
        <f t="shared" ref="LP9:LP38" si="55">IFERROR(((
_xlfn.XLOOKUP((DATE(YEAR($LP$5),MONTH($LP$5),1)),$B$5:$LN$5,$B9:$LN9) /
_xlfn.XLOOKUP((DATE(YEAR($LP$5)-1,MONTH($LP$5),1)),$B$5:$LN$5,$B9:$LN9)
)-1)*100,"")</f>
        <v>-38.657157603340679</v>
      </c>
      <c r="LQ9" s="1179">
        <f t="shared" ref="LQ9:LQ38" si="56">IFERROR(((LS9/LR9)-1)*100,"")</f>
        <v>14.071224135527615</v>
      </c>
      <c r="LR9" s="1188">
        <f t="shared" ref="LR9:LR38" si="57">SUMIFS($B9:$LN9,$B$5:$LN$5,"&gt;="&amp;DATE(YEAR($LP$5)-1,1,1),$B$5:$LN$5,"&lt;="&amp;DATE(YEAR($LP$5)-1,MONTH($LP$5),1))</f>
        <v>42.625999999999998</v>
      </c>
      <c r="LS9" s="1189">
        <f t="shared" ref="LS9:LS38" si="58">SUMIFS($B9:$LN9,$B$5:$LN$5,"&gt;="&amp;DATE(YEAR($LP$5),1,1),$B$5:$LN$5,"&lt;="&amp;$LP$5)</f>
        <v>48.62400000001</v>
      </c>
      <c r="LU9" s="629"/>
      <c r="LV9" s="1139">
        <f t="shared" ref="LV9:LV38" si="59">SUM(B9:LN9)</f>
        <v>16071.960000000023</v>
      </c>
      <c r="LW9" s="1286" t="s">
        <v>50</v>
      </c>
      <c r="LX9" s="1147" t="str">
        <f t="shared" ref="LX9:LX38" si="60">IF(EXACT(A9,LW9)=TRUE,"OK","VER")</f>
        <v>OK</v>
      </c>
    </row>
    <row r="10" spans="1:336" ht="15" customHeight="1" x14ac:dyDescent="0.2">
      <c r="A10" s="1280" t="s">
        <v>102</v>
      </c>
      <c r="B10" s="1252"/>
      <c r="C10" s="1098"/>
      <c r="D10" s="1098"/>
      <c r="E10" s="1098"/>
      <c r="F10" s="1098"/>
      <c r="G10" s="1098"/>
      <c r="H10" s="1098"/>
      <c r="I10" s="1098"/>
      <c r="J10" s="1098"/>
      <c r="K10" s="1098"/>
      <c r="L10" s="1098"/>
      <c r="M10" s="1098">
        <v>63.634999999999998</v>
      </c>
      <c r="N10" s="1097">
        <f t="shared" si="30"/>
        <v>63.634999999999998</v>
      </c>
      <c r="O10" s="1252"/>
      <c r="P10" s="1098"/>
      <c r="Q10" s="1098"/>
      <c r="R10" s="1098"/>
      <c r="S10" s="1098"/>
      <c r="T10" s="1098"/>
      <c r="U10" s="1098">
        <v>1.891</v>
      </c>
      <c r="V10" s="1098"/>
      <c r="W10" s="1098"/>
      <c r="X10" s="1098"/>
      <c r="Y10" s="1098"/>
      <c r="Z10" s="1098"/>
      <c r="AA10" s="1097">
        <f t="shared" si="31"/>
        <v>1.891</v>
      </c>
      <c r="AB10" s="1252"/>
      <c r="AC10" s="1098"/>
      <c r="AD10" s="1098"/>
      <c r="AE10" s="1098"/>
      <c r="AF10" s="1098"/>
      <c r="AG10" s="1098"/>
      <c r="AH10" s="1098"/>
      <c r="AI10" s="1098"/>
      <c r="AJ10" s="1098"/>
      <c r="AK10" s="1098"/>
      <c r="AL10" s="1098"/>
      <c r="AM10" s="1098"/>
      <c r="AN10" s="1097">
        <f t="shared" si="32"/>
        <v>0</v>
      </c>
      <c r="AO10" s="1252"/>
      <c r="AP10" s="1098"/>
      <c r="AQ10" s="1098"/>
      <c r="AR10" s="1098"/>
      <c r="AS10" s="1098"/>
      <c r="AT10" s="1098"/>
      <c r="AU10" s="1098"/>
      <c r="AV10" s="1098">
        <v>111</v>
      </c>
      <c r="AW10" s="1098"/>
      <c r="AX10" s="1098"/>
      <c r="AY10" s="1098">
        <v>112</v>
      </c>
      <c r="AZ10" s="1098">
        <v>111</v>
      </c>
      <c r="BA10" s="1097">
        <f t="shared" si="33"/>
        <v>334</v>
      </c>
      <c r="BB10" s="1252">
        <v>57</v>
      </c>
      <c r="BC10" s="1098"/>
      <c r="BD10" s="1098">
        <v>57</v>
      </c>
      <c r="BE10" s="1098"/>
      <c r="BF10" s="1098"/>
      <c r="BG10" s="1098"/>
      <c r="BH10" s="1098"/>
      <c r="BI10" s="1098">
        <v>19</v>
      </c>
      <c r="BJ10" s="1098">
        <v>20.5</v>
      </c>
      <c r="BK10" s="1098">
        <v>43.386000000000003</v>
      </c>
      <c r="BL10" s="1098">
        <v>90.108999999999995</v>
      </c>
      <c r="BM10" s="1098">
        <v>94</v>
      </c>
      <c r="BN10" s="1097">
        <f t="shared" si="34"/>
        <v>380.995</v>
      </c>
      <c r="BO10" s="1252">
        <v>24.314</v>
      </c>
      <c r="BP10" s="1098">
        <v>62.530999999999999</v>
      </c>
      <c r="BQ10" s="1098">
        <v>46.155000000000001</v>
      </c>
      <c r="BR10" s="1098">
        <v>5.0430000000000001</v>
      </c>
      <c r="BS10" s="1098">
        <v>43.866</v>
      </c>
      <c r="BT10" s="1098">
        <v>50.988</v>
      </c>
      <c r="BU10" s="1098"/>
      <c r="BV10" s="1098">
        <v>5.01</v>
      </c>
      <c r="BW10" s="1098">
        <v>54.872999999999998</v>
      </c>
      <c r="BX10" s="1098">
        <v>62.564</v>
      </c>
      <c r="BY10" s="1098">
        <v>10</v>
      </c>
      <c r="BZ10" s="1098">
        <v>16</v>
      </c>
      <c r="CA10" s="1097">
        <f t="shared" si="35"/>
        <v>381.34399999999999</v>
      </c>
      <c r="CB10" s="1252"/>
      <c r="CC10" s="1098">
        <v>15</v>
      </c>
      <c r="CD10" s="1098">
        <v>30</v>
      </c>
      <c r="CE10" s="1098"/>
      <c r="CF10" s="1098">
        <v>45</v>
      </c>
      <c r="CG10" s="1098">
        <v>54</v>
      </c>
      <c r="CH10" s="1098">
        <v>8</v>
      </c>
      <c r="CI10" s="1098">
        <v>14</v>
      </c>
      <c r="CJ10" s="1098">
        <v>4</v>
      </c>
      <c r="CK10" s="1098"/>
      <c r="CL10" s="1098"/>
      <c r="CM10" s="1098">
        <v>45</v>
      </c>
      <c r="CN10" s="1097">
        <f t="shared" si="36"/>
        <v>215</v>
      </c>
      <c r="CO10" s="1252"/>
      <c r="CP10" s="1098">
        <v>18</v>
      </c>
      <c r="CQ10" s="1098"/>
      <c r="CR10" s="1098"/>
      <c r="CS10" s="1098"/>
      <c r="CT10" s="1098">
        <v>3</v>
      </c>
      <c r="CU10" s="1098"/>
      <c r="CV10" s="1098"/>
      <c r="CW10" s="1098"/>
      <c r="CX10" s="1098">
        <v>7</v>
      </c>
      <c r="CY10" s="1098">
        <v>17</v>
      </c>
      <c r="CZ10" s="1098">
        <v>11</v>
      </c>
      <c r="DA10" s="1097">
        <f t="shared" si="37"/>
        <v>56</v>
      </c>
      <c r="DB10" s="1252"/>
      <c r="DC10" s="1098">
        <v>27</v>
      </c>
      <c r="DD10" s="1098"/>
      <c r="DE10" s="1098"/>
      <c r="DF10" s="1098">
        <v>14</v>
      </c>
      <c r="DG10" s="1098"/>
      <c r="DH10" s="1098"/>
      <c r="DI10" s="1098">
        <v>2</v>
      </c>
      <c r="DJ10" s="1098">
        <v>25</v>
      </c>
      <c r="DK10" s="1098">
        <v>25</v>
      </c>
      <c r="DL10" s="1098">
        <v>6</v>
      </c>
      <c r="DM10" s="1098">
        <v>35</v>
      </c>
      <c r="DN10" s="1097">
        <f t="shared" si="38"/>
        <v>134</v>
      </c>
      <c r="DO10" s="1252">
        <v>21</v>
      </c>
      <c r="DP10" s="1098">
        <v>53</v>
      </c>
      <c r="DQ10" s="1098"/>
      <c r="DR10" s="1098">
        <v>4</v>
      </c>
      <c r="DS10" s="1098">
        <v>4</v>
      </c>
      <c r="DT10" s="1098">
        <v>37</v>
      </c>
      <c r="DU10" s="1098">
        <v>23</v>
      </c>
      <c r="DV10" s="1098">
        <v>86</v>
      </c>
      <c r="DW10" s="1098">
        <v>10</v>
      </c>
      <c r="DX10" s="1098">
        <v>49</v>
      </c>
      <c r="DY10" s="1098">
        <v>1</v>
      </c>
      <c r="DZ10" s="1098">
        <v>4</v>
      </c>
      <c r="EA10" s="1097">
        <f t="shared" si="39"/>
        <v>292</v>
      </c>
      <c r="EB10" s="1252">
        <v>11</v>
      </c>
      <c r="EC10" s="1098">
        <v>91</v>
      </c>
      <c r="ED10" s="1098">
        <v>26</v>
      </c>
      <c r="EE10" s="1098">
        <v>2</v>
      </c>
      <c r="EF10" s="1098"/>
      <c r="EG10" s="1098">
        <v>32</v>
      </c>
      <c r="EH10" s="1098"/>
      <c r="EI10" s="1098">
        <v>25</v>
      </c>
      <c r="EJ10" s="1098">
        <v>27</v>
      </c>
      <c r="EK10" s="1098"/>
      <c r="EL10" s="1098">
        <v>3</v>
      </c>
      <c r="EM10" s="1098"/>
      <c r="EN10" s="1097">
        <f t="shared" si="40"/>
        <v>217</v>
      </c>
      <c r="EO10" s="1252"/>
      <c r="EP10" s="1098"/>
      <c r="EQ10" s="1098">
        <v>30</v>
      </c>
      <c r="ER10" s="1098"/>
      <c r="ES10" s="1098">
        <v>9</v>
      </c>
      <c r="ET10" s="1098">
        <v>40</v>
      </c>
      <c r="EU10" s="1098"/>
      <c r="EV10" s="1098"/>
      <c r="EW10" s="1098">
        <v>11</v>
      </c>
      <c r="EX10" s="1098"/>
      <c r="EY10" s="1098"/>
      <c r="EZ10" s="1098"/>
      <c r="FA10" s="1097">
        <f t="shared" si="41"/>
        <v>90</v>
      </c>
      <c r="FB10" s="1252">
        <v>21</v>
      </c>
      <c r="FC10" s="1098">
        <v>5</v>
      </c>
      <c r="FD10" s="1098">
        <v>7</v>
      </c>
      <c r="FE10" s="1098">
        <v>2</v>
      </c>
      <c r="FF10" s="1098"/>
      <c r="FG10" s="1098">
        <v>19</v>
      </c>
      <c r="FH10" s="1098"/>
      <c r="FI10" s="1098">
        <v>24</v>
      </c>
      <c r="FJ10" s="1098">
        <v>35</v>
      </c>
      <c r="FK10" s="1098">
        <v>23</v>
      </c>
      <c r="FL10" s="1098">
        <v>1.5</v>
      </c>
      <c r="FM10" s="1098"/>
      <c r="FN10" s="1097">
        <f t="shared" si="42"/>
        <v>137.5</v>
      </c>
      <c r="FO10" s="1252">
        <v>43</v>
      </c>
      <c r="FP10" s="1098"/>
      <c r="FQ10" s="1098"/>
      <c r="FR10" s="1098"/>
      <c r="FS10" s="1098">
        <v>4</v>
      </c>
      <c r="FT10" s="1098"/>
      <c r="FU10" s="1098">
        <v>23</v>
      </c>
      <c r="FV10" s="1098">
        <v>28</v>
      </c>
      <c r="FW10" s="1098">
        <v>81</v>
      </c>
      <c r="FX10" s="1098"/>
      <c r="FY10" s="1098">
        <v>8</v>
      </c>
      <c r="FZ10" s="1098">
        <v>2</v>
      </c>
      <c r="GA10" s="1097">
        <f t="shared" si="43"/>
        <v>189</v>
      </c>
      <c r="GB10" s="1252">
        <v>6</v>
      </c>
      <c r="GC10" s="1098"/>
      <c r="GD10" s="1098"/>
      <c r="GE10" s="1098">
        <v>12</v>
      </c>
      <c r="GF10" s="1098"/>
      <c r="GG10" s="1098"/>
      <c r="GH10" s="1098"/>
      <c r="GI10" s="1098">
        <v>12</v>
      </c>
      <c r="GJ10" s="1098">
        <v>5</v>
      </c>
      <c r="GK10" s="1098"/>
      <c r="GL10" s="1098">
        <v>11</v>
      </c>
      <c r="GM10" s="1098">
        <v>2</v>
      </c>
      <c r="GN10" s="1097">
        <f t="shared" si="44"/>
        <v>48</v>
      </c>
      <c r="GO10" s="1252"/>
      <c r="GP10" s="1098">
        <v>27.3</v>
      </c>
      <c r="GQ10" s="1098"/>
      <c r="GR10" s="1098"/>
      <c r="GS10" s="1098">
        <v>7</v>
      </c>
      <c r="GT10" s="1098">
        <v>2</v>
      </c>
      <c r="GU10" s="1098">
        <v>11.775</v>
      </c>
      <c r="GV10" s="1098">
        <v>5.6070000000000002</v>
      </c>
      <c r="GW10" s="1098"/>
      <c r="GX10" s="1098">
        <v>2.2730000000000001</v>
      </c>
      <c r="GY10" s="1098"/>
      <c r="GZ10" s="1098">
        <v>1.9410000000000001</v>
      </c>
      <c r="HA10" s="1097">
        <f t="shared" si="45"/>
        <v>57.896000000000001</v>
      </c>
      <c r="HB10" s="1252">
        <v>11</v>
      </c>
      <c r="HC10" s="1098"/>
      <c r="HD10" s="1098">
        <v>9.0909999999999993</v>
      </c>
      <c r="HE10" s="1098"/>
      <c r="HF10" s="1098"/>
      <c r="HG10" s="1098"/>
      <c r="HH10" s="1098">
        <v>10</v>
      </c>
      <c r="HI10" s="1098"/>
      <c r="HJ10" s="1098"/>
      <c r="HK10" s="1098"/>
      <c r="HL10" s="1098"/>
      <c r="HM10" s="1098"/>
      <c r="HN10" s="1097">
        <f t="shared" si="46"/>
        <v>30.091000000000001</v>
      </c>
      <c r="HO10" s="1252"/>
      <c r="HP10" s="1098">
        <v>21.045999999999999</v>
      </c>
      <c r="HQ10" s="1098">
        <v>10.350999999999999</v>
      </c>
      <c r="HR10" s="1098">
        <v>57.927</v>
      </c>
      <c r="HS10" s="1098">
        <v>21.503</v>
      </c>
      <c r="HT10" s="1098">
        <v>15.561</v>
      </c>
      <c r="HU10" s="1098">
        <v>30.052</v>
      </c>
      <c r="HV10" s="1098">
        <v>49.46</v>
      </c>
      <c r="HW10" s="1098">
        <v>12.382</v>
      </c>
      <c r="HX10" s="1098">
        <v>38</v>
      </c>
      <c r="HY10" s="1098">
        <v>5</v>
      </c>
      <c r="HZ10" s="1098"/>
      <c r="IA10" s="1097">
        <f t="shared" si="47"/>
        <v>261.28200000000004</v>
      </c>
      <c r="IB10" s="1252"/>
      <c r="IC10" s="1098"/>
      <c r="ID10" s="1098"/>
      <c r="IE10" s="1098"/>
      <c r="IF10" s="1098"/>
      <c r="IG10" s="1098"/>
      <c r="IH10" s="1098"/>
      <c r="II10" s="1098">
        <v>1.395</v>
      </c>
      <c r="IJ10" s="1098"/>
      <c r="IK10" s="1098"/>
      <c r="IL10" s="1098"/>
      <c r="IM10" s="1098"/>
      <c r="IN10" s="1097">
        <f t="shared" si="48"/>
        <v>1.395</v>
      </c>
      <c r="IO10" s="1252">
        <v>12.847</v>
      </c>
      <c r="IP10" s="1098"/>
      <c r="IQ10" s="1098"/>
      <c r="IR10" s="1098"/>
      <c r="IS10" s="1098"/>
      <c r="IT10" s="1098"/>
      <c r="IU10" s="1098"/>
      <c r="IV10" s="1098"/>
      <c r="IW10" s="1098">
        <v>7.3120000000000003</v>
      </c>
      <c r="IX10" s="1098"/>
      <c r="IY10" s="1098">
        <v>8.34</v>
      </c>
      <c r="IZ10" s="1098"/>
      <c r="JA10" s="1097">
        <f t="shared" si="49"/>
        <v>28.498999999999999</v>
      </c>
      <c r="JB10" s="1252"/>
      <c r="JC10" s="1098"/>
      <c r="JD10" s="1098"/>
      <c r="JE10" s="1098"/>
      <c r="JF10" s="1098"/>
      <c r="JG10" s="1098"/>
      <c r="JH10" s="1098"/>
      <c r="JI10" s="1098"/>
      <c r="JJ10" s="1098"/>
      <c r="JK10" s="1098"/>
      <c r="JL10" s="1098"/>
      <c r="JM10" s="1098"/>
      <c r="JN10" s="1097">
        <f t="shared" si="50"/>
        <v>0</v>
      </c>
      <c r="JO10" s="1252"/>
      <c r="JP10" s="1098"/>
      <c r="JQ10" s="1098"/>
      <c r="JR10" s="1098"/>
      <c r="JS10" s="1098"/>
      <c r="JT10" s="1098"/>
      <c r="JU10" s="1098"/>
      <c r="JV10" s="1098"/>
      <c r="JW10" s="1098"/>
      <c r="JX10" s="1098"/>
      <c r="JY10" s="1098"/>
      <c r="JZ10" s="1098"/>
      <c r="KA10" s="1097">
        <f t="shared" si="51"/>
        <v>0</v>
      </c>
      <c r="KB10" s="1252"/>
      <c r="KC10" s="1098"/>
      <c r="KD10" s="1098"/>
      <c r="KE10" s="1098"/>
      <c r="KF10" s="1098"/>
      <c r="KG10" s="1098"/>
      <c r="KH10" s="1098"/>
      <c r="KI10" s="1098"/>
      <c r="KJ10" s="1098"/>
      <c r="KK10" s="1098"/>
      <c r="KL10" s="1098"/>
      <c r="KM10" s="1098"/>
      <c r="KN10" s="1097">
        <f t="shared" si="52"/>
        <v>0</v>
      </c>
      <c r="KO10" s="1252"/>
      <c r="KP10" s="1098"/>
      <c r="KQ10" s="1098"/>
      <c r="KR10" s="1098"/>
      <c r="KS10" s="1098"/>
      <c r="KT10" s="1098"/>
      <c r="KU10" s="1098"/>
      <c r="KV10" s="1098"/>
      <c r="KW10" s="1098"/>
      <c r="KX10" s="1098"/>
      <c r="KY10" s="1098"/>
      <c r="KZ10" s="1098"/>
      <c r="LA10" s="1097">
        <f t="shared" si="53"/>
        <v>0</v>
      </c>
      <c r="LB10" s="1252">
        <v>9.9999999999999994E-12</v>
      </c>
      <c r="LC10" s="1098"/>
      <c r="LD10" s="1098"/>
      <c r="LE10" s="1098"/>
      <c r="LF10" s="1098">
        <v>2.5149999999999997</v>
      </c>
      <c r="LG10" s="1098"/>
      <c r="LH10" s="1098"/>
      <c r="LI10" s="1098">
        <v>18.623000000000001</v>
      </c>
      <c r="LJ10" s="1098"/>
      <c r="LK10" s="1098"/>
      <c r="LL10" s="1098"/>
      <c r="LM10" s="1098"/>
      <c r="LN10" s="1097">
        <f t="shared" si="54"/>
        <v>21.138000000010003</v>
      </c>
      <c r="LP10" s="1137" t="str">
        <f t="shared" si="55"/>
        <v/>
      </c>
      <c r="LQ10" s="1138" t="str">
        <f t="shared" si="56"/>
        <v/>
      </c>
      <c r="LR10" s="1139">
        <f t="shared" si="57"/>
        <v>0</v>
      </c>
      <c r="LS10" s="1140">
        <f t="shared" si="58"/>
        <v>21.138000000010003</v>
      </c>
      <c r="LU10" s="629"/>
      <c r="LV10" s="1139">
        <f t="shared" si="59"/>
        <v>5881.3320000000185</v>
      </c>
      <c r="LW10" s="1286" t="s">
        <v>102</v>
      </c>
      <c r="LX10" s="1147" t="str">
        <f t="shared" si="60"/>
        <v>OK</v>
      </c>
    </row>
    <row r="11" spans="1:336" ht="15" customHeight="1" x14ac:dyDescent="0.2">
      <c r="A11" s="1292" t="s">
        <v>51</v>
      </c>
      <c r="B11" s="1252">
        <v>6.8220000000000001</v>
      </c>
      <c r="C11" s="1098"/>
      <c r="D11" s="1098"/>
      <c r="E11" s="1098"/>
      <c r="F11" s="1098">
        <v>4.5460000000000003</v>
      </c>
      <c r="G11" s="1098"/>
      <c r="H11" s="1098"/>
      <c r="I11" s="1098"/>
      <c r="J11" s="1098"/>
      <c r="K11" s="1098">
        <v>26.527999999999999</v>
      </c>
      <c r="L11" s="1098">
        <v>8.5449999999999999</v>
      </c>
      <c r="M11" s="1098"/>
      <c r="N11" s="1097">
        <f t="shared" si="30"/>
        <v>46.441000000000003</v>
      </c>
      <c r="O11" s="1252"/>
      <c r="P11" s="1098"/>
      <c r="Q11" s="1098"/>
      <c r="R11" s="1098"/>
      <c r="S11" s="1098"/>
      <c r="T11" s="1098"/>
      <c r="U11" s="1098"/>
      <c r="V11" s="1098"/>
      <c r="W11" s="1098"/>
      <c r="X11" s="1098"/>
      <c r="Y11" s="1098">
        <v>12.853999999999999</v>
      </c>
      <c r="Z11" s="1098"/>
      <c r="AA11" s="1097">
        <f t="shared" si="31"/>
        <v>12.853999999999999</v>
      </c>
      <c r="AB11" s="1252"/>
      <c r="AC11" s="1098"/>
      <c r="AD11" s="1098">
        <v>5.26</v>
      </c>
      <c r="AE11" s="1098"/>
      <c r="AF11" s="1098"/>
      <c r="AG11" s="1098">
        <v>25.154</v>
      </c>
      <c r="AH11" s="1098">
        <v>4.5460000000000003</v>
      </c>
      <c r="AI11" s="1098"/>
      <c r="AJ11" s="1098"/>
      <c r="AK11" s="1098"/>
      <c r="AL11" s="1098"/>
      <c r="AM11" s="1098"/>
      <c r="AN11" s="1097">
        <f t="shared" si="32"/>
        <v>34.96</v>
      </c>
      <c r="AO11" s="1252">
        <v>22.68</v>
      </c>
      <c r="AP11" s="1098">
        <v>5.0030000000000001</v>
      </c>
      <c r="AQ11" s="1098"/>
      <c r="AR11" s="1098">
        <v>10.241</v>
      </c>
      <c r="AS11" s="1098"/>
      <c r="AT11" s="1098"/>
      <c r="AU11" s="1098"/>
      <c r="AV11" s="1098">
        <v>14</v>
      </c>
      <c r="AW11" s="1098">
        <v>7</v>
      </c>
      <c r="AX11" s="1098"/>
      <c r="AY11" s="1098"/>
      <c r="AZ11" s="1098"/>
      <c r="BA11" s="1097">
        <f t="shared" si="33"/>
        <v>58.923999999999999</v>
      </c>
      <c r="BB11" s="1252"/>
      <c r="BC11" s="1098"/>
      <c r="BD11" s="1098"/>
      <c r="BE11" s="1098"/>
      <c r="BF11" s="1098"/>
      <c r="BG11" s="1098"/>
      <c r="BH11" s="1098"/>
      <c r="BI11" s="1098"/>
      <c r="BJ11" s="1098"/>
      <c r="BK11" s="1098"/>
      <c r="BL11" s="1098"/>
      <c r="BM11" s="1098"/>
      <c r="BN11" s="1097">
        <f t="shared" si="34"/>
        <v>0</v>
      </c>
      <c r="BO11" s="1252">
        <v>3.226</v>
      </c>
      <c r="BP11" s="1098"/>
      <c r="BQ11" s="1098"/>
      <c r="BR11" s="1098"/>
      <c r="BS11" s="1098"/>
      <c r="BT11" s="1098"/>
      <c r="BU11" s="1098"/>
      <c r="BV11" s="1098"/>
      <c r="BW11" s="1098"/>
      <c r="BX11" s="1098"/>
      <c r="BY11" s="1098"/>
      <c r="BZ11" s="1098"/>
      <c r="CA11" s="1097">
        <f t="shared" si="35"/>
        <v>3.226</v>
      </c>
      <c r="CB11" s="1252"/>
      <c r="CC11" s="1098"/>
      <c r="CD11" s="1098"/>
      <c r="CE11" s="1098"/>
      <c r="CF11" s="1098"/>
      <c r="CG11" s="1098"/>
      <c r="CH11" s="1098"/>
      <c r="CI11" s="1098"/>
      <c r="CJ11" s="1098"/>
      <c r="CK11" s="1098"/>
      <c r="CL11" s="1098"/>
      <c r="CM11" s="1098">
        <v>6</v>
      </c>
      <c r="CN11" s="1097">
        <f t="shared" si="36"/>
        <v>6</v>
      </c>
      <c r="CO11" s="1252"/>
      <c r="CP11" s="1098"/>
      <c r="CQ11" s="1098"/>
      <c r="CR11" s="1098"/>
      <c r="CS11" s="1098"/>
      <c r="CT11" s="1098"/>
      <c r="CU11" s="1098"/>
      <c r="CV11" s="1098">
        <v>11</v>
      </c>
      <c r="CW11" s="1098"/>
      <c r="CX11" s="1098">
        <v>41</v>
      </c>
      <c r="CY11" s="1098"/>
      <c r="CZ11" s="1098"/>
      <c r="DA11" s="1097">
        <f t="shared" si="37"/>
        <v>52</v>
      </c>
      <c r="DB11" s="1252"/>
      <c r="DC11" s="1098"/>
      <c r="DD11" s="1098"/>
      <c r="DE11" s="1098"/>
      <c r="DF11" s="1098"/>
      <c r="DG11" s="1098">
        <v>194</v>
      </c>
      <c r="DH11" s="1098"/>
      <c r="DI11" s="1098"/>
      <c r="DJ11" s="1098"/>
      <c r="DK11" s="1098"/>
      <c r="DL11" s="1098">
        <v>59</v>
      </c>
      <c r="DM11" s="1098">
        <v>36</v>
      </c>
      <c r="DN11" s="1097">
        <f t="shared" si="38"/>
        <v>289</v>
      </c>
      <c r="DO11" s="1252"/>
      <c r="DP11" s="1098"/>
      <c r="DQ11" s="1098"/>
      <c r="DR11" s="1098"/>
      <c r="DS11" s="1098"/>
      <c r="DT11" s="1098"/>
      <c r="DU11" s="1098"/>
      <c r="DV11" s="1098">
        <v>27</v>
      </c>
      <c r="DW11" s="1098">
        <v>11</v>
      </c>
      <c r="DX11" s="1098">
        <v>27</v>
      </c>
      <c r="DY11" s="1098">
        <v>27</v>
      </c>
      <c r="DZ11" s="1098"/>
      <c r="EA11" s="1097">
        <f t="shared" si="39"/>
        <v>92</v>
      </c>
      <c r="EB11" s="1252"/>
      <c r="EC11" s="1098"/>
      <c r="ED11" s="1098"/>
      <c r="EE11" s="1098"/>
      <c r="EF11" s="1098"/>
      <c r="EG11" s="1098">
        <v>34</v>
      </c>
      <c r="EH11" s="1098"/>
      <c r="EI11" s="1098"/>
      <c r="EJ11" s="1098"/>
      <c r="EK11" s="1098"/>
      <c r="EL11" s="1098"/>
      <c r="EM11" s="1098"/>
      <c r="EN11" s="1097">
        <f t="shared" si="40"/>
        <v>34</v>
      </c>
      <c r="EO11" s="1252"/>
      <c r="EP11" s="1098"/>
      <c r="EQ11" s="1098"/>
      <c r="ER11" s="1098"/>
      <c r="ES11" s="1098"/>
      <c r="ET11" s="1098"/>
      <c r="EU11" s="1098"/>
      <c r="EV11" s="1098"/>
      <c r="EW11" s="1098"/>
      <c r="EX11" s="1098"/>
      <c r="EY11" s="1098"/>
      <c r="EZ11" s="1098"/>
      <c r="FA11" s="1097">
        <f t="shared" si="41"/>
        <v>0</v>
      </c>
      <c r="FB11" s="1252"/>
      <c r="FC11" s="1098"/>
      <c r="FD11" s="1098">
        <v>19</v>
      </c>
      <c r="FE11" s="1098"/>
      <c r="FF11" s="1098">
        <v>16</v>
      </c>
      <c r="FG11" s="1098">
        <v>27</v>
      </c>
      <c r="FH11" s="1098"/>
      <c r="FI11" s="1098"/>
      <c r="FJ11" s="1098"/>
      <c r="FK11" s="1098"/>
      <c r="FL11" s="1098"/>
      <c r="FM11" s="1098"/>
      <c r="FN11" s="1097">
        <f t="shared" si="42"/>
        <v>62</v>
      </c>
      <c r="FO11" s="1252"/>
      <c r="FP11" s="1098"/>
      <c r="FQ11" s="1098"/>
      <c r="FR11" s="1098"/>
      <c r="FS11" s="1098"/>
      <c r="FT11" s="1098"/>
      <c r="FU11" s="1098"/>
      <c r="FV11" s="1098"/>
      <c r="FW11" s="1098"/>
      <c r="FX11" s="1098"/>
      <c r="FY11" s="1098"/>
      <c r="FZ11" s="1098"/>
      <c r="GA11" s="1097">
        <f t="shared" si="43"/>
        <v>0</v>
      </c>
      <c r="GB11" s="1252"/>
      <c r="GC11" s="1098"/>
      <c r="GD11" s="1098"/>
      <c r="GE11" s="1098"/>
      <c r="GF11" s="1098"/>
      <c r="GG11" s="1098"/>
      <c r="GH11" s="1098"/>
      <c r="GI11" s="1098"/>
      <c r="GJ11" s="1098"/>
      <c r="GK11" s="1098"/>
      <c r="GL11" s="1098"/>
      <c r="GM11" s="1098"/>
      <c r="GN11" s="1097">
        <f t="shared" si="44"/>
        <v>0</v>
      </c>
      <c r="GO11" s="1252"/>
      <c r="GP11" s="1098"/>
      <c r="GQ11" s="1098"/>
      <c r="GR11" s="1098"/>
      <c r="GS11" s="1098"/>
      <c r="GT11" s="1098"/>
      <c r="GU11" s="1098"/>
      <c r="GV11" s="1098"/>
      <c r="GW11" s="1098"/>
      <c r="GX11" s="1098"/>
      <c r="GY11" s="1098"/>
      <c r="GZ11" s="1098"/>
      <c r="HA11" s="1097">
        <f t="shared" si="45"/>
        <v>0</v>
      </c>
      <c r="HB11" s="1252"/>
      <c r="HC11" s="1098"/>
      <c r="HD11" s="1098"/>
      <c r="HE11" s="1098"/>
      <c r="HF11" s="1098"/>
      <c r="HG11" s="1098"/>
      <c r="HH11" s="1098">
        <v>6</v>
      </c>
      <c r="HI11" s="1098">
        <v>43</v>
      </c>
      <c r="HJ11" s="1098">
        <v>22.596</v>
      </c>
      <c r="HK11" s="1098">
        <v>10.315</v>
      </c>
      <c r="HL11" s="1098">
        <v>1.254</v>
      </c>
      <c r="HM11" s="1098"/>
      <c r="HN11" s="1097">
        <f t="shared" si="46"/>
        <v>83.165000000000006</v>
      </c>
      <c r="HO11" s="1252"/>
      <c r="HP11" s="1098"/>
      <c r="HQ11" s="1098"/>
      <c r="HR11" s="1098"/>
      <c r="HS11" s="1098">
        <v>15.580000000000002</v>
      </c>
      <c r="HT11" s="1098">
        <v>1.8140000000000001</v>
      </c>
      <c r="HU11" s="1098"/>
      <c r="HV11" s="1098">
        <v>59.42</v>
      </c>
      <c r="HW11" s="1098">
        <v>1.252</v>
      </c>
      <c r="HX11" s="1098"/>
      <c r="HY11" s="1098"/>
      <c r="HZ11" s="1098"/>
      <c r="IA11" s="1097">
        <f t="shared" si="47"/>
        <v>78.066000000000003</v>
      </c>
      <c r="IB11" s="1252"/>
      <c r="IC11" s="1098"/>
      <c r="ID11" s="1098"/>
      <c r="IE11" s="1098"/>
      <c r="IF11" s="1098"/>
      <c r="IG11" s="1098"/>
      <c r="IH11" s="1098"/>
      <c r="II11" s="1098"/>
      <c r="IJ11" s="1098"/>
      <c r="IK11" s="1098"/>
      <c r="IL11" s="1098">
        <v>5.6749999999999998</v>
      </c>
      <c r="IM11" s="1098"/>
      <c r="IN11" s="1097">
        <f t="shared" si="48"/>
        <v>5.6749999999999998</v>
      </c>
      <c r="IO11" s="1252"/>
      <c r="IP11" s="1098"/>
      <c r="IQ11" s="1098">
        <v>6.9909999999999997</v>
      </c>
      <c r="IR11" s="1098">
        <v>3.0489999999999999</v>
      </c>
      <c r="IS11" s="1098"/>
      <c r="IT11" s="1098">
        <v>3.2549999999999999</v>
      </c>
      <c r="IU11" s="1098"/>
      <c r="IV11" s="1098"/>
      <c r="IW11" s="1098"/>
      <c r="IX11" s="1098"/>
      <c r="IY11" s="1098"/>
      <c r="IZ11" s="1098"/>
      <c r="JA11" s="1097">
        <f t="shared" si="49"/>
        <v>13.294999999999998</v>
      </c>
      <c r="JB11" s="1252"/>
      <c r="JC11" s="1098"/>
      <c r="JD11" s="1098"/>
      <c r="JE11" s="1098"/>
      <c r="JF11" s="1098"/>
      <c r="JG11" s="1098"/>
      <c r="JH11" s="1098"/>
      <c r="JI11" s="1098"/>
      <c r="JJ11" s="1098"/>
      <c r="JK11" s="1098"/>
      <c r="JL11" s="1098"/>
      <c r="JM11" s="1098"/>
      <c r="JN11" s="1097">
        <f t="shared" si="50"/>
        <v>0</v>
      </c>
      <c r="JO11" s="1252"/>
      <c r="JP11" s="1098"/>
      <c r="JQ11" s="1098"/>
      <c r="JR11" s="1098"/>
      <c r="JS11" s="1098"/>
      <c r="JT11" s="1098"/>
      <c r="JU11" s="1098"/>
      <c r="JV11" s="1098">
        <v>3.5550000000000002</v>
      </c>
      <c r="JW11" s="1098"/>
      <c r="JX11" s="1098">
        <v>3.827</v>
      </c>
      <c r="JY11" s="1098">
        <v>1.333</v>
      </c>
      <c r="JZ11" s="1098"/>
      <c r="KA11" s="1097">
        <f t="shared" si="51"/>
        <v>8.7149999999999999</v>
      </c>
      <c r="KB11" s="1252"/>
      <c r="KC11" s="1098"/>
      <c r="KD11" s="1098"/>
      <c r="KE11" s="1098"/>
      <c r="KF11" s="1098"/>
      <c r="KG11" s="1098"/>
      <c r="KH11" s="1098">
        <v>5.1820000000000004</v>
      </c>
      <c r="KI11" s="1098">
        <v>5.2489999999999997</v>
      </c>
      <c r="KJ11" s="1098">
        <v>8.4280000000000008</v>
      </c>
      <c r="KK11" s="1098"/>
      <c r="KL11" s="1098">
        <v>7.8620000000000001</v>
      </c>
      <c r="KM11" s="1098"/>
      <c r="KN11" s="1097">
        <f t="shared" si="52"/>
        <v>26.721000000000004</v>
      </c>
      <c r="KO11" s="1252"/>
      <c r="KP11" s="1098"/>
      <c r="KQ11" s="1098"/>
      <c r="KR11" s="1098"/>
      <c r="KS11" s="1098">
        <v>19.321000000000002</v>
      </c>
      <c r="KT11" s="1098">
        <v>6.1369999999999996</v>
      </c>
      <c r="KU11" s="1098"/>
      <c r="KV11" s="1098"/>
      <c r="KW11" s="1098"/>
      <c r="KX11" s="1098"/>
      <c r="KY11" s="1098"/>
      <c r="KZ11" s="1098"/>
      <c r="LA11" s="1097">
        <f t="shared" si="53"/>
        <v>25.458000000000002</v>
      </c>
      <c r="LB11" s="1252">
        <v>3.3310000000000004</v>
      </c>
      <c r="LC11" s="1098"/>
      <c r="LD11" s="1098"/>
      <c r="LE11" s="1098"/>
      <c r="LF11" s="1098"/>
      <c r="LG11" s="1098">
        <v>7.5369999999999999</v>
      </c>
      <c r="LH11" s="1098"/>
      <c r="LI11" s="1098"/>
      <c r="LJ11" s="1098"/>
      <c r="LK11" s="1098"/>
      <c r="LL11" s="1098"/>
      <c r="LM11" s="1098"/>
      <c r="LN11" s="1097">
        <f t="shared" si="54"/>
        <v>10.868</v>
      </c>
      <c r="LP11" s="1116" t="str">
        <f t="shared" si="55"/>
        <v/>
      </c>
      <c r="LQ11" s="1117">
        <f t="shared" si="56"/>
        <v>-57.310079346374422</v>
      </c>
      <c r="LR11" s="1079">
        <f t="shared" si="57"/>
        <v>25.458000000000002</v>
      </c>
      <c r="LS11" s="1118">
        <f t="shared" si="58"/>
        <v>10.868</v>
      </c>
      <c r="LU11" s="629"/>
      <c r="LV11" s="1139">
        <f t="shared" si="59"/>
        <v>1886.7360000000001</v>
      </c>
      <c r="LW11" s="1286" t="s">
        <v>51</v>
      </c>
      <c r="LX11" s="1147" t="str">
        <f t="shared" si="60"/>
        <v>OK</v>
      </c>
    </row>
    <row r="12" spans="1:336" ht="15" customHeight="1" x14ac:dyDescent="0.2">
      <c r="A12" s="1280" t="s">
        <v>52</v>
      </c>
      <c r="B12" s="1252"/>
      <c r="C12" s="1098">
        <v>27.663</v>
      </c>
      <c r="D12" s="1098"/>
      <c r="E12" s="1098">
        <v>52.27</v>
      </c>
      <c r="F12" s="1098"/>
      <c r="G12" s="1098">
        <v>50.878</v>
      </c>
      <c r="H12" s="1098"/>
      <c r="I12" s="1098">
        <v>20.635999999999999</v>
      </c>
      <c r="J12" s="1098">
        <v>23.09</v>
      </c>
      <c r="K12" s="1098"/>
      <c r="L12" s="1098">
        <v>60.11</v>
      </c>
      <c r="M12" s="1098">
        <v>59.38</v>
      </c>
      <c r="N12" s="1097">
        <f t="shared" si="30"/>
        <v>294.02699999999999</v>
      </c>
      <c r="O12" s="1252">
        <v>85.323999999999998</v>
      </c>
      <c r="P12" s="1098">
        <v>2.8540000000000001</v>
      </c>
      <c r="Q12" s="1098"/>
      <c r="R12" s="1098">
        <v>16.643000000000001</v>
      </c>
      <c r="S12" s="1098">
        <v>36.700000000000003</v>
      </c>
      <c r="T12" s="1098">
        <v>6.6550000000000002</v>
      </c>
      <c r="U12" s="1098"/>
      <c r="V12" s="1098">
        <v>40.015999999999998</v>
      </c>
      <c r="W12" s="1098">
        <v>47.552999999999997</v>
      </c>
      <c r="X12" s="1098"/>
      <c r="Y12" s="1098">
        <v>64.012</v>
      </c>
      <c r="Z12" s="1098">
        <v>77.866</v>
      </c>
      <c r="AA12" s="1097">
        <f t="shared" si="31"/>
        <v>377.62299999999999</v>
      </c>
      <c r="AB12" s="1252"/>
      <c r="AC12" s="1098">
        <v>48</v>
      </c>
      <c r="AD12" s="1098"/>
      <c r="AE12" s="1098"/>
      <c r="AF12" s="1098"/>
      <c r="AG12" s="1098"/>
      <c r="AH12" s="1098">
        <v>4.5490000000000004</v>
      </c>
      <c r="AI12" s="1098">
        <v>21.561</v>
      </c>
      <c r="AJ12" s="1098">
        <v>51.162999999999997</v>
      </c>
      <c r="AK12" s="1098">
        <v>44.594999999999999</v>
      </c>
      <c r="AL12" s="1098"/>
      <c r="AM12" s="1098"/>
      <c r="AN12" s="1097">
        <f t="shared" si="32"/>
        <v>169.86799999999999</v>
      </c>
      <c r="AO12" s="1252">
        <v>50.741</v>
      </c>
      <c r="AP12" s="1098"/>
      <c r="AQ12" s="1098"/>
      <c r="AR12" s="1098">
        <v>73.260000000000005</v>
      </c>
      <c r="AS12" s="1098"/>
      <c r="AT12" s="1098">
        <v>35</v>
      </c>
      <c r="AU12" s="1098"/>
      <c r="AV12" s="1098"/>
      <c r="AW12" s="1098">
        <v>16</v>
      </c>
      <c r="AX12" s="1098">
        <v>108</v>
      </c>
      <c r="AY12" s="1098"/>
      <c r="AZ12" s="1098">
        <v>83</v>
      </c>
      <c r="BA12" s="1097">
        <f t="shared" si="33"/>
        <v>366.00099999999998</v>
      </c>
      <c r="BB12" s="1252">
        <v>55</v>
      </c>
      <c r="BC12" s="1098"/>
      <c r="BD12" s="1098">
        <v>55</v>
      </c>
      <c r="BE12" s="1098">
        <v>8</v>
      </c>
      <c r="BF12" s="1098"/>
      <c r="BG12" s="1098"/>
      <c r="BH12" s="1098"/>
      <c r="BI12" s="1098"/>
      <c r="BJ12" s="1098"/>
      <c r="BK12" s="1098"/>
      <c r="BL12" s="1098">
        <v>62.926000000000002</v>
      </c>
      <c r="BM12" s="1098">
        <v>109</v>
      </c>
      <c r="BN12" s="1097">
        <f t="shared" si="34"/>
        <v>289.92599999999999</v>
      </c>
      <c r="BO12" s="1252">
        <v>36.363</v>
      </c>
      <c r="BP12" s="1098">
        <v>70.606999999999999</v>
      </c>
      <c r="BQ12" s="1098">
        <v>5.1660000000000004</v>
      </c>
      <c r="BR12" s="1098">
        <v>2.8679999999999999</v>
      </c>
      <c r="BS12" s="1098">
        <v>30</v>
      </c>
      <c r="BT12" s="1098">
        <v>1.5529999999999999</v>
      </c>
      <c r="BU12" s="1098"/>
      <c r="BV12" s="1098"/>
      <c r="BW12" s="1098">
        <v>74.617999999999995</v>
      </c>
      <c r="BX12" s="1098"/>
      <c r="BY12" s="1098"/>
      <c r="BZ12" s="1098"/>
      <c r="CA12" s="1097">
        <f t="shared" si="35"/>
        <v>221.17499999999998</v>
      </c>
      <c r="CB12" s="1252"/>
      <c r="CC12" s="1098"/>
      <c r="CD12" s="1098"/>
      <c r="CE12" s="1098">
        <v>64</v>
      </c>
      <c r="CF12" s="1098">
        <v>178</v>
      </c>
      <c r="CG12" s="1098">
        <v>2</v>
      </c>
      <c r="CH12" s="1098"/>
      <c r="CI12" s="1098"/>
      <c r="CJ12" s="1098"/>
      <c r="CK12" s="1098"/>
      <c r="CL12" s="1098">
        <v>78</v>
      </c>
      <c r="CM12" s="1098">
        <v>175</v>
      </c>
      <c r="CN12" s="1097">
        <f t="shared" si="36"/>
        <v>497</v>
      </c>
      <c r="CO12" s="1252">
        <v>159</v>
      </c>
      <c r="CP12" s="1098">
        <v>36</v>
      </c>
      <c r="CQ12" s="1098"/>
      <c r="CR12" s="1098"/>
      <c r="CS12" s="1098">
        <v>15</v>
      </c>
      <c r="CT12" s="1098"/>
      <c r="CU12" s="1098"/>
      <c r="CV12" s="1098"/>
      <c r="CW12" s="1098"/>
      <c r="CX12" s="1098"/>
      <c r="CY12" s="1098"/>
      <c r="CZ12" s="1098"/>
      <c r="DA12" s="1097">
        <f t="shared" si="37"/>
        <v>210</v>
      </c>
      <c r="DB12" s="1252"/>
      <c r="DC12" s="1098">
        <v>36</v>
      </c>
      <c r="DD12" s="1098">
        <v>55</v>
      </c>
      <c r="DE12" s="1098">
        <v>330</v>
      </c>
      <c r="DF12" s="1098">
        <v>121</v>
      </c>
      <c r="DG12" s="1098">
        <v>70</v>
      </c>
      <c r="DH12" s="1098">
        <v>55</v>
      </c>
      <c r="DI12" s="1098">
        <v>31</v>
      </c>
      <c r="DJ12" s="1098">
        <v>92</v>
      </c>
      <c r="DK12" s="1098"/>
      <c r="DL12" s="1098"/>
      <c r="DM12" s="1098"/>
      <c r="DN12" s="1097">
        <f t="shared" si="38"/>
        <v>790</v>
      </c>
      <c r="DO12" s="1252">
        <v>10</v>
      </c>
      <c r="DP12" s="1098">
        <v>39</v>
      </c>
      <c r="DQ12" s="1098">
        <v>4</v>
      </c>
      <c r="DR12" s="1098"/>
      <c r="DS12" s="1098"/>
      <c r="DT12" s="1098">
        <v>28</v>
      </c>
      <c r="DU12" s="1098"/>
      <c r="DV12" s="1098"/>
      <c r="DW12" s="1098">
        <v>96</v>
      </c>
      <c r="DX12" s="1098">
        <v>74</v>
      </c>
      <c r="DY12" s="1098">
        <v>150</v>
      </c>
      <c r="DZ12" s="1098">
        <v>79</v>
      </c>
      <c r="EA12" s="1097">
        <f t="shared" si="39"/>
        <v>480</v>
      </c>
      <c r="EB12" s="1252">
        <v>97</v>
      </c>
      <c r="EC12" s="1098"/>
      <c r="ED12" s="1098">
        <v>20</v>
      </c>
      <c r="EE12" s="1098"/>
      <c r="EF12" s="1098">
        <v>64</v>
      </c>
      <c r="EG12" s="1098">
        <v>133</v>
      </c>
      <c r="EH12" s="1098">
        <v>250</v>
      </c>
      <c r="EI12" s="1098">
        <v>442</v>
      </c>
      <c r="EJ12" s="1098">
        <v>144</v>
      </c>
      <c r="EK12" s="1098">
        <v>389</v>
      </c>
      <c r="EL12" s="1098">
        <v>966</v>
      </c>
      <c r="EM12" s="1098">
        <v>672</v>
      </c>
      <c r="EN12" s="1097">
        <f t="shared" si="40"/>
        <v>3177</v>
      </c>
      <c r="EO12" s="1252">
        <v>20</v>
      </c>
      <c r="EP12" s="1098">
        <v>496</v>
      </c>
      <c r="EQ12" s="1098">
        <v>1102</v>
      </c>
      <c r="ER12" s="1098">
        <v>564</v>
      </c>
      <c r="ES12" s="1098">
        <v>580</v>
      </c>
      <c r="ET12" s="1098"/>
      <c r="EU12" s="1098">
        <v>273</v>
      </c>
      <c r="EV12" s="1098">
        <v>179</v>
      </c>
      <c r="EW12" s="1098">
        <v>181</v>
      </c>
      <c r="EX12" s="1098">
        <v>196</v>
      </c>
      <c r="EY12" s="1098">
        <v>598</v>
      </c>
      <c r="EZ12" s="1098">
        <v>606</v>
      </c>
      <c r="FA12" s="1097">
        <f t="shared" si="41"/>
        <v>4795</v>
      </c>
      <c r="FB12" s="1252">
        <v>523</v>
      </c>
      <c r="FC12" s="1098">
        <v>709</v>
      </c>
      <c r="FD12" s="1098">
        <v>471</v>
      </c>
      <c r="FE12" s="1098">
        <v>330</v>
      </c>
      <c r="FF12" s="1098">
        <v>164</v>
      </c>
      <c r="FG12" s="1098">
        <v>453</v>
      </c>
      <c r="FH12" s="1098">
        <v>595</v>
      </c>
      <c r="FI12" s="1098">
        <v>492</v>
      </c>
      <c r="FJ12" s="1098">
        <v>337</v>
      </c>
      <c r="FK12" s="1098">
        <v>273</v>
      </c>
      <c r="FL12" s="1098">
        <v>782</v>
      </c>
      <c r="FM12" s="1098">
        <v>639</v>
      </c>
      <c r="FN12" s="1097">
        <f t="shared" si="42"/>
        <v>5768</v>
      </c>
      <c r="FO12" s="1252">
        <v>280</v>
      </c>
      <c r="FP12" s="1098">
        <v>83</v>
      </c>
      <c r="FQ12" s="1098">
        <v>183</v>
      </c>
      <c r="FR12" s="1098">
        <v>129</v>
      </c>
      <c r="FS12" s="1098">
        <v>505</v>
      </c>
      <c r="FT12" s="1098">
        <v>177</v>
      </c>
      <c r="FU12" s="1098">
        <v>30</v>
      </c>
      <c r="FV12" s="1098"/>
      <c r="FW12" s="1098"/>
      <c r="FX12" s="1098"/>
      <c r="FY12" s="1098"/>
      <c r="FZ12" s="1098"/>
      <c r="GA12" s="1097">
        <f t="shared" si="43"/>
        <v>1387</v>
      </c>
      <c r="GB12" s="1252"/>
      <c r="GC12" s="1098"/>
      <c r="GD12" s="1098"/>
      <c r="GE12" s="1098"/>
      <c r="GF12" s="1098">
        <v>5</v>
      </c>
      <c r="GG12" s="1098">
        <v>12</v>
      </c>
      <c r="GH12" s="1098">
        <v>7</v>
      </c>
      <c r="GI12" s="1098">
        <v>9</v>
      </c>
      <c r="GJ12" s="1098">
        <v>15</v>
      </c>
      <c r="GK12" s="1098">
        <v>321</v>
      </c>
      <c r="GL12" s="1098"/>
      <c r="GM12" s="1098"/>
      <c r="GN12" s="1097">
        <f t="shared" si="44"/>
        <v>369</v>
      </c>
      <c r="GO12" s="1252"/>
      <c r="GP12" s="1098">
        <v>62.505000000000003</v>
      </c>
      <c r="GQ12" s="1098">
        <v>137.85</v>
      </c>
      <c r="GR12" s="1098"/>
      <c r="GS12" s="1098">
        <v>8</v>
      </c>
      <c r="GT12" s="1098"/>
      <c r="GU12" s="1098">
        <v>133</v>
      </c>
      <c r="GV12" s="1098">
        <v>125.00700000000001</v>
      </c>
      <c r="GW12" s="1098">
        <v>162.893</v>
      </c>
      <c r="GX12" s="1098">
        <v>87.24</v>
      </c>
      <c r="GY12" s="1098">
        <v>343.76800000000003</v>
      </c>
      <c r="GZ12" s="1098">
        <v>62.508000000000003</v>
      </c>
      <c r="HA12" s="1097">
        <f t="shared" si="45"/>
        <v>1122.771</v>
      </c>
      <c r="HB12" s="1252">
        <v>375</v>
      </c>
      <c r="HC12" s="1098">
        <v>108</v>
      </c>
      <c r="HD12" s="1098"/>
      <c r="HE12" s="1098"/>
      <c r="HF12" s="1098"/>
      <c r="HG12" s="1098"/>
      <c r="HH12" s="1098">
        <v>257</v>
      </c>
      <c r="HI12" s="1098">
        <v>519</v>
      </c>
      <c r="HJ12" s="1098">
        <v>238.363</v>
      </c>
      <c r="HK12" s="1098">
        <v>43.332000000000001</v>
      </c>
      <c r="HL12" s="1098"/>
      <c r="HM12" s="1098"/>
      <c r="HN12" s="1097">
        <f t="shared" si="46"/>
        <v>1540.6950000000002</v>
      </c>
      <c r="HO12" s="1252"/>
      <c r="HP12" s="1098">
        <v>281.39</v>
      </c>
      <c r="HQ12" s="1098">
        <v>53.59</v>
      </c>
      <c r="HR12" s="1098">
        <v>15.246</v>
      </c>
      <c r="HS12" s="1098">
        <v>31.225000000000001</v>
      </c>
      <c r="HT12" s="1098">
        <v>22.259</v>
      </c>
      <c r="HU12" s="1098">
        <v>17.317</v>
      </c>
      <c r="HV12" s="1098">
        <v>10.724</v>
      </c>
      <c r="HW12" s="1098">
        <v>15.092000000000001</v>
      </c>
      <c r="HX12" s="1098"/>
      <c r="HY12" s="1098"/>
      <c r="HZ12" s="1098"/>
      <c r="IA12" s="1097">
        <f t="shared" si="47"/>
        <v>446.84300000000002</v>
      </c>
      <c r="IB12" s="1252"/>
      <c r="IC12" s="1098"/>
      <c r="ID12" s="1098">
        <v>2</v>
      </c>
      <c r="IE12" s="1098"/>
      <c r="IF12" s="1098"/>
      <c r="IG12" s="1098"/>
      <c r="IH12" s="1098">
        <v>6.37</v>
      </c>
      <c r="II12" s="1098"/>
      <c r="IJ12" s="1098"/>
      <c r="IK12" s="1098"/>
      <c r="IL12" s="1098"/>
      <c r="IM12" s="1098"/>
      <c r="IN12" s="1097">
        <f t="shared" si="48"/>
        <v>8.370000000000001</v>
      </c>
      <c r="IO12" s="1252"/>
      <c r="IP12" s="1098"/>
      <c r="IQ12" s="1098"/>
      <c r="IR12" s="1098"/>
      <c r="IS12" s="1098"/>
      <c r="IT12" s="1098"/>
      <c r="IU12" s="1098"/>
      <c r="IV12" s="1098"/>
      <c r="IW12" s="1098"/>
      <c r="IX12" s="1098"/>
      <c r="IY12" s="1098"/>
      <c r="IZ12" s="1098"/>
      <c r="JA12" s="1097">
        <f t="shared" si="49"/>
        <v>0</v>
      </c>
      <c r="JB12" s="1252"/>
      <c r="JC12" s="1098">
        <v>2.15</v>
      </c>
      <c r="JD12" s="1098"/>
      <c r="JE12" s="1098">
        <v>1.62</v>
      </c>
      <c r="JF12" s="1098">
        <v>61.758000000000003</v>
      </c>
      <c r="JG12" s="1098">
        <v>1.6850000000000001</v>
      </c>
      <c r="JH12" s="1098"/>
      <c r="JI12" s="1098">
        <v>1.5</v>
      </c>
      <c r="JJ12" s="1098">
        <v>1.5</v>
      </c>
      <c r="JK12" s="1098">
        <v>6.5049999999999999</v>
      </c>
      <c r="JL12" s="1098">
        <v>4.4249999999999998</v>
      </c>
      <c r="JM12" s="1098">
        <v>13</v>
      </c>
      <c r="JN12" s="1097">
        <f t="shared" si="50"/>
        <v>94.143000000000001</v>
      </c>
      <c r="JO12" s="1252"/>
      <c r="JP12" s="1098">
        <v>3.6059999999999999</v>
      </c>
      <c r="JQ12" s="1098">
        <v>2.0659999999999998</v>
      </c>
      <c r="JR12" s="1098"/>
      <c r="JS12" s="1098"/>
      <c r="JT12" s="1098"/>
      <c r="JU12" s="1098"/>
      <c r="JV12" s="1098"/>
      <c r="JW12" s="1098"/>
      <c r="JX12" s="1098"/>
      <c r="JY12" s="1098">
        <v>5.45</v>
      </c>
      <c r="JZ12" s="1098"/>
      <c r="KA12" s="1097">
        <f t="shared" si="51"/>
        <v>11.122</v>
      </c>
      <c r="KB12" s="1252"/>
      <c r="KC12" s="1098"/>
      <c r="KD12" s="1098">
        <v>70.603999999999999</v>
      </c>
      <c r="KE12" s="1098">
        <v>24.724</v>
      </c>
      <c r="KF12" s="1098">
        <v>107.44799999999999</v>
      </c>
      <c r="KG12" s="1098">
        <v>58.668999999999997</v>
      </c>
      <c r="KH12" s="1098">
        <v>168.18199999999999</v>
      </c>
      <c r="KI12" s="1098">
        <v>342.36500000000001</v>
      </c>
      <c r="KJ12" s="1098">
        <v>354.4</v>
      </c>
      <c r="KK12" s="1098"/>
      <c r="KL12" s="1098"/>
      <c r="KM12" s="1098"/>
      <c r="KN12" s="1097">
        <f t="shared" si="52"/>
        <v>1126.3919999999998</v>
      </c>
      <c r="KO12" s="1252">
        <v>201.91800000000001</v>
      </c>
      <c r="KP12" s="1098">
        <v>73.046000000000006</v>
      </c>
      <c r="KQ12" s="1098">
        <v>33.048000000000002</v>
      </c>
      <c r="KR12" s="1098">
        <v>131.054</v>
      </c>
      <c r="KS12" s="1098">
        <v>114.548</v>
      </c>
      <c r="KT12" s="1098">
        <v>56.261000000000003</v>
      </c>
      <c r="KU12" s="1098">
        <v>200.97499999999999</v>
      </c>
      <c r="KV12" s="1098">
        <v>130.67599999999999</v>
      </c>
      <c r="KW12" s="1098">
        <v>164.74100000000001</v>
      </c>
      <c r="KX12" s="1098">
        <v>49.798999999999999</v>
      </c>
      <c r="KY12" s="1098">
        <v>18.038</v>
      </c>
      <c r="KZ12" s="1098">
        <v>163.68199999999999</v>
      </c>
      <c r="LA12" s="1097">
        <f t="shared" si="53"/>
        <v>1337.7860000000001</v>
      </c>
      <c r="LB12" s="1252">
        <v>53.721000000010001</v>
      </c>
      <c r="LC12" s="1098">
        <v>95.572999999999979</v>
      </c>
      <c r="LD12" s="1098">
        <v>54.838000000000001</v>
      </c>
      <c r="LE12" s="1098">
        <v>157.50700000000001</v>
      </c>
      <c r="LF12" s="1098">
        <v>107.51100000000002</v>
      </c>
      <c r="LG12" s="1098">
        <v>120.616</v>
      </c>
      <c r="LH12" s="1098">
        <v>78</v>
      </c>
      <c r="LI12" s="1098">
        <v>121.38899999999998</v>
      </c>
      <c r="LJ12" s="1098"/>
      <c r="LK12" s="1098"/>
      <c r="LL12" s="1098"/>
      <c r="LM12" s="1098"/>
      <c r="LN12" s="1097">
        <f t="shared" si="54"/>
        <v>789.15500000001009</v>
      </c>
      <c r="LP12" s="1116">
        <f t="shared" si="55"/>
        <v>-7.1068903241605197</v>
      </c>
      <c r="LQ12" s="1117">
        <f t="shared" si="56"/>
        <v>-16.183408636616512</v>
      </c>
      <c r="LR12" s="1079">
        <f t="shared" si="57"/>
        <v>941.52600000000007</v>
      </c>
      <c r="LS12" s="1118">
        <f t="shared" si="58"/>
        <v>789.15500000001009</v>
      </c>
      <c r="LU12" s="629"/>
      <c r="LV12" s="1139">
        <f t="shared" si="59"/>
        <v>51337.794000000009</v>
      </c>
      <c r="LW12" s="1286" t="s">
        <v>52</v>
      </c>
      <c r="LX12" s="1147" t="str">
        <f t="shared" si="60"/>
        <v>OK</v>
      </c>
    </row>
    <row r="13" spans="1:336" ht="15" customHeight="1" x14ac:dyDescent="0.2">
      <c r="A13" s="1280" t="s">
        <v>53</v>
      </c>
      <c r="B13" s="1252">
        <v>241.93600000000001</v>
      </c>
      <c r="C13" s="1098">
        <v>437.19200000000001</v>
      </c>
      <c r="D13" s="1098">
        <v>131.483</v>
      </c>
      <c r="E13" s="1098">
        <v>287.11</v>
      </c>
      <c r="F13" s="1098">
        <v>660.33100000000002</v>
      </c>
      <c r="G13" s="1098">
        <v>446.04700000000003</v>
      </c>
      <c r="H13" s="1098">
        <v>190.35400000000001</v>
      </c>
      <c r="I13" s="1098">
        <v>536.63599999999997</v>
      </c>
      <c r="J13" s="1098">
        <v>322.79599999999999</v>
      </c>
      <c r="K13" s="1098">
        <v>794.13699999999994</v>
      </c>
      <c r="L13" s="1098">
        <v>689.178</v>
      </c>
      <c r="M13" s="1098">
        <v>766.97500000000002</v>
      </c>
      <c r="N13" s="1097">
        <f t="shared" si="30"/>
        <v>5504.1750000000002</v>
      </c>
      <c r="O13" s="1252">
        <v>128.00299999999999</v>
      </c>
      <c r="P13" s="1098">
        <v>235.386</v>
      </c>
      <c r="Q13" s="1098">
        <v>598.13800000000003</v>
      </c>
      <c r="R13" s="1098">
        <v>88.909000000000006</v>
      </c>
      <c r="S13" s="1098">
        <v>170</v>
      </c>
      <c r="T13" s="1098">
        <v>22.757000000000001</v>
      </c>
      <c r="U13" s="1098">
        <v>133.83799999999999</v>
      </c>
      <c r="V13" s="1098">
        <v>55.734000000000002</v>
      </c>
      <c r="W13" s="1098">
        <v>238.86199999999999</v>
      </c>
      <c r="X13" s="1098">
        <v>373.52600000000001</v>
      </c>
      <c r="Y13" s="1098">
        <v>157.691</v>
      </c>
      <c r="Z13" s="1098">
        <v>13.637</v>
      </c>
      <c r="AA13" s="1097">
        <f t="shared" si="31"/>
        <v>2216.4810000000002</v>
      </c>
      <c r="AB13" s="1252">
        <v>34.268999999999998</v>
      </c>
      <c r="AC13" s="1098">
        <v>95.122</v>
      </c>
      <c r="AD13" s="1098"/>
      <c r="AE13" s="1098"/>
      <c r="AF13" s="1098">
        <v>26.722999999999999</v>
      </c>
      <c r="AG13" s="1098"/>
      <c r="AH13" s="1098"/>
      <c r="AI13" s="1098"/>
      <c r="AJ13" s="1098"/>
      <c r="AK13" s="1098"/>
      <c r="AL13" s="1098">
        <v>45.46</v>
      </c>
      <c r="AM13" s="1098">
        <v>36.368000000000002</v>
      </c>
      <c r="AN13" s="1097">
        <f t="shared" si="32"/>
        <v>237.94199999999998</v>
      </c>
      <c r="AO13" s="1252">
        <v>117.714</v>
      </c>
      <c r="AP13" s="1098">
        <v>370.88299999999998</v>
      </c>
      <c r="AQ13" s="1098">
        <v>377.56700000000001</v>
      </c>
      <c r="AR13" s="1098">
        <v>170.49100000000001</v>
      </c>
      <c r="AS13" s="1098">
        <v>12</v>
      </c>
      <c r="AT13" s="1098">
        <v>528</v>
      </c>
      <c r="AU13" s="1098"/>
      <c r="AV13" s="1098">
        <v>71</v>
      </c>
      <c r="AW13" s="1098">
        <v>115</v>
      </c>
      <c r="AX13" s="1098">
        <v>33</v>
      </c>
      <c r="AY13" s="1098"/>
      <c r="AZ13" s="1098">
        <v>118</v>
      </c>
      <c r="BA13" s="1097">
        <f t="shared" si="33"/>
        <v>1913.655</v>
      </c>
      <c r="BB13" s="1252"/>
      <c r="BC13" s="1098"/>
      <c r="BD13" s="1098">
        <v>473</v>
      </c>
      <c r="BE13" s="1098">
        <v>261</v>
      </c>
      <c r="BF13" s="1098">
        <v>13</v>
      </c>
      <c r="BG13" s="1098">
        <v>87</v>
      </c>
      <c r="BH13" s="1098">
        <v>118</v>
      </c>
      <c r="BI13" s="1098">
        <v>118</v>
      </c>
      <c r="BJ13" s="1098"/>
      <c r="BK13" s="1098"/>
      <c r="BL13" s="1098"/>
      <c r="BM13" s="1098">
        <v>69</v>
      </c>
      <c r="BN13" s="1097">
        <f t="shared" si="34"/>
        <v>1139</v>
      </c>
      <c r="BO13" s="1252"/>
      <c r="BP13" s="1098"/>
      <c r="BQ13" s="1098"/>
      <c r="BR13" s="1098"/>
      <c r="BS13" s="1098"/>
      <c r="BT13" s="1098"/>
      <c r="BU13" s="1098"/>
      <c r="BV13" s="1098"/>
      <c r="BW13" s="1098"/>
      <c r="BX13" s="1098"/>
      <c r="BY13" s="1098"/>
      <c r="BZ13" s="1098"/>
      <c r="CA13" s="1097">
        <f t="shared" si="35"/>
        <v>0</v>
      </c>
      <c r="CB13" s="1252"/>
      <c r="CC13" s="1098"/>
      <c r="CD13" s="1098"/>
      <c r="CE13" s="1098"/>
      <c r="CF13" s="1098"/>
      <c r="CG13" s="1098"/>
      <c r="CH13" s="1098"/>
      <c r="CI13" s="1098"/>
      <c r="CJ13" s="1098"/>
      <c r="CK13" s="1098"/>
      <c r="CL13" s="1098"/>
      <c r="CM13" s="1098"/>
      <c r="CN13" s="1097">
        <f t="shared" si="36"/>
        <v>0</v>
      </c>
      <c r="CO13" s="1252"/>
      <c r="CP13" s="1098"/>
      <c r="CQ13" s="1098"/>
      <c r="CR13" s="1098"/>
      <c r="CS13" s="1098"/>
      <c r="CT13" s="1098"/>
      <c r="CU13" s="1098"/>
      <c r="CV13" s="1098"/>
      <c r="CW13" s="1098"/>
      <c r="CX13" s="1098"/>
      <c r="CY13" s="1098"/>
      <c r="CZ13" s="1098"/>
      <c r="DA13" s="1097">
        <f t="shared" si="37"/>
        <v>0</v>
      </c>
      <c r="DB13" s="1252"/>
      <c r="DC13" s="1098"/>
      <c r="DD13" s="1098"/>
      <c r="DE13" s="1098"/>
      <c r="DF13" s="1098"/>
      <c r="DG13" s="1098"/>
      <c r="DH13" s="1098"/>
      <c r="DI13" s="1098"/>
      <c r="DJ13" s="1098"/>
      <c r="DK13" s="1098"/>
      <c r="DL13" s="1098"/>
      <c r="DM13" s="1098"/>
      <c r="DN13" s="1097">
        <f t="shared" si="38"/>
        <v>0</v>
      </c>
      <c r="DO13" s="1252"/>
      <c r="DP13" s="1098"/>
      <c r="DQ13" s="1098"/>
      <c r="DR13" s="1098"/>
      <c r="DS13" s="1098"/>
      <c r="DT13" s="1098"/>
      <c r="DU13" s="1098"/>
      <c r="DV13" s="1098"/>
      <c r="DW13" s="1098"/>
      <c r="DX13" s="1098"/>
      <c r="DY13" s="1098"/>
      <c r="DZ13" s="1098"/>
      <c r="EA13" s="1097">
        <f t="shared" si="39"/>
        <v>0</v>
      </c>
      <c r="EB13" s="1252"/>
      <c r="EC13" s="1098"/>
      <c r="ED13" s="1098"/>
      <c r="EE13" s="1098"/>
      <c r="EF13" s="1098"/>
      <c r="EG13" s="1098"/>
      <c r="EH13" s="1098"/>
      <c r="EI13" s="1098"/>
      <c r="EJ13" s="1098"/>
      <c r="EK13" s="1098"/>
      <c r="EL13" s="1098"/>
      <c r="EM13" s="1098"/>
      <c r="EN13" s="1097">
        <f t="shared" si="40"/>
        <v>0</v>
      </c>
      <c r="EO13" s="1252"/>
      <c r="EP13" s="1098"/>
      <c r="EQ13" s="1098"/>
      <c r="ER13" s="1098"/>
      <c r="ES13" s="1098"/>
      <c r="ET13" s="1098"/>
      <c r="EU13" s="1098"/>
      <c r="EV13" s="1098"/>
      <c r="EW13" s="1098"/>
      <c r="EX13" s="1098"/>
      <c r="EY13" s="1098"/>
      <c r="EZ13" s="1098"/>
      <c r="FA13" s="1097">
        <f t="shared" si="41"/>
        <v>0</v>
      </c>
      <c r="FB13" s="1252"/>
      <c r="FC13" s="1098"/>
      <c r="FD13" s="1098"/>
      <c r="FE13" s="1098"/>
      <c r="FF13" s="1098"/>
      <c r="FG13" s="1098"/>
      <c r="FH13" s="1098"/>
      <c r="FI13" s="1098"/>
      <c r="FJ13" s="1098"/>
      <c r="FK13" s="1098"/>
      <c r="FL13" s="1098"/>
      <c r="FM13" s="1098"/>
      <c r="FN13" s="1097">
        <f t="shared" si="42"/>
        <v>0</v>
      </c>
      <c r="FO13" s="1252"/>
      <c r="FP13" s="1098"/>
      <c r="FQ13" s="1098"/>
      <c r="FR13" s="1098"/>
      <c r="FS13" s="1098"/>
      <c r="FT13" s="1098"/>
      <c r="FU13" s="1098"/>
      <c r="FV13" s="1098"/>
      <c r="FW13" s="1098"/>
      <c r="FX13" s="1098"/>
      <c r="FY13" s="1098"/>
      <c r="FZ13" s="1098"/>
      <c r="GA13" s="1097">
        <f t="shared" si="43"/>
        <v>0</v>
      </c>
      <c r="GB13" s="1252"/>
      <c r="GC13" s="1098"/>
      <c r="GD13" s="1098"/>
      <c r="GE13" s="1098"/>
      <c r="GF13" s="1098"/>
      <c r="GG13" s="1098"/>
      <c r="GH13" s="1098"/>
      <c r="GI13" s="1098"/>
      <c r="GJ13" s="1098"/>
      <c r="GK13" s="1098"/>
      <c r="GL13" s="1098"/>
      <c r="GM13" s="1098"/>
      <c r="GN13" s="1097">
        <f t="shared" si="44"/>
        <v>0</v>
      </c>
      <c r="GO13" s="1252"/>
      <c r="GP13" s="1098"/>
      <c r="GQ13" s="1098"/>
      <c r="GR13" s="1098"/>
      <c r="GS13" s="1098"/>
      <c r="GT13" s="1098"/>
      <c r="GU13" s="1098"/>
      <c r="GV13" s="1098"/>
      <c r="GW13" s="1098"/>
      <c r="GX13" s="1098"/>
      <c r="GY13" s="1098"/>
      <c r="GZ13" s="1098"/>
      <c r="HA13" s="1097">
        <f t="shared" si="45"/>
        <v>0</v>
      </c>
      <c r="HB13" s="1252"/>
      <c r="HC13" s="1098"/>
      <c r="HD13" s="1098"/>
      <c r="HE13" s="1098"/>
      <c r="HF13" s="1098"/>
      <c r="HG13" s="1098"/>
      <c r="HH13" s="1098"/>
      <c r="HI13" s="1098"/>
      <c r="HJ13" s="1098"/>
      <c r="HK13" s="1098"/>
      <c r="HL13" s="1098"/>
      <c r="HM13" s="1098"/>
      <c r="HN13" s="1097">
        <f t="shared" si="46"/>
        <v>0</v>
      </c>
      <c r="HO13" s="1252"/>
      <c r="HP13" s="1098"/>
      <c r="HQ13" s="1098"/>
      <c r="HR13" s="1098"/>
      <c r="HS13" s="1098"/>
      <c r="HT13" s="1098"/>
      <c r="HU13" s="1098"/>
      <c r="HV13" s="1098"/>
      <c r="HW13" s="1098"/>
      <c r="HX13" s="1098"/>
      <c r="HY13" s="1098"/>
      <c r="HZ13" s="1098"/>
      <c r="IA13" s="1097">
        <f t="shared" si="47"/>
        <v>0</v>
      </c>
      <c r="IB13" s="1252"/>
      <c r="IC13" s="1098"/>
      <c r="ID13" s="1098"/>
      <c r="IE13" s="1098"/>
      <c r="IF13" s="1098"/>
      <c r="IG13" s="1098"/>
      <c r="IH13" s="1098"/>
      <c r="II13" s="1098"/>
      <c r="IJ13" s="1098"/>
      <c r="IK13" s="1098"/>
      <c r="IL13" s="1098"/>
      <c r="IM13" s="1098"/>
      <c r="IN13" s="1097">
        <f t="shared" si="48"/>
        <v>0</v>
      </c>
      <c r="IO13" s="1252"/>
      <c r="IP13" s="1098"/>
      <c r="IQ13" s="1098"/>
      <c r="IR13" s="1098"/>
      <c r="IS13" s="1098"/>
      <c r="IT13" s="1098"/>
      <c r="IU13" s="1098"/>
      <c r="IV13" s="1098"/>
      <c r="IW13" s="1098"/>
      <c r="IX13" s="1098"/>
      <c r="IY13" s="1098"/>
      <c r="IZ13" s="1098"/>
      <c r="JA13" s="1097">
        <f t="shared" si="49"/>
        <v>0</v>
      </c>
      <c r="JB13" s="1252"/>
      <c r="JC13" s="1098"/>
      <c r="JD13" s="1098"/>
      <c r="JE13" s="1098"/>
      <c r="JF13" s="1098"/>
      <c r="JG13" s="1098"/>
      <c r="JH13" s="1098"/>
      <c r="JI13" s="1098"/>
      <c r="JJ13" s="1098"/>
      <c r="JK13" s="1098"/>
      <c r="JL13" s="1098"/>
      <c r="JM13" s="1098"/>
      <c r="JN13" s="1097">
        <f t="shared" si="50"/>
        <v>0</v>
      </c>
      <c r="JO13" s="1252"/>
      <c r="JP13" s="1098"/>
      <c r="JQ13" s="1098"/>
      <c r="JR13" s="1098"/>
      <c r="JS13" s="1098"/>
      <c r="JT13" s="1098"/>
      <c r="JU13" s="1098"/>
      <c r="JV13" s="1098"/>
      <c r="JW13" s="1098"/>
      <c r="JX13" s="1098"/>
      <c r="JY13" s="1098"/>
      <c r="JZ13" s="1098"/>
      <c r="KA13" s="1097">
        <f t="shared" si="51"/>
        <v>0</v>
      </c>
      <c r="KB13" s="1252"/>
      <c r="KC13" s="1098"/>
      <c r="KD13" s="1098"/>
      <c r="KE13" s="1098"/>
      <c r="KF13" s="1098"/>
      <c r="KG13" s="1098"/>
      <c r="KH13" s="1098">
        <v>7.8730000000000002</v>
      </c>
      <c r="KI13" s="1098">
        <v>1.851</v>
      </c>
      <c r="KJ13" s="1098">
        <v>6.3890000000000002</v>
      </c>
      <c r="KK13" s="1098"/>
      <c r="KL13" s="1098"/>
      <c r="KM13" s="1098"/>
      <c r="KN13" s="1097">
        <f t="shared" si="52"/>
        <v>16.113</v>
      </c>
      <c r="KO13" s="1252"/>
      <c r="KP13" s="1098"/>
      <c r="KQ13" s="1098">
        <v>8.8970000000000002</v>
      </c>
      <c r="KR13" s="1098"/>
      <c r="KS13" s="1098"/>
      <c r="KT13" s="1098">
        <v>11.814</v>
      </c>
      <c r="KU13" s="1098"/>
      <c r="KV13" s="1098"/>
      <c r="KW13" s="1098"/>
      <c r="KX13" s="1098"/>
      <c r="KY13" s="1098"/>
      <c r="KZ13" s="1098"/>
      <c r="LA13" s="1097">
        <f t="shared" si="53"/>
        <v>20.710999999999999</v>
      </c>
      <c r="LB13" s="1252">
        <v>98.610000000010004</v>
      </c>
      <c r="LC13" s="1098">
        <v>42.024000000000001</v>
      </c>
      <c r="LD13" s="1098">
        <v>17</v>
      </c>
      <c r="LE13" s="1098">
        <v>133.054</v>
      </c>
      <c r="LF13" s="1098">
        <v>40.993000000000002</v>
      </c>
      <c r="LG13" s="1098">
        <v>4.2869999999999999</v>
      </c>
      <c r="LH13" s="1098"/>
      <c r="LI13" s="1098"/>
      <c r="LJ13" s="1098"/>
      <c r="LK13" s="1098"/>
      <c r="LL13" s="1098"/>
      <c r="LM13" s="1098"/>
      <c r="LN13" s="1097">
        <f t="shared" si="54"/>
        <v>335.96800000000997</v>
      </c>
      <c r="LP13" s="1116" t="str">
        <f t="shared" si="55"/>
        <v/>
      </c>
      <c r="LQ13" s="1117">
        <f t="shared" si="56"/>
        <v>1522.1717927671768</v>
      </c>
      <c r="LR13" s="1079">
        <f t="shared" si="57"/>
        <v>20.710999999999999</v>
      </c>
      <c r="LS13" s="1118">
        <f t="shared" si="58"/>
        <v>335.96800000000997</v>
      </c>
      <c r="LU13" s="629"/>
      <c r="LV13" s="1139">
        <f t="shared" si="59"/>
        <v>22768.090000000022</v>
      </c>
      <c r="LW13" s="1286" t="s">
        <v>53</v>
      </c>
      <c r="LX13" s="1147" t="str">
        <f t="shared" si="60"/>
        <v>OK</v>
      </c>
    </row>
    <row r="14" spans="1:336" ht="15" customHeight="1" x14ac:dyDescent="0.2">
      <c r="A14" s="1280" t="s">
        <v>54</v>
      </c>
      <c r="B14" s="1252"/>
      <c r="C14" s="1098"/>
      <c r="D14" s="1098"/>
      <c r="E14" s="1098"/>
      <c r="F14" s="1098"/>
      <c r="G14" s="1098"/>
      <c r="H14" s="1098">
        <v>59.091000000000001</v>
      </c>
      <c r="I14" s="1098"/>
      <c r="J14" s="1098">
        <v>36.381</v>
      </c>
      <c r="K14" s="1098">
        <v>13</v>
      </c>
      <c r="L14" s="1098">
        <v>10.044</v>
      </c>
      <c r="M14" s="1098">
        <v>18.986999999999998</v>
      </c>
      <c r="N14" s="1097">
        <f t="shared" si="30"/>
        <v>137.50300000000001</v>
      </c>
      <c r="O14" s="1252"/>
      <c r="P14" s="1098"/>
      <c r="Q14" s="1098"/>
      <c r="R14" s="1098">
        <v>7.2759999999999998</v>
      </c>
      <c r="S14" s="1098"/>
      <c r="T14" s="1098">
        <v>19.091000000000001</v>
      </c>
      <c r="U14" s="1098">
        <v>7.7480000000000002</v>
      </c>
      <c r="V14" s="1098"/>
      <c r="W14" s="1098">
        <v>9.1329999999999991</v>
      </c>
      <c r="X14" s="1098"/>
      <c r="Y14" s="1098"/>
      <c r="Z14" s="1098">
        <v>14.316000000000001</v>
      </c>
      <c r="AA14" s="1097">
        <f t="shared" si="31"/>
        <v>57.564000000000007</v>
      </c>
      <c r="AB14" s="1252">
        <v>34.054000000000002</v>
      </c>
      <c r="AC14" s="1098">
        <v>29.824999999999999</v>
      </c>
      <c r="AD14" s="1098">
        <v>9.1579999999999995</v>
      </c>
      <c r="AE14" s="1098"/>
      <c r="AF14" s="1098">
        <v>12.823</v>
      </c>
      <c r="AG14" s="1098"/>
      <c r="AH14" s="1098"/>
      <c r="AI14" s="1098">
        <v>36.002000000000002</v>
      </c>
      <c r="AJ14" s="1098"/>
      <c r="AK14" s="1098"/>
      <c r="AL14" s="1098">
        <v>9.9480000000000004</v>
      </c>
      <c r="AM14" s="1098">
        <v>7.7130000000000001</v>
      </c>
      <c r="AN14" s="1097">
        <f t="shared" si="32"/>
        <v>139.52300000000002</v>
      </c>
      <c r="AO14" s="1252"/>
      <c r="AP14" s="1098">
        <v>36.225999999999999</v>
      </c>
      <c r="AQ14" s="1098">
        <v>52.023000000000003</v>
      </c>
      <c r="AR14" s="1098"/>
      <c r="AS14" s="1098"/>
      <c r="AT14" s="1098">
        <v>40</v>
      </c>
      <c r="AU14" s="1098"/>
      <c r="AV14" s="1098"/>
      <c r="AW14" s="1098">
        <v>20</v>
      </c>
      <c r="AX14" s="1098"/>
      <c r="AY14" s="1098"/>
      <c r="AZ14" s="1098">
        <v>26</v>
      </c>
      <c r="BA14" s="1097">
        <f t="shared" si="33"/>
        <v>174.249</v>
      </c>
      <c r="BB14" s="1252"/>
      <c r="BC14" s="1098">
        <v>68</v>
      </c>
      <c r="BD14" s="1098"/>
      <c r="BE14" s="1098">
        <v>8</v>
      </c>
      <c r="BF14" s="1098">
        <v>27</v>
      </c>
      <c r="BG14" s="1098">
        <v>41</v>
      </c>
      <c r="BH14" s="1098"/>
      <c r="BI14" s="1098"/>
      <c r="BJ14" s="1098">
        <v>72</v>
      </c>
      <c r="BK14" s="1098"/>
      <c r="BL14" s="1098"/>
      <c r="BM14" s="1098"/>
      <c r="BN14" s="1097">
        <f t="shared" si="34"/>
        <v>216</v>
      </c>
      <c r="BO14" s="1252">
        <v>39.313000000000002</v>
      </c>
      <c r="BP14" s="1098"/>
      <c r="BQ14" s="1098">
        <v>107.602</v>
      </c>
      <c r="BR14" s="1098">
        <v>35.064999999999998</v>
      </c>
      <c r="BS14" s="1098">
        <v>130.30799999999999</v>
      </c>
      <c r="BT14" s="1098">
        <v>14.419</v>
      </c>
      <c r="BU14" s="1098">
        <v>23.1</v>
      </c>
      <c r="BV14" s="1098">
        <v>78.787000000000006</v>
      </c>
      <c r="BW14" s="1098">
        <v>160.97300000000001</v>
      </c>
      <c r="BX14" s="1098">
        <v>143.012</v>
      </c>
      <c r="BY14" s="1098">
        <v>152</v>
      </c>
      <c r="BZ14" s="1098">
        <v>163</v>
      </c>
      <c r="CA14" s="1097">
        <f t="shared" si="35"/>
        <v>1047.579</v>
      </c>
      <c r="CB14" s="1252">
        <v>42</v>
      </c>
      <c r="CC14" s="1098"/>
      <c r="CD14" s="1098">
        <v>42</v>
      </c>
      <c r="CE14" s="1098">
        <v>8</v>
      </c>
      <c r="CF14" s="1098">
        <v>59</v>
      </c>
      <c r="CG14" s="1098">
        <v>100</v>
      </c>
      <c r="CH14" s="1098">
        <v>18</v>
      </c>
      <c r="CI14" s="1098"/>
      <c r="CJ14" s="1098">
        <v>9</v>
      </c>
      <c r="CK14" s="1098">
        <v>33</v>
      </c>
      <c r="CL14" s="1098"/>
      <c r="CM14" s="1098"/>
      <c r="CN14" s="1097">
        <f t="shared" si="36"/>
        <v>311</v>
      </c>
      <c r="CO14" s="1252"/>
      <c r="CP14" s="1098"/>
      <c r="CQ14" s="1098"/>
      <c r="CR14" s="1098"/>
      <c r="CS14" s="1098"/>
      <c r="CT14" s="1098"/>
      <c r="CU14" s="1098"/>
      <c r="CV14" s="1098">
        <v>6</v>
      </c>
      <c r="CW14" s="1098"/>
      <c r="CX14" s="1098"/>
      <c r="CY14" s="1098"/>
      <c r="CZ14" s="1098"/>
      <c r="DA14" s="1097">
        <f t="shared" si="37"/>
        <v>6</v>
      </c>
      <c r="DB14" s="1252"/>
      <c r="DC14" s="1098"/>
      <c r="DD14" s="1098">
        <v>4</v>
      </c>
      <c r="DE14" s="1098"/>
      <c r="DF14" s="1098">
        <v>28</v>
      </c>
      <c r="DG14" s="1098">
        <v>121</v>
      </c>
      <c r="DH14" s="1098">
        <v>84</v>
      </c>
      <c r="DI14" s="1098">
        <v>14</v>
      </c>
      <c r="DJ14" s="1098">
        <v>19</v>
      </c>
      <c r="DK14" s="1098"/>
      <c r="DL14" s="1098">
        <v>28</v>
      </c>
      <c r="DM14" s="1098">
        <v>62</v>
      </c>
      <c r="DN14" s="1097">
        <f t="shared" si="38"/>
        <v>360</v>
      </c>
      <c r="DO14" s="1252"/>
      <c r="DP14" s="1098"/>
      <c r="DQ14" s="1098">
        <v>8</v>
      </c>
      <c r="DR14" s="1098"/>
      <c r="DS14" s="1098">
        <v>71</v>
      </c>
      <c r="DT14" s="1098"/>
      <c r="DU14" s="1098"/>
      <c r="DV14" s="1098"/>
      <c r="DW14" s="1098">
        <v>2</v>
      </c>
      <c r="DX14" s="1098"/>
      <c r="DY14" s="1098">
        <v>33</v>
      </c>
      <c r="DZ14" s="1098"/>
      <c r="EA14" s="1097">
        <f t="shared" si="39"/>
        <v>114</v>
      </c>
      <c r="EB14" s="1252">
        <v>12</v>
      </c>
      <c r="EC14" s="1098"/>
      <c r="ED14" s="1098">
        <v>9</v>
      </c>
      <c r="EE14" s="1098">
        <v>62</v>
      </c>
      <c r="EF14" s="1098"/>
      <c r="EG14" s="1098"/>
      <c r="EH14" s="1098"/>
      <c r="EI14" s="1098"/>
      <c r="EJ14" s="1098">
        <v>20</v>
      </c>
      <c r="EK14" s="1098">
        <v>52</v>
      </c>
      <c r="EL14" s="1098"/>
      <c r="EM14" s="1098"/>
      <c r="EN14" s="1097">
        <f t="shared" si="40"/>
        <v>155</v>
      </c>
      <c r="EO14" s="1252">
        <v>11</v>
      </c>
      <c r="EP14" s="1098">
        <v>9</v>
      </c>
      <c r="EQ14" s="1098">
        <v>13</v>
      </c>
      <c r="ER14" s="1098">
        <v>130</v>
      </c>
      <c r="ES14" s="1098"/>
      <c r="ET14" s="1098"/>
      <c r="EU14" s="1098"/>
      <c r="EV14" s="1098"/>
      <c r="EW14" s="1098">
        <v>18</v>
      </c>
      <c r="EX14" s="1098">
        <v>18</v>
      </c>
      <c r="EY14" s="1098"/>
      <c r="EZ14" s="1098"/>
      <c r="FA14" s="1097">
        <f t="shared" si="41"/>
        <v>199</v>
      </c>
      <c r="FB14" s="1252">
        <v>126</v>
      </c>
      <c r="FC14" s="1098"/>
      <c r="FD14" s="1098"/>
      <c r="FE14" s="1098">
        <v>3</v>
      </c>
      <c r="FF14" s="1098"/>
      <c r="FG14" s="1098">
        <v>35</v>
      </c>
      <c r="FH14" s="1098">
        <v>48</v>
      </c>
      <c r="FI14" s="1098"/>
      <c r="FJ14" s="1098"/>
      <c r="FK14" s="1098"/>
      <c r="FL14" s="1098"/>
      <c r="FM14" s="1098"/>
      <c r="FN14" s="1097">
        <f t="shared" si="42"/>
        <v>212</v>
      </c>
      <c r="FO14" s="1252">
        <v>17</v>
      </c>
      <c r="FP14" s="1098"/>
      <c r="FQ14" s="1098"/>
      <c r="FR14" s="1098"/>
      <c r="FS14" s="1098">
        <v>326</v>
      </c>
      <c r="FT14" s="1098">
        <v>5</v>
      </c>
      <c r="FU14" s="1098"/>
      <c r="FV14" s="1098"/>
      <c r="FW14" s="1098">
        <v>18</v>
      </c>
      <c r="FX14" s="1098"/>
      <c r="FY14" s="1098"/>
      <c r="FZ14" s="1098">
        <v>11</v>
      </c>
      <c r="GA14" s="1097">
        <f t="shared" si="43"/>
        <v>377</v>
      </c>
      <c r="GB14" s="1252"/>
      <c r="GC14" s="1098">
        <v>1</v>
      </c>
      <c r="GD14" s="1098">
        <v>9.1679999999999993</v>
      </c>
      <c r="GE14" s="1098">
        <v>1.284</v>
      </c>
      <c r="GF14" s="1098">
        <v>0.877</v>
      </c>
      <c r="GG14" s="1098"/>
      <c r="GH14" s="1098"/>
      <c r="GI14" s="1098">
        <v>12</v>
      </c>
      <c r="GJ14" s="1098">
        <v>3</v>
      </c>
      <c r="GK14" s="1098"/>
      <c r="GL14" s="1098"/>
      <c r="GM14" s="1098"/>
      <c r="GN14" s="1097">
        <f t="shared" si="44"/>
        <v>27.329000000000001</v>
      </c>
      <c r="GO14" s="1252"/>
      <c r="GP14" s="1098">
        <v>7.0990000000000002</v>
      </c>
      <c r="GQ14" s="1098">
        <v>6.069</v>
      </c>
      <c r="GR14" s="1098"/>
      <c r="GS14" s="1098"/>
      <c r="GT14" s="1098"/>
      <c r="GU14" s="1098"/>
      <c r="GV14" s="1098">
        <v>9.61</v>
      </c>
      <c r="GW14" s="1098">
        <v>22.01</v>
      </c>
      <c r="GX14" s="1098"/>
      <c r="GY14" s="1098">
        <v>4.5579999999999998</v>
      </c>
      <c r="GZ14" s="1098"/>
      <c r="HA14" s="1097">
        <f t="shared" si="45"/>
        <v>49.345999999999997</v>
      </c>
      <c r="HB14" s="1252">
        <v>1</v>
      </c>
      <c r="HC14" s="1098"/>
      <c r="HD14" s="1098">
        <v>7.7839999999999998</v>
      </c>
      <c r="HE14" s="1098">
        <v>19.460999999999999</v>
      </c>
      <c r="HF14" s="1098"/>
      <c r="HG14" s="1098"/>
      <c r="HH14" s="1098"/>
      <c r="HI14" s="1098">
        <v>9</v>
      </c>
      <c r="HJ14" s="1098">
        <v>2.5999999999999999E-2</v>
      </c>
      <c r="HK14" s="1098"/>
      <c r="HL14" s="1098"/>
      <c r="HM14" s="1098">
        <v>27.009</v>
      </c>
      <c r="HN14" s="1097">
        <f t="shared" si="46"/>
        <v>64.28</v>
      </c>
      <c r="HO14" s="1252"/>
      <c r="HP14" s="1098"/>
      <c r="HQ14" s="1098"/>
      <c r="HR14" s="1098"/>
      <c r="HS14" s="1098"/>
      <c r="HT14" s="1098"/>
      <c r="HU14" s="1098"/>
      <c r="HV14" s="1098">
        <v>6.1239999999999997</v>
      </c>
      <c r="HW14" s="1098">
        <v>1.218</v>
      </c>
      <c r="HX14" s="1098">
        <v>2</v>
      </c>
      <c r="HY14" s="1098">
        <v>25</v>
      </c>
      <c r="HZ14" s="1098"/>
      <c r="IA14" s="1097">
        <f t="shared" si="47"/>
        <v>34.341999999999999</v>
      </c>
      <c r="IB14" s="1252"/>
      <c r="IC14" s="1098"/>
      <c r="ID14" s="1098"/>
      <c r="IE14" s="1098"/>
      <c r="IF14" s="1098"/>
      <c r="IG14" s="1098"/>
      <c r="IH14" s="1098"/>
      <c r="II14" s="1098"/>
      <c r="IJ14" s="1098"/>
      <c r="IK14" s="1098"/>
      <c r="IL14" s="1098"/>
      <c r="IM14" s="1098"/>
      <c r="IN14" s="1097">
        <f t="shared" si="48"/>
        <v>0</v>
      </c>
      <c r="IO14" s="1252"/>
      <c r="IP14" s="1098"/>
      <c r="IQ14" s="1098"/>
      <c r="IR14" s="1098"/>
      <c r="IS14" s="1098"/>
      <c r="IT14" s="1098"/>
      <c r="IU14" s="1098"/>
      <c r="IV14" s="1098"/>
      <c r="IW14" s="1098"/>
      <c r="IX14" s="1098"/>
      <c r="IY14" s="1098"/>
      <c r="IZ14" s="1098"/>
      <c r="JA14" s="1097">
        <f t="shared" si="49"/>
        <v>0</v>
      </c>
      <c r="JB14" s="1252"/>
      <c r="JC14" s="1098"/>
      <c r="JD14" s="1098"/>
      <c r="JE14" s="1098"/>
      <c r="JF14" s="1098"/>
      <c r="JG14" s="1098"/>
      <c r="JH14" s="1098"/>
      <c r="JI14" s="1098"/>
      <c r="JJ14" s="1098">
        <v>2.81</v>
      </c>
      <c r="JK14" s="1098">
        <v>1.54</v>
      </c>
      <c r="JL14" s="1098">
        <v>5.04</v>
      </c>
      <c r="JM14" s="1098"/>
      <c r="JN14" s="1097">
        <f t="shared" si="50"/>
        <v>9.39</v>
      </c>
      <c r="JO14" s="1252"/>
      <c r="JP14" s="1098"/>
      <c r="JQ14" s="1098"/>
      <c r="JR14" s="1098"/>
      <c r="JS14" s="1098"/>
      <c r="JT14" s="1098"/>
      <c r="JU14" s="1098"/>
      <c r="JV14" s="1098"/>
      <c r="JW14" s="1098">
        <v>3.6549999999999998</v>
      </c>
      <c r="JX14" s="1098"/>
      <c r="JY14" s="1098">
        <v>2.5209999999999999</v>
      </c>
      <c r="JZ14" s="1098"/>
      <c r="KA14" s="1097">
        <f t="shared" si="51"/>
        <v>6.1760000000000002</v>
      </c>
      <c r="KB14" s="1252"/>
      <c r="KC14" s="1098"/>
      <c r="KD14" s="1098"/>
      <c r="KE14" s="1098"/>
      <c r="KF14" s="1098">
        <v>14.52</v>
      </c>
      <c r="KG14" s="1098">
        <v>5.9580000000000002</v>
      </c>
      <c r="KH14" s="1098"/>
      <c r="KI14" s="1098"/>
      <c r="KJ14" s="1098">
        <v>8.6440000000000001</v>
      </c>
      <c r="KK14" s="1098"/>
      <c r="KL14" s="1098"/>
      <c r="KM14" s="1098"/>
      <c r="KN14" s="1097">
        <f t="shared" si="52"/>
        <v>29.122</v>
      </c>
      <c r="KO14" s="1252">
        <v>10.869</v>
      </c>
      <c r="KP14" s="1098">
        <v>0.69899999999999995</v>
      </c>
      <c r="KQ14" s="1098"/>
      <c r="KR14" s="1098"/>
      <c r="KS14" s="1098"/>
      <c r="KT14" s="1098">
        <v>5.6539999999999999</v>
      </c>
      <c r="KU14" s="1098">
        <v>3.36</v>
      </c>
      <c r="KV14" s="1098">
        <v>21.994</v>
      </c>
      <c r="KW14" s="1098"/>
      <c r="KX14" s="1098">
        <v>19.509</v>
      </c>
      <c r="KY14" s="1098"/>
      <c r="KZ14" s="1098"/>
      <c r="LA14" s="1097">
        <f t="shared" si="53"/>
        <v>62.085000000000001</v>
      </c>
      <c r="LB14" s="1252">
        <v>13.97000000001</v>
      </c>
      <c r="LC14" s="1098"/>
      <c r="LD14" s="1098"/>
      <c r="LE14" s="1098"/>
      <c r="LF14" s="1098"/>
      <c r="LG14" s="1098">
        <v>16.742000000000001</v>
      </c>
      <c r="LH14" s="1098"/>
      <c r="LI14" s="1098"/>
      <c r="LJ14" s="1098"/>
      <c r="LK14" s="1098"/>
      <c r="LL14" s="1098"/>
      <c r="LM14" s="1098"/>
      <c r="LN14" s="1097">
        <f t="shared" si="54"/>
        <v>30.712000000010001</v>
      </c>
      <c r="LP14" s="1116">
        <f t="shared" si="55"/>
        <v>-100</v>
      </c>
      <c r="LQ14" s="1117">
        <f t="shared" si="56"/>
        <v>-27.865464111212891</v>
      </c>
      <c r="LR14" s="1079">
        <f t="shared" si="57"/>
        <v>42.576000000000001</v>
      </c>
      <c r="LS14" s="1118">
        <f t="shared" si="58"/>
        <v>30.712000000010001</v>
      </c>
      <c r="LU14" s="629"/>
      <c r="LV14" s="1139">
        <f t="shared" si="59"/>
        <v>7638.4000000000196</v>
      </c>
      <c r="LW14" s="1286" t="s">
        <v>54</v>
      </c>
      <c r="LX14" s="1147" t="str">
        <f t="shared" si="60"/>
        <v>OK</v>
      </c>
    </row>
    <row r="15" spans="1:336" ht="15" customHeight="1" x14ac:dyDescent="0.2">
      <c r="A15" s="1280" t="s">
        <v>55</v>
      </c>
      <c r="B15" s="1252"/>
      <c r="C15" s="1098">
        <v>36.398000000000003</v>
      </c>
      <c r="D15" s="1098"/>
      <c r="E15" s="1098"/>
      <c r="F15" s="1098">
        <v>9.1189999999999998</v>
      </c>
      <c r="G15" s="1098">
        <v>46.558</v>
      </c>
      <c r="H15" s="1098">
        <v>30.725999999999999</v>
      </c>
      <c r="I15" s="1098">
        <v>38.270000000000003</v>
      </c>
      <c r="J15" s="1098"/>
      <c r="K15" s="1098">
        <v>9.1820000000000004</v>
      </c>
      <c r="L15" s="1098">
        <v>316.452</v>
      </c>
      <c r="M15" s="1098">
        <v>59.088999999999999</v>
      </c>
      <c r="N15" s="1097">
        <f t="shared" si="30"/>
        <v>545.79399999999998</v>
      </c>
      <c r="O15" s="1252">
        <v>71</v>
      </c>
      <c r="P15" s="1098">
        <v>13.635999999999999</v>
      </c>
      <c r="Q15" s="1098">
        <v>115.29600000000001</v>
      </c>
      <c r="R15" s="1098">
        <v>23.338999999999999</v>
      </c>
      <c r="S15" s="1098">
        <v>50</v>
      </c>
      <c r="T15" s="1098"/>
      <c r="U15" s="1098"/>
      <c r="V15" s="1098"/>
      <c r="W15" s="1098">
        <v>35.274999999999999</v>
      </c>
      <c r="X15" s="1098">
        <v>12.042</v>
      </c>
      <c r="Y15" s="1098">
        <v>29.792000000000002</v>
      </c>
      <c r="Z15" s="1098">
        <v>40.911999999999999</v>
      </c>
      <c r="AA15" s="1097">
        <f t="shared" si="31"/>
        <v>391.29199999999997</v>
      </c>
      <c r="AB15" s="1252">
        <v>19.09</v>
      </c>
      <c r="AC15" s="1098">
        <v>70.611000000000004</v>
      </c>
      <c r="AD15" s="1098"/>
      <c r="AE15" s="1098">
        <v>27.289000000000001</v>
      </c>
      <c r="AF15" s="1098">
        <v>31.766999999999999</v>
      </c>
      <c r="AG15" s="1098">
        <v>66.174000000000007</v>
      </c>
      <c r="AH15" s="1098">
        <v>118.158</v>
      </c>
      <c r="AI15" s="1098">
        <v>63.517000000000003</v>
      </c>
      <c r="AJ15" s="1098">
        <v>23.91</v>
      </c>
      <c r="AK15" s="1098"/>
      <c r="AL15" s="1098">
        <v>141.83799999999999</v>
      </c>
      <c r="AM15" s="1098">
        <v>30.417000000000002</v>
      </c>
      <c r="AN15" s="1097">
        <f t="shared" si="32"/>
        <v>592.77100000000007</v>
      </c>
      <c r="AO15" s="1252">
        <v>12.363</v>
      </c>
      <c r="AP15" s="1098">
        <v>39.49</v>
      </c>
      <c r="AQ15" s="1098"/>
      <c r="AR15" s="1098">
        <v>48.639000000000003</v>
      </c>
      <c r="AS15" s="1098">
        <v>4.5510000000000002</v>
      </c>
      <c r="AT15" s="1098">
        <v>64</v>
      </c>
      <c r="AU15" s="1098"/>
      <c r="AV15" s="1098">
        <v>49</v>
      </c>
      <c r="AW15" s="1098">
        <v>56</v>
      </c>
      <c r="AX15" s="1098"/>
      <c r="AY15" s="1098"/>
      <c r="AZ15" s="1098">
        <v>23</v>
      </c>
      <c r="BA15" s="1097">
        <f t="shared" si="33"/>
        <v>297.04300000000001</v>
      </c>
      <c r="BB15" s="1252">
        <v>12</v>
      </c>
      <c r="BC15" s="1098">
        <v>20</v>
      </c>
      <c r="BD15" s="1098">
        <v>12</v>
      </c>
      <c r="BE15" s="1098"/>
      <c r="BF15" s="1098">
        <v>192</v>
      </c>
      <c r="BG15" s="1098"/>
      <c r="BH15" s="1098">
        <v>6</v>
      </c>
      <c r="BI15" s="1098">
        <v>61</v>
      </c>
      <c r="BJ15" s="1098">
        <v>141</v>
      </c>
      <c r="BK15" s="1098">
        <v>49.68</v>
      </c>
      <c r="BL15" s="1098"/>
      <c r="BM15" s="1098">
        <v>21</v>
      </c>
      <c r="BN15" s="1097">
        <f t="shared" si="34"/>
        <v>514.68000000000006</v>
      </c>
      <c r="BO15" s="1252">
        <v>44.066000000000003</v>
      </c>
      <c r="BP15" s="1098">
        <v>163.208</v>
      </c>
      <c r="BQ15" s="1098">
        <v>29.975999999999999</v>
      </c>
      <c r="BR15" s="1098">
        <v>52.826999999999998</v>
      </c>
      <c r="BS15" s="1098">
        <v>19.302</v>
      </c>
      <c r="BT15" s="1098">
        <v>44.036000000000001</v>
      </c>
      <c r="BU15" s="1098">
        <v>30.38</v>
      </c>
      <c r="BV15" s="1098">
        <v>88.114000000000004</v>
      </c>
      <c r="BW15" s="1098">
        <v>38.158000000000001</v>
      </c>
      <c r="BX15" s="1098">
        <v>22.765000000000001</v>
      </c>
      <c r="BY15" s="1098"/>
      <c r="BZ15" s="1098">
        <v>1</v>
      </c>
      <c r="CA15" s="1097">
        <f t="shared" si="35"/>
        <v>533.83199999999999</v>
      </c>
      <c r="CB15" s="1252">
        <v>19</v>
      </c>
      <c r="CC15" s="1098">
        <v>21</v>
      </c>
      <c r="CD15" s="1098"/>
      <c r="CE15" s="1098">
        <v>46</v>
      </c>
      <c r="CF15" s="1098">
        <v>62</v>
      </c>
      <c r="CG15" s="1098">
        <v>69</v>
      </c>
      <c r="CH15" s="1098">
        <v>2</v>
      </c>
      <c r="CI15" s="1098">
        <v>11</v>
      </c>
      <c r="CJ15" s="1098">
        <v>21</v>
      </c>
      <c r="CK15" s="1098"/>
      <c r="CL15" s="1098"/>
      <c r="CM15" s="1098">
        <v>28</v>
      </c>
      <c r="CN15" s="1097">
        <f t="shared" si="36"/>
        <v>279</v>
      </c>
      <c r="CO15" s="1252">
        <v>31</v>
      </c>
      <c r="CP15" s="1098">
        <v>17</v>
      </c>
      <c r="CQ15" s="1098">
        <v>80</v>
      </c>
      <c r="CR15" s="1098"/>
      <c r="CS15" s="1098">
        <v>12</v>
      </c>
      <c r="CT15" s="1098"/>
      <c r="CU15" s="1098"/>
      <c r="CV15" s="1098"/>
      <c r="CW15" s="1098">
        <v>58</v>
      </c>
      <c r="CX15" s="1098">
        <v>38</v>
      </c>
      <c r="CY15" s="1098">
        <v>46</v>
      </c>
      <c r="CZ15" s="1098"/>
      <c r="DA15" s="1097">
        <f t="shared" si="37"/>
        <v>282</v>
      </c>
      <c r="DB15" s="1252">
        <v>5</v>
      </c>
      <c r="DC15" s="1098"/>
      <c r="DD15" s="1098">
        <v>25</v>
      </c>
      <c r="DE15" s="1098">
        <v>7</v>
      </c>
      <c r="DF15" s="1098">
        <v>12</v>
      </c>
      <c r="DG15" s="1098">
        <v>108</v>
      </c>
      <c r="DH15" s="1098">
        <v>144</v>
      </c>
      <c r="DI15" s="1098">
        <v>24</v>
      </c>
      <c r="DJ15" s="1098">
        <v>93</v>
      </c>
      <c r="DK15" s="1098">
        <v>67</v>
      </c>
      <c r="DL15" s="1098">
        <v>16</v>
      </c>
      <c r="DM15" s="1098">
        <v>28</v>
      </c>
      <c r="DN15" s="1097">
        <f t="shared" si="38"/>
        <v>529</v>
      </c>
      <c r="DO15" s="1252">
        <v>8</v>
      </c>
      <c r="DP15" s="1098">
        <v>28</v>
      </c>
      <c r="DQ15" s="1098">
        <v>3</v>
      </c>
      <c r="DR15" s="1098"/>
      <c r="DS15" s="1098"/>
      <c r="DT15" s="1098"/>
      <c r="DU15" s="1098">
        <v>1</v>
      </c>
      <c r="DV15" s="1098">
        <v>9</v>
      </c>
      <c r="DW15" s="1098">
        <v>100</v>
      </c>
      <c r="DX15" s="1098">
        <v>26</v>
      </c>
      <c r="DY15" s="1098">
        <v>49</v>
      </c>
      <c r="DZ15" s="1098"/>
      <c r="EA15" s="1097">
        <f t="shared" si="39"/>
        <v>224</v>
      </c>
      <c r="EB15" s="1252">
        <v>9</v>
      </c>
      <c r="EC15" s="1098"/>
      <c r="ED15" s="1098">
        <v>23</v>
      </c>
      <c r="EE15" s="1098"/>
      <c r="EF15" s="1098"/>
      <c r="EG15" s="1098">
        <v>26</v>
      </c>
      <c r="EH15" s="1098">
        <v>52</v>
      </c>
      <c r="EI15" s="1098">
        <v>17</v>
      </c>
      <c r="EJ15" s="1098"/>
      <c r="EK15" s="1098">
        <v>2</v>
      </c>
      <c r="EL15" s="1098">
        <v>4</v>
      </c>
      <c r="EM15" s="1098"/>
      <c r="EN15" s="1097">
        <f t="shared" si="40"/>
        <v>133</v>
      </c>
      <c r="EO15" s="1252"/>
      <c r="EP15" s="1098">
        <v>12</v>
      </c>
      <c r="EQ15" s="1098"/>
      <c r="ER15" s="1098"/>
      <c r="ES15" s="1098"/>
      <c r="ET15" s="1098">
        <v>13</v>
      </c>
      <c r="EU15" s="1098">
        <v>50</v>
      </c>
      <c r="EV15" s="1098">
        <v>12</v>
      </c>
      <c r="EW15" s="1098"/>
      <c r="EX15" s="1098">
        <v>155</v>
      </c>
      <c r="EY15" s="1098">
        <v>41</v>
      </c>
      <c r="EZ15" s="1098">
        <v>9</v>
      </c>
      <c r="FA15" s="1097">
        <f t="shared" si="41"/>
        <v>292</v>
      </c>
      <c r="FB15" s="1252"/>
      <c r="FC15" s="1098"/>
      <c r="FD15" s="1098"/>
      <c r="FE15" s="1098">
        <v>18</v>
      </c>
      <c r="FF15" s="1098">
        <v>27</v>
      </c>
      <c r="FG15" s="1098">
        <v>123</v>
      </c>
      <c r="FH15" s="1098"/>
      <c r="FI15" s="1098"/>
      <c r="FJ15" s="1098"/>
      <c r="FK15" s="1098">
        <v>22</v>
      </c>
      <c r="FL15" s="1098">
        <v>22.5</v>
      </c>
      <c r="FM15" s="1098">
        <v>4.5</v>
      </c>
      <c r="FN15" s="1097">
        <f t="shared" si="42"/>
        <v>217</v>
      </c>
      <c r="FO15" s="1252"/>
      <c r="FP15" s="1098"/>
      <c r="FQ15" s="1098"/>
      <c r="FR15" s="1098"/>
      <c r="FS15" s="1098">
        <v>5</v>
      </c>
      <c r="FT15" s="1098"/>
      <c r="FU15" s="1098"/>
      <c r="FV15" s="1098"/>
      <c r="FW15" s="1098"/>
      <c r="FX15" s="1098"/>
      <c r="FY15" s="1098"/>
      <c r="FZ15" s="1098"/>
      <c r="GA15" s="1097">
        <f t="shared" si="43"/>
        <v>5</v>
      </c>
      <c r="GB15" s="1252"/>
      <c r="GC15" s="1098"/>
      <c r="GD15" s="1098"/>
      <c r="GE15" s="1098"/>
      <c r="GF15" s="1098"/>
      <c r="GG15" s="1098"/>
      <c r="GH15" s="1098">
        <v>1</v>
      </c>
      <c r="GI15" s="1098"/>
      <c r="GJ15" s="1098"/>
      <c r="GK15" s="1098"/>
      <c r="GL15" s="1098"/>
      <c r="GM15" s="1098"/>
      <c r="GN15" s="1097">
        <f t="shared" si="44"/>
        <v>1</v>
      </c>
      <c r="GO15" s="1252"/>
      <c r="GP15" s="1098"/>
      <c r="GQ15" s="1098"/>
      <c r="GR15" s="1098"/>
      <c r="GS15" s="1098"/>
      <c r="GT15" s="1098"/>
      <c r="GU15" s="1098"/>
      <c r="GV15" s="1098"/>
      <c r="GW15" s="1098">
        <v>21.536999999999999</v>
      </c>
      <c r="GX15" s="1098"/>
      <c r="GY15" s="1098"/>
      <c r="GZ15" s="1098"/>
      <c r="HA15" s="1097">
        <f t="shared" si="45"/>
        <v>21.536999999999999</v>
      </c>
      <c r="HB15" s="1252"/>
      <c r="HC15" s="1098"/>
      <c r="HD15" s="1098"/>
      <c r="HE15" s="1098"/>
      <c r="HF15" s="1098"/>
      <c r="HG15" s="1098"/>
      <c r="HH15" s="1098"/>
      <c r="HI15" s="1098">
        <v>2</v>
      </c>
      <c r="HJ15" s="1098"/>
      <c r="HK15" s="1098">
        <v>0.83299999999999996</v>
      </c>
      <c r="HL15" s="1098"/>
      <c r="HM15" s="1098"/>
      <c r="HN15" s="1097">
        <f t="shared" si="46"/>
        <v>2.8330000000000002</v>
      </c>
      <c r="HO15" s="1252"/>
      <c r="HP15" s="1098"/>
      <c r="HQ15" s="1098"/>
      <c r="HR15" s="1098"/>
      <c r="HS15" s="1098"/>
      <c r="HT15" s="1098"/>
      <c r="HU15" s="1098"/>
      <c r="HV15" s="1098"/>
      <c r="HW15" s="1098"/>
      <c r="HX15" s="1098">
        <v>41</v>
      </c>
      <c r="HY15" s="1098">
        <v>9</v>
      </c>
      <c r="HZ15" s="1098"/>
      <c r="IA15" s="1097">
        <f t="shared" si="47"/>
        <v>50</v>
      </c>
      <c r="IB15" s="1252"/>
      <c r="IC15" s="1098"/>
      <c r="ID15" s="1098"/>
      <c r="IE15" s="1098"/>
      <c r="IF15" s="1098"/>
      <c r="IG15" s="1098"/>
      <c r="IH15" s="1098"/>
      <c r="II15" s="1098">
        <v>4.2210000000000001</v>
      </c>
      <c r="IJ15" s="1098">
        <v>75.316999999999993</v>
      </c>
      <c r="IK15" s="1098">
        <v>67.105000000000004</v>
      </c>
      <c r="IL15" s="1098">
        <v>28.344000000000001</v>
      </c>
      <c r="IM15" s="1098">
        <v>14.983000000000001</v>
      </c>
      <c r="IN15" s="1097">
        <f t="shared" si="48"/>
        <v>189.97</v>
      </c>
      <c r="IO15" s="1252">
        <v>41.155000000000001</v>
      </c>
      <c r="IP15" s="1098"/>
      <c r="IQ15" s="1098"/>
      <c r="IR15" s="1098"/>
      <c r="IS15" s="1098"/>
      <c r="IT15" s="1098">
        <v>12.206</v>
      </c>
      <c r="IU15" s="1098">
        <v>34.478999999999999</v>
      </c>
      <c r="IV15" s="1098">
        <v>104.789</v>
      </c>
      <c r="IW15" s="1098">
        <v>48.74</v>
      </c>
      <c r="IX15" s="1098">
        <v>26.033000000000001</v>
      </c>
      <c r="IY15" s="1098"/>
      <c r="IZ15" s="1098">
        <v>9.2520000000000007</v>
      </c>
      <c r="JA15" s="1097">
        <f t="shared" si="49"/>
        <v>276.65400000000005</v>
      </c>
      <c r="JB15" s="1252"/>
      <c r="JC15" s="1098"/>
      <c r="JD15" s="1098"/>
      <c r="JE15" s="1098"/>
      <c r="JF15" s="1098"/>
      <c r="JG15" s="1098"/>
      <c r="JH15" s="1098"/>
      <c r="JI15" s="1098"/>
      <c r="JJ15" s="1098">
        <v>43.677999999999997</v>
      </c>
      <c r="JK15" s="1098">
        <v>97.882000000000005</v>
      </c>
      <c r="JL15" s="1098">
        <v>74.772000000000006</v>
      </c>
      <c r="JM15" s="1098"/>
      <c r="JN15" s="1097">
        <f t="shared" si="50"/>
        <v>216.33199999999999</v>
      </c>
      <c r="JO15" s="1252"/>
      <c r="JP15" s="1098"/>
      <c r="JQ15" s="1098"/>
      <c r="JR15" s="1098"/>
      <c r="JS15" s="1098"/>
      <c r="JT15" s="1098"/>
      <c r="JU15" s="1098"/>
      <c r="JV15" s="1098"/>
      <c r="JW15" s="1098"/>
      <c r="JX15" s="1098"/>
      <c r="JY15" s="1098">
        <v>59.311</v>
      </c>
      <c r="JZ15" s="1098"/>
      <c r="KA15" s="1097">
        <f t="shared" si="51"/>
        <v>59.311</v>
      </c>
      <c r="KB15" s="1252"/>
      <c r="KC15" s="1098"/>
      <c r="KD15" s="1098"/>
      <c r="KE15" s="1098"/>
      <c r="KF15" s="1098"/>
      <c r="KG15" s="1098"/>
      <c r="KH15" s="1098"/>
      <c r="KI15" s="1098">
        <v>44.786000000000001</v>
      </c>
      <c r="KJ15" s="1098">
        <v>27.437000000000001</v>
      </c>
      <c r="KK15" s="1098"/>
      <c r="KL15" s="1098"/>
      <c r="KM15" s="1098">
        <v>8.7899999999999991</v>
      </c>
      <c r="KN15" s="1097">
        <f t="shared" si="52"/>
        <v>81.013000000000005</v>
      </c>
      <c r="KO15" s="1252">
        <v>23.742999999999999</v>
      </c>
      <c r="KP15" s="1098">
        <v>20.263000000000002</v>
      </c>
      <c r="KQ15" s="1098"/>
      <c r="KR15" s="1098"/>
      <c r="KS15" s="1098"/>
      <c r="KT15" s="1098"/>
      <c r="KU15" s="1098">
        <v>192.81899999999999</v>
      </c>
      <c r="KV15" s="1098">
        <v>138.82</v>
      </c>
      <c r="KW15" s="1098">
        <v>92.93</v>
      </c>
      <c r="KX15" s="1098">
        <v>70.295000000000002</v>
      </c>
      <c r="KY15" s="1098">
        <v>35.014000000000003</v>
      </c>
      <c r="KZ15" s="1098"/>
      <c r="LA15" s="1097">
        <f t="shared" si="53"/>
        <v>573.88400000000001</v>
      </c>
      <c r="LB15" s="1252">
        <v>98.610000000010004</v>
      </c>
      <c r="LC15" s="1098">
        <v>42.024000000000001</v>
      </c>
      <c r="LD15" s="1098">
        <v>17</v>
      </c>
      <c r="LE15" s="1098"/>
      <c r="LF15" s="1098"/>
      <c r="LG15" s="1098"/>
      <c r="LH15" s="1098"/>
      <c r="LI15" s="1098">
        <v>7.8570000000000002</v>
      </c>
      <c r="LJ15" s="1098"/>
      <c r="LK15" s="1098"/>
      <c r="LL15" s="1098"/>
      <c r="LM15" s="1098"/>
      <c r="LN15" s="1097">
        <f t="shared" si="54"/>
        <v>165.49100000001002</v>
      </c>
      <c r="LP15" s="1116">
        <f t="shared" si="55"/>
        <v>-94.34015271574701</v>
      </c>
      <c r="LQ15" s="1117">
        <f t="shared" si="56"/>
        <v>-55.94484153921654</v>
      </c>
      <c r="LR15" s="1079">
        <f t="shared" si="57"/>
        <v>375.64499999999998</v>
      </c>
      <c r="LS15" s="1118">
        <f t="shared" si="58"/>
        <v>165.49100000001002</v>
      </c>
      <c r="LU15" s="629"/>
      <c r="LV15" s="1139">
        <f t="shared" si="59"/>
        <v>12948.874000000022</v>
      </c>
      <c r="LW15" s="1286" t="s">
        <v>55</v>
      </c>
      <c r="LX15" s="1147" t="str">
        <f t="shared" si="60"/>
        <v>OK</v>
      </c>
    </row>
    <row r="16" spans="1:336" ht="15" customHeight="1" x14ac:dyDescent="0.2">
      <c r="A16" s="1280" t="s">
        <v>56</v>
      </c>
      <c r="B16" s="1252">
        <v>59.091000000000001</v>
      </c>
      <c r="C16" s="1098">
        <v>8.6519999999999992</v>
      </c>
      <c r="D16" s="1098">
        <v>84.102000000000004</v>
      </c>
      <c r="E16" s="1098">
        <v>103.178</v>
      </c>
      <c r="F16" s="1098">
        <v>44.213999999999999</v>
      </c>
      <c r="G16" s="1098"/>
      <c r="H16" s="1098"/>
      <c r="I16" s="1098">
        <v>16.890999999999998</v>
      </c>
      <c r="J16" s="1098">
        <v>4.5449999999999999</v>
      </c>
      <c r="K16" s="1098">
        <v>93.180999999999997</v>
      </c>
      <c r="L16" s="1098">
        <v>31.876999999999999</v>
      </c>
      <c r="M16" s="1098">
        <v>153.422</v>
      </c>
      <c r="N16" s="1097">
        <f t="shared" si="30"/>
        <v>599.15300000000002</v>
      </c>
      <c r="O16" s="1252">
        <v>124.93899999999999</v>
      </c>
      <c r="P16" s="1098">
        <v>37.765000000000001</v>
      </c>
      <c r="Q16" s="1098">
        <v>213.48500000000001</v>
      </c>
      <c r="R16" s="1098">
        <v>101.949</v>
      </c>
      <c r="S16" s="1098">
        <v>144.63800000000001</v>
      </c>
      <c r="T16" s="1098">
        <v>73.491</v>
      </c>
      <c r="U16" s="1098">
        <v>56.177</v>
      </c>
      <c r="V16" s="1098">
        <v>32.692999999999998</v>
      </c>
      <c r="W16" s="1098">
        <v>108.553</v>
      </c>
      <c r="X16" s="1098">
        <v>95.453999999999994</v>
      </c>
      <c r="Y16" s="1098"/>
      <c r="Z16" s="1098">
        <v>94.2</v>
      </c>
      <c r="AA16" s="1097">
        <f t="shared" si="31"/>
        <v>1083.3440000000001</v>
      </c>
      <c r="AB16" s="1252">
        <v>158.17699999999999</v>
      </c>
      <c r="AC16" s="1098">
        <v>182.06200000000001</v>
      </c>
      <c r="AD16" s="1098">
        <v>32.01</v>
      </c>
      <c r="AE16" s="1098"/>
      <c r="AF16" s="1098"/>
      <c r="AG16" s="1098">
        <v>29.510999999999999</v>
      </c>
      <c r="AH16" s="1098"/>
      <c r="AI16" s="1098"/>
      <c r="AJ16" s="1098"/>
      <c r="AK16" s="1098"/>
      <c r="AL16" s="1098">
        <v>105.23699999999999</v>
      </c>
      <c r="AM16" s="1098">
        <v>336.17599999999999</v>
      </c>
      <c r="AN16" s="1097">
        <f t="shared" si="32"/>
        <v>843.173</v>
      </c>
      <c r="AO16" s="1252">
        <v>273.73500000000001</v>
      </c>
      <c r="AP16" s="1098">
        <v>113.496</v>
      </c>
      <c r="AQ16" s="1098">
        <v>253.50399999999999</v>
      </c>
      <c r="AR16" s="1098">
        <v>48.511000000000003</v>
      </c>
      <c r="AS16" s="1098">
        <v>84.85</v>
      </c>
      <c r="AT16" s="1098">
        <v>157</v>
      </c>
      <c r="AU16" s="1098">
        <v>33</v>
      </c>
      <c r="AV16" s="1098">
        <v>98</v>
      </c>
      <c r="AW16" s="1098">
        <v>140</v>
      </c>
      <c r="AX16" s="1098">
        <v>150</v>
      </c>
      <c r="AY16" s="1098">
        <v>103</v>
      </c>
      <c r="AZ16" s="1098">
        <v>125</v>
      </c>
      <c r="BA16" s="1097">
        <f t="shared" si="33"/>
        <v>1580.096</v>
      </c>
      <c r="BB16" s="1252"/>
      <c r="BC16" s="1098">
        <v>52</v>
      </c>
      <c r="BD16" s="1098">
        <v>30</v>
      </c>
      <c r="BE16" s="1098">
        <v>227</v>
      </c>
      <c r="BF16" s="1098">
        <v>494</v>
      </c>
      <c r="BG16" s="1098">
        <v>156</v>
      </c>
      <c r="BH16" s="1098">
        <v>145</v>
      </c>
      <c r="BI16" s="1098">
        <v>107</v>
      </c>
      <c r="BJ16" s="1098">
        <v>242</v>
      </c>
      <c r="BK16" s="1098">
        <v>59.308999999999997</v>
      </c>
      <c r="BL16" s="1098"/>
      <c r="BM16" s="1098">
        <v>173</v>
      </c>
      <c r="BN16" s="1097">
        <f t="shared" si="34"/>
        <v>1685.309</v>
      </c>
      <c r="BO16" s="1252">
        <v>304.29500000000002</v>
      </c>
      <c r="BP16" s="1098"/>
      <c r="BQ16" s="1098">
        <v>136.36099999999999</v>
      </c>
      <c r="BR16" s="1098"/>
      <c r="BS16" s="1098"/>
      <c r="BT16" s="1098">
        <v>127.08499999999999</v>
      </c>
      <c r="BU16" s="1098"/>
      <c r="BV16" s="1098"/>
      <c r="BW16" s="1098">
        <v>4.9969999999999999</v>
      </c>
      <c r="BX16" s="1098">
        <v>9.1289999999999996</v>
      </c>
      <c r="BY16" s="1098"/>
      <c r="BZ16" s="1098"/>
      <c r="CA16" s="1097">
        <f t="shared" si="35"/>
        <v>581.86699999999996</v>
      </c>
      <c r="CB16" s="1252">
        <v>150</v>
      </c>
      <c r="CC16" s="1098">
        <v>323</v>
      </c>
      <c r="CD16" s="1098">
        <v>282</v>
      </c>
      <c r="CE16" s="1098">
        <v>437</v>
      </c>
      <c r="CF16" s="1098">
        <v>410</v>
      </c>
      <c r="CG16" s="1098">
        <v>719</v>
      </c>
      <c r="CH16" s="1098"/>
      <c r="CI16" s="1098">
        <v>129</v>
      </c>
      <c r="CJ16" s="1098">
        <v>589</v>
      </c>
      <c r="CK16" s="1098">
        <v>168</v>
      </c>
      <c r="CL16" s="1098">
        <v>396</v>
      </c>
      <c r="CM16" s="1098">
        <v>375</v>
      </c>
      <c r="CN16" s="1097">
        <f t="shared" si="36"/>
        <v>3978</v>
      </c>
      <c r="CO16" s="1252">
        <v>152</v>
      </c>
      <c r="CP16" s="1098">
        <v>279</v>
      </c>
      <c r="CQ16" s="1098">
        <v>227</v>
      </c>
      <c r="CR16" s="1098">
        <v>313</v>
      </c>
      <c r="CS16" s="1098">
        <v>266</v>
      </c>
      <c r="CT16" s="1098">
        <v>393</v>
      </c>
      <c r="CU16" s="1098">
        <v>34</v>
      </c>
      <c r="CV16" s="1098">
        <v>357</v>
      </c>
      <c r="CW16" s="1098">
        <v>169</v>
      </c>
      <c r="CX16" s="1098">
        <v>295</v>
      </c>
      <c r="CY16" s="1098">
        <v>158</v>
      </c>
      <c r="CZ16" s="1098">
        <v>153</v>
      </c>
      <c r="DA16" s="1097">
        <f t="shared" si="37"/>
        <v>2796</v>
      </c>
      <c r="DB16" s="1252">
        <v>307</v>
      </c>
      <c r="DC16" s="1098">
        <v>199</v>
      </c>
      <c r="DD16" s="1098">
        <v>471</v>
      </c>
      <c r="DE16" s="1098">
        <v>613</v>
      </c>
      <c r="DF16" s="1098">
        <v>59</v>
      </c>
      <c r="DG16" s="1098">
        <v>1692</v>
      </c>
      <c r="DH16" s="1098"/>
      <c r="DI16" s="1098">
        <v>20</v>
      </c>
      <c r="DJ16" s="1098">
        <v>589</v>
      </c>
      <c r="DK16" s="1098">
        <v>296</v>
      </c>
      <c r="DL16" s="1098">
        <v>439</v>
      </c>
      <c r="DM16" s="1098">
        <v>412</v>
      </c>
      <c r="DN16" s="1097">
        <f t="shared" si="38"/>
        <v>5097</v>
      </c>
      <c r="DO16" s="1252">
        <v>283</v>
      </c>
      <c r="DP16" s="1098">
        <v>46</v>
      </c>
      <c r="DQ16" s="1098"/>
      <c r="DR16" s="1098"/>
      <c r="DS16" s="1098">
        <v>59</v>
      </c>
      <c r="DT16" s="1098">
        <v>187</v>
      </c>
      <c r="DU16" s="1098">
        <v>172</v>
      </c>
      <c r="DV16" s="1098">
        <v>31</v>
      </c>
      <c r="DW16" s="1098">
        <v>355</v>
      </c>
      <c r="DX16" s="1098">
        <v>59</v>
      </c>
      <c r="DY16" s="1098">
        <v>29</v>
      </c>
      <c r="DZ16" s="1098"/>
      <c r="EA16" s="1097">
        <f t="shared" si="39"/>
        <v>1221</v>
      </c>
      <c r="EB16" s="1252">
        <v>5</v>
      </c>
      <c r="EC16" s="1098"/>
      <c r="ED16" s="1098"/>
      <c r="EE16" s="1098">
        <v>496</v>
      </c>
      <c r="EF16" s="1098"/>
      <c r="EG16" s="1098">
        <v>273</v>
      </c>
      <c r="EH16" s="1098"/>
      <c r="EI16" s="1098">
        <v>258</v>
      </c>
      <c r="EJ16" s="1098">
        <v>1199</v>
      </c>
      <c r="EK16" s="1098">
        <v>643</v>
      </c>
      <c r="EL16" s="1098">
        <v>104</v>
      </c>
      <c r="EM16" s="1098">
        <v>95</v>
      </c>
      <c r="EN16" s="1097">
        <f t="shared" si="40"/>
        <v>3073</v>
      </c>
      <c r="EO16" s="1252"/>
      <c r="EP16" s="1098">
        <v>14</v>
      </c>
      <c r="EQ16" s="1098"/>
      <c r="ER16" s="1098">
        <v>47</v>
      </c>
      <c r="ES16" s="1098"/>
      <c r="ET16" s="1098">
        <v>66</v>
      </c>
      <c r="EU16" s="1098">
        <v>73</v>
      </c>
      <c r="EV16" s="1098"/>
      <c r="EW16" s="1098">
        <v>172</v>
      </c>
      <c r="EX16" s="1098">
        <v>599</v>
      </c>
      <c r="EY16" s="1098">
        <v>111</v>
      </c>
      <c r="EZ16" s="1098"/>
      <c r="FA16" s="1097">
        <f t="shared" si="41"/>
        <v>1082</v>
      </c>
      <c r="FB16" s="1252">
        <v>141</v>
      </c>
      <c r="FC16" s="1098">
        <v>24</v>
      </c>
      <c r="FD16" s="1098">
        <v>42</v>
      </c>
      <c r="FE16" s="1098">
        <v>111</v>
      </c>
      <c r="FF16" s="1098">
        <v>202</v>
      </c>
      <c r="FG16" s="1098">
        <v>1485</v>
      </c>
      <c r="FH16" s="1098"/>
      <c r="FI16" s="1098"/>
      <c r="FJ16" s="1098">
        <v>130</v>
      </c>
      <c r="FK16" s="1098">
        <v>40</v>
      </c>
      <c r="FL16" s="1098">
        <v>107.5</v>
      </c>
      <c r="FM16" s="1098">
        <v>47.5</v>
      </c>
      <c r="FN16" s="1097">
        <f t="shared" si="42"/>
        <v>2330</v>
      </c>
      <c r="FO16" s="1252">
        <v>26</v>
      </c>
      <c r="FP16" s="1098">
        <v>16</v>
      </c>
      <c r="FQ16" s="1098"/>
      <c r="FR16" s="1098"/>
      <c r="FS16" s="1098">
        <v>109</v>
      </c>
      <c r="FT16" s="1098"/>
      <c r="FU16" s="1098">
        <v>17</v>
      </c>
      <c r="FV16" s="1098">
        <v>70</v>
      </c>
      <c r="FW16" s="1098">
        <v>34</v>
      </c>
      <c r="FX16" s="1098"/>
      <c r="FY16" s="1098">
        <v>90</v>
      </c>
      <c r="FZ16" s="1098">
        <v>39</v>
      </c>
      <c r="GA16" s="1097">
        <f t="shared" si="43"/>
        <v>401</v>
      </c>
      <c r="GB16" s="1252"/>
      <c r="GC16" s="1098"/>
      <c r="GD16" s="1098"/>
      <c r="GE16" s="1098">
        <v>114.26</v>
      </c>
      <c r="GF16" s="1098"/>
      <c r="GG16" s="1098">
        <v>9</v>
      </c>
      <c r="GH16" s="1098">
        <v>45</v>
      </c>
      <c r="GI16" s="1098">
        <v>97</v>
      </c>
      <c r="GJ16" s="1098">
        <v>143</v>
      </c>
      <c r="GK16" s="1098">
        <v>42</v>
      </c>
      <c r="GL16" s="1098">
        <v>44</v>
      </c>
      <c r="GM16" s="1098">
        <v>9</v>
      </c>
      <c r="GN16" s="1097">
        <f t="shared" si="44"/>
        <v>503.26</v>
      </c>
      <c r="GO16" s="1252"/>
      <c r="GP16" s="1098"/>
      <c r="GQ16" s="1098"/>
      <c r="GR16" s="1098"/>
      <c r="GS16" s="1098"/>
      <c r="GT16" s="1098"/>
      <c r="GU16" s="1098"/>
      <c r="GV16" s="1098">
        <v>77</v>
      </c>
      <c r="GW16" s="1098"/>
      <c r="GX16" s="1098"/>
      <c r="GY16" s="1098"/>
      <c r="GZ16" s="1098"/>
      <c r="HA16" s="1097">
        <f t="shared" si="45"/>
        <v>77</v>
      </c>
      <c r="HB16" s="1252"/>
      <c r="HC16" s="1098"/>
      <c r="HD16" s="1098"/>
      <c r="HE16" s="1098"/>
      <c r="HF16" s="1098"/>
      <c r="HG16" s="1098"/>
      <c r="HH16" s="1098"/>
      <c r="HI16" s="1098"/>
      <c r="HJ16" s="1098"/>
      <c r="HK16" s="1098"/>
      <c r="HL16" s="1098"/>
      <c r="HM16" s="1098"/>
      <c r="HN16" s="1097">
        <f t="shared" si="46"/>
        <v>0</v>
      </c>
      <c r="HO16" s="1252"/>
      <c r="HP16" s="1098"/>
      <c r="HQ16" s="1098"/>
      <c r="HR16" s="1098"/>
      <c r="HS16" s="1098"/>
      <c r="HT16" s="1098"/>
      <c r="HU16" s="1098"/>
      <c r="HV16" s="1098"/>
      <c r="HW16" s="1098"/>
      <c r="HX16" s="1098">
        <v>1</v>
      </c>
      <c r="HY16" s="1098"/>
      <c r="HZ16" s="1098"/>
      <c r="IA16" s="1097">
        <f t="shared" si="47"/>
        <v>1</v>
      </c>
      <c r="IB16" s="1252"/>
      <c r="IC16" s="1098"/>
      <c r="ID16" s="1098"/>
      <c r="IE16" s="1098"/>
      <c r="IF16" s="1098"/>
      <c r="IG16" s="1098"/>
      <c r="IH16" s="1098">
        <v>72.313000000000002</v>
      </c>
      <c r="II16" s="1098"/>
      <c r="IJ16" s="1098">
        <v>268.31200000000001</v>
      </c>
      <c r="IK16" s="1098">
        <v>364.87799999999999</v>
      </c>
      <c r="IL16" s="1098">
        <v>345.13900000000001</v>
      </c>
      <c r="IM16" s="1098"/>
      <c r="IN16" s="1097">
        <f t="shared" si="48"/>
        <v>1050.6419999999998</v>
      </c>
      <c r="IO16" s="1252"/>
      <c r="IP16" s="1098"/>
      <c r="IQ16" s="1098"/>
      <c r="IR16" s="1098"/>
      <c r="IS16" s="1098"/>
      <c r="IT16" s="1098"/>
      <c r="IU16" s="1098"/>
      <c r="IV16" s="1098">
        <v>161.16489999999999</v>
      </c>
      <c r="IW16" s="1098">
        <v>99.825999999999993</v>
      </c>
      <c r="IX16" s="1098">
        <v>283.58100000000002</v>
      </c>
      <c r="IY16" s="1098">
        <v>141.774</v>
      </c>
      <c r="IZ16" s="1098"/>
      <c r="JA16" s="1097">
        <f t="shared" si="49"/>
        <v>686.34590000000003</v>
      </c>
      <c r="JB16" s="1252"/>
      <c r="JC16" s="1098"/>
      <c r="JD16" s="1098"/>
      <c r="JE16" s="1098"/>
      <c r="JF16" s="1098"/>
      <c r="JG16" s="1098"/>
      <c r="JH16" s="1098"/>
      <c r="JI16" s="1098"/>
      <c r="JJ16" s="1098">
        <v>223.38200000000001</v>
      </c>
      <c r="JK16" s="1098"/>
      <c r="JL16" s="1098">
        <v>166.101</v>
      </c>
      <c r="JM16" s="1098"/>
      <c r="JN16" s="1097">
        <f t="shared" si="50"/>
        <v>389.483</v>
      </c>
      <c r="JO16" s="1252"/>
      <c r="JP16" s="1098"/>
      <c r="JQ16" s="1098"/>
      <c r="JR16" s="1098"/>
      <c r="JS16" s="1098"/>
      <c r="JT16" s="1098"/>
      <c r="JU16" s="1098"/>
      <c r="JV16" s="1098"/>
      <c r="JW16" s="1098"/>
      <c r="JX16" s="1098"/>
      <c r="JY16" s="1098"/>
      <c r="JZ16" s="1098"/>
      <c r="KA16" s="1097">
        <f t="shared" si="51"/>
        <v>0</v>
      </c>
      <c r="KB16" s="1252"/>
      <c r="KC16" s="1098"/>
      <c r="KD16" s="1098"/>
      <c r="KE16" s="1098"/>
      <c r="KF16" s="1098"/>
      <c r="KG16" s="1098"/>
      <c r="KH16" s="1098"/>
      <c r="KI16" s="1098"/>
      <c r="KJ16" s="1098"/>
      <c r="KK16" s="1098"/>
      <c r="KL16" s="1098"/>
      <c r="KM16" s="1098"/>
      <c r="KN16" s="1097">
        <f t="shared" si="52"/>
        <v>0</v>
      </c>
      <c r="KO16" s="1252"/>
      <c r="KP16" s="1098"/>
      <c r="KQ16" s="1098"/>
      <c r="KR16" s="1098"/>
      <c r="KS16" s="1098"/>
      <c r="KT16" s="1098"/>
      <c r="KU16" s="1098"/>
      <c r="KV16" s="1098"/>
      <c r="KW16" s="1098"/>
      <c r="KX16" s="1098"/>
      <c r="KY16" s="1098"/>
      <c r="KZ16" s="1098"/>
      <c r="LA16" s="1097">
        <f t="shared" si="53"/>
        <v>0</v>
      </c>
      <c r="LB16" s="1252">
        <v>13.97000000001</v>
      </c>
      <c r="LC16" s="1098"/>
      <c r="LD16" s="1098"/>
      <c r="LE16" s="1098"/>
      <c r="LF16" s="1098"/>
      <c r="LG16" s="1098"/>
      <c r="LH16" s="1098"/>
      <c r="LI16" s="1098"/>
      <c r="LJ16" s="1098"/>
      <c r="LK16" s="1098"/>
      <c r="LL16" s="1098"/>
      <c r="LM16" s="1098"/>
      <c r="LN16" s="1097">
        <f t="shared" si="54"/>
        <v>13.97000000001</v>
      </c>
      <c r="LP16" s="1116" t="str">
        <f t="shared" si="55"/>
        <v/>
      </c>
      <c r="LQ16" s="1117" t="str">
        <f t="shared" si="56"/>
        <v/>
      </c>
      <c r="LR16" s="1079">
        <f t="shared" si="57"/>
        <v>0</v>
      </c>
      <c r="LS16" s="1118">
        <f t="shared" si="58"/>
        <v>13.97000000001</v>
      </c>
      <c r="LU16" s="629"/>
      <c r="LV16" s="1139">
        <f t="shared" si="59"/>
        <v>58145.28580000002</v>
      </c>
      <c r="LW16" s="1286" t="s">
        <v>56</v>
      </c>
      <c r="LX16" s="1147" t="str">
        <f t="shared" si="60"/>
        <v>OK</v>
      </c>
    </row>
    <row r="17" spans="1:336" ht="15" customHeight="1" x14ac:dyDescent="0.2">
      <c r="A17" s="1280" t="s">
        <v>180</v>
      </c>
      <c r="B17" s="1252">
        <v>275.24299999999999</v>
      </c>
      <c r="C17" s="1098">
        <v>242.42400000000001</v>
      </c>
      <c r="D17" s="1098">
        <v>172.773</v>
      </c>
      <c r="E17" s="1098">
        <v>200.089</v>
      </c>
      <c r="F17" s="1098">
        <v>122.852</v>
      </c>
      <c r="G17" s="1098">
        <v>121.833</v>
      </c>
      <c r="H17" s="1098">
        <v>221.197</v>
      </c>
      <c r="I17" s="1098">
        <v>227.334</v>
      </c>
      <c r="J17" s="1098">
        <v>370.46899999999999</v>
      </c>
      <c r="K17" s="1098">
        <v>174.214</v>
      </c>
      <c r="L17" s="1098">
        <v>382.31099999999998</v>
      </c>
      <c r="M17" s="1098">
        <v>438.66199999999998</v>
      </c>
      <c r="N17" s="1097">
        <f t="shared" si="30"/>
        <v>2949.4010000000003</v>
      </c>
      <c r="O17" s="1252">
        <v>283.05200000000002</v>
      </c>
      <c r="P17" s="1098">
        <v>217.18</v>
      </c>
      <c r="Q17" s="1098">
        <v>263.55700000000002</v>
      </c>
      <c r="R17" s="1098">
        <v>155.512</v>
      </c>
      <c r="S17" s="1098">
        <v>414.911</v>
      </c>
      <c r="T17" s="1098">
        <v>149.155</v>
      </c>
      <c r="U17" s="1098">
        <v>390.70499999999998</v>
      </c>
      <c r="V17" s="1098">
        <v>238.96299999999999</v>
      </c>
      <c r="W17" s="1098">
        <v>128.65700000000001</v>
      </c>
      <c r="X17" s="1098"/>
      <c r="Y17" s="1098">
        <v>381.685</v>
      </c>
      <c r="Z17" s="1098">
        <v>319.892</v>
      </c>
      <c r="AA17" s="1097">
        <f t="shared" si="31"/>
        <v>2943.2689999999998</v>
      </c>
      <c r="AB17" s="1252">
        <v>481.83300000000003</v>
      </c>
      <c r="AC17" s="1098">
        <v>534.65700000000004</v>
      </c>
      <c r="AD17" s="1098">
        <v>610.19500000000005</v>
      </c>
      <c r="AE17" s="1098">
        <v>133.59</v>
      </c>
      <c r="AF17" s="1098">
        <v>125.54300000000001</v>
      </c>
      <c r="AG17" s="1098">
        <v>316.71100000000001</v>
      </c>
      <c r="AH17" s="1098">
        <v>231.51900000000001</v>
      </c>
      <c r="AI17" s="1098">
        <v>187.39</v>
      </c>
      <c r="AJ17" s="1098">
        <v>326.01499999999999</v>
      </c>
      <c r="AK17" s="1098">
        <v>234.459</v>
      </c>
      <c r="AL17" s="1098">
        <v>434.459</v>
      </c>
      <c r="AM17" s="1098">
        <v>188.30699999999999</v>
      </c>
      <c r="AN17" s="1097">
        <f t="shared" si="32"/>
        <v>3804.677999999999</v>
      </c>
      <c r="AO17" s="1252">
        <v>112.717</v>
      </c>
      <c r="AP17" s="1098">
        <v>294.28800000000001</v>
      </c>
      <c r="AQ17" s="1098">
        <v>462.19499999999999</v>
      </c>
      <c r="AR17" s="1098">
        <v>192.947</v>
      </c>
      <c r="AS17" s="1098">
        <v>442.73399999999998</v>
      </c>
      <c r="AT17" s="1098">
        <v>635</v>
      </c>
      <c r="AU17" s="1098">
        <v>187</v>
      </c>
      <c r="AV17" s="1098">
        <v>461</v>
      </c>
      <c r="AW17" s="1098">
        <v>480</v>
      </c>
      <c r="AX17" s="1098">
        <v>559</v>
      </c>
      <c r="AY17" s="1098">
        <v>345</v>
      </c>
      <c r="AZ17" s="1098">
        <v>657</v>
      </c>
      <c r="BA17" s="1097">
        <f t="shared" si="33"/>
        <v>4828.8809999999994</v>
      </c>
      <c r="BB17" s="1252">
        <v>214</v>
      </c>
      <c r="BC17" s="1098">
        <v>325</v>
      </c>
      <c r="BD17" s="1098">
        <v>371</v>
      </c>
      <c r="BE17" s="1098">
        <v>435</v>
      </c>
      <c r="BF17" s="1098">
        <v>323</v>
      </c>
      <c r="BG17" s="1098">
        <v>313</v>
      </c>
      <c r="BH17" s="1098">
        <v>174</v>
      </c>
      <c r="BI17" s="1098">
        <v>406</v>
      </c>
      <c r="BJ17" s="1098">
        <v>278</v>
      </c>
      <c r="BK17" s="1098">
        <v>130.86199999999999</v>
      </c>
      <c r="BL17" s="1098">
        <v>152.59</v>
      </c>
      <c r="BM17" s="1098">
        <v>594</v>
      </c>
      <c r="BN17" s="1097">
        <f t="shared" si="34"/>
        <v>3716.4520000000002</v>
      </c>
      <c r="BO17" s="1252">
        <v>386.10300000000001</v>
      </c>
      <c r="BP17" s="1098">
        <v>554.18600000000004</v>
      </c>
      <c r="BQ17" s="1098">
        <v>778.86900000000003</v>
      </c>
      <c r="BR17" s="1098">
        <v>388.27100000000002</v>
      </c>
      <c r="BS17" s="1098">
        <v>247.66499999999999</v>
      </c>
      <c r="BT17" s="1098">
        <v>836.63400000000001</v>
      </c>
      <c r="BU17" s="1098">
        <v>333.9</v>
      </c>
      <c r="BV17" s="1098">
        <v>344.35300000000001</v>
      </c>
      <c r="BW17" s="1098">
        <v>452.63400000000001</v>
      </c>
      <c r="BX17" s="1098">
        <v>440.83800000000002</v>
      </c>
      <c r="BY17" s="1098">
        <v>561</v>
      </c>
      <c r="BZ17" s="1098">
        <v>328</v>
      </c>
      <c r="CA17" s="1097">
        <f t="shared" si="35"/>
        <v>5652.4529999999995</v>
      </c>
      <c r="CB17" s="1252">
        <v>2</v>
      </c>
      <c r="CC17" s="1098">
        <v>102</v>
      </c>
      <c r="CD17" s="1098">
        <v>56</v>
      </c>
      <c r="CE17" s="1098">
        <v>31</v>
      </c>
      <c r="CF17" s="1098">
        <v>149</v>
      </c>
      <c r="CG17" s="1098">
        <v>225</v>
      </c>
      <c r="CH17" s="1098">
        <v>136</v>
      </c>
      <c r="CI17" s="1098">
        <v>40</v>
      </c>
      <c r="CJ17" s="1098">
        <v>180</v>
      </c>
      <c r="CK17" s="1098">
        <v>107</v>
      </c>
      <c r="CL17" s="1098">
        <v>150</v>
      </c>
      <c r="CM17" s="1098">
        <v>213</v>
      </c>
      <c r="CN17" s="1097">
        <f t="shared" si="36"/>
        <v>1391</v>
      </c>
      <c r="CO17" s="1252">
        <v>3</v>
      </c>
      <c r="CP17" s="1098"/>
      <c r="CQ17" s="1098"/>
      <c r="CR17" s="1098"/>
      <c r="CS17" s="1098">
        <v>88</v>
      </c>
      <c r="CT17" s="1098">
        <v>7</v>
      </c>
      <c r="CU17" s="1098"/>
      <c r="CV17" s="1098"/>
      <c r="CW17" s="1098"/>
      <c r="CX17" s="1098">
        <v>21</v>
      </c>
      <c r="CY17" s="1098"/>
      <c r="CZ17" s="1098">
        <v>444</v>
      </c>
      <c r="DA17" s="1097">
        <f t="shared" si="37"/>
        <v>563</v>
      </c>
      <c r="DB17" s="1252">
        <v>30</v>
      </c>
      <c r="DC17" s="1098">
        <v>155</v>
      </c>
      <c r="DD17" s="1098">
        <v>544</v>
      </c>
      <c r="DE17" s="1098"/>
      <c r="DF17" s="1098">
        <v>78</v>
      </c>
      <c r="DG17" s="1098">
        <v>417</v>
      </c>
      <c r="DH17" s="1098"/>
      <c r="DI17" s="1098">
        <v>115</v>
      </c>
      <c r="DJ17" s="1098">
        <v>243</v>
      </c>
      <c r="DK17" s="1098">
        <v>42</v>
      </c>
      <c r="DL17" s="1098">
        <v>27</v>
      </c>
      <c r="DM17" s="1098">
        <v>75</v>
      </c>
      <c r="DN17" s="1097">
        <f t="shared" si="38"/>
        <v>1726</v>
      </c>
      <c r="DO17" s="1252">
        <v>41</v>
      </c>
      <c r="DP17" s="1098">
        <v>32</v>
      </c>
      <c r="DQ17" s="1098">
        <v>24</v>
      </c>
      <c r="DR17" s="1098">
        <v>8</v>
      </c>
      <c r="DS17" s="1098">
        <v>13</v>
      </c>
      <c r="DT17" s="1098">
        <v>34</v>
      </c>
      <c r="DU17" s="1098"/>
      <c r="DV17" s="1098">
        <v>71</v>
      </c>
      <c r="DW17" s="1098">
        <v>59</v>
      </c>
      <c r="DX17" s="1098">
        <v>61</v>
      </c>
      <c r="DY17" s="1098">
        <v>265</v>
      </c>
      <c r="DZ17" s="1098"/>
      <c r="EA17" s="1097">
        <f t="shared" si="39"/>
        <v>608</v>
      </c>
      <c r="EB17" s="1252">
        <v>10</v>
      </c>
      <c r="EC17" s="1098">
        <v>51</v>
      </c>
      <c r="ED17" s="1098"/>
      <c r="EE17" s="1098">
        <v>204</v>
      </c>
      <c r="EF17" s="1098">
        <v>21</v>
      </c>
      <c r="EG17" s="1098">
        <v>272</v>
      </c>
      <c r="EH17" s="1098">
        <v>3</v>
      </c>
      <c r="EI17" s="1098">
        <v>74</v>
      </c>
      <c r="EJ17" s="1098">
        <v>187</v>
      </c>
      <c r="EK17" s="1098">
        <v>61</v>
      </c>
      <c r="EL17" s="1098">
        <v>68</v>
      </c>
      <c r="EM17" s="1098">
        <v>65</v>
      </c>
      <c r="EN17" s="1097">
        <f t="shared" si="40"/>
        <v>1016</v>
      </c>
      <c r="EO17" s="1252"/>
      <c r="EP17" s="1098">
        <v>36</v>
      </c>
      <c r="EQ17" s="1098"/>
      <c r="ER17" s="1098"/>
      <c r="ES17" s="1098"/>
      <c r="ET17" s="1098">
        <v>91</v>
      </c>
      <c r="EU17" s="1098">
        <v>15</v>
      </c>
      <c r="EV17" s="1098"/>
      <c r="EW17" s="1098">
        <v>171</v>
      </c>
      <c r="EX17" s="1098">
        <v>415</v>
      </c>
      <c r="EY17" s="1098">
        <v>194</v>
      </c>
      <c r="EZ17" s="1098">
        <v>160</v>
      </c>
      <c r="FA17" s="1097">
        <f t="shared" si="41"/>
        <v>1082</v>
      </c>
      <c r="FB17" s="1252">
        <v>130</v>
      </c>
      <c r="FC17" s="1098">
        <v>426</v>
      </c>
      <c r="FD17" s="1098">
        <v>72</v>
      </c>
      <c r="FE17" s="1098"/>
      <c r="FF17" s="1098">
        <v>21</v>
      </c>
      <c r="FG17" s="1098">
        <v>516</v>
      </c>
      <c r="FH17" s="1098"/>
      <c r="FI17" s="1098"/>
      <c r="FJ17" s="1098"/>
      <c r="FK17" s="1098"/>
      <c r="FL17" s="1098">
        <v>131</v>
      </c>
      <c r="FM17" s="1098">
        <v>112.5</v>
      </c>
      <c r="FN17" s="1097">
        <f t="shared" si="42"/>
        <v>1408.5</v>
      </c>
      <c r="FO17" s="1252">
        <v>29</v>
      </c>
      <c r="FP17" s="1098"/>
      <c r="FQ17" s="1098"/>
      <c r="FR17" s="1098">
        <v>2</v>
      </c>
      <c r="FS17" s="1098"/>
      <c r="FT17" s="1098">
        <v>61</v>
      </c>
      <c r="FU17" s="1098"/>
      <c r="FV17" s="1098"/>
      <c r="FW17" s="1098">
        <v>38</v>
      </c>
      <c r="FX17" s="1098">
        <v>25</v>
      </c>
      <c r="FY17" s="1098">
        <v>173</v>
      </c>
      <c r="FZ17" s="1098"/>
      <c r="GA17" s="1097">
        <f t="shared" si="43"/>
        <v>328</v>
      </c>
      <c r="GB17" s="1252"/>
      <c r="GC17" s="1098"/>
      <c r="GD17" s="1098"/>
      <c r="GE17" s="1098">
        <v>93.984999999999999</v>
      </c>
      <c r="GF17" s="1098"/>
      <c r="GG17" s="1098"/>
      <c r="GH17" s="1098">
        <v>106</v>
      </c>
      <c r="GI17" s="1098"/>
      <c r="GJ17" s="1098"/>
      <c r="GK17" s="1098">
        <v>39</v>
      </c>
      <c r="GL17" s="1098">
        <v>49</v>
      </c>
      <c r="GM17" s="1098">
        <v>213</v>
      </c>
      <c r="GN17" s="1097">
        <f t="shared" si="44"/>
        <v>500.98500000000001</v>
      </c>
      <c r="GO17" s="1252">
        <v>36.372999999999998</v>
      </c>
      <c r="GP17" s="1098">
        <v>550</v>
      </c>
      <c r="GQ17" s="1098">
        <v>39.000999999999998</v>
      </c>
      <c r="GR17" s="1098"/>
      <c r="GS17" s="1098"/>
      <c r="GT17" s="1098"/>
      <c r="GU17" s="1098"/>
      <c r="GV17" s="1098">
        <v>497.03200000000004</v>
      </c>
      <c r="GW17" s="1098">
        <v>451.36799999999994</v>
      </c>
      <c r="GX17" s="1098">
        <v>285.70499999999998</v>
      </c>
      <c r="GY17" s="1098"/>
      <c r="GZ17" s="1098"/>
      <c r="HA17" s="1097">
        <f t="shared" si="45"/>
        <v>1859.4789999999998</v>
      </c>
      <c r="HB17" s="1252">
        <f>179+33</f>
        <v>212</v>
      </c>
      <c r="HC17" s="1098"/>
      <c r="HD17" s="1098"/>
      <c r="HE17" s="1098"/>
      <c r="HF17" s="1098"/>
      <c r="HG17" s="1098">
        <v>92</v>
      </c>
      <c r="HH17" s="1098">
        <v>483</v>
      </c>
      <c r="HI17" s="1098"/>
      <c r="HJ17" s="1098">
        <v>195.38499999999999</v>
      </c>
      <c r="HK17" s="1098">
        <v>101.64400000000001</v>
      </c>
      <c r="HL17" s="1098">
        <v>112.536</v>
      </c>
      <c r="HM17" s="1098"/>
      <c r="HN17" s="1097">
        <f t="shared" si="46"/>
        <v>1196.5650000000001</v>
      </c>
      <c r="HO17" s="1252"/>
      <c r="HP17" s="1098">
        <v>1</v>
      </c>
      <c r="HQ17" s="1098"/>
      <c r="HR17" s="1098"/>
      <c r="HS17" s="1098"/>
      <c r="HT17" s="1098"/>
      <c r="HU17" s="1098"/>
      <c r="HV17" s="1098">
        <v>387.14299999999997</v>
      </c>
      <c r="HW17" s="1098">
        <v>186.54900000000001</v>
      </c>
      <c r="HX17" s="1098">
        <v>205</v>
      </c>
      <c r="HY17" s="1098">
        <v>45</v>
      </c>
      <c r="HZ17" s="1098"/>
      <c r="IA17" s="1097">
        <f t="shared" si="47"/>
        <v>824.69200000000001</v>
      </c>
      <c r="IB17" s="1252">
        <v>91</v>
      </c>
      <c r="IC17" s="1098"/>
      <c r="ID17" s="1098"/>
      <c r="IE17" s="1098"/>
      <c r="IF17" s="1098"/>
      <c r="IG17" s="1098"/>
      <c r="IH17" s="1098"/>
      <c r="II17" s="1098"/>
      <c r="IJ17" s="1098"/>
      <c r="IK17" s="1098"/>
      <c r="IL17" s="1098">
        <v>248.45099999999999</v>
      </c>
      <c r="IM17" s="1098"/>
      <c r="IN17" s="1097">
        <f t="shared" si="48"/>
        <v>339.45100000000002</v>
      </c>
      <c r="IO17" s="1252"/>
      <c r="IP17" s="1098"/>
      <c r="IQ17" s="1098"/>
      <c r="IR17" s="1098"/>
      <c r="IS17" s="1098"/>
      <c r="IT17" s="1098"/>
      <c r="IU17" s="1098">
        <v>2.746</v>
      </c>
      <c r="IV17" s="1098"/>
      <c r="IW17" s="1098">
        <v>36.375999999999998</v>
      </c>
      <c r="IX17" s="1098">
        <v>114.657</v>
      </c>
      <c r="IY17" s="1098">
        <v>329.34199999999998</v>
      </c>
      <c r="IZ17" s="1098"/>
      <c r="JA17" s="1097">
        <f t="shared" si="49"/>
        <v>483.12099999999998</v>
      </c>
      <c r="JB17" s="1252"/>
      <c r="JC17" s="1098"/>
      <c r="JD17" s="1098"/>
      <c r="JE17" s="1098"/>
      <c r="JF17" s="1098"/>
      <c r="JG17" s="1098"/>
      <c r="JH17" s="1098"/>
      <c r="JI17" s="1098">
        <v>19.472000000000001</v>
      </c>
      <c r="JJ17" s="1098"/>
      <c r="JK17" s="1098">
        <v>527.38099999999997</v>
      </c>
      <c r="JL17" s="1098">
        <v>0.83599999999999997</v>
      </c>
      <c r="JM17" s="1098">
        <v>127.625</v>
      </c>
      <c r="JN17" s="1097">
        <f t="shared" si="50"/>
        <v>675.31399999999996</v>
      </c>
      <c r="JO17" s="1252"/>
      <c r="JP17" s="1098"/>
      <c r="JQ17" s="1098"/>
      <c r="JR17" s="1098"/>
      <c r="JS17" s="1098"/>
      <c r="JT17" s="1098"/>
      <c r="JU17" s="1098">
        <v>102.795</v>
      </c>
      <c r="JV17" s="1098"/>
      <c r="JW17" s="1098"/>
      <c r="JX17" s="1098"/>
      <c r="JY17" s="1098"/>
      <c r="JZ17" s="1098"/>
      <c r="KA17" s="1097">
        <f t="shared" si="51"/>
        <v>102.795</v>
      </c>
      <c r="KB17" s="1252"/>
      <c r="KC17" s="1098"/>
      <c r="KD17" s="1098">
        <v>41.311999999999998</v>
      </c>
      <c r="KE17" s="1098">
        <v>101.64100000000001</v>
      </c>
      <c r="KF17" s="1098">
        <v>56.938000000000002</v>
      </c>
      <c r="KG17" s="1098"/>
      <c r="KH17" s="1098"/>
      <c r="KI17" s="1098">
        <f>46.344+104.223</f>
        <v>150.56700000000001</v>
      </c>
      <c r="KJ17" s="1098">
        <v>1.018</v>
      </c>
      <c r="KK17" s="1098">
        <v>67.768000000000001</v>
      </c>
      <c r="KL17" s="1098"/>
      <c r="KM17" s="1098"/>
      <c r="KN17" s="1097">
        <f t="shared" si="52"/>
        <v>419.24400000000003</v>
      </c>
      <c r="KO17" s="1252"/>
      <c r="KP17" s="1098"/>
      <c r="KQ17" s="1098"/>
      <c r="KR17" s="1098"/>
      <c r="KS17" s="1098"/>
      <c r="KT17" s="1098">
        <v>39.421999999999997</v>
      </c>
      <c r="KU17" s="1098">
        <v>6.952</v>
      </c>
      <c r="KV17" s="1098"/>
      <c r="KW17" s="1098">
        <v>1.7849999999999999</v>
      </c>
      <c r="KX17" s="1098">
        <v>35.457999999999998</v>
      </c>
      <c r="KY17" s="1098">
        <v>99.432000000000002</v>
      </c>
      <c r="KZ17" s="1098">
        <v>116.033</v>
      </c>
      <c r="LA17" s="1097">
        <f t="shared" si="53"/>
        <v>299.08199999999999</v>
      </c>
      <c r="LB17" s="1252">
        <v>89.87400000001</v>
      </c>
      <c r="LC17" s="1098">
        <v>115.65700000000001</v>
      </c>
      <c r="LD17" s="1098"/>
      <c r="LE17" s="1098">
        <v>100.52</v>
      </c>
      <c r="LF17" s="1098"/>
      <c r="LG17" s="1098">
        <v>19</v>
      </c>
      <c r="LH17" s="1098">
        <v>109</v>
      </c>
      <c r="LI17" s="1098">
        <v>73</v>
      </c>
      <c r="LJ17" s="1098"/>
      <c r="LK17" s="1098"/>
      <c r="LL17" s="1098"/>
      <c r="LM17" s="1098"/>
      <c r="LN17" s="1097">
        <f t="shared" si="54"/>
        <v>507.05100000000999</v>
      </c>
      <c r="LP17" s="1116" t="str">
        <f t="shared" si="55"/>
        <v/>
      </c>
      <c r="LQ17" s="1117">
        <f t="shared" si="56"/>
        <v>993.39500582224969</v>
      </c>
      <c r="LR17" s="1079">
        <f t="shared" si="57"/>
        <v>46.373999999999995</v>
      </c>
      <c r="LS17" s="1118">
        <f t="shared" si="58"/>
        <v>507.05100000000999</v>
      </c>
      <c r="LU17" s="629"/>
      <c r="LV17" s="1139">
        <f t="shared" si="59"/>
        <v>78450.82600000003</v>
      </c>
      <c r="LW17" s="1286" t="s">
        <v>180</v>
      </c>
      <c r="LX17" s="1147" t="str">
        <f t="shared" si="60"/>
        <v>OK</v>
      </c>
    </row>
    <row r="18" spans="1:336" ht="15" customHeight="1" x14ac:dyDescent="0.2">
      <c r="A18" s="1280" t="s">
        <v>57</v>
      </c>
      <c r="B18" s="1252"/>
      <c r="C18" s="1098"/>
      <c r="D18" s="1098"/>
      <c r="E18" s="1098">
        <v>40.935000000000002</v>
      </c>
      <c r="F18" s="1098"/>
      <c r="G18" s="1098"/>
      <c r="H18" s="1098"/>
      <c r="I18" s="1098"/>
      <c r="J18" s="1098"/>
      <c r="K18" s="1098">
        <v>15.645</v>
      </c>
      <c r="L18" s="1098">
        <v>2.0019999999999998</v>
      </c>
      <c r="M18" s="1098">
        <v>14.933999999999999</v>
      </c>
      <c r="N18" s="1097">
        <f t="shared" si="30"/>
        <v>73.516000000000005</v>
      </c>
      <c r="O18" s="1252">
        <v>14.05</v>
      </c>
      <c r="P18" s="1098"/>
      <c r="Q18" s="1098"/>
      <c r="R18" s="1098"/>
      <c r="S18" s="1098">
        <v>36.365000000000002</v>
      </c>
      <c r="T18" s="1098">
        <v>7.133</v>
      </c>
      <c r="U18" s="1098">
        <v>26.545000000000002</v>
      </c>
      <c r="V18" s="1098">
        <v>16.396000000000001</v>
      </c>
      <c r="W18" s="1098">
        <v>16.782</v>
      </c>
      <c r="X18" s="1098">
        <v>10.778</v>
      </c>
      <c r="Y18" s="1098">
        <v>1039.518</v>
      </c>
      <c r="Z18" s="1098">
        <v>23.004000000000001</v>
      </c>
      <c r="AA18" s="1097">
        <f t="shared" si="31"/>
        <v>1190.5709999999999</v>
      </c>
      <c r="AB18" s="1252">
        <v>4.6040000000000001</v>
      </c>
      <c r="AC18" s="1098">
        <v>30.893999999999998</v>
      </c>
      <c r="AD18" s="1098">
        <v>19.253</v>
      </c>
      <c r="AE18" s="1098">
        <v>54.231999999999999</v>
      </c>
      <c r="AF18" s="1098">
        <v>20.48</v>
      </c>
      <c r="AG18" s="1098">
        <v>45.207999999999998</v>
      </c>
      <c r="AH18" s="1098"/>
      <c r="AI18" s="1098"/>
      <c r="AJ18" s="1098">
        <v>2.7240000000000002</v>
      </c>
      <c r="AK18" s="1098">
        <v>31.683</v>
      </c>
      <c r="AL18" s="1098">
        <v>59.101999999999997</v>
      </c>
      <c r="AM18" s="1098"/>
      <c r="AN18" s="1097">
        <f t="shared" si="32"/>
        <v>268.17999999999995</v>
      </c>
      <c r="AO18" s="1252">
        <v>59.484000000000002</v>
      </c>
      <c r="AP18" s="1098">
        <v>19.937999999999999</v>
      </c>
      <c r="AQ18" s="1098"/>
      <c r="AR18" s="1098"/>
      <c r="AS18" s="1098">
        <v>29.640999999999998</v>
      </c>
      <c r="AT18" s="1098">
        <v>46</v>
      </c>
      <c r="AU18" s="1098"/>
      <c r="AV18" s="1098">
        <v>45</v>
      </c>
      <c r="AW18" s="1098"/>
      <c r="AX18" s="1098"/>
      <c r="AY18" s="1098"/>
      <c r="AZ18" s="1098">
        <v>109</v>
      </c>
      <c r="BA18" s="1097">
        <f t="shared" si="33"/>
        <v>309.06299999999999</v>
      </c>
      <c r="BB18" s="1252">
        <v>160</v>
      </c>
      <c r="BC18" s="1098">
        <v>64</v>
      </c>
      <c r="BD18" s="1098">
        <v>168</v>
      </c>
      <c r="BE18" s="1098">
        <v>135</v>
      </c>
      <c r="BF18" s="1098">
        <v>146</v>
      </c>
      <c r="BG18" s="1098">
        <v>249</v>
      </c>
      <c r="BH18" s="1098">
        <v>31</v>
      </c>
      <c r="BI18" s="1098">
        <v>114</v>
      </c>
      <c r="BJ18" s="1098">
        <v>196</v>
      </c>
      <c r="BK18" s="1098">
        <v>53.601999999999997</v>
      </c>
      <c r="BL18" s="1098">
        <v>136.55000000000001</v>
      </c>
      <c r="BM18" s="1098">
        <v>36</v>
      </c>
      <c r="BN18" s="1097">
        <f t="shared" si="34"/>
        <v>1489.152</v>
      </c>
      <c r="BO18" s="1252">
        <v>228.52799999999999</v>
      </c>
      <c r="BP18" s="1098">
        <v>365.988</v>
      </c>
      <c r="BQ18" s="1098">
        <v>36.057000000000002</v>
      </c>
      <c r="BR18" s="1098">
        <v>28.649000000000001</v>
      </c>
      <c r="BS18" s="1098">
        <v>167.81899999999999</v>
      </c>
      <c r="BT18" s="1098">
        <v>509.32600000000002</v>
      </c>
      <c r="BU18" s="1098">
        <v>102.655</v>
      </c>
      <c r="BV18" s="1098">
        <v>146.536</v>
      </c>
      <c r="BW18" s="1098">
        <v>109.17</v>
      </c>
      <c r="BX18" s="1098">
        <v>118.889</v>
      </c>
      <c r="BY18" s="1098">
        <v>144</v>
      </c>
      <c r="BZ18" s="1098">
        <v>39</v>
      </c>
      <c r="CA18" s="1097">
        <f t="shared" si="35"/>
        <v>1996.617</v>
      </c>
      <c r="CB18" s="1252">
        <v>95</v>
      </c>
      <c r="CC18" s="1098"/>
      <c r="CD18" s="1098"/>
      <c r="CE18" s="1098">
        <v>45</v>
      </c>
      <c r="CF18" s="1098">
        <v>20</v>
      </c>
      <c r="CG18" s="1098">
        <v>80</v>
      </c>
      <c r="CH18" s="1098"/>
      <c r="CI18" s="1098"/>
      <c r="CJ18" s="1098">
        <v>159</v>
      </c>
      <c r="CK18" s="1098"/>
      <c r="CL18" s="1098">
        <v>1</v>
      </c>
      <c r="CM18" s="1098">
        <v>26</v>
      </c>
      <c r="CN18" s="1097">
        <f t="shared" si="36"/>
        <v>426</v>
      </c>
      <c r="CO18" s="1252"/>
      <c r="CP18" s="1098">
        <v>26</v>
      </c>
      <c r="CQ18" s="1098"/>
      <c r="CR18" s="1098"/>
      <c r="CS18" s="1098"/>
      <c r="CT18" s="1098">
        <v>7</v>
      </c>
      <c r="CU18" s="1098">
        <v>47</v>
      </c>
      <c r="CV18" s="1098"/>
      <c r="CW18" s="1098">
        <v>15</v>
      </c>
      <c r="CX18" s="1098">
        <v>2</v>
      </c>
      <c r="CY18" s="1098"/>
      <c r="CZ18" s="1098">
        <v>36</v>
      </c>
      <c r="DA18" s="1097">
        <f t="shared" si="37"/>
        <v>133</v>
      </c>
      <c r="DB18" s="1252">
        <v>58</v>
      </c>
      <c r="DC18" s="1098">
        <v>36</v>
      </c>
      <c r="DD18" s="1098">
        <v>144</v>
      </c>
      <c r="DE18" s="1098"/>
      <c r="DF18" s="1098">
        <v>39</v>
      </c>
      <c r="DG18" s="1098">
        <v>27</v>
      </c>
      <c r="DH18" s="1098">
        <v>60</v>
      </c>
      <c r="DI18" s="1098"/>
      <c r="DJ18" s="1098">
        <v>96</v>
      </c>
      <c r="DK18" s="1098">
        <v>169</v>
      </c>
      <c r="DL18" s="1098">
        <v>77</v>
      </c>
      <c r="DM18" s="1098">
        <v>127</v>
      </c>
      <c r="DN18" s="1097">
        <f t="shared" si="38"/>
        <v>833</v>
      </c>
      <c r="DO18" s="1252">
        <v>72</v>
      </c>
      <c r="DP18" s="1098">
        <v>41</v>
      </c>
      <c r="DQ18" s="1098">
        <v>5</v>
      </c>
      <c r="DR18" s="1098">
        <v>18</v>
      </c>
      <c r="DS18" s="1098">
        <v>108</v>
      </c>
      <c r="DT18" s="1098">
        <v>125</v>
      </c>
      <c r="DU18" s="1098">
        <v>6</v>
      </c>
      <c r="DV18" s="1098">
        <v>82</v>
      </c>
      <c r="DW18" s="1098">
        <v>16</v>
      </c>
      <c r="DX18" s="1098">
        <v>45</v>
      </c>
      <c r="DY18" s="1098"/>
      <c r="DZ18" s="1098">
        <v>22</v>
      </c>
      <c r="EA18" s="1097">
        <f t="shared" si="39"/>
        <v>540</v>
      </c>
      <c r="EB18" s="1252">
        <v>52</v>
      </c>
      <c r="EC18" s="1098">
        <v>28</v>
      </c>
      <c r="ED18" s="1098">
        <v>27</v>
      </c>
      <c r="EE18" s="1098">
        <v>42</v>
      </c>
      <c r="EF18" s="1098"/>
      <c r="EG18" s="1098">
        <v>32</v>
      </c>
      <c r="EH18" s="1098">
        <v>97</v>
      </c>
      <c r="EI18" s="1098">
        <v>28</v>
      </c>
      <c r="EJ18" s="1098"/>
      <c r="EK18" s="1098">
        <v>84</v>
      </c>
      <c r="EL18" s="1098">
        <v>216</v>
      </c>
      <c r="EM18" s="1098">
        <v>82</v>
      </c>
      <c r="EN18" s="1097">
        <f t="shared" si="40"/>
        <v>688</v>
      </c>
      <c r="EO18" s="1252"/>
      <c r="EP18" s="1098">
        <v>26</v>
      </c>
      <c r="EQ18" s="1098">
        <v>19</v>
      </c>
      <c r="ER18" s="1098">
        <v>4</v>
      </c>
      <c r="ES18" s="1098">
        <v>134</v>
      </c>
      <c r="ET18" s="1098">
        <v>132</v>
      </c>
      <c r="EU18" s="1098"/>
      <c r="EV18" s="1098"/>
      <c r="EW18" s="1098"/>
      <c r="EX18" s="1098">
        <v>26</v>
      </c>
      <c r="EY18" s="1098"/>
      <c r="EZ18" s="1098">
        <v>36</v>
      </c>
      <c r="FA18" s="1097">
        <f t="shared" si="41"/>
        <v>377</v>
      </c>
      <c r="FB18" s="1252">
        <v>50</v>
      </c>
      <c r="FC18" s="1098">
        <v>37</v>
      </c>
      <c r="FD18" s="1098"/>
      <c r="FE18" s="1098"/>
      <c r="FF18" s="1098">
        <v>25</v>
      </c>
      <c r="FG18" s="1098">
        <v>5</v>
      </c>
      <c r="FH18" s="1098"/>
      <c r="FI18" s="1098">
        <v>19</v>
      </c>
      <c r="FJ18" s="1098"/>
      <c r="FK18" s="1098">
        <v>56</v>
      </c>
      <c r="FL18" s="1098">
        <v>108</v>
      </c>
      <c r="FM18" s="1098">
        <v>59</v>
      </c>
      <c r="FN18" s="1097">
        <f t="shared" si="42"/>
        <v>359</v>
      </c>
      <c r="FO18" s="1252"/>
      <c r="FP18" s="1098">
        <v>16</v>
      </c>
      <c r="FQ18" s="1098"/>
      <c r="FR18" s="1098"/>
      <c r="FS18" s="1098">
        <v>68</v>
      </c>
      <c r="FT18" s="1098">
        <v>134</v>
      </c>
      <c r="FU18" s="1098">
        <v>124</v>
      </c>
      <c r="FV18" s="1098">
        <v>26</v>
      </c>
      <c r="FW18" s="1098">
        <v>78</v>
      </c>
      <c r="FX18" s="1098">
        <v>26</v>
      </c>
      <c r="FY18" s="1098">
        <v>7</v>
      </c>
      <c r="FZ18" s="1098">
        <v>15</v>
      </c>
      <c r="GA18" s="1097">
        <f t="shared" si="43"/>
        <v>494</v>
      </c>
      <c r="GB18" s="1252"/>
      <c r="GC18" s="1098">
        <v>31</v>
      </c>
      <c r="GD18" s="1098"/>
      <c r="GE18" s="1098">
        <v>248.08699999999999</v>
      </c>
      <c r="GF18" s="1098"/>
      <c r="GG18" s="1098"/>
      <c r="GH18" s="1098"/>
      <c r="GI18" s="1098">
        <v>47</v>
      </c>
      <c r="GJ18" s="1098">
        <v>28</v>
      </c>
      <c r="GK18" s="1098">
        <v>137</v>
      </c>
      <c r="GL18" s="1098">
        <v>187</v>
      </c>
      <c r="GM18" s="1098">
        <v>60</v>
      </c>
      <c r="GN18" s="1097">
        <f t="shared" si="44"/>
        <v>738.08699999999999</v>
      </c>
      <c r="GO18" s="1252">
        <v>27.686</v>
      </c>
      <c r="GP18" s="1098">
        <v>64.495999999999995</v>
      </c>
      <c r="GQ18" s="1098">
        <v>54.476999999999997</v>
      </c>
      <c r="GR18" s="1098">
        <v>10</v>
      </c>
      <c r="GS18" s="1098">
        <v>211</v>
      </c>
      <c r="GT18" s="1098">
        <v>63</v>
      </c>
      <c r="GU18" s="1098">
        <v>153.501</v>
      </c>
      <c r="GV18" s="1098">
        <v>77.603999999999999</v>
      </c>
      <c r="GW18" s="1098">
        <v>160.92000000000002</v>
      </c>
      <c r="GX18" s="1098">
        <v>119.19</v>
      </c>
      <c r="GY18" s="1098"/>
      <c r="GZ18" s="1098">
        <v>27.574000000000002</v>
      </c>
      <c r="HA18" s="1097">
        <f t="shared" si="45"/>
        <v>969.44799999999998</v>
      </c>
      <c r="HB18" s="1252"/>
      <c r="HC18" s="1098">
        <v>20</v>
      </c>
      <c r="HD18" s="1098">
        <v>27.25</v>
      </c>
      <c r="HE18" s="1098">
        <v>69.638999999999996</v>
      </c>
      <c r="HF18" s="1098"/>
      <c r="HG18" s="1098">
        <v>137</v>
      </c>
      <c r="HH18" s="1098">
        <v>231</v>
      </c>
      <c r="HI18" s="1098">
        <v>225</v>
      </c>
      <c r="HJ18" s="1098">
        <v>79.823999999999998</v>
      </c>
      <c r="HK18" s="1098">
        <v>86.108000000000004</v>
      </c>
      <c r="HL18" s="1098">
        <v>123.35899999999999</v>
      </c>
      <c r="HM18" s="1098">
        <v>281.28800000000001</v>
      </c>
      <c r="HN18" s="1097">
        <f t="shared" si="46"/>
        <v>1280.4679999999998</v>
      </c>
      <c r="HO18" s="1252"/>
      <c r="HP18" s="1098">
        <v>13.388</v>
      </c>
      <c r="HQ18" s="1098">
        <v>126.65799999999999</v>
      </c>
      <c r="HR18" s="1098">
        <v>12.115</v>
      </c>
      <c r="HS18" s="1098">
        <v>19.481999999999999</v>
      </c>
      <c r="HT18" s="1098">
        <v>5.3550000000000004</v>
      </c>
      <c r="HU18" s="1098">
        <v>9.27</v>
      </c>
      <c r="HV18" s="1098"/>
      <c r="HW18" s="1098">
        <v>73.953999999999994</v>
      </c>
      <c r="HX18" s="1098">
        <v>22</v>
      </c>
      <c r="HY18" s="1098">
        <v>61</v>
      </c>
      <c r="HZ18" s="1098"/>
      <c r="IA18" s="1097">
        <f t="shared" si="47"/>
        <v>343.22199999999998</v>
      </c>
      <c r="IB18" s="1252"/>
      <c r="IC18" s="1098"/>
      <c r="ID18" s="1098"/>
      <c r="IE18" s="1098"/>
      <c r="IF18" s="1098"/>
      <c r="IG18" s="1098">
        <v>6</v>
      </c>
      <c r="IH18" s="1098">
        <v>2.57</v>
      </c>
      <c r="II18" s="1098"/>
      <c r="IJ18" s="1098"/>
      <c r="IK18" s="1098"/>
      <c r="IL18" s="1098"/>
      <c r="IM18" s="1098"/>
      <c r="IN18" s="1097">
        <f t="shared" si="48"/>
        <v>8.57</v>
      </c>
      <c r="IO18" s="1252"/>
      <c r="IP18" s="1098"/>
      <c r="IQ18" s="1098"/>
      <c r="IR18" s="1098"/>
      <c r="IS18" s="1098"/>
      <c r="IT18" s="1098"/>
      <c r="IU18" s="1098"/>
      <c r="IV18" s="1098"/>
      <c r="IW18" s="1098"/>
      <c r="IX18" s="1098"/>
      <c r="IY18" s="1098"/>
      <c r="IZ18" s="1098"/>
      <c r="JA18" s="1097">
        <f t="shared" si="49"/>
        <v>0</v>
      </c>
      <c r="JB18" s="1252"/>
      <c r="JC18" s="1098"/>
      <c r="JD18" s="1098"/>
      <c r="JE18" s="1098"/>
      <c r="JF18" s="1098"/>
      <c r="JG18" s="1098"/>
      <c r="JH18" s="1098"/>
      <c r="JI18" s="1098"/>
      <c r="JJ18" s="1098"/>
      <c r="JK18" s="1098"/>
      <c r="JL18" s="1098"/>
      <c r="JM18" s="1098"/>
      <c r="JN18" s="1097">
        <f t="shared" si="50"/>
        <v>0</v>
      </c>
      <c r="JO18" s="1252"/>
      <c r="JP18" s="1098"/>
      <c r="JQ18" s="1098"/>
      <c r="JR18" s="1098"/>
      <c r="JS18" s="1098"/>
      <c r="JT18" s="1098"/>
      <c r="JU18" s="1098"/>
      <c r="JV18" s="1098"/>
      <c r="JW18" s="1098"/>
      <c r="JX18" s="1098"/>
      <c r="JY18" s="1098"/>
      <c r="JZ18" s="1098"/>
      <c r="KA18" s="1097">
        <f t="shared" si="51"/>
        <v>0</v>
      </c>
      <c r="KB18" s="1252"/>
      <c r="KC18" s="1098"/>
      <c r="KD18" s="1098"/>
      <c r="KE18" s="1098"/>
      <c r="KF18" s="1098"/>
      <c r="KG18" s="1098"/>
      <c r="KH18" s="1098"/>
      <c r="KI18" s="1098"/>
      <c r="KJ18" s="1098"/>
      <c r="KK18" s="1098"/>
      <c r="KL18" s="1098"/>
      <c r="KM18" s="1098"/>
      <c r="KN18" s="1097">
        <f t="shared" si="52"/>
        <v>0</v>
      </c>
      <c r="KO18" s="1252"/>
      <c r="KP18" s="1098"/>
      <c r="KQ18" s="1098"/>
      <c r="KR18" s="1098"/>
      <c r="KS18" s="1098"/>
      <c r="KT18" s="1098"/>
      <c r="KU18" s="1098"/>
      <c r="KV18" s="1098"/>
      <c r="KW18" s="1098"/>
      <c r="KX18" s="1098"/>
      <c r="KY18" s="1098"/>
      <c r="KZ18" s="1098"/>
      <c r="LA18" s="1097">
        <f t="shared" si="53"/>
        <v>0</v>
      </c>
      <c r="LB18" s="1252">
        <v>89.87400000001</v>
      </c>
      <c r="LC18" s="1098">
        <v>115.65700000000001</v>
      </c>
      <c r="LD18" s="1098"/>
      <c r="LE18" s="1098"/>
      <c r="LF18" s="1098"/>
      <c r="LG18" s="1098"/>
      <c r="LH18" s="1098"/>
      <c r="LI18" s="1098"/>
      <c r="LJ18" s="1098"/>
      <c r="LK18" s="1098"/>
      <c r="LL18" s="1098"/>
      <c r="LM18" s="1098"/>
      <c r="LN18" s="1097">
        <f t="shared" si="54"/>
        <v>205.53100000001001</v>
      </c>
      <c r="LP18" s="1116" t="str">
        <f t="shared" si="55"/>
        <v/>
      </c>
      <c r="LQ18" s="1117" t="str">
        <f t="shared" si="56"/>
        <v/>
      </c>
      <c r="LR18" s="1079">
        <f t="shared" si="57"/>
        <v>0</v>
      </c>
      <c r="LS18" s="1118">
        <f t="shared" si="58"/>
        <v>205.53100000001001</v>
      </c>
      <c r="LU18" s="629"/>
      <c r="LV18" s="1139">
        <f t="shared" si="59"/>
        <v>25444.85000000002</v>
      </c>
      <c r="LW18" s="1286" t="s">
        <v>57</v>
      </c>
      <c r="LX18" s="1147" t="str">
        <f t="shared" si="60"/>
        <v>OK</v>
      </c>
    </row>
    <row r="19" spans="1:336" ht="15" customHeight="1" x14ac:dyDescent="0.2">
      <c r="A19" s="1292" t="s">
        <v>103</v>
      </c>
      <c r="B19" s="1252"/>
      <c r="C19" s="1098"/>
      <c r="D19" s="1098"/>
      <c r="E19" s="1098"/>
      <c r="F19" s="1098"/>
      <c r="G19" s="1098"/>
      <c r="H19" s="1098"/>
      <c r="I19" s="1098"/>
      <c r="J19" s="1098"/>
      <c r="K19" s="1098"/>
      <c r="L19" s="1098"/>
      <c r="M19" s="1098"/>
      <c r="N19" s="1097">
        <f t="shared" si="30"/>
        <v>0</v>
      </c>
      <c r="O19" s="1252"/>
      <c r="P19" s="1098"/>
      <c r="Q19" s="1098"/>
      <c r="R19" s="1098"/>
      <c r="S19" s="1098"/>
      <c r="T19" s="1098">
        <v>102.27200000000001</v>
      </c>
      <c r="U19" s="1098"/>
      <c r="V19" s="1098"/>
      <c r="W19" s="1098"/>
      <c r="X19" s="1098"/>
      <c r="Y19" s="1098"/>
      <c r="Z19" s="1098"/>
      <c r="AA19" s="1097">
        <f t="shared" si="31"/>
        <v>102.27200000000001</v>
      </c>
      <c r="AB19" s="1252"/>
      <c r="AC19" s="1098"/>
      <c r="AD19" s="1098"/>
      <c r="AE19" s="1098"/>
      <c r="AF19" s="1098"/>
      <c r="AG19" s="1098"/>
      <c r="AH19" s="1098"/>
      <c r="AI19" s="1098"/>
      <c r="AJ19" s="1098"/>
      <c r="AK19" s="1098"/>
      <c r="AL19" s="1098"/>
      <c r="AM19" s="1098"/>
      <c r="AN19" s="1097">
        <f t="shared" si="32"/>
        <v>0</v>
      </c>
      <c r="AO19" s="1252"/>
      <c r="AP19" s="1098"/>
      <c r="AQ19" s="1098"/>
      <c r="AR19" s="1098"/>
      <c r="AS19" s="1098">
        <v>9.1039999999999992</v>
      </c>
      <c r="AT19" s="1098">
        <v>4</v>
      </c>
      <c r="AU19" s="1098"/>
      <c r="AV19" s="1098"/>
      <c r="AW19" s="1098"/>
      <c r="AX19" s="1098"/>
      <c r="AY19" s="1098"/>
      <c r="AZ19" s="1098"/>
      <c r="BA19" s="1097">
        <f t="shared" si="33"/>
        <v>13.103999999999999</v>
      </c>
      <c r="BB19" s="1252"/>
      <c r="BC19" s="1098"/>
      <c r="BD19" s="1098"/>
      <c r="BE19" s="1098"/>
      <c r="BF19" s="1098"/>
      <c r="BG19" s="1098"/>
      <c r="BH19" s="1098"/>
      <c r="BI19" s="1098"/>
      <c r="BJ19" s="1098"/>
      <c r="BK19" s="1098"/>
      <c r="BL19" s="1098"/>
      <c r="BM19" s="1098"/>
      <c r="BN19" s="1097">
        <f t="shared" si="34"/>
        <v>0</v>
      </c>
      <c r="BO19" s="1252"/>
      <c r="BP19" s="1098"/>
      <c r="BQ19" s="1098"/>
      <c r="BR19" s="1098"/>
      <c r="BS19" s="1098"/>
      <c r="BT19" s="1098"/>
      <c r="BU19" s="1098"/>
      <c r="BV19" s="1098"/>
      <c r="BW19" s="1098"/>
      <c r="BX19" s="1098"/>
      <c r="BY19" s="1098"/>
      <c r="BZ19" s="1098"/>
      <c r="CA19" s="1097">
        <f t="shared" si="35"/>
        <v>0</v>
      </c>
      <c r="CB19" s="1252"/>
      <c r="CC19" s="1098">
        <v>5</v>
      </c>
      <c r="CD19" s="1098"/>
      <c r="CE19" s="1098"/>
      <c r="CF19" s="1098">
        <v>14</v>
      </c>
      <c r="CG19" s="1098">
        <v>44</v>
      </c>
      <c r="CH19" s="1098"/>
      <c r="CI19" s="1098"/>
      <c r="CJ19" s="1098">
        <v>18</v>
      </c>
      <c r="CK19" s="1098">
        <v>5</v>
      </c>
      <c r="CL19" s="1098"/>
      <c r="CM19" s="1098">
        <v>4</v>
      </c>
      <c r="CN19" s="1097">
        <f t="shared" si="36"/>
        <v>90</v>
      </c>
      <c r="CO19" s="1252"/>
      <c r="CP19" s="1098">
        <v>3</v>
      </c>
      <c r="CQ19" s="1098"/>
      <c r="CR19" s="1098"/>
      <c r="CS19" s="1098"/>
      <c r="CT19" s="1098"/>
      <c r="CU19" s="1098"/>
      <c r="CV19" s="1098"/>
      <c r="CW19" s="1098"/>
      <c r="CX19" s="1098"/>
      <c r="CY19" s="1098"/>
      <c r="CZ19" s="1098"/>
      <c r="DA19" s="1097">
        <f t="shared" si="37"/>
        <v>3</v>
      </c>
      <c r="DB19" s="1252">
        <v>3</v>
      </c>
      <c r="DC19" s="1098"/>
      <c r="DD19" s="1098">
        <v>6</v>
      </c>
      <c r="DE19" s="1098">
        <v>14</v>
      </c>
      <c r="DF19" s="1098"/>
      <c r="DG19" s="1098"/>
      <c r="DH19" s="1098"/>
      <c r="DI19" s="1098"/>
      <c r="DJ19" s="1098"/>
      <c r="DK19" s="1098"/>
      <c r="DL19" s="1098"/>
      <c r="DM19" s="1098"/>
      <c r="DN19" s="1097">
        <f t="shared" si="38"/>
        <v>23</v>
      </c>
      <c r="DO19" s="1252"/>
      <c r="DP19" s="1098"/>
      <c r="DQ19" s="1098">
        <v>4</v>
      </c>
      <c r="DR19" s="1098">
        <v>5</v>
      </c>
      <c r="DS19" s="1098"/>
      <c r="DT19" s="1098"/>
      <c r="DU19" s="1098"/>
      <c r="DV19" s="1098"/>
      <c r="DW19" s="1098">
        <v>24</v>
      </c>
      <c r="DX19" s="1098"/>
      <c r="DY19" s="1098">
        <v>17</v>
      </c>
      <c r="DZ19" s="1098">
        <v>1</v>
      </c>
      <c r="EA19" s="1097">
        <f t="shared" si="39"/>
        <v>51</v>
      </c>
      <c r="EB19" s="1252">
        <v>17</v>
      </c>
      <c r="EC19" s="1098"/>
      <c r="ED19" s="1098"/>
      <c r="EE19" s="1098">
        <v>8</v>
      </c>
      <c r="EF19" s="1098"/>
      <c r="EG19" s="1098">
        <v>1</v>
      </c>
      <c r="EH19" s="1098"/>
      <c r="EI19" s="1098"/>
      <c r="EJ19" s="1098"/>
      <c r="EK19" s="1098">
        <v>3</v>
      </c>
      <c r="EL19" s="1098">
        <v>1</v>
      </c>
      <c r="EM19" s="1098"/>
      <c r="EN19" s="1097">
        <f t="shared" si="40"/>
        <v>30</v>
      </c>
      <c r="EO19" s="1252"/>
      <c r="EP19" s="1098"/>
      <c r="EQ19" s="1098"/>
      <c r="ER19" s="1098"/>
      <c r="ES19" s="1098"/>
      <c r="ET19" s="1098"/>
      <c r="EU19" s="1098">
        <v>14</v>
      </c>
      <c r="EV19" s="1098">
        <v>6</v>
      </c>
      <c r="EW19" s="1098"/>
      <c r="EX19" s="1098">
        <v>18</v>
      </c>
      <c r="EY19" s="1098"/>
      <c r="EZ19" s="1098">
        <v>20</v>
      </c>
      <c r="FA19" s="1097">
        <f t="shared" si="41"/>
        <v>58</v>
      </c>
      <c r="FB19" s="1252"/>
      <c r="FC19" s="1098"/>
      <c r="FD19" s="1098"/>
      <c r="FE19" s="1098"/>
      <c r="FF19" s="1098">
        <v>6</v>
      </c>
      <c r="FG19" s="1098"/>
      <c r="FH19" s="1098"/>
      <c r="FI19" s="1098"/>
      <c r="FJ19" s="1098"/>
      <c r="FK19" s="1098"/>
      <c r="FL19" s="1098">
        <v>0.5</v>
      </c>
      <c r="FM19" s="1098">
        <v>10</v>
      </c>
      <c r="FN19" s="1097">
        <f t="shared" si="42"/>
        <v>16.5</v>
      </c>
      <c r="FO19" s="1252">
        <v>2</v>
      </c>
      <c r="FP19" s="1098"/>
      <c r="FQ19" s="1098"/>
      <c r="FR19" s="1098">
        <v>19</v>
      </c>
      <c r="FS19" s="1098">
        <v>9</v>
      </c>
      <c r="FT19" s="1098">
        <v>5</v>
      </c>
      <c r="FU19" s="1098"/>
      <c r="FV19" s="1098">
        <v>6</v>
      </c>
      <c r="FW19" s="1098">
        <v>14</v>
      </c>
      <c r="FX19" s="1098"/>
      <c r="FY19" s="1098"/>
      <c r="FZ19" s="1098">
        <v>18</v>
      </c>
      <c r="GA19" s="1097">
        <f t="shared" si="43"/>
        <v>73</v>
      </c>
      <c r="GB19" s="1252">
        <v>11</v>
      </c>
      <c r="GC19" s="1098"/>
      <c r="GD19" s="1098"/>
      <c r="GE19" s="1098"/>
      <c r="GF19" s="1098">
        <v>7.8179999999999996</v>
      </c>
      <c r="GG19" s="1098">
        <v>100</v>
      </c>
      <c r="GH19" s="1098">
        <v>12</v>
      </c>
      <c r="GI19" s="1098"/>
      <c r="GJ19" s="1098"/>
      <c r="GK19" s="1098">
        <v>3</v>
      </c>
      <c r="GL19" s="1098">
        <v>2</v>
      </c>
      <c r="GM19" s="1098">
        <v>2</v>
      </c>
      <c r="GN19" s="1097">
        <f t="shared" si="44"/>
        <v>137.81799999999998</v>
      </c>
      <c r="GO19" s="1252"/>
      <c r="GP19" s="1098"/>
      <c r="GQ19" s="1098"/>
      <c r="GR19" s="1098"/>
      <c r="GS19" s="1098"/>
      <c r="GT19" s="1098">
        <v>31</v>
      </c>
      <c r="GU19" s="1098"/>
      <c r="GV19" s="1098">
        <v>16.093</v>
      </c>
      <c r="GW19" s="1098"/>
      <c r="GX19" s="1098"/>
      <c r="GY19" s="1098"/>
      <c r="GZ19" s="1098"/>
      <c r="HA19" s="1097">
        <f t="shared" si="45"/>
        <v>47.093000000000004</v>
      </c>
      <c r="HB19" s="1252"/>
      <c r="HC19" s="1098"/>
      <c r="HD19" s="1098"/>
      <c r="HE19" s="1098">
        <v>19.751000000000001</v>
      </c>
      <c r="HF19" s="1098"/>
      <c r="HG19" s="1098">
        <v>10</v>
      </c>
      <c r="HH19" s="1098">
        <v>64</v>
      </c>
      <c r="HI19" s="1098">
        <v>51</v>
      </c>
      <c r="HJ19" s="1098">
        <v>32.402999999999999</v>
      </c>
      <c r="HK19" s="1098">
        <v>35.962000000000003</v>
      </c>
      <c r="HL19" s="1098">
        <v>34.298999999999999</v>
      </c>
      <c r="HM19" s="1098">
        <v>19.923000000000002</v>
      </c>
      <c r="HN19" s="1097">
        <f t="shared" si="46"/>
        <v>267.33799999999997</v>
      </c>
      <c r="HO19" s="1252">
        <v>12.215</v>
      </c>
      <c r="HP19" s="1098">
        <v>43.012999999999998</v>
      </c>
      <c r="HQ19" s="1098"/>
      <c r="HR19" s="1098">
        <v>9</v>
      </c>
      <c r="HS19" s="1098">
        <v>8.7539999999999996</v>
      </c>
      <c r="HT19" s="1098">
        <v>6.2460000000000004</v>
      </c>
      <c r="HU19" s="1098">
        <v>6.31</v>
      </c>
      <c r="HV19" s="1098">
        <v>32.207999999999998</v>
      </c>
      <c r="HW19" s="1098"/>
      <c r="HX19" s="1098">
        <v>19</v>
      </c>
      <c r="HY19" s="1098">
        <v>1</v>
      </c>
      <c r="HZ19" s="1098"/>
      <c r="IA19" s="1097">
        <f t="shared" si="47"/>
        <v>137.74599999999998</v>
      </c>
      <c r="IB19" s="1252"/>
      <c r="IC19" s="1098"/>
      <c r="ID19" s="1098"/>
      <c r="IE19" s="1098"/>
      <c r="IF19" s="1098"/>
      <c r="IG19" s="1098"/>
      <c r="IH19" s="1098"/>
      <c r="II19" s="1098"/>
      <c r="IJ19" s="1098">
        <v>10.041</v>
      </c>
      <c r="IK19" s="1098"/>
      <c r="IL19" s="1098">
        <v>4.4630000000000001</v>
      </c>
      <c r="IM19" s="1098"/>
      <c r="IN19" s="1097">
        <f t="shared" si="48"/>
        <v>14.504000000000001</v>
      </c>
      <c r="IO19" s="1252"/>
      <c r="IP19" s="1098"/>
      <c r="IQ19" s="1098"/>
      <c r="IR19" s="1098">
        <v>1.4770000000000001</v>
      </c>
      <c r="IS19" s="1098">
        <v>5.6349999999999998</v>
      </c>
      <c r="IT19" s="1098">
        <v>20.341000000000001</v>
      </c>
      <c r="IU19" s="1098">
        <v>26.234000000000002</v>
      </c>
      <c r="IV19" s="1098">
        <v>37.624000000000002</v>
      </c>
      <c r="IW19" s="1098">
        <v>94.451999999999998</v>
      </c>
      <c r="IX19" s="1098">
        <v>58.095999999999997</v>
      </c>
      <c r="IY19" s="1098">
        <v>28.155000000000001</v>
      </c>
      <c r="IZ19" s="1098"/>
      <c r="JA19" s="1097">
        <f t="shared" si="49"/>
        <v>272.01400000000001</v>
      </c>
      <c r="JB19" s="1252"/>
      <c r="JC19" s="1098"/>
      <c r="JD19" s="1098"/>
      <c r="JE19" s="1098">
        <v>9.41</v>
      </c>
      <c r="JF19" s="1098"/>
      <c r="JG19" s="1098">
        <v>8.17</v>
      </c>
      <c r="JH19" s="1098"/>
      <c r="JI19" s="1098">
        <v>2.0569999999999999</v>
      </c>
      <c r="JJ19" s="1098"/>
      <c r="JK19" s="1098">
        <v>3.629</v>
      </c>
      <c r="JL19" s="1098"/>
      <c r="JM19" s="1098"/>
      <c r="JN19" s="1097">
        <f t="shared" si="50"/>
        <v>23.265999999999998</v>
      </c>
      <c r="JO19" s="1252"/>
      <c r="JP19" s="1098"/>
      <c r="JQ19" s="1098"/>
      <c r="JR19" s="1098"/>
      <c r="JS19" s="1098"/>
      <c r="JT19" s="1098"/>
      <c r="JU19" s="1098">
        <v>5.7279999999999998</v>
      </c>
      <c r="JV19" s="1098">
        <v>10.051</v>
      </c>
      <c r="JW19" s="1098">
        <v>5.6319999999999997</v>
      </c>
      <c r="JX19" s="1098">
        <v>11.656000000000001</v>
      </c>
      <c r="JY19" s="1098">
        <v>6.069</v>
      </c>
      <c r="JZ19" s="1098"/>
      <c r="KA19" s="1097">
        <f t="shared" si="51"/>
        <v>39.136000000000003</v>
      </c>
      <c r="KB19" s="1252"/>
      <c r="KC19" s="1098"/>
      <c r="KD19" s="1098"/>
      <c r="KE19" s="1098"/>
      <c r="KF19" s="1098"/>
      <c r="KG19" s="1098"/>
      <c r="KH19" s="1098">
        <v>53.362000000000002</v>
      </c>
      <c r="KI19" s="1098">
        <v>33.994</v>
      </c>
      <c r="KJ19" s="1098">
        <v>22.241</v>
      </c>
      <c r="KK19" s="1098"/>
      <c r="KL19" s="1098">
        <v>7.5060000000000002</v>
      </c>
      <c r="KM19" s="1098"/>
      <c r="KN19" s="1097">
        <f t="shared" si="52"/>
        <v>117.10299999999999</v>
      </c>
      <c r="KO19" s="1252">
        <v>22.984000000000002</v>
      </c>
      <c r="KP19" s="1098">
        <v>6.8609999999999998</v>
      </c>
      <c r="KQ19" s="1098"/>
      <c r="KR19" s="1098"/>
      <c r="KS19" s="1098">
        <v>21.824000000000002</v>
      </c>
      <c r="KT19" s="1098">
        <v>5.2869999999999999</v>
      </c>
      <c r="KU19" s="1098">
        <v>5.3070000000000004</v>
      </c>
      <c r="KV19" s="1098">
        <v>12.148999999999999</v>
      </c>
      <c r="KW19" s="1098">
        <v>5.891</v>
      </c>
      <c r="KX19" s="1098"/>
      <c r="KY19" s="1098">
        <v>6.2990000000000004</v>
      </c>
      <c r="KZ19" s="1098"/>
      <c r="LA19" s="1097">
        <f t="shared" si="53"/>
        <v>86.602000000000018</v>
      </c>
      <c r="LB19" s="1252">
        <v>3.35100000001</v>
      </c>
      <c r="LC19" s="1098"/>
      <c r="LD19" s="1098"/>
      <c r="LE19" s="1098"/>
      <c r="LF19" s="1098"/>
      <c r="LG19" s="1098">
        <v>3.4969999999999999</v>
      </c>
      <c r="LH19" s="1098">
        <v>21</v>
      </c>
      <c r="LI19" s="1098">
        <v>6</v>
      </c>
      <c r="LJ19" s="1098"/>
      <c r="LK19" s="1098"/>
      <c r="LL19" s="1098"/>
      <c r="LM19" s="1098"/>
      <c r="LN19" s="1097">
        <f t="shared" si="54"/>
        <v>33.848000000010003</v>
      </c>
      <c r="LP19" s="1116">
        <f t="shared" si="55"/>
        <v>-50.613219194995466</v>
      </c>
      <c r="LQ19" s="1117">
        <f t="shared" si="56"/>
        <v>-54.512713003265603</v>
      </c>
      <c r="LR19" s="1079">
        <f t="shared" si="57"/>
        <v>74.412000000000006</v>
      </c>
      <c r="LS19" s="1118">
        <f t="shared" si="58"/>
        <v>33.848000000010003</v>
      </c>
      <c r="LU19" s="629"/>
      <c r="LV19" s="1139">
        <f t="shared" si="59"/>
        <v>3272.6880000000192</v>
      </c>
      <c r="LW19" s="1286" t="s">
        <v>103</v>
      </c>
      <c r="LX19" s="1147" t="str">
        <f t="shared" si="60"/>
        <v>OK</v>
      </c>
    </row>
    <row r="20" spans="1:336" ht="15" customHeight="1" x14ac:dyDescent="0.2">
      <c r="A20" s="1280" t="s">
        <v>58</v>
      </c>
      <c r="B20" s="1252"/>
      <c r="C20" s="1098"/>
      <c r="D20" s="1098">
        <v>13.635999999999999</v>
      </c>
      <c r="E20" s="1098">
        <v>2.27</v>
      </c>
      <c r="F20" s="1098">
        <v>2.2770000000000001</v>
      </c>
      <c r="G20" s="1098">
        <v>13.599</v>
      </c>
      <c r="H20" s="1098">
        <v>45.454000000000001</v>
      </c>
      <c r="I20" s="1098"/>
      <c r="J20" s="1098">
        <v>22.73</v>
      </c>
      <c r="K20" s="1098">
        <v>31.361999999999998</v>
      </c>
      <c r="L20" s="1098">
        <v>38.5</v>
      </c>
      <c r="M20" s="1098">
        <v>185.869</v>
      </c>
      <c r="N20" s="1097">
        <f t="shared" si="30"/>
        <v>355.697</v>
      </c>
      <c r="O20" s="1252">
        <v>462.065</v>
      </c>
      <c r="P20" s="1098">
        <v>13.635999999999999</v>
      </c>
      <c r="Q20" s="1098">
        <v>115.07299999999999</v>
      </c>
      <c r="R20" s="1098">
        <v>60.49</v>
      </c>
      <c r="S20" s="1098">
        <v>90.825000000000003</v>
      </c>
      <c r="T20" s="1098">
        <v>341.43099999999998</v>
      </c>
      <c r="U20" s="1098">
        <v>195.75299999999999</v>
      </c>
      <c r="V20" s="1098">
        <v>219.90600000000001</v>
      </c>
      <c r="W20" s="1098">
        <v>227.733</v>
      </c>
      <c r="X20" s="1098">
        <v>197.42099999999999</v>
      </c>
      <c r="Y20" s="1098">
        <v>174.18</v>
      </c>
      <c r="Z20" s="1098">
        <v>425.73599999999999</v>
      </c>
      <c r="AA20" s="1097">
        <f t="shared" si="31"/>
        <v>2524.2489999999998</v>
      </c>
      <c r="AB20" s="1252">
        <v>366.21499999999997</v>
      </c>
      <c r="AC20" s="1098">
        <v>160.47999999999999</v>
      </c>
      <c r="AD20" s="1098">
        <v>175.22900000000001</v>
      </c>
      <c r="AE20" s="1098">
        <v>79.116</v>
      </c>
      <c r="AF20" s="1098">
        <v>176.96799999999999</v>
      </c>
      <c r="AG20" s="1098">
        <v>133.08699999999999</v>
      </c>
      <c r="AH20" s="1098">
        <v>53.414999999999999</v>
      </c>
      <c r="AI20" s="1098">
        <v>249.101</v>
      </c>
      <c r="AJ20" s="1098">
        <v>187.024</v>
      </c>
      <c r="AK20" s="1098">
        <v>70.768000000000001</v>
      </c>
      <c r="AL20" s="1098">
        <v>86.061999999999998</v>
      </c>
      <c r="AM20" s="1098">
        <v>77.909000000000006</v>
      </c>
      <c r="AN20" s="1097">
        <f t="shared" si="32"/>
        <v>1815.3739999999998</v>
      </c>
      <c r="AO20" s="1252">
        <v>33.265000000000001</v>
      </c>
      <c r="AP20" s="1098">
        <v>72.382000000000005</v>
      </c>
      <c r="AQ20" s="1098">
        <v>37.216999999999999</v>
      </c>
      <c r="AR20" s="1098">
        <v>72.180000000000007</v>
      </c>
      <c r="AS20" s="1098"/>
      <c r="AT20" s="1098">
        <v>103</v>
      </c>
      <c r="AU20" s="1098">
        <v>86</v>
      </c>
      <c r="AV20" s="1098">
        <v>138</v>
      </c>
      <c r="AW20" s="1098">
        <v>117</v>
      </c>
      <c r="AX20" s="1098">
        <v>6</v>
      </c>
      <c r="AY20" s="1098"/>
      <c r="AZ20" s="1098">
        <v>145</v>
      </c>
      <c r="BA20" s="1097">
        <f t="shared" si="33"/>
        <v>810.04399999999998</v>
      </c>
      <c r="BB20" s="1252">
        <v>7</v>
      </c>
      <c r="BC20" s="1098">
        <v>97</v>
      </c>
      <c r="BD20" s="1098">
        <v>7</v>
      </c>
      <c r="BE20" s="1098">
        <v>110</v>
      </c>
      <c r="BF20" s="1098">
        <v>55</v>
      </c>
      <c r="BG20" s="1098">
        <v>45</v>
      </c>
      <c r="BH20" s="1098">
        <v>183</v>
      </c>
      <c r="BI20" s="1098">
        <v>163</v>
      </c>
      <c r="BJ20" s="1098">
        <v>4.5</v>
      </c>
      <c r="BK20" s="1098">
        <v>119.745</v>
      </c>
      <c r="BL20" s="1098">
        <v>51.155000000000001</v>
      </c>
      <c r="BM20" s="1098">
        <v>232</v>
      </c>
      <c r="BN20" s="1097">
        <f t="shared" si="34"/>
        <v>1074.4000000000001</v>
      </c>
      <c r="BO20" s="1252">
        <v>160.399</v>
      </c>
      <c r="BP20" s="1098">
        <v>131.99199999999999</v>
      </c>
      <c r="BQ20" s="1098">
        <v>200.97499999999999</v>
      </c>
      <c r="BR20" s="1098">
        <v>196.74</v>
      </c>
      <c r="BS20" s="1098">
        <v>141.88800000000001</v>
      </c>
      <c r="BT20" s="1098">
        <v>417.14</v>
      </c>
      <c r="BU20" s="1098">
        <v>208.06800000000001</v>
      </c>
      <c r="BV20" s="1098">
        <v>225.96100000000001</v>
      </c>
      <c r="BW20" s="1098">
        <v>185.36600000000001</v>
      </c>
      <c r="BX20" s="1098">
        <v>94.465000000000003</v>
      </c>
      <c r="BY20" s="1098">
        <v>153</v>
      </c>
      <c r="BZ20" s="1098">
        <v>175</v>
      </c>
      <c r="CA20" s="1097">
        <f t="shared" si="35"/>
        <v>2290.9939999999997</v>
      </c>
      <c r="CB20" s="1252">
        <v>76</v>
      </c>
      <c r="CC20" s="1098">
        <v>335</v>
      </c>
      <c r="CD20" s="1098">
        <v>206</v>
      </c>
      <c r="CE20" s="1098">
        <v>190</v>
      </c>
      <c r="CF20" s="1098">
        <v>157</v>
      </c>
      <c r="CG20" s="1098">
        <v>205</v>
      </c>
      <c r="CH20" s="1098">
        <v>20</v>
      </c>
      <c r="CI20" s="1098">
        <v>6</v>
      </c>
      <c r="CJ20" s="1098">
        <v>73</v>
      </c>
      <c r="CK20" s="1098">
        <v>135</v>
      </c>
      <c r="CL20" s="1098">
        <v>100</v>
      </c>
      <c r="CM20" s="1098">
        <v>70</v>
      </c>
      <c r="CN20" s="1097">
        <f t="shared" si="36"/>
        <v>1573</v>
      </c>
      <c r="CO20" s="1252">
        <v>30</v>
      </c>
      <c r="CP20" s="1098">
        <v>25</v>
      </c>
      <c r="CQ20" s="1098"/>
      <c r="CR20" s="1098">
        <v>79</v>
      </c>
      <c r="CS20" s="1098">
        <v>11</v>
      </c>
      <c r="CT20" s="1098">
        <v>47</v>
      </c>
      <c r="CU20" s="1098">
        <v>23</v>
      </c>
      <c r="CV20" s="1098">
        <v>128</v>
      </c>
      <c r="CW20" s="1098">
        <v>3</v>
      </c>
      <c r="CX20" s="1098">
        <v>62</v>
      </c>
      <c r="CY20" s="1098">
        <v>9</v>
      </c>
      <c r="CZ20" s="1098">
        <v>14</v>
      </c>
      <c r="DA20" s="1097">
        <f t="shared" si="37"/>
        <v>431</v>
      </c>
      <c r="DB20" s="1252">
        <v>9</v>
      </c>
      <c r="DC20" s="1098">
        <v>31</v>
      </c>
      <c r="DD20" s="1098">
        <v>3</v>
      </c>
      <c r="DE20" s="1098">
        <v>46</v>
      </c>
      <c r="DF20" s="1098">
        <v>14</v>
      </c>
      <c r="DG20" s="1098">
        <v>78</v>
      </c>
      <c r="DH20" s="1098">
        <v>34</v>
      </c>
      <c r="DI20" s="1098">
        <v>19</v>
      </c>
      <c r="DJ20" s="1098">
        <v>66</v>
      </c>
      <c r="DK20" s="1098">
        <v>34</v>
      </c>
      <c r="DL20" s="1098">
        <v>37</v>
      </c>
      <c r="DM20" s="1098">
        <v>25</v>
      </c>
      <c r="DN20" s="1097">
        <f t="shared" si="38"/>
        <v>396</v>
      </c>
      <c r="DO20" s="1252">
        <v>196</v>
      </c>
      <c r="DP20" s="1098">
        <v>19</v>
      </c>
      <c r="DQ20" s="1098">
        <v>76</v>
      </c>
      <c r="DR20" s="1098">
        <v>32</v>
      </c>
      <c r="DS20" s="1098">
        <v>100</v>
      </c>
      <c r="DT20" s="1098">
        <v>177</v>
      </c>
      <c r="DU20" s="1098">
        <v>118</v>
      </c>
      <c r="DV20" s="1098">
        <v>28</v>
      </c>
      <c r="DW20" s="1098">
        <v>274</v>
      </c>
      <c r="DX20" s="1098">
        <v>277</v>
      </c>
      <c r="DY20" s="1098">
        <v>116</v>
      </c>
      <c r="DZ20" s="1098">
        <v>11</v>
      </c>
      <c r="EA20" s="1097">
        <f t="shared" si="39"/>
        <v>1424</v>
      </c>
      <c r="EB20" s="1252">
        <v>168</v>
      </c>
      <c r="EC20" s="1098">
        <v>7</v>
      </c>
      <c r="ED20" s="1098">
        <v>28</v>
      </c>
      <c r="EE20" s="1098">
        <v>65</v>
      </c>
      <c r="EF20" s="1098">
        <v>23</v>
      </c>
      <c r="EG20" s="1098">
        <v>39</v>
      </c>
      <c r="EH20" s="1098">
        <v>63</v>
      </c>
      <c r="EI20" s="1098">
        <v>5</v>
      </c>
      <c r="EJ20" s="1098">
        <v>54</v>
      </c>
      <c r="EK20" s="1098">
        <v>2</v>
      </c>
      <c r="EL20" s="1098">
        <v>39</v>
      </c>
      <c r="EM20" s="1098">
        <v>62</v>
      </c>
      <c r="EN20" s="1097">
        <f t="shared" si="40"/>
        <v>555</v>
      </c>
      <c r="EO20" s="1252">
        <v>63</v>
      </c>
      <c r="EP20" s="1098">
        <v>40</v>
      </c>
      <c r="EQ20" s="1098">
        <v>32</v>
      </c>
      <c r="ER20" s="1098">
        <v>188</v>
      </c>
      <c r="ES20" s="1098">
        <v>145</v>
      </c>
      <c r="ET20" s="1098">
        <v>96</v>
      </c>
      <c r="EU20" s="1098">
        <v>9</v>
      </c>
      <c r="EV20" s="1098">
        <v>35</v>
      </c>
      <c r="EW20" s="1098"/>
      <c r="EX20" s="1098">
        <v>175</v>
      </c>
      <c r="EY20" s="1098">
        <v>47</v>
      </c>
      <c r="EZ20" s="1098">
        <v>123</v>
      </c>
      <c r="FA20" s="1097">
        <f t="shared" si="41"/>
        <v>953</v>
      </c>
      <c r="FB20" s="1252">
        <v>69</v>
      </c>
      <c r="FC20" s="1098">
        <v>10</v>
      </c>
      <c r="FD20" s="1098"/>
      <c r="FE20" s="1098"/>
      <c r="FF20" s="1098">
        <v>27</v>
      </c>
      <c r="FG20" s="1098">
        <v>1560</v>
      </c>
      <c r="FH20" s="1098"/>
      <c r="FI20" s="1098"/>
      <c r="FJ20" s="1098">
        <v>208</v>
      </c>
      <c r="FK20" s="1098"/>
      <c r="FL20" s="1098">
        <v>43</v>
      </c>
      <c r="FM20" s="1098">
        <v>92.5</v>
      </c>
      <c r="FN20" s="1097">
        <f t="shared" si="42"/>
        <v>2009.5</v>
      </c>
      <c r="FO20" s="1252">
        <v>9</v>
      </c>
      <c r="FP20" s="1098"/>
      <c r="FQ20" s="1098">
        <v>9</v>
      </c>
      <c r="FR20" s="1098">
        <v>37</v>
      </c>
      <c r="FS20" s="1098">
        <v>54</v>
      </c>
      <c r="FT20" s="1098">
        <v>7</v>
      </c>
      <c r="FU20" s="1098">
        <v>44</v>
      </c>
      <c r="FV20" s="1098">
        <v>27</v>
      </c>
      <c r="FW20" s="1098">
        <v>244</v>
      </c>
      <c r="FX20" s="1098"/>
      <c r="FY20" s="1098"/>
      <c r="FZ20" s="1098">
        <v>31</v>
      </c>
      <c r="GA20" s="1097">
        <f t="shared" si="43"/>
        <v>462</v>
      </c>
      <c r="GB20" s="1252"/>
      <c r="GC20" s="1098">
        <v>2</v>
      </c>
      <c r="GD20" s="1098">
        <v>3.9</v>
      </c>
      <c r="GE20" s="1098"/>
      <c r="GF20" s="1098"/>
      <c r="GG20" s="1098">
        <v>1</v>
      </c>
      <c r="GH20" s="1098">
        <v>4</v>
      </c>
      <c r="GI20" s="1098">
        <v>1</v>
      </c>
      <c r="GJ20" s="1098">
        <v>16</v>
      </c>
      <c r="GK20" s="1098">
        <v>156</v>
      </c>
      <c r="GL20" s="1098">
        <v>55</v>
      </c>
      <c r="GM20" s="1098">
        <v>18</v>
      </c>
      <c r="GN20" s="1097">
        <f t="shared" si="44"/>
        <v>256.89999999999998</v>
      </c>
      <c r="GO20" s="1252">
        <v>10.673</v>
      </c>
      <c r="GP20" s="1098"/>
      <c r="GQ20" s="1098">
        <v>267.37700000000001</v>
      </c>
      <c r="GR20" s="1098">
        <v>272</v>
      </c>
      <c r="GS20" s="1098">
        <v>318</v>
      </c>
      <c r="GT20" s="1098">
        <v>23</v>
      </c>
      <c r="GU20" s="1098"/>
      <c r="GV20" s="1098">
        <v>50</v>
      </c>
      <c r="GW20" s="1098">
        <v>37.543999999999997</v>
      </c>
      <c r="GX20" s="1098"/>
      <c r="GY20" s="1098"/>
      <c r="GZ20" s="1098"/>
      <c r="HA20" s="1097">
        <f t="shared" si="45"/>
        <v>978.59399999999994</v>
      </c>
      <c r="HB20" s="1252">
        <f>303+5</f>
        <v>308</v>
      </c>
      <c r="HC20" s="1098">
        <v>15</v>
      </c>
      <c r="HD20" s="1098">
        <v>12.6</v>
      </c>
      <c r="HE20" s="1098">
        <v>3.306</v>
      </c>
      <c r="HF20" s="1098">
        <v>2</v>
      </c>
      <c r="HG20" s="1098">
        <v>383</v>
      </c>
      <c r="HH20" s="1098">
        <v>322</v>
      </c>
      <c r="HI20" s="1098">
        <v>139</v>
      </c>
      <c r="HJ20" s="1098">
        <v>81.131</v>
      </c>
      <c r="HK20" s="1098">
        <v>75.494</v>
      </c>
      <c r="HL20" s="1098">
        <v>70.326999999999998</v>
      </c>
      <c r="HM20" s="1098">
        <v>96.974999999999994</v>
      </c>
      <c r="HN20" s="1097">
        <f t="shared" si="46"/>
        <v>1508.8329999999999</v>
      </c>
      <c r="HO20" s="1252"/>
      <c r="HP20" s="1098">
        <v>26.285999999999998</v>
      </c>
      <c r="HQ20" s="1098">
        <v>366.077</v>
      </c>
      <c r="HR20" s="1098"/>
      <c r="HS20" s="1098"/>
      <c r="HT20" s="1098">
        <v>143.47000000000003</v>
      </c>
      <c r="HU20" s="1098">
        <v>22.561999999999998</v>
      </c>
      <c r="HV20" s="1098">
        <v>19.309999999999999</v>
      </c>
      <c r="HW20" s="1098">
        <v>27.798999999999999</v>
      </c>
      <c r="HX20" s="1098">
        <v>50</v>
      </c>
      <c r="HY20" s="1098">
        <v>1</v>
      </c>
      <c r="HZ20" s="1098"/>
      <c r="IA20" s="1097">
        <f t="shared" si="47"/>
        <v>656.50400000000002</v>
      </c>
      <c r="IB20" s="1252"/>
      <c r="IC20" s="1098"/>
      <c r="ID20" s="1098"/>
      <c r="IE20" s="1098"/>
      <c r="IF20" s="1098"/>
      <c r="IG20" s="1098"/>
      <c r="IH20" s="1098">
        <v>5.14</v>
      </c>
      <c r="II20" s="1098"/>
      <c r="IJ20" s="1098">
        <v>6.4489999999999998</v>
      </c>
      <c r="IK20" s="1098">
        <v>2.681</v>
      </c>
      <c r="IL20" s="1098">
        <v>25.573</v>
      </c>
      <c r="IM20" s="1098"/>
      <c r="IN20" s="1097">
        <f t="shared" si="48"/>
        <v>39.843000000000004</v>
      </c>
      <c r="IO20" s="1252">
        <v>7.9210000000000003</v>
      </c>
      <c r="IP20" s="1098"/>
      <c r="IQ20" s="1098"/>
      <c r="IR20" s="1098"/>
      <c r="IS20" s="1098"/>
      <c r="IT20" s="1098">
        <v>5.4169999999999998</v>
      </c>
      <c r="IU20" s="1098">
        <v>22.448</v>
      </c>
      <c r="IV20" s="1098">
        <v>5.0720000000000001</v>
      </c>
      <c r="IW20" s="1098">
        <v>8.0220000000000002</v>
      </c>
      <c r="IX20" s="1098">
        <v>23.527999999999999</v>
      </c>
      <c r="IY20" s="1098">
        <v>10.129</v>
      </c>
      <c r="IZ20" s="1098">
        <v>2.464</v>
      </c>
      <c r="JA20" s="1097">
        <f t="shared" si="49"/>
        <v>85.001000000000005</v>
      </c>
      <c r="JB20" s="1252">
        <v>2.774</v>
      </c>
      <c r="JC20" s="1098">
        <v>2.0699999999999998</v>
      </c>
      <c r="JD20" s="1098"/>
      <c r="JE20" s="1098"/>
      <c r="JF20" s="1098"/>
      <c r="JG20" s="1098">
        <v>1.71</v>
      </c>
      <c r="JH20" s="1098">
        <v>3.3580000000000001</v>
      </c>
      <c r="JI20" s="1098">
        <v>7.8620000000000001</v>
      </c>
      <c r="JJ20" s="1098">
        <v>0.99</v>
      </c>
      <c r="JK20" s="1098">
        <v>9.141</v>
      </c>
      <c r="JL20" s="1098">
        <v>20.722999999999999</v>
      </c>
      <c r="JM20" s="1098">
        <v>10.234999999999999</v>
      </c>
      <c r="JN20" s="1097">
        <f t="shared" si="50"/>
        <v>58.863</v>
      </c>
      <c r="JO20" s="1252"/>
      <c r="JP20" s="1098">
        <v>11.7</v>
      </c>
      <c r="JQ20" s="1098"/>
      <c r="JR20" s="1098"/>
      <c r="JS20" s="1098"/>
      <c r="JT20" s="1098"/>
      <c r="JU20" s="1098">
        <v>9.5869999999999997</v>
      </c>
      <c r="JV20" s="1098">
        <v>1.9750000000000001</v>
      </c>
      <c r="JW20" s="1098"/>
      <c r="JX20" s="1098"/>
      <c r="JY20" s="1098"/>
      <c r="JZ20" s="1098"/>
      <c r="KA20" s="1097">
        <f t="shared" si="51"/>
        <v>23.262</v>
      </c>
      <c r="KB20" s="1252"/>
      <c r="KC20" s="1098">
        <v>5.75</v>
      </c>
      <c r="KD20" s="1098"/>
      <c r="KE20" s="1098"/>
      <c r="KF20" s="1098"/>
      <c r="KG20" s="1098">
        <v>1.2669999999999999</v>
      </c>
      <c r="KH20" s="1098">
        <v>152.33799999999999</v>
      </c>
      <c r="KI20" s="1098">
        <v>53.106000000000002</v>
      </c>
      <c r="KJ20" s="1098">
        <v>44.170999999999999</v>
      </c>
      <c r="KK20" s="1098">
        <v>14.829000000000001</v>
      </c>
      <c r="KL20" s="1098"/>
      <c r="KM20" s="1098">
        <v>69.444999999999993</v>
      </c>
      <c r="KN20" s="1097">
        <f t="shared" si="52"/>
        <v>340.90600000000001</v>
      </c>
      <c r="KO20" s="1252"/>
      <c r="KP20" s="1098"/>
      <c r="KQ20" s="1098"/>
      <c r="KR20" s="1098">
        <v>3.448</v>
      </c>
      <c r="KS20" s="1098">
        <v>3.1539999999999999</v>
      </c>
      <c r="KT20" s="1098">
        <v>0.57899999999999996</v>
      </c>
      <c r="KU20" s="1098">
        <v>5.5869999999999997</v>
      </c>
      <c r="KV20" s="1098">
        <v>56.71</v>
      </c>
      <c r="KW20" s="1098">
        <v>13.739000000000001</v>
      </c>
      <c r="KX20" s="1098">
        <v>2.5760000000000001</v>
      </c>
      <c r="KY20" s="1098">
        <v>7.1509999999999998</v>
      </c>
      <c r="KZ20" s="1098">
        <v>4.548</v>
      </c>
      <c r="LA20" s="1097">
        <f t="shared" si="53"/>
        <v>97.492000000000004</v>
      </c>
      <c r="LB20" s="1252">
        <v>3.0330000000099999</v>
      </c>
      <c r="LC20" s="1098"/>
      <c r="LD20" s="1098"/>
      <c r="LE20" s="1098"/>
      <c r="LF20" s="1098"/>
      <c r="LG20" s="1098">
        <v>1.9229999999999998</v>
      </c>
      <c r="LH20" s="1098">
        <v>7</v>
      </c>
      <c r="LI20" s="1098">
        <v>7</v>
      </c>
      <c r="LJ20" s="1098"/>
      <c r="LK20" s="1098"/>
      <c r="LL20" s="1098"/>
      <c r="LM20" s="1098"/>
      <c r="LN20" s="1097">
        <f t="shared" si="54"/>
        <v>18.95600000001</v>
      </c>
      <c r="LP20" s="1116">
        <f t="shared" si="55"/>
        <v>-87.656497972138951</v>
      </c>
      <c r="LQ20" s="1117">
        <f t="shared" si="56"/>
        <v>-72.716543366231036</v>
      </c>
      <c r="LR20" s="1079">
        <f t="shared" si="57"/>
        <v>69.478000000000009</v>
      </c>
      <c r="LS20" s="1118">
        <f t="shared" si="58"/>
        <v>18.95600000001</v>
      </c>
      <c r="LU20" s="629"/>
      <c r="LV20" s="1139">
        <f t="shared" si="59"/>
        <v>41478.824000000001</v>
      </c>
      <c r="LW20" s="1286" t="s">
        <v>58</v>
      </c>
      <c r="LX20" s="1147" t="str">
        <f t="shared" si="60"/>
        <v>OK</v>
      </c>
    </row>
    <row r="21" spans="1:336" ht="15" customHeight="1" x14ac:dyDescent="0.2">
      <c r="A21" s="1280" t="s">
        <v>82</v>
      </c>
      <c r="B21" s="1252">
        <v>618.71400000000006</v>
      </c>
      <c r="C21" s="1098">
        <v>1152.0840000000001</v>
      </c>
      <c r="D21" s="1098">
        <v>944.23</v>
      </c>
      <c r="E21" s="1098">
        <v>2219.4090000000001</v>
      </c>
      <c r="F21" s="1098">
        <v>951.822</v>
      </c>
      <c r="G21" s="1098">
        <v>654.49699999999996</v>
      </c>
      <c r="H21" s="1098">
        <v>625.04499999999996</v>
      </c>
      <c r="I21" s="1098">
        <v>511.77499999999998</v>
      </c>
      <c r="J21" s="1098">
        <v>879.33399999999995</v>
      </c>
      <c r="K21" s="1098">
        <v>1057.0740000000001</v>
      </c>
      <c r="L21" s="1098">
        <v>754.82299999999998</v>
      </c>
      <c r="M21" s="1098">
        <v>682.70799999999997</v>
      </c>
      <c r="N21" s="1097">
        <f t="shared" si="30"/>
        <v>11051.515000000001</v>
      </c>
      <c r="O21" s="1252">
        <v>591.59699999999998</v>
      </c>
      <c r="P21" s="1098">
        <v>1016.5839999999999</v>
      </c>
      <c r="Q21" s="1098">
        <v>828.51900000000001</v>
      </c>
      <c r="R21" s="1098">
        <v>892.63199999999995</v>
      </c>
      <c r="S21" s="1098">
        <v>1400.972</v>
      </c>
      <c r="T21" s="1098">
        <v>392.75299999999999</v>
      </c>
      <c r="U21" s="1098">
        <v>833.58100000000002</v>
      </c>
      <c r="V21" s="1098">
        <v>1029.903</v>
      </c>
      <c r="W21" s="1098">
        <v>1006.591</v>
      </c>
      <c r="X21" s="1098">
        <v>1158</v>
      </c>
      <c r="Y21" s="1098">
        <v>649</v>
      </c>
      <c r="Z21" s="1098">
        <v>1894.789</v>
      </c>
      <c r="AA21" s="1097">
        <f t="shared" si="31"/>
        <v>11694.921000000002</v>
      </c>
      <c r="AB21" s="1252">
        <v>1216.1420000000001</v>
      </c>
      <c r="AC21" s="1098">
        <v>2141.79</v>
      </c>
      <c r="AD21" s="1098">
        <v>2719.4720000000002</v>
      </c>
      <c r="AE21" s="1098">
        <v>1398.068</v>
      </c>
      <c r="AF21" s="1098">
        <v>1428.268</v>
      </c>
      <c r="AG21" s="1098">
        <v>1794.271</v>
      </c>
      <c r="AH21" s="1098">
        <v>807.25699999999995</v>
      </c>
      <c r="AI21" s="1098">
        <v>1234.019</v>
      </c>
      <c r="AJ21" s="1098">
        <v>872.69399999999996</v>
      </c>
      <c r="AK21" s="1098">
        <v>561.29300000000001</v>
      </c>
      <c r="AL21" s="1098">
        <v>936.84400000000005</v>
      </c>
      <c r="AM21" s="1098">
        <v>977.11599999999999</v>
      </c>
      <c r="AN21" s="1097">
        <f t="shared" si="32"/>
        <v>16087.234000000002</v>
      </c>
      <c r="AO21" s="1252">
        <v>566.29600000000005</v>
      </c>
      <c r="AP21" s="1098">
        <v>436.40100000000001</v>
      </c>
      <c r="AQ21" s="1098">
        <v>1000.564</v>
      </c>
      <c r="AR21" s="1098">
        <v>815.74300000000005</v>
      </c>
      <c r="AS21" s="1098">
        <v>228.18299999999999</v>
      </c>
      <c r="AT21" s="1098">
        <v>1272</v>
      </c>
      <c r="AU21" s="1098">
        <v>124</v>
      </c>
      <c r="AV21" s="1098">
        <v>1566</v>
      </c>
      <c r="AW21" s="1098">
        <v>632</v>
      </c>
      <c r="AX21" s="1098">
        <v>961</v>
      </c>
      <c r="AY21" s="1098">
        <v>1408</v>
      </c>
      <c r="AZ21" s="1098">
        <v>1511</v>
      </c>
      <c r="BA21" s="1097">
        <f t="shared" si="33"/>
        <v>10521.187</v>
      </c>
      <c r="BB21" s="1252">
        <v>1883</v>
      </c>
      <c r="BC21" s="1098">
        <v>988</v>
      </c>
      <c r="BD21" s="1098">
        <v>3989</v>
      </c>
      <c r="BE21" s="1098">
        <v>1211</v>
      </c>
      <c r="BF21" s="1098">
        <v>1143</v>
      </c>
      <c r="BG21" s="1098">
        <v>1212</v>
      </c>
      <c r="BH21" s="1098">
        <v>1691</v>
      </c>
      <c r="BI21" s="1098">
        <v>1730</v>
      </c>
      <c r="BJ21" s="1098">
        <v>2293</v>
      </c>
      <c r="BK21" s="1098">
        <v>522.97500000000002</v>
      </c>
      <c r="BL21" s="1098">
        <v>1117.9770000000001</v>
      </c>
      <c r="BM21" s="1098">
        <v>2977</v>
      </c>
      <c r="BN21" s="1097">
        <f t="shared" si="34"/>
        <v>20757.951999999997</v>
      </c>
      <c r="BO21" s="1252">
        <v>1336.876</v>
      </c>
      <c r="BP21" s="1098">
        <v>646.83299999999997</v>
      </c>
      <c r="BQ21" s="1098">
        <v>588.96699999999998</v>
      </c>
      <c r="BR21" s="1098">
        <v>413.89600000000002</v>
      </c>
      <c r="BS21" s="1098">
        <v>367.24299999999999</v>
      </c>
      <c r="BT21" s="1098">
        <v>420.262</v>
      </c>
      <c r="BU21" s="1098">
        <v>594.17899999999997</v>
      </c>
      <c r="BV21" s="1098">
        <v>438.012</v>
      </c>
      <c r="BW21" s="1098">
        <v>430.33100000000002</v>
      </c>
      <c r="BX21" s="1098">
        <v>384.00900000000001</v>
      </c>
      <c r="BY21" s="1098">
        <v>351</v>
      </c>
      <c r="BZ21" s="1098">
        <v>191</v>
      </c>
      <c r="CA21" s="1097">
        <f t="shared" si="35"/>
        <v>6162.6080000000002</v>
      </c>
      <c r="CB21" s="1252">
        <v>179</v>
      </c>
      <c r="CC21" s="1098">
        <v>438</v>
      </c>
      <c r="CD21" s="1098">
        <v>245</v>
      </c>
      <c r="CE21" s="1098">
        <v>107</v>
      </c>
      <c r="CF21" s="1098">
        <v>169</v>
      </c>
      <c r="CG21" s="1098">
        <v>467</v>
      </c>
      <c r="CH21" s="1098">
        <v>43</v>
      </c>
      <c r="CI21" s="1098"/>
      <c r="CJ21" s="1098">
        <v>11</v>
      </c>
      <c r="CK21" s="1098"/>
      <c r="CL21" s="1098">
        <v>17</v>
      </c>
      <c r="CM21" s="1098">
        <v>5</v>
      </c>
      <c r="CN21" s="1097">
        <f t="shared" si="36"/>
        <v>1681</v>
      </c>
      <c r="CO21" s="1252"/>
      <c r="CP21" s="1098">
        <v>97</v>
      </c>
      <c r="CQ21" s="1098"/>
      <c r="CR21" s="1098"/>
      <c r="CS21" s="1098">
        <v>26</v>
      </c>
      <c r="CT21" s="1098">
        <v>24</v>
      </c>
      <c r="CU21" s="1098">
        <v>50</v>
      </c>
      <c r="CV21" s="1098"/>
      <c r="CW21" s="1098">
        <v>39</v>
      </c>
      <c r="CX21" s="1098">
        <v>42</v>
      </c>
      <c r="CY21" s="1098"/>
      <c r="CZ21" s="1098">
        <v>141</v>
      </c>
      <c r="DA21" s="1097">
        <f t="shared" si="37"/>
        <v>419</v>
      </c>
      <c r="DB21" s="1252">
        <v>53</v>
      </c>
      <c r="DC21" s="1098">
        <v>40</v>
      </c>
      <c r="DD21" s="1098">
        <v>57</v>
      </c>
      <c r="DE21" s="1098">
        <v>107</v>
      </c>
      <c r="DF21" s="1098">
        <v>80</v>
      </c>
      <c r="DG21" s="1098">
        <v>159</v>
      </c>
      <c r="DH21" s="1098"/>
      <c r="DI21" s="1098"/>
      <c r="DJ21" s="1098"/>
      <c r="DK21" s="1098">
        <v>6</v>
      </c>
      <c r="DL21" s="1098">
        <v>80</v>
      </c>
      <c r="DM21" s="1098">
        <v>60</v>
      </c>
      <c r="DN21" s="1097">
        <f t="shared" si="38"/>
        <v>642</v>
      </c>
      <c r="DO21" s="1252">
        <v>47</v>
      </c>
      <c r="DP21" s="1098"/>
      <c r="DQ21" s="1098"/>
      <c r="DR21" s="1098"/>
      <c r="DS21" s="1098"/>
      <c r="DT21" s="1098"/>
      <c r="DU21" s="1098"/>
      <c r="DV21" s="1098"/>
      <c r="DW21" s="1098"/>
      <c r="DX21" s="1098"/>
      <c r="DY21" s="1098"/>
      <c r="DZ21" s="1098"/>
      <c r="EA21" s="1097">
        <f t="shared" si="39"/>
        <v>47</v>
      </c>
      <c r="EB21" s="1252"/>
      <c r="EC21" s="1098"/>
      <c r="ED21" s="1098"/>
      <c r="EE21" s="1098"/>
      <c r="EF21" s="1098"/>
      <c r="EG21" s="1098"/>
      <c r="EH21" s="1098"/>
      <c r="EI21" s="1098"/>
      <c r="EJ21" s="1098"/>
      <c r="EK21" s="1098"/>
      <c r="EL21" s="1098"/>
      <c r="EM21" s="1098"/>
      <c r="EN21" s="1097">
        <f t="shared" si="40"/>
        <v>0</v>
      </c>
      <c r="EO21" s="1252"/>
      <c r="EP21" s="1098"/>
      <c r="EQ21" s="1098"/>
      <c r="ER21" s="1098"/>
      <c r="ES21" s="1098"/>
      <c r="ET21" s="1098"/>
      <c r="EU21" s="1098"/>
      <c r="EV21" s="1098"/>
      <c r="EW21" s="1098"/>
      <c r="EX21" s="1098"/>
      <c r="EY21" s="1098"/>
      <c r="EZ21" s="1098"/>
      <c r="FA21" s="1097">
        <f t="shared" si="41"/>
        <v>0</v>
      </c>
      <c r="FB21" s="1252"/>
      <c r="FC21" s="1098"/>
      <c r="FD21" s="1098"/>
      <c r="FE21" s="1098"/>
      <c r="FF21" s="1098"/>
      <c r="FG21" s="1098"/>
      <c r="FH21" s="1098"/>
      <c r="FI21" s="1098"/>
      <c r="FJ21" s="1098"/>
      <c r="FK21" s="1098"/>
      <c r="FL21" s="1098"/>
      <c r="FM21" s="1098"/>
      <c r="FN21" s="1097">
        <f t="shared" si="42"/>
        <v>0</v>
      </c>
      <c r="FO21" s="1252"/>
      <c r="FP21" s="1098"/>
      <c r="FQ21" s="1098"/>
      <c r="FR21" s="1098"/>
      <c r="FS21" s="1098">
        <v>5</v>
      </c>
      <c r="FT21" s="1098"/>
      <c r="FU21" s="1098"/>
      <c r="FV21" s="1098"/>
      <c r="FW21" s="1098"/>
      <c r="FX21" s="1098"/>
      <c r="FY21" s="1098">
        <v>4</v>
      </c>
      <c r="FZ21" s="1098">
        <v>34</v>
      </c>
      <c r="GA21" s="1097">
        <f t="shared" si="43"/>
        <v>43</v>
      </c>
      <c r="GB21" s="1252"/>
      <c r="GC21" s="1098"/>
      <c r="GD21" s="1098">
        <v>5.4669999999999996</v>
      </c>
      <c r="GE21" s="1098">
        <v>22.761000000000003</v>
      </c>
      <c r="GF21" s="1098">
        <v>45.235999999999997</v>
      </c>
      <c r="GG21" s="1098"/>
      <c r="GH21" s="1098"/>
      <c r="GI21" s="1098"/>
      <c r="GJ21" s="1098"/>
      <c r="GK21" s="1098"/>
      <c r="GL21" s="1098"/>
      <c r="GM21" s="1098"/>
      <c r="GN21" s="1097">
        <f t="shared" si="44"/>
        <v>73.463999999999999</v>
      </c>
      <c r="GO21" s="1252"/>
      <c r="GP21" s="1098"/>
      <c r="GQ21" s="1098"/>
      <c r="GR21" s="1098"/>
      <c r="GS21" s="1098"/>
      <c r="GT21" s="1098"/>
      <c r="GU21" s="1098"/>
      <c r="GV21" s="1098"/>
      <c r="GW21" s="1098"/>
      <c r="GX21" s="1098"/>
      <c r="GY21" s="1098"/>
      <c r="GZ21" s="1098"/>
      <c r="HA21" s="1097">
        <f t="shared" si="45"/>
        <v>0</v>
      </c>
      <c r="HB21" s="1252"/>
      <c r="HC21" s="1098"/>
      <c r="HD21" s="1098"/>
      <c r="HE21" s="1098"/>
      <c r="HF21" s="1098"/>
      <c r="HG21" s="1098"/>
      <c r="HH21" s="1098"/>
      <c r="HI21" s="1098"/>
      <c r="HJ21" s="1098"/>
      <c r="HK21" s="1098"/>
      <c r="HL21" s="1098"/>
      <c r="HM21" s="1098"/>
      <c r="HN21" s="1097">
        <f t="shared" si="46"/>
        <v>0</v>
      </c>
      <c r="HO21" s="1252"/>
      <c r="HP21" s="1098"/>
      <c r="HQ21" s="1098"/>
      <c r="HR21" s="1098"/>
      <c r="HS21" s="1098"/>
      <c r="HT21" s="1098"/>
      <c r="HU21" s="1098"/>
      <c r="HV21" s="1098"/>
      <c r="HW21" s="1098"/>
      <c r="HX21" s="1098"/>
      <c r="HY21" s="1098"/>
      <c r="HZ21" s="1098"/>
      <c r="IA21" s="1097">
        <f t="shared" si="47"/>
        <v>0</v>
      </c>
      <c r="IB21" s="1252"/>
      <c r="IC21" s="1098"/>
      <c r="ID21" s="1098"/>
      <c r="IE21" s="1098"/>
      <c r="IF21" s="1098"/>
      <c r="IG21" s="1098"/>
      <c r="IH21" s="1098"/>
      <c r="II21" s="1098"/>
      <c r="IJ21" s="1098"/>
      <c r="IK21" s="1098"/>
      <c r="IL21" s="1098"/>
      <c r="IM21" s="1098"/>
      <c r="IN21" s="1097">
        <f t="shared" si="48"/>
        <v>0</v>
      </c>
      <c r="IO21" s="1252"/>
      <c r="IP21" s="1098"/>
      <c r="IQ21" s="1098"/>
      <c r="IR21" s="1098"/>
      <c r="IS21" s="1098"/>
      <c r="IT21" s="1098"/>
      <c r="IU21" s="1098"/>
      <c r="IV21" s="1098"/>
      <c r="IW21" s="1098"/>
      <c r="IX21" s="1098"/>
      <c r="IY21" s="1098"/>
      <c r="IZ21" s="1098"/>
      <c r="JA21" s="1097">
        <f t="shared" si="49"/>
        <v>0</v>
      </c>
      <c r="JB21" s="1252"/>
      <c r="JC21" s="1098"/>
      <c r="JD21" s="1098"/>
      <c r="JE21" s="1098"/>
      <c r="JF21" s="1098"/>
      <c r="JG21" s="1098"/>
      <c r="JH21" s="1098"/>
      <c r="JI21" s="1098"/>
      <c r="JJ21" s="1098"/>
      <c r="JK21" s="1098"/>
      <c r="JL21" s="1098"/>
      <c r="JM21" s="1098"/>
      <c r="JN21" s="1097">
        <f t="shared" si="50"/>
        <v>0</v>
      </c>
      <c r="JO21" s="1252"/>
      <c r="JP21" s="1098"/>
      <c r="JQ21" s="1098"/>
      <c r="JR21" s="1098"/>
      <c r="JS21" s="1098"/>
      <c r="JT21" s="1098"/>
      <c r="JU21" s="1098"/>
      <c r="JV21" s="1098"/>
      <c r="JW21" s="1098"/>
      <c r="JX21" s="1098"/>
      <c r="JY21" s="1098"/>
      <c r="JZ21" s="1098"/>
      <c r="KA21" s="1097">
        <f t="shared" si="51"/>
        <v>0</v>
      </c>
      <c r="KB21" s="1252"/>
      <c r="KC21" s="1098"/>
      <c r="KD21" s="1098"/>
      <c r="KE21" s="1098"/>
      <c r="KF21" s="1098"/>
      <c r="KG21" s="1098"/>
      <c r="KH21" s="1098"/>
      <c r="KI21" s="1098"/>
      <c r="KJ21" s="1098"/>
      <c r="KK21" s="1098"/>
      <c r="KL21" s="1098"/>
      <c r="KM21" s="1098"/>
      <c r="KN21" s="1097">
        <f t="shared" si="52"/>
        <v>0</v>
      </c>
      <c r="KO21" s="1252"/>
      <c r="KP21" s="1098"/>
      <c r="KQ21" s="1098"/>
      <c r="KR21" s="1098"/>
      <c r="KS21" s="1098"/>
      <c r="KT21" s="1098"/>
      <c r="KU21" s="1098"/>
      <c r="KV21" s="1098"/>
      <c r="KW21" s="1098"/>
      <c r="KX21" s="1098"/>
      <c r="KY21" s="1098"/>
      <c r="KZ21" s="1098"/>
      <c r="LA21" s="1097">
        <f t="shared" si="53"/>
        <v>0</v>
      </c>
      <c r="LB21" s="1252">
        <v>3.0330000000099999</v>
      </c>
      <c r="LC21" s="1098"/>
      <c r="LD21" s="1098"/>
      <c r="LE21" s="1098"/>
      <c r="LF21" s="1098"/>
      <c r="LG21" s="1098"/>
      <c r="LH21" s="1098"/>
      <c r="LI21" s="1098"/>
      <c r="LJ21" s="1098"/>
      <c r="LK21" s="1098"/>
      <c r="LL21" s="1098"/>
      <c r="LM21" s="1098"/>
      <c r="LN21" s="1097">
        <f t="shared" si="54"/>
        <v>3.0330000000099999</v>
      </c>
      <c r="LP21" s="1116" t="str">
        <f t="shared" si="55"/>
        <v/>
      </c>
      <c r="LQ21" s="1117" t="str">
        <f t="shared" si="56"/>
        <v/>
      </c>
      <c r="LR21" s="1079">
        <f t="shared" si="57"/>
        <v>0</v>
      </c>
      <c r="LS21" s="1118">
        <f t="shared" si="58"/>
        <v>3.0330000000099999</v>
      </c>
      <c r="LU21" s="629"/>
      <c r="LV21" s="1139">
        <f t="shared" si="59"/>
        <v>158367.82800000001</v>
      </c>
      <c r="LW21" s="1286" t="s">
        <v>82</v>
      </c>
      <c r="LX21" s="1147" t="str">
        <f t="shared" si="60"/>
        <v>OK</v>
      </c>
    </row>
    <row r="22" spans="1:336" ht="15" customHeight="1" x14ac:dyDescent="0.2">
      <c r="A22" s="1280" t="s">
        <v>59</v>
      </c>
      <c r="B22" s="1252"/>
      <c r="C22" s="1098">
        <v>54.145000000000003</v>
      </c>
      <c r="D22" s="1098"/>
      <c r="E22" s="1098"/>
      <c r="F22" s="1098">
        <v>43.177999999999997</v>
      </c>
      <c r="G22" s="1098"/>
      <c r="H22" s="1098"/>
      <c r="I22" s="1098">
        <v>27.271999999999998</v>
      </c>
      <c r="J22" s="1098"/>
      <c r="K22" s="1098"/>
      <c r="L22" s="1098"/>
      <c r="M22" s="1098"/>
      <c r="N22" s="1097">
        <f t="shared" si="30"/>
        <v>124.595</v>
      </c>
      <c r="O22" s="1252"/>
      <c r="P22" s="1098"/>
      <c r="Q22" s="1098"/>
      <c r="R22" s="1098"/>
      <c r="S22" s="1098"/>
      <c r="T22" s="1098"/>
      <c r="U22" s="1098"/>
      <c r="V22" s="1098"/>
      <c r="W22" s="1098"/>
      <c r="X22" s="1098"/>
      <c r="Y22" s="1098"/>
      <c r="Z22" s="1098"/>
      <c r="AA22" s="1097">
        <f t="shared" si="31"/>
        <v>0</v>
      </c>
      <c r="AB22" s="1252"/>
      <c r="AC22" s="1098"/>
      <c r="AD22" s="1098"/>
      <c r="AE22" s="1098"/>
      <c r="AF22" s="1098"/>
      <c r="AG22" s="1098"/>
      <c r="AH22" s="1098">
        <v>12.02</v>
      </c>
      <c r="AI22" s="1098"/>
      <c r="AJ22" s="1098"/>
      <c r="AK22" s="1098">
        <v>40.994999999999997</v>
      </c>
      <c r="AL22" s="1098">
        <v>7.0140000000000002</v>
      </c>
      <c r="AM22" s="1098">
        <v>5.1769999999999996</v>
      </c>
      <c r="AN22" s="1097">
        <f t="shared" si="32"/>
        <v>65.206000000000003</v>
      </c>
      <c r="AO22" s="1252"/>
      <c r="AP22" s="1098"/>
      <c r="AQ22" s="1098">
        <v>5.1550000000000002</v>
      </c>
      <c r="AR22" s="1098"/>
      <c r="AS22" s="1098"/>
      <c r="AT22" s="1098">
        <v>15</v>
      </c>
      <c r="AU22" s="1098">
        <v>20</v>
      </c>
      <c r="AV22" s="1098"/>
      <c r="AW22" s="1098"/>
      <c r="AX22" s="1098">
        <v>11</v>
      </c>
      <c r="AY22" s="1098"/>
      <c r="AZ22" s="1098"/>
      <c r="BA22" s="1097">
        <f t="shared" si="33"/>
        <v>51.155000000000001</v>
      </c>
      <c r="BB22" s="1252"/>
      <c r="BC22" s="1098"/>
      <c r="BD22" s="1098">
        <v>25</v>
      </c>
      <c r="BE22" s="1098"/>
      <c r="BF22" s="1098"/>
      <c r="BG22" s="1098"/>
      <c r="BH22" s="1098">
        <v>16</v>
      </c>
      <c r="BI22" s="1098"/>
      <c r="BJ22" s="1098"/>
      <c r="BK22" s="1098">
        <v>52.988</v>
      </c>
      <c r="BL22" s="1098">
        <v>18.094000000000001</v>
      </c>
      <c r="BM22" s="1098">
        <v>9</v>
      </c>
      <c r="BN22" s="1097">
        <f t="shared" si="34"/>
        <v>121.08199999999999</v>
      </c>
      <c r="BO22" s="1252"/>
      <c r="BP22" s="1098">
        <v>1.9970000000000001</v>
      </c>
      <c r="BQ22" s="1098"/>
      <c r="BR22" s="1098">
        <v>13.29</v>
      </c>
      <c r="BS22" s="1098">
        <v>34.573999999999998</v>
      </c>
      <c r="BT22" s="1098">
        <v>32.095999999999997</v>
      </c>
      <c r="BU22" s="1098"/>
      <c r="BV22" s="1098"/>
      <c r="BW22" s="1098"/>
      <c r="BX22" s="1098"/>
      <c r="BY22" s="1098"/>
      <c r="BZ22" s="1098"/>
      <c r="CA22" s="1097">
        <f t="shared" si="35"/>
        <v>81.956999999999994</v>
      </c>
      <c r="CB22" s="1252"/>
      <c r="CC22" s="1098">
        <v>6</v>
      </c>
      <c r="CD22" s="1098">
        <v>29</v>
      </c>
      <c r="CE22" s="1098">
        <v>25</v>
      </c>
      <c r="CF22" s="1098">
        <v>29</v>
      </c>
      <c r="CG22" s="1098">
        <v>5</v>
      </c>
      <c r="CH22" s="1098">
        <v>14</v>
      </c>
      <c r="CI22" s="1098">
        <v>4</v>
      </c>
      <c r="CJ22" s="1098"/>
      <c r="CK22" s="1098"/>
      <c r="CL22" s="1098"/>
      <c r="CM22" s="1098"/>
      <c r="CN22" s="1097">
        <f t="shared" si="36"/>
        <v>112</v>
      </c>
      <c r="CO22" s="1252"/>
      <c r="CP22" s="1098"/>
      <c r="CQ22" s="1098"/>
      <c r="CR22" s="1098">
        <v>4</v>
      </c>
      <c r="CS22" s="1098">
        <v>6</v>
      </c>
      <c r="CT22" s="1098"/>
      <c r="CU22" s="1098"/>
      <c r="CV22" s="1098"/>
      <c r="CW22" s="1098"/>
      <c r="CX22" s="1098"/>
      <c r="CY22" s="1098"/>
      <c r="CZ22" s="1098"/>
      <c r="DA22" s="1097">
        <f t="shared" si="37"/>
        <v>10</v>
      </c>
      <c r="DB22" s="1252"/>
      <c r="DC22" s="1098"/>
      <c r="DD22" s="1098"/>
      <c r="DE22" s="1098"/>
      <c r="DF22" s="1098"/>
      <c r="DG22" s="1098"/>
      <c r="DH22" s="1098"/>
      <c r="DI22" s="1098"/>
      <c r="DJ22" s="1098">
        <v>6</v>
      </c>
      <c r="DK22" s="1098">
        <v>22</v>
      </c>
      <c r="DL22" s="1098">
        <v>19</v>
      </c>
      <c r="DM22" s="1098">
        <v>14</v>
      </c>
      <c r="DN22" s="1097">
        <f t="shared" si="38"/>
        <v>61</v>
      </c>
      <c r="DO22" s="1252">
        <v>25</v>
      </c>
      <c r="DP22" s="1098">
        <v>4</v>
      </c>
      <c r="DQ22" s="1098"/>
      <c r="DR22" s="1098">
        <v>15</v>
      </c>
      <c r="DS22" s="1098">
        <v>36</v>
      </c>
      <c r="DT22" s="1098">
        <v>16</v>
      </c>
      <c r="DU22" s="1098">
        <v>22</v>
      </c>
      <c r="DV22" s="1098">
        <v>30</v>
      </c>
      <c r="DW22" s="1098">
        <v>5</v>
      </c>
      <c r="DX22" s="1098">
        <v>50</v>
      </c>
      <c r="DY22" s="1098">
        <v>2</v>
      </c>
      <c r="DZ22" s="1098">
        <v>9</v>
      </c>
      <c r="EA22" s="1097">
        <f t="shared" si="39"/>
        <v>214</v>
      </c>
      <c r="EB22" s="1252">
        <v>22</v>
      </c>
      <c r="EC22" s="1098">
        <v>26</v>
      </c>
      <c r="ED22" s="1098">
        <v>4</v>
      </c>
      <c r="EE22" s="1098">
        <v>19</v>
      </c>
      <c r="EF22" s="1098">
        <v>21</v>
      </c>
      <c r="EG22" s="1098">
        <v>6</v>
      </c>
      <c r="EH22" s="1098">
        <v>12</v>
      </c>
      <c r="EI22" s="1098">
        <v>7</v>
      </c>
      <c r="EJ22" s="1098">
        <v>5</v>
      </c>
      <c r="EK22" s="1098">
        <v>17</v>
      </c>
      <c r="EL22" s="1098">
        <v>12</v>
      </c>
      <c r="EM22" s="1098"/>
      <c r="EN22" s="1097">
        <f t="shared" si="40"/>
        <v>151</v>
      </c>
      <c r="EO22" s="1252"/>
      <c r="EP22" s="1098"/>
      <c r="EQ22" s="1098"/>
      <c r="ER22" s="1098"/>
      <c r="ES22" s="1098"/>
      <c r="ET22" s="1098"/>
      <c r="EU22" s="1098"/>
      <c r="EV22" s="1098"/>
      <c r="EW22" s="1098"/>
      <c r="EX22" s="1098"/>
      <c r="EY22" s="1098"/>
      <c r="EZ22" s="1098"/>
      <c r="FA22" s="1097">
        <f t="shared" si="41"/>
        <v>0</v>
      </c>
      <c r="FB22" s="1252"/>
      <c r="FC22" s="1098"/>
      <c r="FD22" s="1098"/>
      <c r="FE22" s="1098"/>
      <c r="FF22" s="1098"/>
      <c r="FG22" s="1098"/>
      <c r="FH22" s="1098"/>
      <c r="FI22" s="1098"/>
      <c r="FJ22" s="1098"/>
      <c r="FK22" s="1098"/>
      <c r="FL22" s="1098">
        <v>6</v>
      </c>
      <c r="FM22" s="1098"/>
      <c r="FN22" s="1097">
        <f t="shared" si="42"/>
        <v>6</v>
      </c>
      <c r="FO22" s="1252"/>
      <c r="FP22" s="1098"/>
      <c r="FQ22" s="1098"/>
      <c r="FR22" s="1098"/>
      <c r="FS22" s="1098">
        <v>22</v>
      </c>
      <c r="FT22" s="1098"/>
      <c r="FU22" s="1098"/>
      <c r="FV22" s="1098"/>
      <c r="FW22" s="1098"/>
      <c r="FX22" s="1098"/>
      <c r="FY22" s="1098"/>
      <c r="FZ22" s="1098"/>
      <c r="GA22" s="1097">
        <f t="shared" si="43"/>
        <v>22</v>
      </c>
      <c r="GB22" s="1252"/>
      <c r="GC22" s="1098"/>
      <c r="GD22" s="1098"/>
      <c r="GE22" s="1098"/>
      <c r="GF22" s="1098"/>
      <c r="GG22" s="1098"/>
      <c r="GH22" s="1098"/>
      <c r="GI22" s="1098"/>
      <c r="GJ22" s="1098"/>
      <c r="GK22" s="1098"/>
      <c r="GL22" s="1098"/>
      <c r="GM22" s="1098"/>
      <c r="GN22" s="1097">
        <f t="shared" si="44"/>
        <v>0</v>
      </c>
      <c r="GO22" s="1252"/>
      <c r="GP22" s="1098"/>
      <c r="GQ22" s="1098"/>
      <c r="GR22" s="1098"/>
      <c r="GS22" s="1098"/>
      <c r="GT22" s="1098"/>
      <c r="GU22" s="1098"/>
      <c r="GV22" s="1098"/>
      <c r="GW22" s="1098"/>
      <c r="GX22" s="1098"/>
      <c r="GY22" s="1098"/>
      <c r="GZ22" s="1098"/>
      <c r="HA22" s="1097">
        <f t="shared" si="45"/>
        <v>0</v>
      </c>
      <c r="HB22" s="1252"/>
      <c r="HC22" s="1098"/>
      <c r="HD22" s="1098"/>
      <c r="HE22" s="1098"/>
      <c r="HF22" s="1098"/>
      <c r="HG22" s="1098"/>
      <c r="HH22" s="1098"/>
      <c r="HI22" s="1098"/>
      <c r="HJ22" s="1098"/>
      <c r="HK22" s="1098"/>
      <c r="HL22" s="1098"/>
      <c r="HM22" s="1098"/>
      <c r="HN22" s="1097">
        <f t="shared" si="46"/>
        <v>0</v>
      </c>
      <c r="HO22" s="1252"/>
      <c r="HP22" s="1098"/>
      <c r="HQ22" s="1098"/>
      <c r="HR22" s="1098"/>
      <c r="HS22" s="1098"/>
      <c r="HT22" s="1098"/>
      <c r="HU22" s="1098"/>
      <c r="HV22" s="1098"/>
      <c r="HW22" s="1098"/>
      <c r="HX22" s="1098"/>
      <c r="HY22" s="1098"/>
      <c r="HZ22" s="1098"/>
      <c r="IA22" s="1097">
        <f t="shared" si="47"/>
        <v>0</v>
      </c>
      <c r="IB22" s="1252"/>
      <c r="IC22" s="1098"/>
      <c r="ID22" s="1098"/>
      <c r="IE22" s="1098"/>
      <c r="IF22" s="1098"/>
      <c r="IG22" s="1098"/>
      <c r="IH22" s="1098"/>
      <c r="II22" s="1098"/>
      <c r="IJ22" s="1098"/>
      <c r="IK22" s="1098"/>
      <c r="IL22" s="1098"/>
      <c r="IM22" s="1098"/>
      <c r="IN22" s="1097">
        <f t="shared" si="48"/>
        <v>0</v>
      </c>
      <c r="IO22" s="1252"/>
      <c r="IP22" s="1098"/>
      <c r="IQ22" s="1098"/>
      <c r="IR22" s="1098"/>
      <c r="IS22" s="1098"/>
      <c r="IT22" s="1098"/>
      <c r="IU22" s="1098"/>
      <c r="IV22" s="1098"/>
      <c r="IW22" s="1098"/>
      <c r="IX22" s="1098"/>
      <c r="IY22" s="1098"/>
      <c r="IZ22" s="1098"/>
      <c r="JA22" s="1097">
        <f t="shared" si="49"/>
        <v>0</v>
      </c>
      <c r="JB22" s="1252"/>
      <c r="JC22" s="1098"/>
      <c r="JD22" s="1098"/>
      <c r="JE22" s="1098"/>
      <c r="JF22" s="1098"/>
      <c r="JG22" s="1098"/>
      <c r="JH22" s="1098"/>
      <c r="JI22" s="1098"/>
      <c r="JJ22" s="1098"/>
      <c r="JK22" s="1098"/>
      <c r="JL22" s="1098"/>
      <c r="JM22" s="1098"/>
      <c r="JN22" s="1097">
        <f t="shared" si="50"/>
        <v>0</v>
      </c>
      <c r="JO22" s="1252"/>
      <c r="JP22" s="1098"/>
      <c r="JQ22" s="1098"/>
      <c r="JR22" s="1098"/>
      <c r="JS22" s="1098"/>
      <c r="JT22" s="1098"/>
      <c r="JU22" s="1098"/>
      <c r="JV22" s="1098"/>
      <c r="JW22" s="1098"/>
      <c r="JX22" s="1098"/>
      <c r="JY22" s="1098"/>
      <c r="JZ22" s="1098"/>
      <c r="KA22" s="1097">
        <f t="shared" si="51"/>
        <v>0</v>
      </c>
      <c r="KB22" s="1252"/>
      <c r="KC22" s="1098"/>
      <c r="KD22" s="1098"/>
      <c r="KE22" s="1098"/>
      <c r="KF22" s="1098"/>
      <c r="KG22" s="1098"/>
      <c r="KH22" s="1098"/>
      <c r="KI22" s="1098"/>
      <c r="KJ22" s="1098"/>
      <c r="KK22" s="1098"/>
      <c r="KL22" s="1098"/>
      <c r="KM22" s="1098"/>
      <c r="KN22" s="1097">
        <f t="shared" si="52"/>
        <v>0</v>
      </c>
      <c r="KO22" s="1252"/>
      <c r="KP22" s="1098"/>
      <c r="KQ22" s="1098"/>
      <c r="KR22" s="1098"/>
      <c r="KS22" s="1098"/>
      <c r="KT22" s="1098"/>
      <c r="KU22" s="1098"/>
      <c r="KV22" s="1098"/>
      <c r="KW22" s="1098"/>
      <c r="KX22" s="1098"/>
      <c r="KY22" s="1098"/>
      <c r="KZ22" s="1098"/>
      <c r="LA22" s="1097">
        <f t="shared" si="53"/>
        <v>0</v>
      </c>
      <c r="LB22" s="1252">
        <v>9.9999999999999994E-12</v>
      </c>
      <c r="LC22" s="1098"/>
      <c r="LD22" s="1098"/>
      <c r="LE22" s="1098"/>
      <c r="LF22" s="1098"/>
      <c r="LG22" s="1098"/>
      <c r="LH22" s="1098"/>
      <c r="LI22" s="1098"/>
      <c r="LJ22" s="1098"/>
      <c r="LK22" s="1098"/>
      <c r="LL22" s="1098"/>
      <c r="LM22" s="1098"/>
      <c r="LN22" s="1097">
        <f t="shared" si="54"/>
        <v>9.9999999999999994E-12</v>
      </c>
      <c r="LP22" s="1116" t="str">
        <f t="shared" si="55"/>
        <v/>
      </c>
      <c r="LQ22" s="1117" t="str">
        <f t="shared" si="56"/>
        <v/>
      </c>
      <c r="LR22" s="1079">
        <f t="shared" si="57"/>
        <v>0</v>
      </c>
      <c r="LS22" s="1118">
        <f t="shared" si="58"/>
        <v>9.9999999999999994E-12</v>
      </c>
      <c r="LU22" s="629"/>
      <c r="LV22" s="1139">
        <f t="shared" si="59"/>
        <v>2039.99000000002</v>
      </c>
      <c r="LW22" s="1286" t="s">
        <v>59</v>
      </c>
      <c r="LX22" s="1147" t="str">
        <f t="shared" si="60"/>
        <v>OK</v>
      </c>
    </row>
    <row r="23" spans="1:336" ht="15" customHeight="1" x14ac:dyDescent="0.2">
      <c r="A23" s="1280" t="s">
        <v>60</v>
      </c>
      <c r="B23" s="1252"/>
      <c r="C23" s="1098">
        <v>36.435000000000002</v>
      </c>
      <c r="D23" s="1098">
        <v>42.207999999999998</v>
      </c>
      <c r="E23" s="1098">
        <v>36.771999999999998</v>
      </c>
      <c r="F23" s="1098">
        <v>26.866</v>
      </c>
      <c r="G23" s="1098">
        <v>90.858000000000004</v>
      </c>
      <c r="H23" s="1098">
        <v>110.47199999999999</v>
      </c>
      <c r="I23" s="1098">
        <v>54.444000000000003</v>
      </c>
      <c r="J23" s="1098">
        <v>25</v>
      </c>
      <c r="K23" s="1098"/>
      <c r="L23" s="1098">
        <v>14.954000000000001</v>
      </c>
      <c r="M23" s="1098"/>
      <c r="N23" s="1097">
        <f t="shared" si="30"/>
        <v>438.00900000000001</v>
      </c>
      <c r="O23" s="1252"/>
      <c r="P23" s="1098"/>
      <c r="Q23" s="1098"/>
      <c r="R23" s="1098">
        <v>55.454000000000001</v>
      </c>
      <c r="S23" s="1098">
        <v>5.4539999999999997</v>
      </c>
      <c r="T23" s="1098">
        <v>51.484000000000002</v>
      </c>
      <c r="U23" s="1098">
        <v>21.023</v>
      </c>
      <c r="V23" s="1098">
        <v>20.59</v>
      </c>
      <c r="W23" s="1098"/>
      <c r="X23" s="1098"/>
      <c r="Y23" s="1098"/>
      <c r="Z23" s="1098"/>
      <c r="AA23" s="1097">
        <f t="shared" si="31"/>
        <v>154.005</v>
      </c>
      <c r="AB23" s="1252"/>
      <c r="AC23" s="1098">
        <v>87.525999999999996</v>
      </c>
      <c r="AD23" s="1098">
        <v>13.904999999999999</v>
      </c>
      <c r="AE23" s="1098">
        <v>2.0270000000000001</v>
      </c>
      <c r="AF23" s="1098"/>
      <c r="AG23" s="1098">
        <v>72.286000000000001</v>
      </c>
      <c r="AH23" s="1098">
        <v>104.575</v>
      </c>
      <c r="AI23" s="1098">
        <v>48.954000000000001</v>
      </c>
      <c r="AJ23" s="1098">
        <v>16.077000000000002</v>
      </c>
      <c r="AK23" s="1098">
        <v>16.419</v>
      </c>
      <c r="AL23" s="1098">
        <v>2.4950000000000001</v>
      </c>
      <c r="AM23" s="1098">
        <v>54.668999999999997</v>
      </c>
      <c r="AN23" s="1097">
        <f t="shared" si="32"/>
        <v>418.93299999999999</v>
      </c>
      <c r="AO23" s="1252"/>
      <c r="AP23" s="1098">
        <v>10.618</v>
      </c>
      <c r="AQ23" s="1098">
        <v>56.539000000000001</v>
      </c>
      <c r="AR23" s="1098">
        <v>29.949000000000002</v>
      </c>
      <c r="AS23" s="1098">
        <v>123.40900000000001</v>
      </c>
      <c r="AT23" s="1098">
        <v>3</v>
      </c>
      <c r="AU23" s="1098">
        <v>13</v>
      </c>
      <c r="AV23" s="1098"/>
      <c r="AW23" s="1098"/>
      <c r="AX23" s="1098"/>
      <c r="AY23" s="1098"/>
      <c r="AZ23" s="1098">
        <v>81</v>
      </c>
      <c r="BA23" s="1097">
        <f t="shared" si="33"/>
        <v>317.51499999999999</v>
      </c>
      <c r="BB23" s="1252"/>
      <c r="BC23" s="1098">
        <v>18</v>
      </c>
      <c r="BD23" s="1098">
        <v>41</v>
      </c>
      <c r="BE23" s="1098"/>
      <c r="BF23" s="1098">
        <v>27</v>
      </c>
      <c r="BG23" s="1098">
        <v>16</v>
      </c>
      <c r="BH23" s="1098">
        <v>31</v>
      </c>
      <c r="BI23" s="1098">
        <v>36</v>
      </c>
      <c r="BJ23" s="1098">
        <v>118</v>
      </c>
      <c r="BK23" s="1098">
        <v>36.945999999999998</v>
      </c>
      <c r="BL23" s="1098">
        <v>108.032</v>
      </c>
      <c r="BM23" s="1098">
        <v>102</v>
      </c>
      <c r="BN23" s="1097">
        <f t="shared" si="34"/>
        <v>533.97800000000007</v>
      </c>
      <c r="BO23" s="1252">
        <v>33.515999999999998</v>
      </c>
      <c r="BP23" s="1098">
        <v>109.72199999999999</v>
      </c>
      <c r="BQ23" s="1098">
        <v>123.511</v>
      </c>
      <c r="BR23" s="1098">
        <v>59.21</v>
      </c>
      <c r="BS23" s="1098">
        <v>48.338999999999999</v>
      </c>
      <c r="BT23" s="1098">
        <v>69.433000000000007</v>
      </c>
      <c r="BU23" s="1098">
        <v>93.311000000000007</v>
      </c>
      <c r="BV23" s="1098">
        <v>154.721</v>
      </c>
      <c r="BW23" s="1098">
        <v>82.427000000000007</v>
      </c>
      <c r="BX23" s="1098">
        <v>85.254000000000005</v>
      </c>
      <c r="BY23" s="1098">
        <v>268</v>
      </c>
      <c r="BZ23" s="1098">
        <v>102</v>
      </c>
      <c r="CA23" s="1097">
        <f t="shared" si="35"/>
        <v>1229.444</v>
      </c>
      <c r="CB23" s="1252">
        <v>9</v>
      </c>
      <c r="CC23" s="1098">
        <v>17</v>
      </c>
      <c r="CD23" s="1098">
        <v>62</v>
      </c>
      <c r="CE23" s="1098">
        <v>45</v>
      </c>
      <c r="CF23" s="1098">
        <v>50</v>
      </c>
      <c r="CG23" s="1098">
        <v>52</v>
      </c>
      <c r="CH23" s="1098">
        <v>18</v>
      </c>
      <c r="CI23" s="1098">
        <v>45</v>
      </c>
      <c r="CJ23" s="1098">
        <v>62</v>
      </c>
      <c r="CK23" s="1098">
        <v>59</v>
      </c>
      <c r="CL23" s="1098"/>
      <c r="CM23" s="1098">
        <v>146</v>
      </c>
      <c r="CN23" s="1097">
        <f t="shared" si="36"/>
        <v>565</v>
      </c>
      <c r="CO23" s="1252"/>
      <c r="CP23" s="1098">
        <v>29</v>
      </c>
      <c r="CQ23" s="1098">
        <v>16</v>
      </c>
      <c r="CR23" s="1098"/>
      <c r="CS23" s="1098"/>
      <c r="CT23" s="1098"/>
      <c r="CU23" s="1098"/>
      <c r="CV23" s="1098"/>
      <c r="CW23" s="1098"/>
      <c r="CX23" s="1098">
        <v>36</v>
      </c>
      <c r="CY23" s="1098">
        <v>9</v>
      </c>
      <c r="CZ23" s="1098">
        <v>20</v>
      </c>
      <c r="DA23" s="1097">
        <f t="shared" si="37"/>
        <v>110</v>
      </c>
      <c r="DB23" s="1252"/>
      <c r="DC23" s="1098"/>
      <c r="DD23" s="1098">
        <v>15</v>
      </c>
      <c r="DE23" s="1098"/>
      <c r="DF23" s="1098"/>
      <c r="DG23" s="1098">
        <v>57</v>
      </c>
      <c r="DH23" s="1098">
        <v>61</v>
      </c>
      <c r="DI23" s="1098">
        <v>48</v>
      </c>
      <c r="DJ23" s="1098">
        <v>24</v>
      </c>
      <c r="DK23" s="1098">
        <v>35</v>
      </c>
      <c r="DL23" s="1098">
        <v>16</v>
      </c>
      <c r="DM23" s="1098">
        <v>162</v>
      </c>
      <c r="DN23" s="1097">
        <f t="shared" si="38"/>
        <v>418</v>
      </c>
      <c r="DO23" s="1252">
        <v>89</v>
      </c>
      <c r="DP23" s="1098">
        <v>110</v>
      </c>
      <c r="DQ23" s="1098">
        <v>124</v>
      </c>
      <c r="DR23" s="1098">
        <v>120</v>
      </c>
      <c r="DS23" s="1098">
        <v>141</v>
      </c>
      <c r="DT23" s="1098">
        <v>63</v>
      </c>
      <c r="DU23" s="1098">
        <v>44</v>
      </c>
      <c r="DV23" s="1098">
        <v>233</v>
      </c>
      <c r="DW23" s="1098">
        <v>323</v>
      </c>
      <c r="DX23" s="1098">
        <v>204</v>
      </c>
      <c r="DY23" s="1098">
        <v>6</v>
      </c>
      <c r="DZ23" s="1098">
        <v>29</v>
      </c>
      <c r="EA23" s="1097">
        <f t="shared" si="39"/>
        <v>1486</v>
      </c>
      <c r="EB23" s="1252">
        <v>31</v>
      </c>
      <c r="EC23" s="1098">
        <v>44</v>
      </c>
      <c r="ED23" s="1098">
        <v>36</v>
      </c>
      <c r="EE23" s="1098">
        <v>3</v>
      </c>
      <c r="EF23" s="1098">
        <v>13</v>
      </c>
      <c r="EG23" s="1098">
        <v>30</v>
      </c>
      <c r="EH23" s="1098">
        <v>142</v>
      </c>
      <c r="EI23" s="1098">
        <v>163</v>
      </c>
      <c r="EJ23" s="1098">
        <v>140</v>
      </c>
      <c r="EK23" s="1098">
        <v>100</v>
      </c>
      <c r="EL23" s="1098">
        <v>44</v>
      </c>
      <c r="EM23" s="1098">
        <v>81</v>
      </c>
      <c r="EN23" s="1097">
        <f t="shared" si="40"/>
        <v>827</v>
      </c>
      <c r="EO23" s="1252">
        <v>74</v>
      </c>
      <c r="EP23" s="1098">
        <v>6</v>
      </c>
      <c r="EQ23" s="1098">
        <v>12</v>
      </c>
      <c r="ER23" s="1098">
        <v>13</v>
      </c>
      <c r="ES23" s="1098">
        <v>45</v>
      </c>
      <c r="ET23" s="1098">
        <v>57</v>
      </c>
      <c r="EU23" s="1098">
        <v>39</v>
      </c>
      <c r="EV23" s="1098">
        <v>64</v>
      </c>
      <c r="EW23" s="1098"/>
      <c r="EX23" s="1098"/>
      <c r="EY23" s="1098"/>
      <c r="EZ23" s="1098">
        <v>13</v>
      </c>
      <c r="FA23" s="1097">
        <f t="shared" si="41"/>
        <v>323</v>
      </c>
      <c r="FB23" s="1252">
        <v>6</v>
      </c>
      <c r="FC23" s="1098"/>
      <c r="FD23" s="1098"/>
      <c r="FE23" s="1098">
        <v>5</v>
      </c>
      <c r="FF23" s="1098">
        <v>9</v>
      </c>
      <c r="FG23" s="1098">
        <v>115</v>
      </c>
      <c r="FH23" s="1098">
        <v>12</v>
      </c>
      <c r="FI23" s="1098">
        <v>1</v>
      </c>
      <c r="FJ23" s="1098">
        <v>149</v>
      </c>
      <c r="FK23" s="1098">
        <v>10</v>
      </c>
      <c r="FL23" s="1098">
        <v>22</v>
      </c>
      <c r="FM23" s="1098">
        <v>47</v>
      </c>
      <c r="FN23" s="1097">
        <f t="shared" si="42"/>
        <v>376</v>
      </c>
      <c r="FO23" s="1252">
        <v>38</v>
      </c>
      <c r="FP23" s="1098">
        <v>32</v>
      </c>
      <c r="FQ23" s="1098"/>
      <c r="FR23" s="1098">
        <v>51</v>
      </c>
      <c r="FS23" s="1098">
        <v>39</v>
      </c>
      <c r="FT23" s="1098">
        <v>16</v>
      </c>
      <c r="FU23" s="1098">
        <v>52</v>
      </c>
      <c r="FV23" s="1098"/>
      <c r="FW23" s="1098">
        <v>159</v>
      </c>
      <c r="FX23" s="1098">
        <v>72</v>
      </c>
      <c r="FY23" s="1098">
        <v>8</v>
      </c>
      <c r="FZ23" s="1098">
        <v>39</v>
      </c>
      <c r="GA23" s="1097">
        <f t="shared" si="43"/>
        <v>506</v>
      </c>
      <c r="GB23" s="1252">
        <v>11</v>
      </c>
      <c r="GC23" s="1098">
        <v>9</v>
      </c>
      <c r="GD23" s="1098">
        <v>4.5640000000000001</v>
      </c>
      <c r="GE23" s="1098">
        <v>25.960999999999999</v>
      </c>
      <c r="GF23" s="1098"/>
      <c r="GG23" s="1098"/>
      <c r="GH23" s="1098"/>
      <c r="GI23" s="1098"/>
      <c r="GJ23" s="1098">
        <v>5</v>
      </c>
      <c r="GK23" s="1098">
        <v>37</v>
      </c>
      <c r="GL23" s="1098">
        <v>35</v>
      </c>
      <c r="GM23" s="1098">
        <v>55</v>
      </c>
      <c r="GN23" s="1097">
        <f t="shared" si="44"/>
        <v>182.52500000000001</v>
      </c>
      <c r="GO23" s="1252"/>
      <c r="GP23" s="1098">
        <v>33.637999999999998</v>
      </c>
      <c r="GQ23" s="1098">
        <v>117.892</v>
      </c>
      <c r="GR23" s="1098">
        <v>100</v>
      </c>
      <c r="GS23" s="1098">
        <v>32</v>
      </c>
      <c r="GT23" s="1098">
        <v>14</v>
      </c>
      <c r="GU23" s="1098">
        <v>66.673000000000002</v>
      </c>
      <c r="GV23" s="1098">
        <v>152.58699999999999</v>
      </c>
      <c r="GW23" s="1098">
        <v>20.124000000000002</v>
      </c>
      <c r="GX23" s="1098">
        <v>13.638</v>
      </c>
      <c r="GY23" s="1098"/>
      <c r="GZ23" s="1098">
        <v>1.885</v>
      </c>
      <c r="HA23" s="1097">
        <f t="shared" si="45"/>
        <v>552.43700000000001</v>
      </c>
      <c r="HB23" s="1252"/>
      <c r="HC23" s="1098">
        <v>19</v>
      </c>
      <c r="HD23" s="1098">
        <v>15.034000000000001</v>
      </c>
      <c r="HE23" s="1098"/>
      <c r="HF23" s="1098">
        <v>7</v>
      </c>
      <c r="HG23" s="1098">
        <v>54</v>
      </c>
      <c r="HH23" s="1098">
        <v>54</v>
      </c>
      <c r="HI23" s="1098">
        <v>124</v>
      </c>
      <c r="HJ23" s="1098">
        <v>121.98</v>
      </c>
      <c r="HK23" s="1098">
        <v>54.615000000000002</v>
      </c>
      <c r="HL23" s="1098">
        <v>66.628999999999991</v>
      </c>
      <c r="HM23" s="1098">
        <v>35.599000000000004</v>
      </c>
      <c r="HN23" s="1097">
        <f t="shared" si="46"/>
        <v>551.85700000000008</v>
      </c>
      <c r="HO23" s="1252">
        <v>2.4630000000000001</v>
      </c>
      <c r="HP23" s="1098">
        <v>28.774999999999999</v>
      </c>
      <c r="HQ23" s="1098">
        <v>78.960999999999984</v>
      </c>
      <c r="HR23" s="1098">
        <v>52.542999999999992</v>
      </c>
      <c r="HS23" s="1098">
        <v>32.542999999999999</v>
      </c>
      <c r="HT23" s="1098">
        <v>36.739000000000004</v>
      </c>
      <c r="HU23" s="1098">
        <v>44.630999999999993</v>
      </c>
      <c r="HV23" s="1098">
        <v>36.481999999999999</v>
      </c>
      <c r="HW23" s="1098">
        <v>42.588000000000001</v>
      </c>
      <c r="HX23" s="1098">
        <v>57</v>
      </c>
      <c r="HY23" s="1098">
        <v>97</v>
      </c>
      <c r="HZ23" s="1098"/>
      <c r="IA23" s="1097">
        <f t="shared" si="47"/>
        <v>509.72499999999997</v>
      </c>
      <c r="IB23" s="1252"/>
      <c r="IC23" s="1098"/>
      <c r="ID23" s="1098"/>
      <c r="IE23" s="1098"/>
      <c r="IF23" s="1098"/>
      <c r="IG23" s="1098">
        <v>6</v>
      </c>
      <c r="IH23" s="1098">
        <v>16.079999999999998</v>
      </c>
      <c r="II23" s="1098"/>
      <c r="IJ23" s="1098"/>
      <c r="IK23" s="1098"/>
      <c r="IL23" s="1098"/>
      <c r="IM23" s="1098"/>
      <c r="IN23" s="1097">
        <f t="shared" si="48"/>
        <v>22.08</v>
      </c>
      <c r="IO23" s="1252"/>
      <c r="IP23" s="1098"/>
      <c r="IQ23" s="1098"/>
      <c r="IR23" s="1098"/>
      <c r="IS23" s="1098"/>
      <c r="IT23" s="1098"/>
      <c r="IU23" s="1098"/>
      <c r="IV23" s="1098">
        <v>1.871</v>
      </c>
      <c r="IW23" s="1098">
        <v>15.462</v>
      </c>
      <c r="IX23" s="1098"/>
      <c r="IY23" s="1098"/>
      <c r="IZ23" s="1098"/>
      <c r="JA23" s="1097">
        <f t="shared" si="49"/>
        <v>17.332999999999998</v>
      </c>
      <c r="JB23" s="1252">
        <v>4.0190000000000001</v>
      </c>
      <c r="JC23" s="1098"/>
      <c r="JD23" s="1098"/>
      <c r="JE23" s="1098"/>
      <c r="JF23" s="1098"/>
      <c r="JG23" s="1098"/>
      <c r="JH23" s="1098"/>
      <c r="JI23" s="1098"/>
      <c r="JJ23" s="1098"/>
      <c r="JK23" s="1098"/>
      <c r="JL23" s="1098"/>
      <c r="JM23" s="1098"/>
      <c r="JN23" s="1097">
        <f t="shared" si="50"/>
        <v>4.0190000000000001</v>
      </c>
      <c r="JO23" s="1252"/>
      <c r="JP23" s="1098"/>
      <c r="JQ23" s="1098"/>
      <c r="JR23" s="1098"/>
      <c r="JS23" s="1098"/>
      <c r="JT23" s="1098"/>
      <c r="JU23" s="1098"/>
      <c r="JV23" s="1098"/>
      <c r="JW23" s="1098"/>
      <c r="JX23" s="1098"/>
      <c r="JY23" s="1098"/>
      <c r="JZ23" s="1098"/>
      <c r="KA23" s="1097">
        <f t="shared" si="51"/>
        <v>0</v>
      </c>
      <c r="KB23" s="1252"/>
      <c r="KC23" s="1098"/>
      <c r="KD23" s="1098"/>
      <c r="KE23" s="1098"/>
      <c r="KF23" s="1098"/>
      <c r="KG23" s="1098"/>
      <c r="KH23" s="1098">
        <v>17.297000000000001</v>
      </c>
      <c r="KI23" s="1098">
        <v>4.6989999999999998</v>
      </c>
      <c r="KJ23" s="1098">
        <v>14.079000000000001</v>
      </c>
      <c r="KK23" s="1098"/>
      <c r="KL23" s="1098"/>
      <c r="KM23" s="1098">
        <v>69.460999999999999</v>
      </c>
      <c r="KN23" s="1097">
        <f t="shared" si="52"/>
        <v>105.536</v>
      </c>
      <c r="KO23" s="1252"/>
      <c r="KP23" s="1098"/>
      <c r="KQ23" s="1098"/>
      <c r="KR23" s="1098"/>
      <c r="KS23" s="1098">
        <v>2.137</v>
      </c>
      <c r="KT23" s="1098">
        <v>4.9470000000000001</v>
      </c>
      <c r="KU23" s="1098">
        <v>3.2280000000000002</v>
      </c>
      <c r="KV23" s="1098"/>
      <c r="KW23" s="1098"/>
      <c r="KX23" s="1098"/>
      <c r="KY23" s="1098"/>
      <c r="KZ23" s="1098"/>
      <c r="LA23" s="1097">
        <f t="shared" si="53"/>
        <v>10.311999999999999</v>
      </c>
      <c r="LB23" s="1252">
        <v>9.9999999999999994E-12</v>
      </c>
      <c r="LC23" s="1098"/>
      <c r="LD23" s="1098"/>
      <c r="LE23" s="1098"/>
      <c r="LF23" s="1098"/>
      <c r="LG23" s="1098"/>
      <c r="LH23" s="1098">
        <v>15.993</v>
      </c>
      <c r="LI23" s="1098"/>
      <c r="LJ23" s="1098"/>
      <c r="LK23" s="1098"/>
      <c r="LL23" s="1098"/>
      <c r="LM23" s="1098"/>
      <c r="LN23" s="1097">
        <f t="shared" si="54"/>
        <v>15.993000000009999</v>
      </c>
      <c r="LP23" s="1116" t="str">
        <f t="shared" si="55"/>
        <v/>
      </c>
      <c r="LQ23" s="1117">
        <f t="shared" si="56"/>
        <v>55.091155934930192</v>
      </c>
      <c r="LR23" s="1079">
        <f t="shared" si="57"/>
        <v>10.311999999999999</v>
      </c>
      <c r="LS23" s="1118">
        <f t="shared" si="58"/>
        <v>15.993000000009999</v>
      </c>
      <c r="LU23" s="629"/>
      <c r="LV23" s="1139">
        <f t="shared" si="59"/>
        <v>19349.402000000027</v>
      </c>
      <c r="LW23" s="1286" t="s">
        <v>60</v>
      </c>
      <c r="LX23" s="1147" t="str">
        <f t="shared" si="60"/>
        <v>OK</v>
      </c>
    </row>
    <row r="24" spans="1:336" ht="15" customHeight="1" x14ac:dyDescent="0.2">
      <c r="A24" s="1292" t="s">
        <v>61</v>
      </c>
      <c r="B24" s="1252"/>
      <c r="C24" s="1098"/>
      <c r="D24" s="1098"/>
      <c r="E24" s="1098"/>
      <c r="F24" s="1098"/>
      <c r="G24" s="1098"/>
      <c r="H24" s="1098"/>
      <c r="I24" s="1098"/>
      <c r="J24" s="1098"/>
      <c r="K24" s="1098"/>
      <c r="L24" s="1098"/>
      <c r="M24" s="1098"/>
      <c r="N24" s="1097">
        <f t="shared" si="30"/>
        <v>0</v>
      </c>
      <c r="O24" s="1252"/>
      <c r="P24" s="1098"/>
      <c r="Q24" s="1098"/>
      <c r="R24" s="1098"/>
      <c r="S24" s="1098"/>
      <c r="T24" s="1098"/>
      <c r="U24" s="1098"/>
      <c r="V24" s="1098"/>
      <c r="W24" s="1098"/>
      <c r="X24" s="1098"/>
      <c r="Y24" s="1098"/>
      <c r="Z24" s="1098"/>
      <c r="AA24" s="1097">
        <f t="shared" si="31"/>
        <v>0</v>
      </c>
      <c r="AB24" s="1252"/>
      <c r="AC24" s="1098"/>
      <c r="AD24" s="1098"/>
      <c r="AE24" s="1098"/>
      <c r="AF24" s="1098"/>
      <c r="AG24" s="1098"/>
      <c r="AH24" s="1098">
        <v>32.817</v>
      </c>
      <c r="AI24" s="1098"/>
      <c r="AJ24" s="1098"/>
      <c r="AK24" s="1098">
        <v>36.49</v>
      </c>
      <c r="AL24" s="1098"/>
      <c r="AM24" s="1098"/>
      <c r="AN24" s="1097">
        <f t="shared" si="32"/>
        <v>69.307000000000002</v>
      </c>
      <c r="AO24" s="1252"/>
      <c r="AP24" s="1098">
        <v>25.463000000000001</v>
      </c>
      <c r="AQ24" s="1098">
        <v>37.411000000000001</v>
      </c>
      <c r="AR24" s="1098">
        <v>16.443000000000001</v>
      </c>
      <c r="AS24" s="1098">
        <v>24.895</v>
      </c>
      <c r="AT24" s="1098">
        <v>57</v>
      </c>
      <c r="AU24" s="1098"/>
      <c r="AV24" s="1098"/>
      <c r="AW24" s="1098"/>
      <c r="AX24" s="1098"/>
      <c r="AY24" s="1098"/>
      <c r="AZ24" s="1098">
        <v>124</v>
      </c>
      <c r="BA24" s="1097">
        <f t="shared" si="33"/>
        <v>285.21199999999999</v>
      </c>
      <c r="BB24" s="1252"/>
      <c r="BC24" s="1098"/>
      <c r="BD24" s="1098"/>
      <c r="BE24" s="1098"/>
      <c r="BF24" s="1098"/>
      <c r="BG24" s="1098"/>
      <c r="BH24" s="1098"/>
      <c r="BI24" s="1098"/>
      <c r="BJ24" s="1098"/>
      <c r="BK24" s="1098"/>
      <c r="BL24" s="1098"/>
      <c r="BM24" s="1098">
        <v>23</v>
      </c>
      <c r="BN24" s="1097">
        <f t="shared" si="34"/>
        <v>23</v>
      </c>
      <c r="BO24" s="1252"/>
      <c r="BP24" s="1098">
        <v>2.1859999999999999</v>
      </c>
      <c r="BQ24" s="1098">
        <v>43.500999999999998</v>
      </c>
      <c r="BR24" s="1098">
        <v>27.146000000000001</v>
      </c>
      <c r="BS24" s="1098">
        <v>29.405999999999999</v>
      </c>
      <c r="BT24" s="1098">
        <v>26.925999999999998</v>
      </c>
      <c r="BU24" s="1098"/>
      <c r="BV24" s="1098"/>
      <c r="BW24" s="1098"/>
      <c r="BX24" s="1098"/>
      <c r="BY24" s="1098"/>
      <c r="BZ24" s="1098"/>
      <c r="CA24" s="1097">
        <f t="shared" si="35"/>
        <v>129.16499999999999</v>
      </c>
      <c r="CB24" s="1252">
        <v>5</v>
      </c>
      <c r="CC24" s="1098">
        <v>25</v>
      </c>
      <c r="CD24" s="1098">
        <v>66</v>
      </c>
      <c r="CE24" s="1098">
        <v>97</v>
      </c>
      <c r="CF24" s="1098">
        <v>62</v>
      </c>
      <c r="CG24" s="1098">
        <v>85</v>
      </c>
      <c r="CH24" s="1098"/>
      <c r="CI24" s="1098"/>
      <c r="CJ24" s="1098">
        <v>52</v>
      </c>
      <c r="CK24" s="1098">
        <v>114</v>
      </c>
      <c r="CL24" s="1098">
        <v>82</v>
      </c>
      <c r="CM24" s="1098">
        <v>50</v>
      </c>
      <c r="CN24" s="1097">
        <f t="shared" si="36"/>
        <v>638</v>
      </c>
      <c r="CO24" s="1252">
        <v>48</v>
      </c>
      <c r="CP24" s="1098"/>
      <c r="CQ24" s="1098"/>
      <c r="CR24" s="1098">
        <v>69</v>
      </c>
      <c r="CS24" s="1098">
        <v>12</v>
      </c>
      <c r="CT24" s="1098">
        <v>8</v>
      </c>
      <c r="CU24" s="1098"/>
      <c r="CV24" s="1098"/>
      <c r="CW24" s="1098"/>
      <c r="CX24" s="1098"/>
      <c r="CY24" s="1098"/>
      <c r="CZ24" s="1098"/>
      <c r="DA24" s="1097">
        <f t="shared" si="37"/>
        <v>137</v>
      </c>
      <c r="DB24" s="1252">
        <v>4</v>
      </c>
      <c r="DC24" s="1098">
        <v>3</v>
      </c>
      <c r="DD24" s="1098">
        <v>10</v>
      </c>
      <c r="DE24" s="1098">
        <v>28</v>
      </c>
      <c r="DF24" s="1098"/>
      <c r="DG24" s="1098">
        <v>19</v>
      </c>
      <c r="DH24" s="1098">
        <v>16</v>
      </c>
      <c r="DI24" s="1098">
        <v>128</v>
      </c>
      <c r="DJ24" s="1098">
        <v>4</v>
      </c>
      <c r="DK24" s="1098"/>
      <c r="DL24" s="1098"/>
      <c r="DM24" s="1098"/>
      <c r="DN24" s="1097">
        <f t="shared" si="38"/>
        <v>212</v>
      </c>
      <c r="DO24" s="1252"/>
      <c r="DP24" s="1098"/>
      <c r="DQ24" s="1098"/>
      <c r="DR24" s="1098"/>
      <c r="DS24" s="1098"/>
      <c r="DT24" s="1098">
        <v>26</v>
      </c>
      <c r="DU24" s="1098"/>
      <c r="DV24" s="1098"/>
      <c r="DW24" s="1098"/>
      <c r="DX24" s="1098">
        <v>2</v>
      </c>
      <c r="DY24" s="1098"/>
      <c r="DZ24" s="1098"/>
      <c r="EA24" s="1097">
        <f t="shared" si="39"/>
        <v>28</v>
      </c>
      <c r="EB24" s="1252">
        <v>38</v>
      </c>
      <c r="EC24" s="1098"/>
      <c r="ED24" s="1098"/>
      <c r="EE24" s="1098"/>
      <c r="EF24" s="1098"/>
      <c r="EG24" s="1098"/>
      <c r="EH24" s="1098"/>
      <c r="EI24" s="1098"/>
      <c r="EJ24" s="1098">
        <v>4</v>
      </c>
      <c r="EK24" s="1098"/>
      <c r="EL24" s="1098">
        <v>8</v>
      </c>
      <c r="EM24" s="1098"/>
      <c r="EN24" s="1097">
        <f t="shared" si="40"/>
        <v>50</v>
      </c>
      <c r="EO24" s="1252"/>
      <c r="EP24" s="1098"/>
      <c r="EQ24" s="1098"/>
      <c r="ER24" s="1098"/>
      <c r="ES24" s="1098"/>
      <c r="ET24" s="1098"/>
      <c r="EU24" s="1098"/>
      <c r="EV24" s="1098">
        <v>5</v>
      </c>
      <c r="EW24" s="1098"/>
      <c r="EX24" s="1098">
        <v>21</v>
      </c>
      <c r="EY24" s="1098"/>
      <c r="EZ24" s="1098"/>
      <c r="FA24" s="1097">
        <f t="shared" si="41"/>
        <v>26</v>
      </c>
      <c r="FB24" s="1252">
        <v>10</v>
      </c>
      <c r="FC24" s="1098">
        <v>30</v>
      </c>
      <c r="FD24" s="1098">
        <v>4</v>
      </c>
      <c r="FE24" s="1098"/>
      <c r="FF24" s="1098"/>
      <c r="FG24" s="1098">
        <v>9</v>
      </c>
      <c r="FH24" s="1098"/>
      <c r="FI24" s="1098"/>
      <c r="FJ24" s="1098">
        <v>9</v>
      </c>
      <c r="FK24" s="1098"/>
      <c r="FL24" s="1098">
        <v>4</v>
      </c>
      <c r="FM24" s="1098"/>
      <c r="FN24" s="1097">
        <f t="shared" si="42"/>
        <v>66</v>
      </c>
      <c r="FO24" s="1252"/>
      <c r="FP24" s="1098"/>
      <c r="FQ24" s="1098"/>
      <c r="FR24" s="1098"/>
      <c r="FS24" s="1098"/>
      <c r="FT24" s="1098"/>
      <c r="FU24" s="1098">
        <v>8</v>
      </c>
      <c r="FV24" s="1098"/>
      <c r="FW24" s="1098"/>
      <c r="FX24" s="1098"/>
      <c r="FY24" s="1098"/>
      <c r="FZ24" s="1098"/>
      <c r="GA24" s="1097">
        <f t="shared" si="43"/>
        <v>8</v>
      </c>
      <c r="GB24" s="1252"/>
      <c r="GC24" s="1098"/>
      <c r="GD24" s="1098"/>
      <c r="GE24" s="1098"/>
      <c r="GF24" s="1098"/>
      <c r="GG24" s="1098"/>
      <c r="GH24" s="1098"/>
      <c r="GI24" s="1098"/>
      <c r="GJ24" s="1098">
        <v>6</v>
      </c>
      <c r="GK24" s="1098"/>
      <c r="GL24" s="1098">
        <v>2</v>
      </c>
      <c r="GM24" s="1098">
        <v>2</v>
      </c>
      <c r="GN24" s="1097">
        <f t="shared" si="44"/>
        <v>10</v>
      </c>
      <c r="GO24" s="1252">
        <v>13.976000000000001</v>
      </c>
      <c r="GP24" s="1098"/>
      <c r="GQ24" s="1098"/>
      <c r="GR24" s="1098"/>
      <c r="GS24" s="1098"/>
      <c r="GT24" s="1098"/>
      <c r="GU24" s="1098"/>
      <c r="GV24" s="1098">
        <v>4.43</v>
      </c>
      <c r="GW24" s="1098"/>
      <c r="GX24" s="1098">
        <v>4.5439999999999996</v>
      </c>
      <c r="GY24" s="1098"/>
      <c r="GZ24" s="1098"/>
      <c r="HA24" s="1097">
        <f t="shared" si="45"/>
        <v>22.95</v>
      </c>
      <c r="HB24" s="1252"/>
      <c r="HC24" s="1098"/>
      <c r="HD24" s="1098"/>
      <c r="HE24" s="1098"/>
      <c r="HF24" s="1098"/>
      <c r="HG24" s="1098"/>
      <c r="HH24" s="1098"/>
      <c r="HI24" s="1098"/>
      <c r="HJ24" s="1098">
        <v>2.3380000000000001</v>
      </c>
      <c r="HK24" s="1098"/>
      <c r="HL24" s="1098"/>
      <c r="HM24" s="1098">
        <v>171.86399999999998</v>
      </c>
      <c r="HN24" s="1097">
        <f t="shared" si="46"/>
        <v>174.20199999999997</v>
      </c>
      <c r="HO24" s="1252"/>
      <c r="HP24" s="1098"/>
      <c r="HQ24" s="1098"/>
      <c r="HR24" s="1098"/>
      <c r="HS24" s="1098"/>
      <c r="HT24" s="1098"/>
      <c r="HU24" s="1098"/>
      <c r="HV24" s="1098"/>
      <c r="HW24" s="1098"/>
      <c r="HX24" s="1098"/>
      <c r="HY24" s="1098"/>
      <c r="HZ24" s="1098"/>
      <c r="IA24" s="1097">
        <f t="shared" si="47"/>
        <v>0</v>
      </c>
      <c r="IB24" s="1252"/>
      <c r="IC24" s="1098"/>
      <c r="ID24" s="1098"/>
      <c r="IE24" s="1098"/>
      <c r="IF24" s="1098"/>
      <c r="IG24" s="1098"/>
      <c r="IH24" s="1098"/>
      <c r="II24" s="1098"/>
      <c r="IJ24" s="1098"/>
      <c r="IK24" s="1098"/>
      <c r="IL24" s="1098">
        <v>9.984</v>
      </c>
      <c r="IM24" s="1098"/>
      <c r="IN24" s="1097">
        <f t="shared" si="48"/>
        <v>9.984</v>
      </c>
      <c r="IO24" s="1252"/>
      <c r="IP24" s="1098"/>
      <c r="IQ24" s="1098"/>
      <c r="IR24" s="1098"/>
      <c r="IS24" s="1098"/>
      <c r="IT24" s="1098"/>
      <c r="IU24" s="1098">
        <v>27.449000000000002</v>
      </c>
      <c r="IV24" s="1098">
        <v>0.41599999999999998</v>
      </c>
      <c r="IW24" s="1098"/>
      <c r="IX24" s="1098">
        <v>4.9329999999999998</v>
      </c>
      <c r="IY24" s="1098"/>
      <c r="IZ24" s="1098"/>
      <c r="JA24" s="1097">
        <f t="shared" si="49"/>
        <v>32.798000000000002</v>
      </c>
      <c r="JB24" s="1252"/>
      <c r="JC24" s="1098"/>
      <c r="JD24" s="1098"/>
      <c r="JE24" s="1098"/>
      <c r="JF24" s="1098"/>
      <c r="JG24" s="1098"/>
      <c r="JH24" s="1098"/>
      <c r="JI24" s="1098"/>
      <c r="JJ24" s="1098"/>
      <c r="JK24" s="1098">
        <v>4.2270000000000003</v>
      </c>
      <c r="JL24" s="1098"/>
      <c r="JM24" s="1098">
        <v>19.338999999999999</v>
      </c>
      <c r="JN24" s="1097">
        <f t="shared" si="50"/>
        <v>23.565999999999999</v>
      </c>
      <c r="JO24" s="1252"/>
      <c r="JP24" s="1098"/>
      <c r="JQ24" s="1098"/>
      <c r="JR24" s="1098"/>
      <c r="JS24" s="1098"/>
      <c r="JT24" s="1098"/>
      <c r="JU24" s="1098"/>
      <c r="JV24" s="1098"/>
      <c r="JW24" s="1098"/>
      <c r="JX24" s="1098"/>
      <c r="JY24" s="1098">
        <v>94.230999999999995</v>
      </c>
      <c r="JZ24" s="1098"/>
      <c r="KA24" s="1097">
        <f t="shared" si="51"/>
        <v>94.230999999999995</v>
      </c>
      <c r="KB24" s="1252"/>
      <c r="KC24" s="1098"/>
      <c r="KD24" s="1098"/>
      <c r="KE24" s="1098"/>
      <c r="KF24" s="1098"/>
      <c r="KG24" s="1098"/>
      <c r="KH24" s="1098">
        <v>11.173999999999999</v>
      </c>
      <c r="KI24" s="1098">
        <v>57.377000000000002</v>
      </c>
      <c r="KJ24" s="1098">
        <v>13.371</v>
      </c>
      <c r="KK24" s="1098"/>
      <c r="KL24" s="1098"/>
      <c r="KM24" s="1098">
        <v>10.654999999999999</v>
      </c>
      <c r="KN24" s="1097">
        <f t="shared" si="52"/>
        <v>92.576999999999998</v>
      </c>
      <c r="KO24" s="1252"/>
      <c r="KP24" s="1098"/>
      <c r="KQ24" s="1098"/>
      <c r="KR24" s="1098">
        <v>12.16</v>
      </c>
      <c r="KS24" s="1098"/>
      <c r="KT24" s="1098">
        <v>5.9180000000000001</v>
      </c>
      <c r="KU24" s="1098">
        <v>46.268999999999998</v>
      </c>
      <c r="KV24" s="1098">
        <v>31.719000000000001</v>
      </c>
      <c r="KW24" s="1098">
        <v>12.101000000000001</v>
      </c>
      <c r="KX24" s="1098">
        <v>1.645</v>
      </c>
      <c r="KY24" s="1098"/>
      <c r="KZ24" s="1098"/>
      <c r="LA24" s="1097">
        <f t="shared" si="53"/>
        <v>109.812</v>
      </c>
      <c r="LB24" s="1252">
        <v>9.9999999999999994E-12</v>
      </c>
      <c r="LC24" s="1098"/>
      <c r="LD24" s="1098"/>
      <c r="LE24" s="1098"/>
      <c r="LF24" s="1098"/>
      <c r="LG24" s="1098">
        <v>31.100999999999999</v>
      </c>
      <c r="LH24" s="1098">
        <v>3</v>
      </c>
      <c r="LI24" s="1098"/>
      <c r="LJ24" s="1098"/>
      <c r="LK24" s="1098"/>
      <c r="LL24" s="1098"/>
      <c r="LM24" s="1098"/>
      <c r="LN24" s="1097">
        <f t="shared" si="54"/>
        <v>34.101000000010004</v>
      </c>
      <c r="LP24" s="1116">
        <f t="shared" si="55"/>
        <v>-100</v>
      </c>
      <c r="LQ24" s="1117">
        <f t="shared" si="56"/>
        <v>-64.502529510950808</v>
      </c>
      <c r="LR24" s="1079">
        <f t="shared" si="57"/>
        <v>96.066000000000003</v>
      </c>
      <c r="LS24" s="1118">
        <f t="shared" si="58"/>
        <v>34.101000000010004</v>
      </c>
      <c r="LU24" s="629"/>
      <c r="LV24" s="1139">
        <f t="shared" si="59"/>
        <v>4551.8100000000186</v>
      </c>
      <c r="LW24" s="1286" t="s">
        <v>61</v>
      </c>
      <c r="LX24" s="1147" t="str">
        <f t="shared" si="60"/>
        <v>OK</v>
      </c>
    </row>
    <row r="25" spans="1:336" ht="15" customHeight="1" x14ac:dyDescent="0.2">
      <c r="A25" s="1280" t="s">
        <v>62</v>
      </c>
      <c r="B25" s="1252">
        <v>115.27</v>
      </c>
      <c r="C25" s="1098">
        <v>400.41500000000002</v>
      </c>
      <c r="D25" s="1098">
        <v>38.671999999999997</v>
      </c>
      <c r="E25" s="1098">
        <v>117.042</v>
      </c>
      <c r="F25" s="1098">
        <v>32.29</v>
      </c>
      <c r="G25" s="1098">
        <v>52.372</v>
      </c>
      <c r="H25" s="1098">
        <v>60.884999999999998</v>
      </c>
      <c r="I25" s="1098">
        <v>43.274000000000001</v>
      </c>
      <c r="J25" s="1098">
        <v>156.845</v>
      </c>
      <c r="K25" s="1098">
        <v>71.744</v>
      </c>
      <c r="L25" s="1098">
        <v>145.76400000000001</v>
      </c>
      <c r="M25" s="1098">
        <v>160.483</v>
      </c>
      <c r="N25" s="1097">
        <f t="shared" si="30"/>
        <v>1395.0559999999998</v>
      </c>
      <c r="O25" s="1252">
        <v>161.33000000000001</v>
      </c>
      <c r="P25" s="1098">
        <v>24.707999999999998</v>
      </c>
      <c r="Q25" s="1098">
        <v>76.608000000000004</v>
      </c>
      <c r="R25" s="1098">
        <v>137.50299999999999</v>
      </c>
      <c r="S25" s="1098">
        <v>190.86</v>
      </c>
      <c r="T25" s="1098">
        <v>187.86600000000001</v>
      </c>
      <c r="U25" s="1098">
        <v>189.16</v>
      </c>
      <c r="V25" s="1098">
        <v>145.411</v>
      </c>
      <c r="W25" s="1098">
        <v>145.47399999999999</v>
      </c>
      <c r="X25" s="1098">
        <v>86</v>
      </c>
      <c r="Y25" s="1098">
        <v>76</v>
      </c>
      <c r="Z25" s="1098">
        <v>58.707999999999998</v>
      </c>
      <c r="AA25" s="1097">
        <f t="shared" si="31"/>
        <v>1479.6279999999999</v>
      </c>
      <c r="AB25" s="1252">
        <v>124.232</v>
      </c>
      <c r="AC25" s="1098">
        <v>89.373999999999995</v>
      </c>
      <c r="AD25" s="1098">
        <v>83.183999999999997</v>
      </c>
      <c r="AE25" s="1098">
        <v>95.194999999999993</v>
      </c>
      <c r="AF25" s="1098">
        <v>196.6</v>
      </c>
      <c r="AG25" s="1098">
        <v>53.168999999999997</v>
      </c>
      <c r="AH25" s="1098">
        <v>31.152000000000001</v>
      </c>
      <c r="AI25" s="1098">
        <v>53.078000000000003</v>
      </c>
      <c r="AJ25" s="1098">
        <v>33.838000000000001</v>
      </c>
      <c r="AK25" s="1098">
        <v>60.734000000000002</v>
      </c>
      <c r="AL25" s="1098">
        <v>119.65900000000001</v>
      </c>
      <c r="AM25" s="1098">
        <v>223.232</v>
      </c>
      <c r="AN25" s="1097">
        <f t="shared" si="32"/>
        <v>1163.4469999999999</v>
      </c>
      <c r="AO25" s="1252">
        <v>53.165999999999997</v>
      </c>
      <c r="AP25" s="1098">
        <v>180.215</v>
      </c>
      <c r="AQ25" s="1098">
        <v>201.18</v>
      </c>
      <c r="AR25" s="1098">
        <v>4.58</v>
      </c>
      <c r="AS25" s="1098">
        <v>46.030999999999999</v>
      </c>
      <c r="AT25" s="1098">
        <v>101</v>
      </c>
      <c r="AU25" s="1098">
        <v>6</v>
      </c>
      <c r="AV25" s="1098">
        <v>39</v>
      </c>
      <c r="AW25" s="1098">
        <v>55</v>
      </c>
      <c r="AX25" s="1098">
        <v>126</v>
      </c>
      <c r="AY25" s="1098">
        <v>101</v>
      </c>
      <c r="AZ25" s="1098">
        <v>109</v>
      </c>
      <c r="BA25" s="1097">
        <f t="shared" si="33"/>
        <v>1022.172</v>
      </c>
      <c r="BB25" s="1252">
        <v>208</v>
      </c>
      <c r="BC25" s="1098">
        <v>149</v>
      </c>
      <c r="BD25" s="1098">
        <v>234</v>
      </c>
      <c r="BE25" s="1098">
        <v>78</v>
      </c>
      <c r="BF25" s="1098">
        <v>62</v>
      </c>
      <c r="BG25" s="1098">
        <v>80</v>
      </c>
      <c r="BH25" s="1098">
        <v>46</v>
      </c>
      <c r="BI25" s="1098">
        <v>105</v>
      </c>
      <c r="BJ25" s="1098">
        <v>125</v>
      </c>
      <c r="BK25" s="1098">
        <v>38.445</v>
      </c>
      <c r="BL25" s="1098">
        <v>29.763000000000002</v>
      </c>
      <c r="BM25" s="1098">
        <v>125</v>
      </c>
      <c r="BN25" s="1097">
        <f t="shared" si="34"/>
        <v>1280.2079999999999</v>
      </c>
      <c r="BO25" s="1252">
        <v>84.882000000000005</v>
      </c>
      <c r="BP25" s="1098">
        <v>122.346</v>
      </c>
      <c r="BQ25" s="1098">
        <v>129.179</v>
      </c>
      <c r="BR25" s="1098">
        <v>110.999</v>
      </c>
      <c r="BS25" s="1098">
        <v>48.253</v>
      </c>
      <c r="BT25" s="1098">
        <v>315.82299999999998</v>
      </c>
      <c r="BU25" s="1098">
        <v>59.893999999999998</v>
      </c>
      <c r="BV25" s="1098">
        <v>65.91</v>
      </c>
      <c r="BW25" s="1098"/>
      <c r="BX25" s="1098">
        <v>46.177</v>
      </c>
      <c r="BY25" s="1098">
        <v>77</v>
      </c>
      <c r="BZ25" s="1098">
        <v>112</v>
      </c>
      <c r="CA25" s="1097">
        <f t="shared" si="35"/>
        <v>1172.463</v>
      </c>
      <c r="CB25" s="1252">
        <v>48</v>
      </c>
      <c r="CC25" s="1098">
        <v>73</v>
      </c>
      <c r="CD25" s="1098">
        <v>17</v>
      </c>
      <c r="CE25" s="1098">
        <v>37</v>
      </c>
      <c r="CF25" s="1098">
        <v>54</v>
      </c>
      <c r="CG25" s="1098"/>
      <c r="CH25" s="1098"/>
      <c r="CI25" s="1098"/>
      <c r="CJ25" s="1098"/>
      <c r="CK25" s="1098">
        <v>14</v>
      </c>
      <c r="CL25" s="1098">
        <v>60</v>
      </c>
      <c r="CM25" s="1098">
        <v>17</v>
      </c>
      <c r="CN25" s="1097">
        <f t="shared" si="36"/>
        <v>320</v>
      </c>
      <c r="CO25" s="1252"/>
      <c r="CP25" s="1098">
        <v>9</v>
      </c>
      <c r="CQ25" s="1098"/>
      <c r="CR25" s="1098"/>
      <c r="CS25" s="1098">
        <v>17</v>
      </c>
      <c r="CT25" s="1098">
        <v>15</v>
      </c>
      <c r="CU25" s="1098">
        <v>17</v>
      </c>
      <c r="CV25" s="1098">
        <v>71</v>
      </c>
      <c r="CW25" s="1098"/>
      <c r="CX25" s="1098">
        <v>11</v>
      </c>
      <c r="CY25" s="1098">
        <v>5</v>
      </c>
      <c r="CZ25" s="1098">
        <v>30</v>
      </c>
      <c r="DA25" s="1097">
        <f t="shared" si="37"/>
        <v>175</v>
      </c>
      <c r="DB25" s="1252">
        <v>18</v>
      </c>
      <c r="DC25" s="1098">
        <v>8</v>
      </c>
      <c r="DD25" s="1098">
        <v>5</v>
      </c>
      <c r="DE25" s="1098"/>
      <c r="DF25" s="1098">
        <v>260</v>
      </c>
      <c r="DG25" s="1098">
        <v>23</v>
      </c>
      <c r="DH25" s="1098"/>
      <c r="DI25" s="1098"/>
      <c r="DJ25" s="1098"/>
      <c r="DK25" s="1098">
        <v>10</v>
      </c>
      <c r="DL25" s="1098"/>
      <c r="DM25" s="1098"/>
      <c r="DN25" s="1097">
        <f t="shared" si="38"/>
        <v>324</v>
      </c>
      <c r="DO25" s="1252"/>
      <c r="DP25" s="1098"/>
      <c r="DQ25" s="1098"/>
      <c r="DR25" s="1098"/>
      <c r="DS25" s="1098"/>
      <c r="DT25" s="1098"/>
      <c r="DU25" s="1098"/>
      <c r="DV25" s="1098"/>
      <c r="DW25" s="1098"/>
      <c r="DX25" s="1098"/>
      <c r="DY25" s="1098"/>
      <c r="DZ25" s="1098"/>
      <c r="EA25" s="1097">
        <f t="shared" si="39"/>
        <v>0</v>
      </c>
      <c r="EB25" s="1252"/>
      <c r="EC25" s="1098"/>
      <c r="ED25" s="1098"/>
      <c r="EE25" s="1098"/>
      <c r="EF25" s="1098"/>
      <c r="EG25" s="1098"/>
      <c r="EH25" s="1098"/>
      <c r="EI25" s="1098"/>
      <c r="EJ25" s="1098"/>
      <c r="EK25" s="1098"/>
      <c r="EL25" s="1098"/>
      <c r="EM25" s="1098"/>
      <c r="EN25" s="1097">
        <f t="shared" si="40"/>
        <v>0</v>
      </c>
      <c r="EO25" s="1252"/>
      <c r="EP25" s="1098">
        <v>7</v>
      </c>
      <c r="EQ25" s="1098"/>
      <c r="ER25" s="1098"/>
      <c r="ES25" s="1098"/>
      <c r="ET25" s="1098"/>
      <c r="EU25" s="1098"/>
      <c r="EV25" s="1098"/>
      <c r="EW25" s="1098"/>
      <c r="EX25" s="1098"/>
      <c r="EY25" s="1098"/>
      <c r="EZ25" s="1098"/>
      <c r="FA25" s="1097">
        <f t="shared" si="41"/>
        <v>7</v>
      </c>
      <c r="FB25" s="1252">
        <v>20</v>
      </c>
      <c r="FC25" s="1098"/>
      <c r="FD25" s="1098"/>
      <c r="FE25" s="1098"/>
      <c r="FF25" s="1098"/>
      <c r="FG25" s="1098"/>
      <c r="FH25" s="1098"/>
      <c r="FI25" s="1098"/>
      <c r="FJ25" s="1098"/>
      <c r="FK25" s="1098"/>
      <c r="FL25" s="1098"/>
      <c r="FM25" s="1098"/>
      <c r="FN25" s="1097">
        <f t="shared" si="42"/>
        <v>20</v>
      </c>
      <c r="FO25" s="1252"/>
      <c r="FP25" s="1098"/>
      <c r="FQ25" s="1098"/>
      <c r="FR25" s="1098"/>
      <c r="FS25" s="1098"/>
      <c r="FT25" s="1098"/>
      <c r="FU25" s="1098"/>
      <c r="FV25" s="1098"/>
      <c r="FW25" s="1098"/>
      <c r="FX25" s="1098"/>
      <c r="FY25" s="1098"/>
      <c r="FZ25" s="1098"/>
      <c r="GA25" s="1097">
        <f t="shared" si="43"/>
        <v>0</v>
      </c>
      <c r="GB25" s="1252"/>
      <c r="GC25" s="1098"/>
      <c r="GD25" s="1098"/>
      <c r="GE25" s="1098"/>
      <c r="GF25" s="1098"/>
      <c r="GG25" s="1098"/>
      <c r="GH25" s="1098">
        <v>83</v>
      </c>
      <c r="GI25" s="1098"/>
      <c r="GJ25" s="1098"/>
      <c r="GK25" s="1098">
        <v>17</v>
      </c>
      <c r="GL25" s="1098"/>
      <c r="GM25" s="1098"/>
      <c r="GN25" s="1097">
        <f t="shared" si="44"/>
        <v>100</v>
      </c>
      <c r="GO25" s="1252"/>
      <c r="GP25" s="1098"/>
      <c r="GQ25" s="1098"/>
      <c r="GR25" s="1098"/>
      <c r="GS25" s="1098"/>
      <c r="GT25" s="1098"/>
      <c r="GU25" s="1098"/>
      <c r="GV25" s="1098"/>
      <c r="GW25" s="1098"/>
      <c r="GX25" s="1098"/>
      <c r="GY25" s="1098"/>
      <c r="GZ25" s="1098"/>
      <c r="HA25" s="1097">
        <f t="shared" si="45"/>
        <v>0</v>
      </c>
      <c r="HB25" s="1252"/>
      <c r="HC25" s="1098"/>
      <c r="HD25" s="1098"/>
      <c r="HE25" s="1098"/>
      <c r="HF25" s="1098"/>
      <c r="HG25" s="1098"/>
      <c r="HH25" s="1098"/>
      <c r="HI25" s="1098"/>
      <c r="HJ25" s="1098"/>
      <c r="HK25" s="1098"/>
      <c r="HL25" s="1098"/>
      <c r="HM25" s="1098"/>
      <c r="HN25" s="1097">
        <f t="shared" si="46"/>
        <v>0</v>
      </c>
      <c r="HO25" s="1252"/>
      <c r="HP25" s="1098"/>
      <c r="HQ25" s="1098"/>
      <c r="HR25" s="1098"/>
      <c r="HS25" s="1098"/>
      <c r="HT25" s="1098"/>
      <c r="HU25" s="1098"/>
      <c r="HV25" s="1098"/>
      <c r="HW25" s="1098"/>
      <c r="HX25" s="1098"/>
      <c r="HY25" s="1098"/>
      <c r="HZ25" s="1098"/>
      <c r="IA25" s="1097">
        <f t="shared" si="47"/>
        <v>0</v>
      </c>
      <c r="IB25" s="1252"/>
      <c r="IC25" s="1098"/>
      <c r="ID25" s="1098"/>
      <c r="IE25" s="1098"/>
      <c r="IF25" s="1098"/>
      <c r="IG25" s="1098"/>
      <c r="IH25" s="1098"/>
      <c r="II25" s="1098"/>
      <c r="IJ25" s="1098"/>
      <c r="IK25" s="1098"/>
      <c r="IL25" s="1098"/>
      <c r="IM25" s="1098"/>
      <c r="IN25" s="1097">
        <f t="shared" si="48"/>
        <v>0</v>
      </c>
      <c r="IO25" s="1252"/>
      <c r="IP25" s="1098"/>
      <c r="IQ25" s="1098"/>
      <c r="IR25" s="1098"/>
      <c r="IS25" s="1098"/>
      <c r="IT25" s="1098"/>
      <c r="IU25" s="1098"/>
      <c r="IV25" s="1098"/>
      <c r="IW25" s="1098"/>
      <c r="IX25" s="1098"/>
      <c r="IY25" s="1098"/>
      <c r="IZ25" s="1098"/>
      <c r="JA25" s="1097">
        <f t="shared" si="49"/>
        <v>0</v>
      </c>
      <c r="JB25" s="1252"/>
      <c r="JC25" s="1098"/>
      <c r="JD25" s="1098"/>
      <c r="JE25" s="1098"/>
      <c r="JF25" s="1098"/>
      <c r="JG25" s="1098"/>
      <c r="JH25" s="1098"/>
      <c r="JI25" s="1098"/>
      <c r="JJ25" s="1098"/>
      <c r="JK25" s="1098"/>
      <c r="JL25" s="1098"/>
      <c r="JM25" s="1098"/>
      <c r="JN25" s="1097">
        <f t="shared" si="50"/>
        <v>0</v>
      </c>
      <c r="JO25" s="1252"/>
      <c r="JP25" s="1098"/>
      <c r="JQ25" s="1098"/>
      <c r="JR25" s="1098"/>
      <c r="JS25" s="1098"/>
      <c r="JT25" s="1098"/>
      <c r="JU25" s="1098"/>
      <c r="JV25" s="1098"/>
      <c r="JW25" s="1098"/>
      <c r="JX25" s="1098"/>
      <c r="JY25" s="1098"/>
      <c r="JZ25" s="1098"/>
      <c r="KA25" s="1097">
        <f t="shared" si="51"/>
        <v>0</v>
      </c>
      <c r="KB25" s="1252"/>
      <c r="KC25" s="1098"/>
      <c r="KD25" s="1098"/>
      <c r="KE25" s="1098"/>
      <c r="KF25" s="1098"/>
      <c r="KG25" s="1098"/>
      <c r="KH25" s="1098"/>
      <c r="KI25" s="1098"/>
      <c r="KJ25" s="1098">
        <v>1.633</v>
      </c>
      <c r="KK25" s="1098"/>
      <c r="KL25" s="1098"/>
      <c r="KM25" s="1098"/>
      <c r="KN25" s="1097">
        <f t="shared" si="52"/>
        <v>1.633</v>
      </c>
      <c r="KO25" s="1252"/>
      <c r="KP25" s="1098"/>
      <c r="KQ25" s="1098"/>
      <c r="KR25" s="1098"/>
      <c r="KS25" s="1098">
        <v>13.32</v>
      </c>
      <c r="KT25" s="1098">
        <v>2.214</v>
      </c>
      <c r="KU25" s="1098">
        <v>8.0879999999999992</v>
      </c>
      <c r="KV25" s="1098"/>
      <c r="KW25" s="1098">
        <v>2.2170000000000001</v>
      </c>
      <c r="KX25" s="1098"/>
      <c r="KY25" s="1098">
        <v>1.9870000000000001</v>
      </c>
      <c r="KZ25" s="1098"/>
      <c r="LA25" s="1097">
        <f t="shared" si="53"/>
        <v>27.826000000000001</v>
      </c>
      <c r="LB25" s="1252">
        <v>9.9999999999999994E-12</v>
      </c>
      <c r="LC25" s="1098"/>
      <c r="LD25" s="1098"/>
      <c r="LE25" s="1098"/>
      <c r="LF25" s="1098"/>
      <c r="LG25" s="1098"/>
      <c r="LH25" s="1098"/>
      <c r="LI25" s="1098"/>
      <c r="LJ25" s="1098"/>
      <c r="LK25" s="1098"/>
      <c r="LL25" s="1098"/>
      <c r="LM25" s="1098"/>
      <c r="LN25" s="1097">
        <f t="shared" si="54"/>
        <v>9.9999999999999994E-12</v>
      </c>
      <c r="LP25" s="1116" t="str">
        <f t="shared" si="55"/>
        <v/>
      </c>
      <c r="LQ25" s="1117">
        <f t="shared" si="56"/>
        <v>-99.999999999957666</v>
      </c>
      <c r="LR25" s="1079">
        <f t="shared" si="57"/>
        <v>23.622</v>
      </c>
      <c r="LS25" s="1118">
        <f t="shared" si="58"/>
        <v>9.9999999999999994E-12</v>
      </c>
      <c r="LU25" s="629"/>
      <c r="LV25" s="1139">
        <f t="shared" si="59"/>
        <v>16976.866000000031</v>
      </c>
      <c r="LW25" s="1286" t="s">
        <v>62</v>
      </c>
      <c r="LX25" s="1147" t="str">
        <f t="shared" si="60"/>
        <v>OK</v>
      </c>
    </row>
    <row r="26" spans="1:336" ht="15" customHeight="1" x14ac:dyDescent="0.2">
      <c r="A26" s="1280" t="s">
        <v>63</v>
      </c>
      <c r="B26" s="1252"/>
      <c r="C26" s="1098"/>
      <c r="D26" s="1098"/>
      <c r="E26" s="1098"/>
      <c r="F26" s="1098"/>
      <c r="G26" s="1098"/>
      <c r="H26" s="1098"/>
      <c r="I26" s="1098"/>
      <c r="J26" s="1098"/>
      <c r="K26" s="1098"/>
      <c r="L26" s="1098">
        <v>20.454000000000001</v>
      </c>
      <c r="M26" s="1098">
        <v>63.634999999999998</v>
      </c>
      <c r="N26" s="1097">
        <f t="shared" si="30"/>
        <v>84.088999999999999</v>
      </c>
      <c r="O26" s="1252">
        <v>22.727</v>
      </c>
      <c r="P26" s="1098"/>
      <c r="Q26" s="1098"/>
      <c r="R26" s="1098"/>
      <c r="S26" s="1098"/>
      <c r="T26" s="1098"/>
      <c r="U26" s="1098"/>
      <c r="V26" s="1098"/>
      <c r="W26" s="1098"/>
      <c r="X26" s="1098"/>
      <c r="Y26" s="1098"/>
      <c r="Z26" s="1098"/>
      <c r="AA26" s="1097">
        <f t="shared" si="31"/>
        <v>22.727</v>
      </c>
      <c r="AB26" s="1252"/>
      <c r="AC26" s="1098">
        <v>16.390999999999998</v>
      </c>
      <c r="AD26" s="1098"/>
      <c r="AE26" s="1098"/>
      <c r="AF26" s="1098"/>
      <c r="AG26" s="1098">
        <v>7.9059999999999997</v>
      </c>
      <c r="AH26" s="1098"/>
      <c r="AI26" s="1098">
        <v>22.6</v>
      </c>
      <c r="AJ26" s="1098"/>
      <c r="AK26" s="1098"/>
      <c r="AL26" s="1098">
        <v>18.989999999999998</v>
      </c>
      <c r="AM26" s="1098">
        <v>7.09</v>
      </c>
      <c r="AN26" s="1097">
        <f t="shared" si="32"/>
        <v>72.977000000000004</v>
      </c>
      <c r="AO26" s="1252"/>
      <c r="AP26" s="1098"/>
      <c r="AQ26" s="1098">
        <v>7.2729999999999997</v>
      </c>
      <c r="AR26" s="1098">
        <v>31.495999999999999</v>
      </c>
      <c r="AS26" s="1098"/>
      <c r="AT26" s="1098"/>
      <c r="AU26" s="1098"/>
      <c r="AV26" s="1098"/>
      <c r="AW26" s="1098"/>
      <c r="AX26" s="1098"/>
      <c r="AY26" s="1098"/>
      <c r="AZ26" s="1098"/>
      <c r="BA26" s="1097">
        <f t="shared" si="33"/>
        <v>38.768999999999998</v>
      </c>
      <c r="BB26" s="1252"/>
      <c r="BC26" s="1098"/>
      <c r="BD26" s="1098"/>
      <c r="BE26" s="1098"/>
      <c r="BF26" s="1098"/>
      <c r="BG26" s="1098"/>
      <c r="BH26" s="1098"/>
      <c r="BI26" s="1098">
        <v>23</v>
      </c>
      <c r="BJ26" s="1098">
        <v>38</v>
      </c>
      <c r="BK26" s="1098">
        <v>54.14</v>
      </c>
      <c r="BL26" s="1098">
        <v>20.251000000000001</v>
      </c>
      <c r="BM26" s="1098">
        <v>26</v>
      </c>
      <c r="BN26" s="1097">
        <f t="shared" si="34"/>
        <v>161.39099999999999</v>
      </c>
      <c r="BO26" s="1252"/>
      <c r="BP26" s="1098"/>
      <c r="BQ26" s="1098">
        <v>25.030999999999999</v>
      </c>
      <c r="BR26" s="1098">
        <v>5.1950000000000003</v>
      </c>
      <c r="BS26" s="1098"/>
      <c r="BT26" s="1098"/>
      <c r="BU26" s="1098"/>
      <c r="BV26" s="1098">
        <v>9.2420000000000009</v>
      </c>
      <c r="BW26" s="1098"/>
      <c r="BX26" s="1098"/>
      <c r="BY26" s="1098">
        <v>10</v>
      </c>
      <c r="BZ26" s="1098"/>
      <c r="CA26" s="1097">
        <f t="shared" si="35"/>
        <v>49.468000000000004</v>
      </c>
      <c r="CB26" s="1252"/>
      <c r="CC26" s="1098">
        <v>39</v>
      </c>
      <c r="CD26" s="1098">
        <v>63</v>
      </c>
      <c r="CE26" s="1098">
        <v>36</v>
      </c>
      <c r="CF26" s="1098">
        <v>70</v>
      </c>
      <c r="CG26" s="1098">
        <v>37</v>
      </c>
      <c r="CH26" s="1098">
        <v>17</v>
      </c>
      <c r="CI26" s="1098">
        <v>5</v>
      </c>
      <c r="CJ26" s="1098"/>
      <c r="CK26" s="1098"/>
      <c r="CL26" s="1098">
        <v>3</v>
      </c>
      <c r="CM26" s="1098">
        <v>9</v>
      </c>
      <c r="CN26" s="1097">
        <f t="shared" si="36"/>
        <v>279</v>
      </c>
      <c r="CO26" s="1252">
        <v>18</v>
      </c>
      <c r="CP26" s="1098">
        <v>7</v>
      </c>
      <c r="CQ26" s="1098"/>
      <c r="CR26" s="1098"/>
      <c r="CS26" s="1098"/>
      <c r="CT26" s="1098"/>
      <c r="CU26" s="1098"/>
      <c r="CV26" s="1098"/>
      <c r="CW26" s="1098"/>
      <c r="CX26" s="1098"/>
      <c r="CY26" s="1098"/>
      <c r="CZ26" s="1098"/>
      <c r="DA26" s="1097">
        <f t="shared" si="37"/>
        <v>25</v>
      </c>
      <c r="DB26" s="1252"/>
      <c r="DC26" s="1098"/>
      <c r="DD26" s="1098">
        <v>7</v>
      </c>
      <c r="DE26" s="1098"/>
      <c r="DF26" s="1098">
        <v>18</v>
      </c>
      <c r="DG26" s="1098"/>
      <c r="DH26" s="1098"/>
      <c r="DI26" s="1098"/>
      <c r="DJ26" s="1098">
        <v>3</v>
      </c>
      <c r="DK26" s="1098">
        <v>11</v>
      </c>
      <c r="DL26" s="1098">
        <v>20</v>
      </c>
      <c r="DM26" s="1098"/>
      <c r="DN26" s="1097">
        <f t="shared" si="38"/>
        <v>59</v>
      </c>
      <c r="DO26" s="1252">
        <v>12</v>
      </c>
      <c r="DP26" s="1098"/>
      <c r="DQ26" s="1098"/>
      <c r="DR26" s="1098"/>
      <c r="DS26" s="1098">
        <v>5</v>
      </c>
      <c r="DT26" s="1098"/>
      <c r="DU26" s="1098"/>
      <c r="DV26" s="1098"/>
      <c r="DW26" s="1098">
        <v>21</v>
      </c>
      <c r="DX26" s="1098"/>
      <c r="DY26" s="1098">
        <v>9</v>
      </c>
      <c r="DZ26" s="1098"/>
      <c r="EA26" s="1097">
        <f t="shared" si="39"/>
        <v>47</v>
      </c>
      <c r="EB26" s="1252">
        <v>14</v>
      </c>
      <c r="EC26" s="1098"/>
      <c r="ED26" s="1098"/>
      <c r="EE26" s="1098">
        <v>23</v>
      </c>
      <c r="EF26" s="1098">
        <v>41</v>
      </c>
      <c r="EG26" s="1098">
        <v>59</v>
      </c>
      <c r="EH26" s="1098">
        <v>5</v>
      </c>
      <c r="EI26" s="1098">
        <v>6</v>
      </c>
      <c r="EJ26" s="1098">
        <v>69</v>
      </c>
      <c r="EK26" s="1098">
        <v>10</v>
      </c>
      <c r="EL26" s="1098"/>
      <c r="EM26" s="1098">
        <v>5</v>
      </c>
      <c r="EN26" s="1097">
        <f t="shared" si="40"/>
        <v>232</v>
      </c>
      <c r="EO26" s="1252"/>
      <c r="EP26" s="1098"/>
      <c r="EQ26" s="1098"/>
      <c r="ER26" s="1098">
        <v>44</v>
      </c>
      <c r="ES26" s="1098"/>
      <c r="ET26" s="1098">
        <v>13</v>
      </c>
      <c r="EU26" s="1098"/>
      <c r="EV26" s="1098">
        <v>20</v>
      </c>
      <c r="EW26" s="1098"/>
      <c r="EX26" s="1098">
        <v>3</v>
      </c>
      <c r="EY26" s="1098"/>
      <c r="EZ26" s="1098"/>
      <c r="FA26" s="1097">
        <f t="shared" si="41"/>
        <v>80</v>
      </c>
      <c r="FB26" s="1252"/>
      <c r="FC26" s="1098"/>
      <c r="FD26" s="1098"/>
      <c r="FE26" s="1098">
        <v>25</v>
      </c>
      <c r="FF26" s="1098">
        <v>22</v>
      </c>
      <c r="FG26" s="1098">
        <v>35</v>
      </c>
      <c r="FH26" s="1098"/>
      <c r="FI26" s="1098">
        <v>8</v>
      </c>
      <c r="FJ26" s="1098">
        <v>1</v>
      </c>
      <c r="FK26" s="1098"/>
      <c r="FL26" s="1098"/>
      <c r="FM26" s="1098">
        <v>2.5</v>
      </c>
      <c r="FN26" s="1097">
        <f t="shared" si="42"/>
        <v>93.5</v>
      </c>
      <c r="FO26" s="1252">
        <v>3</v>
      </c>
      <c r="FP26" s="1098"/>
      <c r="FQ26" s="1098"/>
      <c r="FR26" s="1098">
        <v>4</v>
      </c>
      <c r="FS26" s="1098">
        <v>44</v>
      </c>
      <c r="FT26" s="1098">
        <v>19</v>
      </c>
      <c r="FU26" s="1098">
        <v>31</v>
      </c>
      <c r="FV26" s="1098">
        <v>1</v>
      </c>
      <c r="FW26" s="1098"/>
      <c r="FX26" s="1098"/>
      <c r="FY26" s="1098"/>
      <c r="FZ26" s="1098"/>
      <c r="GA26" s="1097">
        <f t="shared" si="43"/>
        <v>102</v>
      </c>
      <c r="GB26" s="1252"/>
      <c r="GC26" s="1098">
        <v>9</v>
      </c>
      <c r="GD26" s="1098">
        <v>8.0489999999999995</v>
      </c>
      <c r="GE26" s="1098"/>
      <c r="GF26" s="1098">
        <v>1.7789999999999999</v>
      </c>
      <c r="GG26" s="1098"/>
      <c r="GH26" s="1098"/>
      <c r="GI26" s="1098">
        <v>3</v>
      </c>
      <c r="GJ26" s="1098">
        <v>5</v>
      </c>
      <c r="GK26" s="1098"/>
      <c r="GL26" s="1098"/>
      <c r="GM26" s="1098"/>
      <c r="GN26" s="1097">
        <f t="shared" si="44"/>
        <v>26.827999999999999</v>
      </c>
      <c r="GO26" s="1252"/>
      <c r="GP26" s="1098">
        <v>75.281000000000006</v>
      </c>
      <c r="GQ26" s="1098">
        <v>1.8740000000000001</v>
      </c>
      <c r="GR26" s="1098"/>
      <c r="GS26" s="1098"/>
      <c r="GT26" s="1098"/>
      <c r="GU26" s="1098"/>
      <c r="GV26" s="1098">
        <v>5.335</v>
      </c>
      <c r="GW26" s="1098"/>
      <c r="GX26" s="1098"/>
      <c r="GY26" s="1098"/>
      <c r="GZ26" s="1098"/>
      <c r="HA26" s="1097">
        <f t="shared" si="45"/>
        <v>82.49</v>
      </c>
      <c r="HB26" s="1252"/>
      <c r="HC26" s="1098"/>
      <c r="HD26" s="1098"/>
      <c r="HE26" s="1098"/>
      <c r="HF26" s="1098"/>
      <c r="HG26" s="1098">
        <v>3</v>
      </c>
      <c r="HH26" s="1098"/>
      <c r="HI26" s="1098"/>
      <c r="HJ26" s="1098"/>
      <c r="HK26" s="1098">
        <v>3.1480000000000001</v>
      </c>
      <c r="HL26" s="1098">
        <v>5.6639999999999997</v>
      </c>
      <c r="HM26" s="1098"/>
      <c r="HN26" s="1097">
        <f t="shared" si="46"/>
        <v>11.811999999999999</v>
      </c>
      <c r="HO26" s="1252"/>
      <c r="HP26" s="1098">
        <v>8.5530000000000008</v>
      </c>
      <c r="HQ26" s="1098"/>
      <c r="HR26" s="1098">
        <v>22.707999999999998</v>
      </c>
      <c r="HS26" s="1098">
        <v>8.4659999999999993</v>
      </c>
      <c r="HT26" s="1098">
        <v>0.98199999999999998</v>
      </c>
      <c r="HU26" s="1098"/>
      <c r="HV26" s="1098"/>
      <c r="HW26" s="1098"/>
      <c r="HX26" s="1098"/>
      <c r="HY26" s="1098"/>
      <c r="HZ26" s="1098"/>
      <c r="IA26" s="1097">
        <f t="shared" si="47"/>
        <v>40.708999999999996</v>
      </c>
      <c r="IB26" s="1252"/>
      <c r="IC26" s="1098"/>
      <c r="ID26" s="1098"/>
      <c r="IE26" s="1098"/>
      <c r="IF26" s="1098"/>
      <c r="IG26" s="1098"/>
      <c r="IH26" s="1098"/>
      <c r="II26" s="1098"/>
      <c r="IJ26" s="1098"/>
      <c r="IK26" s="1098"/>
      <c r="IL26" s="1098">
        <v>1.4470000000000001</v>
      </c>
      <c r="IM26" s="1098">
        <v>21.503</v>
      </c>
      <c r="IN26" s="1097">
        <f t="shared" si="48"/>
        <v>22.95</v>
      </c>
      <c r="IO26" s="1252">
        <v>9.1649999999999991</v>
      </c>
      <c r="IP26" s="1098">
        <v>1.5009999999999999</v>
      </c>
      <c r="IQ26" s="1098">
        <v>7.2949999999999999</v>
      </c>
      <c r="IR26" s="1098"/>
      <c r="IS26" s="1098">
        <v>3.173</v>
      </c>
      <c r="IT26" s="1098">
        <v>1.8009999999999999</v>
      </c>
      <c r="IU26" s="1098"/>
      <c r="IV26" s="1098">
        <v>5.9859999999999998</v>
      </c>
      <c r="IW26" s="1098">
        <v>1.3069999999999999</v>
      </c>
      <c r="IX26" s="1098"/>
      <c r="IY26" s="1098">
        <v>5.556</v>
      </c>
      <c r="IZ26" s="1098"/>
      <c r="JA26" s="1097">
        <f t="shared" si="49"/>
        <v>35.783999999999999</v>
      </c>
      <c r="JB26" s="1252">
        <v>4.5140000000000002</v>
      </c>
      <c r="JC26" s="1098"/>
      <c r="JD26" s="1098"/>
      <c r="JE26" s="1098">
        <v>12.715</v>
      </c>
      <c r="JF26" s="1098"/>
      <c r="JG26" s="1098"/>
      <c r="JH26" s="1098">
        <v>1.772</v>
      </c>
      <c r="JI26" s="1098">
        <v>9.2200000000000006</v>
      </c>
      <c r="JJ26" s="1098">
        <v>2.6480000000000001</v>
      </c>
      <c r="JK26" s="1098">
        <v>2.2250000000000001</v>
      </c>
      <c r="JL26" s="1098"/>
      <c r="JM26" s="1098"/>
      <c r="JN26" s="1097">
        <f t="shared" si="50"/>
        <v>33.093999999999994</v>
      </c>
      <c r="JO26" s="1252"/>
      <c r="JP26" s="1098"/>
      <c r="JQ26" s="1098"/>
      <c r="JR26" s="1098"/>
      <c r="JS26" s="1098"/>
      <c r="JT26" s="1098"/>
      <c r="JU26" s="1098">
        <v>6.625</v>
      </c>
      <c r="JV26" s="1098">
        <v>11.166</v>
      </c>
      <c r="JW26" s="1098">
        <v>6.3369999999999997</v>
      </c>
      <c r="JX26" s="1098">
        <v>5.4080000000000004</v>
      </c>
      <c r="JY26" s="1098">
        <f>6.09+44.386</f>
        <v>50.475999999999999</v>
      </c>
      <c r="JZ26" s="1098"/>
      <c r="KA26" s="1097">
        <f t="shared" si="51"/>
        <v>80.012</v>
      </c>
      <c r="KB26" s="1252"/>
      <c r="KC26" s="1098"/>
      <c r="KD26" s="1098"/>
      <c r="KE26" s="1098"/>
      <c r="KF26" s="1098"/>
      <c r="KG26" s="1098">
        <v>2.6579999999999999</v>
      </c>
      <c r="KH26" s="1098">
        <v>4.9089999999999998</v>
      </c>
      <c r="KI26" s="1098">
        <v>26.350999999999999</v>
      </c>
      <c r="KJ26" s="1098">
        <v>20.068999999999999</v>
      </c>
      <c r="KK26" s="1098"/>
      <c r="KL26" s="1098">
        <v>5.3940000000000001</v>
      </c>
      <c r="KM26" s="1098"/>
      <c r="KN26" s="1097">
        <f t="shared" si="52"/>
        <v>59.380999999999993</v>
      </c>
      <c r="KO26" s="1252"/>
      <c r="KP26" s="1098"/>
      <c r="KQ26" s="1098"/>
      <c r="KR26" s="1098"/>
      <c r="KS26" s="1098">
        <v>16.812999999999999</v>
      </c>
      <c r="KT26" s="1098">
        <v>0.97299999999999998</v>
      </c>
      <c r="KU26" s="1098">
        <v>9.0169999999999995</v>
      </c>
      <c r="KV26" s="1098"/>
      <c r="KW26" s="1098"/>
      <c r="KX26" s="1098">
        <v>2.6949999999999998</v>
      </c>
      <c r="KY26" s="1098"/>
      <c r="KZ26" s="1098"/>
      <c r="LA26" s="1097">
        <f t="shared" si="53"/>
        <v>29.497999999999998</v>
      </c>
      <c r="LB26" s="1252">
        <v>9.9999999999999994E-12</v>
      </c>
      <c r="LC26" s="1098"/>
      <c r="LD26" s="1098"/>
      <c r="LE26" s="1098"/>
      <c r="LF26" s="1098"/>
      <c r="LG26" s="1098"/>
      <c r="LH26" s="1098"/>
      <c r="LI26" s="1098"/>
      <c r="LJ26" s="1098"/>
      <c r="LK26" s="1098"/>
      <c r="LL26" s="1098"/>
      <c r="LM26" s="1098"/>
      <c r="LN26" s="1097">
        <f t="shared" si="54"/>
        <v>9.9999999999999994E-12</v>
      </c>
      <c r="LP26" s="1116" t="str">
        <f t="shared" si="55"/>
        <v/>
      </c>
      <c r="LQ26" s="1117">
        <f t="shared" si="56"/>
        <v>-99.999999999962682</v>
      </c>
      <c r="LR26" s="1079">
        <f t="shared" si="57"/>
        <v>26.802999999999997</v>
      </c>
      <c r="LS26" s="1118">
        <f t="shared" si="58"/>
        <v>9.9999999999999994E-12</v>
      </c>
      <c r="LU26" s="629"/>
      <c r="LV26" s="1139">
        <f t="shared" si="59"/>
        <v>3538.9580000000192</v>
      </c>
      <c r="LW26" s="1286" t="s">
        <v>63</v>
      </c>
      <c r="LX26" s="1147" t="str">
        <f t="shared" si="60"/>
        <v>OK</v>
      </c>
    </row>
    <row r="27" spans="1:336" ht="15" customHeight="1" x14ac:dyDescent="0.2">
      <c r="A27" s="1280" t="s">
        <v>64</v>
      </c>
      <c r="B27" s="1252">
        <v>36.326000000000001</v>
      </c>
      <c r="C27" s="1098"/>
      <c r="D27" s="1098"/>
      <c r="E27" s="1098"/>
      <c r="F27" s="1098">
        <v>5.89</v>
      </c>
      <c r="G27" s="1098">
        <v>5.4539999999999997</v>
      </c>
      <c r="H27" s="1098"/>
      <c r="I27" s="1098">
        <v>13.635999999999999</v>
      </c>
      <c r="J27" s="1098"/>
      <c r="K27" s="1098"/>
      <c r="L27" s="1098"/>
      <c r="M27" s="1098"/>
      <c r="N27" s="1097">
        <f t="shared" si="30"/>
        <v>61.305999999999997</v>
      </c>
      <c r="O27" s="1252">
        <v>6.82</v>
      </c>
      <c r="P27" s="1098"/>
      <c r="Q27" s="1098"/>
      <c r="R27" s="1098"/>
      <c r="S27" s="1098">
        <v>22.731000000000002</v>
      </c>
      <c r="T27" s="1098">
        <v>249.435</v>
      </c>
      <c r="U27" s="1098">
        <v>19.704999999999998</v>
      </c>
      <c r="V27" s="1098"/>
      <c r="W27" s="1098">
        <v>90.930999999999997</v>
      </c>
      <c r="X27" s="1098">
        <v>40.999000000000002</v>
      </c>
      <c r="Y27" s="1098">
        <v>34.991999999999997</v>
      </c>
      <c r="Z27" s="1098"/>
      <c r="AA27" s="1097">
        <f t="shared" si="31"/>
        <v>465.613</v>
      </c>
      <c r="AB27" s="1252">
        <v>10.034000000000001</v>
      </c>
      <c r="AC27" s="1098">
        <v>87.019000000000005</v>
      </c>
      <c r="AD27" s="1098">
        <v>39.5</v>
      </c>
      <c r="AE27" s="1098">
        <v>13</v>
      </c>
      <c r="AF27" s="1098">
        <v>45.915999999999997</v>
      </c>
      <c r="AG27" s="1098">
        <v>10</v>
      </c>
      <c r="AH27" s="1098">
        <v>45.283999999999999</v>
      </c>
      <c r="AI27" s="1098">
        <v>89.638999999999996</v>
      </c>
      <c r="AJ27" s="1098">
        <v>13.409000000000001</v>
      </c>
      <c r="AK27" s="1098"/>
      <c r="AL27" s="1098"/>
      <c r="AM27" s="1098"/>
      <c r="AN27" s="1097">
        <f t="shared" si="32"/>
        <v>353.80099999999999</v>
      </c>
      <c r="AO27" s="1252"/>
      <c r="AP27" s="1098">
        <v>54.918999999999997</v>
      </c>
      <c r="AQ27" s="1098">
        <v>12.693</v>
      </c>
      <c r="AR27" s="1098">
        <v>17.448</v>
      </c>
      <c r="AS27" s="1098">
        <v>13.733000000000001</v>
      </c>
      <c r="AT27" s="1098">
        <v>243</v>
      </c>
      <c r="AU27" s="1098"/>
      <c r="AV27" s="1098"/>
      <c r="AW27" s="1098"/>
      <c r="AX27" s="1098"/>
      <c r="AY27" s="1098"/>
      <c r="AZ27" s="1098"/>
      <c r="BA27" s="1097">
        <f t="shared" si="33"/>
        <v>341.79300000000001</v>
      </c>
      <c r="BB27" s="1252"/>
      <c r="BC27" s="1098"/>
      <c r="BD27" s="1098"/>
      <c r="BE27" s="1098"/>
      <c r="BF27" s="1098"/>
      <c r="BG27" s="1098"/>
      <c r="BH27" s="1098"/>
      <c r="BI27" s="1098">
        <v>26</v>
      </c>
      <c r="BJ27" s="1098">
        <v>79</v>
      </c>
      <c r="BK27" s="1098"/>
      <c r="BL27" s="1098"/>
      <c r="BM27" s="1098">
        <v>57</v>
      </c>
      <c r="BN27" s="1097">
        <f t="shared" si="34"/>
        <v>162</v>
      </c>
      <c r="BO27" s="1252"/>
      <c r="BP27" s="1098">
        <v>42.362000000000002</v>
      </c>
      <c r="BQ27" s="1098">
        <v>18.158000000000001</v>
      </c>
      <c r="BR27" s="1098">
        <v>111.459</v>
      </c>
      <c r="BS27" s="1098">
        <v>158.66300000000001</v>
      </c>
      <c r="BT27" s="1098">
        <v>74.191999999999993</v>
      </c>
      <c r="BU27" s="1098"/>
      <c r="BV27" s="1098">
        <v>124.616</v>
      </c>
      <c r="BW27" s="1098">
        <v>150.994</v>
      </c>
      <c r="BX27" s="1098">
        <v>49.567999999999998</v>
      </c>
      <c r="BY27" s="1098">
        <v>110</v>
      </c>
      <c r="BZ27" s="1098">
        <v>15</v>
      </c>
      <c r="CA27" s="1097">
        <f t="shared" si="35"/>
        <v>855.01200000000006</v>
      </c>
      <c r="CB27" s="1252">
        <v>20</v>
      </c>
      <c r="CC27" s="1098">
        <v>142</v>
      </c>
      <c r="CD27" s="1098">
        <v>94</v>
      </c>
      <c r="CE27" s="1098">
        <v>75</v>
      </c>
      <c r="CF27" s="1098">
        <v>98</v>
      </c>
      <c r="CG27" s="1098">
        <v>187</v>
      </c>
      <c r="CH27" s="1098"/>
      <c r="CI27" s="1098"/>
      <c r="CJ27" s="1098">
        <v>88</v>
      </c>
      <c r="CK27" s="1098">
        <v>21</v>
      </c>
      <c r="CL27" s="1098"/>
      <c r="CM27" s="1098">
        <v>35</v>
      </c>
      <c r="CN27" s="1097">
        <f t="shared" si="36"/>
        <v>760</v>
      </c>
      <c r="CO27" s="1252">
        <v>18</v>
      </c>
      <c r="CP27" s="1098">
        <v>5</v>
      </c>
      <c r="CQ27" s="1098"/>
      <c r="CR27" s="1098">
        <v>17</v>
      </c>
      <c r="CS27" s="1098">
        <v>2</v>
      </c>
      <c r="CT27" s="1098">
        <v>53</v>
      </c>
      <c r="CU27" s="1098"/>
      <c r="CV27" s="1098"/>
      <c r="CW27" s="1098"/>
      <c r="CX27" s="1098">
        <v>13</v>
      </c>
      <c r="CY27" s="1098">
        <v>16</v>
      </c>
      <c r="CZ27" s="1098"/>
      <c r="DA27" s="1097">
        <f t="shared" si="37"/>
        <v>124</v>
      </c>
      <c r="DB27" s="1252">
        <v>21</v>
      </c>
      <c r="DC27" s="1098">
        <v>4</v>
      </c>
      <c r="DD27" s="1098">
        <v>4</v>
      </c>
      <c r="DE27" s="1098">
        <v>15</v>
      </c>
      <c r="DF27" s="1098">
        <v>12</v>
      </c>
      <c r="DG27" s="1098">
        <v>67</v>
      </c>
      <c r="DH27" s="1098"/>
      <c r="DI27" s="1098"/>
      <c r="DJ27" s="1098">
        <v>93</v>
      </c>
      <c r="DK27" s="1098">
        <v>2</v>
      </c>
      <c r="DL27" s="1098">
        <v>72</v>
      </c>
      <c r="DM27" s="1098">
        <v>66</v>
      </c>
      <c r="DN27" s="1097">
        <f t="shared" si="38"/>
        <v>356</v>
      </c>
      <c r="DO27" s="1252">
        <v>18</v>
      </c>
      <c r="DP27" s="1098">
        <v>3</v>
      </c>
      <c r="DQ27" s="1098"/>
      <c r="DR27" s="1098"/>
      <c r="DS27" s="1098">
        <v>11</v>
      </c>
      <c r="DT27" s="1098"/>
      <c r="DU27" s="1098"/>
      <c r="DV27" s="1098">
        <v>9</v>
      </c>
      <c r="DW27" s="1098"/>
      <c r="DX27" s="1098">
        <v>30</v>
      </c>
      <c r="DY27" s="1098">
        <v>28</v>
      </c>
      <c r="DZ27" s="1098"/>
      <c r="EA27" s="1097">
        <f t="shared" si="39"/>
        <v>99</v>
      </c>
      <c r="EB27" s="1252">
        <v>28</v>
      </c>
      <c r="EC27" s="1098"/>
      <c r="ED27" s="1098"/>
      <c r="EE27" s="1098"/>
      <c r="EF27" s="1098"/>
      <c r="EG27" s="1098">
        <v>275</v>
      </c>
      <c r="EH27" s="1098"/>
      <c r="EI27" s="1098"/>
      <c r="EJ27" s="1098"/>
      <c r="EK27" s="1098"/>
      <c r="EL27" s="1098">
        <v>2</v>
      </c>
      <c r="EM27" s="1098"/>
      <c r="EN27" s="1097">
        <f t="shared" si="40"/>
        <v>305</v>
      </c>
      <c r="EO27" s="1252"/>
      <c r="EP27" s="1098">
        <v>40</v>
      </c>
      <c r="EQ27" s="1098">
        <v>2</v>
      </c>
      <c r="ER27" s="1098">
        <v>60</v>
      </c>
      <c r="ES27" s="1098">
        <v>95</v>
      </c>
      <c r="ET27" s="1098">
        <v>53</v>
      </c>
      <c r="EU27" s="1098"/>
      <c r="EV27" s="1098"/>
      <c r="EW27" s="1098">
        <v>26</v>
      </c>
      <c r="EX27" s="1098">
        <v>131</v>
      </c>
      <c r="EY27" s="1098">
        <v>29</v>
      </c>
      <c r="EZ27" s="1098"/>
      <c r="FA27" s="1097">
        <f t="shared" si="41"/>
        <v>436</v>
      </c>
      <c r="FB27" s="1252"/>
      <c r="FC27" s="1098"/>
      <c r="FD27" s="1098"/>
      <c r="FE27" s="1098">
        <v>44</v>
      </c>
      <c r="FF27" s="1098">
        <v>85</v>
      </c>
      <c r="FG27" s="1098">
        <v>160</v>
      </c>
      <c r="FH27" s="1098"/>
      <c r="FI27" s="1098">
        <v>242</v>
      </c>
      <c r="FJ27" s="1098">
        <v>172</v>
      </c>
      <c r="FK27" s="1098">
        <v>26</v>
      </c>
      <c r="FL27" s="1098">
        <v>15.5</v>
      </c>
      <c r="FM27" s="1098"/>
      <c r="FN27" s="1097">
        <f t="shared" si="42"/>
        <v>744.5</v>
      </c>
      <c r="FO27" s="1252">
        <v>26</v>
      </c>
      <c r="FP27" s="1098"/>
      <c r="FQ27" s="1098"/>
      <c r="FR27" s="1098">
        <v>9</v>
      </c>
      <c r="FS27" s="1098">
        <v>46</v>
      </c>
      <c r="FT27" s="1098">
        <v>14</v>
      </c>
      <c r="FU27" s="1098">
        <v>41</v>
      </c>
      <c r="FV27" s="1098"/>
      <c r="FW27" s="1098"/>
      <c r="FX27" s="1098">
        <v>71</v>
      </c>
      <c r="FY27" s="1098">
        <v>7</v>
      </c>
      <c r="FZ27" s="1098">
        <v>102</v>
      </c>
      <c r="GA27" s="1097">
        <f t="shared" si="43"/>
        <v>316</v>
      </c>
      <c r="GB27" s="1252">
        <v>3</v>
      </c>
      <c r="GC27" s="1098"/>
      <c r="GD27" s="1098">
        <v>8.5190000000000001</v>
      </c>
      <c r="GE27" s="1098"/>
      <c r="GF27" s="1098">
        <v>40</v>
      </c>
      <c r="GG27" s="1098">
        <v>88</v>
      </c>
      <c r="GH27" s="1098">
        <v>16</v>
      </c>
      <c r="GI27" s="1098"/>
      <c r="GJ27" s="1098"/>
      <c r="GK27" s="1098"/>
      <c r="GL27" s="1098">
        <v>14</v>
      </c>
      <c r="GM27" s="1098">
        <v>6</v>
      </c>
      <c r="GN27" s="1097">
        <f t="shared" si="44"/>
        <v>175.51900000000001</v>
      </c>
      <c r="GO27" s="1252">
        <v>5.4409999999999998</v>
      </c>
      <c r="GP27" s="1098">
        <v>11.372</v>
      </c>
      <c r="GQ27" s="1098">
        <v>30.096</v>
      </c>
      <c r="GR27" s="1098"/>
      <c r="GS27" s="1098">
        <v>6</v>
      </c>
      <c r="GT27" s="1098"/>
      <c r="GU27" s="1098"/>
      <c r="GV27" s="1098">
        <v>118.68600000000001</v>
      </c>
      <c r="GW27" s="1098"/>
      <c r="GX27" s="1098"/>
      <c r="GY27" s="1098"/>
      <c r="GZ27" s="1098">
        <v>17.047999999999998</v>
      </c>
      <c r="HA27" s="1097">
        <f t="shared" si="45"/>
        <v>188.643</v>
      </c>
      <c r="HB27" s="1252">
        <v>7</v>
      </c>
      <c r="HC27" s="1098"/>
      <c r="HD27" s="1098">
        <v>14</v>
      </c>
      <c r="HE27" s="1098"/>
      <c r="HF27" s="1098"/>
      <c r="HG27" s="1098"/>
      <c r="HH27" s="1098">
        <v>38</v>
      </c>
      <c r="HI27" s="1098"/>
      <c r="HJ27" s="1098">
        <v>3.21</v>
      </c>
      <c r="HK27" s="1098"/>
      <c r="HL27" s="1098"/>
      <c r="HM27" s="1098"/>
      <c r="HN27" s="1097">
        <f t="shared" si="46"/>
        <v>62.21</v>
      </c>
      <c r="HO27" s="1252"/>
      <c r="HP27" s="1098"/>
      <c r="HQ27" s="1098"/>
      <c r="HR27" s="1098"/>
      <c r="HS27" s="1098"/>
      <c r="HT27" s="1098"/>
      <c r="HU27" s="1098">
        <v>3.2029999999999998</v>
      </c>
      <c r="HV27" s="1098"/>
      <c r="HW27" s="1098"/>
      <c r="HX27" s="1098">
        <v>170</v>
      </c>
      <c r="HY27" s="1098">
        <v>9</v>
      </c>
      <c r="HZ27" s="1098"/>
      <c r="IA27" s="1097">
        <f t="shared" si="47"/>
        <v>182.203</v>
      </c>
      <c r="IB27" s="1252"/>
      <c r="IC27" s="1098"/>
      <c r="ID27" s="1098"/>
      <c r="IE27" s="1098"/>
      <c r="IF27" s="1098"/>
      <c r="IG27" s="1098"/>
      <c r="IH27" s="1098"/>
      <c r="II27" s="1098">
        <v>37.99</v>
      </c>
      <c r="IJ27" s="1098">
        <v>24.091999999999999</v>
      </c>
      <c r="IK27" s="1098"/>
      <c r="IL27" s="1098">
        <v>261.27</v>
      </c>
      <c r="IM27" s="1098">
        <v>7.6689999999999996</v>
      </c>
      <c r="IN27" s="1097">
        <f t="shared" si="48"/>
        <v>331.02099999999996</v>
      </c>
      <c r="IO27" s="1252"/>
      <c r="IP27" s="1098"/>
      <c r="IQ27" s="1098"/>
      <c r="IR27" s="1098"/>
      <c r="IS27" s="1098"/>
      <c r="IT27" s="1098"/>
      <c r="IU27" s="1098">
        <v>230.49799999999999</v>
      </c>
      <c r="IV27" s="1098">
        <v>216.76900000000001</v>
      </c>
      <c r="IW27" s="1098">
        <v>138.62799999999999</v>
      </c>
      <c r="IX27" s="1098">
        <v>49.387999999999998</v>
      </c>
      <c r="IY27" s="1098">
        <v>103.01</v>
      </c>
      <c r="IZ27" s="1098">
        <v>1.88</v>
      </c>
      <c r="JA27" s="1097">
        <f t="shared" si="49"/>
        <v>740.173</v>
      </c>
      <c r="JB27" s="1252"/>
      <c r="JC27" s="1098">
        <v>9.2100000000000009</v>
      </c>
      <c r="JD27" s="1098"/>
      <c r="JE27" s="1098"/>
      <c r="JF27" s="1098">
        <v>1.3</v>
      </c>
      <c r="JG27" s="1098"/>
      <c r="JH27" s="1098"/>
      <c r="JI27" s="1098"/>
      <c r="JJ27" s="1098">
        <v>38.685000000000002</v>
      </c>
      <c r="JK27" s="1098">
        <v>138.93199999999999</v>
      </c>
      <c r="JL27" s="1098">
        <v>56.392000000000003</v>
      </c>
      <c r="JM27" s="1098"/>
      <c r="JN27" s="1097">
        <f t="shared" si="50"/>
        <v>244.51900000000001</v>
      </c>
      <c r="JO27" s="1252"/>
      <c r="JP27" s="1098"/>
      <c r="JQ27" s="1098"/>
      <c r="JR27" s="1098"/>
      <c r="JS27" s="1098"/>
      <c r="JT27" s="1098"/>
      <c r="JU27" s="1098">
        <v>50.48</v>
      </c>
      <c r="JV27" s="1098"/>
      <c r="JW27" s="1098"/>
      <c r="JX27" s="1098"/>
      <c r="JY27" s="1098">
        <v>16.076000000000001</v>
      </c>
      <c r="JZ27" s="1098"/>
      <c r="KA27" s="1097">
        <f t="shared" si="51"/>
        <v>66.555999999999997</v>
      </c>
      <c r="KB27" s="1252"/>
      <c r="KC27" s="1098"/>
      <c r="KD27" s="1098"/>
      <c r="KE27" s="1098"/>
      <c r="KF27" s="1098"/>
      <c r="KG27" s="1098"/>
      <c r="KH27" s="1098">
        <v>451.09199999999998</v>
      </c>
      <c r="KI27" s="1098">
        <v>48.508000000000003</v>
      </c>
      <c r="KJ27" s="1098">
        <v>42.197000000000003</v>
      </c>
      <c r="KK27" s="1098">
        <v>18.981999999999999</v>
      </c>
      <c r="KL27" s="1098"/>
      <c r="KM27" s="1098"/>
      <c r="KN27" s="1097">
        <f t="shared" si="52"/>
        <v>560.779</v>
      </c>
      <c r="KO27" s="1252"/>
      <c r="KP27" s="1098"/>
      <c r="KQ27" s="1098"/>
      <c r="KR27" s="1098">
        <v>7.6529999999999996</v>
      </c>
      <c r="KS27" s="1098">
        <v>9.0039999999999996</v>
      </c>
      <c r="KT27" s="1098">
        <v>13.444000000000001</v>
      </c>
      <c r="KU27" s="1098">
        <v>67.927000000000007</v>
      </c>
      <c r="KV27" s="1098">
        <v>46.27</v>
      </c>
      <c r="KW27" s="1098">
        <v>41.223999999999997</v>
      </c>
      <c r="KX27" s="1098">
        <v>25.405999999999999</v>
      </c>
      <c r="KY27" s="1098">
        <v>24.356000000000002</v>
      </c>
      <c r="KZ27" s="1098"/>
      <c r="LA27" s="1097">
        <f t="shared" si="53"/>
        <v>235.28399999999999</v>
      </c>
      <c r="LB27" s="1252">
        <v>43.13900000001</v>
      </c>
      <c r="LC27" s="1098"/>
      <c r="LD27" s="1098"/>
      <c r="LE27" s="1098"/>
      <c r="LF27" s="1098">
        <v>3.2789999999999999</v>
      </c>
      <c r="LG27" s="1098">
        <v>41</v>
      </c>
      <c r="LH27" s="1098">
        <v>42</v>
      </c>
      <c r="LI27" s="1098">
        <v>6</v>
      </c>
      <c r="LJ27" s="1098"/>
      <c r="LK27" s="1098"/>
      <c r="LL27" s="1098"/>
      <c r="LM27" s="1098"/>
      <c r="LN27" s="1097">
        <f t="shared" si="54"/>
        <v>135.41800000001001</v>
      </c>
      <c r="LP27" s="1116">
        <f t="shared" si="55"/>
        <v>-87.03263453641668</v>
      </c>
      <c r="LQ27" s="1117">
        <f t="shared" si="56"/>
        <v>-6.153931447414374</v>
      </c>
      <c r="LR27" s="1079">
        <f t="shared" si="57"/>
        <v>144.298</v>
      </c>
      <c r="LS27" s="1118">
        <f t="shared" si="58"/>
        <v>135.41800000001001</v>
      </c>
      <c r="LU27" s="629"/>
      <c r="LV27" s="1139">
        <f t="shared" si="59"/>
        <v>16604.700000000019</v>
      </c>
      <c r="LW27" s="1286" t="s">
        <v>64</v>
      </c>
      <c r="LX27" s="1147" t="str">
        <f t="shared" si="60"/>
        <v>OK</v>
      </c>
    </row>
    <row r="28" spans="1:336" ht="15" customHeight="1" x14ac:dyDescent="0.2">
      <c r="A28" s="1280" t="s">
        <v>65</v>
      </c>
      <c r="B28" s="1252"/>
      <c r="C28" s="1098"/>
      <c r="D28" s="1098">
        <v>13.518000000000001</v>
      </c>
      <c r="E28" s="1098"/>
      <c r="F28" s="1098"/>
      <c r="G28" s="1098"/>
      <c r="H28" s="1098">
        <v>17</v>
      </c>
      <c r="I28" s="1098"/>
      <c r="J28" s="1098"/>
      <c r="K28" s="1098"/>
      <c r="L28" s="1098"/>
      <c r="M28" s="1098"/>
      <c r="N28" s="1097">
        <f t="shared" si="30"/>
        <v>30.518000000000001</v>
      </c>
      <c r="O28" s="1252"/>
      <c r="P28" s="1098"/>
      <c r="Q28" s="1098"/>
      <c r="R28" s="1098">
        <v>13.6</v>
      </c>
      <c r="S28" s="1098">
        <v>6.8</v>
      </c>
      <c r="T28" s="1098">
        <v>1.4</v>
      </c>
      <c r="U28" s="1098">
        <v>4.351</v>
      </c>
      <c r="V28" s="1098">
        <v>23.28</v>
      </c>
      <c r="W28" s="1098"/>
      <c r="X28" s="1098">
        <v>6.8179999999999996</v>
      </c>
      <c r="Y28" s="1098"/>
      <c r="Z28" s="1098">
        <v>9.4540000000000006</v>
      </c>
      <c r="AA28" s="1097">
        <f t="shared" si="31"/>
        <v>65.703000000000003</v>
      </c>
      <c r="AB28" s="1252">
        <v>65.462000000000003</v>
      </c>
      <c r="AC28" s="1098">
        <v>15.044</v>
      </c>
      <c r="AD28" s="1098">
        <v>22.5</v>
      </c>
      <c r="AE28" s="1098">
        <v>14.545</v>
      </c>
      <c r="AF28" s="1098"/>
      <c r="AG28" s="1098">
        <v>15.454000000000001</v>
      </c>
      <c r="AH28" s="1098">
        <v>25.742999999999999</v>
      </c>
      <c r="AI28" s="1098">
        <v>43.334000000000003</v>
      </c>
      <c r="AJ28" s="1098"/>
      <c r="AK28" s="1098"/>
      <c r="AL28" s="1098"/>
      <c r="AM28" s="1098">
        <v>29.468</v>
      </c>
      <c r="AN28" s="1097">
        <f t="shared" si="32"/>
        <v>231.54999999999998</v>
      </c>
      <c r="AO28" s="1252">
        <v>68.564999999999998</v>
      </c>
      <c r="AP28" s="1098">
        <v>23.213999999999999</v>
      </c>
      <c r="AQ28" s="1098">
        <v>19.498999999999999</v>
      </c>
      <c r="AR28" s="1098">
        <v>5.5449999999999999</v>
      </c>
      <c r="AS28" s="1098"/>
      <c r="AT28" s="1098">
        <v>9</v>
      </c>
      <c r="AU28" s="1098"/>
      <c r="AV28" s="1098"/>
      <c r="AW28" s="1098"/>
      <c r="AX28" s="1098">
        <v>2</v>
      </c>
      <c r="AY28" s="1098"/>
      <c r="AZ28" s="1098">
        <v>7</v>
      </c>
      <c r="BA28" s="1097">
        <f t="shared" si="33"/>
        <v>134.82299999999998</v>
      </c>
      <c r="BB28" s="1252"/>
      <c r="BC28" s="1098">
        <v>25</v>
      </c>
      <c r="BD28" s="1098">
        <v>11</v>
      </c>
      <c r="BE28" s="1098"/>
      <c r="BF28" s="1098">
        <v>14</v>
      </c>
      <c r="BG28" s="1098">
        <v>94</v>
      </c>
      <c r="BH28" s="1098">
        <v>19</v>
      </c>
      <c r="BI28" s="1098">
        <v>16</v>
      </c>
      <c r="BJ28" s="1098">
        <v>47</v>
      </c>
      <c r="BK28" s="1098">
        <v>31.295999999999999</v>
      </c>
      <c r="BL28" s="1098">
        <v>25.010999999999999</v>
      </c>
      <c r="BM28" s="1098">
        <v>11</v>
      </c>
      <c r="BN28" s="1097">
        <f t="shared" si="34"/>
        <v>293.30700000000002</v>
      </c>
      <c r="BO28" s="1252">
        <v>6.423</v>
      </c>
      <c r="BP28" s="1098"/>
      <c r="BQ28" s="1098">
        <v>23.215</v>
      </c>
      <c r="BR28" s="1098">
        <v>6.8559999999999999</v>
      </c>
      <c r="BS28" s="1098">
        <v>28.571999999999999</v>
      </c>
      <c r="BT28" s="1098"/>
      <c r="BU28" s="1098">
        <v>4.7329999999999997</v>
      </c>
      <c r="BV28" s="1098">
        <v>34.024000000000001</v>
      </c>
      <c r="BW28" s="1098"/>
      <c r="BX28" s="1098">
        <v>7.367</v>
      </c>
      <c r="BY28" s="1098">
        <v>57</v>
      </c>
      <c r="BZ28" s="1098">
        <v>74</v>
      </c>
      <c r="CA28" s="1097">
        <f t="shared" si="35"/>
        <v>242.19</v>
      </c>
      <c r="CB28" s="1252">
        <v>24</v>
      </c>
      <c r="CC28" s="1098">
        <v>31</v>
      </c>
      <c r="CD28" s="1098">
        <v>22</v>
      </c>
      <c r="CE28" s="1098">
        <v>11</v>
      </c>
      <c r="CF28" s="1098">
        <v>12</v>
      </c>
      <c r="CG28" s="1098">
        <v>38</v>
      </c>
      <c r="CH28" s="1098">
        <v>16</v>
      </c>
      <c r="CI28" s="1098">
        <v>8</v>
      </c>
      <c r="CJ28" s="1098">
        <v>8</v>
      </c>
      <c r="CK28" s="1098"/>
      <c r="CL28" s="1098"/>
      <c r="CM28" s="1098">
        <v>18</v>
      </c>
      <c r="CN28" s="1097">
        <f t="shared" si="36"/>
        <v>188</v>
      </c>
      <c r="CO28" s="1252"/>
      <c r="CP28" s="1098"/>
      <c r="CQ28" s="1098"/>
      <c r="CR28" s="1098"/>
      <c r="CS28" s="1098"/>
      <c r="CT28" s="1098"/>
      <c r="CU28" s="1098"/>
      <c r="CV28" s="1098"/>
      <c r="CW28" s="1098"/>
      <c r="CX28" s="1098">
        <v>14</v>
      </c>
      <c r="CY28" s="1098"/>
      <c r="CZ28" s="1098">
        <v>37</v>
      </c>
      <c r="DA28" s="1097">
        <f t="shared" si="37"/>
        <v>51</v>
      </c>
      <c r="DB28" s="1252">
        <v>48</v>
      </c>
      <c r="DC28" s="1098">
        <v>17</v>
      </c>
      <c r="DD28" s="1098">
        <v>46</v>
      </c>
      <c r="DE28" s="1098"/>
      <c r="DF28" s="1098"/>
      <c r="DG28" s="1098">
        <v>4</v>
      </c>
      <c r="DH28" s="1098"/>
      <c r="DI28" s="1098"/>
      <c r="DJ28" s="1098">
        <v>24</v>
      </c>
      <c r="DK28" s="1098">
        <v>13</v>
      </c>
      <c r="DL28" s="1098"/>
      <c r="DM28" s="1098">
        <v>49</v>
      </c>
      <c r="DN28" s="1097">
        <f t="shared" si="38"/>
        <v>201</v>
      </c>
      <c r="DO28" s="1252">
        <v>3</v>
      </c>
      <c r="DP28" s="1098">
        <v>25</v>
      </c>
      <c r="DQ28" s="1098">
        <v>20</v>
      </c>
      <c r="DR28" s="1098">
        <v>3</v>
      </c>
      <c r="DS28" s="1098">
        <v>28</v>
      </c>
      <c r="DT28" s="1098">
        <v>26</v>
      </c>
      <c r="DU28" s="1098">
        <v>7</v>
      </c>
      <c r="DV28" s="1098">
        <v>26</v>
      </c>
      <c r="DW28" s="1098">
        <v>18</v>
      </c>
      <c r="DX28" s="1098">
        <v>9</v>
      </c>
      <c r="DY28" s="1098">
        <v>11</v>
      </c>
      <c r="DZ28" s="1098">
        <v>29</v>
      </c>
      <c r="EA28" s="1097">
        <f t="shared" si="39"/>
        <v>205</v>
      </c>
      <c r="EB28" s="1252">
        <v>36</v>
      </c>
      <c r="EC28" s="1098">
        <v>17</v>
      </c>
      <c r="ED28" s="1098">
        <v>9</v>
      </c>
      <c r="EE28" s="1098">
        <v>23</v>
      </c>
      <c r="EF28" s="1098">
        <v>16</v>
      </c>
      <c r="EG28" s="1098">
        <v>4</v>
      </c>
      <c r="EH28" s="1098">
        <v>45</v>
      </c>
      <c r="EI28" s="1098">
        <v>29</v>
      </c>
      <c r="EJ28" s="1098">
        <v>25</v>
      </c>
      <c r="EK28" s="1098">
        <v>37</v>
      </c>
      <c r="EL28" s="1098">
        <v>17</v>
      </c>
      <c r="EM28" s="1098">
        <v>5</v>
      </c>
      <c r="EN28" s="1097">
        <f t="shared" si="40"/>
        <v>263</v>
      </c>
      <c r="EO28" s="1252">
        <v>46</v>
      </c>
      <c r="EP28" s="1098">
        <v>19</v>
      </c>
      <c r="EQ28" s="1098"/>
      <c r="ER28" s="1098">
        <v>61</v>
      </c>
      <c r="ES28" s="1098">
        <v>57</v>
      </c>
      <c r="ET28" s="1098">
        <v>168</v>
      </c>
      <c r="EU28" s="1098"/>
      <c r="EV28" s="1098"/>
      <c r="EW28" s="1098">
        <v>9</v>
      </c>
      <c r="EX28" s="1098">
        <v>9</v>
      </c>
      <c r="EY28" s="1098"/>
      <c r="EZ28" s="1098">
        <v>75</v>
      </c>
      <c r="FA28" s="1097">
        <f t="shared" si="41"/>
        <v>444</v>
      </c>
      <c r="FB28" s="1252"/>
      <c r="FC28" s="1098">
        <v>5</v>
      </c>
      <c r="FD28" s="1098">
        <v>11</v>
      </c>
      <c r="FE28" s="1098">
        <v>21</v>
      </c>
      <c r="FF28" s="1098">
        <v>13</v>
      </c>
      <c r="FG28" s="1098">
        <v>120</v>
      </c>
      <c r="FH28" s="1098">
        <v>18</v>
      </c>
      <c r="FI28" s="1098"/>
      <c r="FJ28" s="1098">
        <v>34</v>
      </c>
      <c r="FK28" s="1098"/>
      <c r="FL28" s="1098">
        <v>8.5</v>
      </c>
      <c r="FM28" s="1098">
        <v>40</v>
      </c>
      <c r="FN28" s="1097">
        <f t="shared" si="42"/>
        <v>270.5</v>
      </c>
      <c r="FO28" s="1252">
        <v>7</v>
      </c>
      <c r="FP28" s="1098"/>
      <c r="FQ28" s="1098"/>
      <c r="FR28" s="1098">
        <v>14</v>
      </c>
      <c r="FS28" s="1098">
        <v>1</v>
      </c>
      <c r="FT28" s="1098">
        <v>14</v>
      </c>
      <c r="FU28" s="1098">
        <v>22</v>
      </c>
      <c r="FV28" s="1098">
        <v>2</v>
      </c>
      <c r="FW28" s="1098">
        <v>147</v>
      </c>
      <c r="FX28" s="1098"/>
      <c r="FY28" s="1098"/>
      <c r="FZ28" s="1098">
        <v>4</v>
      </c>
      <c r="GA28" s="1097">
        <f t="shared" si="43"/>
        <v>211</v>
      </c>
      <c r="GB28" s="1252"/>
      <c r="GC28" s="1098">
        <v>3</v>
      </c>
      <c r="GD28" s="1098">
        <v>4.2409999999999997</v>
      </c>
      <c r="GE28" s="1098">
        <v>12.041</v>
      </c>
      <c r="GF28" s="1098"/>
      <c r="GG28" s="1098"/>
      <c r="GH28" s="1098"/>
      <c r="GI28" s="1098"/>
      <c r="GJ28" s="1098">
        <v>4</v>
      </c>
      <c r="GK28" s="1098"/>
      <c r="GL28" s="1098"/>
      <c r="GM28" s="1098">
        <v>55</v>
      </c>
      <c r="GN28" s="1097">
        <f t="shared" si="44"/>
        <v>78.281999999999996</v>
      </c>
      <c r="GO28" s="1252"/>
      <c r="GP28" s="1098">
        <v>10</v>
      </c>
      <c r="GQ28" s="1098">
        <v>57.98</v>
      </c>
      <c r="GR28" s="1098"/>
      <c r="GS28" s="1098">
        <v>3</v>
      </c>
      <c r="GT28" s="1098">
        <v>26</v>
      </c>
      <c r="GU28" s="1098">
        <v>16.824999999999999</v>
      </c>
      <c r="GV28" s="1098">
        <v>60.006</v>
      </c>
      <c r="GW28" s="1098">
        <v>18.350000000000001</v>
      </c>
      <c r="GX28" s="1098">
        <v>26.456</v>
      </c>
      <c r="GY28" s="1098"/>
      <c r="GZ28" s="1098"/>
      <c r="HA28" s="1097">
        <f t="shared" si="45"/>
        <v>218.61699999999996</v>
      </c>
      <c r="HB28" s="1252"/>
      <c r="HC28" s="1098">
        <v>26</v>
      </c>
      <c r="HD28" s="1098">
        <v>34.517000000000003</v>
      </c>
      <c r="HE28" s="1098">
        <v>14.71</v>
      </c>
      <c r="HF28" s="1098"/>
      <c r="HG28" s="1098">
        <v>29</v>
      </c>
      <c r="HH28" s="1098">
        <v>22</v>
      </c>
      <c r="HI28" s="1098">
        <v>63</v>
      </c>
      <c r="HJ28" s="1098">
        <v>41.843000000000004</v>
      </c>
      <c r="HK28" s="1098">
        <v>57.164999999999999</v>
      </c>
      <c r="HL28" s="1098">
        <v>32.271000000000001</v>
      </c>
      <c r="HM28" s="1098">
        <v>10.83</v>
      </c>
      <c r="HN28" s="1097">
        <f t="shared" si="46"/>
        <v>331.33600000000001</v>
      </c>
      <c r="HO28" s="1252">
        <v>20.74</v>
      </c>
      <c r="HP28" s="1098">
        <v>37.555</v>
      </c>
      <c r="HQ28" s="1098">
        <v>218.35499999999999</v>
      </c>
      <c r="HR28" s="1098">
        <v>27.282</v>
      </c>
      <c r="HS28" s="1098">
        <v>100.99000000000001</v>
      </c>
      <c r="HT28" s="1098">
        <v>47.27</v>
      </c>
      <c r="HU28" s="1098">
        <v>67.527999999999992</v>
      </c>
      <c r="HV28" s="1098">
        <v>4.4610000000000003</v>
      </c>
      <c r="HW28" s="1098">
        <v>8.5370000000000008</v>
      </c>
      <c r="HX28" s="1098">
        <v>43</v>
      </c>
      <c r="HY28" s="1098">
        <v>6</v>
      </c>
      <c r="HZ28" s="1098"/>
      <c r="IA28" s="1097">
        <f t="shared" si="47"/>
        <v>581.71799999999996</v>
      </c>
      <c r="IB28" s="1252">
        <v>2</v>
      </c>
      <c r="IC28" s="1098"/>
      <c r="ID28" s="1098"/>
      <c r="IE28" s="1098"/>
      <c r="IF28" s="1098"/>
      <c r="IG28" s="1098"/>
      <c r="IH28" s="1098"/>
      <c r="II28" s="1098">
        <v>1.69</v>
      </c>
      <c r="IJ28" s="1098">
        <v>0.80600000000000005</v>
      </c>
      <c r="IK28" s="1098"/>
      <c r="IL28" s="1098"/>
      <c r="IM28" s="1098"/>
      <c r="IN28" s="1097">
        <f t="shared" si="48"/>
        <v>4.4960000000000004</v>
      </c>
      <c r="IO28" s="1252"/>
      <c r="IP28" s="1098"/>
      <c r="IQ28" s="1098">
        <v>2.1459999999999999</v>
      </c>
      <c r="IR28" s="1098"/>
      <c r="IS28" s="1098">
        <v>2.569</v>
      </c>
      <c r="IT28" s="1098">
        <v>0.433</v>
      </c>
      <c r="IU28" s="1098"/>
      <c r="IV28" s="1098">
        <v>6.2750000000000004</v>
      </c>
      <c r="IW28" s="1098"/>
      <c r="IX28" s="1098">
        <v>1.77</v>
      </c>
      <c r="IY28" s="1098">
        <v>3.7</v>
      </c>
      <c r="IZ28" s="1098"/>
      <c r="JA28" s="1097">
        <f t="shared" si="49"/>
        <v>16.893000000000001</v>
      </c>
      <c r="JB28" s="1252"/>
      <c r="JC28" s="1098"/>
      <c r="JD28" s="1098"/>
      <c r="JE28" s="1098"/>
      <c r="JF28" s="1098"/>
      <c r="JG28" s="1098">
        <v>0.36</v>
      </c>
      <c r="JH28" s="1098"/>
      <c r="JI28" s="1098"/>
      <c r="JJ28" s="1098"/>
      <c r="JK28" s="1098"/>
      <c r="JL28" s="1098"/>
      <c r="JM28" s="1098"/>
      <c r="JN28" s="1097">
        <f t="shared" si="50"/>
        <v>0.36</v>
      </c>
      <c r="JO28" s="1252"/>
      <c r="JP28" s="1098"/>
      <c r="JQ28" s="1098"/>
      <c r="JR28" s="1098"/>
      <c r="JS28" s="1098"/>
      <c r="JT28" s="1098"/>
      <c r="JU28" s="1098">
        <v>5.8250000000000002</v>
      </c>
      <c r="JV28" s="1098"/>
      <c r="JW28" s="1098"/>
      <c r="JX28" s="1098"/>
      <c r="JY28" s="1098"/>
      <c r="JZ28" s="1098"/>
      <c r="KA28" s="1097">
        <f t="shared" si="51"/>
        <v>5.8250000000000002</v>
      </c>
      <c r="KB28" s="1252"/>
      <c r="KC28" s="1098">
        <v>11</v>
      </c>
      <c r="KD28" s="1098"/>
      <c r="KE28" s="1098"/>
      <c r="KF28" s="1098"/>
      <c r="KG28" s="1098"/>
      <c r="KH28" s="1098"/>
      <c r="KI28" s="1098"/>
      <c r="KJ28" s="1098"/>
      <c r="KK28" s="1098"/>
      <c r="KL28" s="1098"/>
      <c r="KM28" s="1098">
        <v>28.484000000000002</v>
      </c>
      <c r="KN28" s="1097">
        <f t="shared" si="52"/>
        <v>39.484000000000002</v>
      </c>
      <c r="KO28" s="1252"/>
      <c r="KP28" s="1098"/>
      <c r="KQ28" s="1098"/>
      <c r="KR28" s="1098"/>
      <c r="KS28" s="1098"/>
      <c r="KT28" s="1098"/>
      <c r="KU28" s="1098"/>
      <c r="KV28" s="1098"/>
      <c r="KW28" s="1098"/>
      <c r="KX28" s="1098"/>
      <c r="KY28" s="1098"/>
      <c r="KZ28" s="1098"/>
      <c r="LA28" s="1097">
        <f t="shared" si="53"/>
        <v>0</v>
      </c>
      <c r="LB28" s="1252">
        <v>43.13900000001</v>
      </c>
      <c r="LC28" s="1098"/>
      <c r="LD28" s="1098"/>
      <c r="LE28" s="1098"/>
      <c r="LF28" s="1098"/>
      <c r="LG28" s="1098"/>
      <c r="LH28" s="1098"/>
      <c r="LI28" s="1098"/>
      <c r="LJ28" s="1098"/>
      <c r="LK28" s="1098"/>
      <c r="LL28" s="1098"/>
      <c r="LM28" s="1098"/>
      <c r="LN28" s="1097">
        <f t="shared" si="54"/>
        <v>43.13900000001</v>
      </c>
      <c r="LP28" s="1116" t="str">
        <f t="shared" si="55"/>
        <v/>
      </c>
      <c r="LQ28" s="1117" t="str">
        <f t="shared" si="56"/>
        <v/>
      </c>
      <c r="LR28" s="1079">
        <f t="shared" si="57"/>
        <v>0</v>
      </c>
      <c r="LS28" s="1118">
        <f t="shared" si="58"/>
        <v>43.13900000001</v>
      </c>
      <c r="LU28" s="629"/>
      <c r="LV28" s="1139">
        <f t="shared" si="59"/>
        <v>8303.48200000002</v>
      </c>
      <c r="LW28" s="1286" t="s">
        <v>65</v>
      </c>
      <c r="LX28" s="1147" t="str">
        <f t="shared" si="60"/>
        <v>OK</v>
      </c>
    </row>
    <row r="29" spans="1:336" ht="15" customHeight="1" x14ac:dyDescent="0.2">
      <c r="A29" s="1280" t="s">
        <v>66</v>
      </c>
      <c r="B29" s="1252"/>
      <c r="C29" s="1098"/>
      <c r="D29" s="1098"/>
      <c r="E29" s="1098"/>
      <c r="F29" s="1098"/>
      <c r="G29" s="1098"/>
      <c r="H29" s="1098"/>
      <c r="I29" s="1098"/>
      <c r="J29" s="1098"/>
      <c r="K29" s="1098"/>
      <c r="L29" s="1098"/>
      <c r="M29" s="1098"/>
      <c r="N29" s="1097">
        <f t="shared" si="30"/>
        <v>0</v>
      </c>
      <c r="O29" s="1252"/>
      <c r="P29" s="1098"/>
      <c r="Q29" s="1098"/>
      <c r="R29" s="1098"/>
      <c r="S29" s="1098">
        <v>31</v>
      </c>
      <c r="T29" s="1098"/>
      <c r="U29" s="1098"/>
      <c r="V29" s="1098"/>
      <c r="W29" s="1098"/>
      <c r="X29" s="1098"/>
      <c r="Y29" s="1098"/>
      <c r="Z29" s="1098"/>
      <c r="AA29" s="1097">
        <f t="shared" si="31"/>
        <v>31</v>
      </c>
      <c r="AB29" s="1252"/>
      <c r="AC29" s="1098"/>
      <c r="AD29" s="1098">
        <v>7</v>
      </c>
      <c r="AE29" s="1098">
        <v>1.79</v>
      </c>
      <c r="AF29" s="1098"/>
      <c r="AG29" s="1098"/>
      <c r="AH29" s="1098">
        <v>14.72</v>
      </c>
      <c r="AI29" s="1098"/>
      <c r="AJ29" s="1098"/>
      <c r="AK29" s="1098"/>
      <c r="AL29" s="1098"/>
      <c r="AM29" s="1098">
        <v>9.1</v>
      </c>
      <c r="AN29" s="1097">
        <f t="shared" si="32"/>
        <v>32.61</v>
      </c>
      <c r="AO29" s="1252"/>
      <c r="AP29" s="1098">
        <v>54.926000000000002</v>
      </c>
      <c r="AQ29" s="1098"/>
      <c r="AR29" s="1098"/>
      <c r="AS29" s="1098"/>
      <c r="AT29" s="1098"/>
      <c r="AU29" s="1098"/>
      <c r="AV29" s="1098">
        <v>29</v>
      </c>
      <c r="AW29" s="1098">
        <v>14</v>
      </c>
      <c r="AX29" s="1098"/>
      <c r="AY29" s="1098"/>
      <c r="AZ29" s="1098"/>
      <c r="BA29" s="1097">
        <f t="shared" si="33"/>
        <v>97.926000000000002</v>
      </c>
      <c r="BB29" s="1252">
        <v>34</v>
      </c>
      <c r="BC29" s="1098"/>
      <c r="BD29" s="1098">
        <v>34</v>
      </c>
      <c r="BE29" s="1098"/>
      <c r="BF29" s="1098">
        <v>70</v>
      </c>
      <c r="BG29" s="1098">
        <v>23</v>
      </c>
      <c r="BH29" s="1098">
        <v>74</v>
      </c>
      <c r="BI29" s="1098">
        <v>67</v>
      </c>
      <c r="BJ29" s="1098">
        <v>13</v>
      </c>
      <c r="BK29" s="1098">
        <v>62.107999999999997</v>
      </c>
      <c r="BL29" s="1098">
        <v>15.728</v>
      </c>
      <c r="BM29" s="1098">
        <v>27</v>
      </c>
      <c r="BN29" s="1097">
        <f t="shared" si="34"/>
        <v>419.83600000000001</v>
      </c>
      <c r="BO29" s="1252">
        <v>9.2720000000000002</v>
      </c>
      <c r="BP29" s="1098">
        <v>81.853999999999999</v>
      </c>
      <c r="BQ29" s="1098">
        <v>52.91</v>
      </c>
      <c r="BR29" s="1098">
        <v>77.316000000000003</v>
      </c>
      <c r="BS29" s="1098">
        <v>41.774000000000001</v>
      </c>
      <c r="BT29" s="1098">
        <v>367.88099999999997</v>
      </c>
      <c r="BU29" s="1098">
        <v>35.603000000000002</v>
      </c>
      <c r="BV29" s="1098">
        <v>4.3129999999999997</v>
      </c>
      <c r="BW29" s="1098">
        <v>54.997</v>
      </c>
      <c r="BX29" s="1098">
        <v>8.9510000000000005</v>
      </c>
      <c r="BY29" s="1098">
        <v>27</v>
      </c>
      <c r="BZ29" s="1098"/>
      <c r="CA29" s="1097">
        <f t="shared" si="35"/>
        <v>761.87099999999987</v>
      </c>
      <c r="CB29" s="1252">
        <v>189</v>
      </c>
      <c r="CC29" s="1098">
        <v>27</v>
      </c>
      <c r="CD29" s="1098">
        <v>16</v>
      </c>
      <c r="CE29" s="1098">
        <v>44</v>
      </c>
      <c r="CF29" s="1098">
        <v>65</v>
      </c>
      <c r="CG29" s="1098">
        <v>24</v>
      </c>
      <c r="CH29" s="1098">
        <v>17</v>
      </c>
      <c r="CI29" s="1098">
        <v>23</v>
      </c>
      <c r="CJ29" s="1098">
        <v>47</v>
      </c>
      <c r="CK29" s="1098">
        <v>39</v>
      </c>
      <c r="CL29" s="1098"/>
      <c r="CM29" s="1098">
        <v>34</v>
      </c>
      <c r="CN29" s="1097">
        <f t="shared" si="36"/>
        <v>525</v>
      </c>
      <c r="CO29" s="1252">
        <v>20</v>
      </c>
      <c r="CP29" s="1098">
        <v>14</v>
      </c>
      <c r="CQ29" s="1098"/>
      <c r="CR29" s="1098">
        <v>4</v>
      </c>
      <c r="CS29" s="1098">
        <v>14</v>
      </c>
      <c r="CT29" s="1098"/>
      <c r="CU29" s="1098"/>
      <c r="CV29" s="1098"/>
      <c r="CW29" s="1098"/>
      <c r="CX29" s="1098">
        <v>53</v>
      </c>
      <c r="CY29" s="1098">
        <v>27</v>
      </c>
      <c r="CZ29" s="1098">
        <v>15</v>
      </c>
      <c r="DA29" s="1097">
        <f t="shared" si="37"/>
        <v>147</v>
      </c>
      <c r="DB29" s="1252">
        <v>7</v>
      </c>
      <c r="DC29" s="1098">
        <v>13</v>
      </c>
      <c r="DD29" s="1098">
        <v>31</v>
      </c>
      <c r="DE29" s="1098">
        <v>9</v>
      </c>
      <c r="DF29" s="1098">
        <v>10</v>
      </c>
      <c r="DG29" s="1098">
        <v>24</v>
      </c>
      <c r="DH29" s="1098">
        <v>24</v>
      </c>
      <c r="DI29" s="1098">
        <v>18</v>
      </c>
      <c r="DJ29" s="1098">
        <v>24</v>
      </c>
      <c r="DK29" s="1098"/>
      <c r="DL29" s="1098">
        <v>7</v>
      </c>
      <c r="DM29" s="1098"/>
      <c r="DN29" s="1097">
        <f t="shared" si="38"/>
        <v>167</v>
      </c>
      <c r="DO29" s="1252">
        <v>8</v>
      </c>
      <c r="DP29" s="1098"/>
      <c r="DQ29" s="1098"/>
      <c r="DR29" s="1098"/>
      <c r="DS29" s="1098"/>
      <c r="DT29" s="1098">
        <v>4</v>
      </c>
      <c r="DU29" s="1098">
        <v>6</v>
      </c>
      <c r="DV29" s="1098">
        <v>53</v>
      </c>
      <c r="DW29" s="1098">
        <v>6</v>
      </c>
      <c r="DX29" s="1098">
        <v>9</v>
      </c>
      <c r="DY29" s="1098">
        <v>9</v>
      </c>
      <c r="DZ29" s="1098">
        <v>20</v>
      </c>
      <c r="EA29" s="1097">
        <f t="shared" si="39"/>
        <v>115</v>
      </c>
      <c r="EB29" s="1252">
        <v>19</v>
      </c>
      <c r="EC29" s="1098">
        <v>7</v>
      </c>
      <c r="ED29" s="1098">
        <v>20</v>
      </c>
      <c r="EE29" s="1098"/>
      <c r="EF29" s="1098">
        <v>12</v>
      </c>
      <c r="EG29" s="1098"/>
      <c r="EH29" s="1098">
        <v>10</v>
      </c>
      <c r="EI29" s="1098"/>
      <c r="EJ29" s="1098"/>
      <c r="EK29" s="1098">
        <v>8</v>
      </c>
      <c r="EL29" s="1098">
        <v>3</v>
      </c>
      <c r="EM29" s="1098"/>
      <c r="EN29" s="1097">
        <f t="shared" si="40"/>
        <v>79</v>
      </c>
      <c r="EO29" s="1252">
        <v>5</v>
      </c>
      <c r="EP29" s="1098">
        <v>8</v>
      </c>
      <c r="EQ29" s="1098"/>
      <c r="ER29" s="1098">
        <v>8</v>
      </c>
      <c r="ES29" s="1098">
        <v>18</v>
      </c>
      <c r="ET29" s="1098">
        <v>11</v>
      </c>
      <c r="EU29" s="1098"/>
      <c r="EV29" s="1098"/>
      <c r="EW29" s="1098">
        <v>10</v>
      </c>
      <c r="EX29" s="1098"/>
      <c r="EY29" s="1098"/>
      <c r="EZ29" s="1098">
        <v>44</v>
      </c>
      <c r="FA29" s="1097">
        <f t="shared" si="41"/>
        <v>104</v>
      </c>
      <c r="FB29" s="1252">
        <v>15</v>
      </c>
      <c r="FC29" s="1098">
        <v>7</v>
      </c>
      <c r="FD29" s="1098"/>
      <c r="FE29" s="1098">
        <v>144</v>
      </c>
      <c r="FF29" s="1098">
        <v>16</v>
      </c>
      <c r="FG29" s="1098">
        <v>908</v>
      </c>
      <c r="FH29" s="1098"/>
      <c r="FI29" s="1098"/>
      <c r="FJ29" s="1098">
        <v>2</v>
      </c>
      <c r="FK29" s="1098">
        <v>11</v>
      </c>
      <c r="FL29" s="1098">
        <v>1.5</v>
      </c>
      <c r="FM29" s="1098">
        <v>22</v>
      </c>
      <c r="FN29" s="1097">
        <f t="shared" si="42"/>
        <v>1126.5</v>
      </c>
      <c r="FO29" s="1252">
        <v>4</v>
      </c>
      <c r="FP29" s="1098">
        <v>11</v>
      </c>
      <c r="FQ29" s="1098"/>
      <c r="FR29" s="1098"/>
      <c r="FS29" s="1098">
        <v>8</v>
      </c>
      <c r="FT29" s="1098"/>
      <c r="FU29" s="1098"/>
      <c r="FV29" s="1098">
        <v>15</v>
      </c>
      <c r="FW29" s="1098">
        <v>122</v>
      </c>
      <c r="FX29" s="1098"/>
      <c r="FY29" s="1098"/>
      <c r="FZ29" s="1098">
        <v>19</v>
      </c>
      <c r="GA29" s="1097">
        <f t="shared" si="43"/>
        <v>179</v>
      </c>
      <c r="GB29" s="1252">
        <v>9</v>
      </c>
      <c r="GC29" s="1098">
        <v>27</v>
      </c>
      <c r="GD29" s="1098">
        <v>2.2090000000000001</v>
      </c>
      <c r="GE29" s="1098">
        <v>16.942999999999998</v>
      </c>
      <c r="GF29" s="1098">
        <v>9.7189999999999994</v>
      </c>
      <c r="GG29" s="1098"/>
      <c r="GH29" s="1098"/>
      <c r="GI29" s="1098">
        <v>2</v>
      </c>
      <c r="GJ29" s="1098"/>
      <c r="GK29" s="1098"/>
      <c r="GL29" s="1098">
        <v>28</v>
      </c>
      <c r="GM29" s="1098"/>
      <c r="GN29" s="1097">
        <f t="shared" si="44"/>
        <v>94.870999999999995</v>
      </c>
      <c r="GO29" s="1252"/>
      <c r="GP29" s="1098"/>
      <c r="GQ29" s="1098">
        <v>1.4</v>
      </c>
      <c r="GR29" s="1098">
        <v>4</v>
      </c>
      <c r="GS29" s="1098"/>
      <c r="GT29" s="1098"/>
      <c r="GU29" s="1098"/>
      <c r="GV29" s="1098">
        <v>30.798999999999999</v>
      </c>
      <c r="GW29" s="1098"/>
      <c r="GX29" s="1098"/>
      <c r="GY29" s="1098"/>
      <c r="GZ29" s="1098"/>
      <c r="HA29" s="1097">
        <f t="shared" si="45"/>
        <v>36.198999999999998</v>
      </c>
      <c r="HB29" s="1252"/>
      <c r="HC29" s="1098"/>
      <c r="HD29" s="1098">
        <v>2.7269999999999999</v>
      </c>
      <c r="HE29" s="1098"/>
      <c r="HF29" s="1098"/>
      <c r="HG29" s="1098"/>
      <c r="HH29" s="1098">
        <v>20</v>
      </c>
      <c r="HI29" s="1098">
        <v>11</v>
      </c>
      <c r="HJ29" s="1098">
        <v>10.019</v>
      </c>
      <c r="HK29" s="1098">
        <v>6.4390000000000001</v>
      </c>
      <c r="HL29" s="1098"/>
      <c r="HM29" s="1098"/>
      <c r="HN29" s="1097">
        <f t="shared" si="46"/>
        <v>50.185000000000002</v>
      </c>
      <c r="HO29" s="1252"/>
      <c r="HP29" s="1098">
        <v>1.8420000000000001</v>
      </c>
      <c r="HQ29" s="1098">
        <v>42.994999999999997</v>
      </c>
      <c r="HR29" s="1098">
        <v>13.66</v>
      </c>
      <c r="HS29" s="1098">
        <v>2.911</v>
      </c>
      <c r="HT29" s="1098"/>
      <c r="HU29" s="1098"/>
      <c r="HV29" s="1098"/>
      <c r="HW29" s="1098">
        <v>11.445</v>
      </c>
      <c r="HX29" s="1098">
        <v>7</v>
      </c>
      <c r="HY29" s="1098"/>
      <c r="HZ29" s="1098"/>
      <c r="IA29" s="1097">
        <f t="shared" si="47"/>
        <v>79.853000000000009</v>
      </c>
      <c r="IB29" s="1252">
        <v>1</v>
      </c>
      <c r="IC29" s="1098"/>
      <c r="ID29" s="1098"/>
      <c r="IE29" s="1098"/>
      <c r="IF29" s="1098"/>
      <c r="IG29" s="1098">
        <v>3</v>
      </c>
      <c r="IH29" s="1098"/>
      <c r="II29" s="1098"/>
      <c r="IJ29" s="1098"/>
      <c r="IK29" s="1098"/>
      <c r="IL29" s="1098">
        <v>9</v>
      </c>
      <c r="IM29" s="1098">
        <v>5</v>
      </c>
      <c r="IN29" s="1097">
        <f t="shared" si="48"/>
        <v>18</v>
      </c>
      <c r="IO29" s="1252">
        <v>1.45</v>
      </c>
      <c r="IP29" s="1098"/>
      <c r="IQ29" s="1098"/>
      <c r="IR29" s="1098"/>
      <c r="IS29" s="1098">
        <v>1.2569999999999999</v>
      </c>
      <c r="IT29" s="1098">
        <v>2.4660000000000002</v>
      </c>
      <c r="IU29" s="1098">
        <v>31.888999999999999</v>
      </c>
      <c r="IV29" s="1098">
        <v>9.6080000000000005</v>
      </c>
      <c r="IW29" s="1098">
        <v>11.433</v>
      </c>
      <c r="IX29" s="1098">
        <v>3.484</v>
      </c>
      <c r="IY29" s="1098">
        <v>8.782</v>
      </c>
      <c r="IZ29" s="1098"/>
      <c r="JA29" s="1097">
        <f t="shared" si="49"/>
        <v>70.369</v>
      </c>
      <c r="JB29" s="1252"/>
      <c r="JC29" s="1098"/>
      <c r="JD29" s="1098">
        <v>1.72</v>
      </c>
      <c r="JE29" s="1098"/>
      <c r="JF29" s="1098"/>
      <c r="JG29" s="1098">
        <v>1.9370000000000001</v>
      </c>
      <c r="JH29" s="1098">
        <v>0.84099999999999997</v>
      </c>
      <c r="JI29" s="1098">
        <v>0.61399999999999999</v>
      </c>
      <c r="JJ29" s="1098"/>
      <c r="JK29" s="1098"/>
      <c r="JL29" s="1098"/>
      <c r="JM29" s="1098"/>
      <c r="JN29" s="1097">
        <f t="shared" si="50"/>
        <v>5.1120000000000001</v>
      </c>
      <c r="JO29" s="1252"/>
      <c r="JP29" s="1098"/>
      <c r="JQ29" s="1098"/>
      <c r="JR29" s="1098"/>
      <c r="JS29" s="1098"/>
      <c r="JT29" s="1098"/>
      <c r="JU29" s="1098">
        <v>2.4430000000000001</v>
      </c>
      <c r="JV29" s="1098"/>
      <c r="JW29" s="1098"/>
      <c r="JX29" s="1098">
        <v>2.0350000000000001</v>
      </c>
      <c r="JY29" s="1098">
        <v>14.656000000000001</v>
      </c>
      <c r="JZ29" s="1098"/>
      <c r="KA29" s="1097">
        <f t="shared" si="51"/>
        <v>19.134</v>
      </c>
      <c r="KB29" s="1252"/>
      <c r="KC29" s="1098"/>
      <c r="KD29" s="1098"/>
      <c r="KE29" s="1098"/>
      <c r="KF29" s="1098"/>
      <c r="KG29" s="1098"/>
      <c r="KH29" s="1098"/>
      <c r="KI29" s="1098">
        <v>1.766</v>
      </c>
      <c r="KJ29" s="1098">
        <v>6.7409999999999997</v>
      </c>
      <c r="KK29" s="1098"/>
      <c r="KL29" s="1098"/>
      <c r="KM29" s="1098"/>
      <c r="KN29" s="1097">
        <f t="shared" si="52"/>
        <v>8.5069999999999997</v>
      </c>
      <c r="KO29" s="1252"/>
      <c r="KP29" s="1098"/>
      <c r="KQ29" s="1098"/>
      <c r="KR29" s="1098">
        <v>5.0199999999999996</v>
      </c>
      <c r="KS29" s="1098"/>
      <c r="KT29" s="1098">
        <v>0.90500000000000003</v>
      </c>
      <c r="KU29" s="1098">
        <v>5.6580000000000004</v>
      </c>
      <c r="KV29" s="1098">
        <v>10.273999999999999</v>
      </c>
      <c r="KW29" s="1098">
        <v>3.302</v>
      </c>
      <c r="KX29" s="1098"/>
      <c r="KY29" s="1098"/>
      <c r="KZ29" s="1098"/>
      <c r="LA29" s="1097">
        <f t="shared" si="53"/>
        <v>25.158999999999999</v>
      </c>
      <c r="LB29" s="1252">
        <v>9.9999999999999994E-12</v>
      </c>
      <c r="LC29" s="1098"/>
      <c r="LD29" s="1098"/>
      <c r="LE29" s="1098"/>
      <c r="LF29" s="1098">
        <v>3.2570000000000001</v>
      </c>
      <c r="LG29" s="1098">
        <v>1.145</v>
      </c>
      <c r="LH29" s="1098">
        <v>8</v>
      </c>
      <c r="LI29" s="1098"/>
      <c r="LJ29" s="1098"/>
      <c r="LK29" s="1098"/>
      <c r="LL29" s="1098"/>
      <c r="LM29" s="1098"/>
      <c r="LN29" s="1097">
        <f t="shared" si="54"/>
        <v>12.40200000001</v>
      </c>
      <c r="LP29" s="1116">
        <f t="shared" si="55"/>
        <v>-100</v>
      </c>
      <c r="LQ29" s="1117">
        <f t="shared" si="56"/>
        <v>-43.25845266957954</v>
      </c>
      <c r="LR29" s="1079">
        <f t="shared" si="57"/>
        <v>21.856999999999999</v>
      </c>
      <c r="LS29" s="1118">
        <f t="shared" si="58"/>
        <v>12.40200000001</v>
      </c>
      <c r="LU29" s="629"/>
      <c r="LV29" s="1139">
        <f t="shared" si="59"/>
        <v>8411.0680000000157</v>
      </c>
      <c r="LW29" s="1286" t="s">
        <v>66</v>
      </c>
      <c r="LX29" s="1147" t="str">
        <f t="shared" si="60"/>
        <v>OK</v>
      </c>
    </row>
    <row r="30" spans="1:336" ht="15" customHeight="1" x14ac:dyDescent="0.2">
      <c r="A30" s="1280" t="s">
        <v>67</v>
      </c>
      <c r="B30" s="1252">
        <v>142.12899999999999</v>
      </c>
      <c r="C30" s="1098">
        <v>65.186999999999998</v>
      </c>
      <c r="D30" s="1098">
        <v>156.46199999999999</v>
      </c>
      <c r="E30" s="1098">
        <v>111.70099999999999</v>
      </c>
      <c r="F30" s="1098">
        <v>221.59700000000001</v>
      </c>
      <c r="G30" s="1098">
        <v>118.666</v>
      </c>
      <c r="H30" s="1098">
        <v>125.117</v>
      </c>
      <c r="I30" s="1098">
        <v>269.92899999999997</v>
      </c>
      <c r="J30" s="1098">
        <v>798.56700000000001</v>
      </c>
      <c r="K30" s="1098">
        <v>893.75300000000004</v>
      </c>
      <c r="L30" s="1098">
        <v>796.59299999999996</v>
      </c>
      <c r="M30" s="1098">
        <v>1070.8389999999999</v>
      </c>
      <c r="N30" s="1097">
        <f t="shared" si="30"/>
        <v>4770.54</v>
      </c>
      <c r="O30" s="1252">
        <v>273.12599999999998</v>
      </c>
      <c r="P30" s="1098">
        <v>524.11199999999997</v>
      </c>
      <c r="Q30" s="1098">
        <v>345.19799999999998</v>
      </c>
      <c r="R30" s="1098">
        <v>289.14</v>
      </c>
      <c r="S30" s="1098">
        <v>352.47</v>
      </c>
      <c r="T30" s="1098">
        <v>167.977</v>
      </c>
      <c r="U30" s="1098">
        <v>209.364</v>
      </c>
      <c r="V30" s="1098">
        <v>412.09399999999999</v>
      </c>
      <c r="W30" s="1098">
        <v>384.51299999999998</v>
      </c>
      <c r="X30" s="1098">
        <v>355</v>
      </c>
      <c r="Y30" s="1098">
        <v>408</v>
      </c>
      <c r="Z30" s="1098">
        <v>440.03</v>
      </c>
      <c r="AA30" s="1097">
        <f t="shared" si="31"/>
        <v>4161.0240000000003</v>
      </c>
      <c r="AB30" s="1252">
        <v>280.66000000000003</v>
      </c>
      <c r="AC30" s="1098">
        <v>445.18900000000002</v>
      </c>
      <c r="AD30" s="1098">
        <v>287.43099999999998</v>
      </c>
      <c r="AE30" s="1098">
        <v>521.36300000000006</v>
      </c>
      <c r="AF30" s="1098">
        <v>540.74800000000005</v>
      </c>
      <c r="AG30" s="1098">
        <v>312.10599999999999</v>
      </c>
      <c r="AH30" s="1098">
        <v>205.405</v>
      </c>
      <c r="AI30" s="1098">
        <v>257.78699999999998</v>
      </c>
      <c r="AJ30" s="1098">
        <v>261.77800000000002</v>
      </c>
      <c r="AK30" s="1098">
        <v>341.48899999999998</v>
      </c>
      <c r="AL30" s="1098">
        <v>276.24400000000003</v>
      </c>
      <c r="AM30" s="1098">
        <v>317.67</v>
      </c>
      <c r="AN30" s="1097">
        <f t="shared" si="32"/>
        <v>4047.8700000000008</v>
      </c>
      <c r="AO30" s="1252">
        <v>251.04</v>
      </c>
      <c r="AP30" s="1098">
        <v>236.023</v>
      </c>
      <c r="AQ30" s="1098">
        <v>438.02</v>
      </c>
      <c r="AR30" s="1098">
        <v>357.08</v>
      </c>
      <c r="AS30" s="1098">
        <v>117.992</v>
      </c>
      <c r="AT30" s="1098">
        <v>279</v>
      </c>
      <c r="AU30" s="1098">
        <v>179</v>
      </c>
      <c r="AV30" s="1098">
        <v>152</v>
      </c>
      <c r="AW30" s="1098">
        <v>344</v>
      </c>
      <c r="AX30" s="1098">
        <v>286</v>
      </c>
      <c r="AY30" s="1098">
        <v>194</v>
      </c>
      <c r="AZ30" s="1098">
        <v>342</v>
      </c>
      <c r="BA30" s="1097">
        <f t="shared" si="33"/>
        <v>3176.1549999999997</v>
      </c>
      <c r="BB30" s="1252">
        <v>104</v>
      </c>
      <c r="BC30" s="1098">
        <v>98</v>
      </c>
      <c r="BD30" s="1098">
        <v>100</v>
      </c>
      <c r="BE30" s="1098"/>
      <c r="BF30" s="1098">
        <v>201</v>
      </c>
      <c r="BG30" s="1098">
        <v>215</v>
      </c>
      <c r="BH30" s="1098">
        <v>302.39999999999998</v>
      </c>
      <c r="BI30" s="1098">
        <v>355</v>
      </c>
      <c r="BJ30" s="1098">
        <v>525</v>
      </c>
      <c r="BK30" s="1098">
        <v>172.83600000000001</v>
      </c>
      <c r="BL30" s="1098">
        <v>174.798</v>
      </c>
      <c r="BM30" s="1098">
        <v>424</v>
      </c>
      <c r="BN30" s="1097">
        <f t="shared" si="34"/>
        <v>2672.0339999999997</v>
      </c>
      <c r="BO30" s="1252">
        <v>383.72300000000001</v>
      </c>
      <c r="BP30" s="1098">
        <v>321.447</v>
      </c>
      <c r="BQ30" s="1098">
        <v>189.24100000000001</v>
      </c>
      <c r="BR30" s="1098">
        <v>321.048</v>
      </c>
      <c r="BS30" s="1098">
        <v>214.203</v>
      </c>
      <c r="BT30" s="1098">
        <v>961.721</v>
      </c>
      <c r="BU30" s="1098">
        <v>35.030999999999999</v>
      </c>
      <c r="BV30" s="1098">
        <v>310.24799999999999</v>
      </c>
      <c r="BW30" s="1098">
        <v>525.03200000000004</v>
      </c>
      <c r="BX30" s="1098">
        <v>315.53300000000002</v>
      </c>
      <c r="BY30" s="1098">
        <v>103</v>
      </c>
      <c r="BZ30" s="1098">
        <v>148</v>
      </c>
      <c r="CA30" s="1097">
        <f t="shared" si="35"/>
        <v>3828.2269999999999</v>
      </c>
      <c r="CB30" s="1252">
        <v>172</v>
      </c>
      <c r="CC30" s="1098">
        <v>224</v>
      </c>
      <c r="CD30" s="1098">
        <v>237</v>
      </c>
      <c r="CE30" s="1098">
        <v>57</v>
      </c>
      <c r="CF30" s="1098">
        <v>72</v>
      </c>
      <c r="CG30" s="1098">
        <v>379</v>
      </c>
      <c r="CH30" s="1098">
        <v>185</v>
      </c>
      <c r="CI30" s="1098">
        <v>52</v>
      </c>
      <c r="CJ30" s="1098">
        <v>263</v>
      </c>
      <c r="CK30" s="1098">
        <v>68</v>
      </c>
      <c r="CL30" s="1098">
        <v>105</v>
      </c>
      <c r="CM30" s="1098">
        <v>203</v>
      </c>
      <c r="CN30" s="1097">
        <f t="shared" si="36"/>
        <v>2017</v>
      </c>
      <c r="CO30" s="1252">
        <v>52</v>
      </c>
      <c r="CP30" s="1098">
        <v>68</v>
      </c>
      <c r="CQ30" s="1098">
        <v>46</v>
      </c>
      <c r="CR30" s="1098">
        <v>62</v>
      </c>
      <c r="CS30" s="1098">
        <v>54</v>
      </c>
      <c r="CT30" s="1098">
        <v>155</v>
      </c>
      <c r="CU30" s="1098">
        <v>18</v>
      </c>
      <c r="CV30" s="1098">
        <v>59</v>
      </c>
      <c r="CW30" s="1098">
        <v>78</v>
      </c>
      <c r="CX30" s="1098">
        <v>243</v>
      </c>
      <c r="CY30" s="1098">
        <v>122</v>
      </c>
      <c r="CZ30" s="1098">
        <v>153</v>
      </c>
      <c r="DA30" s="1097">
        <f t="shared" si="37"/>
        <v>1110</v>
      </c>
      <c r="DB30" s="1252">
        <v>35</v>
      </c>
      <c r="DC30" s="1098">
        <v>192</v>
      </c>
      <c r="DD30" s="1098">
        <v>125</v>
      </c>
      <c r="DE30" s="1098"/>
      <c r="DF30" s="1098">
        <v>482</v>
      </c>
      <c r="DG30" s="1098">
        <v>372</v>
      </c>
      <c r="DH30" s="1098">
        <v>41</v>
      </c>
      <c r="DI30" s="1098">
        <v>31</v>
      </c>
      <c r="DJ30" s="1098">
        <v>170</v>
      </c>
      <c r="DK30" s="1098">
        <v>85</v>
      </c>
      <c r="DL30" s="1098">
        <v>247</v>
      </c>
      <c r="DM30" s="1098">
        <v>98</v>
      </c>
      <c r="DN30" s="1097">
        <f t="shared" si="38"/>
        <v>1878</v>
      </c>
      <c r="DO30" s="1252">
        <v>283</v>
      </c>
      <c r="DP30" s="1098">
        <v>62</v>
      </c>
      <c r="DQ30" s="1098">
        <v>81</v>
      </c>
      <c r="DR30" s="1098">
        <v>136</v>
      </c>
      <c r="DS30" s="1098">
        <v>55</v>
      </c>
      <c r="DT30" s="1098">
        <v>202</v>
      </c>
      <c r="DU30" s="1098">
        <v>88</v>
      </c>
      <c r="DV30" s="1098">
        <v>153</v>
      </c>
      <c r="DW30" s="1098">
        <v>362</v>
      </c>
      <c r="DX30" s="1098">
        <v>74</v>
      </c>
      <c r="DY30" s="1098">
        <v>86</v>
      </c>
      <c r="DZ30" s="1098">
        <v>64</v>
      </c>
      <c r="EA30" s="1097">
        <f t="shared" si="39"/>
        <v>1646</v>
      </c>
      <c r="EB30" s="1252">
        <v>83</v>
      </c>
      <c r="EC30" s="1098">
        <v>16</v>
      </c>
      <c r="ED30" s="1098">
        <v>79</v>
      </c>
      <c r="EE30" s="1098">
        <v>322</v>
      </c>
      <c r="EF30" s="1098">
        <v>65</v>
      </c>
      <c r="EG30" s="1098">
        <v>478</v>
      </c>
      <c r="EH30" s="1098">
        <v>132</v>
      </c>
      <c r="EI30" s="1098">
        <v>93</v>
      </c>
      <c r="EJ30" s="1098">
        <v>37</v>
      </c>
      <c r="EK30" s="1098">
        <v>61</v>
      </c>
      <c r="EL30" s="1098">
        <v>166</v>
      </c>
      <c r="EM30" s="1098">
        <v>22</v>
      </c>
      <c r="EN30" s="1097">
        <f t="shared" si="40"/>
        <v>1554</v>
      </c>
      <c r="EO30" s="1252">
        <v>18</v>
      </c>
      <c r="EP30" s="1098">
        <v>28</v>
      </c>
      <c r="EQ30" s="1098">
        <v>32</v>
      </c>
      <c r="ER30" s="1098">
        <v>67</v>
      </c>
      <c r="ES30" s="1098">
        <v>94</v>
      </c>
      <c r="ET30" s="1098">
        <v>194</v>
      </c>
      <c r="EU30" s="1098"/>
      <c r="EV30" s="1098">
        <v>132</v>
      </c>
      <c r="EW30" s="1098">
        <v>34</v>
      </c>
      <c r="EX30" s="1098">
        <v>224</v>
      </c>
      <c r="EY30" s="1098">
        <v>67</v>
      </c>
      <c r="EZ30" s="1098">
        <v>137</v>
      </c>
      <c r="FA30" s="1097">
        <f t="shared" si="41"/>
        <v>1027</v>
      </c>
      <c r="FB30" s="1252">
        <v>231</v>
      </c>
      <c r="FC30" s="1098">
        <v>153</v>
      </c>
      <c r="FD30" s="1098">
        <v>20</v>
      </c>
      <c r="FE30" s="1098">
        <v>148</v>
      </c>
      <c r="FF30" s="1098">
        <v>39</v>
      </c>
      <c r="FG30" s="1098">
        <v>484</v>
      </c>
      <c r="FH30" s="1098"/>
      <c r="FI30" s="1098">
        <v>2</v>
      </c>
      <c r="FJ30" s="1098">
        <v>149</v>
      </c>
      <c r="FK30" s="1098">
        <v>23</v>
      </c>
      <c r="FL30" s="1098">
        <v>116.5</v>
      </c>
      <c r="FM30" s="1098">
        <v>79.5</v>
      </c>
      <c r="FN30" s="1097">
        <f t="shared" si="42"/>
        <v>1445</v>
      </c>
      <c r="FO30" s="1252">
        <v>40</v>
      </c>
      <c r="FP30" s="1098"/>
      <c r="FQ30" s="1098">
        <v>15</v>
      </c>
      <c r="FR30" s="1098">
        <v>9</v>
      </c>
      <c r="FS30" s="1098">
        <v>55</v>
      </c>
      <c r="FT30" s="1098">
        <v>38</v>
      </c>
      <c r="FU30" s="1098">
        <v>26</v>
      </c>
      <c r="FV30" s="1098">
        <v>22</v>
      </c>
      <c r="FW30" s="1098">
        <v>248</v>
      </c>
      <c r="FX30" s="1098">
        <v>34</v>
      </c>
      <c r="FY30" s="1098">
        <v>52</v>
      </c>
      <c r="FZ30" s="1098">
        <v>361</v>
      </c>
      <c r="GA30" s="1097">
        <f t="shared" si="43"/>
        <v>900</v>
      </c>
      <c r="GB30" s="1252">
        <v>35</v>
      </c>
      <c r="GC30" s="1098">
        <v>92</v>
      </c>
      <c r="GD30" s="1098">
        <v>14</v>
      </c>
      <c r="GE30" s="1098">
        <v>41</v>
      </c>
      <c r="GF30" s="1098">
        <v>16</v>
      </c>
      <c r="GG30" s="1098">
        <v>139</v>
      </c>
      <c r="GH30" s="1098">
        <v>11</v>
      </c>
      <c r="GI30" s="1098">
        <v>10</v>
      </c>
      <c r="GJ30" s="1098">
        <v>19</v>
      </c>
      <c r="GK30" s="1098">
        <v>86</v>
      </c>
      <c r="GL30" s="1098">
        <v>70</v>
      </c>
      <c r="GM30" s="1098">
        <v>35</v>
      </c>
      <c r="GN30" s="1097">
        <f t="shared" si="44"/>
        <v>568</v>
      </c>
      <c r="GO30" s="1252">
        <v>11.73</v>
      </c>
      <c r="GP30" s="1098">
        <v>19.884</v>
      </c>
      <c r="GQ30" s="1098">
        <v>12.5</v>
      </c>
      <c r="GR30" s="1098">
        <v>5</v>
      </c>
      <c r="GS30" s="1098">
        <v>40</v>
      </c>
      <c r="GT30" s="1098">
        <v>9</v>
      </c>
      <c r="GU30" s="1098">
        <v>55.948000000000008</v>
      </c>
      <c r="GV30" s="1098">
        <f>71+148</f>
        <v>219</v>
      </c>
      <c r="GW30" s="1098">
        <v>58.484000000000002</v>
      </c>
      <c r="GX30" s="1098"/>
      <c r="GY30" s="1098">
        <v>18.605</v>
      </c>
      <c r="GZ30" s="1098">
        <v>23.486000000000001</v>
      </c>
      <c r="HA30" s="1097">
        <f t="shared" si="45"/>
        <v>473.637</v>
      </c>
      <c r="HB30" s="1252">
        <v>176</v>
      </c>
      <c r="HC30" s="1098">
        <v>24</v>
      </c>
      <c r="HD30" s="1098">
        <f>6.907+25.621+28.114</f>
        <v>60.641999999999996</v>
      </c>
      <c r="HE30" s="1098">
        <v>21.448</v>
      </c>
      <c r="HF30" s="1098">
        <v>23</v>
      </c>
      <c r="HG30" s="1098">
        <f>98+58</f>
        <v>156</v>
      </c>
      <c r="HH30" s="1098">
        <v>87</v>
      </c>
      <c r="HI30" s="1098">
        <v>94</v>
      </c>
      <c r="HJ30" s="1098">
        <v>117.45</v>
      </c>
      <c r="HK30" s="1098">
        <v>59.301000000000002</v>
      </c>
      <c r="HL30" s="1098">
        <v>1.843</v>
      </c>
      <c r="HM30" s="1098">
        <v>76.890000000000015</v>
      </c>
      <c r="HN30" s="1097">
        <f t="shared" si="46"/>
        <v>897.57399999999996</v>
      </c>
      <c r="HO30" s="1252">
        <v>7.9240000000000004</v>
      </c>
      <c r="HP30" s="1098">
        <v>13.093</v>
      </c>
      <c r="HQ30" s="1098">
        <v>69.055000000000007</v>
      </c>
      <c r="HR30" s="1098"/>
      <c r="HS30" s="1098">
        <v>11.559999999999999</v>
      </c>
      <c r="HT30" s="1098">
        <v>15.252000000000001</v>
      </c>
      <c r="HU30" s="1098">
        <v>1.82</v>
      </c>
      <c r="HV30" s="1098">
        <v>147.58199999999999</v>
      </c>
      <c r="HW30" s="1098">
        <v>35.237000000000002</v>
      </c>
      <c r="HX30" s="1098">
        <v>2</v>
      </c>
      <c r="HY30" s="1098">
        <v>27</v>
      </c>
      <c r="HZ30" s="1098"/>
      <c r="IA30" s="1097">
        <f t="shared" si="47"/>
        <v>330.52300000000002</v>
      </c>
      <c r="IB30" s="1252">
        <v>1</v>
      </c>
      <c r="IC30" s="1098"/>
      <c r="ID30" s="1098">
        <v>4</v>
      </c>
      <c r="IE30" s="1098"/>
      <c r="IF30" s="1098"/>
      <c r="IG30" s="1098">
        <v>1</v>
      </c>
      <c r="IH30" s="1098">
        <v>2.57</v>
      </c>
      <c r="II30" s="1098"/>
      <c r="IJ30" s="1098">
        <v>7</v>
      </c>
      <c r="IK30" s="1098">
        <v>4</v>
      </c>
      <c r="IL30" s="1098">
        <v>55</v>
      </c>
      <c r="IM30" s="1098">
        <v>8</v>
      </c>
      <c r="IN30" s="1097">
        <f t="shared" si="48"/>
        <v>82.57</v>
      </c>
      <c r="IO30" s="1252">
        <v>64.302999999999997</v>
      </c>
      <c r="IP30" s="1098">
        <v>1.3009999999999999</v>
      </c>
      <c r="IQ30" s="1098">
        <v>3.8690000000000002</v>
      </c>
      <c r="IR30" s="1098">
        <v>0.28000000000000003</v>
      </c>
      <c r="IS30" s="1098">
        <v>1.58</v>
      </c>
      <c r="IT30" s="1098">
        <v>27.231999999999999</v>
      </c>
      <c r="IU30" s="1098">
        <v>46.045999999999999</v>
      </c>
      <c r="IV30" s="1098">
        <v>22.393999999999998</v>
      </c>
      <c r="IW30" s="1098">
        <v>74.92</v>
      </c>
      <c r="IX30" s="1098">
        <v>105.316</v>
      </c>
      <c r="IY30" s="1098">
        <v>62.112000000000002</v>
      </c>
      <c r="IZ30" s="1098">
        <v>6.35</v>
      </c>
      <c r="JA30" s="1097">
        <f t="shared" si="49"/>
        <v>415.70300000000003</v>
      </c>
      <c r="JB30" s="1252">
        <v>17.489999999999998</v>
      </c>
      <c r="JC30" s="1098"/>
      <c r="JD30" s="1098"/>
      <c r="JE30" s="1098">
        <v>3.5259999999999998</v>
      </c>
      <c r="JF30" s="1098"/>
      <c r="JG30" s="1098">
        <v>54.243000000000002</v>
      </c>
      <c r="JH30" s="1098">
        <v>44.957999999999998</v>
      </c>
      <c r="JI30" s="1098">
        <v>1.633</v>
      </c>
      <c r="JJ30" s="1098">
        <v>17.129000000000001</v>
      </c>
      <c r="JK30" s="1098">
        <v>16.145</v>
      </c>
      <c r="JL30" s="1098">
        <v>52.174999999999997</v>
      </c>
      <c r="JM30" s="1098"/>
      <c r="JN30" s="1097">
        <f t="shared" si="50"/>
        <v>207.29899999999998</v>
      </c>
      <c r="JO30" s="1252"/>
      <c r="JP30" s="1098"/>
      <c r="JQ30" s="1098"/>
      <c r="JR30" s="1098">
        <v>5.73</v>
      </c>
      <c r="JS30" s="1098"/>
      <c r="JT30" s="1098"/>
      <c r="JU30" s="1098">
        <v>113</v>
      </c>
      <c r="JV30" s="1098">
        <v>95.129000000000005</v>
      </c>
      <c r="JW30" s="1098">
        <v>85.751999999999995</v>
      </c>
      <c r="JX30" s="1098">
        <v>26.248999999999999</v>
      </c>
      <c r="JY30" s="1098">
        <v>2.4820000000000002</v>
      </c>
      <c r="JZ30" s="1098"/>
      <c r="KA30" s="1097">
        <f t="shared" si="51"/>
        <v>328.34200000000004</v>
      </c>
      <c r="KB30" s="1252"/>
      <c r="KC30" s="1098">
        <v>6</v>
      </c>
      <c r="KD30" s="1098"/>
      <c r="KE30" s="1098"/>
      <c r="KF30" s="1098"/>
      <c r="KG30" s="1098">
        <v>8.5060000000000002</v>
      </c>
      <c r="KH30" s="1098">
        <f>443.056+23.315</f>
        <v>466.37099999999998</v>
      </c>
      <c r="KI30" s="1098">
        <f>475.21+42.129</f>
        <v>517.33899999999994</v>
      </c>
      <c r="KJ30" s="1098">
        <f>313.757+14.003</f>
        <v>327.76</v>
      </c>
      <c r="KK30" s="1098">
        <v>36.865000000000002</v>
      </c>
      <c r="KL30" s="1098">
        <v>2.5529999999999999</v>
      </c>
      <c r="KM30" s="1098">
        <v>95.611999999999995</v>
      </c>
      <c r="KN30" s="1097">
        <f t="shared" si="52"/>
        <v>1461.0060000000001</v>
      </c>
      <c r="KO30" s="1252"/>
      <c r="KP30" s="1098"/>
      <c r="KQ30" s="1098"/>
      <c r="KR30" s="1098">
        <v>1.607</v>
      </c>
      <c r="KS30" s="1098">
        <v>27.553000000000001</v>
      </c>
      <c r="KT30" s="1098">
        <v>0.59899999999999998</v>
      </c>
      <c r="KU30" s="1098">
        <v>31.33</v>
      </c>
      <c r="KV30" s="1098">
        <v>39.612000000000002</v>
      </c>
      <c r="KW30" s="1098">
        <v>53.101999999999997</v>
      </c>
      <c r="KX30" s="1098">
        <v>1.526</v>
      </c>
      <c r="KY30" s="1098">
        <v>1.3</v>
      </c>
      <c r="KZ30" s="1098">
        <v>2.4980000000000002</v>
      </c>
      <c r="LA30" s="1097">
        <f t="shared" si="53"/>
        <v>159.12700000000001</v>
      </c>
      <c r="LB30" s="1252">
        <v>9.9999999999999994E-12</v>
      </c>
      <c r="LC30" s="1098"/>
      <c r="LD30" s="1098">
        <v>4.6219999999999999</v>
      </c>
      <c r="LE30" s="1098"/>
      <c r="LF30" s="1098">
        <v>3.137</v>
      </c>
      <c r="LG30" s="1098">
        <v>11.567</v>
      </c>
      <c r="LH30" s="1098">
        <v>103</v>
      </c>
      <c r="LI30" s="1098">
        <v>12</v>
      </c>
      <c r="LJ30" s="1098"/>
      <c r="LK30" s="1098"/>
      <c r="LL30" s="1098"/>
      <c r="LM30" s="1098"/>
      <c r="LN30" s="1097">
        <f t="shared" si="54"/>
        <v>134.32600000001</v>
      </c>
      <c r="LP30" s="1116">
        <f t="shared" si="55"/>
        <v>-69.70614965162072</v>
      </c>
      <c r="LQ30" s="1117">
        <f t="shared" si="56"/>
        <v>33.390929583628768</v>
      </c>
      <c r="LR30" s="1079">
        <f t="shared" si="57"/>
        <v>100.70099999999999</v>
      </c>
      <c r="LS30" s="1118">
        <f t="shared" si="58"/>
        <v>134.32600000001</v>
      </c>
      <c r="LU30" s="629"/>
      <c r="LV30" s="1139">
        <f t="shared" si="59"/>
        <v>78581.914000000048</v>
      </c>
      <c r="LW30" s="1286" t="s">
        <v>67</v>
      </c>
      <c r="LX30" s="1147" t="str">
        <f t="shared" si="60"/>
        <v>OK</v>
      </c>
    </row>
    <row r="31" spans="1:336" ht="15" customHeight="1" x14ac:dyDescent="0.2">
      <c r="A31" s="1280" t="s">
        <v>590</v>
      </c>
      <c r="B31" s="1252">
        <v>150.68799999999999</v>
      </c>
      <c r="C31" s="1098"/>
      <c r="D31" s="1098">
        <v>24.457999999999998</v>
      </c>
      <c r="E31" s="1098"/>
      <c r="F31" s="1098"/>
      <c r="G31" s="1098"/>
      <c r="H31" s="1098"/>
      <c r="I31" s="1098">
        <v>27.271999999999998</v>
      </c>
      <c r="J31" s="1098">
        <v>16.748999999999999</v>
      </c>
      <c r="K31" s="1098">
        <v>16.747</v>
      </c>
      <c r="L31" s="1098">
        <v>104.261</v>
      </c>
      <c r="M31" s="1098">
        <v>92.052999999999997</v>
      </c>
      <c r="N31" s="1097">
        <f t="shared" si="30"/>
        <v>432.22799999999995</v>
      </c>
      <c r="O31" s="1252">
        <v>144.852</v>
      </c>
      <c r="P31" s="1098">
        <v>13.635999999999999</v>
      </c>
      <c r="Q31" s="1098"/>
      <c r="R31" s="1098">
        <v>82.049000000000007</v>
      </c>
      <c r="S31" s="1098">
        <v>40.195</v>
      </c>
      <c r="T31" s="1098">
        <v>13.29</v>
      </c>
      <c r="U31" s="1098">
        <v>2.7269999999999999</v>
      </c>
      <c r="V31" s="1098">
        <v>110.01600000000001</v>
      </c>
      <c r="W31" s="1098">
        <v>73.790000000000006</v>
      </c>
      <c r="X31" s="1098"/>
      <c r="Y31" s="1098"/>
      <c r="Z31" s="1098"/>
      <c r="AA31" s="1097">
        <f t="shared" si="31"/>
        <v>480.55500000000006</v>
      </c>
      <c r="AB31" s="1252">
        <v>19.984000000000002</v>
      </c>
      <c r="AC31" s="1098">
        <v>26.283999999999999</v>
      </c>
      <c r="AD31" s="1098">
        <v>9</v>
      </c>
      <c r="AE31" s="1098"/>
      <c r="AF31" s="1098">
        <v>72.337000000000003</v>
      </c>
      <c r="AG31" s="1098">
        <v>9.6359999999999992</v>
      </c>
      <c r="AH31" s="1098">
        <v>53.473999999999997</v>
      </c>
      <c r="AI31" s="1098">
        <v>18.635999999999999</v>
      </c>
      <c r="AJ31" s="1098"/>
      <c r="AK31" s="1098"/>
      <c r="AL31" s="1098">
        <v>4.5449999999999999</v>
      </c>
      <c r="AM31" s="1098"/>
      <c r="AN31" s="1097">
        <f t="shared" si="32"/>
        <v>213.89599999999999</v>
      </c>
      <c r="AO31" s="1252">
        <v>115.887</v>
      </c>
      <c r="AP31" s="1098">
        <v>11.077</v>
      </c>
      <c r="AQ31" s="1098">
        <v>29.462</v>
      </c>
      <c r="AR31" s="1098">
        <v>14.973000000000001</v>
      </c>
      <c r="AS31" s="1098">
        <v>74.881</v>
      </c>
      <c r="AT31" s="1098"/>
      <c r="AU31" s="1098"/>
      <c r="AV31" s="1098"/>
      <c r="AW31" s="1098"/>
      <c r="AX31" s="1098">
        <v>34</v>
      </c>
      <c r="AY31" s="1098"/>
      <c r="AZ31" s="1098">
        <v>62</v>
      </c>
      <c r="BA31" s="1097">
        <f t="shared" si="33"/>
        <v>342.28</v>
      </c>
      <c r="BB31" s="1252"/>
      <c r="BC31" s="1098">
        <v>25</v>
      </c>
      <c r="BD31" s="1098"/>
      <c r="BE31" s="1098"/>
      <c r="BF31" s="1098"/>
      <c r="BG31" s="1098"/>
      <c r="BH31" s="1098">
        <v>47</v>
      </c>
      <c r="BI31" s="1098">
        <v>33</v>
      </c>
      <c r="BJ31" s="1098">
        <v>19</v>
      </c>
      <c r="BK31" s="1098">
        <v>60.697000000000003</v>
      </c>
      <c r="BL31" s="1098">
        <v>9.3420000000000005</v>
      </c>
      <c r="BM31" s="1098">
        <v>46</v>
      </c>
      <c r="BN31" s="1097">
        <f t="shared" si="34"/>
        <v>240.03900000000002</v>
      </c>
      <c r="BO31" s="1252">
        <v>5.9189999999999996</v>
      </c>
      <c r="BP31" s="1098">
        <v>43.875999999999998</v>
      </c>
      <c r="BQ31" s="1098">
        <v>47.332999999999998</v>
      </c>
      <c r="BR31" s="1098">
        <v>9.8369999999999997</v>
      </c>
      <c r="BS31" s="1098">
        <v>64.626000000000005</v>
      </c>
      <c r="BT31" s="1098">
        <v>189.43199999999999</v>
      </c>
      <c r="BU31" s="1098">
        <v>160.17500000000001</v>
      </c>
      <c r="BV31" s="1098">
        <v>236.77099999999999</v>
      </c>
      <c r="BW31" s="1098">
        <v>165.06299999999999</v>
      </c>
      <c r="BX31" s="1098">
        <v>117.991</v>
      </c>
      <c r="BY31" s="1098"/>
      <c r="BZ31" s="1098">
        <v>91</v>
      </c>
      <c r="CA31" s="1097">
        <f t="shared" si="35"/>
        <v>1132.0230000000001</v>
      </c>
      <c r="CB31" s="1252"/>
      <c r="CC31" s="1098">
        <v>1</v>
      </c>
      <c r="CD31" s="1098">
        <v>14</v>
      </c>
      <c r="CE31" s="1098"/>
      <c r="CF31" s="1098"/>
      <c r="CG31" s="1098">
        <v>18</v>
      </c>
      <c r="CH31" s="1098"/>
      <c r="CI31" s="1098">
        <v>23</v>
      </c>
      <c r="CJ31" s="1098"/>
      <c r="CK31" s="1098"/>
      <c r="CL31" s="1098"/>
      <c r="CM31" s="1098">
        <v>50</v>
      </c>
      <c r="CN31" s="1097">
        <f t="shared" si="36"/>
        <v>106</v>
      </c>
      <c r="CO31" s="1252">
        <v>21</v>
      </c>
      <c r="CP31" s="1098"/>
      <c r="CQ31" s="1098"/>
      <c r="CR31" s="1098"/>
      <c r="CS31" s="1098"/>
      <c r="CT31" s="1098"/>
      <c r="CU31" s="1098"/>
      <c r="CV31" s="1098"/>
      <c r="CW31" s="1098"/>
      <c r="CX31" s="1098">
        <v>20</v>
      </c>
      <c r="CY31" s="1098">
        <v>20</v>
      </c>
      <c r="CZ31" s="1098"/>
      <c r="DA31" s="1097">
        <f t="shared" si="37"/>
        <v>61</v>
      </c>
      <c r="DB31" s="1252"/>
      <c r="DC31" s="1098">
        <v>7</v>
      </c>
      <c r="DD31" s="1098">
        <v>7</v>
      </c>
      <c r="DE31" s="1098"/>
      <c r="DF31" s="1098">
        <v>9</v>
      </c>
      <c r="DG31" s="1098">
        <v>42</v>
      </c>
      <c r="DH31" s="1098">
        <v>45</v>
      </c>
      <c r="DI31" s="1098">
        <v>20</v>
      </c>
      <c r="DJ31" s="1098">
        <v>24</v>
      </c>
      <c r="DK31" s="1098">
        <v>71</v>
      </c>
      <c r="DL31" s="1098">
        <v>100</v>
      </c>
      <c r="DM31" s="1098">
        <v>71</v>
      </c>
      <c r="DN31" s="1097">
        <f t="shared" si="38"/>
        <v>396</v>
      </c>
      <c r="DO31" s="1252">
        <v>44</v>
      </c>
      <c r="DP31" s="1098">
        <v>48</v>
      </c>
      <c r="DQ31" s="1098">
        <v>39</v>
      </c>
      <c r="DR31" s="1098">
        <v>28</v>
      </c>
      <c r="DS31" s="1098">
        <v>112</v>
      </c>
      <c r="DT31" s="1098">
        <v>18</v>
      </c>
      <c r="DU31" s="1098">
        <v>43</v>
      </c>
      <c r="DV31" s="1098">
        <v>78</v>
      </c>
      <c r="DW31" s="1098">
        <v>87</v>
      </c>
      <c r="DX31" s="1098"/>
      <c r="DY31" s="1098">
        <v>8</v>
      </c>
      <c r="DZ31" s="1098">
        <v>13</v>
      </c>
      <c r="EA31" s="1097">
        <f t="shared" si="39"/>
        <v>518</v>
      </c>
      <c r="EB31" s="1252">
        <v>11</v>
      </c>
      <c r="EC31" s="1098">
        <v>9</v>
      </c>
      <c r="ED31" s="1098">
        <v>48</v>
      </c>
      <c r="EE31" s="1098"/>
      <c r="EF31" s="1098"/>
      <c r="EG31" s="1098">
        <v>2</v>
      </c>
      <c r="EH31" s="1098">
        <v>11</v>
      </c>
      <c r="EI31" s="1098">
        <v>1</v>
      </c>
      <c r="EJ31" s="1098">
        <v>68</v>
      </c>
      <c r="EK31" s="1098">
        <v>4</v>
      </c>
      <c r="EL31" s="1098">
        <v>59</v>
      </c>
      <c r="EM31" s="1098">
        <v>9</v>
      </c>
      <c r="EN31" s="1097">
        <f t="shared" si="40"/>
        <v>222</v>
      </c>
      <c r="EO31" s="1252">
        <v>12</v>
      </c>
      <c r="EP31" s="1098">
        <v>9</v>
      </c>
      <c r="EQ31" s="1098"/>
      <c r="ER31" s="1098">
        <v>12</v>
      </c>
      <c r="ES31" s="1098">
        <v>32</v>
      </c>
      <c r="ET31" s="1098">
        <v>79</v>
      </c>
      <c r="EU31" s="1098">
        <v>17</v>
      </c>
      <c r="EV31" s="1098">
        <v>38</v>
      </c>
      <c r="EW31" s="1098"/>
      <c r="EX31" s="1098"/>
      <c r="EY31" s="1098"/>
      <c r="EZ31" s="1098">
        <v>3</v>
      </c>
      <c r="FA31" s="1097">
        <f t="shared" si="41"/>
        <v>202</v>
      </c>
      <c r="FB31" s="1252">
        <v>21</v>
      </c>
      <c r="FC31" s="1098"/>
      <c r="FD31" s="1098"/>
      <c r="FE31" s="1098">
        <v>10</v>
      </c>
      <c r="FF31" s="1098">
        <v>21</v>
      </c>
      <c r="FG31" s="1098">
        <v>67</v>
      </c>
      <c r="FH31" s="1098">
        <v>24</v>
      </c>
      <c r="FI31" s="1098"/>
      <c r="FJ31" s="1098">
        <v>89</v>
      </c>
      <c r="FK31" s="1098">
        <v>46</v>
      </c>
      <c r="FL31" s="1098">
        <v>29.5</v>
      </c>
      <c r="FM31" s="1098">
        <v>6</v>
      </c>
      <c r="FN31" s="1097">
        <f t="shared" si="42"/>
        <v>313.5</v>
      </c>
      <c r="FO31" s="1252">
        <v>42</v>
      </c>
      <c r="FP31" s="1098">
        <v>6</v>
      </c>
      <c r="FQ31" s="1098"/>
      <c r="FR31" s="1098">
        <v>77</v>
      </c>
      <c r="FS31" s="1098">
        <v>164</v>
      </c>
      <c r="FT31" s="1098">
        <v>43</v>
      </c>
      <c r="FU31" s="1098">
        <v>47</v>
      </c>
      <c r="FV31" s="1098">
        <v>55</v>
      </c>
      <c r="FW31" s="1098">
        <v>73</v>
      </c>
      <c r="FX31" s="1098">
        <v>54</v>
      </c>
      <c r="FY31" s="1098">
        <v>24</v>
      </c>
      <c r="FZ31" s="1098">
        <v>95</v>
      </c>
      <c r="GA31" s="1097">
        <f t="shared" si="43"/>
        <v>680</v>
      </c>
      <c r="GB31" s="1252">
        <v>6</v>
      </c>
      <c r="GC31" s="1098">
        <v>28</v>
      </c>
      <c r="GD31" s="1098">
        <v>17.393999999999998</v>
      </c>
      <c r="GE31" s="1098">
        <v>11.12</v>
      </c>
      <c r="GF31" s="1098">
        <v>19.079999999999998</v>
      </c>
      <c r="GG31" s="1098"/>
      <c r="GH31" s="1098">
        <v>13</v>
      </c>
      <c r="GI31" s="1098">
        <v>12</v>
      </c>
      <c r="GJ31" s="1098">
        <v>22</v>
      </c>
      <c r="GK31" s="1098">
        <v>102</v>
      </c>
      <c r="GL31" s="1098">
        <v>39</v>
      </c>
      <c r="GM31" s="1098">
        <v>108</v>
      </c>
      <c r="GN31" s="1097">
        <f t="shared" si="44"/>
        <v>377.59399999999999</v>
      </c>
      <c r="GO31" s="1252"/>
      <c r="GP31" s="1098">
        <v>64.070999999999998</v>
      </c>
      <c r="GQ31" s="1098">
        <v>286.03399999999999</v>
      </c>
      <c r="GR31" s="1098">
        <v>23</v>
      </c>
      <c r="GS31" s="1098">
        <v>64</v>
      </c>
      <c r="GT31" s="1098">
        <v>12</v>
      </c>
      <c r="GU31" s="1098">
        <v>72</v>
      </c>
      <c r="GV31" s="1098">
        <v>144.80000000000001</v>
      </c>
      <c r="GW31" s="1098">
        <v>9.4290000000000003</v>
      </c>
      <c r="GX31" s="1098">
        <v>6.8170000000000002</v>
      </c>
      <c r="GY31" s="1098">
        <v>30</v>
      </c>
      <c r="GZ31" s="1098"/>
      <c r="HA31" s="1097">
        <f t="shared" si="45"/>
        <v>712.15099999999995</v>
      </c>
      <c r="HB31" s="1252">
        <v>18</v>
      </c>
      <c r="HC31" s="1098">
        <v>14</v>
      </c>
      <c r="HD31" s="1098">
        <v>34.704999999999998</v>
      </c>
      <c r="HE31" s="1098">
        <f>10.899+12.67</f>
        <v>23.568999999999999</v>
      </c>
      <c r="HF31" s="1098">
        <v>17</v>
      </c>
      <c r="HG31" s="1098">
        <v>167</v>
      </c>
      <c r="HH31" s="1098">
        <v>154</v>
      </c>
      <c r="HI31" s="1098">
        <v>38</v>
      </c>
      <c r="HJ31" s="1098">
        <v>149.33000000000001</v>
      </c>
      <c r="HK31" s="1098">
        <v>64.494</v>
      </c>
      <c r="HL31" s="1098"/>
      <c r="HM31" s="1098">
        <v>48.408999999999999</v>
      </c>
      <c r="HN31" s="1097">
        <f t="shared" si="46"/>
        <v>728.50700000000006</v>
      </c>
      <c r="HO31" s="1252">
        <v>31.145</v>
      </c>
      <c r="HP31" s="1098">
        <v>3.379</v>
      </c>
      <c r="HQ31" s="1098">
        <v>97.253000000000014</v>
      </c>
      <c r="HR31" s="1098">
        <v>13.651</v>
      </c>
      <c r="HS31" s="1098">
        <v>67.195999999999998</v>
      </c>
      <c r="HT31" s="1098">
        <v>20.259999999999998</v>
      </c>
      <c r="HU31" s="1098">
        <v>19.888999999999999</v>
      </c>
      <c r="HV31" s="1098">
        <v>81.67</v>
      </c>
      <c r="HW31" s="1098">
        <v>49.92</v>
      </c>
      <c r="HX31" s="1098">
        <v>23</v>
      </c>
      <c r="HY31" s="1098">
        <v>12</v>
      </c>
      <c r="HZ31" s="1098"/>
      <c r="IA31" s="1097">
        <f t="shared" si="47"/>
        <v>419.36300000000006</v>
      </c>
      <c r="IB31" s="1252"/>
      <c r="IC31" s="1098"/>
      <c r="ID31" s="1098"/>
      <c r="IE31" s="1098"/>
      <c r="IF31" s="1098"/>
      <c r="IG31" s="1098"/>
      <c r="IH31" s="1098"/>
      <c r="II31" s="1098"/>
      <c r="IJ31" s="1098">
        <v>3.1920000000000002</v>
      </c>
      <c r="IK31" s="1098"/>
      <c r="IL31" s="1098"/>
      <c r="IM31" s="1098">
        <v>6.3659999999999997</v>
      </c>
      <c r="IN31" s="1097">
        <f t="shared" si="48"/>
        <v>9.5579999999999998</v>
      </c>
      <c r="IO31" s="1252"/>
      <c r="IP31" s="1098"/>
      <c r="IQ31" s="1098">
        <v>0.58399999999999996</v>
      </c>
      <c r="IR31" s="1098">
        <v>0.36</v>
      </c>
      <c r="IS31" s="1098"/>
      <c r="IT31" s="1098">
        <v>48.843000000000004</v>
      </c>
      <c r="IU31" s="1098">
        <v>1.2829999999999999</v>
      </c>
      <c r="IV31" s="1098">
        <v>12.657</v>
      </c>
      <c r="IW31" s="1098">
        <v>7.9349999999999996</v>
      </c>
      <c r="IX31" s="1098">
        <v>7.2439999999999998</v>
      </c>
      <c r="IY31" s="1098">
        <v>3.55</v>
      </c>
      <c r="IZ31" s="1098"/>
      <c r="JA31" s="1097">
        <f t="shared" si="49"/>
        <v>82.456000000000003</v>
      </c>
      <c r="JB31" s="1252"/>
      <c r="JC31" s="1098">
        <v>3.8</v>
      </c>
      <c r="JD31" s="1098"/>
      <c r="JE31" s="1098"/>
      <c r="JF31" s="1098"/>
      <c r="JG31" s="1098">
        <v>2.3130000000000002</v>
      </c>
      <c r="JH31" s="1098"/>
      <c r="JI31" s="1098"/>
      <c r="JJ31" s="1098"/>
      <c r="JK31" s="1098"/>
      <c r="JL31" s="1098"/>
      <c r="JM31" s="1098"/>
      <c r="JN31" s="1097">
        <f t="shared" si="50"/>
        <v>6.1129999999999995</v>
      </c>
      <c r="JO31" s="1252"/>
      <c r="JP31" s="1098"/>
      <c r="JQ31" s="1098"/>
      <c r="JR31" s="1098">
        <v>8.5939999999999994</v>
      </c>
      <c r="JS31" s="1098"/>
      <c r="JT31" s="1098">
        <v>3.2450000000000001</v>
      </c>
      <c r="JU31" s="1098"/>
      <c r="JV31" s="1098">
        <v>4.9880000000000004</v>
      </c>
      <c r="JW31" s="1098"/>
      <c r="JX31" s="1098">
        <v>4.46</v>
      </c>
      <c r="JY31" s="1098"/>
      <c r="JZ31" s="1098"/>
      <c r="KA31" s="1097">
        <f t="shared" si="51"/>
        <v>21.286999999999999</v>
      </c>
      <c r="KB31" s="1252"/>
      <c r="KC31" s="1098"/>
      <c r="KD31" s="1098"/>
      <c r="KE31" s="1098"/>
      <c r="KF31" s="1098"/>
      <c r="KG31" s="1098"/>
      <c r="KH31" s="1098"/>
      <c r="KI31" s="1098"/>
      <c r="KJ31" s="1098"/>
      <c r="KK31" s="1098"/>
      <c r="KL31" s="1098"/>
      <c r="KM31" s="1098">
        <v>13.372</v>
      </c>
      <c r="KN31" s="1097">
        <f t="shared" si="52"/>
        <v>13.372</v>
      </c>
      <c r="KO31" s="1252"/>
      <c r="KP31" s="1098"/>
      <c r="KQ31" s="1098"/>
      <c r="KR31" s="1098"/>
      <c r="KS31" s="1098"/>
      <c r="KT31" s="1098"/>
      <c r="KU31" s="1098"/>
      <c r="KV31" s="1098"/>
      <c r="KW31" s="1098"/>
      <c r="KX31" s="1098"/>
      <c r="KY31" s="1098"/>
      <c r="KZ31" s="1098"/>
      <c r="LA31" s="1097">
        <f t="shared" si="53"/>
        <v>0</v>
      </c>
      <c r="LB31" s="1252">
        <v>9.9999999999999994E-12</v>
      </c>
      <c r="LC31" s="1098"/>
      <c r="LD31" s="1098">
        <v>4.6219999999999999</v>
      </c>
      <c r="LE31" s="1098"/>
      <c r="LF31" s="1098"/>
      <c r="LG31" s="1098">
        <v>3.1680000000000001</v>
      </c>
      <c r="LH31" s="1098"/>
      <c r="LI31" s="1098"/>
      <c r="LJ31" s="1098"/>
      <c r="LK31" s="1098"/>
      <c r="LL31" s="1098"/>
      <c r="LM31" s="1098"/>
      <c r="LN31" s="1097">
        <f t="shared" si="54"/>
        <v>7.79000000001</v>
      </c>
      <c r="LP31" s="1116" t="str">
        <f t="shared" si="55"/>
        <v/>
      </c>
      <c r="LQ31" s="1117" t="str">
        <f t="shared" si="56"/>
        <v/>
      </c>
      <c r="LR31" s="1079">
        <f t="shared" si="57"/>
        <v>0</v>
      </c>
      <c r="LS31" s="1118">
        <f t="shared" si="58"/>
        <v>7.79000000001</v>
      </c>
      <c r="LU31" s="629"/>
      <c r="LV31" s="1139">
        <f t="shared" si="59"/>
        <v>15435.424000000014</v>
      </c>
      <c r="LW31" s="1286" t="s">
        <v>590</v>
      </c>
      <c r="LX31" s="1147" t="str">
        <f t="shared" si="60"/>
        <v>OK</v>
      </c>
    </row>
    <row r="32" spans="1:336" ht="15" customHeight="1" x14ac:dyDescent="0.2">
      <c r="A32" s="1280" t="s">
        <v>68</v>
      </c>
      <c r="B32" s="1252"/>
      <c r="C32" s="1098"/>
      <c r="D32" s="1098"/>
      <c r="E32" s="1098"/>
      <c r="F32" s="1098"/>
      <c r="G32" s="1098"/>
      <c r="H32" s="1098"/>
      <c r="I32" s="1098"/>
      <c r="J32" s="1098"/>
      <c r="K32" s="1098"/>
      <c r="L32" s="1098"/>
      <c r="M32" s="1098">
        <v>59.088999999999999</v>
      </c>
      <c r="N32" s="1097">
        <f t="shared" si="30"/>
        <v>59.088999999999999</v>
      </c>
      <c r="O32" s="1252"/>
      <c r="P32" s="1098"/>
      <c r="Q32" s="1098"/>
      <c r="R32" s="1098"/>
      <c r="S32" s="1098">
        <v>1.8</v>
      </c>
      <c r="T32" s="1098"/>
      <c r="U32" s="1098"/>
      <c r="V32" s="1098">
        <v>42.265999999999998</v>
      </c>
      <c r="W32" s="1098"/>
      <c r="X32" s="1098">
        <v>4.0640000000000001</v>
      </c>
      <c r="Y32" s="1098">
        <v>18.625</v>
      </c>
      <c r="Z32" s="1098">
        <v>30.204999999999998</v>
      </c>
      <c r="AA32" s="1097">
        <f t="shared" si="31"/>
        <v>96.96</v>
      </c>
      <c r="AB32" s="1252">
        <v>89.528000000000006</v>
      </c>
      <c r="AC32" s="1098">
        <v>86.480999999999995</v>
      </c>
      <c r="AD32" s="1098">
        <v>50.869</v>
      </c>
      <c r="AE32" s="1098">
        <v>48.591999999999999</v>
      </c>
      <c r="AF32" s="1098">
        <v>31.766999999999999</v>
      </c>
      <c r="AG32" s="1098">
        <v>33.585000000000001</v>
      </c>
      <c r="AH32" s="1098">
        <v>4.17</v>
      </c>
      <c r="AI32" s="1098">
        <v>41.277000000000001</v>
      </c>
      <c r="AJ32" s="1098">
        <v>25.593</v>
      </c>
      <c r="AK32" s="1098">
        <v>7.843</v>
      </c>
      <c r="AL32" s="1098">
        <v>45.600999999999999</v>
      </c>
      <c r="AM32" s="1098">
        <v>95.96</v>
      </c>
      <c r="AN32" s="1097">
        <f t="shared" si="32"/>
        <v>561.26600000000008</v>
      </c>
      <c r="AO32" s="1252">
        <v>18.335999999999999</v>
      </c>
      <c r="AP32" s="1098">
        <v>52.750999999999998</v>
      </c>
      <c r="AQ32" s="1098">
        <v>29.859000000000002</v>
      </c>
      <c r="AR32" s="1098">
        <v>8.3290000000000006</v>
      </c>
      <c r="AS32" s="1098">
        <v>58.899000000000001</v>
      </c>
      <c r="AT32" s="1098">
        <v>25</v>
      </c>
      <c r="AU32" s="1098"/>
      <c r="AV32" s="1098">
        <v>30</v>
      </c>
      <c r="AW32" s="1098">
        <v>114</v>
      </c>
      <c r="AX32" s="1098"/>
      <c r="AY32" s="1098">
        <v>13</v>
      </c>
      <c r="AZ32" s="1098">
        <v>40</v>
      </c>
      <c r="BA32" s="1097">
        <f t="shared" si="33"/>
        <v>390.17399999999998</v>
      </c>
      <c r="BB32" s="1252"/>
      <c r="BC32" s="1098">
        <v>14</v>
      </c>
      <c r="BD32" s="1098"/>
      <c r="BE32" s="1098"/>
      <c r="BF32" s="1098">
        <v>14</v>
      </c>
      <c r="BG32" s="1098"/>
      <c r="BH32" s="1098">
        <v>58</v>
      </c>
      <c r="BI32" s="1098">
        <v>51</v>
      </c>
      <c r="BJ32" s="1098">
        <v>35</v>
      </c>
      <c r="BK32" s="1098">
        <v>37.25</v>
      </c>
      <c r="BL32" s="1098">
        <v>67.588999999999999</v>
      </c>
      <c r="BM32" s="1098">
        <v>135</v>
      </c>
      <c r="BN32" s="1097">
        <f t="shared" si="34"/>
        <v>411.839</v>
      </c>
      <c r="BO32" s="1252">
        <v>70.864999999999995</v>
      </c>
      <c r="BP32" s="1098"/>
      <c r="BQ32" s="1098"/>
      <c r="BR32" s="1098">
        <v>1.454</v>
      </c>
      <c r="BS32" s="1098">
        <v>19.091000000000001</v>
      </c>
      <c r="BT32" s="1098">
        <v>27.969000000000001</v>
      </c>
      <c r="BU32" s="1098"/>
      <c r="BV32" s="1098">
        <v>8.375</v>
      </c>
      <c r="BW32" s="1098"/>
      <c r="BX32" s="1098">
        <v>11.430999999999999</v>
      </c>
      <c r="BY32" s="1098">
        <v>201</v>
      </c>
      <c r="BZ32" s="1098"/>
      <c r="CA32" s="1097">
        <f t="shared" si="35"/>
        <v>340.185</v>
      </c>
      <c r="CB32" s="1252"/>
      <c r="CC32" s="1098">
        <v>38</v>
      </c>
      <c r="CD32" s="1098">
        <v>25</v>
      </c>
      <c r="CE32" s="1098">
        <v>119</v>
      </c>
      <c r="CF32" s="1098">
        <v>39</v>
      </c>
      <c r="CG32" s="1098">
        <v>140</v>
      </c>
      <c r="CH32" s="1098">
        <v>22</v>
      </c>
      <c r="CI32" s="1098">
        <v>6</v>
      </c>
      <c r="CJ32" s="1098">
        <v>12</v>
      </c>
      <c r="CK32" s="1098">
        <v>36</v>
      </c>
      <c r="CL32" s="1098">
        <v>18</v>
      </c>
      <c r="CM32" s="1098">
        <v>15</v>
      </c>
      <c r="CN32" s="1097">
        <f t="shared" si="36"/>
        <v>470</v>
      </c>
      <c r="CO32" s="1252"/>
      <c r="CP32" s="1098">
        <v>23</v>
      </c>
      <c r="CQ32" s="1098">
        <v>9</v>
      </c>
      <c r="CR32" s="1098">
        <v>9</v>
      </c>
      <c r="CS32" s="1098"/>
      <c r="CT32" s="1098">
        <v>35</v>
      </c>
      <c r="CU32" s="1098"/>
      <c r="CV32" s="1098"/>
      <c r="CW32" s="1098"/>
      <c r="CX32" s="1098"/>
      <c r="CY32" s="1098">
        <v>24</v>
      </c>
      <c r="CZ32" s="1098"/>
      <c r="DA32" s="1097">
        <f t="shared" si="37"/>
        <v>100</v>
      </c>
      <c r="DB32" s="1252">
        <v>7</v>
      </c>
      <c r="DC32" s="1098">
        <v>19</v>
      </c>
      <c r="DD32" s="1098">
        <v>35</v>
      </c>
      <c r="DE32" s="1098">
        <v>26</v>
      </c>
      <c r="DF32" s="1098">
        <v>27</v>
      </c>
      <c r="DG32" s="1098">
        <v>64</v>
      </c>
      <c r="DH32" s="1098">
        <v>25</v>
      </c>
      <c r="DI32" s="1098">
        <v>20</v>
      </c>
      <c r="DJ32" s="1098"/>
      <c r="DK32" s="1098"/>
      <c r="DL32" s="1098">
        <v>63</v>
      </c>
      <c r="DM32" s="1098"/>
      <c r="DN32" s="1097">
        <f t="shared" si="38"/>
        <v>286</v>
      </c>
      <c r="DO32" s="1252"/>
      <c r="DP32" s="1098"/>
      <c r="DQ32" s="1098">
        <v>7</v>
      </c>
      <c r="DR32" s="1098">
        <v>9</v>
      </c>
      <c r="DS32" s="1098">
        <v>8</v>
      </c>
      <c r="DT32" s="1098">
        <v>29</v>
      </c>
      <c r="DU32" s="1098">
        <v>11</v>
      </c>
      <c r="DV32" s="1098">
        <v>41</v>
      </c>
      <c r="DW32" s="1098">
        <v>22</v>
      </c>
      <c r="DX32" s="1098">
        <v>24</v>
      </c>
      <c r="DY32" s="1098">
        <v>11</v>
      </c>
      <c r="DZ32" s="1098">
        <v>32</v>
      </c>
      <c r="EA32" s="1097">
        <f t="shared" si="39"/>
        <v>194</v>
      </c>
      <c r="EB32" s="1252">
        <v>60</v>
      </c>
      <c r="EC32" s="1098">
        <v>34</v>
      </c>
      <c r="ED32" s="1098">
        <v>20</v>
      </c>
      <c r="EE32" s="1098">
        <v>31</v>
      </c>
      <c r="EF32" s="1098">
        <v>20</v>
      </c>
      <c r="EG32" s="1098">
        <v>25</v>
      </c>
      <c r="EH32" s="1098">
        <v>25</v>
      </c>
      <c r="EI32" s="1098">
        <v>10</v>
      </c>
      <c r="EJ32" s="1098">
        <v>4</v>
      </c>
      <c r="EK32" s="1098">
        <v>58</v>
      </c>
      <c r="EL32" s="1098">
        <v>21</v>
      </c>
      <c r="EM32" s="1098"/>
      <c r="EN32" s="1097">
        <f t="shared" si="40"/>
        <v>308</v>
      </c>
      <c r="EO32" s="1252">
        <v>8</v>
      </c>
      <c r="EP32" s="1098">
        <v>16</v>
      </c>
      <c r="EQ32" s="1098"/>
      <c r="ER32" s="1098"/>
      <c r="ES32" s="1098"/>
      <c r="ET32" s="1098">
        <v>49</v>
      </c>
      <c r="EU32" s="1098"/>
      <c r="EV32" s="1098">
        <v>78</v>
      </c>
      <c r="EW32" s="1098">
        <v>25</v>
      </c>
      <c r="EX32" s="1098">
        <v>59</v>
      </c>
      <c r="EY32" s="1098">
        <v>18</v>
      </c>
      <c r="EZ32" s="1098">
        <v>18</v>
      </c>
      <c r="FA32" s="1097">
        <f t="shared" si="41"/>
        <v>271</v>
      </c>
      <c r="FB32" s="1252">
        <v>18</v>
      </c>
      <c r="FC32" s="1098">
        <v>7</v>
      </c>
      <c r="FD32" s="1098">
        <v>24</v>
      </c>
      <c r="FE32" s="1098">
        <v>12</v>
      </c>
      <c r="FF32" s="1098">
        <v>7</v>
      </c>
      <c r="FG32" s="1098">
        <v>2</v>
      </c>
      <c r="FH32" s="1098"/>
      <c r="FI32" s="1098">
        <v>3</v>
      </c>
      <c r="FJ32" s="1098">
        <v>3</v>
      </c>
      <c r="FK32" s="1098">
        <v>61</v>
      </c>
      <c r="FL32" s="1098">
        <v>19.5</v>
      </c>
      <c r="FM32" s="1098">
        <v>9</v>
      </c>
      <c r="FN32" s="1097">
        <f t="shared" si="42"/>
        <v>165.5</v>
      </c>
      <c r="FO32" s="1252">
        <v>15</v>
      </c>
      <c r="FP32" s="1098"/>
      <c r="FQ32" s="1098">
        <v>9</v>
      </c>
      <c r="FR32" s="1098">
        <v>25</v>
      </c>
      <c r="FS32" s="1098">
        <v>66</v>
      </c>
      <c r="FT32" s="1098">
        <v>10</v>
      </c>
      <c r="FU32" s="1098">
        <v>2</v>
      </c>
      <c r="FV32" s="1098"/>
      <c r="FW32" s="1098"/>
      <c r="FX32" s="1098">
        <v>5</v>
      </c>
      <c r="FY32" s="1098"/>
      <c r="FZ32" s="1098">
        <v>24</v>
      </c>
      <c r="GA32" s="1097">
        <f t="shared" si="43"/>
        <v>156</v>
      </c>
      <c r="GB32" s="1252">
        <v>5</v>
      </c>
      <c r="GC32" s="1098"/>
      <c r="GD32" s="1098"/>
      <c r="GE32" s="1098"/>
      <c r="GF32" s="1098"/>
      <c r="GG32" s="1098"/>
      <c r="GH32" s="1098"/>
      <c r="GI32" s="1098"/>
      <c r="GJ32" s="1098">
        <v>12</v>
      </c>
      <c r="GK32" s="1098"/>
      <c r="GL32" s="1098"/>
      <c r="GM32" s="1098"/>
      <c r="GN32" s="1097">
        <f t="shared" si="44"/>
        <v>17</v>
      </c>
      <c r="GO32" s="1252"/>
      <c r="GP32" s="1098"/>
      <c r="GQ32" s="1098">
        <v>10.334</v>
      </c>
      <c r="GR32" s="1098"/>
      <c r="GS32" s="1098">
        <v>8</v>
      </c>
      <c r="GT32" s="1098"/>
      <c r="GU32" s="1098">
        <v>1.07</v>
      </c>
      <c r="GV32" s="1098">
        <v>164</v>
      </c>
      <c r="GW32" s="1098"/>
      <c r="GX32" s="1098">
        <v>27.74</v>
      </c>
      <c r="GY32" s="1098"/>
      <c r="GZ32" s="1098"/>
      <c r="HA32" s="1097">
        <f t="shared" si="45"/>
        <v>211.14400000000001</v>
      </c>
      <c r="HB32" s="1252">
        <v>360</v>
      </c>
      <c r="HC32" s="1098">
        <v>68</v>
      </c>
      <c r="HD32" s="1098"/>
      <c r="HE32" s="1098"/>
      <c r="HF32" s="1098"/>
      <c r="HG32" s="1098">
        <v>36</v>
      </c>
      <c r="HH32" s="1098">
        <v>13</v>
      </c>
      <c r="HI32" s="1098">
        <v>17</v>
      </c>
      <c r="HJ32" s="1098"/>
      <c r="HK32" s="1098">
        <v>33.097999999999999</v>
      </c>
      <c r="HL32" s="1098">
        <v>6.5910000000000002</v>
      </c>
      <c r="HM32" s="1098"/>
      <c r="HN32" s="1097">
        <f t="shared" si="46"/>
        <v>533.68899999999996</v>
      </c>
      <c r="HO32" s="1252"/>
      <c r="HP32" s="1098"/>
      <c r="HQ32" s="1098">
        <v>3.02</v>
      </c>
      <c r="HR32" s="1098">
        <v>1.5109999999999999</v>
      </c>
      <c r="HS32" s="1098">
        <v>3.927</v>
      </c>
      <c r="HT32" s="1098">
        <v>20.131999999999998</v>
      </c>
      <c r="HU32" s="1098">
        <v>3.6280000000000001</v>
      </c>
      <c r="HV32" s="1098">
        <v>8.7089999999999996</v>
      </c>
      <c r="HW32" s="1098"/>
      <c r="HX32" s="1098">
        <v>9</v>
      </c>
      <c r="HY32" s="1098"/>
      <c r="HZ32" s="1098"/>
      <c r="IA32" s="1097">
        <f t="shared" si="47"/>
        <v>49.926999999999992</v>
      </c>
      <c r="IB32" s="1252"/>
      <c r="IC32" s="1098"/>
      <c r="ID32" s="1098"/>
      <c r="IE32" s="1098"/>
      <c r="IF32" s="1098"/>
      <c r="IG32" s="1098"/>
      <c r="IH32" s="1098"/>
      <c r="II32" s="1098"/>
      <c r="IJ32" s="1098">
        <v>2.7</v>
      </c>
      <c r="IK32" s="1098"/>
      <c r="IL32" s="1098">
        <v>13.65</v>
      </c>
      <c r="IM32" s="1098">
        <v>2.2999999999999998</v>
      </c>
      <c r="IN32" s="1097">
        <f t="shared" si="48"/>
        <v>18.650000000000002</v>
      </c>
      <c r="IO32" s="1252">
        <v>10.519</v>
      </c>
      <c r="IP32" s="1098"/>
      <c r="IQ32" s="1098">
        <v>2.4700000000000002</v>
      </c>
      <c r="IR32" s="1098">
        <v>1.504</v>
      </c>
      <c r="IS32" s="1098"/>
      <c r="IT32" s="1098">
        <v>11.978</v>
      </c>
      <c r="IU32" s="1098">
        <v>81.162000000000006</v>
      </c>
      <c r="IV32" s="1098">
        <v>13.439</v>
      </c>
      <c r="IW32" s="1098">
        <v>12.051</v>
      </c>
      <c r="IX32" s="1098">
        <v>0.88200000000000001</v>
      </c>
      <c r="IY32" s="1098"/>
      <c r="IZ32" s="1098"/>
      <c r="JA32" s="1097">
        <f t="shared" si="49"/>
        <v>134.005</v>
      </c>
      <c r="JB32" s="1252">
        <v>3.6070000000000002</v>
      </c>
      <c r="JC32" s="1098">
        <v>3.4</v>
      </c>
      <c r="JD32" s="1098">
        <v>2.5</v>
      </c>
      <c r="JE32" s="1098">
        <v>3.5</v>
      </c>
      <c r="JF32" s="1098">
        <v>3.625</v>
      </c>
      <c r="JG32" s="1098">
        <v>4.4349999999999996</v>
      </c>
      <c r="JH32" s="1098"/>
      <c r="JI32" s="1098">
        <v>3.12</v>
      </c>
      <c r="JJ32" s="1098">
        <v>3.12</v>
      </c>
      <c r="JK32" s="1098">
        <v>18.404</v>
      </c>
      <c r="JL32" s="1098">
        <v>1.72</v>
      </c>
      <c r="JM32" s="1098">
        <v>3.82</v>
      </c>
      <c r="JN32" s="1097">
        <f t="shared" si="50"/>
        <v>51.250999999999998</v>
      </c>
      <c r="JO32" s="1252"/>
      <c r="JP32" s="1098"/>
      <c r="JQ32" s="1098">
        <v>2.3149999999999999</v>
      </c>
      <c r="JR32" s="1098"/>
      <c r="JS32" s="1098"/>
      <c r="JT32" s="1098"/>
      <c r="JU32" s="1098">
        <v>5.9610000000000003</v>
      </c>
      <c r="JV32" s="1098">
        <v>5.5629999999999997</v>
      </c>
      <c r="JW32" s="1098">
        <v>14.853</v>
      </c>
      <c r="JX32" s="1098">
        <v>11.862</v>
      </c>
      <c r="JY32" s="1098">
        <v>12.603</v>
      </c>
      <c r="JZ32" s="1098"/>
      <c r="KA32" s="1097">
        <f t="shared" si="51"/>
        <v>53.157000000000004</v>
      </c>
      <c r="KB32" s="1252"/>
      <c r="KC32" s="1098"/>
      <c r="KD32" s="1098"/>
      <c r="KE32" s="1098"/>
      <c r="KF32" s="1098">
        <v>0.39</v>
      </c>
      <c r="KG32" s="1098"/>
      <c r="KH32" s="1098">
        <v>34.427</v>
      </c>
      <c r="KI32" s="1098">
        <v>61.503999999999998</v>
      </c>
      <c r="KJ32" s="1098">
        <v>38.405000000000001</v>
      </c>
      <c r="KK32" s="1098">
        <v>3.1080000000000001</v>
      </c>
      <c r="KL32" s="1098">
        <v>3.9390000000000001</v>
      </c>
      <c r="KM32" s="1098">
        <v>3.089</v>
      </c>
      <c r="KN32" s="1097">
        <f t="shared" si="52"/>
        <v>144.86199999999999</v>
      </c>
      <c r="KO32" s="1252"/>
      <c r="KP32" s="1098"/>
      <c r="KQ32" s="1098"/>
      <c r="KR32" s="1098">
        <v>6.2960000000000003</v>
      </c>
      <c r="KS32" s="1098">
        <v>21.523</v>
      </c>
      <c r="KT32" s="1098"/>
      <c r="KU32" s="1098">
        <v>27.024000000000001</v>
      </c>
      <c r="KV32" s="1098"/>
      <c r="KW32" s="1098">
        <v>4.6840000000000002</v>
      </c>
      <c r="KX32" s="1098"/>
      <c r="KY32" s="1098">
        <v>3.6890000000000001</v>
      </c>
      <c r="KZ32" s="1098"/>
      <c r="LA32" s="1097">
        <f t="shared" si="53"/>
        <v>63.216000000000001</v>
      </c>
      <c r="LB32" s="1252">
        <v>3.1860000000099999</v>
      </c>
      <c r="LC32" s="1098"/>
      <c r="LD32" s="1098"/>
      <c r="LE32" s="1098"/>
      <c r="LF32" s="1098"/>
      <c r="LG32" s="1098"/>
      <c r="LH32" s="1098">
        <v>10</v>
      </c>
      <c r="LI32" s="1098">
        <v>6</v>
      </c>
      <c r="LJ32" s="1098"/>
      <c r="LK32" s="1098"/>
      <c r="LL32" s="1098"/>
      <c r="LM32" s="1098"/>
      <c r="LN32" s="1097">
        <f t="shared" si="54"/>
        <v>19.186000000010001</v>
      </c>
      <c r="LP32" s="1116" t="str">
        <f t="shared" si="55"/>
        <v/>
      </c>
      <c r="LQ32" s="1117">
        <f t="shared" si="56"/>
        <v>-65.016501650146779</v>
      </c>
      <c r="LR32" s="1079">
        <f t="shared" si="57"/>
        <v>54.843000000000004</v>
      </c>
      <c r="LS32" s="1118">
        <f t="shared" si="58"/>
        <v>19.186000000010001</v>
      </c>
      <c r="LU32" s="629"/>
      <c r="LV32" s="1139">
        <f t="shared" si="59"/>
        <v>10212.200000000015</v>
      </c>
      <c r="LW32" s="1286" t="s">
        <v>68</v>
      </c>
      <c r="LX32" s="1147" t="str">
        <f t="shared" si="60"/>
        <v>OK</v>
      </c>
    </row>
    <row r="33" spans="1:337" ht="15" customHeight="1" x14ac:dyDescent="0.2">
      <c r="A33" s="1280" t="s">
        <v>69</v>
      </c>
      <c r="B33" s="1252"/>
      <c r="C33" s="1098"/>
      <c r="D33" s="1098">
        <v>4.54</v>
      </c>
      <c r="E33" s="1098"/>
      <c r="F33" s="1098">
        <v>11.02</v>
      </c>
      <c r="G33" s="1098"/>
      <c r="H33" s="1098"/>
      <c r="I33" s="1098">
        <v>31.81</v>
      </c>
      <c r="J33" s="1098"/>
      <c r="K33" s="1098">
        <v>35.634999999999998</v>
      </c>
      <c r="L33" s="1098">
        <v>10</v>
      </c>
      <c r="M33" s="1098">
        <v>22.72</v>
      </c>
      <c r="N33" s="1097">
        <f t="shared" si="30"/>
        <v>115.72499999999999</v>
      </c>
      <c r="O33" s="1252">
        <v>68.182000000000002</v>
      </c>
      <c r="P33" s="1098"/>
      <c r="Q33" s="1098"/>
      <c r="R33" s="1098"/>
      <c r="S33" s="1098"/>
      <c r="T33" s="1098"/>
      <c r="U33" s="1098"/>
      <c r="V33" s="1098"/>
      <c r="W33" s="1098"/>
      <c r="X33" s="1098"/>
      <c r="Y33" s="1098"/>
      <c r="Z33" s="1098"/>
      <c r="AA33" s="1097">
        <f t="shared" si="31"/>
        <v>68.182000000000002</v>
      </c>
      <c r="AB33" s="1252">
        <v>40.917999999999999</v>
      </c>
      <c r="AC33" s="1098"/>
      <c r="AD33" s="1098">
        <v>8.5</v>
      </c>
      <c r="AE33" s="1098"/>
      <c r="AF33" s="1098"/>
      <c r="AG33" s="1098">
        <v>25.027999999999999</v>
      </c>
      <c r="AH33" s="1098"/>
      <c r="AI33" s="1098"/>
      <c r="AJ33" s="1098">
        <v>18.393000000000001</v>
      </c>
      <c r="AK33" s="1098"/>
      <c r="AL33" s="1098"/>
      <c r="AM33" s="1098">
        <v>20.943000000000001</v>
      </c>
      <c r="AN33" s="1097">
        <f t="shared" si="32"/>
        <v>113.782</v>
      </c>
      <c r="AO33" s="1252">
        <v>28.411999999999999</v>
      </c>
      <c r="AP33" s="1098"/>
      <c r="AQ33" s="1098">
        <v>20.100000000000001</v>
      </c>
      <c r="AR33" s="1098"/>
      <c r="AS33" s="1098"/>
      <c r="AT33" s="1098"/>
      <c r="AU33" s="1098"/>
      <c r="AV33" s="1098"/>
      <c r="AW33" s="1098"/>
      <c r="AX33" s="1098"/>
      <c r="AY33" s="1098"/>
      <c r="AZ33" s="1098"/>
      <c r="BA33" s="1097">
        <f t="shared" si="33"/>
        <v>48.512</v>
      </c>
      <c r="BB33" s="1252"/>
      <c r="BC33" s="1098">
        <v>5</v>
      </c>
      <c r="BD33" s="1098">
        <v>5</v>
      </c>
      <c r="BE33" s="1098"/>
      <c r="BF33" s="1098">
        <v>33</v>
      </c>
      <c r="BG33" s="1098"/>
      <c r="BH33" s="1098">
        <v>9</v>
      </c>
      <c r="BI33" s="1098">
        <v>17</v>
      </c>
      <c r="BJ33" s="1098">
        <v>13</v>
      </c>
      <c r="BK33" s="1098">
        <v>27.108000000000001</v>
      </c>
      <c r="BL33" s="1098"/>
      <c r="BM33" s="1098">
        <v>11</v>
      </c>
      <c r="BN33" s="1097">
        <f t="shared" si="34"/>
        <v>120.108</v>
      </c>
      <c r="BO33" s="1252">
        <v>70.316999999999993</v>
      </c>
      <c r="BP33" s="1098"/>
      <c r="BQ33" s="1098"/>
      <c r="BR33" s="1098"/>
      <c r="BS33" s="1098"/>
      <c r="BT33" s="1098">
        <v>67.379000000000005</v>
      </c>
      <c r="BU33" s="1098"/>
      <c r="BV33" s="1098">
        <v>14.644</v>
      </c>
      <c r="BW33" s="1098">
        <v>9.1159999999999997</v>
      </c>
      <c r="BX33" s="1098">
        <v>18.198</v>
      </c>
      <c r="BY33" s="1098">
        <v>16</v>
      </c>
      <c r="BZ33" s="1098"/>
      <c r="CA33" s="1097">
        <f t="shared" si="35"/>
        <v>195.65400000000002</v>
      </c>
      <c r="CB33" s="1252"/>
      <c r="CC33" s="1098"/>
      <c r="CD33" s="1098">
        <v>8</v>
      </c>
      <c r="CE33" s="1098"/>
      <c r="CF33" s="1098"/>
      <c r="CG33" s="1098"/>
      <c r="CH33" s="1098"/>
      <c r="CI33" s="1098"/>
      <c r="CJ33" s="1098"/>
      <c r="CK33" s="1098"/>
      <c r="CL33" s="1098">
        <v>22</v>
      </c>
      <c r="CM33" s="1098"/>
      <c r="CN33" s="1097">
        <f t="shared" si="36"/>
        <v>30</v>
      </c>
      <c r="CO33" s="1252"/>
      <c r="CP33" s="1098"/>
      <c r="CQ33" s="1098"/>
      <c r="CR33" s="1098"/>
      <c r="CS33" s="1098"/>
      <c r="CT33" s="1098"/>
      <c r="CU33" s="1098"/>
      <c r="CV33" s="1098"/>
      <c r="CW33" s="1098"/>
      <c r="CX33" s="1098">
        <v>7</v>
      </c>
      <c r="CY33" s="1098"/>
      <c r="CZ33" s="1098">
        <v>14</v>
      </c>
      <c r="DA33" s="1097">
        <f t="shared" si="37"/>
        <v>21</v>
      </c>
      <c r="DB33" s="1252"/>
      <c r="DC33" s="1098"/>
      <c r="DD33" s="1098"/>
      <c r="DE33" s="1098">
        <v>8</v>
      </c>
      <c r="DF33" s="1098"/>
      <c r="DG33" s="1098"/>
      <c r="DH33" s="1098"/>
      <c r="DI33" s="1098"/>
      <c r="DJ33" s="1098">
        <v>9</v>
      </c>
      <c r="DK33" s="1098"/>
      <c r="DL33" s="1098"/>
      <c r="DM33" s="1098"/>
      <c r="DN33" s="1097">
        <f t="shared" si="38"/>
        <v>17</v>
      </c>
      <c r="DO33" s="1252"/>
      <c r="DP33" s="1098"/>
      <c r="DQ33" s="1098">
        <v>5</v>
      </c>
      <c r="DR33" s="1098"/>
      <c r="DS33" s="1098"/>
      <c r="DT33" s="1098">
        <v>6</v>
      </c>
      <c r="DU33" s="1098">
        <v>4</v>
      </c>
      <c r="DV33" s="1098"/>
      <c r="DW33" s="1098"/>
      <c r="DX33" s="1098"/>
      <c r="DY33" s="1098"/>
      <c r="DZ33" s="1098"/>
      <c r="EA33" s="1097">
        <f t="shared" si="39"/>
        <v>15</v>
      </c>
      <c r="EB33" s="1252"/>
      <c r="EC33" s="1098"/>
      <c r="ED33" s="1098"/>
      <c r="EE33" s="1098"/>
      <c r="EF33" s="1098"/>
      <c r="EG33" s="1098"/>
      <c r="EH33" s="1098"/>
      <c r="EI33" s="1098"/>
      <c r="EJ33" s="1098"/>
      <c r="EK33" s="1098"/>
      <c r="EL33" s="1098"/>
      <c r="EM33" s="1098"/>
      <c r="EN33" s="1097">
        <f t="shared" si="40"/>
        <v>0</v>
      </c>
      <c r="EO33" s="1252"/>
      <c r="EP33" s="1098"/>
      <c r="EQ33" s="1098"/>
      <c r="ER33" s="1098"/>
      <c r="ES33" s="1098"/>
      <c r="ET33" s="1098"/>
      <c r="EU33" s="1098"/>
      <c r="EV33" s="1098"/>
      <c r="EW33" s="1098"/>
      <c r="EX33" s="1098"/>
      <c r="EY33" s="1098"/>
      <c r="EZ33" s="1098"/>
      <c r="FA33" s="1097">
        <f t="shared" si="41"/>
        <v>0</v>
      </c>
      <c r="FB33" s="1252"/>
      <c r="FC33" s="1098"/>
      <c r="FD33" s="1098"/>
      <c r="FE33" s="1098"/>
      <c r="FF33" s="1098"/>
      <c r="FG33" s="1098">
        <v>47</v>
      </c>
      <c r="FH33" s="1098"/>
      <c r="FI33" s="1098"/>
      <c r="FJ33" s="1098"/>
      <c r="FK33" s="1098"/>
      <c r="FL33" s="1098"/>
      <c r="FM33" s="1098"/>
      <c r="FN33" s="1097">
        <f t="shared" si="42"/>
        <v>47</v>
      </c>
      <c r="FO33" s="1252"/>
      <c r="FP33" s="1098"/>
      <c r="FQ33" s="1098"/>
      <c r="FR33" s="1098"/>
      <c r="FS33" s="1098"/>
      <c r="FT33" s="1098"/>
      <c r="FU33" s="1098"/>
      <c r="FV33" s="1098"/>
      <c r="FW33" s="1098"/>
      <c r="FX33" s="1098"/>
      <c r="FY33" s="1098"/>
      <c r="FZ33" s="1098"/>
      <c r="GA33" s="1097">
        <f t="shared" si="43"/>
        <v>0</v>
      </c>
      <c r="GB33" s="1252"/>
      <c r="GC33" s="1098"/>
      <c r="GD33" s="1098"/>
      <c r="GE33" s="1098">
        <v>2.9289999999999998</v>
      </c>
      <c r="GF33" s="1098"/>
      <c r="GG33" s="1098"/>
      <c r="GH33" s="1098"/>
      <c r="GI33" s="1098"/>
      <c r="GJ33" s="1098">
        <v>6</v>
      </c>
      <c r="GK33" s="1098"/>
      <c r="GL33" s="1098"/>
      <c r="GM33" s="1098"/>
      <c r="GN33" s="1097">
        <f t="shared" si="44"/>
        <v>8.9290000000000003</v>
      </c>
      <c r="GO33" s="1252"/>
      <c r="GP33" s="1098"/>
      <c r="GQ33" s="1098"/>
      <c r="GR33" s="1098"/>
      <c r="GS33" s="1098">
        <v>7</v>
      </c>
      <c r="GT33" s="1098"/>
      <c r="GU33" s="1098"/>
      <c r="GV33" s="1098">
        <v>2.7229999999999999</v>
      </c>
      <c r="GW33" s="1098"/>
      <c r="GX33" s="1098"/>
      <c r="GY33" s="1098"/>
      <c r="GZ33" s="1098"/>
      <c r="HA33" s="1097">
        <f t="shared" si="45"/>
        <v>9.722999999999999</v>
      </c>
      <c r="HB33" s="1252">
        <v>1</v>
      </c>
      <c r="HC33" s="1098"/>
      <c r="HD33" s="1098"/>
      <c r="HE33" s="1098">
        <v>3.57</v>
      </c>
      <c r="HF33" s="1098"/>
      <c r="HG33" s="1098"/>
      <c r="HH33" s="1098"/>
      <c r="HI33" s="1098"/>
      <c r="HJ33" s="1098">
        <v>0.01</v>
      </c>
      <c r="HK33" s="1098"/>
      <c r="HL33" s="1098"/>
      <c r="HM33" s="1098"/>
      <c r="HN33" s="1097">
        <f t="shared" si="46"/>
        <v>4.58</v>
      </c>
      <c r="HO33" s="1252"/>
      <c r="HP33" s="1098"/>
      <c r="HQ33" s="1098"/>
      <c r="HR33" s="1098"/>
      <c r="HS33" s="1098"/>
      <c r="HT33" s="1098"/>
      <c r="HU33" s="1098"/>
      <c r="HV33" s="1098"/>
      <c r="HW33" s="1098"/>
      <c r="HX33" s="1098"/>
      <c r="HY33" s="1098"/>
      <c r="HZ33" s="1098"/>
      <c r="IA33" s="1097">
        <f t="shared" si="47"/>
        <v>0</v>
      </c>
      <c r="IB33" s="1252"/>
      <c r="IC33" s="1098"/>
      <c r="ID33" s="1098"/>
      <c r="IE33" s="1098"/>
      <c r="IF33" s="1098"/>
      <c r="IG33" s="1098"/>
      <c r="IH33" s="1098"/>
      <c r="II33" s="1098"/>
      <c r="IJ33" s="1098"/>
      <c r="IK33" s="1098"/>
      <c r="IL33" s="1098"/>
      <c r="IM33" s="1098"/>
      <c r="IN33" s="1097">
        <f t="shared" si="48"/>
        <v>0</v>
      </c>
      <c r="IO33" s="1252"/>
      <c r="IP33" s="1098"/>
      <c r="IQ33" s="1098"/>
      <c r="IR33" s="1098"/>
      <c r="IS33" s="1098"/>
      <c r="IT33" s="1098"/>
      <c r="IU33" s="1098"/>
      <c r="IV33" s="1098"/>
      <c r="IW33" s="1098"/>
      <c r="IX33" s="1098"/>
      <c r="IY33" s="1098"/>
      <c r="IZ33" s="1098"/>
      <c r="JA33" s="1097">
        <f t="shared" si="49"/>
        <v>0</v>
      </c>
      <c r="JB33" s="1252"/>
      <c r="JC33" s="1098"/>
      <c r="JD33" s="1098"/>
      <c r="JE33" s="1098"/>
      <c r="JF33" s="1098"/>
      <c r="JG33" s="1098"/>
      <c r="JH33" s="1098"/>
      <c r="JI33" s="1098"/>
      <c r="JJ33" s="1098"/>
      <c r="JK33" s="1098"/>
      <c r="JL33" s="1098"/>
      <c r="JM33" s="1098"/>
      <c r="JN33" s="1097">
        <f t="shared" si="50"/>
        <v>0</v>
      </c>
      <c r="JO33" s="1252"/>
      <c r="JP33" s="1098"/>
      <c r="JQ33" s="1098"/>
      <c r="JR33" s="1098"/>
      <c r="JS33" s="1098"/>
      <c r="JT33" s="1098"/>
      <c r="JU33" s="1098"/>
      <c r="JV33" s="1098"/>
      <c r="JW33" s="1098"/>
      <c r="JX33" s="1098"/>
      <c r="JY33" s="1098">
        <v>9.0419999999999998</v>
      </c>
      <c r="JZ33" s="1098"/>
      <c r="KA33" s="1097">
        <f t="shared" si="51"/>
        <v>9.0419999999999998</v>
      </c>
      <c r="KB33" s="1252"/>
      <c r="KC33" s="1098"/>
      <c r="KD33" s="1098"/>
      <c r="KE33" s="1098"/>
      <c r="KF33" s="1098"/>
      <c r="KG33" s="1098"/>
      <c r="KH33" s="1098"/>
      <c r="KI33" s="1098"/>
      <c r="KJ33" s="1098"/>
      <c r="KK33" s="1098"/>
      <c r="KL33" s="1098"/>
      <c r="KM33" s="1098"/>
      <c r="KN33" s="1097">
        <f t="shared" si="52"/>
        <v>0</v>
      </c>
      <c r="KO33" s="1252"/>
      <c r="KP33" s="1098"/>
      <c r="KQ33" s="1098"/>
      <c r="KR33" s="1098"/>
      <c r="KS33" s="1098"/>
      <c r="KT33" s="1098"/>
      <c r="KU33" s="1098"/>
      <c r="KV33" s="1098"/>
      <c r="KW33" s="1098"/>
      <c r="KX33" s="1098"/>
      <c r="KY33" s="1098"/>
      <c r="KZ33" s="1098"/>
      <c r="LA33" s="1097">
        <f t="shared" si="53"/>
        <v>0</v>
      </c>
      <c r="LB33" s="1252">
        <v>9.9999999999999994E-12</v>
      </c>
      <c r="LC33" s="1098"/>
      <c r="LD33" s="1098"/>
      <c r="LE33" s="1098"/>
      <c r="LF33" s="1098">
        <v>0.59599999999999997</v>
      </c>
      <c r="LG33" s="1098"/>
      <c r="LH33" s="1098"/>
      <c r="LI33" s="1098"/>
      <c r="LJ33" s="1098"/>
      <c r="LK33" s="1098"/>
      <c r="LL33" s="1098"/>
      <c r="LM33" s="1098"/>
      <c r="LN33" s="1097">
        <f t="shared" si="54"/>
        <v>0.59600000000999998</v>
      </c>
      <c r="LP33" s="1116" t="str">
        <f t="shared" si="55"/>
        <v/>
      </c>
      <c r="LQ33" s="1117" t="str">
        <f t="shared" si="56"/>
        <v/>
      </c>
      <c r="LR33" s="1079">
        <f t="shared" si="57"/>
        <v>0</v>
      </c>
      <c r="LS33" s="1118">
        <f t="shared" si="58"/>
        <v>0.59600000000999998</v>
      </c>
      <c r="LU33" s="629"/>
      <c r="LV33" s="1139">
        <f t="shared" si="59"/>
        <v>1649.6660000000197</v>
      </c>
      <c r="LW33" s="1286" t="s">
        <v>69</v>
      </c>
      <c r="LX33" s="1147" t="str">
        <f t="shared" si="60"/>
        <v>OK</v>
      </c>
    </row>
    <row r="34" spans="1:337" ht="15" customHeight="1" x14ac:dyDescent="0.2">
      <c r="A34" s="1280" t="s">
        <v>70</v>
      </c>
      <c r="B34" s="1252">
        <v>150.70500000000001</v>
      </c>
      <c r="C34" s="1098"/>
      <c r="D34" s="1098"/>
      <c r="E34" s="1098"/>
      <c r="F34" s="1098"/>
      <c r="G34" s="1098"/>
      <c r="H34" s="1098"/>
      <c r="I34" s="1098"/>
      <c r="J34" s="1098">
        <v>16.75</v>
      </c>
      <c r="K34" s="1098">
        <v>16.747</v>
      </c>
      <c r="L34" s="1098">
        <v>16.763999999999999</v>
      </c>
      <c r="M34" s="1098">
        <v>50.238999999999997</v>
      </c>
      <c r="N34" s="1097">
        <f t="shared" si="30"/>
        <v>251.20500000000001</v>
      </c>
      <c r="O34" s="1252">
        <v>176.66200000000001</v>
      </c>
      <c r="P34" s="1098"/>
      <c r="Q34" s="1098"/>
      <c r="R34" s="1098">
        <v>50.23</v>
      </c>
      <c r="S34" s="1098"/>
      <c r="T34" s="1098"/>
      <c r="U34" s="1098"/>
      <c r="V34" s="1098"/>
      <c r="W34" s="1098">
        <v>33.496000000000002</v>
      </c>
      <c r="X34" s="1098"/>
      <c r="Y34" s="1098"/>
      <c r="Z34" s="1098"/>
      <c r="AA34" s="1097">
        <f t="shared" si="31"/>
        <v>260.38799999999998</v>
      </c>
      <c r="AB34" s="1252"/>
      <c r="AC34" s="1098"/>
      <c r="AD34" s="1098">
        <v>7</v>
      </c>
      <c r="AE34" s="1098"/>
      <c r="AF34" s="1098"/>
      <c r="AG34" s="1098"/>
      <c r="AH34" s="1098">
        <v>3</v>
      </c>
      <c r="AI34" s="1098"/>
      <c r="AJ34" s="1098"/>
      <c r="AK34" s="1098"/>
      <c r="AL34" s="1098"/>
      <c r="AM34" s="1098">
        <v>12.182</v>
      </c>
      <c r="AN34" s="1097">
        <f t="shared" si="32"/>
        <v>22.182000000000002</v>
      </c>
      <c r="AO34" s="1252"/>
      <c r="AP34" s="1098"/>
      <c r="AQ34" s="1098"/>
      <c r="AR34" s="1098"/>
      <c r="AS34" s="1098"/>
      <c r="AT34" s="1098"/>
      <c r="AU34" s="1098"/>
      <c r="AV34" s="1098"/>
      <c r="AW34" s="1098"/>
      <c r="AX34" s="1098"/>
      <c r="AY34" s="1098"/>
      <c r="AZ34" s="1098"/>
      <c r="BA34" s="1097">
        <f t="shared" si="33"/>
        <v>0</v>
      </c>
      <c r="BB34" s="1252"/>
      <c r="BC34" s="1098"/>
      <c r="BD34" s="1098"/>
      <c r="BE34" s="1098"/>
      <c r="BF34" s="1098"/>
      <c r="BG34" s="1098"/>
      <c r="BH34" s="1098"/>
      <c r="BI34" s="1098"/>
      <c r="BJ34" s="1098">
        <v>15</v>
      </c>
      <c r="BK34" s="1098">
        <v>61.738</v>
      </c>
      <c r="BL34" s="1098">
        <v>41.942999999999998</v>
      </c>
      <c r="BM34" s="1098">
        <v>78</v>
      </c>
      <c r="BN34" s="1097">
        <f t="shared" si="34"/>
        <v>196.68099999999998</v>
      </c>
      <c r="BO34" s="1252">
        <v>9.43</v>
      </c>
      <c r="BP34" s="1098"/>
      <c r="BQ34" s="1098">
        <v>15.02</v>
      </c>
      <c r="BR34" s="1098"/>
      <c r="BS34" s="1098"/>
      <c r="BT34" s="1098"/>
      <c r="BU34" s="1098"/>
      <c r="BV34" s="1098"/>
      <c r="BW34" s="1098">
        <v>7.7789999999999999</v>
      </c>
      <c r="BX34" s="1098"/>
      <c r="BY34" s="1098">
        <v>22</v>
      </c>
      <c r="BZ34" s="1098"/>
      <c r="CA34" s="1097">
        <f t="shared" si="35"/>
        <v>54.228999999999999</v>
      </c>
      <c r="CB34" s="1252"/>
      <c r="CC34" s="1098"/>
      <c r="CD34" s="1098">
        <v>20</v>
      </c>
      <c r="CE34" s="1098">
        <v>10</v>
      </c>
      <c r="CF34" s="1098">
        <v>11</v>
      </c>
      <c r="CG34" s="1098"/>
      <c r="CH34" s="1098"/>
      <c r="CI34" s="1098"/>
      <c r="CJ34" s="1098">
        <v>9</v>
      </c>
      <c r="CK34" s="1098">
        <v>6</v>
      </c>
      <c r="CL34" s="1098"/>
      <c r="CM34" s="1098">
        <v>17</v>
      </c>
      <c r="CN34" s="1097">
        <f t="shared" si="36"/>
        <v>73</v>
      </c>
      <c r="CO34" s="1252"/>
      <c r="CP34" s="1098">
        <v>27</v>
      </c>
      <c r="CQ34" s="1098"/>
      <c r="CR34" s="1098">
        <v>10</v>
      </c>
      <c r="CS34" s="1098">
        <v>8</v>
      </c>
      <c r="CT34" s="1098">
        <v>2</v>
      </c>
      <c r="CU34" s="1098"/>
      <c r="CV34" s="1098"/>
      <c r="CW34" s="1098"/>
      <c r="CX34" s="1098"/>
      <c r="CY34" s="1098">
        <v>8</v>
      </c>
      <c r="CZ34" s="1098">
        <v>3</v>
      </c>
      <c r="DA34" s="1097">
        <f t="shared" si="37"/>
        <v>58</v>
      </c>
      <c r="DB34" s="1252">
        <v>6</v>
      </c>
      <c r="DC34" s="1098">
        <v>8</v>
      </c>
      <c r="DD34" s="1098"/>
      <c r="DE34" s="1098"/>
      <c r="DF34" s="1098"/>
      <c r="DG34" s="1098">
        <v>7</v>
      </c>
      <c r="DH34" s="1098"/>
      <c r="DI34" s="1098"/>
      <c r="DJ34" s="1098"/>
      <c r="DK34" s="1098">
        <v>3</v>
      </c>
      <c r="DL34" s="1098">
        <v>5</v>
      </c>
      <c r="DM34" s="1098">
        <v>1</v>
      </c>
      <c r="DN34" s="1097">
        <f t="shared" si="38"/>
        <v>30</v>
      </c>
      <c r="DO34" s="1252"/>
      <c r="DP34" s="1098">
        <v>7</v>
      </c>
      <c r="DQ34" s="1098">
        <v>5</v>
      </c>
      <c r="DR34" s="1098">
        <v>8</v>
      </c>
      <c r="DS34" s="1098">
        <v>37</v>
      </c>
      <c r="DT34" s="1098">
        <v>5</v>
      </c>
      <c r="DU34" s="1098">
        <v>44</v>
      </c>
      <c r="DV34" s="1098">
        <v>7</v>
      </c>
      <c r="DW34" s="1098">
        <v>8</v>
      </c>
      <c r="DX34" s="1098">
        <v>8</v>
      </c>
      <c r="DY34" s="1098"/>
      <c r="DZ34" s="1098"/>
      <c r="EA34" s="1097">
        <f t="shared" si="39"/>
        <v>129</v>
      </c>
      <c r="EB34" s="1252"/>
      <c r="EC34" s="1098"/>
      <c r="ED34" s="1098"/>
      <c r="EE34" s="1098"/>
      <c r="EF34" s="1098">
        <v>4</v>
      </c>
      <c r="EG34" s="1098"/>
      <c r="EH34" s="1098">
        <v>21</v>
      </c>
      <c r="EI34" s="1098">
        <v>3</v>
      </c>
      <c r="EJ34" s="1098">
        <v>10</v>
      </c>
      <c r="EK34" s="1098">
        <v>10</v>
      </c>
      <c r="EL34" s="1098">
        <v>14</v>
      </c>
      <c r="EM34" s="1098"/>
      <c r="EN34" s="1097">
        <f t="shared" si="40"/>
        <v>62</v>
      </c>
      <c r="EO34" s="1252"/>
      <c r="EP34" s="1098"/>
      <c r="EQ34" s="1098"/>
      <c r="ER34" s="1098"/>
      <c r="ES34" s="1098"/>
      <c r="ET34" s="1098"/>
      <c r="EU34" s="1098"/>
      <c r="EV34" s="1098"/>
      <c r="EW34" s="1098"/>
      <c r="EX34" s="1098"/>
      <c r="EY34" s="1098"/>
      <c r="EZ34" s="1098">
        <v>14</v>
      </c>
      <c r="FA34" s="1097">
        <f t="shared" si="41"/>
        <v>14</v>
      </c>
      <c r="FB34" s="1252"/>
      <c r="FC34" s="1098">
        <v>14</v>
      </c>
      <c r="FD34" s="1098"/>
      <c r="FE34" s="1098"/>
      <c r="FF34" s="1098">
        <v>7</v>
      </c>
      <c r="FG34" s="1098">
        <v>70</v>
      </c>
      <c r="FH34" s="1098"/>
      <c r="FI34" s="1098">
        <v>14</v>
      </c>
      <c r="FJ34" s="1098"/>
      <c r="FK34" s="1098"/>
      <c r="FL34" s="1098">
        <v>7</v>
      </c>
      <c r="FM34" s="1098">
        <v>7</v>
      </c>
      <c r="FN34" s="1097">
        <f t="shared" si="42"/>
        <v>119</v>
      </c>
      <c r="FO34" s="1252"/>
      <c r="FP34" s="1098">
        <v>6</v>
      </c>
      <c r="FQ34" s="1098">
        <v>3</v>
      </c>
      <c r="FR34" s="1098">
        <v>28</v>
      </c>
      <c r="FS34" s="1098">
        <v>51</v>
      </c>
      <c r="FT34" s="1098">
        <v>25</v>
      </c>
      <c r="FU34" s="1098">
        <v>32</v>
      </c>
      <c r="FV34" s="1098"/>
      <c r="FW34" s="1098">
        <v>7</v>
      </c>
      <c r="FX34" s="1098"/>
      <c r="FY34" s="1098">
        <v>9</v>
      </c>
      <c r="FZ34" s="1098">
        <v>89</v>
      </c>
      <c r="GA34" s="1097">
        <f t="shared" si="43"/>
        <v>250</v>
      </c>
      <c r="GB34" s="1252">
        <v>44</v>
      </c>
      <c r="GC34" s="1098">
        <v>29</v>
      </c>
      <c r="GD34" s="1098">
        <v>26.360999999999997</v>
      </c>
      <c r="GE34" s="1098">
        <v>9.463000000000001</v>
      </c>
      <c r="GF34" s="1098"/>
      <c r="GG34" s="1098"/>
      <c r="GH34" s="1098">
        <v>20</v>
      </c>
      <c r="GI34" s="1098"/>
      <c r="GJ34" s="1098">
        <v>27</v>
      </c>
      <c r="GK34" s="1098">
        <v>16</v>
      </c>
      <c r="GL34" s="1098"/>
      <c r="GM34" s="1098"/>
      <c r="GN34" s="1097">
        <f t="shared" si="44"/>
        <v>171.82399999999998</v>
      </c>
      <c r="GO34" s="1252">
        <v>8.3620000000000001</v>
      </c>
      <c r="GP34" s="1098">
        <v>3.867</v>
      </c>
      <c r="GQ34" s="1098">
        <v>16.297000000000001</v>
      </c>
      <c r="GR34" s="1098">
        <v>5</v>
      </c>
      <c r="GS34" s="1098">
        <v>18</v>
      </c>
      <c r="GT34" s="1098">
        <v>18</v>
      </c>
      <c r="GU34" s="1098"/>
      <c r="GV34" s="1098">
        <v>32.870000000000005</v>
      </c>
      <c r="GW34" s="1098">
        <v>203.92</v>
      </c>
      <c r="GX34" s="1098">
        <v>43.896000000000001</v>
      </c>
      <c r="GY34" s="1098"/>
      <c r="GZ34" s="1098"/>
      <c r="HA34" s="1097">
        <f t="shared" si="45"/>
        <v>350.21199999999999</v>
      </c>
      <c r="HB34" s="1252"/>
      <c r="HC34" s="1098"/>
      <c r="HD34" s="1098">
        <v>15.874000000000001</v>
      </c>
      <c r="HE34" s="1098">
        <v>31.75</v>
      </c>
      <c r="HF34" s="1098"/>
      <c r="HG34" s="1098"/>
      <c r="HH34" s="1098"/>
      <c r="HI34" s="1098">
        <v>10</v>
      </c>
      <c r="HJ34" s="1098"/>
      <c r="HK34" s="1098">
        <v>50</v>
      </c>
      <c r="HL34" s="1098">
        <v>24.993000000000002</v>
      </c>
      <c r="HM34" s="1098">
        <v>79.251000000000005</v>
      </c>
      <c r="HN34" s="1097">
        <f t="shared" si="46"/>
        <v>211.86799999999999</v>
      </c>
      <c r="HO34" s="1252"/>
      <c r="HP34" s="1098"/>
      <c r="HQ34" s="1098">
        <v>55.109000000000002</v>
      </c>
      <c r="HR34" s="1098">
        <v>9.3019999999999996</v>
      </c>
      <c r="HS34" s="1098">
        <v>9.0410000000000004</v>
      </c>
      <c r="HT34" s="1098">
        <v>26.735999999999997</v>
      </c>
      <c r="HU34" s="1098">
        <v>14.224</v>
      </c>
      <c r="HV34" s="1098">
        <v>30.294</v>
      </c>
      <c r="HW34" s="1098">
        <v>91.197000000000003</v>
      </c>
      <c r="HX34" s="1098"/>
      <c r="HY34" s="1098">
        <v>27</v>
      </c>
      <c r="HZ34" s="1098"/>
      <c r="IA34" s="1097">
        <f t="shared" si="47"/>
        <v>262.90300000000002</v>
      </c>
      <c r="IB34" s="1252"/>
      <c r="IC34" s="1098"/>
      <c r="ID34" s="1098"/>
      <c r="IE34" s="1098"/>
      <c r="IF34" s="1098"/>
      <c r="IG34" s="1098"/>
      <c r="IH34" s="1098"/>
      <c r="II34" s="1098"/>
      <c r="IJ34" s="1098"/>
      <c r="IK34" s="1098"/>
      <c r="IL34" s="1098"/>
      <c r="IM34" s="1098"/>
      <c r="IN34" s="1097">
        <f t="shared" si="48"/>
        <v>0</v>
      </c>
      <c r="IO34" s="1252"/>
      <c r="IP34" s="1098"/>
      <c r="IQ34" s="1098"/>
      <c r="IR34" s="1098"/>
      <c r="IS34" s="1098"/>
      <c r="IT34" s="1098"/>
      <c r="IU34" s="1098"/>
      <c r="IV34" s="1098"/>
      <c r="IW34" s="1098"/>
      <c r="IX34" s="1098"/>
      <c r="IY34" s="1098"/>
      <c r="IZ34" s="1098">
        <v>13.071999999999999</v>
      </c>
      <c r="JA34" s="1097">
        <f t="shared" si="49"/>
        <v>13.071999999999999</v>
      </c>
      <c r="JB34" s="1252"/>
      <c r="JC34" s="1098">
        <v>4.9749999999999996</v>
      </c>
      <c r="JD34" s="1098"/>
      <c r="JE34" s="1098"/>
      <c r="JF34" s="1098">
        <v>1.2150000000000001</v>
      </c>
      <c r="JG34" s="1098"/>
      <c r="JH34" s="1098"/>
      <c r="JI34" s="1098"/>
      <c r="JJ34" s="1098">
        <v>8.1300000000000008</v>
      </c>
      <c r="JK34" s="1098">
        <v>6.5350000000000001</v>
      </c>
      <c r="JL34" s="1098"/>
      <c r="JM34" s="1098"/>
      <c r="JN34" s="1097">
        <f t="shared" si="50"/>
        <v>20.855</v>
      </c>
      <c r="JO34" s="1252"/>
      <c r="JP34" s="1098"/>
      <c r="JQ34" s="1098"/>
      <c r="JR34" s="1098"/>
      <c r="JS34" s="1098"/>
      <c r="JT34" s="1098"/>
      <c r="JU34" s="1098"/>
      <c r="JV34" s="1098"/>
      <c r="JW34" s="1098"/>
      <c r="JX34" s="1098"/>
      <c r="JY34" s="1098">
        <v>36.220999999999997</v>
      </c>
      <c r="JZ34" s="1098"/>
      <c r="KA34" s="1097">
        <f t="shared" si="51"/>
        <v>36.220999999999997</v>
      </c>
      <c r="KB34" s="1252"/>
      <c r="KC34" s="1098">
        <v>4.45</v>
      </c>
      <c r="KD34" s="1098"/>
      <c r="KE34" s="1098"/>
      <c r="KF34" s="1098"/>
      <c r="KG34" s="1098"/>
      <c r="KH34" s="1098"/>
      <c r="KI34" s="1098"/>
      <c r="KJ34" s="1098"/>
      <c r="KK34" s="1098"/>
      <c r="KL34" s="1098"/>
      <c r="KM34" s="1098">
        <v>3.7959999999999998</v>
      </c>
      <c r="KN34" s="1097">
        <f t="shared" si="52"/>
        <v>8.2460000000000004</v>
      </c>
      <c r="KO34" s="1252"/>
      <c r="KP34" s="1098"/>
      <c r="KQ34" s="1098"/>
      <c r="KR34" s="1098"/>
      <c r="KS34" s="1098"/>
      <c r="KT34" s="1098"/>
      <c r="KU34" s="1098"/>
      <c r="KV34" s="1098"/>
      <c r="KW34" s="1098"/>
      <c r="KX34" s="1098"/>
      <c r="KY34" s="1098"/>
      <c r="KZ34" s="1098"/>
      <c r="LA34" s="1097">
        <f t="shared" si="53"/>
        <v>0</v>
      </c>
      <c r="LB34" s="1252">
        <v>9.9999999999999994E-12</v>
      </c>
      <c r="LC34" s="1098"/>
      <c r="LD34" s="1098"/>
      <c r="LE34" s="1098"/>
      <c r="LF34" s="1098"/>
      <c r="LG34" s="1098"/>
      <c r="LH34" s="1098"/>
      <c r="LI34" s="1098"/>
      <c r="LJ34" s="1098"/>
      <c r="LK34" s="1098"/>
      <c r="LL34" s="1098"/>
      <c r="LM34" s="1098"/>
      <c r="LN34" s="1097">
        <f t="shared" si="54"/>
        <v>9.9999999999999994E-12</v>
      </c>
      <c r="LP34" s="1116" t="str">
        <f t="shared" si="55"/>
        <v/>
      </c>
      <c r="LQ34" s="1117" t="str">
        <f t="shared" si="56"/>
        <v/>
      </c>
      <c r="LR34" s="1079">
        <f t="shared" si="57"/>
        <v>0</v>
      </c>
      <c r="LS34" s="1118">
        <f t="shared" si="58"/>
        <v>9.9999999999999994E-12</v>
      </c>
      <c r="LU34" s="629"/>
      <c r="LV34" s="1139">
        <f t="shared" si="59"/>
        <v>5189.7720000000218</v>
      </c>
      <c r="LW34" s="1286" t="s">
        <v>70</v>
      </c>
      <c r="LX34" s="1147" t="str">
        <f t="shared" si="60"/>
        <v>OK</v>
      </c>
    </row>
    <row r="35" spans="1:337" ht="15" customHeight="1" x14ac:dyDescent="0.2">
      <c r="A35" s="1280" t="s">
        <v>71</v>
      </c>
      <c r="B35" s="1252">
        <v>169.554</v>
      </c>
      <c r="C35" s="1098"/>
      <c r="D35" s="1098">
        <v>6.81</v>
      </c>
      <c r="E35" s="1098"/>
      <c r="F35" s="1098"/>
      <c r="G35" s="1098"/>
      <c r="H35" s="1098">
        <v>81.78</v>
      </c>
      <c r="I35" s="1098">
        <v>43.85</v>
      </c>
      <c r="J35" s="1098">
        <v>55.209000000000003</v>
      </c>
      <c r="K35" s="1098">
        <v>33.271000000000001</v>
      </c>
      <c r="L35" s="1098">
        <v>25.103999999999999</v>
      </c>
      <c r="M35" s="1098">
        <v>42.886000000000003</v>
      </c>
      <c r="N35" s="1097">
        <f t="shared" si="30"/>
        <v>458.46400000000006</v>
      </c>
      <c r="O35" s="1252">
        <v>28.591999999999999</v>
      </c>
      <c r="P35" s="1098">
        <v>40.901000000000003</v>
      </c>
      <c r="Q35" s="1098"/>
      <c r="R35" s="1098">
        <v>119.292</v>
      </c>
      <c r="S35" s="1098"/>
      <c r="T35" s="1098"/>
      <c r="U35" s="1098">
        <v>45.454000000000001</v>
      </c>
      <c r="V35" s="1098"/>
      <c r="W35" s="1098">
        <v>56.585000000000001</v>
      </c>
      <c r="X35" s="1098">
        <v>92.811999999999998</v>
      </c>
      <c r="Y35" s="1098"/>
      <c r="Z35" s="1098">
        <v>181.83099999999999</v>
      </c>
      <c r="AA35" s="1097">
        <f t="shared" si="31"/>
        <v>565.46699999999998</v>
      </c>
      <c r="AB35" s="1252">
        <v>88.65</v>
      </c>
      <c r="AC35" s="1098"/>
      <c r="AD35" s="1098">
        <v>82.686000000000007</v>
      </c>
      <c r="AE35" s="1098">
        <v>233.20599999999999</v>
      </c>
      <c r="AF35" s="1098">
        <v>59.484000000000002</v>
      </c>
      <c r="AG35" s="1098">
        <v>83.893000000000001</v>
      </c>
      <c r="AH35" s="1098"/>
      <c r="AI35" s="1098">
        <v>65.215999999999994</v>
      </c>
      <c r="AJ35" s="1098">
        <v>19.707000000000001</v>
      </c>
      <c r="AK35" s="1098"/>
      <c r="AL35" s="1098">
        <v>108.327</v>
      </c>
      <c r="AM35" s="1098">
        <v>45.040999999999997</v>
      </c>
      <c r="AN35" s="1097">
        <f t="shared" si="32"/>
        <v>786.21</v>
      </c>
      <c r="AO35" s="1252"/>
      <c r="AP35" s="1098">
        <v>209.19900000000001</v>
      </c>
      <c r="AQ35" s="1098">
        <v>194.751</v>
      </c>
      <c r="AR35" s="1098"/>
      <c r="AS35" s="1098">
        <v>55.45</v>
      </c>
      <c r="AT35" s="1098">
        <v>45</v>
      </c>
      <c r="AU35" s="1098">
        <v>38</v>
      </c>
      <c r="AV35" s="1098">
        <v>98</v>
      </c>
      <c r="AW35" s="1098">
        <v>91</v>
      </c>
      <c r="AX35" s="1098">
        <v>134</v>
      </c>
      <c r="AY35" s="1098">
        <v>94</v>
      </c>
      <c r="AZ35" s="1098">
        <v>258</v>
      </c>
      <c r="BA35" s="1097">
        <f t="shared" si="33"/>
        <v>1217.4000000000001</v>
      </c>
      <c r="BB35" s="1252">
        <v>246</v>
      </c>
      <c r="BC35" s="1098">
        <v>233</v>
      </c>
      <c r="BD35" s="1098">
        <v>246</v>
      </c>
      <c r="BE35" s="1098"/>
      <c r="BF35" s="1098"/>
      <c r="BG35" s="1098"/>
      <c r="BH35" s="1098"/>
      <c r="BI35" s="1098">
        <v>128</v>
      </c>
      <c r="BJ35" s="1098">
        <v>20</v>
      </c>
      <c r="BK35" s="1098"/>
      <c r="BL35" s="1098"/>
      <c r="BM35" s="1098">
        <v>53</v>
      </c>
      <c r="BN35" s="1097">
        <f t="shared" si="34"/>
        <v>926</v>
      </c>
      <c r="BO35" s="1252">
        <v>33.728999999999999</v>
      </c>
      <c r="BP35" s="1098">
        <v>40.954000000000001</v>
      </c>
      <c r="BQ35" s="1098">
        <v>90.168000000000006</v>
      </c>
      <c r="BR35" s="1098">
        <v>63.694000000000003</v>
      </c>
      <c r="BS35" s="1098">
        <v>105.875</v>
      </c>
      <c r="BT35" s="1098">
        <v>102.943</v>
      </c>
      <c r="BU35" s="1098">
        <v>26.364000000000001</v>
      </c>
      <c r="BV35" s="1098">
        <v>67.119</v>
      </c>
      <c r="BW35" s="1098">
        <v>169.18600000000001</v>
      </c>
      <c r="BX35" s="1098">
        <v>243.04900000000001</v>
      </c>
      <c r="BY35" s="1098">
        <v>17</v>
      </c>
      <c r="BZ35" s="1098">
        <v>107</v>
      </c>
      <c r="CA35" s="1097">
        <f t="shared" si="35"/>
        <v>1067.0810000000001</v>
      </c>
      <c r="CB35" s="1252">
        <v>45</v>
      </c>
      <c r="CC35" s="1098">
        <v>74</v>
      </c>
      <c r="CD35" s="1098">
        <v>73</v>
      </c>
      <c r="CE35" s="1098">
        <v>60</v>
      </c>
      <c r="CF35" s="1098">
        <v>61</v>
      </c>
      <c r="CG35" s="1098">
        <v>369</v>
      </c>
      <c r="CH35" s="1098">
        <v>4</v>
      </c>
      <c r="CI35" s="1098">
        <v>9</v>
      </c>
      <c r="CJ35" s="1098"/>
      <c r="CK35" s="1098">
        <v>5</v>
      </c>
      <c r="CL35" s="1098">
        <v>11</v>
      </c>
      <c r="CM35" s="1098">
        <v>24</v>
      </c>
      <c r="CN35" s="1097">
        <f t="shared" si="36"/>
        <v>735</v>
      </c>
      <c r="CO35" s="1252"/>
      <c r="CP35" s="1098"/>
      <c r="CQ35" s="1098">
        <v>37</v>
      </c>
      <c r="CR35" s="1098">
        <v>16</v>
      </c>
      <c r="CS35" s="1098">
        <v>31</v>
      </c>
      <c r="CT35" s="1098">
        <v>28</v>
      </c>
      <c r="CU35" s="1098">
        <v>41</v>
      </c>
      <c r="CV35" s="1098">
        <v>27</v>
      </c>
      <c r="CW35" s="1098">
        <v>4</v>
      </c>
      <c r="CX35" s="1098"/>
      <c r="CY35" s="1098"/>
      <c r="CZ35" s="1098"/>
      <c r="DA35" s="1097">
        <f t="shared" si="37"/>
        <v>184</v>
      </c>
      <c r="DB35" s="1252">
        <v>102</v>
      </c>
      <c r="DC35" s="1098">
        <v>13</v>
      </c>
      <c r="DD35" s="1098"/>
      <c r="DE35" s="1098"/>
      <c r="DF35" s="1098">
        <v>13</v>
      </c>
      <c r="DG35" s="1098">
        <v>23</v>
      </c>
      <c r="DH35" s="1098"/>
      <c r="DI35" s="1098">
        <v>33</v>
      </c>
      <c r="DJ35" s="1098">
        <v>17</v>
      </c>
      <c r="DK35" s="1098">
        <v>49</v>
      </c>
      <c r="DL35" s="1098">
        <v>15</v>
      </c>
      <c r="DM35" s="1098">
        <v>40</v>
      </c>
      <c r="DN35" s="1097">
        <f t="shared" si="38"/>
        <v>305</v>
      </c>
      <c r="DO35" s="1252">
        <v>35</v>
      </c>
      <c r="DP35" s="1098">
        <v>8</v>
      </c>
      <c r="DQ35" s="1098">
        <v>8</v>
      </c>
      <c r="DR35" s="1098"/>
      <c r="DS35" s="1098">
        <v>6</v>
      </c>
      <c r="DT35" s="1098">
        <v>40</v>
      </c>
      <c r="DU35" s="1098"/>
      <c r="DV35" s="1098">
        <v>14</v>
      </c>
      <c r="DW35" s="1098">
        <v>7</v>
      </c>
      <c r="DX35" s="1098">
        <v>5</v>
      </c>
      <c r="DY35" s="1098"/>
      <c r="DZ35" s="1098"/>
      <c r="EA35" s="1097">
        <f t="shared" si="39"/>
        <v>123</v>
      </c>
      <c r="EB35" s="1252">
        <v>24</v>
      </c>
      <c r="EC35" s="1098"/>
      <c r="ED35" s="1098"/>
      <c r="EE35" s="1098"/>
      <c r="EF35" s="1098"/>
      <c r="EG35" s="1098"/>
      <c r="EH35" s="1098"/>
      <c r="EI35" s="1098"/>
      <c r="EJ35" s="1098"/>
      <c r="EK35" s="1098"/>
      <c r="EL35" s="1098"/>
      <c r="EM35" s="1098"/>
      <c r="EN35" s="1097">
        <f t="shared" si="40"/>
        <v>24</v>
      </c>
      <c r="EO35" s="1252"/>
      <c r="EP35" s="1098"/>
      <c r="EQ35" s="1098"/>
      <c r="ER35" s="1098">
        <v>13</v>
      </c>
      <c r="ES35" s="1098"/>
      <c r="ET35" s="1098">
        <v>38</v>
      </c>
      <c r="EU35" s="1098">
        <v>38</v>
      </c>
      <c r="EV35" s="1098"/>
      <c r="EW35" s="1098"/>
      <c r="EX35" s="1098"/>
      <c r="EY35" s="1098"/>
      <c r="EZ35" s="1098"/>
      <c r="FA35" s="1097">
        <f t="shared" si="41"/>
        <v>89</v>
      </c>
      <c r="FB35" s="1252">
        <v>5</v>
      </c>
      <c r="FC35" s="1098"/>
      <c r="FD35" s="1098"/>
      <c r="FE35" s="1098">
        <v>10</v>
      </c>
      <c r="FF35" s="1098"/>
      <c r="FG35" s="1098">
        <v>28</v>
      </c>
      <c r="FH35" s="1098"/>
      <c r="FI35" s="1098">
        <v>10</v>
      </c>
      <c r="FJ35" s="1098"/>
      <c r="FK35" s="1098"/>
      <c r="FL35" s="1098"/>
      <c r="FM35" s="1098"/>
      <c r="FN35" s="1097">
        <f t="shared" si="42"/>
        <v>53</v>
      </c>
      <c r="FO35" s="1252"/>
      <c r="FP35" s="1098">
        <v>7</v>
      </c>
      <c r="FQ35" s="1098"/>
      <c r="FR35" s="1098">
        <v>5</v>
      </c>
      <c r="FS35" s="1098">
        <v>49</v>
      </c>
      <c r="FT35" s="1098">
        <v>414</v>
      </c>
      <c r="FU35" s="1098">
        <v>12</v>
      </c>
      <c r="FV35" s="1098">
        <v>5</v>
      </c>
      <c r="FW35" s="1098">
        <v>18</v>
      </c>
      <c r="FX35" s="1098">
        <v>20</v>
      </c>
      <c r="FY35" s="1098">
        <v>3</v>
      </c>
      <c r="FZ35" s="1098">
        <v>140</v>
      </c>
      <c r="GA35" s="1097">
        <f t="shared" si="43"/>
        <v>673</v>
      </c>
      <c r="GB35" s="1252"/>
      <c r="GC35" s="1098"/>
      <c r="GD35" s="1098"/>
      <c r="GE35" s="1098"/>
      <c r="GF35" s="1098"/>
      <c r="GG35" s="1098"/>
      <c r="GH35" s="1098"/>
      <c r="GI35" s="1098"/>
      <c r="GJ35" s="1098"/>
      <c r="GK35" s="1098">
        <v>12</v>
      </c>
      <c r="GL35" s="1098"/>
      <c r="GM35" s="1098"/>
      <c r="GN35" s="1097">
        <f t="shared" si="44"/>
        <v>12</v>
      </c>
      <c r="GO35" s="1252"/>
      <c r="GP35" s="1098"/>
      <c r="GQ35" s="1098"/>
      <c r="GR35" s="1098"/>
      <c r="GS35" s="1098">
        <v>39</v>
      </c>
      <c r="GT35" s="1098">
        <v>20</v>
      </c>
      <c r="GU35" s="1098">
        <v>83.530999999999992</v>
      </c>
      <c r="GV35" s="1098">
        <v>31.96</v>
      </c>
      <c r="GW35" s="1098"/>
      <c r="GX35" s="1098">
        <v>20</v>
      </c>
      <c r="GY35" s="1098"/>
      <c r="GZ35" s="1098">
        <v>20.456</v>
      </c>
      <c r="HA35" s="1097">
        <f t="shared" si="45"/>
        <v>214.947</v>
      </c>
      <c r="HB35" s="1252"/>
      <c r="HC35" s="1098">
        <v>7</v>
      </c>
      <c r="HD35" s="1098">
        <v>40.656999999999996</v>
      </c>
      <c r="HE35" s="1098"/>
      <c r="HF35" s="1098"/>
      <c r="HG35" s="1098">
        <v>8</v>
      </c>
      <c r="HH35" s="1098">
        <v>60</v>
      </c>
      <c r="HI35" s="1098">
        <v>23</v>
      </c>
      <c r="HJ35" s="1098">
        <v>78.27</v>
      </c>
      <c r="HK35" s="1098">
        <v>41.975000000000001</v>
      </c>
      <c r="HL35" s="1098"/>
      <c r="HM35" s="1098">
        <v>19.760999999999999</v>
      </c>
      <c r="HN35" s="1097">
        <f t="shared" si="46"/>
        <v>278.66300000000001</v>
      </c>
      <c r="HO35" s="1252"/>
      <c r="HP35" s="1098">
        <v>13.555999999999999</v>
      </c>
      <c r="HQ35" s="1098">
        <v>11.353</v>
      </c>
      <c r="HR35" s="1098">
        <v>17.696999999999999</v>
      </c>
      <c r="HS35" s="1098">
        <v>52.708999999999996</v>
      </c>
      <c r="HT35" s="1098">
        <v>47.023000000000003</v>
      </c>
      <c r="HU35" s="1098">
        <v>78.405000000000001</v>
      </c>
      <c r="HV35" s="1098">
        <v>12.266</v>
      </c>
      <c r="HW35" s="1098">
        <v>37.276000000000003</v>
      </c>
      <c r="HX35" s="1098">
        <v>35</v>
      </c>
      <c r="HY35" s="1098">
        <v>5</v>
      </c>
      <c r="HZ35" s="1098"/>
      <c r="IA35" s="1097">
        <f t="shared" si="47"/>
        <v>310.28499999999997</v>
      </c>
      <c r="IB35" s="1252"/>
      <c r="IC35" s="1098"/>
      <c r="ID35" s="1098"/>
      <c r="IE35" s="1098"/>
      <c r="IF35" s="1098"/>
      <c r="IG35" s="1098"/>
      <c r="IH35" s="1098"/>
      <c r="II35" s="1098"/>
      <c r="IJ35" s="1098"/>
      <c r="IK35" s="1098"/>
      <c r="IL35" s="1098"/>
      <c r="IM35" s="1098"/>
      <c r="IN35" s="1097">
        <f t="shared" si="48"/>
        <v>0</v>
      </c>
      <c r="IO35" s="1252"/>
      <c r="IP35" s="1098"/>
      <c r="IQ35" s="1098"/>
      <c r="IR35" s="1098"/>
      <c r="IS35" s="1098"/>
      <c r="IT35" s="1098"/>
      <c r="IU35" s="1098"/>
      <c r="IV35" s="1098"/>
      <c r="IW35" s="1098"/>
      <c r="IX35" s="1098"/>
      <c r="IY35" s="1098"/>
      <c r="IZ35" s="1098"/>
      <c r="JA35" s="1097">
        <f t="shared" si="49"/>
        <v>0</v>
      </c>
      <c r="JB35" s="1252"/>
      <c r="JC35" s="1098"/>
      <c r="JD35" s="1098">
        <v>18.86</v>
      </c>
      <c r="JE35" s="1098"/>
      <c r="JF35" s="1098"/>
      <c r="JG35" s="1098"/>
      <c r="JH35" s="1098"/>
      <c r="JI35" s="1098"/>
      <c r="JJ35" s="1098"/>
      <c r="JK35" s="1098"/>
      <c r="JL35" s="1098">
        <v>7.8140000000000001</v>
      </c>
      <c r="JM35" s="1098"/>
      <c r="JN35" s="1097">
        <f t="shared" si="50"/>
        <v>26.673999999999999</v>
      </c>
      <c r="JO35" s="1252"/>
      <c r="JP35" s="1098"/>
      <c r="JQ35" s="1098"/>
      <c r="JR35" s="1098"/>
      <c r="JS35" s="1098"/>
      <c r="JT35" s="1098"/>
      <c r="JU35" s="1098"/>
      <c r="JV35" s="1098"/>
      <c r="JW35" s="1098"/>
      <c r="JX35" s="1098">
        <v>4.17</v>
      </c>
      <c r="JY35" s="1098">
        <v>80.069999999999993</v>
      </c>
      <c r="JZ35" s="1098"/>
      <c r="KA35" s="1097">
        <f t="shared" si="51"/>
        <v>84.24</v>
      </c>
      <c r="KB35" s="1252"/>
      <c r="KC35" s="1098"/>
      <c r="KD35" s="1098"/>
      <c r="KE35" s="1098"/>
      <c r="KF35" s="1098"/>
      <c r="KG35" s="1098"/>
      <c r="KH35" s="1098"/>
      <c r="KI35" s="1098"/>
      <c r="KJ35" s="1098">
        <v>2.2050000000000001</v>
      </c>
      <c r="KK35" s="1098">
        <v>8.7550000000000008</v>
      </c>
      <c r="KL35" s="1098"/>
      <c r="KM35" s="1098"/>
      <c r="KN35" s="1097">
        <f t="shared" si="52"/>
        <v>10.96</v>
      </c>
      <c r="KO35" s="1252"/>
      <c r="KP35" s="1098"/>
      <c r="KQ35" s="1098"/>
      <c r="KR35" s="1098"/>
      <c r="KS35" s="1098"/>
      <c r="KT35" s="1098"/>
      <c r="KU35" s="1098"/>
      <c r="KV35" s="1098"/>
      <c r="KW35" s="1098"/>
      <c r="KX35" s="1098"/>
      <c r="KY35" s="1098"/>
      <c r="KZ35" s="1098"/>
      <c r="LA35" s="1097">
        <f t="shared" si="53"/>
        <v>0</v>
      </c>
      <c r="LB35" s="1252">
        <v>9.9999999999999994E-12</v>
      </c>
      <c r="LC35" s="1098"/>
      <c r="LD35" s="1098"/>
      <c r="LE35" s="1098"/>
      <c r="LF35" s="1098"/>
      <c r="LG35" s="1098"/>
      <c r="LH35" s="1098"/>
      <c r="LI35" s="1098"/>
      <c r="LJ35" s="1098"/>
      <c r="LK35" s="1098"/>
      <c r="LL35" s="1098"/>
      <c r="LM35" s="1098"/>
      <c r="LN35" s="1097">
        <f t="shared" si="54"/>
        <v>9.9999999999999994E-12</v>
      </c>
      <c r="LP35" s="1116" t="str">
        <f t="shared" si="55"/>
        <v/>
      </c>
      <c r="LQ35" s="1117" t="str">
        <f t="shared" si="56"/>
        <v/>
      </c>
      <c r="LR35" s="1079">
        <f t="shared" si="57"/>
        <v>0</v>
      </c>
      <c r="LS35" s="1118">
        <f t="shared" si="58"/>
        <v>9.9999999999999994E-12</v>
      </c>
      <c r="LU35" s="629"/>
      <c r="LV35" s="1139">
        <f t="shared" si="59"/>
        <v>16288.782000000019</v>
      </c>
      <c r="LW35" s="1286" t="s">
        <v>71</v>
      </c>
      <c r="LX35" s="1147" t="str">
        <f t="shared" si="60"/>
        <v>OK</v>
      </c>
    </row>
    <row r="36" spans="1:337" ht="15" customHeight="1" x14ac:dyDescent="0.2">
      <c r="A36" s="1292" t="s">
        <v>83</v>
      </c>
      <c r="B36" s="1252"/>
      <c r="C36" s="1098"/>
      <c r="D36" s="1098"/>
      <c r="E36" s="1098"/>
      <c r="F36" s="1098"/>
      <c r="G36" s="1098"/>
      <c r="H36" s="1098"/>
      <c r="I36" s="1098"/>
      <c r="J36" s="1098"/>
      <c r="K36" s="1098"/>
      <c r="L36" s="1098"/>
      <c r="M36" s="1098"/>
      <c r="N36" s="1097">
        <f t="shared" si="30"/>
        <v>0</v>
      </c>
      <c r="O36" s="1252"/>
      <c r="P36" s="1098"/>
      <c r="Q36" s="1098"/>
      <c r="R36" s="1098"/>
      <c r="S36" s="1098"/>
      <c r="T36" s="1098">
        <v>6.8440000000000003</v>
      </c>
      <c r="U36" s="1098">
        <v>19.216000000000001</v>
      </c>
      <c r="V36" s="1098"/>
      <c r="W36" s="1098"/>
      <c r="X36" s="1098"/>
      <c r="Y36" s="1098"/>
      <c r="Z36" s="1098"/>
      <c r="AA36" s="1097">
        <f t="shared" si="31"/>
        <v>26.060000000000002</v>
      </c>
      <c r="AB36" s="1252"/>
      <c r="AC36" s="1098">
        <v>3.6320000000000001</v>
      </c>
      <c r="AD36" s="1098"/>
      <c r="AE36" s="1098"/>
      <c r="AF36" s="1098"/>
      <c r="AG36" s="1098">
        <v>20.420999999999999</v>
      </c>
      <c r="AH36" s="1098"/>
      <c r="AI36" s="1098"/>
      <c r="AJ36" s="1098"/>
      <c r="AK36" s="1098"/>
      <c r="AL36" s="1098">
        <v>22.72</v>
      </c>
      <c r="AM36" s="1098">
        <v>3.976</v>
      </c>
      <c r="AN36" s="1097">
        <f t="shared" si="32"/>
        <v>50.748999999999995</v>
      </c>
      <c r="AO36" s="1252"/>
      <c r="AP36" s="1098"/>
      <c r="AQ36" s="1098"/>
      <c r="AR36" s="1098"/>
      <c r="AS36" s="1098"/>
      <c r="AT36" s="1098"/>
      <c r="AU36" s="1098"/>
      <c r="AV36" s="1098"/>
      <c r="AW36" s="1098"/>
      <c r="AX36" s="1098"/>
      <c r="AY36" s="1098"/>
      <c r="AZ36" s="1098"/>
      <c r="BA36" s="1097">
        <f t="shared" si="33"/>
        <v>0</v>
      </c>
      <c r="BB36" s="1252"/>
      <c r="BC36" s="1098"/>
      <c r="BD36" s="1098"/>
      <c r="BE36" s="1098"/>
      <c r="BF36" s="1098"/>
      <c r="BG36" s="1098"/>
      <c r="BH36" s="1098"/>
      <c r="BI36" s="1098"/>
      <c r="BJ36" s="1098"/>
      <c r="BK36" s="1098"/>
      <c r="BL36" s="1098"/>
      <c r="BM36" s="1098"/>
      <c r="BN36" s="1097">
        <f t="shared" si="34"/>
        <v>0</v>
      </c>
      <c r="BO36" s="1252"/>
      <c r="BP36" s="1098"/>
      <c r="BQ36" s="1098"/>
      <c r="BR36" s="1098"/>
      <c r="BS36" s="1098"/>
      <c r="BT36" s="1098"/>
      <c r="BU36" s="1098"/>
      <c r="BV36" s="1098"/>
      <c r="BW36" s="1098"/>
      <c r="BX36" s="1098"/>
      <c r="BY36" s="1098"/>
      <c r="BZ36" s="1098"/>
      <c r="CA36" s="1097">
        <f t="shared" si="35"/>
        <v>0</v>
      </c>
      <c r="CB36" s="1252">
        <v>6</v>
      </c>
      <c r="CC36" s="1098">
        <v>18</v>
      </c>
      <c r="CD36" s="1098">
        <v>2</v>
      </c>
      <c r="CE36" s="1098"/>
      <c r="CF36" s="1098"/>
      <c r="CG36" s="1098">
        <v>66</v>
      </c>
      <c r="CH36" s="1098">
        <v>23</v>
      </c>
      <c r="CI36" s="1098"/>
      <c r="CJ36" s="1098"/>
      <c r="CK36" s="1098"/>
      <c r="CL36" s="1098"/>
      <c r="CM36" s="1098"/>
      <c r="CN36" s="1097">
        <f t="shared" si="36"/>
        <v>115</v>
      </c>
      <c r="CO36" s="1252"/>
      <c r="CP36" s="1098"/>
      <c r="CQ36" s="1098"/>
      <c r="CR36" s="1098"/>
      <c r="CS36" s="1098"/>
      <c r="CT36" s="1098">
        <v>60</v>
      </c>
      <c r="CU36" s="1098"/>
      <c r="CV36" s="1098">
        <v>13</v>
      </c>
      <c r="CW36" s="1098"/>
      <c r="CX36" s="1098">
        <v>8</v>
      </c>
      <c r="CY36" s="1098">
        <v>4</v>
      </c>
      <c r="CZ36" s="1098"/>
      <c r="DA36" s="1097">
        <f t="shared" si="37"/>
        <v>85</v>
      </c>
      <c r="DB36" s="1252">
        <v>37</v>
      </c>
      <c r="DC36" s="1098">
        <v>145</v>
      </c>
      <c r="DD36" s="1098"/>
      <c r="DE36" s="1098">
        <v>8</v>
      </c>
      <c r="DF36" s="1098">
        <v>18</v>
      </c>
      <c r="DG36" s="1098">
        <v>2</v>
      </c>
      <c r="DH36" s="1098">
        <v>4</v>
      </c>
      <c r="DI36" s="1098">
        <v>2</v>
      </c>
      <c r="DJ36" s="1098"/>
      <c r="DK36" s="1098"/>
      <c r="DL36" s="1098">
        <v>7</v>
      </c>
      <c r="DM36" s="1098"/>
      <c r="DN36" s="1097">
        <f t="shared" si="38"/>
        <v>223</v>
      </c>
      <c r="DO36" s="1252">
        <v>5</v>
      </c>
      <c r="DP36" s="1098">
        <v>10</v>
      </c>
      <c r="DQ36" s="1098">
        <v>7</v>
      </c>
      <c r="DR36" s="1098"/>
      <c r="DS36" s="1098"/>
      <c r="DT36" s="1098"/>
      <c r="DU36" s="1098">
        <v>3</v>
      </c>
      <c r="DV36" s="1098">
        <v>112</v>
      </c>
      <c r="DW36" s="1098">
        <v>51</v>
      </c>
      <c r="DX36" s="1098">
        <v>10</v>
      </c>
      <c r="DY36" s="1098">
        <v>15</v>
      </c>
      <c r="DZ36" s="1098"/>
      <c r="EA36" s="1097">
        <f t="shared" si="39"/>
        <v>213</v>
      </c>
      <c r="EB36" s="1252">
        <v>21</v>
      </c>
      <c r="EC36" s="1098"/>
      <c r="ED36" s="1098">
        <v>20</v>
      </c>
      <c r="EE36" s="1098">
        <v>2</v>
      </c>
      <c r="EF36" s="1098">
        <v>44</v>
      </c>
      <c r="EG36" s="1098">
        <v>20</v>
      </c>
      <c r="EH36" s="1098"/>
      <c r="EI36" s="1098"/>
      <c r="EJ36" s="1098"/>
      <c r="EK36" s="1098"/>
      <c r="EL36" s="1098">
        <v>7</v>
      </c>
      <c r="EM36" s="1098"/>
      <c r="EN36" s="1097">
        <f t="shared" si="40"/>
        <v>114</v>
      </c>
      <c r="EO36" s="1252"/>
      <c r="EP36" s="1098"/>
      <c r="EQ36" s="1098"/>
      <c r="ER36" s="1098"/>
      <c r="ES36" s="1098"/>
      <c r="ET36" s="1098"/>
      <c r="EU36" s="1098"/>
      <c r="EV36" s="1098"/>
      <c r="EW36" s="1098">
        <v>24</v>
      </c>
      <c r="EX36" s="1098">
        <v>37</v>
      </c>
      <c r="EY36" s="1098"/>
      <c r="EZ36" s="1098">
        <v>3</v>
      </c>
      <c r="FA36" s="1097">
        <f t="shared" si="41"/>
        <v>64</v>
      </c>
      <c r="FB36" s="1252"/>
      <c r="FC36" s="1098"/>
      <c r="FD36" s="1098"/>
      <c r="FE36" s="1098">
        <v>21</v>
      </c>
      <c r="FF36" s="1098">
        <v>9</v>
      </c>
      <c r="FG36" s="1098">
        <v>313</v>
      </c>
      <c r="FH36" s="1098"/>
      <c r="FI36" s="1098"/>
      <c r="FJ36" s="1098">
        <v>2</v>
      </c>
      <c r="FK36" s="1098">
        <v>15</v>
      </c>
      <c r="FL36" s="1098">
        <v>3.5</v>
      </c>
      <c r="FM36" s="1098">
        <v>1.5</v>
      </c>
      <c r="FN36" s="1097">
        <f t="shared" si="42"/>
        <v>365</v>
      </c>
      <c r="FO36" s="1252"/>
      <c r="FP36" s="1098"/>
      <c r="FQ36" s="1098"/>
      <c r="FR36" s="1098">
        <v>14</v>
      </c>
      <c r="FS36" s="1098">
        <v>21</v>
      </c>
      <c r="FT36" s="1098">
        <v>6</v>
      </c>
      <c r="FU36" s="1098">
        <v>8</v>
      </c>
      <c r="FV36" s="1098"/>
      <c r="FW36" s="1098">
        <v>23</v>
      </c>
      <c r="FX36" s="1098">
        <v>43</v>
      </c>
      <c r="FY36" s="1098">
        <v>20</v>
      </c>
      <c r="FZ36" s="1098"/>
      <c r="GA36" s="1097">
        <f t="shared" si="43"/>
        <v>135</v>
      </c>
      <c r="GB36" s="1252"/>
      <c r="GC36" s="1098"/>
      <c r="GD36" s="1098"/>
      <c r="GE36" s="1098"/>
      <c r="GF36" s="1098">
        <v>30.021000000000001</v>
      </c>
      <c r="GG36" s="1098">
        <v>95</v>
      </c>
      <c r="GH36" s="1098">
        <v>10</v>
      </c>
      <c r="GI36" s="1098"/>
      <c r="GJ36" s="1098"/>
      <c r="GK36" s="1098"/>
      <c r="GL36" s="1098">
        <v>25</v>
      </c>
      <c r="GM36" s="1098"/>
      <c r="GN36" s="1097">
        <f t="shared" si="44"/>
        <v>160.02100000000002</v>
      </c>
      <c r="GO36" s="1252">
        <v>2.41</v>
      </c>
      <c r="GP36" s="1098">
        <v>24.317</v>
      </c>
      <c r="GQ36" s="1098">
        <v>1.05</v>
      </c>
      <c r="GR36" s="1098"/>
      <c r="GS36" s="1098"/>
      <c r="GT36" s="1098">
        <v>15</v>
      </c>
      <c r="GU36" s="1098"/>
      <c r="GV36" s="1098">
        <v>127</v>
      </c>
      <c r="GW36" s="1098">
        <v>22.497</v>
      </c>
      <c r="GX36" s="1098">
        <v>20</v>
      </c>
      <c r="GY36" s="1098"/>
      <c r="GZ36" s="1098"/>
      <c r="HA36" s="1097">
        <f t="shared" si="45"/>
        <v>212.274</v>
      </c>
      <c r="HB36" s="1252">
        <f>60+2</f>
        <v>62</v>
      </c>
      <c r="HC36" s="1098"/>
      <c r="HD36" s="1098">
        <v>4.8550000000000004</v>
      </c>
      <c r="HE36" s="1098"/>
      <c r="HF36" s="1098"/>
      <c r="HG36" s="1098"/>
      <c r="HH36" s="1098">
        <v>24</v>
      </c>
      <c r="HI36" s="1098"/>
      <c r="HJ36" s="1098">
        <v>15.154999999999999</v>
      </c>
      <c r="HK36" s="1098">
        <v>20.707999999999998</v>
      </c>
      <c r="HL36" s="1098">
        <v>5.476</v>
      </c>
      <c r="HM36" s="1098">
        <v>32.924999999999997</v>
      </c>
      <c r="HN36" s="1097">
        <f t="shared" si="46"/>
        <v>165.11900000000003</v>
      </c>
      <c r="HO36" s="1252"/>
      <c r="HP36" s="1098">
        <v>16.565999999999999</v>
      </c>
      <c r="HQ36" s="1098">
        <v>15.32</v>
      </c>
      <c r="HR36" s="1098"/>
      <c r="HS36" s="1098"/>
      <c r="HT36" s="1098">
        <v>15.265999999999998</v>
      </c>
      <c r="HU36" s="1098">
        <v>11.097</v>
      </c>
      <c r="HV36" s="1098">
        <v>37.573999999999998</v>
      </c>
      <c r="HW36" s="1098">
        <v>10.257999999999999</v>
      </c>
      <c r="HX36" s="1098">
        <v>51</v>
      </c>
      <c r="HY36" s="1098">
        <v>12</v>
      </c>
      <c r="HZ36" s="1098"/>
      <c r="IA36" s="1097">
        <f t="shared" si="47"/>
        <v>169.08100000000002</v>
      </c>
      <c r="IB36" s="1252"/>
      <c r="IC36" s="1098"/>
      <c r="ID36" s="1098"/>
      <c r="IE36" s="1098"/>
      <c r="IF36" s="1098"/>
      <c r="IG36" s="1098"/>
      <c r="IH36" s="1098">
        <v>1.4</v>
      </c>
      <c r="II36" s="1098">
        <v>0.96</v>
      </c>
      <c r="IJ36" s="1098">
        <v>5.6470000000000002</v>
      </c>
      <c r="IK36" s="1098">
        <v>4.6280000000000001</v>
      </c>
      <c r="IL36" s="1098">
        <v>3.2959999999999998</v>
      </c>
      <c r="IM36" s="1098">
        <v>5</v>
      </c>
      <c r="IN36" s="1097">
        <f t="shared" si="48"/>
        <v>20.930999999999997</v>
      </c>
      <c r="IO36" s="1252">
        <v>7.5129999999999999</v>
      </c>
      <c r="IP36" s="1098"/>
      <c r="IQ36" s="1098"/>
      <c r="IR36" s="1098"/>
      <c r="IS36" s="1098"/>
      <c r="IT36" s="1098">
        <v>13.282</v>
      </c>
      <c r="IU36" s="1098">
        <v>56.569000000000003</v>
      </c>
      <c r="IV36" s="1098">
        <v>22.295999999999999</v>
      </c>
      <c r="IW36" s="1098">
        <v>46.262</v>
      </c>
      <c r="IX36" s="1098">
        <v>31.518999999999998</v>
      </c>
      <c r="IY36" s="1098">
        <v>48.186</v>
      </c>
      <c r="IZ36" s="1098">
        <v>16.919</v>
      </c>
      <c r="JA36" s="1097">
        <f t="shared" si="49"/>
        <v>242.54600000000002</v>
      </c>
      <c r="JB36" s="1252"/>
      <c r="JC36" s="1098"/>
      <c r="JD36" s="1098"/>
      <c r="JE36" s="1098">
        <v>1.6619999999999999</v>
      </c>
      <c r="JF36" s="1098"/>
      <c r="JG36" s="1098">
        <v>4.0119999999999996</v>
      </c>
      <c r="JH36" s="1098">
        <v>7.6529999999999996</v>
      </c>
      <c r="JI36" s="1098">
        <v>3.1890000000000001</v>
      </c>
      <c r="JJ36" s="1098">
        <v>13.465999999999999</v>
      </c>
      <c r="JK36" s="1098">
        <v>16.238</v>
      </c>
      <c r="JL36" s="1098">
        <v>14.002000000000001</v>
      </c>
      <c r="JM36" s="1098"/>
      <c r="JN36" s="1097">
        <f t="shared" si="50"/>
        <v>60.222000000000001</v>
      </c>
      <c r="JO36" s="1252"/>
      <c r="JP36" s="1098"/>
      <c r="JQ36" s="1098"/>
      <c r="JR36" s="1098"/>
      <c r="JS36" s="1098"/>
      <c r="JT36" s="1098"/>
      <c r="JU36" s="1098">
        <v>21.952999999999999</v>
      </c>
      <c r="JV36" s="1098"/>
      <c r="JW36" s="1098"/>
      <c r="JX36" s="1098"/>
      <c r="JY36" s="1098"/>
      <c r="JZ36" s="1098"/>
      <c r="KA36" s="1097">
        <f t="shared" si="51"/>
        <v>21.952999999999999</v>
      </c>
      <c r="KB36" s="1252"/>
      <c r="KC36" s="1098">
        <v>4.5250000000000004</v>
      </c>
      <c r="KD36" s="1098"/>
      <c r="KE36" s="1098"/>
      <c r="KF36" s="1098"/>
      <c r="KG36" s="1098">
        <v>1.633</v>
      </c>
      <c r="KH36" s="1098">
        <v>40.506999999999998</v>
      </c>
      <c r="KI36" s="1098">
        <v>142.12299999999999</v>
      </c>
      <c r="KJ36" s="1098">
        <v>229.78299999999999</v>
      </c>
      <c r="KK36" s="1098">
        <v>20.788</v>
      </c>
      <c r="KL36" s="1098"/>
      <c r="KM36" s="1098">
        <v>5.7930000000000001</v>
      </c>
      <c r="KN36" s="1097">
        <f t="shared" si="52"/>
        <v>445.15199999999999</v>
      </c>
      <c r="KO36" s="1252">
        <v>4.423</v>
      </c>
      <c r="KP36" s="1098"/>
      <c r="KQ36" s="1098"/>
      <c r="KR36" s="1098">
        <v>12.385</v>
      </c>
      <c r="KS36" s="1098"/>
      <c r="KT36" s="1098"/>
      <c r="KU36" s="1098">
        <v>0.73499999999999999</v>
      </c>
      <c r="KV36" s="1098">
        <v>24.782</v>
      </c>
      <c r="KW36" s="1098">
        <v>33.756999999999998</v>
      </c>
      <c r="KX36" s="1098">
        <f>3.56+13.861</f>
        <v>17.420999999999999</v>
      </c>
      <c r="KY36" s="1098">
        <v>6.2359999999999998</v>
      </c>
      <c r="KZ36" s="1098"/>
      <c r="LA36" s="1097">
        <f t="shared" si="53"/>
        <v>99.73899999999999</v>
      </c>
      <c r="LB36" s="1252">
        <v>9.9999999999999994E-12</v>
      </c>
      <c r="LC36" s="1098"/>
      <c r="LD36" s="1098"/>
      <c r="LE36" s="1098"/>
      <c r="LF36" s="1098"/>
      <c r="LG36" s="1098">
        <v>10.337</v>
      </c>
      <c r="LH36" s="1098">
        <v>3</v>
      </c>
      <c r="LI36" s="1098">
        <v>1.5569999999999999</v>
      </c>
      <c r="LJ36" s="1098"/>
      <c r="LK36" s="1098"/>
      <c r="LL36" s="1098"/>
      <c r="LM36" s="1098"/>
      <c r="LN36" s="1097">
        <f t="shared" si="54"/>
        <v>14.894000000009999</v>
      </c>
      <c r="LP36" s="1116">
        <f t="shared" si="55"/>
        <v>-93.717214107013163</v>
      </c>
      <c r="LQ36" s="1117">
        <f t="shared" si="56"/>
        <v>-64.810395747170716</v>
      </c>
      <c r="LR36" s="1079">
        <f t="shared" si="57"/>
        <v>42.325000000000003</v>
      </c>
      <c r="LS36" s="1118">
        <f t="shared" si="58"/>
        <v>14.894000000009999</v>
      </c>
      <c r="LU36" s="629"/>
      <c r="LV36" s="1139">
        <f t="shared" si="59"/>
        <v>6005.4820000000209</v>
      </c>
      <c r="LW36" s="1286" t="s">
        <v>83</v>
      </c>
      <c r="LX36" s="1147" t="str">
        <f t="shared" si="60"/>
        <v>OK</v>
      </c>
    </row>
    <row r="37" spans="1:337" ht="15" customHeight="1" x14ac:dyDescent="0.2">
      <c r="A37" s="1280" t="s">
        <v>72</v>
      </c>
      <c r="B37" s="1252">
        <v>869.69399999999996</v>
      </c>
      <c r="C37" s="1098">
        <v>726.46400000000006</v>
      </c>
      <c r="D37" s="1098">
        <v>632.26199999999994</v>
      </c>
      <c r="E37" s="1098">
        <v>665.36</v>
      </c>
      <c r="F37" s="1098">
        <v>664.83199999999999</v>
      </c>
      <c r="G37" s="1098">
        <v>539.05700000000002</v>
      </c>
      <c r="H37" s="1098">
        <v>1071.0260000000001</v>
      </c>
      <c r="I37" s="1098">
        <v>981.29600000000005</v>
      </c>
      <c r="J37" s="1098">
        <v>1002.249</v>
      </c>
      <c r="K37" s="1098">
        <v>1035.8409999999999</v>
      </c>
      <c r="L37" s="1098">
        <v>742.06200000000001</v>
      </c>
      <c r="M37" s="1098">
        <v>902.54399999999998</v>
      </c>
      <c r="N37" s="1097">
        <f t="shared" si="30"/>
        <v>9832.6869999999999</v>
      </c>
      <c r="O37" s="1252">
        <v>1337.367</v>
      </c>
      <c r="P37" s="1098">
        <v>1743.538</v>
      </c>
      <c r="Q37" s="1098">
        <v>1859.383</v>
      </c>
      <c r="R37" s="1098">
        <v>1093.934</v>
      </c>
      <c r="S37" s="1098">
        <v>906.90200000000004</v>
      </c>
      <c r="T37" s="1098">
        <v>793.76700000000005</v>
      </c>
      <c r="U37" s="1098">
        <v>1284.569</v>
      </c>
      <c r="V37" s="1098">
        <v>2893.8809999999999</v>
      </c>
      <c r="W37" s="1098">
        <v>4013.3739999999998</v>
      </c>
      <c r="X37" s="1098">
        <v>1543</v>
      </c>
      <c r="Y37" s="1098">
        <v>1755.3620000000001</v>
      </c>
      <c r="Z37" s="1098">
        <v>2499.7280000000001</v>
      </c>
      <c r="AA37" s="1097">
        <f t="shared" si="31"/>
        <v>21724.804999999997</v>
      </c>
      <c r="AB37" s="1252">
        <v>1029.825</v>
      </c>
      <c r="AC37" s="1098">
        <v>1669.135</v>
      </c>
      <c r="AD37" s="1098">
        <v>2158.6759999999999</v>
      </c>
      <c r="AE37" s="1098">
        <v>1923.7270000000001</v>
      </c>
      <c r="AF37" s="1098">
        <v>1889.8409999999999</v>
      </c>
      <c r="AG37" s="1098">
        <v>1270.2439999999999</v>
      </c>
      <c r="AH37" s="1098">
        <v>1318.231</v>
      </c>
      <c r="AI37" s="1098">
        <v>1864.731</v>
      </c>
      <c r="AJ37" s="1098">
        <v>2434.5239999999999</v>
      </c>
      <c r="AK37" s="1098">
        <v>1875.472</v>
      </c>
      <c r="AL37" s="1098">
        <v>1812.751</v>
      </c>
      <c r="AM37" s="1098">
        <v>1391.421</v>
      </c>
      <c r="AN37" s="1097">
        <f t="shared" si="32"/>
        <v>20638.577999999998</v>
      </c>
      <c r="AO37" s="1252">
        <v>995.17899999999997</v>
      </c>
      <c r="AP37" s="1098">
        <v>1473.752</v>
      </c>
      <c r="AQ37" s="1098">
        <v>1032.9970000000001</v>
      </c>
      <c r="AR37" s="1098">
        <v>690.46699999999998</v>
      </c>
      <c r="AS37" s="1098">
        <v>528.30799999999999</v>
      </c>
      <c r="AT37" s="1098">
        <v>1840</v>
      </c>
      <c r="AU37" s="1098">
        <v>62</v>
      </c>
      <c r="AV37" s="1098">
        <v>1799</v>
      </c>
      <c r="AW37" s="1098">
        <v>1578</v>
      </c>
      <c r="AX37" s="1098">
        <v>2951</v>
      </c>
      <c r="AY37" s="1098">
        <v>1781</v>
      </c>
      <c r="AZ37" s="1098">
        <v>1917</v>
      </c>
      <c r="BA37" s="1097">
        <f t="shared" si="33"/>
        <v>16648.703000000001</v>
      </c>
      <c r="BB37" s="1252">
        <v>669</v>
      </c>
      <c r="BC37" s="1098">
        <v>328</v>
      </c>
      <c r="BD37" s="1098">
        <v>734</v>
      </c>
      <c r="BE37" s="1098"/>
      <c r="BF37" s="1098">
        <v>576</v>
      </c>
      <c r="BG37" s="1098">
        <v>499</v>
      </c>
      <c r="BH37" s="1098">
        <v>720.48599999999999</v>
      </c>
      <c r="BI37" s="1098">
        <v>2653</v>
      </c>
      <c r="BJ37" s="1098">
        <v>2469</v>
      </c>
      <c r="BK37" s="1098">
        <v>1333.85</v>
      </c>
      <c r="BL37" s="1098">
        <v>907.59500000000003</v>
      </c>
      <c r="BM37" s="1098">
        <v>1436</v>
      </c>
      <c r="BN37" s="1097">
        <f t="shared" si="34"/>
        <v>12325.931</v>
      </c>
      <c r="BO37" s="1252">
        <v>1187.127</v>
      </c>
      <c r="BP37" s="1098">
        <v>1419.164</v>
      </c>
      <c r="BQ37" s="1098">
        <v>607.23800000000006</v>
      </c>
      <c r="BR37" s="1098">
        <v>768.81899999999996</v>
      </c>
      <c r="BS37" s="1098">
        <v>946.07</v>
      </c>
      <c r="BT37" s="1098">
        <v>3280.6610000000001</v>
      </c>
      <c r="BU37" s="1098">
        <v>1127.6189999999999</v>
      </c>
      <c r="BV37" s="1098">
        <v>2135.5239999999999</v>
      </c>
      <c r="BW37" s="1098">
        <v>1856.146</v>
      </c>
      <c r="BX37" s="1098">
        <v>1150.3820000000001</v>
      </c>
      <c r="BY37" s="1098">
        <v>570</v>
      </c>
      <c r="BZ37" s="1098">
        <v>169</v>
      </c>
      <c r="CA37" s="1097">
        <f t="shared" si="35"/>
        <v>15217.750000000002</v>
      </c>
      <c r="CB37" s="1252">
        <v>442</v>
      </c>
      <c r="CC37" s="1098">
        <v>303</v>
      </c>
      <c r="CD37" s="1098">
        <v>491</v>
      </c>
      <c r="CE37" s="1098">
        <v>458</v>
      </c>
      <c r="CF37" s="1098">
        <v>886</v>
      </c>
      <c r="CG37" s="1098">
        <v>1260</v>
      </c>
      <c r="CH37" s="1098">
        <v>123</v>
      </c>
      <c r="CI37" s="1098">
        <v>45</v>
      </c>
      <c r="CJ37" s="1098">
        <v>1373</v>
      </c>
      <c r="CK37" s="1098">
        <v>1655</v>
      </c>
      <c r="CL37" s="1098">
        <v>1008</v>
      </c>
      <c r="CM37" s="1098">
        <v>1391</v>
      </c>
      <c r="CN37" s="1097">
        <f t="shared" si="36"/>
        <v>9435</v>
      </c>
      <c r="CO37" s="1252">
        <v>559</v>
      </c>
      <c r="CP37" s="1098">
        <v>466</v>
      </c>
      <c r="CQ37" s="1098">
        <v>562</v>
      </c>
      <c r="CR37" s="1098">
        <v>256</v>
      </c>
      <c r="CS37" s="1098">
        <v>406</v>
      </c>
      <c r="CT37" s="1098">
        <v>1207</v>
      </c>
      <c r="CU37" s="1098">
        <v>385</v>
      </c>
      <c r="CV37" s="1098">
        <v>1089</v>
      </c>
      <c r="CW37" s="1098">
        <v>2176</v>
      </c>
      <c r="CX37" s="1098">
        <v>2283</v>
      </c>
      <c r="CY37" s="1098">
        <v>1360</v>
      </c>
      <c r="CZ37" s="1098">
        <v>927</v>
      </c>
      <c r="DA37" s="1097">
        <f t="shared" si="37"/>
        <v>11676</v>
      </c>
      <c r="DB37" s="1252">
        <v>980</v>
      </c>
      <c r="DC37" s="1098">
        <v>1178</v>
      </c>
      <c r="DD37" s="1098">
        <v>1083</v>
      </c>
      <c r="DE37" s="1098">
        <v>1126</v>
      </c>
      <c r="DF37" s="1098">
        <v>3611</v>
      </c>
      <c r="DG37" s="1098">
        <v>4110</v>
      </c>
      <c r="DH37" s="1098">
        <v>256</v>
      </c>
      <c r="DI37" s="1098">
        <v>679</v>
      </c>
      <c r="DJ37" s="1098">
        <v>1987</v>
      </c>
      <c r="DK37" s="1098">
        <v>1728</v>
      </c>
      <c r="DL37" s="1098">
        <v>1199</v>
      </c>
      <c r="DM37" s="1098">
        <v>1834</v>
      </c>
      <c r="DN37" s="1097">
        <f t="shared" si="38"/>
        <v>19771</v>
      </c>
      <c r="DO37" s="1252">
        <v>1103</v>
      </c>
      <c r="DP37" s="1098">
        <v>190</v>
      </c>
      <c r="DQ37" s="1098">
        <v>245</v>
      </c>
      <c r="DR37" s="1098">
        <v>120</v>
      </c>
      <c r="DS37" s="1098">
        <v>350</v>
      </c>
      <c r="DT37" s="1098">
        <v>2588</v>
      </c>
      <c r="DU37" s="1098">
        <v>1361</v>
      </c>
      <c r="DV37" s="1098">
        <v>2194</v>
      </c>
      <c r="DW37" s="1098">
        <v>1689</v>
      </c>
      <c r="DX37" s="1098">
        <v>1781</v>
      </c>
      <c r="DY37" s="1098">
        <v>1402</v>
      </c>
      <c r="DZ37" s="1098">
        <v>199</v>
      </c>
      <c r="EA37" s="1097">
        <f t="shared" si="39"/>
        <v>13222</v>
      </c>
      <c r="EB37" s="1252">
        <v>92</v>
      </c>
      <c r="EC37" s="1098">
        <v>431</v>
      </c>
      <c r="ED37" s="1098">
        <v>685</v>
      </c>
      <c r="EE37" s="1098">
        <v>1045</v>
      </c>
      <c r="EF37" s="1098">
        <v>291</v>
      </c>
      <c r="EG37" s="1098">
        <v>1966</v>
      </c>
      <c r="EH37" s="1098">
        <v>149</v>
      </c>
      <c r="EI37" s="1098">
        <v>1681</v>
      </c>
      <c r="EJ37" s="1098">
        <v>3033</v>
      </c>
      <c r="EK37" s="1098">
        <v>3684</v>
      </c>
      <c r="EL37" s="1098">
        <v>2109</v>
      </c>
      <c r="EM37" s="1098">
        <v>5</v>
      </c>
      <c r="EN37" s="1097">
        <f t="shared" si="40"/>
        <v>15171</v>
      </c>
      <c r="EO37" s="1252"/>
      <c r="EP37" s="1098">
        <v>211</v>
      </c>
      <c r="EQ37" s="1098">
        <v>25</v>
      </c>
      <c r="ER37" s="1098">
        <v>60</v>
      </c>
      <c r="ES37" s="1098">
        <v>176</v>
      </c>
      <c r="ET37" s="1098">
        <v>1604</v>
      </c>
      <c r="EU37" s="1098">
        <v>469</v>
      </c>
      <c r="EV37" s="1098">
        <v>103</v>
      </c>
      <c r="EW37" s="1098">
        <v>772</v>
      </c>
      <c r="EX37" s="1098">
        <v>273</v>
      </c>
      <c r="EY37" s="1098">
        <v>1024</v>
      </c>
      <c r="EZ37" s="1098">
        <v>169</v>
      </c>
      <c r="FA37" s="1097">
        <f t="shared" si="41"/>
        <v>4886</v>
      </c>
      <c r="FB37" s="1252">
        <v>529</v>
      </c>
      <c r="FC37" s="1098">
        <v>123</v>
      </c>
      <c r="FD37" s="1098">
        <v>63</v>
      </c>
      <c r="FE37" s="1098">
        <v>253</v>
      </c>
      <c r="FF37" s="1098">
        <v>905</v>
      </c>
      <c r="FG37" s="1098">
        <v>435</v>
      </c>
      <c r="FH37" s="1098">
        <v>107</v>
      </c>
      <c r="FI37" s="1098">
        <v>150</v>
      </c>
      <c r="FJ37" s="1098">
        <v>542</v>
      </c>
      <c r="FK37" s="1098">
        <v>183</v>
      </c>
      <c r="FL37" s="1098">
        <v>1566.5</v>
      </c>
      <c r="FM37" s="1098">
        <v>87</v>
      </c>
      <c r="FN37" s="1097">
        <f t="shared" si="42"/>
        <v>4943.5</v>
      </c>
      <c r="FO37" s="1252">
        <v>159</v>
      </c>
      <c r="FP37" s="1098">
        <v>78</v>
      </c>
      <c r="FQ37" s="1098">
        <v>137</v>
      </c>
      <c r="FR37" s="1098">
        <v>108</v>
      </c>
      <c r="FS37" s="1098">
        <v>546</v>
      </c>
      <c r="FT37" s="1098">
        <v>93</v>
      </c>
      <c r="FU37" s="1098">
        <v>1303</v>
      </c>
      <c r="FV37" s="1098">
        <v>2905</v>
      </c>
      <c r="FW37" s="1098">
        <v>2053</v>
      </c>
      <c r="FX37" s="1098">
        <v>576</v>
      </c>
      <c r="FY37" s="1098">
        <v>1661</v>
      </c>
      <c r="FZ37" s="1098">
        <v>1279</v>
      </c>
      <c r="GA37" s="1097">
        <f t="shared" si="43"/>
        <v>10898</v>
      </c>
      <c r="GB37" s="1252">
        <v>94</v>
      </c>
      <c r="GC37" s="1098"/>
      <c r="GD37" s="1098"/>
      <c r="GE37" s="1098">
        <v>128.41999999999999</v>
      </c>
      <c r="GF37" s="1098">
        <v>139.66899999999998</v>
      </c>
      <c r="GG37" s="1098">
        <v>5523</v>
      </c>
      <c r="GH37" s="1098">
        <v>226</v>
      </c>
      <c r="GI37" s="1098">
        <v>59</v>
      </c>
      <c r="GJ37" s="1098">
        <v>133</v>
      </c>
      <c r="GK37" s="1098">
        <v>261</v>
      </c>
      <c r="GL37" s="1098">
        <v>24</v>
      </c>
      <c r="GM37" s="1098">
        <v>189</v>
      </c>
      <c r="GN37" s="1097">
        <f t="shared" si="44"/>
        <v>6777.0889999999999</v>
      </c>
      <c r="GO37" s="1252">
        <v>6.4989999999999997</v>
      </c>
      <c r="GP37" s="1098"/>
      <c r="GQ37" s="1098">
        <v>90.713999999999999</v>
      </c>
      <c r="GR37" s="1098">
        <v>5</v>
      </c>
      <c r="GS37" s="1098"/>
      <c r="GT37" s="1098"/>
      <c r="GU37" s="1098">
        <v>152</v>
      </c>
      <c r="GV37" s="1098">
        <v>875</v>
      </c>
      <c r="GW37" s="1098">
        <v>259.709</v>
      </c>
      <c r="GX37" s="1098">
        <v>59.98</v>
      </c>
      <c r="GY37" s="1098">
        <v>261</v>
      </c>
      <c r="GZ37" s="1098">
        <f>117+187</f>
        <v>304</v>
      </c>
      <c r="HA37" s="1097">
        <f t="shared" si="45"/>
        <v>2013.902</v>
      </c>
      <c r="HB37" s="1252">
        <f>403+51</f>
        <v>454</v>
      </c>
      <c r="HC37" s="1098">
        <v>777</v>
      </c>
      <c r="HD37" s="1098">
        <f>57.48+414.637</f>
        <v>472.11700000000002</v>
      </c>
      <c r="HE37" s="1098"/>
      <c r="HF37" s="1098"/>
      <c r="HG37" s="1098">
        <v>800</v>
      </c>
      <c r="HH37" s="1098">
        <v>988</v>
      </c>
      <c r="HI37" s="1098">
        <v>3383</v>
      </c>
      <c r="HJ37" s="1098">
        <v>3227.0859999999998</v>
      </c>
      <c r="HK37" s="1098">
        <v>1048.1759999999999</v>
      </c>
      <c r="HL37" s="1098">
        <v>464.09800000000001</v>
      </c>
      <c r="HM37" s="1098">
        <v>248.28299999999999</v>
      </c>
      <c r="HN37" s="1097">
        <f t="shared" si="46"/>
        <v>11861.759999999998</v>
      </c>
      <c r="HO37" s="1252">
        <v>151.28</v>
      </c>
      <c r="HP37" s="1098"/>
      <c r="HQ37" s="1098">
        <v>137.124</v>
      </c>
      <c r="HR37" s="1098">
        <v>23.925999999999998</v>
      </c>
      <c r="HS37" s="1098">
        <v>712.40300000000013</v>
      </c>
      <c r="HT37" s="1098">
        <v>187.59100000000001</v>
      </c>
      <c r="HU37" s="1098">
        <v>25.331</v>
      </c>
      <c r="HV37" s="1098">
        <v>104.718</v>
      </c>
      <c r="HW37" s="1098">
        <v>1367.29</v>
      </c>
      <c r="HX37" s="1098">
        <v>992</v>
      </c>
      <c r="HY37" s="1098">
        <v>30</v>
      </c>
      <c r="HZ37" s="1098"/>
      <c r="IA37" s="1097">
        <f t="shared" si="47"/>
        <v>3731.663</v>
      </c>
      <c r="IB37" s="1252">
        <v>386</v>
      </c>
      <c r="IC37" s="1098"/>
      <c r="ID37" s="1098"/>
      <c r="IE37" s="1098"/>
      <c r="IF37" s="1098"/>
      <c r="IG37" s="1098"/>
      <c r="IH37" s="1098"/>
      <c r="II37" s="1098">
        <v>74</v>
      </c>
      <c r="IJ37" s="1098">
        <v>219</v>
      </c>
      <c r="IK37" s="1098">
        <v>382</v>
      </c>
      <c r="IL37" s="1098">
        <v>291</v>
      </c>
      <c r="IM37" s="1098"/>
      <c r="IN37" s="1097">
        <f t="shared" si="48"/>
        <v>1352</v>
      </c>
      <c r="IO37" s="1252">
        <v>56.5</v>
      </c>
      <c r="IP37" s="1098">
        <v>63.933999999999997</v>
      </c>
      <c r="IQ37" s="1098">
        <v>2.2050000000000001</v>
      </c>
      <c r="IR37" s="1098"/>
      <c r="IS37" s="1098"/>
      <c r="IT37" s="1098">
        <v>182.71600000000001</v>
      </c>
      <c r="IU37" s="1098">
        <v>892.12</v>
      </c>
      <c r="IV37" s="1098">
        <v>1055.9649999999999</v>
      </c>
      <c r="IW37" s="1098">
        <v>1299.877</v>
      </c>
      <c r="IX37" s="1098">
        <v>1098.6410000000001</v>
      </c>
      <c r="IY37" s="1098">
        <v>574.15800000000002</v>
      </c>
      <c r="IZ37" s="1098">
        <v>33.4</v>
      </c>
      <c r="JA37" s="1097">
        <f t="shared" si="49"/>
        <v>5259.5159999999996</v>
      </c>
      <c r="JB37" s="1252">
        <v>21.021000000000001</v>
      </c>
      <c r="JC37" s="1098"/>
      <c r="JD37" s="1098"/>
      <c r="JE37" s="1098">
        <v>25.905000000000001</v>
      </c>
      <c r="JF37" s="1098"/>
      <c r="JG37" s="1098">
        <v>620.35400000000004</v>
      </c>
      <c r="JH37" s="1098">
        <v>1171.31</v>
      </c>
      <c r="JI37" s="1098">
        <v>104.604</v>
      </c>
      <c r="JJ37" s="1098"/>
      <c r="JK37" s="1098"/>
      <c r="JL37" s="1098"/>
      <c r="JM37" s="1098"/>
      <c r="JN37" s="1097">
        <f t="shared" si="50"/>
        <v>1943.1940000000002</v>
      </c>
      <c r="JO37" s="1252">
        <v>269.85599999999999</v>
      </c>
      <c r="JP37" s="1098"/>
      <c r="JQ37" s="1098"/>
      <c r="JR37" s="1098"/>
      <c r="JS37" s="1098"/>
      <c r="JT37" s="1098"/>
      <c r="JU37" s="1098">
        <v>4278.951</v>
      </c>
      <c r="JV37" s="1098">
        <v>4431.6729999999998</v>
      </c>
      <c r="JW37" s="1098">
        <v>3015.32</v>
      </c>
      <c r="JX37" s="1098">
        <v>1475.692</v>
      </c>
      <c r="JY37" s="1098">
        <v>120.759</v>
      </c>
      <c r="JZ37" s="1098"/>
      <c r="KA37" s="1097">
        <f t="shared" si="51"/>
        <v>13592.250999999998</v>
      </c>
      <c r="KB37" s="1252"/>
      <c r="KC37" s="1098">
        <v>191.435</v>
      </c>
      <c r="KD37" s="1098"/>
      <c r="KE37" s="1098"/>
      <c r="KF37" s="1098"/>
      <c r="KG37" s="1098"/>
      <c r="KH37" s="1098">
        <v>1893.319</v>
      </c>
      <c r="KI37" s="1098">
        <v>1367.6289999999999</v>
      </c>
      <c r="KJ37" s="1098">
        <v>2347.3319999999999</v>
      </c>
      <c r="KK37" s="1098">
        <v>1675.165</v>
      </c>
      <c r="KL37" s="1098">
        <v>224.511</v>
      </c>
      <c r="KM37" s="1098">
        <v>463.01499999999999</v>
      </c>
      <c r="KN37" s="1097">
        <f t="shared" si="52"/>
        <v>8162.4060000000009</v>
      </c>
      <c r="KO37" s="1252">
        <v>301.35700000000003</v>
      </c>
      <c r="KP37" s="1098"/>
      <c r="KQ37" s="1098"/>
      <c r="KR37" s="1098"/>
      <c r="KS37" s="1098"/>
      <c r="KT37" s="1098"/>
      <c r="KU37" s="1098">
        <v>544.25199999999995</v>
      </c>
      <c r="KV37" s="1098">
        <v>1681.1990000000001</v>
      </c>
      <c r="KW37" s="1098">
        <v>2594.7739999999999</v>
      </c>
      <c r="KX37" s="1098">
        <v>1504.7650000000001</v>
      </c>
      <c r="KY37" s="1098">
        <v>444.399</v>
      </c>
      <c r="KZ37" s="1098">
        <v>329.983</v>
      </c>
      <c r="LA37" s="1097">
        <f t="shared" si="53"/>
        <v>7400.7290000000012</v>
      </c>
      <c r="LB37" s="1252">
        <v>14.405000000009998</v>
      </c>
      <c r="LC37" s="1098">
        <v>156.69400000000002</v>
      </c>
      <c r="LD37" s="1098"/>
      <c r="LE37" s="1098"/>
      <c r="LF37" s="1098">
        <v>3</v>
      </c>
      <c r="LG37" s="1098">
        <v>17</v>
      </c>
      <c r="LH37" s="1098">
        <v>405</v>
      </c>
      <c r="LI37" s="1098">
        <v>1396.5</v>
      </c>
      <c r="LJ37" s="1098"/>
      <c r="LK37" s="1098"/>
      <c r="LL37" s="1098"/>
      <c r="LM37" s="1098"/>
      <c r="LN37" s="1097">
        <f>SUM(LB37:LM37)</f>
        <v>1992.5990000000102</v>
      </c>
      <c r="LP37" s="1116">
        <f t="shared" si="55"/>
        <v>-16.934283210970268</v>
      </c>
      <c r="LQ37" s="1117">
        <f t="shared" si="56"/>
        <v>-21.141653817780771</v>
      </c>
      <c r="LR37" s="1079">
        <f t="shared" si="57"/>
        <v>2526.808</v>
      </c>
      <c r="LS37" s="1118">
        <f t="shared" si="58"/>
        <v>1992.5990000000102</v>
      </c>
      <c r="LU37" s="629"/>
      <c r="LV37" s="1139">
        <f t="shared" si="59"/>
        <v>500956.12600000016</v>
      </c>
      <c r="LW37" s="1286" t="s">
        <v>72</v>
      </c>
      <c r="LX37" s="1147" t="str">
        <f t="shared" si="60"/>
        <v>OK</v>
      </c>
    </row>
    <row r="38" spans="1:337" ht="15" customHeight="1" x14ac:dyDescent="0.2">
      <c r="A38" s="1292" t="s">
        <v>40</v>
      </c>
      <c r="B38" s="1252">
        <v>120.43300000000001</v>
      </c>
      <c r="C38" s="1098">
        <v>38.636000000000003</v>
      </c>
      <c r="D38" s="1098"/>
      <c r="E38" s="1098"/>
      <c r="F38" s="1098"/>
      <c r="G38" s="1098"/>
      <c r="H38" s="1098"/>
      <c r="I38" s="1098"/>
      <c r="J38" s="1098">
        <v>27.727</v>
      </c>
      <c r="K38" s="1098">
        <v>15</v>
      </c>
      <c r="L38" s="1098"/>
      <c r="M38" s="1098"/>
      <c r="N38" s="1097">
        <f t="shared" si="30"/>
        <v>201.79600000000002</v>
      </c>
      <c r="O38" s="1252"/>
      <c r="P38" s="1098">
        <v>13.661</v>
      </c>
      <c r="Q38" s="1098">
        <v>31</v>
      </c>
      <c r="R38" s="1098"/>
      <c r="S38" s="1098"/>
      <c r="T38" s="1098"/>
      <c r="U38" s="1098"/>
      <c r="V38" s="1098">
        <v>104.047</v>
      </c>
      <c r="W38" s="1098"/>
      <c r="X38" s="1098">
        <v>23.81</v>
      </c>
      <c r="Y38" s="1098">
        <v>61.41</v>
      </c>
      <c r="Z38" s="1098"/>
      <c r="AA38" s="1097">
        <f t="shared" si="31"/>
        <v>233.928</v>
      </c>
      <c r="AB38" s="1252">
        <v>38.155999999999999</v>
      </c>
      <c r="AC38" s="1098"/>
      <c r="AD38" s="1098"/>
      <c r="AE38" s="1098">
        <v>13.541</v>
      </c>
      <c r="AF38" s="1098">
        <v>58.08</v>
      </c>
      <c r="AG38" s="1098">
        <v>33.71</v>
      </c>
      <c r="AH38" s="1098"/>
      <c r="AI38" s="1098">
        <v>56</v>
      </c>
      <c r="AJ38" s="1098">
        <v>81.468999999999994</v>
      </c>
      <c r="AK38" s="1098">
        <v>38.265000000000001</v>
      </c>
      <c r="AL38" s="1098"/>
      <c r="AM38" s="1098">
        <v>32.238999999999997</v>
      </c>
      <c r="AN38" s="1097">
        <f t="shared" si="32"/>
        <v>351.46</v>
      </c>
      <c r="AO38" s="1252"/>
      <c r="AP38" s="1098">
        <v>9.1449999999999996</v>
      </c>
      <c r="AQ38" s="1098">
        <v>51.441000000000003</v>
      </c>
      <c r="AR38" s="1098">
        <v>18.248999999999999</v>
      </c>
      <c r="AS38" s="1098">
        <v>4.2939999999999996</v>
      </c>
      <c r="AT38" s="1098">
        <v>10</v>
      </c>
      <c r="AU38" s="1098">
        <v>4</v>
      </c>
      <c r="AV38" s="1098"/>
      <c r="AW38" s="1098"/>
      <c r="AX38" s="1098"/>
      <c r="AY38" s="1098"/>
      <c r="AZ38" s="1098">
        <v>30</v>
      </c>
      <c r="BA38" s="1097">
        <f t="shared" si="33"/>
        <v>127.12899999999999</v>
      </c>
      <c r="BB38" s="1252"/>
      <c r="BC38" s="1098"/>
      <c r="BD38" s="1098"/>
      <c r="BE38" s="1098"/>
      <c r="BF38" s="1098">
        <v>27</v>
      </c>
      <c r="BG38" s="1098"/>
      <c r="BH38" s="1098"/>
      <c r="BI38" s="1098">
        <v>15</v>
      </c>
      <c r="BJ38" s="1098"/>
      <c r="BK38" s="1098"/>
      <c r="BL38" s="1098"/>
      <c r="BM38" s="1098"/>
      <c r="BN38" s="1097">
        <f t="shared" si="34"/>
        <v>42</v>
      </c>
      <c r="BO38" s="1252">
        <v>29.359000000000002</v>
      </c>
      <c r="BP38" s="1098"/>
      <c r="BQ38" s="1098"/>
      <c r="BR38" s="1098"/>
      <c r="BS38" s="1098">
        <v>30.622</v>
      </c>
      <c r="BT38" s="1098">
        <v>75.058999999999997</v>
      </c>
      <c r="BU38" s="1098"/>
      <c r="BV38" s="1098"/>
      <c r="BW38" s="1098">
        <v>18.177</v>
      </c>
      <c r="BX38" s="1098"/>
      <c r="BY38" s="1098">
        <v>50</v>
      </c>
      <c r="BZ38" s="1098"/>
      <c r="CA38" s="1097">
        <f t="shared" si="35"/>
        <v>203.21699999999998</v>
      </c>
      <c r="CB38" s="1252"/>
      <c r="CC38" s="1098">
        <v>37</v>
      </c>
      <c r="CD38" s="1098">
        <v>86</v>
      </c>
      <c r="CE38" s="1098">
        <v>85</v>
      </c>
      <c r="CF38" s="1098">
        <v>138</v>
      </c>
      <c r="CG38" s="1098">
        <v>55</v>
      </c>
      <c r="CH38" s="1098"/>
      <c r="CI38" s="1098">
        <v>19</v>
      </c>
      <c r="CJ38" s="1098">
        <v>25</v>
      </c>
      <c r="CK38" s="1098">
        <v>20</v>
      </c>
      <c r="CL38" s="1098">
        <v>17</v>
      </c>
      <c r="CM38" s="1098">
        <v>39</v>
      </c>
      <c r="CN38" s="1097">
        <f t="shared" si="36"/>
        <v>521</v>
      </c>
      <c r="CO38" s="1252"/>
      <c r="CP38" s="1098">
        <v>18</v>
      </c>
      <c r="CQ38" s="1098"/>
      <c r="CR38" s="1098">
        <v>23</v>
      </c>
      <c r="CS38" s="1098">
        <v>39</v>
      </c>
      <c r="CT38" s="1098">
        <v>48</v>
      </c>
      <c r="CU38" s="1098"/>
      <c r="CV38" s="1098">
        <v>40</v>
      </c>
      <c r="CW38" s="1098"/>
      <c r="CX38" s="1098"/>
      <c r="CY38" s="1098"/>
      <c r="CZ38" s="1098"/>
      <c r="DA38" s="1097">
        <f t="shared" si="37"/>
        <v>168</v>
      </c>
      <c r="DB38" s="1252">
        <v>48</v>
      </c>
      <c r="DC38" s="1098"/>
      <c r="DD38" s="1098"/>
      <c r="DE38" s="1098"/>
      <c r="DF38" s="1098">
        <v>10</v>
      </c>
      <c r="DG38" s="1098">
        <v>38</v>
      </c>
      <c r="DH38" s="1098"/>
      <c r="DI38" s="1098"/>
      <c r="DJ38" s="1098">
        <v>48</v>
      </c>
      <c r="DK38" s="1098">
        <v>9</v>
      </c>
      <c r="DL38" s="1098">
        <v>26</v>
      </c>
      <c r="DM38" s="1098">
        <v>29</v>
      </c>
      <c r="DN38" s="1097">
        <f t="shared" si="38"/>
        <v>208</v>
      </c>
      <c r="DO38" s="1252">
        <v>40</v>
      </c>
      <c r="DP38" s="1098">
        <v>5</v>
      </c>
      <c r="DQ38" s="1098">
        <v>10</v>
      </c>
      <c r="DR38" s="1098"/>
      <c r="DS38" s="1098"/>
      <c r="DT38" s="1098"/>
      <c r="DU38" s="1098"/>
      <c r="DV38" s="1098"/>
      <c r="DW38" s="1098">
        <v>4</v>
      </c>
      <c r="DX38" s="1098">
        <v>5</v>
      </c>
      <c r="DY38" s="1098">
        <v>48</v>
      </c>
      <c r="DZ38" s="1098"/>
      <c r="EA38" s="1097">
        <f t="shared" si="39"/>
        <v>112</v>
      </c>
      <c r="EB38" s="1252">
        <v>8</v>
      </c>
      <c r="EC38" s="1098"/>
      <c r="ED38" s="1098"/>
      <c r="EE38" s="1098"/>
      <c r="EF38" s="1098"/>
      <c r="EG38" s="1098">
        <v>57</v>
      </c>
      <c r="EH38" s="1098"/>
      <c r="EI38" s="1098"/>
      <c r="EJ38" s="1098"/>
      <c r="EK38" s="1098"/>
      <c r="EL38" s="1098"/>
      <c r="EM38" s="1098"/>
      <c r="EN38" s="1097">
        <f t="shared" si="40"/>
        <v>65</v>
      </c>
      <c r="EO38" s="1252"/>
      <c r="EP38" s="1098">
        <v>4</v>
      </c>
      <c r="EQ38" s="1098"/>
      <c r="ER38" s="1098"/>
      <c r="ES38" s="1098"/>
      <c r="ET38" s="1098">
        <v>67</v>
      </c>
      <c r="EU38" s="1098"/>
      <c r="EV38" s="1098"/>
      <c r="EW38" s="1098"/>
      <c r="EX38" s="1098">
        <v>18</v>
      </c>
      <c r="EY38" s="1098"/>
      <c r="EZ38" s="1098">
        <v>45</v>
      </c>
      <c r="FA38" s="1097">
        <f t="shared" si="41"/>
        <v>134</v>
      </c>
      <c r="FB38" s="1252">
        <v>39</v>
      </c>
      <c r="FC38" s="1098">
        <v>34</v>
      </c>
      <c r="FD38" s="1098">
        <v>17</v>
      </c>
      <c r="FE38" s="1098">
        <v>71</v>
      </c>
      <c r="FF38" s="1098">
        <v>67</v>
      </c>
      <c r="FG38" s="1098">
        <v>37</v>
      </c>
      <c r="FH38" s="1098"/>
      <c r="FI38" s="1098"/>
      <c r="FJ38" s="1098">
        <v>12</v>
      </c>
      <c r="FK38" s="1098">
        <v>6</v>
      </c>
      <c r="FL38" s="1098"/>
      <c r="FM38" s="1098">
        <v>22.5</v>
      </c>
      <c r="FN38" s="1097">
        <f t="shared" si="42"/>
        <v>305.5</v>
      </c>
      <c r="FO38" s="1252"/>
      <c r="FP38" s="1098"/>
      <c r="FQ38" s="1098"/>
      <c r="FR38" s="1098"/>
      <c r="FS38" s="1098">
        <v>33</v>
      </c>
      <c r="FT38" s="1098">
        <v>11</v>
      </c>
      <c r="FU38" s="1098"/>
      <c r="FV38" s="1098"/>
      <c r="FW38" s="1098">
        <v>37</v>
      </c>
      <c r="FX38" s="1098"/>
      <c r="FY38" s="1098"/>
      <c r="FZ38" s="1098"/>
      <c r="GA38" s="1097">
        <f t="shared" si="43"/>
        <v>81</v>
      </c>
      <c r="GB38" s="1252"/>
      <c r="GC38" s="1098"/>
      <c r="GD38" s="1098">
        <v>6</v>
      </c>
      <c r="GE38" s="1098"/>
      <c r="GF38" s="1098"/>
      <c r="GG38" s="1098"/>
      <c r="GH38" s="1098"/>
      <c r="GI38" s="1098"/>
      <c r="GJ38" s="1098"/>
      <c r="GK38" s="1098">
        <v>3</v>
      </c>
      <c r="GL38" s="1098"/>
      <c r="GM38" s="1098"/>
      <c r="GN38" s="1097">
        <f t="shared" si="44"/>
        <v>9</v>
      </c>
      <c r="GO38" s="1252"/>
      <c r="GP38" s="1098"/>
      <c r="GQ38" s="1098"/>
      <c r="GR38" s="1098"/>
      <c r="GS38" s="1098">
        <v>5</v>
      </c>
      <c r="GT38" s="1098"/>
      <c r="GU38" s="1098"/>
      <c r="GV38" s="1098">
        <v>5.4409999999999998</v>
      </c>
      <c r="GW38" s="1098">
        <v>22</v>
      </c>
      <c r="GX38" s="1098"/>
      <c r="GY38" s="1098"/>
      <c r="GZ38" s="1098">
        <v>4.5960000000000001</v>
      </c>
      <c r="HA38" s="1097">
        <f t="shared" si="45"/>
        <v>37.037000000000006</v>
      </c>
      <c r="HB38" s="1252"/>
      <c r="HC38" s="1098"/>
      <c r="HD38" s="1098">
        <v>6.819</v>
      </c>
      <c r="HE38" s="1098">
        <v>5.29</v>
      </c>
      <c r="HF38" s="1098">
        <v>12</v>
      </c>
      <c r="HG38" s="1098"/>
      <c r="HH38" s="1098">
        <v>4</v>
      </c>
      <c r="HI38" s="1098">
        <v>18</v>
      </c>
      <c r="HJ38" s="1098"/>
      <c r="HK38" s="1098"/>
      <c r="HL38" s="1098"/>
      <c r="HM38" s="1098"/>
      <c r="HN38" s="1097">
        <f t="shared" si="46"/>
        <v>46.109000000000002</v>
      </c>
      <c r="HO38" s="1252"/>
      <c r="HP38" s="1098"/>
      <c r="HQ38" s="1098"/>
      <c r="HR38" s="1098"/>
      <c r="HS38" s="1098"/>
      <c r="HT38" s="1098">
        <v>4.5380000000000003</v>
      </c>
      <c r="HU38" s="1098">
        <v>3.1280000000000001</v>
      </c>
      <c r="HV38" s="1098"/>
      <c r="HW38" s="1098"/>
      <c r="HX38" s="1098">
        <v>10</v>
      </c>
      <c r="HY38" s="1098"/>
      <c r="HZ38" s="1098"/>
      <c r="IA38" s="1097">
        <f t="shared" si="47"/>
        <v>17.666</v>
      </c>
      <c r="IB38" s="1252"/>
      <c r="IC38" s="1098"/>
      <c r="ID38" s="1098"/>
      <c r="IE38" s="1098"/>
      <c r="IF38" s="1098"/>
      <c r="IG38" s="1098"/>
      <c r="IH38" s="1098">
        <v>1.339</v>
      </c>
      <c r="II38" s="1098"/>
      <c r="IJ38" s="1098"/>
      <c r="IK38" s="1098"/>
      <c r="IL38" s="1098"/>
      <c r="IM38" s="1098"/>
      <c r="IN38" s="1097">
        <f t="shared" si="48"/>
        <v>1.339</v>
      </c>
      <c r="IO38" s="1252">
        <v>5.6219999999999999</v>
      </c>
      <c r="IP38" s="1098"/>
      <c r="IQ38" s="1098">
        <v>3.0379999999999998</v>
      </c>
      <c r="IR38" s="1098">
        <v>0.35199999999999998</v>
      </c>
      <c r="IS38" s="1098"/>
      <c r="IT38" s="1098"/>
      <c r="IU38" s="1098">
        <v>50.823</v>
      </c>
      <c r="IV38" s="1098">
        <v>33.512999999999998</v>
      </c>
      <c r="IW38" s="1098">
        <v>31.228000000000002</v>
      </c>
      <c r="IX38" s="1098"/>
      <c r="IY38" s="1098"/>
      <c r="IZ38" s="1098"/>
      <c r="JA38" s="1097">
        <f t="shared" si="49"/>
        <v>124.57599999999999</v>
      </c>
      <c r="JB38" s="1252">
        <v>3.6139999999999999</v>
      </c>
      <c r="JC38" s="1098"/>
      <c r="JD38" s="1098"/>
      <c r="JE38" s="1098">
        <v>1.915</v>
      </c>
      <c r="JF38" s="1098">
        <v>9.5459999999999994</v>
      </c>
      <c r="JG38" s="1098"/>
      <c r="JH38" s="1098"/>
      <c r="JI38" s="1098"/>
      <c r="JJ38" s="1098"/>
      <c r="JK38" s="1098"/>
      <c r="JL38" s="1098"/>
      <c r="JM38" s="1098"/>
      <c r="JN38" s="1097">
        <f t="shared" si="50"/>
        <v>15.074999999999999</v>
      </c>
      <c r="JO38" s="1252"/>
      <c r="JP38" s="1098"/>
      <c r="JQ38" s="1098"/>
      <c r="JR38" s="1098"/>
      <c r="JS38" s="1098"/>
      <c r="JT38" s="1098"/>
      <c r="JU38" s="1098"/>
      <c r="JV38" s="1098"/>
      <c r="JW38" s="1098"/>
      <c r="JX38" s="1098"/>
      <c r="JY38" s="1098">
        <v>55.334000000000003</v>
      </c>
      <c r="JZ38" s="1098"/>
      <c r="KA38" s="1097">
        <f t="shared" si="51"/>
        <v>55.334000000000003</v>
      </c>
      <c r="KB38" s="1252"/>
      <c r="KC38" s="1098"/>
      <c r="KD38" s="1098"/>
      <c r="KE38" s="1098"/>
      <c r="KF38" s="1098"/>
      <c r="KG38" s="1098"/>
      <c r="KH38" s="1098"/>
      <c r="KI38" s="1098">
        <v>4.2850000000000001</v>
      </c>
      <c r="KJ38" s="1098"/>
      <c r="KK38" s="1098">
        <v>2.4319999999999999</v>
      </c>
      <c r="KL38" s="1098"/>
      <c r="KM38" s="1098">
        <v>10.74</v>
      </c>
      <c r="KN38" s="1097">
        <f t="shared" si="52"/>
        <v>17.457000000000001</v>
      </c>
      <c r="KO38" s="1252"/>
      <c r="KP38" s="1098"/>
      <c r="KQ38" s="1098"/>
      <c r="KR38" s="1098">
        <v>9.6630000000000003</v>
      </c>
      <c r="KS38" s="1098"/>
      <c r="KT38" s="1098"/>
      <c r="KU38" s="1098"/>
      <c r="KV38" s="1098">
        <v>2.5630000000000002</v>
      </c>
      <c r="KW38" s="1098">
        <v>6.0659999999999998</v>
      </c>
      <c r="KX38" s="1098"/>
      <c r="KY38" s="1098">
        <v>11.691000000000001</v>
      </c>
      <c r="KZ38" s="1098"/>
      <c r="LA38" s="1097">
        <f t="shared" si="53"/>
        <v>29.983000000000004</v>
      </c>
      <c r="LB38" s="1">
        <v>9.9999999999999994E-12</v>
      </c>
      <c r="LD38" s="1098"/>
      <c r="LE38" s="1098"/>
      <c r="LF38" s="1098">
        <v>9.3330000000000002</v>
      </c>
      <c r="LG38" s="1098">
        <v>18.184000000000001</v>
      </c>
      <c r="LH38" s="1098">
        <v>24</v>
      </c>
      <c r="LI38" s="1098"/>
      <c r="LJ38" s="1098"/>
      <c r="LK38" s="1098"/>
      <c r="LL38" s="1098"/>
      <c r="LM38" s="1098"/>
      <c r="LN38" s="1097">
        <f t="shared" si="54"/>
        <v>51.51700000001</v>
      </c>
      <c r="LP38" s="1116">
        <f t="shared" si="55"/>
        <v>-100</v>
      </c>
      <c r="LQ38" s="1117">
        <f t="shared" si="56"/>
        <v>321.37248486839513</v>
      </c>
      <c r="LR38" s="1079">
        <f t="shared" si="57"/>
        <v>12.226000000000001</v>
      </c>
      <c r="LS38" s="1118">
        <f t="shared" si="58"/>
        <v>51.51700000001</v>
      </c>
      <c r="LU38" s="629"/>
      <c r="LV38" s="1139">
        <f t="shared" si="59"/>
        <v>6318.2460000000183</v>
      </c>
      <c r="LW38" s="1286" t="s">
        <v>40</v>
      </c>
      <c r="LX38" s="1147" t="str">
        <f t="shared" si="60"/>
        <v>OK</v>
      </c>
    </row>
    <row r="39" spans="1:337" s="129" customFormat="1" ht="15" customHeight="1" x14ac:dyDescent="0.2">
      <c r="A39" s="1281" t="s">
        <v>151</v>
      </c>
      <c r="B39" s="1263">
        <f>31.396+38.89</f>
        <v>70.286000000000001</v>
      </c>
      <c r="C39" s="1099">
        <f>54.544+6.954</f>
        <v>61.497999999999998</v>
      </c>
      <c r="D39" s="1099">
        <f>46.022+6.386+90.908</f>
        <v>143.316</v>
      </c>
      <c r="E39" s="1099">
        <f>61.363+2.7+15.909+2.72</f>
        <v>82.692000000000007</v>
      </c>
      <c r="F39" s="1099">
        <f>53.181+2.954+38.627+51.634+27.274+2.277+19.545</f>
        <v>195.49200000000002</v>
      </c>
      <c r="G39" s="1099">
        <f>6+5.791+9.118+2.9+48.149</f>
        <v>71.957999999999998</v>
      </c>
      <c r="H39" s="1099">
        <f>9.227+8+8+29.409+5.09+10</f>
        <v>69.725999999999999</v>
      </c>
      <c r="I39" s="1099">
        <f>23.23+10+20+37.95</f>
        <v>91.18</v>
      </c>
      <c r="J39" s="1099">
        <f>49.999+22.36+53.971</f>
        <v>126.33000000000001</v>
      </c>
      <c r="K39" s="1099">
        <v>396.03100000000001</v>
      </c>
      <c r="L39" s="1099">
        <f>4+64.181+32.726+189.016</f>
        <v>289.923</v>
      </c>
      <c r="M39" s="1099">
        <f>153.867+136.356+239.928</f>
        <v>530.15099999999995</v>
      </c>
      <c r="N39" s="1100">
        <f t="shared" ref="N39" si="61">SUM(B39:M39)</f>
        <v>2128.5830000000001</v>
      </c>
      <c r="O39" s="1263">
        <f>41.907+48.145+54.544+40.909+37.55</f>
        <v>223.05500000000001</v>
      </c>
      <c r="P39" s="1099">
        <f>40.004+75.001</f>
        <v>115.005</v>
      </c>
      <c r="Q39" s="1099">
        <f>93.719+9.099</f>
        <v>102.818</v>
      </c>
      <c r="R39" s="1099">
        <f>9.091+65.93+70.326+30.818</f>
        <v>176.16499999999999</v>
      </c>
      <c r="S39" s="1099">
        <f>5.64+58.106</f>
        <v>63.746000000000002</v>
      </c>
      <c r="T39" s="1099">
        <v>175</v>
      </c>
      <c r="U39" s="1099">
        <f>11.068+7.634+193.714+16.75+26.46+73.781</f>
        <v>329.40700000000004</v>
      </c>
      <c r="V39" s="1099">
        <f>21.66+10.515+5.479+302.34+11+8.2+25.798+13.944+42.087+69.548</f>
        <v>510.57099999999997</v>
      </c>
      <c r="W39" s="1099">
        <v>733</v>
      </c>
      <c r="X39" s="1099">
        <v>966</v>
      </c>
      <c r="Y39" s="1099">
        <v>442</v>
      </c>
      <c r="Z39" s="1099">
        <v>1011</v>
      </c>
      <c r="AA39" s="1100">
        <f t="shared" ref="AA39" si="62">SUM(O39:Z39)</f>
        <v>4847.7669999999998</v>
      </c>
      <c r="AB39" s="1263">
        <v>754</v>
      </c>
      <c r="AC39" s="1099">
        <v>696.36</v>
      </c>
      <c r="AD39" s="1099">
        <v>885.12900000000002</v>
      </c>
      <c r="AE39" s="1099">
        <v>514.15700000000004</v>
      </c>
      <c r="AF39" s="1099">
        <v>510.49400000000003</v>
      </c>
      <c r="AG39" s="1099">
        <v>433.17399999999998</v>
      </c>
      <c r="AH39" s="1099">
        <v>557</v>
      </c>
      <c r="AI39" s="1099">
        <v>379.78899999999999</v>
      </c>
      <c r="AJ39" s="1099">
        <v>451</v>
      </c>
      <c r="AK39" s="1099">
        <v>362.10199999999998</v>
      </c>
      <c r="AL39" s="1099">
        <v>525.70000000000005</v>
      </c>
      <c r="AM39" s="1099">
        <v>490.79199999999997</v>
      </c>
      <c r="AN39" s="1100">
        <f t="shared" ref="AN39" si="63">SUM(AB39:AM39)</f>
        <v>6559.6970000000001</v>
      </c>
      <c r="AO39" s="1263">
        <f>46.062+81.964</f>
        <v>128.02600000000001</v>
      </c>
      <c r="AP39" s="1099">
        <f>8.827+194.641+841.118+14.173+123.735+70.56</f>
        <v>1253.0539999999999</v>
      </c>
      <c r="AQ39" s="1099">
        <f>22.877+4.034+82.752+77.944+138.323+6.964+85.144</f>
        <v>418.03800000000001</v>
      </c>
      <c r="AR39" s="1099">
        <f>25.97+32.546+163.518+15.892+243.727+222.579+17.469+173.377</f>
        <v>895.07799999999997</v>
      </c>
      <c r="AS39" s="1099">
        <f>14.819+85.381+4.563+24.069+71.34+4.599+10.261</f>
        <v>215.03199999999998</v>
      </c>
      <c r="AT39" s="1099">
        <f>4+6+41+9+13+57</f>
        <v>130</v>
      </c>
      <c r="AU39" s="1099">
        <v>5</v>
      </c>
      <c r="AV39" s="1099">
        <v>363</v>
      </c>
      <c r="AW39" s="1099">
        <f>109.163+36.367+163.72</f>
        <v>309.25</v>
      </c>
      <c r="AX39" s="1099">
        <f>27.268+71.35+71.5</f>
        <v>170.11799999999999</v>
      </c>
      <c r="AY39" s="1099">
        <f>16.818+59.499+9.159+70.06+34.505+14.008</f>
        <v>204.04900000000001</v>
      </c>
      <c r="AZ39" s="1099">
        <f>7.723+7.727+88.706+13.679+50.641+27.512+68.669+25.582+709.829</f>
        <v>1000.068</v>
      </c>
      <c r="BA39" s="1100">
        <f t="shared" ref="BA39" si="64">SUM(AO39:AZ39)</f>
        <v>5090.7129999999997</v>
      </c>
      <c r="BB39" s="1263">
        <f>19+10.911+168.408</f>
        <v>198.31899999999999</v>
      </c>
      <c r="BC39" s="1099">
        <f>212.738+13.636+22.732</f>
        <v>249.10599999999999</v>
      </c>
      <c r="BD39" s="1099">
        <f>168.408+10.911</f>
        <v>179.31899999999999</v>
      </c>
      <c r="BE39" s="1099"/>
      <c r="BF39" s="1099">
        <f>16.445+13.51+14.09+12.727+41.503+35.5+52.268+45.459</f>
        <v>231.50200000000001</v>
      </c>
      <c r="BG39" s="1099">
        <f>8.182+18.183+11.9+18.181+18.391+1181.999+51.035+314.902+9.9+86.946+6.9</f>
        <v>1726.5190000000002</v>
      </c>
      <c r="BH39" s="1099">
        <v>67</v>
      </c>
      <c r="BI39" s="1099">
        <f>(37+14+10+59+7+19+28+47+69+92)</f>
        <v>382</v>
      </c>
      <c r="BJ39" s="1099">
        <f>(7+12+23+15+385+82)</f>
        <v>524</v>
      </c>
      <c r="BK39" s="1099">
        <f>38.957+54.614+38.385+28.363+303.142+77.136+122.573+10.968+35.285</f>
        <v>709.42299999999989</v>
      </c>
      <c r="BL39" s="1099">
        <f>4.606+16.31+127.771+16.173+161.191</f>
        <v>326.05100000000004</v>
      </c>
      <c r="BM39" s="1099">
        <f>113+14+5+10+21+53+9+26+41+20+129+177</f>
        <v>618</v>
      </c>
      <c r="BN39" s="1100">
        <f t="shared" ref="BN39" si="65">SUM(BB39:BM39)</f>
        <v>5211.2390000000005</v>
      </c>
      <c r="BO39" s="1263">
        <f>37.89+11.709+20.751+49.292+49.259+4.646</f>
        <v>173.547</v>
      </c>
      <c r="BP39" s="1099">
        <f>8.541+38.157+61+61.416+18+76.5+17.576+10.434+351.668+25.5</f>
        <v>668.79200000000003</v>
      </c>
      <c r="BQ39" s="1099">
        <f>29.545+13.065+17.541+11.056+4.541+21.711</f>
        <v>97.458999999999989</v>
      </c>
      <c r="BR39" s="1099">
        <f>40.059+19.428+5.023+22.034+103.417</f>
        <v>189.96099999999998</v>
      </c>
      <c r="BS39" s="1099">
        <f>50.836+17.332+13.605+29.55+36.039+39.079+10.32+22.695+22.71+5.037+3.898+274.826+25.229</f>
        <v>551.15600000000006</v>
      </c>
      <c r="BT39" s="1099">
        <f>59.096+10.197+36.607+51.276+22.254+10.023+9.276+109.53+15.754+355.129+27.745+10.457+19.727+5.351+59.098+4.422+2.356+185.519+9.431+35.075+30+6.972</f>
        <v>1075.2950000000001</v>
      </c>
      <c r="BU39" s="1099">
        <f>13.917+13.648+24.29+20.191+29.491+40.41</f>
        <v>141.947</v>
      </c>
      <c r="BV39" s="1099">
        <f>4.566+27.776+82.144+4.988+99.384+12.835+29.49+57.071+86.332</f>
        <v>404.58600000000001</v>
      </c>
      <c r="BW39" s="1099">
        <f>13.23+11.357+19.825+0.735+101.34+173.412+123.465+16.454+22.728+3.685+25.484+8.025+314.902+51.493+90.008+13.671+4.174</f>
        <v>993.98800000000017</v>
      </c>
      <c r="BX39" s="1099">
        <f>29.617+6.834+39.907+54.549+6.839+20.489+11.662+52.833+2.481+18.248+51.326+77.622+13.746</f>
        <v>386.15300000000002</v>
      </c>
      <c r="BY39" s="1099">
        <f>14.382+2.064+9.085+96.511+12.873+3.04+23.174+142.85+43.8+23.215+273.741+27.429+2.728+14.651+39.913+134.98+435.051</f>
        <v>1299.4869999999999</v>
      </c>
      <c r="BZ39" s="1099">
        <v>495</v>
      </c>
      <c r="CA39" s="1100">
        <f t="shared" ref="CA39" si="66">SUM(BO39:BZ39)</f>
        <v>6477.371000000001</v>
      </c>
      <c r="CB39" s="1263">
        <v>906</v>
      </c>
      <c r="CC39" s="1099">
        <v>1032</v>
      </c>
      <c r="CD39" s="1099">
        <v>725</v>
      </c>
      <c r="CE39" s="1099">
        <v>861</v>
      </c>
      <c r="CF39" s="1099">
        <v>1600</v>
      </c>
      <c r="CG39" s="1099">
        <v>1649</v>
      </c>
      <c r="CH39" s="1099">
        <v>457</v>
      </c>
      <c r="CI39" s="1099">
        <v>360</v>
      </c>
      <c r="CJ39" s="1099">
        <v>1180</v>
      </c>
      <c r="CK39" s="1099">
        <v>666</v>
      </c>
      <c r="CL39" s="1099">
        <v>464</v>
      </c>
      <c r="CM39" s="1099">
        <v>839</v>
      </c>
      <c r="CN39" s="1100">
        <f t="shared" ref="CN39" si="67">SUM(CB39:CM39)</f>
        <v>10739</v>
      </c>
      <c r="CO39" s="1263">
        <v>301</v>
      </c>
      <c r="CP39" s="1099">
        <v>469</v>
      </c>
      <c r="CQ39" s="1099">
        <v>371</v>
      </c>
      <c r="CR39" s="1099">
        <v>465</v>
      </c>
      <c r="CS39" s="1099">
        <v>209</v>
      </c>
      <c r="CT39" s="1099">
        <v>638</v>
      </c>
      <c r="CU39" s="1099">
        <v>155</v>
      </c>
      <c r="CV39" s="1099">
        <v>272</v>
      </c>
      <c r="CW39" s="1099">
        <v>443</v>
      </c>
      <c r="CX39" s="1099">
        <v>492</v>
      </c>
      <c r="CY39" s="1099">
        <v>199</v>
      </c>
      <c r="CZ39" s="1099">
        <v>305</v>
      </c>
      <c r="DA39" s="1100">
        <f t="shared" ref="DA39" si="68">SUM(CO39:CZ39)</f>
        <v>4319</v>
      </c>
      <c r="DB39" s="1263">
        <v>319</v>
      </c>
      <c r="DC39" s="1099">
        <v>754</v>
      </c>
      <c r="DD39" s="1099">
        <v>433</v>
      </c>
      <c r="DE39" s="1099">
        <v>179</v>
      </c>
      <c r="DF39" s="1099">
        <v>543</v>
      </c>
      <c r="DG39" s="1099">
        <v>1740</v>
      </c>
      <c r="DH39" s="1099">
        <v>325</v>
      </c>
      <c r="DI39" s="1099">
        <v>462</v>
      </c>
      <c r="DJ39" s="1099">
        <v>225</v>
      </c>
      <c r="DK39" s="1099">
        <v>341</v>
      </c>
      <c r="DL39" s="1099">
        <v>309</v>
      </c>
      <c r="DM39" s="1099">
        <v>319</v>
      </c>
      <c r="DN39" s="1100">
        <f t="shared" ref="DN39" si="69">SUM(DB39:DM39)</f>
        <v>5949</v>
      </c>
      <c r="DO39" s="1263">
        <v>286</v>
      </c>
      <c r="DP39" s="1099">
        <v>187</v>
      </c>
      <c r="DQ39" s="1099">
        <v>258</v>
      </c>
      <c r="DR39" s="1099">
        <v>184</v>
      </c>
      <c r="DS39" s="1099">
        <v>138</v>
      </c>
      <c r="DT39" s="1099">
        <v>507</v>
      </c>
      <c r="DU39" s="1099">
        <v>117</v>
      </c>
      <c r="DV39" s="1099">
        <v>346</v>
      </c>
      <c r="DW39" s="1099">
        <v>593</v>
      </c>
      <c r="DX39" s="1099">
        <v>492</v>
      </c>
      <c r="DY39" s="1099">
        <v>168</v>
      </c>
      <c r="DZ39" s="1099">
        <v>211</v>
      </c>
      <c r="EA39" s="1100">
        <f t="shared" ref="EA39" si="70">SUM(DO39:DZ39)</f>
        <v>3487</v>
      </c>
      <c r="EB39" s="1263">
        <v>288</v>
      </c>
      <c r="EC39" s="1099">
        <v>229</v>
      </c>
      <c r="ED39" s="1099">
        <v>379</v>
      </c>
      <c r="EE39" s="1099">
        <v>267</v>
      </c>
      <c r="EF39" s="1099">
        <v>87</v>
      </c>
      <c r="EG39" s="1099">
        <v>410</v>
      </c>
      <c r="EH39" s="1099">
        <v>324</v>
      </c>
      <c r="EI39" s="1099">
        <v>257</v>
      </c>
      <c r="EJ39" s="1099">
        <v>307</v>
      </c>
      <c r="EK39" s="1099">
        <v>211</v>
      </c>
      <c r="EL39" s="1099">
        <v>280</v>
      </c>
      <c r="EM39" s="1099">
        <v>216</v>
      </c>
      <c r="EN39" s="1100">
        <f t="shared" ref="EN39" si="71">SUM(EB39:EM39)</f>
        <v>3255</v>
      </c>
      <c r="EO39" s="1263">
        <v>297</v>
      </c>
      <c r="EP39" s="1099">
        <v>127</v>
      </c>
      <c r="EQ39" s="1099">
        <v>118</v>
      </c>
      <c r="ER39" s="1099">
        <v>211</v>
      </c>
      <c r="ES39" s="1099">
        <v>315</v>
      </c>
      <c r="ET39" s="1099">
        <v>540</v>
      </c>
      <c r="EU39" s="1099">
        <v>14</v>
      </c>
      <c r="EV39" s="1099">
        <v>139</v>
      </c>
      <c r="EW39" s="1099">
        <v>261</v>
      </c>
      <c r="EX39" s="1099">
        <v>809</v>
      </c>
      <c r="EY39" s="1099">
        <v>171</v>
      </c>
      <c r="EZ39" s="1099">
        <v>268</v>
      </c>
      <c r="FA39" s="1100">
        <f t="shared" ref="FA39" si="72">SUM(EO39:EZ39)</f>
        <v>3270</v>
      </c>
      <c r="FB39" s="1263">
        <v>240</v>
      </c>
      <c r="FC39" s="1099">
        <v>171</v>
      </c>
      <c r="FD39" s="1099">
        <v>73</v>
      </c>
      <c r="FE39" s="1099">
        <v>104</v>
      </c>
      <c r="FF39" s="1099">
        <f>2316-1688</f>
        <v>628</v>
      </c>
      <c r="FG39" s="1099">
        <f>9770-7053</f>
        <v>2717</v>
      </c>
      <c r="FH39" s="1099"/>
      <c r="FI39" s="1099">
        <v>65</v>
      </c>
      <c r="FJ39" s="1099">
        <f>2289-1874</f>
        <v>415</v>
      </c>
      <c r="FK39" s="1099">
        <v>154</v>
      </c>
      <c r="FL39" s="1099">
        <v>225.5</v>
      </c>
      <c r="FM39" s="1099">
        <v>242</v>
      </c>
      <c r="FN39" s="1100">
        <f t="shared" ref="FN39" si="73">SUM(FB39:FM39)</f>
        <v>5034.5</v>
      </c>
      <c r="FO39" s="1263">
        <v>166</v>
      </c>
      <c r="FP39" s="1099">
        <v>51</v>
      </c>
      <c r="FQ39" s="1099">
        <f>405-356</f>
        <v>49</v>
      </c>
      <c r="FR39" s="1099">
        <f>651-531</f>
        <v>120</v>
      </c>
      <c r="FS39" s="1099">
        <f>2866-2230</f>
        <v>636</v>
      </c>
      <c r="FT39" s="1099">
        <f>1512-1092</f>
        <v>420</v>
      </c>
      <c r="FU39" s="1099">
        <f>2258-1822</f>
        <v>436</v>
      </c>
      <c r="FV39" s="1099">
        <f>3270-3162</f>
        <v>108</v>
      </c>
      <c r="FW39" s="1099">
        <f>3749-3394</f>
        <v>355</v>
      </c>
      <c r="FX39" s="1099">
        <f>1023-926</f>
        <v>97</v>
      </c>
      <c r="FY39" s="1099">
        <f>2137-2066</f>
        <v>71</v>
      </c>
      <c r="FZ39" s="1099">
        <f>3017-2302</f>
        <v>715</v>
      </c>
      <c r="GA39" s="1100">
        <f t="shared" ref="GA39" si="74">SUM(FO39:FZ39)</f>
        <v>3224</v>
      </c>
      <c r="GB39" s="1263">
        <f>299-224</f>
        <v>75</v>
      </c>
      <c r="GC39" s="1099">
        <f>326-231</f>
        <v>95</v>
      </c>
      <c r="GD39" s="1099">
        <v>64</v>
      </c>
      <c r="GE39" s="1099">
        <v>330</v>
      </c>
      <c r="GF39" s="1099">
        <v>171</v>
      </c>
      <c r="GG39" s="1099">
        <f>6174-5967</f>
        <v>207</v>
      </c>
      <c r="GH39" s="1099">
        <f>701-554</f>
        <v>147</v>
      </c>
      <c r="GI39" s="1099">
        <f>337-264</f>
        <v>73</v>
      </c>
      <c r="GJ39" s="1099">
        <f>617-449</f>
        <v>168</v>
      </c>
      <c r="GK39" s="1099">
        <f>1767-1232</f>
        <v>535</v>
      </c>
      <c r="GL39" s="1099">
        <f>1051-585</f>
        <v>466</v>
      </c>
      <c r="GM39" s="1099">
        <f>1275-754</f>
        <v>521</v>
      </c>
      <c r="GN39" s="1100">
        <f t="shared" ref="GN39" si="75">SUM(GB39:GM39)</f>
        <v>2852</v>
      </c>
      <c r="GO39" s="1263">
        <f>240.831-123</f>
        <v>117.83099999999999</v>
      </c>
      <c r="GP39" s="1099">
        <v>360</v>
      </c>
      <c r="GQ39" s="1099">
        <f>1459.9-1131</f>
        <v>328.90000000000009</v>
      </c>
      <c r="GR39" s="1099">
        <v>415</v>
      </c>
      <c r="GS39" s="1099">
        <v>369</v>
      </c>
      <c r="GT39" s="1099">
        <v>229</v>
      </c>
      <c r="GU39" s="1099">
        <f>678-475</f>
        <v>203</v>
      </c>
      <c r="GV39" s="1099">
        <f>607+27</f>
        <v>634</v>
      </c>
      <c r="GW39" s="1099">
        <v>142</v>
      </c>
      <c r="GX39" s="1099">
        <v>175</v>
      </c>
      <c r="GY39" s="1099">
        <f>117-53</f>
        <v>64</v>
      </c>
      <c r="GZ39" s="1099">
        <f>278-214</f>
        <v>64</v>
      </c>
      <c r="HA39" s="1100">
        <f t="shared" ref="HA39" si="76">SUM(GO39:GZ39)</f>
        <v>3101.7310000000002</v>
      </c>
      <c r="HB39" s="1263">
        <v>786</v>
      </c>
      <c r="HC39" s="1099">
        <v>251</v>
      </c>
      <c r="HD39" s="1099">
        <f>412-316</f>
        <v>96</v>
      </c>
      <c r="HE39" s="1099">
        <f>392-212</f>
        <v>180</v>
      </c>
      <c r="HF39" s="1099">
        <v>378</v>
      </c>
      <c r="HG39" s="1099">
        <v>331</v>
      </c>
      <c r="HH39" s="1099">
        <v>414</v>
      </c>
      <c r="HI39" s="1099">
        <v>546</v>
      </c>
      <c r="HJ39" s="1099">
        <f>4756-4416</f>
        <v>340</v>
      </c>
      <c r="HK39" s="1099">
        <v>612</v>
      </c>
      <c r="HL39" s="1099">
        <f>1175.64-949</f>
        <v>226.6400000000001</v>
      </c>
      <c r="HM39" s="1099">
        <f>1891.167-1149</f>
        <v>742.16699999999992</v>
      </c>
      <c r="HN39" s="1100">
        <f t="shared" ref="HN39" si="77">SUM(HB39:HM39)</f>
        <v>4902.8070000000007</v>
      </c>
      <c r="HO39" s="1263">
        <v>90</v>
      </c>
      <c r="HP39" s="1099">
        <v>337</v>
      </c>
      <c r="HQ39" s="1099">
        <v>423</v>
      </c>
      <c r="HR39" s="1099">
        <v>110</v>
      </c>
      <c r="HS39" s="1099">
        <f>1558-1098</f>
        <v>460</v>
      </c>
      <c r="HT39" s="1099">
        <f>1365-616</f>
        <v>749</v>
      </c>
      <c r="HU39" s="1099">
        <f>662-358</f>
        <v>304</v>
      </c>
      <c r="HV39" s="1099">
        <f>1362-1028</f>
        <v>334</v>
      </c>
      <c r="HW39" s="1099">
        <f>2238-1972</f>
        <v>266</v>
      </c>
      <c r="HX39" s="1099">
        <f>2099-1777</f>
        <v>322</v>
      </c>
      <c r="HY39" s="1099">
        <f>486-372</f>
        <v>114</v>
      </c>
      <c r="HZ39" s="1099">
        <v>281.39999999999998</v>
      </c>
      <c r="IA39" s="1100">
        <f t="shared" ref="IA39" si="78">SUM(HO39:HZ39)</f>
        <v>3790.4</v>
      </c>
      <c r="IB39" s="1263">
        <v>2</v>
      </c>
      <c r="IC39" s="1099">
        <v>813</v>
      </c>
      <c r="ID39" s="1099">
        <v>570</v>
      </c>
      <c r="IE39" s="1099"/>
      <c r="IF39" s="1099"/>
      <c r="IG39" s="1099">
        <v>948</v>
      </c>
      <c r="IH39" s="1099">
        <v>38</v>
      </c>
      <c r="II39" s="1099">
        <v>7</v>
      </c>
      <c r="IJ39" s="1099">
        <v>93</v>
      </c>
      <c r="IK39" s="1099">
        <v>64</v>
      </c>
      <c r="IL39" s="1099">
        <v>977</v>
      </c>
      <c r="IM39" s="1099">
        <v>639</v>
      </c>
      <c r="IN39" s="1100">
        <f t="shared" ref="IN39" si="79">SUM(IB39:IM39)</f>
        <v>4151</v>
      </c>
      <c r="IO39" s="1263">
        <f>82.352+6.796+11.486</f>
        <v>100.63400000000001</v>
      </c>
      <c r="IP39" s="1099">
        <f>111.406+5.148</f>
        <v>116.554</v>
      </c>
      <c r="IQ39" s="1099">
        <v>821.99199999999996</v>
      </c>
      <c r="IR39" s="1099">
        <v>298</v>
      </c>
      <c r="IS39" s="1099">
        <v>465.98700000000002</v>
      </c>
      <c r="IT39" s="1099">
        <v>949.05499999999995</v>
      </c>
      <c r="IU39" s="1099">
        <v>776</v>
      </c>
      <c r="IV39" s="1099">
        <f>2552-1714</f>
        <v>838</v>
      </c>
      <c r="IW39" s="1099">
        <f>2886-1936</f>
        <v>950</v>
      </c>
      <c r="IX39" s="1099">
        <f>2344.739-1831</f>
        <v>513.73900000000003</v>
      </c>
      <c r="IY39" s="1099">
        <f>1842-1332</f>
        <v>510</v>
      </c>
      <c r="IZ39" s="1099">
        <f>159-89</f>
        <v>70</v>
      </c>
      <c r="JA39" s="1100">
        <f t="shared" ref="JA39" si="80">SUM(IO39:IZ39)</f>
        <v>6409.9609999999993</v>
      </c>
      <c r="JB39" s="1263">
        <v>85</v>
      </c>
      <c r="JC39" s="1099">
        <v>35</v>
      </c>
      <c r="JD39" s="1099">
        <f>72-23</f>
        <v>49</v>
      </c>
      <c r="JE39" s="1099">
        <v>942</v>
      </c>
      <c r="JF39" s="1099">
        <v>36</v>
      </c>
      <c r="JG39" s="1099">
        <f>784-726</f>
        <v>58</v>
      </c>
      <c r="JH39" s="1099">
        <f>1348-1230</f>
        <v>118</v>
      </c>
      <c r="JI39" s="1099">
        <f>313-157</f>
        <v>156</v>
      </c>
      <c r="JJ39" s="1099">
        <f>516-356</f>
        <v>160</v>
      </c>
      <c r="JK39" s="1099">
        <f>1078.89-849</f>
        <v>229.8900000000001</v>
      </c>
      <c r="JL39" s="1099">
        <v>100</v>
      </c>
      <c r="JM39" s="1099">
        <f>255-174</f>
        <v>81</v>
      </c>
      <c r="JN39" s="1100">
        <f t="shared" ref="JN39" si="81">SUM(JB39:JM39)</f>
        <v>2049.8900000000003</v>
      </c>
      <c r="JO39" s="1263">
        <v>75.091999999999999</v>
      </c>
      <c r="JP39" s="1099"/>
      <c r="JQ39" s="1099">
        <f>6.472+3.69+3.809</f>
        <v>13.971</v>
      </c>
      <c r="JR39" s="1099">
        <v>30</v>
      </c>
      <c r="JS39" s="1099">
        <v>131.828</v>
      </c>
      <c r="JT39" s="1099">
        <v>45</v>
      </c>
      <c r="JU39" s="1099">
        <f>4997-4610</f>
        <v>387</v>
      </c>
      <c r="JV39" s="1099">
        <f>4965-4605</f>
        <v>360</v>
      </c>
      <c r="JW39" s="1099">
        <v>156</v>
      </c>
      <c r="JX39" s="1099">
        <v>60</v>
      </c>
      <c r="JY39" s="1099">
        <v>393</v>
      </c>
      <c r="JZ39" s="1099">
        <v>72</v>
      </c>
      <c r="KA39" s="1100">
        <f t="shared" ref="KA39" si="82">SUM(JO39:JZ39)</f>
        <v>1723.8910000000001</v>
      </c>
      <c r="KB39" s="1263"/>
      <c r="KC39" s="1099">
        <v>10.275</v>
      </c>
      <c r="KD39" s="1099"/>
      <c r="KE39" s="1099">
        <v>123.30500000000001</v>
      </c>
      <c r="KF39" s="1099">
        <f>0.615+14.606+0.401+0.367+0.231+2.735+3.208+73.057</f>
        <v>95.22</v>
      </c>
      <c r="KG39" s="1099">
        <f>3.267+1.257+2.469+34.947+6.924+254.804+7.561</f>
        <v>311.22899999999998</v>
      </c>
      <c r="KH39" s="1099">
        <f>303.666+1.331+0.973+18.341+62.131+40.507+9.002+9.262+73.859+4.426+12.872+87.165+9.13+20.307+1.223+311.218+39.339+11.139+13.387+3.708+9.452</f>
        <v>1042.4380000000001</v>
      </c>
      <c r="KI39" s="1099">
        <f>1.808+4.448+76.681+8.228+36.549+53.366+264.589+5.98+3.329+4.988+26.002+34.981+4.477+5.371+29.152+291.237+13.662+10.622+6.863+4.586+21.423+13.691+94.358</f>
        <v>1016.3910000000003</v>
      </c>
      <c r="KJ39" s="1099">
        <f>2.393+3.107+67.065+0.935+46.807+4.775+5.641+3.674+1.487+1.404+50.81+33.364+222.172+2.393+10.456+21.075+81.914</f>
        <v>559.47199999999998</v>
      </c>
      <c r="KK39" s="1099">
        <f>1916-1865</f>
        <v>51</v>
      </c>
      <c r="KL39" s="1099">
        <f>276.03-252</f>
        <v>24.029999999999973</v>
      </c>
      <c r="KM39" s="1099">
        <v>85</v>
      </c>
      <c r="KN39" s="1100">
        <f t="shared" ref="KN39" si="83">SUM(KB39:KM39)</f>
        <v>3318.3599999999997</v>
      </c>
      <c r="KO39" s="1263">
        <v>17</v>
      </c>
      <c r="KP39" s="1099">
        <v>15</v>
      </c>
      <c r="KQ39" s="1099">
        <v>14.677</v>
      </c>
      <c r="KR39" s="1099">
        <v>116.90600000000001</v>
      </c>
      <c r="KS39" s="1099">
        <v>293</v>
      </c>
      <c r="KT39" s="1099">
        <v>61</v>
      </c>
      <c r="KU39" s="1099">
        <f>1660-1159</f>
        <v>501</v>
      </c>
      <c r="KV39" s="1099">
        <f>2953-2239</f>
        <v>714</v>
      </c>
      <c r="KW39" s="1099">
        <f>3548-3047</f>
        <v>501</v>
      </c>
      <c r="KX39" s="1099">
        <f>2157-1759</f>
        <v>398</v>
      </c>
      <c r="KY39" s="1099">
        <f>794-660</f>
        <v>134</v>
      </c>
      <c r="KZ39" s="1099">
        <f>794-660</f>
        <v>134</v>
      </c>
      <c r="LA39" s="1100">
        <f t="shared" ref="LA39" si="84">SUM(KO39:KZ39)</f>
        <v>2899.5830000000001</v>
      </c>
      <c r="LB39" s="1263">
        <v>60.243000000000002</v>
      </c>
      <c r="LC39" s="1099">
        <v>37.623999999999995</v>
      </c>
      <c r="LD39" s="1099">
        <v>19.163</v>
      </c>
      <c r="LE39" s="1099">
        <v>16.991</v>
      </c>
      <c r="LF39" s="1099">
        <v>52.68099999999999</v>
      </c>
      <c r="LG39" s="1099">
        <v>202.94300000000001</v>
      </c>
      <c r="LH39" s="1099">
        <v>198</v>
      </c>
      <c r="LI39" s="1099">
        <v>65</v>
      </c>
      <c r="LJ39" s="1099"/>
      <c r="LK39" s="1099"/>
      <c r="LL39" s="1099"/>
      <c r="LM39" s="1099"/>
      <c r="LN39" s="1100">
        <f>SUM(LB39:LM39)</f>
        <v>652.64499999999998</v>
      </c>
      <c r="LP39" s="1119">
        <f t="shared" ref="LP39" si="85">IFERROR(((
_xlfn.XLOOKUP((DATE(YEAR($LP$5),MONTH($LP$5),1)),$B$5:$LN$5,$B39:$LN39) /
_xlfn.XLOOKUP((DATE(YEAR($LP$5)-1,MONTH($LP$5),1)),$B$5:$LN$5,$B39:$LN39)
)-1)*100,"")</f>
        <v>-90.896358543417364</v>
      </c>
      <c r="LQ39" s="1120">
        <f t="shared" ref="LQ39" si="86">IFERROR(((LS39/LR39)-1)*100,"")</f>
        <v>-62.331097557808199</v>
      </c>
      <c r="LR39" s="1121">
        <f t="shared" ref="LR39" si="87">SUMIFS($B39:$LN39,$B$5:$LN$5,"&gt;="&amp;DATE(YEAR($LP$5)-1,1,1),$B$5:$LN$5,"&lt;="&amp;DATE(YEAR($LP$5)-1,MONTH($LP$5),1))</f>
        <v>1732.5830000000001</v>
      </c>
      <c r="LS39" s="1122">
        <f t="shared" ref="LS39" si="88">SUMIFS($B39:$LN39,$B$5:$LN$5,"&gt;="&amp;DATE(YEAR($LP$5),1,1),$B$5:$LN$5,"&lt;="&amp;$LP$5)</f>
        <v>652.64499999999998</v>
      </c>
      <c r="LT39" s="35"/>
      <c r="LU39" s="1274"/>
      <c r="LV39" s="1287"/>
      <c r="LW39" s="1291"/>
      <c r="LX39" s="1268"/>
      <c r="LY39"/>
    </row>
    <row r="40" spans="1:337" ht="15" customHeight="1" x14ac:dyDescent="0.2">
      <c r="A40" s="1282"/>
      <c r="B40" s="1253"/>
      <c r="C40" s="1254"/>
      <c r="D40" s="1254"/>
      <c r="E40" s="1254"/>
      <c r="F40" s="1254"/>
      <c r="G40" s="1254"/>
      <c r="H40" s="1254"/>
      <c r="I40" s="1254"/>
      <c r="J40" s="1254"/>
      <c r="K40" s="1254"/>
      <c r="L40" s="1254"/>
      <c r="M40" s="1254"/>
      <c r="N40" s="1102"/>
      <c r="O40" s="1253"/>
      <c r="P40" s="1254"/>
      <c r="Q40" s="1254"/>
      <c r="R40" s="1254"/>
      <c r="S40" s="1254"/>
      <c r="T40" s="1254"/>
      <c r="U40" s="1254"/>
      <c r="V40" s="1254"/>
      <c r="W40" s="1254"/>
      <c r="X40" s="1254"/>
      <c r="Y40" s="1254"/>
      <c r="Z40" s="1254"/>
      <c r="AA40" s="1102"/>
      <c r="AB40" s="1253"/>
      <c r="AC40" s="1254"/>
      <c r="AD40" s="1254"/>
      <c r="AE40" s="1254"/>
      <c r="AF40" s="1254"/>
      <c r="AG40" s="1254"/>
      <c r="AH40" s="1254"/>
      <c r="AI40" s="1254"/>
      <c r="AJ40" s="1254"/>
      <c r="AK40" s="1254"/>
      <c r="AL40" s="1254"/>
      <c r="AM40" s="1254"/>
      <c r="AN40" s="1102"/>
      <c r="AO40" s="1253"/>
      <c r="AP40" s="1254"/>
      <c r="AQ40" s="1254"/>
      <c r="AR40" s="1254"/>
      <c r="AS40" s="1254"/>
      <c r="AT40" s="1254"/>
      <c r="AU40" s="1254"/>
      <c r="AV40" s="1254"/>
      <c r="AW40" s="1254"/>
      <c r="AX40" s="1254"/>
      <c r="AY40" s="1254"/>
      <c r="AZ40" s="1254"/>
      <c r="BA40" s="1102"/>
      <c r="BB40" s="1253"/>
      <c r="BC40" s="1254"/>
      <c r="BD40" s="1254"/>
      <c r="BE40" s="1254"/>
      <c r="BF40" s="1254"/>
      <c r="BG40" s="1254"/>
      <c r="BH40" s="1254"/>
      <c r="BI40" s="1254"/>
      <c r="BJ40" s="1254"/>
      <c r="BK40" s="1254"/>
      <c r="BL40" s="1254"/>
      <c r="BM40" s="1254"/>
      <c r="BN40" s="1102"/>
      <c r="BO40" s="1253"/>
      <c r="BP40" s="1254"/>
      <c r="BQ40" s="1254"/>
      <c r="BR40" s="1254"/>
      <c r="BS40" s="1254"/>
      <c r="BT40" s="1254"/>
      <c r="BU40" s="1254"/>
      <c r="BV40" s="1254"/>
      <c r="BW40" s="1254"/>
      <c r="BX40" s="1254"/>
      <c r="BY40" s="1254"/>
      <c r="BZ40" s="1254"/>
      <c r="CA40" s="1102"/>
      <c r="CB40" s="1253"/>
      <c r="CC40" s="1254"/>
      <c r="CD40" s="1254"/>
      <c r="CE40" s="1254"/>
      <c r="CF40" s="1254"/>
      <c r="CG40" s="1254"/>
      <c r="CH40" s="1254"/>
      <c r="CI40" s="1254"/>
      <c r="CJ40" s="1254"/>
      <c r="CK40" s="1254"/>
      <c r="CL40" s="1254"/>
      <c r="CM40" s="1254"/>
      <c r="CN40" s="1102"/>
      <c r="CO40" s="1253"/>
      <c r="CP40" s="1254"/>
      <c r="CQ40" s="1254"/>
      <c r="CR40" s="1254"/>
      <c r="CS40" s="1254"/>
      <c r="CT40" s="1254"/>
      <c r="CU40" s="1254"/>
      <c r="CV40" s="1254"/>
      <c r="CW40" s="1254"/>
      <c r="CX40" s="1254"/>
      <c r="CY40" s="1254"/>
      <c r="CZ40" s="1254"/>
      <c r="DA40" s="1102"/>
      <c r="DB40" s="1253"/>
      <c r="DC40" s="1254"/>
      <c r="DD40" s="1254"/>
      <c r="DE40" s="1254"/>
      <c r="DF40" s="1254"/>
      <c r="DG40" s="1254"/>
      <c r="DH40" s="1254"/>
      <c r="DI40" s="1254"/>
      <c r="DJ40" s="1254"/>
      <c r="DK40" s="1254"/>
      <c r="DL40" s="1254"/>
      <c r="DM40" s="1254"/>
      <c r="DN40" s="1102"/>
      <c r="DO40" s="1253"/>
      <c r="DP40" s="1254"/>
      <c r="DQ40" s="1254"/>
      <c r="DR40" s="1254"/>
      <c r="DS40" s="1254"/>
      <c r="DT40" s="1254"/>
      <c r="DU40" s="1254"/>
      <c r="DV40" s="1254"/>
      <c r="DW40" s="1254"/>
      <c r="DX40" s="1254"/>
      <c r="DY40" s="1254"/>
      <c r="DZ40" s="1254"/>
      <c r="EA40" s="1102"/>
      <c r="EB40" s="1253"/>
      <c r="EC40" s="1254"/>
      <c r="ED40" s="1254"/>
      <c r="EE40" s="1254"/>
      <c r="EF40" s="1254"/>
      <c r="EG40" s="1254"/>
      <c r="EH40" s="1254"/>
      <c r="EI40" s="1254"/>
      <c r="EJ40" s="1254"/>
      <c r="EK40" s="1254"/>
      <c r="EL40" s="1254"/>
      <c r="EM40" s="1254"/>
      <c r="EN40" s="1102"/>
      <c r="EO40" s="1253"/>
      <c r="EP40" s="1254"/>
      <c r="EQ40" s="1254"/>
      <c r="ER40" s="1254"/>
      <c r="ES40" s="1254"/>
      <c r="ET40" s="1254"/>
      <c r="EU40" s="1254"/>
      <c r="EV40" s="1254"/>
      <c r="EW40" s="1254"/>
      <c r="EX40" s="1254"/>
      <c r="EY40" s="1254"/>
      <c r="EZ40" s="1254"/>
      <c r="FA40" s="1102"/>
      <c r="FB40" s="1253"/>
      <c r="FC40" s="1254"/>
      <c r="FD40" s="1254"/>
      <c r="FE40" s="1254"/>
      <c r="FF40" s="1254"/>
      <c r="FG40" s="1254"/>
      <c r="FH40" s="1254"/>
      <c r="FI40" s="1254"/>
      <c r="FJ40" s="1254"/>
      <c r="FK40" s="1254"/>
      <c r="FL40" s="1254"/>
      <c r="FM40" s="1254"/>
      <c r="FN40" s="1102"/>
      <c r="FO40" s="1253"/>
      <c r="FP40" s="1254"/>
      <c r="FQ40" s="1254"/>
      <c r="FR40" s="1254"/>
      <c r="FS40" s="1254"/>
      <c r="FT40" s="1254"/>
      <c r="FU40" s="1254"/>
      <c r="FV40" s="1254"/>
      <c r="FW40" s="1254"/>
      <c r="FX40" s="1254"/>
      <c r="FY40" s="1254"/>
      <c r="FZ40" s="1254"/>
      <c r="GA40" s="1102"/>
      <c r="GB40" s="1253"/>
      <c r="GC40" s="1254"/>
      <c r="GD40" s="1254"/>
      <c r="GE40" s="1254"/>
      <c r="GF40" s="1254"/>
      <c r="GG40" s="1254"/>
      <c r="GH40" s="1254"/>
      <c r="GI40" s="1254"/>
      <c r="GJ40" s="1254"/>
      <c r="GK40" s="1254"/>
      <c r="GL40" s="1254"/>
      <c r="GM40" s="1254"/>
      <c r="GN40" s="1102"/>
      <c r="GO40" s="1253"/>
      <c r="GP40" s="1254"/>
      <c r="GQ40" s="1254"/>
      <c r="GR40" s="1254"/>
      <c r="GS40" s="1254"/>
      <c r="GT40" s="1254"/>
      <c r="GU40" s="1254"/>
      <c r="GV40" s="1254"/>
      <c r="GW40" s="1254"/>
      <c r="GX40" s="1254"/>
      <c r="GY40" s="1254"/>
      <c r="GZ40" s="1254"/>
      <c r="HA40" s="1102"/>
      <c r="HB40" s="1253"/>
      <c r="HC40" s="1254"/>
      <c r="HD40" s="1254"/>
      <c r="HE40" s="1254"/>
      <c r="HF40" s="1254"/>
      <c r="HG40" s="1254"/>
      <c r="HH40" s="1254"/>
      <c r="HI40" s="1254"/>
      <c r="HJ40" s="1254"/>
      <c r="HK40" s="1254"/>
      <c r="HL40" s="1254"/>
      <c r="HM40" s="1254"/>
      <c r="HN40" s="1102"/>
      <c r="HO40" s="1253"/>
      <c r="HP40" s="1254"/>
      <c r="HQ40" s="1254"/>
      <c r="HR40" s="1254"/>
      <c r="HS40" s="1254"/>
      <c r="HT40" s="1254"/>
      <c r="HU40" s="1254"/>
      <c r="HV40" s="1254"/>
      <c r="HW40" s="1254"/>
      <c r="HX40" s="1254"/>
      <c r="HY40" s="1254"/>
      <c r="HZ40" s="1254"/>
      <c r="IA40" s="1102"/>
      <c r="IB40" s="1253"/>
      <c r="IC40" s="1254"/>
      <c r="ID40" s="1254"/>
      <c r="IE40" s="1254"/>
      <c r="IF40" s="1254"/>
      <c r="IG40" s="1254"/>
      <c r="IH40" s="1254"/>
      <c r="II40" s="1254"/>
      <c r="IJ40" s="1254"/>
      <c r="IK40" s="1254"/>
      <c r="IL40" s="1254"/>
      <c r="IM40" s="1254"/>
      <c r="IN40" s="1102"/>
      <c r="IO40" s="1253"/>
      <c r="IP40" s="1254"/>
      <c r="IQ40" s="1254"/>
      <c r="IR40" s="1254"/>
      <c r="IS40" s="1254"/>
      <c r="IT40" s="1254"/>
      <c r="IU40" s="1254"/>
      <c r="IV40" s="1254"/>
      <c r="IW40" s="1254"/>
      <c r="IX40" s="1254"/>
      <c r="IY40" s="1254"/>
      <c r="IZ40" s="1254"/>
      <c r="JA40" s="1102"/>
      <c r="JB40" s="1253"/>
      <c r="JC40" s="1254"/>
      <c r="JD40" s="1254"/>
      <c r="JE40" s="1254"/>
      <c r="JF40" s="1254"/>
      <c r="JG40" s="1254"/>
      <c r="JH40" s="1254"/>
      <c r="JI40" s="1254"/>
      <c r="JJ40" s="1254"/>
      <c r="JK40" s="1254"/>
      <c r="JL40" s="1254"/>
      <c r="JM40" s="1254"/>
      <c r="JN40" s="1102"/>
      <c r="JO40" s="1253"/>
      <c r="JP40" s="1254"/>
      <c r="JQ40" s="1254"/>
      <c r="JR40" s="1254"/>
      <c r="JS40" s="1254"/>
      <c r="JT40" s="1254"/>
      <c r="JU40" s="1254"/>
      <c r="JV40" s="1254"/>
      <c r="JW40" s="1254"/>
      <c r="JX40" s="1254"/>
      <c r="JY40" s="1254"/>
      <c r="JZ40" s="1254"/>
      <c r="KA40" s="1102"/>
      <c r="KB40" s="1253"/>
      <c r="KC40" s="1254"/>
      <c r="KD40" s="1254"/>
      <c r="KE40" s="1254"/>
      <c r="KF40" s="1254"/>
      <c r="KG40" s="1254"/>
      <c r="KH40" s="1254"/>
      <c r="KI40" s="1254"/>
      <c r="KJ40" s="1254"/>
      <c r="KK40" s="1254"/>
      <c r="KL40" s="1254"/>
      <c r="KM40" s="1254"/>
      <c r="KN40" s="1102"/>
      <c r="KO40" s="1253"/>
      <c r="KP40" s="1254"/>
      <c r="KQ40" s="1254"/>
      <c r="KR40" s="1254"/>
      <c r="KS40" s="1254"/>
      <c r="KT40" s="1254"/>
      <c r="KU40" s="1254"/>
      <c r="KV40" s="1254"/>
      <c r="KW40" s="1254"/>
      <c r="KX40" s="1254"/>
      <c r="KY40" s="1254"/>
      <c r="KZ40" s="1254"/>
      <c r="LA40" s="1102"/>
      <c r="LB40" s="1253"/>
      <c r="LC40" s="1254"/>
      <c r="LD40" s="1254"/>
      <c r="LE40" s="1254"/>
      <c r="LF40" s="1254"/>
      <c r="LG40" s="1254"/>
      <c r="LH40" s="1254"/>
      <c r="LI40" s="1254"/>
      <c r="LJ40" s="1254"/>
      <c r="LK40" s="1254"/>
      <c r="LL40" s="1254"/>
      <c r="LM40" s="1254"/>
      <c r="LN40" s="1102"/>
      <c r="LP40" s="1123"/>
      <c r="LQ40" s="1124"/>
      <c r="LR40" s="1125"/>
      <c r="LS40" s="1126"/>
      <c r="LU40" s="629"/>
      <c r="LV40" s="1288"/>
      <c r="LW40" s="1289"/>
      <c r="LX40" s="1290"/>
    </row>
    <row r="41" spans="1:337" ht="15" customHeight="1" x14ac:dyDescent="0.2">
      <c r="A41" s="1" t="s">
        <v>348</v>
      </c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106"/>
      <c r="AH41" s="102"/>
      <c r="AI41" s="5"/>
      <c r="AN41" s="82"/>
      <c r="AR41" s="5"/>
    </row>
    <row r="42" spans="1:337" ht="15" customHeight="1" x14ac:dyDescent="0.2">
      <c r="A42" s="1" t="s">
        <v>127</v>
      </c>
      <c r="AI42" s="5"/>
      <c r="AL42" s="102"/>
    </row>
    <row r="43" spans="1:337" ht="15" customHeight="1" x14ac:dyDescent="0.2">
      <c r="A43" s="107"/>
      <c r="AG43" s="31"/>
    </row>
    <row r="44" spans="1:337" ht="15" customHeight="1" x14ac:dyDescent="0.2">
      <c r="AG44" s="31"/>
    </row>
  </sheetData>
  <sortState xmlns:xlrd2="http://schemas.microsoft.com/office/spreadsheetml/2017/richdata2" ref="A9:LY38">
    <sortCondition ref="A9:A38"/>
  </sortState>
  <phoneticPr fontId="3" type="noConversion"/>
  <conditionalFormatting sqref="A1:A1048576">
    <cfRule type="duplicateValues" dxfId="2" priority="1"/>
  </conditionalFormatting>
  <printOptions horizontalCentered="1" verticalCentered="1"/>
  <pageMargins left="0.74803149606299213" right="0.74803149606299213" top="0.43307086614173229" bottom="0.27" header="0" footer="0"/>
  <pageSetup paperSize="9" scale="10" orientation="landscape" r:id="rId1"/>
  <headerFooter alignWithMargins="0"/>
  <colBreaks count="2" manualBreakCount="2">
    <brk id="131" max="42" man="1"/>
    <brk id="261" max="42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-0.499984740745262"/>
  </sheetPr>
  <dimension ref="A1:LX43"/>
  <sheetViews>
    <sheetView showGridLines="0" tabSelected="1" view="pageBreakPreview" zoomScale="80" zoomScaleNormal="75" zoomScaleSheetLayoutView="80" workbookViewId="0">
      <pane xSplit="1" topLeftCell="KO1" activePane="topRight" state="frozen"/>
      <selection activeCell="IB59" sqref="IB59:JB59"/>
      <selection pane="topRight" activeCell="LI7" sqref="LI7"/>
    </sheetView>
  </sheetViews>
  <sheetFormatPr baseColWidth="10" defaultColWidth="9.7109375" defaultRowHeight="15" customHeight="1" x14ac:dyDescent="0.2"/>
  <cols>
    <col min="1" max="1" width="20.7109375" customWidth="1"/>
    <col min="3" max="3" width="12.7109375" bestFit="1" customWidth="1"/>
    <col min="313" max="313" width="9.7109375" customWidth="1"/>
  </cols>
  <sheetData>
    <row r="1" spans="1:336" ht="15" customHeight="1" x14ac:dyDescent="0.2">
      <c r="A1" s="1273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5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P1" s="1"/>
      <c r="LQ1" s="1"/>
      <c r="LR1" s="1"/>
      <c r="LS1" s="1"/>
      <c r="LT1" s="1"/>
      <c r="LU1" s="1012"/>
      <c r="LV1" s="1012"/>
      <c r="LW1" s="1012"/>
    </row>
    <row r="2" spans="1:336" ht="15" customHeight="1" x14ac:dyDescent="0.2">
      <c r="A2" s="1273" t="s">
        <v>368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"/>
      <c r="X2" s="1"/>
      <c r="Y2" s="1"/>
      <c r="Z2" s="1"/>
      <c r="AA2" s="1"/>
      <c r="AB2" s="1"/>
      <c r="AC2" s="1"/>
      <c r="AD2" s="1"/>
      <c r="AE2" s="1"/>
      <c r="AF2" s="1"/>
      <c r="AG2" s="106"/>
      <c r="AH2" s="106"/>
      <c r="AI2" s="1"/>
      <c r="AJ2" s="1"/>
      <c r="AK2" s="1"/>
      <c r="AL2" s="1"/>
      <c r="AM2" s="1"/>
      <c r="AN2" s="1"/>
      <c r="AO2" s="5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02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P2" s="1"/>
      <c r="LQ2" s="1"/>
      <c r="LR2" s="1"/>
      <c r="LS2" s="1"/>
      <c r="LT2" s="1"/>
      <c r="LU2" s="1012"/>
      <c r="LV2" s="1012"/>
      <c r="LW2" s="1012"/>
    </row>
    <row r="3" spans="1:336" ht="15" customHeight="1" x14ac:dyDescent="0.2">
      <c r="A3" s="1273" t="s">
        <v>589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5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P3" s="1"/>
      <c r="LQ3" s="1"/>
      <c r="LR3" s="1"/>
      <c r="LS3" s="1"/>
      <c r="LT3" s="1"/>
      <c r="LU3" s="1012"/>
      <c r="LV3" s="1012"/>
      <c r="LW3" s="1012"/>
    </row>
    <row r="4" spans="1:336" ht="15" customHeight="1" x14ac:dyDescent="0.2">
      <c r="A4" s="1275"/>
      <c r="B4" s="1247">
        <v>2002</v>
      </c>
      <c r="C4" s="1088"/>
      <c r="D4" s="1088"/>
      <c r="E4" s="1088"/>
      <c r="F4" s="1088"/>
      <c r="G4" s="1088"/>
      <c r="H4" s="1088"/>
      <c r="I4" s="1088"/>
      <c r="J4" s="1088"/>
      <c r="K4" s="1088"/>
      <c r="L4" s="1088"/>
      <c r="M4" s="1088"/>
      <c r="N4" s="1089" t="s">
        <v>29</v>
      </c>
      <c r="O4" s="1247">
        <v>2003</v>
      </c>
      <c r="P4" s="1088"/>
      <c r="Q4" s="1088"/>
      <c r="R4" s="1088"/>
      <c r="S4" s="1088"/>
      <c r="T4" s="1088"/>
      <c r="U4" s="1088"/>
      <c r="V4" s="1088"/>
      <c r="W4" s="1088"/>
      <c r="X4" s="1088"/>
      <c r="Y4" s="1088"/>
      <c r="Z4" s="1088"/>
      <c r="AA4" s="1089" t="s">
        <v>29</v>
      </c>
      <c r="AB4" s="1247">
        <v>2004</v>
      </c>
      <c r="AC4" s="1088"/>
      <c r="AD4" s="1088"/>
      <c r="AE4" s="1088"/>
      <c r="AF4" s="1088"/>
      <c r="AG4" s="1088"/>
      <c r="AH4" s="1088"/>
      <c r="AI4" s="1088"/>
      <c r="AJ4" s="1088"/>
      <c r="AK4" s="1088"/>
      <c r="AL4" s="1088"/>
      <c r="AM4" s="1088"/>
      <c r="AN4" s="1089" t="s">
        <v>29</v>
      </c>
      <c r="AO4" s="1247">
        <v>2005</v>
      </c>
      <c r="AP4" s="1088"/>
      <c r="AQ4" s="1088"/>
      <c r="AR4" s="1088"/>
      <c r="AS4" s="1088"/>
      <c r="AT4" s="1088"/>
      <c r="AU4" s="1088"/>
      <c r="AV4" s="1088"/>
      <c r="AW4" s="1088"/>
      <c r="AX4" s="1088"/>
      <c r="AY4" s="1088"/>
      <c r="AZ4" s="1088"/>
      <c r="BA4" s="1089" t="s">
        <v>29</v>
      </c>
      <c r="BB4" s="1247">
        <v>2006</v>
      </c>
      <c r="BC4" s="1088"/>
      <c r="BD4" s="1088"/>
      <c r="BE4" s="1088"/>
      <c r="BF4" s="1088"/>
      <c r="BG4" s="1088"/>
      <c r="BH4" s="1088"/>
      <c r="BI4" s="1088"/>
      <c r="BJ4" s="1088"/>
      <c r="BK4" s="1088"/>
      <c r="BL4" s="1088"/>
      <c r="BM4" s="1088"/>
      <c r="BN4" s="1089" t="s">
        <v>29</v>
      </c>
      <c r="BO4" s="1247">
        <v>2007</v>
      </c>
      <c r="BP4" s="1088"/>
      <c r="BQ4" s="1088"/>
      <c r="BR4" s="1088"/>
      <c r="BS4" s="1088"/>
      <c r="BT4" s="1088"/>
      <c r="BU4" s="1088"/>
      <c r="BV4" s="1088"/>
      <c r="BW4" s="1088"/>
      <c r="BX4" s="1088"/>
      <c r="BY4" s="1088"/>
      <c r="BZ4" s="1088"/>
      <c r="CA4" s="1089" t="s">
        <v>29</v>
      </c>
      <c r="CB4" s="1247">
        <v>2008</v>
      </c>
      <c r="CC4" s="1088"/>
      <c r="CD4" s="1088"/>
      <c r="CE4" s="1088"/>
      <c r="CF4" s="1088"/>
      <c r="CG4" s="1088"/>
      <c r="CH4" s="1088"/>
      <c r="CI4" s="1088"/>
      <c r="CJ4" s="1088"/>
      <c r="CK4" s="1088"/>
      <c r="CL4" s="1088"/>
      <c r="CM4" s="1088"/>
      <c r="CN4" s="1089" t="s">
        <v>29</v>
      </c>
      <c r="CO4" s="1247">
        <v>2009</v>
      </c>
      <c r="CP4" s="1088"/>
      <c r="CQ4" s="1088"/>
      <c r="CR4" s="1088"/>
      <c r="CS4" s="1088"/>
      <c r="CT4" s="1088"/>
      <c r="CU4" s="1088"/>
      <c r="CV4" s="1088"/>
      <c r="CW4" s="1088"/>
      <c r="CX4" s="1088"/>
      <c r="CY4" s="1088"/>
      <c r="CZ4" s="1088"/>
      <c r="DA4" s="1089" t="s">
        <v>29</v>
      </c>
      <c r="DB4" s="1247">
        <v>2010</v>
      </c>
      <c r="DC4" s="1088"/>
      <c r="DD4" s="1088"/>
      <c r="DE4" s="1088"/>
      <c r="DF4" s="1088"/>
      <c r="DG4" s="1088"/>
      <c r="DH4" s="1088"/>
      <c r="DI4" s="1088"/>
      <c r="DJ4" s="1088"/>
      <c r="DK4" s="1088"/>
      <c r="DL4" s="1088"/>
      <c r="DM4" s="1088"/>
      <c r="DN4" s="1089" t="s">
        <v>29</v>
      </c>
      <c r="DO4" s="1247">
        <v>2011</v>
      </c>
      <c r="DP4" s="1088"/>
      <c r="DQ4" s="1088"/>
      <c r="DR4" s="1088"/>
      <c r="DS4" s="1088"/>
      <c r="DT4" s="1088"/>
      <c r="DU4" s="1088"/>
      <c r="DV4" s="1088"/>
      <c r="DW4" s="1088"/>
      <c r="DX4" s="1088"/>
      <c r="DY4" s="1088"/>
      <c r="DZ4" s="1088"/>
      <c r="EA4" s="1089" t="s">
        <v>29</v>
      </c>
      <c r="EB4" s="1247">
        <v>2012</v>
      </c>
      <c r="EC4" s="1088"/>
      <c r="ED4" s="1088"/>
      <c r="EE4" s="1088"/>
      <c r="EF4" s="1088"/>
      <c r="EG4" s="1088"/>
      <c r="EH4" s="1088"/>
      <c r="EI4" s="1088"/>
      <c r="EJ4" s="1088"/>
      <c r="EK4" s="1088"/>
      <c r="EL4" s="1088"/>
      <c r="EM4" s="1088"/>
      <c r="EN4" s="1089" t="s">
        <v>29</v>
      </c>
      <c r="EO4" s="1247">
        <v>2013</v>
      </c>
      <c r="EP4" s="1088"/>
      <c r="EQ4" s="1088"/>
      <c r="ER4" s="1088"/>
      <c r="ES4" s="1088"/>
      <c r="ET4" s="1088"/>
      <c r="EU4" s="1088"/>
      <c r="EV4" s="1088"/>
      <c r="EW4" s="1088"/>
      <c r="EX4" s="1088"/>
      <c r="EY4" s="1088"/>
      <c r="EZ4" s="1088"/>
      <c r="FA4" s="1089" t="s">
        <v>29</v>
      </c>
      <c r="FB4" s="1247">
        <v>2014</v>
      </c>
      <c r="FC4" s="1088"/>
      <c r="FD4" s="1088"/>
      <c r="FE4" s="1088"/>
      <c r="FF4" s="1088"/>
      <c r="FG4" s="1088"/>
      <c r="FH4" s="1088"/>
      <c r="FI4" s="1088"/>
      <c r="FJ4" s="1088"/>
      <c r="FK4" s="1088"/>
      <c r="FL4" s="1088"/>
      <c r="FM4" s="1088"/>
      <c r="FN4" s="1089" t="s">
        <v>29</v>
      </c>
      <c r="FO4" s="1247">
        <v>2015</v>
      </c>
      <c r="FP4" s="1088"/>
      <c r="FQ4" s="1088"/>
      <c r="FR4" s="1088"/>
      <c r="FS4" s="1088"/>
      <c r="FT4" s="1088"/>
      <c r="FU4" s="1088"/>
      <c r="FV4" s="1088"/>
      <c r="FW4" s="1088"/>
      <c r="FX4" s="1088"/>
      <c r="FY4" s="1088"/>
      <c r="FZ4" s="1088"/>
      <c r="GA4" s="1089" t="s">
        <v>29</v>
      </c>
      <c r="GB4" s="1247">
        <v>2016</v>
      </c>
      <c r="GC4" s="1088"/>
      <c r="GD4" s="1088"/>
      <c r="GE4" s="1088"/>
      <c r="GF4" s="1088"/>
      <c r="GG4" s="1088"/>
      <c r="GH4" s="1088"/>
      <c r="GI4" s="1088"/>
      <c r="GJ4" s="1088"/>
      <c r="GK4" s="1088"/>
      <c r="GL4" s="1088"/>
      <c r="GM4" s="1088"/>
      <c r="GN4" s="1089" t="s">
        <v>29</v>
      </c>
      <c r="GO4" s="1247">
        <v>2017</v>
      </c>
      <c r="GP4" s="1088"/>
      <c r="GQ4" s="1088"/>
      <c r="GR4" s="1088"/>
      <c r="GS4" s="1088"/>
      <c r="GT4" s="1088"/>
      <c r="GU4" s="1088"/>
      <c r="GV4" s="1088"/>
      <c r="GW4" s="1088"/>
      <c r="GX4" s="1088"/>
      <c r="GY4" s="1088"/>
      <c r="GZ4" s="1088"/>
      <c r="HA4" s="1089" t="s">
        <v>29</v>
      </c>
      <c r="HB4" s="1247">
        <v>2018</v>
      </c>
      <c r="HC4" s="1088"/>
      <c r="HD4" s="1088"/>
      <c r="HE4" s="1088"/>
      <c r="HF4" s="1088"/>
      <c r="HG4" s="1088"/>
      <c r="HH4" s="1088"/>
      <c r="HI4" s="1088"/>
      <c r="HJ4" s="1088"/>
      <c r="HK4" s="1088"/>
      <c r="HL4" s="1088"/>
      <c r="HM4" s="1088"/>
      <c r="HN4" s="1089" t="s">
        <v>29</v>
      </c>
      <c r="HO4" s="1247">
        <v>2019</v>
      </c>
      <c r="HP4" s="1088"/>
      <c r="HQ4" s="1088"/>
      <c r="HR4" s="1088"/>
      <c r="HS4" s="1088"/>
      <c r="HT4" s="1088"/>
      <c r="HU4" s="1088"/>
      <c r="HV4" s="1088"/>
      <c r="HW4" s="1088"/>
      <c r="HX4" s="1088"/>
      <c r="HY4" s="1088"/>
      <c r="HZ4" s="1088"/>
      <c r="IA4" s="1089" t="s">
        <v>29</v>
      </c>
      <c r="IB4" s="1247">
        <v>2020</v>
      </c>
      <c r="IC4" s="1088"/>
      <c r="ID4" s="1088"/>
      <c r="IE4" s="1088"/>
      <c r="IF4" s="1088"/>
      <c r="IG4" s="1088"/>
      <c r="IH4" s="1088"/>
      <c r="II4" s="1088"/>
      <c r="IJ4" s="1088"/>
      <c r="IK4" s="1088"/>
      <c r="IL4" s="1088"/>
      <c r="IM4" s="1088"/>
      <c r="IN4" s="1089" t="s">
        <v>29</v>
      </c>
      <c r="IO4" s="1247">
        <v>2021</v>
      </c>
      <c r="IP4" s="1088"/>
      <c r="IQ4" s="1088"/>
      <c r="IR4" s="1088"/>
      <c r="IS4" s="1088"/>
      <c r="IT4" s="1088"/>
      <c r="IU4" s="1088"/>
      <c r="IV4" s="1088"/>
      <c r="IW4" s="1088"/>
      <c r="IX4" s="1088"/>
      <c r="IY4" s="1088"/>
      <c r="IZ4" s="1088"/>
      <c r="JA4" s="1089" t="s">
        <v>29</v>
      </c>
      <c r="JB4" s="1247">
        <v>2022</v>
      </c>
      <c r="JC4" s="1088"/>
      <c r="JD4" s="1088"/>
      <c r="JE4" s="1088"/>
      <c r="JF4" s="1088"/>
      <c r="JG4" s="1088"/>
      <c r="JH4" s="1088"/>
      <c r="JI4" s="1088"/>
      <c r="JJ4" s="1088"/>
      <c r="JK4" s="1088"/>
      <c r="JL4" s="1088"/>
      <c r="JM4" s="1088"/>
      <c r="JN4" s="1089" t="s">
        <v>29</v>
      </c>
      <c r="JO4" s="1247">
        <v>2023</v>
      </c>
      <c r="JP4" s="1088"/>
      <c r="JQ4" s="1088"/>
      <c r="JR4" s="1088"/>
      <c r="JS4" s="1088"/>
      <c r="JT4" s="1088"/>
      <c r="JU4" s="1088"/>
      <c r="JV4" s="1088"/>
      <c r="JW4" s="1088"/>
      <c r="JX4" s="1088"/>
      <c r="JY4" s="1088"/>
      <c r="JZ4" s="1088"/>
      <c r="KA4" s="1089" t="s">
        <v>29</v>
      </c>
      <c r="KB4" s="1247">
        <v>2024</v>
      </c>
      <c r="KC4" s="1088"/>
      <c r="KD4" s="1088"/>
      <c r="KE4" s="1088"/>
      <c r="KF4" s="1088"/>
      <c r="KG4" s="1088"/>
      <c r="KH4" s="1088"/>
      <c r="KI4" s="1088"/>
      <c r="KJ4" s="1088"/>
      <c r="KK4" s="1088"/>
      <c r="KL4" s="1088"/>
      <c r="KM4" s="1088"/>
      <c r="KN4" s="1089" t="s">
        <v>29</v>
      </c>
      <c r="KO4" s="1247">
        <v>2025</v>
      </c>
      <c r="KP4" s="1088"/>
      <c r="KQ4" s="1088"/>
      <c r="KR4" s="1088"/>
      <c r="KS4" s="1088"/>
      <c r="KT4" s="1088"/>
      <c r="KU4" s="1088"/>
      <c r="KV4" s="1088"/>
      <c r="KW4" s="1088"/>
      <c r="KX4" s="1088"/>
      <c r="KY4" s="1088"/>
      <c r="KZ4" s="1088"/>
      <c r="LA4" s="1089" t="s">
        <v>29</v>
      </c>
      <c r="LB4" s="1247">
        <v>2026</v>
      </c>
      <c r="LC4" s="1088"/>
      <c r="LD4" s="1088"/>
      <c r="LE4" s="1088"/>
      <c r="LF4" s="1088"/>
      <c r="LG4" s="1088"/>
      <c r="LH4" s="1088"/>
      <c r="LI4" s="1088"/>
      <c r="LJ4" s="1088"/>
      <c r="LK4" s="1088"/>
      <c r="LL4" s="1088"/>
      <c r="LM4" s="1088"/>
      <c r="LN4" s="1089" t="s">
        <v>29</v>
      </c>
      <c r="LP4" s="1103" t="str">
        <f>CONCATENATE("Var.% ",LS4,"/",LS4-1)</f>
        <v>Var.% 2026/2025</v>
      </c>
      <c r="LQ4" s="1104"/>
      <c r="LR4" s="1105">
        <f>LS4-1</f>
        <v>2025</v>
      </c>
      <c r="LS4" s="1105">
        <f>YEAR(LP5)</f>
        <v>2026</v>
      </c>
      <c r="LT4" s="1"/>
      <c r="LU4" s="1012"/>
      <c r="LV4" s="1073" t="s">
        <v>562</v>
      </c>
      <c r="LW4" s="1074"/>
      <c r="LX4" s="1075"/>
    </row>
    <row r="5" spans="1:336" ht="15" customHeight="1" x14ac:dyDescent="0.2">
      <c r="A5" s="1276"/>
      <c r="B5" s="1248">
        <v>37257</v>
      </c>
      <c r="C5" s="1090">
        <v>37288</v>
      </c>
      <c r="D5" s="1090">
        <v>37316</v>
      </c>
      <c r="E5" s="1090">
        <v>37347</v>
      </c>
      <c r="F5" s="1090">
        <v>37377</v>
      </c>
      <c r="G5" s="1090">
        <v>37408</v>
      </c>
      <c r="H5" s="1090">
        <v>37438</v>
      </c>
      <c r="I5" s="1090">
        <v>37469</v>
      </c>
      <c r="J5" s="1090">
        <v>37500</v>
      </c>
      <c r="K5" s="1090">
        <v>37530</v>
      </c>
      <c r="L5" s="1090">
        <v>37561</v>
      </c>
      <c r="M5" s="1090">
        <v>37591</v>
      </c>
      <c r="N5" s="1091">
        <f>YEAR(M5)</f>
        <v>2002</v>
      </c>
      <c r="O5" s="1248">
        <v>37622</v>
      </c>
      <c r="P5" s="1090">
        <v>37653</v>
      </c>
      <c r="Q5" s="1090">
        <v>37681</v>
      </c>
      <c r="R5" s="1090">
        <v>37712</v>
      </c>
      <c r="S5" s="1090">
        <v>37742</v>
      </c>
      <c r="T5" s="1090">
        <v>37773</v>
      </c>
      <c r="U5" s="1090">
        <v>37803</v>
      </c>
      <c r="V5" s="1090">
        <v>37834</v>
      </c>
      <c r="W5" s="1090">
        <v>37865</v>
      </c>
      <c r="X5" s="1090">
        <v>37895</v>
      </c>
      <c r="Y5" s="1090">
        <v>37926</v>
      </c>
      <c r="Z5" s="1090">
        <v>37956</v>
      </c>
      <c r="AA5" s="1091">
        <f>YEAR(Z5)</f>
        <v>2003</v>
      </c>
      <c r="AB5" s="1248">
        <v>37987</v>
      </c>
      <c r="AC5" s="1090">
        <v>38018</v>
      </c>
      <c r="AD5" s="1090">
        <v>38047</v>
      </c>
      <c r="AE5" s="1090">
        <v>38078</v>
      </c>
      <c r="AF5" s="1090">
        <v>38108</v>
      </c>
      <c r="AG5" s="1090">
        <v>38139</v>
      </c>
      <c r="AH5" s="1090">
        <v>38169</v>
      </c>
      <c r="AI5" s="1090">
        <v>38200</v>
      </c>
      <c r="AJ5" s="1090">
        <v>38231</v>
      </c>
      <c r="AK5" s="1090">
        <v>38261</v>
      </c>
      <c r="AL5" s="1090">
        <v>38292</v>
      </c>
      <c r="AM5" s="1090">
        <v>38322</v>
      </c>
      <c r="AN5" s="1091">
        <f>YEAR(AM5)</f>
        <v>2004</v>
      </c>
      <c r="AO5" s="1248">
        <v>38353</v>
      </c>
      <c r="AP5" s="1090">
        <v>38384</v>
      </c>
      <c r="AQ5" s="1090">
        <v>38412</v>
      </c>
      <c r="AR5" s="1090">
        <v>38443</v>
      </c>
      <c r="AS5" s="1090">
        <v>38473</v>
      </c>
      <c r="AT5" s="1090">
        <v>38504</v>
      </c>
      <c r="AU5" s="1090">
        <v>38534</v>
      </c>
      <c r="AV5" s="1090">
        <v>38565</v>
      </c>
      <c r="AW5" s="1090">
        <v>38596</v>
      </c>
      <c r="AX5" s="1090">
        <v>38626</v>
      </c>
      <c r="AY5" s="1090">
        <v>38657</v>
      </c>
      <c r="AZ5" s="1090">
        <v>38687</v>
      </c>
      <c r="BA5" s="1091">
        <f>YEAR(AZ5)</f>
        <v>2005</v>
      </c>
      <c r="BB5" s="1248">
        <v>38718</v>
      </c>
      <c r="BC5" s="1090">
        <v>38749</v>
      </c>
      <c r="BD5" s="1090">
        <v>38777</v>
      </c>
      <c r="BE5" s="1090">
        <v>38808</v>
      </c>
      <c r="BF5" s="1090">
        <v>38838</v>
      </c>
      <c r="BG5" s="1090">
        <v>38869</v>
      </c>
      <c r="BH5" s="1090">
        <v>38899</v>
      </c>
      <c r="BI5" s="1090">
        <v>38930</v>
      </c>
      <c r="BJ5" s="1090">
        <v>38961</v>
      </c>
      <c r="BK5" s="1090">
        <v>38991</v>
      </c>
      <c r="BL5" s="1090">
        <v>39022</v>
      </c>
      <c r="BM5" s="1090">
        <v>39052</v>
      </c>
      <c r="BN5" s="1091">
        <f>YEAR(BM5)</f>
        <v>2006</v>
      </c>
      <c r="BO5" s="1248">
        <v>39083</v>
      </c>
      <c r="BP5" s="1090">
        <v>39114</v>
      </c>
      <c r="BQ5" s="1090">
        <v>39142</v>
      </c>
      <c r="BR5" s="1090">
        <v>39173</v>
      </c>
      <c r="BS5" s="1090">
        <v>39203</v>
      </c>
      <c r="BT5" s="1090">
        <v>39234</v>
      </c>
      <c r="BU5" s="1090">
        <v>39264</v>
      </c>
      <c r="BV5" s="1090">
        <v>39295</v>
      </c>
      <c r="BW5" s="1090">
        <v>39326</v>
      </c>
      <c r="BX5" s="1090">
        <v>39356</v>
      </c>
      <c r="BY5" s="1090">
        <v>39387</v>
      </c>
      <c r="BZ5" s="1090">
        <v>39417</v>
      </c>
      <c r="CA5" s="1091">
        <f>YEAR(BZ5)</f>
        <v>2007</v>
      </c>
      <c r="CB5" s="1248">
        <v>39448</v>
      </c>
      <c r="CC5" s="1090">
        <v>39479</v>
      </c>
      <c r="CD5" s="1090">
        <v>39508</v>
      </c>
      <c r="CE5" s="1090">
        <v>39539</v>
      </c>
      <c r="CF5" s="1090">
        <v>39569</v>
      </c>
      <c r="CG5" s="1090">
        <v>39600</v>
      </c>
      <c r="CH5" s="1090">
        <v>39630</v>
      </c>
      <c r="CI5" s="1090">
        <v>39661</v>
      </c>
      <c r="CJ5" s="1090">
        <v>39692</v>
      </c>
      <c r="CK5" s="1090">
        <v>39722</v>
      </c>
      <c r="CL5" s="1090">
        <v>39753</v>
      </c>
      <c r="CM5" s="1090">
        <v>39783</v>
      </c>
      <c r="CN5" s="1091">
        <f>YEAR(CM5)</f>
        <v>2008</v>
      </c>
      <c r="CO5" s="1248">
        <v>39814</v>
      </c>
      <c r="CP5" s="1090">
        <v>39845</v>
      </c>
      <c r="CQ5" s="1090">
        <v>39873</v>
      </c>
      <c r="CR5" s="1090">
        <v>39904</v>
      </c>
      <c r="CS5" s="1090">
        <v>39934</v>
      </c>
      <c r="CT5" s="1090">
        <v>39965</v>
      </c>
      <c r="CU5" s="1090">
        <v>39995</v>
      </c>
      <c r="CV5" s="1090">
        <v>40026</v>
      </c>
      <c r="CW5" s="1090">
        <v>40057</v>
      </c>
      <c r="CX5" s="1090">
        <v>40087</v>
      </c>
      <c r="CY5" s="1090">
        <v>40118</v>
      </c>
      <c r="CZ5" s="1090">
        <v>40148</v>
      </c>
      <c r="DA5" s="1091">
        <f>YEAR(CZ5)</f>
        <v>2009</v>
      </c>
      <c r="DB5" s="1248">
        <v>40179</v>
      </c>
      <c r="DC5" s="1090">
        <v>40210</v>
      </c>
      <c r="DD5" s="1090">
        <v>40238</v>
      </c>
      <c r="DE5" s="1090">
        <v>40269</v>
      </c>
      <c r="DF5" s="1090">
        <v>40299</v>
      </c>
      <c r="DG5" s="1090">
        <v>40330</v>
      </c>
      <c r="DH5" s="1090">
        <v>40360</v>
      </c>
      <c r="DI5" s="1090">
        <v>40391</v>
      </c>
      <c r="DJ5" s="1090">
        <v>40422</v>
      </c>
      <c r="DK5" s="1090">
        <v>40452</v>
      </c>
      <c r="DL5" s="1090">
        <v>40483</v>
      </c>
      <c r="DM5" s="1090">
        <v>40513</v>
      </c>
      <c r="DN5" s="1091">
        <f>YEAR(DM5)</f>
        <v>2010</v>
      </c>
      <c r="DO5" s="1248">
        <v>40544</v>
      </c>
      <c r="DP5" s="1090">
        <v>40575</v>
      </c>
      <c r="DQ5" s="1090">
        <v>40603</v>
      </c>
      <c r="DR5" s="1090">
        <v>40634</v>
      </c>
      <c r="DS5" s="1090">
        <v>40664</v>
      </c>
      <c r="DT5" s="1090">
        <v>40695</v>
      </c>
      <c r="DU5" s="1090">
        <v>40725</v>
      </c>
      <c r="DV5" s="1090">
        <v>40756</v>
      </c>
      <c r="DW5" s="1090">
        <v>40787</v>
      </c>
      <c r="DX5" s="1090">
        <v>40817</v>
      </c>
      <c r="DY5" s="1090">
        <v>40848</v>
      </c>
      <c r="DZ5" s="1090">
        <v>40878</v>
      </c>
      <c r="EA5" s="1091">
        <f>YEAR(DZ5)</f>
        <v>2011</v>
      </c>
      <c r="EB5" s="1248">
        <v>40909</v>
      </c>
      <c r="EC5" s="1090">
        <v>40940</v>
      </c>
      <c r="ED5" s="1090">
        <v>40969</v>
      </c>
      <c r="EE5" s="1090">
        <v>41000</v>
      </c>
      <c r="EF5" s="1090">
        <v>41030</v>
      </c>
      <c r="EG5" s="1090">
        <v>41061</v>
      </c>
      <c r="EH5" s="1090">
        <v>41091</v>
      </c>
      <c r="EI5" s="1090">
        <v>41122</v>
      </c>
      <c r="EJ5" s="1090">
        <v>41153</v>
      </c>
      <c r="EK5" s="1090">
        <v>41183</v>
      </c>
      <c r="EL5" s="1090">
        <v>41214</v>
      </c>
      <c r="EM5" s="1090">
        <v>41244</v>
      </c>
      <c r="EN5" s="1091">
        <f>YEAR(EM5)</f>
        <v>2012</v>
      </c>
      <c r="EO5" s="1248">
        <v>41275</v>
      </c>
      <c r="EP5" s="1090">
        <v>41306</v>
      </c>
      <c r="EQ5" s="1090">
        <v>41334</v>
      </c>
      <c r="ER5" s="1090">
        <v>41365</v>
      </c>
      <c r="ES5" s="1090">
        <v>41395</v>
      </c>
      <c r="ET5" s="1090">
        <v>41426</v>
      </c>
      <c r="EU5" s="1090">
        <v>41456</v>
      </c>
      <c r="EV5" s="1090">
        <v>41487</v>
      </c>
      <c r="EW5" s="1090">
        <v>41518</v>
      </c>
      <c r="EX5" s="1090">
        <v>41548</v>
      </c>
      <c r="EY5" s="1090">
        <v>41579</v>
      </c>
      <c r="EZ5" s="1090">
        <v>41609</v>
      </c>
      <c r="FA5" s="1091">
        <f>YEAR(EZ5)</f>
        <v>2013</v>
      </c>
      <c r="FB5" s="1248">
        <v>41640</v>
      </c>
      <c r="FC5" s="1090">
        <v>41671</v>
      </c>
      <c r="FD5" s="1090">
        <v>41699</v>
      </c>
      <c r="FE5" s="1090">
        <v>41730</v>
      </c>
      <c r="FF5" s="1090">
        <v>41760</v>
      </c>
      <c r="FG5" s="1090">
        <v>41791</v>
      </c>
      <c r="FH5" s="1090">
        <v>41821</v>
      </c>
      <c r="FI5" s="1090">
        <v>41852</v>
      </c>
      <c r="FJ5" s="1090">
        <v>41883</v>
      </c>
      <c r="FK5" s="1090">
        <v>41913</v>
      </c>
      <c r="FL5" s="1090">
        <v>41944</v>
      </c>
      <c r="FM5" s="1090">
        <v>41974</v>
      </c>
      <c r="FN5" s="1091">
        <f>YEAR(FM5)</f>
        <v>2014</v>
      </c>
      <c r="FO5" s="1248">
        <v>42005</v>
      </c>
      <c r="FP5" s="1090">
        <v>42036</v>
      </c>
      <c r="FQ5" s="1090">
        <v>42064</v>
      </c>
      <c r="FR5" s="1090">
        <v>42095</v>
      </c>
      <c r="FS5" s="1090">
        <v>42125</v>
      </c>
      <c r="FT5" s="1090">
        <v>42156</v>
      </c>
      <c r="FU5" s="1090">
        <v>42186</v>
      </c>
      <c r="FV5" s="1090">
        <v>42217</v>
      </c>
      <c r="FW5" s="1090">
        <v>42248</v>
      </c>
      <c r="FX5" s="1090">
        <v>42278</v>
      </c>
      <c r="FY5" s="1090">
        <v>42309</v>
      </c>
      <c r="FZ5" s="1090">
        <v>42339</v>
      </c>
      <c r="GA5" s="1091">
        <f>YEAR(FZ5)</f>
        <v>2015</v>
      </c>
      <c r="GB5" s="1248">
        <v>42370</v>
      </c>
      <c r="GC5" s="1090">
        <v>42401</v>
      </c>
      <c r="GD5" s="1090">
        <v>42430</v>
      </c>
      <c r="GE5" s="1090">
        <v>42461</v>
      </c>
      <c r="GF5" s="1090">
        <v>42491</v>
      </c>
      <c r="GG5" s="1090">
        <v>42522</v>
      </c>
      <c r="GH5" s="1090">
        <v>42552</v>
      </c>
      <c r="GI5" s="1090">
        <v>42583</v>
      </c>
      <c r="GJ5" s="1090">
        <v>42614</v>
      </c>
      <c r="GK5" s="1090">
        <v>42644</v>
      </c>
      <c r="GL5" s="1090">
        <v>42675</v>
      </c>
      <c r="GM5" s="1090">
        <v>42705</v>
      </c>
      <c r="GN5" s="1091">
        <f>YEAR(GM5)</f>
        <v>2016</v>
      </c>
      <c r="GO5" s="1248">
        <v>42736</v>
      </c>
      <c r="GP5" s="1090">
        <v>42767</v>
      </c>
      <c r="GQ5" s="1090">
        <v>42795</v>
      </c>
      <c r="GR5" s="1090">
        <v>42826</v>
      </c>
      <c r="GS5" s="1090">
        <v>42856</v>
      </c>
      <c r="GT5" s="1090">
        <v>42887</v>
      </c>
      <c r="GU5" s="1090">
        <v>42917</v>
      </c>
      <c r="GV5" s="1090">
        <v>42948</v>
      </c>
      <c r="GW5" s="1090">
        <v>42979</v>
      </c>
      <c r="GX5" s="1090">
        <v>43009</v>
      </c>
      <c r="GY5" s="1090">
        <v>43040</v>
      </c>
      <c r="GZ5" s="1090">
        <v>43070</v>
      </c>
      <c r="HA5" s="1091">
        <f>YEAR(GZ5)</f>
        <v>2017</v>
      </c>
      <c r="HB5" s="1248">
        <v>43101</v>
      </c>
      <c r="HC5" s="1090">
        <v>43132</v>
      </c>
      <c r="HD5" s="1090">
        <v>43160</v>
      </c>
      <c r="HE5" s="1090">
        <v>43191</v>
      </c>
      <c r="HF5" s="1090">
        <v>43221</v>
      </c>
      <c r="HG5" s="1090">
        <v>43252</v>
      </c>
      <c r="HH5" s="1090">
        <v>43282</v>
      </c>
      <c r="HI5" s="1090">
        <v>43313</v>
      </c>
      <c r="HJ5" s="1090">
        <v>43344</v>
      </c>
      <c r="HK5" s="1090">
        <v>43374</v>
      </c>
      <c r="HL5" s="1090">
        <v>43405</v>
      </c>
      <c r="HM5" s="1090">
        <v>43435</v>
      </c>
      <c r="HN5" s="1091">
        <f>YEAR(HM5)</f>
        <v>2018</v>
      </c>
      <c r="HO5" s="1248">
        <v>43466</v>
      </c>
      <c r="HP5" s="1090">
        <v>43497</v>
      </c>
      <c r="HQ5" s="1090">
        <v>43525</v>
      </c>
      <c r="HR5" s="1090">
        <v>43556</v>
      </c>
      <c r="HS5" s="1090">
        <v>43586</v>
      </c>
      <c r="HT5" s="1090">
        <v>43617</v>
      </c>
      <c r="HU5" s="1090">
        <v>43647</v>
      </c>
      <c r="HV5" s="1090">
        <v>43678</v>
      </c>
      <c r="HW5" s="1090">
        <v>43709</v>
      </c>
      <c r="HX5" s="1090">
        <v>43739</v>
      </c>
      <c r="HY5" s="1090">
        <v>43770</v>
      </c>
      <c r="HZ5" s="1090">
        <v>43800</v>
      </c>
      <c r="IA5" s="1091">
        <f>YEAR(HZ5)</f>
        <v>2019</v>
      </c>
      <c r="IB5" s="1248">
        <v>43831</v>
      </c>
      <c r="IC5" s="1090">
        <v>43862</v>
      </c>
      <c r="ID5" s="1090">
        <v>43891</v>
      </c>
      <c r="IE5" s="1090">
        <v>43922</v>
      </c>
      <c r="IF5" s="1090">
        <v>43952</v>
      </c>
      <c r="IG5" s="1090">
        <v>43983</v>
      </c>
      <c r="IH5" s="1090">
        <v>44013</v>
      </c>
      <c r="II5" s="1090">
        <v>44044</v>
      </c>
      <c r="IJ5" s="1090">
        <v>44075</v>
      </c>
      <c r="IK5" s="1090">
        <v>44105</v>
      </c>
      <c r="IL5" s="1090">
        <v>44136</v>
      </c>
      <c r="IM5" s="1090">
        <v>44166</v>
      </c>
      <c r="IN5" s="1091">
        <f>YEAR(IM5)</f>
        <v>2020</v>
      </c>
      <c r="IO5" s="1248">
        <v>44197</v>
      </c>
      <c r="IP5" s="1090">
        <v>44228</v>
      </c>
      <c r="IQ5" s="1090">
        <v>44256</v>
      </c>
      <c r="IR5" s="1090">
        <v>44287</v>
      </c>
      <c r="IS5" s="1090">
        <v>44317</v>
      </c>
      <c r="IT5" s="1090">
        <v>44348</v>
      </c>
      <c r="IU5" s="1090">
        <v>44378</v>
      </c>
      <c r="IV5" s="1090">
        <v>44409</v>
      </c>
      <c r="IW5" s="1090">
        <v>44440</v>
      </c>
      <c r="IX5" s="1090">
        <v>44470</v>
      </c>
      <c r="IY5" s="1090">
        <v>44501</v>
      </c>
      <c r="IZ5" s="1090">
        <v>44531</v>
      </c>
      <c r="JA5" s="1091">
        <f>YEAR(IZ5)</f>
        <v>2021</v>
      </c>
      <c r="JB5" s="1248">
        <v>44562</v>
      </c>
      <c r="JC5" s="1090">
        <v>44593</v>
      </c>
      <c r="JD5" s="1090">
        <v>44621</v>
      </c>
      <c r="JE5" s="1090">
        <v>44652</v>
      </c>
      <c r="JF5" s="1090">
        <v>44682</v>
      </c>
      <c r="JG5" s="1090">
        <v>44713</v>
      </c>
      <c r="JH5" s="1090">
        <v>44743</v>
      </c>
      <c r="JI5" s="1090">
        <v>44774</v>
      </c>
      <c r="JJ5" s="1090">
        <v>44805</v>
      </c>
      <c r="JK5" s="1090">
        <v>44835</v>
      </c>
      <c r="JL5" s="1090">
        <v>44866</v>
      </c>
      <c r="JM5" s="1090">
        <v>44896</v>
      </c>
      <c r="JN5" s="1091">
        <f>YEAR(JM5)</f>
        <v>2022</v>
      </c>
      <c r="JO5" s="1248">
        <v>44927</v>
      </c>
      <c r="JP5" s="1090">
        <v>44958</v>
      </c>
      <c r="JQ5" s="1090">
        <v>44986</v>
      </c>
      <c r="JR5" s="1090">
        <v>45017</v>
      </c>
      <c r="JS5" s="1090">
        <v>45047</v>
      </c>
      <c r="JT5" s="1090">
        <v>45078</v>
      </c>
      <c r="JU5" s="1090">
        <v>45108</v>
      </c>
      <c r="JV5" s="1090">
        <v>45139</v>
      </c>
      <c r="JW5" s="1090">
        <v>45170</v>
      </c>
      <c r="JX5" s="1090">
        <v>45200</v>
      </c>
      <c r="JY5" s="1090">
        <v>45231</v>
      </c>
      <c r="JZ5" s="1090">
        <v>45261</v>
      </c>
      <c r="KA5" s="1091">
        <f>YEAR(JZ5)</f>
        <v>2023</v>
      </c>
      <c r="KB5" s="1248">
        <v>45292</v>
      </c>
      <c r="KC5" s="1090">
        <v>45323</v>
      </c>
      <c r="KD5" s="1090">
        <v>45352</v>
      </c>
      <c r="KE5" s="1090">
        <v>45383</v>
      </c>
      <c r="KF5" s="1090">
        <v>45413</v>
      </c>
      <c r="KG5" s="1090">
        <v>45444</v>
      </c>
      <c r="KH5" s="1090">
        <v>45474</v>
      </c>
      <c r="KI5" s="1090">
        <v>45505</v>
      </c>
      <c r="KJ5" s="1090">
        <v>45536</v>
      </c>
      <c r="KK5" s="1090">
        <v>45566</v>
      </c>
      <c r="KL5" s="1090">
        <v>45597</v>
      </c>
      <c r="KM5" s="1090">
        <v>45627</v>
      </c>
      <c r="KN5" s="1091">
        <f>YEAR(KM5)</f>
        <v>2024</v>
      </c>
      <c r="KO5" s="1248">
        <v>45658</v>
      </c>
      <c r="KP5" s="1090">
        <v>45689</v>
      </c>
      <c r="KQ5" s="1090">
        <v>45717</v>
      </c>
      <c r="KR5" s="1090">
        <v>45748</v>
      </c>
      <c r="KS5" s="1090">
        <v>45778</v>
      </c>
      <c r="KT5" s="1090">
        <v>45809</v>
      </c>
      <c r="KU5" s="1090">
        <v>45839</v>
      </c>
      <c r="KV5" s="1090">
        <v>45870</v>
      </c>
      <c r="KW5" s="1090">
        <v>45901</v>
      </c>
      <c r="KX5" s="1090">
        <v>45931</v>
      </c>
      <c r="KY5" s="1090">
        <v>45962</v>
      </c>
      <c r="KZ5" s="1090">
        <v>45992</v>
      </c>
      <c r="LA5" s="1091">
        <f>YEAR(KZ5)</f>
        <v>2025</v>
      </c>
      <c r="LB5" s="1248">
        <v>46023</v>
      </c>
      <c r="LC5" s="1090">
        <v>46054</v>
      </c>
      <c r="LD5" s="1090">
        <v>46082</v>
      </c>
      <c r="LE5" s="1090">
        <v>46113</v>
      </c>
      <c r="LF5" s="1090">
        <v>46143</v>
      </c>
      <c r="LG5" s="1090">
        <v>46174</v>
      </c>
      <c r="LH5" s="1090">
        <v>46204</v>
      </c>
      <c r="LI5" s="1090">
        <v>46235</v>
      </c>
      <c r="LJ5" s="1090">
        <v>46266</v>
      </c>
      <c r="LK5" s="1090">
        <v>46296</v>
      </c>
      <c r="LL5" s="1090">
        <v>46327</v>
      </c>
      <c r="LM5" s="1090">
        <v>46357</v>
      </c>
      <c r="LN5" s="1091">
        <f>YEAR(LM5)</f>
        <v>2026</v>
      </c>
      <c r="LP5" s="1106">
        <f>LI5</f>
        <v>46235</v>
      </c>
      <c r="LQ5" s="1107" t="str">
        <f>CONCATENATE("Ene.-",TEXT(LP5,"MMM."))</f>
        <v>Ene.-Ago.</v>
      </c>
      <c r="LR5" s="1108" t="str">
        <f>LQ5</f>
        <v>Ene.-Ago.</v>
      </c>
      <c r="LS5" s="1108" t="str">
        <f>LQ5</f>
        <v>Ene.-Ago.</v>
      </c>
      <c r="LT5" s="5"/>
      <c r="LU5" s="1012"/>
      <c r="LV5" s="1076" t="s">
        <v>563</v>
      </c>
      <c r="LW5" s="1077"/>
      <c r="LX5" s="1078"/>
    </row>
    <row r="6" spans="1:336" ht="15" customHeight="1" x14ac:dyDescent="0.2">
      <c r="A6" s="1277"/>
      <c r="B6" s="1249"/>
      <c r="C6" s="1092"/>
      <c r="D6" s="1092"/>
      <c r="E6" s="1092"/>
      <c r="F6" s="1092"/>
      <c r="G6" s="1092"/>
      <c r="H6" s="1092"/>
      <c r="I6" s="1092"/>
      <c r="J6" s="1092"/>
      <c r="K6" s="1092"/>
      <c r="L6" s="1092"/>
      <c r="M6" s="1092"/>
      <c r="N6" s="1093"/>
      <c r="O6" s="1249"/>
      <c r="P6" s="1092"/>
      <c r="Q6" s="1092"/>
      <c r="R6" s="1092"/>
      <c r="S6" s="1092"/>
      <c r="T6" s="1092"/>
      <c r="U6" s="1092"/>
      <c r="V6" s="1092"/>
      <c r="W6" s="1092"/>
      <c r="X6" s="1092"/>
      <c r="Y6" s="1092"/>
      <c r="Z6" s="1092"/>
      <c r="AA6" s="1093"/>
      <c r="AB6" s="1249"/>
      <c r="AC6" s="1092"/>
      <c r="AD6" s="1092"/>
      <c r="AE6" s="1092"/>
      <c r="AF6" s="1092"/>
      <c r="AG6" s="1092"/>
      <c r="AH6" s="1092"/>
      <c r="AI6" s="1092"/>
      <c r="AJ6" s="1092"/>
      <c r="AK6" s="1092"/>
      <c r="AL6" s="1092"/>
      <c r="AM6" s="1092"/>
      <c r="AN6" s="1093"/>
      <c r="AO6" s="1249"/>
      <c r="AP6" s="1092"/>
      <c r="AQ6" s="1092"/>
      <c r="AR6" s="1092"/>
      <c r="AS6" s="1092"/>
      <c r="AT6" s="1092"/>
      <c r="AU6" s="1092"/>
      <c r="AV6" s="1092"/>
      <c r="AW6" s="1092"/>
      <c r="AX6" s="1092"/>
      <c r="AY6" s="1092"/>
      <c r="AZ6" s="1092"/>
      <c r="BA6" s="1093"/>
      <c r="BB6" s="1249"/>
      <c r="BC6" s="1092"/>
      <c r="BD6" s="1092"/>
      <c r="BE6" s="1092"/>
      <c r="BF6" s="1092"/>
      <c r="BG6" s="1092"/>
      <c r="BH6" s="1092"/>
      <c r="BI6" s="1092"/>
      <c r="BJ6" s="1092"/>
      <c r="BK6" s="1092"/>
      <c r="BL6" s="1092"/>
      <c r="BM6" s="1092"/>
      <c r="BN6" s="1093"/>
      <c r="BO6" s="1249"/>
      <c r="BP6" s="1092"/>
      <c r="BQ6" s="1092"/>
      <c r="BR6" s="1092"/>
      <c r="BS6" s="1092"/>
      <c r="BT6" s="1092"/>
      <c r="BU6" s="1092"/>
      <c r="BV6" s="1092"/>
      <c r="BW6" s="1092"/>
      <c r="BX6" s="1092"/>
      <c r="BY6" s="1092"/>
      <c r="BZ6" s="1092"/>
      <c r="CA6" s="1093"/>
      <c r="CB6" s="1249"/>
      <c r="CC6" s="1092"/>
      <c r="CD6" s="1092"/>
      <c r="CE6" s="1092"/>
      <c r="CF6" s="1092"/>
      <c r="CG6" s="1092"/>
      <c r="CH6" s="1092"/>
      <c r="CI6" s="1092"/>
      <c r="CJ6" s="1092"/>
      <c r="CK6" s="1092"/>
      <c r="CL6" s="1092"/>
      <c r="CM6" s="1092"/>
      <c r="CN6" s="1093"/>
      <c r="CO6" s="1249"/>
      <c r="CP6" s="1092"/>
      <c r="CQ6" s="1092"/>
      <c r="CR6" s="1092"/>
      <c r="CS6" s="1092"/>
      <c r="CT6" s="1092"/>
      <c r="CU6" s="1092"/>
      <c r="CV6" s="1092"/>
      <c r="CW6" s="1092"/>
      <c r="CX6" s="1092"/>
      <c r="CY6" s="1092"/>
      <c r="CZ6" s="1092"/>
      <c r="DA6" s="1093"/>
      <c r="DB6" s="1249"/>
      <c r="DC6" s="1092"/>
      <c r="DD6" s="1092"/>
      <c r="DE6" s="1092"/>
      <c r="DF6" s="1092"/>
      <c r="DG6" s="1092"/>
      <c r="DH6" s="1092"/>
      <c r="DI6" s="1092"/>
      <c r="DJ6" s="1092"/>
      <c r="DK6" s="1092"/>
      <c r="DL6" s="1092"/>
      <c r="DM6" s="1092"/>
      <c r="DN6" s="1093"/>
      <c r="DO6" s="1249"/>
      <c r="DP6" s="1092"/>
      <c r="DQ6" s="1092"/>
      <c r="DR6" s="1092"/>
      <c r="DS6" s="1092"/>
      <c r="DT6" s="1092"/>
      <c r="DU6" s="1092"/>
      <c r="DV6" s="1092"/>
      <c r="DW6" s="1092"/>
      <c r="DX6" s="1092"/>
      <c r="DY6" s="1092"/>
      <c r="DZ6" s="1092"/>
      <c r="EA6" s="1093"/>
      <c r="EB6" s="1249"/>
      <c r="EC6" s="1092"/>
      <c r="ED6" s="1092"/>
      <c r="EE6" s="1092"/>
      <c r="EF6" s="1092"/>
      <c r="EG6" s="1092"/>
      <c r="EH6" s="1092"/>
      <c r="EI6" s="1092"/>
      <c r="EJ6" s="1092"/>
      <c r="EK6" s="1092"/>
      <c r="EL6" s="1092"/>
      <c r="EM6" s="1092"/>
      <c r="EN6" s="1093"/>
      <c r="EO6" s="1249"/>
      <c r="EP6" s="1092"/>
      <c r="EQ6" s="1092"/>
      <c r="ER6" s="1092"/>
      <c r="ES6" s="1092"/>
      <c r="ET6" s="1092"/>
      <c r="EU6" s="1092"/>
      <c r="EV6" s="1092"/>
      <c r="EW6" s="1092"/>
      <c r="EX6" s="1092"/>
      <c r="EY6" s="1092"/>
      <c r="EZ6" s="1092"/>
      <c r="FA6" s="1093"/>
      <c r="FB6" s="1249"/>
      <c r="FC6" s="1092"/>
      <c r="FD6" s="1092"/>
      <c r="FE6" s="1092"/>
      <c r="FF6" s="1092"/>
      <c r="FG6" s="1092"/>
      <c r="FH6" s="1092"/>
      <c r="FI6" s="1092"/>
      <c r="FJ6" s="1092"/>
      <c r="FK6" s="1092"/>
      <c r="FL6" s="1092"/>
      <c r="FM6" s="1092"/>
      <c r="FN6" s="1093"/>
      <c r="FO6" s="1249"/>
      <c r="FP6" s="1092"/>
      <c r="FQ6" s="1092"/>
      <c r="FR6" s="1092"/>
      <c r="FS6" s="1092"/>
      <c r="FT6" s="1092"/>
      <c r="FU6" s="1092"/>
      <c r="FV6" s="1092"/>
      <c r="FW6" s="1092"/>
      <c r="FX6" s="1092"/>
      <c r="FY6" s="1092"/>
      <c r="FZ6" s="1092"/>
      <c r="GA6" s="1093"/>
      <c r="GB6" s="1249"/>
      <c r="GC6" s="1092"/>
      <c r="GD6" s="1092"/>
      <c r="GE6" s="1092"/>
      <c r="GF6" s="1092"/>
      <c r="GG6" s="1092"/>
      <c r="GH6" s="1092"/>
      <c r="GI6" s="1092"/>
      <c r="GJ6" s="1092"/>
      <c r="GK6" s="1092"/>
      <c r="GL6" s="1092"/>
      <c r="GM6" s="1092"/>
      <c r="GN6" s="1093"/>
      <c r="GO6" s="1249"/>
      <c r="GP6" s="1092"/>
      <c r="GQ6" s="1092"/>
      <c r="GR6" s="1092"/>
      <c r="GS6" s="1092"/>
      <c r="GT6" s="1092"/>
      <c r="GU6" s="1092"/>
      <c r="GV6" s="1092"/>
      <c r="GW6" s="1092"/>
      <c r="GX6" s="1092"/>
      <c r="GY6" s="1092"/>
      <c r="GZ6" s="1092"/>
      <c r="HA6" s="1093"/>
      <c r="HB6" s="1249"/>
      <c r="HC6" s="1092"/>
      <c r="HD6" s="1092"/>
      <c r="HE6" s="1092"/>
      <c r="HF6" s="1092"/>
      <c r="HG6" s="1092"/>
      <c r="HH6" s="1092"/>
      <c r="HI6" s="1092"/>
      <c r="HJ6" s="1092"/>
      <c r="HK6" s="1092"/>
      <c r="HL6" s="1092"/>
      <c r="HM6" s="1092"/>
      <c r="HN6" s="1093"/>
      <c r="HO6" s="1249"/>
      <c r="HP6" s="1092"/>
      <c r="HQ6" s="1092"/>
      <c r="HR6" s="1092"/>
      <c r="HS6" s="1092"/>
      <c r="HT6" s="1092"/>
      <c r="HU6" s="1092"/>
      <c r="HV6" s="1092"/>
      <c r="HW6" s="1092"/>
      <c r="HX6" s="1092"/>
      <c r="HY6" s="1092"/>
      <c r="HZ6" s="1092"/>
      <c r="IA6" s="1093"/>
      <c r="IB6" s="1249"/>
      <c r="IC6" s="1092"/>
      <c r="ID6" s="1092"/>
      <c r="IE6" s="1092"/>
      <c r="IF6" s="1092"/>
      <c r="IG6" s="1092"/>
      <c r="IH6" s="1092"/>
      <c r="II6" s="1092"/>
      <c r="IJ6" s="1092"/>
      <c r="IK6" s="1092"/>
      <c r="IL6" s="1092"/>
      <c r="IM6" s="1092"/>
      <c r="IN6" s="1093"/>
      <c r="IO6" s="1249"/>
      <c r="IP6" s="1092"/>
      <c r="IQ6" s="1092"/>
      <c r="IR6" s="1092"/>
      <c r="IS6" s="1092"/>
      <c r="IT6" s="1092"/>
      <c r="IU6" s="1092"/>
      <c r="IV6" s="1092"/>
      <c r="IW6" s="1092"/>
      <c r="IX6" s="1092"/>
      <c r="IY6" s="1092"/>
      <c r="IZ6" s="1092"/>
      <c r="JA6" s="1093"/>
      <c r="JB6" s="1249"/>
      <c r="JC6" s="1092"/>
      <c r="JD6" s="1092"/>
      <c r="JE6" s="1092"/>
      <c r="JF6" s="1092"/>
      <c r="JG6" s="1092"/>
      <c r="JH6" s="1092"/>
      <c r="JI6" s="1092"/>
      <c r="JJ6" s="1092"/>
      <c r="JK6" s="1092"/>
      <c r="JL6" s="1092"/>
      <c r="JM6" s="1092"/>
      <c r="JN6" s="1093"/>
      <c r="JO6" s="1249"/>
      <c r="JP6" s="1092"/>
      <c r="JQ6" s="1092"/>
      <c r="JR6" s="1092"/>
      <c r="JS6" s="1092"/>
      <c r="JT6" s="1092"/>
      <c r="JU6" s="1092"/>
      <c r="JV6" s="1092"/>
      <c r="JW6" s="1092"/>
      <c r="JX6" s="1092"/>
      <c r="JY6" s="1092"/>
      <c r="JZ6" s="1092"/>
      <c r="KA6" s="1093"/>
      <c r="KB6" s="1249"/>
      <c r="KC6" s="1092"/>
      <c r="KD6" s="1092"/>
      <c r="KE6" s="1092"/>
      <c r="KF6" s="1092"/>
      <c r="KG6" s="1092"/>
      <c r="KH6" s="1092"/>
      <c r="KI6" s="1092"/>
      <c r="KJ6" s="1092"/>
      <c r="KK6" s="1092"/>
      <c r="KL6" s="1092"/>
      <c r="KM6" s="1092"/>
      <c r="KN6" s="1093"/>
      <c r="KO6" s="1249"/>
      <c r="KP6" s="1092"/>
      <c r="KQ6" s="1092"/>
      <c r="KR6" s="1092"/>
      <c r="KS6" s="1092"/>
      <c r="KT6" s="1092"/>
      <c r="KU6" s="1092"/>
      <c r="KV6" s="1092"/>
      <c r="KW6" s="1092"/>
      <c r="KX6" s="1092"/>
      <c r="KY6" s="1092"/>
      <c r="KZ6" s="1092"/>
      <c r="LA6" s="1093"/>
      <c r="LB6" s="1249"/>
      <c r="LC6" s="1092"/>
      <c r="LD6" s="1092"/>
      <c r="LE6" s="1092"/>
      <c r="LF6" s="1092"/>
      <c r="LG6" s="1092"/>
      <c r="LH6" s="1092"/>
      <c r="LI6" s="1092"/>
      <c r="LJ6" s="1092"/>
      <c r="LK6" s="1092"/>
      <c r="LL6" s="1092"/>
      <c r="LM6" s="1092"/>
      <c r="LN6" s="1093"/>
      <c r="LP6" s="1109"/>
      <c r="LQ6" s="1110"/>
      <c r="LR6" s="1111"/>
      <c r="LS6" s="1112"/>
      <c r="LT6" s="5"/>
      <c r="LU6" s="1012"/>
      <c r="LV6" s="1283"/>
      <c r="LW6" s="1160"/>
      <c r="LX6" s="1266"/>
    </row>
    <row r="7" spans="1:336" ht="15" customHeight="1" x14ac:dyDescent="0.2">
      <c r="A7" s="1278" t="s">
        <v>22</v>
      </c>
      <c r="B7" s="1250">
        <f t="shared" ref="B7:M7" si="0">SUM(B9:B39)</f>
        <v>1679.1020000000001</v>
      </c>
      <c r="C7" s="1094">
        <f t="shared" si="0"/>
        <v>1603.6129999999998</v>
      </c>
      <c r="D7" s="1094">
        <f t="shared" si="0"/>
        <v>1710.7419999999997</v>
      </c>
      <c r="E7" s="1094">
        <f t="shared" si="0"/>
        <v>1627.4250000000002</v>
      </c>
      <c r="F7" s="1094">
        <f t="shared" si="0"/>
        <v>1484.3710000000001</v>
      </c>
      <c r="G7" s="1094">
        <f t="shared" si="0"/>
        <v>1235.415</v>
      </c>
      <c r="H7" s="1094">
        <f t="shared" si="0"/>
        <v>1774.7640000000001</v>
      </c>
      <c r="I7" s="1094">
        <f t="shared" si="0"/>
        <v>1935.6100000000001</v>
      </c>
      <c r="J7" s="1094">
        <f t="shared" si="0"/>
        <v>2574.1660000000002</v>
      </c>
      <c r="K7" s="1094">
        <f t="shared" si="0"/>
        <v>2603.8809999999999</v>
      </c>
      <c r="L7" s="1094">
        <f t="shared" si="0"/>
        <v>2619.0809999999997</v>
      </c>
      <c r="M7" s="1094">
        <f t="shared" si="0"/>
        <v>2805.4530000000004</v>
      </c>
      <c r="N7" s="1095">
        <f>SUM(B7:M7)</f>
        <v>23653.623000000003</v>
      </c>
      <c r="O7" s="1250">
        <f t="shared" ref="O7:Z7" si="1">SUM(O9:O39)</f>
        <v>2400</v>
      </c>
      <c r="P7" s="1094">
        <f t="shared" si="1"/>
        <v>2292</v>
      </c>
      <c r="Q7" s="1094">
        <f t="shared" si="1"/>
        <v>2650.183</v>
      </c>
      <c r="R7" s="1094">
        <f t="shared" si="1"/>
        <v>1694.067</v>
      </c>
      <c r="S7" s="1094">
        <f t="shared" si="1"/>
        <v>2270.355</v>
      </c>
      <c r="T7" s="1094">
        <f t="shared" si="1"/>
        <v>1554.3409999999999</v>
      </c>
      <c r="U7" s="1094">
        <f t="shared" si="1"/>
        <v>2038.0400000000002</v>
      </c>
      <c r="V7" s="1094">
        <f t="shared" si="1"/>
        <v>3031.357</v>
      </c>
      <c r="W7" s="1094">
        <f t="shared" si="1"/>
        <v>4014.8649999999998</v>
      </c>
      <c r="X7" s="1094">
        <f t="shared" si="1"/>
        <v>2657.297</v>
      </c>
      <c r="Y7" s="1094">
        <f t="shared" si="1"/>
        <v>2984.7469999999998</v>
      </c>
      <c r="Z7" s="1094">
        <f t="shared" si="1"/>
        <v>4154.4259999999995</v>
      </c>
      <c r="AA7" s="1095">
        <f>SUM(O7:Z7)</f>
        <v>31741.677999999996</v>
      </c>
      <c r="AB7" s="1250">
        <f t="shared" ref="AB7:AM7" si="2">SUM(AB9:AB39)</f>
        <v>2521.9610000000002</v>
      </c>
      <c r="AC7" s="1094">
        <f t="shared" si="2"/>
        <v>3502.0299999999997</v>
      </c>
      <c r="AD7" s="1094">
        <f t="shared" si="2"/>
        <v>3927.0469999999991</v>
      </c>
      <c r="AE7" s="1094">
        <f t="shared" si="2"/>
        <v>2646.5039999999999</v>
      </c>
      <c r="AF7" s="1094">
        <f t="shared" si="2"/>
        <v>2705.0519999999997</v>
      </c>
      <c r="AG7" s="1094">
        <f t="shared" si="2"/>
        <v>2642.9350000000004</v>
      </c>
      <c r="AH7" s="1094">
        <f t="shared" si="2"/>
        <v>2017.3519999999999</v>
      </c>
      <c r="AI7" s="1094">
        <f t="shared" si="2"/>
        <v>2658.3910000000001</v>
      </c>
      <c r="AJ7" s="1094">
        <f t="shared" si="2"/>
        <v>2787.5940000000001</v>
      </c>
      <c r="AK7" s="1094">
        <f t="shared" si="2"/>
        <v>2365.192</v>
      </c>
      <c r="AL7" s="1094">
        <f t="shared" si="2"/>
        <v>3002.3380000000002</v>
      </c>
      <c r="AM7" s="1094">
        <f t="shared" si="2"/>
        <v>2533.5069999999996</v>
      </c>
      <c r="AN7" s="1095">
        <f>SUM(AB7:AM7)</f>
        <v>33309.902999999998</v>
      </c>
      <c r="AO7" s="1250">
        <f t="shared" ref="AO7:AZ7" si="3">SUM(AO9:AO39)</f>
        <v>1612.6980000000001</v>
      </c>
      <c r="AP7" s="1094">
        <f t="shared" si="3"/>
        <v>2284.4100000000003</v>
      </c>
      <c r="AQ7" s="1094">
        <f t="shared" si="3"/>
        <v>2280.5949999999993</v>
      </c>
      <c r="AR7" s="1094">
        <f t="shared" si="3"/>
        <v>1867.296</v>
      </c>
      <c r="AS7" s="1094">
        <f t="shared" si="3"/>
        <v>1152.2970000000003</v>
      </c>
      <c r="AT7" s="1094">
        <f t="shared" si="3"/>
        <v>3349.8930000000005</v>
      </c>
      <c r="AU7" s="1094">
        <f t="shared" si="3"/>
        <v>783</v>
      </c>
      <c r="AV7" s="1094">
        <f t="shared" si="3"/>
        <v>2896</v>
      </c>
      <c r="AW7" s="1094">
        <f t="shared" si="3"/>
        <v>2768</v>
      </c>
      <c r="AX7" s="1094">
        <f t="shared" si="3"/>
        <v>4495</v>
      </c>
      <c r="AY7" s="1094">
        <f t="shared" si="3"/>
        <v>4306</v>
      </c>
      <c r="AZ7" s="1094">
        <f t="shared" si="3"/>
        <v>4892</v>
      </c>
      <c r="BA7" s="1095">
        <f>SUM(AO7:AZ7)</f>
        <v>32687.188999999998</v>
      </c>
      <c r="BB7" s="1250">
        <f t="shared" ref="BB7:CM7" si="4">SUM(BB9:BB39)</f>
        <v>2948</v>
      </c>
      <c r="BC7" s="1094">
        <f t="shared" si="4"/>
        <v>3396</v>
      </c>
      <c r="BD7" s="1094">
        <f t="shared" si="4"/>
        <v>4295.9430000000002</v>
      </c>
      <c r="BE7" s="1094">
        <f t="shared" si="4"/>
        <v>4109</v>
      </c>
      <c r="BF7" s="1094">
        <f t="shared" si="4"/>
        <v>3473.627</v>
      </c>
      <c r="BG7" s="1094">
        <f t="shared" si="4"/>
        <v>3957</v>
      </c>
      <c r="BH7" s="1094">
        <f t="shared" si="4"/>
        <v>3628.779</v>
      </c>
      <c r="BI7" s="1094">
        <f t="shared" si="4"/>
        <v>4967</v>
      </c>
      <c r="BJ7" s="1094">
        <f t="shared" si="4"/>
        <v>3390</v>
      </c>
      <c r="BK7" s="1094">
        <f t="shared" si="4"/>
        <v>4896.3890000000001</v>
      </c>
      <c r="BL7" s="1094">
        <f t="shared" si="4"/>
        <v>2913.9670000000001</v>
      </c>
      <c r="BM7" s="1094">
        <f t="shared" si="4"/>
        <v>6904.2289999999994</v>
      </c>
      <c r="BN7" s="1095">
        <f>SUM(BB7:BM7)</f>
        <v>48879.934000000001</v>
      </c>
      <c r="BO7" s="1250">
        <f t="shared" si="4"/>
        <v>3728.6189999999997</v>
      </c>
      <c r="BP7" s="1094">
        <f t="shared" si="4"/>
        <v>4020.1499999999996</v>
      </c>
      <c r="BQ7" s="1094">
        <f t="shared" si="4"/>
        <v>4641.8739999999998</v>
      </c>
      <c r="BR7" s="1094">
        <f t="shared" si="4"/>
        <v>2863.1279999999997</v>
      </c>
      <c r="BS7" s="1094">
        <f t="shared" si="4"/>
        <v>3454.096</v>
      </c>
      <c r="BT7" s="1094">
        <f t="shared" si="4"/>
        <v>3992.6579999999999</v>
      </c>
      <c r="BU7" s="1094">
        <f t="shared" si="4"/>
        <v>3992.9589999999994</v>
      </c>
      <c r="BV7" s="1094">
        <f t="shared" si="4"/>
        <v>5774.3850000000002</v>
      </c>
      <c r="BW7" s="1094">
        <f t="shared" si="4"/>
        <v>5836.2119999999995</v>
      </c>
      <c r="BX7" s="1094">
        <f t="shared" si="4"/>
        <v>4376.030999999999</v>
      </c>
      <c r="BY7" s="1094">
        <f t="shared" si="4"/>
        <v>5085.433</v>
      </c>
      <c r="BZ7" s="1094">
        <f t="shared" si="4"/>
        <v>3510</v>
      </c>
      <c r="CA7" s="1095">
        <f>SUM(BO7:BZ7)</f>
        <v>51275.544999999991</v>
      </c>
      <c r="CB7" s="1250">
        <f t="shared" si="4"/>
        <v>1431</v>
      </c>
      <c r="CC7" s="1094">
        <f t="shared" si="4"/>
        <v>2167</v>
      </c>
      <c r="CD7" s="1094">
        <f t="shared" si="4"/>
        <v>3206</v>
      </c>
      <c r="CE7" s="1094">
        <f t="shared" si="4"/>
        <v>1724</v>
      </c>
      <c r="CF7" s="1094">
        <f t="shared" si="4"/>
        <v>2709</v>
      </c>
      <c r="CG7" s="1094">
        <f t="shared" si="4"/>
        <v>2568</v>
      </c>
      <c r="CH7" s="1094">
        <f t="shared" si="4"/>
        <v>1819</v>
      </c>
      <c r="CI7" s="1094">
        <f t="shared" si="4"/>
        <v>2655</v>
      </c>
      <c r="CJ7" s="1094">
        <f t="shared" si="4"/>
        <v>3468</v>
      </c>
      <c r="CK7" s="1094">
        <f t="shared" si="4"/>
        <v>3343</v>
      </c>
      <c r="CL7" s="1094">
        <f t="shared" si="4"/>
        <v>1994</v>
      </c>
      <c r="CM7" s="1094">
        <f t="shared" si="4"/>
        <v>3099</v>
      </c>
      <c r="CN7" s="1095">
        <f>SUM(CB7:CM7)</f>
        <v>30183</v>
      </c>
      <c r="CO7" s="1250">
        <f t="shared" ref="CO7:CZ7" si="5">SUM(CO9:CO39)</f>
        <v>1851</v>
      </c>
      <c r="CP7" s="1094">
        <f t="shared" si="5"/>
        <v>1525</v>
      </c>
      <c r="CQ7" s="1094">
        <f t="shared" si="5"/>
        <v>1847</v>
      </c>
      <c r="CR7" s="1094">
        <f t="shared" si="5"/>
        <v>870</v>
      </c>
      <c r="CS7" s="1094">
        <f t="shared" si="5"/>
        <v>866</v>
      </c>
      <c r="CT7" s="1094">
        <f t="shared" si="5"/>
        <v>891</v>
      </c>
      <c r="CU7" s="1094">
        <f t="shared" si="5"/>
        <v>757</v>
      </c>
      <c r="CV7" s="1094">
        <f t="shared" si="5"/>
        <v>1003</v>
      </c>
      <c r="CW7" s="1094">
        <f t="shared" si="5"/>
        <v>2005</v>
      </c>
      <c r="CX7" s="1094">
        <f t="shared" si="5"/>
        <v>1808</v>
      </c>
      <c r="CY7" s="1094">
        <f t="shared" si="5"/>
        <v>1865</v>
      </c>
      <c r="CZ7" s="1094">
        <f t="shared" si="5"/>
        <v>1771</v>
      </c>
      <c r="DA7" s="1095">
        <f>SUM(CO7:CZ7)</f>
        <v>17059</v>
      </c>
      <c r="DB7" s="1250">
        <f t="shared" ref="DB7:DM7" si="6">SUM(DB9:DB39)</f>
        <v>1159</v>
      </c>
      <c r="DC7" s="1094">
        <f t="shared" si="6"/>
        <v>2119</v>
      </c>
      <c r="DD7" s="1094">
        <f t="shared" si="6"/>
        <v>1701</v>
      </c>
      <c r="DE7" s="1094">
        <f t="shared" si="6"/>
        <v>1782</v>
      </c>
      <c r="DF7" s="1094">
        <f t="shared" si="6"/>
        <v>1278</v>
      </c>
      <c r="DG7" s="1094">
        <f t="shared" si="6"/>
        <v>1726</v>
      </c>
      <c r="DH7" s="1094">
        <f t="shared" si="6"/>
        <v>1297</v>
      </c>
      <c r="DI7" s="1094">
        <f t="shared" si="6"/>
        <v>1001</v>
      </c>
      <c r="DJ7" s="1094">
        <f t="shared" si="6"/>
        <v>2216</v>
      </c>
      <c r="DK7" s="1094">
        <f t="shared" si="6"/>
        <v>2363.4444444444443</v>
      </c>
      <c r="DL7" s="1094">
        <f t="shared" si="6"/>
        <v>2395</v>
      </c>
      <c r="DM7" s="1094">
        <f t="shared" si="6"/>
        <v>2557</v>
      </c>
      <c r="DN7" s="1095">
        <f>SUM(DB7:DM7)</f>
        <v>21594.444444444445</v>
      </c>
      <c r="DO7" s="1250">
        <f t="shared" ref="DO7:DZ7" si="7">SUM(DO9:DO39)</f>
        <v>1436</v>
      </c>
      <c r="DP7" s="1094">
        <f t="shared" si="7"/>
        <v>1834</v>
      </c>
      <c r="DQ7" s="1094">
        <f t="shared" si="7"/>
        <v>1049</v>
      </c>
      <c r="DR7" s="1094">
        <f t="shared" si="7"/>
        <v>368</v>
      </c>
      <c r="DS7" s="1094">
        <f t="shared" si="7"/>
        <v>742</v>
      </c>
      <c r="DT7" s="1094">
        <f t="shared" si="7"/>
        <v>834</v>
      </c>
      <c r="DU7" s="1094">
        <f t="shared" si="7"/>
        <v>735</v>
      </c>
      <c r="DV7" s="1094">
        <f t="shared" si="7"/>
        <v>1733</v>
      </c>
      <c r="DW7" s="1094">
        <f t="shared" si="7"/>
        <v>2734</v>
      </c>
      <c r="DX7" s="1094">
        <f t="shared" si="7"/>
        <v>2316</v>
      </c>
      <c r="DY7" s="1094">
        <f t="shared" si="7"/>
        <v>2077</v>
      </c>
      <c r="DZ7" s="1094">
        <f t="shared" si="7"/>
        <v>784</v>
      </c>
      <c r="EA7" s="1095">
        <f>SUM(DO7:DZ7)</f>
        <v>16642</v>
      </c>
      <c r="EB7" s="1250">
        <f t="shared" ref="EB7:EM7" si="8">SUM(EB9:EB39)</f>
        <v>979</v>
      </c>
      <c r="EC7" s="1094">
        <f t="shared" si="8"/>
        <v>818</v>
      </c>
      <c r="ED7" s="1094">
        <f t="shared" si="8"/>
        <v>1011</v>
      </c>
      <c r="EE7" s="1094">
        <f t="shared" si="8"/>
        <v>892</v>
      </c>
      <c r="EF7" s="1094">
        <f t="shared" si="8"/>
        <v>537</v>
      </c>
      <c r="EG7" s="1094">
        <f t="shared" si="8"/>
        <v>1052</v>
      </c>
      <c r="EH7" s="1094">
        <f t="shared" si="8"/>
        <v>1411</v>
      </c>
      <c r="EI7" s="1094">
        <f t="shared" si="8"/>
        <v>1879</v>
      </c>
      <c r="EJ7" s="1094">
        <f t="shared" si="8"/>
        <v>2007</v>
      </c>
      <c r="EK7" s="1094">
        <f t="shared" si="8"/>
        <v>3813</v>
      </c>
      <c r="EL7" s="1094">
        <f t="shared" si="8"/>
        <v>2156</v>
      </c>
      <c r="EM7" s="1094">
        <f t="shared" si="8"/>
        <v>1571</v>
      </c>
      <c r="EN7" s="1095">
        <f>SUM(EB7:EM7)</f>
        <v>18126</v>
      </c>
      <c r="EO7" s="1250">
        <f t="shared" ref="EO7:EZ7" si="9">SUM(EO9:EO39)</f>
        <v>1069</v>
      </c>
      <c r="EP7" s="1094">
        <f t="shared" si="9"/>
        <v>1360</v>
      </c>
      <c r="EQ7" s="1094">
        <f t="shared" si="9"/>
        <v>1067</v>
      </c>
      <c r="ER7" s="1094">
        <f t="shared" si="9"/>
        <v>1181</v>
      </c>
      <c r="ES7" s="1094">
        <f t="shared" si="9"/>
        <v>1095</v>
      </c>
      <c r="ET7" s="1094">
        <f t="shared" si="9"/>
        <v>800</v>
      </c>
      <c r="EU7" s="1094">
        <f t="shared" si="9"/>
        <v>1144</v>
      </c>
      <c r="EV7" s="1094">
        <f t="shared" si="9"/>
        <v>2244</v>
      </c>
      <c r="EW7" s="1094">
        <f t="shared" si="9"/>
        <v>1809</v>
      </c>
      <c r="EX7" s="1094">
        <f t="shared" si="9"/>
        <v>2664</v>
      </c>
      <c r="EY7" s="1094">
        <f t="shared" si="9"/>
        <v>1645</v>
      </c>
      <c r="EZ7" s="1094">
        <f t="shared" si="9"/>
        <v>1504</v>
      </c>
      <c r="FA7" s="1095">
        <f>SUM(EO7:EZ7)</f>
        <v>17582</v>
      </c>
      <c r="FB7" s="1250">
        <f t="shared" ref="FB7:FM7" si="10">SUM(FB9:FB39)</f>
        <v>1204</v>
      </c>
      <c r="FC7" s="1094">
        <f t="shared" si="10"/>
        <v>1190</v>
      </c>
      <c r="FD7" s="1094">
        <f t="shared" si="10"/>
        <v>659</v>
      </c>
      <c r="FE7" s="1094">
        <f t="shared" si="10"/>
        <v>738</v>
      </c>
      <c r="FF7" s="1094">
        <f t="shared" si="10"/>
        <v>916</v>
      </c>
      <c r="FG7" s="1094">
        <f t="shared" si="10"/>
        <v>812</v>
      </c>
      <c r="FH7" s="1094">
        <f t="shared" si="10"/>
        <v>738</v>
      </c>
      <c r="FI7" s="1094">
        <f t="shared" si="10"/>
        <v>1123</v>
      </c>
      <c r="FJ7" s="1094">
        <f t="shared" si="10"/>
        <v>1668</v>
      </c>
      <c r="FK7" s="1094">
        <f t="shared" si="10"/>
        <v>1768</v>
      </c>
      <c r="FL7" s="1094">
        <f t="shared" si="10"/>
        <v>1900.5</v>
      </c>
      <c r="FM7" s="1094">
        <f t="shared" si="10"/>
        <v>1537.5</v>
      </c>
      <c r="FN7" s="1095">
        <f>SUM(FB7:FM7)</f>
        <v>14254</v>
      </c>
      <c r="FO7" s="1250">
        <f t="shared" ref="FO7:FZ7" si="11">SUM(FO9:FO39)</f>
        <v>521</v>
      </c>
      <c r="FP7" s="1094">
        <f t="shared" si="11"/>
        <v>497</v>
      </c>
      <c r="FQ7" s="1094">
        <f t="shared" si="11"/>
        <v>804</v>
      </c>
      <c r="FR7" s="1094">
        <f t="shared" si="11"/>
        <v>518</v>
      </c>
      <c r="FS7" s="1094">
        <f t="shared" si="11"/>
        <v>611</v>
      </c>
      <c r="FT7" s="1094">
        <f t="shared" si="11"/>
        <v>681</v>
      </c>
      <c r="FU7" s="1094">
        <f t="shared" si="11"/>
        <v>635</v>
      </c>
      <c r="FV7" s="1094">
        <f t="shared" si="11"/>
        <v>566</v>
      </c>
      <c r="FW7" s="1094">
        <f t="shared" si="11"/>
        <v>961</v>
      </c>
      <c r="FX7" s="1094">
        <f t="shared" si="11"/>
        <v>969</v>
      </c>
      <c r="FY7" s="1094">
        <f t="shared" si="11"/>
        <v>875</v>
      </c>
      <c r="FZ7" s="1094">
        <f t="shared" si="11"/>
        <v>1067</v>
      </c>
      <c r="GA7" s="1095">
        <f>SUM(FO7:FZ7)</f>
        <v>8705</v>
      </c>
      <c r="GB7" s="1250">
        <f t="shared" ref="GB7:GM7" si="12">SUM(GB9:GB39)</f>
        <v>420</v>
      </c>
      <c r="GC7" s="1094">
        <f t="shared" si="12"/>
        <v>346</v>
      </c>
      <c r="GD7" s="1094">
        <f t="shared" si="12"/>
        <v>424.851</v>
      </c>
      <c r="GE7" s="1094">
        <f t="shared" si="12"/>
        <v>481.90400000000005</v>
      </c>
      <c r="GF7" s="1094">
        <f t="shared" si="12"/>
        <v>837.24800000000005</v>
      </c>
      <c r="GG7" s="1094">
        <f t="shared" si="12"/>
        <v>617</v>
      </c>
      <c r="GH7" s="1094">
        <f t="shared" si="12"/>
        <v>675</v>
      </c>
      <c r="GI7" s="1094">
        <f t="shared" si="12"/>
        <v>828</v>
      </c>
      <c r="GJ7" s="1094">
        <f t="shared" si="12"/>
        <v>605</v>
      </c>
      <c r="GK7" s="1094">
        <f t="shared" si="12"/>
        <v>751</v>
      </c>
      <c r="GL7" s="1094">
        <f t="shared" si="12"/>
        <v>824</v>
      </c>
      <c r="GM7" s="1094">
        <f t="shared" si="12"/>
        <v>1070.5</v>
      </c>
      <c r="GN7" s="1095">
        <f>SUM(GB7:GM7)</f>
        <v>7880.5030000000006</v>
      </c>
      <c r="GO7" s="1250">
        <f t="shared" ref="GO7:GZ7" si="13">SUM(GO9:GO39)</f>
        <v>269.08199999999999</v>
      </c>
      <c r="GP7" s="1094">
        <f t="shared" si="13"/>
        <v>219.44300000000001</v>
      </c>
      <c r="GQ7" s="1094">
        <f t="shared" si="13"/>
        <v>980.19700000000012</v>
      </c>
      <c r="GR7" s="1094">
        <f t="shared" si="13"/>
        <v>691</v>
      </c>
      <c r="GS7" s="1094">
        <f t="shared" si="13"/>
        <v>702</v>
      </c>
      <c r="GT7" s="1094">
        <f t="shared" si="13"/>
        <v>328</v>
      </c>
      <c r="GU7" s="1094">
        <f t="shared" si="13"/>
        <v>755</v>
      </c>
      <c r="GV7" s="1094">
        <f t="shared" si="13"/>
        <v>1480.3</v>
      </c>
      <c r="GW7" s="1094">
        <f t="shared" si="13"/>
        <v>1513</v>
      </c>
      <c r="GX7" s="1094">
        <f t="shared" si="13"/>
        <v>1222</v>
      </c>
      <c r="GY7" s="1094">
        <f t="shared" si="13"/>
        <v>1024</v>
      </c>
      <c r="GZ7" s="1094">
        <f t="shared" si="13"/>
        <v>816</v>
      </c>
      <c r="HA7" s="1095">
        <f>SUM(GO7:GZ7)</f>
        <v>10000.022000000001</v>
      </c>
      <c r="HB7" s="1250">
        <f t="shared" ref="HB7:HM7" si="14">SUM(HB9:HB39)</f>
        <v>356</v>
      </c>
      <c r="HC7" s="1094">
        <f t="shared" si="14"/>
        <v>424</v>
      </c>
      <c r="HD7" s="1094">
        <f t="shared" si="14"/>
        <v>1060.9459999999999</v>
      </c>
      <c r="HE7" s="1094">
        <f t="shared" si="14"/>
        <v>773.71799999999996</v>
      </c>
      <c r="HF7" s="1094">
        <f t="shared" si="14"/>
        <v>776</v>
      </c>
      <c r="HG7" s="1094">
        <f t="shared" si="14"/>
        <v>1321</v>
      </c>
      <c r="HH7" s="1094">
        <f t="shared" si="14"/>
        <v>1785</v>
      </c>
      <c r="HI7" s="1094">
        <f t="shared" si="14"/>
        <v>4346</v>
      </c>
      <c r="HJ7" s="1094">
        <f t="shared" si="14"/>
        <v>3786.2830000000004</v>
      </c>
      <c r="HK7" s="1094">
        <f t="shared" si="14"/>
        <v>2214.5940000000001</v>
      </c>
      <c r="HL7" s="1094">
        <f t="shared" si="14"/>
        <v>1105.0340000000001</v>
      </c>
      <c r="HM7" s="1094">
        <f t="shared" si="14"/>
        <v>854.67499999999995</v>
      </c>
      <c r="HN7" s="1095">
        <f>SUM(HB7:HM7)</f>
        <v>18803.25</v>
      </c>
      <c r="HO7" s="1250">
        <f t="shared" ref="HO7:HY7" si="15">SUM(HO9:HO39)</f>
        <v>194.34899999999999</v>
      </c>
      <c r="HP7" s="1094">
        <f t="shared" si="15"/>
        <v>627.56700000000001</v>
      </c>
      <c r="HQ7" s="1094">
        <f t="shared" si="15"/>
        <v>1224.116</v>
      </c>
      <c r="HR7" s="1094">
        <f t="shared" si="15"/>
        <v>532.53499999999997</v>
      </c>
      <c r="HS7" s="1094">
        <f t="shared" si="15"/>
        <v>1350.5920000000001</v>
      </c>
      <c r="HT7" s="1094">
        <f t="shared" si="15"/>
        <v>1085.366</v>
      </c>
      <c r="HU7" s="1094">
        <f t="shared" si="15"/>
        <v>677.00800000000004</v>
      </c>
      <c r="HV7" s="1094">
        <f t="shared" si="15"/>
        <v>451.048</v>
      </c>
      <c r="HW7" s="1094">
        <f t="shared" si="15"/>
        <v>471.40599999999995</v>
      </c>
      <c r="HX7" s="1094">
        <f t="shared" si="15"/>
        <v>2280.44</v>
      </c>
      <c r="HY7" s="1094">
        <f t="shared" si="15"/>
        <v>674</v>
      </c>
      <c r="HZ7" s="1094">
        <v>201</v>
      </c>
      <c r="IA7" s="1095">
        <f>SUM(HO7:HZ7)</f>
        <v>9769.4269999999997</v>
      </c>
      <c r="IB7" s="1250">
        <f t="shared" ref="IB7:JM7" si="16">SUM(IB9:IB39)</f>
        <v>913.91</v>
      </c>
      <c r="IC7" s="1094">
        <f t="shared" si="16"/>
        <v>930.35299999999995</v>
      </c>
      <c r="ID7" s="1094">
        <f t="shared" si="16"/>
        <v>667.29353846153856</v>
      </c>
      <c r="IE7" s="1094">
        <f t="shared" si="16"/>
        <v>0</v>
      </c>
      <c r="IF7" s="1094">
        <f t="shared" si="16"/>
        <v>776.995</v>
      </c>
      <c r="IG7" s="1094">
        <f t="shared" si="16"/>
        <v>1049.4849999999999</v>
      </c>
      <c r="IH7" s="1094">
        <f t="shared" si="16"/>
        <v>650.61200000000008</v>
      </c>
      <c r="II7" s="1094">
        <f t="shared" si="16"/>
        <v>1079.6670000000004</v>
      </c>
      <c r="IJ7" s="1094">
        <f t="shared" si="16"/>
        <v>984.38799999999981</v>
      </c>
      <c r="IK7" s="1094">
        <f t="shared" si="16"/>
        <v>1322</v>
      </c>
      <c r="IL7" s="1094">
        <f t="shared" si="16"/>
        <v>1201</v>
      </c>
      <c r="IM7" s="1094">
        <f t="shared" si="16"/>
        <v>1615</v>
      </c>
      <c r="IN7" s="1095">
        <f>SUM(IB7:IM7)</f>
        <v>11190.703538461537</v>
      </c>
      <c r="IO7" s="1250">
        <f t="shared" si="16"/>
        <v>292.58199999999999</v>
      </c>
      <c r="IP7" s="1094">
        <f t="shared" si="16"/>
        <v>742.67899999999997</v>
      </c>
      <c r="IQ7" s="1094">
        <f t="shared" si="16"/>
        <v>823.71699999999998</v>
      </c>
      <c r="IR7" s="1094">
        <f t="shared" si="16"/>
        <v>476.07599999999996</v>
      </c>
      <c r="IS7" s="1094">
        <f t="shared" si="16"/>
        <v>459.00699999999995</v>
      </c>
      <c r="IT7" s="1094">
        <f t="shared" si="16"/>
        <v>971.49900000000002</v>
      </c>
      <c r="IU7" s="1094">
        <f t="shared" si="16"/>
        <v>1549.846</v>
      </c>
      <c r="IV7" s="1094">
        <f t="shared" si="16"/>
        <v>1767.498</v>
      </c>
      <c r="IW7" s="1094">
        <f t="shared" si="16"/>
        <v>1539.2169999999999</v>
      </c>
      <c r="IX7" s="1094">
        <f t="shared" si="16"/>
        <v>1704.18</v>
      </c>
      <c r="IY7" s="1094">
        <f t="shared" si="16"/>
        <v>1755.0830000000001</v>
      </c>
      <c r="IZ7" s="1094">
        <f t="shared" si="16"/>
        <v>1272.3389999999999</v>
      </c>
      <c r="JA7" s="1095">
        <f>SUM(IO7:IZ7)</f>
        <v>13353.723000000002</v>
      </c>
      <c r="JB7" s="1250">
        <f t="shared" si="16"/>
        <v>1240.17</v>
      </c>
      <c r="JC7" s="1094">
        <f t="shared" si="16"/>
        <v>1291.2629999999999</v>
      </c>
      <c r="JD7" s="1094">
        <f t="shared" si="16"/>
        <v>1590.8750000000002</v>
      </c>
      <c r="JE7" s="1094">
        <f t="shared" si="16"/>
        <v>1799.009</v>
      </c>
      <c r="JF7" s="1094">
        <f t="shared" si="16"/>
        <v>1731.6120000000001</v>
      </c>
      <c r="JG7" s="1094">
        <f t="shared" si="16"/>
        <v>1577.3150000000001</v>
      </c>
      <c r="JH7" s="1094">
        <f t="shared" si="16"/>
        <v>1511.009</v>
      </c>
      <c r="JI7" s="1094">
        <f t="shared" si="16"/>
        <v>1981.7750000000001</v>
      </c>
      <c r="JJ7" s="1094">
        <f t="shared" si="16"/>
        <v>2264.8040000000001</v>
      </c>
      <c r="JK7" s="1094">
        <f t="shared" si="16"/>
        <v>2200.9059999999999</v>
      </c>
      <c r="JL7" s="1094">
        <f t="shared" si="16"/>
        <v>2275.567</v>
      </c>
      <c r="JM7" s="1094">
        <f t="shared" si="16"/>
        <v>2146.4540000000002</v>
      </c>
      <c r="JN7" s="1095">
        <f>SUM(JB7:JM7)</f>
        <v>21610.759000000002</v>
      </c>
      <c r="JO7" s="1250">
        <f>SUM(JO9:JO39)</f>
        <v>1147.509</v>
      </c>
      <c r="JP7" s="1094">
        <f>SUM(JP9:JP39)</f>
        <v>1551.8910000000001</v>
      </c>
      <c r="JQ7" s="1094">
        <f>SUM(JQ9:JQ39)</f>
        <v>1266.5119999999999</v>
      </c>
      <c r="JR7" s="1094">
        <f>SUM(JR9:JR39)</f>
        <v>753.596</v>
      </c>
      <c r="JS7" s="1094">
        <f t="shared" ref="JS7:KD7" si="17">SUM(JS9:JS39)</f>
        <v>858.87099999999998</v>
      </c>
      <c r="JT7" s="1094">
        <f t="shared" si="17"/>
        <v>756.92600000000004</v>
      </c>
      <c r="JU7" s="1094">
        <f t="shared" si="17"/>
        <v>1285.654</v>
      </c>
      <c r="JV7" s="1094">
        <f t="shared" si="17"/>
        <v>1344.9639999999999</v>
      </c>
      <c r="JW7" s="1094">
        <f t="shared" si="17"/>
        <v>1100.048</v>
      </c>
      <c r="JX7" s="1094">
        <f t="shared" si="17"/>
        <v>2018.8719999999998</v>
      </c>
      <c r="JY7" s="1094">
        <f t="shared" si="17"/>
        <v>1262.027</v>
      </c>
      <c r="JZ7" s="1094">
        <f t="shared" si="17"/>
        <v>574.91800000000001</v>
      </c>
      <c r="KA7" s="1095">
        <f>SUM(JO7:JZ7)</f>
        <v>13921.788</v>
      </c>
      <c r="KB7" s="1250">
        <f t="shared" si="17"/>
        <v>179.41399999999999</v>
      </c>
      <c r="KC7" s="1094">
        <f t="shared" si="17"/>
        <v>325.41800000000001</v>
      </c>
      <c r="KD7" s="1094">
        <f t="shared" si="17"/>
        <v>2042.8500000000004</v>
      </c>
      <c r="KE7" s="1094">
        <f t="shared" ref="KE7:LB7" si="18">SUM(KE9:KE39)</f>
        <v>2361.5690000000004</v>
      </c>
      <c r="KF7" s="1094">
        <f t="shared" si="18"/>
        <v>1829.6680000000003</v>
      </c>
      <c r="KG7" s="1094">
        <f t="shared" si="18"/>
        <v>2005.5319999999997</v>
      </c>
      <c r="KH7" s="1094">
        <f t="shared" si="18"/>
        <v>2727.5319999999997</v>
      </c>
      <c r="KI7" s="1094">
        <f t="shared" si="18"/>
        <v>2236.3270000000002</v>
      </c>
      <c r="KJ7" s="1094">
        <f t="shared" si="18"/>
        <v>3483.3829999999998</v>
      </c>
      <c r="KK7" s="1094">
        <f t="shared" si="18"/>
        <v>564.82500000000005</v>
      </c>
      <c r="KL7" s="1094">
        <f t="shared" si="18"/>
        <v>487.87600000000003</v>
      </c>
      <c r="KM7" s="1094">
        <f t="shared" si="18"/>
        <v>878.56299999999999</v>
      </c>
      <c r="KN7" s="1095">
        <f>SUM(KB7:KM7)</f>
        <v>19122.956999999999</v>
      </c>
      <c r="KO7" s="1250">
        <f t="shared" ref="KO7:KZ7" si="19">SUM(KO9:KO39)</f>
        <v>2266.569</v>
      </c>
      <c r="KP7" s="1094">
        <f t="shared" si="19"/>
        <v>1153.6130000000001</v>
      </c>
      <c r="KQ7" s="1094">
        <f t="shared" si="19"/>
        <v>1671.8039999999999</v>
      </c>
      <c r="KR7" s="1094">
        <f t="shared" si="19"/>
        <v>1455.5269999999998</v>
      </c>
      <c r="KS7" s="1094">
        <f t="shared" si="19"/>
        <v>1303.7549999999999</v>
      </c>
      <c r="KT7" s="1094">
        <f t="shared" si="19"/>
        <v>954.26599999999996</v>
      </c>
      <c r="KU7" s="1094">
        <f t="shared" si="19"/>
        <v>1413.9280000000001</v>
      </c>
      <c r="KV7" s="1094">
        <f t="shared" si="19"/>
        <v>2073.0729999999999</v>
      </c>
      <c r="KW7" s="1094">
        <f t="shared" si="19"/>
        <v>2340.52</v>
      </c>
      <c r="KX7" s="1094">
        <f t="shared" si="19"/>
        <v>2814.7329999999997</v>
      </c>
      <c r="KY7" s="1094">
        <f t="shared" si="19"/>
        <v>1811.3120000000001</v>
      </c>
      <c r="KZ7" s="1094">
        <f t="shared" si="19"/>
        <v>1723.6989999999998</v>
      </c>
      <c r="LA7" s="1095">
        <f>SUM(KO7:KZ7)</f>
        <v>20982.799000000003</v>
      </c>
      <c r="LB7" s="1250">
        <v>796.60600000001011</v>
      </c>
      <c r="LC7" s="1094">
        <v>814.74599999999998</v>
      </c>
      <c r="LD7" s="1094">
        <v>641.23900000000003</v>
      </c>
      <c r="LE7" s="1094">
        <v>1063.098</v>
      </c>
      <c r="LF7" s="1094">
        <v>662.213608490566</v>
      </c>
      <c r="LG7" s="1094">
        <v>1164.5170000000003</v>
      </c>
      <c r="LH7" s="1094">
        <v>1191.0929999999998</v>
      </c>
      <c r="LI7" s="1094">
        <v>1214.5070000000001</v>
      </c>
      <c r="LJ7" s="1094">
        <f t="shared" ref="LC7:LM7" si="20">SUM(LJ9:LJ39)</f>
        <v>0</v>
      </c>
      <c r="LK7" s="1094">
        <f t="shared" si="20"/>
        <v>0</v>
      </c>
      <c r="LL7" s="1094">
        <f t="shared" si="20"/>
        <v>0</v>
      </c>
      <c r="LM7" s="1094">
        <f t="shared" si="20"/>
        <v>0</v>
      </c>
      <c r="LN7" s="1095">
        <f>SUM(LB7:LM7)</f>
        <v>7548.0196084905765</v>
      </c>
      <c r="LP7" s="1113">
        <f>IFERROR(((
_xlfn.XLOOKUP((DATE(YEAR($LP$5),MONTH($LP$5),1)),$B$5:$LN$5,$B7:$LN7) /
_xlfn.XLOOKUP((DATE(YEAR($LP$5)-1,MONTH($LP$5),1)),$B$5:$LN$5,$B7:$LN7)
)-1)*100,"")</f>
        <v>-41.415135887641185</v>
      </c>
      <c r="LQ7" s="1171">
        <f>IFERROR(((LS7/LR7)-1)*100,"")</f>
        <v>-38.596720623609556</v>
      </c>
      <c r="LR7" s="1114">
        <f>SUMIFS($B7:$LN7,$B$5:$LN$5,"&gt;="&amp;DATE(YEAR($LP$5)-1,1,1),$B$5:$LN$5,"&lt;="&amp;DATE(YEAR($LP$5)-1,MONTH($LP$5),1))</f>
        <v>12292.535</v>
      </c>
      <c r="LS7" s="1115">
        <f>SUMIFS($B7:$LN7,$B$5:$LN$5,"&gt;="&amp;DATE(YEAR($LP$5),1,1),$B$5:$LN$5,"&lt;="&amp;$LP$5)</f>
        <v>7548.0196084905765</v>
      </c>
      <c r="LT7" s="38"/>
      <c r="LU7" s="1013"/>
      <c r="LV7" s="1284"/>
      <c r="LW7" s="1285"/>
      <c r="LX7" s="1266"/>
    </row>
    <row r="8" spans="1:336" ht="15" customHeight="1" x14ac:dyDescent="0.2">
      <c r="A8" s="1279"/>
      <c r="B8" s="1251"/>
      <c r="C8" s="1096"/>
      <c r="D8" s="1096"/>
      <c r="E8" s="1096"/>
      <c r="F8" s="1096"/>
      <c r="G8" s="1096"/>
      <c r="H8" s="1096"/>
      <c r="I8" s="1096"/>
      <c r="J8" s="1096"/>
      <c r="K8" s="1096"/>
      <c r="L8" s="1096"/>
      <c r="M8" s="1096"/>
      <c r="N8" s="1097"/>
      <c r="O8" s="1251"/>
      <c r="P8" s="1096"/>
      <c r="Q8" s="1096"/>
      <c r="R8" s="1096"/>
      <c r="S8" s="1096"/>
      <c r="T8" s="1096"/>
      <c r="U8" s="1096"/>
      <c r="V8" s="1096"/>
      <c r="W8" s="1096"/>
      <c r="X8" s="1096"/>
      <c r="Y8" s="1096"/>
      <c r="Z8" s="1096"/>
      <c r="AA8" s="1097"/>
      <c r="AB8" s="1251"/>
      <c r="AC8" s="1096"/>
      <c r="AD8" s="1096"/>
      <c r="AE8" s="1096"/>
      <c r="AF8" s="1096"/>
      <c r="AG8" s="1096"/>
      <c r="AH8" s="1096"/>
      <c r="AI8" s="1096"/>
      <c r="AJ8" s="1096"/>
      <c r="AK8" s="1096"/>
      <c r="AL8" s="1096"/>
      <c r="AM8" s="1096"/>
      <c r="AN8" s="1097"/>
      <c r="AO8" s="1251"/>
      <c r="AP8" s="1096"/>
      <c r="AQ8" s="1096"/>
      <c r="AR8" s="1096"/>
      <c r="AS8" s="1096"/>
      <c r="AT8" s="1096"/>
      <c r="AU8" s="1096"/>
      <c r="AV8" s="1096"/>
      <c r="AW8" s="1096"/>
      <c r="AX8" s="1096"/>
      <c r="AY8" s="1096"/>
      <c r="AZ8" s="1096"/>
      <c r="BA8" s="1097"/>
      <c r="BB8" s="1251"/>
      <c r="BC8" s="1096"/>
      <c r="BD8" s="1096"/>
      <c r="BE8" s="1096"/>
      <c r="BF8" s="1096"/>
      <c r="BG8" s="1096"/>
      <c r="BH8" s="1096"/>
      <c r="BI8" s="1096"/>
      <c r="BJ8" s="1096"/>
      <c r="BK8" s="1096"/>
      <c r="BL8" s="1096"/>
      <c r="BM8" s="1096"/>
      <c r="BN8" s="1097"/>
      <c r="BO8" s="1251"/>
      <c r="BP8" s="1096"/>
      <c r="BQ8" s="1096"/>
      <c r="BR8" s="1096"/>
      <c r="BS8" s="1096"/>
      <c r="BT8" s="1096"/>
      <c r="BU8" s="1096"/>
      <c r="BV8" s="1096"/>
      <c r="BW8" s="1096"/>
      <c r="BX8" s="1096"/>
      <c r="BY8" s="1096"/>
      <c r="BZ8" s="1096"/>
      <c r="CA8" s="1097"/>
      <c r="CB8" s="1251"/>
      <c r="CC8" s="1096"/>
      <c r="CD8" s="1096"/>
      <c r="CE8" s="1096"/>
      <c r="CF8" s="1096"/>
      <c r="CG8" s="1096"/>
      <c r="CH8" s="1096"/>
      <c r="CI8" s="1096"/>
      <c r="CJ8" s="1096"/>
      <c r="CK8" s="1096"/>
      <c r="CL8" s="1096"/>
      <c r="CM8" s="1096"/>
      <c r="CN8" s="1097"/>
      <c r="CO8" s="1251"/>
      <c r="CP8" s="1096"/>
      <c r="CQ8" s="1096"/>
      <c r="CR8" s="1096"/>
      <c r="CS8" s="1096"/>
      <c r="CT8" s="1096"/>
      <c r="CU8" s="1096"/>
      <c r="CV8" s="1096"/>
      <c r="CW8" s="1096"/>
      <c r="CX8" s="1096"/>
      <c r="CY8" s="1096"/>
      <c r="CZ8" s="1096"/>
      <c r="DA8" s="1097"/>
      <c r="DB8" s="1251"/>
      <c r="DC8" s="1096"/>
      <c r="DD8" s="1096"/>
      <c r="DE8" s="1096"/>
      <c r="DF8" s="1096"/>
      <c r="DG8" s="1096"/>
      <c r="DH8" s="1096"/>
      <c r="DI8" s="1096"/>
      <c r="DJ8" s="1096"/>
      <c r="DK8" s="1096"/>
      <c r="DL8" s="1096"/>
      <c r="DM8" s="1096"/>
      <c r="DN8" s="1097"/>
      <c r="DO8" s="1251"/>
      <c r="DP8" s="1096"/>
      <c r="DQ8" s="1096"/>
      <c r="DR8" s="1096"/>
      <c r="DS8" s="1096"/>
      <c r="DT8" s="1096"/>
      <c r="DU8" s="1096"/>
      <c r="DV8" s="1096"/>
      <c r="DW8" s="1096"/>
      <c r="DX8" s="1096"/>
      <c r="DY8" s="1096"/>
      <c r="DZ8" s="1096"/>
      <c r="EA8" s="1097"/>
      <c r="EB8" s="1251"/>
      <c r="EC8" s="1096"/>
      <c r="ED8" s="1096"/>
      <c r="EE8" s="1096"/>
      <c r="EF8" s="1096"/>
      <c r="EG8" s="1096"/>
      <c r="EH8" s="1096"/>
      <c r="EI8" s="1096"/>
      <c r="EJ8" s="1096"/>
      <c r="EK8" s="1096"/>
      <c r="EL8" s="1096"/>
      <c r="EM8" s="1096"/>
      <c r="EN8" s="1097"/>
      <c r="EO8" s="1251"/>
      <c r="EP8" s="1096"/>
      <c r="EQ8" s="1096"/>
      <c r="ER8" s="1096"/>
      <c r="ES8" s="1096"/>
      <c r="ET8" s="1096"/>
      <c r="EU8" s="1096"/>
      <c r="EV8" s="1096"/>
      <c r="EW8" s="1096"/>
      <c r="EX8" s="1096"/>
      <c r="EY8" s="1096"/>
      <c r="EZ8" s="1096"/>
      <c r="FA8" s="1097"/>
      <c r="FB8" s="1251"/>
      <c r="FC8" s="1096"/>
      <c r="FD8" s="1096"/>
      <c r="FE8" s="1096"/>
      <c r="FF8" s="1096"/>
      <c r="FG8" s="1096"/>
      <c r="FH8" s="1096"/>
      <c r="FI8" s="1096"/>
      <c r="FJ8" s="1096"/>
      <c r="FK8" s="1096"/>
      <c r="FL8" s="1096"/>
      <c r="FM8" s="1096"/>
      <c r="FN8" s="1097"/>
      <c r="FO8" s="1251"/>
      <c r="FP8" s="1096"/>
      <c r="FQ8" s="1096"/>
      <c r="FR8" s="1096"/>
      <c r="FS8" s="1096"/>
      <c r="FT8" s="1096"/>
      <c r="FU8" s="1096"/>
      <c r="FV8" s="1096"/>
      <c r="FW8" s="1096"/>
      <c r="FX8" s="1096"/>
      <c r="FY8" s="1096"/>
      <c r="FZ8" s="1096"/>
      <c r="GA8" s="1097"/>
      <c r="GB8" s="1251"/>
      <c r="GC8" s="1096"/>
      <c r="GD8" s="1096"/>
      <c r="GE8" s="1096"/>
      <c r="GF8" s="1096"/>
      <c r="GG8" s="1096"/>
      <c r="GH8" s="1096"/>
      <c r="GI8" s="1096"/>
      <c r="GJ8" s="1096"/>
      <c r="GK8" s="1096"/>
      <c r="GL8" s="1096"/>
      <c r="GM8" s="1096"/>
      <c r="GN8" s="1097"/>
      <c r="GO8" s="1251"/>
      <c r="GP8" s="1096"/>
      <c r="GQ8" s="1096"/>
      <c r="GR8" s="1096"/>
      <c r="GS8" s="1096"/>
      <c r="GT8" s="1096"/>
      <c r="GU8" s="1096"/>
      <c r="GV8" s="1096"/>
      <c r="GW8" s="1096"/>
      <c r="GX8" s="1096"/>
      <c r="GY8" s="1096"/>
      <c r="GZ8" s="1096"/>
      <c r="HA8" s="1097"/>
      <c r="HB8" s="1251"/>
      <c r="HC8" s="1096"/>
      <c r="HD8" s="1096"/>
      <c r="HE8" s="1096"/>
      <c r="HF8" s="1096"/>
      <c r="HG8" s="1096"/>
      <c r="HH8" s="1096"/>
      <c r="HI8" s="1096"/>
      <c r="HJ8" s="1096"/>
      <c r="HK8" s="1096"/>
      <c r="HL8" s="1096"/>
      <c r="HM8" s="1096"/>
      <c r="HN8" s="1097"/>
      <c r="HO8" s="1251"/>
      <c r="HP8" s="1096"/>
      <c r="HQ8" s="1096"/>
      <c r="HR8" s="1096"/>
      <c r="HS8" s="1096"/>
      <c r="HT8" s="1096"/>
      <c r="HU8" s="1096"/>
      <c r="HV8" s="1096"/>
      <c r="HW8" s="1096"/>
      <c r="HX8" s="1096"/>
      <c r="HY8" s="1096"/>
      <c r="HZ8" s="1096"/>
      <c r="IA8" s="1097"/>
      <c r="IB8" s="1251"/>
      <c r="IC8" s="1096"/>
      <c r="ID8" s="1096"/>
      <c r="IE8" s="1096"/>
      <c r="IF8" s="1096"/>
      <c r="IG8" s="1096"/>
      <c r="IH8" s="1096"/>
      <c r="II8" s="1096"/>
      <c r="IJ8" s="1096"/>
      <c r="IK8" s="1096"/>
      <c r="IL8" s="1096"/>
      <c r="IM8" s="1096"/>
      <c r="IN8" s="1097"/>
      <c r="IO8" s="1251"/>
      <c r="IP8" s="1096"/>
      <c r="IQ8" s="1096"/>
      <c r="IR8" s="1096"/>
      <c r="IS8" s="1096"/>
      <c r="IT8" s="1096"/>
      <c r="IU8" s="1096"/>
      <c r="IV8" s="1096"/>
      <c r="IW8" s="1096"/>
      <c r="IX8" s="1096"/>
      <c r="IY8" s="1096"/>
      <c r="IZ8" s="1096"/>
      <c r="JA8" s="1097"/>
      <c r="JB8" s="1251"/>
      <c r="JC8" s="1096"/>
      <c r="JD8" s="1096"/>
      <c r="JE8" s="1096"/>
      <c r="JF8" s="1096"/>
      <c r="JG8" s="1096"/>
      <c r="JH8" s="1096"/>
      <c r="JI8" s="1096"/>
      <c r="JJ8" s="1096"/>
      <c r="JK8" s="1096"/>
      <c r="JL8" s="1096"/>
      <c r="JM8" s="1096"/>
      <c r="JN8" s="1097"/>
      <c r="JO8" s="1251"/>
      <c r="JP8" s="1096"/>
      <c r="JQ8" s="1096"/>
      <c r="JR8" s="1096"/>
      <c r="JS8" s="1096"/>
      <c r="JT8" s="1096"/>
      <c r="JU8" s="1096"/>
      <c r="JV8" s="1096"/>
      <c r="JW8" s="1096"/>
      <c r="JX8" s="1096"/>
      <c r="JY8" s="1096"/>
      <c r="JZ8" s="1096"/>
      <c r="KA8" s="1097"/>
      <c r="KB8" s="1251"/>
      <c r="KC8" s="1096"/>
      <c r="KD8" s="1096"/>
      <c r="KE8" s="1096"/>
      <c r="KF8" s="1096"/>
      <c r="KG8" s="1096"/>
      <c r="KH8" s="1096"/>
      <c r="KI8" s="1096"/>
      <c r="KJ8" s="1096"/>
      <c r="KK8" s="1096"/>
      <c r="KL8" s="1096"/>
      <c r="KM8" s="1096"/>
      <c r="KN8" s="1097"/>
      <c r="KO8" s="1251"/>
      <c r="KP8" s="1096"/>
      <c r="KQ8" s="1096"/>
      <c r="KR8" s="1096"/>
      <c r="KS8" s="1096"/>
      <c r="KT8" s="1096"/>
      <c r="KU8" s="1096"/>
      <c r="KV8" s="1096"/>
      <c r="KW8" s="1096"/>
      <c r="KX8" s="1096"/>
      <c r="KY8" s="1096"/>
      <c r="KZ8" s="1096"/>
      <c r="LA8" s="1097"/>
      <c r="LB8" s="1251"/>
      <c r="LC8" s="1096"/>
      <c r="LD8" s="1096"/>
      <c r="LE8" s="1096"/>
      <c r="LF8" s="1096"/>
      <c r="LG8" s="1096"/>
      <c r="LH8" s="1096"/>
      <c r="LI8" s="1096"/>
      <c r="LJ8" s="1096"/>
      <c r="LK8" s="1096"/>
      <c r="LL8" s="1096"/>
      <c r="LM8" s="1096"/>
      <c r="LN8" s="1097"/>
      <c r="LP8" s="1137"/>
      <c r="LQ8" s="1138"/>
      <c r="LR8" s="1139"/>
      <c r="LS8" s="1140"/>
      <c r="LT8" s="38"/>
      <c r="LU8" s="1013"/>
      <c r="LV8" s="1284"/>
      <c r="LW8" s="1286"/>
      <c r="LX8" s="1266"/>
    </row>
    <row r="9" spans="1:336" ht="15" customHeight="1" x14ac:dyDescent="0.2">
      <c r="A9" s="1280" t="s">
        <v>50</v>
      </c>
      <c r="B9" s="1252">
        <v>96.378</v>
      </c>
      <c r="C9" s="1098">
        <v>16.998000000000001</v>
      </c>
      <c r="D9" s="1098">
        <v>20.332999999999998</v>
      </c>
      <c r="E9" s="1098">
        <v>15.811999999999999</v>
      </c>
      <c r="F9" s="1098"/>
      <c r="G9" s="1098">
        <v>7.9989999999999997</v>
      </c>
      <c r="H9" s="1098">
        <v>15.920999999999999</v>
      </c>
      <c r="I9" s="1098">
        <v>27.920999999999999</v>
      </c>
      <c r="J9" s="1098">
        <v>68.516999999999996</v>
      </c>
      <c r="K9" s="1098"/>
      <c r="L9" s="1098">
        <v>28.736000000000001</v>
      </c>
      <c r="M9" s="1098">
        <v>41.813000000000002</v>
      </c>
      <c r="N9" s="1097">
        <f t="shared" ref="N9:N39" si="21">SUM(B9:M9)</f>
        <v>340.428</v>
      </c>
      <c r="O9" s="1252">
        <v>54</v>
      </c>
      <c r="P9" s="1098">
        <v>16</v>
      </c>
      <c r="Q9" s="1098">
        <v>36.761000000000003</v>
      </c>
      <c r="R9" s="1098"/>
      <c r="S9" s="1098">
        <v>44.667000000000002</v>
      </c>
      <c r="T9" s="1098">
        <v>41.331000000000003</v>
      </c>
      <c r="U9" s="1098">
        <v>27.190999999999999</v>
      </c>
      <c r="V9" s="1098">
        <v>52.613999999999997</v>
      </c>
      <c r="W9" s="1098">
        <v>20.393999999999998</v>
      </c>
      <c r="X9" s="1098">
        <v>82.771000000000001</v>
      </c>
      <c r="Y9" s="1098">
        <v>77.474999999999994</v>
      </c>
      <c r="Z9" s="1098">
        <v>15.33</v>
      </c>
      <c r="AA9" s="1097">
        <f t="shared" ref="AA9:AA39" si="22">SUM(O9:Z9)</f>
        <v>468.53400000000005</v>
      </c>
      <c r="AB9" s="1252">
        <v>13.047000000000001</v>
      </c>
      <c r="AC9" s="1098">
        <v>15.27</v>
      </c>
      <c r="AD9" s="1098">
        <v>8.4350000000000005</v>
      </c>
      <c r="AE9" s="1098">
        <v>24.786000000000001</v>
      </c>
      <c r="AF9" s="1098">
        <v>12.896000000000001</v>
      </c>
      <c r="AG9" s="1098">
        <v>98.852000000000004</v>
      </c>
      <c r="AH9" s="1098"/>
      <c r="AI9" s="1098">
        <v>76.899000000000001</v>
      </c>
      <c r="AJ9" s="1098">
        <v>132.49799999999999</v>
      </c>
      <c r="AK9" s="1098">
        <v>188.98400000000001</v>
      </c>
      <c r="AL9" s="1098">
        <v>267.21699999999998</v>
      </c>
      <c r="AM9" s="1098">
        <v>210.18700000000001</v>
      </c>
      <c r="AN9" s="1097">
        <f t="shared" ref="AN9:AN39" si="23">SUM(AB9:AM9)</f>
        <v>1049.0709999999999</v>
      </c>
      <c r="AO9" s="1252">
        <v>104.139</v>
      </c>
      <c r="AP9" s="1098">
        <v>133.76900000000001</v>
      </c>
      <c r="AQ9" s="1098">
        <v>47.353000000000002</v>
      </c>
      <c r="AR9" s="1098">
        <v>38.732999999999997</v>
      </c>
      <c r="AS9" s="1098">
        <v>33.018999999999998</v>
      </c>
      <c r="AT9" s="1098">
        <v>186.40700000000001</v>
      </c>
      <c r="AU9" s="1098">
        <v>16</v>
      </c>
      <c r="AV9" s="1098"/>
      <c r="AW9" s="1098">
        <v>88</v>
      </c>
      <c r="AX9" s="1098">
        <v>200</v>
      </c>
      <c r="AY9" s="1098">
        <v>195</v>
      </c>
      <c r="AZ9" s="1098">
        <v>286</v>
      </c>
      <c r="BA9" s="1097">
        <f t="shared" ref="BA9:BA39" si="24">SUM(AO9:AZ9)</f>
        <v>1328.42</v>
      </c>
      <c r="BB9" s="1252">
        <v>124</v>
      </c>
      <c r="BC9" s="1098">
        <v>84</v>
      </c>
      <c r="BD9" s="1098">
        <v>152</v>
      </c>
      <c r="BE9" s="1098"/>
      <c r="BF9" s="1098">
        <v>56</v>
      </c>
      <c r="BG9" s="1098">
        <v>80</v>
      </c>
      <c r="BH9" s="1098">
        <v>161</v>
      </c>
      <c r="BI9" s="1098">
        <v>72</v>
      </c>
      <c r="BJ9" s="1098">
        <v>61</v>
      </c>
      <c r="BK9" s="1098">
        <v>61.939</v>
      </c>
      <c r="BL9" s="1098">
        <v>78.543999999999997</v>
      </c>
      <c r="BM9" s="1098">
        <v>48.795999999999999</v>
      </c>
      <c r="BN9" s="1097">
        <f t="shared" ref="BN9:BN39" si="25">SUM(BB9:BM9)</f>
        <v>979.279</v>
      </c>
      <c r="BO9" s="1252">
        <v>12.101000000000001</v>
      </c>
      <c r="BP9" s="1098">
        <v>94.430999999999997</v>
      </c>
      <c r="BQ9" s="1098">
        <v>45.040999999999997</v>
      </c>
      <c r="BR9" s="1098">
        <v>1.367</v>
      </c>
      <c r="BS9" s="1098">
        <v>25.791</v>
      </c>
      <c r="BT9" s="1098">
        <v>27.416</v>
      </c>
      <c r="BU9" s="1098">
        <v>24.515000000000001</v>
      </c>
      <c r="BV9" s="1098">
        <v>70.412000000000006</v>
      </c>
      <c r="BW9" s="1098">
        <v>68.805999999999997</v>
      </c>
      <c r="BX9" s="1098">
        <v>124.325</v>
      </c>
      <c r="BY9" s="1098">
        <v>29</v>
      </c>
      <c r="BZ9" s="1098"/>
      <c r="CA9" s="1097">
        <f t="shared" ref="CA9:CA39" si="26">SUM(BO9:BZ9)</f>
        <v>523.20499999999993</v>
      </c>
      <c r="CB9" s="1252"/>
      <c r="CC9" s="1098"/>
      <c r="CD9" s="1098"/>
      <c r="CE9" s="1098"/>
      <c r="CF9" s="1098"/>
      <c r="CG9" s="1098"/>
      <c r="CH9" s="1098"/>
      <c r="CI9" s="1098"/>
      <c r="CJ9" s="1098"/>
      <c r="CK9" s="1098"/>
      <c r="CL9" s="1098"/>
      <c r="CM9" s="1098"/>
      <c r="CN9" s="1097">
        <f t="shared" ref="CN9:CN39" si="27">SUM(CB9:CM9)</f>
        <v>0</v>
      </c>
      <c r="CO9" s="1252"/>
      <c r="CP9" s="1098"/>
      <c r="CQ9" s="1098"/>
      <c r="CR9" s="1098"/>
      <c r="CS9" s="1098"/>
      <c r="CT9" s="1098"/>
      <c r="CU9" s="1098"/>
      <c r="CV9" s="1098"/>
      <c r="CW9" s="1098"/>
      <c r="CX9" s="1098"/>
      <c r="CY9" s="1098"/>
      <c r="CZ9" s="1098"/>
      <c r="DA9" s="1097">
        <f t="shared" ref="DA9:DA39" si="28">SUM(CO9:CZ9)</f>
        <v>0</v>
      </c>
      <c r="DB9" s="1252"/>
      <c r="DC9" s="1098"/>
      <c r="DD9" s="1098"/>
      <c r="DE9" s="1098"/>
      <c r="DF9" s="1098"/>
      <c r="DG9" s="1098"/>
      <c r="DH9" s="1098"/>
      <c r="DI9" s="1098"/>
      <c r="DJ9" s="1098"/>
      <c r="DK9" s="1098"/>
      <c r="DL9" s="1098"/>
      <c r="DM9" s="1098"/>
      <c r="DN9" s="1097">
        <f t="shared" ref="DN9:DN39" si="29">SUM(DB9:DM9)</f>
        <v>0</v>
      </c>
      <c r="DO9" s="1252"/>
      <c r="DP9" s="1098"/>
      <c r="DQ9" s="1098"/>
      <c r="DR9" s="1098"/>
      <c r="DS9" s="1098"/>
      <c r="DT9" s="1098"/>
      <c r="DU9" s="1098"/>
      <c r="DV9" s="1098"/>
      <c r="DW9" s="1098"/>
      <c r="DX9" s="1098"/>
      <c r="DY9" s="1098"/>
      <c r="DZ9" s="1098"/>
      <c r="EA9" s="1097">
        <f t="shared" ref="EA9:EA39" si="30">SUM(DO9:DZ9)</f>
        <v>0</v>
      </c>
      <c r="EB9" s="1252"/>
      <c r="EC9" s="1098"/>
      <c r="ED9" s="1098"/>
      <c r="EE9" s="1098"/>
      <c r="EF9" s="1098"/>
      <c r="EG9" s="1098"/>
      <c r="EH9" s="1098"/>
      <c r="EI9" s="1098"/>
      <c r="EJ9" s="1098"/>
      <c r="EK9" s="1098"/>
      <c r="EL9" s="1098"/>
      <c r="EM9" s="1098"/>
      <c r="EN9" s="1097">
        <f t="shared" ref="EN9:EN39" si="31">SUM(EB9:EM9)</f>
        <v>0</v>
      </c>
      <c r="EO9" s="1252"/>
      <c r="EP9" s="1098"/>
      <c r="EQ9" s="1098"/>
      <c r="ER9" s="1098"/>
      <c r="ES9" s="1098"/>
      <c r="ET9" s="1098"/>
      <c r="EU9" s="1098"/>
      <c r="EV9" s="1098"/>
      <c r="EW9" s="1098"/>
      <c r="EX9" s="1098"/>
      <c r="EY9" s="1098"/>
      <c r="EZ9" s="1098"/>
      <c r="FA9" s="1097">
        <f t="shared" ref="FA9:FA39" si="32">SUM(EO9:EZ9)</f>
        <v>0</v>
      </c>
      <c r="FB9" s="1252"/>
      <c r="FC9" s="1098"/>
      <c r="FD9" s="1098"/>
      <c r="FE9" s="1098"/>
      <c r="FF9" s="1098"/>
      <c r="FG9" s="1098"/>
      <c r="FH9" s="1098"/>
      <c r="FI9" s="1098"/>
      <c r="FJ9" s="1098"/>
      <c r="FK9" s="1098"/>
      <c r="FL9" s="1098"/>
      <c r="FM9" s="1098"/>
      <c r="FN9" s="1097">
        <f t="shared" ref="FN9:FN39" si="33">SUM(FB9:FM9)</f>
        <v>0</v>
      </c>
      <c r="FO9" s="1252"/>
      <c r="FP9" s="1098"/>
      <c r="FQ9" s="1098"/>
      <c r="FR9" s="1098"/>
      <c r="FS9" s="1098"/>
      <c r="FT9" s="1098"/>
      <c r="FU9" s="1098"/>
      <c r="FV9" s="1098"/>
      <c r="FW9" s="1098"/>
      <c r="FX9" s="1098"/>
      <c r="FY9" s="1098"/>
      <c r="FZ9" s="1098"/>
      <c r="GA9" s="1097">
        <f t="shared" ref="GA9:GA39" si="34">SUM(FO9:FZ9)</f>
        <v>0</v>
      </c>
      <c r="GB9" s="1252"/>
      <c r="GC9" s="1098"/>
      <c r="GD9" s="1098"/>
      <c r="GE9" s="1098"/>
      <c r="GF9" s="1098"/>
      <c r="GG9" s="1098"/>
      <c r="GH9" s="1098"/>
      <c r="GI9" s="1098"/>
      <c r="GJ9" s="1098"/>
      <c r="GK9" s="1098"/>
      <c r="GL9" s="1098"/>
      <c r="GM9" s="1098"/>
      <c r="GN9" s="1097">
        <f t="shared" ref="GN9:GN39" si="35">SUM(GB9:GM9)</f>
        <v>0</v>
      </c>
      <c r="GO9" s="1252"/>
      <c r="GP9" s="1098"/>
      <c r="GQ9" s="1098"/>
      <c r="GR9" s="1098"/>
      <c r="GS9" s="1098"/>
      <c r="GT9" s="1098"/>
      <c r="GU9" s="1098"/>
      <c r="GV9" s="1098"/>
      <c r="GW9" s="1098"/>
      <c r="GX9" s="1098"/>
      <c r="GY9" s="1098"/>
      <c r="GZ9" s="1098"/>
      <c r="HA9" s="1097">
        <f t="shared" ref="HA9:HA39" si="36">SUM(GO9:GZ9)</f>
        <v>0</v>
      </c>
      <c r="HB9" s="1252"/>
      <c r="HC9" s="1098"/>
      <c r="HD9" s="1098"/>
      <c r="HE9" s="1098"/>
      <c r="HF9" s="1098"/>
      <c r="HG9" s="1098"/>
      <c r="HH9" s="1098"/>
      <c r="HI9" s="1098"/>
      <c r="HJ9" s="1098"/>
      <c r="HK9" s="1098"/>
      <c r="HL9" s="1098"/>
      <c r="HM9" s="1098"/>
      <c r="HN9" s="1097">
        <f t="shared" ref="HN9:HN39" si="37">SUM(HB9:HM9)</f>
        <v>0</v>
      </c>
      <c r="HO9" s="1252"/>
      <c r="HP9" s="1098"/>
      <c r="HQ9" s="1098"/>
      <c r="HR9" s="1098"/>
      <c r="HS9" s="1098"/>
      <c r="HT9" s="1098"/>
      <c r="HU9" s="1098"/>
      <c r="HV9" s="1098"/>
      <c r="HW9" s="1098"/>
      <c r="HX9" s="1098"/>
      <c r="HY9" s="1098"/>
      <c r="HZ9" s="1098"/>
      <c r="IA9" s="1097">
        <f t="shared" ref="IA9:IA39" si="38">SUM(HO9:HZ9)</f>
        <v>0</v>
      </c>
      <c r="IB9" s="1252"/>
      <c r="IC9" s="1098"/>
      <c r="ID9" s="1098"/>
      <c r="IE9" s="1098"/>
      <c r="IF9" s="1098"/>
      <c r="IG9" s="1098"/>
      <c r="IH9" s="1098"/>
      <c r="II9" s="1098"/>
      <c r="IJ9" s="1098"/>
      <c r="IK9" s="1098"/>
      <c r="IL9" s="1098"/>
      <c r="IM9" s="1098"/>
      <c r="IN9" s="1097">
        <f t="shared" ref="IN9:IN38" si="39">SUM(IB9:IM9)</f>
        <v>0</v>
      </c>
      <c r="IO9" s="1252"/>
      <c r="IP9" s="1098"/>
      <c r="IQ9" s="1098"/>
      <c r="IR9" s="1098"/>
      <c r="IS9" s="1098"/>
      <c r="IT9" s="1098">
        <v>15.335000000000001</v>
      </c>
      <c r="IU9" s="1098"/>
      <c r="IV9" s="1098"/>
      <c r="IW9" s="1098"/>
      <c r="IX9" s="1098"/>
      <c r="IY9" s="1098"/>
      <c r="IZ9" s="1098"/>
      <c r="JA9" s="1097">
        <f t="shared" ref="JA9:JA38" si="40">SUM(IO9:IZ9)</f>
        <v>15.335000000000001</v>
      </c>
      <c r="JB9" s="1252"/>
      <c r="JC9" s="1098"/>
      <c r="JD9" s="1098"/>
      <c r="JE9" s="1098"/>
      <c r="JF9" s="1098"/>
      <c r="JG9" s="1098"/>
      <c r="JH9" s="1098"/>
      <c r="JI9" s="1098"/>
      <c r="JJ9" s="1098">
        <v>9.9000000000000005E-2</v>
      </c>
      <c r="JK9" s="1098"/>
      <c r="JL9" s="1098"/>
      <c r="JM9" s="1098">
        <v>8.3230000000000004</v>
      </c>
      <c r="JN9" s="1097">
        <f t="shared" ref="JN9:JN38" si="41">SUM(JB9:JM9)</f>
        <v>8.4220000000000006</v>
      </c>
      <c r="JO9" s="1252"/>
      <c r="JP9" s="1098"/>
      <c r="JQ9" s="1098"/>
      <c r="JR9" s="1098"/>
      <c r="JS9" s="1098">
        <v>9.7970000000000006</v>
      </c>
      <c r="JT9" s="1098">
        <v>0.23400000000000001</v>
      </c>
      <c r="JU9" s="1098"/>
      <c r="JV9" s="1098">
        <v>2.335</v>
      </c>
      <c r="JW9" s="1098">
        <v>0.42499999999999999</v>
      </c>
      <c r="JX9" s="1098"/>
      <c r="JY9" s="1098"/>
      <c r="JZ9" s="1098"/>
      <c r="KA9" s="1097">
        <f t="shared" ref="KA9:KA38" si="42">SUM(JO9:JZ9)</f>
        <v>12.791</v>
      </c>
      <c r="KB9" s="1252"/>
      <c r="KC9" s="1098"/>
      <c r="KD9" s="1098"/>
      <c r="KE9" s="1098"/>
      <c r="KF9" s="1098"/>
      <c r="KG9" s="1098">
        <v>2.3159999999999998</v>
      </c>
      <c r="KH9" s="1098"/>
      <c r="KI9" s="1098">
        <v>0.151</v>
      </c>
      <c r="KJ9" s="1098"/>
      <c r="KK9" s="1098"/>
      <c r="KL9" s="1098">
        <v>3.5030000000000001</v>
      </c>
      <c r="KM9" s="1098"/>
      <c r="KN9" s="1097">
        <f t="shared" ref="KN9:KN38" si="43">SUM(KB9:KM9)</f>
        <v>5.97</v>
      </c>
      <c r="KO9" s="1252"/>
      <c r="KP9" s="1098"/>
      <c r="KQ9" s="1098">
        <v>0.53800000000000003</v>
      </c>
      <c r="KR9" s="1098"/>
      <c r="KS9" s="1098"/>
      <c r="KT9" s="1098">
        <v>25.943000000000001</v>
      </c>
      <c r="KU9" s="1098">
        <v>7.476</v>
      </c>
      <c r="KV9" s="1098"/>
      <c r="KW9" s="1098"/>
      <c r="KX9" s="1098"/>
      <c r="KY9" s="1098">
        <v>28.544</v>
      </c>
      <c r="KZ9" s="1098"/>
      <c r="LA9" s="1097">
        <f t="shared" ref="LA9:LA38" si="44">SUM(KO9:KZ9)</f>
        <v>62.501000000000005</v>
      </c>
      <c r="LB9" s="1252"/>
      <c r="LC9" s="1098"/>
      <c r="LD9" s="1098"/>
      <c r="LE9" s="1098"/>
      <c r="LF9" s="1098"/>
      <c r="LG9" s="1098"/>
      <c r="LH9" s="1098"/>
      <c r="LI9" s="1098"/>
      <c r="LJ9" s="1098"/>
      <c r="LK9" s="1098"/>
      <c r="LL9" s="1098"/>
      <c r="LM9" s="1098"/>
      <c r="LN9" s="1097">
        <f t="shared" ref="LN9:LN38" si="45">SUM(LB9:LM9)</f>
        <v>0</v>
      </c>
      <c r="LP9" s="1178" t="str">
        <f t="shared" ref="LP9:LP18" si="46">IFERROR(((
_xlfn.XLOOKUP((DATE(YEAR($LP$5),MONTH($LP$5),1)),$B$5:$LN$5,$B9:$LN9) /
_xlfn.XLOOKUP((DATE(YEAR($LP$5)-1,MONTH($LP$5),1)),$B$5:$LN$5,$B9:$LN9)
)-1)*100,"")</f>
        <v/>
      </c>
      <c r="LQ9" s="1179">
        <f t="shared" ref="LQ9:LQ18" si="47">IFERROR(((LS9/LR9)-1)*100,"")</f>
        <v>-100</v>
      </c>
      <c r="LR9" s="1188">
        <f t="shared" ref="LR9:LR18" si="48">SUMIFS($B9:$LN9,$B$5:$LN$5,"&gt;="&amp;DATE(YEAR($LP$5)-1,1,1),$B$5:$LN$5,"&lt;="&amp;DATE(YEAR($LP$5)-1,MONTH($LP$5),1))</f>
        <v>33.957000000000001</v>
      </c>
      <c r="LS9" s="1189">
        <f t="shared" ref="LS9:LS18" si="49">SUMIFS($B9:$LN9,$B$5:$LN$5,"&gt;="&amp;DATE(YEAR($LP$5),1,1),$B$5:$LN$5,"&lt;="&amp;$LP$5)</f>
        <v>0</v>
      </c>
      <c r="LT9" s="1"/>
      <c r="LU9" s="629"/>
      <c r="LV9" s="1139">
        <f t="shared" ref="LV9:LV38" si="50">SUM(B9:LN9)</f>
        <v>9587.9119999999984</v>
      </c>
      <c r="LW9" s="1286" t="s">
        <v>50</v>
      </c>
      <c r="LX9" s="1147" t="str">
        <f t="shared" ref="LX9:LX38" si="51">IF(EXACT(A9,LW9)=TRUE,"OK","VER")</f>
        <v>OK</v>
      </c>
    </row>
    <row r="10" spans="1:336" ht="15" customHeight="1" x14ac:dyDescent="0.2">
      <c r="A10" s="1280" t="s">
        <v>102</v>
      </c>
      <c r="B10" s="1252"/>
      <c r="C10" s="1098"/>
      <c r="D10" s="1098"/>
      <c r="E10" s="1098"/>
      <c r="F10" s="1098"/>
      <c r="G10" s="1098"/>
      <c r="H10" s="1098"/>
      <c r="I10" s="1098"/>
      <c r="J10" s="1098"/>
      <c r="K10" s="1098"/>
      <c r="L10" s="1098"/>
      <c r="M10" s="1098">
        <v>33.018000000000001</v>
      </c>
      <c r="N10" s="1097">
        <f t="shared" si="21"/>
        <v>33.018000000000001</v>
      </c>
      <c r="O10" s="1252"/>
      <c r="P10" s="1098"/>
      <c r="Q10" s="1098"/>
      <c r="R10" s="1098"/>
      <c r="S10" s="1098"/>
      <c r="T10" s="1098"/>
      <c r="U10" s="1098">
        <v>0.98099999999999998</v>
      </c>
      <c r="V10" s="1098"/>
      <c r="W10" s="1098"/>
      <c r="X10" s="1098"/>
      <c r="Y10" s="1098"/>
      <c r="Z10" s="1098"/>
      <c r="AA10" s="1097">
        <f t="shared" si="22"/>
        <v>0.98099999999999998</v>
      </c>
      <c r="AB10" s="1252"/>
      <c r="AC10" s="1098"/>
      <c r="AD10" s="1098"/>
      <c r="AE10" s="1098"/>
      <c r="AF10" s="1098"/>
      <c r="AG10" s="1098"/>
      <c r="AH10" s="1098"/>
      <c r="AI10" s="1098"/>
      <c r="AJ10" s="1098"/>
      <c r="AK10" s="1098"/>
      <c r="AL10" s="1098"/>
      <c r="AM10" s="1098"/>
      <c r="AN10" s="1097">
        <f t="shared" si="23"/>
        <v>0</v>
      </c>
      <c r="AO10" s="1252"/>
      <c r="AP10" s="1098"/>
      <c r="AQ10" s="1098"/>
      <c r="AR10" s="1098"/>
      <c r="AS10" s="1098"/>
      <c r="AT10" s="1098"/>
      <c r="AU10" s="1098"/>
      <c r="AV10" s="1098"/>
      <c r="AW10" s="1098"/>
      <c r="AX10" s="1098"/>
      <c r="AY10" s="1098">
        <v>54</v>
      </c>
      <c r="AZ10" s="1098">
        <v>52</v>
      </c>
      <c r="BA10" s="1097">
        <f t="shared" si="24"/>
        <v>106</v>
      </c>
      <c r="BB10" s="1252"/>
      <c r="BC10" s="1098"/>
      <c r="BD10" s="1098"/>
      <c r="BE10" s="1098"/>
      <c r="BF10" s="1098"/>
      <c r="BG10" s="1098">
        <v>5</v>
      </c>
      <c r="BH10" s="1098"/>
      <c r="BI10" s="1098">
        <v>5</v>
      </c>
      <c r="BJ10" s="1098">
        <v>11</v>
      </c>
      <c r="BK10" s="1098">
        <v>33.670999999999999</v>
      </c>
      <c r="BL10" s="1098">
        <v>4.4029999999999996</v>
      </c>
      <c r="BM10" s="1098">
        <v>36.582000000000001</v>
      </c>
      <c r="BN10" s="1097">
        <f t="shared" si="25"/>
        <v>95.656000000000006</v>
      </c>
      <c r="BO10" s="1252">
        <v>12.615</v>
      </c>
      <c r="BP10" s="1098">
        <v>49.62</v>
      </c>
      <c r="BQ10" s="1098">
        <v>28.452999999999999</v>
      </c>
      <c r="BR10" s="1098">
        <v>2.6160000000000001</v>
      </c>
      <c r="BS10" s="1098">
        <v>22.76</v>
      </c>
      <c r="BT10" s="1098">
        <v>3.7450000000000001</v>
      </c>
      <c r="BU10" s="1098"/>
      <c r="BV10" s="1098">
        <v>17.934999999999999</v>
      </c>
      <c r="BW10" s="1098">
        <v>14.15</v>
      </c>
      <c r="BX10" s="1098">
        <v>32.533000000000001</v>
      </c>
      <c r="BY10" s="1098">
        <v>5</v>
      </c>
      <c r="BZ10" s="1098">
        <v>8</v>
      </c>
      <c r="CA10" s="1097">
        <f t="shared" si="26"/>
        <v>197.42700000000002</v>
      </c>
      <c r="CB10" s="1252"/>
      <c r="CC10" s="1098">
        <v>7</v>
      </c>
      <c r="CD10" s="1098">
        <v>48</v>
      </c>
      <c r="CE10" s="1098"/>
      <c r="CF10" s="1098">
        <v>17</v>
      </c>
      <c r="CG10" s="1098">
        <v>3</v>
      </c>
      <c r="CH10" s="1098">
        <v>15</v>
      </c>
      <c r="CI10" s="1098">
        <v>11</v>
      </c>
      <c r="CJ10" s="1098">
        <v>6</v>
      </c>
      <c r="CK10" s="1098"/>
      <c r="CL10" s="1098"/>
      <c r="CM10" s="1098">
        <v>39</v>
      </c>
      <c r="CN10" s="1097">
        <f t="shared" si="27"/>
        <v>146</v>
      </c>
      <c r="CO10" s="1252"/>
      <c r="CP10" s="1098">
        <v>9</v>
      </c>
      <c r="CQ10" s="1098"/>
      <c r="CR10" s="1098"/>
      <c r="CS10" s="1098"/>
      <c r="CT10" s="1098">
        <v>2</v>
      </c>
      <c r="CU10" s="1098"/>
      <c r="CV10" s="1098"/>
      <c r="CW10" s="1098"/>
      <c r="CX10" s="1098">
        <v>3</v>
      </c>
      <c r="CY10" s="1098">
        <v>9</v>
      </c>
      <c r="CZ10" s="1098">
        <v>21</v>
      </c>
      <c r="DA10" s="1097">
        <f t="shared" si="28"/>
        <v>44</v>
      </c>
      <c r="DB10" s="1252"/>
      <c r="DC10" s="1098">
        <v>14</v>
      </c>
      <c r="DD10" s="1098"/>
      <c r="DE10" s="1098"/>
      <c r="DF10" s="1098">
        <v>7</v>
      </c>
      <c r="DG10" s="1098"/>
      <c r="DH10" s="1098"/>
      <c r="DI10" s="1098">
        <v>1</v>
      </c>
      <c r="DJ10" s="1098">
        <v>9</v>
      </c>
      <c r="DK10" s="1098">
        <v>13</v>
      </c>
      <c r="DL10" s="1098">
        <v>3</v>
      </c>
      <c r="DM10" s="1098">
        <v>18</v>
      </c>
      <c r="DN10" s="1097">
        <f t="shared" si="29"/>
        <v>65</v>
      </c>
      <c r="DO10" s="1252">
        <v>11</v>
      </c>
      <c r="DP10" s="1098">
        <v>21</v>
      </c>
      <c r="DQ10" s="1098"/>
      <c r="DR10" s="1098">
        <v>2</v>
      </c>
      <c r="DS10" s="1098">
        <v>1</v>
      </c>
      <c r="DT10" s="1098">
        <v>19</v>
      </c>
      <c r="DU10" s="1098">
        <v>12</v>
      </c>
      <c r="DV10" s="1098">
        <v>4</v>
      </c>
      <c r="DW10" s="1098">
        <v>5</v>
      </c>
      <c r="DX10" s="1098">
        <v>25</v>
      </c>
      <c r="DY10" s="1098">
        <v>5</v>
      </c>
      <c r="DZ10" s="1098">
        <v>2</v>
      </c>
      <c r="EA10" s="1097">
        <f t="shared" si="30"/>
        <v>107</v>
      </c>
      <c r="EB10" s="1252">
        <v>9</v>
      </c>
      <c r="EC10" s="1098">
        <v>44</v>
      </c>
      <c r="ED10" s="1098">
        <v>13</v>
      </c>
      <c r="EE10" s="1098">
        <v>1</v>
      </c>
      <c r="EF10" s="1098"/>
      <c r="EG10" s="1098"/>
      <c r="EH10" s="1098"/>
      <c r="EI10" s="1098">
        <v>13</v>
      </c>
      <c r="EJ10" s="1098">
        <v>7</v>
      </c>
      <c r="EK10" s="1098"/>
      <c r="EL10" s="1098">
        <v>2</v>
      </c>
      <c r="EM10" s="1098"/>
      <c r="EN10" s="1097">
        <f t="shared" si="31"/>
        <v>89</v>
      </c>
      <c r="EO10" s="1252">
        <v>16</v>
      </c>
      <c r="EP10" s="1098"/>
      <c r="EQ10" s="1098">
        <v>15</v>
      </c>
      <c r="ER10" s="1098"/>
      <c r="ES10" s="1098">
        <v>5</v>
      </c>
      <c r="ET10" s="1098"/>
      <c r="EU10" s="1098"/>
      <c r="EV10" s="1098"/>
      <c r="EW10" s="1098">
        <v>10</v>
      </c>
      <c r="EX10" s="1098"/>
      <c r="EY10" s="1098"/>
      <c r="EZ10" s="1098">
        <v>2</v>
      </c>
      <c r="FA10" s="1097">
        <f t="shared" si="32"/>
        <v>48</v>
      </c>
      <c r="FB10" s="1252"/>
      <c r="FC10" s="1098"/>
      <c r="FD10" s="1098"/>
      <c r="FE10" s="1098">
        <v>8</v>
      </c>
      <c r="FF10" s="1098">
        <v>5</v>
      </c>
      <c r="FG10" s="1098">
        <v>7</v>
      </c>
      <c r="FH10" s="1098"/>
      <c r="FI10" s="1098">
        <v>13</v>
      </c>
      <c r="FJ10" s="1098">
        <v>18</v>
      </c>
      <c r="FK10" s="1098">
        <v>16</v>
      </c>
      <c r="FL10" s="1098">
        <v>1</v>
      </c>
      <c r="FM10" s="1098">
        <v>1</v>
      </c>
      <c r="FN10" s="1097">
        <f t="shared" si="33"/>
        <v>69</v>
      </c>
      <c r="FO10" s="1252"/>
      <c r="FP10" s="1098">
        <v>9</v>
      </c>
      <c r="FQ10" s="1098"/>
      <c r="FR10" s="1098"/>
      <c r="FS10" s="1098">
        <v>2</v>
      </c>
      <c r="FT10" s="1098"/>
      <c r="FU10" s="1098">
        <v>11</v>
      </c>
      <c r="FV10" s="1098">
        <v>13</v>
      </c>
      <c r="FW10" s="1098">
        <v>3</v>
      </c>
      <c r="FX10" s="1098">
        <v>3</v>
      </c>
      <c r="FY10" s="1098">
        <v>7</v>
      </c>
      <c r="FZ10" s="1098">
        <v>21</v>
      </c>
      <c r="GA10" s="1097">
        <f t="shared" si="34"/>
        <v>69</v>
      </c>
      <c r="GB10" s="1252">
        <v>3</v>
      </c>
      <c r="GC10" s="1098"/>
      <c r="GD10" s="1098">
        <v>16</v>
      </c>
      <c r="GE10" s="1098"/>
      <c r="GF10" s="1098"/>
      <c r="GG10" s="1098"/>
      <c r="GH10" s="1098">
        <v>6</v>
      </c>
      <c r="GI10" s="1098">
        <v>12</v>
      </c>
      <c r="GJ10" s="1098">
        <v>11</v>
      </c>
      <c r="GK10" s="1098">
        <v>2</v>
      </c>
      <c r="GL10" s="1098">
        <v>11</v>
      </c>
      <c r="GM10" s="1098">
        <v>12</v>
      </c>
      <c r="GN10" s="1097">
        <f t="shared" si="35"/>
        <v>73</v>
      </c>
      <c r="GO10" s="1252"/>
      <c r="GP10" s="1098">
        <v>7.835</v>
      </c>
      <c r="GQ10" s="1098"/>
      <c r="GR10" s="1098"/>
      <c r="GS10" s="1098">
        <v>4</v>
      </c>
      <c r="GT10" s="1098">
        <v>1</v>
      </c>
      <c r="GU10" s="1098">
        <v>8</v>
      </c>
      <c r="GV10" s="1098"/>
      <c r="GW10" s="1098">
        <v>2</v>
      </c>
      <c r="GX10" s="1098">
        <v>16</v>
      </c>
      <c r="GY10" s="1098"/>
      <c r="GZ10" s="1098">
        <v>1</v>
      </c>
      <c r="HA10" s="1097">
        <f t="shared" si="36"/>
        <v>39.835000000000001</v>
      </c>
      <c r="HB10" s="1252"/>
      <c r="HC10" s="1098"/>
      <c r="HD10" s="1098">
        <v>4.7160000000000002</v>
      </c>
      <c r="HE10" s="1098"/>
      <c r="HF10" s="1098"/>
      <c r="HG10" s="1098"/>
      <c r="HH10" s="1098"/>
      <c r="HI10" s="1098"/>
      <c r="HJ10" s="1098">
        <v>3.782</v>
      </c>
      <c r="HK10" s="1098"/>
      <c r="HL10" s="1098"/>
      <c r="HM10" s="1098"/>
      <c r="HN10" s="1097">
        <f t="shared" si="37"/>
        <v>8.4980000000000011</v>
      </c>
      <c r="HO10" s="1252"/>
      <c r="HP10" s="1098">
        <v>10.939</v>
      </c>
      <c r="HQ10" s="1098">
        <v>6.8609999999999998</v>
      </c>
      <c r="HR10" s="1098">
        <v>20.087</v>
      </c>
      <c r="HS10" s="1098">
        <v>17.640999999999998</v>
      </c>
      <c r="HT10" s="1098">
        <v>15.138999999999999</v>
      </c>
      <c r="HU10" s="1098">
        <v>27.946000000000002</v>
      </c>
      <c r="HV10" s="1098">
        <v>22.972000000000001</v>
      </c>
      <c r="HW10" s="1098">
        <v>7.8319999999999999</v>
      </c>
      <c r="HX10" s="1098">
        <v>29.75</v>
      </c>
      <c r="HY10" s="1098">
        <v>2</v>
      </c>
      <c r="HZ10" s="1098"/>
      <c r="IA10" s="1097">
        <f t="shared" si="38"/>
        <v>161.167</v>
      </c>
      <c r="IB10" s="1252">
        <v>7.96</v>
      </c>
      <c r="IC10" s="1098"/>
      <c r="ID10" s="1098"/>
      <c r="IE10" s="1098"/>
      <c r="IF10" s="1098"/>
      <c r="IG10" s="1098"/>
      <c r="IH10" s="1098">
        <v>29.4</v>
      </c>
      <c r="II10" s="1098">
        <v>17.061</v>
      </c>
      <c r="IJ10" s="1098">
        <v>20</v>
      </c>
      <c r="IK10" s="1098">
        <v>2</v>
      </c>
      <c r="IL10" s="1098"/>
      <c r="IM10" s="1098">
        <v>48</v>
      </c>
      <c r="IN10" s="1097">
        <f t="shared" si="39"/>
        <v>124.42099999999999</v>
      </c>
      <c r="IO10" s="1252"/>
      <c r="IP10" s="1098">
        <v>21.518000000000001</v>
      </c>
      <c r="IQ10" s="1098">
        <v>12.035</v>
      </c>
      <c r="IR10" s="1098"/>
      <c r="IS10" s="1098"/>
      <c r="IT10" s="1098"/>
      <c r="IU10" s="1098">
        <v>5.548</v>
      </c>
      <c r="IV10" s="1098">
        <v>1.774</v>
      </c>
      <c r="IW10" s="1098">
        <v>11.11</v>
      </c>
      <c r="IX10" s="1098">
        <v>2.427</v>
      </c>
      <c r="IY10" s="1098"/>
      <c r="IZ10" s="1098"/>
      <c r="JA10" s="1097">
        <f t="shared" si="40"/>
        <v>54.411999999999999</v>
      </c>
      <c r="JB10" s="1252"/>
      <c r="JC10" s="1098">
        <v>22.09</v>
      </c>
      <c r="JD10" s="1098"/>
      <c r="JE10" s="1098"/>
      <c r="JF10" s="1098">
        <v>18.224</v>
      </c>
      <c r="JG10" s="1098"/>
      <c r="JH10" s="1098"/>
      <c r="JI10" s="1098">
        <v>6.2069999999999999</v>
      </c>
      <c r="JJ10" s="1098">
        <v>0.20300000000000001</v>
      </c>
      <c r="JK10" s="1098">
        <v>1.69</v>
      </c>
      <c r="JL10" s="1098"/>
      <c r="JM10" s="1098">
        <v>5.8639999999999999</v>
      </c>
      <c r="JN10" s="1097">
        <f t="shared" si="41"/>
        <v>54.277999999999999</v>
      </c>
      <c r="JO10" s="1252">
        <v>2.863</v>
      </c>
      <c r="JP10" s="1098"/>
      <c r="JQ10" s="1098"/>
      <c r="JR10" s="1098">
        <v>20.088999999999999</v>
      </c>
      <c r="JS10" s="1098"/>
      <c r="JT10" s="1098">
        <v>4.524</v>
      </c>
      <c r="JU10" s="1098">
        <v>14.398999999999999</v>
      </c>
      <c r="JV10" s="1098">
        <v>13.263999999999999</v>
      </c>
      <c r="JW10" s="1098">
        <v>12.72</v>
      </c>
      <c r="JX10" s="1098"/>
      <c r="JY10" s="1098">
        <v>14.35</v>
      </c>
      <c r="JZ10" s="1098"/>
      <c r="KA10" s="1097">
        <f t="shared" si="42"/>
        <v>82.208999999999989</v>
      </c>
      <c r="KB10" s="1252">
        <v>1.9830000000000001</v>
      </c>
      <c r="KC10" s="1098"/>
      <c r="KD10" s="1098">
        <v>5.2169999999999996</v>
      </c>
      <c r="KE10" s="1098">
        <v>9.7850000000000001</v>
      </c>
      <c r="KF10" s="1098">
        <v>27.195</v>
      </c>
      <c r="KG10" s="1098">
        <v>5.5880000000000001</v>
      </c>
      <c r="KH10" s="1098">
        <v>9.8559999999999999</v>
      </c>
      <c r="KI10" s="1098"/>
      <c r="KJ10" s="1098">
        <v>29.013000000000002</v>
      </c>
      <c r="KK10" s="1098">
        <v>10.648999999999999</v>
      </c>
      <c r="KL10" s="1098">
        <v>10.151</v>
      </c>
      <c r="KM10" s="1098">
        <v>57.13</v>
      </c>
      <c r="KN10" s="1097">
        <f t="shared" si="43"/>
        <v>166.56700000000001</v>
      </c>
      <c r="KO10" s="1252">
        <v>3.387</v>
      </c>
      <c r="KP10" s="1098">
        <v>11.849</v>
      </c>
      <c r="KQ10" s="1098">
        <v>49.274999999999999</v>
      </c>
      <c r="KR10" s="1098">
        <v>37.496000000000002</v>
      </c>
      <c r="KS10" s="1098">
        <v>10.391999999999999</v>
      </c>
      <c r="KT10" s="1098">
        <v>3.226</v>
      </c>
      <c r="KU10" s="1098">
        <v>2.7309999999999999</v>
      </c>
      <c r="KV10" s="1098"/>
      <c r="KW10" s="1098">
        <v>3.3079999999999998</v>
      </c>
      <c r="KX10" s="1098">
        <v>47.628</v>
      </c>
      <c r="KY10" s="1098"/>
      <c r="KZ10" s="1098"/>
      <c r="LA10" s="1097">
        <f t="shared" si="44"/>
        <v>169.29199999999997</v>
      </c>
      <c r="LB10" s="1252"/>
      <c r="LC10" s="1098"/>
      <c r="LD10" s="1098"/>
      <c r="LE10" s="1098"/>
      <c r="LF10" s="1098"/>
      <c r="LG10" s="1098"/>
      <c r="LH10" s="1098">
        <v>1</v>
      </c>
      <c r="LI10" s="1098"/>
      <c r="LJ10" s="1098"/>
      <c r="LK10" s="1098"/>
      <c r="LL10" s="1098"/>
      <c r="LM10" s="1098"/>
      <c r="LN10" s="1097">
        <f t="shared" si="45"/>
        <v>1</v>
      </c>
      <c r="LP10" s="1137" t="str">
        <f t="shared" si="46"/>
        <v/>
      </c>
      <c r="LQ10" s="1138">
        <f t="shared" si="47"/>
        <v>-99.155091419108459</v>
      </c>
      <c r="LR10" s="1139">
        <f t="shared" si="48"/>
        <v>118.35599999999999</v>
      </c>
      <c r="LS10" s="1140">
        <f t="shared" si="49"/>
        <v>1</v>
      </c>
      <c r="LT10" s="1"/>
      <c r="LU10" s="629"/>
      <c r="LV10" s="1139">
        <f t="shared" si="50"/>
        <v>4009.5219999999999</v>
      </c>
      <c r="LW10" s="1286" t="s">
        <v>102</v>
      </c>
      <c r="LX10" s="1147" t="str">
        <f t="shared" si="51"/>
        <v>OK</v>
      </c>
    </row>
    <row r="11" spans="1:336" ht="15" customHeight="1" x14ac:dyDescent="0.2">
      <c r="A11" s="1292" t="s">
        <v>51</v>
      </c>
      <c r="B11" s="1252">
        <v>3.5379999999999998</v>
      </c>
      <c r="C11" s="1098"/>
      <c r="D11" s="1098"/>
      <c r="E11" s="1098"/>
      <c r="F11" s="1098">
        <v>2.3580000000000001</v>
      </c>
      <c r="G11" s="1098"/>
      <c r="H11" s="1098"/>
      <c r="I11" s="1098"/>
      <c r="J11" s="1098"/>
      <c r="K11" s="1098"/>
      <c r="L11" s="1098">
        <v>4.4329999999999998</v>
      </c>
      <c r="M11" s="1098"/>
      <c r="N11" s="1097">
        <f t="shared" si="21"/>
        <v>10.329000000000001</v>
      </c>
      <c r="O11" s="1252"/>
      <c r="P11" s="1098">
        <v>1</v>
      </c>
      <c r="Q11" s="1098"/>
      <c r="R11" s="1098"/>
      <c r="S11" s="1098"/>
      <c r="T11" s="1098"/>
      <c r="U11" s="1098"/>
      <c r="V11" s="1098"/>
      <c r="W11" s="1098"/>
      <c r="X11" s="1098"/>
      <c r="Y11" s="1098">
        <v>5.8959999999999999</v>
      </c>
      <c r="Z11" s="1098"/>
      <c r="AA11" s="1097">
        <f t="shared" si="22"/>
        <v>6.8959999999999999</v>
      </c>
      <c r="AB11" s="1252"/>
      <c r="AC11" s="1098"/>
      <c r="AD11" s="1098">
        <v>1.9339999999999999</v>
      </c>
      <c r="AE11" s="1098"/>
      <c r="AF11" s="1098"/>
      <c r="AG11" s="1098">
        <v>8.9540000000000006</v>
      </c>
      <c r="AH11" s="1098">
        <v>2.3580000000000001</v>
      </c>
      <c r="AI11" s="1098"/>
      <c r="AJ11" s="1098"/>
      <c r="AK11" s="1098"/>
      <c r="AL11" s="1098"/>
      <c r="AM11" s="1098"/>
      <c r="AN11" s="1097">
        <f t="shared" si="23"/>
        <v>13.246</v>
      </c>
      <c r="AO11" s="1252"/>
      <c r="AP11" s="1098">
        <v>2.5870000000000002</v>
      </c>
      <c r="AQ11" s="1098"/>
      <c r="AR11" s="1098">
        <v>5.3109999999999999</v>
      </c>
      <c r="AS11" s="1098"/>
      <c r="AT11" s="1098"/>
      <c r="AU11" s="1098"/>
      <c r="AV11" s="1098">
        <v>5</v>
      </c>
      <c r="AW11" s="1098">
        <v>3</v>
      </c>
      <c r="AX11" s="1098"/>
      <c r="AY11" s="1098"/>
      <c r="AZ11" s="1098"/>
      <c r="BA11" s="1097">
        <f t="shared" si="24"/>
        <v>15.898</v>
      </c>
      <c r="BB11" s="1252"/>
      <c r="BC11" s="1098"/>
      <c r="BD11" s="1098"/>
      <c r="BE11" s="1098"/>
      <c r="BF11" s="1098"/>
      <c r="BG11" s="1098"/>
      <c r="BH11" s="1098"/>
      <c r="BI11" s="1098"/>
      <c r="BJ11" s="1098"/>
      <c r="BK11" s="1098"/>
      <c r="BL11" s="1098">
        <v>7.8419999999999996</v>
      </c>
      <c r="BM11" s="1098"/>
      <c r="BN11" s="1097">
        <f t="shared" si="25"/>
        <v>7.8419999999999996</v>
      </c>
      <c r="BO11" s="1252"/>
      <c r="BP11" s="1098"/>
      <c r="BQ11" s="1098"/>
      <c r="BR11" s="1098"/>
      <c r="BS11" s="1098"/>
      <c r="BT11" s="1098"/>
      <c r="BU11" s="1098"/>
      <c r="BV11" s="1098"/>
      <c r="BW11" s="1098"/>
      <c r="BX11" s="1098"/>
      <c r="BY11" s="1098"/>
      <c r="BZ11" s="1098"/>
      <c r="CA11" s="1097">
        <f t="shared" si="26"/>
        <v>0</v>
      </c>
      <c r="CB11" s="1252"/>
      <c r="CC11" s="1098"/>
      <c r="CD11" s="1098"/>
      <c r="CE11" s="1098"/>
      <c r="CF11" s="1098"/>
      <c r="CG11" s="1098"/>
      <c r="CH11" s="1098"/>
      <c r="CI11" s="1098"/>
      <c r="CJ11" s="1098"/>
      <c r="CK11" s="1098"/>
      <c r="CL11" s="1098"/>
      <c r="CM11" s="1098"/>
      <c r="CN11" s="1097">
        <f t="shared" si="27"/>
        <v>0</v>
      </c>
      <c r="CO11" s="1252"/>
      <c r="CP11" s="1098"/>
      <c r="CQ11" s="1098"/>
      <c r="CR11" s="1098"/>
      <c r="CS11" s="1098"/>
      <c r="CT11" s="1098"/>
      <c r="CU11" s="1098"/>
      <c r="CV11" s="1098"/>
      <c r="CW11" s="1098">
        <v>5</v>
      </c>
      <c r="CX11" s="1098"/>
      <c r="CY11" s="1098"/>
      <c r="CZ11" s="1098">
        <v>5</v>
      </c>
      <c r="DA11" s="1097">
        <f t="shared" si="28"/>
        <v>10</v>
      </c>
      <c r="DB11" s="1252"/>
      <c r="DC11" s="1098"/>
      <c r="DD11" s="1098"/>
      <c r="DE11" s="1098">
        <v>19</v>
      </c>
      <c r="DF11" s="1098"/>
      <c r="DG11" s="1098"/>
      <c r="DH11" s="1098"/>
      <c r="DI11" s="1098">
        <v>1</v>
      </c>
      <c r="DJ11" s="1098"/>
      <c r="DK11" s="1098"/>
      <c r="DL11" s="1098">
        <v>31</v>
      </c>
      <c r="DM11" s="1098">
        <v>4</v>
      </c>
      <c r="DN11" s="1097">
        <f t="shared" si="29"/>
        <v>55</v>
      </c>
      <c r="DO11" s="1252">
        <v>16</v>
      </c>
      <c r="DP11" s="1098"/>
      <c r="DQ11" s="1098"/>
      <c r="DR11" s="1098"/>
      <c r="DS11" s="1098"/>
      <c r="DT11" s="1098"/>
      <c r="DU11" s="1098"/>
      <c r="DV11" s="1098"/>
      <c r="DW11" s="1098"/>
      <c r="DX11" s="1098">
        <v>4</v>
      </c>
      <c r="DY11" s="1098">
        <v>10</v>
      </c>
      <c r="DZ11" s="1098"/>
      <c r="EA11" s="1097">
        <f t="shared" si="30"/>
        <v>30</v>
      </c>
      <c r="EB11" s="1252">
        <v>1</v>
      </c>
      <c r="EC11" s="1098"/>
      <c r="ED11" s="1098"/>
      <c r="EE11" s="1098"/>
      <c r="EF11" s="1098"/>
      <c r="EG11" s="1098"/>
      <c r="EH11" s="1098"/>
      <c r="EI11" s="1098">
        <v>21</v>
      </c>
      <c r="EJ11" s="1098"/>
      <c r="EK11" s="1098"/>
      <c r="EL11" s="1098"/>
      <c r="EM11" s="1098"/>
      <c r="EN11" s="1097">
        <f t="shared" si="31"/>
        <v>22</v>
      </c>
      <c r="EO11" s="1252"/>
      <c r="EP11" s="1098"/>
      <c r="EQ11" s="1098">
        <v>6</v>
      </c>
      <c r="ER11" s="1098"/>
      <c r="ES11" s="1098"/>
      <c r="ET11" s="1098"/>
      <c r="EU11" s="1098"/>
      <c r="EV11" s="1098"/>
      <c r="EW11" s="1098"/>
      <c r="EX11" s="1098">
        <v>12</v>
      </c>
      <c r="EY11" s="1098">
        <v>40</v>
      </c>
      <c r="EZ11" s="1098"/>
      <c r="FA11" s="1097">
        <f t="shared" si="32"/>
        <v>58</v>
      </c>
      <c r="FB11" s="1252"/>
      <c r="FC11" s="1098"/>
      <c r="FD11" s="1098"/>
      <c r="FE11" s="1098"/>
      <c r="FF11" s="1098"/>
      <c r="FG11" s="1098"/>
      <c r="FH11" s="1098"/>
      <c r="FI11" s="1098"/>
      <c r="FJ11" s="1098">
        <v>44</v>
      </c>
      <c r="FK11" s="1098"/>
      <c r="FL11" s="1098">
        <v>20</v>
      </c>
      <c r="FM11" s="1098"/>
      <c r="FN11" s="1097">
        <f t="shared" si="33"/>
        <v>64</v>
      </c>
      <c r="FO11" s="1252"/>
      <c r="FP11" s="1098"/>
      <c r="FQ11" s="1098"/>
      <c r="FR11" s="1098"/>
      <c r="FS11" s="1098"/>
      <c r="FT11" s="1098">
        <v>12</v>
      </c>
      <c r="FU11" s="1098"/>
      <c r="FV11" s="1098">
        <v>4</v>
      </c>
      <c r="FW11" s="1098">
        <v>2</v>
      </c>
      <c r="FX11" s="1098"/>
      <c r="FY11" s="1098"/>
      <c r="FZ11" s="1098"/>
      <c r="GA11" s="1097">
        <f t="shared" si="34"/>
        <v>18</v>
      </c>
      <c r="GB11" s="1252"/>
      <c r="GC11" s="1098"/>
      <c r="GD11" s="1098"/>
      <c r="GE11" s="1098"/>
      <c r="GF11" s="1098"/>
      <c r="GG11" s="1098"/>
      <c r="GH11" s="1098"/>
      <c r="GI11" s="1098"/>
      <c r="GJ11" s="1098"/>
      <c r="GK11" s="1098"/>
      <c r="GL11" s="1098"/>
      <c r="GM11" s="1098"/>
      <c r="GN11" s="1097">
        <f t="shared" si="35"/>
        <v>0</v>
      </c>
      <c r="GO11" s="1252"/>
      <c r="GP11" s="1098"/>
      <c r="GQ11" s="1098"/>
      <c r="GR11" s="1098"/>
      <c r="GS11" s="1098"/>
      <c r="GT11" s="1098"/>
      <c r="GU11" s="1098"/>
      <c r="GV11" s="1098"/>
      <c r="GW11" s="1098"/>
      <c r="GX11" s="1098"/>
      <c r="GY11" s="1098"/>
      <c r="GZ11" s="1098"/>
      <c r="HA11" s="1097">
        <f t="shared" si="36"/>
        <v>0</v>
      </c>
      <c r="HB11" s="1252"/>
      <c r="HC11" s="1098"/>
      <c r="HD11" s="1098"/>
      <c r="HE11" s="1098"/>
      <c r="HF11" s="1098"/>
      <c r="HG11" s="1098"/>
      <c r="HH11" s="1098"/>
      <c r="HI11" s="1098"/>
      <c r="HJ11" s="1098"/>
      <c r="HK11" s="1098"/>
      <c r="HL11" s="1098"/>
      <c r="HM11" s="1098"/>
      <c r="HN11" s="1097">
        <f t="shared" si="37"/>
        <v>0</v>
      </c>
      <c r="HO11" s="1252"/>
      <c r="HP11" s="1098"/>
      <c r="HQ11" s="1098"/>
      <c r="HR11" s="1098"/>
      <c r="HS11" s="1098">
        <v>14.552</v>
      </c>
      <c r="HT11" s="1098">
        <v>1.8140000000000001</v>
      </c>
      <c r="HU11" s="1098"/>
      <c r="HV11" s="1098"/>
      <c r="HW11" s="1098"/>
      <c r="HX11" s="1098"/>
      <c r="HY11" s="1098"/>
      <c r="HZ11" s="1098"/>
      <c r="IA11" s="1097">
        <f t="shared" si="38"/>
        <v>16.366</v>
      </c>
      <c r="IB11" s="1252"/>
      <c r="IC11" s="1098"/>
      <c r="ID11" s="1098"/>
      <c r="IE11" s="1098"/>
      <c r="IF11" s="1098"/>
      <c r="IG11" s="1098"/>
      <c r="IH11" s="1098"/>
      <c r="II11" s="1098"/>
      <c r="IJ11" s="1098"/>
      <c r="IK11" s="1098"/>
      <c r="IL11" s="1098"/>
      <c r="IM11" s="1098"/>
      <c r="IN11" s="1097">
        <f t="shared" si="39"/>
        <v>0</v>
      </c>
      <c r="IO11" s="1252"/>
      <c r="IP11" s="1098"/>
      <c r="IQ11" s="1098"/>
      <c r="IR11" s="1098"/>
      <c r="IS11" s="1098"/>
      <c r="IT11" s="1098">
        <v>0.59899999999999998</v>
      </c>
      <c r="IU11" s="1098">
        <v>0.26700000000000002</v>
      </c>
      <c r="IV11" s="1098"/>
      <c r="IW11" s="1098"/>
      <c r="IX11" s="1098">
        <v>0.91100000000000003</v>
      </c>
      <c r="IY11" s="1098"/>
      <c r="IZ11" s="1098"/>
      <c r="JA11" s="1097">
        <f t="shared" si="40"/>
        <v>1.7770000000000001</v>
      </c>
      <c r="JB11" s="1252"/>
      <c r="JC11" s="1098"/>
      <c r="JD11" s="1098"/>
      <c r="JE11" s="1098"/>
      <c r="JF11" s="1098"/>
      <c r="JG11" s="1098"/>
      <c r="JH11" s="1098"/>
      <c r="JI11" s="1098"/>
      <c r="JJ11" s="1098"/>
      <c r="JK11" s="1098"/>
      <c r="JL11" s="1098"/>
      <c r="JM11" s="1098"/>
      <c r="JN11" s="1097">
        <f t="shared" si="41"/>
        <v>0</v>
      </c>
      <c r="JO11" s="1252"/>
      <c r="JP11" s="1098"/>
      <c r="JQ11" s="1098"/>
      <c r="JR11" s="1098"/>
      <c r="JS11" s="1098"/>
      <c r="JT11" s="1098"/>
      <c r="JU11" s="1098"/>
      <c r="JV11" s="1098"/>
      <c r="JW11" s="1098"/>
      <c r="JX11" s="1098"/>
      <c r="JY11" s="1098"/>
      <c r="JZ11" s="1098"/>
      <c r="KA11" s="1097">
        <f t="shared" si="42"/>
        <v>0</v>
      </c>
      <c r="KB11" s="1252"/>
      <c r="KC11" s="1098"/>
      <c r="KD11" s="1098"/>
      <c r="KE11" s="1098"/>
      <c r="KF11" s="1098"/>
      <c r="KG11" s="1098"/>
      <c r="KH11" s="1098"/>
      <c r="KI11" s="1098"/>
      <c r="KJ11" s="1098"/>
      <c r="KK11" s="1098"/>
      <c r="KL11" s="1098"/>
      <c r="KM11" s="1098"/>
      <c r="KN11" s="1097">
        <f t="shared" si="43"/>
        <v>0</v>
      </c>
      <c r="KO11" s="1252">
        <v>13.75</v>
      </c>
      <c r="KP11" s="1098"/>
      <c r="KQ11" s="1098"/>
      <c r="KR11" s="1098">
        <v>2.1779999999999999</v>
      </c>
      <c r="KS11" s="1098">
        <v>0.89400000000000002</v>
      </c>
      <c r="KT11" s="1098">
        <v>11.507999999999999</v>
      </c>
      <c r="KU11" s="1098"/>
      <c r="KV11" s="1098"/>
      <c r="KW11" s="1098">
        <v>1.421</v>
      </c>
      <c r="KX11" s="1098"/>
      <c r="KY11" s="1098"/>
      <c r="KZ11" s="1098"/>
      <c r="LA11" s="1097">
        <f t="shared" si="44"/>
        <v>29.750999999999998</v>
      </c>
      <c r="LB11" s="1252"/>
      <c r="LC11" s="1098"/>
      <c r="LD11" s="1098"/>
      <c r="LE11" s="1098"/>
      <c r="LF11" s="1098"/>
      <c r="LG11" s="1098"/>
      <c r="LH11" s="1098"/>
      <c r="LI11" s="1098"/>
      <c r="LJ11" s="1098"/>
      <c r="LK11" s="1098"/>
      <c r="LL11" s="1098"/>
      <c r="LM11" s="1098"/>
      <c r="LN11" s="1097">
        <f t="shared" si="45"/>
        <v>0</v>
      </c>
      <c r="LP11" s="1116" t="str">
        <f t="shared" si="46"/>
        <v/>
      </c>
      <c r="LQ11" s="1117">
        <f t="shared" si="47"/>
        <v>-100</v>
      </c>
      <c r="LR11" s="1079">
        <f t="shared" si="48"/>
        <v>28.33</v>
      </c>
      <c r="LS11" s="1118">
        <f t="shared" si="49"/>
        <v>0</v>
      </c>
      <c r="LT11" s="1"/>
      <c r="LU11" s="629"/>
      <c r="LV11" s="1139">
        <f t="shared" si="50"/>
        <v>718.21000000000015</v>
      </c>
      <c r="LW11" s="1286" t="s">
        <v>51</v>
      </c>
      <c r="LX11" s="1147" t="str">
        <f t="shared" si="51"/>
        <v>OK</v>
      </c>
    </row>
    <row r="12" spans="1:336" ht="15" customHeight="1" x14ac:dyDescent="0.2">
      <c r="A12" s="1280" t="s">
        <v>52</v>
      </c>
      <c r="B12" s="1252"/>
      <c r="C12" s="1098"/>
      <c r="D12" s="1098"/>
      <c r="E12" s="1098">
        <v>27.173999999999999</v>
      </c>
      <c r="F12" s="1098"/>
      <c r="G12" s="1098">
        <v>26.398</v>
      </c>
      <c r="H12" s="1098"/>
      <c r="I12" s="1098">
        <v>10.707000000000001</v>
      </c>
      <c r="J12" s="1098">
        <v>11.98</v>
      </c>
      <c r="K12" s="1098"/>
      <c r="L12" s="1098"/>
      <c r="M12" s="1098"/>
      <c r="N12" s="1097">
        <f t="shared" si="21"/>
        <v>76.259</v>
      </c>
      <c r="O12" s="1252">
        <v>37</v>
      </c>
      <c r="P12" s="1098"/>
      <c r="Q12" s="1098"/>
      <c r="R12" s="1098"/>
      <c r="S12" s="1098">
        <v>18.923999999999999</v>
      </c>
      <c r="T12" s="1098"/>
      <c r="U12" s="1098"/>
      <c r="V12" s="1098">
        <v>17.751000000000001</v>
      </c>
      <c r="W12" s="1098">
        <v>20.715</v>
      </c>
      <c r="X12" s="1098"/>
      <c r="Y12" s="1098">
        <v>33.113</v>
      </c>
      <c r="Z12" s="1098">
        <v>20.76</v>
      </c>
      <c r="AA12" s="1097">
        <f t="shared" si="22"/>
        <v>148.26300000000001</v>
      </c>
      <c r="AB12" s="1252"/>
      <c r="AC12" s="1098">
        <v>24.905000000000001</v>
      </c>
      <c r="AD12" s="1098"/>
      <c r="AE12" s="1098"/>
      <c r="AF12" s="1098"/>
      <c r="AG12" s="1098"/>
      <c r="AH12" s="1098">
        <v>2.3580000000000001</v>
      </c>
      <c r="AI12" s="1098">
        <v>11.186</v>
      </c>
      <c r="AJ12" s="1098">
        <v>26.533000000000001</v>
      </c>
      <c r="AK12" s="1098">
        <v>27.806000000000001</v>
      </c>
      <c r="AL12" s="1098">
        <v>5.66</v>
      </c>
      <c r="AM12" s="1098"/>
      <c r="AN12" s="1097">
        <f t="shared" si="23"/>
        <v>98.447999999999993</v>
      </c>
      <c r="AO12" s="1252">
        <v>26.428000000000001</v>
      </c>
      <c r="AP12" s="1098"/>
      <c r="AQ12" s="1098"/>
      <c r="AR12" s="1098">
        <v>33.049999999999997</v>
      </c>
      <c r="AS12" s="1098"/>
      <c r="AT12" s="1098">
        <v>23.324999999999999</v>
      </c>
      <c r="AU12" s="1098"/>
      <c r="AV12" s="1098"/>
      <c r="AW12" s="1098">
        <v>9</v>
      </c>
      <c r="AX12" s="1098">
        <v>174</v>
      </c>
      <c r="AY12" s="1098">
        <v>201</v>
      </c>
      <c r="AZ12" s="1098">
        <v>135</v>
      </c>
      <c r="BA12" s="1097">
        <f t="shared" si="24"/>
        <v>601.803</v>
      </c>
      <c r="BB12" s="1252">
        <v>55</v>
      </c>
      <c r="BC12" s="1098">
        <v>171</v>
      </c>
      <c r="BD12" s="1098">
        <v>317</v>
      </c>
      <c r="BE12" s="1098">
        <v>214</v>
      </c>
      <c r="BF12" s="1098">
        <v>130</v>
      </c>
      <c r="BG12" s="1098">
        <v>92</v>
      </c>
      <c r="BH12" s="1098">
        <v>68</v>
      </c>
      <c r="BI12" s="1098">
        <v>40</v>
      </c>
      <c r="BJ12" s="1098"/>
      <c r="BK12" s="1098">
        <v>37.593000000000004</v>
      </c>
      <c r="BL12" s="1098">
        <v>20.129000000000001</v>
      </c>
      <c r="BM12" s="1098">
        <v>124.967</v>
      </c>
      <c r="BN12" s="1097">
        <f t="shared" si="25"/>
        <v>1269.6890000000001</v>
      </c>
      <c r="BO12" s="1252">
        <v>18.908000000000001</v>
      </c>
      <c r="BP12" s="1098">
        <v>42.284999999999997</v>
      </c>
      <c r="BQ12" s="1098">
        <v>31.745999999999999</v>
      </c>
      <c r="BR12" s="1098">
        <v>1.4850000000000001</v>
      </c>
      <c r="BS12" s="1098">
        <v>23.585000000000001</v>
      </c>
      <c r="BT12" s="1098">
        <v>0.80600000000000005</v>
      </c>
      <c r="BU12" s="1098">
        <v>165.59899999999999</v>
      </c>
      <c r="BV12" s="1098">
        <v>195.77699999999999</v>
      </c>
      <c r="BW12" s="1098">
        <v>90.347999999999999</v>
      </c>
      <c r="BX12" s="1098">
        <v>209.84299999999999</v>
      </c>
      <c r="BY12" s="1098">
        <v>39</v>
      </c>
      <c r="BZ12" s="1098">
        <v>12</v>
      </c>
      <c r="CA12" s="1097">
        <f t="shared" si="26"/>
        <v>831.38199999999995</v>
      </c>
      <c r="CB12" s="1252"/>
      <c r="CC12" s="1098"/>
      <c r="CD12" s="1098"/>
      <c r="CE12" s="1098">
        <v>33</v>
      </c>
      <c r="CF12" s="1098">
        <v>92</v>
      </c>
      <c r="CG12" s="1098"/>
      <c r="CH12" s="1098"/>
      <c r="CI12" s="1098"/>
      <c r="CJ12" s="1098">
        <v>1</v>
      </c>
      <c r="CK12" s="1098"/>
      <c r="CL12" s="1098">
        <v>40</v>
      </c>
      <c r="CM12" s="1098">
        <v>102</v>
      </c>
      <c r="CN12" s="1097">
        <f t="shared" si="27"/>
        <v>268</v>
      </c>
      <c r="CO12" s="1252">
        <v>82</v>
      </c>
      <c r="CP12" s="1098">
        <v>14</v>
      </c>
      <c r="CQ12" s="1098"/>
      <c r="CR12" s="1098"/>
      <c r="CS12" s="1098">
        <v>12</v>
      </c>
      <c r="CT12" s="1098"/>
      <c r="CU12" s="1098"/>
      <c r="CV12" s="1098"/>
      <c r="CW12" s="1098"/>
      <c r="CX12" s="1098"/>
      <c r="CY12" s="1098"/>
      <c r="CZ12" s="1098"/>
      <c r="DA12" s="1097">
        <f t="shared" si="28"/>
        <v>108</v>
      </c>
      <c r="DB12" s="1252"/>
      <c r="DC12" s="1098">
        <v>19</v>
      </c>
      <c r="DD12" s="1098">
        <v>28</v>
      </c>
      <c r="DE12" s="1098">
        <v>171</v>
      </c>
      <c r="DF12" s="1098">
        <v>55</v>
      </c>
      <c r="DG12" s="1098">
        <v>42</v>
      </c>
      <c r="DH12" s="1098">
        <v>31</v>
      </c>
      <c r="DI12" s="1098">
        <v>12</v>
      </c>
      <c r="DJ12" s="1098">
        <v>54</v>
      </c>
      <c r="DK12" s="1098"/>
      <c r="DL12" s="1098"/>
      <c r="DM12" s="1098"/>
      <c r="DN12" s="1097">
        <f t="shared" si="29"/>
        <v>412</v>
      </c>
      <c r="DO12" s="1252"/>
      <c r="DP12" s="1098">
        <v>20</v>
      </c>
      <c r="DQ12" s="1098">
        <v>5</v>
      </c>
      <c r="DR12" s="1098">
        <v>2</v>
      </c>
      <c r="DS12" s="1098">
        <v>3</v>
      </c>
      <c r="DT12" s="1098">
        <v>7</v>
      </c>
      <c r="DU12" s="1098">
        <v>14</v>
      </c>
      <c r="DV12" s="1098"/>
      <c r="DW12" s="1098">
        <v>88</v>
      </c>
      <c r="DX12" s="1098">
        <v>99</v>
      </c>
      <c r="DY12" s="1098">
        <v>127</v>
      </c>
      <c r="DZ12" s="1098">
        <v>7</v>
      </c>
      <c r="EA12" s="1097">
        <f t="shared" si="30"/>
        <v>372</v>
      </c>
      <c r="EB12" s="1252">
        <v>126</v>
      </c>
      <c r="EC12" s="1098">
        <v>7</v>
      </c>
      <c r="ED12" s="1098">
        <v>56</v>
      </c>
      <c r="EE12" s="1098"/>
      <c r="EF12" s="1098">
        <v>73</v>
      </c>
      <c r="EG12" s="1098">
        <v>76</v>
      </c>
      <c r="EH12" s="1098">
        <v>60</v>
      </c>
      <c r="EI12" s="1098">
        <v>34</v>
      </c>
      <c r="EJ12" s="1098">
        <v>62</v>
      </c>
      <c r="EK12" s="1098">
        <v>162</v>
      </c>
      <c r="EL12" s="1098">
        <v>499</v>
      </c>
      <c r="EM12" s="1098">
        <v>258</v>
      </c>
      <c r="EN12" s="1097">
        <f t="shared" si="31"/>
        <v>1413</v>
      </c>
      <c r="EO12" s="1252">
        <v>121</v>
      </c>
      <c r="EP12" s="1098">
        <v>762</v>
      </c>
      <c r="EQ12" s="1098">
        <v>391</v>
      </c>
      <c r="ER12" s="1098">
        <v>400</v>
      </c>
      <c r="ES12" s="1098">
        <v>304</v>
      </c>
      <c r="ET12" s="1098">
        <v>218</v>
      </c>
      <c r="EU12" s="1098">
        <v>355</v>
      </c>
      <c r="EV12" s="1098">
        <v>632</v>
      </c>
      <c r="EW12" s="1098">
        <v>430</v>
      </c>
      <c r="EX12" s="1098">
        <v>446</v>
      </c>
      <c r="EY12" s="1098">
        <v>1</v>
      </c>
      <c r="EZ12" s="1098">
        <v>467</v>
      </c>
      <c r="FA12" s="1097">
        <f t="shared" si="32"/>
        <v>4527</v>
      </c>
      <c r="FB12" s="1252">
        <v>286</v>
      </c>
      <c r="FC12" s="1098">
        <v>359</v>
      </c>
      <c r="FD12" s="1098">
        <v>363</v>
      </c>
      <c r="FE12" s="1098">
        <v>255</v>
      </c>
      <c r="FF12" s="1098">
        <v>219</v>
      </c>
      <c r="FG12" s="1098">
        <v>133</v>
      </c>
      <c r="FH12" s="1098">
        <v>200</v>
      </c>
      <c r="FI12" s="1098">
        <v>210</v>
      </c>
      <c r="FJ12" s="1098">
        <v>496</v>
      </c>
      <c r="FK12" s="1098">
        <v>378</v>
      </c>
      <c r="FL12" s="1098">
        <v>250</v>
      </c>
      <c r="FM12" s="1098">
        <v>362.5</v>
      </c>
      <c r="FN12" s="1097">
        <f t="shared" si="33"/>
        <v>3511.5</v>
      </c>
      <c r="FO12" s="1252">
        <v>55</v>
      </c>
      <c r="FP12" s="1098">
        <v>122</v>
      </c>
      <c r="FQ12" s="1098">
        <v>101</v>
      </c>
      <c r="FR12" s="1098">
        <v>142</v>
      </c>
      <c r="FS12" s="1098">
        <v>41</v>
      </c>
      <c r="FT12" s="1098">
        <v>125</v>
      </c>
      <c r="FU12" s="1098">
        <v>50</v>
      </c>
      <c r="FV12" s="1098"/>
      <c r="FW12" s="1098">
        <v>83</v>
      </c>
      <c r="FX12" s="1098">
        <v>142</v>
      </c>
      <c r="FY12" s="1098">
        <v>24</v>
      </c>
      <c r="FZ12" s="1098">
        <v>50</v>
      </c>
      <c r="GA12" s="1097">
        <f t="shared" si="34"/>
        <v>935</v>
      </c>
      <c r="GB12" s="1252">
        <v>25</v>
      </c>
      <c r="GC12" s="1098"/>
      <c r="GD12" s="1098"/>
      <c r="GE12" s="1098">
        <v>44.71</v>
      </c>
      <c r="GF12" s="1098">
        <v>129.96899999999999</v>
      </c>
      <c r="GG12" s="1098">
        <v>50</v>
      </c>
      <c r="GH12" s="1098"/>
      <c r="GI12" s="1098"/>
      <c r="GJ12" s="1098">
        <v>9</v>
      </c>
      <c r="GK12" s="1098">
        <v>50</v>
      </c>
      <c r="GL12" s="1098">
        <v>50</v>
      </c>
      <c r="GM12" s="1098">
        <v>100</v>
      </c>
      <c r="GN12" s="1097">
        <f t="shared" si="35"/>
        <v>458.67899999999997</v>
      </c>
      <c r="GO12" s="1252">
        <v>50.000999999999998</v>
      </c>
      <c r="GP12" s="1098"/>
      <c r="GQ12" s="1098">
        <v>51.533000000000001</v>
      </c>
      <c r="GR12" s="1098"/>
      <c r="GS12" s="1098">
        <v>3</v>
      </c>
      <c r="GT12" s="1098"/>
      <c r="GU12" s="1098">
        <v>140</v>
      </c>
      <c r="GV12" s="1098">
        <v>53</v>
      </c>
      <c r="GW12" s="1098">
        <v>200</v>
      </c>
      <c r="GX12" s="1098">
        <v>200</v>
      </c>
      <c r="GY12" s="1098"/>
      <c r="GZ12" s="1098">
        <v>50</v>
      </c>
      <c r="HA12" s="1097">
        <f t="shared" si="36"/>
        <v>747.53399999999999</v>
      </c>
      <c r="HB12" s="1252">
        <f>65+85</f>
        <v>150</v>
      </c>
      <c r="HC12" s="1098">
        <v>146</v>
      </c>
      <c r="HD12" s="1098">
        <v>100</v>
      </c>
      <c r="HE12" s="1098"/>
      <c r="HF12" s="1098"/>
      <c r="HG12" s="1098">
        <v>97</v>
      </c>
      <c r="HH12" s="1098">
        <v>100</v>
      </c>
      <c r="HI12" s="1098">
        <v>417</v>
      </c>
      <c r="HJ12" s="1098">
        <v>387.95100000000002</v>
      </c>
      <c r="HK12" s="1098">
        <v>35.042000000000002</v>
      </c>
      <c r="HL12" s="1098"/>
      <c r="HM12" s="1098"/>
      <c r="HN12" s="1097">
        <f t="shared" si="37"/>
        <v>1432.9929999999999</v>
      </c>
      <c r="HO12" s="1252"/>
      <c r="HP12" s="1098"/>
      <c r="HQ12" s="1098">
        <v>34.58</v>
      </c>
      <c r="HR12" s="1098">
        <v>6.2389999999999999</v>
      </c>
      <c r="HS12" s="1098">
        <v>8.8330000000000002</v>
      </c>
      <c r="HT12" s="1098">
        <v>16.652999999999999</v>
      </c>
      <c r="HU12" s="1098">
        <v>15.324999999999999</v>
      </c>
      <c r="HV12" s="1098">
        <v>18.297000000000001</v>
      </c>
      <c r="HW12" s="1098">
        <v>7.83</v>
      </c>
      <c r="HX12" s="1098"/>
      <c r="HY12" s="1098"/>
      <c r="HZ12" s="1098"/>
      <c r="IA12" s="1097">
        <f t="shared" si="38"/>
        <v>107.75699999999999</v>
      </c>
      <c r="IB12" s="1252"/>
      <c r="IC12" s="1098">
        <v>37.69</v>
      </c>
      <c r="ID12" s="1098"/>
      <c r="IE12" s="1098"/>
      <c r="IF12" s="1098">
        <v>479.59699999999998</v>
      </c>
      <c r="IG12" s="1098">
        <v>297.19</v>
      </c>
      <c r="IH12" s="1098">
        <v>8.6539999999999999</v>
      </c>
      <c r="II12" s="1098">
        <v>84.786000000000001</v>
      </c>
      <c r="IJ12" s="1098"/>
      <c r="IK12" s="1098"/>
      <c r="IL12" s="1098">
        <v>4</v>
      </c>
      <c r="IM12" s="1098">
        <v>37</v>
      </c>
      <c r="IN12" s="1097">
        <f t="shared" si="39"/>
        <v>948.91700000000014</v>
      </c>
      <c r="IO12" s="1252"/>
      <c r="IP12" s="1098"/>
      <c r="IQ12" s="1098"/>
      <c r="IR12" s="1098"/>
      <c r="IS12" s="1098">
        <v>9.3000000000000007</v>
      </c>
      <c r="IT12" s="1098">
        <v>8.0139999999999993</v>
      </c>
      <c r="IU12" s="1098">
        <v>5.125</v>
      </c>
      <c r="IV12" s="1098"/>
      <c r="IW12" s="1098">
        <v>3.0750000000000002</v>
      </c>
      <c r="IX12" s="1098"/>
      <c r="IY12" s="1098">
        <v>1.361</v>
      </c>
      <c r="IZ12" s="1098"/>
      <c r="JA12" s="1097">
        <f t="shared" si="40"/>
        <v>26.875</v>
      </c>
      <c r="JB12" s="1252"/>
      <c r="JC12" s="1098">
        <v>87.001999999999995</v>
      </c>
      <c r="JD12" s="1098">
        <v>99.021000000000001</v>
      </c>
      <c r="JE12" s="1098">
        <v>93.141000000000005</v>
      </c>
      <c r="JF12" s="1098">
        <v>143.488</v>
      </c>
      <c r="JG12" s="1098">
        <v>92.012</v>
      </c>
      <c r="JH12" s="1098">
        <v>102.224</v>
      </c>
      <c r="JI12" s="1098">
        <v>3.085</v>
      </c>
      <c r="JJ12" s="1098"/>
      <c r="JK12" s="1098"/>
      <c r="JL12" s="1098"/>
      <c r="JM12" s="1098">
        <v>47.226999999999997</v>
      </c>
      <c r="JN12" s="1097">
        <f t="shared" si="41"/>
        <v>667.2</v>
      </c>
      <c r="JO12" s="1252"/>
      <c r="JP12" s="1098">
        <v>63.8</v>
      </c>
      <c r="JQ12" s="1098">
        <v>23.515999999999998</v>
      </c>
      <c r="JR12" s="1098">
        <v>35.561999999999998</v>
      </c>
      <c r="JS12" s="1098"/>
      <c r="JT12" s="1098"/>
      <c r="JU12" s="1098"/>
      <c r="JV12" s="1098"/>
      <c r="JW12" s="1098">
        <v>6.0620000000000003</v>
      </c>
      <c r="JX12" s="1098"/>
      <c r="JY12" s="1098"/>
      <c r="JZ12" s="1098"/>
      <c r="KA12" s="1097">
        <f t="shared" si="42"/>
        <v>128.94</v>
      </c>
      <c r="KB12" s="1252"/>
      <c r="KC12" s="1098"/>
      <c r="KD12" s="1098">
        <v>1132.3610000000001</v>
      </c>
      <c r="KE12" s="1098">
        <v>1054.029</v>
      </c>
      <c r="KF12" s="1098">
        <v>693.45</v>
      </c>
      <c r="KG12" s="1098">
        <v>988.43</v>
      </c>
      <c r="KH12" s="1098">
        <v>1180.921</v>
      </c>
      <c r="KI12" s="1098">
        <v>925.49</v>
      </c>
      <c r="KJ12" s="1098">
        <v>1689.4179999999999</v>
      </c>
      <c r="KK12" s="1098">
        <v>41.018999999999998</v>
      </c>
      <c r="KL12" s="1098">
        <v>52.533000000000001</v>
      </c>
      <c r="KM12" s="1098">
        <v>96.218000000000004</v>
      </c>
      <c r="KN12" s="1097">
        <f t="shared" si="43"/>
        <v>7853.8689999999997</v>
      </c>
      <c r="KO12" s="1252">
        <v>1022.081</v>
      </c>
      <c r="KP12" s="1098">
        <v>485.82499999999999</v>
      </c>
      <c r="KQ12" s="1098">
        <v>836.52700000000004</v>
      </c>
      <c r="KR12" s="1098">
        <v>895.15300000000002</v>
      </c>
      <c r="KS12" s="1098">
        <v>760.94299999999998</v>
      </c>
      <c r="KT12" s="1098">
        <v>538.07600000000002</v>
      </c>
      <c r="KU12" s="1098">
        <v>905.40200000000004</v>
      </c>
      <c r="KV12" s="1098">
        <v>735.97</v>
      </c>
      <c r="KW12" s="1098">
        <v>970.42600000000004</v>
      </c>
      <c r="KX12" s="1098">
        <v>1064.45</v>
      </c>
      <c r="KY12" s="1098">
        <v>700.34299999999996</v>
      </c>
      <c r="KZ12" s="1098">
        <v>753.70999999999992</v>
      </c>
      <c r="LA12" s="1097">
        <f t="shared" si="44"/>
        <v>9668.9060000000009</v>
      </c>
      <c r="LB12" s="1252">
        <v>754.60600000001011</v>
      </c>
      <c r="LC12" s="1098">
        <v>710.74599999999998</v>
      </c>
      <c r="LD12" s="1098">
        <v>577.23900000000003</v>
      </c>
      <c r="LE12" s="1098">
        <v>810.04300000000001</v>
      </c>
      <c r="LF12" s="1098">
        <v>539.50599999999997</v>
      </c>
      <c r="LG12" s="1098">
        <v>1059.5850000000003</v>
      </c>
      <c r="LH12" s="1098">
        <v>1085.0029999999999</v>
      </c>
      <c r="LI12" s="1098">
        <v>1077.079</v>
      </c>
      <c r="LJ12" s="1098"/>
      <c r="LK12" s="1098"/>
      <c r="LL12" s="1098"/>
      <c r="LM12" s="1098"/>
      <c r="LN12" s="1097">
        <f t="shared" si="45"/>
        <v>6613.8070000000098</v>
      </c>
      <c r="LP12" s="1116">
        <f t="shared" si="46"/>
        <v>46.348220715518273</v>
      </c>
      <c r="LQ12" s="1117">
        <f t="shared" si="47"/>
        <v>7.0199290385710045</v>
      </c>
      <c r="LR12" s="1079">
        <f t="shared" si="48"/>
        <v>6179.9770000000008</v>
      </c>
      <c r="LS12" s="1118">
        <f t="shared" si="49"/>
        <v>6613.8070000000098</v>
      </c>
      <c r="LT12" s="1"/>
      <c r="LU12" s="629"/>
      <c r="LV12" s="1139">
        <f t="shared" si="50"/>
        <v>86455.642000000036</v>
      </c>
      <c r="LW12" s="1286" t="s">
        <v>52</v>
      </c>
      <c r="LX12" s="1147" t="str">
        <f t="shared" si="51"/>
        <v>OK</v>
      </c>
    </row>
    <row r="13" spans="1:336" ht="15" customHeight="1" x14ac:dyDescent="0.2">
      <c r="A13" s="1280" t="s">
        <v>53</v>
      </c>
      <c r="B13" s="1252">
        <v>130.18700000000001</v>
      </c>
      <c r="C13" s="1098">
        <v>170.56100000000001</v>
      </c>
      <c r="D13" s="1098">
        <v>162.94999999999999</v>
      </c>
      <c r="E13" s="1098">
        <v>130.55199999999999</v>
      </c>
      <c r="F13" s="1098">
        <v>128.149</v>
      </c>
      <c r="G13" s="1098">
        <v>170.089</v>
      </c>
      <c r="H13" s="1098">
        <v>137.97200000000001</v>
      </c>
      <c r="I13" s="1098">
        <v>316.52</v>
      </c>
      <c r="J13" s="1098">
        <v>468.14299999999997</v>
      </c>
      <c r="K13" s="1098">
        <v>505.36399999999998</v>
      </c>
      <c r="L13" s="1098">
        <v>499.53100000000001</v>
      </c>
      <c r="M13" s="1098">
        <v>281.97399999999999</v>
      </c>
      <c r="N13" s="1097">
        <f t="shared" si="21"/>
        <v>3101.9920000000002</v>
      </c>
      <c r="O13" s="1252">
        <v>105</v>
      </c>
      <c r="P13" s="1098">
        <v>196</v>
      </c>
      <c r="Q13" s="1098">
        <v>393.50599999999997</v>
      </c>
      <c r="R13" s="1098">
        <v>50.075000000000003</v>
      </c>
      <c r="S13" s="1098">
        <v>87.992999999999995</v>
      </c>
      <c r="T13" s="1098">
        <v>11.798999999999999</v>
      </c>
      <c r="U13" s="1098">
        <v>64.634</v>
      </c>
      <c r="V13" s="1098">
        <v>28.917999999999999</v>
      </c>
      <c r="W13" s="1098">
        <v>123.553</v>
      </c>
      <c r="X13" s="1098">
        <v>193.80799999999999</v>
      </c>
      <c r="Y13" s="1098">
        <v>81.819999999999993</v>
      </c>
      <c r="Z13" s="1098">
        <v>26.305</v>
      </c>
      <c r="AA13" s="1097">
        <f t="shared" si="22"/>
        <v>1363.4110000000001</v>
      </c>
      <c r="AB13" s="1252">
        <v>17.779</v>
      </c>
      <c r="AC13" s="1098">
        <v>49.353000000000002</v>
      </c>
      <c r="AD13" s="1098"/>
      <c r="AE13" s="1098"/>
      <c r="AF13" s="1098">
        <v>13.705</v>
      </c>
      <c r="AG13" s="1098"/>
      <c r="AH13" s="1098"/>
      <c r="AI13" s="1098"/>
      <c r="AJ13" s="1098"/>
      <c r="AK13" s="1098"/>
      <c r="AL13" s="1098">
        <v>23.585000000000001</v>
      </c>
      <c r="AM13" s="1098">
        <v>18.867999999999999</v>
      </c>
      <c r="AN13" s="1097">
        <f t="shared" si="23"/>
        <v>123.28999999999999</v>
      </c>
      <c r="AO13" s="1252">
        <v>61.037999999999997</v>
      </c>
      <c r="AP13" s="1098">
        <v>192.43600000000001</v>
      </c>
      <c r="AQ13" s="1098">
        <v>121.14</v>
      </c>
      <c r="AR13" s="1098">
        <v>88.475999999999999</v>
      </c>
      <c r="AS13" s="1098">
        <v>83.379000000000005</v>
      </c>
      <c r="AT13" s="1098">
        <v>285.84500000000003</v>
      </c>
      <c r="AU13" s="1098"/>
      <c r="AV13" s="1098">
        <v>39</v>
      </c>
      <c r="AW13" s="1098">
        <v>54</v>
      </c>
      <c r="AX13" s="1098">
        <v>17</v>
      </c>
      <c r="AY13" s="1098">
        <v>12</v>
      </c>
      <c r="AZ13" s="1098">
        <v>81</v>
      </c>
      <c r="BA13" s="1097">
        <f t="shared" si="24"/>
        <v>1035.3139999999999</v>
      </c>
      <c r="BB13" s="1252"/>
      <c r="BC13" s="1098"/>
      <c r="BD13" s="1098">
        <v>245</v>
      </c>
      <c r="BE13" s="1098">
        <v>83</v>
      </c>
      <c r="BF13" s="1098">
        <v>31</v>
      </c>
      <c r="BG13" s="1098">
        <v>45</v>
      </c>
      <c r="BH13" s="1098">
        <v>61</v>
      </c>
      <c r="BI13" s="1098">
        <v>61</v>
      </c>
      <c r="BJ13" s="1098"/>
      <c r="BK13" s="1098"/>
      <c r="BL13" s="1098"/>
      <c r="BM13" s="1098">
        <v>42.018999999999998</v>
      </c>
      <c r="BN13" s="1097">
        <f t="shared" si="25"/>
        <v>568.01900000000001</v>
      </c>
      <c r="BO13" s="1252"/>
      <c r="BP13" s="1098"/>
      <c r="BQ13" s="1098"/>
      <c r="BR13" s="1098"/>
      <c r="BS13" s="1098"/>
      <c r="BT13" s="1098"/>
      <c r="BU13" s="1098"/>
      <c r="BV13" s="1098"/>
      <c r="BW13" s="1098"/>
      <c r="BX13" s="1098"/>
      <c r="BY13" s="1098"/>
      <c r="BZ13" s="1098"/>
      <c r="CA13" s="1097">
        <f t="shared" si="26"/>
        <v>0</v>
      </c>
      <c r="CB13" s="1252"/>
      <c r="CC13" s="1098"/>
      <c r="CD13" s="1098"/>
      <c r="CE13" s="1098"/>
      <c r="CF13" s="1098"/>
      <c r="CG13" s="1098"/>
      <c r="CH13" s="1098"/>
      <c r="CI13" s="1098"/>
      <c r="CJ13" s="1098"/>
      <c r="CK13" s="1098"/>
      <c r="CL13" s="1098"/>
      <c r="CM13" s="1098"/>
      <c r="CN13" s="1097">
        <f t="shared" si="27"/>
        <v>0</v>
      </c>
      <c r="CO13" s="1252"/>
      <c r="CP13" s="1098"/>
      <c r="CQ13" s="1098"/>
      <c r="CR13" s="1098"/>
      <c r="CS13" s="1098"/>
      <c r="CT13" s="1098"/>
      <c r="CU13" s="1098"/>
      <c r="CV13" s="1098"/>
      <c r="CW13" s="1098"/>
      <c r="CX13" s="1098"/>
      <c r="CY13" s="1098"/>
      <c r="CZ13" s="1098"/>
      <c r="DA13" s="1097">
        <f t="shared" si="28"/>
        <v>0</v>
      </c>
      <c r="DB13" s="1252"/>
      <c r="DC13" s="1098"/>
      <c r="DD13" s="1098"/>
      <c r="DE13" s="1098"/>
      <c r="DF13" s="1098"/>
      <c r="DG13" s="1098"/>
      <c r="DH13" s="1098"/>
      <c r="DI13" s="1098"/>
      <c r="DJ13" s="1098"/>
      <c r="DK13" s="1098"/>
      <c r="DL13" s="1098"/>
      <c r="DM13" s="1098"/>
      <c r="DN13" s="1097">
        <f t="shared" si="29"/>
        <v>0</v>
      </c>
      <c r="DO13" s="1252"/>
      <c r="DP13" s="1098"/>
      <c r="DQ13" s="1098"/>
      <c r="DR13" s="1098"/>
      <c r="DS13" s="1098"/>
      <c r="DT13" s="1098"/>
      <c r="DU13" s="1098"/>
      <c r="DV13" s="1098"/>
      <c r="DW13" s="1098"/>
      <c r="DX13" s="1098"/>
      <c r="DY13" s="1098"/>
      <c r="DZ13" s="1098"/>
      <c r="EA13" s="1097">
        <f t="shared" si="30"/>
        <v>0</v>
      </c>
      <c r="EB13" s="1252"/>
      <c r="EC13" s="1098"/>
      <c r="ED13" s="1098"/>
      <c r="EE13" s="1098"/>
      <c r="EF13" s="1098"/>
      <c r="EG13" s="1098"/>
      <c r="EH13" s="1098"/>
      <c r="EI13" s="1098"/>
      <c r="EJ13" s="1098"/>
      <c r="EK13" s="1098"/>
      <c r="EL13" s="1098"/>
      <c r="EM13" s="1098"/>
      <c r="EN13" s="1097">
        <f t="shared" si="31"/>
        <v>0</v>
      </c>
      <c r="EO13" s="1252"/>
      <c r="EP13" s="1098"/>
      <c r="EQ13" s="1098"/>
      <c r="ER13" s="1098"/>
      <c r="ES13" s="1098"/>
      <c r="ET13" s="1098"/>
      <c r="EU13" s="1098"/>
      <c r="EV13" s="1098"/>
      <c r="EW13" s="1098"/>
      <c r="EX13" s="1098"/>
      <c r="EY13" s="1098"/>
      <c r="EZ13" s="1098"/>
      <c r="FA13" s="1097">
        <f t="shared" si="32"/>
        <v>0</v>
      </c>
      <c r="FB13" s="1252"/>
      <c r="FC13" s="1098"/>
      <c r="FD13" s="1098"/>
      <c r="FE13" s="1098"/>
      <c r="FF13" s="1098"/>
      <c r="FG13" s="1098"/>
      <c r="FH13" s="1098"/>
      <c r="FI13" s="1098"/>
      <c r="FJ13" s="1098"/>
      <c r="FK13" s="1098"/>
      <c r="FL13" s="1098"/>
      <c r="FM13" s="1098"/>
      <c r="FN13" s="1097">
        <f t="shared" si="33"/>
        <v>0</v>
      </c>
      <c r="FO13" s="1252"/>
      <c r="FP13" s="1098"/>
      <c r="FQ13" s="1098"/>
      <c r="FR13" s="1098"/>
      <c r="FS13" s="1098"/>
      <c r="FT13" s="1098"/>
      <c r="FU13" s="1098"/>
      <c r="FV13" s="1098"/>
      <c r="FW13" s="1098"/>
      <c r="FX13" s="1098"/>
      <c r="FY13" s="1098"/>
      <c r="FZ13" s="1098"/>
      <c r="GA13" s="1097">
        <f t="shared" si="34"/>
        <v>0</v>
      </c>
      <c r="GB13" s="1252"/>
      <c r="GC13" s="1098"/>
      <c r="GD13" s="1098"/>
      <c r="GE13" s="1098"/>
      <c r="GF13" s="1098"/>
      <c r="GG13" s="1098"/>
      <c r="GH13" s="1098"/>
      <c r="GI13" s="1098"/>
      <c r="GJ13" s="1098"/>
      <c r="GK13" s="1098"/>
      <c r="GL13" s="1098"/>
      <c r="GM13" s="1098"/>
      <c r="GN13" s="1097">
        <f t="shared" si="35"/>
        <v>0</v>
      </c>
      <c r="GO13" s="1252"/>
      <c r="GP13" s="1098"/>
      <c r="GQ13" s="1098"/>
      <c r="GR13" s="1098"/>
      <c r="GS13" s="1098"/>
      <c r="GT13" s="1098"/>
      <c r="GU13" s="1098"/>
      <c r="GV13" s="1098"/>
      <c r="GW13" s="1098"/>
      <c r="GX13" s="1098"/>
      <c r="GY13" s="1098"/>
      <c r="GZ13" s="1098"/>
      <c r="HA13" s="1097">
        <f t="shared" si="36"/>
        <v>0</v>
      </c>
      <c r="HB13" s="1252"/>
      <c r="HC13" s="1098"/>
      <c r="HD13" s="1098"/>
      <c r="HE13" s="1098"/>
      <c r="HF13" s="1098"/>
      <c r="HG13" s="1098"/>
      <c r="HH13" s="1098"/>
      <c r="HI13" s="1098"/>
      <c r="HJ13" s="1098"/>
      <c r="HK13" s="1098"/>
      <c r="HL13" s="1098"/>
      <c r="HM13" s="1098"/>
      <c r="HN13" s="1097">
        <f t="shared" si="37"/>
        <v>0</v>
      </c>
      <c r="HO13" s="1252"/>
      <c r="HP13" s="1098"/>
      <c r="HQ13" s="1098"/>
      <c r="HR13" s="1098"/>
      <c r="HS13" s="1098"/>
      <c r="HT13" s="1098"/>
      <c r="HU13" s="1098"/>
      <c r="HV13" s="1098"/>
      <c r="HW13" s="1098"/>
      <c r="HX13" s="1098"/>
      <c r="HY13" s="1098"/>
      <c r="HZ13" s="1098"/>
      <c r="IA13" s="1097">
        <f t="shared" si="38"/>
        <v>0</v>
      </c>
      <c r="IB13" s="1252"/>
      <c r="IC13" s="1098"/>
      <c r="ID13" s="1098"/>
      <c r="IE13" s="1098"/>
      <c r="IF13" s="1098"/>
      <c r="IG13" s="1098"/>
      <c r="IH13" s="1098"/>
      <c r="II13" s="1098"/>
      <c r="IJ13" s="1098"/>
      <c r="IK13" s="1098"/>
      <c r="IL13" s="1098"/>
      <c r="IM13" s="1098"/>
      <c r="IN13" s="1097">
        <f t="shared" si="39"/>
        <v>0</v>
      </c>
      <c r="IO13" s="1252"/>
      <c r="IP13" s="1098"/>
      <c r="IQ13" s="1098"/>
      <c r="IR13" s="1098"/>
      <c r="IS13" s="1098"/>
      <c r="IT13" s="1098"/>
      <c r="IU13" s="1098"/>
      <c r="IV13" s="1098"/>
      <c r="IW13" s="1098"/>
      <c r="IX13" s="1098"/>
      <c r="IY13" s="1098"/>
      <c r="IZ13" s="1098"/>
      <c r="JA13" s="1097">
        <f t="shared" si="40"/>
        <v>0</v>
      </c>
      <c r="JB13" s="1252"/>
      <c r="JC13" s="1098"/>
      <c r="JD13" s="1098"/>
      <c r="JE13" s="1098"/>
      <c r="JF13" s="1098"/>
      <c r="JG13" s="1098"/>
      <c r="JH13" s="1098"/>
      <c r="JI13" s="1098"/>
      <c r="JJ13" s="1098"/>
      <c r="JK13" s="1098"/>
      <c r="JL13" s="1098"/>
      <c r="JM13" s="1098"/>
      <c r="JN13" s="1097">
        <f t="shared" si="41"/>
        <v>0</v>
      </c>
      <c r="JO13" s="1252"/>
      <c r="JP13" s="1098"/>
      <c r="JQ13" s="1098"/>
      <c r="JR13" s="1098"/>
      <c r="JS13" s="1098"/>
      <c r="JT13" s="1098"/>
      <c r="JU13" s="1098"/>
      <c r="JV13" s="1098"/>
      <c r="JW13" s="1098"/>
      <c r="JX13" s="1098"/>
      <c r="JY13" s="1098"/>
      <c r="JZ13" s="1098"/>
      <c r="KA13" s="1097">
        <f t="shared" si="42"/>
        <v>0</v>
      </c>
      <c r="KB13" s="1252"/>
      <c r="KC13" s="1098"/>
      <c r="KD13" s="1098"/>
      <c r="KE13" s="1098">
        <v>9.3829999999999991</v>
      </c>
      <c r="KF13" s="1098">
        <v>6.4</v>
      </c>
      <c r="KG13" s="1098">
        <v>6.13</v>
      </c>
      <c r="KH13" s="1098"/>
      <c r="KI13" s="1098"/>
      <c r="KJ13" s="1098">
        <v>12.278</v>
      </c>
      <c r="KK13" s="1098"/>
      <c r="KL13" s="1098"/>
      <c r="KM13" s="1098"/>
      <c r="KN13" s="1097">
        <f t="shared" si="43"/>
        <v>34.191000000000003</v>
      </c>
      <c r="KO13" s="1252"/>
      <c r="KP13" s="1098"/>
      <c r="KQ13" s="1098"/>
      <c r="KR13" s="1098"/>
      <c r="KS13" s="1098"/>
      <c r="KT13" s="1098"/>
      <c r="KU13" s="1098"/>
      <c r="KV13" s="1098">
        <v>1.948</v>
      </c>
      <c r="KW13" s="1098">
        <v>0.95299999999999996</v>
      </c>
      <c r="KX13" s="1098"/>
      <c r="KY13" s="1098">
        <v>3.4620000000000002</v>
      </c>
      <c r="KZ13" s="1098"/>
      <c r="LA13" s="1097">
        <f t="shared" si="44"/>
        <v>6.3629999999999995</v>
      </c>
      <c r="LB13" s="1252"/>
      <c r="LC13" s="1098"/>
      <c r="LD13" s="1098"/>
      <c r="LE13" s="1098"/>
      <c r="LF13" s="1098"/>
      <c r="LG13" s="1098">
        <v>2</v>
      </c>
      <c r="LH13" s="1098">
        <v>2</v>
      </c>
      <c r="LI13" s="1098"/>
      <c r="LJ13" s="1098"/>
      <c r="LK13" s="1098"/>
      <c r="LL13" s="1098"/>
      <c r="LM13" s="1098"/>
      <c r="LN13" s="1097">
        <f t="shared" si="45"/>
        <v>4</v>
      </c>
      <c r="LP13" s="1116">
        <f t="shared" si="46"/>
        <v>-100</v>
      </c>
      <c r="LQ13" s="1117">
        <f t="shared" si="47"/>
        <v>105.33880903490763</v>
      </c>
      <c r="LR13" s="1079">
        <f t="shared" si="48"/>
        <v>1.948</v>
      </c>
      <c r="LS13" s="1118">
        <f t="shared" si="49"/>
        <v>4</v>
      </c>
      <c r="LT13" s="1"/>
      <c r="LU13" s="629"/>
      <c r="LV13" s="1139">
        <f t="shared" si="50"/>
        <v>12473.16</v>
      </c>
      <c r="LW13" s="1286" t="s">
        <v>53</v>
      </c>
      <c r="LX13" s="1147" t="str">
        <f t="shared" si="51"/>
        <v>OK</v>
      </c>
    </row>
    <row r="14" spans="1:336" ht="15" customHeight="1" x14ac:dyDescent="0.2">
      <c r="A14" s="1280" t="s">
        <v>54</v>
      </c>
      <c r="B14" s="1252"/>
      <c r="C14" s="1098"/>
      <c r="D14" s="1098"/>
      <c r="E14" s="1098"/>
      <c r="F14" s="1098"/>
      <c r="G14" s="1098"/>
      <c r="H14" s="1098">
        <v>30.66</v>
      </c>
      <c r="I14" s="1098">
        <v>9.4339999999999993</v>
      </c>
      <c r="J14" s="1098">
        <v>25.943000000000001</v>
      </c>
      <c r="K14" s="1098">
        <v>6.7450000000000001</v>
      </c>
      <c r="L14" s="1098">
        <v>5.22</v>
      </c>
      <c r="M14" s="1098">
        <v>9.84</v>
      </c>
      <c r="N14" s="1097">
        <f t="shared" si="21"/>
        <v>87.842000000000013</v>
      </c>
      <c r="O14" s="1252">
        <v>10</v>
      </c>
      <c r="P14" s="1098"/>
      <c r="Q14" s="1098"/>
      <c r="R14" s="1098">
        <v>3.7570000000000001</v>
      </c>
      <c r="S14" s="1098"/>
      <c r="T14" s="1098">
        <v>11.085000000000001</v>
      </c>
      <c r="U14" s="1098">
        <v>4.0140000000000002</v>
      </c>
      <c r="V14" s="1098"/>
      <c r="W14" s="1098">
        <v>4.74</v>
      </c>
      <c r="X14" s="1098"/>
      <c r="Y14" s="1098"/>
      <c r="Z14" s="1098">
        <v>7.524</v>
      </c>
      <c r="AA14" s="1097">
        <f t="shared" si="22"/>
        <v>41.12</v>
      </c>
      <c r="AB14" s="1252">
        <v>13.986000000000001</v>
      </c>
      <c r="AC14" s="1098">
        <v>15.11</v>
      </c>
      <c r="AD14" s="1098">
        <v>4.76</v>
      </c>
      <c r="AE14" s="1098"/>
      <c r="AF14" s="1098"/>
      <c r="AG14" s="1098"/>
      <c r="AH14" s="1098"/>
      <c r="AI14" s="1098">
        <v>18.678999999999998</v>
      </c>
      <c r="AJ14" s="1098"/>
      <c r="AK14" s="1098"/>
      <c r="AL14" s="1098">
        <v>5.1619999999999999</v>
      </c>
      <c r="AM14" s="1098">
        <v>9.0540000000000003</v>
      </c>
      <c r="AN14" s="1097">
        <f t="shared" si="23"/>
        <v>66.750999999999991</v>
      </c>
      <c r="AO14" s="1252"/>
      <c r="AP14" s="1098">
        <v>18.774000000000001</v>
      </c>
      <c r="AQ14" s="1098">
        <v>26.945</v>
      </c>
      <c r="AR14" s="1098">
        <v>6.4189999999999996</v>
      </c>
      <c r="AS14" s="1098"/>
      <c r="AT14" s="1098">
        <v>20.442</v>
      </c>
      <c r="AU14" s="1098"/>
      <c r="AV14" s="1098">
        <v>21</v>
      </c>
      <c r="AW14" s="1098">
        <v>31</v>
      </c>
      <c r="AX14" s="1098">
        <v>11</v>
      </c>
      <c r="AY14" s="1098">
        <v>12</v>
      </c>
      <c r="AZ14" s="1098">
        <v>13</v>
      </c>
      <c r="BA14" s="1097">
        <f t="shared" si="24"/>
        <v>160.57999999999998</v>
      </c>
      <c r="BB14" s="1252"/>
      <c r="BC14" s="1098"/>
      <c r="BD14" s="1098"/>
      <c r="BE14" s="1098">
        <v>4</v>
      </c>
      <c r="BF14" s="1098">
        <v>19</v>
      </c>
      <c r="BG14" s="1098">
        <v>77</v>
      </c>
      <c r="BH14" s="1098">
        <v>7</v>
      </c>
      <c r="BI14" s="1098">
        <v>36</v>
      </c>
      <c r="BJ14" s="1098">
        <v>52.5</v>
      </c>
      <c r="BK14" s="1098"/>
      <c r="BL14" s="1098">
        <v>49.463000000000001</v>
      </c>
      <c r="BM14" s="1098">
        <v>28.853999999999999</v>
      </c>
      <c r="BN14" s="1097">
        <f t="shared" si="25"/>
        <v>273.81700000000001</v>
      </c>
      <c r="BO14" s="1252">
        <v>22.422999999999998</v>
      </c>
      <c r="BP14" s="1098">
        <v>34.83</v>
      </c>
      <c r="BQ14" s="1098">
        <v>58.363999999999997</v>
      </c>
      <c r="BR14" s="1098">
        <v>51.177</v>
      </c>
      <c r="BS14" s="1098">
        <v>78.853999999999999</v>
      </c>
      <c r="BT14" s="1098">
        <v>75.677999999999997</v>
      </c>
      <c r="BU14" s="1098">
        <v>39.290999999999997</v>
      </c>
      <c r="BV14" s="1098">
        <v>47.087000000000003</v>
      </c>
      <c r="BW14" s="1098">
        <v>73.594999999999999</v>
      </c>
      <c r="BX14" s="1098">
        <v>98.234999999999999</v>
      </c>
      <c r="BY14" s="1098">
        <v>91</v>
      </c>
      <c r="BZ14" s="1098">
        <v>90</v>
      </c>
      <c r="CA14" s="1097">
        <f t="shared" si="26"/>
        <v>760.53399999999999</v>
      </c>
      <c r="CB14" s="1252">
        <v>22</v>
      </c>
      <c r="CC14" s="1098"/>
      <c r="CD14" s="1098">
        <v>38</v>
      </c>
      <c r="CE14" s="1098">
        <v>2</v>
      </c>
      <c r="CF14" s="1098">
        <v>62</v>
      </c>
      <c r="CG14" s="1098">
        <v>32</v>
      </c>
      <c r="CH14" s="1098">
        <v>50</v>
      </c>
      <c r="CI14" s="1098">
        <v>63</v>
      </c>
      <c r="CJ14" s="1098">
        <v>6</v>
      </c>
      <c r="CK14" s="1098">
        <v>79</v>
      </c>
      <c r="CL14" s="1098">
        <v>13</v>
      </c>
      <c r="CM14" s="1098">
        <v>9</v>
      </c>
      <c r="CN14" s="1097">
        <f t="shared" si="27"/>
        <v>376</v>
      </c>
      <c r="CO14" s="1252">
        <v>36</v>
      </c>
      <c r="CP14" s="1098">
        <v>17</v>
      </c>
      <c r="CQ14" s="1098"/>
      <c r="CR14" s="1098"/>
      <c r="CS14" s="1098"/>
      <c r="CT14" s="1098"/>
      <c r="CU14" s="1098"/>
      <c r="CV14" s="1098">
        <v>22</v>
      </c>
      <c r="CW14" s="1098">
        <v>3</v>
      </c>
      <c r="CX14" s="1098">
        <v>5</v>
      </c>
      <c r="CY14" s="1098"/>
      <c r="CZ14" s="1098"/>
      <c r="DA14" s="1097">
        <f t="shared" si="28"/>
        <v>83</v>
      </c>
      <c r="DB14" s="1252"/>
      <c r="DC14" s="1098"/>
      <c r="DD14" s="1098">
        <v>4</v>
      </c>
      <c r="DE14" s="1098">
        <v>22</v>
      </c>
      <c r="DF14" s="1098">
        <v>33</v>
      </c>
      <c r="DG14" s="1098">
        <v>73</v>
      </c>
      <c r="DH14" s="1098">
        <v>31</v>
      </c>
      <c r="DI14" s="1098">
        <v>24</v>
      </c>
      <c r="DJ14" s="1098">
        <v>40</v>
      </c>
      <c r="DK14" s="1098"/>
      <c r="DL14" s="1098">
        <v>2</v>
      </c>
      <c r="DM14" s="1098">
        <v>36</v>
      </c>
      <c r="DN14" s="1097">
        <f t="shared" si="29"/>
        <v>265</v>
      </c>
      <c r="DO14" s="1252">
        <v>1</v>
      </c>
      <c r="DP14" s="1098">
        <v>1</v>
      </c>
      <c r="DQ14" s="1098">
        <v>15</v>
      </c>
      <c r="DR14" s="1098">
        <v>1</v>
      </c>
      <c r="DS14" s="1098">
        <v>51</v>
      </c>
      <c r="DT14" s="1098">
        <v>5</v>
      </c>
      <c r="DU14" s="1098"/>
      <c r="DV14" s="1098"/>
      <c r="DW14" s="1098">
        <v>6</v>
      </c>
      <c r="DX14" s="1098"/>
      <c r="DY14" s="1098"/>
      <c r="DZ14" s="1098">
        <v>9</v>
      </c>
      <c r="EA14" s="1097">
        <f t="shared" si="30"/>
        <v>89</v>
      </c>
      <c r="EB14" s="1252">
        <v>16</v>
      </c>
      <c r="EC14" s="1098">
        <v>9</v>
      </c>
      <c r="ED14" s="1098">
        <v>14</v>
      </c>
      <c r="EE14" s="1098">
        <v>50</v>
      </c>
      <c r="EF14" s="1098"/>
      <c r="EG14" s="1098">
        <v>13</v>
      </c>
      <c r="EH14" s="1098"/>
      <c r="EI14" s="1098"/>
      <c r="EJ14" s="1098">
        <v>17</v>
      </c>
      <c r="EK14" s="1098">
        <v>75</v>
      </c>
      <c r="EL14" s="1098"/>
      <c r="EM14" s="1098"/>
      <c r="EN14" s="1097">
        <f t="shared" si="31"/>
        <v>194</v>
      </c>
      <c r="EO14" s="1252">
        <v>6</v>
      </c>
      <c r="EP14" s="1098">
        <v>18</v>
      </c>
      <c r="EQ14" s="1098"/>
      <c r="ER14" s="1098"/>
      <c r="ES14" s="1098"/>
      <c r="ET14" s="1098"/>
      <c r="EU14" s="1098">
        <v>26</v>
      </c>
      <c r="EV14" s="1098">
        <v>82</v>
      </c>
      <c r="EW14" s="1098">
        <v>16</v>
      </c>
      <c r="EX14" s="1098">
        <v>9</v>
      </c>
      <c r="EY14" s="1098">
        <v>5</v>
      </c>
      <c r="EZ14" s="1098">
        <v>2</v>
      </c>
      <c r="FA14" s="1097">
        <f t="shared" si="32"/>
        <v>164</v>
      </c>
      <c r="FB14" s="1252">
        <v>4</v>
      </c>
      <c r="FC14" s="1098"/>
      <c r="FD14" s="1098"/>
      <c r="FE14" s="1098">
        <v>3</v>
      </c>
      <c r="FF14" s="1098"/>
      <c r="FG14" s="1098"/>
      <c r="FH14" s="1098"/>
      <c r="FI14" s="1098"/>
      <c r="FJ14" s="1098"/>
      <c r="FK14" s="1098"/>
      <c r="FL14" s="1098">
        <v>2.5</v>
      </c>
      <c r="FM14" s="1098">
        <v>1</v>
      </c>
      <c r="FN14" s="1097">
        <f t="shared" si="33"/>
        <v>10.5</v>
      </c>
      <c r="FO14" s="1252"/>
      <c r="FP14" s="1098">
        <v>11</v>
      </c>
      <c r="FQ14" s="1098"/>
      <c r="FR14" s="1098"/>
      <c r="FS14" s="1098"/>
      <c r="FT14" s="1098">
        <v>22</v>
      </c>
      <c r="FU14" s="1098"/>
      <c r="FV14" s="1098">
        <v>18</v>
      </c>
      <c r="FW14" s="1098">
        <v>9</v>
      </c>
      <c r="FX14" s="1098">
        <v>24</v>
      </c>
      <c r="FY14" s="1098"/>
      <c r="FZ14" s="1098">
        <v>50</v>
      </c>
      <c r="GA14" s="1097">
        <f t="shared" si="34"/>
        <v>134</v>
      </c>
      <c r="GB14" s="1252"/>
      <c r="GC14" s="1098"/>
      <c r="GD14" s="1098">
        <v>5.1980000000000004</v>
      </c>
      <c r="GE14" s="1098"/>
      <c r="GF14" s="1098">
        <v>1.042</v>
      </c>
      <c r="GG14" s="1098"/>
      <c r="GH14" s="1098">
        <v>3</v>
      </c>
      <c r="GI14" s="1098">
        <v>6</v>
      </c>
      <c r="GJ14" s="1098">
        <v>11</v>
      </c>
      <c r="GK14" s="1098"/>
      <c r="GL14" s="1098"/>
      <c r="GM14" s="1098"/>
      <c r="GN14" s="1097">
        <f t="shared" si="35"/>
        <v>26.240000000000002</v>
      </c>
      <c r="GO14" s="1252"/>
      <c r="GP14" s="1098"/>
      <c r="GQ14" s="1098">
        <v>1</v>
      </c>
      <c r="GR14" s="1098"/>
      <c r="GS14" s="1098"/>
      <c r="GT14" s="1098"/>
      <c r="GU14" s="1098"/>
      <c r="GV14" s="1098"/>
      <c r="GW14" s="1098">
        <v>11</v>
      </c>
      <c r="GX14" s="1098"/>
      <c r="GY14" s="1098">
        <v>3</v>
      </c>
      <c r="GZ14" s="1098"/>
      <c r="HA14" s="1097">
        <f t="shared" si="36"/>
        <v>15</v>
      </c>
      <c r="HB14" s="1252"/>
      <c r="HC14" s="1098"/>
      <c r="HD14" s="1098">
        <v>3.9849999999999999</v>
      </c>
      <c r="HE14" s="1098">
        <v>11.736000000000001</v>
      </c>
      <c r="HF14" s="1098"/>
      <c r="HG14" s="1098"/>
      <c r="HH14" s="1098"/>
      <c r="HI14" s="1098">
        <v>5</v>
      </c>
      <c r="HJ14" s="1098">
        <v>7.7460000000000004</v>
      </c>
      <c r="HK14" s="1098"/>
      <c r="HL14" s="1098"/>
      <c r="HM14" s="1098">
        <v>3.1519999999999997</v>
      </c>
      <c r="HN14" s="1097">
        <f t="shared" si="37"/>
        <v>31.619</v>
      </c>
      <c r="HO14" s="1252"/>
      <c r="HP14" s="1098">
        <v>1.6679999999999999</v>
      </c>
      <c r="HQ14" s="1098">
        <v>3.7730000000000001</v>
      </c>
      <c r="HR14" s="1098"/>
      <c r="HS14" s="1098">
        <v>1.018</v>
      </c>
      <c r="HT14" s="1098"/>
      <c r="HU14" s="1098"/>
      <c r="HV14" s="1098">
        <v>6.1239999999999997</v>
      </c>
      <c r="HW14" s="1098">
        <v>0.66</v>
      </c>
      <c r="HX14" s="1098">
        <v>1.74</v>
      </c>
      <c r="HY14" s="1098">
        <v>14</v>
      </c>
      <c r="HZ14" s="1098"/>
      <c r="IA14" s="1097">
        <f t="shared" si="38"/>
        <v>28.982999999999997</v>
      </c>
      <c r="IB14" s="1252"/>
      <c r="IC14" s="1098"/>
      <c r="ID14" s="1098"/>
      <c r="IE14" s="1098"/>
      <c r="IF14" s="1098"/>
      <c r="IG14" s="1098"/>
      <c r="IH14" s="1098"/>
      <c r="II14" s="1098">
        <v>79.991</v>
      </c>
      <c r="IJ14" s="1098">
        <v>4.633</v>
      </c>
      <c r="IK14" s="1098"/>
      <c r="IL14" s="1098">
        <v>19</v>
      </c>
      <c r="IM14" s="1098">
        <v>58</v>
      </c>
      <c r="IN14" s="1097">
        <f t="shared" si="39"/>
        <v>161.624</v>
      </c>
      <c r="IO14" s="1252"/>
      <c r="IP14" s="1098"/>
      <c r="IQ14" s="1098"/>
      <c r="IR14" s="1098"/>
      <c r="IS14" s="1098"/>
      <c r="IT14" s="1098">
        <v>4.4619999999999997</v>
      </c>
      <c r="IU14" s="1098">
        <v>4.0179999999999998</v>
      </c>
      <c r="IV14" s="1098">
        <v>6.1870000000000003</v>
      </c>
      <c r="IW14" s="1098">
        <v>1.6839999999999999</v>
      </c>
      <c r="IX14" s="1098">
        <v>1.778</v>
      </c>
      <c r="IY14" s="1098">
        <v>4.6970000000000001</v>
      </c>
      <c r="IZ14" s="1098">
        <v>11.699</v>
      </c>
      <c r="JA14" s="1097">
        <f t="shared" si="40"/>
        <v>34.524999999999999</v>
      </c>
      <c r="JB14" s="1252">
        <v>6.7670000000000003</v>
      </c>
      <c r="JC14" s="1098"/>
      <c r="JD14" s="1098">
        <v>22.245999999999999</v>
      </c>
      <c r="JE14" s="1098">
        <v>3.101</v>
      </c>
      <c r="JF14" s="1098">
        <v>4.1079999999999997</v>
      </c>
      <c r="JG14" s="1098">
        <v>2.96</v>
      </c>
      <c r="JH14" s="1098">
        <v>5.0170000000000003</v>
      </c>
      <c r="JI14" s="1098">
        <v>21.567</v>
      </c>
      <c r="JJ14" s="1098">
        <v>8.4949999999999992</v>
      </c>
      <c r="JK14" s="1098">
        <v>37.496000000000002</v>
      </c>
      <c r="JL14" s="1098">
        <v>1.677</v>
      </c>
      <c r="JM14" s="1098"/>
      <c r="JN14" s="1097">
        <f t="shared" si="41"/>
        <v>113.43400000000001</v>
      </c>
      <c r="JO14" s="1252"/>
      <c r="JP14" s="1098">
        <v>15.859</v>
      </c>
      <c r="JQ14" s="1098">
        <v>13.262</v>
      </c>
      <c r="JR14" s="1098"/>
      <c r="JS14" s="1098"/>
      <c r="JT14" s="1098">
        <v>8.6419999999999995</v>
      </c>
      <c r="JU14" s="1098">
        <v>31.577999999999999</v>
      </c>
      <c r="JV14" s="1098">
        <v>12.692</v>
      </c>
      <c r="JW14" s="1098">
        <v>41.752000000000002</v>
      </c>
      <c r="JX14" s="1098">
        <v>38.396999999999998</v>
      </c>
      <c r="JY14" s="1098">
        <v>13.327999999999999</v>
      </c>
      <c r="JZ14" s="1098"/>
      <c r="KA14" s="1097">
        <f t="shared" si="42"/>
        <v>175.51000000000002</v>
      </c>
      <c r="KB14" s="1252">
        <v>18.651</v>
      </c>
      <c r="KC14" s="1098">
        <v>75.641999999999996</v>
      </c>
      <c r="KD14" s="1098">
        <v>32.938000000000002</v>
      </c>
      <c r="KE14" s="1098">
        <v>31.483000000000001</v>
      </c>
      <c r="KF14" s="1098">
        <v>3.0150000000000001</v>
      </c>
      <c r="KG14" s="1098"/>
      <c r="KH14" s="1098"/>
      <c r="KI14" s="1098"/>
      <c r="KJ14" s="1098">
        <v>3.01</v>
      </c>
      <c r="KK14" s="1098">
        <v>2.3940000000000001</v>
      </c>
      <c r="KL14" s="1098">
        <v>3.6669999999999998</v>
      </c>
      <c r="KM14" s="1098">
        <v>102.904</v>
      </c>
      <c r="KN14" s="1097">
        <f t="shared" si="43"/>
        <v>273.70399999999995</v>
      </c>
      <c r="KO14" s="1252">
        <v>72.674999999999997</v>
      </c>
      <c r="KP14" s="1098">
        <v>12.167</v>
      </c>
      <c r="KQ14" s="1098">
        <v>4</v>
      </c>
      <c r="KR14" s="1098"/>
      <c r="KS14" s="1098">
        <v>2.5019999999999998</v>
      </c>
      <c r="KT14" s="1098"/>
      <c r="KU14" s="1098"/>
      <c r="KV14" s="1098">
        <v>11.721</v>
      </c>
      <c r="KW14" s="1098">
        <v>23.225999999999999</v>
      </c>
      <c r="KX14" s="1098">
        <v>5.4</v>
      </c>
      <c r="KY14" s="1098">
        <v>15.32</v>
      </c>
      <c r="KZ14" s="1098">
        <v>12.231999999999999</v>
      </c>
      <c r="LA14" s="1097">
        <f t="shared" si="44"/>
        <v>159.24299999999999</v>
      </c>
      <c r="LB14" s="1252">
        <v>2</v>
      </c>
      <c r="LC14" s="1098">
        <v>27</v>
      </c>
      <c r="LD14" s="1098">
        <v>4</v>
      </c>
      <c r="LE14" s="1098"/>
      <c r="LF14" s="1098"/>
      <c r="LG14" s="1098"/>
      <c r="LH14" s="1098"/>
      <c r="LI14" s="1098"/>
      <c r="LJ14" s="1098"/>
      <c r="LK14" s="1098"/>
      <c r="LL14" s="1098"/>
      <c r="LM14" s="1098"/>
      <c r="LN14" s="1097">
        <f t="shared" si="45"/>
        <v>33</v>
      </c>
      <c r="LP14" s="1116">
        <f t="shared" si="46"/>
        <v>-100</v>
      </c>
      <c r="LQ14" s="1117">
        <f t="shared" si="47"/>
        <v>-67.981370979478967</v>
      </c>
      <c r="LR14" s="1079">
        <f t="shared" si="48"/>
        <v>103.065</v>
      </c>
      <c r="LS14" s="1118">
        <f t="shared" si="49"/>
        <v>33</v>
      </c>
      <c r="LT14" s="1"/>
      <c r="LU14" s="629"/>
      <c r="LV14" s="1139">
        <f t="shared" si="50"/>
        <v>7518.0520000000006</v>
      </c>
      <c r="LW14" s="1286" t="s">
        <v>54</v>
      </c>
      <c r="LX14" s="1147" t="str">
        <f t="shared" si="51"/>
        <v>OK</v>
      </c>
    </row>
    <row r="15" spans="1:336" ht="15" customHeight="1" x14ac:dyDescent="0.2">
      <c r="A15" s="1280" t="s">
        <v>55</v>
      </c>
      <c r="B15" s="1252">
        <v>0.70699999999999996</v>
      </c>
      <c r="C15" s="1098">
        <v>18.879000000000001</v>
      </c>
      <c r="D15" s="1098"/>
      <c r="E15" s="1098"/>
      <c r="F15" s="1098">
        <v>4.7309999999999999</v>
      </c>
      <c r="G15" s="1098">
        <v>2.5470000000000002</v>
      </c>
      <c r="H15" s="1098"/>
      <c r="I15" s="1098">
        <v>19.856999999999999</v>
      </c>
      <c r="J15" s="1098"/>
      <c r="K15" s="1098">
        <v>4.7569999999999997</v>
      </c>
      <c r="L15" s="1098">
        <v>7.0750000000000002</v>
      </c>
      <c r="M15" s="1098">
        <v>30.658999999999999</v>
      </c>
      <c r="N15" s="1097">
        <f t="shared" si="21"/>
        <v>89.212000000000003</v>
      </c>
      <c r="O15" s="1252">
        <v>37</v>
      </c>
      <c r="P15" s="1098">
        <v>7</v>
      </c>
      <c r="Q15" s="1098">
        <v>59.201000000000001</v>
      </c>
      <c r="R15" s="1098">
        <v>12.109</v>
      </c>
      <c r="S15" s="1098">
        <v>25.943000000000001</v>
      </c>
      <c r="T15" s="1098"/>
      <c r="U15" s="1098"/>
      <c r="V15" s="1098"/>
      <c r="W15" s="1098">
        <v>34.674999999999997</v>
      </c>
      <c r="X15" s="1098">
        <v>5.2069999999999999</v>
      </c>
      <c r="Y15" s="1098">
        <v>15.457000000000001</v>
      </c>
      <c r="Z15" s="1098">
        <v>21.23</v>
      </c>
      <c r="AA15" s="1097">
        <f t="shared" si="22"/>
        <v>217.82199999999997</v>
      </c>
      <c r="AB15" s="1252">
        <v>9.9239999999999995</v>
      </c>
      <c r="AC15" s="1098">
        <v>40.484999999999999</v>
      </c>
      <c r="AD15" s="1098"/>
      <c r="AE15" s="1098">
        <v>14.19</v>
      </c>
      <c r="AF15" s="1098">
        <v>10.61</v>
      </c>
      <c r="AG15" s="1098">
        <v>34.343000000000004</v>
      </c>
      <c r="AH15" s="1098">
        <v>61.354999999999997</v>
      </c>
      <c r="AI15" s="1098">
        <v>32.954000000000001</v>
      </c>
      <c r="AJ15" s="1098">
        <v>12.44</v>
      </c>
      <c r="AK15" s="1098"/>
      <c r="AL15" s="1098">
        <v>80.188000000000002</v>
      </c>
      <c r="AM15" s="1098">
        <v>15.816000000000001</v>
      </c>
      <c r="AN15" s="1097">
        <f t="shared" si="23"/>
        <v>312.30500000000001</v>
      </c>
      <c r="AO15" s="1252">
        <v>5.9130000000000003</v>
      </c>
      <c r="AP15" s="1098">
        <v>20.52</v>
      </c>
      <c r="AQ15" s="1098"/>
      <c r="AR15" s="1098">
        <v>25.292000000000002</v>
      </c>
      <c r="AS15" s="1098">
        <v>2.3580000000000001</v>
      </c>
      <c r="AT15" s="1098">
        <v>34.899000000000001</v>
      </c>
      <c r="AU15" s="1098"/>
      <c r="AV15" s="1098">
        <v>25</v>
      </c>
      <c r="AW15" s="1098">
        <v>29</v>
      </c>
      <c r="AX15" s="1098">
        <v>3</v>
      </c>
      <c r="AY15" s="1098">
        <v>27</v>
      </c>
      <c r="AZ15" s="1098">
        <v>42</v>
      </c>
      <c r="BA15" s="1097">
        <f t="shared" si="24"/>
        <v>214.982</v>
      </c>
      <c r="BB15" s="1252">
        <v>12</v>
      </c>
      <c r="BC15" s="1098">
        <v>131</v>
      </c>
      <c r="BD15" s="1098">
        <v>6</v>
      </c>
      <c r="BE15" s="1098">
        <v>27</v>
      </c>
      <c r="BF15" s="1098">
        <v>99</v>
      </c>
      <c r="BG15" s="1098">
        <v>64</v>
      </c>
      <c r="BH15" s="1098">
        <v>24</v>
      </c>
      <c r="BI15" s="1098">
        <v>51</v>
      </c>
      <c r="BJ15" s="1098">
        <v>43</v>
      </c>
      <c r="BK15" s="1098">
        <v>180.25</v>
      </c>
      <c r="BL15" s="1098">
        <v>50.526000000000003</v>
      </c>
      <c r="BM15" s="1098">
        <v>57.656999999999996</v>
      </c>
      <c r="BN15" s="1097">
        <f t="shared" si="25"/>
        <v>745.43299999999999</v>
      </c>
      <c r="BO15" s="1252">
        <v>36.915999999999997</v>
      </c>
      <c r="BP15" s="1098">
        <v>91.992000000000004</v>
      </c>
      <c r="BQ15" s="1098">
        <v>11.609</v>
      </c>
      <c r="BR15" s="1098">
        <v>46.55</v>
      </c>
      <c r="BS15" s="1098">
        <v>39.253</v>
      </c>
      <c r="BT15" s="1098">
        <v>90.272999999999996</v>
      </c>
      <c r="BU15" s="1098">
        <v>31.079000000000001</v>
      </c>
      <c r="BV15" s="1098">
        <v>60.832999999999998</v>
      </c>
      <c r="BW15" s="1098">
        <v>86.100999999999999</v>
      </c>
      <c r="BX15" s="1098">
        <v>73.710999999999999</v>
      </c>
      <c r="BY15" s="1098">
        <v>6</v>
      </c>
      <c r="BZ15" s="1098">
        <v>78</v>
      </c>
      <c r="CA15" s="1097">
        <f t="shared" si="26"/>
        <v>652.31700000000001</v>
      </c>
      <c r="CB15" s="1252">
        <v>9</v>
      </c>
      <c r="CC15" s="1098">
        <v>16</v>
      </c>
      <c r="CD15" s="1098">
        <v>14</v>
      </c>
      <c r="CE15" s="1098">
        <v>24</v>
      </c>
      <c r="CF15" s="1098">
        <v>33</v>
      </c>
      <c r="CG15" s="1098">
        <v>13</v>
      </c>
      <c r="CH15" s="1098">
        <v>2</v>
      </c>
      <c r="CI15" s="1098">
        <v>9</v>
      </c>
      <c r="CJ15" s="1098">
        <v>27</v>
      </c>
      <c r="CK15" s="1098">
        <v>9</v>
      </c>
      <c r="CL15" s="1098"/>
      <c r="CM15" s="1098">
        <v>9</v>
      </c>
      <c r="CN15" s="1097">
        <f t="shared" si="27"/>
        <v>165</v>
      </c>
      <c r="CO15" s="1252">
        <v>9</v>
      </c>
      <c r="CP15" s="1098">
        <v>7</v>
      </c>
      <c r="CQ15" s="1098">
        <v>30</v>
      </c>
      <c r="CR15" s="1098">
        <v>6</v>
      </c>
      <c r="CS15" s="1098">
        <v>8</v>
      </c>
      <c r="CT15" s="1098"/>
      <c r="CU15" s="1098"/>
      <c r="CV15" s="1098"/>
      <c r="CW15" s="1098">
        <v>30</v>
      </c>
      <c r="CX15" s="1098">
        <v>4</v>
      </c>
      <c r="CY15" s="1098">
        <v>24</v>
      </c>
      <c r="CZ15" s="1098"/>
      <c r="DA15" s="1097">
        <f t="shared" si="28"/>
        <v>118</v>
      </c>
      <c r="DB15" s="1252">
        <v>28</v>
      </c>
      <c r="DC15" s="1098">
        <v>7</v>
      </c>
      <c r="DD15" s="1098">
        <v>17</v>
      </c>
      <c r="DE15" s="1098">
        <v>16</v>
      </c>
      <c r="DF15" s="1098">
        <v>4</v>
      </c>
      <c r="DG15" s="1098">
        <v>20</v>
      </c>
      <c r="DH15" s="1098">
        <v>112</v>
      </c>
      <c r="DI15" s="1098">
        <v>15</v>
      </c>
      <c r="DJ15" s="1098">
        <v>54</v>
      </c>
      <c r="DK15" s="1098">
        <v>42</v>
      </c>
      <c r="DL15" s="1098">
        <v>8</v>
      </c>
      <c r="DM15" s="1098">
        <v>12</v>
      </c>
      <c r="DN15" s="1097">
        <f t="shared" si="29"/>
        <v>335</v>
      </c>
      <c r="DO15" s="1252"/>
      <c r="DP15" s="1098">
        <v>17</v>
      </c>
      <c r="DQ15" s="1098">
        <v>4</v>
      </c>
      <c r="DR15" s="1098"/>
      <c r="DS15" s="1098"/>
      <c r="DT15" s="1098"/>
      <c r="DU15" s="1098"/>
      <c r="DV15" s="1098">
        <v>5</v>
      </c>
      <c r="DW15" s="1098">
        <v>4</v>
      </c>
      <c r="DX15" s="1098">
        <v>40</v>
      </c>
      <c r="DY15" s="1098">
        <v>36</v>
      </c>
      <c r="DZ15" s="1098">
        <v>2</v>
      </c>
      <c r="EA15" s="1097">
        <f t="shared" si="30"/>
        <v>108</v>
      </c>
      <c r="EB15" s="1252">
        <v>9</v>
      </c>
      <c r="EC15" s="1098"/>
      <c r="ED15" s="1098">
        <v>33</v>
      </c>
      <c r="EE15" s="1098"/>
      <c r="EF15" s="1098"/>
      <c r="EG15" s="1098">
        <v>3</v>
      </c>
      <c r="EH15" s="1098">
        <v>12</v>
      </c>
      <c r="EI15" s="1098">
        <v>22</v>
      </c>
      <c r="EJ15" s="1098">
        <v>2</v>
      </c>
      <c r="EK15" s="1098">
        <v>6</v>
      </c>
      <c r="EL15" s="1098">
        <v>5</v>
      </c>
      <c r="EM15" s="1098"/>
      <c r="EN15" s="1097">
        <f t="shared" si="31"/>
        <v>92</v>
      </c>
      <c r="EO15" s="1252">
        <v>29</v>
      </c>
      <c r="EP15" s="1098"/>
      <c r="EQ15" s="1098">
        <v>9</v>
      </c>
      <c r="ER15" s="1098"/>
      <c r="ES15" s="1098"/>
      <c r="ET15" s="1098">
        <v>26</v>
      </c>
      <c r="EU15" s="1098">
        <v>128</v>
      </c>
      <c r="EV15" s="1098">
        <v>44</v>
      </c>
      <c r="EW15" s="1098">
        <v>42</v>
      </c>
      <c r="EX15" s="1098">
        <v>61</v>
      </c>
      <c r="EY15" s="1098">
        <v>16</v>
      </c>
      <c r="EZ15" s="1098">
        <v>45</v>
      </c>
      <c r="FA15" s="1097">
        <f t="shared" si="32"/>
        <v>400</v>
      </c>
      <c r="FB15" s="1252">
        <v>5</v>
      </c>
      <c r="FC15" s="1098">
        <v>2</v>
      </c>
      <c r="FD15" s="1098">
        <v>1</v>
      </c>
      <c r="FE15" s="1098"/>
      <c r="FF15" s="1098"/>
      <c r="FG15" s="1098">
        <v>10</v>
      </c>
      <c r="FH15" s="1098">
        <v>23</v>
      </c>
      <c r="FI15" s="1098">
        <v>36</v>
      </c>
      <c r="FJ15" s="1098"/>
      <c r="FK15" s="1098">
        <v>11</v>
      </c>
      <c r="FL15" s="1098">
        <v>10.5</v>
      </c>
      <c r="FM15" s="1098">
        <v>22.5</v>
      </c>
      <c r="FN15" s="1097">
        <f t="shared" si="33"/>
        <v>121</v>
      </c>
      <c r="FO15" s="1252"/>
      <c r="FP15" s="1098"/>
      <c r="FQ15" s="1098">
        <v>4</v>
      </c>
      <c r="FR15" s="1098"/>
      <c r="FS15" s="1098">
        <v>12</v>
      </c>
      <c r="FT15" s="1098"/>
      <c r="FU15" s="1098"/>
      <c r="FV15" s="1098"/>
      <c r="FW15" s="1098"/>
      <c r="FX15" s="1098"/>
      <c r="FY15" s="1098">
        <v>5</v>
      </c>
      <c r="FZ15" s="1098"/>
      <c r="GA15" s="1097">
        <f t="shared" si="34"/>
        <v>21</v>
      </c>
      <c r="GB15" s="1252"/>
      <c r="GC15" s="1098">
        <v>9</v>
      </c>
      <c r="GD15" s="1098"/>
      <c r="GE15" s="1098"/>
      <c r="GF15" s="1098"/>
      <c r="GG15" s="1098">
        <v>3</v>
      </c>
      <c r="GH15" s="1098"/>
      <c r="GI15" s="1098"/>
      <c r="GJ15" s="1098"/>
      <c r="GK15" s="1098"/>
      <c r="GL15" s="1098"/>
      <c r="GM15" s="1098"/>
      <c r="GN15" s="1097">
        <f t="shared" si="35"/>
        <v>12</v>
      </c>
      <c r="GO15" s="1252"/>
      <c r="GP15" s="1098"/>
      <c r="GQ15" s="1098"/>
      <c r="GR15" s="1098"/>
      <c r="GS15" s="1098"/>
      <c r="GT15" s="1098"/>
      <c r="GU15" s="1098"/>
      <c r="GV15" s="1098"/>
      <c r="GW15" s="1098">
        <v>11</v>
      </c>
      <c r="GX15" s="1098"/>
      <c r="GY15" s="1098"/>
      <c r="GZ15" s="1098"/>
      <c r="HA15" s="1097">
        <f t="shared" si="36"/>
        <v>11</v>
      </c>
      <c r="HB15" s="1252"/>
      <c r="HC15" s="1098"/>
      <c r="HD15" s="1098"/>
      <c r="HE15" s="1098"/>
      <c r="HF15" s="1098"/>
      <c r="HG15" s="1098"/>
      <c r="HH15" s="1098"/>
      <c r="HI15" s="1098">
        <v>1</v>
      </c>
      <c r="HJ15" s="1098"/>
      <c r="HK15" s="1098"/>
      <c r="HL15" s="1098">
        <v>0.6</v>
      </c>
      <c r="HM15" s="1098"/>
      <c r="HN15" s="1097">
        <f t="shared" si="37"/>
        <v>1.6</v>
      </c>
      <c r="HO15" s="1252"/>
      <c r="HP15" s="1098"/>
      <c r="HQ15" s="1098"/>
      <c r="HR15" s="1098"/>
      <c r="HS15" s="1098"/>
      <c r="HT15" s="1098"/>
      <c r="HU15" s="1098"/>
      <c r="HV15" s="1098"/>
      <c r="HW15" s="1098"/>
      <c r="HX15" s="1098">
        <v>49.95</v>
      </c>
      <c r="HY15" s="1098"/>
      <c r="HZ15" s="1098"/>
      <c r="IA15" s="1097">
        <f t="shared" si="38"/>
        <v>49.95</v>
      </c>
      <c r="IB15" s="1252"/>
      <c r="IC15" s="1098">
        <v>49.655000000000001</v>
      </c>
      <c r="ID15" s="1098"/>
      <c r="IE15" s="1098"/>
      <c r="IF15" s="1098"/>
      <c r="IG15" s="1098"/>
      <c r="IH15" s="1098"/>
      <c r="II15" s="1098"/>
      <c r="IJ15" s="1098"/>
      <c r="IK15" s="1098">
        <v>70</v>
      </c>
      <c r="IL15" s="1098">
        <v>27</v>
      </c>
      <c r="IM15" s="1098">
        <v>23</v>
      </c>
      <c r="IN15" s="1097">
        <f t="shared" si="39"/>
        <v>169.655</v>
      </c>
      <c r="IO15" s="1252"/>
      <c r="IP15" s="1098">
        <v>44.334000000000003</v>
      </c>
      <c r="IQ15" s="1098"/>
      <c r="IR15" s="1098">
        <v>32.53</v>
      </c>
      <c r="IS15" s="1098">
        <v>49.262999999999998</v>
      </c>
      <c r="IT15" s="1098">
        <v>4.5279999999999996</v>
      </c>
      <c r="IU15" s="1098">
        <v>88.545000000000002</v>
      </c>
      <c r="IV15" s="1098">
        <v>70.650000000000006</v>
      </c>
      <c r="IW15" s="1098">
        <v>47.896000000000001</v>
      </c>
      <c r="IX15" s="1098">
        <v>47.975999999999999</v>
      </c>
      <c r="IY15" s="1098">
        <v>70.09</v>
      </c>
      <c r="IZ15" s="1098">
        <v>15.635</v>
      </c>
      <c r="JA15" s="1097">
        <f t="shared" si="40"/>
        <v>471.447</v>
      </c>
      <c r="JB15" s="1252">
        <v>16.684000000000001</v>
      </c>
      <c r="JC15" s="1098">
        <v>16.75</v>
      </c>
      <c r="JD15" s="1098">
        <v>21.379000000000001</v>
      </c>
      <c r="JE15" s="1098">
        <v>4.944</v>
      </c>
      <c r="JF15" s="1098">
        <v>9.32</v>
      </c>
      <c r="JG15" s="1098">
        <v>13.198</v>
      </c>
      <c r="JH15" s="1098">
        <v>13.819000000000001</v>
      </c>
      <c r="JI15" s="1098">
        <v>56.081000000000003</v>
      </c>
      <c r="JJ15" s="1098">
        <v>24.036999999999999</v>
      </c>
      <c r="JK15" s="1098">
        <v>51.561999999999998</v>
      </c>
      <c r="JL15" s="1098">
        <v>64.894000000000005</v>
      </c>
      <c r="JM15" s="1098">
        <v>77.432000000000002</v>
      </c>
      <c r="JN15" s="1097">
        <f t="shared" si="41"/>
        <v>370.1</v>
      </c>
      <c r="JO15" s="1252">
        <v>7.7439999999999998</v>
      </c>
      <c r="JP15" s="1098">
        <v>45.819000000000003</v>
      </c>
      <c r="JQ15" s="1098">
        <v>43.091999999999999</v>
      </c>
      <c r="JR15" s="1098">
        <v>53.96</v>
      </c>
      <c r="JS15" s="1098">
        <v>59.600999999999999</v>
      </c>
      <c r="JT15" s="1098">
        <v>18.073</v>
      </c>
      <c r="JU15" s="1098">
        <v>35.08</v>
      </c>
      <c r="JV15" s="1098">
        <v>7.96</v>
      </c>
      <c r="JW15" s="1098">
        <v>37.997999999999998</v>
      </c>
      <c r="JX15" s="1098">
        <v>47.597999999999999</v>
      </c>
      <c r="JY15" s="1098">
        <v>37.465000000000003</v>
      </c>
      <c r="JZ15" s="1098">
        <v>14.481999999999999</v>
      </c>
      <c r="KA15" s="1097">
        <f t="shared" si="42"/>
        <v>408.87199999999996</v>
      </c>
      <c r="KB15" s="1252"/>
      <c r="KC15" s="1098">
        <v>2.0449999999999999</v>
      </c>
      <c r="KD15" s="1098"/>
      <c r="KE15" s="1098">
        <v>4.3259999999999996</v>
      </c>
      <c r="KF15" s="1098"/>
      <c r="KG15" s="1098"/>
      <c r="KH15" s="1098">
        <v>65.224999999999994</v>
      </c>
      <c r="KI15" s="1098"/>
      <c r="KJ15" s="1098"/>
      <c r="KK15" s="1098">
        <v>10.669</v>
      </c>
      <c r="KL15" s="1098">
        <v>11.414999999999999</v>
      </c>
      <c r="KM15" s="1098">
        <v>26.876999999999999</v>
      </c>
      <c r="KN15" s="1097">
        <f t="shared" si="43"/>
        <v>120.55699999999997</v>
      </c>
      <c r="KO15" s="1252">
        <v>17.733000000000001</v>
      </c>
      <c r="KP15" s="1098">
        <v>6.673</v>
      </c>
      <c r="KQ15" s="1098">
        <v>2.3559999999999999</v>
      </c>
      <c r="KR15" s="1098"/>
      <c r="KS15" s="1098"/>
      <c r="KT15" s="1098">
        <v>10.321</v>
      </c>
      <c r="KU15" s="1098">
        <v>0.73799999999999999</v>
      </c>
      <c r="KV15" s="1098">
        <v>33.526000000000003</v>
      </c>
      <c r="KW15" s="1098">
        <v>38.155999999999999</v>
      </c>
      <c r="KX15" s="1098">
        <v>39.383000000000003</v>
      </c>
      <c r="KY15" s="1098">
        <v>29.016999999999999</v>
      </c>
      <c r="KZ15" s="1098"/>
      <c r="LA15" s="1097">
        <f t="shared" si="44"/>
        <v>177.90300000000002</v>
      </c>
      <c r="LB15" s="1252"/>
      <c r="LC15" s="1098">
        <v>2</v>
      </c>
      <c r="LD15" s="1098"/>
      <c r="LE15" s="1098"/>
      <c r="LF15" s="1098"/>
      <c r="LG15" s="1098"/>
      <c r="LH15" s="1098">
        <v>3</v>
      </c>
      <c r="LI15" s="1098"/>
      <c r="LJ15" s="1098"/>
      <c r="LK15" s="1098"/>
      <c r="LL15" s="1098"/>
      <c r="LM15" s="1098"/>
      <c r="LN15" s="1097">
        <f t="shared" si="45"/>
        <v>5</v>
      </c>
      <c r="LP15" s="1116">
        <f t="shared" si="46"/>
        <v>-100</v>
      </c>
      <c r="LQ15" s="1117">
        <f t="shared" si="47"/>
        <v>-92.991996860414588</v>
      </c>
      <c r="LR15" s="1079">
        <f t="shared" si="48"/>
        <v>71.347000000000008</v>
      </c>
      <c r="LS15" s="1118">
        <f t="shared" si="49"/>
        <v>5</v>
      </c>
      <c r="LT15" s="1"/>
      <c r="LU15" s="629"/>
      <c r="LV15" s="1139">
        <f t="shared" si="50"/>
        <v>10780.310000000001</v>
      </c>
      <c r="LW15" s="1286" t="s">
        <v>55</v>
      </c>
      <c r="LX15" s="1147" t="str">
        <f t="shared" si="51"/>
        <v>OK</v>
      </c>
    </row>
    <row r="16" spans="1:336" ht="15" customHeight="1" x14ac:dyDescent="0.2">
      <c r="A16" s="1280" t="s">
        <v>56</v>
      </c>
      <c r="B16" s="1252">
        <v>30.66</v>
      </c>
      <c r="C16" s="1098">
        <v>4.484</v>
      </c>
      <c r="D16" s="1098">
        <v>43.631999999999998</v>
      </c>
      <c r="E16" s="1098">
        <v>55.558</v>
      </c>
      <c r="F16" s="1098">
        <v>22.827000000000002</v>
      </c>
      <c r="G16" s="1098"/>
      <c r="H16" s="1098">
        <v>15.942</v>
      </c>
      <c r="I16" s="1098">
        <v>8.6859999999999999</v>
      </c>
      <c r="J16" s="1098">
        <v>2.3580000000000001</v>
      </c>
      <c r="K16" s="1098">
        <v>48.301000000000002</v>
      </c>
      <c r="L16" s="1098">
        <v>16.55</v>
      </c>
      <c r="M16" s="1098">
        <v>79.778999999999996</v>
      </c>
      <c r="N16" s="1097">
        <f t="shared" si="21"/>
        <v>328.77700000000004</v>
      </c>
      <c r="O16" s="1252">
        <v>65</v>
      </c>
      <c r="P16" s="1098">
        <v>20</v>
      </c>
      <c r="Q16" s="1098">
        <v>153.702</v>
      </c>
      <c r="R16" s="1098">
        <v>50.786000000000001</v>
      </c>
      <c r="S16" s="1098">
        <v>75.131</v>
      </c>
      <c r="T16" s="1098">
        <v>30.324999999999999</v>
      </c>
      <c r="U16" s="1098">
        <v>31.498000000000001</v>
      </c>
      <c r="V16" s="1098">
        <v>17.684999999999999</v>
      </c>
      <c r="W16" s="1098">
        <v>56.322000000000003</v>
      </c>
      <c r="X16" s="1098">
        <v>49.527999999999999</v>
      </c>
      <c r="Y16" s="1098"/>
      <c r="Z16" s="1098">
        <v>68.209999999999994</v>
      </c>
      <c r="AA16" s="1097">
        <f t="shared" si="22"/>
        <v>618.18700000000001</v>
      </c>
      <c r="AB16" s="1252"/>
      <c r="AC16" s="1098">
        <v>3.6549999999999998</v>
      </c>
      <c r="AD16" s="1098">
        <v>16.600000000000001</v>
      </c>
      <c r="AE16" s="1098"/>
      <c r="AF16" s="1098"/>
      <c r="AG16" s="1098"/>
      <c r="AH16" s="1098"/>
      <c r="AI16" s="1098"/>
      <c r="AJ16" s="1098"/>
      <c r="AK16" s="1098"/>
      <c r="AL16" s="1098"/>
      <c r="AM16" s="1098">
        <v>215.053</v>
      </c>
      <c r="AN16" s="1097">
        <f t="shared" si="23"/>
        <v>235.30799999999999</v>
      </c>
      <c r="AO16" s="1252">
        <v>141.804</v>
      </c>
      <c r="AP16" s="1098">
        <v>57.466000000000001</v>
      </c>
      <c r="AQ16" s="1098">
        <v>130.02199999999999</v>
      </c>
      <c r="AR16" s="1098">
        <v>25.164999999999999</v>
      </c>
      <c r="AS16" s="1098">
        <v>33.343000000000004</v>
      </c>
      <c r="AT16" s="1098">
        <v>86.399000000000001</v>
      </c>
      <c r="AU16" s="1098">
        <v>22</v>
      </c>
      <c r="AV16" s="1098">
        <v>68</v>
      </c>
      <c r="AW16" s="1098">
        <v>164</v>
      </c>
      <c r="AX16" s="1098">
        <v>105</v>
      </c>
      <c r="AY16" s="1098">
        <v>56</v>
      </c>
      <c r="AZ16" s="1098">
        <v>110</v>
      </c>
      <c r="BA16" s="1097">
        <f t="shared" si="24"/>
        <v>999.19900000000007</v>
      </c>
      <c r="BB16" s="1252">
        <v>48</v>
      </c>
      <c r="BC16" s="1098">
        <v>53</v>
      </c>
      <c r="BD16" s="1098">
        <v>63</v>
      </c>
      <c r="BE16" s="1098">
        <v>116</v>
      </c>
      <c r="BF16" s="1098">
        <v>96</v>
      </c>
      <c r="BG16" s="1098">
        <v>121</v>
      </c>
      <c r="BH16" s="1098">
        <v>96</v>
      </c>
      <c r="BI16" s="1098">
        <v>50</v>
      </c>
      <c r="BJ16" s="1098">
        <v>215</v>
      </c>
      <c r="BK16" s="1098"/>
      <c r="BL16" s="1098"/>
      <c r="BM16" s="1098">
        <v>83.762</v>
      </c>
      <c r="BN16" s="1097">
        <f t="shared" si="25"/>
        <v>941.76199999999994</v>
      </c>
      <c r="BO16" s="1252">
        <v>0.30399999999999999</v>
      </c>
      <c r="BP16" s="1098"/>
      <c r="BQ16" s="1098">
        <v>70.751000000000005</v>
      </c>
      <c r="BR16" s="1098"/>
      <c r="BS16" s="1098"/>
      <c r="BT16" s="1098">
        <v>65.902000000000001</v>
      </c>
      <c r="BU16" s="1098"/>
      <c r="BV16" s="1098">
        <v>56.725999999999999</v>
      </c>
      <c r="BW16" s="1098">
        <v>73.358999999999995</v>
      </c>
      <c r="BX16" s="1098">
        <v>4.7469999999999999</v>
      </c>
      <c r="BY16" s="1098"/>
      <c r="BZ16" s="1098"/>
      <c r="CA16" s="1097">
        <f t="shared" si="26"/>
        <v>271.78899999999999</v>
      </c>
      <c r="CB16" s="1252">
        <v>94</v>
      </c>
      <c r="CC16" s="1098">
        <v>276</v>
      </c>
      <c r="CD16" s="1098">
        <v>376</v>
      </c>
      <c r="CE16" s="1098">
        <v>180</v>
      </c>
      <c r="CF16" s="1098">
        <v>224</v>
      </c>
      <c r="CG16" s="1098">
        <v>342</v>
      </c>
      <c r="CH16" s="1098">
        <v>32</v>
      </c>
      <c r="CI16" s="1098">
        <v>301</v>
      </c>
      <c r="CJ16" s="1098">
        <v>440</v>
      </c>
      <c r="CK16" s="1098">
        <v>318</v>
      </c>
      <c r="CL16" s="1098">
        <v>269</v>
      </c>
      <c r="CM16" s="1098">
        <v>399</v>
      </c>
      <c r="CN16" s="1097">
        <f t="shared" si="27"/>
        <v>3251</v>
      </c>
      <c r="CO16" s="1252">
        <v>287</v>
      </c>
      <c r="CP16" s="1098">
        <v>328</v>
      </c>
      <c r="CQ16" s="1098">
        <v>452</v>
      </c>
      <c r="CR16" s="1098">
        <v>218</v>
      </c>
      <c r="CS16" s="1098">
        <v>97</v>
      </c>
      <c r="CT16" s="1098">
        <v>255</v>
      </c>
      <c r="CU16" s="1098">
        <v>53</v>
      </c>
      <c r="CV16" s="1098">
        <v>146</v>
      </c>
      <c r="CW16" s="1098">
        <v>236</v>
      </c>
      <c r="CX16" s="1098">
        <v>168</v>
      </c>
      <c r="CY16" s="1098">
        <v>97</v>
      </c>
      <c r="CZ16" s="1098">
        <v>379</v>
      </c>
      <c r="DA16" s="1097">
        <f t="shared" si="28"/>
        <v>2716</v>
      </c>
      <c r="DB16" s="1252">
        <v>92</v>
      </c>
      <c r="DC16" s="1098">
        <v>239</v>
      </c>
      <c r="DD16" s="1098">
        <v>240</v>
      </c>
      <c r="DE16" s="1098">
        <v>375</v>
      </c>
      <c r="DF16" s="1098">
        <v>111</v>
      </c>
      <c r="DG16" s="1098">
        <v>222</v>
      </c>
      <c r="DH16" s="1098">
        <v>168</v>
      </c>
      <c r="DI16" s="1098"/>
      <c r="DJ16" s="1098">
        <v>76</v>
      </c>
      <c r="DK16" s="1098">
        <v>209</v>
      </c>
      <c r="DL16" s="1098">
        <v>289</v>
      </c>
      <c r="DM16" s="1098">
        <v>184</v>
      </c>
      <c r="DN16" s="1097">
        <f t="shared" si="29"/>
        <v>2205</v>
      </c>
      <c r="DO16" s="1252">
        <v>93</v>
      </c>
      <c r="DP16" s="1098">
        <v>206</v>
      </c>
      <c r="DQ16" s="1098">
        <v>105</v>
      </c>
      <c r="DR16" s="1098">
        <v>12</v>
      </c>
      <c r="DS16" s="1098">
        <v>44</v>
      </c>
      <c r="DT16" s="1098">
        <v>33</v>
      </c>
      <c r="DU16" s="1098">
        <v>31</v>
      </c>
      <c r="DV16" s="1098">
        <v>83</v>
      </c>
      <c r="DW16" s="1098">
        <v>88</v>
      </c>
      <c r="DX16" s="1098">
        <v>115</v>
      </c>
      <c r="DY16" s="1098">
        <v>117</v>
      </c>
      <c r="DZ16" s="1098">
        <v>81</v>
      </c>
      <c r="EA16" s="1097">
        <f t="shared" si="30"/>
        <v>1008</v>
      </c>
      <c r="EB16" s="1252">
        <v>45</v>
      </c>
      <c r="EC16" s="1098">
        <v>49</v>
      </c>
      <c r="ED16" s="1098">
        <v>95</v>
      </c>
      <c r="EE16" s="1098">
        <v>37</v>
      </c>
      <c r="EF16" s="1098">
        <v>3</v>
      </c>
      <c r="EG16" s="1098">
        <v>30</v>
      </c>
      <c r="EH16" s="1098">
        <v>29</v>
      </c>
      <c r="EI16" s="1098">
        <v>19</v>
      </c>
      <c r="EJ16" s="1098">
        <v>141</v>
      </c>
      <c r="EK16" s="1098">
        <v>481</v>
      </c>
      <c r="EL16" s="1098">
        <v>128</v>
      </c>
      <c r="EM16" s="1098">
        <v>95</v>
      </c>
      <c r="EN16" s="1097">
        <f t="shared" si="31"/>
        <v>1152</v>
      </c>
      <c r="EO16" s="1252">
        <v>84</v>
      </c>
      <c r="EP16" s="1098">
        <v>9</v>
      </c>
      <c r="EQ16" s="1098">
        <v>22</v>
      </c>
      <c r="ER16" s="1098">
        <v>57</v>
      </c>
      <c r="ES16" s="1098">
        <v>4</v>
      </c>
      <c r="ET16" s="1098"/>
      <c r="EU16" s="1098"/>
      <c r="EV16" s="1098">
        <v>19</v>
      </c>
      <c r="EW16" s="1098">
        <v>15</v>
      </c>
      <c r="EX16" s="1098">
        <v>146</v>
      </c>
      <c r="EY16" s="1098">
        <v>112</v>
      </c>
      <c r="EZ16" s="1098">
        <v>40</v>
      </c>
      <c r="FA16" s="1097">
        <f t="shared" si="32"/>
        <v>508</v>
      </c>
      <c r="FB16" s="1252">
        <v>79</v>
      </c>
      <c r="FC16" s="1098">
        <v>56</v>
      </c>
      <c r="FD16" s="1098">
        <v>19</v>
      </c>
      <c r="FE16" s="1098">
        <v>20</v>
      </c>
      <c r="FF16" s="1098">
        <v>61</v>
      </c>
      <c r="FG16" s="1098">
        <v>32</v>
      </c>
      <c r="FH16" s="1098">
        <v>6</v>
      </c>
      <c r="FI16" s="1098">
        <v>7</v>
      </c>
      <c r="FJ16" s="1098">
        <v>32</v>
      </c>
      <c r="FK16" s="1098">
        <v>70</v>
      </c>
      <c r="FL16" s="1098">
        <v>120</v>
      </c>
      <c r="FM16" s="1098">
        <v>67.5</v>
      </c>
      <c r="FN16" s="1097">
        <f t="shared" si="33"/>
        <v>569.5</v>
      </c>
      <c r="FO16" s="1252">
        <v>20</v>
      </c>
      <c r="FP16" s="1098">
        <v>5</v>
      </c>
      <c r="FQ16" s="1098">
        <v>51</v>
      </c>
      <c r="FR16" s="1098"/>
      <c r="FS16" s="1098">
        <v>7</v>
      </c>
      <c r="FT16" s="1098">
        <v>17</v>
      </c>
      <c r="FU16" s="1098">
        <v>7</v>
      </c>
      <c r="FV16" s="1098">
        <v>1</v>
      </c>
      <c r="FW16" s="1098">
        <v>4</v>
      </c>
      <c r="FX16" s="1098">
        <v>37</v>
      </c>
      <c r="FY16" s="1098">
        <v>25</v>
      </c>
      <c r="FZ16" s="1098">
        <v>100</v>
      </c>
      <c r="GA16" s="1097">
        <f t="shared" si="34"/>
        <v>274</v>
      </c>
      <c r="GB16" s="1252">
        <v>42</v>
      </c>
      <c r="GC16" s="1098">
        <v>20</v>
      </c>
      <c r="GD16" s="1098">
        <v>10.497</v>
      </c>
      <c r="GE16" s="1098">
        <v>40.871000000000002</v>
      </c>
      <c r="GF16" s="1098">
        <v>12.228999999999999</v>
      </c>
      <c r="GG16" s="1098"/>
      <c r="GH16" s="1098"/>
      <c r="GI16" s="1098">
        <v>37</v>
      </c>
      <c r="GJ16" s="1098"/>
      <c r="GK16" s="1098"/>
      <c r="GL16" s="1098">
        <v>34</v>
      </c>
      <c r="GM16" s="1098">
        <v>10</v>
      </c>
      <c r="GN16" s="1097">
        <f t="shared" si="35"/>
        <v>206.59699999999998</v>
      </c>
      <c r="GO16" s="1252">
        <v>20.05</v>
      </c>
      <c r="GP16" s="1098"/>
      <c r="GQ16" s="1098"/>
      <c r="GR16" s="1098"/>
      <c r="GS16" s="1098"/>
      <c r="GT16" s="1098"/>
      <c r="GU16" s="1098">
        <v>12</v>
      </c>
      <c r="GV16" s="1098">
        <v>0.3</v>
      </c>
      <c r="GW16" s="1098">
        <v>31</v>
      </c>
      <c r="GX16" s="1098">
        <v>3</v>
      </c>
      <c r="GY16" s="1098"/>
      <c r="GZ16" s="1098"/>
      <c r="HA16" s="1097">
        <f t="shared" si="36"/>
        <v>66.349999999999994</v>
      </c>
      <c r="HB16" s="1252"/>
      <c r="HC16" s="1098">
        <v>9</v>
      </c>
      <c r="HD16" s="1098"/>
      <c r="HE16" s="1098">
        <v>8.0220000000000002</v>
      </c>
      <c r="HF16" s="1098">
        <v>7</v>
      </c>
      <c r="HG16" s="1098"/>
      <c r="HH16" s="1098"/>
      <c r="HI16" s="1098">
        <v>4</v>
      </c>
      <c r="HJ16" s="1098"/>
      <c r="HK16" s="1098"/>
      <c r="HL16" s="1098"/>
      <c r="HM16" s="1098"/>
      <c r="HN16" s="1097">
        <f t="shared" si="37"/>
        <v>28.021999999999998</v>
      </c>
      <c r="HO16" s="1252"/>
      <c r="HP16" s="1098"/>
      <c r="HQ16" s="1098"/>
      <c r="HR16" s="1098"/>
      <c r="HS16" s="1098"/>
      <c r="HT16" s="1098"/>
      <c r="HU16" s="1098"/>
      <c r="HV16" s="1098"/>
      <c r="HW16" s="1098"/>
      <c r="HX16" s="1098"/>
      <c r="HY16" s="1098"/>
      <c r="HZ16" s="1098"/>
      <c r="IA16" s="1097">
        <f t="shared" si="38"/>
        <v>0</v>
      </c>
      <c r="IB16" s="1252">
        <v>8.7650000000000006</v>
      </c>
      <c r="IC16" s="1098">
        <v>31.748000000000001</v>
      </c>
      <c r="ID16" s="1098"/>
      <c r="IE16" s="1098"/>
      <c r="IF16" s="1098"/>
      <c r="IG16" s="1098"/>
      <c r="IH16" s="1098">
        <v>4</v>
      </c>
      <c r="II16" s="1098">
        <v>17.338999999999999</v>
      </c>
      <c r="IJ16" s="1098">
        <v>14</v>
      </c>
      <c r="IK16" s="1098"/>
      <c r="IL16" s="1098">
        <v>52</v>
      </c>
      <c r="IM16" s="1098">
        <v>45</v>
      </c>
      <c r="IN16" s="1097">
        <f t="shared" si="39"/>
        <v>172.852</v>
      </c>
      <c r="IO16" s="1252">
        <v>146.94</v>
      </c>
      <c r="IP16" s="1098">
        <v>9.6750000000000007</v>
      </c>
      <c r="IQ16" s="1098">
        <v>41.603000000000002</v>
      </c>
      <c r="IR16" s="1098">
        <v>22.367000000000001</v>
      </c>
      <c r="IS16" s="1098"/>
      <c r="IT16" s="1098"/>
      <c r="IU16" s="1098">
        <v>11.276999999999999</v>
      </c>
      <c r="IV16" s="1098">
        <v>9.98</v>
      </c>
      <c r="IW16" s="1098">
        <v>83.891999999999996</v>
      </c>
      <c r="IX16" s="1098">
        <v>108.417</v>
      </c>
      <c r="IY16" s="1098">
        <v>72.378</v>
      </c>
      <c r="IZ16" s="1098">
        <v>44.034999999999997</v>
      </c>
      <c r="JA16" s="1097">
        <f t="shared" si="40"/>
        <v>550.56399999999996</v>
      </c>
      <c r="JB16" s="1252">
        <v>43.987000000000002</v>
      </c>
      <c r="JC16" s="1098"/>
      <c r="JD16" s="1098"/>
      <c r="JE16" s="1098"/>
      <c r="JF16" s="1098"/>
      <c r="JG16" s="1098">
        <v>55.874000000000002</v>
      </c>
      <c r="JH16" s="1098"/>
      <c r="JI16" s="1098"/>
      <c r="JJ16" s="1098">
        <v>76.950999999999993</v>
      </c>
      <c r="JK16" s="1098"/>
      <c r="JL16" s="1098">
        <v>21.225000000000001</v>
      </c>
      <c r="JM16" s="1098">
        <v>91.713999999999999</v>
      </c>
      <c r="JN16" s="1097">
        <f t="shared" si="41"/>
        <v>289.75099999999998</v>
      </c>
      <c r="JO16" s="1252"/>
      <c r="JP16" s="1098"/>
      <c r="JQ16" s="1098"/>
      <c r="JR16" s="1098"/>
      <c r="JS16" s="1098"/>
      <c r="JT16" s="1098"/>
      <c r="JU16" s="1098"/>
      <c r="JV16" s="1098"/>
      <c r="JW16" s="1098"/>
      <c r="JX16" s="1098"/>
      <c r="JY16" s="1098"/>
      <c r="JZ16" s="1098"/>
      <c r="KA16" s="1097">
        <f t="shared" si="42"/>
        <v>0</v>
      </c>
      <c r="KB16" s="1252"/>
      <c r="KC16" s="1098"/>
      <c r="KD16" s="1098">
        <v>12.09</v>
      </c>
      <c r="KE16" s="1098">
        <v>17.617000000000001</v>
      </c>
      <c r="KF16" s="1098"/>
      <c r="KG16" s="1098">
        <v>6.07</v>
      </c>
      <c r="KH16" s="1098"/>
      <c r="KI16" s="1098"/>
      <c r="KJ16" s="1098">
        <v>37.317999999999998</v>
      </c>
      <c r="KK16" s="1098">
        <v>11.122999999999999</v>
      </c>
      <c r="KL16" s="1098">
        <v>9.8230000000000004</v>
      </c>
      <c r="KM16" s="1098"/>
      <c r="KN16" s="1097">
        <f t="shared" si="43"/>
        <v>94.040999999999997</v>
      </c>
      <c r="KO16" s="1252">
        <v>53.664999999999999</v>
      </c>
      <c r="KP16" s="1098">
        <v>38.652999999999999</v>
      </c>
      <c r="KQ16" s="1098">
        <v>2.1280000000000001</v>
      </c>
      <c r="KR16" s="1098">
        <v>32.118000000000002</v>
      </c>
      <c r="KS16" s="1098">
        <v>42.575000000000003</v>
      </c>
      <c r="KT16" s="1098">
        <v>2.617</v>
      </c>
      <c r="KU16" s="1098">
        <v>15.964</v>
      </c>
      <c r="KV16" s="1098">
        <v>1.5740000000000001</v>
      </c>
      <c r="KW16" s="1098"/>
      <c r="KX16" s="1098">
        <v>5.84</v>
      </c>
      <c r="KY16" s="1098">
        <v>7.266</v>
      </c>
      <c r="KZ16" s="1098"/>
      <c r="LA16" s="1097">
        <f t="shared" si="44"/>
        <v>202.4</v>
      </c>
      <c r="LB16" s="1252"/>
      <c r="LC16" s="1098"/>
      <c r="LD16" s="1098"/>
      <c r="LE16" s="1098">
        <v>35.808999999999997</v>
      </c>
      <c r="LF16" s="1098"/>
      <c r="LG16" s="1098"/>
      <c r="LH16" s="1098">
        <v>0.09</v>
      </c>
      <c r="LI16" s="1098">
        <v>6.6000000000000003E-2</v>
      </c>
      <c r="LJ16" s="1098"/>
      <c r="LK16" s="1098"/>
      <c r="LL16" s="1098"/>
      <c r="LM16" s="1098"/>
      <c r="LN16" s="1097">
        <f t="shared" si="45"/>
        <v>35.965000000000003</v>
      </c>
      <c r="LP16" s="1116">
        <f t="shared" si="46"/>
        <v>-95.806861499364686</v>
      </c>
      <c r="LQ16" s="1117">
        <f t="shared" si="47"/>
        <v>-81.000454319735439</v>
      </c>
      <c r="LR16" s="1079">
        <f t="shared" si="48"/>
        <v>189.29400000000001</v>
      </c>
      <c r="LS16" s="1118">
        <f t="shared" si="49"/>
        <v>35.965000000000003</v>
      </c>
      <c r="LT16" s="1"/>
      <c r="LU16" s="629"/>
      <c r="LV16" s="1139">
        <f t="shared" si="50"/>
        <v>33450.127999999968</v>
      </c>
      <c r="LW16" s="1286" t="s">
        <v>56</v>
      </c>
      <c r="LX16" s="1147" t="str">
        <f t="shared" si="51"/>
        <v>OK</v>
      </c>
    </row>
    <row r="17" spans="1:336" ht="15" customHeight="1" x14ac:dyDescent="0.2">
      <c r="A17" s="1280" t="s">
        <v>180</v>
      </c>
      <c r="B17" s="1252">
        <v>135.22999999999999</v>
      </c>
      <c r="C17" s="1098">
        <v>164.78100000000001</v>
      </c>
      <c r="D17" s="1098">
        <v>84.185000000000002</v>
      </c>
      <c r="E17" s="1098">
        <v>96.238</v>
      </c>
      <c r="F17" s="1098">
        <v>63.680999999999997</v>
      </c>
      <c r="G17" s="1098">
        <v>84.534000000000006</v>
      </c>
      <c r="H17" s="1098">
        <v>108.627</v>
      </c>
      <c r="I17" s="1098">
        <v>122.64</v>
      </c>
      <c r="J17" s="1098">
        <v>205.07900000000001</v>
      </c>
      <c r="K17" s="1098">
        <v>90.352000000000004</v>
      </c>
      <c r="L17" s="1098">
        <v>300.274</v>
      </c>
      <c r="M17" s="1098">
        <v>267.21199999999999</v>
      </c>
      <c r="N17" s="1097">
        <f t="shared" si="21"/>
        <v>1722.8330000000001</v>
      </c>
      <c r="O17" s="1252">
        <v>157</v>
      </c>
      <c r="P17" s="1098">
        <v>123</v>
      </c>
      <c r="Q17" s="1098">
        <v>156.983</v>
      </c>
      <c r="R17" s="1098">
        <v>80.924999999999997</v>
      </c>
      <c r="S17" s="1098">
        <v>214.066</v>
      </c>
      <c r="T17" s="1098">
        <v>175.19800000000001</v>
      </c>
      <c r="U17" s="1098">
        <v>204.78800000000001</v>
      </c>
      <c r="V17" s="1098">
        <v>130.85900000000001</v>
      </c>
      <c r="W17" s="1098">
        <v>66.977000000000004</v>
      </c>
      <c r="X17" s="1098">
        <v>209.44</v>
      </c>
      <c r="Y17" s="1098">
        <v>221.81200000000001</v>
      </c>
      <c r="Z17" s="1098">
        <v>173.072</v>
      </c>
      <c r="AA17" s="1097">
        <f t="shared" si="22"/>
        <v>1914.1200000000003</v>
      </c>
      <c r="AB17" s="1252">
        <v>198.21199999999999</v>
      </c>
      <c r="AC17" s="1098">
        <v>253.821</v>
      </c>
      <c r="AD17" s="1098">
        <v>270.02199999999999</v>
      </c>
      <c r="AE17" s="1098">
        <v>69.308999999999997</v>
      </c>
      <c r="AF17" s="1098">
        <v>55.106000000000002</v>
      </c>
      <c r="AG17" s="1098">
        <v>144.25899999999999</v>
      </c>
      <c r="AH17" s="1098">
        <v>130.291</v>
      </c>
      <c r="AI17" s="1098">
        <v>43.347999999999999</v>
      </c>
      <c r="AJ17" s="1098">
        <v>153.79300000000001</v>
      </c>
      <c r="AK17" s="1098">
        <v>88.903000000000006</v>
      </c>
      <c r="AL17" s="1098">
        <v>153.13300000000001</v>
      </c>
      <c r="AM17" s="1098">
        <v>72.772999999999996</v>
      </c>
      <c r="AN17" s="1097">
        <f t="shared" si="23"/>
        <v>1632.97</v>
      </c>
      <c r="AO17" s="1252">
        <v>42.381</v>
      </c>
      <c r="AP17" s="1098">
        <v>70.611000000000004</v>
      </c>
      <c r="AQ17" s="1098">
        <v>121.714</v>
      </c>
      <c r="AR17" s="1098">
        <v>108.086</v>
      </c>
      <c r="AS17" s="1098">
        <v>168.29400000000001</v>
      </c>
      <c r="AT17" s="1098">
        <v>248.721</v>
      </c>
      <c r="AU17" s="1098">
        <v>46</v>
      </c>
      <c r="AV17" s="1098">
        <v>157</v>
      </c>
      <c r="AW17" s="1098">
        <v>223</v>
      </c>
      <c r="AX17" s="1098">
        <v>263</v>
      </c>
      <c r="AY17" s="1098">
        <v>375</v>
      </c>
      <c r="AZ17" s="1098">
        <v>497</v>
      </c>
      <c r="BA17" s="1097">
        <f t="shared" si="24"/>
        <v>2320.8069999999998</v>
      </c>
      <c r="BB17" s="1252">
        <v>162</v>
      </c>
      <c r="BC17" s="1098">
        <v>293</v>
      </c>
      <c r="BD17" s="1098">
        <v>315</v>
      </c>
      <c r="BE17" s="1098">
        <v>1457</v>
      </c>
      <c r="BF17" s="1098">
        <v>393</v>
      </c>
      <c r="BG17" s="1098">
        <v>428</v>
      </c>
      <c r="BH17" s="1098">
        <v>337</v>
      </c>
      <c r="BI17" s="1098">
        <v>393</v>
      </c>
      <c r="BJ17" s="1098">
        <v>265</v>
      </c>
      <c r="BK17" s="1098">
        <v>592.58900000000006</v>
      </c>
      <c r="BL17" s="1098">
        <v>351.03199999999998</v>
      </c>
      <c r="BM17" s="1098">
        <v>624.01900000000001</v>
      </c>
      <c r="BN17" s="1097">
        <f t="shared" si="25"/>
        <v>5610.64</v>
      </c>
      <c r="BO17" s="1252">
        <v>88.046000000000006</v>
      </c>
      <c r="BP17" s="1098">
        <v>480.36900000000003</v>
      </c>
      <c r="BQ17" s="1098">
        <v>577.18299999999999</v>
      </c>
      <c r="BR17" s="1098">
        <v>299.33</v>
      </c>
      <c r="BS17" s="1098">
        <v>287.08300000000003</v>
      </c>
      <c r="BT17" s="1098">
        <v>446.072</v>
      </c>
      <c r="BU17" s="1098">
        <v>397.13299999999998</v>
      </c>
      <c r="BV17" s="1098">
        <v>508.14400000000001</v>
      </c>
      <c r="BW17" s="1098">
        <v>951.05899999999997</v>
      </c>
      <c r="BX17" s="1098">
        <v>520.54999999999995</v>
      </c>
      <c r="BY17" s="1098">
        <v>779</v>
      </c>
      <c r="BZ17" s="1098">
        <v>430</v>
      </c>
      <c r="CA17" s="1097">
        <f t="shared" si="26"/>
        <v>5763.9690000000001</v>
      </c>
      <c r="CB17" s="1252"/>
      <c r="CC17" s="1098">
        <v>46</v>
      </c>
      <c r="CD17" s="1098">
        <v>44</v>
      </c>
      <c r="CE17" s="1098">
        <v>21</v>
      </c>
      <c r="CF17" s="1098">
        <v>83</v>
      </c>
      <c r="CG17" s="1098">
        <v>116</v>
      </c>
      <c r="CH17" s="1098">
        <v>7</v>
      </c>
      <c r="CI17" s="1098">
        <v>68</v>
      </c>
      <c r="CJ17" s="1098">
        <v>90</v>
      </c>
      <c r="CK17" s="1098">
        <v>65</v>
      </c>
      <c r="CL17" s="1098">
        <v>81</v>
      </c>
      <c r="CM17" s="1098">
        <v>115</v>
      </c>
      <c r="CN17" s="1097">
        <f t="shared" si="27"/>
        <v>736</v>
      </c>
      <c r="CO17" s="1252">
        <v>1</v>
      </c>
      <c r="CP17" s="1098"/>
      <c r="CQ17" s="1098"/>
      <c r="CR17" s="1098"/>
      <c r="CS17" s="1098">
        <v>49</v>
      </c>
      <c r="CT17" s="1098">
        <v>4</v>
      </c>
      <c r="CU17" s="1098"/>
      <c r="CV17" s="1098"/>
      <c r="CW17" s="1098"/>
      <c r="CX17" s="1098">
        <v>48</v>
      </c>
      <c r="CY17" s="1098"/>
      <c r="CZ17" s="1098"/>
      <c r="DA17" s="1097">
        <f t="shared" si="28"/>
        <v>102</v>
      </c>
      <c r="DB17" s="1252">
        <v>8</v>
      </c>
      <c r="DC17" s="1098">
        <v>27</v>
      </c>
      <c r="DD17" s="1098">
        <v>17</v>
      </c>
      <c r="DE17" s="1098">
        <v>44</v>
      </c>
      <c r="DF17" s="1098">
        <v>89</v>
      </c>
      <c r="DG17" s="1098">
        <v>54</v>
      </c>
      <c r="DH17" s="1098">
        <v>218</v>
      </c>
      <c r="DI17" s="1098">
        <v>112</v>
      </c>
      <c r="DJ17" s="1098">
        <v>217</v>
      </c>
      <c r="DK17" s="1098">
        <v>104</v>
      </c>
      <c r="DL17" s="1098">
        <v>35</v>
      </c>
      <c r="DM17" s="1098">
        <v>41</v>
      </c>
      <c r="DN17" s="1097">
        <f t="shared" si="29"/>
        <v>966</v>
      </c>
      <c r="DO17" s="1252">
        <v>84</v>
      </c>
      <c r="DP17" s="1098">
        <v>32</v>
      </c>
      <c r="DQ17" s="1098">
        <v>52</v>
      </c>
      <c r="DR17" s="1098">
        <v>21</v>
      </c>
      <c r="DS17" s="1098">
        <v>20</v>
      </c>
      <c r="DT17" s="1098">
        <v>18</v>
      </c>
      <c r="DU17" s="1098">
        <v>37</v>
      </c>
      <c r="DV17" s="1098">
        <v>34</v>
      </c>
      <c r="DW17" s="1098">
        <v>47</v>
      </c>
      <c r="DX17" s="1098">
        <v>24</v>
      </c>
      <c r="DY17" s="1098">
        <v>135</v>
      </c>
      <c r="DZ17" s="1098">
        <v>6</v>
      </c>
      <c r="EA17" s="1097">
        <f t="shared" si="30"/>
        <v>510</v>
      </c>
      <c r="EB17" s="1252">
        <v>5</v>
      </c>
      <c r="EC17" s="1098"/>
      <c r="ED17" s="1098">
        <v>3</v>
      </c>
      <c r="EE17" s="1098">
        <v>42</v>
      </c>
      <c r="EF17" s="1098">
        <v>13</v>
      </c>
      <c r="EG17" s="1098">
        <v>67</v>
      </c>
      <c r="EH17" s="1098">
        <v>30</v>
      </c>
      <c r="EI17" s="1098">
        <v>52</v>
      </c>
      <c r="EJ17" s="1098">
        <v>97</v>
      </c>
      <c r="EK17" s="1098">
        <v>81</v>
      </c>
      <c r="EL17" s="1098">
        <v>86</v>
      </c>
      <c r="EM17" s="1098">
        <v>33</v>
      </c>
      <c r="EN17" s="1097">
        <f t="shared" si="31"/>
        <v>509</v>
      </c>
      <c r="EO17" s="1252">
        <v>16</v>
      </c>
      <c r="EP17" s="1098"/>
      <c r="EQ17" s="1098"/>
      <c r="ER17" s="1098"/>
      <c r="ES17" s="1098"/>
      <c r="ET17" s="1098"/>
      <c r="EU17" s="1098">
        <v>26</v>
      </c>
      <c r="EV17" s="1098">
        <v>21</v>
      </c>
      <c r="EW17" s="1098">
        <v>221</v>
      </c>
      <c r="EX17" s="1098">
        <v>195</v>
      </c>
      <c r="EY17" s="1098">
        <v>38</v>
      </c>
      <c r="EZ17" s="1098">
        <v>124</v>
      </c>
      <c r="FA17" s="1097">
        <f t="shared" si="32"/>
        <v>641</v>
      </c>
      <c r="FB17" s="1252">
        <v>97</v>
      </c>
      <c r="FC17" s="1098">
        <v>186</v>
      </c>
      <c r="FD17" s="1098">
        <v>19</v>
      </c>
      <c r="FE17" s="1098">
        <v>6</v>
      </c>
      <c r="FF17" s="1098"/>
      <c r="FG17" s="1098">
        <v>3</v>
      </c>
      <c r="FH17" s="1098">
        <v>24</v>
      </c>
      <c r="FI17" s="1098">
        <v>21</v>
      </c>
      <c r="FJ17" s="1098">
        <v>31</v>
      </c>
      <c r="FK17" s="1098">
        <v>43</v>
      </c>
      <c r="FL17" s="1098">
        <v>62</v>
      </c>
      <c r="FM17" s="1098">
        <v>78.5</v>
      </c>
      <c r="FN17" s="1097">
        <f t="shared" si="33"/>
        <v>570.5</v>
      </c>
      <c r="FO17" s="1252">
        <v>22</v>
      </c>
      <c r="FP17" s="1098">
        <v>9</v>
      </c>
      <c r="FQ17" s="1098">
        <v>15</v>
      </c>
      <c r="FR17" s="1098">
        <v>1</v>
      </c>
      <c r="FS17" s="1098"/>
      <c r="FT17" s="1098">
        <v>32</v>
      </c>
      <c r="FU17" s="1098"/>
      <c r="FV17" s="1098"/>
      <c r="FW17" s="1098">
        <v>88</v>
      </c>
      <c r="FX17" s="1098">
        <v>19</v>
      </c>
      <c r="FY17" s="1098">
        <v>47</v>
      </c>
      <c r="FZ17" s="1098">
        <v>153</v>
      </c>
      <c r="GA17" s="1097">
        <f t="shared" si="34"/>
        <v>386</v>
      </c>
      <c r="GB17" s="1252">
        <v>29</v>
      </c>
      <c r="GC17" s="1098"/>
      <c r="GD17" s="1098">
        <v>23.51</v>
      </c>
      <c r="GE17" s="1098"/>
      <c r="GF17" s="1098"/>
      <c r="GG17" s="1098"/>
      <c r="GH17" s="1098">
        <v>4</v>
      </c>
      <c r="GI17" s="1098">
        <v>37</v>
      </c>
      <c r="GJ17" s="1098"/>
      <c r="GK17" s="1098"/>
      <c r="GL17" s="1098">
        <v>33</v>
      </c>
      <c r="GM17" s="1098"/>
      <c r="GN17" s="1097">
        <f t="shared" si="35"/>
        <v>126.51</v>
      </c>
      <c r="GO17" s="1252"/>
      <c r="GP17" s="1098"/>
      <c r="GQ17" s="1098">
        <v>106</v>
      </c>
      <c r="GR17" s="1098">
        <v>46</v>
      </c>
      <c r="GS17" s="1098"/>
      <c r="GT17" s="1098"/>
      <c r="GU17" s="1098"/>
      <c r="GV17" s="1098"/>
      <c r="GW17" s="1098">
        <v>54</v>
      </c>
      <c r="GX17" s="1098">
        <v>19</v>
      </c>
      <c r="GY17" s="1098">
        <v>410</v>
      </c>
      <c r="GZ17" s="1098">
        <v>125</v>
      </c>
      <c r="HA17" s="1097">
        <f t="shared" si="36"/>
        <v>760</v>
      </c>
      <c r="HB17" s="1252">
        <f>28+16</f>
        <v>44</v>
      </c>
      <c r="HC17" s="1098">
        <v>23</v>
      </c>
      <c r="HD17" s="1098">
        <v>5.3</v>
      </c>
      <c r="HE17" s="1098">
        <v>69</v>
      </c>
      <c r="HF17" s="1098">
        <v>27</v>
      </c>
      <c r="HG17" s="1098">
        <v>92</v>
      </c>
      <c r="HH17" s="1098">
        <v>471</v>
      </c>
      <c r="HI17" s="1098"/>
      <c r="HJ17" s="1098">
        <f>41.546+143.365</f>
        <v>184.911</v>
      </c>
      <c r="HK17" s="1098">
        <v>67.53</v>
      </c>
      <c r="HL17" s="1098">
        <v>112.536</v>
      </c>
      <c r="HM17" s="1098"/>
      <c r="HN17" s="1097">
        <f t="shared" si="37"/>
        <v>1096.277</v>
      </c>
      <c r="HO17" s="1252"/>
      <c r="HP17" s="1098">
        <f>2.541+0.495</f>
        <v>3.036</v>
      </c>
      <c r="HQ17" s="1098"/>
      <c r="HR17" s="1098"/>
      <c r="HS17" s="1098">
        <v>6.9720000000000004</v>
      </c>
      <c r="HT17" s="1098"/>
      <c r="HU17" s="1098"/>
      <c r="HV17" s="1098">
        <v>15.801</v>
      </c>
      <c r="HW17" s="1098"/>
      <c r="HX17" s="1098">
        <v>277</v>
      </c>
      <c r="HY17" s="1098">
        <v>48</v>
      </c>
      <c r="HZ17" s="1098"/>
      <c r="IA17" s="1097">
        <f t="shared" si="38"/>
        <v>350.80900000000003</v>
      </c>
      <c r="IB17" s="1252"/>
      <c r="IC17" s="1098"/>
      <c r="ID17" s="1098">
        <v>64.897000000000006</v>
      </c>
      <c r="IE17" s="1098"/>
      <c r="IF17" s="1098"/>
      <c r="IG17" s="1098"/>
      <c r="IH17" s="1098"/>
      <c r="II17" s="1098"/>
      <c r="IJ17" s="1098">
        <v>16</v>
      </c>
      <c r="IK17" s="1098"/>
      <c r="IL17" s="1098">
        <v>18</v>
      </c>
      <c r="IM17" s="1098">
        <v>35</v>
      </c>
      <c r="IN17" s="1097">
        <f t="shared" si="39"/>
        <v>133.89699999999999</v>
      </c>
      <c r="IO17" s="1252"/>
      <c r="IP17" s="1098"/>
      <c r="IQ17" s="1098"/>
      <c r="IR17" s="1098"/>
      <c r="IS17" s="1098"/>
      <c r="IT17" s="1098"/>
      <c r="IU17" s="1098"/>
      <c r="IV17" s="1098"/>
      <c r="IW17" s="1098"/>
      <c r="IX17" s="1098"/>
      <c r="IY17" s="1098"/>
      <c r="IZ17" s="1098">
        <v>53.548999999999999</v>
      </c>
      <c r="JA17" s="1097">
        <f t="shared" si="40"/>
        <v>53.548999999999999</v>
      </c>
      <c r="JB17" s="1252"/>
      <c r="JC17" s="1098"/>
      <c r="JD17" s="1098">
        <v>44.628999999999998</v>
      </c>
      <c r="JE17" s="1098"/>
      <c r="JF17" s="1098">
        <v>13.05</v>
      </c>
      <c r="JG17" s="1098"/>
      <c r="JH17" s="1098">
        <v>0.91</v>
      </c>
      <c r="JI17" s="1098"/>
      <c r="JJ17" s="1098"/>
      <c r="JK17" s="1098"/>
      <c r="JL17" s="1098">
        <v>152.67500000000001</v>
      </c>
      <c r="JM17" s="1098">
        <v>27.038</v>
      </c>
      <c r="JN17" s="1097">
        <f t="shared" si="41"/>
        <v>238.30200000000002</v>
      </c>
      <c r="JO17" s="1252">
        <v>4.9740000000000002</v>
      </c>
      <c r="JP17" s="1098"/>
      <c r="JQ17" s="1098"/>
      <c r="JR17" s="1098">
        <v>5.0199999999999996</v>
      </c>
      <c r="JS17" s="1098">
        <v>57.307000000000002</v>
      </c>
      <c r="JT17" s="1098"/>
      <c r="JU17" s="1098"/>
      <c r="JV17" s="1098"/>
      <c r="JW17" s="1098"/>
      <c r="JX17" s="1098">
        <v>38.33</v>
      </c>
      <c r="JY17" s="1098"/>
      <c r="JZ17" s="1098">
        <v>18.855</v>
      </c>
      <c r="KA17" s="1097">
        <f t="shared" si="42"/>
        <v>124.486</v>
      </c>
      <c r="KB17" s="1252"/>
      <c r="KC17" s="1098"/>
      <c r="KD17" s="1098">
        <v>52.51</v>
      </c>
      <c r="KE17" s="1098">
        <v>33.506999999999998</v>
      </c>
      <c r="KF17" s="1098">
        <f>0.203+13.258</f>
        <v>13.460999999999999</v>
      </c>
      <c r="KG17" s="1098">
        <v>7.5209999999999999</v>
      </c>
      <c r="KH17" s="1098">
        <v>6.9950000000000001</v>
      </c>
      <c r="KI17" s="1098"/>
      <c r="KJ17" s="1098">
        <v>35.338999999999999</v>
      </c>
      <c r="KK17" s="1098"/>
      <c r="KL17" s="1098"/>
      <c r="KM17" s="1098"/>
      <c r="KN17" s="1097">
        <f t="shared" si="43"/>
        <v>149.333</v>
      </c>
      <c r="KO17" s="1252">
        <v>7.56</v>
      </c>
      <c r="KP17" s="1098">
        <v>5.78</v>
      </c>
      <c r="KQ17" s="1098">
        <v>3.0659999999999998</v>
      </c>
      <c r="KR17" s="1098">
        <v>55.948</v>
      </c>
      <c r="KS17" s="1098">
        <v>15.683999999999999</v>
      </c>
      <c r="KT17" s="1098">
        <v>26.065999999999999</v>
      </c>
      <c r="KU17" s="1098">
        <v>12.353999999999999</v>
      </c>
      <c r="KV17" s="1098"/>
      <c r="KW17" s="1098"/>
      <c r="KX17" s="1098">
        <v>11.92</v>
      </c>
      <c r="KY17" s="1098">
        <v>6.2270000000000003</v>
      </c>
      <c r="KZ17" s="1098">
        <v>21.652999999999999</v>
      </c>
      <c r="LA17" s="1097">
        <f t="shared" si="44"/>
        <v>166.25799999999998</v>
      </c>
      <c r="LB17" s="1252"/>
      <c r="LC17" s="1098">
        <v>2</v>
      </c>
      <c r="LD17" s="1098"/>
      <c r="LE17" s="1098">
        <v>41.879999999999995</v>
      </c>
      <c r="LF17" s="1098">
        <v>9.4536084905660367</v>
      </c>
      <c r="LG17" s="1098">
        <v>55.716999999999999</v>
      </c>
      <c r="LH17" s="1098">
        <v>75</v>
      </c>
      <c r="LI17" s="1098">
        <v>0.78600000000000003</v>
      </c>
      <c r="LJ17" s="1098"/>
      <c r="LK17" s="1098"/>
      <c r="LL17" s="1098"/>
      <c r="LM17" s="1098"/>
      <c r="LN17" s="1097">
        <f t="shared" si="45"/>
        <v>184.83660849056605</v>
      </c>
      <c r="LP17" s="1116" t="str">
        <f t="shared" si="46"/>
        <v/>
      </c>
      <c r="LQ17" s="1117">
        <f t="shared" si="47"/>
        <v>46.164424939953228</v>
      </c>
      <c r="LR17" s="1079">
        <f t="shared" si="48"/>
        <v>126.458</v>
      </c>
      <c r="LS17" s="1118">
        <f t="shared" si="49"/>
        <v>184.83660849056605</v>
      </c>
      <c r="LT17" s="1"/>
      <c r="LU17" s="629"/>
      <c r="LV17" s="1139">
        <f t="shared" si="50"/>
        <v>53540.193216981126</v>
      </c>
      <c r="LW17" s="1286" t="s">
        <v>180</v>
      </c>
      <c r="LX17" s="1147" t="str">
        <f t="shared" si="51"/>
        <v>OK</v>
      </c>
    </row>
    <row r="18" spans="1:336" ht="15" customHeight="1" x14ac:dyDescent="0.2">
      <c r="A18" s="1280" t="s">
        <v>57</v>
      </c>
      <c r="B18" s="1252"/>
      <c r="C18" s="1098"/>
      <c r="D18" s="1098"/>
      <c r="E18" s="1098">
        <v>21.236000000000001</v>
      </c>
      <c r="F18" s="1098"/>
      <c r="G18" s="1098"/>
      <c r="H18" s="1098"/>
      <c r="I18" s="1098"/>
      <c r="J18" s="1098"/>
      <c r="K18" s="1098">
        <v>8.1170000000000009</v>
      </c>
      <c r="L18" s="1098">
        <v>2.6429999999999998</v>
      </c>
      <c r="M18" s="1098">
        <v>7.7460000000000004</v>
      </c>
      <c r="N18" s="1097">
        <f t="shared" si="21"/>
        <v>39.742000000000004</v>
      </c>
      <c r="O18" s="1252"/>
      <c r="P18" s="1098"/>
      <c r="Q18" s="1098">
        <v>1.75</v>
      </c>
      <c r="R18" s="1098"/>
      <c r="S18" s="1098">
        <v>18.867999999999999</v>
      </c>
      <c r="T18" s="1098">
        <v>4.4160000000000004</v>
      </c>
      <c r="U18" s="1098">
        <v>10.228</v>
      </c>
      <c r="V18" s="1098">
        <v>10.622999999999999</v>
      </c>
      <c r="W18" s="1098">
        <v>8.7070000000000007</v>
      </c>
      <c r="X18" s="1098">
        <v>4.7060000000000004</v>
      </c>
      <c r="Y18" s="1098">
        <v>17.741</v>
      </c>
      <c r="Z18" s="1098">
        <v>19.126000000000001</v>
      </c>
      <c r="AA18" s="1097">
        <f t="shared" si="22"/>
        <v>96.165000000000006</v>
      </c>
      <c r="AB18" s="1252">
        <v>2.383</v>
      </c>
      <c r="AC18" s="1098">
        <v>16.026</v>
      </c>
      <c r="AD18" s="1098">
        <v>9.9890000000000008</v>
      </c>
      <c r="AE18" s="1098">
        <v>28.138000000000002</v>
      </c>
      <c r="AF18" s="1098">
        <v>10.62</v>
      </c>
      <c r="AG18" s="1098">
        <v>23.457000000000001</v>
      </c>
      <c r="AH18" s="1098"/>
      <c r="AI18" s="1098"/>
      <c r="AJ18" s="1098">
        <v>9.2430000000000003</v>
      </c>
      <c r="AK18" s="1098">
        <v>3.9</v>
      </c>
      <c r="AL18" s="1098">
        <v>30.664000000000001</v>
      </c>
      <c r="AM18" s="1098"/>
      <c r="AN18" s="1097">
        <f t="shared" si="23"/>
        <v>134.42000000000002</v>
      </c>
      <c r="AO18" s="1252">
        <v>30.931999999999999</v>
      </c>
      <c r="AP18" s="1098">
        <v>10.368</v>
      </c>
      <c r="AQ18" s="1098"/>
      <c r="AR18" s="1098"/>
      <c r="AS18" s="1098">
        <v>15.404999999999999</v>
      </c>
      <c r="AT18" s="1098">
        <v>23.869</v>
      </c>
      <c r="AU18" s="1098"/>
      <c r="AV18" s="1098">
        <v>23</v>
      </c>
      <c r="AW18" s="1098"/>
      <c r="AX18" s="1098">
        <v>4</v>
      </c>
      <c r="AY18" s="1098">
        <v>5</v>
      </c>
      <c r="AZ18" s="1098">
        <v>52</v>
      </c>
      <c r="BA18" s="1097">
        <f t="shared" si="24"/>
        <v>164.57400000000001</v>
      </c>
      <c r="BB18" s="1252">
        <v>63</v>
      </c>
      <c r="BC18" s="1098">
        <v>32</v>
      </c>
      <c r="BD18" s="1098">
        <v>59</v>
      </c>
      <c r="BE18" s="1098">
        <v>52</v>
      </c>
      <c r="BF18" s="1098">
        <v>133</v>
      </c>
      <c r="BG18" s="1098">
        <v>109</v>
      </c>
      <c r="BH18" s="1098">
        <v>59</v>
      </c>
      <c r="BI18" s="1098">
        <v>64</v>
      </c>
      <c r="BJ18" s="1098">
        <v>7</v>
      </c>
      <c r="BK18" s="1098">
        <v>37.862000000000002</v>
      </c>
      <c r="BL18" s="1098">
        <v>121.492</v>
      </c>
      <c r="BM18" s="1098">
        <v>84.306999999999988</v>
      </c>
      <c r="BN18" s="1097">
        <f t="shared" si="25"/>
        <v>821.66099999999994</v>
      </c>
      <c r="BO18" s="1252">
        <v>107.15</v>
      </c>
      <c r="BP18" s="1098">
        <v>144.982</v>
      </c>
      <c r="BQ18" s="1098">
        <v>108.51600000000001</v>
      </c>
      <c r="BR18" s="1098">
        <v>76.733999999999995</v>
      </c>
      <c r="BS18" s="1098">
        <v>78.108999999999995</v>
      </c>
      <c r="BT18" s="1098">
        <v>97.713999999999999</v>
      </c>
      <c r="BU18" s="1098">
        <v>143.65299999999999</v>
      </c>
      <c r="BV18" s="1098">
        <v>159.31399999999999</v>
      </c>
      <c r="BW18" s="1098">
        <v>120.08499999999999</v>
      </c>
      <c r="BX18" s="1098">
        <v>51.771999999999998</v>
      </c>
      <c r="BY18" s="1098">
        <v>84</v>
      </c>
      <c r="BZ18" s="1098">
        <v>78</v>
      </c>
      <c r="CA18" s="1097">
        <f t="shared" si="26"/>
        <v>1250.0289999999998</v>
      </c>
      <c r="CB18" s="1252">
        <v>6</v>
      </c>
      <c r="CC18" s="1098">
        <v>28</v>
      </c>
      <c r="CD18" s="1098">
        <v>107</v>
      </c>
      <c r="CE18" s="1098">
        <v>1</v>
      </c>
      <c r="CF18" s="1098">
        <v>19</v>
      </c>
      <c r="CG18" s="1098">
        <v>7</v>
      </c>
      <c r="CH18" s="1098">
        <v>12</v>
      </c>
      <c r="CI18" s="1098">
        <v>45</v>
      </c>
      <c r="CJ18" s="1098">
        <v>133</v>
      </c>
      <c r="CK18" s="1098">
        <v>121</v>
      </c>
      <c r="CL18" s="1098">
        <v>21</v>
      </c>
      <c r="CM18" s="1098">
        <v>61</v>
      </c>
      <c r="CN18" s="1097">
        <f t="shared" si="27"/>
        <v>561</v>
      </c>
      <c r="CO18" s="1252"/>
      <c r="CP18" s="1098">
        <v>25</v>
      </c>
      <c r="CQ18" s="1098">
        <v>55</v>
      </c>
      <c r="CR18" s="1098"/>
      <c r="CS18" s="1098"/>
      <c r="CT18" s="1098"/>
      <c r="CU18" s="1098">
        <v>24</v>
      </c>
      <c r="CV18" s="1098"/>
      <c r="CW18" s="1098">
        <v>34</v>
      </c>
      <c r="CX18" s="1098">
        <v>25</v>
      </c>
      <c r="CY18" s="1098">
        <v>17</v>
      </c>
      <c r="CZ18" s="1098">
        <v>25</v>
      </c>
      <c r="DA18" s="1097">
        <f t="shared" si="28"/>
        <v>205</v>
      </c>
      <c r="DB18" s="1252">
        <v>30</v>
      </c>
      <c r="DC18" s="1098">
        <v>44</v>
      </c>
      <c r="DD18" s="1098">
        <v>78</v>
      </c>
      <c r="DE18" s="1098">
        <v>34</v>
      </c>
      <c r="DF18" s="1098">
        <v>20</v>
      </c>
      <c r="DG18" s="1098">
        <v>25</v>
      </c>
      <c r="DH18" s="1098">
        <v>24</v>
      </c>
      <c r="DI18" s="1098"/>
      <c r="DJ18" s="1098">
        <v>50</v>
      </c>
      <c r="DK18" s="1098">
        <v>88</v>
      </c>
      <c r="DL18" s="1098">
        <v>40</v>
      </c>
      <c r="DM18" s="1098">
        <v>66</v>
      </c>
      <c r="DN18" s="1097">
        <f t="shared" si="29"/>
        <v>499</v>
      </c>
      <c r="DO18" s="1252">
        <v>9</v>
      </c>
      <c r="DP18" s="1098">
        <v>35</v>
      </c>
      <c r="DQ18" s="1098">
        <v>2</v>
      </c>
      <c r="DR18" s="1098">
        <v>9</v>
      </c>
      <c r="DS18" s="1098">
        <v>94</v>
      </c>
      <c r="DT18" s="1098">
        <v>35</v>
      </c>
      <c r="DU18" s="1098">
        <v>33</v>
      </c>
      <c r="DV18" s="1098">
        <v>29</v>
      </c>
      <c r="DW18" s="1098">
        <v>8</v>
      </c>
      <c r="DX18" s="1098">
        <v>24</v>
      </c>
      <c r="DY18" s="1098"/>
      <c r="DZ18" s="1098">
        <v>11</v>
      </c>
      <c r="EA18" s="1097">
        <f t="shared" si="30"/>
        <v>289</v>
      </c>
      <c r="EB18" s="1252">
        <v>27</v>
      </c>
      <c r="EC18" s="1098">
        <v>14</v>
      </c>
      <c r="ED18" s="1098">
        <v>14</v>
      </c>
      <c r="EE18" s="1098">
        <v>22</v>
      </c>
      <c r="EF18" s="1098">
        <v>2</v>
      </c>
      <c r="EG18" s="1098"/>
      <c r="EH18" s="1098">
        <v>56</v>
      </c>
      <c r="EI18" s="1098">
        <v>14</v>
      </c>
      <c r="EJ18" s="1098">
        <v>4</v>
      </c>
      <c r="EK18" s="1098">
        <v>48</v>
      </c>
      <c r="EL18" s="1098">
        <v>119</v>
      </c>
      <c r="EM18" s="1098">
        <v>68</v>
      </c>
      <c r="EN18" s="1097">
        <f t="shared" si="31"/>
        <v>388</v>
      </c>
      <c r="EO18" s="1252"/>
      <c r="EP18" s="1098">
        <v>49</v>
      </c>
      <c r="EQ18" s="1098">
        <v>10</v>
      </c>
      <c r="ER18" s="1098">
        <v>2</v>
      </c>
      <c r="ES18" s="1098">
        <v>69</v>
      </c>
      <c r="ET18" s="1098">
        <v>61</v>
      </c>
      <c r="EU18" s="1098"/>
      <c r="EV18" s="1098"/>
      <c r="EW18" s="1098"/>
      <c r="EX18" s="1098"/>
      <c r="EY18" s="1098">
        <v>40</v>
      </c>
      <c r="EZ18" s="1098">
        <v>19</v>
      </c>
      <c r="FA18" s="1097">
        <f t="shared" si="32"/>
        <v>250</v>
      </c>
      <c r="FB18" s="1252"/>
      <c r="FC18" s="1098">
        <v>21</v>
      </c>
      <c r="FD18" s="1098"/>
      <c r="FE18" s="1098"/>
      <c r="FF18" s="1098">
        <v>31</v>
      </c>
      <c r="FG18" s="1098">
        <v>23</v>
      </c>
      <c r="FH18" s="1098">
        <v>4</v>
      </c>
      <c r="FI18" s="1098">
        <v>12</v>
      </c>
      <c r="FJ18" s="1098"/>
      <c r="FK18" s="1098">
        <v>36</v>
      </c>
      <c r="FL18" s="1098">
        <v>79.5</v>
      </c>
      <c r="FM18" s="1098">
        <v>43.5</v>
      </c>
      <c r="FN18" s="1097">
        <f t="shared" si="33"/>
        <v>250</v>
      </c>
      <c r="FO18" s="1252">
        <v>4</v>
      </c>
      <c r="FP18" s="1098">
        <v>55</v>
      </c>
      <c r="FQ18" s="1098">
        <v>45</v>
      </c>
      <c r="FR18" s="1098">
        <v>11</v>
      </c>
      <c r="FS18" s="1098">
        <v>35</v>
      </c>
      <c r="FT18" s="1098">
        <v>89</v>
      </c>
      <c r="FU18" s="1098">
        <v>78</v>
      </c>
      <c r="FV18" s="1098">
        <v>18</v>
      </c>
      <c r="FW18" s="1098">
        <v>5</v>
      </c>
      <c r="FX18" s="1098">
        <v>17</v>
      </c>
      <c r="FY18" s="1098">
        <v>24</v>
      </c>
      <c r="FZ18" s="1098">
        <v>5</v>
      </c>
      <c r="GA18" s="1097">
        <f t="shared" si="34"/>
        <v>386</v>
      </c>
      <c r="GB18" s="1252">
        <v>7</v>
      </c>
      <c r="GC18" s="1098">
        <v>19</v>
      </c>
      <c r="GD18" s="1098">
        <v>10</v>
      </c>
      <c r="GE18" s="1098">
        <v>31</v>
      </c>
      <c r="GF18" s="1098">
        <v>94</v>
      </c>
      <c r="GG18" s="1098">
        <v>38</v>
      </c>
      <c r="GH18" s="1098">
        <v>39</v>
      </c>
      <c r="GI18" s="1098">
        <v>75</v>
      </c>
      <c r="GJ18" s="1098">
        <v>20</v>
      </c>
      <c r="GK18" s="1098">
        <v>46</v>
      </c>
      <c r="GL18" s="1098">
        <v>175</v>
      </c>
      <c r="GM18" s="1098">
        <v>42</v>
      </c>
      <c r="GN18" s="1097">
        <f t="shared" si="35"/>
        <v>596</v>
      </c>
      <c r="GO18" s="1252">
        <v>14.339</v>
      </c>
      <c r="GP18" s="1098">
        <v>14.195</v>
      </c>
      <c r="GQ18" s="1098">
        <v>43.506999999999998</v>
      </c>
      <c r="GR18" s="1098">
        <v>5</v>
      </c>
      <c r="GS18" s="1098">
        <v>145</v>
      </c>
      <c r="GT18" s="1098">
        <v>35</v>
      </c>
      <c r="GU18" s="1098">
        <v>115</v>
      </c>
      <c r="GV18" s="1098">
        <v>17</v>
      </c>
      <c r="GW18" s="1098">
        <v>99</v>
      </c>
      <c r="GX18" s="1098">
        <v>112</v>
      </c>
      <c r="GY18" s="1098"/>
      <c r="GZ18" s="1098">
        <v>14</v>
      </c>
      <c r="HA18" s="1097">
        <f t="shared" si="36"/>
        <v>614.04099999999994</v>
      </c>
      <c r="HB18" s="1252"/>
      <c r="HC18" s="1098"/>
      <c r="HD18" s="1098">
        <v>21.728000000000002</v>
      </c>
      <c r="HE18" s="1098">
        <v>53.426000000000002</v>
      </c>
      <c r="HF18" s="1098"/>
      <c r="HG18" s="1098">
        <v>102</v>
      </c>
      <c r="HH18" s="1098">
        <v>183</v>
      </c>
      <c r="HI18" s="1098">
        <v>177</v>
      </c>
      <c r="HJ18" s="1098">
        <v>72.373999999999995</v>
      </c>
      <c r="HK18" s="1098">
        <v>56.637</v>
      </c>
      <c r="HL18" s="1098">
        <v>135.80299999999994</v>
      </c>
      <c r="HM18" s="1098">
        <v>0.245</v>
      </c>
      <c r="HN18" s="1097">
        <f t="shared" si="37"/>
        <v>802.21299999999985</v>
      </c>
      <c r="HO18" s="1252"/>
      <c r="HP18" s="1098">
        <v>40.082000000000001</v>
      </c>
      <c r="HQ18" s="1098">
        <v>83.564999999999998</v>
      </c>
      <c r="HR18" s="1098">
        <v>5.7590000000000003</v>
      </c>
      <c r="HS18" s="1098"/>
      <c r="HT18" s="1098">
        <v>12.381</v>
      </c>
      <c r="HU18" s="1098">
        <v>4.8029999999999999</v>
      </c>
      <c r="HV18" s="1098"/>
      <c r="HW18" s="1098">
        <v>39.960999999999999</v>
      </c>
      <c r="HX18" s="1098">
        <v>143</v>
      </c>
      <c r="HY18" s="1098">
        <v>47</v>
      </c>
      <c r="HZ18" s="1098"/>
      <c r="IA18" s="1097">
        <f t="shared" si="38"/>
        <v>376.55099999999999</v>
      </c>
      <c r="IB18" s="1252">
        <v>95.6</v>
      </c>
      <c r="IC18" s="1098">
        <v>8.8019999999999996</v>
      </c>
      <c r="ID18" s="1098">
        <v>21.511538461538461</v>
      </c>
      <c r="IE18" s="1098"/>
      <c r="IF18" s="1098">
        <v>18.015000000000001</v>
      </c>
      <c r="IG18" s="1098">
        <v>34.418999999999997</v>
      </c>
      <c r="IH18" s="1098">
        <f>206.029+4.237</f>
        <v>210.26599999999999</v>
      </c>
      <c r="II18" s="1098">
        <f>94.826+32.36</f>
        <v>127.18599999999999</v>
      </c>
      <c r="IJ18" s="1098">
        <v>219</v>
      </c>
      <c r="IK18" s="1098">
        <v>76</v>
      </c>
      <c r="IL18" s="1098">
        <v>229</v>
      </c>
      <c r="IM18" s="1098">
        <v>211</v>
      </c>
      <c r="IN18" s="1097">
        <f t="shared" si="39"/>
        <v>1250.7995384615383</v>
      </c>
      <c r="IO18" s="1252"/>
      <c r="IP18" s="1098">
        <v>33.838999999999999</v>
      </c>
      <c r="IQ18" s="1098">
        <v>107.714</v>
      </c>
      <c r="IR18" s="1098">
        <v>30.071000000000002</v>
      </c>
      <c r="IS18" s="1098"/>
      <c r="IT18" s="1098">
        <v>17.757000000000001</v>
      </c>
      <c r="IU18" s="1098"/>
      <c r="IV18" s="1098"/>
      <c r="IW18" s="1098">
        <v>5.9580000000000002</v>
      </c>
      <c r="IX18" s="1098">
        <v>112.806</v>
      </c>
      <c r="IY18" s="1098">
        <v>70.930000000000007</v>
      </c>
      <c r="IZ18" s="1098">
        <v>23.844000000000001</v>
      </c>
      <c r="JA18" s="1097">
        <f t="shared" si="40"/>
        <v>402.91899999999998</v>
      </c>
      <c r="JB18" s="1252">
        <v>50.405999999999999</v>
      </c>
      <c r="JC18" s="1098"/>
      <c r="JD18" s="1098">
        <v>43.716000000000001</v>
      </c>
      <c r="JE18" s="1098">
        <v>21.887</v>
      </c>
      <c r="JF18" s="1098">
        <v>12.763999999999999</v>
      </c>
      <c r="JG18" s="1098"/>
      <c r="JH18" s="1098">
        <v>16.91</v>
      </c>
      <c r="JI18" s="1098"/>
      <c r="JJ18" s="1098">
        <v>21.797999999999998</v>
      </c>
      <c r="JK18" s="1098">
        <v>32.905999999999999</v>
      </c>
      <c r="JL18" s="1098">
        <v>19.350000000000001</v>
      </c>
      <c r="JM18" s="1098">
        <v>29.856999999999999</v>
      </c>
      <c r="JN18" s="1097">
        <f t="shared" si="41"/>
        <v>249.59399999999999</v>
      </c>
      <c r="JO18" s="1252">
        <v>12.781000000000001</v>
      </c>
      <c r="JP18" s="1098">
        <v>7.67</v>
      </c>
      <c r="JQ18" s="1098">
        <v>4.97</v>
      </c>
      <c r="JR18" s="1098"/>
      <c r="JS18" s="1098">
        <v>19.975999999999999</v>
      </c>
      <c r="JT18" s="1098"/>
      <c r="JU18" s="1098"/>
      <c r="JV18" s="1098">
        <v>8.7170000000000005</v>
      </c>
      <c r="JW18" s="1098">
        <v>13.019</v>
      </c>
      <c r="JX18" s="1098">
        <v>44.795999999999999</v>
      </c>
      <c r="JY18" s="1098">
        <v>16.920000000000002</v>
      </c>
      <c r="JZ18" s="1098"/>
      <c r="KA18" s="1097">
        <f t="shared" si="42"/>
        <v>128.84899999999999</v>
      </c>
      <c r="KB18" s="1252"/>
      <c r="KC18" s="1098">
        <v>28.411999999999999</v>
      </c>
      <c r="KD18" s="1098">
        <v>59.142000000000003</v>
      </c>
      <c r="KE18" s="1098"/>
      <c r="KF18" s="1098">
        <v>33.594000000000001</v>
      </c>
      <c r="KG18" s="1098">
        <v>5.3609999999999998</v>
      </c>
      <c r="KH18" s="1098">
        <v>13.532</v>
      </c>
      <c r="KI18" s="1098"/>
      <c r="KJ18" s="1098"/>
      <c r="KK18" s="1098">
        <v>18.834</v>
      </c>
      <c r="KL18" s="1098">
        <v>9.0489999999999995</v>
      </c>
      <c r="KM18" s="1098">
        <v>10.599</v>
      </c>
      <c r="KN18" s="1097">
        <f t="shared" si="43"/>
        <v>178.523</v>
      </c>
      <c r="KO18" s="1252">
        <v>4.7480000000000002</v>
      </c>
      <c r="KP18" s="1098">
        <v>15.898999999999999</v>
      </c>
      <c r="KQ18" s="1098">
        <v>11.46</v>
      </c>
      <c r="KR18" s="1098">
        <v>5.4809999999999999</v>
      </c>
      <c r="KS18" s="1098"/>
      <c r="KT18" s="1098"/>
      <c r="KU18" s="1098"/>
      <c r="KV18" s="1098"/>
      <c r="KW18" s="1098"/>
      <c r="KX18" s="1098">
        <v>33.128</v>
      </c>
      <c r="KY18" s="1098">
        <v>21.335000000000001</v>
      </c>
      <c r="KZ18" s="1098"/>
      <c r="LA18" s="1097">
        <f t="shared" si="44"/>
        <v>92.051000000000016</v>
      </c>
      <c r="LB18" s="1252"/>
      <c r="LC18" s="1098"/>
      <c r="LD18" s="1098"/>
      <c r="LE18" s="1098"/>
      <c r="LF18" s="1098"/>
      <c r="LG18" s="1098"/>
      <c r="LH18" s="1098"/>
      <c r="LI18" s="1098"/>
      <c r="LJ18" s="1098"/>
      <c r="LK18" s="1098"/>
      <c r="LL18" s="1098"/>
      <c r="LM18" s="1098"/>
      <c r="LN18" s="1097">
        <f t="shared" si="45"/>
        <v>0</v>
      </c>
      <c r="LP18" s="1116" t="str">
        <f t="shared" si="46"/>
        <v/>
      </c>
      <c r="LQ18" s="1117">
        <f t="shared" si="47"/>
        <v>-100</v>
      </c>
      <c r="LR18" s="1079">
        <f t="shared" si="48"/>
        <v>37.588000000000001</v>
      </c>
      <c r="LS18" s="1118">
        <f t="shared" si="49"/>
        <v>0</v>
      </c>
      <c r="LT18" s="1"/>
      <c r="LU18" s="629"/>
      <c r="LV18" s="1139">
        <f t="shared" si="50"/>
        <v>20052.26307692306</v>
      </c>
      <c r="LW18" s="1286" t="s">
        <v>57</v>
      </c>
      <c r="LX18" s="1147" t="str">
        <f t="shared" si="51"/>
        <v>OK</v>
      </c>
    </row>
    <row r="19" spans="1:336" ht="15" customHeight="1" x14ac:dyDescent="0.2">
      <c r="A19" s="1292" t="s">
        <v>103</v>
      </c>
      <c r="B19" s="1252"/>
      <c r="C19" s="1098"/>
      <c r="D19" s="1098"/>
      <c r="E19" s="1098"/>
      <c r="F19" s="1098"/>
      <c r="G19" s="1098"/>
      <c r="H19" s="1098"/>
      <c r="I19" s="1098"/>
      <c r="J19" s="1098"/>
      <c r="K19" s="1098"/>
      <c r="L19" s="1098"/>
      <c r="M19" s="1098"/>
      <c r="N19" s="1097">
        <f t="shared" si="21"/>
        <v>0</v>
      </c>
      <c r="O19" s="1252"/>
      <c r="P19" s="1098"/>
      <c r="Q19" s="1098"/>
      <c r="R19" s="1098"/>
      <c r="S19" s="1098"/>
      <c r="T19" s="1098"/>
      <c r="U19" s="1098"/>
      <c r="V19" s="1098"/>
      <c r="W19" s="1098"/>
      <c r="X19" s="1098"/>
      <c r="Y19" s="1098"/>
      <c r="Z19" s="1098"/>
      <c r="AA19" s="1097">
        <f t="shared" si="22"/>
        <v>0</v>
      </c>
      <c r="AB19" s="1252"/>
      <c r="AC19" s="1098"/>
      <c r="AD19" s="1098"/>
      <c r="AE19" s="1098"/>
      <c r="AF19" s="1098"/>
      <c r="AG19" s="1098"/>
      <c r="AH19" s="1098"/>
      <c r="AI19" s="1098"/>
      <c r="AJ19" s="1098"/>
      <c r="AK19" s="1098"/>
      <c r="AL19" s="1098"/>
      <c r="AM19" s="1098"/>
      <c r="AN19" s="1097">
        <f t="shared" si="23"/>
        <v>0</v>
      </c>
      <c r="AO19" s="1252"/>
      <c r="AP19" s="1098"/>
      <c r="AQ19" s="1098"/>
      <c r="AR19" s="1098"/>
      <c r="AS19" s="1098"/>
      <c r="AT19" s="1098"/>
      <c r="AU19" s="1098"/>
      <c r="AV19" s="1098"/>
      <c r="AW19" s="1098"/>
      <c r="AX19" s="1098"/>
      <c r="AY19" s="1098"/>
      <c r="AZ19" s="1098"/>
      <c r="BA19" s="1097">
        <f t="shared" si="24"/>
        <v>0</v>
      </c>
      <c r="BB19" s="1252"/>
      <c r="BC19" s="1098"/>
      <c r="BD19" s="1098"/>
      <c r="BE19" s="1098"/>
      <c r="BF19" s="1098"/>
      <c r="BG19" s="1098"/>
      <c r="BH19" s="1098"/>
      <c r="BI19" s="1098"/>
      <c r="BJ19" s="1098"/>
      <c r="BK19" s="1098"/>
      <c r="BL19" s="1098"/>
      <c r="BM19" s="1098"/>
      <c r="BN19" s="1097">
        <f t="shared" si="25"/>
        <v>0</v>
      </c>
      <c r="BO19" s="1252"/>
      <c r="BP19" s="1098"/>
      <c r="BQ19" s="1098"/>
      <c r="BR19" s="1098"/>
      <c r="BS19" s="1098"/>
      <c r="BT19" s="1098"/>
      <c r="BU19" s="1098"/>
      <c r="BV19" s="1098"/>
      <c r="BW19" s="1098"/>
      <c r="BX19" s="1098"/>
      <c r="BY19" s="1098"/>
      <c r="BZ19" s="1098"/>
      <c r="CA19" s="1097">
        <f t="shared" si="26"/>
        <v>0</v>
      </c>
      <c r="CB19" s="1252"/>
      <c r="CC19" s="1098"/>
      <c r="CD19" s="1098"/>
      <c r="CE19" s="1098"/>
      <c r="CF19" s="1098"/>
      <c r="CG19" s="1098"/>
      <c r="CH19" s="1098"/>
      <c r="CI19" s="1098"/>
      <c r="CJ19" s="1098"/>
      <c r="CK19" s="1098"/>
      <c r="CL19" s="1098"/>
      <c r="CM19" s="1098"/>
      <c r="CN19" s="1097">
        <f t="shared" si="27"/>
        <v>0</v>
      </c>
      <c r="CO19" s="1252"/>
      <c r="CP19" s="1098"/>
      <c r="CQ19" s="1098"/>
      <c r="CR19" s="1098"/>
      <c r="CS19" s="1098"/>
      <c r="CT19" s="1098"/>
      <c r="CU19" s="1098"/>
      <c r="CV19" s="1098"/>
      <c r="CW19" s="1098"/>
      <c r="CX19" s="1098"/>
      <c r="CY19" s="1098"/>
      <c r="CZ19" s="1098"/>
      <c r="DA19" s="1097">
        <f t="shared" si="28"/>
        <v>0</v>
      </c>
      <c r="DB19" s="1252"/>
      <c r="DC19" s="1098"/>
      <c r="DD19" s="1098"/>
      <c r="DE19" s="1098"/>
      <c r="DF19" s="1098"/>
      <c r="DG19" s="1098"/>
      <c r="DH19" s="1098"/>
      <c r="DI19" s="1098"/>
      <c r="DJ19" s="1098"/>
      <c r="DK19" s="1098"/>
      <c r="DL19" s="1098"/>
      <c r="DM19" s="1098"/>
      <c r="DN19" s="1097">
        <f t="shared" si="29"/>
        <v>0</v>
      </c>
      <c r="DO19" s="1252"/>
      <c r="DP19" s="1098"/>
      <c r="DQ19" s="1098"/>
      <c r="DR19" s="1098"/>
      <c r="DS19" s="1098"/>
      <c r="DT19" s="1098"/>
      <c r="DU19" s="1098"/>
      <c r="DV19" s="1098"/>
      <c r="DW19" s="1098"/>
      <c r="DX19" s="1098"/>
      <c r="DY19" s="1098"/>
      <c r="DZ19" s="1098"/>
      <c r="EA19" s="1097">
        <f t="shared" si="30"/>
        <v>0</v>
      </c>
      <c r="EB19" s="1252"/>
      <c r="EC19" s="1098"/>
      <c r="ED19" s="1098"/>
      <c r="EE19" s="1098"/>
      <c r="EF19" s="1098"/>
      <c r="EG19" s="1098"/>
      <c r="EH19" s="1098"/>
      <c r="EI19" s="1098"/>
      <c r="EJ19" s="1098"/>
      <c r="EK19" s="1098"/>
      <c r="EL19" s="1098"/>
      <c r="EM19" s="1098"/>
      <c r="EN19" s="1097">
        <f t="shared" si="31"/>
        <v>0</v>
      </c>
      <c r="EO19" s="1252"/>
      <c r="EP19" s="1098"/>
      <c r="EQ19" s="1098"/>
      <c r="ER19" s="1098"/>
      <c r="ES19" s="1098"/>
      <c r="ET19" s="1098"/>
      <c r="EU19" s="1098"/>
      <c r="EV19" s="1098"/>
      <c r="EW19" s="1098"/>
      <c r="EX19" s="1098"/>
      <c r="EY19" s="1098"/>
      <c r="EZ19" s="1098"/>
      <c r="FA19" s="1097">
        <f t="shared" si="32"/>
        <v>0</v>
      </c>
      <c r="FB19" s="1252"/>
      <c r="FC19" s="1098"/>
      <c r="FD19" s="1098"/>
      <c r="FE19" s="1098"/>
      <c r="FF19" s="1098"/>
      <c r="FG19" s="1098"/>
      <c r="FH19" s="1098"/>
      <c r="FI19" s="1098"/>
      <c r="FJ19" s="1098"/>
      <c r="FK19" s="1098"/>
      <c r="FL19" s="1098"/>
      <c r="FM19" s="1098"/>
      <c r="FN19" s="1097">
        <f t="shared" si="33"/>
        <v>0</v>
      </c>
      <c r="FO19" s="1252"/>
      <c r="FP19" s="1098"/>
      <c r="FQ19" s="1098"/>
      <c r="FR19" s="1098"/>
      <c r="FS19" s="1098"/>
      <c r="FT19" s="1098"/>
      <c r="FU19" s="1098"/>
      <c r="FV19" s="1098"/>
      <c r="FW19" s="1098"/>
      <c r="FX19" s="1098"/>
      <c r="FY19" s="1098"/>
      <c r="FZ19" s="1098"/>
      <c r="GA19" s="1097">
        <f t="shared" si="34"/>
        <v>0</v>
      </c>
      <c r="GB19" s="1252"/>
      <c r="GC19" s="1098"/>
      <c r="GD19" s="1098"/>
      <c r="GE19" s="1098"/>
      <c r="GF19" s="1098"/>
      <c r="GG19" s="1098"/>
      <c r="GH19" s="1098"/>
      <c r="GI19" s="1098"/>
      <c r="GJ19" s="1098"/>
      <c r="GK19" s="1098"/>
      <c r="GL19" s="1098"/>
      <c r="GM19" s="1098"/>
      <c r="GN19" s="1097">
        <f t="shared" si="35"/>
        <v>0</v>
      </c>
      <c r="GO19" s="1252"/>
      <c r="GP19" s="1098"/>
      <c r="GQ19" s="1098"/>
      <c r="GR19" s="1098"/>
      <c r="GS19" s="1098"/>
      <c r="GT19" s="1098"/>
      <c r="GU19" s="1098"/>
      <c r="GV19" s="1098"/>
      <c r="GW19" s="1098"/>
      <c r="GX19" s="1098"/>
      <c r="GY19" s="1098"/>
      <c r="GZ19" s="1098"/>
      <c r="HA19" s="1097">
        <f t="shared" si="36"/>
        <v>0</v>
      </c>
      <c r="HB19" s="1252"/>
      <c r="HC19" s="1098"/>
      <c r="HD19" s="1098"/>
      <c r="HE19" s="1098"/>
      <c r="HF19" s="1098"/>
      <c r="HG19" s="1098"/>
      <c r="HH19" s="1098"/>
      <c r="HI19" s="1098"/>
      <c r="HJ19" s="1098"/>
      <c r="HK19" s="1098"/>
      <c r="HL19" s="1098"/>
      <c r="HM19" s="1098"/>
      <c r="HN19" s="1097">
        <f t="shared" si="37"/>
        <v>0</v>
      </c>
      <c r="HO19" s="1252"/>
      <c r="HP19" s="1098"/>
      <c r="HQ19" s="1098"/>
      <c r="HR19" s="1098"/>
      <c r="HS19" s="1098"/>
      <c r="HT19" s="1098"/>
      <c r="HU19" s="1098"/>
      <c r="HV19" s="1098"/>
      <c r="HW19" s="1098"/>
      <c r="HX19" s="1098"/>
      <c r="HY19" s="1098"/>
      <c r="HZ19" s="1098"/>
      <c r="IA19" s="1097">
        <f t="shared" si="38"/>
        <v>0</v>
      </c>
      <c r="IB19" s="1252"/>
      <c r="IC19" s="1098"/>
      <c r="ID19" s="1098"/>
      <c r="IE19" s="1098"/>
      <c r="IF19" s="1098"/>
      <c r="IG19" s="1098"/>
      <c r="IH19" s="1098"/>
      <c r="II19" s="1098"/>
      <c r="IJ19" s="1098"/>
      <c r="IK19" s="1098"/>
      <c r="IL19" s="1098"/>
      <c r="IM19" s="1098"/>
      <c r="IN19" s="1097">
        <f t="shared" si="39"/>
        <v>0</v>
      </c>
      <c r="IO19" s="1252"/>
      <c r="IP19" s="1098"/>
      <c r="IQ19" s="1098"/>
      <c r="IR19" s="1098"/>
      <c r="IS19" s="1098"/>
      <c r="IT19" s="1098"/>
      <c r="IU19" s="1098"/>
      <c r="IV19" s="1098"/>
      <c r="IW19" s="1098"/>
      <c r="IX19" s="1098"/>
      <c r="IY19" s="1098"/>
      <c r="IZ19" s="1098"/>
      <c r="JA19" s="1097">
        <f t="shared" si="40"/>
        <v>0</v>
      </c>
      <c r="JB19" s="1252"/>
      <c r="JC19" s="1098"/>
      <c r="JD19" s="1098"/>
      <c r="JE19" s="1098"/>
      <c r="JF19" s="1098"/>
      <c r="JG19" s="1098"/>
      <c r="JH19" s="1098"/>
      <c r="JI19" s="1098"/>
      <c r="JJ19" s="1098"/>
      <c r="JK19" s="1098"/>
      <c r="JL19" s="1098"/>
      <c r="JM19" s="1098"/>
      <c r="JN19" s="1097">
        <f t="shared" si="41"/>
        <v>0</v>
      </c>
      <c r="JO19" s="1252"/>
      <c r="JP19" s="1098"/>
      <c r="JQ19" s="1098"/>
      <c r="JR19" s="1098"/>
      <c r="JS19" s="1098"/>
      <c r="JT19" s="1098"/>
      <c r="JU19" s="1098"/>
      <c r="JV19" s="1098"/>
      <c r="JW19" s="1098"/>
      <c r="JX19" s="1098"/>
      <c r="JY19" s="1098"/>
      <c r="JZ19" s="1098"/>
      <c r="KA19" s="1097">
        <f t="shared" si="42"/>
        <v>0</v>
      </c>
      <c r="KB19" s="1252"/>
      <c r="KC19" s="1098"/>
      <c r="KD19" s="1098"/>
      <c r="KE19" s="1098"/>
      <c r="KF19" s="1098"/>
      <c r="KG19" s="1098"/>
      <c r="KH19" s="1098"/>
      <c r="KI19" s="1098"/>
      <c r="KJ19" s="1098"/>
      <c r="KK19" s="1098"/>
      <c r="KL19" s="1098"/>
      <c r="KM19" s="1098"/>
      <c r="KN19" s="1097">
        <f t="shared" si="43"/>
        <v>0</v>
      </c>
      <c r="KO19" s="1252"/>
      <c r="KP19" s="1098"/>
      <c r="KQ19" s="1098"/>
      <c r="KR19" s="1098"/>
      <c r="KS19" s="1098"/>
      <c r="KT19" s="1098"/>
      <c r="KU19" s="1098"/>
      <c r="KV19" s="1098"/>
      <c r="KW19" s="1098"/>
      <c r="KX19" s="1098"/>
      <c r="KY19" s="1098"/>
      <c r="KZ19" s="1098">
        <v>4.0990000000000002</v>
      </c>
      <c r="LA19" s="1097">
        <f t="shared" si="44"/>
        <v>4.0990000000000002</v>
      </c>
      <c r="LB19" s="1252"/>
      <c r="LC19" s="1098"/>
      <c r="LD19" s="1098"/>
      <c r="LE19" s="1098"/>
      <c r="LF19" s="1098">
        <v>1.8340000000000001</v>
      </c>
      <c r="LG19" s="1098"/>
      <c r="LH19" s="1098"/>
      <c r="LI19" s="1098"/>
      <c r="LJ19" s="1098"/>
      <c r="LK19" s="1098"/>
      <c r="LL19" s="1098"/>
      <c r="LM19" s="1098"/>
      <c r="LN19" s="1097">
        <f t="shared" si="45"/>
        <v>1.8340000000000001</v>
      </c>
      <c r="LP19" s="1116"/>
      <c r="LQ19" s="1117"/>
      <c r="LR19" s="1079"/>
      <c r="LS19" s="1118"/>
      <c r="LT19" s="1"/>
      <c r="LU19" s="629"/>
      <c r="LV19" s="1139">
        <f t="shared" si="50"/>
        <v>11.866</v>
      </c>
      <c r="LW19" s="1286" t="s">
        <v>103</v>
      </c>
      <c r="LX19" s="1147" t="str">
        <f t="shared" si="51"/>
        <v>OK</v>
      </c>
    </row>
    <row r="20" spans="1:336" ht="15" customHeight="1" x14ac:dyDescent="0.2">
      <c r="A20" s="1280" t="s">
        <v>58</v>
      </c>
      <c r="B20" s="1252"/>
      <c r="C20" s="1098"/>
      <c r="D20" s="1098">
        <v>7.0750000000000002</v>
      </c>
      <c r="E20" s="1098">
        <v>1.18</v>
      </c>
      <c r="F20" s="1098">
        <v>1.181</v>
      </c>
      <c r="G20" s="1098">
        <v>7.056</v>
      </c>
      <c r="H20" s="1098">
        <v>23.584</v>
      </c>
      <c r="I20" s="1098"/>
      <c r="J20" s="1098">
        <v>11.792</v>
      </c>
      <c r="K20" s="1098">
        <v>16.271999999999998</v>
      </c>
      <c r="L20" s="1098">
        <v>20.02</v>
      </c>
      <c r="M20" s="1098">
        <v>94.02</v>
      </c>
      <c r="N20" s="1097">
        <f t="shared" si="21"/>
        <v>182.18</v>
      </c>
      <c r="O20" s="1252">
        <v>240</v>
      </c>
      <c r="P20" s="1098">
        <v>7</v>
      </c>
      <c r="Q20" s="1098">
        <v>59.716999999999999</v>
      </c>
      <c r="R20" s="1098">
        <v>31.385999999999999</v>
      </c>
      <c r="S20" s="1098">
        <v>47.22</v>
      </c>
      <c r="T20" s="1098">
        <v>175.821</v>
      </c>
      <c r="U20" s="1098">
        <v>101.685</v>
      </c>
      <c r="V20" s="1098">
        <v>127.399</v>
      </c>
      <c r="W20" s="1098">
        <v>125.6</v>
      </c>
      <c r="X20" s="1098">
        <v>102.283</v>
      </c>
      <c r="Y20" s="1098">
        <v>174.18</v>
      </c>
      <c r="Z20" s="1098">
        <v>222.011</v>
      </c>
      <c r="AA20" s="1097">
        <f t="shared" si="22"/>
        <v>1414.3019999999999</v>
      </c>
      <c r="AB20" s="1252">
        <v>194.70699999999999</v>
      </c>
      <c r="AC20" s="1098">
        <v>87.465999999999994</v>
      </c>
      <c r="AD20" s="1098">
        <v>91.04</v>
      </c>
      <c r="AE20" s="1098">
        <v>41.067</v>
      </c>
      <c r="AF20" s="1098">
        <v>91.897999999999996</v>
      </c>
      <c r="AG20" s="1098">
        <v>68.664000000000001</v>
      </c>
      <c r="AH20" s="1098">
        <v>27.733000000000001</v>
      </c>
      <c r="AI20" s="1098">
        <v>128.93899999999999</v>
      </c>
      <c r="AJ20" s="1098">
        <v>97.2</v>
      </c>
      <c r="AK20" s="1098">
        <v>36.771000000000001</v>
      </c>
      <c r="AL20" s="1098">
        <v>56.281999999999996</v>
      </c>
      <c r="AM20" s="1098">
        <v>40.509</v>
      </c>
      <c r="AN20" s="1097">
        <f t="shared" si="23"/>
        <v>962.27599999999995</v>
      </c>
      <c r="AO20" s="1252">
        <v>17.28</v>
      </c>
      <c r="AP20" s="1098">
        <v>37.636000000000003</v>
      </c>
      <c r="AQ20" s="1098">
        <v>19.352</v>
      </c>
      <c r="AR20" s="1098">
        <v>37.508000000000003</v>
      </c>
      <c r="AS20" s="1098"/>
      <c r="AT20" s="1098">
        <v>53.61</v>
      </c>
      <c r="AU20" s="1098">
        <v>45</v>
      </c>
      <c r="AV20" s="1098">
        <v>71</v>
      </c>
      <c r="AW20" s="1098">
        <v>54</v>
      </c>
      <c r="AX20" s="1098">
        <v>97</v>
      </c>
      <c r="AY20" s="1098">
        <v>84</v>
      </c>
      <c r="AZ20" s="1098">
        <v>81</v>
      </c>
      <c r="BA20" s="1097">
        <f t="shared" si="24"/>
        <v>597.38599999999997</v>
      </c>
      <c r="BB20" s="1252">
        <v>30</v>
      </c>
      <c r="BC20" s="1098">
        <v>101</v>
      </c>
      <c r="BD20" s="1098">
        <v>46</v>
      </c>
      <c r="BE20" s="1098">
        <v>57</v>
      </c>
      <c r="BF20" s="1098">
        <v>45</v>
      </c>
      <c r="BG20" s="1098">
        <v>73</v>
      </c>
      <c r="BH20" s="1098">
        <v>102</v>
      </c>
      <c r="BI20" s="1098">
        <v>109</v>
      </c>
      <c r="BJ20" s="1098">
        <v>2</v>
      </c>
      <c r="BK20" s="1098">
        <v>239.00800000000001</v>
      </c>
      <c r="BL20" s="1098">
        <v>55.978000000000002</v>
      </c>
      <c r="BM20" s="1098">
        <v>135.864</v>
      </c>
      <c r="BN20" s="1097">
        <f t="shared" si="25"/>
        <v>995.85</v>
      </c>
      <c r="BO20" s="1252">
        <v>75.513999999999996</v>
      </c>
      <c r="BP20" s="1098">
        <v>74.197999999999993</v>
      </c>
      <c r="BQ20" s="1098">
        <v>148.14599999999999</v>
      </c>
      <c r="BR20" s="1098">
        <v>113.03700000000001</v>
      </c>
      <c r="BS20" s="1098">
        <v>121.474</v>
      </c>
      <c r="BT20" s="1098">
        <v>181.29400000000001</v>
      </c>
      <c r="BU20" s="1098">
        <v>194.70400000000001</v>
      </c>
      <c r="BV20" s="1098">
        <v>248.709</v>
      </c>
      <c r="BW20" s="1098">
        <v>152.886</v>
      </c>
      <c r="BX20" s="1098">
        <v>77.090999999999994</v>
      </c>
      <c r="BY20" s="1098">
        <v>122</v>
      </c>
      <c r="BZ20" s="1098">
        <v>194</v>
      </c>
      <c r="CA20" s="1097">
        <f t="shared" si="26"/>
        <v>1703.0529999999999</v>
      </c>
      <c r="CB20" s="1252">
        <v>49</v>
      </c>
      <c r="CC20" s="1098">
        <v>79</v>
      </c>
      <c r="CD20" s="1098">
        <v>209</v>
      </c>
      <c r="CE20" s="1098">
        <v>87</v>
      </c>
      <c r="CF20" s="1098">
        <v>62</v>
      </c>
      <c r="CG20" s="1098">
        <v>50</v>
      </c>
      <c r="CH20" s="1098">
        <v>49</v>
      </c>
      <c r="CI20" s="1098">
        <v>44</v>
      </c>
      <c r="CJ20" s="1098">
        <v>63</v>
      </c>
      <c r="CK20" s="1098">
        <v>86</v>
      </c>
      <c r="CL20" s="1098">
        <v>59</v>
      </c>
      <c r="CM20" s="1098">
        <v>41</v>
      </c>
      <c r="CN20" s="1097">
        <f t="shared" si="27"/>
        <v>878</v>
      </c>
      <c r="CO20" s="1252">
        <v>24</v>
      </c>
      <c r="CP20" s="1098">
        <v>9</v>
      </c>
      <c r="CQ20" s="1098">
        <v>1</v>
      </c>
      <c r="CR20" s="1098">
        <v>46</v>
      </c>
      <c r="CS20" s="1098">
        <v>6</v>
      </c>
      <c r="CT20" s="1098">
        <v>12</v>
      </c>
      <c r="CU20" s="1098">
        <v>20</v>
      </c>
      <c r="CV20" s="1098">
        <v>40</v>
      </c>
      <c r="CW20" s="1098">
        <v>47</v>
      </c>
      <c r="CX20" s="1098">
        <v>30</v>
      </c>
      <c r="CY20" s="1098">
        <v>2</v>
      </c>
      <c r="CZ20" s="1098">
        <v>9</v>
      </c>
      <c r="DA20" s="1097">
        <f t="shared" si="28"/>
        <v>246</v>
      </c>
      <c r="DB20" s="1252">
        <v>4</v>
      </c>
      <c r="DC20" s="1098">
        <v>19</v>
      </c>
      <c r="DD20" s="1098">
        <v>8</v>
      </c>
      <c r="DE20" s="1098">
        <v>24</v>
      </c>
      <c r="DF20" s="1098"/>
      <c r="DG20" s="1098">
        <v>29</v>
      </c>
      <c r="DH20" s="1098">
        <v>37</v>
      </c>
      <c r="DI20" s="1098">
        <v>5</v>
      </c>
      <c r="DJ20" s="1098">
        <v>23</v>
      </c>
      <c r="DK20" s="1098">
        <v>24</v>
      </c>
      <c r="DL20" s="1098">
        <v>7</v>
      </c>
      <c r="DM20" s="1098">
        <v>32</v>
      </c>
      <c r="DN20" s="1097">
        <f t="shared" si="29"/>
        <v>212</v>
      </c>
      <c r="DO20" s="1252">
        <v>24</v>
      </c>
      <c r="DP20" s="1098">
        <v>32</v>
      </c>
      <c r="DQ20" s="1098">
        <v>42</v>
      </c>
      <c r="DR20" s="1098"/>
      <c r="DS20" s="1098"/>
      <c r="DT20" s="1098">
        <v>16</v>
      </c>
      <c r="DU20" s="1098">
        <v>61</v>
      </c>
      <c r="DV20" s="1098">
        <v>15</v>
      </c>
      <c r="DW20" s="1098">
        <v>130</v>
      </c>
      <c r="DX20" s="1098">
        <v>60</v>
      </c>
      <c r="DY20" s="1098">
        <v>165</v>
      </c>
      <c r="DZ20" s="1098">
        <v>18</v>
      </c>
      <c r="EA20" s="1097">
        <f t="shared" si="30"/>
        <v>563</v>
      </c>
      <c r="EB20" s="1252">
        <v>54</v>
      </c>
      <c r="EC20" s="1098">
        <v>5</v>
      </c>
      <c r="ED20" s="1098"/>
      <c r="EE20" s="1098">
        <v>44</v>
      </c>
      <c r="EF20" s="1098">
        <v>26</v>
      </c>
      <c r="EG20" s="1098">
        <v>62</v>
      </c>
      <c r="EH20" s="1098">
        <v>34</v>
      </c>
      <c r="EI20" s="1098">
        <v>10</v>
      </c>
      <c r="EJ20" s="1098">
        <v>24</v>
      </c>
      <c r="EK20" s="1098">
        <v>1</v>
      </c>
      <c r="EL20" s="1098">
        <v>19</v>
      </c>
      <c r="EM20" s="1098">
        <v>71</v>
      </c>
      <c r="EN20" s="1097">
        <f t="shared" si="31"/>
        <v>350</v>
      </c>
      <c r="EO20" s="1252">
        <v>49</v>
      </c>
      <c r="EP20" s="1098">
        <v>76</v>
      </c>
      <c r="EQ20" s="1098">
        <v>22</v>
      </c>
      <c r="ER20" s="1098">
        <v>112</v>
      </c>
      <c r="ES20" s="1098">
        <v>75</v>
      </c>
      <c r="ET20" s="1098">
        <v>8</v>
      </c>
      <c r="EU20" s="1098">
        <v>22</v>
      </c>
      <c r="EV20" s="1098">
        <v>63</v>
      </c>
      <c r="EW20" s="1098">
        <v>9</v>
      </c>
      <c r="EX20" s="1098">
        <v>66</v>
      </c>
      <c r="EY20" s="1098">
        <v>42</v>
      </c>
      <c r="EZ20" s="1098">
        <v>52</v>
      </c>
      <c r="FA20" s="1097">
        <f t="shared" si="32"/>
        <v>596</v>
      </c>
      <c r="FB20" s="1252">
        <v>30</v>
      </c>
      <c r="FC20" s="1098">
        <v>25</v>
      </c>
      <c r="FD20" s="1098">
        <v>2</v>
      </c>
      <c r="FE20" s="1098"/>
      <c r="FF20" s="1098">
        <v>14</v>
      </c>
      <c r="FG20" s="1098">
        <v>19</v>
      </c>
      <c r="FH20" s="1098">
        <v>36</v>
      </c>
      <c r="FI20" s="1098">
        <v>67</v>
      </c>
      <c r="FJ20" s="1098">
        <v>85</v>
      </c>
      <c r="FK20" s="1098">
        <v>65</v>
      </c>
      <c r="FL20" s="1098">
        <v>30.5</v>
      </c>
      <c r="FM20" s="1098">
        <v>61.5</v>
      </c>
      <c r="FN20" s="1097">
        <f t="shared" si="33"/>
        <v>435</v>
      </c>
      <c r="FO20" s="1252">
        <v>43</v>
      </c>
      <c r="FP20" s="1098"/>
      <c r="FQ20" s="1098">
        <v>55</v>
      </c>
      <c r="FR20" s="1098">
        <v>20</v>
      </c>
      <c r="FS20" s="1098">
        <v>46</v>
      </c>
      <c r="FT20" s="1098">
        <v>5</v>
      </c>
      <c r="FU20" s="1098">
        <v>20</v>
      </c>
      <c r="FV20" s="1098">
        <v>20</v>
      </c>
      <c r="FW20" s="1098">
        <v>73</v>
      </c>
      <c r="FX20" s="1098">
        <v>10</v>
      </c>
      <c r="FY20" s="1098">
        <v>4</v>
      </c>
      <c r="FZ20" s="1098">
        <v>40</v>
      </c>
      <c r="GA20" s="1097">
        <f t="shared" si="34"/>
        <v>336</v>
      </c>
      <c r="GB20" s="1252">
        <v>12</v>
      </c>
      <c r="GC20" s="1098">
        <v>1</v>
      </c>
      <c r="GD20" s="1098">
        <v>4</v>
      </c>
      <c r="GE20" s="1098">
        <v>18</v>
      </c>
      <c r="GF20" s="1098">
        <v>55</v>
      </c>
      <c r="GG20" s="1098">
        <v>57</v>
      </c>
      <c r="GH20" s="1098">
        <v>35</v>
      </c>
      <c r="GI20" s="1098">
        <v>125</v>
      </c>
      <c r="GJ20" s="1098">
        <v>47</v>
      </c>
      <c r="GK20" s="1098">
        <v>110</v>
      </c>
      <c r="GL20" s="1098">
        <v>13</v>
      </c>
      <c r="GM20" s="1098">
        <v>21</v>
      </c>
      <c r="GN20" s="1097">
        <f t="shared" si="35"/>
        <v>498</v>
      </c>
      <c r="GO20" s="1252">
        <v>6.3040000000000003</v>
      </c>
      <c r="GP20" s="1098"/>
      <c r="GQ20" s="1098">
        <v>194.07900000000001</v>
      </c>
      <c r="GR20" s="1098">
        <v>217</v>
      </c>
      <c r="GS20" s="1098">
        <v>207</v>
      </c>
      <c r="GT20" s="1098">
        <v>12</v>
      </c>
      <c r="GU20" s="1098"/>
      <c r="GV20" s="1098">
        <v>39</v>
      </c>
      <c r="GW20" s="1098">
        <v>32</v>
      </c>
      <c r="GX20" s="1098"/>
      <c r="GY20" s="1098"/>
      <c r="GZ20" s="1098"/>
      <c r="HA20" s="1097">
        <f t="shared" si="36"/>
        <v>707.38300000000004</v>
      </c>
      <c r="HB20" s="1252"/>
      <c r="HC20" s="1098"/>
      <c r="HD20" s="1098">
        <v>19</v>
      </c>
      <c r="HE20" s="1098">
        <v>7</v>
      </c>
      <c r="HF20" s="1098">
        <v>1</v>
      </c>
      <c r="HG20" s="1098">
        <v>304</v>
      </c>
      <c r="HH20" s="1098">
        <v>255</v>
      </c>
      <c r="HI20" s="1098">
        <v>133</v>
      </c>
      <c r="HJ20" s="1098">
        <v>64.236999999999995</v>
      </c>
      <c r="HK20" s="1098">
        <v>16.579999999999998</v>
      </c>
      <c r="HL20" s="1098">
        <v>63.319999999999993</v>
      </c>
      <c r="HM20" s="1098">
        <v>69.033000000000001</v>
      </c>
      <c r="HN20" s="1097">
        <f t="shared" si="37"/>
        <v>932.17</v>
      </c>
      <c r="HO20" s="1252">
        <v>1.8859999999999999</v>
      </c>
      <c r="HP20" s="1098">
        <v>52.844999999999999</v>
      </c>
      <c r="HQ20" s="1098">
        <v>248.245</v>
      </c>
      <c r="HR20" s="1098">
        <v>32.088999999999999</v>
      </c>
      <c r="HS20" s="1098">
        <v>2.403</v>
      </c>
      <c r="HT20" s="1098">
        <v>148.459</v>
      </c>
      <c r="HU20" s="1098">
        <v>93.75</v>
      </c>
      <c r="HV20" s="1098">
        <v>10.866</v>
      </c>
      <c r="HW20" s="1098">
        <v>18.23</v>
      </c>
      <c r="HX20" s="1098">
        <v>42</v>
      </c>
      <c r="HY20" s="1098"/>
      <c r="HZ20" s="1098"/>
      <c r="IA20" s="1097">
        <f t="shared" si="38"/>
        <v>650.77300000000002</v>
      </c>
      <c r="IB20" s="1252">
        <v>153.20400000000001</v>
      </c>
      <c r="IC20" s="1098">
        <v>171.01400000000001</v>
      </c>
      <c r="ID20" s="1098">
        <v>94.617999999999995</v>
      </c>
      <c r="IE20" s="1098"/>
      <c r="IF20" s="1098">
        <v>172.59899999999999</v>
      </c>
      <c r="IG20" s="1098">
        <v>196.44900000000001</v>
      </c>
      <c r="IH20" s="1098">
        <v>27.4</v>
      </c>
      <c r="II20" s="1098">
        <v>149.19</v>
      </c>
      <c r="IJ20" s="1098">
        <v>93</v>
      </c>
      <c r="IK20" s="1098">
        <v>193</v>
      </c>
      <c r="IL20" s="1098">
        <v>115</v>
      </c>
      <c r="IM20" s="1098">
        <v>219</v>
      </c>
      <c r="IN20" s="1097">
        <f t="shared" si="39"/>
        <v>1584.4739999999999</v>
      </c>
      <c r="IO20" s="1252"/>
      <c r="IP20" s="1098">
        <v>17.100999999999999</v>
      </c>
      <c r="IQ20" s="1098">
        <v>23.792000000000002</v>
      </c>
      <c r="IR20" s="1098">
        <v>16.306999999999999</v>
      </c>
      <c r="IS20" s="1098"/>
      <c r="IT20" s="1098">
        <v>17.696000000000002</v>
      </c>
      <c r="IU20" s="1098">
        <v>39.119</v>
      </c>
      <c r="IV20" s="1098">
        <v>30.384</v>
      </c>
      <c r="IW20" s="1098">
        <v>26.856000000000002</v>
      </c>
      <c r="IX20" s="1098">
        <v>23.623000000000001</v>
      </c>
      <c r="IY20" s="1098">
        <v>43.085000000000001</v>
      </c>
      <c r="IZ20" s="1098">
        <v>24.233000000000001</v>
      </c>
      <c r="JA20" s="1097">
        <f t="shared" si="40"/>
        <v>262.19599999999997</v>
      </c>
      <c r="JB20" s="1252">
        <v>56</v>
      </c>
      <c r="JC20" s="1098">
        <v>68.763999999999996</v>
      </c>
      <c r="JD20" s="1098">
        <v>53.567999999999998</v>
      </c>
      <c r="JE20" s="1098">
        <v>56.362000000000002</v>
      </c>
      <c r="JF20" s="1098">
        <v>18.972999999999999</v>
      </c>
      <c r="JG20" s="1098"/>
      <c r="JH20" s="1098">
        <v>31.268999999999998</v>
      </c>
      <c r="JI20" s="1098">
        <v>67.001999999999995</v>
      </c>
      <c r="JJ20" s="1098">
        <v>52.56</v>
      </c>
      <c r="JK20" s="1098">
        <v>8.7140000000000004</v>
      </c>
      <c r="JL20" s="1098">
        <v>29.422000000000001</v>
      </c>
      <c r="JM20" s="1098">
        <v>70.539000000000001</v>
      </c>
      <c r="JN20" s="1097">
        <f t="shared" si="41"/>
        <v>513.173</v>
      </c>
      <c r="JO20" s="1252">
        <v>35.216999999999999</v>
      </c>
      <c r="JP20" s="1098">
        <v>66.335999999999999</v>
      </c>
      <c r="JQ20" s="1098">
        <v>14.500999999999999</v>
      </c>
      <c r="JR20" s="1098">
        <v>7.4669999999999996</v>
      </c>
      <c r="JS20" s="1098">
        <v>20.681000000000001</v>
      </c>
      <c r="JT20" s="1098">
        <v>60.875</v>
      </c>
      <c r="JU20" s="1098">
        <v>41.927</v>
      </c>
      <c r="JV20" s="1098">
        <v>86.028000000000006</v>
      </c>
      <c r="JW20" s="1098">
        <v>34.832000000000001</v>
      </c>
      <c r="JX20" s="1098">
        <v>101.14100000000001</v>
      </c>
      <c r="JY20" s="1098">
        <v>148.54</v>
      </c>
      <c r="JZ20" s="1098">
        <v>187.82400000000001</v>
      </c>
      <c r="KA20" s="1097">
        <f t="shared" si="42"/>
        <v>805.36899999999991</v>
      </c>
      <c r="KB20" s="1252">
        <v>19.010000000000002</v>
      </c>
      <c r="KC20" s="1098">
        <v>33.957999999999998</v>
      </c>
      <c r="KD20" s="1098">
        <v>20.649000000000001</v>
      </c>
      <c r="KE20" s="1098">
        <v>27.286000000000001</v>
      </c>
      <c r="KF20" s="1098">
        <v>20.065999999999999</v>
      </c>
      <c r="KG20" s="1098">
        <v>24.898</v>
      </c>
      <c r="KH20" s="1098">
        <v>73.828000000000003</v>
      </c>
      <c r="KI20" s="1098">
        <v>66.59</v>
      </c>
      <c r="KJ20" s="1098">
        <v>104.964</v>
      </c>
      <c r="KK20" s="1098">
        <v>21.802</v>
      </c>
      <c r="KL20" s="1098">
        <v>27.870999999999999</v>
      </c>
      <c r="KM20" s="1098">
        <v>24.355</v>
      </c>
      <c r="KN20" s="1097">
        <f t="shared" si="43"/>
        <v>465.27700000000004</v>
      </c>
      <c r="KO20" s="1252">
        <v>32.128999999999998</v>
      </c>
      <c r="KP20" s="1098">
        <v>23.071000000000002</v>
      </c>
      <c r="KQ20" s="1098">
        <v>49.055</v>
      </c>
      <c r="KR20" s="1098">
        <v>6.2889999999999997</v>
      </c>
      <c r="KS20" s="1098">
        <v>8</v>
      </c>
      <c r="KT20" s="1098">
        <v>3.4340000000000002</v>
      </c>
      <c r="KU20" s="1098">
        <v>43.084000000000003</v>
      </c>
      <c r="KV20" s="1098">
        <v>18.542000000000002</v>
      </c>
      <c r="KW20" s="1098">
        <v>23.448</v>
      </c>
      <c r="KX20" s="1098">
        <v>66.013000000000005</v>
      </c>
      <c r="KY20" s="1098">
        <v>40.840000000000003</v>
      </c>
      <c r="KZ20" s="1098">
        <v>1.125</v>
      </c>
      <c r="LA20" s="1097">
        <f t="shared" si="44"/>
        <v>315.03000000000009</v>
      </c>
      <c r="LB20" s="1252"/>
      <c r="LC20" s="1098"/>
      <c r="LD20" s="1098"/>
      <c r="LE20" s="1098"/>
      <c r="LF20" s="1098"/>
      <c r="LG20" s="1098"/>
      <c r="LH20" s="1098"/>
      <c r="LI20" s="1098"/>
      <c r="LJ20" s="1098"/>
      <c r="LK20" s="1098"/>
      <c r="LL20" s="1098"/>
      <c r="LM20" s="1098"/>
      <c r="LN20" s="1097">
        <f t="shared" si="45"/>
        <v>0</v>
      </c>
      <c r="LP20" s="1116">
        <f>IFERROR(((
_xlfn.XLOOKUP((DATE(YEAR($LP$5),MONTH($LP$5),1)),$B$5:$LN$5,$B20:$LN20) /
_xlfn.XLOOKUP((DATE(YEAR($LP$5)-1,MONTH($LP$5),1)),$B$5:$LN$5,$B20:$LN20)
)-1)*100,"")</f>
        <v>-100</v>
      </c>
      <c r="LQ20" s="1117">
        <f>IFERROR(((LS20/LR20)-1)*100,"")</f>
        <v>-100</v>
      </c>
      <c r="LR20" s="1079">
        <f>SUMIFS($B20:$LN20,$B$5:$LN$5,"&gt;="&amp;DATE(YEAR($LP$5)-1,1,1),$B$5:$LN$5,"&lt;="&amp;DATE(YEAR($LP$5)-1,MONTH($LP$5),1))</f>
        <v>183.60400000000001</v>
      </c>
      <c r="LS20" s="1118">
        <f>SUMIFS($B20:$LN20,$B$5:$LN$5,"&gt;="&amp;DATE(YEAR($LP$5),1,1),$B$5:$LN$5,"&lt;="&amp;$LP$5)</f>
        <v>0</v>
      </c>
      <c r="LT20" s="1"/>
      <c r="LU20" s="629"/>
      <c r="LV20" s="1139">
        <f t="shared" si="50"/>
        <v>32409.783999999989</v>
      </c>
      <c r="LW20" s="1286" t="s">
        <v>58</v>
      </c>
      <c r="LX20" s="1147" t="str">
        <f t="shared" si="51"/>
        <v>OK</v>
      </c>
    </row>
    <row r="21" spans="1:336" ht="15" customHeight="1" x14ac:dyDescent="0.2">
      <c r="A21" s="1280" t="s">
        <v>82</v>
      </c>
      <c r="B21" s="1252">
        <v>352.10899999999998</v>
      </c>
      <c r="C21" s="1098">
        <v>514.94399999999996</v>
      </c>
      <c r="D21" s="1098">
        <v>666.79200000000003</v>
      </c>
      <c r="E21" s="1098">
        <v>640.68100000000004</v>
      </c>
      <c r="F21" s="1098">
        <v>643.39400000000001</v>
      </c>
      <c r="G21" s="1098">
        <v>381.35199999999998</v>
      </c>
      <c r="H21" s="1098">
        <v>463.459</v>
      </c>
      <c r="I21" s="1098">
        <v>384.58100000000002</v>
      </c>
      <c r="J21" s="1098">
        <v>528.24699999999996</v>
      </c>
      <c r="K21" s="1098">
        <v>553.32100000000003</v>
      </c>
      <c r="L21" s="1098">
        <v>482.04700000000003</v>
      </c>
      <c r="M21" s="1098">
        <v>364.45299999999997</v>
      </c>
      <c r="N21" s="1097">
        <f t="shared" si="21"/>
        <v>5975.3799999999992</v>
      </c>
      <c r="O21" s="1252">
        <v>291</v>
      </c>
      <c r="P21" s="1098">
        <v>572</v>
      </c>
      <c r="Q21" s="1098">
        <v>461.041</v>
      </c>
      <c r="R21" s="1098">
        <v>210.31200000000001</v>
      </c>
      <c r="S21" s="1098">
        <v>821.14599999999996</v>
      </c>
      <c r="T21" s="1098">
        <v>345.91</v>
      </c>
      <c r="U21" s="1098">
        <v>500.85500000000002</v>
      </c>
      <c r="V21" s="1098">
        <v>504.26100000000002</v>
      </c>
      <c r="W21" s="1098">
        <v>592.70799999999997</v>
      </c>
      <c r="X21" s="1098">
        <v>615.76199999999994</v>
      </c>
      <c r="Y21" s="1098">
        <v>464.90100000000001</v>
      </c>
      <c r="Z21" s="1098">
        <v>1304.7449999999999</v>
      </c>
      <c r="AA21" s="1097">
        <f t="shared" si="22"/>
        <v>6684.6409999999987</v>
      </c>
      <c r="AB21" s="1252">
        <v>692.00400000000002</v>
      </c>
      <c r="AC21" s="1098">
        <v>1181.4059999999999</v>
      </c>
      <c r="AD21" s="1098">
        <v>1581.308</v>
      </c>
      <c r="AE21" s="1098">
        <v>795.27200000000005</v>
      </c>
      <c r="AF21" s="1098">
        <v>762.58799999999997</v>
      </c>
      <c r="AG21" s="1098">
        <v>1031.0170000000001</v>
      </c>
      <c r="AH21" s="1098">
        <v>487.49299999999999</v>
      </c>
      <c r="AI21" s="1098">
        <v>747.23800000000006</v>
      </c>
      <c r="AJ21" s="1098">
        <v>508.61200000000002</v>
      </c>
      <c r="AK21" s="1098">
        <v>490.93799999999999</v>
      </c>
      <c r="AL21" s="1098">
        <v>610.26800000000003</v>
      </c>
      <c r="AM21" s="1098">
        <v>624.16700000000003</v>
      </c>
      <c r="AN21" s="1097">
        <f t="shared" si="23"/>
        <v>9512.3109999999997</v>
      </c>
      <c r="AO21" s="1252">
        <v>291.23399999999998</v>
      </c>
      <c r="AP21" s="1098">
        <v>286.38400000000001</v>
      </c>
      <c r="AQ21" s="1098">
        <v>643.48</v>
      </c>
      <c r="AR21" s="1098">
        <v>495.37400000000002</v>
      </c>
      <c r="AS21" s="1098">
        <v>134.65</v>
      </c>
      <c r="AT21" s="1098">
        <v>783.83100000000002</v>
      </c>
      <c r="AU21" s="1098">
        <v>112</v>
      </c>
      <c r="AV21" s="1098">
        <v>945</v>
      </c>
      <c r="AW21" s="1098">
        <v>377</v>
      </c>
      <c r="AX21" s="1098">
        <v>694</v>
      </c>
      <c r="AY21" s="1098">
        <v>879</v>
      </c>
      <c r="AZ21" s="1098">
        <v>893</v>
      </c>
      <c r="BA21" s="1097">
        <f t="shared" si="24"/>
        <v>6534.9529999999995</v>
      </c>
      <c r="BB21" s="1252">
        <v>1005</v>
      </c>
      <c r="BC21" s="1098">
        <v>1288</v>
      </c>
      <c r="BD21" s="1098">
        <v>1198</v>
      </c>
      <c r="BE21" s="1098">
        <v>860</v>
      </c>
      <c r="BF21" s="1098">
        <v>984</v>
      </c>
      <c r="BG21" s="1098">
        <v>871</v>
      </c>
      <c r="BH21" s="1098">
        <v>916.3</v>
      </c>
      <c r="BI21" s="1098">
        <v>1272</v>
      </c>
      <c r="BJ21" s="1098">
        <v>1247</v>
      </c>
      <c r="BK21" s="1098">
        <v>681.02300000000002</v>
      </c>
      <c r="BL21" s="1098">
        <v>462.41800000000001</v>
      </c>
      <c r="BM21" s="1098">
        <v>1984.5620000000004</v>
      </c>
      <c r="BN21" s="1097">
        <f t="shared" si="25"/>
        <v>12769.302999999998</v>
      </c>
      <c r="BO21" s="1252">
        <v>1630</v>
      </c>
      <c r="BP21" s="1098">
        <v>696.01900000000001</v>
      </c>
      <c r="BQ21" s="1098">
        <v>862.89300000000003</v>
      </c>
      <c r="BR21" s="1098">
        <v>409.28899999999999</v>
      </c>
      <c r="BS21" s="1098">
        <v>309.36</v>
      </c>
      <c r="BT21" s="1098">
        <v>395.40300000000002</v>
      </c>
      <c r="BU21" s="1098">
        <v>507.15199999999999</v>
      </c>
      <c r="BV21" s="1098">
        <v>550.02099999999996</v>
      </c>
      <c r="BW21" s="1098">
        <v>447.95299999999997</v>
      </c>
      <c r="BX21" s="1098">
        <v>373.12900000000002</v>
      </c>
      <c r="BY21" s="1098">
        <v>461</v>
      </c>
      <c r="BZ21" s="1098">
        <v>138</v>
      </c>
      <c r="CA21" s="1097">
        <f t="shared" si="26"/>
        <v>6780.2190000000001</v>
      </c>
      <c r="CB21" s="1252">
        <v>111</v>
      </c>
      <c r="CC21" s="1098">
        <v>323</v>
      </c>
      <c r="CD21" s="1098">
        <v>345</v>
      </c>
      <c r="CE21" s="1098">
        <v>153</v>
      </c>
      <c r="CF21" s="1098">
        <v>173</v>
      </c>
      <c r="CG21" s="1098">
        <v>214</v>
      </c>
      <c r="CH21" s="1098">
        <v>132</v>
      </c>
      <c r="CI21" s="1098">
        <v>215</v>
      </c>
      <c r="CJ21" s="1098">
        <v>217</v>
      </c>
      <c r="CK21" s="1098">
        <v>242</v>
      </c>
      <c r="CL21" s="1098">
        <v>212</v>
      </c>
      <c r="CM21" s="1098">
        <v>309</v>
      </c>
      <c r="CN21" s="1097">
        <f t="shared" si="27"/>
        <v>2646</v>
      </c>
      <c r="CO21" s="1252">
        <v>290</v>
      </c>
      <c r="CP21" s="1098">
        <v>316</v>
      </c>
      <c r="CQ21" s="1098">
        <v>174</v>
      </c>
      <c r="CR21" s="1098">
        <v>154</v>
      </c>
      <c r="CS21" s="1098">
        <v>86</v>
      </c>
      <c r="CT21" s="1098">
        <v>100</v>
      </c>
      <c r="CU21" s="1098">
        <v>39</v>
      </c>
      <c r="CV21" s="1098">
        <v>21</v>
      </c>
      <c r="CW21" s="1098">
        <v>20</v>
      </c>
      <c r="CX21" s="1098">
        <v>63</v>
      </c>
      <c r="CY21" s="1098">
        <v>110</v>
      </c>
      <c r="CZ21" s="1098">
        <v>106</v>
      </c>
      <c r="DA21" s="1097">
        <f t="shared" si="28"/>
        <v>1479</v>
      </c>
      <c r="DB21" s="1252">
        <v>21</v>
      </c>
      <c r="DC21" s="1098">
        <v>65</v>
      </c>
      <c r="DD21" s="1098">
        <v>42</v>
      </c>
      <c r="DE21" s="1098">
        <v>64</v>
      </c>
      <c r="DF21" s="1098">
        <v>64</v>
      </c>
      <c r="DG21" s="1098">
        <v>29</v>
      </c>
      <c r="DH21" s="1098"/>
      <c r="DI21" s="1098">
        <v>21</v>
      </c>
      <c r="DJ21" s="1098">
        <v>42</v>
      </c>
      <c r="DK21" s="1098">
        <v>64</v>
      </c>
      <c r="DL21" s="1098">
        <v>42</v>
      </c>
      <c r="DM21" s="1098">
        <v>70</v>
      </c>
      <c r="DN21" s="1097">
        <f t="shared" si="29"/>
        <v>524</v>
      </c>
      <c r="DO21" s="1252">
        <v>38</v>
      </c>
      <c r="DP21" s="1098"/>
      <c r="DQ21" s="1098">
        <v>5</v>
      </c>
      <c r="DR21" s="1098"/>
      <c r="DS21" s="1098"/>
      <c r="DT21" s="1098"/>
      <c r="DU21" s="1098"/>
      <c r="DV21" s="1098"/>
      <c r="DW21" s="1098"/>
      <c r="DX21" s="1098"/>
      <c r="DY21" s="1098"/>
      <c r="DZ21" s="1098"/>
      <c r="EA21" s="1097">
        <f t="shared" si="30"/>
        <v>43</v>
      </c>
      <c r="EB21" s="1252"/>
      <c r="EC21" s="1098"/>
      <c r="ED21" s="1098">
        <v>20</v>
      </c>
      <c r="EE21" s="1098"/>
      <c r="EF21" s="1098"/>
      <c r="EG21" s="1098"/>
      <c r="EH21" s="1098"/>
      <c r="EI21" s="1098"/>
      <c r="EJ21" s="1098"/>
      <c r="EK21" s="1098">
        <v>6</v>
      </c>
      <c r="EL21" s="1098"/>
      <c r="EM21" s="1098"/>
      <c r="EN21" s="1097">
        <f t="shared" si="31"/>
        <v>26</v>
      </c>
      <c r="EO21" s="1252"/>
      <c r="EP21" s="1098"/>
      <c r="EQ21" s="1098"/>
      <c r="ER21" s="1098"/>
      <c r="ES21" s="1098"/>
      <c r="ET21" s="1098"/>
      <c r="EU21" s="1098"/>
      <c r="EV21" s="1098"/>
      <c r="EW21" s="1098"/>
      <c r="EX21" s="1098"/>
      <c r="EY21" s="1098"/>
      <c r="EZ21" s="1098">
        <v>22</v>
      </c>
      <c r="FA21" s="1097">
        <f t="shared" si="32"/>
        <v>22</v>
      </c>
      <c r="FB21" s="1252"/>
      <c r="FC21" s="1098"/>
      <c r="FD21" s="1098">
        <v>15</v>
      </c>
      <c r="FE21" s="1098">
        <v>27</v>
      </c>
      <c r="FF21" s="1098"/>
      <c r="FG21" s="1098">
        <v>2</v>
      </c>
      <c r="FH21" s="1098"/>
      <c r="FI21" s="1098"/>
      <c r="FJ21" s="1098">
        <v>7</v>
      </c>
      <c r="FK21" s="1098">
        <v>21</v>
      </c>
      <c r="FL21" s="1098"/>
      <c r="FM21" s="1098">
        <v>11</v>
      </c>
      <c r="FN21" s="1097">
        <f t="shared" si="33"/>
        <v>83</v>
      </c>
      <c r="FO21" s="1252"/>
      <c r="FP21" s="1098"/>
      <c r="FQ21" s="1098"/>
      <c r="FR21" s="1098"/>
      <c r="FS21" s="1098"/>
      <c r="FT21" s="1098"/>
      <c r="FU21" s="1098"/>
      <c r="FV21" s="1098"/>
      <c r="FW21" s="1098"/>
      <c r="FX21" s="1098"/>
      <c r="FY21" s="1098">
        <v>4</v>
      </c>
      <c r="FZ21" s="1098">
        <v>8</v>
      </c>
      <c r="GA21" s="1097">
        <f t="shared" si="34"/>
        <v>12</v>
      </c>
      <c r="GB21" s="1252"/>
      <c r="GC21" s="1098"/>
      <c r="GD21" s="1098"/>
      <c r="GE21" s="1098"/>
      <c r="GF21" s="1098"/>
      <c r="GG21" s="1098"/>
      <c r="GH21" s="1098"/>
      <c r="GI21" s="1098"/>
      <c r="GJ21" s="1098"/>
      <c r="GK21" s="1098"/>
      <c r="GL21" s="1098">
        <v>1</v>
      </c>
      <c r="GM21" s="1098"/>
      <c r="GN21" s="1097">
        <f t="shared" si="35"/>
        <v>1</v>
      </c>
      <c r="GO21" s="1252"/>
      <c r="GP21" s="1098"/>
      <c r="GQ21" s="1098"/>
      <c r="GR21" s="1098"/>
      <c r="GS21" s="1098"/>
      <c r="GT21" s="1098"/>
      <c r="GU21" s="1098"/>
      <c r="GV21" s="1098"/>
      <c r="GW21" s="1098"/>
      <c r="GX21" s="1098"/>
      <c r="GY21" s="1098"/>
      <c r="GZ21" s="1098"/>
      <c r="HA21" s="1097">
        <f t="shared" si="36"/>
        <v>0</v>
      </c>
      <c r="HB21" s="1252"/>
      <c r="HC21" s="1098"/>
      <c r="HD21" s="1098"/>
      <c r="HE21" s="1098"/>
      <c r="HF21" s="1098"/>
      <c r="HG21" s="1098"/>
      <c r="HH21" s="1098"/>
      <c r="HI21" s="1098"/>
      <c r="HJ21" s="1098"/>
      <c r="HK21" s="1098"/>
      <c r="HL21" s="1098"/>
      <c r="HM21" s="1098"/>
      <c r="HN21" s="1097">
        <f t="shared" si="37"/>
        <v>0</v>
      </c>
      <c r="HO21" s="1252"/>
      <c r="HP21" s="1098"/>
      <c r="HQ21" s="1098"/>
      <c r="HR21" s="1098"/>
      <c r="HS21" s="1098"/>
      <c r="HT21" s="1098"/>
      <c r="HU21" s="1098"/>
      <c r="HV21" s="1098"/>
      <c r="HW21" s="1098"/>
      <c r="HX21" s="1098"/>
      <c r="HY21" s="1098"/>
      <c r="HZ21" s="1098"/>
      <c r="IA21" s="1097">
        <f t="shared" si="38"/>
        <v>0</v>
      </c>
      <c r="IB21" s="1252"/>
      <c r="IC21" s="1098"/>
      <c r="ID21" s="1098"/>
      <c r="IE21" s="1098"/>
      <c r="IF21" s="1098"/>
      <c r="IG21" s="1098"/>
      <c r="IH21" s="1098">
        <v>27.388000000000002</v>
      </c>
      <c r="II21" s="1098">
        <v>4.1180000000000003</v>
      </c>
      <c r="IJ21" s="1098">
        <v>2.181</v>
      </c>
      <c r="IK21" s="1098"/>
      <c r="IL21" s="1098"/>
      <c r="IM21" s="1098">
        <v>15</v>
      </c>
      <c r="IN21" s="1097">
        <f t="shared" si="39"/>
        <v>48.686999999999998</v>
      </c>
      <c r="IO21" s="1252"/>
      <c r="IP21" s="1098"/>
      <c r="IQ21" s="1098"/>
      <c r="IR21" s="1098"/>
      <c r="IS21" s="1098"/>
      <c r="IT21" s="1098"/>
      <c r="IU21" s="1098"/>
      <c r="IV21" s="1098"/>
      <c r="IW21" s="1098"/>
      <c r="IX21" s="1098"/>
      <c r="IY21" s="1098"/>
      <c r="IZ21" s="1098"/>
      <c r="JA21" s="1097">
        <f t="shared" si="40"/>
        <v>0</v>
      </c>
      <c r="JB21" s="1252"/>
      <c r="JC21" s="1098"/>
      <c r="JD21" s="1098"/>
      <c r="JE21" s="1098"/>
      <c r="JF21" s="1098"/>
      <c r="JG21" s="1098"/>
      <c r="JH21" s="1098"/>
      <c r="JI21" s="1098"/>
      <c r="JJ21" s="1098"/>
      <c r="JK21" s="1098"/>
      <c r="JL21" s="1098"/>
      <c r="JM21" s="1098"/>
      <c r="JN21" s="1097">
        <f t="shared" si="41"/>
        <v>0</v>
      </c>
      <c r="JO21" s="1252"/>
      <c r="JP21" s="1098"/>
      <c r="JQ21" s="1098"/>
      <c r="JR21" s="1098"/>
      <c r="JS21" s="1098">
        <v>2.0419999999999998</v>
      </c>
      <c r="JT21" s="1098"/>
      <c r="JU21" s="1098"/>
      <c r="JV21" s="1098"/>
      <c r="JW21" s="1098"/>
      <c r="JX21" s="1098">
        <v>3.3860000000000001</v>
      </c>
      <c r="JY21" s="1098">
        <v>1.0640000000000001</v>
      </c>
      <c r="JZ21" s="1098"/>
      <c r="KA21" s="1097">
        <f t="shared" si="42"/>
        <v>6.492</v>
      </c>
      <c r="KB21" s="1252"/>
      <c r="KC21" s="1098"/>
      <c r="KD21" s="1098"/>
      <c r="KE21" s="1098">
        <v>0.94799999999999995</v>
      </c>
      <c r="KF21" s="1098"/>
      <c r="KG21" s="1098"/>
      <c r="KH21" s="1098"/>
      <c r="KI21" s="1098">
        <v>0.97599999999999998</v>
      </c>
      <c r="KJ21" s="1098">
        <v>5.1840000000000002</v>
      </c>
      <c r="KK21" s="1098"/>
      <c r="KL21" s="1098"/>
      <c r="KM21" s="1098">
        <v>2.2549999999999999</v>
      </c>
      <c r="KN21" s="1097">
        <f t="shared" si="43"/>
        <v>9.3629999999999995</v>
      </c>
      <c r="KO21" s="1252"/>
      <c r="KP21" s="1098"/>
      <c r="KQ21" s="1098"/>
      <c r="KR21" s="1098"/>
      <c r="KS21" s="1098"/>
      <c r="KT21" s="1098"/>
      <c r="KU21" s="1098"/>
      <c r="KV21" s="1098"/>
      <c r="KW21" s="1098"/>
      <c r="KX21" s="1098"/>
      <c r="KY21" s="1098"/>
      <c r="KZ21" s="1098"/>
      <c r="LA21" s="1097">
        <f t="shared" si="44"/>
        <v>0</v>
      </c>
      <c r="LB21" s="1252"/>
      <c r="LC21" s="1098"/>
      <c r="LD21" s="1098"/>
      <c r="LE21" s="1098"/>
      <c r="LF21" s="1098"/>
      <c r="LG21" s="1098"/>
      <c r="LH21" s="1098"/>
      <c r="LI21" s="1098"/>
      <c r="LJ21" s="1098"/>
      <c r="LK21" s="1098"/>
      <c r="LL21" s="1098"/>
      <c r="LM21" s="1098"/>
      <c r="LN21" s="1097">
        <f t="shared" si="45"/>
        <v>0</v>
      </c>
      <c r="LP21" s="1116" t="str">
        <f>IFERROR(((
_xlfn.XLOOKUP((DATE(YEAR($LP$5),MONTH($LP$5),1)),$B$5:$LN$5,$B21:$LN21) /
_xlfn.XLOOKUP((DATE(YEAR($LP$5)-1,MONTH($LP$5),1)),$B$5:$LN$5,$B21:$LN21)
)-1)*100,"")</f>
        <v/>
      </c>
      <c r="LQ21" s="1117" t="str">
        <f>IFERROR(((LS21/LR21)-1)*100,"")</f>
        <v/>
      </c>
      <c r="LR21" s="1079">
        <f>SUMIFS($B21:$LN21,$B$5:$LN$5,"&gt;="&amp;DATE(YEAR($LP$5)-1,1,1),$B$5:$LN$5,"&lt;="&amp;DATE(YEAR($LP$5)-1,MONTH($LP$5),1))</f>
        <v>0</v>
      </c>
      <c r="LS21" s="1118">
        <f>SUMIFS($B21:$LN21,$B$5:$LN$5,"&gt;="&amp;DATE(YEAR($LP$5),1,1),$B$5:$LN$5,"&lt;="&amp;$LP$5)</f>
        <v>0</v>
      </c>
      <c r="LT21" s="1"/>
      <c r="LU21" s="629"/>
      <c r="LV21" s="1139">
        <f t="shared" si="50"/>
        <v>106314.69800000002</v>
      </c>
      <c r="LW21" s="1286" t="s">
        <v>82</v>
      </c>
      <c r="LX21" s="1147" t="str">
        <f t="shared" si="51"/>
        <v>OK</v>
      </c>
    </row>
    <row r="22" spans="1:336" ht="15" customHeight="1" x14ac:dyDescent="0.2">
      <c r="A22" s="1280" t="s">
        <v>59</v>
      </c>
      <c r="B22" s="1252"/>
      <c r="C22" s="1098"/>
      <c r="D22" s="1098"/>
      <c r="E22" s="1098"/>
      <c r="F22" s="1098"/>
      <c r="G22" s="1098"/>
      <c r="H22" s="1098"/>
      <c r="I22" s="1098"/>
      <c r="J22" s="1098"/>
      <c r="K22" s="1098"/>
      <c r="L22" s="1098"/>
      <c r="M22" s="1098"/>
      <c r="N22" s="1097">
        <f t="shared" si="21"/>
        <v>0</v>
      </c>
      <c r="O22" s="1252"/>
      <c r="P22" s="1098">
        <v>7</v>
      </c>
      <c r="Q22" s="1098"/>
      <c r="R22" s="1098"/>
      <c r="S22" s="1098"/>
      <c r="T22" s="1098"/>
      <c r="U22" s="1098"/>
      <c r="V22" s="1098"/>
      <c r="W22" s="1098"/>
      <c r="X22" s="1098"/>
      <c r="Y22" s="1098"/>
      <c r="Z22" s="1098"/>
      <c r="AA22" s="1097">
        <f t="shared" si="22"/>
        <v>7</v>
      </c>
      <c r="AB22" s="1252"/>
      <c r="AC22" s="1098"/>
      <c r="AD22" s="1098"/>
      <c r="AE22" s="1098"/>
      <c r="AF22" s="1098"/>
      <c r="AG22" s="1098"/>
      <c r="AH22" s="1098"/>
      <c r="AI22" s="1098"/>
      <c r="AJ22" s="1098"/>
      <c r="AK22" s="1098"/>
      <c r="AL22" s="1098"/>
      <c r="AM22" s="1098"/>
      <c r="AN22" s="1097">
        <f t="shared" si="23"/>
        <v>0</v>
      </c>
      <c r="AO22" s="1252"/>
      <c r="AP22" s="1098"/>
      <c r="AQ22" s="1098">
        <v>40.502000000000002</v>
      </c>
      <c r="AR22" s="1098">
        <v>10.923999999999999</v>
      </c>
      <c r="AS22" s="1098">
        <v>12.776999999999999</v>
      </c>
      <c r="AT22" s="1098"/>
      <c r="AU22" s="1098"/>
      <c r="AV22" s="1098"/>
      <c r="AW22" s="1098"/>
      <c r="AX22" s="1098">
        <v>4</v>
      </c>
      <c r="AY22" s="1098"/>
      <c r="AZ22" s="1098"/>
      <c r="BA22" s="1097">
        <f t="shared" si="24"/>
        <v>68.203000000000003</v>
      </c>
      <c r="BB22" s="1252"/>
      <c r="BC22" s="1098"/>
      <c r="BD22" s="1098">
        <v>19</v>
      </c>
      <c r="BE22" s="1098">
        <v>11</v>
      </c>
      <c r="BF22" s="1098"/>
      <c r="BG22" s="1098">
        <v>17</v>
      </c>
      <c r="BH22" s="1098"/>
      <c r="BI22" s="1098"/>
      <c r="BJ22" s="1098"/>
      <c r="BK22" s="1098"/>
      <c r="BL22" s="1098"/>
      <c r="BM22" s="1098">
        <v>22.623999999999999</v>
      </c>
      <c r="BN22" s="1097">
        <f t="shared" si="25"/>
        <v>69.623999999999995</v>
      </c>
      <c r="BO22" s="1252">
        <v>35.753</v>
      </c>
      <c r="BP22" s="1098">
        <v>39.332999999999998</v>
      </c>
      <c r="BQ22" s="1098">
        <v>5.0490000000000004</v>
      </c>
      <c r="BR22" s="1098">
        <v>54.18</v>
      </c>
      <c r="BS22" s="1098">
        <v>64.097999999999999</v>
      </c>
      <c r="BT22" s="1098">
        <v>14.609</v>
      </c>
      <c r="BU22" s="1098"/>
      <c r="BV22" s="1098">
        <v>29.654</v>
      </c>
      <c r="BW22" s="1098">
        <v>7.11</v>
      </c>
      <c r="BX22" s="1098">
        <v>4.625</v>
      </c>
      <c r="BY22" s="1098"/>
      <c r="BZ22" s="1098"/>
      <c r="CA22" s="1097">
        <f t="shared" si="26"/>
        <v>254.41100000000003</v>
      </c>
      <c r="CB22" s="1252"/>
      <c r="CC22" s="1098"/>
      <c r="CD22" s="1098">
        <v>18</v>
      </c>
      <c r="CE22" s="1098">
        <v>19</v>
      </c>
      <c r="CF22" s="1098"/>
      <c r="CG22" s="1098">
        <v>5</v>
      </c>
      <c r="CH22" s="1098"/>
      <c r="CI22" s="1098"/>
      <c r="CJ22" s="1098">
        <v>32</v>
      </c>
      <c r="CK22" s="1098"/>
      <c r="CL22" s="1098"/>
      <c r="CM22" s="1098">
        <v>21</v>
      </c>
      <c r="CN22" s="1097">
        <f t="shared" si="27"/>
        <v>95</v>
      </c>
      <c r="CO22" s="1252">
        <v>5</v>
      </c>
      <c r="CP22" s="1098">
        <v>17</v>
      </c>
      <c r="CQ22" s="1098">
        <v>5</v>
      </c>
      <c r="CR22" s="1098"/>
      <c r="CS22" s="1098"/>
      <c r="CT22" s="1098"/>
      <c r="CU22" s="1098"/>
      <c r="CV22" s="1098"/>
      <c r="CW22" s="1098"/>
      <c r="CX22" s="1098"/>
      <c r="CY22" s="1098"/>
      <c r="CZ22" s="1098"/>
      <c r="DA22" s="1097">
        <f t="shared" si="28"/>
        <v>27</v>
      </c>
      <c r="DB22" s="1252"/>
      <c r="DC22" s="1098"/>
      <c r="DD22" s="1098"/>
      <c r="DE22" s="1098"/>
      <c r="DF22" s="1098"/>
      <c r="DG22" s="1098"/>
      <c r="DH22" s="1098"/>
      <c r="DI22" s="1098"/>
      <c r="DJ22" s="1098"/>
      <c r="DK22" s="1098"/>
      <c r="DL22" s="1098"/>
      <c r="DM22" s="1098"/>
      <c r="DN22" s="1097">
        <f t="shared" si="29"/>
        <v>0</v>
      </c>
      <c r="DO22" s="1252"/>
      <c r="DP22" s="1098"/>
      <c r="DQ22" s="1098"/>
      <c r="DR22" s="1098"/>
      <c r="DS22" s="1098"/>
      <c r="DT22" s="1098"/>
      <c r="DU22" s="1098"/>
      <c r="DV22" s="1098"/>
      <c r="DW22" s="1098"/>
      <c r="DX22" s="1098"/>
      <c r="DY22" s="1098"/>
      <c r="DZ22" s="1098"/>
      <c r="EA22" s="1097">
        <f t="shared" si="30"/>
        <v>0</v>
      </c>
      <c r="EB22" s="1252"/>
      <c r="EC22" s="1098"/>
      <c r="ED22" s="1098"/>
      <c r="EE22" s="1098"/>
      <c r="EF22" s="1098"/>
      <c r="EG22" s="1098"/>
      <c r="EH22" s="1098"/>
      <c r="EI22" s="1098"/>
      <c r="EJ22" s="1098"/>
      <c r="EK22" s="1098"/>
      <c r="EL22" s="1098"/>
      <c r="EM22" s="1098"/>
      <c r="EN22" s="1097">
        <f t="shared" si="31"/>
        <v>0</v>
      </c>
      <c r="EO22" s="1252"/>
      <c r="EP22" s="1098"/>
      <c r="EQ22" s="1098"/>
      <c r="ER22" s="1098"/>
      <c r="ES22" s="1098"/>
      <c r="ET22" s="1098"/>
      <c r="EU22" s="1098"/>
      <c r="EV22" s="1098"/>
      <c r="EW22" s="1098"/>
      <c r="EX22" s="1098"/>
      <c r="EY22" s="1098"/>
      <c r="EZ22" s="1098"/>
      <c r="FA22" s="1097">
        <f t="shared" si="32"/>
        <v>0</v>
      </c>
      <c r="FB22" s="1252"/>
      <c r="FC22" s="1098"/>
      <c r="FD22" s="1098"/>
      <c r="FE22" s="1098"/>
      <c r="FF22" s="1098"/>
      <c r="FG22" s="1098"/>
      <c r="FH22" s="1098"/>
      <c r="FI22" s="1098"/>
      <c r="FJ22" s="1098"/>
      <c r="FK22" s="1098"/>
      <c r="FL22" s="1098"/>
      <c r="FM22" s="1098"/>
      <c r="FN22" s="1097">
        <f t="shared" si="33"/>
        <v>0</v>
      </c>
      <c r="FO22" s="1252"/>
      <c r="FP22" s="1098"/>
      <c r="FQ22" s="1098"/>
      <c r="FR22" s="1098"/>
      <c r="FS22" s="1098"/>
      <c r="FT22" s="1098"/>
      <c r="FU22" s="1098"/>
      <c r="FV22" s="1098"/>
      <c r="FW22" s="1098"/>
      <c r="FX22" s="1098"/>
      <c r="FY22" s="1098"/>
      <c r="FZ22" s="1098"/>
      <c r="GA22" s="1097">
        <f t="shared" si="34"/>
        <v>0</v>
      </c>
      <c r="GB22" s="1252"/>
      <c r="GC22" s="1098"/>
      <c r="GD22" s="1098"/>
      <c r="GE22" s="1098"/>
      <c r="GF22" s="1098"/>
      <c r="GG22" s="1098"/>
      <c r="GH22" s="1098"/>
      <c r="GI22" s="1098"/>
      <c r="GJ22" s="1098"/>
      <c r="GK22" s="1098"/>
      <c r="GL22" s="1098"/>
      <c r="GM22" s="1098"/>
      <c r="GN22" s="1097">
        <f t="shared" si="35"/>
        <v>0</v>
      </c>
      <c r="GO22" s="1252"/>
      <c r="GP22" s="1098"/>
      <c r="GQ22" s="1098"/>
      <c r="GR22" s="1098"/>
      <c r="GS22" s="1098"/>
      <c r="GT22" s="1098"/>
      <c r="GU22" s="1098"/>
      <c r="GV22" s="1098"/>
      <c r="GW22" s="1098"/>
      <c r="GX22" s="1098"/>
      <c r="GY22" s="1098"/>
      <c r="GZ22" s="1098"/>
      <c r="HA22" s="1097">
        <f t="shared" si="36"/>
        <v>0</v>
      </c>
      <c r="HB22" s="1252"/>
      <c r="HC22" s="1098"/>
      <c r="HD22" s="1098"/>
      <c r="HE22" s="1098"/>
      <c r="HF22" s="1098"/>
      <c r="HG22" s="1098"/>
      <c r="HH22" s="1098"/>
      <c r="HI22" s="1098"/>
      <c r="HJ22" s="1098"/>
      <c r="HK22" s="1098"/>
      <c r="HL22" s="1098"/>
      <c r="HM22" s="1098"/>
      <c r="HN22" s="1097">
        <f t="shared" si="37"/>
        <v>0</v>
      </c>
      <c r="HO22" s="1252"/>
      <c r="HP22" s="1098"/>
      <c r="HQ22" s="1098"/>
      <c r="HR22" s="1098"/>
      <c r="HS22" s="1098"/>
      <c r="HT22" s="1098"/>
      <c r="HU22" s="1098"/>
      <c r="HV22" s="1098"/>
      <c r="HW22" s="1098"/>
      <c r="HX22" s="1098"/>
      <c r="HY22" s="1098"/>
      <c r="HZ22" s="1098"/>
      <c r="IA22" s="1097">
        <f t="shared" si="38"/>
        <v>0</v>
      </c>
      <c r="IB22" s="1252"/>
      <c r="IC22" s="1098"/>
      <c r="ID22" s="1098"/>
      <c r="IE22" s="1098"/>
      <c r="IF22" s="1098"/>
      <c r="IG22" s="1098"/>
      <c r="IH22" s="1098"/>
      <c r="II22" s="1098"/>
      <c r="IJ22" s="1098"/>
      <c r="IK22" s="1098"/>
      <c r="IL22" s="1098"/>
      <c r="IM22" s="1098"/>
      <c r="IN22" s="1097">
        <f t="shared" si="39"/>
        <v>0</v>
      </c>
      <c r="IO22" s="1252"/>
      <c r="IP22" s="1098"/>
      <c r="IQ22" s="1098"/>
      <c r="IR22" s="1098"/>
      <c r="IS22" s="1098"/>
      <c r="IT22" s="1098"/>
      <c r="IU22" s="1098"/>
      <c r="IV22" s="1098"/>
      <c r="IW22" s="1098"/>
      <c r="IX22" s="1098"/>
      <c r="IY22" s="1098"/>
      <c r="IZ22" s="1098"/>
      <c r="JA22" s="1097">
        <f t="shared" si="40"/>
        <v>0</v>
      </c>
      <c r="JB22" s="1252"/>
      <c r="JC22" s="1098"/>
      <c r="JD22" s="1098"/>
      <c r="JE22" s="1098"/>
      <c r="JF22" s="1098"/>
      <c r="JG22" s="1098"/>
      <c r="JH22" s="1098"/>
      <c r="JI22" s="1098"/>
      <c r="JJ22" s="1098"/>
      <c r="JK22" s="1098"/>
      <c r="JL22" s="1098"/>
      <c r="JM22" s="1098"/>
      <c r="JN22" s="1097">
        <f t="shared" si="41"/>
        <v>0</v>
      </c>
      <c r="JO22" s="1252"/>
      <c r="JP22" s="1098"/>
      <c r="JQ22" s="1098"/>
      <c r="JR22" s="1098"/>
      <c r="JS22" s="1098"/>
      <c r="JT22" s="1098"/>
      <c r="JU22" s="1098"/>
      <c r="JV22" s="1098"/>
      <c r="JW22" s="1098"/>
      <c r="JX22" s="1098"/>
      <c r="JY22" s="1098"/>
      <c r="JZ22" s="1098"/>
      <c r="KA22" s="1097">
        <f t="shared" si="42"/>
        <v>0</v>
      </c>
      <c r="KB22" s="1252"/>
      <c r="KC22" s="1098"/>
      <c r="KD22" s="1098"/>
      <c r="KE22" s="1098"/>
      <c r="KF22" s="1098"/>
      <c r="KG22" s="1098"/>
      <c r="KH22" s="1098">
        <v>11.39</v>
      </c>
      <c r="KI22" s="1098"/>
      <c r="KJ22" s="1098"/>
      <c r="KK22" s="1098"/>
      <c r="KL22" s="1098"/>
      <c r="KM22" s="1098"/>
      <c r="KN22" s="1097">
        <f t="shared" si="43"/>
        <v>11.39</v>
      </c>
      <c r="KO22" s="1252"/>
      <c r="KP22" s="1098"/>
      <c r="KQ22" s="1098"/>
      <c r="KR22" s="1098"/>
      <c r="KS22" s="1098"/>
      <c r="KT22" s="1098"/>
      <c r="KU22" s="1098"/>
      <c r="KV22" s="1098"/>
      <c r="KW22" s="1098"/>
      <c r="KX22" s="1098"/>
      <c r="KY22" s="1098"/>
      <c r="KZ22" s="1098"/>
      <c r="LA22" s="1097">
        <f t="shared" si="44"/>
        <v>0</v>
      </c>
      <c r="LB22" s="1252"/>
      <c r="LC22" s="1098"/>
      <c r="LD22" s="1098"/>
      <c r="LE22" s="1098"/>
      <c r="LF22" s="1098"/>
      <c r="LG22" s="1098"/>
      <c r="LH22" s="1098"/>
      <c r="LI22" s="1098"/>
      <c r="LJ22" s="1098"/>
      <c r="LK22" s="1098"/>
      <c r="LL22" s="1098"/>
      <c r="LM22" s="1098"/>
      <c r="LN22" s="1097">
        <f t="shared" si="45"/>
        <v>0</v>
      </c>
      <c r="LP22" s="1116" t="str">
        <f>IFERROR(((
_xlfn.XLOOKUP((DATE(YEAR($LP$5),MONTH($LP$5),1)),$B$5:$LN$5,$B22:$LN22) /
_xlfn.XLOOKUP((DATE(YEAR($LP$5)-1,MONTH($LP$5),1)),$B$5:$LN$5,$B22:$LN22)
)-1)*100,"")</f>
        <v/>
      </c>
      <c r="LQ22" s="1117" t="str">
        <f>IFERROR(((LS22/LR22)-1)*100,"")</f>
        <v/>
      </c>
      <c r="LR22" s="1079">
        <f>SUMIFS($B22:$LN22,$B$5:$LN$5,"&gt;="&amp;DATE(YEAR($LP$5)-1,1,1),$B$5:$LN$5,"&lt;="&amp;DATE(YEAR($LP$5)-1,MONTH($LP$5),1))</f>
        <v>0</v>
      </c>
      <c r="LS22" s="1118">
        <f>SUMIFS($B22:$LN22,$B$5:$LN$5,"&gt;="&amp;DATE(YEAR($LP$5),1,1),$B$5:$LN$5,"&lt;="&amp;$LP$5)</f>
        <v>0</v>
      </c>
      <c r="LT22" s="1"/>
      <c r="LU22" s="629"/>
      <c r="LV22" s="1139">
        <f t="shared" si="50"/>
        <v>1065.2560000000003</v>
      </c>
      <c r="LW22" s="1286" t="s">
        <v>59</v>
      </c>
      <c r="LX22" s="1147" t="str">
        <f t="shared" si="51"/>
        <v>OK</v>
      </c>
    </row>
    <row r="23" spans="1:336" ht="15" customHeight="1" x14ac:dyDescent="0.2">
      <c r="A23" s="1280" t="s">
        <v>60</v>
      </c>
      <c r="B23" s="1252"/>
      <c r="C23" s="1098">
        <v>18.904</v>
      </c>
      <c r="D23" s="1098">
        <v>21.9</v>
      </c>
      <c r="E23" s="1098">
        <v>19.106000000000002</v>
      </c>
      <c r="F23" s="1098">
        <v>13.939</v>
      </c>
      <c r="G23" s="1098">
        <v>47.143000000000001</v>
      </c>
      <c r="H23" s="1098">
        <v>57.32</v>
      </c>
      <c r="I23" s="1098">
        <v>28.300999999999998</v>
      </c>
      <c r="J23" s="1098">
        <v>12.971</v>
      </c>
      <c r="K23" s="1098"/>
      <c r="L23" s="1098">
        <v>7.7160000000000002</v>
      </c>
      <c r="M23" s="1098"/>
      <c r="N23" s="1097">
        <f t="shared" si="21"/>
        <v>227.3</v>
      </c>
      <c r="O23" s="1252"/>
      <c r="P23" s="1098"/>
      <c r="Q23" s="1098"/>
      <c r="R23" s="1098">
        <v>28.773</v>
      </c>
      <c r="S23" s="1098">
        <v>2.8290000000000002</v>
      </c>
      <c r="T23" s="1098">
        <v>24.341999999999999</v>
      </c>
      <c r="U23" s="1098">
        <v>10.907999999999999</v>
      </c>
      <c r="V23" s="1098">
        <v>10.683</v>
      </c>
      <c r="W23" s="1098"/>
      <c r="X23" s="1098"/>
      <c r="Y23" s="1098"/>
      <c r="Z23" s="1098"/>
      <c r="AA23" s="1097">
        <f t="shared" si="22"/>
        <v>77.534999999999997</v>
      </c>
      <c r="AB23" s="1252"/>
      <c r="AC23" s="1098">
        <v>45.405999999999999</v>
      </c>
      <c r="AD23" s="1098">
        <v>7.2149999999999999</v>
      </c>
      <c r="AE23" s="1098">
        <v>1.502</v>
      </c>
      <c r="AF23" s="1098"/>
      <c r="AG23" s="1098">
        <v>37.505000000000003</v>
      </c>
      <c r="AH23" s="1098">
        <v>54.264000000000003</v>
      </c>
      <c r="AI23" s="1098">
        <v>25.4</v>
      </c>
      <c r="AJ23" s="1098">
        <v>8.3420000000000005</v>
      </c>
      <c r="AK23" s="1098">
        <v>17.992999999999999</v>
      </c>
      <c r="AL23" s="1098">
        <v>1.2969999999999999</v>
      </c>
      <c r="AM23" s="1098">
        <v>28.428999999999998</v>
      </c>
      <c r="AN23" s="1097">
        <f t="shared" si="23"/>
        <v>227.35300000000001</v>
      </c>
      <c r="AO23" s="1252"/>
      <c r="AP23" s="1098">
        <v>5.5209999999999999</v>
      </c>
      <c r="AQ23" s="1098">
        <v>29.4</v>
      </c>
      <c r="AR23" s="1098">
        <v>15.573</v>
      </c>
      <c r="AS23" s="1098">
        <v>64.17</v>
      </c>
      <c r="AT23" s="1098">
        <v>1.5149999999999999</v>
      </c>
      <c r="AU23" s="1098">
        <v>6</v>
      </c>
      <c r="AV23" s="1098"/>
      <c r="AW23" s="1098"/>
      <c r="AX23" s="1098">
        <v>8</v>
      </c>
      <c r="AY23" s="1098">
        <v>6</v>
      </c>
      <c r="AZ23" s="1098">
        <v>42</v>
      </c>
      <c r="BA23" s="1097">
        <f t="shared" si="24"/>
        <v>178.179</v>
      </c>
      <c r="BB23" s="1252">
        <v>4</v>
      </c>
      <c r="BC23" s="1098">
        <v>19</v>
      </c>
      <c r="BD23" s="1098">
        <v>42</v>
      </c>
      <c r="BE23" s="1098"/>
      <c r="BF23" s="1098">
        <v>14</v>
      </c>
      <c r="BG23" s="1098"/>
      <c r="BH23" s="1098"/>
      <c r="BI23" s="1098"/>
      <c r="BJ23" s="1098">
        <v>61</v>
      </c>
      <c r="BK23" s="1098">
        <v>19.170000000000002</v>
      </c>
      <c r="BL23" s="1098">
        <v>56.054000000000002</v>
      </c>
      <c r="BM23" s="1098">
        <v>124.25</v>
      </c>
      <c r="BN23" s="1097">
        <f t="shared" si="25"/>
        <v>339.47400000000005</v>
      </c>
      <c r="BO23" s="1252">
        <v>17.39</v>
      </c>
      <c r="BP23" s="1098">
        <v>56.99</v>
      </c>
      <c r="BQ23" s="1098">
        <v>64.081999999999994</v>
      </c>
      <c r="BR23" s="1098">
        <v>30.722000000000001</v>
      </c>
      <c r="BS23" s="1098">
        <v>25.081</v>
      </c>
      <c r="BT23" s="1098">
        <v>36.026000000000003</v>
      </c>
      <c r="BU23" s="1098">
        <v>48.521999999999998</v>
      </c>
      <c r="BV23" s="1098">
        <v>80.454999999999998</v>
      </c>
      <c r="BW23" s="1098">
        <v>56.51</v>
      </c>
      <c r="BX23" s="1098">
        <v>79.150000000000006</v>
      </c>
      <c r="BY23" s="1098">
        <v>152</v>
      </c>
      <c r="BZ23" s="1098">
        <v>47</v>
      </c>
      <c r="CA23" s="1097">
        <f t="shared" si="26"/>
        <v>693.928</v>
      </c>
      <c r="CB23" s="1252">
        <v>5</v>
      </c>
      <c r="CC23" s="1098">
        <v>9</v>
      </c>
      <c r="CD23" s="1098">
        <v>46</v>
      </c>
      <c r="CE23" s="1098">
        <v>15</v>
      </c>
      <c r="CF23" s="1098">
        <v>27</v>
      </c>
      <c r="CG23" s="1098">
        <v>21</v>
      </c>
      <c r="CH23" s="1098">
        <v>12</v>
      </c>
      <c r="CI23" s="1098">
        <v>23</v>
      </c>
      <c r="CJ23" s="1098">
        <v>27</v>
      </c>
      <c r="CK23" s="1098">
        <v>10</v>
      </c>
      <c r="CL23" s="1098"/>
      <c r="CM23" s="1098">
        <v>40</v>
      </c>
      <c r="CN23" s="1097">
        <f t="shared" si="27"/>
        <v>235</v>
      </c>
      <c r="CO23" s="1252"/>
      <c r="CP23" s="1098">
        <v>15</v>
      </c>
      <c r="CQ23" s="1098"/>
      <c r="CR23" s="1098">
        <v>16</v>
      </c>
      <c r="CS23" s="1098"/>
      <c r="CT23" s="1098">
        <v>13</v>
      </c>
      <c r="CU23" s="1098"/>
      <c r="CV23" s="1098"/>
      <c r="CW23" s="1098">
        <v>14</v>
      </c>
      <c r="CX23" s="1098">
        <v>28</v>
      </c>
      <c r="CY23" s="1098">
        <v>5</v>
      </c>
      <c r="CZ23" s="1098">
        <v>13</v>
      </c>
      <c r="DA23" s="1097">
        <f t="shared" si="28"/>
        <v>104</v>
      </c>
      <c r="DB23" s="1252">
        <v>2</v>
      </c>
      <c r="DC23" s="1098"/>
      <c r="DD23" s="1098"/>
      <c r="DE23" s="1098"/>
      <c r="DF23" s="1098">
        <v>8</v>
      </c>
      <c r="DG23" s="1098">
        <v>30</v>
      </c>
      <c r="DH23" s="1098">
        <v>31</v>
      </c>
      <c r="DI23" s="1098">
        <v>39</v>
      </c>
      <c r="DJ23" s="1098">
        <v>12</v>
      </c>
      <c r="DK23" s="1098">
        <v>18</v>
      </c>
      <c r="DL23" s="1098">
        <v>8</v>
      </c>
      <c r="DM23" s="1098">
        <v>84</v>
      </c>
      <c r="DN23" s="1097">
        <f t="shared" si="29"/>
        <v>232</v>
      </c>
      <c r="DO23" s="1252">
        <v>45</v>
      </c>
      <c r="DP23" s="1098">
        <v>57</v>
      </c>
      <c r="DQ23" s="1098">
        <v>70</v>
      </c>
      <c r="DR23" s="1098">
        <v>56</v>
      </c>
      <c r="DS23" s="1098">
        <v>75</v>
      </c>
      <c r="DT23" s="1098">
        <v>33</v>
      </c>
      <c r="DU23" s="1098">
        <v>21</v>
      </c>
      <c r="DV23" s="1098">
        <v>38</v>
      </c>
      <c r="DW23" s="1098">
        <v>209</v>
      </c>
      <c r="DX23" s="1098">
        <v>95</v>
      </c>
      <c r="DY23" s="1098">
        <v>39</v>
      </c>
      <c r="DZ23" s="1098">
        <v>15</v>
      </c>
      <c r="EA23" s="1097">
        <f t="shared" si="30"/>
        <v>753</v>
      </c>
      <c r="EB23" s="1252">
        <v>16</v>
      </c>
      <c r="EC23" s="1098">
        <v>23</v>
      </c>
      <c r="ED23" s="1098">
        <v>20</v>
      </c>
      <c r="EE23" s="1098">
        <v>31</v>
      </c>
      <c r="EF23" s="1098">
        <v>7</v>
      </c>
      <c r="EG23" s="1098">
        <v>3</v>
      </c>
      <c r="EH23" s="1098">
        <v>60</v>
      </c>
      <c r="EI23" s="1098">
        <v>99</v>
      </c>
      <c r="EJ23" s="1098">
        <v>57</v>
      </c>
      <c r="EK23" s="1098">
        <v>67</v>
      </c>
      <c r="EL23" s="1098">
        <v>21</v>
      </c>
      <c r="EM23" s="1098">
        <v>43</v>
      </c>
      <c r="EN23" s="1097">
        <f t="shared" si="31"/>
        <v>447</v>
      </c>
      <c r="EO23" s="1252">
        <v>38</v>
      </c>
      <c r="EP23" s="1098">
        <v>12</v>
      </c>
      <c r="EQ23" s="1098"/>
      <c r="ER23" s="1098">
        <v>12</v>
      </c>
      <c r="ES23" s="1098">
        <v>30</v>
      </c>
      <c r="ET23" s="1098"/>
      <c r="EU23" s="1098">
        <v>12</v>
      </c>
      <c r="EV23" s="1098"/>
      <c r="EW23" s="1098"/>
      <c r="EX23" s="1098"/>
      <c r="EY23" s="1098"/>
      <c r="EZ23" s="1098"/>
      <c r="FA23" s="1097">
        <f t="shared" si="32"/>
        <v>104</v>
      </c>
      <c r="FB23" s="1252">
        <v>5</v>
      </c>
      <c r="FC23" s="1098"/>
      <c r="FD23" s="1098"/>
      <c r="FE23" s="1098">
        <v>9</v>
      </c>
      <c r="FF23" s="1098">
        <v>8</v>
      </c>
      <c r="FG23" s="1098">
        <v>11</v>
      </c>
      <c r="FH23" s="1098">
        <v>5</v>
      </c>
      <c r="FI23" s="1098">
        <v>10</v>
      </c>
      <c r="FJ23" s="1098">
        <v>1</v>
      </c>
      <c r="FK23" s="1098">
        <v>15</v>
      </c>
      <c r="FL23" s="1098">
        <v>10.5</v>
      </c>
      <c r="FM23" s="1098">
        <v>21.5</v>
      </c>
      <c r="FN23" s="1097">
        <f t="shared" si="33"/>
        <v>96</v>
      </c>
      <c r="FO23" s="1252">
        <v>8</v>
      </c>
      <c r="FP23" s="1098">
        <v>21</v>
      </c>
      <c r="FQ23" s="1098">
        <v>25</v>
      </c>
      <c r="FR23" s="1098">
        <v>23</v>
      </c>
      <c r="FS23" s="1098">
        <v>45</v>
      </c>
      <c r="FT23" s="1098">
        <v>16</v>
      </c>
      <c r="FU23" s="1098">
        <v>31</v>
      </c>
      <c r="FV23" s="1098">
        <v>5</v>
      </c>
      <c r="FW23" s="1098">
        <v>7</v>
      </c>
      <c r="FX23" s="1098">
        <v>48</v>
      </c>
      <c r="FY23" s="1098">
        <v>9</v>
      </c>
      <c r="FZ23" s="1098">
        <v>32</v>
      </c>
      <c r="GA23" s="1097">
        <f t="shared" si="34"/>
        <v>270</v>
      </c>
      <c r="GB23" s="1252">
        <v>14</v>
      </c>
      <c r="GC23" s="1098">
        <v>5</v>
      </c>
      <c r="GD23" s="1098">
        <v>20</v>
      </c>
      <c r="GE23" s="1098">
        <v>19</v>
      </c>
      <c r="GF23" s="1098">
        <v>14</v>
      </c>
      <c r="GG23" s="1098">
        <v>18</v>
      </c>
      <c r="GH23" s="1098">
        <v>18</v>
      </c>
      <c r="GI23" s="1098">
        <v>24</v>
      </c>
      <c r="GJ23" s="1098">
        <v>12</v>
      </c>
      <c r="GK23" s="1098">
        <v>9</v>
      </c>
      <c r="GL23" s="1098">
        <v>45</v>
      </c>
      <c r="GM23" s="1098">
        <v>40</v>
      </c>
      <c r="GN23" s="1097">
        <f t="shared" si="35"/>
        <v>238</v>
      </c>
      <c r="GO23" s="1252">
        <v>11.47</v>
      </c>
      <c r="GP23" s="1098">
        <v>17.785</v>
      </c>
      <c r="GQ23" s="1098">
        <v>69.069000000000003</v>
      </c>
      <c r="GR23" s="1098">
        <v>64</v>
      </c>
      <c r="GS23" s="1098">
        <v>18</v>
      </c>
      <c r="GT23" s="1098">
        <v>29</v>
      </c>
      <c r="GU23" s="1098">
        <v>20</v>
      </c>
      <c r="GV23" s="1098">
        <v>11</v>
      </c>
      <c r="GW23" s="1098">
        <v>21</v>
      </c>
      <c r="GX23" s="1098">
        <v>15</v>
      </c>
      <c r="GY23" s="1098"/>
      <c r="GZ23" s="1098">
        <v>1</v>
      </c>
      <c r="HA23" s="1097">
        <f t="shared" si="36"/>
        <v>277.32400000000001</v>
      </c>
      <c r="HB23" s="1252"/>
      <c r="HC23" s="1098"/>
      <c r="HD23" s="1098">
        <v>28</v>
      </c>
      <c r="HE23" s="1098">
        <v>11.571</v>
      </c>
      <c r="HF23" s="1098">
        <v>27</v>
      </c>
      <c r="HG23" s="1098">
        <v>56</v>
      </c>
      <c r="HH23" s="1098">
        <v>48</v>
      </c>
      <c r="HI23" s="1098">
        <v>111</v>
      </c>
      <c r="HJ23" s="1098">
        <v>94.378</v>
      </c>
      <c r="HK23" s="1098">
        <v>56.956000000000003</v>
      </c>
      <c r="HL23" s="1098">
        <v>53.94400000000001</v>
      </c>
      <c r="HM23" s="1098">
        <v>17.448</v>
      </c>
      <c r="HN23" s="1097">
        <f t="shared" si="37"/>
        <v>504.29700000000003</v>
      </c>
      <c r="HO23" s="1252">
        <v>1.2589999999999999</v>
      </c>
      <c r="HP23" s="1098">
        <v>23.253</v>
      </c>
      <c r="HQ23" s="1098">
        <v>24.324999999999999</v>
      </c>
      <c r="HR23" s="1098">
        <v>35.472999999999999</v>
      </c>
      <c r="HS23" s="1098">
        <v>54.438000000000002</v>
      </c>
      <c r="HT23" s="1098">
        <v>21.190999999999999</v>
      </c>
      <c r="HU23" s="1098">
        <v>43.457999999999998</v>
      </c>
      <c r="HV23" s="1098">
        <v>33.722000000000001</v>
      </c>
      <c r="HW23" s="1098">
        <v>35.027999999999999</v>
      </c>
      <c r="HX23" s="1098">
        <v>46</v>
      </c>
      <c r="HY23" s="1098">
        <v>51</v>
      </c>
      <c r="HZ23" s="1098"/>
      <c r="IA23" s="1097">
        <f t="shared" si="38"/>
        <v>369.14699999999999</v>
      </c>
      <c r="IB23" s="1252">
        <v>41.061</v>
      </c>
      <c r="IC23" s="1098">
        <v>63.695</v>
      </c>
      <c r="ID23" s="1098">
        <v>62.015000000000001</v>
      </c>
      <c r="IE23" s="1098"/>
      <c r="IF23" s="1098">
        <v>5.91</v>
      </c>
      <c r="IG23" s="1098">
        <v>28.401</v>
      </c>
      <c r="IH23" s="1098">
        <v>23.021000000000001</v>
      </c>
      <c r="II23" s="1098">
        <v>47.38</v>
      </c>
      <c r="IJ23" s="1098">
        <v>50.856999999999999</v>
      </c>
      <c r="IK23" s="1098">
        <v>8</v>
      </c>
      <c r="IL23" s="1098">
        <v>19</v>
      </c>
      <c r="IM23" s="1098">
        <v>136</v>
      </c>
      <c r="IN23" s="1097">
        <f t="shared" si="39"/>
        <v>485.34000000000003</v>
      </c>
      <c r="IO23" s="1252">
        <v>32.741999999999997</v>
      </c>
      <c r="IP23" s="1098">
        <v>5.8810000000000002</v>
      </c>
      <c r="IQ23" s="1098">
        <v>6.78</v>
      </c>
      <c r="IR23" s="1098">
        <v>0.70499999999999996</v>
      </c>
      <c r="IS23" s="1098">
        <v>5.1959999999999997</v>
      </c>
      <c r="IT23" s="1098">
        <v>10.172000000000001</v>
      </c>
      <c r="IU23" s="1098">
        <v>8.9280000000000008</v>
      </c>
      <c r="IV23" s="1098">
        <v>6.0940000000000003</v>
      </c>
      <c r="IW23" s="1098">
        <v>31.437000000000001</v>
      </c>
      <c r="IX23" s="1098">
        <v>7.8289999999999997</v>
      </c>
      <c r="IY23" s="1098">
        <v>11.236000000000001</v>
      </c>
      <c r="IZ23" s="1098">
        <v>7.7460000000000004</v>
      </c>
      <c r="JA23" s="1097">
        <f t="shared" si="40"/>
        <v>134.74599999999998</v>
      </c>
      <c r="JB23" s="1252">
        <v>3.0779999999999998</v>
      </c>
      <c r="JC23" s="1098">
        <v>15.57</v>
      </c>
      <c r="JD23" s="1098">
        <v>24.826000000000001</v>
      </c>
      <c r="JE23" s="1098">
        <v>5.2830000000000004</v>
      </c>
      <c r="JF23" s="1098">
        <v>18.451000000000001</v>
      </c>
      <c r="JG23" s="1098">
        <v>14.754</v>
      </c>
      <c r="JH23" s="1098">
        <v>19.064</v>
      </c>
      <c r="JI23" s="1098">
        <v>12.215999999999999</v>
      </c>
      <c r="JJ23" s="1098">
        <v>22.702999999999999</v>
      </c>
      <c r="JK23" s="1098">
        <v>6.6420000000000003</v>
      </c>
      <c r="JL23" s="1098">
        <v>3.661</v>
      </c>
      <c r="JM23" s="1098">
        <v>20.405000000000001</v>
      </c>
      <c r="JN23" s="1097">
        <f t="shared" si="41"/>
        <v>166.65299999999999</v>
      </c>
      <c r="JO23" s="1252">
        <v>3.9220000000000002</v>
      </c>
      <c r="JP23" s="1098">
        <v>16.257000000000001</v>
      </c>
      <c r="JQ23" s="1098">
        <v>19.606000000000002</v>
      </c>
      <c r="JR23" s="1098"/>
      <c r="JS23" s="1098">
        <v>5.444</v>
      </c>
      <c r="JT23" s="1098">
        <v>14.523999999999999</v>
      </c>
      <c r="JU23" s="1098">
        <v>17.437999999999999</v>
      </c>
      <c r="JV23" s="1098">
        <v>45.679000000000002</v>
      </c>
      <c r="JW23" s="1098">
        <v>2.7949999999999999</v>
      </c>
      <c r="JX23" s="1098">
        <v>37.518000000000001</v>
      </c>
      <c r="JY23" s="1098">
        <v>57.622999999999998</v>
      </c>
      <c r="JZ23" s="1098"/>
      <c r="KA23" s="1097">
        <f t="shared" si="42"/>
        <v>220.80599999999998</v>
      </c>
      <c r="KB23" s="1252">
        <v>3.5310000000000001</v>
      </c>
      <c r="KC23" s="1098"/>
      <c r="KD23" s="1098">
        <v>33.027999999999999</v>
      </c>
      <c r="KE23" s="1098">
        <v>19.706</v>
      </c>
      <c r="KF23" s="1098">
        <v>37.552999999999997</v>
      </c>
      <c r="KG23" s="1098">
        <v>24.712</v>
      </c>
      <c r="KH23" s="1098">
        <f>42.195+2.646</f>
        <v>44.841000000000001</v>
      </c>
      <c r="KI23" s="1098">
        <v>8.9169999999999998</v>
      </c>
      <c r="KJ23" s="1098">
        <v>55.334000000000003</v>
      </c>
      <c r="KK23" s="1098">
        <v>51.755000000000003</v>
      </c>
      <c r="KL23" s="1098">
        <v>39.491</v>
      </c>
      <c r="KM23" s="1098">
        <v>22.053999999999998</v>
      </c>
      <c r="KN23" s="1097">
        <f t="shared" si="43"/>
        <v>340.92199999999997</v>
      </c>
      <c r="KO23" s="1252">
        <v>4.8559999999999999</v>
      </c>
      <c r="KP23" s="1098">
        <v>21.279</v>
      </c>
      <c r="KQ23" s="1098">
        <v>17.959</v>
      </c>
      <c r="KR23" s="1098">
        <v>4.8490000000000002</v>
      </c>
      <c r="KS23" s="1098"/>
      <c r="KT23" s="1098"/>
      <c r="KU23" s="1098">
        <v>11.847</v>
      </c>
      <c r="KV23" s="1098"/>
      <c r="KW23" s="1098"/>
      <c r="KX23" s="1098">
        <v>8.32</v>
      </c>
      <c r="KY23" s="1098">
        <v>34.594999999999999</v>
      </c>
      <c r="KZ23" s="1098">
        <v>3.1459999999999999</v>
      </c>
      <c r="LA23" s="1097">
        <f t="shared" si="44"/>
        <v>106.851</v>
      </c>
      <c r="LB23" s="1252"/>
      <c r="LC23" s="1098"/>
      <c r="LD23" s="1098"/>
      <c r="LE23" s="1098"/>
      <c r="LF23" s="1098"/>
      <c r="LG23" s="1098"/>
      <c r="LH23" s="1098"/>
      <c r="LI23" s="1098"/>
      <c r="LJ23" s="1098"/>
      <c r="LK23" s="1098"/>
      <c r="LL23" s="1098"/>
      <c r="LM23" s="1098"/>
      <c r="LN23" s="1097">
        <f t="shared" si="45"/>
        <v>0</v>
      </c>
      <c r="LP23" s="1116" t="str">
        <f>IFERROR(((
_xlfn.XLOOKUP((DATE(YEAR($LP$5),MONTH($LP$5),1)),$B$5:$LN$5,$B23:$LN23) /
_xlfn.XLOOKUP((DATE(YEAR($LP$5)-1,MONTH($LP$5),1)),$B$5:$LN$5,$B23:$LN23)
)-1)*100,"")</f>
        <v/>
      </c>
      <c r="LQ23" s="1117">
        <f>IFERROR(((LS23/LR23)-1)*100,"")</f>
        <v>-100</v>
      </c>
      <c r="LR23" s="1079">
        <f>SUMIFS($B23:$LN23,$B$5:$LN$5,"&gt;="&amp;DATE(YEAR($LP$5)-1,1,1),$B$5:$LN$5,"&lt;="&amp;DATE(YEAR($LP$5)-1,MONTH($LP$5),1))</f>
        <v>60.79</v>
      </c>
      <c r="LS23" s="1118">
        <f>SUMIFS($B23:$LN23,$B$5:$LN$5,"&gt;="&amp;DATE(YEAR($LP$5),1,1),$B$5:$LN$5,"&lt;="&amp;$LP$5)</f>
        <v>0</v>
      </c>
      <c r="LT23" s="1"/>
      <c r="LU23" s="629"/>
      <c r="LV23" s="1139">
        <f t="shared" si="50"/>
        <v>13657.710000000001</v>
      </c>
      <c r="LW23" s="1286" t="s">
        <v>60</v>
      </c>
      <c r="LX23" s="1147" t="str">
        <f t="shared" si="51"/>
        <v>OK</v>
      </c>
    </row>
    <row r="24" spans="1:336" ht="15" customHeight="1" x14ac:dyDescent="0.2">
      <c r="A24" s="1292" t="s">
        <v>61</v>
      </c>
      <c r="B24" s="1252"/>
      <c r="C24" s="1098"/>
      <c r="D24" s="1098"/>
      <c r="E24" s="1098"/>
      <c r="F24" s="1098"/>
      <c r="G24" s="1098"/>
      <c r="H24" s="1098"/>
      <c r="I24" s="1098"/>
      <c r="J24" s="1098"/>
      <c r="K24" s="1098"/>
      <c r="L24" s="1098"/>
      <c r="M24" s="1098"/>
      <c r="N24" s="1097">
        <f t="shared" si="21"/>
        <v>0</v>
      </c>
      <c r="O24" s="1252"/>
      <c r="P24" s="1098"/>
      <c r="Q24" s="1098"/>
      <c r="R24" s="1098"/>
      <c r="S24" s="1098"/>
      <c r="T24" s="1098"/>
      <c r="U24" s="1098"/>
      <c r="V24" s="1098"/>
      <c r="W24" s="1098"/>
      <c r="X24" s="1098"/>
      <c r="Y24" s="1098"/>
      <c r="Z24" s="1098"/>
      <c r="AA24" s="1097">
        <f t="shared" si="22"/>
        <v>0</v>
      </c>
      <c r="AB24" s="1252"/>
      <c r="AC24" s="1098"/>
      <c r="AD24" s="1098"/>
      <c r="AE24" s="1098"/>
      <c r="AF24" s="1098"/>
      <c r="AG24" s="1098"/>
      <c r="AH24" s="1098"/>
      <c r="AI24" s="1098"/>
      <c r="AJ24" s="1098"/>
      <c r="AK24" s="1098"/>
      <c r="AL24" s="1098"/>
      <c r="AM24" s="1098"/>
      <c r="AN24" s="1097">
        <f t="shared" si="23"/>
        <v>0</v>
      </c>
      <c r="AO24" s="1252"/>
      <c r="AP24" s="1098"/>
      <c r="AQ24" s="1098"/>
      <c r="AR24" s="1098"/>
      <c r="AS24" s="1098"/>
      <c r="AT24" s="1098"/>
      <c r="AU24" s="1098"/>
      <c r="AV24" s="1098"/>
      <c r="AW24" s="1098"/>
      <c r="AX24" s="1098"/>
      <c r="AY24" s="1098"/>
      <c r="AZ24" s="1098"/>
      <c r="BA24" s="1097">
        <f t="shared" si="24"/>
        <v>0</v>
      </c>
      <c r="BB24" s="1252"/>
      <c r="BC24" s="1098"/>
      <c r="BD24" s="1098"/>
      <c r="BE24" s="1098"/>
      <c r="BF24" s="1098"/>
      <c r="BG24" s="1098"/>
      <c r="BH24" s="1098"/>
      <c r="BI24" s="1098"/>
      <c r="BJ24" s="1098"/>
      <c r="BK24" s="1098"/>
      <c r="BL24" s="1098"/>
      <c r="BM24" s="1098"/>
      <c r="BN24" s="1097">
        <f t="shared" si="25"/>
        <v>0</v>
      </c>
      <c r="BO24" s="1252"/>
      <c r="BP24" s="1098"/>
      <c r="BQ24" s="1098"/>
      <c r="BR24" s="1098"/>
      <c r="BS24" s="1098"/>
      <c r="BT24" s="1098"/>
      <c r="BU24" s="1098"/>
      <c r="BV24" s="1098"/>
      <c r="BW24" s="1098"/>
      <c r="BX24" s="1098"/>
      <c r="BY24" s="1098"/>
      <c r="BZ24" s="1098"/>
      <c r="CA24" s="1097">
        <f t="shared" si="26"/>
        <v>0</v>
      </c>
      <c r="CB24" s="1252"/>
      <c r="CC24" s="1098"/>
      <c r="CD24" s="1098"/>
      <c r="CE24" s="1098"/>
      <c r="CF24" s="1098"/>
      <c r="CG24" s="1098"/>
      <c r="CH24" s="1098"/>
      <c r="CI24" s="1098"/>
      <c r="CJ24" s="1098"/>
      <c r="CK24" s="1098"/>
      <c r="CL24" s="1098"/>
      <c r="CM24" s="1098"/>
      <c r="CN24" s="1097">
        <f t="shared" si="27"/>
        <v>0</v>
      </c>
      <c r="CO24" s="1252"/>
      <c r="CP24" s="1098"/>
      <c r="CQ24" s="1098"/>
      <c r="CR24" s="1098"/>
      <c r="CS24" s="1098"/>
      <c r="CT24" s="1098"/>
      <c r="CU24" s="1098"/>
      <c r="CV24" s="1098"/>
      <c r="CW24" s="1098"/>
      <c r="CX24" s="1098"/>
      <c r="CY24" s="1098"/>
      <c r="CZ24" s="1098"/>
      <c r="DA24" s="1097">
        <f t="shared" si="28"/>
        <v>0</v>
      </c>
      <c r="DB24" s="1252"/>
      <c r="DC24" s="1098"/>
      <c r="DD24" s="1098"/>
      <c r="DE24" s="1098"/>
      <c r="DF24" s="1098"/>
      <c r="DG24" s="1098"/>
      <c r="DH24" s="1098"/>
      <c r="DI24" s="1098"/>
      <c r="DJ24" s="1098"/>
      <c r="DK24" s="1098"/>
      <c r="DL24" s="1098"/>
      <c r="DM24" s="1098"/>
      <c r="DN24" s="1097">
        <f t="shared" si="29"/>
        <v>0</v>
      </c>
      <c r="DO24" s="1252"/>
      <c r="DP24" s="1098"/>
      <c r="DQ24" s="1098"/>
      <c r="DR24" s="1098"/>
      <c r="DS24" s="1098"/>
      <c r="DT24" s="1098"/>
      <c r="DU24" s="1098"/>
      <c r="DV24" s="1098"/>
      <c r="DW24" s="1098"/>
      <c r="DX24" s="1098"/>
      <c r="DY24" s="1098"/>
      <c r="DZ24" s="1098"/>
      <c r="EA24" s="1097">
        <f t="shared" si="30"/>
        <v>0</v>
      </c>
      <c r="EB24" s="1252"/>
      <c r="EC24" s="1098"/>
      <c r="ED24" s="1098"/>
      <c r="EE24" s="1098"/>
      <c r="EF24" s="1098"/>
      <c r="EG24" s="1098"/>
      <c r="EH24" s="1098"/>
      <c r="EI24" s="1098"/>
      <c r="EJ24" s="1098"/>
      <c r="EK24" s="1098"/>
      <c r="EL24" s="1098"/>
      <c r="EM24" s="1098"/>
      <c r="EN24" s="1097">
        <f t="shared" si="31"/>
        <v>0</v>
      </c>
      <c r="EO24" s="1252"/>
      <c r="EP24" s="1098"/>
      <c r="EQ24" s="1098"/>
      <c r="ER24" s="1098"/>
      <c r="ES24" s="1098"/>
      <c r="ET24" s="1098"/>
      <c r="EU24" s="1098"/>
      <c r="EV24" s="1098"/>
      <c r="EW24" s="1098"/>
      <c r="EX24" s="1098"/>
      <c r="EY24" s="1098"/>
      <c r="EZ24" s="1098"/>
      <c r="FA24" s="1097">
        <f t="shared" si="32"/>
        <v>0</v>
      </c>
      <c r="FB24" s="1252"/>
      <c r="FC24" s="1098"/>
      <c r="FD24" s="1098"/>
      <c r="FE24" s="1098"/>
      <c r="FF24" s="1098"/>
      <c r="FG24" s="1098"/>
      <c r="FH24" s="1098"/>
      <c r="FI24" s="1098"/>
      <c r="FJ24" s="1098"/>
      <c r="FK24" s="1098"/>
      <c r="FL24" s="1098"/>
      <c r="FM24" s="1098"/>
      <c r="FN24" s="1097">
        <f t="shared" si="33"/>
        <v>0</v>
      </c>
      <c r="FO24" s="1252"/>
      <c r="FP24" s="1098"/>
      <c r="FQ24" s="1098"/>
      <c r="FR24" s="1098"/>
      <c r="FS24" s="1098"/>
      <c r="FT24" s="1098"/>
      <c r="FU24" s="1098"/>
      <c r="FV24" s="1098"/>
      <c r="FW24" s="1098"/>
      <c r="FX24" s="1098"/>
      <c r="FY24" s="1098"/>
      <c r="FZ24" s="1098"/>
      <c r="GA24" s="1097">
        <f t="shared" si="34"/>
        <v>0</v>
      </c>
      <c r="GB24" s="1252"/>
      <c r="GC24" s="1098"/>
      <c r="GD24" s="1098"/>
      <c r="GE24" s="1098"/>
      <c r="GF24" s="1098"/>
      <c r="GG24" s="1098"/>
      <c r="GH24" s="1098"/>
      <c r="GI24" s="1098"/>
      <c r="GJ24" s="1098"/>
      <c r="GK24" s="1098"/>
      <c r="GL24" s="1098"/>
      <c r="GM24" s="1098"/>
      <c r="GN24" s="1097">
        <f t="shared" si="35"/>
        <v>0</v>
      </c>
      <c r="GO24" s="1252"/>
      <c r="GP24" s="1098"/>
      <c r="GQ24" s="1098"/>
      <c r="GR24" s="1098"/>
      <c r="GS24" s="1098"/>
      <c r="GT24" s="1098"/>
      <c r="GU24" s="1098"/>
      <c r="GV24" s="1098"/>
      <c r="GW24" s="1098"/>
      <c r="GX24" s="1098"/>
      <c r="GY24" s="1098"/>
      <c r="GZ24" s="1098"/>
      <c r="HA24" s="1097">
        <f t="shared" si="36"/>
        <v>0</v>
      </c>
      <c r="HB24" s="1252"/>
      <c r="HC24" s="1098"/>
      <c r="HD24" s="1098"/>
      <c r="HE24" s="1098"/>
      <c r="HF24" s="1098"/>
      <c r="HG24" s="1098"/>
      <c r="HH24" s="1098"/>
      <c r="HI24" s="1098"/>
      <c r="HJ24" s="1098"/>
      <c r="HK24" s="1098"/>
      <c r="HL24" s="1098"/>
      <c r="HM24" s="1098"/>
      <c r="HN24" s="1097">
        <f t="shared" si="37"/>
        <v>0</v>
      </c>
      <c r="HO24" s="1252"/>
      <c r="HP24" s="1098"/>
      <c r="HQ24" s="1098"/>
      <c r="HR24" s="1098"/>
      <c r="HS24" s="1098"/>
      <c r="HT24" s="1098"/>
      <c r="HU24" s="1098"/>
      <c r="HV24" s="1098"/>
      <c r="HW24" s="1098"/>
      <c r="HX24" s="1098"/>
      <c r="HY24" s="1098"/>
      <c r="HZ24" s="1098"/>
      <c r="IA24" s="1097">
        <f t="shared" si="38"/>
        <v>0</v>
      </c>
      <c r="IB24" s="1252"/>
      <c r="IC24" s="1098"/>
      <c r="ID24" s="1098"/>
      <c r="IE24" s="1098"/>
      <c r="IF24" s="1098"/>
      <c r="IG24" s="1098"/>
      <c r="IH24" s="1098"/>
      <c r="II24" s="1098"/>
      <c r="IJ24" s="1098"/>
      <c r="IK24" s="1098"/>
      <c r="IL24" s="1098"/>
      <c r="IM24" s="1098"/>
      <c r="IN24" s="1097">
        <f t="shared" si="39"/>
        <v>0</v>
      </c>
      <c r="IO24" s="1252"/>
      <c r="IP24" s="1098"/>
      <c r="IQ24" s="1098"/>
      <c r="IR24" s="1098"/>
      <c r="IS24" s="1098"/>
      <c r="IT24" s="1098"/>
      <c r="IU24" s="1098"/>
      <c r="IV24" s="1098"/>
      <c r="IW24" s="1098"/>
      <c r="IX24" s="1098"/>
      <c r="IY24" s="1098"/>
      <c r="IZ24" s="1098"/>
      <c r="JA24" s="1097">
        <f t="shared" si="40"/>
        <v>0</v>
      </c>
      <c r="JB24" s="1252"/>
      <c r="JC24" s="1098"/>
      <c r="JD24" s="1098"/>
      <c r="JE24" s="1098"/>
      <c r="JF24" s="1098"/>
      <c r="JG24" s="1098"/>
      <c r="JH24" s="1098"/>
      <c r="JI24" s="1098"/>
      <c r="JJ24" s="1098"/>
      <c r="JK24" s="1098"/>
      <c r="JL24" s="1098"/>
      <c r="JM24" s="1098"/>
      <c r="JN24" s="1097">
        <f t="shared" si="41"/>
        <v>0</v>
      </c>
      <c r="JO24" s="1252"/>
      <c r="JP24" s="1098"/>
      <c r="JQ24" s="1098"/>
      <c r="JR24" s="1098"/>
      <c r="JS24" s="1098"/>
      <c r="JT24" s="1098"/>
      <c r="JU24" s="1098"/>
      <c r="JV24" s="1098"/>
      <c r="JW24" s="1098"/>
      <c r="JX24" s="1098"/>
      <c r="JY24" s="1098"/>
      <c r="JZ24" s="1098"/>
      <c r="KA24" s="1097">
        <f t="shared" si="42"/>
        <v>0</v>
      </c>
      <c r="KB24" s="1252"/>
      <c r="KC24" s="1098"/>
      <c r="KD24" s="1098"/>
      <c r="KE24" s="1098"/>
      <c r="KF24" s="1098"/>
      <c r="KG24" s="1098"/>
      <c r="KH24" s="1098"/>
      <c r="KI24" s="1098"/>
      <c r="KJ24" s="1098"/>
      <c r="KK24" s="1098"/>
      <c r="KL24" s="1098"/>
      <c r="KM24" s="1098"/>
      <c r="KN24" s="1097">
        <f t="shared" si="43"/>
        <v>0</v>
      </c>
      <c r="KO24" s="1252"/>
      <c r="KP24" s="1098"/>
      <c r="KQ24" s="1098"/>
      <c r="KR24" s="1098"/>
      <c r="KS24" s="1098"/>
      <c r="KT24" s="1098"/>
      <c r="KU24" s="1098"/>
      <c r="KV24" s="1098"/>
      <c r="KW24" s="1098"/>
      <c r="KX24" s="1098"/>
      <c r="KY24" s="1098"/>
      <c r="KZ24" s="1098"/>
      <c r="LA24" s="1097">
        <f t="shared" si="44"/>
        <v>0</v>
      </c>
      <c r="LB24" s="1252"/>
      <c r="LC24" s="1098"/>
      <c r="LD24" s="1098"/>
      <c r="LE24" s="1098"/>
      <c r="LF24" s="1098"/>
      <c r="LG24" s="1098"/>
      <c r="LH24" s="1098"/>
      <c r="LI24" s="1098">
        <v>23.411999999999999</v>
      </c>
      <c r="LJ24" s="1098"/>
      <c r="LK24" s="1098"/>
      <c r="LL24" s="1098"/>
      <c r="LM24" s="1098"/>
      <c r="LN24" s="1097">
        <f t="shared" si="45"/>
        <v>23.411999999999999</v>
      </c>
      <c r="LP24" s="1116"/>
      <c r="LQ24" s="1117"/>
      <c r="LR24" s="1079"/>
      <c r="LS24" s="1118"/>
      <c r="LT24" s="1"/>
      <c r="LU24" s="629"/>
      <c r="LV24" s="1139">
        <f t="shared" si="50"/>
        <v>46.823999999999998</v>
      </c>
      <c r="LW24" s="1286" t="s">
        <v>61</v>
      </c>
      <c r="LX24" s="1147" t="str">
        <f t="shared" si="51"/>
        <v>OK</v>
      </c>
    </row>
    <row r="25" spans="1:336" ht="15" customHeight="1" x14ac:dyDescent="0.2">
      <c r="A25" s="1280" t="s">
        <v>62</v>
      </c>
      <c r="B25" s="1252">
        <v>71.47</v>
      </c>
      <c r="C25" s="1098">
        <v>21.946999999999999</v>
      </c>
      <c r="D25" s="1098">
        <v>21.759</v>
      </c>
      <c r="E25" s="1098">
        <v>87.046000000000006</v>
      </c>
      <c r="F25" s="1098">
        <v>16.690999999999999</v>
      </c>
      <c r="G25" s="1098">
        <v>27.158000000000001</v>
      </c>
      <c r="H25" s="1098">
        <v>38.47</v>
      </c>
      <c r="I25" s="1098">
        <v>28.876000000000001</v>
      </c>
      <c r="J25" s="1098">
        <v>64.923000000000002</v>
      </c>
      <c r="K25" s="1098">
        <v>42.695</v>
      </c>
      <c r="L25" s="1098">
        <v>87.427000000000007</v>
      </c>
      <c r="M25" s="1098">
        <v>105.98</v>
      </c>
      <c r="N25" s="1097">
        <f t="shared" si="21"/>
        <v>614.44200000000001</v>
      </c>
      <c r="O25" s="1252">
        <v>92</v>
      </c>
      <c r="P25" s="1098">
        <v>13</v>
      </c>
      <c r="Q25" s="1098">
        <v>45.011000000000003</v>
      </c>
      <c r="R25" s="1098">
        <v>85.251000000000005</v>
      </c>
      <c r="S25" s="1098">
        <v>150.48699999999999</v>
      </c>
      <c r="T25" s="1098">
        <v>122.88</v>
      </c>
      <c r="U25" s="1098">
        <v>97.963999999999999</v>
      </c>
      <c r="V25" s="1098">
        <v>74.256</v>
      </c>
      <c r="W25" s="1098">
        <v>75.106999999999999</v>
      </c>
      <c r="X25" s="1098">
        <v>44.01</v>
      </c>
      <c r="Y25" s="1098">
        <v>39.728000000000002</v>
      </c>
      <c r="Z25" s="1098">
        <v>39.715000000000003</v>
      </c>
      <c r="AA25" s="1097">
        <f t="shared" si="22"/>
        <v>879.40899999999999</v>
      </c>
      <c r="AB25" s="1252">
        <v>50.42</v>
      </c>
      <c r="AC25" s="1098">
        <v>45.015000000000001</v>
      </c>
      <c r="AD25" s="1098">
        <v>56.45</v>
      </c>
      <c r="AE25" s="1098">
        <v>42.133000000000003</v>
      </c>
      <c r="AF25" s="1098">
        <v>94.225999999999999</v>
      </c>
      <c r="AG25" s="1098">
        <v>31.135999999999999</v>
      </c>
      <c r="AH25" s="1098">
        <v>16.155999999999999</v>
      </c>
      <c r="AI25" s="1098">
        <v>24.291</v>
      </c>
      <c r="AJ25" s="1098">
        <v>17.547000000000001</v>
      </c>
      <c r="AK25" s="1098">
        <v>24.286999999999999</v>
      </c>
      <c r="AL25" s="1098">
        <v>52.334000000000003</v>
      </c>
      <c r="AM25" s="1098">
        <v>68.105000000000004</v>
      </c>
      <c r="AN25" s="1097">
        <f t="shared" si="23"/>
        <v>522.1</v>
      </c>
      <c r="AO25" s="1252">
        <v>26.824000000000002</v>
      </c>
      <c r="AP25" s="1098">
        <v>92.77</v>
      </c>
      <c r="AQ25" s="1098">
        <v>87.582999999999998</v>
      </c>
      <c r="AR25" s="1098">
        <v>2.3580000000000001</v>
      </c>
      <c r="AS25" s="1098">
        <v>25.92</v>
      </c>
      <c r="AT25" s="1098">
        <v>62.33</v>
      </c>
      <c r="AU25" s="1098">
        <v>10</v>
      </c>
      <c r="AV25" s="1098">
        <v>20</v>
      </c>
      <c r="AW25" s="1098">
        <v>33</v>
      </c>
      <c r="AX25" s="1098">
        <v>60</v>
      </c>
      <c r="AY25" s="1098">
        <v>78</v>
      </c>
      <c r="AZ25" s="1098">
        <v>131</v>
      </c>
      <c r="BA25" s="1097">
        <f t="shared" si="24"/>
        <v>629.78499999999997</v>
      </c>
      <c r="BB25" s="1252">
        <v>146</v>
      </c>
      <c r="BC25" s="1098">
        <v>94</v>
      </c>
      <c r="BD25" s="1098">
        <v>158</v>
      </c>
      <c r="BE25" s="1098">
        <v>17</v>
      </c>
      <c r="BF25" s="1098">
        <v>58</v>
      </c>
      <c r="BG25" s="1098">
        <v>44</v>
      </c>
      <c r="BH25" s="1098">
        <v>24</v>
      </c>
      <c r="BI25" s="1098">
        <v>44</v>
      </c>
      <c r="BJ25" s="1098">
        <v>71</v>
      </c>
      <c r="BK25" s="1098">
        <v>17.448</v>
      </c>
      <c r="BL25" s="1098">
        <v>20.768999999999998</v>
      </c>
      <c r="BM25" s="1098">
        <v>68.424999999999997</v>
      </c>
      <c r="BN25" s="1097">
        <f t="shared" si="25"/>
        <v>762.64199999999994</v>
      </c>
      <c r="BO25" s="1252">
        <v>36.667999999999999</v>
      </c>
      <c r="BP25" s="1098">
        <v>64.39</v>
      </c>
      <c r="BQ25" s="1098">
        <v>78.569000000000003</v>
      </c>
      <c r="BR25" s="1098">
        <v>55.68</v>
      </c>
      <c r="BS25" s="1098">
        <v>37.497999999999998</v>
      </c>
      <c r="BT25" s="1098">
        <v>14.218</v>
      </c>
      <c r="BU25" s="1098">
        <v>53.128999999999998</v>
      </c>
      <c r="BV25" s="1098">
        <v>84.06</v>
      </c>
      <c r="BW25" s="1098">
        <v>148.12700000000001</v>
      </c>
      <c r="BX25" s="1098">
        <v>95.62</v>
      </c>
      <c r="BY25" s="1098">
        <v>83</v>
      </c>
      <c r="BZ25" s="1098">
        <v>95</v>
      </c>
      <c r="CA25" s="1097">
        <f t="shared" si="26"/>
        <v>845.95900000000006</v>
      </c>
      <c r="CB25" s="1252">
        <v>45</v>
      </c>
      <c r="CC25" s="1098">
        <v>54</v>
      </c>
      <c r="CD25" s="1098">
        <v>62</v>
      </c>
      <c r="CE25" s="1098">
        <v>22</v>
      </c>
      <c r="CF25" s="1098">
        <v>81</v>
      </c>
      <c r="CG25" s="1098">
        <v>25</v>
      </c>
      <c r="CH25" s="1098">
        <v>62</v>
      </c>
      <c r="CI25" s="1098">
        <v>65</v>
      </c>
      <c r="CJ25" s="1098">
        <v>29</v>
      </c>
      <c r="CK25" s="1098">
        <v>29</v>
      </c>
      <c r="CL25" s="1098">
        <v>66</v>
      </c>
      <c r="CM25" s="1098">
        <v>39</v>
      </c>
      <c r="CN25" s="1097">
        <f t="shared" si="27"/>
        <v>579</v>
      </c>
      <c r="CO25" s="1252">
        <v>21</v>
      </c>
      <c r="CP25" s="1098">
        <v>42</v>
      </c>
      <c r="CQ25" s="1098">
        <v>20</v>
      </c>
      <c r="CR25" s="1098"/>
      <c r="CS25" s="1098">
        <v>24</v>
      </c>
      <c r="CT25" s="1098">
        <v>12</v>
      </c>
      <c r="CU25" s="1098">
        <v>18</v>
      </c>
      <c r="CV25" s="1098">
        <v>7</v>
      </c>
      <c r="CW25" s="1098">
        <v>44</v>
      </c>
      <c r="CX25" s="1098">
        <v>15</v>
      </c>
      <c r="CY25" s="1098">
        <v>48</v>
      </c>
      <c r="CZ25" s="1098">
        <v>57</v>
      </c>
      <c r="DA25" s="1097">
        <f t="shared" si="28"/>
        <v>308</v>
      </c>
      <c r="DB25" s="1252">
        <v>2</v>
      </c>
      <c r="DC25" s="1098">
        <v>13</v>
      </c>
      <c r="DD25" s="1098">
        <v>11</v>
      </c>
      <c r="DE25" s="1098">
        <v>6</v>
      </c>
      <c r="DF25" s="1098">
        <v>16</v>
      </c>
      <c r="DG25" s="1098"/>
      <c r="DH25" s="1098">
        <v>11</v>
      </c>
      <c r="DI25" s="1098"/>
      <c r="DJ25" s="1098"/>
      <c r="DK25" s="1098">
        <v>5</v>
      </c>
      <c r="DL25" s="1098">
        <v>13</v>
      </c>
      <c r="DM25" s="1098">
        <v>15</v>
      </c>
      <c r="DN25" s="1097">
        <f t="shared" si="29"/>
        <v>92</v>
      </c>
      <c r="DO25" s="1252"/>
      <c r="DP25" s="1098">
        <v>37</v>
      </c>
      <c r="DQ25" s="1098"/>
      <c r="DR25" s="1098"/>
      <c r="DS25" s="1098"/>
      <c r="DT25" s="1098"/>
      <c r="DU25" s="1098"/>
      <c r="DV25" s="1098"/>
      <c r="DW25" s="1098"/>
      <c r="DX25" s="1098"/>
      <c r="DY25" s="1098">
        <v>9</v>
      </c>
      <c r="DZ25" s="1098">
        <v>3</v>
      </c>
      <c r="EA25" s="1097">
        <f t="shared" si="30"/>
        <v>49</v>
      </c>
      <c r="EB25" s="1252">
        <v>15</v>
      </c>
      <c r="EC25" s="1098"/>
      <c r="ED25" s="1098"/>
      <c r="EE25" s="1098">
        <v>2</v>
      </c>
      <c r="EF25" s="1098"/>
      <c r="EG25" s="1098"/>
      <c r="EH25" s="1098"/>
      <c r="EI25" s="1098"/>
      <c r="EJ25" s="1098"/>
      <c r="EK25" s="1098"/>
      <c r="EL25" s="1098">
        <v>6</v>
      </c>
      <c r="EM25" s="1098">
        <v>12</v>
      </c>
      <c r="EN25" s="1097">
        <f t="shared" si="31"/>
        <v>35</v>
      </c>
      <c r="EO25" s="1252"/>
      <c r="EP25" s="1098"/>
      <c r="EQ25" s="1098">
        <v>14</v>
      </c>
      <c r="ER25" s="1098"/>
      <c r="ES25" s="1098"/>
      <c r="ET25" s="1098"/>
      <c r="EU25" s="1098">
        <v>2</v>
      </c>
      <c r="EV25" s="1098"/>
      <c r="EW25" s="1098"/>
      <c r="EX25" s="1098"/>
      <c r="EY25" s="1098"/>
      <c r="EZ25" s="1098">
        <v>19</v>
      </c>
      <c r="FA25" s="1097">
        <f t="shared" si="32"/>
        <v>35</v>
      </c>
      <c r="FB25" s="1252">
        <v>19</v>
      </c>
      <c r="FC25" s="1098">
        <v>11</v>
      </c>
      <c r="FD25" s="1098">
        <v>1</v>
      </c>
      <c r="FE25" s="1098"/>
      <c r="FF25" s="1098"/>
      <c r="FG25" s="1098"/>
      <c r="FH25" s="1098"/>
      <c r="FI25" s="1098"/>
      <c r="FJ25" s="1098"/>
      <c r="FK25" s="1098"/>
      <c r="FL25" s="1098">
        <v>3</v>
      </c>
      <c r="FM25" s="1098">
        <v>15.5</v>
      </c>
      <c r="FN25" s="1097">
        <f t="shared" si="33"/>
        <v>49.5</v>
      </c>
      <c r="FO25" s="1252">
        <v>2</v>
      </c>
      <c r="FP25" s="1098">
        <v>18</v>
      </c>
      <c r="FQ25" s="1098"/>
      <c r="FR25" s="1098"/>
      <c r="FS25" s="1098"/>
      <c r="FT25" s="1098"/>
      <c r="FU25" s="1098"/>
      <c r="FV25" s="1098"/>
      <c r="FW25" s="1098"/>
      <c r="FX25" s="1098"/>
      <c r="FY25" s="1098"/>
      <c r="FZ25" s="1098"/>
      <c r="GA25" s="1097">
        <f t="shared" si="34"/>
        <v>20</v>
      </c>
      <c r="GB25" s="1252">
        <v>38</v>
      </c>
      <c r="GC25" s="1098"/>
      <c r="GD25" s="1098"/>
      <c r="GE25" s="1098"/>
      <c r="GF25" s="1098">
        <v>1</v>
      </c>
      <c r="GG25" s="1098"/>
      <c r="GH25" s="1098"/>
      <c r="GI25" s="1098"/>
      <c r="GJ25" s="1098"/>
      <c r="GK25" s="1098"/>
      <c r="GL25" s="1098">
        <v>9</v>
      </c>
      <c r="GM25" s="1098"/>
      <c r="GN25" s="1097">
        <f t="shared" si="35"/>
        <v>48</v>
      </c>
      <c r="GO25" s="1252"/>
      <c r="GP25" s="1098"/>
      <c r="GQ25" s="1098">
        <v>6.4660000000000002</v>
      </c>
      <c r="GR25" s="1098"/>
      <c r="GS25" s="1098"/>
      <c r="GT25" s="1098"/>
      <c r="GU25" s="1098"/>
      <c r="GV25" s="1098"/>
      <c r="GW25" s="1098">
        <v>4</v>
      </c>
      <c r="GX25" s="1098"/>
      <c r="GY25" s="1098"/>
      <c r="GZ25" s="1098"/>
      <c r="HA25" s="1097">
        <f t="shared" si="36"/>
        <v>10.466000000000001</v>
      </c>
      <c r="HB25" s="1252"/>
      <c r="HC25" s="1098"/>
      <c r="HD25" s="1098"/>
      <c r="HE25" s="1098"/>
      <c r="HF25" s="1098"/>
      <c r="HG25" s="1098"/>
      <c r="HH25" s="1098"/>
      <c r="HI25" s="1098"/>
      <c r="HJ25" s="1098"/>
      <c r="HK25" s="1098"/>
      <c r="HL25" s="1098"/>
      <c r="HM25" s="1098"/>
      <c r="HN25" s="1097">
        <f t="shared" si="37"/>
        <v>0</v>
      </c>
      <c r="HO25" s="1252"/>
      <c r="HP25" s="1098"/>
      <c r="HQ25" s="1098"/>
      <c r="HR25" s="1098"/>
      <c r="HS25" s="1098"/>
      <c r="HT25" s="1098"/>
      <c r="HU25" s="1098"/>
      <c r="HV25" s="1098"/>
      <c r="HW25" s="1098"/>
      <c r="HX25" s="1098"/>
      <c r="HY25" s="1098"/>
      <c r="HZ25" s="1098"/>
      <c r="IA25" s="1097">
        <f t="shared" si="38"/>
        <v>0</v>
      </c>
      <c r="IB25" s="1252"/>
      <c r="IC25" s="1098"/>
      <c r="ID25" s="1098"/>
      <c r="IE25" s="1098"/>
      <c r="IF25" s="1098"/>
      <c r="IG25" s="1098"/>
      <c r="IH25" s="1098"/>
      <c r="II25" s="1098"/>
      <c r="IJ25" s="1098"/>
      <c r="IK25" s="1098"/>
      <c r="IL25" s="1098"/>
      <c r="IM25" s="1098"/>
      <c r="IN25" s="1097">
        <f t="shared" si="39"/>
        <v>0</v>
      </c>
      <c r="IO25" s="1252"/>
      <c r="IP25" s="1098"/>
      <c r="IQ25" s="1098"/>
      <c r="IR25" s="1098"/>
      <c r="IS25" s="1098"/>
      <c r="IT25" s="1098"/>
      <c r="IU25" s="1098"/>
      <c r="IV25" s="1098"/>
      <c r="IW25" s="1098"/>
      <c r="IX25" s="1098"/>
      <c r="IY25" s="1098"/>
      <c r="IZ25" s="1098"/>
      <c r="JA25" s="1097">
        <f t="shared" si="40"/>
        <v>0</v>
      </c>
      <c r="JB25" s="1252"/>
      <c r="JC25" s="1098"/>
      <c r="JD25" s="1098"/>
      <c r="JE25" s="1098"/>
      <c r="JF25" s="1098"/>
      <c r="JG25" s="1098"/>
      <c r="JH25" s="1098"/>
      <c r="JI25" s="1098"/>
      <c r="JJ25" s="1098"/>
      <c r="JK25" s="1098"/>
      <c r="JL25" s="1098"/>
      <c r="JM25" s="1098"/>
      <c r="JN25" s="1097">
        <f t="shared" si="41"/>
        <v>0</v>
      </c>
      <c r="JO25" s="1252"/>
      <c r="JP25" s="1098"/>
      <c r="JQ25" s="1098"/>
      <c r="JR25" s="1098"/>
      <c r="JS25" s="1098"/>
      <c r="JT25" s="1098"/>
      <c r="JU25" s="1098"/>
      <c r="JV25" s="1098"/>
      <c r="JW25" s="1098"/>
      <c r="JX25" s="1098"/>
      <c r="JY25" s="1098"/>
      <c r="JZ25" s="1098"/>
      <c r="KA25" s="1097">
        <f t="shared" si="42"/>
        <v>0</v>
      </c>
      <c r="KB25" s="1252"/>
      <c r="KC25" s="1098"/>
      <c r="KD25" s="1098"/>
      <c r="KE25" s="1098"/>
      <c r="KF25" s="1098"/>
      <c r="KG25" s="1098"/>
      <c r="KH25" s="1098"/>
      <c r="KI25" s="1098"/>
      <c r="KJ25" s="1098"/>
      <c r="KK25" s="1098"/>
      <c r="KL25" s="1098"/>
      <c r="KM25" s="1098"/>
      <c r="KN25" s="1097">
        <f t="shared" si="43"/>
        <v>0</v>
      </c>
      <c r="KO25" s="1252"/>
      <c r="KP25" s="1098"/>
      <c r="KQ25" s="1098"/>
      <c r="KR25" s="1098">
        <v>4.2670000000000003</v>
      </c>
      <c r="KS25" s="1098"/>
      <c r="KT25" s="1098"/>
      <c r="KU25" s="1098"/>
      <c r="KV25" s="1098"/>
      <c r="KW25" s="1098"/>
      <c r="KX25" s="1098"/>
      <c r="KY25" s="1098"/>
      <c r="KZ25" s="1098">
        <v>4.883</v>
      </c>
      <c r="LA25" s="1097">
        <f t="shared" si="44"/>
        <v>9.15</v>
      </c>
      <c r="LB25" s="1252"/>
      <c r="LC25" s="1098"/>
      <c r="LD25" s="1098"/>
      <c r="LE25" s="1098"/>
      <c r="LF25" s="1098"/>
      <c r="LG25" s="1098"/>
      <c r="LH25" s="1098"/>
      <c r="LI25" s="1098"/>
      <c r="LJ25" s="1098"/>
      <c r="LK25" s="1098"/>
      <c r="LL25" s="1098"/>
      <c r="LM25" s="1098"/>
      <c r="LN25" s="1097">
        <f t="shared" si="45"/>
        <v>0</v>
      </c>
      <c r="LP25" s="1116" t="str">
        <f t="shared" ref="LP25:LP38" si="52">IFERROR(((
_xlfn.XLOOKUP((DATE(YEAR($LP$5),MONTH($LP$5),1)),$B$5:$LN$5,$B25:$LN25) /
_xlfn.XLOOKUP((DATE(YEAR($LP$5)-1,MONTH($LP$5),1)),$B$5:$LN$5,$B25:$LN25)
)-1)*100,"")</f>
        <v/>
      </c>
      <c r="LQ25" s="1117">
        <f t="shared" ref="LQ25:LQ38" si="53">IFERROR(((LS25/LR25)-1)*100,"")</f>
        <v>-100</v>
      </c>
      <c r="LR25" s="1079">
        <f t="shared" ref="LR25:LR38" si="54">SUMIFS($B25:$LN25,$B$5:$LN$5,"&gt;="&amp;DATE(YEAR($LP$5)-1,1,1),$B$5:$LN$5,"&lt;="&amp;DATE(YEAR($LP$5)-1,MONTH($LP$5),1))</f>
        <v>4.2670000000000003</v>
      </c>
      <c r="LS25" s="1118">
        <f t="shared" ref="LS25:LS38" si="55">SUMIFS($B25:$LN25,$B$5:$LN$5,"&gt;="&amp;DATE(YEAR($LP$5),1,1),$B$5:$LN$5,"&lt;="&amp;$LP$5)</f>
        <v>0</v>
      </c>
      <c r="LT25" s="1"/>
      <c r="LU25" s="629"/>
      <c r="LV25" s="1139">
        <f t="shared" si="50"/>
        <v>10978.906000000001</v>
      </c>
      <c r="LW25" s="1286" t="s">
        <v>62</v>
      </c>
      <c r="LX25" s="1147" t="str">
        <f t="shared" si="51"/>
        <v>OK</v>
      </c>
    </row>
    <row r="26" spans="1:336" ht="15" customHeight="1" x14ac:dyDescent="0.2">
      <c r="A26" s="1280" t="s">
        <v>63</v>
      </c>
      <c r="B26" s="1252"/>
      <c r="C26" s="1098"/>
      <c r="D26" s="1098"/>
      <c r="E26" s="1098"/>
      <c r="F26" s="1098"/>
      <c r="G26" s="1098"/>
      <c r="H26" s="1098"/>
      <c r="I26" s="1098"/>
      <c r="J26" s="1098"/>
      <c r="K26" s="1098"/>
      <c r="L26" s="1098">
        <v>10.61</v>
      </c>
      <c r="M26" s="1098">
        <v>33.018000000000001</v>
      </c>
      <c r="N26" s="1097">
        <f t="shared" si="21"/>
        <v>43.628</v>
      </c>
      <c r="O26" s="1252">
        <v>12</v>
      </c>
      <c r="P26" s="1098"/>
      <c r="Q26" s="1098"/>
      <c r="R26" s="1098">
        <v>204.83799999999999</v>
      </c>
      <c r="S26" s="1098"/>
      <c r="T26" s="1098"/>
      <c r="U26" s="1098"/>
      <c r="V26" s="1098"/>
      <c r="W26" s="1098"/>
      <c r="X26" s="1098"/>
      <c r="Y26" s="1098"/>
      <c r="Z26" s="1098"/>
      <c r="AA26" s="1097">
        <f t="shared" si="22"/>
        <v>216.83799999999999</v>
      </c>
      <c r="AB26" s="1252"/>
      <c r="AC26" s="1098">
        <v>9.327</v>
      </c>
      <c r="AD26" s="1098"/>
      <c r="AE26" s="1098"/>
      <c r="AF26" s="1098"/>
      <c r="AG26" s="1098">
        <v>4.101</v>
      </c>
      <c r="AH26" s="1098"/>
      <c r="AI26" s="1098">
        <v>11.726000000000001</v>
      </c>
      <c r="AJ26" s="1098"/>
      <c r="AK26" s="1098"/>
      <c r="AL26" s="1098">
        <v>9.875</v>
      </c>
      <c r="AM26" s="1098">
        <v>3.6869999999999998</v>
      </c>
      <c r="AN26" s="1097">
        <f t="shared" si="23"/>
        <v>38.716000000000001</v>
      </c>
      <c r="AO26" s="1252"/>
      <c r="AP26" s="1098"/>
      <c r="AQ26" s="1098">
        <v>5.4249999999999998</v>
      </c>
      <c r="AR26" s="1098"/>
      <c r="AS26" s="1098"/>
      <c r="AT26" s="1098"/>
      <c r="AU26" s="1098"/>
      <c r="AV26" s="1098"/>
      <c r="AW26" s="1098"/>
      <c r="AX26" s="1098"/>
      <c r="AY26" s="1098"/>
      <c r="AZ26" s="1098"/>
      <c r="BA26" s="1097">
        <f t="shared" si="24"/>
        <v>5.4249999999999998</v>
      </c>
      <c r="BB26" s="1252"/>
      <c r="BC26" s="1098"/>
      <c r="BD26" s="1098"/>
      <c r="BE26" s="1098"/>
      <c r="BF26" s="1098"/>
      <c r="BG26" s="1098"/>
      <c r="BH26" s="1098"/>
      <c r="BI26" s="1098"/>
      <c r="BJ26" s="1098">
        <v>20</v>
      </c>
      <c r="BK26" s="1098">
        <v>28.091000000000001</v>
      </c>
      <c r="BL26" s="1098">
        <v>10.507</v>
      </c>
      <c r="BM26" s="1098">
        <v>503.04</v>
      </c>
      <c r="BN26" s="1097">
        <f t="shared" si="25"/>
        <v>561.63800000000003</v>
      </c>
      <c r="BO26" s="1252"/>
      <c r="BP26" s="1098"/>
      <c r="BQ26" s="1098">
        <v>12.988</v>
      </c>
      <c r="BR26" s="1098">
        <v>2.6949999999999998</v>
      </c>
      <c r="BS26" s="1098"/>
      <c r="BT26" s="1098"/>
      <c r="BU26" s="1098"/>
      <c r="BV26" s="1098">
        <v>9.6120000000000001</v>
      </c>
      <c r="BW26" s="1098"/>
      <c r="BX26" s="1098"/>
      <c r="BY26" s="1098">
        <v>5</v>
      </c>
      <c r="BZ26" s="1098"/>
      <c r="CA26" s="1097">
        <f t="shared" si="26"/>
        <v>30.295000000000002</v>
      </c>
      <c r="CB26" s="1252"/>
      <c r="CC26" s="1098">
        <v>20</v>
      </c>
      <c r="CD26" s="1098">
        <v>27</v>
      </c>
      <c r="CE26" s="1098">
        <v>23</v>
      </c>
      <c r="CF26" s="1098">
        <v>22</v>
      </c>
      <c r="CG26" s="1098">
        <v>31</v>
      </c>
      <c r="CH26" s="1098">
        <v>11</v>
      </c>
      <c r="CI26" s="1098">
        <v>2</v>
      </c>
      <c r="CJ26" s="1098"/>
      <c r="CK26" s="1098"/>
      <c r="CL26" s="1098">
        <v>2</v>
      </c>
      <c r="CM26" s="1098">
        <v>5</v>
      </c>
      <c r="CN26" s="1097">
        <f t="shared" si="27"/>
        <v>143</v>
      </c>
      <c r="CO26" s="1252">
        <v>9</v>
      </c>
      <c r="CP26" s="1098">
        <v>4</v>
      </c>
      <c r="CQ26" s="1098"/>
      <c r="CR26" s="1098">
        <v>4</v>
      </c>
      <c r="CS26" s="1098"/>
      <c r="CT26" s="1098"/>
      <c r="CU26" s="1098"/>
      <c r="CV26" s="1098"/>
      <c r="CW26" s="1098"/>
      <c r="CX26" s="1098"/>
      <c r="CY26" s="1098"/>
      <c r="CZ26" s="1098">
        <v>7</v>
      </c>
      <c r="DA26" s="1097">
        <f t="shared" si="28"/>
        <v>24</v>
      </c>
      <c r="DB26" s="1252"/>
      <c r="DC26" s="1098"/>
      <c r="DD26" s="1098">
        <v>4</v>
      </c>
      <c r="DE26" s="1098"/>
      <c r="DF26" s="1098">
        <v>7</v>
      </c>
      <c r="DG26" s="1098">
        <v>2</v>
      </c>
      <c r="DH26" s="1098"/>
      <c r="DI26" s="1098"/>
      <c r="DJ26" s="1098">
        <v>2</v>
      </c>
      <c r="DK26" s="1098">
        <v>6</v>
      </c>
      <c r="DL26" s="1098">
        <v>10</v>
      </c>
      <c r="DM26" s="1098"/>
      <c r="DN26" s="1097">
        <f t="shared" si="29"/>
        <v>31</v>
      </c>
      <c r="DO26" s="1252">
        <v>6</v>
      </c>
      <c r="DP26" s="1098"/>
      <c r="DQ26" s="1098"/>
      <c r="DR26" s="1098"/>
      <c r="DS26" s="1098">
        <v>2</v>
      </c>
      <c r="DT26" s="1098"/>
      <c r="DU26" s="1098"/>
      <c r="DV26" s="1098"/>
      <c r="DW26" s="1098"/>
      <c r="DX26" s="1098"/>
      <c r="DY26" s="1098"/>
      <c r="DZ26" s="1098"/>
      <c r="EA26" s="1097">
        <f t="shared" si="30"/>
        <v>8</v>
      </c>
      <c r="EB26" s="1252">
        <v>18</v>
      </c>
      <c r="EC26" s="1098">
        <v>3</v>
      </c>
      <c r="ED26" s="1098"/>
      <c r="EE26" s="1098">
        <v>22</v>
      </c>
      <c r="EF26" s="1098">
        <v>18</v>
      </c>
      <c r="EG26" s="1098">
        <v>23</v>
      </c>
      <c r="EH26" s="1098">
        <v>15</v>
      </c>
      <c r="EI26" s="1098">
        <v>4</v>
      </c>
      <c r="EJ26" s="1098">
        <v>4</v>
      </c>
      <c r="EK26" s="1098">
        <v>14</v>
      </c>
      <c r="EL26" s="1098">
        <v>2</v>
      </c>
      <c r="EM26" s="1098">
        <v>2</v>
      </c>
      <c r="EN26" s="1097">
        <f t="shared" si="31"/>
        <v>125</v>
      </c>
      <c r="EO26" s="1252"/>
      <c r="EP26" s="1098"/>
      <c r="EQ26" s="1098"/>
      <c r="ER26" s="1098"/>
      <c r="ES26" s="1098"/>
      <c r="ET26" s="1098">
        <v>7</v>
      </c>
      <c r="EU26" s="1098"/>
      <c r="EV26" s="1098">
        <v>9</v>
      </c>
      <c r="EW26" s="1098">
        <v>15</v>
      </c>
      <c r="EX26" s="1098">
        <v>2</v>
      </c>
      <c r="EY26" s="1098"/>
      <c r="EZ26" s="1098"/>
      <c r="FA26" s="1097">
        <f t="shared" si="32"/>
        <v>33</v>
      </c>
      <c r="FB26" s="1252"/>
      <c r="FC26" s="1098">
        <v>1</v>
      </c>
      <c r="FD26" s="1098"/>
      <c r="FE26" s="1098">
        <v>3</v>
      </c>
      <c r="FF26" s="1098"/>
      <c r="FG26" s="1098">
        <v>2</v>
      </c>
      <c r="FH26" s="1098"/>
      <c r="FI26" s="1098">
        <v>2</v>
      </c>
      <c r="FJ26" s="1098">
        <v>1</v>
      </c>
      <c r="FK26" s="1098"/>
      <c r="FL26" s="1098">
        <v>1</v>
      </c>
      <c r="FM26" s="1098">
        <v>1</v>
      </c>
      <c r="FN26" s="1097">
        <f t="shared" si="33"/>
        <v>11</v>
      </c>
      <c r="FO26" s="1252">
        <v>12</v>
      </c>
      <c r="FP26" s="1098"/>
      <c r="FQ26" s="1098"/>
      <c r="FR26" s="1098">
        <v>2</v>
      </c>
      <c r="FS26" s="1098">
        <v>18</v>
      </c>
      <c r="FT26" s="1098">
        <v>10</v>
      </c>
      <c r="FU26" s="1098">
        <v>11</v>
      </c>
      <c r="FV26" s="1098">
        <v>5</v>
      </c>
      <c r="FW26" s="1098">
        <v>4</v>
      </c>
      <c r="FX26" s="1098"/>
      <c r="FY26" s="1098">
        <v>6</v>
      </c>
      <c r="FZ26" s="1098"/>
      <c r="GA26" s="1097">
        <f t="shared" si="34"/>
        <v>68</v>
      </c>
      <c r="GB26" s="1252">
        <v>7</v>
      </c>
      <c r="GC26" s="1098">
        <v>4</v>
      </c>
      <c r="GD26" s="1098"/>
      <c r="GE26" s="1098">
        <v>6</v>
      </c>
      <c r="GF26" s="1098">
        <v>4</v>
      </c>
      <c r="GG26" s="1098">
        <v>6</v>
      </c>
      <c r="GH26" s="1098"/>
      <c r="GI26" s="1098">
        <v>2</v>
      </c>
      <c r="GJ26" s="1098">
        <v>4</v>
      </c>
      <c r="GK26" s="1098">
        <v>2</v>
      </c>
      <c r="GL26" s="1098"/>
      <c r="GM26" s="1098"/>
      <c r="GN26" s="1097">
        <f t="shared" si="35"/>
        <v>35</v>
      </c>
      <c r="GO26" s="1252"/>
      <c r="GP26" s="1098"/>
      <c r="GQ26" s="1098"/>
      <c r="GR26" s="1098"/>
      <c r="GS26" s="1098"/>
      <c r="GT26" s="1098"/>
      <c r="GU26" s="1098"/>
      <c r="GV26" s="1098">
        <v>3</v>
      </c>
      <c r="GW26" s="1098">
        <v>14</v>
      </c>
      <c r="GX26" s="1098"/>
      <c r="GY26" s="1098"/>
      <c r="GZ26" s="1098"/>
      <c r="HA26" s="1097">
        <f t="shared" si="36"/>
        <v>17</v>
      </c>
      <c r="HB26" s="1252">
        <v>1</v>
      </c>
      <c r="HC26" s="1098">
        <v>1</v>
      </c>
      <c r="HD26" s="1098">
        <v>1.5329999999999999</v>
      </c>
      <c r="HE26" s="1098"/>
      <c r="HF26" s="1098"/>
      <c r="HG26" s="1098"/>
      <c r="HH26" s="1098"/>
      <c r="HI26" s="1098"/>
      <c r="HJ26" s="1098"/>
      <c r="HK26" s="1098"/>
      <c r="HL26" s="1098">
        <v>1.538</v>
      </c>
      <c r="HM26" s="1098"/>
      <c r="HN26" s="1097">
        <f t="shared" si="37"/>
        <v>5.0709999999999997</v>
      </c>
      <c r="HO26" s="1252"/>
      <c r="HP26" s="1098">
        <v>8.5530000000000008</v>
      </c>
      <c r="HQ26" s="1098">
        <v>0.67800000000000005</v>
      </c>
      <c r="HR26" s="1098">
        <v>18.132000000000001</v>
      </c>
      <c r="HS26" s="1098">
        <v>7.516</v>
      </c>
      <c r="HT26" s="1098">
        <v>0.98199999999999998</v>
      </c>
      <c r="HU26" s="1098"/>
      <c r="HV26" s="1098"/>
      <c r="HW26" s="1098"/>
      <c r="HX26" s="1098"/>
      <c r="HY26" s="1098"/>
      <c r="HZ26" s="1098"/>
      <c r="IA26" s="1097">
        <f t="shared" si="38"/>
        <v>35.861000000000004</v>
      </c>
      <c r="IB26" s="1252"/>
      <c r="IC26" s="1098"/>
      <c r="ID26" s="1098"/>
      <c r="IE26" s="1098"/>
      <c r="IF26" s="1098"/>
      <c r="IG26" s="1098"/>
      <c r="IH26" s="1098"/>
      <c r="II26" s="1098"/>
      <c r="IJ26" s="1098"/>
      <c r="IK26" s="1098"/>
      <c r="IL26" s="1098"/>
      <c r="IM26" s="1098"/>
      <c r="IN26" s="1097">
        <f t="shared" si="39"/>
        <v>0</v>
      </c>
      <c r="IO26" s="1252">
        <v>0.64300000000000002</v>
      </c>
      <c r="IP26" s="1098">
        <v>11.279</v>
      </c>
      <c r="IQ26" s="1098">
        <v>2.9689999999999999</v>
      </c>
      <c r="IR26" s="1098">
        <v>3.758</v>
      </c>
      <c r="IS26" s="1098"/>
      <c r="IT26" s="1098">
        <v>0.92700000000000005</v>
      </c>
      <c r="IU26" s="1098">
        <v>22.259</v>
      </c>
      <c r="IV26" s="1098">
        <v>14.109</v>
      </c>
      <c r="IW26" s="1098"/>
      <c r="IX26" s="1098">
        <v>0.35699999999999998</v>
      </c>
      <c r="IY26" s="1098">
        <v>5.62</v>
      </c>
      <c r="IZ26" s="1098"/>
      <c r="JA26" s="1097">
        <f t="shared" si="40"/>
        <v>61.920999999999999</v>
      </c>
      <c r="JB26" s="1252"/>
      <c r="JC26" s="1098">
        <v>11.968</v>
      </c>
      <c r="JD26" s="1098"/>
      <c r="JE26" s="1098"/>
      <c r="JF26" s="1098">
        <v>10.007</v>
      </c>
      <c r="JG26" s="1098"/>
      <c r="JH26" s="1098">
        <v>4.5659999999999998</v>
      </c>
      <c r="JI26" s="1098">
        <v>2.6869999999999998</v>
      </c>
      <c r="JJ26" s="1098">
        <v>8.3019999999999996</v>
      </c>
      <c r="JK26" s="1098">
        <v>11.085000000000001</v>
      </c>
      <c r="JL26" s="1098">
        <v>29.536000000000001</v>
      </c>
      <c r="JM26" s="1098">
        <v>22.666</v>
      </c>
      <c r="JN26" s="1097">
        <f t="shared" si="41"/>
        <v>100.81700000000001</v>
      </c>
      <c r="JO26" s="1252">
        <v>1.522</v>
      </c>
      <c r="JP26" s="1098">
        <v>22.015999999999998</v>
      </c>
      <c r="JQ26" s="1098">
        <v>7.2409999999999997</v>
      </c>
      <c r="JR26" s="1098">
        <v>20.289000000000001</v>
      </c>
      <c r="JS26" s="1098">
        <v>13.353</v>
      </c>
      <c r="JT26" s="1098"/>
      <c r="JU26" s="1098">
        <v>2.552</v>
      </c>
      <c r="JV26" s="1098">
        <v>26.481000000000002</v>
      </c>
      <c r="JW26" s="1098">
        <v>13.161</v>
      </c>
      <c r="JX26" s="1098">
        <v>4.7210000000000001</v>
      </c>
      <c r="JY26" s="1098">
        <v>5.8460000000000001</v>
      </c>
      <c r="JZ26" s="1098"/>
      <c r="KA26" s="1097">
        <f t="shared" si="42"/>
        <v>117.18200000000002</v>
      </c>
      <c r="KB26" s="1252"/>
      <c r="KC26" s="1098"/>
      <c r="KD26" s="1098">
        <v>10.377000000000001</v>
      </c>
      <c r="KE26" s="1098">
        <v>11.34</v>
      </c>
      <c r="KF26" s="1098">
        <v>28.977</v>
      </c>
      <c r="KG26" s="1098">
        <v>11.246</v>
      </c>
      <c r="KH26" s="1098">
        <v>3.5609999999999999</v>
      </c>
      <c r="KI26" s="1098">
        <v>24.303999999999998</v>
      </c>
      <c r="KJ26" s="1098">
        <v>21.263000000000002</v>
      </c>
      <c r="KK26" s="1098"/>
      <c r="KL26" s="1098">
        <v>1.9810000000000001</v>
      </c>
      <c r="KM26" s="1098">
        <v>5.5750000000000002</v>
      </c>
      <c r="KN26" s="1097">
        <f t="shared" si="43"/>
        <v>118.62400000000001</v>
      </c>
      <c r="KO26" s="1252">
        <v>14.738</v>
      </c>
      <c r="KP26" s="1098"/>
      <c r="KQ26" s="1098">
        <v>8.7159999999999993</v>
      </c>
      <c r="KR26" s="1098"/>
      <c r="KS26" s="1098">
        <v>7.335</v>
      </c>
      <c r="KT26" s="1098">
        <v>7.1710000000000003</v>
      </c>
      <c r="KU26" s="1098">
        <v>6.6539999999999999</v>
      </c>
      <c r="KV26" s="1098">
        <v>11.076000000000001</v>
      </c>
      <c r="KW26" s="1098"/>
      <c r="KX26" s="1098">
        <v>9.1259999999999994</v>
      </c>
      <c r="KY26" s="1098">
        <v>0.56299999999999994</v>
      </c>
      <c r="KZ26" s="1098"/>
      <c r="LA26" s="1097">
        <f t="shared" si="44"/>
        <v>65.379000000000005</v>
      </c>
      <c r="LB26" s="1252"/>
      <c r="LC26" s="1098"/>
      <c r="LD26" s="1098"/>
      <c r="LE26" s="1098"/>
      <c r="LF26" s="1098"/>
      <c r="LG26" s="1098"/>
      <c r="LH26" s="1098"/>
      <c r="LI26" s="1098"/>
      <c r="LJ26" s="1098"/>
      <c r="LK26" s="1098"/>
      <c r="LL26" s="1098"/>
      <c r="LM26" s="1098"/>
      <c r="LN26" s="1097">
        <f t="shared" si="45"/>
        <v>0</v>
      </c>
      <c r="LP26" s="1116">
        <f t="shared" si="52"/>
        <v>-100</v>
      </c>
      <c r="LQ26" s="1117">
        <f t="shared" si="53"/>
        <v>-100</v>
      </c>
      <c r="LR26" s="1079">
        <f t="shared" si="54"/>
        <v>55.690000000000005</v>
      </c>
      <c r="LS26" s="1118">
        <f t="shared" si="55"/>
        <v>0</v>
      </c>
      <c r="LT26" s="1"/>
      <c r="LU26" s="629"/>
      <c r="LV26" s="1139">
        <f t="shared" si="50"/>
        <v>3792.7899999999995</v>
      </c>
      <c r="LW26" s="1286" t="s">
        <v>63</v>
      </c>
      <c r="LX26" s="1147" t="str">
        <f t="shared" si="51"/>
        <v>OK</v>
      </c>
    </row>
    <row r="27" spans="1:336" ht="15" customHeight="1" x14ac:dyDescent="0.2">
      <c r="A27" s="1280" t="s">
        <v>64</v>
      </c>
      <c r="B27" s="1252">
        <v>18.867999999999999</v>
      </c>
      <c r="C27" s="1098"/>
      <c r="D27" s="1098"/>
      <c r="E27" s="1098"/>
      <c r="F27" s="1098"/>
      <c r="G27" s="1098">
        <v>3.0569999999999999</v>
      </c>
      <c r="H27" s="1098"/>
      <c r="I27" s="1098">
        <v>7.0750000000000002</v>
      </c>
      <c r="J27" s="1098"/>
      <c r="K27" s="1098"/>
      <c r="L27" s="1098"/>
      <c r="M27" s="1098"/>
      <c r="N27" s="1097">
        <f t="shared" si="21"/>
        <v>28.999999999999996</v>
      </c>
      <c r="O27" s="1252">
        <v>4</v>
      </c>
      <c r="P27" s="1098"/>
      <c r="Q27" s="1098"/>
      <c r="R27" s="1098"/>
      <c r="S27" s="1098">
        <v>11.792</v>
      </c>
      <c r="T27" s="1098">
        <v>2.3580000000000001</v>
      </c>
      <c r="U27" s="1098">
        <v>10.224</v>
      </c>
      <c r="V27" s="1098"/>
      <c r="W27" s="1098">
        <v>47.182000000000002</v>
      </c>
      <c r="X27" s="1098">
        <v>21.273</v>
      </c>
      <c r="Y27" s="1098">
        <v>8.1240000000000006</v>
      </c>
      <c r="Z27" s="1098"/>
      <c r="AA27" s="1097">
        <f t="shared" si="22"/>
        <v>104.95299999999999</v>
      </c>
      <c r="AB27" s="1252">
        <v>5.2</v>
      </c>
      <c r="AC27" s="1098">
        <v>44.798999999999999</v>
      </c>
      <c r="AD27" s="1098">
        <v>18.16</v>
      </c>
      <c r="AE27" s="1098"/>
      <c r="AF27" s="1098">
        <v>12.02</v>
      </c>
      <c r="AG27" s="1098"/>
      <c r="AH27" s="1098">
        <v>23.495000000000001</v>
      </c>
      <c r="AI27" s="1098">
        <v>52.753</v>
      </c>
      <c r="AJ27" s="1098">
        <v>6.9569999999999999</v>
      </c>
      <c r="AK27" s="1098"/>
      <c r="AL27" s="1098"/>
      <c r="AM27" s="1098"/>
      <c r="AN27" s="1097">
        <f t="shared" si="23"/>
        <v>163.38400000000001</v>
      </c>
      <c r="AO27" s="1252"/>
      <c r="AP27" s="1098">
        <v>28.302</v>
      </c>
      <c r="AQ27" s="1098">
        <v>6.6909999999999998</v>
      </c>
      <c r="AR27" s="1098">
        <v>15.532999999999999</v>
      </c>
      <c r="AS27" s="1098">
        <v>6.7690000000000001</v>
      </c>
      <c r="AT27" s="1098">
        <v>125.94199999999999</v>
      </c>
      <c r="AU27" s="1098"/>
      <c r="AV27" s="1098"/>
      <c r="AW27" s="1098"/>
      <c r="AX27" s="1098">
        <v>22</v>
      </c>
      <c r="AY27" s="1098"/>
      <c r="AZ27" s="1098">
        <v>52</v>
      </c>
      <c r="BA27" s="1097">
        <f t="shared" si="24"/>
        <v>257.23699999999997</v>
      </c>
      <c r="BB27" s="1252"/>
      <c r="BC27" s="1098">
        <v>6</v>
      </c>
      <c r="BD27" s="1098">
        <v>6</v>
      </c>
      <c r="BE27" s="1098">
        <v>12</v>
      </c>
      <c r="BF27" s="1098">
        <v>13</v>
      </c>
      <c r="BG27" s="1098">
        <v>24</v>
      </c>
      <c r="BH27" s="1098">
        <v>34</v>
      </c>
      <c r="BI27" s="1098">
        <v>97</v>
      </c>
      <c r="BJ27" s="1098">
        <v>48</v>
      </c>
      <c r="BK27" s="1098">
        <v>194.547</v>
      </c>
      <c r="BL27" s="1098">
        <v>13.837999999999999</v>
      </c>
      <c r="BM27" s="1098">
        <v>50.74</v>
      </c>
      <c r="BN27" s="1097">
        <f t="shared" si="25"/>
        <v>499.12500000000006</v>
      </c>
      <c r="BO27" s="1252">
        <v>35.738</v>
      </c>
      <c r="BP27" s="1098">
        <v>51.674999999999997</v>
      </c>
      <c r="BQ27" s="1098">
        <v>78.319999999999993</v>
      </c>
      <c r="BR27" s="1098">
        <v>91.733000000000004</v>
      </c>
      <c r="BS27" s="1098">
        <v>147.404</v>
      </c>
      <c r="BT27" s="1098">
        <v>117.377</v>
      </c>
      <c r="BU27" s="1098">
        <v>10.163</v>
      </c>
      <c r="BV27" s="1098">
        <v>75.784000000000006</v>
      </c>
      <c r="BW27" s="1098">
        <v>138.953</v>
      </c>
      <c r="BX27" s="1098">
        <v>88.475999999999999</v>
      </c>
      <c r="BY27" s="1098">
        <v>62</v>
      </c>
      <c r="BZ27" s="1098">
        <v>44</v>
      </c>
      <c r="CA27" s="1097">
        <f t="shared" si="26"/>
        <v>941.62299999999993</v>
      </c>
      <c r="CB27" s="1252">
        <v>2</v>
      </c>
      <c r="CC27" s="1098">
        <v>82</v>
      </c>
      <c r="CD27" s="1098">
        <v>21</v>
      </c>
      <c r="CE27" s="1098">
        <v>64</v>
      </c>
      <c r="CF27" s="1098">
        <v>88</v>
      </c>
      <c r="CG27" s="1098">
        <v>84</v>
      </c>
      <c r="CH27" s="1098">
        <v>51</v>
      </c>
      <c r="CI27" s="1098"/>
      <c r="CJ27" s="1098">
        <v>57</v>
      </c>
      <c r="CK27" s="1098"/>
      <c r="CL27" s="1098">
        <v>14</v>
      </c>
      <c r="CM27" s="1098">
        <v>18</v>
      </c>
      <c r="CN27" s="1097">
        <f t="shared" si="27"/>
        <v>481</v>
      </c>
      <c r="CO27" s="1252">
        <v>9</v>
      </c>
      <c r="CP27" s="1098">
        <v>3</v>
      </c>
      <c r="CQ27" s="1098">
        <v>2</v>
      </c>
      <c r="CR27" s="1098">
        <v>9</v>
      </c>
      <c r="CS27" s="1098">
        <v>1</v>
      </c>
      <c r="CT27" s="1098">
        <v>4</v>
      </c>
      <c r="CU27" s="1098">
        <v>21</v>
      </c>
      <c r="CV27" s="1098"/>
      <c r="CW27" s="1098"/>
      <c r="CX27" s="1098">
        <v>3</v>
      </c>
      <c r="CY27" s="1098">
        <v>8</v>
      </c>
      <c r="CZ27" s="1098"/>
      <c r="DA27" s="1097">
        <f t="shared" si="28"/>
        <v>60</v>
      </c>
      <c r="DB27" s="1252">
        <v>5</v>
      </c>
      <c r="DC27" s="1098">
        <v>8</v>
      </c>
      <c r="DD27" s="1098">
        <v>7</v>
      </c>
      <c r="DE27" s="1098">
        <v>8</v>
      </c>
      <c r="DF27" s="1098">
        <v>6</v>
      </c>
      <c r="DG27" s="1098">
        <v>16</v>
      </c>
      <c r="DH27" s="1098">
        <v>14</v>
      </c>
      <c r="DI27" s="1098">
        <v>5</v>
      </c>
      <c r="DJ27" s="1098">
        <v>6</v>
      </c>
      <c r="DK27" s="1098">
        <v>17</v>
      </c>
      <c r="DL27" s="1098">
        <v>17</v>
      </c>
      <c r="DM27" s="1098">
        <v>37</v>
      </c>
      <c r="DN27" s="1097">
        <f t="shared" si="29"/>
        <v>146</v>
      </c>
      <c r="DO27" s="1252">
        <v>22</v>
      </c>
      <c r="DP27" s="1098">
        <v>6</v>
      </c>
      <c r="DQ27" s="1098"/>
      <c r="DR27" s="1098"/>
      <c r="DS27" s="1098">
        <v>6</v>
      </c>
      <c r="DT27" s="1098"/>
      <c r="DU27" s="1098"/>
      <c r="DV27" s="1098"/>
      <c r="DW27" s="1098">
        <v>4</v>
      </c>
      <c r="DX27" s="1098"/>
      <c r="DY27" s="1098">
        <v>24</v>
      </c>
      <c r="DZ27" s="1098"/>
      <c r="EA27" s="1097">
        <f t="shared" si="30"/>
        <v>62</v>
      </c>
      <c r="EB27" s="1252">
        <v>16</v>
      </c>
      <c r="EC27" s="1098">
        <v>2</v>
      </c>
      <c r="ED27" s="1098"/>
      <c r="EE27" s="1098">
        <v>22</v>
      </c>
      <c r="EF27" s="1098">
        <v>11</v>
      </c>
      <c r="EG27" s="1098">
        <v>10</v>
      </c>
      <c r="EH27" s="1098">
        <v>1</v>
      </c>
      <c r="EI27" s="1098"/>
      <c r="EJ27" s="1098"/>
      <c r="EK27" s="1098"/>
      <c r="EL27" s="1098">
        <v>1</v>
      </c>
      <c r="EM27" s="1098"/>
      <c r="EN27" s="1097">
        <f t="shared" si="31"/>
        <v>63</v>
      </c>
      <c r="EO27" s="1252">
        <v>16</v>
      </c>
      <c r="EP27" s="1098">
        <v>28</v>
      </c>
      <c r="EQ27" s="1098">
        <v>13</v>
      </c>
      <c r="ER27" s="1098">
        <v>35</v>
      </c>
      <c r="ES27" s="1098">
        <v>62</v>
      </c>
      <c r="ET27" s="1098">
        <v>75</v>
      </c>
      <c r="EU27" s="1098">
        <v>54</v>
      </c>
      <c r="EV27" s="1098">
        <v>4</v>
      </c>
      <c r="EW27" s="1098"/>
      <c r="EX27" s="1098">
        <v>47</v>
      </c>
      <c r="EY27" s="1098">
        <v>21</v>
      </c>
      <c r="EZ27" s="1098">
        <v>15</v>
      </c>
      <c r="FA27" s="1097">
        <f t="shared" si="32"/>
        <v>370</v>
      </c>
      <c r="FB27" s="1252">
        <v>14</v>
      </c>
      <c r="FC27" s="1098"/>
      <c r="FD27" s="1098"/>
      <c r="FE27" s="1098">
        <v>1</v>
      </c>
      <c r="FF27" s="1098">
        <v>27</v>
      </c>
      <c r="FG27" s="1098"/>
      <c r="FH27" s="1098">
        <v>39</v>
      </c>
      <c r="FI27" s="1098">
        <v>77</v>
      </c>
      <c r="FJ27" s="1098">
        <v>168</v>
      </c>
      <c r="FK27" s="1098">
        <v>62</v>
      </c>
      <c r="FL27" s="1098">
        <v>11</v>
      </c>
      <c r="FM27" s="1098">
        <v>7.5</v>
      </c>
      <c r="FN27" s="1097">
        <f t="shared" si="33"/>
        <v>406.5</v>
      </c>
      <c r="FO27" s="1252"/>
      <c r="FP27" s="1098"/>
      <c r="FQ27" s="1098"/>
      <c r="FR27" s="1098">
        <v>6</v>
      </c>
      <c r="FS27" s="1098">
        <v>2</v>
      </c>
      <c r="FT27" s="1098">
        <v>24</v>
      </c>
      <c r="FU27" s="1098">
        <v>33</v>
      </c>
      <c r="FV27" s="1098">
        <v>2</v>
      </c>
      <c r="FW27" s="1098">
        <v>26</v>
      </c>
      <c r="FX27" s="1098">
        <v>67</v>
      </c>
      <c r="FY27" s="1098">
        <v>27</v>
      </c>
      <c r="FZ27" s="1098">
        <v>31</v>
      </c>
      <c r="GA27" s="1097">
        <f t="shared" si="34"/>
        <v>218</v>
      </c>
      <c r="GB27" s="1252">
        <v>6</v>
      </c>
      <c r="GC27" s="1098">
        <v>4</v>
      </c>
      <c r="GD27" s="1098">
        <v>6.5830000000000002</v>
      </c>
      <c r="GE27" s="1098"/>
      <c r="GF27" s="1098">
        <v>20.437999999999999</v>
      </c>
      <c r="GG27" s="1098">
        <v>20</v>
      </c>
      <c r="GH27" s="1098">
        <v>13</v>
      </c>
      <c r="GI27" s="1098">
        <v>8</v>
      </c>
      <c r="GJ27" s="1098"/>
      <c r="GK27" s="1098">
        <v>5</v>
      </c>
      <c r="GL27" s="1098">
        <v>16</v>
      </c>
      <c r="GM27" s="1098">
        <v>4.5</v>
      </c>
      <c r="GN27" s="1097">
        <f t="shared" si="35"/>
        <v>103.521</v>
      </c>
      <c r="GO27" s="1252">
        <v>3.7509999999999999</v>
      </c>
      <c r="GP27" s="1098">
        <v>0.81299999999999994</v>
      </c>
      <c r="GQ27" s="1098">
        <v>15.371</v>
      </c>
      <c r="GR27" s="1098">
        <v>3</v>
      </c>
      <c r="GS27" s="1098">
        <v>2</v>
      </c>
      <c r="GT27" s="1098"/>
      <c r="GU27" s="1098"/>
      <c r="GV27" s="1098">
        <v>21</v>
      </c>
      <c r="GW27" s="1098">
        <v>3</v>
      </c>
      <c r="GX27" s="1098">
        <v>5</v>
      </c>
      <c r="GY27" s="1098"/>
      <c r="GZ27" s="1098">
        <v>9</v>
      </c>
      <c r="HA27" s="1097">
        <f t="shared" si="36"/>
        <v>62.935000000000002</v>
      </c>
      <c r="HB27" s="1252"/>
      <c r="HC27" s="1098"/>
      <c r="HD27" s="1098">
        <v>12.053000000000001</v>
      </c>
      <c r="HE27" s="1098">
        <v>8.5839999999999996</v>
      </c>
      <c r="HF27" s="1098">
        <v>20</v>
      </c>
      <c r="HG27" s="1098">
        <v>15</v>
      </c>
      <c r="HH27" s="1098">
        <v>55</v>
      </c>
      <c r="HI27" s="1098">
        <v>9</v>
      </c>
      <c r="HJ27" s="1098">
        <v>11.753</v>
      </c>
      <c r="HK27" s="1098"/>
      <c r="HL27" s="1098"/>
      <c r="HM27" s="1098"/>
      <c r="HN27" s="1097">
        <f t="shared" si="37"/>
        <v>131.38999999999999</v>
      </c>
      <c r="HO27" s="1252"/>
      <c r="HP27" s="1098">
        <v>3.7759999999999998</v>
      </c>
      <c r="HQ27" s="1098"/>
      <c r="HR27" s="1098"/>
      <c r="HS27" s="1098"/>
      <c r="HT27" s="1098"/>
      <c r="HU27" s="1098">
        <v>3.2029999999999998</v>
      </c>
      <c r="HV27" s="1098"/>
      <c r="HW27" s="1098"/>
      <c r="HX27" s="1098">
        <v>179</v>
      </c>
      <c r="HY27" s="1098"/>
      <c r="HZ27" s="1098"/>
      <c r="IA27" s="1097">
        <f t="shared" si="38"/>
        <v>185.97899999999998</v>
      </c>
      <c r="IB27" s="1252"/>
      <c r="IC27" s="1098"/>
      <c r="ID27" s="1098"/>
      <c r="IE27" s="1098"/>
      <c r="IF27" s="1098"/>
      <c r="IG27" s="1098"/>
      <c r="IH27" s="1098"/>
      <c r="II27" s="1098"/>
      <c r="IJ27" s="1098"/>
      <c r="IK27" s="1098"/>
      <c r="IL27" s="1098"/>
      <c r="IM27" s="1098"/>
      <c r="IN27" s="1097">
        <f t="shared" si="39"/>
        <v>0</v>
      </c>
      <c r="IO27" s="1252"/>
      <c r="IP27" s="1098"/>
      <c r="IQ27" s="1098"/>
      <c r="IR27" s="1098"/>
      <c r="IS27" s="1098"/>
      <c r="IT27" s="1098"/>
      <c r="IU27" s="1098">
        <v>90.8</v>
      </c>
      <c r="IV27" s="1098">
        <v>74.616</v>
      </c>
      <c r="IW27" s="1098">
        <v>113.518</v>
      </c>
      <c r="IX27" s="1098">
        <v>100.815</v>
      </c>
      <c r="IY27" s="1098">
        <v>1.698</v>
      </c>
      <c r="IZ27" s="1098">
        <v>4.9809999999999999</v>
      </c>
      <c r="JA27" s="1097">
        <f t="shared" si="40"/>
        <v>386.42799999999994</v>
      </c>
      <c r="JB27" s="1252">
        <v>14.097</v>
      </c>
      <c r="JC27" s="1098">
        <v>10.347</v>
      </c>
      <c r="JD27" s="1098">
        <v>14.254</v>
      </c>
      <c r="JE27" s="1098">
        <v>21.19</v>
      </c>
      <c r="JF27" s="1098">
        <v>6.7590000000000003</v>
      </c>
      <c r="JG27" s="1098">
        <v>6.9130000000000003</v>
      </c>
      <c r="JH27" s="1098">
        <v>8.2070000000000007</v>
      </c>
      <c r="JI27" s="1098">
        <v>4.7030000000000003</v>
      </c>
      <c r="JJ27" s="1098">
        <v>14.519</v>
      </c>
      <c r="JK27" s="1098">
        <v>56.149000000000001</v>
      </c>
      <c r="JL27" s="1098">
        <v>50.531999999999996</v>
      </c>
      <c r="JM27" s="1098">
        <v>22.04</v>
      </c>
      <c r="JN27" s="1097">
        <f t="shared" si="41"/>
        <v>229.71</v>
      </c>
      <c r="JO27" s="1252">
        <v>18.873999999999999</v>
      </c>
      <c r="JP27" s="1098">
        <v>24.382999999999999</v>
      </c>
      <c r="JQ27" s="1098">
        <v>17.09</v>
      </c>
      <c r="JR27" s="1098">
        <v>19.466999999999999</v>
      </c>
      <c r="JS27" s="1098">
        <v>24.341000000000001</v>
      </c>
      <c r="JT27" s="1098">
        <v>32.445999999999998</v>
      </c>
      <c r="JU27" s="1098">
        <v>28.285</v>
      </c>
      <c r="JV27" s="1098">
        <v>36.573999999999998</v>
      </c>
      <c r="JW27" s="1098">
        <v>39.701999999999998</v>
      </c>
      <c r="JX27" s="1098">
        <v>77.058999999999997</v>
      </c>
      <c r="JY27" s="1098">
        <v>12.64</v>
      </c>
      <c r="JZ27" s="1098"/>
      <c r="KA27" s="1097">
        <f t="shared" si="42"/>
        <v>330.86099999999999</v>
      </c>
      <c r="KB27" s="1252">
        <v>10.318</v>
      </c>
      <c r="KC27" s="1098"/>
      <c r="KD27" s="1098"/>
      <c r="KE27" s="1098"/>
      <c r="KF27" s="1098">
        <v>12.063000000000001</v>
      </c>
      <c r="KG27" s="1098">
        <f>9.213+15.664</f>
        <v>24.876999999999999</v>
      </c>
      <c r="KH27" s="1098">
        <f>14.626+132.977</f>
        <v>147.60300000000001</v>
      </c>
      <c r="KI27" s="1098">
        <v>2.3660000000000001</v>
      </c>
      <c r="KJ27" s="1098">
        <f>10.29+42.172</f>
        <v>52.461999999999996</v>
      </c>
      <c r="KK27" s="1098">
        <v>6.5519999999999996</v>
      </c>
      <c r="KL27" s="1098">
        <v>1.5680000000000001</v>
      </c>
      <c r="KM27" s="1098">
        <v>16.475999999999999</v>
      </c>
      <c r="KN27" s="1097">
        <f t="shared" si="43"/>
        <v>274.28499999999997</v>
      </c>
      <c r="KO27" s="1252"/>
      <c r="KP27" s="1098">
        <v>9.6750000000000007</v>
      </c>
      <c r="KQ27" s="1098"/>
      <c r="KR27" s="1098">
        <v>10.576000000000001</v>
      </c>
      <c r="KS27" s="1098">
        <v>5.4939999999999998</v>
      </c>
      <c r="KT27" s="1098">
        <v>30.991</v>
      </c>
      <c r="KU27" s="1098">
        <v>26.077999999999999</v>
      </c>
      <c r="KV27" s="1098">
        <v>49.295000000000002</v>
      </c>
      <c r="KW27" s="1098">
        <v>17.998000000000001</v>
      </c>
      <c r="KX27" s="1098">
        <v>17.154</v>
      </c>
      <c r="KY27" s="1098">
        <v>20.167000000000002</v>
      </c>
      <c r="KZ27" s="1098"/>
      <c r="LA27" s="1097">
        <f t="shared" si="44"/>
        <v>187.428</v>
      </c>
      <c r="LB27" s="1252"/>
      <c r="LC27" s="1098"/>
      <c r="LD27" s="1098"/>
      <c r="LE27" s="1098">
        <v>1</v>
      </c>
      <c r="LF27" s="1098"/>
      <c r="LG27" s="1098"/>
      <c r="LH27" s="1098">
        <v>1</v>
      </c>
      <c r="LI27" s="1098"/>
      <c r="LJ27" s="1098"/>
      <c r="LK27" s="1098"/>
      <c r="LL27" s="1098"/>
      <c r="LM27" s="1098"/>
      <c r="LN27" s="1097">
        <f t="shared" si="45"/>
        <v>2</v>
      </c>
      <c r="LP27" s="1116">
        <f t="shared" si="52"/>
        <v>-100</v>
      </c>
      <c r="LQ27" s="1117">
        <f t="shared" si="53"/>
        <v>-98.486098600398151</v>
      </c>
      <c r="LR27" s="1079">
        <f t="shared" si="54"/>
        <v>132.10900000000001</v>
      </c>
      <c r="LS27" s="1118">
        <f t="shared" si="55"/>
        <v>2</v>
      </c>
      <c r="LT27" s="1"/>
      <c r="LU27" s="629"/>
      <c r="LV27" s="1139">
        <f t="shared" si="50"/>
        <v>11392.717999999993</v>
      </c>
      <c r="LW27" s="1286" t="s">
        <v>64</v>
      </c>
      <c r="LX27" s="1147" t="str">
        <f t="shared" si="51"/>
        <v>OK</v>
      </c>
    </row>
    <row r="28" spans="1:336" ht="15" customHeight="1" x14ac:dyDescent="0.2">
      <c r="A28" s="1280" t="s">
        <v>65</v>
      </c>
      <c r="B28" s="1252"/>
      <c r="C28" s="1098"/>
      <c r="D28" s="1098">
        <v>7.0140000000000002</v>
      </c>
      <c r="E28" s="1098"/>
      <c r="F28" s="1098"/>
      <c r="G28" s="1098"/>
      <c r="H28" s="1098">
        <v>8.82</v>
      </c>
      <c r="I28" s="1098"/>
      <c r="J28" s="1098"/>
      <c r="K28" s="1098"/>
      <c r="L28" s="1098"/>
      <c r="M28" s="1098"/>
      <c r="N28" s="1097">
        <f t="shared" si="21"/>
        <v>15.834</v>
      </c>
      <c r="O28" s="1252"/>
      <c r="P28" s="1098"/>
      <c r="Q28" s="1098"/>
      <c r="R28" s="1098">
        <v>7.056</v>
      </c>
      <c r="S28" s="1098">
        <v>3.528</v>
      </c>
      <c r="T28" s="1098">
        <v>0.70799999999999996</v>
      </c>
      <c r="U28" s="1098">
        <v>2.2570000000000001</v>
      </c>
      <c r="V28" s="1098">
        <v>14.53</v>
      </c>
      <c r="W28" s="1098"/>
      <c r="X28" s="1098">
        <v>3.5379999999999998</v>
      </c>
      <c r="Y28" s="1098"/>
      <c r="Z28" s="1098">
        <v>4.9029999999999996</v>
      </c>
      <c r="AA28" s="1097">
        <f t="shared" si="22"/>
        <v>36.520000000000003</v>
      </c>
      <c r="AB28" s="1252">
        <v>25.594999999999999</v>
      </c>
      <c r="AC28" s="1098">
        <v>14.217000000000001</v>
      </c>
      <c r="AD28" s="1098">
        <v>11.673</v>
      </c>
      <c r="AE28" s="1098">
        <v>7.5469999999999997</v>
      </c>
      <c r="AF28" s="1098"/>
      <c r="AG28" s="1098">
        <v>8.0180000000000007</v>
      </c>
      <c r="AH28" s="1098">
        <v>13.356</v>
      </c>
      <c r="AI28" s="1098">
        <v>22.516999999999999</v>
      </c>
      <c r="AJ28" s="1098"/>
      <c r="AK28" s="1098"/>
      <c r="AL28" s="1098"/>
      <c r="AM28" s="1098">
        <v>15.323</v>
      </c>
      <c r="AN28" s="1097">
        <f t="shared" si="23"/>
        <v>118.24599999999998</v>
      </c>
      <c r="AO28" s="1252">
        <v>35.654000000000003</v>
      </c>
      <c r="AP28" s="1098">
        <v>12.071999999999999</v>
      </c>
      <c r="AQ28" s="1098">
        <v>10.138999999999999</v>
      </c>
      <c r="AR28" s="1098">
        <v>5.4909999999999997</v>
      </c>
      <c r="AS28" s="1098"/>
      <c r="AT28" s="1098">
        <v>4.54</v>
      </c>
      <c r="AU28" s="1098"/>
      <c r="AV28" s="1098"/>
      <c r="AW28" s="1098"/>
      <c r="AX28" s="1098">
        <v>4</v>
      </c>
      <c r="AY28" s="1098">
        <v>4</v>
      </c>
      <c r="AZ28" s="1098">
        <v>4</v>
      </c>
      <c r="BA28" s="1097">
        <f t="shared" si="24"/>
        <v>79.896000000000001</v>
      </c>
      <c r="BB28" s="1252"/>
      <c r="BC28" s="1098">
        <v>13</v>
      </c>
      <c r="BD28" s="1098">
        <v>26</v>
      </c>
      <c r="BE28" s="1098">
        <v>7</v>
      </c>
      <c r="BF28" s="1098">
        <v>7</v>
      </c>
      <c r="BG28" s="1098">
        <v>28</v>
      </c>
      <c r="BH28" s="1098">
        <v>2</v>
      </c>
      <c r="BI28" s="1098"/>
      <c r="BJ28" s="1098">
        <v>24</v>
      </c>
      <c r="BK28" s="1098">
        <v>17.149999999999999</v>
      </c>
      <c r="BL28" s="1098">
        <v>12.977</v>
      </c>
      <c r="BM28" s="1098">
        <v>14.012</v>
      </c>
      <c r="BN28" s="1097">
        <f t="shared" si="25"/>
        <v>151.13900000000001</v>
      </c>
      <c r="BO28" s="1252">
        <v>3.3319999999999999</v>
      </c>
      <c r="BP28" s="1098"/>
      <c r="BQ28" s="1098">
        <v>12.045999999999999</v>
      </c>
      <c r="BR28" s="1098">
        <v>3.5569999999999999</v>
      </c>
      <c r="BS28" s="1098">
        <v>14.824999999999999</v>
      </c>
      <c r="BT28" s="1098"/>
      <c r="BU28" s="1098">
        <v>2.4609999999999999</v>
      </c>
      <c r="BV28" s="1098">
        <v>35.384</v>
      </c>
      <c r="BW28" s="1098"/>
      <c r="BX28" s="1098"/>
      <c r="BY28" s="1098">
        <v>30</v>
      </c>
      <c r="BZ28" s="1098">
        <v>39</v>
      </c>
      <c r="CA28" s="1097">
        <f t="shared" si="26"/>
        <v>140.60499999999999</v>
      </c>
      <c r="CB28" s="1252">
        <v>13</v>
      </c>
      <c r="CC28" s="1098">
        <v>16</v>
      </c>
      <c r="CD28" s="1098">
        <v>8</v>
      </c>
      <c r="CE28" s="1098">
        <v>6</v>
      </c>
      <c r="CF28" s="1098">
        <v>4</v>
      </c>
      <c r="CG28" s="1098">
        <v>16</v>
      </c>
      <c r="CH28" s="1098">
        <v>17</v>
      </c>
      <c r="CI28" s="1098">
        <v>7</v>
      </c>
      <c r="CJ28" s="1098">
        <v>4</v>
      </c>
      <c r="CK28" s="1098"/>
      <c r="CL28" s="1098"/>
      <c r="CM28" s="1098">
        <v>3</v>
      </c>
      <c r="CN28" s="1097">
        <f t="shared" si="27"/>
        <v>94</v>
      </c>
      <c r="CO28" s="1252"/>
      <c r="CP28" s="1098"/>
      <c r="CQ28" s="1098"/>
      <c r="CR28" s="1098"/>
      <c r="CS28" s="1098"/>
      <c r="CT28" s="1098"/>
      <c r="CU28" s="1098"/>
      <c r="CV28" s="1098"/>
      <c r="CW28" s="1098"/>
      <c r="CX28" s="1098"/>
      <c r="CY28" s="1098"/>
      <c r="CZ28" s="1098">
        <v>7</v>
      </c>
      <c r="DA28" s="1097">
        <f t="shared" si="28"/>
        <v>7</v>
      </c>
      <c r="DB28" s="1252">
        <v>37</v>
      </c>
      <c r="DC28" s="1098">
        <v>9</v>
      </c>
      <c r="DD28" s="1098">
        <v>14</v>
      </c>
      <c r="DE28" s="1098">
        <v>17</v>
      </c>
      <c r="DF28" s="1098"/>
      <c r="DG28" s="1098"/>
      <c r="DH28" s="1098">
        <v>2</v>
      </c>
      <c r="DI28" s="1098"/>
      <c r="DJ28" s="1098">
        <v>5</v>
      </c>
      <c r="DK28" s="1098">
        <v>13</v>
      </c>
      <c r="DL28" s="1098"/>
      <c r="DM28" s="1098">
        <v>27</v>
      </c>
      <c r="DN28" s="1097">
        <f t="shared" si="29"/>
        <v>124</v>
      </c>
      <c r="DO28" s="1252">
        <v>2</v>
      </c>
      <c r="DP28" s="1098">
        <v>13</v>
      </c>
      <c r="DQ28" s="1098">
        <v>10</v>
      </c>
      <c r="DR28" s="1098">
        <v>2</v>
      </c>
      <c r="DS28" s="1098">
        <v>9</v>
      </c>
      <c r="DT28" s="1098">
        <v>13</v>
      </c>
      <c r="DU28" s="1098">
        <v>4</v>
      </c>
      <c r="DV28" s="1098">
        <v>6</v>
      </c>
      <c r="DW28" s="1098">
        <v>9</v>
      </c>
      <c r="DX28" s="1098">
        <v>5</v>
      </c>
      <c r="DY28" s="1098">
        <v>6</v>
      </c>
      <c r="DZ28" s="1098">
        <v>17</v>
      </c>
      <c r="EA28" s="1097">
        <f t="shared" si="30"/>
        <v>96</v>
      </c>
      <c r="EB28" s="1252">
        <v>18</v>
      </c>
      <c r="EC28" s="1098">
        <v>9</v>
      </c>
      <c r="ED28" s="1098">
        <v>4</v>
      </c>
      <c r="EE28" s="1098">
        <v>3</v>
      </c>
      <c r="EF28" s="1098">
        <v>7</v>
      </c>
      <c r="EG28" s="1098">
        <v>4</v>
      </c>
      <c r="EH28" s="1098">
        <v>21</v>
      </c>
      <c r="EI28" s="1098">
        <v>18</v>
      </c>
      <c r="EJ28" s="1098">
        <v>13</v>
      </c>
      <c r="EK28" s="1098">
        <v>19</v>
      </c>
      <c r="EL28" s="1098">
        <v>2</v>
      </c>
      <c r="EM28" s="1098">
        <v>9</v>
      </c>
      <c r="EN28" s="1097">
        <f t="shared" si="31"/>
        <v>127</v>
      </c>
      <c r="EO28" s="1252">
        <v>24</v>
      </c>
      <c r="EP28" s="1098">
        <v>63</v>
      </c>
      <c r="EQ28" s="1098">
        <v>3</v>
      </c>
      <c r="ER28" s="1098">
        <v>36</v>
      </c>
      <c r="ES28" s="1098">
        <v>29</v>
      </c>
      <c r="ET28" s="1098">
        <v>18</v>
      </c>
      <c r="EU28" s="1098">
        <v>12</v>
      </c>
      <c r="EV28" s="1098">
        <v>9</v>
      </c>
      <c r="EW28" s="1098">
        <v>28</v>
      </c>
      <c r="EX28" s="1098">
        <v>21</v>
      </c>
      <c r="EY28" s="1098">
        <v>12</v>
      </c>
      <c r="EZ28" s="1098">
        <v>6</v>
      </c>
      <c r="FA28" s="1097">
        <f t="shared" si="32"/>
        <v>261</v>
      </c>
      <c r="FB28" s="1252">
        <v>4</v>
      </c>
      <c r="FC28" s="1098">
        <v>13</v>
      </c>
      <c r="FD28" s="1098">
        <v>10</v>
      </c>
      <c r="FE28" s="1098">
        <v>16</v>
      </c>
      <c r="FF28" s="1098">
        <v>24</v>
      </c>
      <c r="FG28" s="1098">
        <v>13</v>
      </c>
      <c r="FH28" s="1098"/>
      <c r="FI28" s="1098">
        <v>25</v>
      </c>
      <c r="FJ28" s="1098">
        <v>22</v>
      </c>
      <c r="FK28" s="1098">
        <v>19</v>
      </c>
      <c r="FL28" s="1098">
        <v>7</v>
      </c>
      <c r="FM28" s="1098">
        <v>7.5</v>
      </c>
      <c r="FN28" s="1097">
        <f t="shared" si="33"/>
        <v>160.5</v>
      </c>
      <c r="FO28" s="1252">
        <v>3</v>
      </c>
      <c r="FP28" s="1098"/>
      <c r="FQ28" s="1098"/>
      <c r="FR28" s="1098">
        <v>5</v>
      </c>
      <c r="FS28" s="1098"/>
      <c r="FT28" s="1098">
        <v>8</v>
      </c>
      <c r="FU28" s="1098">
        <v>7</v>
      </c>
      <c r="FV28" s="1098">
        <v>3</v>
      </c>
      <c r="FW28" s="1098">
        <v>9</v>
      </c>
      <c r="FX28" s="1098">
        <v>6</v>
      </c>
      <c r="FY28" s="1098">
        <v>8</v>
      </c>
      <c r="FZ28" s="1098">
        <v>14</v>
      </c>
      <c r="GA28" s="1097">
        <f t="shared" si="34"/>
        <v>63</v>
      </c>
      <c r="GB28" s="1252">
        <v>1</v>
      </c>
      <c r="GC28" s="1098">
        <v>5</v>
      </c>
      <c r="GD28" s="1098">
        <v>6.9119999999999999</v>
      </c>
      <c r="GE28" s="1098">
        <v>5.056</v>
      </c>
      <c r="GF28" s="1098">
        <v>7.4820000000000002</v>
      </c>
      <c r="GG28" s="1098"/>
      <c r="GH28" s="1098">
        <v>20</v>
      </c>
      <c r="GI28" s="1098"/>
      <c r="GJ28" s="1098">
        <v>3</v>
      </c>
      <c r="GK28" s="1098">
        <v>2</v>
      </c>
      <c r="GL28" s="1098"/>
      <c r="GM28" s="1098">
        <v>42</v>
      </c>
      <c r="GN28" s="1097">
        <f t="shared" si="35"/>
        <v>92.45</v>
      </c>
      <c r="GO28" s="1252"/>
      <c r="GP28" s="1098">
        <v>7</v>
      </c>
      <c r="GQ28" s="1098">
        <v>39.948999999999998</v>
      </c>
      <c r="GR28" s="1098"/>
      <c r="GS28" s="1098">
        <v>2</v>
      </c>
      <c r="GT28" s="1098">
        <v>22</v>
      </c>
      <c r="GU28" s="1098">
        <v>6</v>
      </c>
      <c r="GV28" s="1098">
        <v>44</v>
      </c>
      <c r="GW28" s="1098">
        <v>11</v>
      </c>
      <c r="GX28" s="1098">
        <v>20</v>
      </c>
      <c r="GY28" s="1098">
        <v>1</v>
      </c>
      <c r="GZ28" s="1098"/>
      <c r="HA28" s="1097">
        <f t="shared" si="36"/>
        <v>152.94900000000001</v>
      </c>
      <c r="HB28" s="1252"/>
      <c r="HC28" s="1098"/>
      <c r="HD28" s="1098">
        <v>26.687000000000001</v>
      </c>
      <c r="HE28" s="1098">
        <v>11.997</v>
      </c>
      <c r="HF28" s="1098">
        <v>5</v>
      </c>
      <c r="HG28" s="1098">
        <v>24</v>
      </c>
      <c r="HH28" s="1098">
        <v>22</v>
      </c>
      <c r="HI28" s="1098">
        <v>50</v>
      </c>
      <c r="HJ28" s="1098">
        <f>44.088+7.595</f>
        <v>51.683</v>
      </c>
      <c r="HK28" s="1098">
        <v>44.68</v>
      </c>
      <c r="HL28" s="1098">
        <v>24.304000000000002</v>
      </c>
      <c r="HM28" s="1098">
        <v>13.73</v>
      </c>
      <c r="HN28" s="1097">
        <f t="shared" si="37"/>
        <v>274.08100000000002</v>
      </c>
      <c r="HO28" s="1252">
        <v>17.184999999999999</v>
      </c>
      <c r="HP28" s="1098">
        <f>15.816+1.203</f>
        <v>17.019000000000002</v>
      </c>
      <c r="HQ28" s="1098">
        <f>139.087+28.147</f>
        <v>167.23399999999998</v>
      </c>
      <c r="HR28" s="1098">
        <v>24</v>
      </c>
      <c r="HS28" s="1098">
        <v>83.441000000000003</v>
      </c>
      <c r="HT28" s="1098">
        <v>41.441000000000003</v>
      </c>
      <c r="HU28" s="1098">
        <v>24.085999999999999</v>
      </c>
      <c r="HV28" s="1098">
        <v>6.0060000000000002</v>
      </c>
      <c r="HW28" s="1098">
        <v>24.475000000000001</v>
      </c>
      <c r="HX28" s="1098">
        <v>46</v>
      </c>
      <c r="HY28" s="1098">
        <v>5</v>
      </c>
      <c r="HZ28" s="1098"/>
      <c r="IA28" s="1097">
        <f t="shared" si="38"/>
        <v>455.88700000000006</v>
      </c>
      <c r="IB28" s="1252">
        <v>19.206</v>
      </c>
      <c r="IC28" s="1098">
        <v>54.741999999999997</v>
      </c>
      <c r="ID28" s="1098">
        <v>25.058</v>
      </c>
      <c r="IE28" s="1098"/>
      <c r="IF28" s="1098"/>
      <c r="IG28" s="1098">
        <v>33.701999999999998</v>
      </c>
      <c r="IH28" s="1098">
        <v>42.081000000000003</v>
      </c>
      <c r="II28" s="1098">
        <v>21.196000000000002</v>
      </c>
      <c r="IJ28" s="1098">
        <v>113.235</v>
      </c>
      <c r="IK28" s="1098">
        <v>115</v>
      </c>
      <c r="IL28" s="1098">
        <v>46</v>
      </c>
      <c r="IM28" s="1098">
        <v>47</v>
      </c>
      <c r="IN28" s="1097">
        <f t="shared" si="39"/>
        <v>517.22</v>
      </c>
      <c r="IO28" s="1252"/>
      <c r="IP28" s="1098">
        <v>5.6630000000000003</v>
      </c>
      <c r="IQ28" s="1098">
        <v>4.0659999999999998</v>
      </c>
      <c r="IR28" s="1098">
        <v>4.7619999999999996</v>
      </c>
      <c r="IS28" s="1098">
        <v>49.637999999999998</v>
      </c>
      <c r="IT28" s="1098">
        <v>11.252000000000001</v>
      </c>
      <c r="IU28" s="1098">
        <v>23.376000000000001</v>
      </c>
      <c r="IV28" s="1098">
        <v>30.702999999999999</v>
      </c>
      <c r="IW28" s="1098">
        <v>5.835</v>
      </c>
      <c r="IX28" s="1098">
        <v>18.219000000000001</v>
      </c>
      <c r="IY28" s="1098">
        <v>89.39</v>
      </c>
      <c r="IZ28" s="1098">
        <v>11.792</v>
      </c>
      <c r="JA28" s="1097">
        <f t="shared" si="40"/>
        <v>254.696</v>
      </c>
      <c r="JB28" s="1252">
        <v>33.929000000000002</v>
      </c>
      <c r="JC28" s="1098">
        <v>2.8050000000000002</v>
      </c>
      <c r="JD28" s="1098">
        <v>10.167999999999999</v>
      </c>
      <c r="JE28" s="1098">
        <v>34.936</v>
      </c>
      <c r="JF28" s="1098">
        <v>13.617000000000001</v>
      </c>
      <c r="JG28" s="1098">
        <v>7.6429999999999998</v>
      </c>
      <c r="JH28" s="1098">
        <v>14.327999999999999</v>
      </c>
      <c r="JI28" s="1098">
        <v>9.1929999999999996</v>
      </c>
      <c r="JJ28" s="1098">
        <v>4.2709999999999999</v>
      </c>
      <c r="JK28" s="1098">
        <v>15.002000000000001</v>
      </c>
      <c r="JL28" s="1098">
        <v>3.3439999999999999</v>
      </c>
      <c r="JM28" s="1098">
        <v>28.494</v>
      </c>
      <c r="JN28" s="1097">
        <f t="shared" si="41"/>
        <v>177.73</v>
      </c>
      <c r="JO28" s="1252">
        <v>10.587999999999999</v>
      </c>
      <c r="JP28" s="1098">
        <v>9.2100000000000009</v>
      </c>
      <c r="JQ28" s="1098">
        <v>5.3819999999999997</v>
      </c>
      <c r="JR28" s="1098"/>
      <c r="JS28" s="1098">
        <v>3.9790000000000001</v>
      </c>
      <c r="JT28" s="1098">
        <v>3.05</v>
      </c>
      <c r="JU28" s="1098">
        <v>11.241</v>
      </c>
      <c r="JV28" s="1098">
        <v>25.542000000000002</v>
      </c>
      <c r="JW28" s="1098">
        <v>4.6740000000000004</v>
      </c>
      <c r="JX28" s="1098">
        <v>47.665999999999997</v>
      </c>
      <c r="JY28" s="1098">
        <v>1.7410000000000001</v>
      </c>
      <c r="JZ28" s="1098"/>
      <c r="KA28" s="1097">
        <f t="shared" si="42"/>
        <v>123.07299999999999</v>
      </c>
      <c r="KB28" s="1252"/>
      <c r="KC28" s="1098">
        <v>13.426</v>
      </c>
      <c r="KD28" s="1098">
        <v>3.6419999999999999</v>
      </c>
      <c r="KE28" s="1098"/>
      <c r="KF28" s="1098">
        <v>3.8940000000000001</v>
      </c>
      <c r="KG28" s="1098">
        <v>2.6320000000000001</v>
      </c>
      <c r="KH28" s="1098"/>
      <c r="KI28" s="1098">
        <v>9.5939999999999994</v>
      </c>
      <c r="KJ28" s="1098">
        <v>4.9660000000000002</v>
      </c>
      <c r="KK28" s="1098">
        <v>3.347</v>
      </c>
      <c r="KL28" s="1098">
        <v>6.2270000000000003</v>
      </c>
      <c r="KM28" s="1098">
        <v>4.4219999999999997</v>
      </c>
      <c r="KN28" s="1097">
        <f t="shared" si="43"/>
        <v>52.150000000000006</v>
      </c>
      <c r="KO28" s="1252"/>
      <c r="KP28" s="1098"/>
      <c r="KQ28" s="1098">
        <v>8.6649999999999991</v>
      </c>
      <c r="KR28" s="1098"/>
      <c r="KS28" s="1098"/>
      <c r="KT28" s="1098">
        <v>3.04</v>
      </c>
      <c r="KU28" s="1098"/>
      <c r="KV28" s="1098"/>
      <c r="KW28" s="1098"/>
      <c r="KX28" s="1098"/>
      <c r="KY28" s="1098">
        <v>1.649</v>
      </c>
      <c r="KZ28" s="1098">
        <v>4.54</v>
      </c>
      <c r="LA28" s="1097">
        <f t="shared" si="44"/>
        <v>17.893999999999998</v>
      </c>
      <c r="LB28" s="1252"/>
      <c r="LC28" s="1098"/>
      <c r="LD28" s="1098"/>
      <c r="LE28" s="1098"/>
      <c r="LF28" s="1098"/>
      <c r="LG28" s="1098"/>
      <c r="LH28" s="1098"/>
      <c r="LI28" s="1098"/>
      <c r="LJ28" s="1098"/>
      <c r="LK28" s="1098"/>
      <c r="LL28" s="1098"/>
      <c r="LM28" s="1098"/>
      <c r="LN28" s="1097">
        <f t="shared" si="45"/>
        <v>0</v>
      </c>
      <c r="LP28" s="1116" t="str">
        <f t="shared" si="52"/>
        <v/>
      </c>
      <c r="LQ28" s="1117">
        <f t="shared" si="53"/>
        <v>-100</v>
      </c>
      <c r="LR28" s="1079">
        <f t="shared" si="54"/>
        <v>11.704999999999998</v>
      </c>
      <c r="LS28" s="1118">
        <f t="shared" si="55"/>
        <v>0</v>
      </c>
      <c r="LT28" s="1"/>
      <c r="LU28" s="629"/>
      <c r="LV28" s="1139">
        <f t="shared" si="50"/>
        <v>7185.7400000000016</v>
      </c>
      <c r="LW28" s="1286" t="s">
        <v>65</v>
      </c>
      <c r="LX28" s="1147" t="str">
        <f t="shared" si="51"/>
        <v>OK</v>
      </c>
    </row>
    <row r="29" spans="1:336" ht="15" customHeight="1" x14ac:dyDescent="0.2">
      <c r="A29" s="1280" t="s">
        <v>66</v>
      </c>
      <c r="B29" s="1252"/>
      <c r="C29" s="1098"/>
      <c r="D29" s="1098"/>
      <c r="E29" s="1098"/>
      <c r="F29" s="1098"/>
      <c r="G29" s="1098"/>
      <c r="H29" s="1098"/>
      <c r="I29" s="1098"/>
      <c r="J29" s="1098"/>
      <c r="K29" s="1098"/>
      <c r="L29" s="1098"/>
      <c r="M29" s="1098"/>
      <c r="N29" s="1097">
        <f t="shared" si="21"/>
        <v>0</v>
      </c>
      <c r="O29" s="1252"/>
      <c r="P29" s="1098"/>
      <c r="Q29" s="1098"/>
      <c r="R29" s="1098"/>
      <c r="S29" s="1098">
        <v>16.085000000000001</v>
      </c>
      <c r="T29" s="1098"/>
      <c r="U29" s="1098"/>
      <c r="V29" s="1098"/>
      <c r="W29" s="1098"/>
      <c r="X29" s="1098"/>
      <c r="Y29" s="1098"/>
      <c r="Z29" s="1098"/>
      <c r="AA29" s="1097">
        <f t="shared" si="22"/>
        <v>16.085000000000001</v>
      </c>
      <c r="AB29" s="1252"/>
      <c r="AC29" s="1098"/>
      <c r="AD29" s="1098">
        <v>3.6320000000000001</v>
      </c>
      <c r="AE29" s="1098">
        <v>0.92900000000000005</v>
      </c>
      <c r="AF29" s="1098"/>
      <c r="AG29" s="1098"/>
      <c r="AH29" s="1098">
        <v>7.6360000000000001</v>
      </c>
      <c r="AI29" s="1098"/>
      <c r="AJ29" s="1098"/>
      <c r="AK29" s="1098"/>
      <c r="AL29" s="1098"/>
      <c r="AM29" s="1098">
        <v>4.7320000000000002</v>
      </c>
      <c r="AN29" s="1097">
        <f t="shared" si="23"/>
        <v>16.928999999999998</v>
      </c>
      <c r="AO29" s="1252"/>
      <c r="AP29" s="1098">
        <v>28.302</v>
      </c>
      <c r="AQ29" s="1098"/>
      <c r="AR29" s="1098"/>
      <c r="AS29" s="1098"/>
      <c r="AT29" s="1098"/>
      <c r="AU29" s="1098"/>
      <c r="AV29" s="1098">
        <v>14</v>
      </c>
      <c r="AW29" s="1098">
        <v>9</v>
      </c>
      <c r="AX29" s="1098"/>
      <c r="AY29" s="1098">
        <v>167</v>
      </c>
      <c r="AZ29" s="1098"/>
      <c r="BA29" s="1097">
        <f t="shared" si="24"/>
        <v>218.30199999999999</v>
      </c>
      <c r="BB29" s="1252">
        <v>17</v>
      </c>
      <c r="BC29" s="1098">
        <v>14</v>
      </c>
      <c r="BD29" s="1098">
        <v>17</v>
      </c>
      <c r="BE29" s="1098">
        <v>85</v>
      </c>
      <c r="BF29" s="1098">
        <v>35</v>
      </c>
      <c r="BG29" s="1098">
        <v>34</v>
      </c>
      <c r="BH29" s="1098">
        <v>36</v>
      </c>
      <c r="BI29" s="1098">
        <v>29</v>
      </c>
      <c r="BJ29" s="1098">
        <v>7</v>
      </c>
      <c r="BK29" s="1098">
        <v>49.677999999999997</v>
      </c>
      <c r="BL29" s="1098">
        <v>8.16</v>
      </c>
      <c r="BM29" s="1098">
        <v>16.407</v>
      </c>
      <c r="BN29" s="1097">
        <f t="shared" si="25"/>
        <v>348.245</v>
      </c>
      <c r="BO29" s="1252">
        <v>4.8099999999999996</v>
      </c>
      <c r="BP29" s="1098">
        <v>37.463999999999999</v>
      </c>
      <c r="BQ29" s="1098">
        <v>27.452000000000002</v>
      </c>
      <c r="BR29" s="1098">
        <v>49.55</v>
      </c>
      <c r="BS29" s="1098">
        <v>26.242999999999999</v>
      </c>
      <c r="BT29" s="1098">
        <v>41.82</v>
      </c>
      <c r="BU29" s="1098">
        <v>19.571999999999999</v>
      </c>
      <c r="BV29" s="1098">
        <v>13.975</v>
      </c>
      <c r="BW29" s="1098">
        <v>222.84200000000001</v>
      </c>
      <c r="BX29" s="1098">
        <v>38.311999999999998</v>
      </c>
      <c r="BY29" s="1098">
        <v>61</v>
      </c>
      <c r="BZ29" s="1098">
        <v>60</v>
      </c>
      <c r="CA29" s="1097">
        <f t="shared" si="26"/>
        <v>603.04</v>
      </c>
      <c r="CB29" s="1252">
        <v>78</v>
      </c>
      <c r="CC29" s="1098">
        <v>35</v>
      </c>
      <c r="CD29" s="1098">
        <v>10</v>
      </c>
      <c r="CE29" s="1098">
        <v>60</v>
      </c>
      <c r="CF29" s="1098">
        <v>63</v>
      </c>
      <c r="CG29" s="1098">
        <v>83</v>
      </c>
      <c r="CH29" s="1098">
        <v>125</v>
      </c>
      <c r="CI29" s="1098">
        <v>57</v>
      </c>
      <c r="CJ29" s="1098">
        <v>113</v>
      </c>
      <c r="CK29" s="1098">
        <v>64</v>
      </c>
      <c r="CL29" s="1098">
        <v>39</v>
      </c>
      <c r="CM29" s="1098">
        <v>60</v>
      </c>
      <c r="CN29" s="1097">
        <f t="shared" si="27"/>
        <v>787</v>
      </c>
      <c r="CO29" s="1252">
        <v>37</v>
      </c>
      <c r="CP29" s="1098">
        <v>9</v>
      </c>
      <c r="CQ29" s="1098">
        <v>40</v>
      </c>
      <c r="CR29" s="1098">
        <v>2</v>
      </c>
      <c r="CS29" s="1098">
        <v>7</v>
      </c>
      <c r="CT29" s="1098"/>
      <c r="CU29" s="1098"/>
      <c r="CV29" s="1098"/>
      <c r="CW29" s="1098"/>
      <c r="CX29" s="1098">
        <v>21</v>
      </c>
      <c r="CY29" s="1098">
        <v>36</v>
      </c>
      <c r="CZ29" s="1098">
        <v>8</v>
      </c>
      <c r="DA29" s="1097">
        <f t="shared" si="28"/>
        <v>160</v>
      </c>
      <c r="DB29" s="1252">
        <v>4</v>
      </c>
      <c r="DC29" s="1098">
        <v>18</v>
      </c>
      <c r="DD29" s="1098">
        <v>16</v>
      </c>
      <c r="DE29" s="1098">
        <v>5</v>
      </c>
      <c r="DF29" s="1098">
        <v>9</v>
      </c>
      <c r="DG29" s="1098">
        <v>9</v>
      </c>
      <c r="DH29" s="1098">
        <v>18</v>
      </c>
      <c r="DI29" s="1098">
        <v>9</v>
      </c>
      <c r="DJ29" s="1098">
        <v>9</v>
      </c>
      <c r="DK29" s="1098">
        <v>4</v>
      </c>
      <c r="DL29" s="1098">
        <v>4</v>
      </c>
      <c r="DM29" s="1098"/>
      <c r="DN29" s="1097">
        <f t="shared" si="29"/>
        <v>105</v>
      </c>
      <c r="DO29" s="1252"/>
      <c r="DP29" s="1098"/>
      <c r="DQ29" s="1098"/>
      <c r="DR29" s="1098"/>
      <c r="DS29" s="1098"/>
      <c r="DT29" s="1098">
        <v>2</v>
      </c>
      <c r="DU29" s="1098">
        <v>3</v>
      </c>
      <c r="DV29" s="1098">
        <v>11</v>
      </c>
      <c r="DW29" s="1098">
        <v>3</v>
      </c>
      <c r="DX29" s="1098">
        <v>5</v>
      </c>
      <c r="DY29" s="1098">
        <v>5</v>
      </c>
      <c r="DZ29" s="1098">
        <v>11</v>
      </c>
      <c r="EA29" s="1097">
        <f t="shared" si="30"/>
        <v>40</v>
      </c>
      <c r="EB29" s="1252">
        <v>10</v>
      </c>
      <c r="EC29" s="1098">
        <v>4</v>
      </c>
      <c r="ED29" s="1098">
        <v>5</v>
      </c>
      <c r="EE29" s="1098"/>
      <c r="EF29" s="1098">
        <v>6</v>
      </c>
      <c r="EG29" s="1098">
        <v>2</v>
      </c>
      <c r="EH29" s="1098">
        <v>5</v>
      </c>
      <c r="EI29" s="1098"/>
      <c r="EJ29" s="1098"/>
      <c r="EK29" s="1098">
        <v>4</v>
      </c>
      <c r="EL29" s="1098">
        <v>2</v>
      </c>
      <c r="EM29" s="1098"/>
      <c r="EN29" s="1097">
        <f t="shared" si="31"/>
        <v>38</v>
      </c>
      <c r="EO29" s="1252">
        <v>2</v>
      </c>
      <c r="EP29" s="1098">
        <v>16</v>
      </c>
      <c r="EQ29" s="1098"/>
      <c r="ER29" s="1098">
        <v>4</v>
      </c>
      <c r="ES29" s="1098">
        <v>9</v>
      </c>
      <c r="ET29" s="1098"/>
      <c r="EU29" s="1098"/>
      <c r="EV29" s="1098"/>
      <c r="EW29" s="1098">
        <v>7</v>
      </c>
      <c r="EX29" s="1098"/>
      <c r="EY29" s="1098">
        <v>9</v>
      </c>
      <c r="EZ29" s="1098">
        <v>19</v>
      </c>
      <c r="FA29" s="1097">
        <f t="shared" si="32"/>
        <v>66</v>
      </c>
      <c r="FB29" s="1252">
        <v>4</v>
      </c>
      <c r="FC29" s="1098">
        <v>3</v>
      </c>
      <c r="FD29" s="1098"/>
      <c r="FE29" s="1098"/>
      <c r="FF29" s="1098">
        <v>11</v>
      </c>
      <c r="FG29" s="1098">
        <v>7</v>
      </c>
      <c r="FH29" s="1098">
        <v>1</v>
      </c>
      <c r="FI29" s="1098">
        <v>14</v>
      </c>
      <c r="FJ29" s="1098">
        <v>1</v>
      </c>
      <c r="FK29" s="1098">
        <v>9</v>
      </c>
      <c r="FL29" s="1098">
        <v>5.5</v>
      </c>
      <c r="FM29" s="1098">
        <v>9.5</v>
      </c>
      <c r="FN29" s="1097">
        <f t="shared" si="33"/>
        <v>65</v>
      </c>
      <c r="FO29" s="1252">
        <v>5</v>
      </c>
      <c r="FP29" s="1098">
        <v>13</v>
      </c>
      <c r="FQ29" s="1098"/>
      <c r="FR29" s="1098"/>
      <c r="FS29" s="1098"/>
      <c r="FT29" s="1098"/>
      <c r="FU29" s="1098"/>
      <c r="FV29" s="1098">
        <v>4</v>
      </c>
      <c r="FW29" s="1098">
        <v>10</v>
      </c>
      <c r="FX29" s="1098">
        <v>4</v>
      </c>
      <c r="FY29" s="1098"/>
      <c r="FZ29" s="1098">
        <v>12</v>
      </c>
      <c r="GA29" s="1097">
        <f t="shared" si="34"/>
        <v>48</v>
      </c>
      <c r="GB29" s="1252">
        <v>6</v>
      </c>
      <c r="GC29" s="1098">
        <v>19</v>
      </c>
      <c r="GD29" s="1098">
        <v>11.103</v>
      </c>
      <c r="GE29" s="1098">
        <v>10.885999999999999</v>
      </c>
      <c r="GF29" s="1098">
        <v>11.721</v>
      </c>
      <c r="GG29" s="1098">
        <v>17</v>
      </c>
      <c r="GH29" s="1098">
        <v>18</v>
      </c>
      <c r="GI29" s="1098">
        <v>17</v>
      </c>
      <c r="GJ29" s="1098">
        <v>1</v>
      </c>
      <c r="GK29" s="1098">
        <v>7</v>
      </c>
      <c r="GL29" s="1098">
        <v>6</v>
      </c>
      <c r="GM29" s="1098">
        <v>6</v>
      </c>
      <c r="GN29" s="1097">
        <f t="shared" si="35"/>
        <v>130.71</v>
      </c>
      <c r="GO29" s="1252">
        <v>9.48</v>
      </c>
      <c r="GP29" s="1098">
        <v>0.99</v>
      </c>
      <c r="GQ29" s="1098"/>
      <c r="GR29" s="1098">
        <v>2</v>
      </c>
      <c r="GS29" s="1098"/>
      <c r="GT29" s="1098"/>
      <c r="GU29" s="1098">
        <v>3</v>
      </c>
      <c r="GV29" s="1098"/>
      <c r="GW29" s="1098">
        <v>5</v>
      </c>
      <c r="GX29" s="1098"/>
      <c r="GY29" s="1098">
        <v>3</v>
      </c>
      <c r="GZ29" s="1098">
        <v>5</v>
      </c>
      <c r="HA29" s="1097">
        <f t="shared" si="36"/>
        <v>28.47</v>
      </c>
      <c r="HB29" s="1252"/>
      <c r="HC29" s="1098"/>
      <c r="HD29" s="1098">
        <v>1.415</v>
      </c>
      <c r="HE29" s="1098">
        <v>1.016</v>
      </c>
      <c r="HF29" s="1098"/>
      <c r="HG29" s="1098"/>
      <c r="HH29" s="1098">
        <v>16</v>
      </c>
      <c r="HI29" s="1098">
        <v>11</v>
      </c>
      <c r="HJ29" s="1098">
        <v>5.6379999999999999</v>
      </c>
      <c r="HK29" s="1098">
        <v>3.4169999999999998</v>
      </c>
      <c r="HL29" s="1098"/>
      <c r="HM29" s="1098"/>
      <c r="HN29" s="1097">
        <f t="shared" si="37"/>
        <v>38.486000000000004</v>
      </c>
      <c r="HO29" s="1252"/>
      <c r="HP29" s="1098">
        <v>0.95499999999999996</v>
      </c>
      <c r="HQ29" s="1098">
        <v>21.675000000000001</v>
      </c>
      <c r="HR29" s="1098">
        <v>7.0730000000000004</v>
      </c>
      <c r="HS29" s="1098">
        <v>12.29</v>
      </c>
      <c r="HT29" s="1098">
        <v>2.694</v>
      </c>
      <c r="HU29" s="1098">
        <v>0.77</v>
      </c>
      <c r="HV29" s="1098"/>
      <c r="HW29" s="1098">
        <v>5.2320000000000002</v>
      </c>
      <c r="HX29" s="1098">
        <v>7</v>
      </c>
      <c r="HY29" s="1098"/>
      <c r="HZ29" s="1098"/>
      <c r="IA29" s="1097">
        <f t="shared" si="38"/>
        <v>57.689</v>
      </c>
      <c r="IB29" s="1252">
        <v>14.452</v>
      </c>
      <c r="IC29" s="1098">
        <v>3.8460000000000001</v>
      </c>
      <c r="ID29" s="1098">
        <v>9.3190000000000008</v>
      </c>
      <c r="IE29" s="1098"/>
      <c r="IF29" s="1098"/>
      <c r="IG29" s="1098"/>
      <c r="IH29" s="1098">
        <v>2.7090000000000001</v>
      </c>
      <c r="II29" s="1098">
        <v>12.363</v>
      </c>
      <c r="IJ29" s="1098">
        <v>23.143999999999998</v>
      </c>
      <c r="IK29" s="1098">
        <v>32</v>
      </c>
      <c r="IL29" s="1098">
        <v>63</v>
      </c>
      <c r="IM29" s="1098">
        <v>6</v>
      </c>
      <c r="IN29" s="1097">
        <f t="shared" si="39"/>
        <v>166.833</v>
      </c>
      <c r="IO29" s="1252"/>
      <c r="IP29" s="1098">
        <v>8.2100000000000009</v>
      </c>
      <c r="IQ29" s="1098">
        <v>6.0590000000000002</v>
      </c>
      <c r="IR29" s="1098"/>
      <c r="IS29" s="1098"/>
      <c r="IT29" s="1098"/>
      <c r="IU29" s="1098">
        <v>10.361000000000001</v>
      </c>
      <c r="IV29" s="1098">
        <v>2.3780000000000001</v>
      </c>
      <c r="IW29" s="1098"/>
      <c r="IX29" s="1098">
        <v>5.09</v>
      </c>
      <c r="IY29" s="1098">
        <v>5.0270000000000001</v>
      </c>
      <c r="IZ29" s="1098">
        <v>9.4169999999999998</v>
      </c>
      <c r="JA29" s="1097">
        <f t="shared" si="40"/>
        <v>46.542000000000002</v>
      </c>
      <c r="JB29" s="1252"/>
      <c r="JC29" s="1098"/>
      <c r="JD29" s="1098">
        <v>8.6039999999999992</v>
      </c>
      <c r="JE29" s="1098">
        <v>2.524</v>
      </c>
      <c r="JF29" s="1098">
        <v>11.315</v>
      </c>
      <c r="JG29" s="1098">
        <v>3.6760000000000002</v>
      </c>
      <c r="JH29" s="1098">
        <v>26.481000000000002</v>
      </c>
      <c r="JI29" s="1098">
        <v>21.135000000000002</v>
      </c>
      <c r="JJ29" s="1098">
        <v>19.585000000000001</v>
      </c>
      <c r="JK29" s="1098">
        <v>8.407</v>
      </c>
      <c r="JL29" s="1098">
        <v>6.069</v>
      </c>
      <c r="JM29" s="1098"/>
      <c r="JN29" s="1097">
        <f t="shared" si="41"/>
        <v>107.79599999999999</v>
      </c>
      <c r="JO29" s="1252">
        <v>1.097</v>
      </c>
      <c r="JP29" s="1098">
        <v>6.5010000000000003</v>
      </c>
      <c r="JQ29" s="1098">
        <v>4.915</v>
      </c>
      <c r="JR29" s="1098">
        <v>6.6379999999999999</v>
      </c>
      <c r="JS29" s="1098">
        <v>11.69</v>
      </c>
      <c r="JT29" s="1098">
        <v>2.0680000000000001</v>
      </c>
      <c r="JU29" s="1098">
        <v>14.333</v>
      </c>
      <c r="JV29" s="1098">
        <v>4.1180000000000003</v>
      </c>
      <c r="JW29" s="1098">
        <v>13.254</v>
      </c>
      <c r="JX29" s="1098">
        <v>24.045999999999999</v>
      </c>
      <c r="JY29" s="1098">
        <v>45.831000000000003</v>
      </c>
      <c r="JZ29" s="1098"/>
      <c r="KA29" s="1097">
        <f t="shared" si="42"/>
        <v>134.49099999999999</v>
      </c>
      <c r="KB29" s="1252"/>
      <c r="KC29" s="1098"/>
      <c r="KD29" s="1098">
        <v>6.8049999999999997</v>
      </c>
      <c r="KE29" s="1098">
        <v>16.620999999999999</v>
      </c>
      <c r="KF29" s="1098">
        <v>17.864000000000001</v>
      </c>
      <c r="KG29" s="1098"/>
      <c r="KH29" s="1098">
        <v>19.388000000000002</v>
      </c>
      <c r="KI29" s="1098">
        <v>9.0510000000000002</v>
      </c>
      <c r="KJ29" s="1098"/>
      <c r="KK29" s="1098"/>
      <c r="KL29" s="1098">
        <v>2.7170000000000001</v>
      </c>
      <c r="KM29" s="1098">
        <v>1.1180000000000001</v>
      </c>
      <c r="KN29" s="1097">
        <f t="shared" si="43"/>
        <v>73.563999999999993</v>
      </c>
      <c r="KO29" s="1252">
        <v>1.08</v>
      </c>
      <c r="KP29" s="1098">
        <v>0.84399999999999997</v>
      </c>
      <c r="KQ29" s="1098">
        <v>2.78</v>
      </c>
      <c r="KR29" s="1098"/>
      <c r="KS29" s="1098">
        <v>4.3780000000000001</v>
      </c>
      <c r="KT29" s="1098">
        <v>2.5289999999999999</v>
      </c>
      <c r="KU29" s="1098">
        <v>8.69</v>
      </c>
      <c r="KV29" s="1098">
        <v>3.9319999999999999</v>
      </c>
      <c r="KW29" s="1098"/>
      <c r="KX29" s="1098">
        <v>0.78800000000000003</v>
      </c>
      <c r="KY29" s="1098">
        <v>1.343</v>
      </c>
      <c r="KZ29" s="1098"/>
      <c r="LA29" s="1097">
        <f t="shared" si="44"/>
        <v>26.364000000000001</v>
      </c>
      <c r="LB29" s="1252"/>
      <c r="LC29" s="1098"/>
      <c r="LD29" s="1098"/>
      <c r="LE29" s="1098"/>
      <c r="LF29" s="1098"/>
      <c r="LG29" s="1098"/>
      <c r="LH29" s="1098"/>
      <c r="LI29" s="1098"/>
      <c r="LJ29" s="1098"/>
      <c r="LK29" s="1098"/>
      <c r="LL29" s="1098"/>
      <c r="LM29" s="1098"/>
      <c r="LN29" s="1097">
        <f t="shared" si="45"/>
        <v>0</v>
      </c>
      <c r="LP29" s="1116">
        <f t="shared" si="52"/>
        <v>-100</v>
      </c>
      <c r="LQ29" s="1117">
        <f t="shared" si="53"/>
        <v>-100</v>
      </c>
      <c r="LR29" s="1079">
        <f t="shared" si="54"/>
        <v>24.233000000000001</v>
      </c>
      <c r="LS29" s="1118">
        <f t="shared" si="55"/>
        <v>0</v>
      </c>
      <c r="LT29" s="1"/>
      <c r="LU29" s="629"/>
      <c r="LV29" s="1139">
        <f t="shared" si="50"/>
        <v>6645.0920000000015</v>
      </c>
      <c r="LW29" s="1286" t="s">
        <v>66</v>
      </c>
      <c r="LX29" s="1147" t="str">
        <f t="shared" si="51"/>
        <v>OK</v>
      </c>
    </row>
    <row r="30" spans="1:336" ht="15" customHeight="1" x14ac:dyDescent="0.2">
      <c r="A30" s="1280" t="s">
        <v>67</v>
      </c>
      <c r="B30" s="1252">
        <v>83.009</v>
      </c>
      <c r="C30" s="1098">
        <v>41.249000000000002</v>
      </c>
      <c r="D30" s="1098">
        <v>78.05</v>
      </c>
      <c r="E30" s="1098">
        <v>73.846999999999994</v>
      </c>
      <c r="F30" s="1098">
        <v>114.884</v>
      </c>
      <c r="G30" s="1098">
        <v>70.960999999999999</v>
      </c>
      <c r="H30" s="1098">
        <v>74.646000000000001</v>
      </c>
      <c r="I30" s="1098">
        <v>175.297</v>
      </c>
      <c r="J30" s="1098">
        <v>438.959</v>
      </c>
      <c r="K30" s="1098">
        <v>481.67899999999997</v>
      </c>
      <c r="L30" s="1098">
        <v>418.654</v>
      </c>
      <c r="M30" s="1098">
        <v>612.72500000000002</v>
      </c>
      <c r="N30" s="1097">
        <f t="shared" si="21"/>
        <v>2663.96</v>
      </c>
      <c r="O30" s="1252">
        <v>162</v>
      </c>
      <c r="P30" s="1098">
        <v>267</v>
      </c>
      <c r="Q30" s="1098">
        <v>186.101</v>
      </c>
      <c r="R30" s="1098">
        <v>128.63</v>
      </c>
      <c r="S30" s="1098">
        <v>187.006</v>
      </c>
      <c r="T30" s="1098">
        <v>88.061999999999998</v>
      </c>
      <c r="U30" s="1098">
        <v>108.631</v>
      </c>
      <c r="V30" s="1098">
        <v>214.67699999999999</v>
      </c>
      <c r="W30" s="1098">
        <v>234.69300000000001</v>
      </c>
      <c r="X30" s="1098">
        <v>191.40600000000001</v>
      </c>
      <c r="Y30" s="1098">
        <v>286.93400000000003</v>
      </c>
      <c r="Z30" s="1098">
        <v>237.61</v>
      </c>
      <c r="AA30" s="1097">
        <f t="shared" si="22"/>
        <v>2292.75</v>
      </c>
      <c r="AB30" s="1252">
        <v>147.44499999999999</v>
      </c>
      <c r="AC30" s="1098">
        <v>214.13800000000001</v>
      </c>
      <c r="AD30" s="1098">
        <v>152.59399999999999</v>
      </c>
      <c r="AE30" s="1098">
        <v>260.98399999999998</v>
      </c>
      <c r="AF30" s="1098">
        <v>286.43</v>
      </c>
      <c r="AG30" s="1098">
        <v>161.482</v>
      </c>
      <c r="AH30" s="1098">
        <v>105.797</v>
      </c>
      <c r="AI30" s="1098">
        <v>144.61600000000001</v>
      </c>
      <c r="AJ30" s="1098">
        <v>142.34299999999999</v>
      </c>
      <c r="AK30" s="1098">
        <v>176.471</v>
      </c>
      <c r="AL30" s="1098">
        <v>156.899</v>
      </c>
      <c r="AM30" s="1098">
        <v>156.102</v>
      </c>
      <c r="AN30" s="1097">
        <f t="shared" si="23"/>
        <v>2105.3009999999999</v>
      </c>
      <c r="AO30" s="1252">
        <v>129.416</v>
      </c>
      <c r="AP30" s="1098">
        <v>122.44799999999999</v>
      </c>
      <c r="AQ30" s="1098">
        <v>230.26300000000001</v>
      </c>
      <c r="AR30" s="1098">
        <v>185.392</v>
      </c>
      <c r="AS30" s="1098">
        <v>61.16</v>
      </c>
      <c r="AT30" s="1098">
        <v>149.79</v>
      </c>
      <c r="AU30" s="1098">
        <v>101</v>
      </c>
      <c r="AV30" s="1098">
        <v>102</v>
      </c>
      <c r="AW30" s="1098">
        <v>265</v>
      </c>
      <c r="AX30" s="1098">
        <v>306</v>
      </c>
      <c r="AY30" s="1098">
        <v>167</v>
      </c>
      <c r="AZ30" s="1098">
        <v>208</v>
      </c>
      <c r="BA30" s="1097">
        <f t="shared" si="24"/>
        <v>2027.4690000000001</v>
      </c>
      <c r="BB30" s="1252">
        <v>131</v>
      </c>
      <c r="BC30" s="1098">
        <v>138</v>
      </c>
      <c r="BD30" s="1098">
        <v>140</v>
      </c>
      <c r="BE30" s="1098">
        <v>225</v>
      </c>
      <c r="BF30" s="1098">
        <v>156.73099999999999</v>
      </c>
      <c r="BG30" s="1098">
        <v>178</v>
      </c>
      <c r="BH30" s="1098">
        <v>185</v>
      </c>
      <c r="BI30" s="1098">
        <v>263</v>
      </c>
      <c r="BJ30" s="1098">
        <v>257</v>
      </c>
      <c r="BK30" s="1098">
        <v>187.32599999999999</v>
      </c>
      <c r="BL30" s="1098">
        <v>156.619</v>
      </c>
      <c r="BM30" s="1098">
        <v>365.09399999999999</v>
      </c>
      <c r="BN30" s="1097">
        <f t="shared" si="25"/>
        <v>2382.77</v>
      </c>
      <c r="BO30" s="1252">
        <v>138.38900000000001</v>
      </c>
      <c r="BP30" s="1098">
        <v>225.62100000000001</v>
      </c>
      <c r="BQ30" s="1098">
        <v>160.75399999999999</v>
      </c>
      <c r="BR30" s="1098">
        <v>201.89699999999999</v>
      </c>
      <c r="BS30" s="1098">
        <v>139.31800000000001</v>
      </c>
      <c r="BT30" s="1098">
        <v>285.15800000000002</v>
      </c>
      <c r="BU30" s="1098">
        <v>116.036</v>
      </c>
      <c r="BV30" s="1098">
        <v>265.05</v>
      </c>
      <c r="BW30" s="1098">
        <v>256.63499999999999</v>
      </c>
      <c r="BX30" s="1098">
        <v>223.816</v>
      </c>
      <c r="BY30" s="1098">
        <v>176</v>
      </c>
      <c r="BZ30" s="1098">
        <v>154</v>
      </c>
      <c r="CA30" s="1097">
        <f t="shared" si="26"/>
        <v>2342.674</v>
      </c>
      <c r="CB30" s="1252">
        <v>117</v>
      </c>
      <c r="CC30" s="1098">
        <v>63</v>
      </c>
      <c r="CD30" s="1098">
        <v>208</v>
      </c>
      <c r="CE30" s="1098">
        <v>118</v>
      </c>
      <c r="CF30" s="1098">
        <v>131</v>
      </c>
      <c r="CG30" s="1098">
        <v>64</v>
      </c>
      <c r="CH30" s="1098">
        <v>123</v>
      </c>
      <c r="CI30" s="1098">
        <v>190</v>
      </c>
      <c r="CJ30" s="1098">
        <v>207</v>
      </c>
      <c r="CK30" s="1098">
        <v>165</v>
      </c>
      <c r="CL30" s="1098">
        <v>94</v>
      </c>
      <c r="CM30" s="1098">
        <v>138</v>
      </c>
      <c r="CN30" s="1097">
        <f t="shared" si="27"/>
        <v>1618</v>
      </c>
      <c r="CO30" s="1252">
        <v>106</v>
      </c>
      <c r="CP30" s="1098">
        <v>63</v>
      </c>
      <c r="CQ30" s="1098">
        <v>168</v>
      </c>
      <c r="CR30" s="1098">
        <v>49</v>
      </c>
      <c r="CS30" s="1098">
        <v>69</v>
      </c>
      <c r="CT30" s="1098">
        <v>5</v>
      </c>
      <c r="CU30" s="1098">
        <v>53</v>
      </c>
      <c r="CV30" s="1098">
        <v>33</v>
      </c>
      <c r="CW30" s="1098">
        <v>76</v>
      </c>
      <c r="CX30" s="1098">
        <v>50</v>
      </c>
      <c r="CY30" s="1098">
        <v>112</v>
      </c>
      <c r="CZ30" s="1098">
        <v>63</v>
      </c>
      <c r="DA30" s="1097">
        <f t="shared" si="28"/>
        <v>847</v>
      </c>
      <c r="DB30" s="1252">
        <v>38</v>
      </c>
      <c r="DC30" s="1098">
        <v>183</v>
      </c>
      <c r="DD30" s="1098">
        <v>105</v>
      </c>
      <c r="DE30" s="1098">
        <v>39</v>
      </c>
      <c r="DF30" s="1098">
        <v>72</v>
      </c>
      <c r="DG30" s="1098">
        <v>49</v>
      </c>
      <c r="DH30" s="1098">
        <v>46</v>
      </c>
      <c r="DI30" s="1098">
        <v>54</v>
      </c>
      <c r="DJ30" s="1098">
        <v>87</v>
      </c>
      <c r="DK30" s="1098">
        <v>73</v>
      </c>
      <c r="DL30" s="1098">
        <v>51</v>
      </c>
      <c r="DM30" s="1098">
        <v>89</v>
      </c>
      <c r="DN30" s="1097">
        <f t="shared" si="29"/>
        <v>886</v>
      </c>
      <c r="DO30" s="1252">
        <v>69</v>
      </c>
      <c r="DP30" s="1098">
        <v>37</v>
      </c>
      <c r="DQ30" s="1098">
        <v>46</v>
      </c>
      <c r="DR30" s="1098">
        <v>72</v>
      </c>
      <c r="DS30" s="1098">
        <v>48</v>
      </c>
      <c r="DT30" s="1098">
        <v>41</v>
      </c>
      <c r="DU30" s="1098">
        <v>19</v>
      </c>
      <c r="DV30" s="1098">
        <v>46</v>
      </c>
      <c r="DW30" s="1098">
        <v>73</v>
      </c>
      <c r="DX30" s="1098">
        <v>159</v>
      </c>
      <c r="DY30" s="1098">
        <v>63</v>
      </c>
      <c r="DZ30" s="1098">
        <v>25</v>
      </c>
      <c r="EA30" s="1097">
        <f t="shared" si="30"/>
        <v>698</v>
      </c>
      <c r="EB30" s="1252">
        <v>100</v>
      </c>
      <c r="EC30" s="1098">
        <v>32</v>
      </c>
      <c r="ED30" s="1098">
        <v>78</v>
      </c>
      <c r="EE30" s="1098">
        <v>75</v>
      </c>
      <c r="EF30" s="1098">
        <v>32</v>
      </c>
      <c r="EG30" s="1098">
        <v>79</v>
      </c>
      <c r="EH30" s="1098">
        <v>123</v>
      </c>
      <c r="EI30" s="1098">
        <v>104</v>
      </c>
      <c r="EJ30" s="1098">
        <v>96</v>
      </c>
      <c r="EK30" s="1098">
        <v>66</v>
      </c>
      <c r="EL30" s="1098">
        <v>81</v>
      </c>
      <c r="EM30" s="1098">
        <v>272</v>
      </c>
      <c r="EN30" s="1097">
        <f t="shared" si="31"/>
        <v>1138</v>
      </c>
      <c r="EO30" s="1252">
        <v>39</v>
      </c>
      <c r="EP30" s="1098">
        <v>43</v>
      </c>
      <c r="EQ30" s="1098">
        <v>18</v>
      </c>
      <c r="ER30" s="1098">
        <v>59</v>
      </c>
      <c r="ES30" s="1098">
        <v>44</v>
      </c>
      <c r="ET30" s="1098">
        <v>10</v>
      </c>
      <c r="EU30" s="1098">
        <v>2</v>
      </c>
      <c r="EV30" s="1098">
        <v>31</v>
      </c>
      <c r="EW30" s="1098">
        <v>76</v>
      </c>
      <c r="EX30" s="1098">
        <v>102</v>
      </c>
      <c r="EY30" s="1098">
        <v>48</v>
      </c>
      <c r="EZ30" s="1098">
        <v>19</v>
      </c>
      <c r="FA30" s="1097">
        <f t="shared" si="32"/>
        <v>491</v>
      </c>
      <c r="FB30" s="1252">
        <v>88</v>
      </c>
      <c r="FC30" s="1098">
        <v>89</v>
      </c>
      <c r="FD30" s="1098">
        <v>19</v>
      </c>
      <c r="FE30" s="1098">
        <v>20</v>
      </c>
      <c r="FF30" s="1098">
        <v>20</v>
      </c>
      <c r="FG30" s="1098">
        <v>5</v>
      </c>
      <c r="FH30" s="1098"/>
      <c r="FI30" s="1098">
        <v>31</v>
      </c>
      <c r="FJ30" s="1098">
        <v>40</v>
      </c>
      <c r="FK30" s="1098">
        <v>70</v>
      </c>
      <c r="FL30" s="1098">
        <v>64.5</v>
      </c>
      <c r="FM30" s="1098">
        <v>145.5</v>
      </c>
      <c r="FN30" s="1097">
        <f t="shared" si="33"/>
        <v>592</v>
      </c>
      <c r="FO30" s="1252">
        <v>10</v>
      </c>
      <c r="FP30" s="1098">
        <v>2</v>
      </c>
      <c r="FQ30" s="1098">
        <v>23</v>
      </c>
      <c r="FR30" s="1098">
        <v>12</v>
      </c>
      <c r="FS30" s="1098">
        <v>15</v>
      </c>
      <c r="FT30" s="1098">
        <v>10</v>
      </c>
      <c r="FU30" s="1098">
        <v>18</v>
      </c>
      <c r="FV30" s="1098">
        <v>14</v>
      </c>
      <c r="FW30" s="1098">
        <v>15</v>
      </c>
      <c r="FX30" s="1098">
        <v>43</v>
      </c>
      <c r="FY30" s="1098">
        <v>43</v>
      </c>
      <c r="FZ30" s="1098">
        <v>99</v>
      </c>
      <c r="GA30" s="1097">
        <f t="shared" si="34"/>
        <v>304</v>
      </c>
      <c r="GB30" s="1252">
        <v>36</v>
      </c>
      <c r="GC30" s="1098">
        <v>55</v>
      </c>
      <c r="GD30" s="1098">
        <v>47</v>
      </c>
      <c r="GE30" s="1098">
        <v>78</v>
      </c>
      <c r="GF30" s="1098">
        <v>19</v>
      </c>
      <c r="GG30" s="1098">
        <v>39</v>
      </c>
      <c r="GH30" s="1098">
        <v>40</v>
      </c>
      <c r="GI30" s="1098">
        <v>37</v>
      </c>
      <c r="GJ30" s="1098">
        <v>34</v>
      </c>
      <c r="GK30" s="1098">
        <v>24</v>
      </c>
      <c r="GL30" s="1098">
        <v>35</v>
      </c>
      <c r="GM30" s="1098">
        <v>35</v>
      </c>
      <c r="GN30" s="1097">
        <f t="shared" si="35"/>
        <v>479</v>
      </c>
      <c r="GO30" s="1252">
        <v>2.6150000000000002</v>
      </c>
      <c r="GP30" s="1098">
        <v>8.1829999999999998</v>
      </c>
      <c r="GQ30" s="1098">
        <v>2.8029999999999999</v>
      </c>
      <c r="GR30" s="1098">
        <v>3</v>
      </c>
      <c r="GS30" s="1098">
        <v>13</v>
      </c>
      <c r="GT30" s="1098">
        <v>8</v>
      </c>
      <c r="GU30" s="1098">
        <v>29</v>
      </c>
      <c r="GV30" s="1098">
        <v>38</v>
      </c>
      <c r="GW30" s="1098">
        <f>61+32</f>
        <v>93</v>
      </c>
      <c r="GX30" s="1098">
        <v>10</v>
      </c>
      <c r="GY30" s="1098">
        <v>18</v>
      </c>
      <c r="GZ30" s="1098">
        <v>26</v>
      </c>
      <c r="HA30" s="1097">
        <f t="shared" si="36"/>
        <v>251.601</v>
      </c>
      <c r="HB30" s="1252">
        <v>19</v>
      </c>
      <c r="HC30" s="1098">
        <v>17</v>
      </c>
      <c r="HD30" s="1098">
        <v>46</v>
      </c>
      <c r="HE30" s="1098">
        <v>101</v>
      </c>
      <c r="HF30" s="1098">
        <v>45</v>
      </c>
      <c r="HG30" s="1098">
        <f>86+23</f>
        <v>109</v>
      </c>
      <c r="HH30" s="1098">
        <v>42</v>
      </c>
      <c r="HI30" s="1098">
        <v>63</v>
      </c>
      <c r="HJ30" s="1098">
        <f>36.38+71.438</f>
        <v>107.81800000000001</v>
      </c>
      <c r="HK30" s="1098">
        <v>36.143000000000001</v>
      </c>
      <c r="HL30" s="1098">
        <v>7.0840000000000005</v>
      </c>
      <c r="HM30" s="1098">
        <v>10.185</v>
      </c>
      <c r="HN30" s="1097">
        <f t="shared" si="37"/>
        <v>603.2299999999999</v>
      </c>
      <c r="HO30" s="1252">
        <v>15.659000000000001</v>
      </c>
      <c r="HP30" s="1098">
        <f>42.481+6.133</f>
        <v>48.614000000000004</v>
      </c>
      <c r="HQ30" s="1098">
        <f>15.281+27.662</f>
        <v>42.942999999999998</v>
      </c>
      <c r="HR30" s="1098">
        <v>4</v>
      </c>
      <c r="HS30" s="1098">
        <v>26.698</v>
      </c>
      <c r="HT30" s="1098">
        <v>11.808999999999999</v>
      </c>
      <c r="HU30" s="1098">
        <v>5.4109999999999996</v>
      </c>
      <c r="HV30" s="1098">
        <v>14.802</v>
      </c>
      <c r="HW30" s="1098">
        <v>2.2919999999999998</v>
      </c>
      <c r="HX30" s="1098">
        <v>27</v>
      </c>
      <c r="HY30" s="1098">
        <v>14</v>
      </c>
      <c r="HZ30" s="1098"/>
      <c r="IA30" s="1097">
        <f t="shared" si="38"/>
        <v>213.22800000000001</v>
      </c>
      <c r="IB30" s="1252">
        <v>44.286999999999999</v>
      </c>
      <c r="IC30" s="1098">
        <v>60.152999999999999</v>
      </c>
      <c r="ID30" s="1098">
        <v>1.246</v>
      </c>
      <c r="IE30" s="1098"/>
      <c r="IF30" s="1098">
        <v>12.824999999999999</v>
      </c>
      <c r="IG30" s="1098">
        <v>3.06</v>
      </c>
      <c r="IH30" s="1098">
        <v>15.301</v>
      </c>
      <c r="II30" s="1098">
        <v>13.092000000000001</v>
      </c>
      <c r="IJ30" s="1098">
        <v>2.774</v>
      </c>
      <c r="IK30" s="1098">
        <v>60</v>
      </c>
      <c r="IL30" s="1098">
        <v>32</v>
      </c>
      <c r="IM30" s="1098">
        <v>52</v>
      </c>
      <c r="IN30" s="1097">
        <f t="shared" si="39"/>
        <v>296.738</v>
      </c>
      <c r="IO30" s="1252"/>
      <c r="IP30" s="1098">
        <f>38.778+4.634</f>
        <v>43.411999999999999</v>
      </c>
      <c r="IQ30" s="1098">
        <v>47.962000000000003</v>
      </c>
      <c r="IR30" s="1098">
        <v>28.17</v>
      </c>
      <c r="IS30" s="1098">
        <v>1.661</v>
      </c>
      <c r="IT30" s="1098">
        <v>7.077</v>
      </c>
      <c r="IU30" s="1098">
        <v>20.12</v>
      </c>
      <c r="IV30" s="1098">
        <v>83.373000000000005</v>
      </c>
      <c r="IW30" s="1098">
        <v>13.823</v>
      </c>
      <c r="IX30" s="1098">
        <v>19.765000000000001</v>
      </c>
      <c r="IY30" s="1098">
        <v>34.118000000000002</v>
      </c>
      <c r="IZ30" s="1098">
        <v>79.334999999999994</v>
      </c>
      <c r="JA30" s="1097">
        <f t="shared" si="40"/>
        <v>378.81600000000003</v>
      </c>
      <c r="JB30" s="1252">
        <v>74</v>
      </c>
      <c r="JC30" s="1098">
        <v>19.138999999999999</v>
      </c>
      <c r="JD30" s="1098">
        <v>30.329000000000001</v>
      </c>
      <c r="JE30" s="1098">
        <v>9.5350000000000001</v>
      </c>
      <c r="JF30" s="1098">
        <v>17.248999999999999</v>
      </c>
      <c r="JG30" s="1098">
        <v>23.870999999999999</v>
      </c>
      <c r="JH30" s="1098">
        <v>18.962</v>
      </c>
      <c r="JI30" s="1098">
        <v>42.146000000000001</v>
      </c>
      <c r="JJ30" s="1098">
        <v>26.172000000000001</v>
      </c>
      <c r="JK30" s="1098">
        <v>79.153999999999996</v>
      </c>
      <c r="JL30" s="1098">
        <v>68.89</v>
      </c>
      <c r="JM30" s="1098">
        <v>30.023</v>
      </c>
      <c r="JN30" s="1097">
        <f t="shared" si="41"/>
        <v>439.47</v>
      </c>
      <c r="JO30" s="1252">
        <v>0.67400000000000004</v>
      </c>
      <c r="JP30" s="1098">
        <v>14.228</v>
      </c>
      <c r="JQ30" s="1098">
        <v>32.981999999999999</v>
      </c>
      <c r="JR30" s="1098">
        <v>60.154000000000003</v>
      </c>
      <c r="JS30" s="1098">
        <v>23.658000000000001</v>
      </c>
      <c r="JT30" s="1098">
        <v>3.198</v>
      </c>
      <c r="JU30" s="1098">
        <v>16.460999999999999</v>
      </c>
      <c r="JV30" s="1098">
        <v>9.1449999999999996</v>
      </c>
      <c r="JW30" s="1098">
        <v>29.311</v>
      </c>
      <c r="JX30" s="1098">
        <f>40.577+1.068</f>
        <v>41.644999999999996</v>
      </c>
      <c r="JY30" s="1098">
        <v>35.548000000000002</v>
      </c>
      <c r="JZ30" s="1098"/>
      <c r="KA30" s="1097">
        <f t="shared" si="42"/>
        <v>267.00400000000002</v>
      </c>
      <c r="KB30" s="1252">
        <v>2.653</v>
      </c>
      <c r="KC30" s="1098"/>
      <c r="KD30" s="1098"/>
      <c r="KE30" s="1098">
        <v>13.988</v>
      </c>
      <c r="KF30" s="1098">
        <v>18.641999999999999</v>
      </c>
      <c r="KG30" s="1098">
        <v>17.167999999999999</v>
      </c>
      <c r="KH30" s="1098">
        <f>123.105+3.759</f>
        <v>126.864</v>
      </c>
      <c r="KI30" s="1098">
        <f>83.312+5.844</f>
        <v>89.155999999999992</v>
      </c>
      <c r="KJ30" s="1098">
        <f>118.571+2.924</f>
        <v>121.495</v>
      </c>
      <c r="KK30" s="1098">
        <v>20.468</v>
      </c>
      <c r="KL30" s="1098">
        <v>11.602</v>
      </c>
      <c r="KM30" s="1098">
        <v>32.887999999999998</v>
      </c>
      <c r="KN30" s="1097">
        <f t="shared" si="43"/>
        <v>454.92399999999998</v>
      </c>
      <c r="KO30" s="1252">
        <v>109.741</v>
      </c>
      <c r="KP30" s="1098">
        <v>28.152000000000001</v>
      </c>
      <c r="KQ30" s="1098">
        <v>30.140999999999998</v>
      </c>
      <c r="KR30" s="1098">
        <v>5.085</v>
      </c>
      <c r="KS30" s="1098">
        <v>1.1919999999999999</v>
      </c>
      <c r="KT30" s="1098">
        <v>6.5259999999999998</v>
      </c>
      <c r="KU30" s="1098">
        <v>23.869</v>
      </c>
      <c r="KV30" s="1098">
        <v>32.906999999999996</v>
      </c>
      <c r="KW30" s="1098">
        <v>4.0090000000000003</v>
      </c>
      <c r="KX30" s="1098">
        <v>33.942</v>
      </c>
      <c r="KY30" s="1098">
        <v>24.335000000000001</v>
      </c>
      <c r="KZ30" s="1098">
        <v>2.5259999999999998</v>
      </c>
      <c r="LA30" s="1097">
        <f t="shared" si="44"/>
        <v>302.42500000000001</v>
      </c>
      <c r="LB30" s="1252"/>
      <c r="LC30" s="1098"/>
      <c r="LD30" s="1098"/>
      <c r="LE30" s="1098">
        <v>2</v>
      </c>
      <c r="LF30" s="1098"/>
      <c r="LG30" s="1098">
        <v>1</v>
      </c>
      <c r="LH30" s="1098"/>
      <c r="LI30" s="1098">
        <v>6.4670000000000005</v>
      </c>
      <c r="LJ30" s="1098"/>
      <c r="LK30" s="1098"/>
      <c r="LL30" s="1098"/>
      <c r="LM30" s="1098"/>
      <c r="LN30" s="1097">
        <f t="shared" si="45"/>
        <v>9.4670000000000005</v>
      </c>
      <c r="LP30" s="1116">
        <f t="shared" si="52"/>
        <v>-80.347646397423034</v>
      </c>
      <c r="LQ30" s="1117">
        <f t="shared" si="53"/>
        <v>-96.015790381839366</v>
      </c>
      <c r="LR30" s="1079">
        <f t="shared" si="54"/>
        <v>237.613</v>
      </c>
      <c r="LS30" s="1118">
        <f t="shared" si="55"/>
        <v>9.4670000000000005</v>
      </c>
      <c r="LT30" s="1"/>
      <c r="LU30" s="629"/>
      <c r="LV30" s="1139">
        <f t="shared" si="50"/>
        <v>48169.653999999988</v>
      </c>
      <c r="LW30" s="1286" t="s">
        <v>67</v>
      </c>
      <c r="LX30" s="1147" t="str">
        <f t="shared" si="51"/>
        <v>OK</v>
      </c>
    </row>
    <row r="31" spans="1:336" ht="15" customHeight="1" x14ac:dyDescent="0.2">
      <c r="A31" s="1280" t="s">
        <v>590</v>
      </c>
      <c r="B31" s="1252"/>
      <c r="C31" s="1098"/>
      <c r="D31" s="1098">
        <v>12.69</v>
      </c>
      <c r="E31" s="1098"/>
      <c r="F31" s="1098">
        <v>22.853000000000002</v>
      </c>
      <c r="G31" s="1098"/>
      <c r="H31" s="1098"/>
      <c r="I31" s="1098">
        <v>14.15</v>
      </c>
      <c r="J31" s="1098"/>
      <c r="K31" s="1098"/>
      <c r="L31" s="1098"/>
      <c r="M31" s="1098">
        <v>21.698</v>
      </c>
      <c r="N31" s="1097">
        <f t="shared" si="21"/>
        <v>71.390999999999991</v>
      </c>
      <c r="O31" s="1252">
        <v>58</v>
      </c>
      <c r="P31" s="1098">
        <v>7</v>
      </c>
      <c r="Q31" s="1098"/>
      <c r="R31" s="1098">
        <v>25.210999999999999</v>
      </c>
      <c r="S31" s="1098">
        <v>20.855</v>
      </c>
      <c r="T31" s="1098">
        <v>6.8940000000000001</v>
      </c>
      <c r="U31" s="1098">
        <v>1.415</v>
      </c>
      <c r="V31" s="1098">
        <v>57.133000000000003</v>
      </c>
      <c r="W31" s="1098">
        <v>38.317</v>
      </c>
      <c r="X31" s="1098"/>
      <c r="Y31" s="1098"/>
      <c r="Z31" s="1098"/>
      <c r="AA31" s="1097">
        <f t="shared" si="22"/>
        <v>214.82500000000002</v>
      </c>
      <c r="AB31" s="1252">
        <v>10.349</v>
      </c>
      <c r="AC31" s="1098">
        <v>16.670999999999999</v>
      </c>
      <c r="AD31" s="1098">
        <v>4.6689999999999996</v>
      </c>
      <c r="AE31" s="1098"/>
      <c r="AF31" s="1098">
        <v>37.557000000000002</v>
      </c>
      <c r="AG31" s="1098">
        <v>5</v>
      </c>
      <c r="AH31" s="1098">
        <v>27.742999999999999</v>
      </c>
      <c r="AI31" s="1098">
        <v>12.074999999999999</v>
      </c>
      <c r="AJ31" s="1098"/>
      <c r="AK31" s="1098"/>
      <c r="AL31" s="1098"/>
      <c r="AM31" s="1098"/>
      <c r="AN31" s="1097">
        <f t="shared" si="23"/>
        <v>114.06400000000001</v>
      </c>
      <c r="AO31" s="1252">
        <v>60.261000000000003</v>
      </c>
      <c r="AP31" s="1098">
        <v>5.76</v>
      </c>
      <c r="AQ31" s="1098">
        <v>12.930999999999999</v>
      </c>
      <c r="AR31" s="1098">
        <v>7.7549999999999999</v>
      </c>
      <c r="AS31" s="1098">
        <v>39.823</v>
      </c>
      <c r="AT31" s="1098"/>
      <c r="AU31" s="1098"/>
      <c r="AV31" s="1098"/>
      <c r="AW31" s="1098"/>
      <c r="AX31" s="1098">
        <v>29</v>
      </c>
      <c r="AY31" s="1098"/>
      <c r="AZ31" s="1098">
        <v>32</v>
      </c>
      <c r="BA31" s="1097">
        <f t="shared" si="24"/>
        <v>187.53</v>
      </c>
      <c r="BB31" s="1252"/>
      <c r="BC31" s="1098"/>
      <c r="BD31" s="1098"/>
      <c r="BE31" s="1098"/>
      <c r="BF31" s="1098">
        <v>2</v>
      </c>
      <c r="BG31" s="1098"/>
      <c r="BH31" s="1098"/>
      <c r="BI31" s="1098"/>
      <c r="BJ31" s="1098"/>
      <c r="BK31" s="1098"/>
      <c r="BL31" s="1098"/>
      <c r="BM31" s="1098">
        <v>56.311</v>
      </c>
      <c r="BN31" s="1097">
        <f t="shared" si="25"/>
        <v>58.311</v>
      </c>
      <c r="BO31" s="1252">
        <v>3.0710000000000002</v>
      </c>
      <c r="BP31" s="1098">
        <v>22.765000000000001</v>
      </c>
      <c r="BQ31" s="1098">
        <v>24.56</v>
      </c>
      <c r="BR31" s="1098">
        <v>5.1040000000000001</v>
      </c>
      <c r="BS31" s="1098">
        <v>33.531999999999996</v>
      </c>
      <c r="BT31" s="1098">
        <v>98.29</v>
      </c>
      <c r="BU31" s="1098">
        <v>83.290999999999997</v>
      </c>
      <c r="BV31" s="1098">
        <v>246.24199999999999</v>
      </c>
      <c r="BW31" s="1098">
        <v>85.832999999999998</v>
      </c>
      <c r="BX31" s="1098"/>
      <c r="BY31" s="1098"/>
      <c r="BZ31" s="1098">
        <v>47</v>
      </c>
      <c r="CA31" s="1097">
        <f t="shared" si="26"/>
        <v>649.68799999999999</v>
      </c>
      <c r="CB31" s="1252"/>
      <c r="CC31" s="1098">
        <v>1</v>
      </c>
      <c r="CD31" s="1098">
        <v>7</v>
      </c>
      <c r="CE31" s="1098"/>
      <c r="CF31" s="1098"/>
      <c r="CG31" s="1098">
        <v>9</v>
      </c>
      <c r="CH31" s="1098"/>
      <c r="CI31" s="1098">
        <v>12</v>
      </c>
      <c r="CJ31" s="1098"/>
      <c r="CK31" s="1098"/>
      <c r="CL31" s="1098"/>
      <c r="CM31" s="1098">
        <v>24</v>
      </c>
      <c r="CN31" s="1097">
        <f t="shared" si="27"/>
        <v>53</v>
      </c>
      <c r="CO31" s="1252">
        <v>11</v>
      </c>
      <c r="CP31" s="1098"/>
      <c r="CQ31" s="1098"/>
      <c r="CR31" s="1098"/>
      <c r="CS31" s="1098"/>
      <c r="CT31" s="1098"/>
      <c r="CU31" s="1098"/>
      <c r="CV31" s="1098"/>
      <c r="CW31" s="1098"/>
      <c r="CX31" s="1098">
        <v>10</v>
      </c>
      <c r="CY31" s="1098">
        <v>10</v>
      </c>
      <c r="CZ31" s="1098"/>
      <c r="DA31" s="1097">
        <f t="shared" si="28"/>
        <v>31</v>
      </c>
      <c r="DB31" s="1252"/>
      <c r="DC31" s="1098">
        <v>4</v>
      </c>
      <c r="DD31" s="1098">
        <v>4</v>
      </c>
      <c r="DE31" s="1098"/>
      <c r="DF31" s="1098">
        <v>5</v>
      </c>
      <c r="DG31" s="1098">
        <v>22</v>
      </c>
      <c r="DH31" s="1098">
        <v>23</v>
      </c>
      <c r="DI31" s="1098">
        <v>10</v>
      </c>
      <c r="DJ31" s="1098">
        <v>13</v>
      </c>
      <c r="DK31" s="1098">
        <v>37</v>
      </c>
      <c r="DL31" s="1098">
        <v>52</v>
      </c>
      <c r="DM31" s="1098">
        <v>37</v>
      </c>
      <c r="DN31" s="1097">
        <f t="shared" si="29"/>
        <v>207</v>
      </c>
      <c r="DO31" s="1252">
        <v>19</v>
      </c>
      <c r="DP31" s="1098">
        <v>25</v>
      </c>
      <c r="DQ31" s="1098">
        <v>20</v>
      </c>
      <c r="DR31" s="1098">
        <v>14</v>
      </c>
      <c r="DS31" s="1098">
        <v>59</v>
      </c>
      <c r="DT31" s="1098">
        <v>9</v>
      </c>
      <c r="DU31" s="1098">
        <v>27</v>
      </c>
      <c r="DV31" s="1098">
        <v>11</v>
      </c>
      <c r="DW31" s="1098">
        <v>14</v>
      </c>
      <c r="DX31" s="1098">
        <v>52</v>
      </c>
      <c r="DY31" s="1098">
        <v>4</v>
      </c>
      <c r="DZ31" s="1098">
        <v>7</v>
      </c>
      <c r="EA31" s="1097">
        <f t="shared" si="30"/>
        <v>261</v>
      </c>
      <c r="EB31" s="1252">
        <v>6</v>
      </c>
      <c r="EC31" s="1098"/>
      <c r="ED31" s="1098">
        <v>20</v>
      </c>
      <c r="EE31" s="1098">
        <v>9</v>
      </c>
      <c r="EF31" s="1098"/>
      <c r="EG31" s="1098">
        <v>10</v>
      </c>
      <c r="EH31" s="1098">
        <v>5</v>
      </c>
      <c r="EI31" s="1098">
        <v>1</v>
      </c>
      <c r="EJ31" s="1098"/>
      <c r="EK31" s="1098">
        <v>2</v>
      </c>
      <c r="EL31" s="1098">
        <v>30</v>
      </c>
      <c r="EM31" s="1098">
        <v>5</v>
      </c>
      <c r="EN31" s="1097">
        <f t="shared" si="31"/>
        <v>88</v>
      </c>
      <c r="EO31" s="1252">
        <v>6</v>
      </c>
      <c r="EP31" s="1098">
        <v>17</v>
      </c>
      <c r="EQ31" s="1098"/>
      <c r="ER31" s="1098">
        <v>6</v>
      </c>
      <c r="ES31" s="1098">
        <v>17</v>
      </c>
      <c r="ET31" s="1098">
        <v>31</v>
      </c>
      <c r="EU31" s="1098">
        <v>9</v>
      </c>
      <c r="EV31" s="1098">
        <v>6</v>
      </c>
      <c r="EW31" s="1098"/>
      <c r="EX31" s="1098"/>
      <c r="EY31" s="1098"/>
      <c r="EZ31" s="1098"/>
      <c r="FA31" s="1097">
        <f t="shared" si="32"/>
        <v>92</v>
      </c>
      <c r="FB31" s="1252">
        <v>11</v>
      </c>
      <c r="FC31" s="1098">
        <v>17</v>
      </c>
      <c r="FD31" s="1098"/>
      <c r="FE31" s="1098">
        <v>6</v>
      </c>
      <c r="FF31" s="1098">
        <v>23</v>
      </c>
      <c r="FG31" s="1098">
        <v>37</v>
      </c>
      <c r="FH31" s="1098">
        <v>4</v>
      </c>
      <c r="FI31" s="1098">
        <v>24</v>
      </c>
      <c r="FJ31" s="1098">
        <v>26</v>
      </c>
      <c r="FK31" s="1098">
        <v>41</v>
      </c>
      <c r="FL31" s="1098">
        <v>15</v>
      </c>
      <c r="FM31" s="1098">
        <v>2.5</v>
      </c>
      <c r="FN31" s="1097">
        <f t="shared" si="33"/>
        <v>206.5</v>
      </c>
      <c r="FO31" s="1252">
        <v>26</v>
      </c>
      <c r="FP31" s="1098">
        <v>21</v>
      </c>
      <c r="FQ31" s="1098">
        <v>10</v>
      </c>
      <c r="FR31" s="1098">
        <v>30</v>
      </c>
      <c r="FS31" s="1098">
        <v>57</v>
      </c>
      <c r="FT31" s="1098">
        <v>52</v>
      </c>
      <c r="FU31" s="1098">
        <v>22</v>
      </c>
      <c r="FV31" s="1098">
        <v>26</v>
      </c>
      <c r="FW31" s="1098">
        <v>44</v>
      </c>
      <c r="FX31" s="1098">
        <v>44</v>
      </c>
      <c r="FY31" s="1098">
        <v>38</v>
      </c>
      <c r="FZ31" s="1098">
        <v>53</v>
      </c>
      <c r="GA31" s="1097">
        <f t="shared" si="34"/>
        <v>423</v>
      </c>
      <c r="GB31" s="1252">
        <v>34</v>
      </c>
      <c r="GC31" s="1098">
        <v>25</v>
      </c>
      <c r="GD31" s="1098">
        <v>23.257000000000001</v>
      </c>
      <c r="GE31" s="1098">
        <v>8.3559999999999999</v>
      </c>
      <c r="GF31" s="1098">
        <v>18.856999999999999</v>
      </c>
      <c r="GG31" s="1098">
        <v>6</v>
      </c>
      <c r="GH31" s="1098">
        <v>15</v>
      </c>
      <c r="GI31" s="1098"/>
      <c r="GJ31" s="1098">
        <v>42</v>
      </c>
      <c r="GK31" s="1098">
        <v>34</v>
      </c>
      <c r="GL31" s="1098">
        <v>27</v>
      </c>
      <c r="GM31" s="1098">
        <v>76</v>
      </c>
      <c r="GN31" s="1097">
        <f t="shared" si="35"/>
        <v>309.47000000000003</v>
      </c>
      <c r="GO31" s="1252"/>
      <c r="GP31" s="1098">
        <v>9.0459999999999994</v>
      </c>
      <c r="GQ31" s="1098">
        <v>176.59100000000001</v>
      </c>
      <c r="GR31" s="1098">
        <v>23</v>
      </c>
      <c r="GS31" s="1098">
        <v>36</v>
      </c>
      <c r="GT31" s="1098">
        <v>12</v>
      </c>
      <c r="GU31" s="1098">
        <v>44</v>
      </c>
      <c r="GV31" s="1098">
        <v>12</v>
      </c>
      <c r="GW31" s="1098">
        <v>32</v>
      </c>
      <c r="GX31" s="1098">
        <v>26</v>
      </c>
      <c r="GY31" s="1098">
        <v>23</v>
      </c>
      <c r="GZ31" s="1098">
        <v>15</v>
      </c>
      <c r="HA31" s="1097">
        <f t="shared" si="36"/>
        <v>408.637</v>
      </c>
      <c r="HB31" s="1252"/>
      <c r="HC31" s="1098"/>
      <c r="HD31" s="1098">
        <v>26.422999999999998</v>
      </c>
      <c r="HE31" s="1098">
        <v>27.059000000000001</v>
      </c>
      <c r="HF31" s="1098">
        <v>22</v>
      </c>
      <c r="HG31" s="1098">
        <v>140</v>
      </c>
      <c r="HH31" s="1098">
        <v>103</v>
      </c>
      <c r="HI31" s="1098">
        <v>36</v>
      </c>
      <c r="HJ31" s="1098">
        <v>114.593</v>
      </c>
      <c r="HK31" s="1098">
        <v>64.453999999999994</v>
      </c>
      <c r="HL31" s="1098">
        <v>1.98</v>
      </c>
      <c r="HM31" s="1098">
        <v>7.6879999999999988</v>
      </c>
      <c r="HN31" s="1097">
        <f t="shared" si="37"/>
        <v>543.197</v>
      </c>
      <c r="HO31" s="1252">
        <v>21.76</v>
      </c>
      <c r="HP31" s="1098">
        <f>9.779+6.578</f>
        <v>16.356999999999999</v>
      </c>
      <c r="HQ31" s="1098">
        <v>67.849999999999994</v>
      </c>
      <c r="HR31" s="1098">
        <v>54.622999999999998</v>
      </c>
      <c r="HS31" s="1098">
        <v>58.756</v>
      </c>
      <c r="HT31" s="1098">
        <v>16.14</v>
      </c>
      <c r="HU31" s="1098">
        <v>16.616</v>
      </c>
      <c r="HV31" s="1098">
        <v>66.176000000000002</v>
      </c>
      <c r="HW31" s="1098">
        <v>37.884</v>
      </c>
      <c r="HX31" s="1098">
        <v>25</v>
      </c>
      <c r="HY31" s="1098">
        <v>10</v>
      </c>
      <c r="HZ31" s="1098"/>
      <c r="IA31" s="1097">
        <f t="shared" si="38"/>
        <v>391.16199999999998</v>
      </c>
      <c r="IB31" s="1252">
        <v>4.194</v>
      </c>
      <c r="IC31" s="1098">
        <v>28.169</v>
      </c>
      <c r="ID31" s="1098">
        <v>50.668999999999997</v>
      </c>
      <c r="IE31" s="1098"/>
      <c r="IF31" s="1098">
        <v>2.7349999999999999</v>
      </c>
      <c r="IG31" s="1098"/>
      <c r="IH31" s="1098">
        <v>64.394999999999996</v>
      </c>
      <c r="II31" s="1098">
        <v>26.297999999999998</v>
      </c>
      <c r="IJ31" s="1098">
        <v>38.511000000000003</v>
      </c>
      <c r="IK31" s="1098">
        <v>55</v>
      </c>
      <c r="IL31" s="1098">
        <v>26</v>
      </c>
      <c r="IM31" s="1098">
        <v>1</v>
      </c>
      <c r="IN31" s="1097">
        <f t="shared" si="39"/>
        <v>296.971</v>
      </c>
      <c r="IO31" s="1252"/>
      <c r="IP31" s="1098">
        <v>32.6</v>
      </c>
      <c r="IQ31" s="1098">
        <v>48.585999999999999</v>
      </c>
      <c r="IR31" s="1098">
        <v>32.853999999999999</v>
      </c>
      <c r="IS31" s="1098">
        <v>28.773</v>
      </c>
      <c r="IT31" s="1098">
        <v>22.481999999999999</v>
      </c>
      <c r="IU31" s="1098">
        <v>47.651000000000003</v>
      </c>
      <c r="IV31" s="1098">
        <v>18.312000000000001</v>
      </c>
      <c r="IW31" s="1098">
        <v>4.8239999999999998</v>
      </c>
      <c r="IX31" s="1098">
        <v>10.622</v>
      </c>
      <c r="IY31" s="1098">
        <v>2.6150000000000002</v>
      </c>
      <c r="IZ31" s="1098">
        <v>7.4169999999999998</v>
      </c>
      <c r="JA31" s="1097">
        <f t="shared" si="40"/>
        <v>256.73600000000005</v>
      </c>
      <c r="JB31" s="1252">
        <v>88.296000000000006</v>
      </c>
      <c r="JC31" s="1098">
        <v>29.11</v>
      </c>
      <c r="JD31" s="1098">
        <v>55.119</v>
      </c>
      <c r="JE31" s="1098">
        <v>5.4969999999999999</v>
      </c>
      <c r="JF31" s="1098">
        <v>68.474000000000004</v>
      </c>
      <c r="JG31" s="1098"/>
      <c r="JH31" s="1098">
        <v>16.099</v>
      </c>
      <c r="JI31" s="1098">
        <v>5.3550000000000004</v>
      </c>
      <c r="JJ31" s="1098">
        <v>5.5709999999999997</v>
      </c>
      <c r="JK31" s="1098">
        <v>55.374000000000002</v>
      </c>
      <c r="JL31" s="1098">
        <v>7.24</v>
      </c>
      <c r="JM31" s="1098"/>
      <c r="JN31" s="1097">
        <f t="shared" si="41"/>
        <v>336.13500000000005</v>
      </c>
      <c r="JO31" s="1252">
        <v>48.423999999999999</v>
      </c>
      <c r="JP31" s="1098">
        <v>5.58</v>
      </c>
      <c r="JQ31" s="1098">
        <v>81.653000000000006</v>
      </c>
      <c r="JR31" s="1098">
        <v>15.712</v>
      </c>
      <c r="JS31" s="1098">
        <v>9.375</v>
      </c>
      <c r="JT31" s="1098">
        <v>19.166</v>
      </c>
      <c r="JU31" s="1098">
        <v>10.132</v>
      </c>
      <c r="JV31" s="1098">
        <v>11.032999999999999</v>
      </c>
      <c r="JW31" s="1098">
        <v>1.141</v>
      </c>
      <c r="JX31" s="1098">
        <v>23.431999999999999</v>
      </c>
      <c r="JY31" s="1098">
        <v>29.981000000000002</v>
      </c>
      <c r="JZ31" s="1098">
        <v>72.25</v>
      </c>
      <c r="KA31" s="1097">
        <f t="shared" si="42"/>
        <v>327.87899999999996</v>
      </c>
      <c r="KB31" s="1252">
        <v>10.147</v>
      </c>
      <c r="KC31" s="1098">
        <v>14.932</v>
      </c>
      <c r="KD31" s="1098">
        <v>18.140999999999998</v>
      </c>
      <c r="KE31" s="1098">
        <v>39.088999999999999</v>
      </c>
      <c r="KF31" s="1098">
        <v>2.1230000000000002</v>
      </c>
      <c r="KG31" s="1098">
        <v>7.9029999999999996</v>
      </c>
      <c r="KH31" s="1098">
        <v>30.96</v>
      </c>
      <c r="KI31" s="1098">
        <v>8.7899999999999991</v>
      </c>
      <c r="KJ31" s="1098">
        <v>37.406999999999996</v>
      </c>
      <c r="KK31" s="1098">
        <v>8.6129999999999995</v>
      </c>
      <c r="KL31" s="1098">
        <v>8.0449999999999999</v>
      </c>
      <c r="KM31" s="1098">
        <v>10.196</v>
      </c>
      <c r="KN31" s="1097">
        <f t="shared" si="43"/>
        <v>196.346</v>
      </c>
      <c r="KO31" s="1252">
        <v>41.512</v>
      </c>
      <c r="KP31" s="1098">
        <v>7.3230000000000004</v>
      </c>
      <c r="KQ31" s="1098">
        <v>19.216999999999999</v>
      </c>
      <c r="KR31" s="1098"/>
      <c r="KS31" s="1098">
        <v>7.3529999999999998</v>
      </c>
      <c r="KT31" s="1098">
        <v>16.04</v>
      </c>
      <c r="KU31" s="1098">
        <v>3.6890000000000001</v>
      </c>
      <c r="KV31" s="1098">
        <v>24.152999999999999</v>
      </c>
      <c r="KW31" s="1098">
        <v>7.085</v>
      </c>
      <c r="KX31" s="1098">
        <v>20.007000000000001</v>
      </c>
      <c r="KY31" s="1098">
        <v>15.512</v>
      </c>
      <c r="KZ31" s="1098">
        <v>5.0350000000000001</v>
      </c>
      <c r="LA31" s="1097">
        <f t="shared" si="44"/>
        <v>166.92599999999996</v>
      </c>
      <c r="LB31" s="1252"/>
      <c r="LC31" s="1098"/>
      <c r="LD31" s="1098"/>
      <c r="LE31" s="1098"/>
      <c r="LF31" s="1098"/>
      <c r="LG31" s="1098"/>
      <c r="LH31" s="1098"/>
      <c r="LI31" s="1098"/>
      <c r="LJ31" s="1098"/>
      <c r="LK31" s="1098"/>
      <c r="LL31" s="1098"/>
      <c r="LM31" s="1098"/>
      <c r="LN31" s="1097">
        <f t="shared" si="45"/>
        <v>0</v>
      </c>
      <c r="LP31" s="1116">
        <f t="shared" si="52"/>
        <v>-100</v>
      </c>
      <c r="LQ31" s="1117">
        <f t="shared" si="53"/>
        <v>-100</v>
      </c>
      <c r="LR31" s="1079">
        <f t="shared" si="54"/>
        <v>119.28699999999998</v>
      </c>
      <c r="LS31" s="1118">
        <f t="shared" si="55"/>
        <v>0</v>
      </c>
      <c r="LT31" s="1"/>
      <c r="LU31" s="629"/>
      <c r="LV31" s="1139">
        <f t="shared" si="50"/>
        <v>11781.536</v>
      </c>
      <c r="LW31" s="1286" t="s">
        <v>590</v>
      </c>
      <c r="LX31" s="1147" t="str">
        <f t="shared" si="51"/>
        <v>OK</v>
      </c>
    </row>
    <row r="32" spans="1:336" ht="15" customHeight="1" x14ac:dyDescent="0.2">
      <c r="A32" s="1280" t="s">
        <v>68</v>
      </c>
      <c r="B32" s="1252"/>
      <c r="C32" s="1098"/>
      <c r="D32" s="1098">
        <v>2.3559999999999999</v>
      </c>
      <c r="E32" s="1098"/>
      <c r="F32" s="1098"/>
      <c r="G32" s="1098"/>
      <c r="H32" s="1098"/>
      <c r="I32" s="1098"/>
      <c r="J32" s="1098"/>
      <c r="K32" s="1098"/>
      <c r="L32" s="1098"/>
      <c r="M32" s="1098">
        <v>30.658999999999999</v>
      </c>
      <c r="N32" s="1097">
        <f t="shared" si="21"/>
        <v>33.015000000000001</v>
      </c>
      <c r="O32" s="1252"/>
      <c r="P32" s="1098"/>
      <c r="Q32" s="1098"/>
      <c r="R32" s="1098"/>
      <c r="S32" s="1098">
        <v>0.93300000000000005</v>
      </c>
      <c r="T32" s="1098"/>
      <c r="U32" s="1098"/>
      <c r="V32" s="1098">
        <v>21.928000000000001</v>
      </c>
      <c r="W32" s="1098"/>
      <c r="X32" s="1098">
        <v>2.1080000000000001</v>
      </c>
      <c r="Y32" s="1098">
        <v>18.625</v>
      </c>
      <c r="Z32" s="1098">
        <v>15.682</v>
      </c>
      <c r="AA32" s="1097">
        <f t="shared" si="22"/>
        <v>59.276000000000003</v>
      </c>
      <c r="AB32" s="1252">
        <v>46.491</v>
      </c>
      <c r="AC32" s="1098">
        <v>51.594000000000001</v>
      </c>
      <c r="AD32" s="1098">
        <v>26.391999999999999</v>
      </c>
      <c r="AE32" s="1098">
        <v>25.742000000000001</v>
      </c>
      <c r="AF32" s="1098">
        <v>16.5</v>
      </c>
      <c r="AG32" s="1098">
        <v>17.414999999999999</v>
      </c>
      <c r="AH32" s="1098">
        <v>2.165</v>
      </c>
      <c r="AI32" s="1098">
        <v>21.408999999999999</v>
      </c>
      <c r="AJ32" s="1098">
        <v>12.17</v>
      </c>
      <c r="AK32" s="1098">
        <v>16.606999999999999</v>
      </c>
      <c r="AL32" s="1098">
        <v>23.713000000000001</v>
      </c>
      <c r="AM32" s="1098">
        <v>49.898000000000003</v>
      </c>
      <c r="AN32" s="1097">
        <f t="shared" si="23"/>
        <v>310.096</v>
      </c>
      <c r="AO32" s="1252">
        <v>9.5340000000000007</v>
      </c>
      <c r="AP32" s="1098">
        <v>27.425000000000001</v>
      </c>
      <c r="AQ32" s="1098">
        <v>15.526</v>
      </c>
      <c r="AR32" s="1098">
        <v>4.3070000000000004</v>
      </c>
      <c r="AS32" s="1098">
        <v>30.161999999999999</v>
      </c>
      <c r="AT32" s="1098">
        <v>13.108000000000001</v>
      </c>
      <c r="AU32" s="1098"/>
      <c r="AV32" s="1098">
        <v>16</v>
      </c>
      <c r="AW32" s="1098">
        <v>59</v>
      </c>
      <c r="AX32" s="1098">
        <v>33</v>
      </c>
      <c r="AY32" s="1098">
        <v>33</v>
      </c>
      <c r="AZ32" s="1098">
        <v>48</v>
      </c>
      <c r="BA32" s="1097">
        <f t="shared" si="24"/>
        <v>289.06200000000001</v>
      </c>
      <c r="BB32" s="1252">
        <v>31</v>
      </c>
      <c r="BC32" s="1098"/>
      <c r="BD32" s="1098">
        <v>14</v>
      </c>
      <c r="BE32" s="1098">
        <v>30</v>
      </c>
      <c r="BF32" s="1098">
        <v>7</v>
      </c>
      <c r="BG32" s="1098">
        <v>9</v>
      </c>
      <c r="BH32" s="1098">
        <v>32</v>
      </c>
      <c r="BI32" s="1098">
        <v>35</v>
      </c>
      <c r="BJ32" s="1098">
        <v>18</v>
      </c>
      <c r="BK32" s="1098">
        <v>50.570999999999998</v>
      </c>
      <c r="BL32" s="1098">
        <v>73.010000000000005</v>
      </c>
      <c r="BM32" s="1098">
        <v>83.41</v>
      </c>
      <c r="BN32" s="1097">
        <f t="shared" si="25"/>
        <v>382.99099999999999</v>
      </c>
      <c r="BO32" s="1252">
        <v>40.194000000000003</v>
      </c>
      <c r="BP32" s="1098"/>
      <c r="BQ32" s="1098">
        <v>51.073999999999998</v>
      </c>
      <c r="BR32" s="1098">
        <v>4.4409999999999998</v>
      </c>
      <c r="BS32" s="1098">
        <v>34.322000000000003</v>
      </c>
      <c r="BT32" s="1098">
        <v>14.510999999999999</v>
      </c>
      <c r="BU32" s="1098">
        <v>9.2539999999999996</v>
      </c>
      <c r="BV32" s="1098">
        <v>20.373999999999999</v>
      </c>
      <c r="BW32" s="1098">
        <v>67.602000000000004</v>
      </c>
      <c r="BX32" s="1098">
        <v>22.352</v>
      </c>
      <c r="BY32" s="1098">
        <v>112</v>
      </c>
      <c r="BZ32" s="1098">
        <v>12</v>
      </c>
      <c r="CA32" s="1097">
        <f t="shared" si="26"/>
        <v>388.12399999999997</v>
      </c>
      <c r="CB32" s="1252"/>
      <c r="CC32" s="1098">
        <v>20</v>
      </c>
      <c r="CD32" s="1098">
        <v>13</v>
      </c>
      <c r="CE32" s="1098">
        <v>62</v>
      </c>
      <c r="CF32" s="1098">
        <v>21</v>
      </c>
      <c r="CG32" s="1098">
        <v>71</v>
      </c>
      <c r="CH32" s="1098">
        <v>14</v>
      </c>
      <c r="CI32" s="1098">
        <v>3</v>
      </c>
      <c r="CJ32" s="1098">
        <v>6</v>
      </c>
      <c r="CK32" s="1098">
        <v>21</v>
      </c>
      <c r="CL32" s="1098">
        <v>5</v>
      </c>
      <c r="CM32" s="1098">
        <v>13</v>
      </c>
      <c r="CN32" s="1097">
        <f t="shared" si="27"/>
        <v>249</v>
      </c>
      <c r="CO32" s="1252"/>
      <c r="CP32" s="1098">
        <v>12</v>
      </c>
      <c r="CQ32" s="1098">
        <v>5</v>
      </c>
      <c r="CR32" s="1098">
        <v>10</v>
      </c>
      <c r="CS32" s="1098"/>
      <c r="CT32" s="1098">
        <v>1</v>
      </c>
      <c r="CU32" s="1098"/>
      <c r="CV32" s="1098">
        <v>7</v>
      </c>
      <c r="CW32" s="1098"/>
      <c r="CX32" s="1098"/>
      <c r="CY32" s="1098">
        <v>7</v>
      </c>
      <c r="CZ32" s="1098">
        <v>5</v>
      </c>
      <c r="DA32" s="1097">
        <f t="shared" si="28"/>
        <v>47</v>
      </c>
      <c r="DB32" s="1252">
        <v>4</v>
      </c>
      <c r="DC32" s="1098">
        <v>10</v>
      </c>
      <c r="DD32" s="1098">
        <v>22</v>
      </c>
      <c r="DE32" s="1098">
        <v>6</v>
      </c>
      <c r="DF32" s="1098">
        <v>14</v>
      </c>
      <c r="DG32" s="1098">
        <v>33</v>
      </c>
      <c r="DH32" s="1098">
        <v>13</v>
      </c>
      <c r="DI32" s="1098">
        <v>10</v>
      </c>
      <c r="DJ32" s="1098"/>
      <c r="DK32" s="1098"/>
      <c r="DL32" s="1098">
        <v>32</v>
      </c>
      <c r="DM32" s="1098"/>
      <c r="DN32" s="1097">
        <f t="shared" si="29"/>
        <v>144</v>
      </c>
      <c r="DO32" s="1252"/>
      <c r="DP32" s="1098"/>
      <c r="DQ32" s="1098">
        <v>4</v>
      </c>
      <c r="DR32" s="1098"/>
      <c r="DS32" s="1098">
        <v>4</v>
      </c>
      <c r="DT32" s="1098">
        <v>15</v>
      </c>
      <c r="DU32" s="1098">
        <v>8</v>
      </c>
      <c r="DV32" s="1098">
        <v>16</v>
      </c>
      <c r="DW32" s="1098">
        <v>13</v>
      </c>
      <c r="DX32" s="1098">
        <v>12</v>
      </c>
      <c r="DY32" s="1098">
        <v>6</v>
      </c>
      <c r="DZ32" s="1098">
        <v>17</v>
      </c>
      <c r="EA32" s="1097">
        <f t="shared" si="30"/>
        <v>95</v>
      </c>
      <c r="EB32" s="1252">
        <v>33</v>
      </c>
      <c r="EC32" s="1098">
        <v>20</v>
      </c>
      <c r="ED32" s="1098">
        <v>11</v>
      </c>
      <c r="EE32" s="1098">
        <v>16</v>
      </c>
      <c r="EF32" s="1098">
        <v>10</v>
      </c>
      <c r="EG32" s="1098">
        <v>28</v>
      </c>
      <c r="EH32" s="1098">
        <v>13</v>
      </c>
      <c r="EI32" s="1098">
        <v>5</v>
      </c>
      <c r="EJ32" s="1098">
        <v>2</v>
      </c>
      <c r="EK32" s="1098">
        <v>31</v>
      </c>
      <c r="EL32" s="1098">
        <v>8</v>
      </c>
      <c r="EM32" s="1098">
        <v>39</v>
      </c>
      <c r="EN32" s="1097">
        <f t="shared" si="31"/>
        <v>216</v>
      </c>
      <c r="EO32" s="1252">
        <v>27</v>
      </c>
      <c r="EP32" s="1098">
        <v>20</v>
      </c>
      <c r="EQ32" s="1098">
        <v>11</v>
      </c>
      <c r="ER32" s="1098"/>
      <c r="ES32" s="1098">
        <v>4</v>
      </c>
      <c r="ET32" s="1098">
        <v>20</v>
      </c>
      <c r="EU32" s="1098">
        <v>18</v>
      </c>
      <c r="EV32" s="1098">
        <v>8</v>
      </c>
      <c r="EW32" s="1098">
        <v>35</v>
      </c>
      <c r="EX32" s="1098">
        <v>20</v>
      </c>
      <c r="EY32" s="1098">
        <v>36</v>
      </c>
      <c r="EZ32" s="1098">
        <v>12</v>
      </c>
      <c r="FA32" s="1097">
        <f t="shared" si="32"/>
        <v>211</v>
      </c>
      <c r="FB32" s="1252">
        <v>17</v>
      </c>
      <c r="FC32" s="1098">
        <v>10</v>
      </c>
      <c r="FD32" s="1098">
        <v>7</v>
      </c>
      <c r="FE32" s="1098">
        <v>6</v>
      </c>
      <c r="FF32" s="1098"/>
      <c r="FG32" s="1098">
        <v>11</v>
      </c>
      <c r="FH32" s="1098">
        <v>1</v>
      </c>
      <c r="FI32" s="1098">
        <v>1</v>
      </c>
      <c r="FJ32" s="1098">
        <v>6</v>
      </c>
      <c r="FK32" s="1098">
        <v>55</v>
      </c>
      <c r="FL32" s="1098">
        <v>22</v>
      </c>
      <c r="FM32" s="1098">
        <v>25.5</v>
      </c>
      <c r="FN32" s="1097">
        <f t="shared" si="33"/>
        <v>161.5</v>
      </c>
      <c r="FO32" s="1252">
        <v>2</v>
      </c>
      <c r="FP32" s="1098"/>
      <c r="FQ32" s="1098">
        <v>16</v>
      </c>
      <c r="FR32" s="1098">
        <v>23</v>
      </c>
      <c r="FS32" s="1098">
        <v>41</v>
      </c>
      <c r="FT32" s="1098">
        <v>16</v>
      </c>
      <c r="FU32" s="1098"/>
      <c r="FV32" s="1098">
        <v>4</v>
      </c>
      <c r="FW32" s="1098">
        <v>12</v>
      </c>
      <c r="FX32" s="1098">
        <v>4</v>
      </c>
      <c r="FY32" s="1098">
        <v>2</v>
      </c>
      <c r="FZ32" s="1098">
        <v>9</v>
      </c>
      <c r="GA32" s="1097">
        <f t="shared" si="34"/>
        <v>129</v>
      </c>
      <c r="GB32" s="1252">
        <v>3</v>
      </c>
      <c r="GC32" s="1098">
        <v>6</v>
      </c>
      <c r="GD32" s="1098">
        <v>6</v>
      </c>
      <c r="GE32" s="1098">
        <v>8</v>
      </c>
      <c r="GF32" s="1098">
        <v>13</v>
      </c>
      <c r="GG32" s="1098">
        <v>2</v>
      </c>
      <c r="GH32" s="1098">
        <v>19</v>
      </c>
      <c r="GI32" s="1098"/>
      <c r="GJ32" s="1098">
        <v>11</v>
      </c>
      <c r="GK32" s="1098"/>
      <c r="GL32" s="1098"/>
      <c r="GM32" s="1098"/>
      <c r="GN32" s="1097">
        <f t="shared" si="35"/>
        <v>68</v>
      </c>
      <c r="GO32" s="1252"/>
      <c r="GP32" s="1098"/>
      <c r="GQ32" s="1098">
        <v>5.3319999999999999</v>
      </c>
      <c r="GR32" s="1098"/>
      <c r="GS32" s="1098">
        <v>4</v>
      </c>
      <c r="GT32" s="1098"/>
      <c r="GU32" s="1098">
        <v>1</v>
      </c>
      <c r="GV32" s="1098">
        <v>1</v>
      </c>
      <c r="GW32" s="1098">
        <v>3</v>
      </c>
      <c r="GX32" s="1098">
        <v>8</v>
      </c>
      <c r="GY32" s="1098">
        <v>5</v>
      </c>
      <c r="GZ32" s="1098"/>
      <c r="HA32" s="1097">
        <f t="shared" si="36"/>
        <v>27.332000000000001</v>
      </c>
      <c r="HB32" s="1252"/>
      <c r="HC32" s="1098">
        <v>5</v>
      </c>
      <c r="HD32" s="1098">
        <v>8</v>
      </c>
      <c r="HE32" s="1098">
        <v>12</v>
      </c>
      <c r="HF32" s="1098">
        <v>13</v>
      </c>
      <c r="HG32" s="1098">
        <v>13</v>
      </c>
      <c r="HH32" s="1098"/>
      <c r="HI32" s="1098">
        <v>6</v>
      </c>
      <c r="HJ32" s="1098">
        <v>0.94299999999999995</v>
      </c>
      <c r="HK32" s="1098">
        <v>4.4800000000000004</v>
      </c>
      <c r="HL32" s="1098">
        <v>18.070999999999998</v>
      </c>
      <c r="HM32" s="1098">
        <v>1.101</v>
      </c>
      <c r="HN32" s="1097">
        <f t="shared" si="37"/>
        <v>81.594999999999999</v>
      </c>
      <c r="HO32" s="1252"/>
      <c r="HP32" s="1098"/>
      <c r="HQ32" s="1098">
        <v>6.5389999999999997</v>
      </c>
      <c r="HR32" s="1098">
        <v>0.78</v>
      </c>
      <c r="HS32" s="1098">
        <v>9.1150000000000002</v>
      </c>
      <c r="HT32" s="1098">
        <v>13.263999999999999</v>
      </c>
      <c r="HU32" s="1098">
        <v>9.6880000000000006</v>
      </c>
      <c r="HV32" s="1098"/>
      <c r="HW32" s="1098"/>
      <c r="HX32" s="1098">
        <v>9</v>
      </c>
      <c r="HY32" s="1098"/>
      <c r="HZ32" s="1098"/>
      <c r="IA32" s="1097">
        <f t="shared" si="38"/>
        <v>48.386000000000003</v>
      </c>
      <c r="IB32" s="1252"/>
      <c r="IC32" s="1098"/>
      <c r="ID32" s="1098"/>
      <c r="IE32" s="1098"/>
      <c r="IF32" s="1098"/>
      <c r="IG32" s="1098"/>
      <c r="IH32" s="1098"/>
      <c r="II32" s="1098"/>
      <c r="IJ32" s="1098">
        <v>26.949000000000002</v>
      </c>
      <c r="IK32" s="1098">
        <v>5</v>
      </c>
      <c r="IL32" s="1098"/>
      <c r="IM32" s="1098">
        <v>7</v>
      </c>
      <c r="IN32" s="1097">
        <f t="shared" si="39"/>
        <v>38.948999999999998</v>
      </c>
      <c r="IO32" s="1252">
        <v>13.417</v>
      </c>
      <c r="IP32" s="1098">
        <f>7.578+12.1</f>
        <v>19.678000000000001</v>
      </c>
      <c r="IQ32" s="1098">
        <v>3.5459999999999998</v>
      </c>
      <c r="IR32" s="1098">
        <v>9.91</v>
      </c>
      <c r="IS32" s="1098"/>
      <c r="IT32" s="1098">
        <v>17.722999999999999</v>
      </c>
      <c r="IU32" s="1098">
        <v>55.231000000000002</v>
      </c>
      <c r="IV32" s="1098">
        <v>26.952000000000002</v>
      </c>
      <c r="IW32" s="1098">
        <v>17.920000000000002</v>
      </c>
      <c r="IX32" s="1098">
        <v>14.432</v>
      </c>
      <c r="IY32" s="1098">
        <v>34.351999999999997</v>
      </c>
      <c r="IZ32" s="1098">
        <v>3.4340000000000002</v>
      </c>
      <c r="JA32" s="1097">
        <f t="shared" si="40"/>
        <v>216.595</v>
      </c>
      <c r="JB32" s="1252">
        <v>25.962</v>
      </c>
      <c r="JC32" s="1098">
        <v>59.137999999999998</v>
      </c>
      <c r="JD32" s="1098">
        <v>62.811999999999998</v>
      </c>
      <c r="JE32" s="1098">
        <v>38.351999999999997</v>
      </c>
      <c r="JF32" s="1098">
        <v>37.1</v>
      </c>
      <c r="JG32" s="1098">
        <v>35.884</v>
      </c>
      <c r="JH32" s="1098">
        <v>58.825000000000003</v>
      </c>
      <c r="JI32" s="1098">
        <v>76.652000000000001</v>
      </c>
      <c r="JJ32" s="1098">
        <v>51.29</v>
      </c>
      <c r="JK32" s="1098">
        <v>117.47499999999999</v>
      </c>
      <c r="JL32" s="1098">
        <v>41.96</v>
      </c>
      <c r="JM32" s="1098">
        <v>30.861999999999998</v>
      </c>
      <c r="JN32" s="1097">
        <f t="shared" si="41"/>
        <v>636.31200000000001</v>
      </c>
      <c r="JO32" s="1252">
        <v>25.065000000000001</v>
      </c>
      <c r="JP32" s="1098">
        <v>52.802</v>
      </c>
      <c r="JQ32" s="1098">
        <v>34.718000000000004</v>
      </c>
      <c r="JR32" s="1098">
        <v>21.399000000000001</v>
      </c>
      <c r="JS32" s="1098">
        <v>23.956</v>
      </c>
      <c r="JT32" s="1098">
        <v>24.271000000000001</v>
      </c>
      <c r="JU32" s="1098">
        <v>10.247999999999999</v>
      </c>
      <c r="JV32" s="1098">
        <v>16.048999999999999</v>
      </c>
      <c r="JW32" s="1098">
        <v>3.7240000000000002</v>
      </c>
      <c r="JX32" s="1098">
        <v>3.7930000000000001</v>
      </c>
      <c r="JY32" s="1098">
        <v>52.201000000000001</v>
      </c>
      <c r="JZ32" s="1098">
        <v>6.9960000000000004</v>
      </c>
      <c r="KA32" s="1097">
        <f t="shared" si="42"/>
        <v>275.22199999999998</v>
      </c>
      <c r="KB32" s="1252">
        <v>3.597</v>
      </c>
      <c r="KC32" s="1098">
        <v>6.1390000000000002</v>
      </c>
      <c r="KD32" s="1098">
        <v>24.452999999999999</v>
      </c>
      <c r="KE32" s="1098">
        <v>34.624000000000002</v>
      </c>
      <c r="KF32" s="1098">
        <v>21.196000000000002</v>
      </c>
      <c r="KG32" s="1098">
        <v>17.187999999999999</v>
      </c>
      <c r="KH32" s="1098">
        <v>33.451999999999998</v>
      </c>
      <c r="KI32" s="1098">
        <v>81.353999999999999</v>
      </c>
      <c r="KJ32" s="1098">
        <v>92.793000000000006</v>
      </c>
      <c r="KK32" s="1098">
        <v>30.815999999999999</v>
      </c>
      <c r="KL32" s="1098">
        <v>9.0120000000000005</v>
      </c>
      <c r="KM32" s="1098">
        <v>12.506</v>
      </c>
      <c r="KN32" s="1097">
        <f t="shared" si="43"/>
        <v>367.13</v>
      </c>
      <c r="KO32" s="1252">
        <v>25.712</v>
      </c>
      <c r="KP32" s="1098"/>
      <c r="KQ32" s="1098">
        <v>25.146000000000001</v>
      </c>
      <c r="KR32" s="1098">
        <v>17.294</v>
      </c>
      <c r="KS32" s="1098">
        <v>15.055</v>
      </c>
      <c r="KT32" s="1098">
        <v>17.849</v>
      </c>
      <c r="KU32" s="1098">
        <v>30.655000000000001</v>
      </c>
      <c r="KV32" s="1098">
        <v>28.506</v>
      </c>
      <c r="KW32" s="1098">
        <v>12.539</v>
      </c>
      <c r="KX32" s="1098">
        <v>28.08</v>
      </c>
      <c r="KY32" s="1098">
        <v>10.755000000000001</v>
      </c>
      <c r="KZ32" s="1098">
        <v>7.1550000000000002</v>
      </c>
      <c r="LA32" s="1097">
        <f t="shared" si="44"/>
        <v>218.74600000000001</v>
      </c>
      <c r="LB32" s="1252"/>
      <c r="LC32" s="1098">
        <v>3</v>
      </c>
      <c r="LD32" s="1098">
        <v>4</v>
      </c>
      <c r="LE32" s="1098">
        <v>9</v>
      </c>
      <c r="LF32" s="1098">
        <v>7.1150000000000002</v>
      </c>
      <c r="LG32" s="1098">
        <v>3.915</v>
      </c>
      <c r="LH32" s="1098"/>
      <c r="LI32" s="1098">
        <v>0.61799999999999999</v>
      </c>
      <c r="LJ32" s="1098"/>
      <c r="LK32" s="1098"/>
      <c r="LL32" s="1098"/>
      <c r="LM32" s="1098"/>
      <c r="LN32" s="1097">
        <f t="shared" si="45"/>
        <v>27.648</v>
      </c>
      <c r="LP32" s="1116">
        <f t="shared" si="52"/>
        <v>-97.832035360976633</v>
      </c>
      <c r="LQ32" s="1117">
        <f t="shared" si="53"/>
        <v>-82.743404257975129</v>
      </c>
      <c r="LR32" s="1079">
        <f t="shared" si="54"/>
        <v>160.21700000000001</v>
      </c>
      <c r="LS32" s="1118">
        <f t="shared" si="55"/>
        <v>27.648</v>
      </c>
      <c r="LT32" s="1"/>
      <c r="LU32" s="629"/>
      <c r="LV32" s="1139">
        <f t="shared" si="50"/>
        <v>9441.9579999999951</v>
      </c>
      <c r="LW32" s="1286" t="s">
        <v>68</v>
      </c>
      <c r="LX32" s="1147" t="str">
        <f t="shared" si="51"/>
        <v>OK</v>
      </c>
    </row>
    <row r="33" spans="1:336" ht="15" customHeight="1" x14ac:dyDescent="0.2">
      <c r="A33" s="1280" t="s">
        <v>69</v>
      </c>
      <c r="B33" s="1252"/>
      <c r="C33" s="1098"/>
      <c r="D33" s="1098"/>
      <c r="E33" s="1098"/>
      <c r="F33" s="1098">
        <v>5.5170000000000003</v>
      </c>
      <c r="G33" s="1098"/>
      <c r="H33" s="1098"/>
      <c r="I33" s="1098">
        <v>16.509</v>
      </c>
      <c r="J33" s="1098"/>
      <c r="K33" s="1098">
        <v>18.488</v>
      </c>
      <c r="L33" s="1098"/>
      <c r="M33" s="1098">
        <v>11.79</v>
      </c>
      <c r="N33" s="1097">
        <f t="shared" si="21"/>
        <v>52.303999999999995</v>
      </c>
      <c r="O33" s="1252">
        <v>35</v>
      </c>
      <c r="P33" s="1098"/>
      <c r="Q33" s="1098"/>
      <c r="R33" s="1098"/>
      <c r="S33" s="1098"/>
      <c r="T33" s="1098"/>
      <c r="U33" s="1098"/>
      <c r="V33" s="1098"/>
      <c r="W33" s="1098"/>
      <c r="X33" s="1098"/>
      <c r="Y33" s="1098"/>
      <c r="Z33" s="1098"/>
      <c r="AA33" s="1097">
        <f t="shared" si="22"/>
        <v>35</v>
      </c>
      <c r="AB33" s="1252">
        <v>21.231000000000002</v>
      </c>
      <c r="AC33" s="1098"/>
      <c r="AD33" s="1098">
        <v>4.41</v>
      </c>
      <c r="AE33" s="1098"/>
      <c r="AF33" s="1098"/>
      <c r="AG33" s="1098">
        <v>13.526</v>
      </c>
      <c r="AH33" s="1098"/>
      <c r="AI33" s="1098"/>
      <c r="AJ33" s="1098"/>
      <c r="AK33" s="1098"/>
      <c r="AL33" s="1098"/>
      <c r="AM33" s="1098">
        <v>8.85</v>
      </c>
      <c r="AN33" s="1097">
        <f t="shared" si="23"/>
        <v>48.017000000000003</v>
      </c>
      <c r="AO33" s="1252">
        <v>13.507999999999999</v>
      </c>
      <c r="AP33" s="1098"/>
      <c r="AQ33" s="1098">
        <v>10.382</v>
      </c>
      <c r="AR33" s="1098"/>
      <c r="AS33" s="1098"/>
      <c r="AT33" s="1098">
        <v>2.1230000000000002</v>
      </c>
      <c r="AU33" s="1098"/>
      <c r="AV33" s="1098"/>
      <c r="AW33" s="1098"/>
      <c r="AX33" s="1098"/>
      <c r="AY33" s="1098"/>
      <c r="AZ33" s="1098"/>
      <c r="BA33" s="1097">
        <f t="shared" si="24"/>
        <v>26.013000000000002</v>
      </c>
      <c r="BB33" s="1252"/>
      <c r="BC33" s="1098"/>
      <c r="BD33" s="1098"/>
      <c r="BE33" s="1098">
        <v>23</v>
      </c>
      <c r="BF33" s="1098">
        <v>28</v>
      </c>
      <c r="BG33" s="1098"/>
      <c r="BH33" s="1098"/>
      <c r="BI33" s="1098"/>
      <c r="BJ33" s="1098">
        <v>7</v>
      </c>
      <c r="BK33" s="1098">
        <v>14.065</v>
      </c>
      <c r="BL33" s="1098"/>
      <c r="BM33" s="1098">
        <v>13.238</v>
      </c>
      <c r="BN33" s="1097">
        <f t="shared" si="25"/>
        <v>85.302999999999997</v>
      </c>
      <c r="BO33" s="1252">
        <v>7.0000000000000007E-2</v>
      </c>
      <c r="BP33" s="1098"/>
      <c r="BQ33" s="1098"/>
      <c r="BR33" s="1098"/>
      <c r="BS33" s="1098"/>
      <c r="BT33" s="1098">
        <v>4.2910000000000004</v>
      </c>
      <c r="BU33" s="1098">
        <v>25.943000000000001</v>
      </c>
      <c r="BV33" s="1098">
        <v>15.23</v>
      </c>
      <c r="BW33" s="1098">
        <v>4.74</v>
      </c>
      <c r="BX33" s="1098">
        <v>18.867999999999999</v>
      </c>
      <c r="BY33" s="1098">
        <v>8</v>
      </c>
      <c r="BZ33" s="1098">
        <v>17</v>
      </c>
      <c r="CA33" s="1097">
        <f t="shared" si="26"/>
        <v>94.14200000000001</v>
      </c>
      <c r="CB33" s="1252">
        <v>12</v>
      </c>
      <c r="CC33" s="1098">
        <v>17</v>
      </c>
      <c r="CD33" s="1098">
        <v>16</v>
      </c>
      <c r="CE33" s="1098"/>
      <c r="CF33" s="1098"/>
      <c r="CG33" s="1098"/>
      <c r="CH33" s="1098"/>
      <c r="CI33" s="1098"/>
      <c r="CJ33" s="1098">
        <v>7</v>
      </c>
      <c r="CK33" s="1098">
        <v>5</v>
      </c>
      <c r="CL33" s="1098">
        <v>12</v>
      </c>
      <c r="CM33" s="1098">
        <v>31</v>
      </c>
      <c r="CN33" s="1097">
        <f t="shared" si="27"/>
        <v>100</v>
      </c>
      <c r="CO33" s="1252">
        <v>13</v>
      </c>
      <c r="CP33" s="1098"/>
      <c r="CQ33" s="1098"/>
      <c r="CR33" s="1098"/>
      <c r="CS33" s="1098"/>
      <c r="CT33" s="1098"/>
      <c r="CU33" s="1098"/>
      <c r="CV33" s="1098"/>
      <c r="CW33" s="1098"/>
      <c r="CX33" s="1098"/>
      <c r="CY33" s="1098"/>
      <c r="CZ33" s="1098">
        <v>2</v>
      </c>
      <c r="DA33" s="1097">
        <f t="shared" si="28"/>
        <v>15</v>
      </c>
      <c r="DB33" s="1252">
        <v>6</v>
      </c>
      <c r="DC33" s="1098"/>
      <c r="DD33" s="1098">
        <v>3</v>
      </c>
      <c r="DE33" s="1098">
        <v>4</v>
      </c>
      <c r="DF33" s="1098"/>
      <c r="DG33" s="1098"/>
      <c r="DH33" s="1098">
        <v>1</v>
      </c>
      <c r="DI33" s="1098"/>
      <c r="DJ33" s="1098">
        <v>1</v>
      </c>
      <c r="DK33" s="1098"/>
      <c r="DL33" s="1098"/>
      <c r="DM33" s="1098"/>
      <c r="DN33" s="1097">
        <f t="shared" si="29"/>
        <v>15</v>
      </c>
      <c r="DO33" s="1252"/>
      <c r="DP33" s="1098"/>
      <c r="DQ33" s="1098">
        <v>3</v>
      </c>
      <c r="DR33" s="1098"/>
      <c r="DS33" s="1098"/>
      <c r="DT33" s="1098">
        <v>3</v>
      </c>
      <c r="DU33" s="1098">
        <v>2</v>
      </c>
      <c r="DV33" s="1098"/>
      <c r="DW33" s="1098"/>
      <c r="DX33" s="1098"/>
      <c r="DY33" s="1098"/>
      <c r="DZ33" s="1098"/>
      <c r="EA33" s="1097">
        <f t="shared" si="30"/>
        <v>8</v>
      </c>
      <c r="EB33" s="1252"/>
      <c r="EC33" s="1098"/>
      <c r="ED33" s="1098"/>
      <c r="EE33" s="1098"/>
      <c r="EF33" s="1098"/>
      <c r="EG33" s="1098"/>
      <c r="EH33" s="1098"/>
      <c r="EI33" s="1098"/>
      <c r="EJ33" s="1098"/>
      <c r="EK33" s="1098"/>
      <c r="EL33" s="1098"/>
      <c r="EM33" s="1098"/>
      <c r="EN33" s="1097">
        <f t="shared" si="31"/>
        <v>0</v>
      </c>
      <c r="EO33" s="1252"/>
      <c r="EP33" s="1098"/>
      <c r="EQ33" s="1098"/>
      <c r="ER33" s="1098"/>
      <c r="ES33" s="1098"/>
      <c r="ET33" s="1098"/>
      <c r="EU33" s="1098"/>
      <c r="EV33" s="1098"/>
      <c r="EW33" s="1098"/>
      <c r="EX33" s="1098"/>
      <c r="EY33" s="1098"/>
      <c r="EZ33" s="1098"/>
      <c r="FA33" s="1097">
        <f t="shared" si="32"/>
        <v>0</v>
      </c>
      <c r="FB33" s="1252"/>
      <c r="FC33" s="1098"/>
      <c r="FD33" s="1098"/>
      <c r="FE33" s="1098"/>
      <c r="FF33" s="1098"/>
      <c r="FG33" s="1098"/>
      <c r="FH33" s="1098"/>
      <c r="FI33" s="1098"/>
      <c r="FJ33" s="1098"/>
      <c r="FK33" s="1098"/>
      <c r="FL33" s="1098"/>
      <c r="FM33" s="1098"/>
      <c r="FN33" s="1097">
        <f t="shared" si="33"/>
        <v>0</v>
      </c>
      <c r="FO33" s="1252">
        <v>4</v>
      </c>
      <c r="FP33" s="1098"/>
      <c r="FQ33" s="1098"/>
      <c r="FR33" s="1098"/>
      <c r="FS33" s="1098"/>
      <c r="FT33" s="1098"/>
      <c r="FU33" s="1098"/>
      <c r="FV33" s="1098"/>
      <c r="FW33" s="1098"/>
      <c r="FX33" s="1098"/>
      <c r="FY33" s="1098"/>
      <c r="FZ33" s="1098"/>
      <c r="GA33" s="1097">
        <f t="shared" si="34"/>
        <v>4</v>
      </c>
      <c r="GB33" s="1252"/>
      <c r="GC33" s="1098"/>
      <c r="GD33" s="1098"/>
      <c r="GE33" s="1098">
        <v>5</v>
      </c>
      <c r="GF33" s="1098"/>
      <c r="GG33" s="1098"/>
      <c r="GH33" s="1098"/>
      <c r="GI33" s="1098"/>
      <c r="GJ33" s="1098">
        <v>5</v>
      </c>
      <c r="GK33" s="1098">
        <v>1</v>
      </c>
      <c r="GL33" s="1098"/>
      <c r="GM33" s="1098"/>
      <c r="GN33" s="1097">
        <f t="shared" si="35"/>
        <v>11</v>
      </c>
      <c r="GO33" s="1252"/>
      <c r="GP33" s="1098"/>
      <c r="GQ33" s="1098"/>
      <c r="GR33" s="1098">
        <v>1</v>
      </c>
      <c r="GS33" s="1098">
        <v>3</v>
      </c>
      <c r="GT33" s="1098"/>
      <c r="GU33" s="1098"/>
      <c r="GV33" s="1098"/>
      <c r="GW33" s="1098"/>
      <c r="GX33" s="1098"/>
      <c r="GY33" s="1098"/>
      <c r="GZ33" s="1098"/>
      <c r="HA33" s="1097">
        <f t="shared" si="36"/>
        <v>4</v>
      </c>
      <c r="HB33" s="1252">
        <v>11</v>
      </c>
      <c r="HC33" s="1098">
        <v>23</v>
      </c>
      <c r="HD33" s="1098"/>
      <c r="HE33" s="1098">
        <v>3.57</v>
      </c>
      <c r="HF33" s="1098"/>
      <c r="HG33" s="1098"/>
      <c r="HH33" s="1098"/>
      <c r="HI33" s="1098"/>
      <c r="HJ33" s="1098">
        <v>0.01</v>
      </c>
      <c r="HK33" s="1098"/>
      <c r="HL33" s="1098"/>
      <c r="HM33" s="1098"/>
      <c r="HN33" s="1097">
        <f t="shared" si="37"/>
        <v>37.58</v>
      </c>
      <c r="HO33" s="1252"/>
      <c r="HP33" s="1098"/>
      <c r="HQ33" s="1098"/>
      <c r="HR33" s="1098"/>
      <c r="HS33" s="1098"/>
      <c r="HT33" s="1098"/>
      <c r="HU33" s="1098"/>
      <c r="HV33" s="1098"/>
      <c r="HW33" s="1098"/>
      <c r="HX33" s="1098"/>
      <c r="HY33" s="1098"/>
      <c r="HZ33" s="1098"/>
      <c r="IA33" s="1097">
        <f t="shared" si="38"/>
        <v>0</v>
      </c>
      <c r="IB33" s="1252"/>
      <c r="IC33" s="1098"/>
      <c r="ID33" s="1098"/>
      <c r="IE33" s="1098"/>
      <c r="IF33" s="1098"/>
      <c r="IG33" s="1098"/>
      <c r="IH33" s="1098"/>
      <c r="II33" s="1098"/>
      <c r="IJ33" s="1098"/>
      <c r="IK33" s="1098"/>
      <c r="IL33" s="1098"/>
      <c r="IM33" s="1098"/>
      <c r="IN33" s="1097">
        <f t="shared" si="39"/>
        <v>0</v>
      </c>
      <c r="IO33" s="1252"/>
      <c r="IP33" s="1098"/>
      <c r="IQ33" s="1098"/>
      <c r="IR33" s="1098"/>
      <c r="IS33" s="1098"/>
      <c r="IT33" s="1098"/>
      <c r="IU33" s="1098"/>
      <c r="IV33" s="1098"/>
      <c r="IW33" s="1098"/>
      <c r="IX33" s="1098"/>
      <c r="IY33" s="1098"/>
      <c r="IZ33" s="1098"/>
      <c r="JA33" s="1097">
        <f t="shared" si="40"/>
        <v>0</v>
      </c>
      <c r="JB33" s="1252"/>
      <c r="JC33" s="1098"/>
      <c r="JD33" s="1098"/>
      <c r="JE33" s="1098"/>
      <c r="JF33" s="1098"/>
      <c r="JG33" s="1098"/>
      <c r="JH33" s="1098"/>
      <c r="JI33" s="1098"/>
      <c r="JJ33" s="1098"/>
      <c r="JK33" s="1098"/>
      <c r="JL33" s="1098"/>
      <c r="JM33" s="1098"/>
      <c r="JN33" s="1097">
        <f t="shared" si="41"/>
        <v>0</v>
      </c>
      <c r="JO33" s="1252"/>
      <c r="JP33" s="1098"/>
      <c r="JQ33" s="1098"/>
      <c r="JR33" s="1098"/>
      <c r="JS33" s="1098"/>
      <c r="JT33" s="1098"/>
      <c r="JU33" s="1098"/>
      <c r="JV33" s="1098"/>
      <c r="JW33" s="1098">
        <v>12.114000000000001</v>
      </c>
      <c r="JX33" s="1098">
        <v>20.943999999999999</v>
      </c>
      <c r="JY33" s="1098"/>
      <c r="JZ33" s="1098"/>
      <c r="KA33" s="1097">
        <f t="shared" si="42"/>
        <v>33.058</v>
      </c>
      <c r="KB33" s="1252"/>
      <c r="KC33" s="1098"/>
      <c r="KD33" s="1098"/>
      <c r="KE33" s="1098"/>
      <c r="KF33" s="1098"/>
      <c r="KG33" s="1098"/>
      <c r="KH33" s="1098"/>
      <c r="KI33" s="1098">
        <v>3.5049999999999999</v>
      </c>
      <c r="KJ33" s="1098"/>
      <c r="KK33" s="1098"/>
      <c r="KL33" s="1098"/>
      <c r="KM33" s="1098"/>
      <c r="KN33" s="1097">
        <f t="shared" si="43"/>
        <v>3.5049999999999999</v>
      </c>
      <c r="KO33" s="1252"/>
      <c r="KP33" s="1098">
        <v>4.7190000000000003</v>
      </c>
      <c r="KQ33" s="1098"/>
      <c r="KR33" s="1098"/>
      <c r="KS33" s="1098"/>
      <c r="KT33" s="1098"/>
      <c r="KU33" s="1098"/>
      <c r="KV33" s="1098"/>
      <c r="KW33" s="1098"/>
      <c r="KX33" s="1098"/>
      <c r="KY33" s="1098"/>
      <c r="KZ33" s="1098"/>
      <c r="LA33" s="1097">
        <f t="shared" si="44"/>
        <v>4.7190000000000003</v>
      </c>
      <c r="LB33" s="1252"/>
      <c r="LC33" s="1098"/>
      <c r="LD33" s="1098"/>
      <c r="LE33" s="1098">
        <v>10</v>
      </c>
      <c r="LF33" s="1098"/>
      <c r="LG33" s="1098"/>
      <c r="LH33" s="1098"/>
      <c r="LI33" s="1098"/>
      <c r="LJ33" s="1098"/>
      <c r="LK33" s="1098"/>
      <c r="LL33" s="1098"/>
      <c r="LM33" s="1098"/>
      <c r="LN33" s="1097">
        <f t="shared" si="45"/>
        <v>10</v>
      </c>
      <c r="LP33" s="1116" t="str">
        <f t="shared" si="52"/>
        <v/>
      </c>
      <c r="LQ33" s="1117">
        <f t="shared" si="53"/>
        <v>111.90930281839373</v>
      </c>
      <c r="LR33" s="1079">
        <f t="shared" si="54"/>
        <v>4.7190000000000003</v>
      </c>
      <c r="LS33" s="1118">
        <f t="shared" si="55"/>
        <v>10</v>
      </c>
      <c r="LT33" s="1"/>
      <c r="LU33" s="629"/>
      <c r="LV33" s="1139">
        <f t="shared" si="50"/>
        <v>1173.2820000000002</v>
      </c>
      <c r="LW33" s="1286" t="s">
        <v>69</v>
      </c>
      <c r="LX33" s="1147" t="str">
        <f t="shared" si="51"/>
        <v>OK</v>
      </c>
    </row>
    <row r="34" spans="1:336" ht="15" customHeight="1" x14ac:dyDescent="0.2">
      <c r="A34" s="1280" t="s">
        <v>70</v>
      </c>
      <c r="B34" s="1252"/>
      <c r="C34" s="1098"/>
      <c r="D34" s="1098"/>
      <c r="E34" s="1098"/>
      <c r="F34" s="1098">
        <v>8.7029999999999994</v>
      </c>
      <c r="G34" s="1098"/>
      <c r="H34" s="1098"/>
      <c r="I34" s="1098"/>
      <c r="J34" s="1098"/>
      <c r="K34" s="1098"/>
      <c r="L34" s="1098"/>
      <c r="M34" s="1098"/>
      <c r="N34" s="1097">
        <f t="shared" si="21"/>
        <v>8.7029999999999994</v>
      </c>
      <c r="O34" s="1252">
        <v>74</v>
      </c>
      <c r="P34" s="1098"/>
      <c r="Q34" s="1098"/>
      <c r="R34" s="1098">
        <v>17.405000000000001</v>
      </c>
      <c r="S34" s="1098"/>
      <c r="T34" s="1098"/>
      <c r="U34" s="1098"/>
      <c r="V34" s="1098"/>
      <c r="W34" s="1098">
        <v>17.399999999999999</v>
      </c>
      <c r="X34" s="1098"/>
      <c r="Y34" s="1098"/>
      <c r="Z34" s="1098"/>
      <c r="AA34" s="1097">
        <f t="shared" si="22"/>
        <v>108.80500000000001</v>
      </c>
      <c r="AB34" s="1252"/>
      <c r="AC34" s="1098"/>
      <c r="AD34" s="1098">
        <v>3.6320000000000001</v>
      </c>
      <c r="AE34" s="1098"/>
      <c r="AF34" s="1098"/>
      <c r="AG34" s="1098"/>
      <c r="AH34" s="1098"/>
      <c r="AI34" s="1098"/>
      <c r="AJ34" s="1098"/>
      <c r="AK34" s="1098"/>
      <c r="AL34" s="1098"/>
      <c r="AM34" s="1098">
        <v>6.335</v>
      </c>
      <c r="AN34" s="1097">
        <f t="shared" si="23"/>
        <v>9.9670000000000005</v>
      </c>
      <c r="AO34" s="1252"/>
      <c r="AP34" s="1098"/>
      <c r="AQ34" s="1098"/>
      <c r="AR34" s="1098"/>
      <c r="AS34" s="1098"/>
      <c r="AT34" s="1098"/>
      <c r="AU34" s="1098"/>
      <c r="AV34" s="1098"/>
      <c r="AW34" s="1098"/>
      <c r="AX34" s="1098"/>
      <c r="AY34" s="1098"/>
      <c r="AZ34" s="1098"/>
      <c r="BA34" s="1097">
        <f t="shared" si="24"/>
        <v>0</v>
      </c>
      <c r="BB34" s="1252"/>
      <c r="BC34" s="1098"/>
      <c r="BD34" s="1098"/>
      <c r="BE34" s="1098"/>
      <c r="BF34" s="1098"/>
      <c r="BG34" s="1098"/>
      <c r="BH34" s="1098"/>
      <c r="BI34" s="1098"/>
      <c r="BJ34" s="1098">
        <v>7.5</v>
      </c>
      <c r="BK34" s="1098">
        <v>32.033000000000001</v>
      </c>
      <c r="BL34" s="1098">
        <v>21.762</v>
      </c>
      <c r="BM34" s="1098">
        <v>95.001999999999995</v>
      </c>
      <c r="BN34" s="1097">
        <f t="shared" si="25"/>
        <v>156.297</v>
      </c>
      <c r="BO34" s="1252">
        <v>4.8920000000000003</v>
      </c>
      <c r="BP34" s="1098"/>
      <c r="BQ34" s="1098">
        <v>7.7939999999999996</v>
      </c>
      <c r="BR34" s="1098"/>
      <c r="BS34" s="1098"/>
      <c r="BT34" s="1098"/>
      <c r="BU34" s="1098"/>
      <c r="BV34" s="1098"/>
      <c r="BW34" s="1098">
        <v>4.0449999999999999</v>
      </c>
      <c r="BX34" s="1098"/>
      <c r="BY34" s="1098">
        <v>12</v>
      </c>
      <c r="BZ34" s="1098"/>
      <c r="CA34" s="1097">
        <f t="shared" si="26"/>
        <v>28.731000000000002</v>
      </c>
      <c r="CB34" s="1252"/>
      <c r="CC34" s="1098"/>
      <c r="CD34" s="1098">
        <v>10</v>
      </c>
      <c r="CE34" s="1098">
        <v>5</v>
      </c>
      <c r="CF34" s="1098">
        <v>6</v>
      </c>
      <c r="CG34" s="1098"/>
      <c r="CH34" s="1098"/>
      <c r="CI34" s="1098"/>
      <c r="CJ34" s="1098">
        <v>4</v>
      </c>
      <c r="CK34" s="1098">
        <v>5</v>
      </c>
      <c r="CL34" s="1098"/>
      <c r="CM34" s="1098">
        <v>9</v>
      </c>
      <c r="CN34" s="1097">
        <f t="shared" si="27"/>
        <v>39</v>
      </c>
      <c r="CO34" s="1252"/>
      <c r="CP34" s="1098">
        <v>14</v>
      </c>
      <c r="CQ34" s="1098"/>
      <c r="CR34" s="1098">
        <v>5</v>
      </c>
      <c r="CS34" s="1098">
        <v>4</v>
      </c>
      <c r="CT34" s="1098">
        <v>1</v>
      </c>
      <c r="CU34" s="1098"/>
      <c r="CV34" s="1098"/>
      <c r="CW34" s="1098"/>
      <c r="CX34" s="1098"/>
      <c r="CY34" s="1098">
        <v>4</v>
      </c>
      <c r="CZ34" s="1098">
        <v>2</v>
      </c>
      <c r="DA34" s="1097">
        <f t="shared" si="28"/>
        <v>30</v>
      </c>
      <c r="DB34" s="1252">
        <v>3</v>
      </c>
      <c r="DC34" s="1098">
        <v>4</v>
      </c>
      <c r="DD34" s="1098"/>
      <c r="DE34" s="1098"/>
      <c r="DF34" s="1098"/>
      <c r="DG34" s="1098">
        <v>4</v>
      </c>
      <c r="DH34" s="1098"/>
      <c r="DI34" s="1098"/>
      <c r="DJ34" s="1098"/>
      <c r="DK34" s="1098">
        <f>AVERAGE(DB34:DJ34)</f>
        <v>3.6666666666666665</v>
      </c>
      <c r="DL34" s="1098">
        <v>3</v>
      </c>
      <c r="DM34" s="1098">
        <v>1</v>
      </c>
      <c r="DN34" s="1097">
        <f t="shared" si="29"/>
        <v>18.666666666666664</v>
      </c>
      <c r="DO34" s="1252"/>
      <c r="DP34" s="1098">
        <v>4</v>
      </c>
      <c r="DQ34" s="1098">
        <v>2</v>
      </c>
      <c r="DR34" s="1098">
        <v>4</v>
      </c>
      <c r="DS34" s="1098">
        <v>13</v>
      </c>
      <c r="DT34" s="1098">
        <v>3</v>
      </c>
      <c r="DU34" s="1098"/>
      <c r="DV34" s="1098">
        <v>3</v>
      </c>
      <c r="DW34" s="1098">
        <v>3</v>
      </c>
      <c r="DX34" s="1098">
        <v>4</v>
      </c>
      <c r="DY34" s="1098">
        <v>1</v>
      </c>
      <c r="DZ34" s="1098"/>
      <c r="EA34" s="1097">
        <f t="shared" si="30"/>
        <v>37</v>
      </c>
      <c r="EB34" s="1252"/>
      <c r="EC34" s="1098"/>
      <c r="ED34" s="1098"/>
      <c r="EE34" s="1098"/>
      <c r="EF34" s="1098">
        <v>2</v>
      </c>
      <c r="EG34" s="1098"/>
      <c r="EH34" s="1098">
        <v>11</v>
      </c>
      <c r="EI34" s="1098">
        <v>2</v>
      </c>
      <c r="EJ34" s="1098">
        <v>5</v>
      </c>
      <c r="EK34" s="1098">
        <v>5</v>
      </c>
      <c r="EL34" s="1098">
        <v>4</v>
      </c>
      <c r="EM34" s="1098">
        <v>3</v>
      </c>
      <c r="EN34" s="1097">
        <f t="shared" si="31"/>
        <v>32</v>
      </c>
      <c r="EO34" s="1252"/>
      <c r="EP34" s="1098"/>
      <c r="EQ34" s="1098"/>
      <c r="ER34" s="1098"/>
      <c r="ES34" s="1098"/>
      <c r="ET34" s="1098"/>
      <c r="EU34" s="1098"/>
      <c r="EV34" s="1098"/>
      <c r="EW34" s="1098"/>
      <c r="EX34" s="1098"/>
      <c r="EY34" s="1098"/>
      <c r="EZ34" s="1098">
        <v>7</v>
      </c>
      <c r="FA34" s="1097">
        <f t="shared" si="32"/>
        <v>7</v>
      </c>
      <c r="FB34" s="1252"/>
      <c r="FC34" s="1098">
        <v>7</v>
      </c>
      <c r="FD34" s="1098"/>
      <c r="FE34" s="1098"/>
      <c r="FF34" s="1098">
        <v>7</v>
      </c>
      <c r="FG34" s="1098">
        <v>14</v>
      </c>
      <c r="FH34" s="1098"/>
      <c r="FI34" s="1098">
        <v>4</v>
      </c>
      <c r="FJ34" s="1098"/>
      <c r="FK34" s="1098"/>
      <c r="FL34" s="1098">
        <v>2</v>
      </c>
      <c r="FM34" s="1098">
        <v>5</v>
      </c>
      <c r="FN34" s="1097">
        <f t="shared" si="33"/>
        <v>39</v>
      </c>
      <c r="FO34" s="1252">
        <v>2</v>
      </c>
      <c r="FP34" s="1098">
        <v>3</v>
      </c>
      <c r="FQ34" s="1098">
        <v>1</v>
      </c>
      <c r="FR34" s="1098">
        <v>8</v>
      </c>
      <c r="FS34" s="1098">
        <v>17</v>
      </c>
      <c r="FT34" s="1098">
        <v>11</v>
      </c>
      <c r="FU34" s="1098">
        <v>33</v>
      </c>
      <c r="FV34" s="1098"/>
      <c r="FW34" s="1098">
        <v>4</v>
      </c>
      <c r="FX34" s="1098"/>
      <c r="FY34" s="1098">
        <v>6</v>
      </c>
      <c r="FZ34" s="1098">
        <v>12</v>
      </c>
      <c r="GA34" s="1097">
        <f t="shared" si="34"/>
        <v>97</v>
      </c>
      <c r="GB34" s="1252">
        <v>32</v>
      </c>
      <c r="GC34" s="1098">
        <v>22</v>
      </c>
      <c r="GD34" s="1098">
        <v>16.541</v>
      </c>
      <c r="GE34" s="1098">
        <v>7.9370000000000003</v>
      </c>
      <c r="GF34" s="1098">
        <v>11.51</v>
      </c>
      <c r="GG34" s="1098">
        <v>5</v>
      </c>
      <c r="GH34" s="1098">
        <v>2</v>
      </c>
      <c r="GI34" s="1098">
        <v>20</v>
      </c>
      <c r="GJ34" s="1098">
        <v>20</v>
      </c>
      <c r="GK34" s="1098">
        <v>8</v>
      </c>
      <c r="GL34" s="1098">
        <v>2</v>
      </c>
      <c r="GM34" s="1098"/>
      <c r="GN34" s="1097">
        <f t="shared" si="35"/>
        <v>146.988</v>
      </c>
      <c r="GO34" s="1252">
        <v>4.3</v>
      </c>
      <c r="GP34" s="1098"/>
      <c r="GQ34" s="1098">
        <v>8.3409999999999993</v>
      </c>
      <c r="GR34" s="1098">
        <v>2</v>
      </c>
      <c r="GS34" s="1098">
        <v>9</v>
      </c>
      <c r="GT34" s="1098">
        <v>9</v>
      </c>
      <c r="GU34" s="1098"/>
      <c r="GV34" s="1098"/>
      <c r="GW34" s="1098">
        <v>58</v>
      </c>
      <c r="GX34" s="1098"/>
      <c r="GY34" s="1098">
        <v>13</v>
      </c>
      <c r="GZ34" s="1098"/>
      <c r="HA34" s="1097">
        <f t="shared" si="36"/>
        <v>103.64099999999999</v>
      </c>
      <c r="HB34" s="1252"/>
      <c r="HC34" s="1098"/>
      <c r="HD34" s="1098">
        <v>27.42</v>
      </c>
      <c r="HE34" s="1098">
        <v>14.335000000000001</v>
      </c>
      <c r="HF34" s="1098">
        <v>13</v>
      </c>
      <c r="HG34" s="1098">
        <v>3</v>
      </c>
      <c r="HH34" s="1098"/>
      <c r="HI34" s="1098">
        <v>8</v>
      </c>
      <c r="HJ34" s="1098">
        <v>3.5640000000000001</v>
      </c>
      <c r="HK34" s="1098">
        <v>7.31</v>
      </c>
      <c r="HL34" s="1098">
        <v>63.923000000000002</v>
      </c>
      <c r="HM34" s="1098">
        <v>22.357999999999997</v>
      </c>
      <c r="HN34" s="1097">
        <f t="shared" si="37"/>
        <v>162.91</v>
      </c>
      <c r="HO34" s="1252">
        <v>4.45</v>
      </c>
      <c r="HP34" s="1098">
        <v>39.408999999999999</v>
      </c>
      <c r="HQ34" s="1098">
        <v>37.167000000000002</v>
      </c>
      <c r="HR34" s="1098">
        <v>9.3019999999999996</v>
      </c>
      <c r="HS34" s="1098">
        <v>5.9029999999999996</v>
      </c>
      <c r="HT34" s="1098">
        <v>19.484999999999999</v>
      </c>
      <c r="HU34" s="1098">
        <v>16.995000000000001</v>
      </c>
      <c r="HV34" s="1098">
        <v>31.018999999999998</v>
      </c>
      <c r="HW34" s="1098">
        <v>51.933999999999997</v>
      </c>
      <c r="HX34" s="1098">
        <v>18</v>
      </c>
      <c r="HY34" s="1098">
        <v>19</v>
      </c>
      <c r="HZ34" s="1098"/>
      <c r="IA34" s="1097">
        <f t="shared" si="38"/>
        <v>252.66400000000002</v>
      </c>
      <c r="IB34" s="1252"/>
      <c r="IC34" s="1098"/>
      <c r="ID34" s="1098">
        <v>46.064</v>
      </c>
      <c r="IE34" s="1098"/>
      <c r="IF34" s="1098"/>
      <c r="IG34" s="1098"/>
      <c r="IH34" s="1098">
        <v>16.440000000000001</v>
      </c>
      <c r="II34" s="1098">
        <v>7.3250000000000002</v>
      </c>
      <c r="IJ34" s="1098">
        <v>4</v>
      </c>
      <c r="IK34" s="1098">
        <v>39</v>
      </c>
      <c r="IL34" s="1098">
        <v>54</v>
      </c>
      <c r="IM34" s="1098">
        <v>64</v>
      </c>
      <c r="IN34" s="1097">
        <f t="shared" si="39"/>
        <v>230.82900000000001</v>
      </c>
      <c r="IO34" s="1252">
        <v>12.375</v>
      </c>
      <c r="IP34" s="1098">
        <v>39.186</v>
      </c>
      <c r="IQ34" s="1098">
        <v>5.0780000000000003</v>
      </c>
      <c r="IR34" s="1098"/>
      <c r="IS34" s="1098">
        <v>5.1150000000000002</v>
      </c>
      <c r="IT34" s="1098">
        <v>18.498999999999999</v>
      </c>
      <c r="IU34" s="1098">
        <v>10.599</v>
      </c>
      <c r="IV34" s="1098">
        <v>1.627</v>
      </c>
      <c r="IW34" s="1098">
        <v>24.933</v>
      </c>
      <c r="IX34" s="1098">
        <v>5.15</v>
      </c>
      <c r="IY34" s="1098">
        <v>45.082000000000001</v>
      </c>
      <c r="IZ34" s="1098">
        <v>45.093000000000004</v>
      </c>
      <c r="JA34" s="1097">
        <f t="shared" si="40"/>
        <v>212.73700000000002</v>
      </c>
      <c r="JB34" s="1252">
        <v>62.79</v>
      </c>
      <c r="JC34" s="1098">
        <v>98.789000000000001</v>
      </c>
      <c r="JD34" s="1098">
        <v>69.132999999999996</v>
      </c>
      <c r="JE34" s="1098">
        <v>57.372</v>
      </c>
      <c r="JF34" s="1098">
        <v>48.863</v>
      </c>
      <c r="JG34" s="1098">
        <v>121.223</v>
      </c>
      <c r="JH34" s="1098">
        <v>74.325000000000003</v>
      </c>
      <c r="JI34" s="1098">
        <v>43.34</v>
      </c>
      <c r="JJ34" s="1098">
        <v>102.97499999999999</v>
      </c>
      <c r="JK34" s="1098">
        <v>39.357999999999997</v>
      </c>
      <c r="JL34" s="1098">
        <v>140.33000000000001</v>
      </c>
      <c r="JM34" s="1098">
        <v>38.731999999999999</v>
      </c>
      <c r="JN34" s="1097">
        <f t="shared" si="41"/>
        <v>897.23</v>
      </c>
      <c r="JO34" s="1252">
        <v>49.048999999999999</v>
      </c>
      <c r="JP34" s="1098">
        <v>11.988</v>
      </c>
      <c r="JQ34" s="1098">
        <v>55.308999999999997</v>
      </c>
      <c r="JR34" s="1098">
        <v>1.82</v>
      </c>
      <c r="JS34" s="1098">
        <v>34.332999999999998</v>
      </c>
      <c r="JT34" s="1098">
        <v>19.588999999999999</v>
      </c>
      <c r="JU34" s="1098">
        <v>13.706</v>
      </c>
      <c r="JV34" s="1098">
        <v>2.9279999999999999</v>
      </c>
      <c r="JW34" s="1098">
        <v>68.147999999999996</v>
      </c>
      <c r="JX34" s="1098">
        <v>75.507999999999996</v>
      </c>
      <c r="JY34" s="1098">
        <v>33.265000000000001</v>
      </c>
      <c r="JZ34" s="1098">
        <v>19.045000000000002</v>
      </c>
      <c r="KA34" s="1097">
        <f t="shared" si="42"/>
        <v>384.68799999999999</v>
      </c>
      <c r="KB34" s="1252"/>
      <c r="KC34" s="1098">
        <v>2.9550000000000001</v>
      </c>
      <c r="KD34" s="1098"/>
      <c r="KE34" s="1098"/>
      <c r="KF34" s="1098">
        <v>24.385000000000002</v>
      </c>
      <c r="KG34" s="1098">
        <v>8.3889999999999993</v>
      </c>
      <c r="KH34" s="1098">
        <v>4.6909999999999998</v>
      </c>
      <c r="KI34" s="1098">
        <v>4.6909999999999998</v>
      </c>
      <c r="KJ34" s="1098">
        <v>18.125</v>
      </c>
      <c r="KK34" s="1098"/>
      <c r="KL34" s="1098"/>
      <c r="KM34" s="1098">
        <v>36.823999999999998</v>
      </c>
      <c r="KN34" s="1097">
        <f t="shared" si="43"/>
        <v>100.06</v>
      </c>
      <c r="KO34" s="1252">
        <v>2.2189999999999999</v>
      </c>
      <c r="KP34" s="1098">
        <v>19.579999999999998</v>
      </c>
      <c r="KQ34" s="1098">
        <v>29.74</v>
      </c>
      <c r="KR34" s="1098"/>
      <c r="KS34" s="1098"/>
      <c r="KT34" s="1098">
        <v>7.0229999999999997</v>
      </c>
      <c r="KU34" s="1098">
        <v>12.023999999999999</v>
      </c>
      <c r="KV34" s="1098">
        <v>11.724</v>
      </c>
      <c r="KW34" s="1098">
        <v>10.760999999999999</v>
      </c>
      <c r="KX34" s="1098">
        <v>1.639</v>
      </c>
      <c r="KY34" s="1098">
        <v>7.8390000000000004</v>
      </c>
      <c r="KZ34" s="1098">
        <v>12.526000000000002</v>
      </c>
      <c r="LA34" s="1097">
        <f t="shared" si="44"/>
        <v>115.07499999999999</v>
      </c>
      <c r="LB34" s="1252"/>
      <c r="LC34" s="1098"/>
      <c r="LD34" s="1098"/>
      <c r="LE34" s="1098"/>
      <c r="LF34" s="1098"/>
      <c r="LG34" s="1098"/>
      <c r="LH34" s="1098"/>
      <c r="LI34" s="1098"/>
      <c r="LJ34" s="1098"/>
      <c r="LK34" s="1098"/>
      <c r="LL34" s="1098"/>
      <c r="LM34" s="1098"/>
      <c r="LN34" s="1097">
        <f t="shared" si="45"/>
        <v>0</v>
      </c>
      <c r="LP34" s="1116">
        <f t="shared" si="52"/>
        <v>-100</v>
      </c>
      <c r="LQ34" s="1117">
        <f t="shared" si="53"/>
        <v>-100</v>
      </c>
      <c r="LR34" s="1079">
        <f t="shared" si="54"/>
        <v>82.31</v>
      </c>
      <c r="LS34" s="1118">
        <f t="shared" si="55"/>
        <v>0</v>
      </c>
      <c r="LT34" s="1"/>
      <c r="LU34" s="629"/>
      <c r="LV34" s="1139">
        <f t="shared" si="50"/>
        <v>6437.9833333333336</v>
      </c>
      <c r="LW34" s="1286" t="s">
        <v>70</v>
      </c>
      <c r="LX34" s="1147" t="str">
        <f t="shared" si="51"/>
        <v>OK</v>
      </c>
    </row>
    <row r="35" spans="1:336" ht="15" customHeight="1" x14ac:dyDescent="0.2">
      <c r="A35" s="1280" t="s">
        <v>71</v>
      </c>
      <c r="B35" s="1252"/>
      <c r="C35" s="1098"/>
      <c r="D35" s="1098">
        <v>3.5329999999999999</v>
      </c>
      <c r="E35" s="1098"/>
      <c r="F35" s="1098">
        <v>7.4290000000000003</v>
      </c>
      <c r="G35" s="1098"/>
      <c r="H35" s="1098">
        <v>42.54</v>
      </c>
      <c r="I35" s="1098">
        <v>11.401</v>
      </c>
      <c r="J35" s="1098">
        <v>21.225999999999999</v>
      </c>
      <c r="K35" s="1098">
        <v>9.8510000000000009</v>
      </c>
      <c r="L35" s="1098">
        <v>5.6</v>
      </c>
      <c r="M35" s="1098"/>
      <c r="N35" s="1097">
        <f t="shared" si="21"/>
        <v>101.57999999999998</v>
      </c>
      <c r="O35" s="1252"/>
      <c r="P35" s="1098"/>
      <c r="Q35" s="1098"/>
      <c r="R35" s="1098">
        <v>54.494999999999997</v>
      </c>
      <c r="S35" s="1098"/>
      <c r="T35" s="1098"/>
      <c r="U35" s="1098">
        <v>23.585000000000001</v>
      </c>
      <c r="V35" s="1098"/>
      <c r="W35" s="1098">
        <v>29.356000000000002</v>
      </c>
      <c r="X35" s="1098">
        <v>48.156999999999996</v>
      </c>
      <c r="Y35" s="1098"/>
      <c r="Z35" s="1098">
        <v>33.020000000000003</v>
      </c>
      <c r="AA35" s="1097">
        <f t="shared" si="22"/>
        <v>188.61300000000003</v>
      </c>
      <c r="AB35" s="1252">
        <v>43.219000000000001</v>
      </c>
      <c r="AC35" s="1098"/>
      <c r="AD35" s="1098">
        <v>14.151</v>
      </c>
      <c r="AE35" s="1098"/>
      <c r="AF35" s="1098">
        <v>0.90900000000000003</v>
      </c>
      <c r="AG35" s="1098">
        <v>43.453000000000003</v>
      </c>
      <c r="AH35" s="1098"/>
      <c r="AI35" s="1098">
        <v>23.585000000000001</v>
      </c>
      <c r="AJ35" s="1098">
        <v>35.695999999999998</v>
      </c>
      <c r="AK35" s="1098"/>
      <c r="AL35" s="1098">
        <v>66.873000000000005</v>
      </c>
      <c r="AM35" s="1098">
        <v>23.37</v>
      </c>
      <c r="AN35" s="1097">
        <f t="shared" si="23"/>
        <v>251.25600000000003</v>
      </c>
      <c r="AO35" s="1252"/>
      <c r="AP35" s="1098">
        <v>108.488</v>
      </c>
      <c r="AQ35" s="1098">
        <v>85.974999999999994</v>
      </c>
      <c r="AR35" s="1098"/>
      <c r="AS35" s="1098">
        <v>33.585000000000001</v>
      </c>
      <c r="AT35" s="1098">
        <v>57.497999999999998</v>
      </c>
      <c r="AU35" s="1098">
        <v>20</v>
      </c>
      <c r="AV35" s="1098">
        <v>67</v>
      </c>
      <c r="AW35" s="1098">
        <v>79</v>
      </c>
      <c r="AX35" s="1098">
        <v>62</v>
      </c>
      <c r="AY35" s="1098">
        <v>99</v>
      </c>
      <c r="AZ35" s="1098">
        <v>176</v>
      </c>
      <c r="BA35" s="1097">
        <f t="shared" si="24"/>
        <v>788.54600000000005</v>
      </c>
      <c r="BB35" s="1252">
        <v>52</v>
      </c>
      <c r="BC35" s="1098">
        <v>9</v>
      </c>
      <c r="BD35" s="1098">
        <v>46</v>
      </c>
      <c r="BE35" s="1098"/>
      <c r="BF35" s="1098">
        <v>7</v>
      </c>
      <c r="BG35" s="1098">
        <v>53</v>
      </c>
      <c r="BH35" s="1098">
        <v>145</v>
      </c>
      <c r="BI35" s="1098">
        <v>134</v>
      </c>
      <c r="BJ35" s="1098"/>
      <c r="BK35" s="1098">
        <v>19.405999999999999</v>
      </c>
      <c r="BL35" s="1098">
        <v>20.971</v>
      </c>
      <c r="BM35" s="1098">
        <v>31.753</v>
      </c>
      <c r="BN35" s="1097">
        <f t="shared" si="25"/>
        <v>518.13</v>
      </c>
      <c r="BO35" s="1252">
        <v>21.792000000000002</v>
      </c>
      <c r="BP35" s="1098">
        <v>12.557</v>
      </c>
      <c r="BQ35" s="1098">
        <v>49.287999999999997</v>
      </c>
      <c r="BR35" s="1098">
        <v>58.610999999999997</v>
      </c>
      <c r="BS35" s="1098">
        <v>70.834999999999994</v>
      </c>
      <c r="BT35" s="1098">
        <v>28.224</v>
      </c>
      <c r="BU35" s="1098">
        <v>13.709</v>
      </c>
      <c r="BV35" s="1098">
        <v>24.02</v>
      </c>
      <c r="BW35" s="1098">
        <v>95.281000000000006</v>
      </c>
      <c r="BX35" s="1098">
        <v>39.643999999999998</v>
      </c>
      <c r="BY35" s="1098">
        <v>44</v>
      </c>
      <c r="BZ35" s="1098">
        <v>66</v>
      </c>
      <c r="CA35" s="1097">
        <f t="shared" si="26"/>
        <v>523.96100000000001</v>
      </c>
      <c r="CB35" s="1252">
        <v>28</v>
      </c>
      <c r="CC35" s="1098">
        <v>22</v>
      </c>
      <c r="CD35" s="1098">
        <v>70</v>
      </c>
      <c r="CE35" s="1098"/>
      <c r="CF35" s="1098">
        <v>34</v>
      </c>
      <c r="CG35" s="1098">
        <v>21</v>
      </c>
      <c r="CH35" s="1098">
        <v>44</v>
      </c>
      <c r="CI35" s="1098">
        <v>43</v>
      </c>
      <c r="CJ35" s="1098">
        <v>80</v>
      </c>
      <c r="CK35" s="1098">
        <v>57</v>
      </c>
      <c r="CL35" s="1098">
        <v>80</v>
      </c>
      <c r="CM35" s="1098">
        <v>71</v>
      </c>
      <c r="CN35" s="1097">
        <f t="shared" si="27"/>
        <v>550</v>
      </c>
      <c r="CO35" s="1252">
        <v>41</v>
      </c>
      <c r="CP35" s="1098">
        <v>32</v>
      </c>
      <c r="CQ35" s="1098">
        <v>7</v>
      </c>
      <c r="CR35" s="1098">
        <v>9</v>
      </c>
      <c r="CS35" s="1098">
        <v>24</v>
      </c>
      <c r="CT35" s="1098">
        <v>23</v>
      </c>
      <c r="CU35" s="1098">
        <v>17</v>
      </c>
      <c r="CV35" s="1098">
        <v>46</v>
      </c>
      <c r="CW35" s="1098">
        <v>14</v>
      </c>
      <c r="CX35" s="1098"/>
      <c r="CY35" s="1098">
        <v>7</v>
      </c>
      <c r="CZ35" s="1098"/>
      <c r="DA35" s="1097">
        <f t="shared" si="28"/>
        <v>220</v>
      </c>
      <c r="DB35" s="1252"/>
      <c r="DC35" s="1098">
        <v>67</v>
      </c>
      <c r="DD35" s="1098"/>
      <c r="DE35" s="1098"/>
      <c r="DF35" s="1098">
        <v>29</v>
      </c>
      <c r="DG35" s="1098">
        <v>12</v>
      </c>
      <c r="DH35" s="1098"/>
      <c r="DI35" s="1098">
        <v>16</v>
      </c>
      <c r="DJ35" s="1098">
        <v>12</v>
      </c>
      <c r="DK35" s="1098">
        <v>20</v>
      </c>
      <c r="DL35" s="1098">
        <v>5</v>
      </c>
      <c r="DM35" s="1098">
        <v>19</v>
      </c>
      <c r="DN35" s="1097">
        <f t="shared" si="29"/>
        <v>180</v>
      </c>
      <c r="DO35" s="1252"/>
      <c r="DP35" s="1098">
        <v>4</v>
      </c>
      <c r="DQ35" s="1098">
        <v>4</v>
      </c>
      <c r="DR35" s="1098"/>
      <c r="DS35" s="1098">
        <v>7</v>
      </c>
      <c r="DT35" s="1098">
        <v>9</v>
      </c>
      <c r="DU35" s="1098">
        <v>6</v>
      </c>
      <c r="DV35" s="1098">
        <v>11</v>
      </c>
      <c r="DW35" s="1098"/>
      <c r="DX35" s="1098">
        <v>2</v>
      </c>
      <c r="DY35" s="1098"/>
      <c r="DZ35" s="1098"/>
      <c r="EA35" s="1097">
        <f t="shared" si="30"/>
        <v>43</v>
      </c>
      <c r="EB35" s="1252">
        <v>9</v>
      </c>
      <c r="EC35" s="1098"/>
      <c r="ED35" s="1098"/>
      <c r="EE35" s="1098"/>
      <c r="EF35" s="1098"/>
      <c r="EG35" s="1098">
        <v>23</v>
      </c>
      <c r="EH35" s="1098"/>
      <c r="EI35" s="1098"/>
      <c r="EJ35" s="1098"/>
      <c r="EK35" s="1098">
        <v>27</v>
      </c>
      <c r="EL35" s="1098"/>
      <c r="EM35" s="1098"/>
      <c r="EN35" s="1097">
        <f t="shared" si="31"/>
        <v>59</v>
      </c>
      <c r="EO35" s="1252"/>
      <c r="EP35" s="1098"/>
      <c r="EQ35" s="1098">
        <v>30</v>
      </c>
      <c r="ER35" s="1098"/>
      <c r="ES35" s="1098"/>
      <c r="ET35" s="1098">
        <v>26</v>
      </c>
      <c r="EU35" s="1098">
        <v>26</v>
      </c>
      <c r="EV35" s="1098"/>
      <c r="EW35" s="1098"/>
      <c r="EX35" s="1098"/>
      <c r="EY35" s="1098">
        <v>25</v>
      </c>
      <c r="EZ35" s="1098">
        <v>24</v>
      </c>
      <c r="FA35" s="1097">
        <f t="shared" si="32"/>
        <v>131</v>
      </c>
      <c r="FB35" s="1252">
        <v>2</v>
      </c>
      <c r="FC35" s="1098"/>
      <c r="FD35" s="1098"/>
      <c r="FE35" s="1098">
        <v>2</v>
      </c>
      <c r="FF35" s="1098">
        <v>3</v>
      </c>
      <c r="FG35" s="1098"/>
      <c r="FH35" s="1098">
        <v>3</v>
      </c>
      <c r="FI35" s="1098">
        <v>16</v>
      </c>
      <c r="FJ35" s="1098">
        <v>2</v>
      </c>
      <c r="FK35" s="1098">
        <v>4</v>
      </c>
      <c r="FL35" s="1098">
        <v>12.5</v>
      </c>
      <c r="FM35" s="1098">
        <v>12</v>
      </c>
      <c r="FN35" s="1097">
        <f t="shared" si="33"/>
        <v>56.5</v>
      </c>
      <c r="FO35" s="1252"/>
      <c r="FP35" s="1098">
        <v>3</v>
      </c>
      <c r="FQ35" s="1098"/>
      <c r="FR35" s="1098">
        <v>3</v>
      </c>
      <c r="FS35" s="1098">
        <v>17</v>
      </c>
      <c r="FT35" s="1098">
        <v>11</v>
      </c>
      <c r="FU35" s="1098">
        <v>3</v>
      </c>
      <c r="FV35" s="1098">
        <v>12</v>
      </c>
      <c r="FW35" s="1098">
        <v>8</v>
      </c>
      <c r="FX35" s="1098">
        <v>17</v>
      </c>
      <c r="FY35" s="1098">
        <v>4</v>
      </c>
      <c r="FZ35" s="1098">
        <v>5</v>
      </c>
      <c r="GA35" s="1097">
        <f t="shared" si="34"/>
        <v>83</v>
      </c>
      <c r="GB35" s="1252">
        <v>7</v>
      </c>
      <c r="GC35" s="1098"/>
      <c r="GD35" s="1098">
        <v>8.25</v>
      </c>
      <c r="GE35" s="1098">
        <v>8.0879999999999992</v>
      </c>
      <c r="GF35" s="1098"/>
      <c r="GG35" s="1098"/>
      <c r="GH35" s="1098"/>
      <c r="GI35" s="1098"/>
      <c r="GJ35" s="1098"/>
      <c r="GK35" s="1098"/>
      <c r="GL35" s="1098"/>
      <c r="GM35" s="1098"/>
      <c r="GN35" s="1097">
        <f t="shared" si="35"/>
        <v>23.338000000000001</v>
      </c>
      <c r="GO35" s="1252"/>
      <c r="GP35" s="1098">
        <v>7.9729999999999999</v>
      </c>
      <c r="GQ35" s="1098"/>
      <c r="GR35" s="1098"/>
      <c r="GS35" s="1098">
        <v>25</v>
      </c>
      <c r="GT35" s="1098">
        <v>16</v>
      </c>
      <c r="GU35" s="1098">
        <v>64</v>
      </c>
      <c r="GV35" s="1098">
        <v>31</v>
      </c>
      <c r="GW35" s="1098">
        <v>1</v>
      </c>
      <c r="GX35" s="1098">
        <v>18</v>
      </c>
      <c r="GY35" s="1098">
        <v>6</v>
      </c>
      <c r="GZ35" s="1098">
        <v>31</v>
      </c>
      <c r="HA35" s="1097">
        <f t="shared" si="36"/>
        <v>199.97300000000001</v>
      </c>
      <c r="HB35" s="1252"/>
      <c r="HC35" s="1098"/>
      <c r="HD35" s="1098">
        <v>25.018999999999998</v>
      </c>
      <c r="HE35" s="1098">
        <v>17.998999999999999</v>
      </c>
      <c r="HF35" s="1098">
        <v>6</v>
      </c>
      <c r="HG35" s="1098">
        <v>4</v>
      </c>
      <c r="HH35" s="1098">
        <v>48</v>
      </c>
      <c r="HI35" s="1098">
        <v>36</v>
      </c>
      <c r="HJ35" s="1098">
        <v>79.841999999999999</v>
      </c>
      <c r="HK35" s="1098">
        <v>21.241</v>
      </c>
      <c r="HL35" s="1098">
        <v>6.1110000000000007</v>
      </c>
      <c r="HM35" s="1098">
        <v>18.149000000000001</v>
      </c>
      <c r="HN35" s="1097">
        <f t="shared" si="37"/>
        <v>262.36099999999999</v>
      </c>
      <c r="HO35" s="1252"/>
      <c r="HP35" s="1098">
        <v>14.853999999999999</v>
      </c>
      <c r="HQ35" s="1098">
        <v>4.5</v>
      </c>
      <c r="HR35" s="1098">
        <v>30.042999999999999</v>
      </c>
      <c r="HS35" s="1098">
        <v>43.371000000000002</v>
      </c>
      <c r="HT35" s="1098">
        <v>33.325000000000003</v>
      </c>
      <c r="HU35" s="1098">
        <v>49.426000000000002</v>
      </c>
      <c r="HV35" s="1098">
        <v>20.925999999999998</v>
      </c>
      <c r="HW35" s="1098">
        <v>13.132999999999999</v>
      </c>
      <c r="HX35" s="1098">
        <v>23</v>
      </c>
      <c r="HY35" s="1098">
        <v>9</v>
      </c>
      <c r="HZ35" s="1098"/>
      <c r="IA35" s="1097">
        <f t="shared" si="38"/>
        <v>241.578</v>
      </c>
      <c r="IB35" s="1252">
        <v>12.018000000000001</v>
      </c>
      <c r="IC35" s="1098">
        <v>4.5540000000000003</v>
      </c>
      <c r="ID35" s="1098">
        <v>16.324999999999999</v>
      </c>
      <c r="IE35" s="1098"/>
      <c r="IF35" s="1098"/>
      <c r="IG35" s="1098">
        <v>11.779</v>
      </c>
      <c r="IH35" s="1098"/>
      <c r="II35" s="1098"/>
      <c r="IJ35" s="1098">
        <v>2.698</v>
      </c>
      <c r="IK35" s="1098"/>
      <c r="IL35" s="1098">
        <v>19</v>
      </c>
      <c r="IM35" s="1098">
        <v>20</v>
      </c>
      <c r="IN35" s="1097">
        <f t="shared" si="39"/>
        <v>86.373999999999995</v>
      </c>
      <c r="IO35" s="1252">
        <v>30.358000000000001</v>
      </c>
      <c r="IP35" s="1098">
        <v>7.71</v>
      </c>
      <c r="IQ35" s="1098">
        <v>32.966000000000001</v>
      </c>
      <c r="IR35" s="1098">
        <v>7.7830000000000004</v>
      </c>
      <c r="IS35" s="1098"/>
      <c r="IT35" s="1098">
        <v>18.164000000000001</v>
      </c>
      <c r="IU35" s="1098">
        <v>14.525</v>
      </c>
      <c r="IV35" s="1098">
        <v>9.7799999999999994</v>
      </c>
      <c r="IW35" s="1098">
        <v>12.337</v>
      </c>
      <c r="IX35" s="1098">
        <v>20.675999999999998</v>
      </c>
      <c r="IY35" s="1098">
        <v>19.693000000000001</v>
      </c>
      <c r="IZ35" s="1098">
        <v>6.9340000000000002</v>
      </c>
      <c r="JA35" s="1097">
        <f t="shared" si="40"/>
        <v>180.92599999999999</v>
      </c>
      <c r="JB35" s="1252">
        <v>7.3419999999999996</v>
      </c>
      <c r="JC35" s="1098">
        <v>8.4770000000000003</v>
      </c>
      <c r="JD35" s="1098">
        <v>23.696000000000002</v>
      </c>
      <c r="JE35" s="1098"/>
      <c r="JF35" s="1098">
        <v>10.196</v>
      </c>
      <c r="JG35" s="1098">
        <v>53.994</v>
      </c>
      <c r="JH35" s="1098">
        <v>46.387</v>
      </c>
      <c r="JI35" s="1098">
        <v>52.11</v>
      </c>
      <c r="JJ35" s="1098">
        <v>84.787000000000006</v>
      </c>
      <c r="JK35" s="1098">
        <v>134.523</v>
      </c>
      <c r="JL35" s="1098">
        <v>90.808000000000007</v>
      </c>
      <c r="JM35" s="1098">
        <v>85.561000000000007</v>
      </c>
      <c r="JN35" s="1097">
        <f t="shared" si="41"/>
        <v>597.88100000000009</v>
      </c>
      <c r="JO35" s="1252">
        <v>26.084</v>
      </c>
      <c r="JP35" s="1098">
        <v>20.802</v>
      </c>
      <c r="JQ35" s="1098">
        <v>28.591000000000001</v>
      </c>
      <c r="JR35" s="1098">
        <v>15.332000000000001</v>
      </c>
      <c r="JS35" s="1098">
        <v>78.171000000000006</v>
      </c>
      <c r="JT35" s="1098">
        <v>51.951000000000001</v>
      </c>
      <c r="JU35" s="1098">
        <v>56.088000000000001</v>
      </c>
      <c r="JV35" s="1098">
        <v>19.452000000000002</v>
      </c>
      <c r="JW35" s="1098">
        <v>77.173000000000002</v>
      </c>
      <c r="JX35" s="1098">
        <v>110.848</v>
      </c>
      <c r="JY35" s="1098">
        <v>44.65</v>
      </c>
      <c r="JZ35" s="1098">
        <v>32.18</v>
      </c>
      <c r="KA35" s="1097">
        <f t="shared" si="42"/>
        <v>561.322</v>
      </c>
      <c r="KB35" s="1252">
        <v>29.783000000000001</v>
      </c>
      <c r="KC35" s="1098"/>
      <c r="KD35" s="1098">
        <v>9.7880000000000003</v>
      </c>
      <c r="KE35" s="1098">
        <v>51.134999999999998</v>
      </c>
      <c r="KF35" s="1098">
        <v>36.76</v>
      </c>
      <c r="KG35" s="1098">
        <v>21.995999999999999</v>
      </c>
      <c r="KH35" s="1098">
        <v>20.024000000000001</v>
      </c>
      <c r="KI35" s="1098">
        <v>27.616</v>
      </c>
      <c r="KJ35" s="1098">
        <v>15.92</v>
      </c>
      <c r="KK35" s="1098">
        <v>43.137</v>
      </c>
      <c r="KL35" s="1098">
        <v>13.462</v>
      </c>
      <c r="KM35" s="1098">
        <v>29.204999999999998</v>
      </c>
      <c r="KN35" s="1097">
        <f t="shared" si="43"/>
        <v>298.82599999999996</v>
      </c>
      <c r="KO35" s="1252">
        <v>20.39</v>
      </c>
      <c r="KP35" s="1098">
        <v>15.647</v>
      </c>
      <c r="KQ35" s="1098">
        <v>17.619</v>
      </c>
      <c r="KR35" s="1098">
        <v>48.954999999999998</v>
      </c>
      <c r="KS35" s="1098">
        <v>66.956999999999994</v>
      </c>
      <c r="KT35" s="1098">
        <v>48.854999999999997</v>
      </c>
      <c r="KU35" s="1098">
        <v>36.966000000000001</v>
      </c>
      <c r="KV35" s="1098">
        <v>31.827999999999999</v>
      </c>
      <c r="KW35" s="1098">
        <v>19.097999999999999</v>
      </c>
      <c r="KX35" s="1098">
        <v>49.073999999999998</v>
      </c>
      <c r="KY35" s="1098">
        <v>23.88</v>
      </c>
      <c r="KZ35" s="1098">
        <v>33.489999999999995</v>
      </c>
      <c r="LA35" s="1097">
        <f t="shared" si="44"/>
        <v>412.75900000000001</v>
      </c>
      <c r="LB35" s="1252"/>
      <c r="LC35" s="1098">
        <v>1</v>
      </c>
      <c r="LD35" s="1098"/>
      <c r="LE35" s="1098"/>
      <c r="LF35" s="1098"/>
      <c r="LG35" s="1098"/>
      <c r="LH35" s="1098"/>
      <c r="LI35" s="1098"/>
      <c r="LJ35" s="1098"/>
      <c r="LK35" s="1098"/>
      <c r="LL35" s="1098"/>
      <c r="LM35" s="1098"/>
      <c r="LN35" s="1097">
        <f t="shared" si="45"/>
        <v>1</v>
      </c>
      <c r="LP35" s="1116">
        <f t="shared" si="52"/>
        <v>-100</v>
      </c>
      <c r="LQ35" s="1117">
        <f t="shared" si="53"/>
        <v>-99.651831193836017</v>
      </c>
      <c r="LR35" s="1079">
        <f t="shared" si="54"/>
        <v>287.21699999999998</v>
      </c>
      <c r="LS35" s="1118">
        <f t="shared" si="55"/>
        <v>1</v>
      </c>
      <c r="LT35" s="1"/>
      <c r="LU35" s="629"/>
      <c r="LV35" s="1139">
        <f t="shared" si="50"/>
        <v>13121.847999999996</v>
      </c>
      <c r="LW35" s="1286" t="s">
        <v>71</v>
      </c>
      <c r="LX35" s="1147" t="str">
        <f t="shared" si="51"/>
        <v>OK</v>
      </c>
    </row>
    <row r="36" spans="1:336" ht="15" customHeight="1" x14ac:dyDescent="0.2">
      <c r="A36" s="1280" t="s">
        <v>83</v>
      </c>
      <c r="B36" s="1252"/>
      <c r="C36" s="1098"/>
      <c r="D36" s="1098"/>
      <c r="E36" s="1098"/>
      <c r="F36" s="1098"/>
      <c r="G36" s="1098"/>
      <c r="H36" s="1098"/>
      <c r="I36" s="1098"/>
      <c r="J36" s="1098"/>
      <c r="K36" s="1098"/>
      <c r="L36" s="1098"/>
      <c r="M36" s="1098"/>
      <c r="N36" s="1097">
        <f t="shared" si="21"/>
        <v>0</v>
      </c>
      <c r="O36" s="1252"/>
      <c r="P36" s="1098"/>
      <c r="Q36" s="1098"/>
      <c r="R36" s="1098"/>
      <c r="S36" s="1098"/>
      <c r="T36" s="1098">
        <v>4.2519999999999998</v>
      </c>
      <c r="U36" s="1098">
        <v>9.9920000000000009</v>
      </c>
      <c r="V36" s="1098"/>
      <c r="W36" s="1098"/>
      <c r="X36" s="1098"/>
      <c r="Y36" s="1098"/>
      <c r="Z36" s="1098"/>
      <c r="AA36" s="1097">
        <f t="shared" si="22"/>
        <v>14.244</v>
      </c>
      <c r="AB36" s="1252"/>
      <c r="AC36" s="1098">
        <v>1.837</v>
      </c>
      <c r="AD36" s="1098"/>
      <c r="AE36" s="1098"/>
      <c r="AF36" s="1098"/>
      <c r="AG36" s="1098">
        <v>11.83</v>
      </c>
      <c r="AH36" s="1098"/>
      <c r="AI36" s="1098"/>
      <c r="AJ36" s="1098"/>
      <c r="AK36" s="1098"/>
      <c r="AL36" s="1098">
        <v>11.792</v>
      </c>
      <c r="AM36" s="1098">
        <v>2.0680000000000001</v>
      </c>
      <c r="AN36" s="1097">
        <f t="shared" si="23"/>
        <v>27.527000000000001</v>
      </c>
      <c r="AO36" s="1252"/>
      <c r="AP36" s="1098"/>
      <c r="AQ36" s="1098"/>
      <c r="AR36" s="1098"/>
      <c r="AS36" s="1098"/>
      <c r="AT36" s="1098"/>
      <c r="AU36" s="1098"/>
      <c r="AV36" s="1098"/>
      <c r="AW36" s="1098"/>
      <c r="AX36" s="1098">
        <v>4</v>
      </c>
      <c r="AY36" s="1098">
        <v>23</v>
      </c>
      <c r="AZ36" s="1098"/>
      <c r="BA36" s="1097">
        <f t="shared" si="24"/>
        <v>27</v>
      </c>
      <c r="BB36" s="1252"/>
      <c r="BC36" s="1098"/>
      <c r="BD36" s="1098"/>
      <c r="BE36" s="1098"/>
      <c r="BF36" s="1098"/>
      <c r="BG36" s="1098"/>
      <c r="BH36" s="1098"/>
      <c r="BI36" s="1098"/>
      <c r="BJ36" s="1098"/>
      <c r="BK36" s="1098">
        <v>18.292999999999999</v>
      </c>
      <c r="BL36" s="1098">
        <v>6.4809999999999999</v>
      </c>
      <c r="BM36" s="1098">
        <v>3.66</v>
      </c>
      <c r="BN36" s="1097">
        <f t="shared" si="25"/>
        <v>28.434000000000001</v>
      </c>
      <c r="BO36" s="1252"/>
      <c r="BP36" s="1098"/>
      <c r="BQ36" s="1098"/>
      <c r="BR36" s="1098"/>
      <c r="BS36" s="1098">
        <v>1.984</v>
      </c>
      <c r="BT36" s="1098">
        <v>2.645</v>
      </c>
      <c r="BU36" s="1098"/>
      <c r="BV36" s="1098"/>
      <c r="BW36" s="1098"/>
      <c r="BX36" s="1098"/>
      <c r="BY36" s="1098"/>
      <c r="BZ36" s="1098"/>
      <c r="CA36" s="1097">
        <f t="shared" si="26"/>
        <v>4.6289999999999996</v>
      </c>
      <c r="CB36" s="1252"/>
      <c r="CC36" s="1098">
        <v>12</v>
      </c>
      <c r="CD36" s="1098">
        <v>1</v>
      </c>
      <c r="CE36" s="1098"/>
      <c r="CF36" s="1098">
        <v>5</v>
      </c>
      <c r="CG36" s="1098">
        <v>34</v>
      </c>
      <c r="CH36" s="1098">
        <v>12</v>
      </c>
      <c r="CI36" s="1098"/>
      <c r="CJ36" s="1098"/>
      <c r="CK36" s="1098"/>
      <c r="CL36" s="1098"/>
      <c r="CM36" s="1098"/>
      <c r="CN36" s="1097">
        <f t="shared" si="27"/>
        <v>64</v>
      </c>
      <c r="CO36" s="1252"/>
      <c r="CP36" s="1098"/>
      <c r="CQ36" s="1098"/>
      <c r="CR36" s="1098"/>
      <c r="CS36" s="1098"/>
      <c r="CT36" s="1098"/>
      <c r="CU36" s="1098"/>
      <c r="CV36" s="1098">
        <v>8</v>
      </c>
      <c r="CW36" s="1098"/>
      <c r="CX36" s="1098">
        <v>4</v>
      </c>
      <c r="CY36" s="1098">
        <v>2</v>
      </c>
      <c r="CZ36" s="1098"/>
      <c r="DA36" s="1097">
        <f t="shared" si="28"/>
        <v>14</v>
      </c>
      <c r="DB36" s="1252">
        <v>19</v>
      </c>
      <c r="DC36" s="1098">
        <v>51</v>
      </c>
      <c r="DD36" s="1098">
        <v>5</v>
      </c>
      <c r="DE36" s="1098">
        <v>4</v>
      </c>
      <c r="DF36" s="1098">
        <v>9</v>
      </c>
      <c r="DG36" s="1098">
        <v>1</v>
      </c>
      <c r="DH36" s="1098">
        <v>2</v>
      </c>
      <c r="DI36" s="1098">
        <v>1</v>
      </c>
      <c r="DJ36" s="1098"/>
      <c r="DK36" s="1098"/>
      <c r="DL36" s="1098">
        <v>8</v>
      </c>
      <c r="DM36" s="1098">
        <v>6</v>
      </c>
      <c r="DN36" s="1097">
        <f t="shared" si="29"/>
        <v>106</v>
      </c>
      <c r="DO36" s="1252"/>
      <c r="DP36" s="1098">
        <v>9</v>
      </c>
      <c r="DQ36" s="1098">
        <v>6</v>
      </c>
      <c r="DR36" s="1098"/>
      <c r="DS36" s="1098"/>
      <c r="DT36" s="1098">
        <v>8</v>
      </c>
      <c r="DU36" s="1098">
        <v>1</v>
      </c>
      <c r="DV36" s="1098"/>
      <c r="DW36" s="1098"/>
      <c r="DX36" s="1098">
        <v>8</v>
      </c>
      <c r="DY36" s="1098">
        <v>11</v>
      </c>
      <c r="DZ36" s="1098"/>
      <c r="EA36" s="1097">
        <f t="shared" si="30"/>
        <v>43</v>
      </c>
      <c r="EB36" s="1252">
        <v>15</v>
      </c>
      <c r="EC36" s="1098">
        <v>6</v>
      </c>
      <c r="ED36" s="1098">
        <v>8</v>
      </c>
      <c r="EE36" s="1098">
        <v>19</v>
      </c>
      <c r="EF36" s="1098">
        <v>26</v>
      </c>
      <c r="EG36" s="1098">
        <v>22</v>
      </c>
      <c r="EH36" s="1098">
        <v>32</v>
      </c>
      <c r="EI36" s="1098">
        <v>10</v>
      </c>
      <c r="EJ36" s="1098">
        <v>3</v>
      </c>
      <c r="EK36" s="1098">
        <v>6</v>
      </c>
      <c r="EL36" s="1098">
        <v>7</v>
      </c>
      <c r="EM36" s="1098">
        <v>6</v>
      </c>
      <c r="EN36" s="1097">
        <f t="shared" si="31"/>
        <v>160</v>
      </c>
      <c r="EO36" s="1252">
        <v>5</v>
      </c>
      <c r="EP36" s="1098"/>
      <c r="EQ36" s="1098">
        <v>5</v>
      </c>
      <c r="ER36" s="1098">
        <v>14</v>
      </c>
      <c r="ES36" s="1098"/>
      <c r="ET36" s="1098"/>
      <c r="EU36" s="1098"/>
      <c r="EV36" s="1098"/>
      <c r="EW36" s="1098"/>
      <c r="EX36" s="1098">
        <v>10</v>
      </c>
      <c r="EY36" s="1098">
        <v>8</v>
      </c>
      <c r="EZ36" s="1098"/>
      <c r="FA36" s="1097">
        <f t="shared" si="32"/>
        <v>42</v>
      </c>
      <c r="FB36" s="1252">
        <v>30</v>
      </c>
      <c r="FC36" s="1098">
        <v>1</v>
      </c>
      <c r="FD36" s="1098"/>
      <c r="FE36" s="1098"/>
      <c r="FF36" s="1098"/>
      <c r="FG36" s="1098"/>
      <c r="FH36" s="1098">
        <v>2</v>
      </c>
      <c r="FI36" s="1098"/>
      <c r="FJ36" s="1098">
        <v>1</v>
      </c>
      <c r="FK36" s="1098">
        <v>8</v>
      </c>
      <c r="FL36" s="1098">
        <v>7.5</v>
      </c>
      <c r="FM36" s="1098">
        <v>3</v>
      </c>
      <c r="FN36" s="1097">
        <f t="shared" si="33"/>
        <v>52.5</v>
      </c>
      <c r="FO36" s="1252">
        <v>1</v>
      </c>
      <c r="FP36" s="1098"/>
      <c r="FQ36" s="1098"/>
      <c r="FR36" s="1098">
        <v>10</v>
      </c>
      <c r="FS36" s="1098">
        <v>9</v>
      </c>
      <c r="FT36" s="1098">
        <v>4</v>
      </c>
      <c r="FU36" s="1098"/>
      <c r="FV36" s="1098">
        <v>14</v>
      </c>
      <c r="FW36" s="1098">
        <v>6</v>
      </c>
      <c r="FX36" s="1098">
        <v>33</v>
      </c>
      <c r="FY36" s="1098">
        <v>14</v>
      </c>
      <c r="FZ36" s="1098">
        <v>1</v>
      </c>
      <c r="GA36" s="1097">
        <f t="shared" si="34"/>
        <v>92</v>
      </c>
      <c r="GB36" s="1252">
        <v>3</v>
      </c>
      <c r="GC36" s="1098">
        <v>6</v>
      </c>
      <c r="GD36" s="1098"/>
      <c r="GE36" s="1098"/>
      <c r="GF36" s="1098">
        <v>1</v>
      </c>
      <c r="GG36" s="1098"/>
      <c r="GH36" s="1098">
        <v>6</v>
      </c>
      <c r="GI36" s="1098"/>
      <c r="GJ36" s="1098">
        <v>5</v>
      </c>
      <c r="GK36" s="1098"/>
      <c r="GL36" s="1098"/>
      <c r="GM36" s="1098">
        <v>2</v>
      </c>
      <c r="GN36" s="1097">
        <f t="shared" si="35"/>
        <v>23</v>
      </c>
      <c r="GO36" s="1252"/>
      <c r="GP36" s="1098"/>
      <c r="GQ36" s="1098"/>
      <c r="GR36" s="1098"/>
      <c r="GS36" s="1098"/>
      <c r="GT36" s="1098">
        <v>12</v>
      </c>
      <c r="GU36" s="1098"/>
      <c r="GV36" s="1098">
        <v>18</v>
      </c>
      <c r="GW36" s="1098">
        <v>17</v>
      </c>
      <c r="GX36" s="1098">
        <v>16</v>
      </c>
      <c r="GY36" s="1098"/>
      <c r="GZ36" s="1098">
        <v>2</v>
      </c>
      <c r="HA36" s="1097">
        <f t="shared" si="36"/>
        <v>65</v>
      </c>
      <c r="HB36" s="1252"/>
      <c r="HC36" s="1098"/>
      <c r="HD36" s="1098">
        <v>2.13</v>
      </c>
      <c r="HE36" s="1098">
        <v>3.7719999999999998</v>
      </c>
      <c r="HF36" s="1098"/>
      <c r="HG36" s="1098">
        <v>3</v>
      </c>
      <c r="HH36" s="1098">
        <v>24</v>
      </c>
      <c r="HI36" s="1098"/>
      <c r="HJ36" s="1098">
        <f>1.551+5.605</f>
        <v>7.1560000000000006</v>
      </c>
      <c r="HK36" s="1098">
        <v>19.231000000000002</v>
      </c>
      <c r="HL36" s="1098">
        <v>4.3109999999999999</v>
      </c>
      <c r="HM36" s="1098">
        <v>7.4140000000000006</v>
      </c>
      <c r="HN36" s="1097">
        <f t="shared" si="37"/>
        <v>71.013999999999996</v>
      </c>
      <c r="HO36" s="1252">
        <v>2.15</v>
      </c>
      <c r="HP36" s="1098">
        <v>16.581</v>
      </c>
      <c r="HQ36" s="1098">
        <v>5.2759999999999998</v>
      </c>
      <c r="HR36" s="1098">
        <v>4.41</v>
      </c>
      <c r="HS36" s="1098"/>
      <c r="HT36" s="1098">
        <v>13.61</v>
      </c>
      <c r="HU36" s="1098">
        <v>11.097</v>
      </c>
      <c r="HV36" s="1098">
        <v>17.416</v>
      </c>
      <c r="HW36" s="1098">
        <v>4.6879999999999997</v>
      </c>
      <c r="HX36" s="1098">
        <v>50</v>
      </c>
      <c r="HY36" s="1098">
        <v>9</v>
      </c>
      <c r="HZ36" s="1098"/>
      <c r="IA36" s="1097">
        <f t="shared" si="38"/>
        <v>134.22800000000001</v>
      </c>
      <c r="IB36" s="1252">
        <v>3.4020000000000001</v>
      </c>
      <c r="IC36" s="1098">
        <v>9.0879999999999992</v>
      </c>
      <c r="ID36" s="1098">
        <v>18.193999999999999</v>
      </c>
      <c r="IE36" s="1098"/>
      <c r="IF36" s="1098">
        <v>7.2560000000000002</v>
      </c>
      <c r="IG36" s="1098">
        <v>5.61</v>
      </c>
      <c r="IH36" s="1098">
        <v>8.6649999999999991</v>
      </c>
      <c r="II36" s="1098">
        <v>10.047000000000001</v>
      </c>
      <c r="IJ36" s="1098">
        <v>3.1789999999999998</v>
      </c>
      <c r="IK36" s="1098">
        <v>5</v>
      </c>
      <c r="IL36" s="1098">
        <v>32</v>
      </c>
      <c r="IM36" s="1098">
        <v>30</v>
      </c>
      <c r="IN36" s="1097">
        <f t="shared" si="39"/>
        <v>132.441</v>
      </c>
      <c r="IO36" s="1252"/>
      <c r="IP36" s="1098">
        <v>14.637</v>
      </c>
      <c r="IQ36" s="1098"/>
      <c r="IR36" s="1098"/>
      <c r="IS36" s="1098"/>
      <c r="IT36" s="1098"/>
      <c r="IU36" s="1098">
        <v>23.26</v>
      </c>
      <c r="IV36" s="1098">
        <v>23.427</v>
      </c>
      <c r="IW36" s="1098">
        <v>7.8609999999999998</v>
      </c>
      <c r="IX36" s="1098">
        <v>1.264</v>
      </c>
      <c r="IY36" s="1098">
        <v>25.074999999999999</v>
      </c>
      <c r="IZ36" s="1098">
        <v>9.85</v>
      </c>
      <c r="JA36" s="1097">
        <f t="shared" si="40"/>
        <v>105.374</v>
      </c>
      <c r="JB36" s="1252">
        <v>8.8940000000000001</v>
      </c>
      <c r="JC36" s="1098">
        <v>20.045000000000002</v>
      </c>
      <c r="JD36" s="1098">
        <v>8.2140000000000004</v>
      </c>
      <c r="JE36" s="1098">
        <v>9.69</v>
      </c>
      <c r="JF36" s="1098">
        <v>27.149000000000001</v>
      </c>
      <c r="JG36" s="1098">
        <v>70.349999999999994</v>
      </c>
      <c r="JH36" s="1098">
        <v>17.733000000000001</v>
      </c>
      <c r="JI36" s="1098">
        <v>25.481000000000002</v>
      </c>
      <c r="JJ36" s="1098">
        <v>7.9770000000000003</v>
      </c>
      <c r="JK36" s="1098">
        <v>17.574000000000002</v>
      </c>
      <c r="JL36" s="1098">
        <v>6.734</v>
      </c>
      <c r="JM36" s="1098">
        <v>6.2539999999999996</v>
      </c>
      <c r="JN36" s="1097">
        <f t="shared" si="41"/>
        <v>226.095</v>
      </c>
      <c r="JO36" s="1252"/>
      <c r="JP36" s="1098"/>
      <c r="JQ36" s="1098">
        <v>1.2430000000000001</v>
      </c>
      <c r="JR36" s="1098">
        <v>4.0259999999999998</v>
      </c>
      <c r="JS36" s="1098">
        <v>7.67</v>
      </c>
      <c r="JT36" s="1098">
        <v>3.931</v>
      </c>
      <c r="JU36" s="1098">
        <v>2.605</v>
      </c>
      <c r="JV36" s="1098">
        <v>7.4880000000000004</v>
      </c>
      <c r="JW36" s="1098"/>
      <c r="JX36" s="1098"/>
      <c r="JY36" s="1098"/>
      <c r="JZ36" s="1098"/>
      <c r="KA36" s="1097">
        <f t="shared" si="42"/>
        <v>26.963000000000001</v>
      </c>
      <c r="KB36" s="1252">
        <v>2.83</v>
      </c>
      <c r="KC36" s="1098"/>
      <c r="KD36" s="1098">
        <v>21.484000000000002</v>
      </c>
      <c r="KE36" s="1098">
        <v>7.9109999999999996</v>
      </c>
      <c r="KF36" s="1098">
        <v>3.427</v>
      </c>
      <c r="KG36" s="1098">
        <v>5.2720000000000002</v>
      </c>
      <c r="KH36" s="1098">
        <v>28.481999999999999</v>
      </c>
      <c r="KI36" s="1098">
        <v>29.14</v>
      </c>
      <c r="KJ36" s="1098">
        <v>11.025</v>
      </c>
      <c r="KK36" s="1098">
        <v>4.4009999999999998</v>
      </c>
      <c r="KL36" s="1098">
        <v>4.0750000000000002</v>
      </c>
      <c r="KM36" s="1098"/>
      <c r="KN36" s="1097">
        <f t="shared" si="43"/>
        <v>118.04700000000001</v>
      </c>
      <c r="KO36" s="1252">
        <v>5.4889999999999999</v>
      </c>
      <c r="KP36" s="1098">
        <v>6.9130000000000003</v>
      </c>
      <c r="KQ36" s="1098">
        <v>47.656999999999996</v>
      </c>
      <c r="KR36" s="1098">
        <v>6.5620000000000003</v>
      </c>
      <c r="KS36" s="1098"/>
      <c r="KT36" s="1098">
        <v>12.454000000000001</v>
      </c>
      <c r="KU36" s="1098"/>
      <c r="KV36" s="1098">
        <v>2.23</v>
      </c>
      <c r="KW36" s="1098"/>
      <c r="KX36" s="1098">
        <v>5.12</v>
      </c>
      <c r="KY36" s="1098">
        <v>2.5000000000000001E-2</v>
      </c>
      <c r="KZ36" s="1098"/>
      <c r="LA36" s="1097">
        <f t="shared" si="44"/>
        <v>86.45</v>
      </c>
      <c r="LB36" s="1252"/>
      <c r="LC36" s="1098"/>
      <c r="LD36" s="1098"/>
      <c r="LE36" s="1098"/>
      <c r="LF36" s="1098"/>
      <c r="LG36" s="1098"/>
      <c r="LH36" s="1098">
        <v>3</v>
      </c>
      <c r="LI36" s="1098"/>
      <c r="LJ36" s="1098"/>
      <c r="LK36" s="1098"/>
      <c r="LL36" s="1098"/>
      <c r="LM36" s="1098"/>
      <c r="LN36" s="1097">
        <f t="shared" si="45"/>
        <v>3</v>
      </c>
      <c r="LP36" s="1116">
        <f t="shared" si="52"/>
        <v>-100</v>
      </c>
      <c r="LQ36" s="1117">
        <f t="shared" si="53"/>
        <v>-96.3101900252137</v>
      </c>
      <c r="LR36" s="1079">
        <f t="shared" si="54"/>
        <v>81.304999999999993</v>
      </c>
      <c r="LS36" s="1118">
        <f t="shared" si="55"/>
        <v>3</v>
      </c>
      <c r="LT36" s="1"/>
      <c r="LU36" s="629"/>
      <c r="LV36" s="1139">
        <f t="shared" si="50"/>
        <v>3333.8919999999989</v>
      </c>
      <c r="LW36" s="1286" t="s">
        <v>83</v>
      </c>
      <c r="LX36" s="1147" t="str">
        <f t="shared" si="51"/>
        <v>OK</v>
      </c>
    </row>
    <row r="37" spans="1:336" ht="15" customHeight="1" x14ac:dyDescent="0.2">
      <c r="A37" s="1280" t="s">
        <v>72</v>
      </c>
      <c r="B37" s="1252">
        <v>702.90499999999997</v>
      </c>
      <c r="C37" s="1098">
        <v>578.98199999999997</v>
      </c>
      <c r="D37" s="1098">
        <v>503.887</v>
      </c>
      <c r="E37" s="1098">
        <v>416.238</v>
      </c>
      <c r="F37" s="1098">
        <v>350.89499999999998</v>
      </c>
      <c r="G37" s="1098">
        <v>369.78699999999998</v>
      </c>
      <c r="H37" s="1098">
        <v>719.68499999999995</v>
      </c>
      <c r="I37" s="1098">
        <v>696.476</v>
      </c>
      <c r="J37" s="1098">
        <v>662.09900000000005</v>
      </c>
      <c r="K37" s="1098">
        <v>720.41499999999996</v>
      </c>
      <c r="L37" s="1098">
        <v>593.74300000000005</v>
      </c>
      <c r="M37" s="1098">
        <v>578.93100000000004</v>
      </c>
      <c r="N37" s="1097">
        <f t="shared" si="21"/>
        <v>6894.0429999999997</v>
      </c>
      <c r="O37" s="1252">
        <v>872</v>
      </c>
      <c r="P37" s="1098">
        <v>991</v>
      </c>
      <c r="Q37" s="1098">
        <v>1068.4100000000001</v>
      </c>
      <c r="R37" s="1098">
        <v>627.05799999999999</v>
      </c>
      <c r="S37" s="1098">
        <v>489.88200000000001</v>
      </c>
      <c r="T37" s="1098">
        <v>413.96</v>
      </c>
      <c r="U37" s="1098">
        <v>659.19</v>
      </c>
      <c r="V37" s="1098">
        <v>1432.0409999999999</v>
      </c>
      <c r="W37" s="1098">
        <v>2145.4189999999999</v>
      </c>
      <c r="X37" s="1098">
        <v>775.92</v>
      </c>
      <c r="Y37" s="1098">
        <v>1114.5309999999999</v>
      </c>
      <c r="Z37" s="1098">
        <v>1448.183</v>
      </c>
      <c r="AA37" s="1097">
        <f t="shared" si="22"/>
        <v>12037.594000000001</v>
      </c>
      <c r="AB37" s="1252">
        <v>547.12900000000002</v>
      </c>
      <c r="AC37" s="1098">
        <v>936.16099999999994</v>
      </c>
      <c r="AD37" s="1098">
        <v>1238.2059999999999</v>
      </c>
      <c r="AE37" s="1098">
        <v>1074.7560000000001</v>
      </c>
      <c r="AF37" s="1098">
        <v>1007.468</v>
      </c>
      <c r="AG37" s="1098">
        <v>664.07799999999997</v>
      </c>
      <c r="AH37" s="1098">
        <v>731.95500000000004</v>
      </c>
      <c r="AI37" s="1098">
        <v>1033.1079999999999</v>
      </c>
      <c r="AJ37" s="1098">
        <v>1353.11</v>
      </c>
      <c r="AK37" s="1098">
        <v>1031.6420000000001</v>
      </c>
      <c r="AL37" s="1098">
        <v>1087.396</v>
      </c>
      <c r="AM37" s="1098">
        <v>654.82899999999995</v>
      </c>
      <c r="AN37" s="1097">
        <f t="shared" si="23"/>
        <v>11359.838000000002</v>
      </c>
      <c r="AO37" s="1252">
        <v>543.01800000000003</v>
      </c>
      <c r="AP37" s="1098">
        <v>777.05899999999997</v>
      </c>
      <c r="AQ37" s="1098">
        <v>453.83199999999999</v>
      </c>
      <c r="AR37" s="1098">
        <v>375.904</v>
      </c>
      <c r="AS37" s="1098">
        <v>281.77800000000002</v>
      </c>
      <c r="AT37" s="1098">
        <v>1019.576</v>
      </c>
      <c r="AU37" s="1098">
        <v>391</v>
      </c>
      <c r="AV37" s="1098">
        <v>1085</v>
      </c>
      <c r="AW37" s="1098">
        <v>1061</v>
      </c>
      <c r="AX37" s="1098">
        <v>1934</v>
      </c>
      <c r="AY37" s="1098">
        <v>1366</v>
      </c>
      <c r="AZ37" s="1098">
        <v>1202</v>
      </c>
      <c r="BA37" s="1097">
        <f t="shared" si="24"/>
        <v>10490.167000000001</v>
      </c>
      <c r="BB37" s="1252">
        <v>786</v>
      </c>
      <c r="BC37" s="1098">
        <v>608</v>
      </c>
      <c r="BD37" s="1098">
        <v>976</v>
      </c>
      <c r="BE37" s="1098">
        <v>383</v>
      </c>
      <c r="BF37" s="1098">
        <v>605</v>
      </c>
      <c r="BG37" s="1098">
        <v>812</v>
      </c>
      <c r="BH37" s="1098">
        <v>954</v>
      </c>
      <c r="BI37" s="1098">
        <v>1601</v>
      </c>
      <c r="BJ37" s="1098">
        <v>763</v>
      </c>
      <c r="BK37" s="1098">
        <v>1457.153</v>
      </c>
      <c r="BL37" s="1098">
        <v>888.29399999999998</v>
      </c>
      <c r="BM37" s="1098">
        <v>1167.2619999999999</v>
      </c>
      <c r="BN37" s="1097">
        <f t="shared" si="25"/>
        <v>11000.709000000001</v>
      </c>
      <c r="BO37" s="1252">
        <v>518.97799999999995</v>
      </c>
      <c r="BP37" s="1098">
        <v>1092.835</v>
      </c>
      <c r="BQ37" s="1098">
        <v>1468.8989999999999</v>
      </c>
      <c r="BR37" s="1098">
        <v>742.89200000000005</v>
      </c>
      <c r="BS37" s="1098">
        <v>989.61400000000003</v>
      </c>
      <c r="BT37" s="1098">
        <v>926.846</v>
      </c>
      <c r="BU37" s="1098">
        <v>1596.7950000000001</v>
      </c>
      <c r="BV37" s="1098">
        <v>1926.72</v>
      </c>
      <c r="BW37" s="1098">
        <v>2097.3719999999998</v>
      </c>
      <c r="BX37" s="1098">
        <v>1420.2180000000001</v>
      </c>
      <c r="BY37" s="1098">
        <v>1413</v>
      </c>
      <c r="BZ37" s="1098">
        <v>968</v>
      </c>
      <c r="CA37" s="1097">
        <f t="shared" si="26"/>
        <v>15162.169</v>
      </c>
      <c r="CB37" s="1252">
        <v>402</v>
      </c>
      <c r="CC37" s="1098">
        <v>386</v>
      </c>
      <c r="CD37" s="1098">
        <v>734</v>
      </c>
      <c r="CE37" s="1098">
        <v>311</v>
      </c>
      <c r="CF37" s="1098">
        <v>316</v>
      </c>
      <c r="CG37" s="1098">
        <v>511</v>
      </c>
      <c r="CH37" s="1098">
        <v>506</v>
      </c>
      <c r="CI37" s="1098">
        <v>748</v>
      </c>
      <c r="CJ37" s="1098">
        <v>887</v>
      </c>
      <c r="CK37" s="1098">
        <v>1165</v>
      </c>
      <c r="CL37" s="1098">
        <v>686</v>
      </c>
      <c r="CM37" s="1098">
        <v>878</v>
      </c>
      <c r="CN37" s="1097">
        <f t="shared" si="27"/>
        <v>7530</v>
      </c>
      <c r="CO37" s="1252">
        <v>560</v>
      </c>
      <c r="CP37" s="1098">
        <v>303</v>
      </c>
      <c r="CQ37" s="1098">
        <v>494</v>
      </c>
      <c r="CR37" s="1098"/>
      <c r="CS37" s="1098">
        <v>312</v>
      </c>
      <c r="CT37" s="1098">
        <v>116</v>
      </c>
      <c r="CU37" s="1098">
        <v>345</v>
      </c>
      <c r="CV37" s="1098">
        <v>507</v>
      </c>
      <c r="CW37" s="1098">
        <v>1255</v>
      </c>
      <c r="CX37" s="1098">
        <v>889</v>
      </c>
      <c r="CY37" s="1098">
        <v>1156</v>
      </c>
      <c r="CZ37" s="1098">
        <v>837</v>
      </c>
      <c r="DA37" s="1097">
        <f t="shared" si="28"/>
        <v>6774</v>
      </c>
      <c r="DB37" s="1252">
        <v>678</v>
      </c>
      <c r="DC37" s="1098">
        <v>899</v>
      </c>
      <c r="DD37" s="1098">
        <v>776</v>
      </c>
      <c r="DE37" s="1098">
        <v>762</v>
      </c>
      <c r="DF37" s="1098">
        <v>477</v>
      </c>
      <c r="DG37" s="1098">
        <v>753</v>
      </c>
      <c r="DH37" s="1098">
        <v>303</v>
      </c>
      <c r="DI37" s="1098">
        <v>449</v>
      </c>
      <c r="DJ37" s="1098">
        <v>1251</v>
      </c>
      <c r="DK37" s="1098">
        <v>1471</v>
      </c>
      <c r="DL37" s="1098">
        <v>1601</v>
      </c>
      <c r="DM37" s="1098">
        <v>1523</v>
      </c>
      <c r="DN37" s="1097">
        <f t="shared" si="29"/>
        <v>10943</v>
      </c>
      <c r="DO37" s="1252">
        <v>843</v>
      </c>
      <c r="DP37" s="1098">
        <v>1099</v>
      </c>
      <c r="DQ37" s="1098">
        <v>442</v>
      </c>
      <c r="DR37" s="1098">
        <v>72</v>
      </c>
      <c r="DS37" s="1098">
        <v>115</v>
      </c>
      <c r="DT37" s="1098">
        <v>338</v>
      </c>
      <c r="DU37" s="1098">
        <v>340</v>
      </c>
      <c r="DV37" s="1098">
        <v>1341</v>
      </c>
      <c r="DW37" s="1098">
        <v>1851</v>
      </c>
      <c r="DX37" s="1098">
        <v>1276</v>
      </c>
      <c r="DY37" s="1098">
        <v>1097</v>
      </c>
      <c r="DZ37" s="1098">
        <v>418</v>
      </c>
      <c r="EA37" s="1097">
        <f t="shared" si="30"/>
        <v>9232</v>
      </c>
      <c r="EB37" s="1252">
        <v>159</v>
      </c>
      <c r="EC37" s="1098">
        <v>325</v>
      </c>
      <c r="ED37" s="1098">
        <v>303</v>
      </c>
      <c r="EE37" s="1098">
        <v>320</v>
      </c>
      <c r="EF37" s="1098">
        <v>236</v>
      </c>
      <c r="EG37" s="1098">
        <v>481</v>
      </c>
      <c r="EH37" s="1098">
        <v>592</v>
      </c>
      <c r="EI37" s="1098">
        <v>1027</v>
      </c>
      <c r="EJ37" s="1098">
        <v>1234</v>
      </c>
      <c r="EK37" s="1098">
        <v>2398</v>
      </c>
      <c r="EL37" s="1098">
        <v>822</v>
      </c>
      <c r="EM37" s="1098">
        <v>494</v>
      </c>
      <c r="EN37" s="1097">
        <f t="shared" si="31"/>
        <v>8391</v>
      </c>
      <c r="EO37" s="1252">
        <v>355</v>
      </c>
      <c r="EP37" s="1098">
        <v>36</v>
      </c>
      <c r="EQ37" s="1098">
        <v>324</v>
      </c>
      <c r="ER37" s="1098">
        <v>334</v>
      </c>
      <c r="ES37" s="1098">
        <v>180</v>
      </c>
      <c r="ET37" s="1098">
        <v>187</v>
      </c>
      <c r="EU37" s="1098">
        <v>354</v>
      </c>
      <c r="EV37" s="1098">
        <v>835</v>
      </c>
      <c r="EW37" s="1098">
        <v>705</v>
      </c>
      <c r="EX37" s="1098">
        <v>1097</v>
      </c>
      <c r="EY37" s="1098">
        <v>625</v>
      </c>
      <c r="EZ37" s="1098">
        <v>368</v>
      </c>
      <c r="FA37" s="1097">
        <f t="shared" si="32"/>
        <v>5400</v>
      </c>
      <c r="FB37" s="1252">
        <v>284</v>
      </c>
      <c r="FC37" s="1098">
        <v>175</v>
      </c>
      <c r="FD37" s="1098">
        <v>124</v>
      </c>
      <c r="FE37" s="1098">
        <v>315</v>
      </c>
      <c r="FF37" s="1098">
        <v>194</v>
      </c>
      <c r="FG37" s="1098">
        <v>185</v>
      </c>
      <c r="FH37" s="1098">
        <v>219</v>
      </c>
      <c r="FI37" s="1098">
        <v>214</v>
      </c>
      <c r="FJ37" s="1098">
        <v>384</v>
      </c>
      <c r="FK37" s="1098">
        <v>547</v>
      </c>
      <c r="FL37" s="1098">
        <v>723.5</v>
      </c>
      <c r="FM37" s="1098">
        <v>431</v>
      </c>
      <c r="FN37" s="1097">
        <f t="shared" si="33"/>
        <v>3795.5</v>
      </c>
      <c r="FO37" s="1252">
        <v>163</v>
      </c>
      <c r="FP37" s="1098">
        <v>149</v>
      </c>
      <c r="FQ37" s="1098">
        <v>311</v>
      </c>
      <c r="FR37" s="1098">
        <v>141</v>
      </c>
      <c r="FS37" s="1098">
        <v>68</v>
      </c>
      <c r="FT37" s="1098">
        <v>28</v>
      </c>
      <c r="FU37" s="1098">
        <v>69</v>
      </c>
      <c r="FV37" s="1098">
        <v>238</v>
      </c>
      <c r="FW37" s="1098">
        <v>347</v>
      </c>
      <c r="FX37" s="1098">
        <v>359</v>
      </c>
      <c r="FY37" s="1098">
        <v>466</v>
      </c>
      <c r="FZ37" s="1098">
        <v>203</v>
      </c>
      <c r="GA37" s="1097">
        <f t="shared" si="34"/>
        <v>2542</v>
      </c>
      <c r="GB37" s="1252">
        <v>36</v>
      </c>
      <c r="GC37" s="1098">
        <v>36</v>
      </c>
      <c r="GD37" s="1098">
        <v>57</v>
      </c>
      <c r="GE37" s="1098">
        <v>49</v>
      </c>
      <c r="GF37" s="1098">
        <v>284</v>
      </c>
      <c r="GG37" s="1098">
        <v>249</v>
      </c>
      <c r="GH37" s="1098">
        <v>190</v>
      </c>
      <c r="GI37" s="1098">
        <v>360</v>
      </c>
      <c r="GJ37" s="1098">
        <v>160</v>
      </c>
      <c r="GK37" s="1098">
        <v>184</v>
      </c>
      <c r="GL37" s="1098">
        <v>35</v>
      </c>
      <c r="GM37" s="1098">
        <v>252</v>
      </c>
      <c r="GN37" s="1097">
        <f t="shared" si="35"/>
        <v>1892</v>
      </c>
      <c r="GO37" s="1252">
        <v>23.001999999999999</v>
      </c>
      <c r="GP37" s="1098">
        <v>45.372999999999998</v>
      </c>
      <c r="GQ37" s="1098">
        <v>140.15600000000001</v>
      </c>
      <c r="GR37" s="1098">
        <v>2</v>
      </c>
      <c r="GS37" s="1098"/>
      <c r="GT37" s="1098"/>
      <c r="GU37" s="1098">
        <v>176</v>
      </c>
      <c r="GV37" s="1098">
        <f>378+606</f>
        <v>984</v>
      </c>
      <c r="GW37" s="1098">
        <v>346</v>
      </c>
      <c r="GX37" s="1098">
        <v>563</v>
      </c>
      <c r="GY37" s="1098">
        <v>469</v>
      </c>
      <c r="GZ37" s="1098">
        <f>87+383</f>
        <v>470</v>
      </c>
      <c r="HA37" s="1097">
        <f t="shared" si="36"/>
        <v>3218.5309999999999</v>
      </c>
      <c r="HB37" s="1252">
        <v>112</v>
      </c>
      <c r="HC37" s="1098">
        <v>96</v>
      </c>
      <c r="HD37" s="1098">
        <f>344+133</f>
        <v>477</v>
      </c>
      <c r="HE37" s="1098">
        <v>181</v>
      </c>
      <c r="HF37" s="1098">
        <v>360</v>
      </c>
      <c r="HG37" s="1098">
        <f>73+71</f>
        <v>144</v>
      </c>
      <c r="HH37" s="1098">
        <v>291</v>
      </c>
      <c r="HI37" s="1098">
        <v>2779</v>
      </c>
      <c r="HJ37" s="1098">
        <v>2255.904</v>
      </c>
      <c r="HK37" s="1098">
        <v>1323.893</v>
      </c>
      <c r="HL37" s="1098">
        <v>312.178</v>
      </c>
      <c r="HM37" s="1098">
        <v>58.747</v>
      </c>
      <c r="HN37" s="1097">
        <f t="shared" si="37"/>
        <v>8390.7219999999998</v>
      </c>
      <c r="HO37" s="1252"/>
      <c r="HP37" s="1098">
        <v>22.626000000000001</v>
      </c>
      <c r="HQ37" s="1098">
        <v>101.905</v>
      </c>
      <c r="HR37" s="1098">
        <v>58.524999999999999</v>
      </c>
      <c r="HS37" s="1098">
        <v>666.64499999999998</v>
      </c>
      <c r="HT37" s="1098">
        <v>188.97900000000001</v>
      </c>
      <c r="HU37" s="1098">
        <v>27.434000000000001</v>
      </c>
      <c r="HV37" s="1098">
        <v>51.609000000000002</v>
      </c>
      <c r="HW37" s="1098">
        <v>7.2270000000000003</v>
      </c>
      <c r="HX37" s="1098">
        <v>1020</v>
      </c>
      <c r="HY37" s="1098">
        <v>333</v>
      </c>
      <c r="HZ37" s="1098"/>
      <c r="IA37" s="1097">
        <f t="shared" si="38"/>
        <v>2477.9499999999998</v>
      </c>
      <c r="IB37" s="1252">
        <v>324.76100000000002</v>
      </c>
      <c r="IC37" s="1098">
        <v>114.197</v>
      </c>
      <c r="ID37" s="1098">
        <v>130.28800000000001</v>
      </c>
      <c r="IE37" s="1098"/>
      <c r="IF37" s="1098"/>
      <c r="IG37" s="1098">
        <v>187.56200000000001</v>
      </c>
      <c r="IH37" s="1098">
        <v>4.1059999999999999</v>
      </c>
      <c r="II37" s="1098">
        <v>130.59700000000001</v>
      </c>
      <c r="IJ37" s="1098">
        <v>106.227</v>
      </c>
      <c r="IK37" s="1098">
        <v>68</v>
      </c>
      <c r="IL37" s="1098">
        <v>67</v>
      </c>
      <c r="IM37" s="1098">
        <v>156</v>
      </c>
      <c r="IN37" s="1097">
        <f t="shared" si="39"/>
        <v>1288.7380000000001</v>
      </c>
      <c r="IO37" s="1252"/>
      <c r="IP37" s="1098">
        <v>186.38499999999999</v>
      </c>
      <c r="IQ37" s="1098">
        <v>1.5609999999999999</v>
      </c>
      <c r="IR37" s="1098">
        <v>145.077</v>
      </c>
      <c r="IS37" s="1098">
        <v>15.647</v>
      </c>
      <c r="IT37" s="1098">
        <v>112.57299999999999</v>
      </c>
      <c r="IU37" s="1098">
        <v>383.14800000000002</v>
      </c>
      <c r="IV37" s="1098">
        <v>763.92600000000004</v>
      </c>
      <c r="IW37" s="1098">
        <v>638.71199999999999</v>
      </c>
      <c r="IX37" s="1098">
        <v>558.36300000000006</v>
      </c>
      <c r="IY37" s="1098">
        <v>627.21600000000001</v>
      </c>
      <c r="IZ37" s="1098">
        <v>418.92500000000001</v>
      </c>
      <c r="JA37" s="1097">
        <f t="shared" si="40"/>
        <v>3851.5329999999999</v>
      </c>
      <c r="JB37" s="1252">
        <v>108.938</v>
      </c>
      <c r="JC37" s="1098">
        <v>204.16499999999999</v>
      </c>
      <c r="JD37" s="1098">
        <v>141.89400000000001</v>
      </c>
      <c r="JE37" s="1098">
        <v>75.102000000000004</v>
      </c>
      <c r="JF37" s="1098">
        <v>110.414</v>
      </c>
      <c r="JG37" s="1098">
        <v>91.903999999999996</v>
      </c>
      <c r="JH37" s="1098">
        <v>629.88300000000004</v>
      </c>
      <c r="JI37" s="1098">
        <v>691.81500000000005</v>
      </c>
      <c r="JJ37" s="1098">
        <v>493.12900000000002</v>
      </c>
      <c r="JK37" s="1098">
        <v>162.87799999999999</v>
      </c>
      <c r="JL37" s="1098">
        <v>382.22</v>
      </c>
      <c r="JM37" s="1098">
        <v>490.17500000000001</v>
      </c>
      <c r="JN37" s="1097">
        <f t="shared" si="41"/>
        <v>3582.5170000000007</v>
      </c>
      <c r="JO37" s="1252">
        <v>225.84299999999999</v>
      </c>
      <c r="JP37" s="1098">
        <v>353.21800000000002</v>
      </c>
      <c r="JQ37" s="1098">
        <v>229.22900000000001</v>
      </c>
      <c r="JR37" s="1098">
        <v>103.661</v>
      </c>
      <c r="JS37" s="1098">
        <v>48.725999999999999</v>
      </c>
      <c r="JT37" s="1098">
        <v>33.384</v>
      </c>
      <c r="JU37" s="1098">
        <v>495.58100000000002</v>
      </c>
      <c r="JV37" s="1098">
        <v>332.47899999999998</v>
      </c>
      <c r="JW37" s="1098">
        <v>265.04300000000001</v>
      </c>
      <c r="JX37" s="1098">
        <v>297.04399999999998</v>
      </c>
      <c r="JY37" s="1098">
        <v>94.034000000000006</v>
      </c>
      <c r="JZ37" s="1098">
        <v>48.286000000000001</v>
      </c>
      <c r="KA37" s="1097">
        <f t="shared" si="42"/>
        <v>2526.5280000000002</v>
      </c>
      <c r="KB37" s="1252">
        <v>5.0890000000000004</v>
      </c>
      <c r="KC37" s="1098">
        <v>14.051</v>
      </c>
      <c r="KD37" s="1098">
        <v>434.18700000000001</v>
      </c>
      <c r="KE37" s="1098">
        <v>512.40700000000004</v>
      </c>
      <c r="KF37" s="1098">
        <v>384.14100000000002</v>
      </c>
      <c r="KG37" s="1098">
        <v>397.44499999999999</v>
      </c>
      <c r="KH37" s="1098">
        <v>302.637</v>
      </c>
      <c r="KI37" s="1098">
        <v>55.896999999999998</v>
      </c>
      <c r="KJ37" s="1098">
        <v>442.03199999999998</v>
      </c>
      <c r="KK37" s="1098">
        <v>70.777000000000001</v>
      </c>
      <c r="KL37" s="1098">
        <v>63.841999999999999</v>
      </c>
      <c r="KM37" s="1098">
        <v>177.39</v>
      </c>
      <c r="KN37" s="1097">
        <f t="shared" si="43"/>
        <v>2859.895</v>
      </c>
      <c r="KO37" s="1252">
        <v>524.65599999999995</v>
      </c>
      <c r="KP37" s="1098">
        <v>309.56400000000002</v>
      </c>
      <c r="KQ37" s="1098">
        <v>156.34299999999999</v>
      </c>
      <c r="KR37" s="1098">
        <v>95.349000000000004</v>
      </c>
      <c r="KS37" s="1098">
        <v>132.178</v>
      </c>
      <c r="KT37" s="1098">
        <v>0.59699999999999998</v>
      </c>
      <c r="KU37" s="1098">
        <v>47.707000000000001</v>
      </c>
      <c r="KV37" s="1098">
        <v>636.14099999999996</v>
      </c>
      <c r="KW37" s="1098">
        <v>960.01700000000005</v>
      </c>
      <c r="KX37" s="1098">
        <v>886.19500000000005</v>
      </c>
      <c r="KY37" s="1098">
        <v>482.29500000000002</v>
      </c>
      <c r="KZ37" s="1098">
        <v>504.86899999999997</v>
      </c>
      <c r="LA37" s="1097">
        <f t="shared" si="44"/>
        <v>4735.9110000000001</v>
      </c>
      <c r="LB37" s="1252">
        <v>37</v>
      </c>
      <c r="LC37" s="1098">
        <v>69</v>
      </c>
      <c r="LD37" s="1098">
        <v>55</v>
      </c>
      <c r="LE37" s="1098">
        <v>153.36600000000001</v>
      </c>
      <c r="LF37" s="1098">
        <v>104.30500000000001</v>
      </c>
      <c r="LG37" s="1098">
        <v>41.3</v>
      </c>
      <c r="LH37" s="1098">
        <v>8</v>
      </c>
      <c r="LI37" s="1098">
        <v>100.14400000000001</v>
      </c>
      <c r="LJ37" s="1098"/>
      <c r="LK37" s="1098"/>
      <c r="LL37" s="1098"/>
      <c r="LM37" s="1098"/>
      <c r="LN37" s="1097">
        <f t="shared" si="45"/>
        <v>568.11500000000001</v>
      </c>
      <c r="LP37" s="1116">
        <f t="shared" si="52"/>
        <v>-84.257578115543566</v>
      </c>
      <c r="LQ37" s="1117">
        <f t="shared" si="53"/>
        <v>-70.139051318372594</v>
      </c>
      <c r="LR37" s="1079">
        <f t="shared" si="54"/>
        <v>1902.5350000000003</v>
      </c>
      <c r="LS37" s="1118">
        <f t="shared" si="55"/>
        <v>568.11500000000001</v>
      </c>
      <c r="LT37" s="1"/>
      <c r="LU37" s="629"/>
      <c r="LV37" s="1139">
        <f t="shared" si="50"/>
        <v>313888.92</v>
      </c>
      <c r="LW37" s="1286" t="s">
        <v>72</v>
      </c>
      <c r="LX37" s="1147" t="str">
        <f t="shared" si="51"/>
        <v>OK</v>
      </c>
    </row>
    <row r="38" spans="1:336" ht="15" customHeight="1" x14ac:dyDescent="0.2">
      <c r="A38" s="1280" t="s">
        <v>40</v>
      </c>
      <c r="B38" s="1252">
        <v>29.216000000000001</v>
      </c>
      <c r="C38" s="1098">
        <v>20.045999999999999</v>
      </c>
      <c r="D38" s="1098"/>
      <c r="E38" s="1098"/>
      <c r="F38" s="1098"/>
      <c r="G38" s="1098"/>
      <c r="H38" s="1098">
        <v>2.641</v>
      </c>
      <c r="I38" s="1098"/>
      <c r="J38" s="1098">
        <v>14.385999999999999</v>
      </c>
      <c r="K38" s="1098">
        <v>7.7830000000000004</v>
      </c>
      <c r="L38" s="1098"/>
      <c r="M38" s="1098"/>
      <c r="N38" s="1097">
        <f t="shared" si="21"/>
        <v>74.072000000000003</v>
      </c>
      <c r="O38" s="1252"/>
      <c r="P38" s="1098"/>
      <c r="Q38" s="1098"/>
      <c r="R38" s="1098"/>
      <c r="S38" s="1098"/>
      <c r="T38" s="1098"/>
      <c r="U38" s="1098"/>
      <c r="V38" s="1098">
        <v>53.999000000000002</v>
      </c>
      <c r="W38" s="1098"/>
      <c r="X38" s="1098">
        <v>12.38</v>
      </c>
      <c r="Y38" s="1098">
        <v>61.41</v>
      </c>
      <c r="Z38" s="1098"/>
      <c r="AA38" s="1097">
        <f t="shared" si="22"/>
        <v>127.789</v>
      </c>
      <c r="AB38" s="1252">
        <v>19.84</v>
      </c>
      <c r="AC38" s="1098"/>
      <c r="AD38" s="1098"/>
      <c r="AE38" s="1098">
        <v>7.04</v>
      </c>
      <c r="AF38" s="1098">
        <v>30.2</v>
      </c>
      <c r="AG38" s="1098">
        <v>4.13</v>
      </c>
      <c r="AH38" s="1098"/>
      <c r="AI38" s="1098">
        <v>25.478000000000002</v>
      </c>
      <c r="AJ38" s="1098"/>
      <c r="AK38" s="1098">
        <v>19.89</v>
      </c>
      <c r="AL38" s="1098"/>
      <c r="AM38" s="1098">
        <v>16.751999999999999</v>
      </c>
      <c r="AN38" s="1097">
        <f t="shared" si="23"/>
        <v>123.33</v>
      </c>
      <c r="AO38" s="1252"/>
      <c r="AP38" s="1098">
        <v>4.7549999999999999</v>
      </c>
      <c r="AQ38" s="1098">
        <v>26.998999999999999</v>
      </c>
      <c r="AR38" s="1098">
        <v>9.4220000000000006</v>
      </c>
      <c r="AS38" s="1098">
        <v>2.2189999999999999</v>
      </c>
      <c r="AT38" s="1098">
        <v>5.2450000000000001</v>
      </c>
      <c r="AU38" s="1098">
        <v>2</v>
      </c>
      <c r="AV38" s="1098"/>
      <c r="AW38" s="1098"/>
      <c r="AX38" s="1098">
        <v>12</v>
      </c>
      <c r="AY38" s="1098"/>
      <c r="AZ38" s="1098">
        <v>13</v>
      </c>
      <c r="BA38" s="1097">
        <f t="shared" si="24"/>
        <v>75.64</v>
      </c>
      <c r="BB38" s="1252">
        <v>55</v>
      </c>
      <c r="BC38" s="1098">
        <v>33</v>
      </c>
      <c r="BD38" s="1098">
        <v>15</v>
      </c>
      <c r="BE38" s="1098">
        <v>16</v>
      </c>
      <c r="BF38" s="1098">
        <v>52</v>
      </c>
      <c r="BG38" s="1098">
        <v>11</v>
      </c>
      <c r="BH38" s="1098">
        <v>14</v>
      </c>
      <c r="BI38" s="1098">
        <v>22</v>
      </c>
      <c r="BJ38" s="1098"/>
      <c r="BK38" s="1098">
        <v>4.9249999999999998</v>
      </c>
      <c r="BL38" s="1098">
        <v>2.7530000000000001</v>
      </c>
      <c r="BM38" s="1098">
        <v>148.90899999999999</v>
      </c>
      <c r="BN38" s="1097">
        <f t="shared" si="25"/>
        <v>374.58699999999999</v>
      </c>
      <c r="BO38" s="1252">
        <v>18.443000000000001</v>
      </c>
      <c r="BP38" s="1098">
        <v>2.3730000000000002</v>
      </c>
      <c r="BQ38" s="1098">
        <v>35.462000000000003</v>
      </c>
      <c r="BR38" s="1098">
        <v>17.393000000000001</v>
      </c>
      <c r="BS38" s="1098">
        <v>35.575000000000003</v>
      </c>
      <c r="BT38" s="1098">
        <v>18.867000000000001</v>
      </c>
      <c r="BU38" s="1098">
        <v>2.2400000000000002</v>
      </c>
      <c r="BV38" s="1098">
        <v>14.102</v>
      </c>
      <c r="BW38" s="1098">
        <v>25.585000000000001</v>
      </c>
      <c r="BX38" s="1098">
        <v>23.899000000000001</v>
      </c>
      <c r="BY38" s="1098">
        <v>34</v>
      </c>
      <c r="BZ38" s="1098">
        <v>108</v>
      </c>
      <c r="CA38" s="1097">
        <f t="shared" si="26"/>
        <v>335.93900000000002</v>
      </c>
      <c r="CB38" s="1252"/>
      <c r="CC38" s="1098">
        <v>16</v>
      </c>
      <c r="CD38" s="1098">
        <v>61</v>
      </c>
      <c r="CE38" s="1098">
        <v>26</v>
      </c>
      <c r="CF38" s="1098">
        <v>84</v>
      </c>
      <c r="CG38" s="1098">
        <v>34</v>
      </c>
      <c r="CH38" s="1098">
        <v>1</v>
      </c>
      <c r="CI38" s="1098">
        <v>23</v>
      </c>
      <c r="CJ38" s="1098">
        <v>9</v>
      </c>
      <c r="CK38" s="1098">
        <v>17</v>
      </c>
      <c r="CL38" s="1098">
        <v>10</v>
      </c>
      <c r="CM38" s="1098">
        <v>55</v>
      </c>
      <c r="CN38" s="1097">
        <f t="shared" si="27"/>
        <v>336</v>
      </c>
      <c r="CO38" s="1252">
        <v>8</v>
      </c>
      <c r="CP38" s="1098">
        <v>16</v>
      </c>
      <c r="CQ38" s="1098"/>
      <c r="CR38" s="1098"/>
      <c r="CS38" s="1098">
        <v>20</v>
      </c>
      <c r="CT38" s="1098">
        <v>15</v>
      </c>
      <c r="CU38" s="1098">
        <v>8</v>
      </c>
      <c r="CV38" s="1098">
        <v>5</v>
      </c>
      <c r="CW38" s="1098">
        <v>12</v>
      </c>
      <c r="CX38" s="1098"/>
      <c r="CY38" s="1098"/>
      <c r="CZ38" s="1098"/>
      <c r="DA38" s="1097">
        <f t="shared" si="28"/>
        <v>84</v>
      </c>
      <c r="DB38" s="1252"/>
      <c r="DC38" s="1098"/>
      <c r="DD38" s="1098"/>
      <c r="DE38" s="1098"/>
      <c r="DF38" s="1098"/>
      <c r="DG38" s="1098"/>
      <c r="DH38" s="1098"/>
      <c r="DI38" s="1098"/>
      <c r="DJ38" s="1098"/>
      <c r="DK38" s="1098"/>
      <c r="DL38" s="1098"/>
      <c r="DM38" s="1098"/>
      <c r="DN38" s="1097">
        <f t="shared" si="29"/>
        <v>0</v>
      </c>
      <c r="DO38" s="1252"/>
      <c r="DP38" s="1098"/>
      <c r="DQ38" s="1098">
        <v>5</v>
      </c>
      <c r="DR38" s="1098"/>
      <c r="DS38" s="1098"/>
      <c r="DT38" s="1098"/>
      <c r="DU38" s="1098"/>
      <c r="DV38" s="1098"/>
      <c r="DW38" s="1098">
        <v>7</v>
      </c>
      <c r="DX38" s="1098">
        <v>11</v>
      </c>
      <c r="DY38" s="1098">
        <v>43</v>
      </c>
      <c r="DZ38" s="1098">
        <v>28</v>
      </c>
      <c r="EA38" s="1097">
        <f t="shared" si="30"/>
        <v>94</v>
      </c>
      <c r="EB38" s="1252">
        <v>4</v>
      </c>
      <c r="EC38" s="1098"/>
      <c r="ED38" s="1098">
        <v>4</v>
      </c>
      <c r="EE38" s="1098">
        <v>18</v>
      </c>
      <c r="EF38" s="1098">
        <v>17</v>
      </c>
      <c r="EG38" s="1098">
        <v>7</v>
      </c>
      <c r="EH38" s="1098"/>
      <c r="EI38" s="1098"/>
      <c r="EJ38" s="1098"/>
      <c r="EK38" s="1098"/>
      <c r="EL38" s="1098"/>
      <c r="EM38" s="1098"/>
      <c r="EN38" s="1097">
        <f t="shared" si="31"/>
        <v>50</v>
      </c>
      <c r="EO38" s="1252"/>
      <c r="EP38" s="1098"/>
      <c r="EQ38" s="1098"/>
      <c r="ER38" s="1098"/>
      <c r="ES38" s="1098"/>
      <c r="ET38" s="1098"/>
      <c r="EU38" s="1098">
        <v>5</v>
      </c>
      <c r="EV38" s="1098">
        <v>10</v>
      </c>
      <c r="EW38" s="1098">
        <v>18</v>
      </c>
      <c r="EX38" s="1098">
        <v>11</v>
      </c>
      <c r="EY38" s="1098"/>
      <c r="EZ38" s="1098"/>
      <c r="FA38" s="1097">
        <f t="shared" si="32"/>
        <v>44</v>
      </c>
      <c r="FB38" s="1252">
        <v>20</v>
      </c>
      <c r="FC38" s="1098">
        <v>20</v>
      </c>
      <c r="FD38" s="1098">
        <v>18</v>
      </c>
      <c r="FE38" s="1098"/>
      <c r="FF38" s="1098">
        <v>34</v>
      </c>
      <c r="FG38" s="1098">
        <v>15</v>
      </c>
      <c r="FH38" s="1098"/>
      <c r="FI38" s="1098"/>
      <c r="FJ38" s="1098"/>
      <c r="FK38" s="1098"/>
      <c r="FL38" s="1098"/>
      <c r="FM38" s="1098"/>
      <c r="FN38" s="1097">
        <f t="shared" si="33"/>
        <v>107</v>
      </c>
      <c r="FO38" s="1252"/>
      <c r="FP38" s="1098"/>
      <c r="FQ38" s="1098"/>
      <c r="FR38" s="1098"/>
      <c r="FS38" s="1098">
        <v>7</v>
      </c>
      <c r="FT38" s="1098"/>
      <c r="FU38" s="1098"/>
      <c r="FV38" s="1098"/>
      <c r="FW38" s="1098"/>
      <c r="FX38" s="1098">
        <v>4</v>
      </c>
      <c r="FY38" s="1098">
        <v>4</v>
      </c>
      <c r="FZ38" s="1098"/>
      <c r="GA38" s="1097">
        <f t="shared" si="34"/>
        <v>15</v>
      </c>
      <c r="GB38" s="1252"/>
      <c r="GC38" s="1098"/>
      <c r="GD38" s="1098"/>
      <c r="GE38" s="1098"/>
      <c r="GF38" s="1098"/>
      <c r="GG38" s="1098"/>
      <c r="GH38" s="1098"/>
      <c r="GI38" s="1098"/>
      <c r="GJ38" s="1098"/>
      <c r="GK38" s="1098"/>
      <c r="GL38" s="1098"/>
      <c r="GM38" s="1098"/>
      <c r="GN38" s="1097">
        <f t="shared" si="35"/>
        <v>0</v>
      </c>
      <c r="GO38" s="1252"/>
      <c r="GP38" s="1098"/>
      <c r="GQ38" s="1098"/>
      <c r="GR38" s="1098"/>
      <c r="GS38" s="1098">
        <v>2</v>
      </c>
      <c r="GT38" s="1098"/>
      <c r="GU38" s="1098"/>
      <c r="GV38" s="1098"/>
      <c r="GW38" s="1098"/>
      <c r="GX38" s="1098">
        <v>1</v>
      </c>
      <c r="GY38" s="1098"/>
      <c r="GZ38" s="1098">
        <v>2</v>
      </c>
      <c r="HA38" s="1097">
        <f t="shared" si="36"/>
        <v>5</v>
      </c>
      <c r="HB38" s="1252"/>
      <c r="HC38" s="1098"/>
      <c r="HD38" s="1098">
        <v>3.5369999999999999</v>
      </c>
      <c r="HE38" s="1098">
        <v>9.6310000000000002</v>
      </c>
      <c r="HF38" s="1098">
        <v>6</v>
      </c>
      <c r="HG38" s="1098"/>
      <c r="HH38" s="1098"/>
      <c r="HI38" s="1098">
        <v>14</v>
      </c>
      <c r="HJ38" s="1098"/>
      <c r="HK38" s="1098"/>
      <c r="HL38" s="1098"/>
      <c r="HM38" s="1098">
        <v>1.474</v>
      </c>
      <c r="HN38" s="1097">
        <f t="shared" si="37"/>
        <v>34.641999999999996</v>
      </c>
      <c r="HO38" s="1252"/>
      <c r="HP38" s="1098"/>
      <c r="HQ38" s="1098"/>
      <c r="HR38" s="1098"/>
      <c r="HS38" s="1098"/>
      <c r="HT38" s="1098"/>
      <c r="HU38" s="1098"/>
      <c r="HV38" s="1098"/>
      <c r="HW38" s="1098"/>
      <c r="HX38" s="1098">
        <v>4</v>
      </c>
      <c r="HY38" s="1098"/>
      <c r="HZ38" s="1098"/>
      <c r="IA38" s="1097">
        <f t="shared" si="38"/>
        <v>4</v>
      </c>
      <c r="IB38" s="1252"/>
      <c r="IC38" s="1098"/>
      <c r="ID38" s="1098">
        <v>12.089</v>
      </c>
      <c r="IE38" s="1098"/>
      <c r="IF38" s="1098">
        <v>9.0579999999999998</v>
      </c>
      <c r="IG38" s="1098">
        <v>126.313</v>
      </c>
      <c r="IH38" s="1098">
        <v>18.588000000000001</v>
      </c>
      <c r="II38" s="1098">
        <v>10.993</v>
      </c>
      <c r="IJ38" s="1098"/>
      <c r="IK38" s="1098">
        <v>2</v>
      </c>
      <c r="IL38" s="1098">
        <v>33</v>
      </c>
      <c r="IM38" s="1098">
        <v>5</v>
      </c>
      <c r="IN38" s="1097">
        <f t="shared" si="39"/>
        <v>217.041</v>
      </c>
      <c r="IO38" s="1252">
        <v>11.172000000000001</v>
      </c>
      <c r="IP38" s="1098">
        <v>7.1479999999999997</v>
      </c>
      <c r="IQ38" s="1098"/>
      <c r="IR38" s="1098">
        <v>8.782</v>
      </c>
      <c r="IS38" s="1098">
        <v>9.2360000000000007</v>
      </c>
      <c r="IT38" s="1098">
        <v>9.0009999999999994</v>
      </c>
      <c r="IU38" s="1098">
        <v>3.6890000000000001</v>
      </c>
      <c r="IV38" s="1098"/>
      <c r="IW38" s="1098">
        <v>18.545999999999999</v>
      </c>
      <c r="IX38" s="1098">
        <v>1.5049999999999999</v>
      </c>
      <c r="IY38" s="1098">
        <v>1.42</v>
      </c>
      <c r="IZ38" s="1098">
        <v>1.42</v>
      </c>
      <c r="JA38" s="1097">
        <f t="shared" si="40"/>
        <v>71.918999999999997</v>
      </c>
      <c r="JB38" s="1252"/>
      <c r="JC38" s="1098">
        <v>22.103999999999999</v>
      </c>
      <c r="JD38" s="1098">
        <v>21.266999999999999</v>
      </c>
      <c r="JE38" s="1098">
        <v>19.093</v>
      </c>
      <c r="JF38" s="1098">
        <v>19.091000000000001</v>
      </c>
      <c r="JG38" s="1098">
        <v>21.059000000000001</v>
      </c>
      <c r="JH38" s="1098"/>
      <c r="JI38" s="1098"/>
      <c r="JJ38" s="1098">
        <v>12.38</v>
      </c>
      <c r="JK38" s="1098">
        <v>12.861000000000001</v>
      </c>
      <c r="JL38" s="1098"/>
      <c r="JM38" s="1098">
        <v>11.891</v>
      </c>
      <c r="JN38" s="1097">
        <f t="shared" si="41"/>
        <v>139.74600000000001</v>
      </c>
      <c r="JO38" s="1252">
        <v>2.7879999999999998</v>
      </c>
      <c r="JP38" s="1098">
        <v>15.523999999999999</v>
      </c>
      <c r="JQ38" s="1098">
        <v>15.413</v>
      </c>
      <c r="JR38" s="1098"/>
      <c r="JS38" s="1098"/>
      <c r="JT38" s="1098"/>
      <c r="JU38" s="1098"/>
      <c r="JV38" s="1098"/>
      <c r="JW38" s="1098"/>
      <c r="JX38" s="1098"/>
      <c r="JY38" s="1098"/>
      <c r="JZ38" s="1098"/>
      <c r="KA38" s="1097">
        <f t="shared" si="42"/>
        <v>33.724999999999994</v>
      </c>
      <c r="KB38" s="1252"/>
      <c r="KC38" s="1098"/>
      <c r="KD38" s="1098"/>
      <c r="KE38" s="1098">
        <f>5.587+1.806</f>
        <v>7.3929999999999998</v>
      </c>
      <c r="KF38" s="1098">
        <v>11.768000000000001</v>
      </c>
      <c r="KG38" s="1098">
        <v>9.2040000000000006</v>
      </c>
      <c r="KH38" s="1098">
        <v>6.0860000000000003</v>
      </c>
      <c r="KI38" s="1098">
        <v>7.391</v>
      </c>
      <c r="KJ38" s="1098">
        <v>18.879000000000001</v>
      </c>
      <c r="KK38" s="1098">
        <v>6.6</v>
      </c>
      <c r="KL38" s="1098"/>
      <c r="KM38" s="1098">
        <v>1.571</v>
      </c>
      <c r="KN38" s="1097">
        <f t="shared" si="43"/>
        <v>68.891999999999996</v>
      </c>
      <c r="KO38" s="1252">
        <v>1.448</v>
      </c>
      <c r="KP38" s="1098"/>
      <c r="KQ38" s="1098"/>
      <c r="KR38" s="1098">
        <v>3.8679999999999999</v>
      </c>
      <c r="KS38" s="1098">
        <v>10.823</v>
      </c>
      <c r="KT38" s="1098"/>
      <c r="KU38" s="1098"/>
      <c r="KV38" s="1098"/>
      <c r="KW38" s="1098">
        <v>7.4999999999999997E-2</v>
      </c>
      <c r="KX38" s="1098">
        <v>3.5259999999999998</v>
      </c>
      <c r="KY38" s="1098"/>
      <c r="KZ38" s="1098">
        <v>16.71</v>
      </c>
      <c r="LA38" s="1097">
        <f t="shared" si="44"/>
        <v>36.450000000000003</v>
      </c>
      <c r="LB38" s="1252"/>
      <c r="LC38" s="1098"/>
      <c r="LD38" s="1098"/>
      <c r="LE38" s="1098"/>
      <c r="LF38" s="1098"/>
      <c r="LG38" s="1098"/>
      <c r="LH38" s="1098"/>
      <c r="LI38" s="1098"/>
      <c r="LJ38" s="1098"/>
      <c r="LK38" s="1098"/>
      <c r="LL38" s="1098"/>
      <c r="LM38" s="1098"/>
      <c r="LN38" s="1097">
        <f t="shared" si="45"/>
        <v>0</v>
      </c>
      <c r="LP38" s="1116" t="str">
        <f t="shared" si="52"/>
        <v/>
      </c>
      <c r="LQ38" s="1117">
        <f t="shared" si="53"/>
        <v>-100</v>
      </c>
      <c r="LR38" s="1079">
        <f t="shared" si="54"/>
        <v>16.138999999999999</v>
      </c>
      <c r="LS38" s="1118">
        <f t="shared" si="55"/>
        <v>0</v>
      </c>
      <c r="LT38" s="1"/>
      <c r="LU38" s="629"/>
      <c r="LV38" s="1139">
        <f t="shared" si="50"/>
        <v>4905.5440000000008</v>
      </c>
      <c r="LW38" s="1286" t="s">
        <v>40</v>
      </c>
      <c r="LX38" s="1147" t="str">
        <f t="shared" si="51"/>
        <v>OK</v>
      </c>
    </row>
    <row r="39" spans="1:336" s="129" customFormat="1" ht="15" customHeight="1" x14ac:dyDescent="0.2">
      <c r="A39" s="1281" t="s">
        <v>151</v>
      </c>
      <c r="B39" s="1263">
        <f>16.27+8.555</f>
        <v>24.824999999999999</v>
      </c>
      <c r="C39" s="1099">
        <f>28.301+3.537</f>
        <v>31.837999999999997</v>
      </c>
      <c r="D39" s="1099">
        <f>23.879+3.538+47.169</f>
        <v>74.585999999999999</v>
      </c>
      <c r="E39" s="1099">
        <f>31.909+1.18+8.254+1.414</f>
        <v>42.756999999999998</v>
      </c>
      <c r="F39" s="1099">
        <f>27.593+1.532+20.042+26.791+1.181</f>
        <v>77.138999999999996</v>
      </c>
      <c r="G39" s="1099">
        <f>3.113+3.004+4.731+1.504+24.982</f>
        <v>37.333999999999996</v>
      </c>
      <c r="H39" s="1099">
        <f>0.943+4.787+4.15+4.15+15.259+5.188</f>
        <v>34.477000000000004</v>
      </c>
      <c r="I39" s="1099">
        <f>9.87+10.377+12.053+5.188+19.691</f>
        <v>57.179000000000002</v>
      </c>
      <c r="J39" s="1099">
        <f>25.942+11.601</f>
        <v>37.542999999999999</v>
      </c>
      <c r="K39" s="1099">
        <v>89.741</v>
      </c>
      <c r="L39" s="1099">
        <f>2.08+5.19+50.675+33.37+17.01+20.477</f>
        <v>128.80199999999999</v>
      </c>
      <c r="M39" s="1099">
        <f>100.302+70.75+29.086</f>
        <v>200.13800000000003</v>
      </c>
      <c r="N39" s="1100">
        <f t="shared" si="21"/>
        <v>836.35900000000004</v>
      </c>
      <c r="O39" s="1263">
        <v>95</v>
      </c>
      <c r="P39" s="1099">
        <v>65</v>
      </c>
      <c r="Q39" s="1099">
        <v>28</v>
      </c>
      <c r="R39" s="1099">
        <v>76</v>
      </c>
      <c r="S39" s="1099">
        <v>33</v>
      </c>
      <c r="T39" s="1099">
        <v>95</v>
      </c>
      <c r="U39" s="1099">
        <v>168</v>
      </c>
      <c r="V39" s="1099">
        <v>262</v>
      </c>
      <c r="W39" s="1099">
        <v>373</v>
      </c>
      <c r="X39" s="1099">
        <v>295</v>
      </c>
      <c r="Y39" s="1099">
        <v>363</v>
      </c>
      <c r="Z39" s="1099">
        <v>497</v>
      </c>
      <c r="AA39" s="1100">
        <f t="shared" si="22"/>
        <v>2350</v>
      </c>
      <c r="AB39" s="1263">
        <v>463</v>
      </c>
      <c r="AC39" s="1099">
        <f>11.7+9.195+52+269.879+21.93+4.62+5.65+3.75+56.644</f>
        <v>435.36799999999999</v>
      </c>
      <c r="AD39" s="1099">
        <v>401.77499999999998</v>
      </c>
      <c r="AE39" s="1099">
        <v>253.10900000000001</v>
      </c>
      <c r="AF39" s="1099">
        <v>262.31900000000002</v>
      </c>
      <c r="AG39" s="1099">
        <v>231.715</v>
      </c>
      <c r="AH39" s="1099">
        <v>323.197</v>
      </c>
      <c r="AI39" s="1099">
        <v>202.19</v>
      </c>
      <c r="AJ39" s="1099">
        <f>213.7+15.06+42.35</f>
        <v>271.11</v>
      </c>
      <c r="AK39" s="1099">
        <v>241</v>
      </c>
      <c r="AL39" s="1099">
        <v>360</v>
      </c>
      <c r="AM39" s="1099">
        <v>288.60000000000002</v>
      </c>
      <c r="AN39" s="1100">
        <f t="shared" si="23"/>
        <v>3733.3829999999998</v>
      </c>
      <c r="AO39" s="1263">
        <f>23.952+49.382</f>
        <v>73.334000000000003</v>
      </c>
      <c r="AP39" s="1099">
        <f>4.466+100.852+13.24+8.141+70.338+43.92</f>
        <v>240.95699999999999</v>
      </c>
      <c r="AQ39" s="1099">
        <f>11.896+2.075+2.681+27.81+3.342+54.544+6.01+46.583</f>
        <v>154.941</v>
      </c>
      <c r="AR39" s="1099">
        <f>13.504+1.34+84.412+15.604+8.219+131.136+9.083+107.925</f>
        <v>371.22300000000001</v>
      </c>
      <c r="AS39" s="1099">
        <f>4.458+7.646+32.679+1.806+5.198+2.422+61.56+2.385+5.332</f>
        <v>123.486</v>
      </c>
      <c r="AT39" s="1099">
        <f>1.829+1.87+7.909+36.296+40.393+20.838+4.443+6.48+40.82</f>
        <v>160.87799999999999</v>
      </c>
      <c r="AU39" s="1099">
        <v>12</v>
      </c>
      <c r="AV39" s="1099">
        <v>238</v>
      </c>
      <c r="AW39" s="1099">
        <v>230</v>
      </c>
      <c r="AX39" s="1099">
        <v>449</v>
      </c>
      <c r="AY39" s="1099">
        <v>463</v>
      </c>
      <c r="AZ39" s="1099">
        <v>742</v>
      </c>
      <c r="BA39" s="1100">
        <f t="shared" si="24"/>
        <v>3258.819</v>
      </c>
      <c r="BB39" s="1263">
        <v>227</v>
      </c>
      <c r="BC39" s="1099">
        <v>309</v>
      </c>
      <c r="BD39" s="1099">
        <f>39.369+3.691+12.183+45.307+13.593+84.232+14.773+25.124+8.504+15.825+68.933+17.929+31.312+46.184+8.984</f>
        <v>435.94299999999993</v>
      </c>
      <c r="BE39" s="1099">
        <v>430</v>
      </c>
      <c r="BF39" s="1099">
        <f>8.551+7.311+7.025+29.547+46.776+7.326+129.839+12.288+5.033+6.618+4.528+21.277+21.578+125.091+27.178+40.093+2.837</f>
        <v>502.89600000000002</v>
      </c>
      <c r="BG39" s="1099">
        <v>782</v>
      </c>
      <c r="BH39" s="1099">
        <v>371.47899999999998</v>
      </c>
      <c r="BI39" s="1099">
        <f>(31+40+19+7+5+13+49+160+10+19+161+71+4)</f>
        <v>589</v>
      </c>
      <c r="BJ39" s="1099">
        <f>(17+31+6+38+12+8+18+63+10)</f>
        <v>203</v>
      </c>
      <c r="BK39" s="1099">
        <f>5.813+28.333+22.086+1.357+19.916+4.573+117.167+127.7+27.493+40.027+31.493+14.716+18.308+17.836+299.782+5.69+124.881+9.07+1.012+5.345</f>
        <v>922.59799999999996</v>
      </c>
      <c r="BL39" s="1099">
        <f>3.034+1.247+0.481+20.624+4.138+2.694+2.389+64.614+72.701+9.388+30.79+4.847+21.805+8.462+4.722+8.198+8.391+136.247+9.575+5.598</f>
        <v>419.94500000000005</v>
      </c>
      <c r="BM39" s="1099">
        <v>888.70300000000043</v>
      </c>
      <c r="BN39" s="1100">
        <f t="shared" si="25"/>
        <v>6081.5639999999994</v>
      </c>
      <c r="BO39" s="1263">
        <f>368.868+52.546+21.978+0.964+7.108+122.258+33.162+19.702+6.088+10.767+25.576+3.303+141.499+25.558+0.005+1.271+4.469</f>
        <v>845.12200000000007</v>
      </c>
      <c r="BP39" s="1099">
        <f>2.841+133.962+23.571+4.428+152.628+5.554+40.201+31.852+2.379+62.328+62.557+1.036+8.991+9.339+39.695+9.119+5.416+0.833+70.085+20.377+15.856+2.373</f>
        <v>705.42100000000005</v>
      </c>
      <c r="BQ39" s="1099">
        <f>15.33+31.648+241.09+5.917+105.686+53.632+7.06+9.102+5.737+2.357+142.826+2.45</f>
        <v>622.83500000000004</v>
      </c>
      <c r="BR39" s="1099">
        <f>120.46+61.792+14.991+3.364+20.785+88.189+6.895+3.236+5.769+2.606+5.243+156.111+53.647</f>
        <v>543.08799999999997</v>
      </c>
      <c r="BS39" s="1099">
        <f>26.377+169.63+56.14+8.993+7.059+15.33+18.698+51.726+12.549+20.276+2.029+5.353+4.998+173.216+17.939+11.775+2.678+11.792+2.613+2.023+10.949+4.717+183.884+13.09+0.163+10.643+2.858</f>
        <v>847.49800000000005</v>
      </c>
      <c r="BT39" s="1099">
        <f>8.309+98.732+126.827+18.992+26.605+11.547+5.027+11.702+7.981+6.1+16.653+4.81+56.808+126.155+8.176+73.445+11.881+10.323+53.799+32.413+14.396+5.424+10.235+2.776+1.222+7.84+2.294+196.917+4.893+18.199+15.566+3.58+5.846</f>
        <v>1005.4730000000001</v>
      </c>
      <c r="BU39" s="1099">
        <f>7.075+2.181+3.054+18.242+8.293+70.471+7.037+20.709+7.237+5.58+35.376+7.097+12.631+246.834+9.246+15.335+32.32</f>
        <v>508.71799999999996</v>
      </c>
      <c r="BV39" s="1099">
        <f>2.374+35.545+59.286+35.162+11.316+3.061+20.066+14.902+45.484+3.113+2.594+118.466+7.289+26.045+73.072+61.765+196.584+6.604+55.938+5.948+3.741+16.509+7.075+30.67+11.067+59.354+68.324+37.411</f>
        <v>1018.7650000000001</v>
      </c>
      <c r="BW39" s="1099">
        <f>6.88+27.466+9.831+18.868+2.598+0.382+2.422+52.697+11.266+66.687+6.006+102.559+99.618+8.556+13.073+1.916+7.799+7.075+4.173+13.252+26.776+46.804+1.252+2.17+7.109</f>
        <v>547.2349999999999</v>
      </c>
      <c r="BX39" s="1099">
        <f>15.401+13.953+7.372+2.386+4.053+28.365+13.519+196.858+12.796+114.581+34.645+20.829+9.453+4.992+151.6+8.594+82.567+12.853+9.646+10.652</f>
        <v>755.11500000000001</v>
      </c>
      <c r="BY39" s="1099">
        <f>5.511+7.479+1.068+4.724+13.044+18.285+56.865+11.443+8.325+106.186+60.296+32.241+11.049+12.05+74.282+28.644+12.072+142.345+14.263+1.419+279.876+20.755+123.89+231.321</f>
        <v>1277.433</v>
      </c>
      <c r="BZ39" s="1099">
        <v>825</v>
      </c>
      <c r="CA39" s="1100">
        <f t="shared" si="26"/>
        <v>9501.7030000000013</v>
      </c>
      <c r="CB39" s="1263">
        <v>438</v>
      </c>
      <c r="CC39" s="1099">
        <v>639</v>
      </c>
      <c r="CD39" s="1099">
        <v>713</v>
      </c>
      <c r="CE39" s="1099">
        <v>492</v>
      </c>
      <c r="CF39" s="1099">
        <v>1062</v>
      </c>
      <c r="CG39" s="1099">
        <v>782</v>
      </c>
      <c r="CH39" s="1099">
        <v>542</v>
      </c>
      <c r="CI39" s="1099">
        <v>726</v>
      </c>
      <c r="CJ39" s="1099">
        <v>1023</v>
      </c>
      <c r="CK39" s="1099">
        <v>885</v>
      </c>
      <c r="CL39" s="1099">
        <v>291</v>
      </c>
      <c r="CM39" s="1099">
        <v>610</v>
      </c>
      <c r="CN39" s="1100">
        <f t="shared" si="27"/>
        <v>8203</v>
      </c>
      <c r="CO39" s="1263">
        <v>302</v>
      </c>
      <c r="CP39" s="1099">
        <v>270</v>
      </c>
      <c r="CQ39" s="1099">
        <v>394</v>
      </c>
      <c r="CR39" s="1099">
        <v>342</v>
      </c>
      <c r="CS39" s="1099">
        <v>147</v>
      </c>
      <c r="CT39" s="1099">
        <v>328</v>
      </c>
      <c r="CU39" s="1099">
        <v>159</v>
      </c>
      <c r="CV39" s="1099">
        <v>161</v>
      </c>
      <c r="CW39" s="1099">
        <v>215</v>
      </c>
      <c r="CX39" s="1099">
        <v>442</v>
      </c>
      <c r="CY39" s="1099">
        <v>211</v>
      </c>
      <c r="CZ39" s="1099">
        <v>225</v>
      </c>
      <c r="DA39" s="1100">
        <f t="shared" si="28"/>
        <v>3196</v>
      </c>
      <c r="DB39" s="1263">
        <v>178</v>
      </c>
      <c r="DC39" s="1099">
        <v>419</v>
      </c>
      <c r="DD39" s="1099">
        <v>300</v>
      </c>
      <c r="DE39" s="1099">
        <v>162</v>
      </c>
      <c r="DF39" s="1099">
        <v>243</v>
      </c>
      <c r="DG39" s="1099">
        <v>301</v>
      </c>
      <c r="DH39" s="1099">
        <v>212</v>
      </c>
      <c r="DI39" s="1099">
        <v>217</v>
      </c>
      <c r="DJ39" s="1099">
        <v>253</v>
      </c>
      <c r="DK39" s="1099">
        <v>151.77777777777783</v>
      </c>
      <c r="DL39" s="1099">
        <v>134</v>
      </c>
      <c r="DM39" s="1099">
        <v>256</v>
      </c>
      <c r="DN39" s="1100">
        <f t="shared" si="29"/>
        <v>2826.7777777777778</v>
      </c>
      <c r="DO39" s="1263">
        <v>154</v>
      </c>
      <c r="DP39" s="1099">
        <v>179</v>
      </c>
      <c r="DQ39" s="1099">
        <v>207</v>
      </c>
      <c r="DR39" s="1099">
        <v>101</v>
      </c>
      <c r="DS39" s="1099">
        <v>191</v>
      </c>
      <c r="DT39" s="1099">
        <v>227</v>
      </c>
      <c r="DU39" s="1099">
        <v>116</v>
      </c>
      <c r="DV39" s="1099">
        <v>80</v>
      </c>
      <c r="DW39" s="1099">
        <v>172</v>
      </c>
      <c r="DX39" s="1099">
        <v>296</v>
      </c>
      <c r="DY39" s="1099">
        <v>174</v>
      </c>
      <c r="DZ39" s="1099">
        <v>107</v>
      </c>
      <c r="EA39" s="1100">
        <f t="shared" si="30"/>
        <v>2004</v>
      </c>
      <c r="EB39" s="1263">
        <v>268</v>
      </c>
      <c r="EC39" s="1099">
        <v>266</v>
      </c>
      <c r="ED39" s="1099">
        <v>310</v>
      </c>
      <c r="EE39" s="1099">
        <v>159</v>
      </c>
      <c r="EF39" s="1099">
        <v>48</v>
      </c>
      <c r="EG39" s="1099">
        <v>109</v>
      </c>
      <c r="EH39" s="1099">
        <v>312</v>
      </c>
      <c r="EI39" s="1099">
        <v>424</v>
      </c>
      <c r="EJ39" s="1099">
        <v>239</v>
      </c>
      <c r="EK39" s="1099">
        <v>314</v>
      </c>
      <c r="EL39" s="1099">
        <v>312</v>
      </c>
      <c r="EM39" s="1099">
        <v>161</v>
      </c>
      <c r="EN39" s="1100">
        <f t="shared" si="31"/>
        <v>2922</v>
      </c>
      <c r="EO39" s="1263">
        <v>236</v>
      </c>
      <c r="EP39" s="1099">
        <v>211</v>
      </c>
      <c r="EQ39" s="1099">
        <v>174</v>
      </c>
      <c r="ER39" s="1099">
        <v>110</v>
      </c>
      <c r="ES39" s="1099">
        <f>1095-832</f>
        <v>263</v>
      </c>
      <c r="ET39" s="1099">
        <v>113</v>
      </c>
      <c r="EU39" s="1099">
        <v>93</v>
      </c>
      <c r="EV39" s="1099">
        <v>471</v>
      </c>
      <c r="EW39" s="1099">
        <v>182</v>
      </c>
      <c r="EX39" s="1099">
        <v>419</v>
      </c>
      <c r="EY39" s="1099">
        <v>567</v>
      </c>
      <c r="EZ39" s="1099">
        <v>242</v>
      </c>
      <c r="FA39" s="1100">
        <f t="shared" si="32"/>
        <v>3081</v>
      </c>
      <c r="FB39" s="1263">
        <v>205</v>
      </c>
      <c r="FC39" s="1099">
        <v>194</v>
      </c>
      <c r="FD39" s="1099">
        <v>61</v>
      </c>
      <c r="FE39" s="1099">
        <v>41</v>
      </c>
      <c r="FF39" s="1099">
        <f>916-681</f>
        <v>235</v>
      </c>
      <c r="FG39" s="1099">
        <f>812-529</f>
        <v>283</v>
      </c>
      <c r="FH39" s="1099">
        <v>171</v>
      </c>
      <c r="FI39" s="1099">
        <v>339</v>
      </c>
      <c r="FJ39" s="1099">
        <f>1668-1365</f>
        <v>303</v>
      </c>
      <c r="FK39" s="1099">
        <v>298</v>
      </c>
      <c r="FL39" s="1099">
        <v>439.5</v>
      </c>
      <c r="FM39" s="1099">
        <v>201.5</v>
      </c>
      <c r="FN39" s="1100">
        <f t="shared" si="33"/>
        <v>2771</v>
      </c>
      <c r="FO39" s="1263">
        <v>139</v>
      </c>
      <c r="FP39" s="1099">
        <v>56</v>
      </c>
      <c r="FQ39" s="1099">
        <f>804-657</f>
        <v>147</v>
      </c>
      <c r="FR39" s="1099">
        <f>518-437</f>
        <v>81</v>
      </c>
      <c r="FS39" s="1099">
        <f>611-439</f>
        <v>172</v>
      </c>
      <c r="FT39" s="1099">
        <f>681-492</f>
        <v>189</v>
      </c>
      <c r="FU39" s="1099">
        <f>635-393</f>
        <v>242</v>
      </c>
      <c r="FV39" s="1099">
        <f>566-401</f>
        <v>165</v>
      </c>
      <c r="FW39" s="1099">
        <f>961-759</f>
        <v>202</v>
      </c>
      <c r="FX39" s="1099">
        <f>969-881</f>
        <v>88</v>
      </c>
      <c r="FY39" s="1099">
        <f>875-767</f>
        <v>108</v>
      </c>
      <c r="FZ39" s="1099">
        <f>1067-898</f>
        <v>169</v>
      </c>
      <c r="GA39" s="1100">
        <f t="shared" si="34"/>
        <v>1758</v>
      </c>
      <c r="GB39" s="1263">
        <f>420-341</f>
        <v>79</v>
      </c>
      <c r="GC39" s="1099">
        <f>346-236</f>
        <v>110</v>
      </c>
      <c r="GD39" s="1099">
        <v>153</v>
      </c>
      <c r="GE39" s="1099">
        <v>142</v>
      </c>
      <c r="GF39" s="1099">
        <v>139</v>
      </c>
      <c r="GG39" s="1099">
        <f>617-510</f>
        <v>107</v>
      </c>
      <c r="GH39" s="1099">
        <f>675-428</f>
        <v>247</v>
      </c>
      <c r="GI39" s="1099">
        <f>828-760</f>
        <v>68</v>
      </c>
      <c r="GJ39" s="1099">
        <f>605-395</f>
        <v>210</v>
      </c>
      <c r="GK39" s="1099">
        <f>751-484</f>
        <v>267</v>
      </c>
      <c r="GL39" s="1099">
        <f>824-492</f>
        <v>332</v>
      </c>
      <c r="GM39" s="1099">
        <f>1071-643</f>
        <v>428</v>
      </c>
      <c r="GN39" s="1100">
        <f t="shared" si="35"/>
        <v>2282</v>
      </c>
      <c r="GO39" s="1263">
        <f>268.77-145</f>
        <v>123.76999999999998</v>
      </c>
      <c r="GP39" s="1099">
        <f>219.25-119</f>
        <v>100.25</v>
      </c>
      <c r="GQ39" s="1099">
        <v>120</v>
      </c>
      <c r="GR39" s="1099">
        <f>691-368</f>
        <v>323</v>
      </c>
      <c r="GS39" s="1099">
        <f>702-473</f>
        <v>229</v>
      </c>
      <c r="GT39" s="1099">
        <f>328-156</f>
        <v>172</v>
      </c>
      <c r="GU39" s="1099">
        <v>137</v>
      </c>
      <c r="GV39" s="1099">
        <v>208</v>
      </c>
      <c r="GW39" s="1099">
        <f>449+16</f>
        <v>465</v>
      </c>
      <c r="GX39" s="1099">
        <f>161+29</f>
        <v>190</v>
      </c>
      <c r="GY39" s="1099">
        <v>73</v>
      </c>
      <c r="GZ39" s="1099">
        <v>65</v>
      </c>
      <c r="HA39" s="1100">
        <f t="shared" si="36"/>
        <v>2206.02</v>
      </c>
      <c r="HB39" s="1263">
        <v>19</v>
      </c>
      <c r="HC39" s="1099">
        <v>104</v>
      </c>
      <c r="HD39" s="1099">
        <v>221</v>
      </c>
      <c r="HE39" s="1099">
        <v>221</v>
      </c>
      <c r="HF39" s="1099">
        <v>224</v>
      </c>
      <c r="HG39" s="1099">
        <v>215</v>
      </c>
      <c r="HH39" s="1099">
        <v>127</v>
      </c>
      <c r="HI39" s="1099">
        <v>486</v>
      </c>
      <c r="HJ39" s="1099">
        <f>3786-3454</f>
        <v>332</v>
      </c>
      <c r="HK39" s="1099">
        <f>2215-1758</f>
        <v>457</v>
      </c>
      <c r="HL39" s="1099">
        <v>299.33100000000002</v>
      </c>
      <c r="HM39" s="1099">
        <f>854.951-231</f>
        <v>623.95100000000002</v>
      </c>
      <c r="HN39" s="1100">
        <f t="shared" si="37"/>
        <v>3329.2820000000002</v>
      </c>
      <c r="HO39" s="1263">
        <v>130</v>
      </c>
      <c r="HP39" s="1099">
        <v>307</v>
      </c>
      <c r="HQ39" s="1099">
        <f>1224-857</f>
        <v>367</v>
      </c>
      <c r="HR39" s="1099">
        <v>222</v>
      </c>
      <c r="HS39" s="1099">
        <f>1351-1020</f>
        <v>331</v>
      </c>
      <c r="HT39" s="1099">
        <f>1085-557</f>
        <v>528</v>
      </c>
      <c r="HU39" s="1099">
        <f>677-350</f>
        <v>327</v>
      </c>
      <c r="HV39" s="1099">
        <f>451.312-316</f>
        <v>135.31200000000001</v>
      </c>
      <c r="HW39" s="1099">
        <f>471-256</f>
        <v>215</v>
      </c>
      <c r="HX39" s="1099">
        <f>2280-1997</f>
        <v>283</v>
      </c>
      <c r="HY39" s="1099">
        <f>674-561</f>
        <v>113</v>
      </c>
      <c r="HZ39" s="1099">
        <v>201</v>
      </c>
      <c r="IA39" s="1100">
        <f t="shared" si="38"/>
        <v>3159.3119999999999</v>
      </c>
      <c r="IB39" s="1263">
        <v>185</v>
      </c>
      <c r="IC39" s="1099">
        <v>293</v>
      </c>
      <c r="ID39" s="1099">
        <v>115</v>
      </c>
      <c r="IE39" s="1099"/>
      <c r="IF39" s="1099">
        <v>69</v>
      </c>
      <c r="IG39" s="1099">
        <v>125</v>
      </c>
      <c r="IH39" s="1099">
        <f>3.972+4.01+9.533+62.064+32.996+3.221+2.792+5.102+14.178+10.33</f>
        <v>148.19800000000004</v>
      </c>
      <c r="II39" s="1099">
        <f>88.73+4.735+34.645+2.004+42.484+11.74+91.315+18.004+27.048</f>
        <v>320.70500000000004</v>
      </c>
      <c r="IJ39" s="1099">
        <f>244</f>
        <v>244</v>
      </c>
      <c r="IK39" s="1099">
        <v>592</v>
      </c>
      <c r="IL39" s="1099">
        <v>346</v>
      </c>
      <c r="IM39" s="1099">
        <v>400</v>
      </c>
      <c r="IN39" s="1100">
        <f t="shared" ref="IN39" si="56">SUM(IB39:IM39)</f>
        <v>2837.9030000000002</v>
      </c>
      <c r="IO39" s="1263">
        <f>1.625+4.316+3.253+12.352+5.85+11.363+6.176</f>
        <v>44.935000000000002</v>
      </c>
      <c r="IP39" s="1099">
        <f>7.134+1.507+3.578+29.575+63.031+81.136+23.45+14.397+2.276+8.339</f>
        <v>234.42299999999997</v>
      </c>
      <c r="IQ39" s="1099">
        <v>479</v>
      </c>
      <c r="IR39" s="1099">
        <v>133</v>
      </c>
      <c r="IS39" s="1099">
        <v>285.178</v>
      </c>
      <c r="IT39" s="1099">
        <v>675.23800000000006</v>
      </c>
      <c r="IU39" s="1099">
        <f>772-90</f>
        <v>682</v>
      </c>
      <c r="IV39" s="1099">
        <v>593.226</v>
      </c>
      <c r="IW39" s="1099">
        <f>1539-1070</f>
        <v>469</v>
      </c>
      <c r="IX39" s="1099">
        <f>1704.155-1062</f>
        <v>642.15499999999997</v>
      </c>
      <c r="IY39" s="1099">
        <f>1755-1165</f>
        <v>590</v>
      </c>
      <c r="IZ39" s="1099">
        <f>1272-779</f>
        <v>493</v>
      </c>
      <c r="JA39" s="1100">
        <f t="shared" ref="JA39" si="57">SUM(IO39:IZ39)</f>
        <v>5321.1550000000007</v>
      </c>
      <c r="JB39" s="1263">
        <v>639</v>
      </c>
      <c r="JC39" s="1099">
        <f>1291-696</f>
        <v>595</v>
      </c>
      <c r="JD39" s="1099">
        <f>1591-755</f>
        <v>836</v>
      </c>
      <c r="JE39" s="1099">
        <v>1341</v>
      </c>
      <c r="JF39" s="1099">
        <v>1113</v>
      </c>
      <c r="JG39" s="1099">
        <f>1577-615</f>
        <v>962</v>
      </c>
      <c r="JH39" s="1099">
        <f>1511-1105</f>
        <v>406</v>
      </c>
      <c r="JI39" s="1099">
        <f>1982-1141</f>
        <v>841</v>
      </c>
      <c r="JJ39" s="1099">
        <f>2265-1038</f>
        <v>1227</v>
      </c>
      <c r="JK39" s="1099">
        <f>2201.056-849</f>
        <v>1352.056</v>
      </c>
      <c r="JL39" s="1099">
        <f>2276-1121</f>
        <v>1155</v>
      </c>
      <c r="JM39" s="1099">
        <f>2146.357-1145</f>
        <v>1001.357</v>
      </c>
      <c r="JN39" s="1100">
        <f t="shared" ref="JN39" si="58">SUM(JB39:JM39)</f>
        <v>11468.413</v>
      </c>
      <c r="JO39" s="1263">
        <v>670</v>
      </c>
      <c r="JP39" s="1099">
        <v>799.89800000000002</v>
      </c>
      <c r="JQ39" s="1099">
        <v>633.79899999999998</v>
      </c>
      <c r="JR39" s="1099">
        <f>754-391</f>
        <v>363</v>
      </c>
      <c r="JS39" s="1099">
        <f>858.771-454</f>
        <v>404.77099999999996</v>
      </c>
      <c r="JT39" s="1099">
        <v>457</v>
      </c>
      <c r="JU39" s="1099">
        <f>1286-802</f>
        <v>484</v>
      </c>
      <c r="JV39" s="1099">
        <f>1345-668</f>
        <v>677</v>
      </c>
      <c r="JW39" s="1099">
        <v>423</v>
      </c>
      <c r="JX39" s="1099">
        <v>981</v>
      </c>
      <c r="JY39" s="1099">
        <v>617</v>
      </c>
      <c r="JZ39" s="1099">
        <v>175</v>
      </c>
      <c r="KA39" s="1100">
        <f t="shared" ref="KA39" si="59">SUM(JO39:JZ39)</f>
        <v>6685.4679999999998</v>
      </c>
      <c r="KB39" s="1263">
        <v>71.822000000000003</v>
      </c>
      <c r="KC39" s="1099">
        <v>133.858</v>
      </c>
      <c r="KD39" s="1099">
        <f>2.288+6.908+5.757+8.778+1.788+10.217+10.71+50.616+13.239+7.42+6.849+41.468</f>
        <v>166.03800000000001</v>
      </c>
      <c r="KE39" s="1099">
        <f>0.474+11.399+12.819+73.042+3.264+3.118+16.006+2.96+39.558+42.843+28.944+4.677+1.752+5.821+0.774+11.575+2.587+10.352+36.523+25.639+3.63+35.372+85.862</f>
        <v>458.99099999999999</v>
      </c>
      <c r="KF39" s="1099">
        <f>2.605+3.33+1.415+8.257+4.684+0.684+0.588+4.245+2.752+0.484+4.614+1.375+7.761+6.444+4.888+31.07+6.953+13.226+28.053+15.798+11.222+33.439+81.432+154.375</f>
        <v>429.69400000000002</v>
      </c>
      <c r="KG39" s="1099">
        <f>11.2+0.833+2.236+1.25+4.297+7.78+3.872+0.684+0.588+0.746+1.441+38.442+5.572+5.699+7.508+22.879+1.042+7.224+27.008+16.568+53.274+9.419+42.665+131.308+7.651</f>
        <v>411.18600000000004</v>
      </c>
      <c r="KH39" s="1099">
        <f>39.357+3.528+26.879+10.386+2.466+3.799+8.001+52.213+31.022+52.926+57.166+8.47+39.624+43.691+16.193+9.727+1.408+23.066+23.92+0.436+3.337+12.674+1.957+43.436+1.467+80.047</f>
        <v>597.19599999999991</v>
      </c>
      <c r="KI39" s="1099">
        <f>49.968+3.528+0.281+52.5+0.613+25.365+20.268+55.858+3.862+191.823+116.475+0.228+24.507+12.914+44.034+21.062+4.84+3.267+24.079+5.257+40.288+11.268+2.101+6.355+17.04+55.347+1.658+86.562</f>
        <v>881.34799999999996</v>
      </c>
      <c r="KJ39" s="1099">
        <f>45.235+59.819+8.83+6.276+2.225+2.787+3.185+21.377+3.454+6.332+42.988+47.283+0.747+21.579+33.598+50.715+0.844+9.186+2.506+14.789+1.389+11.878+4.32+8.545+6.549+7.639+5.833+2.555+23.474+8.337+32.742+72.833+50.039+2.502+13.502+39.266</f>
        <v>675.1579999999999</v>
      </c>
      <c r="KK39" s="1099">
        <f>564.869-363</f>
        <v>201.86900000000003</v>
      </c>
      <c r="KL39" s="1099">
        <f>487.842-290</f>
        <v>197.84199999999998</v>
      </c>
      <c r="KM39" s="1099">
        <f>879-671</f>
        <v>208</v>
      </c>
      <c r="KN39" s="1100">
        <f t="shared" ref="KN39" si="60">SUM(KB39:KM39)</f>
        <v>4433.0019999999995</v>
      </c>
      <c r="KO39" s="1263">
        <v>287</v>
      </c>
      <c r="KP39" s="1099">
        <v>130</v>
      </c>
      <c r="KQ39" s="1099">
        <v>349.41599999999994</v>
      </c>
      <c r="KR39" s="1099">
        <v>224.05899999999997</v>
      </c>
      <c r="KS39" s="1099">
        <v>212</v>
      </c>
      <c r="KT39" s="1099">
        <v>180</v>
      </c>
      <c r="KU39" s="1099">
        <f>1414-1196</f>
        <v>218</v>
      </c>
      <c r="KV39" s="1099">
        <f>2073-1635</f>
        <v>438</v>
      </c>
      <c r="KW39" s="1099">
        <f>2341-2093</f>
        <v>248</v>
      </c>
      <c r="KX39" s="1099">
        <f>2815-2337</f>
        <v>478</v>
      </c>
      <c r="KY39" s="1099">
        <f>1811-1475</f>
        <v>336</v>
      </c>
      <c r="KZ39" s="1099">
        <f>1811-1475</f>
        <v>336</v>
      </c>
      <c r="LA39" s="1100">
        <f t="shared" ref="LA39" si="61">SUM(KO39:KZ39)</f>
        <v>3436.4749999999999</v>
      </c>
      <c r="LB39" s="1263">
        <v>3</v>
      </c>
      <c r="LC39" s="1099">
        <v>0</v>
      </c>
      <c r="LD39" s="1099">
        <v>1</v>
      </c>
      <c r="LE39" s="1099">
        <v>0</v>
      </c>
      <c r="LF39" s="1099">
        <v>0</v>
      </c>
      <c r="LG39" s="1099">
        <v>1</v>
      </c>
      <c r="LH39" s="1099">
        <v>13</v>
      </c>
      <c r="LI39" s="1099">
        <v>5.9350000000000005</v>
      </c>
      <c r="LJ39" s="1099"/>
      <c r="LK39" s="1099"/>
      <c r="LL39" s="1099"/>
      <c r="LM39" s="1099"/>
      <c r="LN39" s="1100">
        <f t="shared" ref="LN39" si="62">SUM(LB39:LM39)</f>
        <v>23.935000000000002</v>
      </c>
      <c r="LP39" s="1119">
        <f t="shared" ref="LP39" si="63">IFERROR(((
_xlfn.XLOOKUP((DATE(YEAR($LP$5),MONTH($LP$5),1)),$B$5:$LN$5,$B39:$LN39) /
_xlfn.XLOOKUP((DATE(YEAR($LP$5)-1,MONTH($LP$5),1)),$B$5:$LN$5,$B39:$LN39)
)-1)*100,"")</f>
        <v>-98.644977168949779</v>
      </c>
      <c r="LQ39" s="1120">
        <f t="shared" ref="LQ39" si="64">IFERROR(((LS39/LR39)-1)*100,"")</f>
        <v>-98.825837942579625</v>
      </c>
      <c r="LR39" s="1121">
        <f t="shared" ref="LR39" si="65">SUMIFS($B39:$LN39,$B$5:$LN$5,"&gt;="&amp;DATE(YEAR($LP$5)-1,1,1),$B$5:$LN$5,"&lt;="&amp;DATE(YEAR($LP$5)-1,MONTH($LP$5),1))</f>
        <v>2038.4749999999999</v>
      </c>
      <c r="LS39" s="1122">
        <f t="shared" ref="LS39" si="66">SUMIFS($B39:$LN39,$B$5:$LN$5,"&gt;="&amp;DATE(YEAR($LP$5),1,1),$B$5:$LN$5,"&lt;="&amp;$LP$5)</f>
        <v>23.935000000000002</v>
      </c>
      <c r="LT39" s="35"/>
      <c r="LU39" s="1274"/>
      <c r="LV39" s="1121"/>
      <c r="LW39" s="1291"/>
      <c r="LX39" s="1149"/>
    </row>
    <row r="40" spans="1:336" ht="15" customHeight="1" x14ac:dyDescent="0.2">
      <c r="A40" s="1282"/>
      <c r="B40" s="1253"/>
      <c r="C40" s="1254"/>
      <c r="D40" s="1254"/>
      <c r="E40" s="1254"/>
      <c r="F40" s="1254"/>
      <c r="G40" s="1254"/>
      <c r="H40" s="1254"/>
      <c r="I40" s="1254"/>
      <c r="J40" s="1254"/>
      <c r="K40" s="1254"/>
      <c r="L40" s="1254"/>
      <c r="M40" s="1254"/>
      <c r="N40" s="1102"/>
      <c r="O40" s="1253"/>
      <c r="P40" s="1254"/>
      <c r="Q40" s="1254"/>
      <c r="R40" s="1254"/>
      <c r="S40" s="1254"/>
      <c r="T40" s="1254"/>
      <c r="U40" s="1254"/>
      <c r="V40" s="1254"/>
      <c r="W40" s="1254"/>
      <c r="X40" s="1254"/>
      <c r="Y40" s="1254"/>
      <c r="Z40" s="1254"/>
      <c r="AA40" s="1102"/>
      <c r="AB40" s="1253"/>
      <c r="AC40" s="1254"/>
      <c r="AD40" s="1254"/>
      <c r="AE40" s="1254"/>
      <c r="AF40" s="1254"/>
      <c r="AG40" s="1254"/>
      <c r="AH40" s="1254"/>
      <c r="AI40" s="1254"/>
      <c r="AJ40" s="1254"/>
      <c r="AK40" s="1254"/>
      <c r="AL40" s="1254"/>
      <c r="AM40" s="1254"/>
      <c r="AN40" s="1102"/>
      <c r="AO40" s="1253"/>
      <c r="AP40" s="1254"/>
      <c r="AQ40" s="1254"/>
      <c r="AR40" s="1254"/>
      <c r="AS40" s="1254"/>
      <c r="AT40" s="1254"/>
      <c r="AU40" s="1254"/>
      <c r="AV40" s="1254"/>
      <c r="AW40" s="1254"/>
      <c r="AX40" s="1254"/>
      <c r="AY40" s="1254"/>
      <c r="AZ40" s="1254"/>
      <c r="BA40" s="1102"/>
      <c r="BB40" s="1253"/>
      <c r="BC40" s="1254"/>
      <c r="BD40" s="1254"/>
      <c r="BE40" s="1254"/>
      <c r="BF40" s="1254"/>
      <c r="BG40" s="1254"/>
      <c r="BH40" s="1254"/>
      <c r="BI40" s="1254"/>
      <c r="BJ40" s="1254"/>
      <c r="BK40" s="1254"/>
      <c r="BL40" s="1254"/>
      <c r="BM40" s="1254"/>
      <c r="BN40" s="1102"/>
      <c r="BO40" s="1253"/>
      <c r="BP40" s="1254"/>
      <c r="BQ40" s="1254"/>
      <c r="BR40" s="1254"/>
      <c r="BS40" s="1254"/>
      <c r="BT40" s="1254"/>
      <c r="BU40" s="1254"/>
      <c r="BV40" s="1254"/>
      <c r="BW40" s="1254"/>
      <c r="BX40" s="1254"/>
      <c r="BY40" s="1254"/>
      <c r="BZ40" s="1254"/>
      <c r="CA40" s="1102"/>
      <c r="CB40" s="1253"/>
      <c r="CC40" s="1254"/>
      <c r="CD40" s="1254"/>
      <c r="CE40" s="1254"/>
      <c r="CF40" s="1254"/>
      <c r="CG40" s="1254"/>
      <c r="CH40" s="1254"/>
      <c r="CI40" s="1254"/>
      <c r="CJ40" s="1254"/>
      <c r="CK40" s="1254"/>
      <c r="CL40" s="1254"/>
      <c r="CM40" s="1254"/>
      <c r="CN40" s="1102"/>
      <c r="CO40" s="1253"/>
      <c r="CP40" s="1254"/>
      <c r="CQ40" s="1254"/>
      <c r="CR40" s="1254"/>
      <c r="CS40" s="1254"/>
      <c r="CT40" s="1254"/>
      <c r="CU40" s="1254"/>
      <c r="CV40" s="1254"/>
      <c r="CW40" s="1254"/>
      <c r="CX40" s="1254"/>
      <c r="CY40" s="1254"/>
      <c r="CZ40" s="1254"/>
      <c r="DA40" s="1102"/>
      <c r="DB40" s="1253"/>
      <c r="DC40" s="1254"/>
      <c r="DD40" s="1254"/>
      <c r="DE40" s="1254"/>
      <c r="DF40" s="1254"/>
      <c r="DG40" s="1254"/>
      <c r="DH40" s="1254"/>
      <c r="DI40" s="1254"/>
      <c r="DJ40" s="1254"/>
      <c r="DK40" s="1254"/>
      <c r="DL40" s="1254"/>
      <c r="DM40" s="1254"/>
      <c r="DN40" s="1102"/>
      <c r="DO40" s="1253"/>
      <c r="DP40" s="1254"/>
      <c r="DQ40" s="1254"/>
      <c r="DR40" s="1254"/>
      <c r="DS40" s="1254"/>
      <c r="DT40" s="1254"/>
      <c r="DU40" s="1254"/>
      <c r="DV40" s="1254"/>
      <c r="DW40" s="1254"/>
      <c r="DX40" s="1254"/>
      <c r="DY40" s="1254"/>
      <c r="DZ40" s="1254"/>
      <c r="EA40" s="1102"/>
      <c r="EB40" s="1253"/>
      <c r="EC40" s="1254"/>
      <c r="ED40" s="1254"/>
      <c r="EE40" s="1254"/>
      <c r="EF40" s="1254"/>
      <c r="EG40" s="1254"/>
      <c r="EH40" s="1254"/>
      <c r="EI40" s="1254"/>
      <c r="EJ40" s="1254"/>
      <c r="EK40" s="1254"/>
      <c r="EL40" s="1254"/>
      <c r="EM40" s="1254"/>
      <c r="EN40" s="1102"/>
      <c r="EO40" s="1253"/>
      <c r="EP40" s="1254"/>
      <c r="EQ40" s="1254"/>
      <c r="ER40" s="1254"/>
      <c r="ES40" s="1254"/>
      <c r="ET40" s="1254"/>
      <c r="EU40" s="1254"/>
      <c r="EV40" s="1254"/>
      <c r="EW40" s="1254"/>
      <c r="EX40" s="1254"/>
      <c r="EY40" s="1254"/>
      <c r="EZ40" s="1254"/>
      <c r="FA40" s="1102"/>
      <c r="FB40" s="1253"/>
      <c r="FC40" s="1254"/>
      <c r="FD40" s="1254"/>
      <c r="FE40" s="1254"/>
      <c r="FF40" s="1254"/>
      <c r="FG40" s="1254"/>
      <c r="FH40" s="1254"/>
      <c r="FI40" s="1254"/>
      <c r="FJ40" s="1254"/>
      <c r="FK40" s="1254"/>
      <c r="FL40" s="1254"/>
      <c r="FM40" s="1254"/>
      <c r="FN40" s="1102"/>
      <c r="FO40" s="1253"/>
      <c r="FP40" s="1254"/>
      <c r="FQ40" s="1254"/>
      <c r="FR40" s="1254"/>
      <c r="FS40" s="1254"/>
      <c r="FT40" s="1254"/>
      <c r="FU40" s="1254"/>
      <c r="FV40" s="1254"/>
      <c r="FW40" s="1254"/>
      <c r="FX40" s="1254"/>
      <c r="FY40" s="1254"/>
      <c r="FZ40" s="1254"/>
      <c r="GA40" s="1102"/>
      <c r="GB40" s="1253"/>
      <c r="GC40" s="1254"/>
      <c r="GD40" s="1254"/>
      <c r="GE40" s="1254"/>
      <c r="GF40" s="1254"/>
      <c r="GG40" s="1254"/>
      <c r="GH40" s="1254"/>
      <c r="GI40" s="1254"/>
      <c r="GJ40" s="1254"/>
      <c r="GK40" s="1254"/>
      <c r="GL40" s="1254"/>
      <c r="GM40" s="1254"/>
      <c r="GN40" s="1102"/>
      <c r="GO40" s="1253"/>
      <c r="GP40" s="1254"/>
      <c r="GQ40" s="1254"/>
      <c r="GR40" s="1254"/>
      <c r="GS40" s="1254"/>
      <c r="GT40" s="1254"/>
      <c r="GU40" s="1254"/>
      <c r="GV40" s="1254"/>
      <c r="GW40" s="1254"/>
      <c r="GX40" s="1254"/>
      <c r="GY40" s="1254"/>
      <c r="GZ40" s="1254"/>
      <c r="HA40" s="1102"/>
      <c r="HB40" s="1253"/>
      <c r="HC40" s="1254"/>
      <c r="HD40" s="1254"/>
      <c r="HE40" s="1254"/>
      <c r="HF40" s="1254"/>
      <c r="HG40" s="1254"/>
      <c r="HH40" s="1254"/>
      <c r="HI40" s="1254"/>
      <c r="HJ40" s="1254"/>
      <c r="HK40" s="1254"/>
      <c r="HL40" s="1254"/>
      <c r="HM40" s="1254"/>
      <c r="HN40" s="1102"/>
      <c r="HO40" s="1253"/>
      <c r="HP40" s="1254"/>
      <c r="HQ40" s="1254"/>
      <c r="HR40" s="1254"/>
      <c r="HS40" s="1254"/>
      <c r="HT40" s="1254"/>
      <c r="HU40" s="1254"/>
      <c r="HV40" s="1254"/>
      <c r="HW40" s="1254"/>
      <c r="HX40" s="1254"/>
      <c r="HY40" s="1254"/>
      <c r="HZ40" s="1254"/>
      <c r="IA40" s="1102"/>
      <c r="IB40" s="1253"/>
      <c r="IC40" s="1254"/>
      <c r="ID40" s="1254"/>
      <c r="IE40" s="1254"/>
      <c r="IF40" s="1254"/>
      <c r="IG40" s="1254"/>
      <c r="IH40" s="1254"/>
      <c r="II40" s="1254"/>
      <c r="IJ40" s="1254"/>
      <c r="IK40" s="1254"/>
      <c r="IL40" s="1254"/>
      <c r="IM40" s="1254"/>
      <c r="IN40" s="1102"/>
      <c r="IO40" s="1253"/>
      <c r="IP40" s="1254"/>
      <c r="IQ40" s="1254"/>
      <c r="IR40" s="1254"/>
      <c r="IS40" s="1254"/>
      <c r="IT40" s="1254"/>
      <c r="IU40" s="1254"/>
      <c r="IV40" s="1254"/>
      <c r="IW40" s="1254"/>
      <c r="IX40" s="1254"/>
      <c r="IY40" s="1254"/>
      <c r="IZ40" s="1254"/>
      <c r="JA40" s="1102"/>
      <c r="JB40" s="1253"/>
      <c r="JC40" s="1254"/>
      <c r="JD40" s="1254"/>
      <c r="JE40" s="1254"/>
      <c r="JF40" s="1254"/>
      <c r="JG40" s="1254"/>
      <c r="JH40" s="1254"/>
      <c r="JI40" s="1254"/>
      <c r="JJ40" s="1254"/>
      <c r="JK40" s="1254"/>
      <c r="JL40" s="1254"/>
      <c r="JM40" s="1254"/>
      <c r="JN40" s="1102"/>
      <c r="JO40" s="1253"/>
      <c r="JP40" s="1254"/>
      <c r="JQ40" s="1254"/>
      <c r="JR40" s="1254"/>
      <c r="JS40" s="1254"/>
      <c r="JT40" s="1254"/>
      <c r="JU40" s="1254"/>
      <c r="JV40" s="1254"/>
      <c r="JW40" s="1254"/>
      <c r="JX40" s="1254"/>
      <c r="JY40" s="1254"/>
      <c r="JZ40" s="1254"/>
      <c r="KA40" s="1102"/>
      <c r="KB40" s="1253"/>
      <c r="KC40" s="1254"/>
      <c r="KD40" s="1254"/>
      <c r="KE40" s="1254"/>
      <c r="KF40" s="1254"/>
      <c r="KG40" s="1254"/>
      <c r="KH40" s="1254"/>
      <c r="KI40" s="1254"/>
      <c r="KJ40" s="1254"/>
      <c r="KK40" s="1254"/>
      <c r="KL40" s="1254"/>
      <c r="KM40" s="1254"/>
      <c r="KN40" s="1102"/>
      <c r="KO40" s="1253"/>
      <c r="KP40" s="1254"/>
      <c r="KQ40" s="1254"/>
      <c r="KR40" s="1254"/>
      <c r="KS40" s="1254"/>
      <c r="KT40" s="1254"/>
      <c r="KU40" s="1254"/>
      <c r="KV40" s="1254"/>
      <c r="KW40" s="1254"/>
      <c r="KX40" s="1254"/>
      <c r="KY40" s="1254"/>
      <c r="KZ40" s="1254"/>
      <c r="LA40" s="1102"/>
      <c r="LB40" s="1253"/>
      <c r="LC40" s="1254"/>
      <c r="LD40" s="1254"/>
      <c r="LE40" s="1254"/>
      <c r="LF40" s="1254"/>
      <c r="LG40" s="1254"/>
      <c r="LH40" s="1254"/>
      <c r="LI40" s="1254"/>
      <c r="LJ40" s="1254"/>
      <c r="LK40" s="1254"/>
      <c r="LL40" s="1254"/>
      <c r="LM40" s="1254"/>
      <c r="LN40" s="1102"/>
      <c r="LP40" s="1123"/>
      <c r="LQ40" s="1124"/>
      <c r="LR40" s="1125"/>
      <c r="LS40" s="1126"/>
      <c r="LT40" s="1"/>
      <c r="LU40" s="629"/>
      <c r="LV40" s="1288"/>
      <c r="LW40" s="1289"/>
      <c r="LX40" s="1290"/>
    </row>
    <row r="41" spans="1:336" ht="15" customHeight="1" x14ac:dyDescent="0.2">
      <c r="A41" s="1" t="s">
        <v>348</v>
      </c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106"/>
      <c r="AH41" s="102"/>
      <c r="AI41" s="5"/>
      <c r="AJ41" s="1"/>
      <c r="AK41" s="1"/>
      <c r="AL41" s="1"/>
      <c r="AM41" s="1"/>
      <c r="AN41" s="82"/>
      <c r="AO41" s="1"/>
      <c r="AP41" s="1"/>
      <c r="AQ41" s="1"/>
      <c r="AR41" s="5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P41" s="1"/>
      <c r="LQ41" s="1"/>
      <c r="LR41" s="1"/>
      <c r="LS41" s="1"/>
      <c r="LT41" s="1"/>
      <c r="LU41" s="1012"/>
      <c r="LV41" s="1012"/>
      <c r="LW41" s="1012"/>
    </row>
    <row r="42" spans="1:336" ht="15" customHeight="1" x14ac:dyDescent="0.2">
      <c r="A42" s="1" t="s">
        <v>127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5"/>
      <c r="AJ42" s="1"/>
      <c r="AK42" s="1"/>
      <c r="AL42" s="102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P42" s="1"/>
      <c r="LQ42" s="1"/>
      <c r="LR42" s="1"/>
      <c r="LS42" s="1"/>
      <c r="LT42" s="1"/>
      <c r="LU42" s="1012"/>
      <c r="LV42" s="1012"/>
      <c r="LW42" s="1012"/>
    </row>
    <row r="43" spans="1:336" ht="15" customHeight="1" x14ac:dyDescent="0.2">
      <c r="A43" s="107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3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P43" s="1"/>
      <c r="LQ43" s="1"/>
      <c r="LR43" s="1"/>
      <c r="LS43" s="1"/>
      <c r="LT43" s="1"/>
      <c r="LU43" s="1012"/>
      <c r="LV43" s="1012"/>
      <c r="LW43" s="1012"/>
    </row>
  </sheetData>
  <sortState xmlns:xlrd2="http://schemas.microsoft.com/office/spreadsheetml/2017/richdata2" ref="A45:A71">
    <sortCondition ref="A45:A71"/>
  </sortState>
  <phoneticPr fontId="3" type="noConversion"/>
  <conditionalFormatting sqref="A1:A43">
    <cfRule type="duplicateValues" dxfId="1" priority="1"/>
  </conditionalFormatting>
  <printOptions horizontalCentered="1" verticalCentered="1"/>
  <pageMargins left="0.74803149606299213" right="0.74803149606299213" top="0.98425196850393704" bottom="0.98425196850393704" header="0" footer="0"/>
  <pageSetup paperSize="9" scale="10" orientation="landscape" r:id="rId1"/>
  <headerFooter alignWithMargins="0"/>
  <colBreaks count="2" manualBreakCount="2">
    <brk id="155" max="42" man="1"/>
    <brk id="312" max="42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G80"/>
  <sheetViews>
    <sheetView showGridLines="0" view="pageBreakPreview" zoomScale="70" zoomScaleNormal="100" zoomScaleSheetLayoutView="70" workbookViewId="0">
      <pane xSplit="1" topLeftCell="JB1" activePane="topRight" state="frozen"/>
      <selection activeCell="IB59" sqref="IB59:JB59"/>
      <selection pane="topRight" activeCell="KC20" sqref="KC20"/>
    </sheetView>
  </sheetViews>
  <sheetFormatPr baseColWidth="10" defaultColWidth="9.7109375" defaultRowHeight="15" customHeight="1" x14ac:dyDescent="0.2"/>
  <cols>
    <col min="1" max="1" width="95.7109375" style="120" bestFit="1" customWidth="1"/>
    <col min="2" max="2" width="14.28515625" style="120" bestFit="1" customWidth="1"/>
    <col min="3" max="287" width="9.7109375" style="120"/>
    <col min="289" max="292" width="9.7109375" style="120"/>
  </cols>
  <sheetData>
    <row r="1" spans="1:293" ht="15" customHeight="1" x14ac:dyDescent="0.25">
      <c r="A1" s="1308" t="s">
        <v>166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  <c r="CF1" s="117"/>
      <c r="CG1" s="117"/>
      <c r="CH1" s="117"/>
      <c r="CI1" s="117"/>
      <c r="CJ1" s="117"/>
      <c r="CK1" s="117"/>
      <c r="CL1" s="117"/>
      <c r="CM1" s="117"/>
      <c r="CN1" s="117"/>
      <c r="CO1" s="117"/>
      <c r="CP1" s="117"/>
      <c r="CQ1" s="117"/>
      <c r="CR1" s="117"/>
      <c r="CS1" s="117"/>
      <c r="CT1" s="117"/>
      <c r="CU1" s="117"/>
      <c r="CV1" s="117"/>
      <c r="CW1" s="117"/>
      <c r="CX1" s="117"/>
      <c r="CY1" s="117"/>
      <c r="CZ1" s="117"/>
      <c r="DA1" s="117"/>
      <c r="DB1" s="117"/>
      <c r="DC1" s="117"/>
      <c r="DD1" s="117"/>
      <c r="DE1" s="117"/>
      <c r="DF1" s="117"/>
      <c r="DG1" s="117"/>
      <c r="DH1" s="117"/>
      <c r="DI1" s="117"/>
      <c r="DJ1" s="117"/>
      <c r="DK1" s="117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7"/>
      <c r="DW1" s="117"/>
      <c r="DX1" s="117"/>
      <c r="DY1" s="117"/>
      <c r="DZ1" s="117"/>
      <c r="EA1" s="117"/>
      <c r="EB1" s="117"/>
      <c r="EC1" s="117"/>
      <c r="ED1" s="117"/>
      <c r="EE1" s="117"/>
      <c r="EF1" s="117"/>
      <c r="EG1" s="117"/>
      <c r="EH1" s="117"/>
      <c r="EI1" s="117"/>
      <c r="EJ1" s="117"/>
      <c r="EK1" s="117"/>
      <c r="EL1" s="117"/>
      <c r="EM1" s="117"/>
      <c r="EN1" s="117"/>
      <c r="EO1" s="117"/>
      <c r="EP1" s="117"/>
      <c r="EQ1" s="117"/>
      <c r="ER1" s="117"/>
      <c r="ES1" s="117"/>
      <c r="ET1" s="117"/>
      <c r="EU1" s="117"/>
      <c r="EV1" s="117"/>
      <c r="EW1" s="117"/>
      <c r="EX1" s="117"/>
      <c r="EY1" s="117"/>
      <c r="EZ1" s="117"/>
      <c r="FA1" s="117"/>
      <c r="FB1" s="117"/>
      <c r="FC1" s="117"/>
      <c r="FD1" s="117"/>
      <c r="FE1" s="117"/>
      <c r="FF1" s="117"/>
      <c r="FG1" s="117"/>
      <c r="FH1" s="117"/>
      <c r="FI1" s="117"/>
      <c r="FJ1" s="117"/>
      <c r="FK1" s="117"/>
      <c r="FL1" s="117"/>
      <c r="FM1" s="117"/>
      <c r="FN1" s="117"/>
      <c r="FO1" s="117"/>
      <c r="FP1" s="117"/>
      <c r="FQ1" s="117"/>
      <c r="FR1" s="117"/>
      <c r="FS1" s="117"/>
      <c r="FT1" s="117"/>
      <c r="FU1" s="117"/>
      <c r="FV1" s="117"/>
      <c r="FW1" s="117"/>
      <c r="FX1" s="117"/>
      <c r="FY1" s="117"/>
      <c r="FZ1" s="117"/>
      <c r="GA1" s="117"/>
      <c r="GB1" s="117"/>
      <c r="GC1" s="117"/>
      <c r="GD1" s="117"/>
      <c r="GE1" s="117"/>
      <c r="GF1" s="117"/>
      <c r="GG1" s="117"/>
      <c r="GH1" s="117"/>
      <c r="GI1" s="117"/>
      <c r="GJ1" s="117"/>
      <c r="GK1" s="117"/>
      <c r="GL1" s="117"/>
      <c r="GM1" s="117"/>
      <c r="GN1" s="117"/>
      <c r="GO1" s="117"/>
      <c r="GP1" s="117"/>
      <c r="GQ1" s="117"/>
      <c r="GR1" s="117"/>
      <c r="GS1" s="117"/>
      <c r="GT1" s="117"/>
      <c r="GU1" s="117"/>
      <c r="GV1" s="117"/>
      <c r="GW1" s="117"/>
      <c r="GX1" s="117"/>
      <c r="GY1" s="117"/>
      <c r="GZ1" s="117"/>
      <c r="HA1" s="117"/>
      <c r="HB1" s="117"/>
      <c r="HC1" s="117"/>
      <c r="HD1" s="117"/>
      <c r="HE1" s="117"/>
      <c r="HF1" s="117"/>
      <c r="HG1" s="117"/>
      <c r="HH1" s="117"/>
      <c r="HI1" s="117"/>
      <c r="HJ1" s="117"/>
      <c r="HK1" s="117"/>
      <c r="HL1" s="117"/>
      <c r="HM1" s="117"/>
      <c r="HN1" s="117"/>
      <c r="HO1" s="117"/>
      <c r="HP1" s="117"/>
      <c r="HQ1" s="117"/>
      <c r="HR1" s="117"/>
      <c r="HS1" s="118"/>
      <c r="HT1" s="118"/>
      <c r="HU1" s="118"/>
      <c r="HV1" s="118"/>
      <c r="HW1" s="118"/>
      <c r="HX1" s="118"/>
      <c r="HY1" s="118"/>
      <c r="HZ1" s="118"/>
      <c r="IA1" s="117"/>
      <c r="IB1" s="117"/>
      <c r="IC1" s="117"/>
      <c r="ID1" s="117"/>
      <c r="IE1" s="117"/>
      <c r="IF1" s="117"/>
      <c r="IG1" s="117"/>
      <c r="IH1" s="117"/>
      <c r="II1" s="117"/>
      <c r="IJ1" s="117"/>
      <c r="IK1" s="117"/>
      <c r="IL1" s="117"/>
      <c r="IM1" s="117"/>
      <c r="IN1" s="117"/>
      <c r="IO1" s="117"/>
      <c r="IP1" s="117"/>
      <c r="IQ1" s="117"/>
      <c r="IR1" s="117"/>
      <c r="IS1" s="117"/>
      <c r="IT1" s="117"/>
      <c r="IU1" s="117"/>
      <c r="IV1" s="117"/>
      <c r="IW1" s="117"/>
      <c r="IX1" s="117"/>
      <c r="IY1" s="117"/>
      <c r="IZ1" s="117"/>
      <c r="JA1" s="117"/>
      <c r="JB1" s="117"/>
      <c r="JC1" s="117"/>
      <c r="JD1" s="117"/>
      <c r="JE1" s="117"/>
      <c r="JF1" s="117"/>
      <c r="JG1" s="117"/>
      <c r="JH1" s="117"/>
      <c r="JI1" s="117"/>
      <c r="JJ1" s="117"/>
      <c r="JK1" s="117"/>
      <c r="JL1" s="117"/>
      <c r="JM1" s="117"/>
      <c r="JN1" s="117"/>
      <c r="JO1" s="117"/>
      <c r="JP1" s="117"/>
      <c r="JQ1" s="117"/>
      <c r="JR1" s="117"/>
      <c r="JS1" s="117"/>
      <c r="JT1" s="117"/>
      <c r="JU1" s="117"/>
      <c r="JV1" s="117"/>
      <c r="JW1" s="117"/>
      <c r="JX1" s="117"/>
      <c r="JY1" s="117"/>
      <c r="JZ1" s="117"/>
      <c r="KA1" s="117"/>
      <c r="KC1" s="119"/>
      <c r="KD1" s="119"/>
      <c r="KE1" s="119"/>
      <c r="KF1" s="119"/>
      <c r="KG1" t="s">
        <v>611</v>
      </c>
    </row>
    <row r="2" spans="1:293" ht="15" customHeight="1" x14ac:dyDescent="0.25">
      <c r="A2" s="1309" t="s">
        <v>609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7"/>
      <c r="BO2" s="117"/>
      <c r="BP2" s="117"/>
      <c r="BQ2" s="117"/>
      <c r="BR2" s="117"/>
      <c r="BS2" s="117"/>
      <c r="BT2" s="117"/>
      <c r="BU2" s="117"/>
      <c r="BV2" s="117"/>
      <c r="BW2" s="117"/>
      <c r="BX2" s="117"/>
      <c r="BY2" s="117"/>
      <c r="BZ2" s="117"/>
      <c r="CA2" s="117"/>
      <c r="CB2" s="117"/>
      <c r="CC2" s="117"/>
      <c r="CD2" s="117"/>
      <c r="CE2" s="117"/>
      <c r="CF2" s="117"/>
      <c r="CG2" s="117"/>
      <c r="CH2" s="117"/>
      <c r="CI2" s="117"/>
      <c r="CJ2" s="117"/>
      <c r="CK2" s="117"/>
      <c r="CL2" s="117"/>
      <c r="CM2" s="117"/>
      <c r="CN2" s="117"/>
      <c r="CO2" s="117"/>
      <c r="CP2" s="117"/>
      <c r="CQ2" s="117"/>
      <c r="CR2" s="117"/>
      <c r="CS2" s="117"/>
      <c r="CT2" s="117"/>
      <c r="CU2" s="117"/>
      <c r="CV2" s="117"/>
      <c r="CW2" s="117"/>
      <c r="CX2" s="117"/>
      <c r="CY2" s="117"/>
      <c r="CZ2" s="117"/>
      <c r="DA2" s="117"/>
      <c r="DB2" s="117"/>
      <c r="DC2" s="117"/>
      <c r="DD2" s="117"/>
      <c r="DE2" s="117"/>
      <c r="DF2" s="117"/>
      <c r="DG2" s="117"/>
      <c r="DH2" s="117"/>
      <c r="DI2" s="117"/>
      <c r="DJ2" s="117"/>
      <c r="DK2" s="117"/>
      <c r="DL2" s="117"/>
      <c r="DM2" s="117"/>
      <c r="DN2" s="117"/>
      <c r="DO2" s="117"/>
      <c r="DP2" s="117"/>
      <c r="DQ2" s="117"/>
      <c r="DR2" s="117"/>
      <c r="DS2" s="117"/>
      <c r="DT2" s="117"/>
      <c r="DU2" s="117"/>
      <c r="DV2" s="117"/>
      <c r="DW2" s="117"/>
      <c r="DX2" s="117"/>
      <c r="DY2" s="117"/>
      <c r="DZ2" s="117"/>
      <c r="EA2" s="117"/>
      <c r="EB2" s="117"/>
      <c r="EC2" s="117"/>
      <c r="ED2" s="117"/>
      <c r="EE2" s="117"/>
      <c r="EF2" s="117"/>
      <c r="EG2" s="117"/>
      <c r="EH2" s="117"/>
      <c r="EI2" s="117"/>
      <c r="EJ2" s="117"/>
      <c r="EK2" s="117"/>
      <c r="EL2" s="117"/>
      <c r="EM2" s="117"/>
      <c r="EN2" s="117"/>
      <c r="EO2" s="117"/>
      <c r="EP2" s="117"/>
      <c r="EQ2" s="117"/>
      <c r="ER2" s="117"/>
      <c r="ES2" s="117"/>
      <c r="ET2" s="117"/>
      <c r="EU2" s="117"/>
      <c r="EV2" s="117"/>
      <c r="EW2" s="117"/>
      <c r="EX2" s="117"/>
      <c r="EY2" s="117"/>
      <c r="EZ2" s="117"/>
      <c r="FA2" s="117"/>
      <c r="FB2" s="117"/>
      <c r="FC2" s="117"/>
      <c r="FD2" s="117"/>
      <c r="FE2" s="117"/>
      <c r="FF2" s="117"/>
      <c r="FG2" s="117"/>
      <c r="FH2" s="117"/>
      <c r="FI2" s="117"/>
      <c r="FJ2" s="117"/>
      <c r="FK2" s="117"/>
      <c r="FL2" s="117"/>
      <c r="FM2" s="117"/>
      <c r="FN2" s="117"/>
      <c r="FO2" s="117"/>
      <c r="FP2" s="117"/>
      <c r="FQ2" s="117"/>
      <c r="FR2" s="117"/>
      <c r="FS2" s="117"/>
      <c r="FT2" s="117"/>
      <c r="FU2" s="117"/>
      <c r="FV2" s="117"/>
      <c r="FW2" s="117"/>
      <c r="FX2" s="117"/>
      <c r="FY2" s="117"/>
      <c r="FZ2" s="117"/>
      <c r="GA2" s="117"/>
      <c r="GB2" s="117"/>
      <c r="GC2" s="117"/>
      <c r="GD2" s="117"/>
      <c r="GE2" s="117"/>
      <c r="GF2" s="117"/>
      <c r="GG2" s="117"/>
      <c r="GH2" s="117"/>
      <c r="GI2" s="117"/>
      <c r="GJ2" s="117"/>
      <c r="GK2" s="117"/>
      <c r="GL2" s="117"/>
      <c r="GM2" s="117"/>
      <c r="GN2" s="117"/>
      <c r="GO2" s="117"/>
      <c r="GP2" s="117"/>
      <c r="GQ2" s="117"/>
      <c r="GR2" s="117"/>
      <c r="GS2" s="117"/>
      <c r="GT2" s="117"/>
      <c r="GU2" s="117"/>
      <c r="GV2" s="117"/>
      <c r="GW2" s="117"/>
      <c r="GX2" s="117"/>
      <c r="GY2" s="117"/>
      <c r="GZ2" s="117"/>
      <c r="HA2" s="117"/>
      <c r="HB2" s="117"/>
      <c r="HC2" s="117"/>
      <c r="HD2" s="117"/>
      <c r="HE2" s="117"/>
      <c r="HF2" s="117"/>
      <c r="HG2" s="117"/>
      <c r="HH2" s="117"/>
      <c r="HI2" s="117"/>
      <c r="HJ2" s="117"/>
      <c r="HK2" s="117"/>
      <c r="HL2" s="117"/>
      <c r="HM2" s="117"/>
      <c r="HN2" s="117"/>
      <c r="HO2" s="117"/>
      <c r="HP2" s="117"/>
      <c r="HQ2" s="117"/>
      <c r="HR2" s="117"/>
      <c r="HS2" s="118"/>
      <c r="HT2" s="118"/>
      <c r="HU2" s="118"/>
      <c r="HV2" s="118"/>
      <c r="HW2" s="118"/>
      <c r="HX2" s="118"/>
      <c r="HY2" s="118"/>
      <c r="HZ2" s="118"/>
      <c r="IA2" s="117"/>
      <c r="IB2" s="117"/>
      <c r="IC2" s="117"/>
      <c r="ID2" s="117"/>
      <c r="IE2" s="117"/>
      <c r="IF2" s="117"/>
      <c r="IG2" s="117"/>
      <c r="IH2" s="117"/>
      <c r="II2" s="117"/>
      <c r="IJ2" s="117"/>
      <c r="IK2" s="117"/>
      <c r="IL2" s="117"/>
      <c r="IM2" s="117"/>
      <c r="IN2" s="117"/>
      <c r="IO2" s="117"/>
      <c r="IP2" s="117"/>
      <c r="IQ2" s="117"/>
      <c r="IR2" s="117"/>
      <c r="IS2" s="117"/>
      <c r="IT2" s="117"/>
      <c r="IU2" s="117"/>
      <c r="IV2" s="117"/>
      <c r="IW2" s="117"/>
      <c r="IX2" s="117"/>
      <c r="IY2" s="117"/>
      <c r="IZ2" s="117"/>
      <c r="JA2" s="117"/>
      <c r="JB2" s="117"/>
      <c r="JC2" s="117"/>
      <c r="JD2" s="117"/>
      <c r="JE2" s="117"/>
      <c r="JF2" s="117"/>
      <c r="JG2" s="117"/>
      <c r="JH2" s="117"/>
      <c r="JI2" s="117"/>
      <c r="JJ2" s="117"/>
      <c r="JK2" s="117"/>
      <c r="JL2" s="117"/>
      <c r="JM2" s="117"/>
      <c r="JN2" s="117"/>
      <c r="JO2" s="117"/>
      <c r="JP2" s="117"/>
      <c r="JQ2" s="117"/>
      <c r="JR2" s="117"/>
      <c r="JS2" s="117"/>
      <c r="JT2" s="117"/>
      <c r="JU2" s="117"/>
      <c r="JV2" s="117"/>
      <c r="JW2" s="117"/>
      <c r="JX2" s="117"/>
      <c r="JY2" s="117"/>
      <c r="JZ2" s="117"/>
      <c r="KA2" s="117"/>
      <c r="KC2" s="119"/>
      <c r="KD2" s="119"/>
      <c r="KE2" s="119"/>
      <c r="KF2" s="119"/>
    </row>
    <row r="3" spans="1:293" ht="15" customHeight="1" x14ac:dyDescent="0.2">
      <c r="A3" s="1459" t="s">
        <v>610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  <c r="AQ3" s="117"/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7"/>
      <c r="BF3" s="117"/>
      <c r="BG3" s="117"/>
      <c r="BH3" s="117"/>
      <c r="BI3" s="117"/>
      <c r="BJ3" s="117"/>
      <c r="BK3" s="117"/>
      <c r="BL3" s="117"/>
      <c r="BM3" s="117"/>
      <c r="BN3" s="117"/>
      <c r="BO3" s="117"/>
      <c r="BP3" s="117"/>
      <c r="BQ3" s="117"/>
      <c r="BR3" s="117"/>
      <c r="BS3" s="117"/>
      <c r="BT3" s="117"/>
      <c r="BU3" s="117"/>
      <c r="BV3" s="117"/>
      <c r="BW3" s="117"/>
      <c r="BX3" s="117"/>
      <c r="BY3" s="117"/>
      <c r="BZ3" s="117"/>
      <c r="CA3" s="117"/>
      <c r="CB3" s="117"/>
      <c r="CC3" s="117"/>
      <c r="CD3" s="117"/>
      <c r="CE3" s="117"/>
      <c r="CF3" s="117"/>
      <c r="CG3" s="117"/>
      <c r="CH3" s="117"/>
      <c r="CI3" s="117"/>
      <c r="CJ3" s="117"/>
      <c r="CK3" s="117"/>
      <c r="CL3" s="117"/>
      <c r="CM3" s="117"/>
      <c r="CN3" s="117"/>
      <c r="CO3" s="117"/>
      <c r="CP3" s="117"/>
      <c r="CQ3" s="117"/>
      <c r="CR3" s="117"/>
      <c r="CS3" s="117"/>
      <c r="CT3" s="117"/>
      <c r="CU3" s="117"/>
      <c r="CV3" s="117"/>
      <c r="CW3" s="117"/>
      <c r="CX3" s="117"/>
      <c r="CY3" s="117"/>
      <c r="CZ3" s="117"/>
      <c r="DA3" s="117"/>
      <c r="DB3" s="117"/>
      <c r="DC3" s="117"/>
      <c r="DD3" s="117"/>
      <c r="DE3" s="117"/>
      <c r="DF3" s="117"/>
      <c r="DG3" s="117"/>
      <c r="DH3" s="117"/>
      <c r="DI3" s="117"/>
      <c r="DJ3" s="117"/>
      <c r="DK3" s="117"/>
      <c r="DL3" s="117"/>
      <c r="DM3" s="117"/>
      <c r="DN3" s="117"/>
      <c r="DO3" s="117"/>
      <c r="DP3" s="117"/>
      <c r="DQ3" s="117"/>
      <c r="DR3" s="117"/>
      <c r="DS3" s="117"/>
      <c r="DT3" s="117"/>
      <c r="DU3" s="117"/>
      <c r="DV3" s="117"/>
      <c r="DW3" s="117"/>
      <c r="DX3" s="117"/>
      <c r="DY3" s="117"/>
      <c r="DZ3" s="117"/>
      <c r="EA3" s="117"/>
      <c r="EB3" s="117"/>
      <c r="EC3" s="117"/>
      <c r="ED3" s="117"/>
      <c r="EE3" s="117"/>
      <c r="EF3" s="117"/>
      <c r="EG3" s="117"/>
      <c r="EH3" s="117"/>
      <c r="EI3" s="117"/>
      <c r="EJ3" s="117"/>
      <c r="EK3" s="117"/>
      <c r="EL3" s="117"/>
      <c r="EM3" s="117"/>
      <c r="EN3" s="117"/>
      <c r="EO3" s="117"/>
      <c r="EP3" s="117"/>
      <c r="EQ3" s="117"/>
      <c r="ER3" s="117"/>
      <c r="ES3" s="117"/>
      <c r="ET3" s="117"/>
      <c r="EU3" s="117"/>
      <c r="EV3" s="117"/>
      <c r="EW3" s="117"/>
      <c r="EX3" s="117"/>
      <c r="EY3" s="117"/>
      <c r="EZ3" s="117"/>
      <c r="FA3" s="117"/>
      <c r="FB3" s="117"/>
      <c r="FC3" s="117"/>
      <c r="FD3" s="117"/>
      <c r="FE3" s="117"/>
      <c r="FF3" s="117"/>
      <c r="FG3" s="117"/>
      <c r="FH3" s="117"/>
      <c r="FI3" s="117"/>
      <c r="FJ3" s="117"/>
      <c r="FK3" s="117"/>
      <c r="FL3" s="117"/>
      <c r="FM3" s="117"/>
      <c r="FN3" s="117"/>
      <c r="FO3" s="117"/>
      <c r="FP3" s="117"/>
      <c r="FQ3" s="117"/>
      <c r="FR3" s="117"/>
      <c r="FS3" s="117"/>
      <c r="FT3" s="117"/>
      <c r="FU3" s="117"/>
      <c r="FV3" s="117"/>
      <c r="FW3" s="117"/>
      <c r="FX3" s="117"/>
      <c r="FY3" s="117"/>
      <c r="FZ3" s="117"/>
      <c r="GA3" s="117"/>
      <c r="GB3" s="117"/>
      <c r="GC3" s="117"/>
      <c r="GD3" s="117"/>
      <c r="GE3" s="117"/>
      <c r="GF3" s="117"/>
      <c r="GG3" s="117"/>
      <c r="GH3" s="117"/>
      <c r="GI3" s="117"/>
      <c r="GJ3" s="117"/>
      <c r="GK3" s="117"/>
      <c r="GL3" s="117"/>
      <c r="GM3" s="117"/>
      <c r="GN3" s="117"/>
      <c r="GO3" s="117"/>
      <c r="GP3" s="117"/>
      <c r="GQ3" s="117"/>
      <c r="GR3" s="117"/>
      <c r="GS3" s="117"/>
      <c r="GT3" s="117"/>
      <c r="GU3" s="117"/>
      <c r="GV3" s="117"/>
      <c r="GW3" s="117"/>
      <c r="GX3" s="117"/>
      <c r="GY3" s="117"/>
      <c r="GZ3" s="117"/>
      <c r="HA3" s="117"/>
      <c r="HB3" s="117"/>
      <c r="HC3" s="117"/>
      <c r="HD3" s="117"/>
      <c r="HE3" s="117"/>
      <c r="HF3" s="117"/>
      <c r="HG3" s="117"/>
      <c r="HH3" s="117"/>
      <c r="HI3" s="117"/>
      <c r="HJ3" s="117"/>
      <c r="HK3" s="117"/>
      <c r="HL3" s="117"/>
      <c r="HM3" s="117"/>
      <c r="HN3" s="117"/>
      <c r="HO3" s="117"/>
      <c r="HP3" s="117"/>
      <c r="HQ3" s="117"/>
      <c r="HR3" s="117"/>
      <c r="HS3" s="118"/>
      <c r="HT3" s="118"/>
      <c r="HU3" s="118"/>
      <c r="HV3" s="118"/>
      <c r="HW3" s="118"/>
      <c r="HX3" s="118"/>
      <c r="HY3" s="118"/>
      <c r="HZ3" s="118"/>
      <c r="IA3" s="117"/>
      <c r="IB3" s="117"/>
      <c r="IC3" s="117"/>
      <c r="ID3" s="117"/>
      <c r="IE3" s="117"/>
      <c r="IF3" s="117"/>
      <c r="IG3" s="117"/>
      <c r="IH3" s="117"/>
      <c r="II3" s="117"/>
      <c r="IJ3" s="117"/>
      <c r="IK3" s="117"/>
      <c r="IL3" s="117"/>
      <c r="IM3" s="117"/>
      <c r="IN3" s="117"/>
      <c r="IO3" s="117"/>
      <c r="IP3" s="117"/>
      <c r="IQ3" s="117"/>
      <c r="IR3" s="117"/>
      <c r="IS3" s="117"/>
      <c r="IT3" s="117"/>
      <c r="IU3" s="117"/>
      <c r="IV3" s="117"/>
      <c r="IW3" s="117"/>
      <c r="IX3" s="117"/>
      <c r="IY3" s="117"/>
      <c r="IZ3" s="117"/>
      <c r="JA3" s="117"/>
      <c r="JB3" s="117"/>
      <c r="JC3" s="117"/>
      <c r="JD3" s="117"/>
      <c r="JE3" s="117"/>
      <c r="JF3" s="117"/>
      <c r="JG3" s="117"/>
      <c r="JH3" s="117"/>
      <c r="JI3" s="117"/>
      <c r="JJ3" s="117"/>
      <c r="JK3" s="117"/>
      <c r="JL3" s="117"/>
      <c r="JM3" s="117"/>
      <c r="JN3" s="117"/>
      <c r="JO3" s="117"/>
      <c r="JP3" s="117"/>
      <c r="JQ3" s="117"/>
      <c r="JR3" s="117"/>
      <c r="JS3" s="117"/>
      <c r="JT3" s="117"/>
      <c r="JU3" s="117"/>
      <c r="JV3" s="117"/>
      <c r="JW3" s="117"/>
      <c r="JX3" s="117"/>
      <c r="JY3" s="117"/>
      <c r="JZ3" s="117"/>
      <c r="KA3" s="117"/>
      <c r="KC3" s="119"/>
      <c r="KD3" s="119"/>
      <c r="KE3" s="119"/>
      <c r="KF3" s="119"/>
    </row>
    <row r="4" spans="1:293" ht="15" customHeight="1" x14ac:dyDescent="0.2">
      <c r="A4" s="1681" t="s">
        <v>369</v>
      </c>
      <c r="B4" s="1088">
        <v>2005</v>
      </c>
      <c r="C4" s="1088"/>
      <c r="D4" s="1088"/>
      <c r="E4" s="1088"/>
      <c r="F4" s="1088"/>
      <c r="G4" s="1088"/>
      <c r="H4" s="1088"/>
      <c r="I4" s="1088"/>
      <c r="J4" s="1088"/>
      <c r="K4" s="1088"/>
      <c r="L4" s="1088"/>
      <c r="M4" s="1088"/>
      <c r="N4" s="1089" t="s">
        <v>29</v>
      </c>
      <c r="O4" s="1088">
        <v>2006</v>
      </c>
      <c r="P4" s="1088"/>
      <c r="Q4" s="1088"/>
      <c r="R4" s="1088"/>
      <c r="S4" s="1088"/>
      <c r="T4" s="1088"/>
      <c r="U4" s="1088"/>
      <c r="V4" s="1088"/>
      <c r="W4" s="1088"/>
      <c r="X4" s="1088"/>
      <c r="Y4" s="1088"/>
      <c r="Z4" s="1088"/>
      <c r="AA4" s="1089" t="s">
        <v>29</v>
      </c>
      <c r="AB4" s="1088">
        <v>2007</v>
      </c>
      <c r="AC4" s="1088"/>
      <c r="AD4" s="1088"/>
      <c r="AE4" s="1088"/>
      <c r="AF4" s="1088"/>
      <c r="AG4" s="1088"/>
      <c r="AH4" s="1088"/>
      <c r="AI4" s="1088"/>
      <c r="AJ4" s="1088"/>
      <c r="AK4" s="1088"/>
      <c r="AL4" s="1088"/>
      <c r="AM4" s="1088"/>
      <c r="AN4" s="1089" t="s">
        <v>29</v>
      </c>
      <c r="AO4" s="1088">
        <v>2008</v>
      </c>
      <c r="AP4" s="1088"/>
      <c r="AQ4" s="1088"/>
      <c r="AR4" s="1088"/>
      <c r="AS4" s="1088"/>
      <c r="AT4" s="1088"/>
      <c r="AU4" s="1088"/>
      <c r="AV4" s="1088"/>
      <c r="AW4" s="1088"/>
      <c r="AX4" s="1088"/>
      <c r="AY4" s="1088"/>
      <c r="AZ4" s="1088"/>
      <c r="BA4" s="1089" t="s">
        <v>29</v>
      </c>
      <c r="BB4" s="1088">
        <v>2009</v>
      </c>
      <c r="BC4" s="1088"/>
      <c r="BD4" s="1088"/>
      <c r="BE4" s="1088"/>
      <c r="BF4" s="1088"/>
      <c r="BG4" s="1088"/>
      <c r="BH4" s="1088"/>
      <c r="BI4" s="1088"/>
      <c r="BJ4" s="1088"/>
      <c r="BK4" s="1088"/>
      <c r="BL4" s="1088"/>
      <c r="BM4" s="1088"/>
      <c r="BN4" s="1089" t="s">
        <v>29</v>
      </c>
      <c r="BO4" s="1088">
        <v>2010</v>
      </c>
      <c r="BP4" s="1088"/>
      <c r="BQ4" s="1088"/>
      <c r="BR4" s="1088"/>
      <c r="BS4" s="1088"/>
      <c r="BT4" s="1088"/>
      <c r="BU4" s="1088"/>
      <c r="BV4" s="1088"/>
      <c r="BW4" s="1088"/>
      <c r="BX4" s="1088"/>
      <c r="BY4" s="1088"/>
      <c r="BZ4" s="1088"/>
      <c r="CA4" s="1089" t="s">
        <v>29</v>
      </c>
      <c r="CB4" s="1088">
        <v>2011</v>
      </c>
      <c r="CC4" s="1088"/>
      <c r="CD4" s="1088"/>
      <c r="CE4" s="1088"/>
      <c r="CF4" s="1088"/>
      <c r="CG4" s="1088"/>
      <c r="CH4" s="1088"/>
      <c r="CI4" s="1088"/>
      <c r="CJ4" s="1088"/>
      <c r="CK4" s="1088"/>
      <c r="CL4" s="1088"/>
      <c r="CM4" s="1088"/>
      <c r="CN4" s="1089" t="s">
        <v>29</v>
      </c>
      <c r="CO4" s="1088">
        <v>2012</v>
      </c>
      <c r="CP4" s="1088"/>
      <c r="CQ4" s="1088"/>
      <c r="CR4" s="1088"/>
      <c r="CS4" s="1088"/>
      <c r="CT4" s="1088"/>
      <c r="CU4" s="1088"/>
      <c r="CV4" s="1088"/>
      <c r="CW4" s="1088"/>
      <c r="CX4" s="1088"/>
      <c r="CY4" s="1088"/>
      <c r="CZ4" s="1088"/>
      <c r="DA4" s="1089" t="s">
        <v>29</v>
      </c>
      <c r="DB4" s="1088">
        <v>2013</v>
      </c>
      <c r="DC4" s="1088"/>
      <c r="DD4" s="1088"/>
      <c r="DE4" s="1088"/>
      <c r="DF4" s="1088"/>
      <c r="DG4" s="1088"/>
      <c r="DH4" s="1088"/>
      <c r="DI4" s="1088"/>
      <c r="DJ4" s="1088"/>
      <c r="DK4" s="1088"/>
      <c r="DL4" s="1088"/>
      <c r="DM4" s="1088"/>
      <c r="DN4" s="1089" t="s">
        <v>29</v>
      </c>
      <c r="DO4" s="1088">
        <v>2014</v>
      </c>
      <c r="DP4" s="1088"/>
      <c r="DQ4" s="1088"/>
      <c r="DR4" s="1088"/>
      <c r="DS4" s="1088"/>
      <c r="DT4" s="1088"/>
      <c r="DU4" s="1088"/>
      <c r="DV4" s="1088"/>
      <c r="DW4" s="1088"/>
      <c r="DX4" s="1088"/>
      <c r="DY4" s="1088"/>
      <c r="DZ4" s="1088"/>
      <c r="EA4" s="1089" t="s">
        <v>29</v>
      </c>
      <c r="EB4" s="1088">
        <v>2015</v>
      </c>
      <c r="EC4" s="1088"/>
      <c r="ED4" s="1088"/>
      <c r="EE4" s="1088"/>
      <c r="EF4" s="1088"/>
      <c r="EG4" s="1088"/>
      <c r="EH4" s="1088"/>
      <c r="EI4" s="1088"/>
      <c r="EJ4" s="1088"/>
      <c r="EK4" s="1088"/>
      <c r="EL4" s="1088"/>
      <c r="EM4" s="1088"/>
      <c r="EN4" s="1089" t="s">
        <v>29</v>
      </c>
      <c r="EO4" s="1088">
        <v>2016</v>
      </c>
      <c r="EP4" s="1088"/>
      <c r="EQ4" s="1088"/>
      <c r="ER4" s="1088"/>
      <c r="ES4" s="1088"/>
      <c r="ET4" s="1088"/>
      <c r="EU4" s="1088"/>
      <c r="EV4" s="1088"/>
      <c r="EW4" s="1088"/>
      <c r="EX4" s="1088"/>
      <c r="EY4" s="1088"/>
      <c r="EZ4" s="1088"/>
      <c r="FA4" s="1089" t="s">
        <v>29</v>
      </c>
      <c r="FB4" s="1088">
        <v>2017</v>
      </c>
      <c r="FC4" s="1088"/>
      <c r="FD4" s="1088"/>
      <c r="FE4" s="1088"/>
      <c r="FF4" s="1088"/>
      <c r="FG4" s="1088"/>
      <c r="FH4" s="1088"/>
      <c r="FI4" s="1088"/>
      <c r="FJ4" s="1088"/>
      <c r="FK4" s="1088"/>
      <c r="FL4" s="1088"/>
      <c r="FM4" s="1088"/>
      <c r="FN4" s="1089" t="s">
        <v>29</v>
      </c>
      <c r="FO4" s="1088">
        <v>2018</v>
      </c>
      <c r="FP4" s="1088"/>
      <c r="FQ4" s="1088"/>
      <c r="FR4" s="1088"/>
      <c r="FS4" s="1088"/>
      <c r="FT4" s="1088"/>
      <c r="FU4" s="1088"/>
      <c r="FV4" s="1088"/>
      <c r="FW4" s="1088"/>
      <c r="FX4" s="1088"/>
      <c r="FY4" s="1088"/>
      <c r="FZ4" s="1088"/>
      <c r="GA4" s="1089" t="s">
        <v>29</v>
      </c>
      <c r="GB4" s="1088">
        <v>2019</v>
      </c>
      <c r="GC4" s="1088"/>
      <c r="GD4" s="1088"/>
      <c r="GE4" s="1088"/>
      <c r="GF4" s="1088"/>
      <c r="GG4" s="1088"/>
      <c r="GH4" s="1088"/>
      <c r="GI4" s="1088"/>
      <c r="GJ4" s="1088"/>
      <c r="GK4" s="1088"/>
      <c r="GL4" s="1088"/>
      <c r="GM4" s="1088"/>
      <c r="GN4" s="1089" t="s">
        <v>29</v>
      </c>
      <c r="GO4" s="1088">
        <v>2020</v>
      </c>
      <c r="GP4" s="1088"/>
      <c r="GQ4" s="1088"/>
      <c r="GR4" s="1088"/>
      <c r="GS4" s="1088"/>
      <c r="GT4" s="1088"/>
      <c r="GU4" s="1088"/>
      <c r="GV4" s="1088"/>
      <c r="GW4" s="1088"/>
      <c r="GX4" s="1088"/>
      <c r="GY4" s="1088"/>
      <c r="GZ4" s="1088"/>
      <c r="HA4" s="1089" t="s">
        <v>29</v>
      </c>
      <c r="HB4" s="1088">
        <v>2021</v>
      </c>
      <c r="HC4" s="1088"/>
      <c r="HD4" s="1088"/>
      <c r="HE4" s="1088"/>
      <c r="HF4" s="1088"/>
      <c r="HG4" s="1088"/>
      <c r="HH4" s="1088"/>
      <c r="HI4" s="1088"/>
      <c r="HJ4" s="1088"/>
      <c r="HK4" s="1088"/>
      <c r="HL4" s="1088"/>
      <c r="HM4" s="1088"/>
      <c r="HN4" s="1089" t="s">
        <v>29</v>
      </c>
      <c r="HO4" s="1088">
        <v>2022</v>
      </c>
      <c r="HP4" s="1088"/>
      <c r="HQ4" s="1088"/>
      <c r="HR4" s="1088"/>
      <c r="HS4" s="1088"/>
      <c r="HT4" s="1088"/>
      <c r="HU4" s="1088"/>
      <c r="HV4" s="1088"/>
      <c r="HW4" s="1088"/>
      <c r="HX4" s="1088"/>
      <c r="HY4" s="1088"/>
      <c r="HZ4" s="1088"/>
      <c r="IA4" s="1089" t="s">
        <v>29</v>
      </c>
      <c r="IB4" s="1088">
        <v>2023</v>
      </c>
      <c r="IC4" s="1088"/>
      <c r="ID4" s="1088"/>
      <c r="IE4" s="1088"/>
      <c r="IF4" s="1088"/>
      <c r="IG4" s="1088"/>
      <c r="IH4" s="1088"/>
      <c r="II4" s="1088"/>
      <c r="IJ4" s="1088"/>
      <c r="IK4" s="1088"/>
      <c r="IL4" s="1088"/>
      <c r="IM4" s="1088"/>
      <c r="IN4" s="1089" t="s">
        <v>29</v>
      </c>
      <c r="IO4" s="1088">
        <v>2024</v>
      </c>
      <c r="IP4" s="1088"/>
      <c r="IQ4" s="1088"/>
      <c r="IR4" s="1088"/>
      <c r="IS4" s="1088"/>
      <c r="IT4" s="1088"/>
      <c r="IU4" s="1088"/>
      <c r="IV4" s="1088"/>
      <c r="IW4" s="1088"/>
      <c r="IX4" s="1088"/>
      <c r="IY4" s="1088"/>
      <c r="IZ4" s="1088"/>
      <c r="JA4" s="1089" t="s">
        <v>29</v>
      </c>
      <c r="JB4" s="1088">
        <v>2025</v>
      </c>
      <c r="JC4" s="1088"/>
      <c r="JD4" s="1088"/>
      <c r="JE4" s="1088"/>
      <c r="JF4" s="1088"/>
      <c r="JG4" s="1088"/>
      <c r="JH4" s="1088"/>
      <c r="JI4" s="1088"/>
      <c r="JJ4" s="1088"/>
      <c r="JK4" s="1088"/>
      <c r="JL4" s="1088"/>
      <c r="JM4" s="1088"/>
      <c r="JN4" s="1089" t="s">
        <v>29</v>
      </c>
      <c r="JO4" s="1088">
        <v>2026</v>
      </c>
      <c r="JP4" s="1088"/>
      <c r="JQ4" s="1088"/>
      <c r="JR4" s="1088"/>
      <c r="JS4" s="1088"/>
      <c r="JT4" s="1088"/>
      <c r="JU4" s="1088"/>
      <c r="JV4" s="1088"/>
      <c r="JW4" s="1088"/>
      <c r="JX4" s="1088"/>
      <c r="JY4" s="1088"/>
      <c r="JZ4" s="1088"/>
      <c r="KA4" s="1089" t="s">
        <v>29</v>
      </c>
      <c r="KC4" s="1103" t="str">
        <f>CONCATENATE("Var.% ",KF4,"/",KF4-1)</f>
        <v>Var.% 2026/2025</v>
      </c>
      <c r="KD4" s="1104"/>
      <c r="KE4" s="1105">
        <f>KF4-1</f>
        <v>2025</v>
      </c>
      <c r="KF4" s="1105">
        <f>YEAR(KC5)</f>
        <v>2026</v>
      </c>
    </row>
    <row r="5" spans="1:293" ht="15" customHeight="1" x14ac:dyDescent="0.2">
      <c r="A5" s="1682"/>
      <c r="B5" s="1090">
        <v>38353</v>
      </c>
      <c r="C5" s="1090">
        <v>38384</v>
      </c>
      <c r="D5" s="1090">
        <v>38412</v>
      </c>
      <c r="E5" s="1090">
        <v>38443</v>
      </c>
      <c r="F5" s="1090">
        <v>38473</v>
      </c>
      <c r="G5" s="1090">
        <v>38504</v>
      </c>
      <c r="H5" s="1090">
        <v>38534</v>
      </c>
      <c r="I5" s="1090">
        <v>38565</v>
      </c>
      <c r="J5" s="1090">
        <v>38596</v>
      </c>
      <c r="K5" s="1090">
        <v>38626</v>
      </c>
      <c r="L5" s="1090">
        <v>38657</v>
      </c>
      <c r="M5" s="1090">
        <v>38687</v>
      </c>
      <c r="N5" s="1091">
        <f>YEAR(M5)</f>
        <v>2005</v>
      </c>
      <c r="O5" s="1090">
        <v>38718</v>
      </c>
      <c r="P5" s="1090">
        <v>38749</v>
      </c>
      <c r="Q5" s="1090">
        <v>38777</v>
      </c>
      <c r="R5" s="1090">
        <v>38808</v>
      </c>
      <c r="S5" s="1090">
        <v>38838</v>
      </c>
      <c r="T5" s="1090">
        <v>38869</v>
      </c>
      <c r="U5" s="1090">
        <v>38899</v>
      </c>
      <c r="V5" s="1090">
        <v>38930</v>
      </c>
      <c r="W5" s="1090">
        <v>38961</v>
      </c>
      <c r="X5" s="1090">
        <v>38991</v>
      </c>
      <c r="Y5" s="1090">
        <v>39022</v>
      </c>
      <c r="Z5" s="1090">
        <v>39052</v>
      </c>
      <c r="AA5" s="1091">
        <f>YEAR(Z5)</f>
        <v>2006</v>
      </c>
      <c r="AB5" s="1090">
        <v>39083</v>
      </c>
      <c r="AC5" s="1090">
        <v>39114</v>
      </c>
      <c r="AD5" s="1090">
        <v>39142</v>
      </c>
      <c r="AE5" s="1090">
        <v>39173</v>
      </c>
      <c r="AF5" s="1090">
        <v>39203</v>
      </c>
      <c r="AG5" s="1090">
        <v>39234</v>
      </c>
      <c r="AH5" s="1090">
        <v>39264</v>
      </c>
      <c r="AI5" s="1090">
        <v>39295</v>
      </c>
      <c r="AJ5" s="1090">
        <v>39326</v>
      </c>
      <c r="AK5" s="1090">
        <v>39356</v>
      </c>
      <c r="AL5" s="1090">
        <v>39387</v>
      </c>
      <c r="AM5" s="1090">
        <v>39417</v>
      </c>
      <c r="AN5" s="1091">
        <f>YEAR(AM5)</f>
        <v>2007</v>
      </c>
      <c r="AO5" s="1090">
        <v>39448</v>
      </c>
      <c r="AP5" s="1090">
        <v>39479</v>
      </c>
      <c r="AQ5" s="1090">
        <v>39508</v>
      </c>
      <c r="AR5" s="1090">
        <v>39539</v>
      </c>
      <c r="AS5" s="1090">
        <v>39569</v>
      </c>
      <c r="AT5" s="1090">
        <v>39600</v>
      </c>
      <c r="AU5" s="1090">
        <v>39630</v>
      </c>
      <c r="AV5" s="1090">
        <v>39661</v>
      </c>
      <c r="AW5" s="1090">
        <v>39692</v>
      </c>
      <c r="AX5" s="1090">
        <v>39722</v>
      </c>
      <c r="AY5" s="1090">
        <v>39753</v>
      </c>
      <c r="AZ5" s="1090">
        <v>39783</v>
      </c>
      <c r="BA5" s="1091">
        <f>YEAR(AZ5)</f>
        <v>2008</v>
      </c>
      <c r="BB5" s="1090">
        <v>39814</v>
      </c>
      <c r="BC5" s="1090">
        <v>39845</v>
      </c>
      <c r="BD5" s="1090">
        <v>39873</v>
      </c>
      <c r="BE5" s="1090">
        <v>39904</v>
      </c>
      <c r="BF5" s="1090">
        <v>39934</v>
      </c>
      <c r="BG5" s="1090">
        <v>39965</v>
      </c>
      <c r="BH5" s="1090">
        <v>39995</v>
      </c>
      <c r="BI5" s="1090">
        <v>40026</v>
      </c>
      <c r="BJ5" s="1090">
        <v>40057</v>
      </c>
      <c r="BK5" s="1090">
        <v>40087</v>
      </c>
      <c r="BL5" s="1090">
        <v>40118</v>
      </c>
      <c r="BM5" s="1090">
        <v>40148</v>
      </c>
      <c r="BN5" s="1091">
        <f>YEAR(BM5)</f>
        <v>2009</v>
      </c>
      <c r="BO5" s="1090">
        <v>40179</v>
      </c>
      <c r="BP5" s="1090">
        <v>40210</v>
      </c>
      <c r="BQ5" s="1090">
        <v>40238</v>
      </c>
      <c r="BR5" s="1090">
        <v>40269</v>
      </c>
      <c r="BS5" s="1090">
        <v>40299</v>
      </c>
      <c r="BT5" s="1090">
        <v>40330</v>
      </c>
      <c r="BU5" s="1090">
        <v>40360</v>
      </c>
      <c r="BV5" s="1090">
        <v>40391</v>
      </c>
      <c r="BW5" s="1090">
        <v>40422</v>
      </c>
      <c r="BX5" s="1090">
        <v>40452</v>
      </c>
      <c r="BY5" s="1090">
        <v>40483</v>
      </c>
      <c r="BZ5" s="1090">
        <v>40513</v>
      </c>
      <c r="CA5" s="1091">
        <f>YEAR(BZ5)</f>
        <v>2010</v>
      </c>
      <c r="CB5" s="1090">
        <v>40544</v>
      </c>
      <c r="CC5" s="1090">
        <v>40575</v>
      </c>
      <c r="CD5" s="1090">
        <v>40603</v>
      </c>
      <c r="CE5" s="1090">
        <v>40634</v>
      </c>
      <c r="CF5" s="1090">
        <v>40664</v>
      </c>
      <c r="CG5" s="1090">
        <v>40695</v>
      </c>
      <c r="CH5" s="1090">
        <v>40725</v>
      </c>
      <c r="CI5" s="1090">
        <v>40756</v>
      </c>
      <c r="CJ5" s="1090">
        <v>40787</v>
      </c>
      <c r="CK5" s="1090">
        <v>40817</v>
      </c>
      <c r="CL5" s="1090">
        <v>40848</v>
      </c>
      <c r="CM5" s="1090">
        <v>40878</v>
      </c>
      <c r="CN5" s="1091">
        <f>YEAR(CM5)</f>
        <v>2011</v>
      </c>
      <c r="CO5" s="1090">
        <v>40909</v>
      </c>
      <c r="CP5" s="1090">
        <v>40940</v>
      </c>
      <c r="CQ5" s="1090">
        <v>40969</v>
      </c>
      <c r="CR5" s="1090">
        <v>41000</v>
      </c>
      <c r="CS5" s="1090">
        <v>41030</v>
      </c>
      <c r="CT5" s="1090">
        <v>41061</v>
      </c>
      <c r="CU5" s="1090">
        <v>41091</v>
      </c>
      <c r="CV5" s="1090">
        <v>41122</v>
      </c>
      <c r="CW5" s="1090">
        <v>41153</v>
      </c>
      <c r="CX5" s="1090">
        <v>41183</v>
      </c>
      <c r="CY5" s="1090">
        <v>41214</v>
      </c>
      <c r="CZ5" s="1090">
        <v>41244</v>
      </c>
      <c r="DA5" s="1091">
        <f>YEAR(CZ5)</f>
        <v>2012</v>
      </c>
      <c r="DB5" s="1090">
        <v>41275</v>
      </c>
      <c r="DC5" s="1090">
        <v>41306</v>
      </c>
      <c r="DD5" s="1090">
        <v>41334</v>
      </c>
      <c r="DE5" s="1090">
        <v>41365</v>
      </c>
      <c r="DF5" s="1090">
        <v>41395</v>
      </c>
      <c r="DG5" s="1090">
        <v>41426</v>
      </c>
      <c r="DH5" s="1090">
        <v>41456</v>
      </c>
      <c r="DI5" s="1090">
        <v>41487</v>
      </c>
      <c r="DJ5" s="1090">
        <v>41518</v>
      </c>
      <c r="DK5" s="1090">
        <v>41548</v>
      </c>
      <c r="DL5" s="1090">
        <v>41579</v>
      </c>
      <c r="DM5" s="1090">
        <v>41609</v>
      </c>
      <c r="DN5" s="1091">
        <f>YEAR(DM5)</f>
        <v>2013</v>
      </c>
      <c r="DO5" s="1090">
        <v>41640</v>
      </c>
      <c r="DP5" s="1090">
        <v>41671</v>
      </c>
      <c r="DQ5" s="1090">
        <v>41699</v>
      </c>
      <c r="DR5" s="1090">
        <v>41730</v>
      </c>
      <c r="DS5" s="1090">
        <v>41760</v>
      </c>
      <c r="DT5" s="1090">
        <v>41791</v>
      </c>
      <c r="DU5" s="1090">
        <v>41821</v>
      </c>
      <c r="DV5" s="1090">
        <v>41852</v>
      </c>
      <c r="DW5" s="1090">
        <v>41883</v>
      </c>
      <c r="DX5" s="1090">
        <v>41913</v>
      </c>
      <c r="DY5" s="1090">
        <v>41944</v>
      </c>
      <c r="DZ5" s="1090">
        <v>41974</v>
      </c>
      <c r="EA5" s="1091">
        <f>YEAR(DZ5)</f>
        <v>2014</v>
      </c>
      <c r="EB5" s="1090">
        <v>42005</v>
      </c>
      <c r="EC5" s="1090">
        <v>42036</v>
      </c>
      <c r="ED5" s="1090">
        <v>42064</v>
      </c>
      <c r="EE5" s="1090">
        <v>42095</v>
      </c>
      <c r="EF5" s="1090">
        <v>42125</v>
      </c>
      <c r="EG5" s="1090">
        <v>42156</v>
      </c>
      <c r="EH5" s="1090">
        <v>42186</v>
      </c>
      <c r="EI5" s="1090">
        <v>42217</v>
      </c>
      <c r="EJ5" s="1090">
        <v>42248</v>
      </c>
      <c r="EK5" s="1090">
        <v>42278</v>
      </c>
      <c r="EL5" s="1090">
        <v>42309</v>
      </c>
      <c r="EM5" s="1090">
        <v>42339</v>
      </c>
      <c r="EN5" s="1091">
        <f>YEAR(EM5)</f>
        <v>2015</v>
      </c>
      <c r="EO5" s="1090">
        <v>42370</v>
      </c>
      <c r="EP5" s="1090">
        <v>42401</v>
      </c>
      <c r="EQ5" s="1090">
        <v>42430</v>
      </c>
      <c r="ER5" s="1090">
        <v>42461</v>
      </c>
      <c r="ES5" s="1090">
        <v>42491</v>
      </c>
      <c r="ET5" s="1090">
        <v>42522</v>
      </c>
      <c r="EU5" s="1090">
        <v>42552</v>
      </c>
      <c r="EV5" s="1090">
        <v>42583</v>
      </c>
      <c r="EW5" s="1090">
        <v>42614</v>
      </c>
      <c r="EX5" s="1090">
        <v>42644</v>
      </c>
      <c r="EY5" s="1090">
        <v>42675</v>
      </c>
      <c r="EZ5" s="1090">
        <v>42705</v>
      </c>
      <c r="FA5" s="1091">
        <f>YEAR(EZ5)</f>
        <v>2016</v>
      </c>
      <c r="FB5" s="1090">
        <v>42736</v>
      </c>
      <c r="FC5" s="1090">
        <v>42767</v>
      </c>
      <c r="FD5" s="1090">
        <v>42795</v>
      </c>
      <c r="FE5" s="1090">
        <v>42826</v>
      </c>
      <c r="FF5" s="1090">
        <v>42856</v>
      </c>
      <c r="FG5" s="1090">
        <v>42887</v>
      </c>
      <c r="FH5" s="1090">
        <v>42917</v>
      </c>
      <c r="FI5" s="1090">
        <v>42948</v>
      </c>
      <c r="FJ5" s="1090">
        <v>42979</v>
      </c>
      <c r="FK5" s="1090">
        <v>43009</v>
      </c>
      <c r="FL5" s="1090">
        <v>43040</v>
      </c>
      <c r="FM5" s="1090">
        <v>43070</v>
      </c>
      <c r="FN5" s="1091">
        <f>YEAR(FM5)</f>
        <v>2017</v>
      </c>
      <c r="FO5" s="1090">
        <v>43101</v>
      </c>
      <c r="FP5" s="1090">
        <v>43132</v>
      </c>
      <c r="FQ5" s="1090">
        <v>43160</v>
      </c>
      <c r="FR5" s="1090">
        <v>43191</v>
      </c>
      <c r="FS5" s="1090">
        <v>43221</v>
      </c>
      <c r="FT5" s="1090">
        <v>43252</v>
      </c>
      <c r="FU5" s="1090">
        <v>43282</v>
      </c>
      <c r="FV5" s="1090">
        <v>43313</v>
      </c>
      <c r="FW5" s="1090">
        <v>43344</v>
      </c>
      <c r="FX5" s="1090">
        <v>43374</v>
      </c>
      <c r="FY5" s="1090">
        <v>43405</v>
      </c>
      <c r="FZ5" s="1090">
        <v>43435</v>
      </c>
      <c r="GA5" s="1091">
        <f>YEAR(FZ5)</f>
        <v>2018</v>
      </c>
      <c r="GB5" s="1090">
        <v>43466</v>
      </c>
      <c r="GC5" s="1090">
        <v>43497</v>
      </c>
      <c r="GD5" s="1090">
        <v>43525</v>
      </c>
      <c r="GE5" s="1090">
        <v>43556</v>
      </c>
      <c r="GF5" s="1090">
        <v>43586</v>
      </c>
      <c r="GG5" s="1090">
        <v>43617</v>
      </c>
      <c r="GH5" s="1090">
        <v>43647</v>
      </c>
      <c r="GI5" s="1090">
        <v>43678</v>
      </c>
      <c r="GJ5" s="1090">
        <v>43709</v>
      </c>
      <c r="GK5" s="1090">
        <v>43739</v>
      </c>
      <c r="GL5" s="1090">
        <v>43770</v>
      </c>
      <c r="GM5" s="1090">
        <v>43800</v>
      </c>
      <c r="GN5" s="1091">
        <f>YEAR(GM5)</f>
        <v>2019</v>
      </c>
      <c r="GO5" s="1090">
        <v>43831</v>
      </c>
      <c r="GP5" s="1090">
        <v>43862</v>
      </c>
      <c r="GQ5" s="1090">
        <v>43891</v>
      </c>
      <c r="GR5" s="1090">
        <v>43922</v>
      </c>
      <c r="GS5" s="1090">
        <v>43952</v>
      </c>
      <c r="GT5" s="1090">
        <v>43983</v>
      </c>
      <c r="GU5" s="1090">
        <v>44013</v>
      </c>
      <c r="GV5" s="1090">
        <v>44044</v>
      </c>
      <c r="GW5" s="1090">
        <v>44075</v>
      </c>
      <c r="GX5" s="1090">
        <v>44105</v>
      </c>
      <c r="GY5" s="1090">
        <v>44136</v>
      </c>
      <c r="GZ5" s="1090">
        <v>44166</v>
      </c>
      <c r="HA5" s="1091">
        <f>YEAR(GZ5)</f>
        <v>2020</v>
      </c>
      <c r="HB5" s="1090">
        <v>44197</v>
      </c>
      <c r="HC5" s="1090">
        <v>44228</v>
      </c>
      <c r="HD5" s="1090">
        <v>44256</v>
      </c>
      <c r="HE5" s="1090">
        <v>44287</v>
      </c>
      <c r="HF5" s="1090">
        <v>44317</v>
      </c>
      <c r="HG5" s="1090">
        <v>44348</v>
      </c>
      <c r="HH5" s="1090">
        <v>44378</v>
      </c>
      <c r="HI5" s="1090">
        <v>44409</v>
      </c>
      <c r="HJ5" s="1090">
        <v>44440</v>
      </c>
      <c r="HK5" s="1090">
        <v>44470</v>
      </c>
      <c r="HL5" s="1090">
        <v>44501</v>
      </c>
      <c r="HM5" s="1090">
        <v>44531</v>
      </c>
      <c r="HN5" s="1091">
        <f>YEAR(HM5)</f>
        <v>2021</v>
      </c>
      <c r="HO5" s="1090">
        <v>44562</v>
      </c>
      <c r="HP5" s="1090">
        <v>44593</v>
      </c>
      <c r="HQ5" s="1090">
        <v>44621</v>
      </c>
      <c r="HR5" s="1090">
        <v>44652</v>
      </c>
      <c r="HS5" s="1090">
        <v>44682</v>
      </c>
      <c r="HT5" s="1090">
        <v>44713</v>
      </c>
      <c r="HU5" s="1090">
        <v>44743</v>
      </c>
      <c r="HV5" s="1090">
        <v>44774</v>
      </c>
      <c r="HW5" s="1090">
        <v>44805</v>
      </c>
      <c r="HX5" s="1090">
        <v>44835</v>
      </c>
      <c r="HY5" s="1090">
        <v>44866</v>
      </c>
      <c r="HZ5" s="1090">
        <v>44896</v>
      </c>
      <c r="IA5" s="1091">
        <f>YEAR(HZ5)</f>
        <v>2022</v>
      </c>
      <c r="IB5" s="1090">
        <v>44927</v>
      </c>
      <c r="IC5" s="1090">
        <v>44958</v>
      </c>
      <c r="ID5" s="1090">
        <v>44986</v>
      </c>
      <c r="IE5" s="1090">
        <v>45017</v>
      </c>
      <c r="IF5" s="1090">
        <v>45047</v>
      </c>
      <c r="IG5" s="1090">
        <v>45078</v>
      </c>
      <c r="IH5" s="1090">
        <v>45108</v>
      </c>
      <c r="II5" s="1090">
        <v>45139</v>
      </c>
      <c r="IJ5" s="1090">
        <v>45170</v>
      </c>
      <c r="IK5" s="1090">
        <v>45200</v>
      </c>
      <c r="IL5" s="1090">
        <v>45231</v>
      </c>
      <c r="IM5" s="1090">
        <v>45261</v>
      </c>
      <c r="IN5" s="1091">
        <f>YEAR(IM5)</f>
        <v>2023</v>
      </c>
      <c r="IO5" s="1090">
        <v>45292</v>
      </c>
      <c r="IP5" s="1090">
        <v>45323</v>
      </c>
      <c r="IQ5" s="1090">
        <v>45352</v>
      </c>
      <c r="IR5" s="1090">
        <v>45383</v>
      </c>
      <c r="IS5" s="1090">
        <v>45413</v>
      </c>
      <c r="IT5" s="1090">
        <v>45444</v>
      </c>
      <c r="IU5" s="1090">
        <v>45474</v>
      </c>
      <c r="IV5" s="1090">
        <v>45505</v>
      </c>
      <c r="IW5" s="1090">
        <v>45536</v>
      </c>
      <c r="IX5" s="1090">
        <v>45566</v>
      </c>
      <c r="IY5" s="1090">
        <v>45597</v>
      </c>
      <c r="IZ5" s="1090">
        <v>45627</v>
      </c>
      <c r="JA5" s="1091">
        <f>YEAR(IZ5)</f>
        <v>2024</v>
      </c>
      <c r="JB5" s="1090">
        <v>45658</v>
      </c>
      <c r="JC5" s="1090">
        <v>45689</v>
      </c>
      <c r="JD5" s="1090">
        <v>45717</v>
      </c>
      <c r="JE5" s="1090">
        <v>45748</v>
      </c>
      <c r="JF5" s="1090">
        <v>45778</v>
      </c>
      <c r="JG5" s="1090">
        <v>45809</v>
      </c>
      <c r="JH5" s="1090">
        <v>45839</v>
      </c>
      <c r="JI5" s="1090">
        <v>45870</v>
      </c>
      <c r="JJ5" s="1090">
        <v>45901</v>
      </c>
      <c r="JK5" s="1090">
        <v>45931</v>
      </c>
      <c r="JL5" s="1090">
        <v>45962</v>
      </c>
      <c r="JM5" s="1090">
        <v>45992</v>
      </c>
      <c r="JN5" s="1091">
        <f>YEAR(JM5)</f>
        <v>2025</v>
      </c>
      <c r="JO5" s="1090">
        <v>46023</v>
      </c>
      <c r="JP5" s="1090">
        <v>46054</v>
      </c>
      <c r="JQ5" s="1090">
        <v>46082</v>
      </c>
      <c r="JR5" s="1090">
        <v>46113</v>
      </c>
      <c r="JS5" s="1090">
        <v>46143</v>
      </c>
      <c r="JT5" s="1090">
        <v>46174</v>
      </c>
      <c r="JU5" s="1090">
        <v>46204</v>
      </c>
      <c r="JV5" s="1090">
        <v>46235</v>
      </c>
      <c r="JW5" s="1090">
        <v>46266</v>
      </c>
      <c r="JX5" s="1090">
        <v>46296</v>
      </c>
      <c r="JY5" s="1090">
        <v>46327</v>
      </c>
      <c r="JZ5" s="1090">
        <v>46357</v>
      </c>
      <c r="KA5" s="1091">
        <f>YEAR(JZ5)</f>
        <v>2026</v>
      </c>
      <c r="KC5" s="1106">
        <f>JV5</f>
        <v>46235</v>
      </c>
      <c r="KD5" s="1107" t="str">
        <f>CONCATENATE("Ene.-",TEXT(KC5,"MMM."))</f>
        <v>Ene.-Ago.</v>
      </c>
      <c r="KE5" s="1108" t="str">
        <f>KD5</f>
        <v>Ene.-Ago.</v>
      </c>
      <c r="KF5" s="1108" t="str">
        <f>KD5</f>
        <v>Ene.-Ago.</v>
      </c>
    </row>
    <row r="6" spans="1:293" ht="15" customHeight="1" x14ac:dyDescent="0.2">
      <c r="A6" s="1314"/>
      <c r="B6" s="1315"/>
      <c r="C6" s="1315"/>
      <c r="D6" s="1315"/>
      <c r="E6" s="1315"/>
      <c r="F6" s="1315"/>
      <c r="G6" s="1315"/>
      <c r="H6" s="1315"/>
      <c r="I6" s="1315"/>
      <c r="J6" s="1315"/>
      <c r="K6" s="1315"/>
      <c r="L6" s="1315"/>
      <c r="M6" s="1316"/>
      <c r="N6" s="1317"/>
      <c r="O6" s="1315"/>
      <c r="P6" s="1315"/>
      <c r="Q6" s="1315"/>
      <c r="R6" s="1315"/>
      <c r="S6" s="1315"/>
      <c r="T6" s="1315"/>
      <c r="U6" s="1315"/>
      <c r="V6" s="1315"/>
      <c r="W6" s="1315"/>
      <c r="X6" s="1315"/>
      <c r="Y6" s="1315"/>
      <c r="Z6" s="1316"/>
      <c r="AA6" s="1317"/>
      <c r="AB6" s="1315"/>
      <c r="AC6" s="1315"/>
      <c r="AD6" s="1315"/>
      <c r="AE6" s="1315"/>
      <c r="AF6" s="1315"/>
      <c r="AG6" s="1315"/>
      <c r="AH6" s="1315"/>
      <c r="AI6" s="1315"/>
      <c r="AJ6" s="1315"/>
      <c r="AK6" s="1315"/>
      <c r="AL6" s="1315"/>
      <c r="AM6" s="1316"/>
      <c r="AN6" s="1317"/>
      <c r="AO6" s="1315"/>
      <c r="AP6" s="1315"/>
      <c r="AQ6" s="1315"/>
      <c r="AR6" s="1315"/>
      <c r="AS6" s="1315"/>
      <c r="AT6" s="1315"/>
      <c r="AU6" s="1315"/>
      <c r="AV6" s="1315"/>
      <c r="AW6" s="1315"/>
      <c r="AX6" s="1315"/>
      <c r="AY6" s="1315"/>
      <c r="AZ6" s="1316"/>
      <c r="BA6" s="1317"/>
      <c r="BB6" s="1315"/>
      <c r="BC6" s="1315"/>
      <c r="BD6" s="1315"/>
      <c r="BE6" s="1315"/>
      <c r="BF6" s="1315"/>
      <c r="BG6" s="1315"/>
      <c r="BH6" s="1315"/>
      <c r="BI6" s="1315"/>
      <c r="BJ6" s="1315"/>
      <c r="BK6" s="1315"/>
      <c r="BL6" s="1315"/>
      <c r="BM6" s="1316"/>
      <c r="BN6" s="1317"/>
      <c r="BO6" s="1315"/>
      <c r="BP6" s="1315"/>
      <c r="BQ6" s="1315"/>
      <c r="BR6" s="1315"/>
      <c r="BS6" s="1315"/>
      <c r="BT6" s="1315"/>
      <c r="BU6" s="1315"/>
      <c r="BV6" s="1315"/>
      <c r="BW6" s="1315"/>
      <c r="BX6" s="1315"/>
      <c r="BY6" s="1315"/>
      <c r="BZ6" s="1316"/>
      <c r="CA6" s="1317"/>
      <c r="CB6" s="1315"/>
      <c r="CC6" s="1315"/>
      <c r="CD6" s="1315"/>
      <c r="CE6" s="1315"/>
      <c r="CF6" s="1315"/>
      <c r="CG6" s="1315"/>
      <c r="CH6" s="1315"/>
      <c r="CI6" s="1315"/>
      <c r="CJ6" s="1315"/>
      <c r="CK6" s="1315"/>
      <c r="CL6" s="1315"/>
      <c r="CM6" s="1316"/>
      <c r="CN6" s="1317"/>
      <c r="CO6" s="1315"/>
      <c r="CP6" s="1315"/>
      <c r="CQ6" s="1315"/>
      <c r="CR6" s="1315"/>
      <c r="CS6" s="1315"/>
      <c r="CT6" s="1315"/>
      <c r="CU6" s="1315"/>
      <c r="CV6" s="1315"/>
      <c r="CW6" s="1315"/>
      <c r="CX6" s="1315"/>
      <c r="CY6" s="1315"/>
      <c r="CZ6" s="1316"/>
      <c r="DA6" s="1317"/>
      <c r="DB6" s="1315"/>
      <c r="DC6" s="1315"/>
      <c r="DD6" s="1315"/>
      <c r="DE6" s="1315"/>
      <c r="DF6" s="1315"/>
      <c r="DG6" s="1315"/>
      <c r="DH6" s="1315"/>
      <c r="DI6" s="1315"/>
      <c r="DJ6" s="1315"/>
      <c r="DK6" s="1315"/>
      <c r="DL6" s="1315"/>
      <c r="DM6" s="1316"/>
      <c r="DN6" s="1317"/>
      <c r="DO6" s="1315"/>
      <c r="DP6" s="1315"/>
      <c r="DQ6" s="1315"/>
      <c r="DR6" s="1315"/>
      <c r="DS6" s="1315"/>
      <c r="DT6" s="1315"/>
      <c r="DU6" s="1315"/>
      <c r="DV6" s="1315"/>
      <c r="DW6" s="1315"/>
      <c r="DX6" s="1315"/>
      <c r="DY6" s="1315"/>
      <c r="DZ6" s="1316"/>
      <c r="EA6" s="1317"/>
      <c r="EB6" s="1315"/>
      <c r="EC6" s="1315"/>
      <c r="ED6" s="1315"/>
      <c r="EE6" s="1315"/>
      <c r="EF6" s="1315"/>
      <c r="EG6" s="1315"/>
      <c r="EH6" s="1315"/>
      <c r="EI6" s="1315"/>
      <c r="EJ6" s="1315"/>
      <c r="EK6" s="1315"/>
      <c r="EL6" s="1315"/>
      <c r="EM6" s="1316"/>
      <c r="EN6" s="1317"/>
      <c r="EO6" s="1315"/>
      <c r="EP6" s="1315"/>
      <c r="EQ6" s="1315"/>
      <c r="ER6" s="1315"/>
      <c r="ES6" s="1315"/>
      <c r="ET6" s="1315"/>
      <c r="EU6" s="1315"/>
      <c r="EV6" s="1315"/>
      <c r="EW6" s="1315"/>
      <c r="EX6" s="1315"/>
      <c r="EY6" s="1315"/>
      <c r="EZ6" s="1316"/>
      <c r="FA6" s="1317"/>
      <c r="FB6" s="1315"/>
      <c r="FC6" s="1315"/>
      <c r="FD6" s="1315"/>
      <c r="FE6" s="1315"/>
      <c r="FF6" s="1315"/>
      <c r="FG6" s="1315"/>
      <c r="FH6" s="1315"/>
      <c r="FI6" s="1315"/>
      <c r="FJ6" s="1315"/>
      <c r="FK6" s="1315"/>
      <c r="FL6" s="1315"/>
      <c r="FM6" s="1316"/>
      <c r="FN6" s="1317"/>
      <c r="FO6" s="1315"/>
      <c r="FP6" s="1315"/>
      <c r="FQ6" s="1315"/>
      <c r="FR6" s="1315"/>
      <c r="FS6" s="1315"/>
      <c r="FT6" s="1315"/>
      <c r="FU6" s="1315"/>
      <c r="FV6" s="1315"/>
      <c r="FW6" s="1315"/>
      <c r="FX6" s="1315"/>
      <c r="FY6" s="1315"/>
      <c r="FZ6" s="1316"/>
      <c r="GA6" s="1317"/>
      <c r="GB6" s="1315"/>
      <c r="GC6" s="1315"/>
      <c r="GD6" s="1315"/>
      <c r="GE6" s="1315"/>
      <c r="GF6" s="1315"/>
      <c r="GG6" s="1315"/>
      <c r="GH6" s="1315"/>
      <c r="GI6" s="1315"/>
      <c r="GJ6" s="1315"/>
      <c r="GK6" s="1315"/>
      <c r="GL6" s="1315"/>
      <c r="GM6" s="1316"/>
      <c r="GN6" s="1317"/>
      <c r="GO6" s="1315"/>
      <c r="GP6" s="1315"/>
      <c r="GQ6" s="1315"/>
      <c r="GR6" s="1315"/>
      <c r="GS6" s="1315"/>
      <c r="GT6" s="1315"/>
      <c r="GU6" s="1315"/>
      <c r="GV6" s="1315"/>
      <c r="GW6" s="1315"/>
      <c r="GX6" s="1315"/>
      <c r="GY6" s="1315"/>
      <c r="GZ6" s="1316"/>
      <c r="HA6" s="1317"/>
      <c r="HB6" s="1315"/>
      <c r="HC6" s="1315"/>
      <c r="HD6" s="1315"/>
      <c r="HE6" s="1315"/>
      <c r="HF6" s="1315"/>
      <c r="HG6" s="1315"/>
      <c r="HH6" s="1315"/>
      <c r="HI6" s="1315"/>
      <c r="HJ6" s="1315"/>
      <c r="HK6" s="1315"/>
      <c r="HL6" s="1315"/>
      <c r="HM6" s="1316"/>
      <c r="HN6" s="1317"/>
      <c r="HO6" s="1315"/>
      <c r="HP6" s="1315"/>
      <c r="HQ6" s="1315"/>
      <c r="HR6" s="1315"/>
      <c r="HS6" s="1315"/>
      <c r="HT6" s="1315"/>
      <c r="HU6" s="1315"/>
      <c r="HV6" s="1315"/>
      <c r="HW6" s="1315"/>
      <c r="HX6" s="1315"/>
      <c r="HY6" s="1315"/>
      <c r="HZ6" s="1316"/>
      <c r="IA6" s="1317"/>
      <c r="IB6" s="1315"/>
      <c r="IC6" s="1315"/>
      <c r="ID6" s="1315"/>
      <c r="IE6" s="1315"/>
      <c r="IF6" s="1315"/>
      <c r="IG6" s="1315"/>
      <c r="IH6" s="1315"/>
      <c r="II6" s="1315"/>
      <c r="IJ6" s="1315"/>
      <c r="IK6" s="1315"/>
      <c r="IL6" s="1315"/>
      <c r="IM6" s="1316"/>
      <c r="IN6" s="1317"/>
      <c r="IO6" s="1315"/>
      <c r="IP6" s="1315"/>
      <c r="IQ6" s="1315"/>
      <c r="IR6" s="1315"/>
      <c r="IS6" s="1315"/>
      <c r="IT6" s="1315"/>
      <c r="IU6" s="1315"/>
      <c r="IV6" s="1315"/>
      <c r="IW6" s="1315"/>
      <c r="IX6" s="1315"/>
      <c r="IY6" s="1315"/>
      <c r="IZ6" s="1316"/>
      <c r="JA6" s="1317"/>
      <c r="JB6" s="1315"/>
      <c r="JC6" s="1315"/>
      <c r="JD6" s="1315"/>
      <c r="JE6" s="1315"/>
      <c r="JF6" s="1315"/>
      <c r="JG6" s="1315"/>
      <c r="JH6" s="1315"/>
      <c r="JI6" s="1315"/>
      <c r="JJ6" s="1315"/>
      <c r="JK6" s="1315"/>
      <c r="JL6" s="1315"/>
      <c r="JM6" s="1316"/>
      <c r="JN6" s="1317"/>
      <c r="JO6" s="1315"/>
      <c r="JP6" s="1315"/>
      <c r="JQ6" s="1315"/>
      <c r="JR6" s="1315"/>
      <c r="JS6" s="1315"/>
      <c r="JT6" s="1315"/>
      <c r="JU6" s="1315"/>
      <c r="JV6" s="1315"/>
      <c r="JW6" s="1315"/>
      <c r="JX6" s="1315"/>
      <c r="JY6" s="1315"/>
      <c r="JZ6" s="1316"/>
      <c r="KA6" s="1317"/>
      <c r="KC6" s="1298"/>
      <c r="KD6" s="1299"/>
      <c r="KE6" s="1300"/>
      <c r="KF6" s="1301"/>
    </row>
    <row r="7" spans="1:293" ht="15" customHeight="1" x14ac:dyDescent="0.2">
      <c r="A7" s="1163" t="s">
        <v>252</v>
      </c>
      <c r="B7" s="1099"/>
      <c r="C7" s="1099"/>
      <c r="D7" s="1099"/>
      <c r="E7" s="1099"/>
      <c r="F7" s="1099"/>
      <c r="G7" s="1099"/>
      <c r="H7" s="1099"/>
      <c r="I7" s="1099"/>
      <c r="J7" s="1099"/>
      <c r="K7" s="1099"/>
      <c r="L7" s="1099"/>
      <c r="M7" s="1296"/>
      <c r="N7" s="1100">
        <f>IFERROR(AVERAGE(B7:M7),)</f>
        <v>0</v>
      </c>
      <c r="O7" s="1099"/>
      <c r="P7" s="1099"/>
      <c r="Q7" s="1099"/>
      <c r="R7" s="1099"/>
      <c r="S7" s="1099"/>
      <c r="T7" s="1099"/>
      <c r="U7" s="1099"/>
      <c r="V7" s="1099"/>
      <c r="W7" s="1099"/>
      <c r="X7" s="1099"/>
      <c r="Y7" s="1099"/>
      <c r="Z7" s="1296"/>
      <c r="AA7" s="1100">
        <f>IFERROR(AVERAGE(O7:Z7),)</f>
        <v>0</v>
      </c>
      <c r="AB7" s="1099"/>
      <c r="AC7" s="1099"/>
      <c r="AD7" s="1099"/>
      <c r="AE7" s="1099"/>
      <c r="AF7" s="1099"/>
      <c r="AG7" s="1099"/>
      <c r="AH7" s="1099"/>
      <c r="AI7" s="1099"/>
      <c r="AJ7" s="1099"/>
      <c r="AK7" s="1099"/>
      <c r="AL7" s="1099"/>
      <c r="AM7" s="1296"/>
      <c r="AN7" s="1100">
        <f>IFERROR(AVERAGE(AB7:AM7),)</f>
        <v>0</v>
      </c>
      <c r="AO7" s="1099"/>
      <c r="AP7" s="1099"/>
      <c r="AQ7" s="1099"/>
      <c r="AR7" s="1099"/>
      <c r="AS7" s="1099"/>
      <c r="AT7" s="1099"/>
      <c r="AU7" s="1099"/>
      <c r="AV7" s="1099"/>
      <c r="AW7" s="1099"/>
      <c r="AX7" s="1099"/>
      <c r="AY7" s="1099"/>
      <c r="AZ7" s="1296"/>
      <c r="BA7" s="1100">
        <f>IFERROR(AVERAGE(AO7:AZ7),)</f>
        <v>0</v>
      </c>
      <c r="BB7" s="1099"/>
      <c r="BC7" s="1099"/>
      <c r="BD7" s="1099"/>
      <c r="BE7" s="1099"/>
      <c r="BF7" s="1099"/>
      <c r="BG7" s="1099"/>
      <c r="BH7" s="1099"/>
      <c r="BI7" s="1099"/>
      <c r="BJ7" s="1099"/>
      <c r="BK7" s="1099"/>
      <c r="BL7" s="1099"/>
      <c r="BM7" s="1296"/>
      <c r="BN7" s="1100">
        <f>IFERROR(AVERAGE(BB7:BM7),)</f>
        <v>0</v>
      </c>
      <c r="BO7" s="1099">
        <v>104.98802666270434</v>
      </c>
      <c r="BP7" s="1099">
        <v>95.428016572619256</v>
      </c>
      <c r="BQ7" s="1099">
        <v>241.19173580563458</v>
      </c>
      <c r="BR7" s="1099">
        <v>145.36149803208787</v>
      </c>
      <c r="BS7" s="1099"/>
      <c r="BT7" s="1099"/>
      <c r="BU7" s="1099">
        <v>53.373094718946213</v>
      </c>
      <c r="BV7" s="1099">
        <v>72.030767848565802</v>
      </c>
      <c r="BW7" s="1099">
        <v>71.14131993517465</v>
      </c>
      <c r="BX7" s="1099">
        <v>75.05364677099999</v>
      </c>
      <c r="BY7" s="1099">
        <v>159.49107269353445</v>
      </c>
      <c r="BZ7" s="1296">
        <v>181.94082095973297</v>
      </c>
      <c r="CA7" s="1100">
        <f>IFERROR(AVERAGE(BO7:BZ7),)</f>
        <v>120</v>
      </c>
      <c r="CB7" s="1099">
        <v>173.52734862280704</v>
      </c>
      <c r="CC7" s="1099">
        <v>145.86323788066753</v>
      </c>
      <c r="CD7" s="1099">
        <v>190.65699584993419</v>
      </c>
      <c r="CE7" s="1099">
        <v>167.48366408309806</v>
      </c>
      <c r="CF7" s="1099">
        <v>327.60294823993672</v>
      </c>
      <c r="CG7" s="1099">
        <v>186.70734952123931</v>
      </c>
      <c r="CH7" s="1099">
        <v>134.98667901435076</v>
      </c>
      <c r="CI7" s="1099">
        <v>313.40910111854822</v>
      </c>
      <c r="CJ7" s="1099">
        <v>160.74127570466459</v>
      </c>
      <c r="CK7" s="1099">
        <v>298.92291796968141</v>
      </c>
      <c r="CL7" s="1099">
        <v>483.41597758066024</v>
      </c>
      <c r="CM7" s="1296">
        <v>223.53546906801483</v>
      </c>
      <c r="CN7" s="1100">
        <f>IFERROR(AVERAGE(CB7:CM7),)</f>
        <v>233.90441372113355</v>
      </c>
      <c r="CO7" s="1099">
        <v>243.32724011983706</v>
      </c>
      <c r="CP7" s="1099">
        <v>257.86525589768934</v>
      </c>
      <c r="CQ7" s="1099">
        <v>326.14334140770512</v>
      </c>
      <c r="CR7" s="1099">
        <v>325.32231256457487</v>
      </c>
      <c r="CS7" s="1099">
        <v>493.8716554996148</v>
      </c>
      <c r="CT7" s="1099">
        <v>221.39789144865287</v>
      </c>
      <c r="CU7" s="1099">
        <v>122.58624085586037</v>
      </c>
      <c r="CV7" s="1099">
        <v>329.99346908874787</v>
      </c>
      <c r="CW7" s="1099">
        <v>314.65930412967839</v>
      </c>
      <c r="CX7" s="1099"/>
      <c r="CY7" s="1099">
        <v>258.29857667600805</v>
      </c>
      <c r="CZ7" s="1296">
        <v>247.42823772516962</v>
      </c>
      <c r="DA7" s="1100">
        <f>IFERROR(AVERAGE(CO7:CZ7),)</f>
        <v>285.53577503759442</v>
      </c>
      <c r="DB7" s="1099">
        <v>460.3131381892444</v>
      </c>
      <c r="DC7" s="1099">
        <v>460.3131381892444</v>
      </c>
      <c r="DD7" s="1099">
        <v>189.58302377735467</v>
      </c>
      <c r="DE7" s="1099">
        <v>290.97179268330615</v>
      </c>
      <c r="DF7" s="1099">
        <v>182.6436714087763</v>
      </c>
      <c r="DG7" s="1099">
        <v>147.19637309817446</v>
      </c>
      <c r="DH7" s="1099">
        <v>227.57841412888359</v>
      </c>
      <c r="DI7" s="1099">
        <v>233.27378340181008</v>
      </c>
      <c r="DJ7" s="1099">
        <v>218.11170277097233</v>
      </c>
      <c r="DK7" s="1099">
        <v>275.36602474835263</v>
      </c>
      <c r="DL7" s="1099">
        <v>296.77912043484127</v>
      </c>
      <c r="DM7" s="1296">
        <v>225.23972590905794</v>
      </c>
      <c r="DN7" s="1100">
        <f>IFERROR(AVERAGE(DB7:DM7),)</f>
        <v>267.28082572833489</v>
      </c>
      <c r="DO7" s="1099">
        <v>169.51964974964841</v>
      </c>
      <c r="DP7" s="1099">
        <v>3.2924085931587839</v>
      </c>
      <c r="DQ7" s="1099"/>
      <c r="DR7" s="1099"/>
      <c r="DS7" s="1099"/>
      <c r="DT7" s="1099"/>
      <c r="DU7" s="1099">
        <v>18.925129495184752</v>
      </c>
      <c r="DV7" s="1099"/>
      <c r="DW7" s="1099"/>
      <c r="DX7" s="1099"/>
      <c r="DY7" s="1099"/>
      <c r="DZ7" s="1296">
        <v>17.177333245793783</v>
      </c>
      <c r="EA7" s="1100">
        <f>IFERROR(AVERAGE(DO7:DZ7),)</f>
        <v>52.228630270946439</v>
      </c>
      <c r="EB7" s="1099"/>
      <c r="EC7" s="1099"/>
      <c r="ED7" s="1099"/>
      <c r="EE7" s="1099"/>
      <c r="EF7" s="1099"/>
      <c r="EG7" s="1099">
        <v>48.513267425265987</v>
      </c>
      <c r="EH7" s="1099"/>
      <c r="EI7" s="1099"/>
      <c r="EJ7" s="1099"/>
      <c r="EK7" s="1099"/>
      <c r="EL7" s="1099">
        <v>52.579018842888395</v>
      </c>
      <c r="EM7" s="1296"/>
      <c r="EN7" s="1100">
        <f>IFERROR(AVERAGE(EB7:EM7),)</f>
        <v>50.546143134077191</v>
      </c>
      <c r="EO7" s="1099"/>
      <c r="EP7" s="1099">
        <f t="shared" ref="EP7:EZ7" si="0">EP8</f>
        <v>114.15203546734027</v>
      </c>
      <c r="EQ7" s="1099">
        <f t="shared" si="0"/>
        <v>18.8</v>
      </c>
      <c r="ER7" s="1099">
        <f t="shared" si="0"/>
        <v>0</v>
      </c>
      <c r="ES7" s="1099">
        <f t="shared" si="0"/>
        <v>0</v>
      </c>
      <c r="ET7" s="1099">
        <f t="shared" si="0"/>
        <v>0</v>
      </c>
      <c r="EU7" s="1099">
        <f t="shared" si="0"/>
        <v>0</v>
      </c>
      <c r="EV7" s="1099">
        <f t="shared" si="0"/>
        <v>0</v>
      </c>
      <c r="EW7" s="1099">
        <f t="shared" si="0"/>
        <v>0</v>
      </c>
      <c r="EX7" s="1099">
        <f t="shared" si="0"/>
        <v>0</v>
      </c>
      <c r="EY7" s="1099">
        <f t="shared" si="0"/>
        <v>0</v>
      </c>
      <c r="EZ7" s="1296">
        <f t="shared" si="0"/>
        <v>0</v>
      </c>
      <c r="FA7" s="1100">
        <f>IFERROR(AVERAGE(EO7:EZ7),)</f>
        <v>12.086548678849114</v>
      </c>
      <c r="FB7" s="1099"/>
      <c r="FC7" s="1099"/>
      <c r="FD7" s="1099"/>
      <c r="FE7" s="1099"/>
      <c r="FF7" s="1099"/>
      <c r="FG7" s="1099">
        <v>123.72863199870075</v>
      </c>
      <c r="FH7" s="1099">
        <v>39.697573887412617</v>
      </c>
      <c r="FI7" s="1099">
        <v>40.429450608687837</v>
      </c>
      <c r="FJ7" s="1099">
        <v>15.34245817970718</v>
      </c>
      <c r="FK7" s="1099">
        <v>43.236705794542374</v>
      </c>
      <c r="FL7" s="1099">
        <v>92.282812645779273</v>
      </c>
      <c r="FM7" s="1296">
        <v>10.781186828983422</v>
      </c>
      <c r="FN7" s="1100">
        <f>IFERROR(AVERAGE(FB7:FM7),)</f>
        <v>52.214117134830495</v>
      </c>
      <c r="FO7" s="1099"/>
      <c r="FP7" s="1099">
        <v>112.87280618397818</v>
      </c>
      <c r="FQ7" s="1099"/>
      <c r="FR7" s="1099"/>
      <c r="FS7" s="1099"/>
      <c r="FT7" s="1099"/>
      <c r="FU7" s="1099">
        <v>118.14314789922355</v>
      </c>
      <c r="FV7" s="1099">
        <v>99.701098506183641</v>
      </c>
      <c r="FW7" s="1099"/>
      <c r="FX7" s="1099"/>
      <c r="FY7" s="1099">
        <v>37.112162353616021</v>
      </c>
      <c r="FZ7" s="1296">
        <v>41.880764220281762</v>
      </c>
      <c r="GA7" s="1100">
        <f>IFERROR(AVERAGE(FO7:FZ7),)</f>
        <v>81.941995832656644</v>
      </c>
      <c r="GB7" s="1099">
        <v>70.285044904334242</v>
      </c>
      <c r="GC7" s="1099"/>
      <c r="GD7" s="1099"/>
      <c r="GE7" s="1099"/>
      <c r="GF7" s="1099"/>
      <c r="GG7" s="1099"/>
      <c r="GH7" s="1099"/>
      <c r="GI7" s="1099"/>
      <c r="GJ7" s="1099">
        <v>45.820044023179555</v>
      </c>
      <c r="GK7" s="1099"/>
      <c r="GL7" s="1099"/>
      <c r="GM7" s="1296">
        <v>20.743418119995987</v>
      </c>
      <c r="GN7" s="1100">
        <f>IFERROR(AVERAGE(GB7:GM7),)</f>
        <v>45.616169015836597</v>
      </c>
      <c r="GO7" s="1099"/>
      <c r="GP7" s="1099"/>
      <c r="GQ7" s="1099"/>
      <c r="GR7" s="1099"/>
      <c r="GS7" s="1099"/>
      <c r="GT7" s="1099"/>
      <c r="GU7" s="1099"/>
      <c r="GV7" s="1099"/>
      <c r="GW7" s="1099"/>
      <c r="GX7" s="1099"/>
      <c r="GY7" s="1099"/>
      <c r="GZ7" s="1296"/>
      <c r="HA7" s="1100">
        <f>IFERROR(AVERAGE(GO7:GZ7),)</f>
        <v>0</v>
      </c>
      <c r="HB7" s="1099"/>
      <c r="HC7" s="1099"/>
      <c r="HD7" s="1099"/>
      <c r="HE7" s="1099"/>
      <c r="HF7" s="1099"/>
      <c r="HG7" s="1099"/>
      <c r="HH7" s="1099"/>
      <c r="HI7" s="1099"/>
      <c r="HJ7" s="1099"/>
      <c r="HK7" s="1099"/>
      <c r="HL7" s="1099"/>
      <c r="HM7" s="1296"/>
      <c r="HN7" s="1100">
        <f>IFERROR(AVERAGE(HB7:HM7),)</f>
        <v>0</v>
      </c>
      <c r="HO7" s="1099"/>
      <c r="HP7" s="1099"/>
      <c r="HQ7" s="1099"/>
      <c r="HR7" s="1099"/>
      <c r="HS7" s="1099"/>
      <c r="HT7" s="1099"/>
      <c r="HU7" s="1099"/>
      <c r="HV7" s="1099"/>
      <c r="HW7" s="1099"/>
      <c r="HX7" s="1099"/>
      <c r="HY7" s="1099"/>
      <c r="HZ7" s="1296"/>
      <c r="IA7" s="1100">
        <f>IFERROR(AVERAGE(HO7:HZ7),)</f>
        <v>0</v>
      </c>
      <c r="IB7" s="1099"/>
      <c r="IC7" s="1099"/>
      <c r="ID7" s="1099"/>
      <c r="IE7" s="1099"/>
      <c r="IF7" s="1099"/>
      <c r="IG7" s="1099"/>
      <c r="IH7" s="1099"/>
      <c r="II7" s="1099"/>
      <c r="IJ7" s="1099"/>
      <c r="IK7" s="1099"/>
      <c r="IL7" s="1099"/>
      <c r="IM7" s="1296"/>
      <c r="IN7" s="1100">
        <f>IFERROR(AVERAGE(IB7:IM7),)</f>
        <v>0</v>
      </c>
      <c r="IO7" s="1099"/>
      <c r="IP7" s="1099"/>
      <c r="IQ7" s="1099"/>
      <c r="IR7" s="1099"/>
      <c r="IS7" s="1099"/>
      <c r="IT7" s="1099"/>
      <c r="IU7" s="1099"/>
      <c r="IV7" s="1099"/>
      <c r="IW7" s="1099"/>
      <c r="IX7" s="1099"/>
      <c r="IY7" s="1099"/>
      <c r="IZ7" s="1296"/>
      <c r="JA7" s="1100">
        <f>IFERROR(AVERAGE(IO7:IZ7),)</f>
        <v>0</v>
      </c>
      <c r="JB7" s="1099"/>
      <c r="JC7" s="1099"/>
      <c r="JD7" s="1099"/>
      <c r="JE7" s="1099"/>
      <c r="JF7" s="1099"/>
      <c r="JG7" s="1099"/>
      <c r="JH7" s="1099"/>
      <c r="JI7" s="1099"/>
      <c r="JJ7" s="1099"/>
      <c r="JK7" s="1099"/>
      <c r="JL7" s="1099"/>
      <c r="JM7" s="1296"/>
      <c r="JN7" s="1100">
        <f>IFERROR(AVERAGE(JB7:JM7),)</f>
        <v>0</v>
      </c>
      <c r="JO7" s="1099"/>
      <c r="JP7" s="1099"/>
      <c r="JQ7" s="1099"/>
      <c r="JR7" s="1099"/>
      <c r="JS7" s="1099"/>
      <c r="JT7" s="1099"/>
      <c r="JU7" s="1099"/>
      <c r="JV7" s="1099"/>
      <c r="JW7" s="1099"/>
      <c r="JX7" s="1099"/>
      <c r="JY7" s="1099"/>
      <c r="JZ7" s="1296"/>
      <c r="KA7" s="1100">
        <f>IFERROR(AVERAGE(JO7:JZ7),)</f>
        <v>0</v>
      </c>
      <c r="KB7" s="71"/>
      <c r="KC7" s="1270" t="str" cm="1">
        <f t="array" ref="KC7">IFERROR(((
_xlfn.XLOOKUP((DATE(YEAR($KC$5),MONTH($KC$5),1)),SMN.MANUFACTURA.DATE,$B7:$KA7) /
_xlfn.XLOOKUP((DATE(YEAR($KC$5)-1,MONTH($KC$5),1)),SMN.MANUFACTURA.DATE,$B7:$KA7)
)-1)*100,"")</f>
        <v/>
      </c>
      <c r="KD7" s="1297" t="str">
        <f>IFERROR(((KF7/KE7)-1)*100,"")</f>
        <v/>
      </c>
      <c r="KE7" s="1271" cm="1">
        <f t="array" ref="KE7">SUMIFS($B7:$KA7,SMN.MANUFACTURA.DATE,"&gt;="&amp;DATE(YEAR($KC$5)-1,1,1),SMN.MANUFACTURA.DATE,"&lt;="&amp;DATE(YEAR($KC$5)-1,MONTH($KC$5),1))</f>
        <v>0</v>
      </c>
      <c r="KF7" s="1272" cm="1">
        <f t="array" ref="KF7">SUMIFS($B7:$KA7,SMN.MANUFACTURA.DATE,"&gt;="&amp;DATE(YEAR($KC$5),1,1),SMN.MANUFACTURA.DATE,"&lt;="&amp;$KC$5)</f>
        <v>0</v>
      </c>
    </row>
    <row r="8" spans="1:293" ht="15" customHeight="1" x14ac:dyDescent="0.2">
      <c r="A8" s="1168" t="s">
        <v>255</v>
      </c>
      <c r="B8" s="1135"/>
      <c r="C8" s="1135"/>
      <c r="D8" s="1135"/>
      <c r="E8" s="1135"/>
      <c r="F8" s="1135"/>
      <c r="G8" s="1135"/>
      <c r="H8" s="1135"/>
      <c r="I8" s="1135"/>
      <c r="J8" s="1135"/>
      <c r="K8" s="1135"/>
      <c r="L8" s="1135"/>
      <c r="M8" s="1312"/>
      <c r="N8" s="1136">
        <f t="shared" ref="N8:N20" si="1">IFERROR(AVERAGE(B8:M8),)</f>
        <v>0</v>
      </c>
      <c r="O8" s="1135"/>
      <c r="P8" s="1135"/>
      <c r="Q8" s="1135"/>
      <c r="R8" s="1135"/>
      <c r="S8" s="1135"/>
      <c r="T8" s="1135"/>
      <c r="U8" s="1135"/>
      <c r="V8" s="1135"/>
      <c r="W8" s="1135"/>
      <c r="X8" s="1135"/>
      <c r="Y8" s="1135"/>
      <c r="Z8" s="1312"/>
      <c r="AA8" s="1136">
        <f t="shared" ref="AA8:AA20" si="2">IFERROR(AVERAGE(O8:Z8),)</f>
        <v>0</v>
      </c>
      <c r="AB8" s="1135"/>
      <c r="AC8" s="1135"/>
      <c r="AD8" s="1135"/>
      <c r="AE8" s="1135"/>
      <c r="AF8" s="1135"/>
      <c r="AG8" s="1135"/>
      <c r="AH8" s="1135"/>
      <c r="AI8" s="1135"/>
      <c r="AJ8" s="1135"/>
      <c r="AK8" s="1135"/>
      <c r="AL8" s="1135"/>
      <c r="AM8" s="1312"/>
      <c r="AN8" s="1136">
        <f t="shared" ref="AN8:AN20" si="3">IFERROR(AVERAGE(AB8:AM8),)</f>
        <v>0</v>
      </c>
      <c r="AO8" s="1135"/>
      <c r="AP8" s="1135"/>
      <c r="AQ8" s="1135"/>
      <c r="AR8" s="1135"/>
      <c r="AS8" s="1135"/>
      <c r="AT8" s="1135"/>
      <c r="AU8" s="1135"/>
      <c r="AV8" s="1135"/>
      <c r="AW8" s="1135"/>
      <c r="AX8" s="1135"/>
      <c r="AY8" s="1135"/>
      <c r="AZ8" s="1312"/>
      <c r="BA8" s="1136">
        <f t="shared" ref="BA8:BA20" si="4">IFERROR(AVERAGE(AO8:AZ8),)</f>
        <v>0</v>
      </c>
      <c r="BB8" s="1135"/>
      <c r="BC8" s="1135"/>
      <c r="BD8" s="1135"/>
      <c r="BE8" s="1135"/>
      <c r="BF8" s="1135"/>
      <c r="BG8" s="1135"/>
      <c r="BH8" s="1135"/>
      <c r="BI8" s="1135"/>
      <c r="BJ8" s="1135"/>
      <c r="BK8" s="1135"/>
      <c r="BL8" s="1135"/>
      <c r="BM8" s="1312"/>
      <c r="BN8" s="1136">
        <f t="shared" ref="BN8:BN20" si="5">IFERROR(AVERAGE(BB8:BM8),)</f>
        <v>0</v>
      </c>
      <c r="BO8" s="1135">
        <v>104.98802666270434</v>
      </c>
      <c r="BP8" s="1135">
        <v>95.428016572619256</v>
      </c>
      <c r="BQ8" s="1135">
        <v>241.19173580563458</v>
      </c>
      <c r="BR8" s="1135">
        <v>145.36149803208787</v>
      </c>
      <c r="BS8" s="1135"/>
      <c r="BT8" s="1135"/>
      <c r="BU8" s="1135">
        <v>53.373094718946213</v>
      </c>
      <c r="BV8" s="1135">
        <v>72.030767848565802</v>
      </c>
      <c r="BW8" s="1135">
        <v>71.14131993517465</v>
      </c>
      <c r="BX8" s="1135">
        <v>75.05364677099999</v>
      </c>
      <c r="BY8" s="1135">
        <v>159.49107269353442</v>
      </c>
      <c r="BZ8" s="1312">
        <v>181.94082095973297</v>
      </c>
      <c r="CA8" s="1136">
        <f t="shared" ref="CA8:CA20" si="6">IFERROR(AVERAGE(BO8:BZ8),)</f>
        <v>120</v>
      </c>
      <c r="CB8" s="1135">
        <v>173.52734862280704</v>
      </c>
      <c r="CC8" s="1135">
        <v>145.8632378806675</v>
      </c>
      <c r="CD8" s="1135">
        <v>190.65699584993419</v>
      </c>
      <c r="CE8" s="1135">
        <v>167.48366408309806</v>
      </c>
      <c r="CF8" s="1135">
        <v>327.60294823993672</v>
      </c>
      <c r="CG8" s="1135">
        <v>186.70734952123931</v>
      </c>
      <c r="CH8" s="1135">
        <v>134.98667901435076</v>
      </c>
      <c r="CI8" s="1135">
        <v>313.40910111854822</v>
      </c>
      <c r="CJ8" s="1135">
        <v>160.74127570466459</v>
      </c>
      <c r="CK8" s="1135">
        <v>298.92291796968141</v>
      </c>
      <c r="CL8" s="1135">
        <v>483.41597758066024</v>
      </c>
      <c r="CM8" s="1312">
        <v>223.53546906801483</v>
      </c>
      <c r="CN8" s="1136">
        <f t="shared" ref="CN8:CN20" si="7">IFERROR(AVERAGE(CB8:CM8),)</f>
        <v>233.90441372113355</v>
      </c>
      <c r="CO8" s="1135">
        <v>243.32724011983706</v>
      </c>
      <c r="CP8" s="1135">
        <v>257.86525589768934</v>
      </c>
      <c r="CQ8" s="1135">
        <v>326.14334140770512</v>
      </c>
      <c r="CR8" s="1135">
        <v>325.32231256457487</v>
      </c>
      <c r="CS8" s="1135">
        <v>493.8716554996148</v>
      </c>
      <c r="CT8" s="1135">
        <v>221.39789144865287</v>
      </c>
      <c r="CU8" s="1135">
        <v>122.58624085586037</v>
      </c>
      <c r="CV8" s="1135">
        <v>329.99346908874787</v>
      </c>
      <c r="CW8" s="1135">
        <v>314.65930412967839</v>
      </c>
      <c r="CX8" s="1135"/>
      <c r="CY8" s="1135">
        <v>258.29857667600805</v>
      </c>
      <c r="CZ8" s="1312">
        <v>247.42823772516962</v>
      </c>
      <c r="DA8" s="1136">
        <f t="shared" ref="DA8:DA20" si="8">IFERROR(AVERAGE(CO8:CZ8),)</f>
        <v>285.53577503759442</v>
      </c>
      <c r="DB8" s="1135">
        <v>460.3131381892444</v>
      </c>
      <c r="DC8" s="1135">
        <v>460.3131381892444</v>
      </c>
      <c r="DD8" s="1135">
        <v>189.58302377735467</v>
      </c>
      <c r="DE8" s="1135">
        <v>290.97179268330615</v>
      </c>
      <c r="DF8" s="1135">
        <v>182.6436714087763</v>
      </c>
      <c r="DG8" s="1135">
        <v>147.19637309817446</v>
      </c>
      <c r="DH8" s="1135">
        <v>227.57841412888359</v>
      </c>
      <c r="DI8" s="1135">
        <v>233.27378340181008</v>
      </c>
      <c r="DJ8" s="1135">
        <v>218.11170277097233</v>
      </c>
      <c r="DK8" s="1135">
        <v>275.36602474835263</v>
      </c>
      <c r="DL8" s="1135">
        <v>296.77912043484127</v>
      </c>
      <c r="DM8" s="1312">
        <v>225.23972590905794</v>
      </c>
      <c r="DN8" s="1136">
        <f t="shared" ref="DN8:DN20" si="9">IFERROR(AVERAGE(DB8:DM8),)</f>
        <v>267.28082572833489</v>
      </c>
      <c r="DO8" s="1135">
        <v>169.51964974964841</v>
      </c>
      <c r="DP8" s="1135">
        <v>3.2924085931587839</v>
      </c>
      <c r="DQ8" s="1135"/>
      <c r="DR8" s="1135"/>
      <c r="DS8" s="1135"/>
      <c r="DT8" s="1135"/>
      <c r="DU8" s="1135">
        <v>18.925129495184752</v>
      </c>
      <c r="DV8" s="1135"/>
      <c r="DW8" s="1135"/>
      <c r="DX8" s="1135"/>
      <c r="DY8" s="1135"/>
      <c r="DZ8" s="1312">
        <v>17.177333245793783</v>
      </c>
      <c r="EA8" s="1136">
        <f t="shared" ref="EA8:EA20" si="10">IFERROR(AVERAGE(DO8:DZ8),)</f>
        <v>52.228630270946439</v>
      </c>
      <c r="EB8" s="1135"/>
      <c r="EC8" s="1135"/>
      <c r="ED8" s="1135"/>
      <c r="EE8" s="1135"/>
      <c r="EF8" s="1135"/>
      <c r="EG8" s="1135">
        <v>48.513267425265987</v>
      </c>
      <c r="EH8" s="1135"/>
      <c r="EI8" s="1135"/>
      <c r="EJ8" s="1135"/>
      <c r="EK8" s="1135"/>
      <c r="EL8" s="1135">
        <v>52.579018842888395</v>
      </c>
      <c r="EM8" s="1312"/>
      <c r="EN8" s="1136">
        <f t="shared" ref="EN8:EN20" si="11">IFERROR(AVERAGE(EB8:EM8),)</f>
        <v>50.546143134077191</v>
      </c>
      <c r="EO8" s="1135"/>
      <c r="EP8" s="1135">
        <v>114.15203546734027</v>
      </c>
      <c r="EQ8" s="1135">
        <v>18.8</v>
      </c>
      <c r="ER8" s="1135"/>
      <c r="ES8" s="1135"/>
      <c r="ET8" s="1135"/>
      <c r="EU8" s="1135"/>
      <c r="EV8" s="1135"/>
      <c r="EW8" s="1135"/>
      <c r="EX8" s="1135"/>
      <c r="EY8" s="1135"/>
      <c r="EZ8" s="1312"/>
      <c r="FA8" s="1136">
        <f t="shared" ref="FA8:FA20" si="12">IFERROR(AVERAGE(EO8:EZ8),)</f>
        <v>66.476017733670133</v>
      </c>
      <c r="FB8" s="1135"/>
      <c r="FC8" s="1135"/>
      <c r="FD8" s="1135"/>
      <c r="FE8" s="1135"/>
      <c r="FF8" s="1135"/>
      <c r="FG8" s="1135">
        <v>123.72863199870075</v>
      </c>
      <c r="FH8" s="1135">
        <v>39.697573887412617</v>
      </c>
      <c r="FI8" s="1135">
        <v>40.429450608687837</v>
      </c>
      <c r="FJ8" s="1135">
        <v>15.34245817970718</v>
      </c>
      <c r="FK8" s="1135">
        <v>43.236705794542367</v>
      </c>
      <c r="FL8" s="1135">
        <v>92.282812645779273</v>
      </c>
      <c r="FM8" s="1312">
        <v>10.781186828983424</v>
      </c>
      <c r="FN8" s="1136">
        <f t="shared" ref="FN8:FN20" si="13">IFERROR(AVERAGE(FB8:FM8),)</f>
        <v>52.214117134830495</v>
      </c>
      <c r="FO8" s="1135"/>
      <c r="FP8" s="1135">
        <v>112.87280618397818</v>
      </c>
      <c r="FQ8" s="1135"/>
      <c r="FR8" s="1135"/>
      <c r="FS8" s="1135"/>
      <c r="FT8" s="1135"/>
      <c r="FU8" s="1135">
        <v>118.14314789922355</v>
      </c>
      <c r="FV8" s="1135">
        <v>99.701098506183641</v>
      </c>
      <c r="FW8" s="1135"/>
      <c r="FX8" s="1135"/>
      <c r="FY8" s="1135">
        <v>37.112162353616021</v>
      </c>
      <c r="FZ8" s="1312">
        <v>41.880764220281762</v>
      </c>
      <c r="GA8" s="1136">
        <f t="shared" ref="GA8:GA20" si="14">IFERROR(AVERAGE(FO8:FZ8),)</f>
        <v>81.941995832656644</v>
      </c>
      <c r="GB8" s="1135">
        <v>70.285044904334242</v>
      </c>
      <c r="GC8" s="1135"/>
      <c r="GD8" s="1135"/>
      <c r="GE8" s="1135"/>
      <c r="GF8" s="1135"/>
      <c r="GG8" s="1135"/>
      <c r="GH8" s="1135"/>
      <c r="GI8" s="1135"/>
      <c r="GJ8" s="1135">
        <v>45.820044023179555</v>
      </c>
      <c r="GK8" s="1135"/>
      <c r="GL8" s="1135"/>
      <c r="GM8" s="1312">
        <v>20.74341811999599</v>
      </c>
      <c r="GN8" s="1136">
        <f t="shared" ref="GN8:GN20" si="15">IFERROR(AVERAGE(GB8:GM8),)</f>
        <v>45.616169015836597</v>
      </c>
      <c r="GO8" s="1135"/>
      <c r="GP8" s="1135"/>
      <c r="GQ8" s="1135"/>
      <c r="GR8" s="1135"/>
      <c r="GS8" s="1135"/>
      <c r="GT8" s="1135"/>
      <c r="GU8" s="1135"/>
      <c r="GV8" s="1135"/>
      <c r="GW8" s="1135"/>
      <c r="GX8" s="1135"/>
      <c r="GY8" s="1135"/>
      <c r="GZ8" s="1312"/>
      <c r="HA8" s="1136">
        <f t="shared" ref="HA8:HA20" si="16">IFERROR(AVERAGE(GO8:GZ8),)</f>
        <v>0</v>
      </c>
      <c r="HB8" s="1135"/>
      <c r="HC8" s="1135"/>
      <c r="HD8" s="1135"/>
      <c r="HE8" s="1135"/>
      <c r="HF8" s="1135"/>
      <c r="HG8" s="1135"/>
      <c r="HH8" s="1135"/>
      <c r="HI8" s="1135"/>
      <c r="HJ8" s="1135"/>
      <c r="HK8" s="1135"/>
      <c r="HL8" s="1135"/>
      <c r="HM8" s="1312"/>
      <c r="HN8" s="1136">
        <f t="shared" ref="HN8:HN20" si="17">IFERROR(AVERAGE(HB8:HM8),)</f>
        <v>0</v>
      </c>
      <c r="HO8" s="1135"/>
      <c r="HP8" s="1135"/>
      <c r="HQ8" s="1135"/>
      <c r="HR8" s="1135"/>
      <c r="HS8" s="1135"/>
      <c r="HT8" s="1135"/>
      <c r="HU8" s="1135"/>
      <c r="HV8" s="1135"/>
      <c r="HW8" s="1135"/>
      <c r="HX8" s="1135"/>
      <c r="HY8" s="1135"/>
      <c r="HZ8" s="1312"/>
      <c r="IA8" s="1136">
        <f t="shared" ref="IA8:IA20" si="18">IFERROR(AVERAGE(HO8:HZ8),)</f>
        <v>0</v>
      </c>
      <c r="IB8" s="1135"/>
      <c r="IC8" s="1135"/>
      <c r="ID8" s="1135"/>
      <c r="IE8" s="1135"/>
      <c r="IF8" s="1135"/>
      <c r="IG8" s="1135"/>
      <c r="IH8" s="1135"/>
      <c r="II8" s="1135"/>
      <c r="IJ8" s="1135"/>
      <c r="IK8" s="1135"/>
      <c r="IL8" s="1135"/>
      <c r="IM8" s="1312"/>
      <c r="IN8" s="1136">
        <f t="shared" ref="IN8:IN20" si="19">IFERROR(AVERAGE(IB8:IM8),)</f>
        <v>0</v>
      </c>
      <c r="IO8" s="1135"/>
      <c r="IP8" s="1135"/>
      <c r="IQ8" s="1135"/>
      <c r="IR8" s="1135"/>
      <c r="IS8" s="1135"/>
      <c r="IT8" s="1135"/>
      <c r="IU8" s="1135"/>
      <c r="IV8" s="1135"/>
      <c r="IW8" s="1135"/>
      <c r="IX8" s="1135"/>
      <c r="IY8" s="1135"/>
      <c r="IZ8" s="1312"/>
      <c r="JA8" s="1136">
        <f t="shared" ref="JA8:JA20" si="20">IFERROR(AVERAGE(IO8:IZ8),)</f>
        <v>0</v>
      </c>
      <c r="JB8" s="1135"/>
      <c r="JC8" s="1135"/>
      <c r="JD8" s="1135"/>
      <c r="JE8" s="1135"/>
      <c r="JF8" s="1135"/>
      <c r="JG8" s="1135"/>
      <c r="JH8" s="1135"/>
      <c r="JI8" s="1135"/>
      <c r="JJ8" s="1135"/>
      <c r="JK8" s="1135"/>
      <c r="JL8" s="1135"/>
      <c r="JM8" s="1312"/>
      <c r="JN8" s="1136">
        <f t="shared" ref="JN8:JN18" si="21">IFERROR(AVERAGE(JB8:JM8),)</f>
        <v>0</v>
      </c>
      <c r="JO8" s="1135"/>
      <c r="JP8" s="1135"/>
      <c r="JQ8" s="1135"/>
      <c r="JR8" s="1135"/>
      <c r="JS8" s="1135"/>
      <c r="JT8" s="1135"/>
      <c r="JU8" s="1135"/>
      <c r="JV8" s="1135"/>
      <c r="JW8" s="1135"/>
      <c r="JX8" s="1135"/>
      <c r="JY8" s="1135"/>
      <c r="JZ8" s="1312"/>
      <c r="KA8" s="1136">
        <f t="shared" ref="KA8" si="22">IFERROR(AVERAGE(JO8:JZ8),)</f>
        <v>0</v>
      </c>
      <c r="KC8" s="1270" t="str" cm="1">
        <f t="array" ref="KC8">IFERROR(((
_xlfn.XLOOKUP((DATE(YEAR($KC$5),MONTH($KC$5),1)),SMN.MANUFACTURA.DATE,$B8:$KA8) /
_xlfn.XLOOKUP((DATE(YEAR($KC$5)-1,MONTH($KC$5),1)),SMN.MANUFACTURA.DATE,$B8:$KA8)
)-1)*100,"")</f>
        <v/>
      </c>
      <c r="KD8" s="1297" t="str">
        <f t="shared" ref="KD8" si="23">IFERROR(((KF8/KE8)-1)*100,"")</f>
        <v/>
      </c>
      <c r="KE8" s="1271" cm="1">
        <f t="array" ref="KE8">SUMIFS($B8:$KA8,SMN.MANUFACTURA.DATE,"&gt;="&amp;DATE(YEAR($KC$5)-1,1,1),SMN.MANUFACTURA.DATE,"&lt;="&amp;DATE(YEAR($KC$5)-1,MONTH($KC$5),1))</f>
        <v>0</v>
      </c>
      <c r="KF8" s="1272" cm="1">
        <f t="array" ref="KF8">SUMIFS($B8:$KA8,SMN.MANUFACTURA.DATE,"&gt;="&amp;DATE(YEAR($KC$5),1,1),SMN.MANUFACTURA.DATE,"&lt;="&amp;$KC$5)</f>
        <v>0</v>
      </c>
    </row>
    <row r="9" spans="1:293" ht="15" customHeight="1" x14ac:dyDescent="0.2">
      <c r="A9" s="1313"/>
      <c r="B9" s="1135"/>
      <c r="C9" s="1135"/>
      <c r="D9" s="1135"/>
      <c r="E9" s="1135"/>
      <c r="F9" s="1135"/>
      <c r="G9" s="1135"/>
      <c r="H9" s="1135"/>
      <c r="I9" s="1135"/>
      <c r="J9" s="1135"/>
      <c r="K9" s="1135"/>
      <c r="L9" s="1135"/>
      <c r="M9" s="1312"/>
      <c r="N9" s="1136"/>
      <c r="O9" s="1135"/>
      <c r="P9" s="1135"/>
      <c r="Q9" s="1135"/>
      <c r="R9" s="1135"/>
      <c r="S9" s="1135"/>
      <c r="T9" s="1135"/>
      <c r="U9" s="1135"/>
      <c r="V9" s="1135"/>
      <c r="W9" s="1135"/>
      <c r="X9" s="1135"/>
      <c r="Y9" s="1135"/>
      <c r="Z9" s="1312"/>
      <c r="AA9" s="1136"/>
      <c r="AB9" s="1135"/>
      <c r="AC9" s="1135"/>
      <c r="AD9" s="1135"/>
      <c r="AE9" s="1135"/>
      <c r="AF9" s="1135"/>
      <c r="AG9" s="1135"/>
      <c r="AH9" s="1135"/>
      <c r="AI9" s="1135"/>
      <c r="AJ9" s="1135"/>
      <c r="AK9" s="1135"/>
      <c r="AL9" s="1135"/>
      <c r="AM9" s="1312"/>
      <c r="AN9" s="1136"/>
      <c r="AO9" s="1135"/>
      <c r="AP9" s="1135"/>
      <c r="AQ9" s="1135"/>
      <c r="AR9" s="1135"/>
      <c r="AS9" s="1135"/>
      <c r="AT9" s="1135"/>
      <c r="AU9" s="1135"/>
      <c r="AV9" s="1135"/>
      <c r="AW9" s="1135"/>
      <c r="AX9" s="1135"/>
      <c r="AY9" s="1135"/>
      <c r="AZ9" s="1312"/>
      <c r="BA9" s="1136"/>
      <c r="BB9" s="1135"/>
      <c r="BC9" s="1135"/>
      <c r="BD9" s="1135"/>
      <c r="BE9" s="1135"/>
      <c r="BF9" s="1135"/>
      <c r="BG9" s="1135"/>
      <c r="BH9" s="1135"/>
      <c r="BI9" s="1135"/>
      <c r="BJ9" s="1135"/>
      <c r="BK9" s="1135"/>
      <c r="BL9" s="1135"/>
      <c r="BM9" s="1312"/>
      <c r="BN9" s="1136"/>
      <c r="BO9" s="1135"/>
      <c r="BP9" s="1135"/>
      <c r="BQ9" s="1135"/>
      <c r="BR9" s="1135"/>
      <c r="BS9" s="1135"/>
      <c r="BT9" s="1135"/>
      <c r="BU9" s="1135"/>
      <c r="BV9" s="1135"/>
      <c r="BW9" s="1135"/>
      <c r="BX9" s="1135"/>
      <c r="BY9" s="1135"/>
      <c r="BZ9" s="1312"/>
      <c r="CA9" s="1136"/>
      <c r="CB9" s="1135"/>
      <c r="CC9" s="1135"/>
      <c r="CD9" s="1135"/>
      <c r="CE9" s="1135"/>
      <c r="CF9" s="1135"/>
      <c r="CG9" s="1135"/>
      <c r="CH9" s="1135"/>
      <c r="CI9" s="1135"/>
      <c r="CJ9" s="1135"/>
      <c r="CK9" s="1135"/>
      <c r="CL9" s="1135"/>
      <c r="CM9" s="1312"/>
      <c r="CN9" s="1136"/>
      <c r="CO9" s="1135"/>
      <c r="CP9" s="1135"/>
      <c r="CQ9" s="1135"/>
      <c r="CR9" s="1135"/>
      <c r="CS9" s="1135"/>
      <c r="CT9" s="1135"/>
      <c r="CU9" s="1135"/>
      <c r="CV9" s="1135"/>
      <c r="CW9" s="1135"/>
      <c r="CX9" s="1135"/>
      <c r="CY9" s="1135"/>
      <c r="CZ9" s="1312"/>
      <c r="DA9" s="1136"/>
      <c r="DB9" s="1135"/>
      <c r="DC9" s="1135"/>
      <c r="DD9" s="1135"/>
      <c r="DE9" s="1135"/>
      <c r="DF9" s="1135"/>
      <c r="DG9" s="1135"/>
      <c r="DH9" s="1135"/>
      <c r="DI9" s="1135"/>
      <c r="DJ9" s="1135"/>
      <c r="DK9" s="1135"/>
      <c r="DL9" s="1135"/>
      <c r="DM9" s="1312"/>
      <c r="DN9" s="1136"/>
      <c r="DO9" s="1135"/>
      <c r="DP9" s="1135"/>
      <c r="DQ9" s="1135"/>
      <c r="DR9" s="1135"/>
      <c r="DS9" s="1135"/>
      <c r="DT9" s="1135"/>
      <c r="DU9" s="1135"/>
      <c r="DV9" s="1135"/>
      <c r="DW9" s="1135"/>
      <c r="DX9" s="1135"/>
      <c r="DY9" s="1135"/>
      <c r="DZ9" s="1312"/>
      <c r="EA9" s="1136"/>
      <c r="EB9" s="1135"/>
      <c r="EC9" s="1135"/>
      <c r="ED9" s="1135"/>
      <c r="EE9" s="1135"/>
      <c r="EF9" s="1135"/>
      <c r="EG9" s="1135"/>
      <c r="EH9" s="1135"/>
      <c r="EI9" s="1135"/>
      <c r="EJ9" s="1135"/>
      <c r="EK9" s="1135"/>
      <c r="EL9" s="1135"/>
      <c r="EM9" s="1312"/>
      <c r="EN9" s="1136"/>
      <c r="EO9" s="1135"/>
      <c r="EP9" s="1135"/>
      <c r="EQ9" s="1135"/>
      <c r="ER9" s="1135"/>
      <c r="ES9" s="1135"/>
      <c r="ET9" s="1135"/>
      <c r="EU9" s="1135"/>
      <c r="EV9" s="1135"/>
      <c r="EW9" s="1135"/>
      <c r="EX9" s="1135"/>
      <c r="EY9" s="1135"/>
      <c r="EZ9" s="1312"/>
      <c r="FA9" s="1136"/>
      <c r="FB9" s="1135"/>
      <c r="FC9" s="1135"/>
      <c r="FD9" s="1135"/>
      <c r="FE9" s="1135"/>
      <c r="FF9" s="1135"/>
      <c r="FG9" s="1135"/>
      <c r="FH9" s="1135"/>
      <c r="FI9" s="1135"/>
      <c r="FJ9" s="1135"/>
      <c r="FK9" s="1135"/>
      <c r="FL9" s="1135"/>
      <c r="FM9" s="1312"/>
      <c r="FN9" s="1136"/>
      <c r="FO9" s="1135"/>
      <c r="FP9" s="1135"/>
      <c r="FQ9" s="1135"/>
      <c r="FR9" s="1135"/>
      <c r="FS9" s="1135"/>
      <c r="FT9" s="1135"/>
      <c r="FU9" s="1135"/>
      <c r="FV9" s="1135"/>
      <c r="FW9" s="1135"/>
      <c r="FX9" s="1135"/>
      <c r="FY9" s="1135"/>
      <c r="FZ9" s="1312"/>
      <c r="GA9" s="1136"/>
      <c r="GB9" s="1135"/>
      <c r="GC9" s="1135"/>
      <c r="GD9" s="1135"/>
      <c r="GE9" s="1135"/>
      <c r="GF9" s="1135"/>
      <c r="GG9" s="1135"/>
      <c r="GH9" s="1135"/>
      <c r="GI9" s="1135"/>
      <c r="GJ9" s="1135"/>
      <c r="GK9" s="1135"/>
      <c r="GL9" s="1135"/>
      <c r="GM9" s="1312"/>
      <c r="GN9" s="1136"/>
      <c r="GO9" s="1135"/>
      <c r="GP9" s="1135"/>
      <c r="GQ9" s="1135"/>
      <c r="GR9" s="1135"/>
      <c r="GS9" s="1135"/>
      <c r="GT9" s="1135"/>
      <c r="GU9" s="1135"/>
      <c r="GV9" s="1135"/>
      <c r="GW9" s="1135"/>
      <c r="GX9" s="1135"/>
      <c r="GY9" s="1135"/>
      <c r="GZ9" s="1312"/>
      <c r="HA9" s="1136"/>
      <c r="HB9" s="1135"/>
      <c r="HC9" s="1135"/>
      <c r="HD9" s="1135"/>
      <c r="HE9" s="1135"/>
      <c r="HF9" s="1135"/>
      <c r="HG9" s="1135"/>
      <c r="HH9" s="1135"/>
      <c r="HI9" s="1135"/>
      <c r="HJ9" s="1135"/>
      <c r="HK9" s="1135"/>
      <c r="HL9" s="1135"/>
      <c r="HM9" s="1312"/>
      <c r="HN9" s="1136"/>
      <c r="HO9" s="1135"/>
      <c r="HP9" s="1135"/>
      <c r="HQ9" s="1135"/>
      <c r="HR9" s="1135"/>
      <c r="HS9" s="1135"/>
      <c r="HT9" s="1135"/>
      <c r="HU9" s="1135"/>
      <c r="HV9" s="1135"/>
      <c r="HW9" s="1135"/>
      <c r="HX9" s="1135"/>
      <c r="HY9" s="1135"/>
      <c r="HZ9" s="1312"/>
      <c r="IA9" s="1136"/>
      <c r="IB9" s="1135"/>
      <c r="IC9" s="1135"/>
      <c r="ID9" s="1135"/>
      <c r="IE9" s="1135"/>
      <c r="IF9" s="1135"/>
      <c r="IG9" s="1135"/>
      <c r="IH9" s="1135"/>
      <c r="II9" s="1135"/>
      <c r="IJ9" s="1135"/>
      <c r="IK9" s="1135"/>
      <c r="IL9" s="1135"/>
      <c r="IM9" s="1312"/>
      <c r="IN9" s="1136"/>
      <c r="IO9" s="1135"/>
      <c r="IP9" s="1135"/>
      <c r="IQ9" s="1135"/>
      <c r="IR9" s="1135"/>
      <c r="IS9" s="1135"/>
      <c r="IT9" s="1135"/>
      <c r="IU9" s="1135"/>
      <c r="IV9" s="1135"/>
      <c r="IW9" s="1135"/>
      <c r="IX9" s="1135"/>
      <c r="IY9" s="1135"/>
      <c r="IZ9" s="1312"/>
      <c r="JA9" s="1136"/>
      <c r="JB9" s="1135"/>
      <c r="JC9" s="1135"/>
      <c r="JD9" s="1135"/>
      <c r="JE9" s="1135"/>
      <c r="JF9" s="1135"/>
      <c r="JG9" s="1135"/>
      <c r="JH9" s="1135"/>
      <c r="JI9" s="1135"/>
      <c r="JJ9" s="1135"/>
      <c r="JK9" s="1135"/>
      <c r="JL9" s="1135"/>
      <c r="JM9" s="1312"/>
      <c r="JN9" s="1136"/>
      <c r="JO9" s="1135"/>
      <c r="JP9" s="1135"/>
      <c r="JQ9" s="1135"/>
      <c r="JR9" s="1135"/>
      <c r="JS9" s="1135"/>
      <c r="JT9" s="1135"/>
      <c r="JU9" s="1135"/>
      <c r="JV9" s="1135"/>
      <c r="JW9" s="1135"/>
      <c r="JX9" s="1135"/>
      <c r="JY9" s="1135"/>
      <c r="JZ9" s="1312"/>
      <c r="KA9" s="1136"/>
      <c r="KC9" s="1270"/>
      <c r="KD9" s="1297"/>
      <c r="KE9" s="1271"/>
      <c r="KF9" s="1272"/>
    </row>
    <row r="10" spans="1:293" ht="15" customHeight="1" x14ac:dyDescent="0.2">
      <c r="A10" s="1163" t="s">
        <v>133</v>
      </c>
      <c r="B10" s="1099">
        <v>125.1</v>
      </c>
      <c r="C10" s="1099">
        <v>130.19999999999999</v>
      </c>
      <c r="D10" s="1099">
        <v>146.80000000000001</v>
      </c>
      <c r="E10" s="1099">
        <v>136.6</v>
      </c>
      <c r="F10" s="1099">
        <v>111.8</v>
      </c>
      <c r="G10" s="1099">
        <v>133.19999999999999</v>
      </c>
      <c r="H10" s="1099">
        <v>110.1</v>
      </c>
      <c r="I10" s="1099">
        <v>122</v>
      </c>
      <c r="J10" s="1099">
        <v>116.8</v>
      </c>
      <c r="K10" s="1099">
        <v>173.8</v>
      </c>
      <c r="L10" s="1099">
        <v>162.80000000000001</v>
      </c>
      <c r="M10" s="1296">
        <v>146.4</v>
      </c>
      <c r="N10" s="1100">
        <f t="shared" si="1"/>
        <v>134.63333333333335</v>
      </c>
      <c r="O10" s="1099">
        <v>138.19999999999999</v>
      </c>
      <c r="P10" s="1099">
        <v>131.4</v>
      </c>
      <c r="Q10" s="1099">
        <v>141.80000000000001</v>
      </c>
      <c r="R10" s="1099">
        <v>131.4</v>
      </c>
      <c r="S10" s="1099">
        <v>128.6</v>
      </c>
      <c r="T10" s="1099">
        <v>118.2</v>
      </c>
      <c r="U10" s="1099">
        <v>146.1</v>
      </c>
      <c r="V10" s="1099">
        <v>162.80000000000001</v>
      </c>
      <c r="W10" s="1099">
        <v>131.6</v>
      </c>
      <c r="X10" s="1099">
        <v>163.6</v>
      </c>
      <c r="Y10" s="1099">
        <v>150.30000000000001</v>
      </c>
      <c r="Z10" s="1296">
        <v>160.69999999999999</v>
      </c>
      <c r="AA10" s="1100">
        <f t="shared" si="2"/>
        <v>142.05833333333334</v>
      </c>
      <c r="AB10" s="1099">
        <v>149</v>
      </c>
      <c r="AC10" s="1099">
        <v>147.69999999999999</v>
      </c>
      <c r="AD10" s="1099">
        <v>175</v>
      </c>
      <c r="AE10" s="1099">
        <v>147.19999999999999</v>
      </c>
      <c r="AF10" s="1099">
        <v>151.5</v>
      </c>
      <c r="AG10" s="1099">
        <v>145.9</v>
      </c>
      <c r="AH10" s="1099">
        <v>191.2</v>
      </c>
      <c r="AI10" s="1099">
        <v>211</v>
      </c>
      <c r="AJ10" s="1099">
        <v>203.4</v>
      </c>
      <c r="AK10" s="1099">
        <v>211.5</v>
      </c>
      <c r="AL10" s="1099">
        <v>195.2</v>
      </c>
      <c r="AM10" s="1296">
        <v>181.9</v>
      </c>
      <c r="AN10" s="1100">
        <f t="shared" si="3"/>
        <v>175.875</v>
      </c>
      <c r="AO10" s="1099">
        <v>190.8</v>
      </c>
      <c r="AP10" s="1099">
        <v>178.9</v>
      </c>
      <c r="AQ10" s="1099">
        <v>215</v>
      </c>
      <c r="AR10" s="1099">
        <v>220.2</v>
      </c>
      <c r="AS10" s="1099">
        <v>254.9</v>
      </c>
      <c r="AT10" s="1099">
        <v>229.4</v>
      </c>
      <c r="AU10" s="1099">
        <v>233.73</v>
      </c>
      <c r="AV10" s="1099">
        <v>221.9</v>
      </c>
      <c r="AW10" s="1099">
        <v>210.9</v>
      </c>
      <c r="AX10" s="1099">
        <v>215.5</v>
      </c>
      <c r="AY10" s="1099">
        <v>216.6</v>
      </c>
      <c r="AZ10" s="1296">
        <v>196.8</v>
      </c>
      <c r="BA10" s="1100">
        <f t="shared" si="4"/>
        <v>215.38583333333338</v>
      </c>
      <c r="BB10" s="1099">
        <v>186.5</v>
      </c>
      <c r="BC10" s="1099">
        <v>178.8</v>
      </c>
      <c r="BD10" s="1099">
        <v>178.6</v>
      </c>
      <c r="BE10" s="1099">
        <v>152.30000000000001</v>
      </c>
      <c r="BF10" s="1099">
        <v>180.6</v>
      </c>
      <c r="BG10" s="1099">
        <v>189.1</v>
      </c>
      <c r="BH10" s="1099">
        <v>201.6</v>
      </c>
      <c r="BI10" s="1099">
        <v>217.4</v>
      </c>
      <c r="BJ10" s="1099">
        <v>208.1</v>
      </c>
      <c r="BK10" s="1099">
        <v>217.2</v>
      </c>
      <c r="BL10" s="1099">
        <v>221.6</v>
      </c>
      <c r="BM10" s="1296">
        <v>216.6</v>
      </c>
      <c r="BN10" s="1100">
        <f t="shared" si="5"/>
        <v>195.70000000000002</v>
      </c>
      <c r="BO10" s="1099">
        <v>170.40845884864237</v>
      </c>
      <c r="BP10" s="1099">
        <v>101.38521973371981</v>
      </c>
      <c r="BQ10" s="1099">
        <v>106.09583616482543</v>
      </c>
      <c r="BR10" s="1099">
        <v>108.72334328549145</v>
      </c>
      <c r="BS10" s="1099">
        <v>115.60161247545575</v>
      </c>
      <c r="BT10" s="1099">
        <v>118.72587391061263</v>
      </c>
      <c r="BU10" s="1099">
        <v>110.09868413784388</v>
      </c>
      <c r="BV10" s="1099">
        <v>107.35297989690106</v>
      </c>
      <c r="BW10" s="1099">
        <v>120.54062733345583</v>
      </c>
      <c r="BX10" s="1099">
        <v>120.39888442465869</v>
      </c>
      <c r="BY10" s="1099">
        <v>122.58505633426982</v>
      </c>
      <c r="BZ10" s="1296">
        <v>101.86944605844339</v>
      </c>
      <c r="CA10" s="1100">
        <f t="shared" si="6"/>
        <v>116.98216855036002</v>
      </c>
      <c r="CB10" s="1099">
        <v>101.21176231049535</v>
      </c>
      <c r="CC10" s="1099">
        <v>98.789539329429275</v>
      </c>
      <c r="CD10" s="1099">
        <v>110.7190483027611</v>
      </c>
      <c r="CE10" s="1099">
        <v>109.54891551861584</v>
      </c>
      <c r="CF10" s="1099">
        <v>120.38808508453164</v>
      </c>
      <c r="CG10" s="1099">
        <v>116.87541323597485</v>
      </c>
      <c r="CH10" s="1099">
        <v>104.29277891167312</v>
      </c>
      <c r="CI10" s="1099">
        <v>106.97835879092713</v>
      </c>
      <c r="CJ10" s="1099">
        <v>113.15496651756817</v>
      </c>
      <c r="CK10" s="1099">
        <v>119.09771820952132</v>
      </c>
      <c r="CL10" s="1099">
        <v>120.66366751216559</v>
      </c>
      <c r="CM10" s="1296">
        <v>116.59156380307142</v>
      </c>
      <c r="CN10" s="1100">
        <f t="shared" si="7"/>
        <v>111.52598479389458</v>
      </c>
      <c r="CO10" s="1099">
        <v>117.32935219702379</v>
      </c>
      <c r="CP10" s="1099">
        <v>102.79888784916608</v>
      </c>
      <c r="CQ10" s="1099">
        <v>113.51497582951986</v>
      </c>
      <c r="CR10" s="1099">
        <v>106.5039474889347</v>
      </c>
      <c r="CS10" s="1099">
        <v>106.37527869449579</v>
      </c>
      <c r="CT10" s="1099">
        <v>122.00120105686372</v>
      </c>
      <c r="CU10" s="1099">
        <v>118.29498566171264</v>
      </c>
      <c r="CV10" s="1099">
        <v>125.1949422914101</v>
      </c>
      <c r="CW10" s="1099">
        <v>113.10822868505511</v>
      </c>
      <c r="CX10" s="1099">
        <v>140.2952045942659</v>
      </c>
      <c r="CY10" s="1099">
        <v>129.39519785816876</v>
      </c>
      <c r="CZ10" s="1296">
        <v>106.81018880760872</v>
      </c>
      <c r="DA10" s="1100">
        <f t="shared" si="8"/>
        <v>116.80186591785211</v>
      </c>
      <c r="DB10" s="1099">
        <v>125.39704016185074</v>
      </c>
      <c r="DC10" s="1099">
        <v>124.28267634702614</v>
      </c>
      <c r="DD10" s="1099">
        <v>103.07500737267334</v>
      </c>
      <c r="DE10" s="1099">
        <v>118.20372452069188</v>
      </c>
      <c r="DF10" s="1099">
        <v>134.33592291521367</v>
      </c>
      <c r="DG10" s="1099">
        <v>121.83558383629861</v>
      </c>
      <c r="DH10" s="1099">
        <v>134.31499088699528</v>
      </c>
      <c r="DI10" s="1099">
        <v>137.70320335688982</v>
      </c>
      <c r="DJ10" s="1099">
        <v>140.54283416234125</v>
      </c>
      <c r="DK10" s="1099">
        <v>172.69126100725535</v>
      </c>
      <c r="DL10" s="1099">
        <v>164.49012706833182</v>
      </c>
      <c r="DM10" s="1296">
        <v>145.92836058259994</v>
      </c>
      <c r="DN10" s="1100">
        <f t="shared" si="9"/>
        <v>135.23339435151399</v>
      </c>
      <c r="DO10" s="1099">
        <v>153.26273105367656</v>
      </c>
      <c r="DP10" s="1099">
        <v>138.57566509056204</v>
      </c>
      <c r="DQ10" s="1099">
        <v>140.10600277213564</v>
      </c>
      <c r="DR10" s="1099">
        <v>125.19649479311995</v>
      </c>
      <c r="DS10" s="1099">
        <v>141.75307411128776</v>
      </c>
      <c r="DT10" s="1099">
        <v>122.01569043798096</v>
      </c>
      <c r="DU10" s="1099">
        <v>127.08804601962703</v>
      </c>
      <c r="DV10" s="1099">
        <v>120.42139752366629</v>
      </c>
      <c r="DW10" s="1099">
        <v>155.71304972900006</v>
      </c>
      <c r="DX10" s="1099">
        <v>150.18303015717854</v>
      </c>
      <c r="DY10" s="1099">
        <v>158.36265858272577</v>
      </c>
      <c r="DZ10" s="1296">
        <v>158.4985476910542</v>
      </c>
      <c r="EA10" s="1100">
        <f t="shared" si="10"/>
        <v>140.93136566350123</v>
      </c>
      <c r="EB10" s="1099">
        <v>132.96061114420996</v>
      </c>
      <c r="EC10" s="1099">
        <v>118.94195717398365</v>
      </c>
      <c r="ED10" s="1099">
        <v>133.58333954736983</v>
      </c>
      <c r="EE10" s="1099">
        <v>121.10928612891078</v>
      </c>
      <c r="EF10" s="1099">
        <v>133.03926092779591</v>
      </c>
      <c r="EG10" s="1099">
        <v>133.41610478975184</v>
      </c>
      <c r="EH10" s="1099">
        <v>139.85372660860912</v>
      </c>
      <c r="EI10" s="1099">
        <v>139.06201325178912</v>
      </c>
      <c r="EJ10" s="1099">
        <v>145.26080497629454</v>
      </c>
      <c r="EK10" s="1099">
        <v>122.37429833617914</v>
      </c>
      <c r="EL10" s="1099">
        <v>163.0772807308864</v>
      </c>
      <c r="EM10" s="1296">
        <v>142.0898633904674</v>
      </c>
      <c r="EN10" s="1100">
        <f t="shared" si="11"/>
        <v>135.3973789171873</v>
      </c>
      <c r="EO10" s="1099">
        <v>178.43854207489537</v>
      </c>
      <c r="EP10" s="1099">
        <v>144.16107509290745</v>
      </c>
      <c r="EQ10" s="1099">
        <v>143.90164687362153</v>
      </c>
      <c r="ER10" s="1099">
        <v>137.09997447827311</v>
      </c>
      <c r="ES10" s="1099">
        <v>133.58484488678104</v>
      </c>
      <c r="ET10" s="1099">
        <v>125.1473873335929</v>
      </c>
      <c r="EU10" s="1099">
        <v>135.18896443759809</v>
      </c>
      <c r="EV10" s="1099">
        <v>160.51198656882033</v>
      </c>
      <c r="EW10" s="1099">
        <v>118.0063865367009</v>
      </c>
      <c r="EX10" s="1099">
        <v>145.89094866229811</v>
      </c>
      <c r="EY10" s="1099">
        <v>142.70304195030656</v>
      </c>
      <c r="EZ10" s="1296">
        <v>150.40747543836542</v>
      </c>
      <c r="FA10" s="1100">
        <f t="shared" si="12"/>
        <v>142.92018952784676</v>
      </c>
      <c r="FB10" s="1099">
        <v>153.61398395649252</v>
      </c>
      <c r="FC10" s="1099">
        <v>164.49312262802155</v>
      </c>
      <c r="FD10" s="1099">
        <v>181.16307211069704</v>
      </c>
      <c r="FE10" s="1099">
        <v>167.46852794350647</v>
      </c>
      <c r="FF10" s="1099">
        <v>166.29784197716674</v>
      </c>
      <c r="FG10" s="1099">
        <v>145.64457440591812</v>
      </c>
      <c r="FH10" s="1099">
        <v>181.11916370172682</v>
      </c>
      <c r="FI10" s="1099">
        <v>180.44131119861385</v>
      </c>
      <c r="FJ10" s="1099">
        <v>199.92238248800285</v>
      </c>
      <c r="FK10" s="1099">
        <v>168.04393931431164</v>
      </c>
      <c r="FL10" s="1099">
        <v>130.39103144993084</v>
      </c>
      <c r="FM10" s="1296">
        <v>135.96531023369084</v>
      </c>
      <c r="FN10" s="1100">
        <f t="shared" si="13"/>
        <v>164.5470217840066</v>
      </c>
      <c r="FO10" s="1099">
        <v>139.01966244733782</v>
      </c>
      <c r="FP10" s="1099">
        <v>120.75750665655673</v>
      </c>
      <c r="FQ10" s="1099">
        <v>134.72241704700414</v>
      </c>
      <c r="FR10" s="1099">
        <v>136.97532674493237</v>
      </c>
      <c r="FS10" s="1099">
        <v>139.36676493321994</v>
      </c>
      <c r="FT10" s="1099">
        <v>118.85486470885823</v>
      </c>
      <c r="FU10" s="1099">
        <v>127.64671547010886</v>
      </c>
      <c r="FV10" s="1099">
        <v>156.99382131290159</v>
      </c>
      <c r="FW10" s="1099">
        <v>142.4203529076479</v>
      </c>
      <c r="FX10" s="1099">
        <v>145.07123763640476</v>
      </c>
      <c r="FY10" s="1099">
        <v>140.61654883379026</v>
      </c>
      <c r="FZ10" s="1296">
        <v>144.94010003774019</v>
      </c>
      <c r="GA10" s="1100">
        <f t="shared" si="14"/>
        <v>137.28210989470855</v>
      </c>
      <c r="GB10" s="1099">
        <v>138.45019436353411</v>
      </c>
      <c r="GC10" s="1099">
        <v>120.87559201683383</v>
      </c>
      <c r="GD10" s="1099">
        <v>137.61272010020406</v>
      </c>
      <c r="GE10" s="1099">
        <v>124.93440258066198</v>
      </c>
      <c r="GF10" s="1099">
        <v>160.69730371412876</v>
      </c>
      <c r="GG10" s="1099">
        <v>156.75377206653388</v>
      </c>
      <c r="GH10" s="1099">
        <v>163.91342921322439</v>
      </c>
      <c r="GI10" s="1099">
        <v>135.30046638125324</v>
      </c>
      <c r="GJ10" s="1099">
        <v>120.42205844850422</v>
      </c>
      <c r="GK10" s="1099">
        <v>168.22587399473511</v>
      </c>
      <c r="GL10" s="1099">
        <v>172.94663623493136</v>
      </c>
      <c r="GM10" s="1296">
        <v>150.96115668397005</v>
      </c>
      <c r="GN10" s="1100">
        <f t="shared" si="15"/>
        <v>145.92446714987628</v>
      </c>
      <c r="GO10" s="1099">
        <v>146.08771275109225</v>
      </c>
      <c r="GP10" s="1099">
        <v>161.3095849478816</v>
      </c>
      <c r="GQ10" s="1099">
        <v>121.27933333422435</v>
      </c>
      <c r="GR10" s="1099">
        <v>132.69338032876476</v>
      </c>
      <c r="GS10" s="1099">
        <v>147.64068951383095</v>
      </c>
      <c r="GT10" s="1099">
        <v>162.24416856773917</v>
      </c>
      <c r="GU10" s="1099">
        <v>178.99703868252379</v>
      </c>
      <c r="GV10" s="1099">
        <v>192.96902379646733</v>
      </c>
      <c r="GW10" s="1099">
        <v>194.75349665025379</v>
      </c>
      <c r="GX10" s="1099">
        <v>212.07390150218293</v>
      </c>
      <c r="GY10" s="1099">
        <v>196.24758998770216</v>
      </c>
      <c r="GZ10" s="1296">
        <v>175.10063143456901</v>
      </c>
      <c r="HA10" s="1100">
        <f t="shared" si="16"/>
        <v>168.44971262476935</v>
      </c>
      <c r="HB10" s="1099">
        <v>185.37857521961831</v>
      </c>
      <c r="HC10" s="1099">
        <v>192.73919973819287</v>
      </c>
      <c r="HD10" s="1099">
        <v>187.1795477988785</v>
      </c>
      <c r="HE10" s="1099">
        <v>179.64175186682672</v>
      </c>
      <c r="HF10" s="1099">
        <v>189.92440282399221</v>
      </c>
      <c r="HG10" s="1099">
        <v>208.00693145099416</v>
      </c>
      <c r="HH10" s="1099">
        <v>207.50654421243095</v>
      </c>
      <c r="HI10" s="1099">
        <v>188.85168987502428</v>
      </c>
      <c r="HJ10" s="1099">
        <v>205.54339710450066</v>
      </c>
      <c r="HK10" s="1099">
        <v>203.32888519089266</v>
      </c>
      <c r="HL10" s="1099">
        <v>192.40182975947155</v>
      </c>
      <c r="HM10" s="1296">
        <v>185.8688500718645</v>
      </c>
      <c r="HN10" s="1100">
        <f t="shared" si="17"/>
        <v>193.86430042605727</v>
      </c>
      <c r="HO10" s="1099">
        <v>189.9937227450817</v>
      </c>
      <c r="HP10" s="1099">
        <v>179.72833262355687</v>
      </c>
      <c r="HQ10" s="1099">
        <v>195.18826357846856</v>
      </c>
      <c r="HR10" s="1099">
        <v>191.53897652118971</v>
      </c>
      <c r="HS10" s="1099">
        <v>172.23761421422196</v>
      </c>
      <c r="HT10" s="1099">
        <v>178.09875187128537</v>
      </c>
      <c r="HU10" s="1099">
        <v>188.37371813558318</v>
      </c>
      <c r="HV10" s="1099">
        <v>176.34142239277753</v>
      </c>
      <c r="HW10" s="1099">
        <v>187.06391412510752</v>
      </c>
      <c r="HX10" s="1099">
        <v>193.09316221048309</v>
      </c>
      <c r="HY10" s="1099">
        <v>200.34817186354732</v>
      </c>
      <c r="HZ10" s="1296">
        <v>194.62188341538513</v>
      </c>
      <c r="IA10" s="1100">
        <f t="shared" si="18"/>
        <v>187.21899447472398</v>
      </c>
      <c r="IB10" s="1099">
        <v>182.09515293125469</v>
      </c>
      <c r="IC10" s="1099">
        <v>184.62388253956442</v>
      </c>
      <c r="ID10" s="1099">
        <v>163.31615071803492</v>
      </c>
      <c r="IE10" s="1099">
        <v>129.70154677081388</v>
      </c>
      <c r="IF10" s="1099">
        <v>143.05893936722885</v>
      </c>
      <c r="IG10" s="1099">
        <v>180.47561029819082</v>
      </c>
      <c r="IH10" s="1099">
        <v>176.1662278306874</v>
      </c>
      <c r="II10" s="1099">
        <v>181.9743912004499</v>
      </c>
      <c r="IJ10" s="1099">
        <v>185.53064243957235</v>
      </c>
      <c r="IK10" s="1099">
        <v>173.48301206030771</v>
      </c>
      <c r="IL10" s="1099">
        <v>163.32228062145188</v>
      </c>
      <c r="IM10" s="1296">
        <v>181.43563624091925</v>
      </c>
      <c r="IN10" s="1100">
        <f t="shared" si="19"/>
        <v>170.43195608487301</v>
      </c>
      <c r="IO10" s="1099">
        <v>197.65206188351635</v>
      </c>
      <c r="IP10" s="1099">
        <v>172.70550178198496</v>
      </c>
      <c r="IQ10" s="1099">
        <v>157.52925735702948</v>
      </c>
      <c r="IR10" s="1099">
        <v>118.52363645047258</v>
      </c>
      <c r="IS10" s="1099">
        <v>151.74145487881592</v>
      </c>
      <c r="IT10" s="1099">
        <v>171.32108197010834</v>
      </c>
      <c r="IU10" s="1099">
        <v>190.27636773132608</v>
      </c>
      <c r="IV10" s="1099">
        <v>195.497006893502</v>
      </c>
      <c r="IW10" s="1099">
        <v>206.95231550848925</v>
      </c>
      <c r="IX10" s="1099">
        <v>238.67314853794548</v>
      </c>
      <c r="IY10" s="1099">
        <v>209.98462365447639</v>
      </c>
      <c r="IZ10" s="1296">
        <v>187.45214102222636</v>
      </c>
      <c r="JA10" s="1100">
        <f t="shared" si="20"/>
        <v>183.19238313915776</v>
      </c>
      <c r="JB10" s="1099">
        <v>189.7844778717141</v>
      </c>
      <c r="JC10" s="1099">
        <v>154.7347422880284</v>
      </c>
      <c r="JD10" s="1099">
        <v>167.18718682753885</v>
      </c>
      <c r="JE10" s="1099">
        <v>168.64165918106872</v>
      </c>
      <c r="JF10" s="1099">
        <v>176.52140762254297</v>
      </c>
      <c r="JG10" s="1099">
        <v>175.40761840641616</v>
      </c>
      <c r="JH10" s="1099">
        <v>183.28103497299148</v>
      </c>
      <c r="JI10" s="1099">
        <v>189.00277792881823</v>
      </c>
      <c r="JJ10" s="1099">
        <v>199.8313838760096</v>
      </c>
      <c r="JK10" s="1099">
        <v>204.29241731803671</v>
      </c>
      <c r="JL10" s="1099">
        <v>252.73511265514313</v>
      </c>
      <c r="JM10" s="1296">
        <v>253.24471295971</v>
      </c>
      <c r="JN10" s="1100">
        <f t="shared" si="21"/>
        <v>192.88871099233484</v>
      </c>
      <c r="JO10" s="1099">
        <v>180.78379738147203</v>
      </c>
      <c r="JP10" s="1099">
        <v>177.18302402367078</v>
      </c>
      <c r="JQ10" s="1099">
        <v>203.49434656099706</v>
      </c>
      <c r="JR10" s="1099">
        <v>205.81769243609065</v>
      </c>
      <c r="JS10" s="1099">
        <v>198.92572230421681</v>
      </c>
      <c r="JT10" s="1099">
        <v>205.59322636154565</v>
      </c>
      <c r="JU10" s="1099">
        <v>217.79867828623279</v>
      </c>
      <c r="JV10" s="1099">
        <v>231.61046612215955</v>
      </c>
      <c r="JW10" s="1099"/>
      <c r="JX10" s="1099"/>
      <c r="JY10" s="1099"/>
      <c r="JZ10" s="1296"/>
      <c r="KA10" s="1100">
        <f t="shared" ref="KA10:KA18" si="24">IFERROR(AVERAGE(JO10:JZ10),)</f>
        <v>202.65086918454818</v>
      </c>
      <c r="KB10" s="71"/>
      <c r="KC10" s="1113">
        <f>IFERROR(((
_xlfn.XLOOKUP((DATE(YEAR($KC$5),MONTH($KC$5),1)),SMN.MANUFACTURA.DATE,$B10:$KA10) /
_xlfn.XLOOKUP((DATE(YEAR($KC$5)-1,MONTH($KC$5),1)),SMN.MANUFACTURA.DATE,$B10:$KA10)
)-1)*100,"")</f>
        <v>22.543419022861187</v>
      </c>
      <c r="KD10" s="1171">
        <f>IFERROR(((KF10/KE10)-1)*100,"")</f>
        <v>15.424468073314213</v>
      </c>
      <c r="KE10" s="1114">
        <f>SUMIFS($B10:$KA10,SMN.MANUFACTURA.DATE,"&gt;="&amp;DATE(YEAR($KC$5)-1,1,1),SMN.MANUFACTURA.DATE,"&lt;="&amp;DATE(YEAR($KC$5)-1,MONTH($KC$5),1))</f>
        <v>1404.5609050991188</v>
      </c>
      <c r="KF10" s="1115" cm="1">
        <f t="array" ref="KF10">SUMIFS($B10:$KA10,SMN.MANUFACTURA.DATE,"&gt;="&amp;DATE(YEAR($KC$5),1,1),SMN.MANUFACTURA.DATE,"&lt;="&amp;$KC$5)</f>
        <v>1621.2069534763855</v>
      </c>
    </row>
    <row r="11" spans="1:293" ht="15" customHeight="1" x14ac:dyDescent="0.2">
      <c r="A11" s="1168" t="s">
        <v>370</v>
      </c>
      <c r="B11" s="1135">
        <v>239.8</v>
      </c>
      <c r="C11" s="1135">
        <v>216.8</v>
      </c>
      <c r="D11" s="1135">
        <v>284.5</v>
      </c>
      <c r="E11" s="1135">
        <v>309.7</v>
      </c>
      <c r="F11" s="1135">
        <v>230.3</v>
      </c>
      <c r="G11" s="1135">
        <v>247.1</v>
      </c>
      <c r="H11" s="1135">
        <v>225.1</v>
      </c>
      <c r="I11" s="1135">
        <v>222.8</v>
      </c>
      <c r="J11" s="1135">
        <v>214.6</v>
      </c>
      <c r="K11" s="1135">
        <v>327.7</v>
      </c>
      <c r="L11" s="1135">
        <v>307.2</v>
      </c>
      <c r="M11" s="1312">
        <v>223.6</v>
      </c>
      <c r="N11" s="1136">
        <f t="shared" si="1"/>
        <v>254.09999999999994</v>
      </c>
      <c r="O11" s="1135">
        <v>242.4</v>
      </c>
      <c r="P11" s="1135">
        <v>269.3</v>
      </c>
      <c r="Q11" s="1135">
        <v>297.2</v>
      </c>
      <c r="R11" s="1135">
        <v>228.6</v>
      </c>
      <c r="S11" s="1135">
        <v>227.7</v>
      </c>
      <c r="T11" s="1135">
        <v>174.9</v>
      </c>
      <c r="U11" s="1135">
        <v>273.39999999999998</v>
      </c>
      <c r="V11" s="1135">
        <v>261.3</v>
      </c>
      <c r="W11" s="1135">
        <v>186.3</v>
      </c>
      <c r="X11" s="1135">
        <v>268</v>
      </c>
      <c r="Y11" s="1135">
        <v>294.39999999999998</v>
      </c>
      <c r="Z11" s="1312">
        <v>218.9</v>
      </c>
      <c r="AA11" s="1136">
        <f t="shared" si="2"/>
        <v>245.20000000000002</v>
      </c>
      <c r="AB11" s="1135">
        <v>280.8</v>
      </c>
      <c r="AC11" s="1135">
        <v>257.3</v>
      </c>
      <c r="AD11" s="1135">
        <v>298.89999999999998</v>
      </c>
      <c r="AE11" s="1135">
        <v>307.5</v>
      </c>
      <c r="AF11" s="1135">
        <v>315.89999999999998</v>
      </c>
      <c r="AG11" s="1135">
        <v>291.2</v>
      </c>
      <c r="AH11" s="1135">
        <v>349.9</v>
      </c>
      <c r="AI11" s="1135">
        <v>345.1</v>
      </c>
      <c r="AJ11" s="1135">
        <v>333.2</v>
      </c>
      <c r="AK11" s="1135">
        <v>385.2</v>
      </c>
      <c r="AL11" s="1135">
        <v>337.6</v>
      </c>
      <c r="AM11" s="1312">
        <v>359.9</v>
      </c>
      <c r="AN11" s="1136">
        <f t="shared" si="3"/>
        <v>321.87499999999994</v>
      </c>
      <c r="AO11" s="1135">
        <v>435.8</v>
      </c>
      <c r="AP11" s="1135">
        <v>349.8</v>
      </c>
      <c r="AQ11" s="1135">
        <v>480.8</v>
      </c>
      <c r="AR11" s="1135">
        <v>527.5</v>
      </c>
      <c r="AS11" s="1135">
        <v>656.8</v>
      </c>
      <c r="AT11" s="1135">
        <v>549.20000000000005</v>
      </c>
      <c r="AU11" s="1135">
        <v>559.4</v>
      </c>
      <c r="AV11" s="1135">
        <v>447.2</v>
      </c>
      <c r="AW11" s="1135">
        <v>395.8</v>
      </c>
      <c r="AX11" s="1135">
        <v>433.1</v>
      </c>
      <c r="AY11" s="1135">
        <v>433.5</v>
      </c>
      <c r="AZ11" s="1312">
        <v>358.6</v>
      </c>
      <c r="BA11" s="1136">
        <f t="shared" si="4"/>
        <v>468.95833333333331</v>
      </c>
      <c r="BB11" s="1135">
        <v>383</v>
      </c>
      <c r="BC11" s="1135">
        <v>284.7</v>
      </c>
      <c r="BD11" s="1135">
        <v>355.5</v>
      </c>
      <c r="BE11" s="1135">
        <v>309.7</v>
      </c>
      <c r="BF11" s="1135">
        <v>402</v>
      </c>
      <c r="BG11" s="1135">
        <v>402.2</v>
      </c>
      <c r="BH11" s="1135">
        <v>401</v>
      </c>
      <c r="BI11" s="1135">
        <v>463.9</v>
      </c>
      <c r="BJ11" s="1135">
        <v>362.1</v>
      </c>
      <c r="BK11" s="1135">
        <v>365.3</v>
      </c>
      <c r="BL11" s="1135">
        <v>365</v>
      </c>
      <c r="BM11" s="1312">
        <v>350</v>
      </c>
      <c r="BN11" s="1136">
        <f t="shared" si="5"/>
        <v>370.36666666666662</v>
      </c>
      <c r="BO11" s="1135">
        <v>210.97956123856423</v>
      </c>
      <c r="BP11" s="1135">
        <v>98.579020239012934</v>
      </c>
      <c r="BQ11" s="1135">
        <v>101.76881931158594</v>
      </c>
      <c r="BR11" s="1135">
        <v>112.36265072315842</v>
      </c>
      <c r="BS11" s="1135">
        <v>128.20229143579328</v>
      </c>
      <c r="BT11" s="1135">
        <v>128.30471665622545</v>
      </c>
      <c r="BU11" s="1135">
        <v>120.87152979904093</v>
      </c>
      <c r="BV11" s="1135">
        <v>102.67290619125194</v>
      </c>
      <c r="BW11" s="1135">
        <v>121.82616873585512</v>
      </c>
      <c r="BX11" s="1135">
        <v>118.10828542714151</v>
      </c>
      <c r="BY11" s="1135">
        <v>136.91920485647717</v>
      </c>
      <c r="BZ11" s="1312">
        <v>97.576810510901367</v>
      </c>
      <c r="CA11" s="1136">
        <f t="shared" si="6"/>
        <v>123.18099709375069</v>
      </c>
      <c r="CB11" s="1135">
        <v>117.21668084052988</v>
      </c>
      <c r="CC11" s="1135">
        <v>106.98497149345832</v>
      </c>
      <c r="CD11" s="1135">
        <v>116.15127805341371</v>
      </c>
      <c r="CE11" s="1135">
        <v>121.25817571179137</v>
      </c>
      <c r="CF11" s="1135">
        <v>136.6956927444655</v>
      </c>
      <c r="CG11" s="1135">
        <v>128.74736251651774</v>
      </c>
      <c r="CH11" s="1135">
        <v>108.17484565682362</v>
      </c>
      <c r="CI11" s="1135">
        <v>113.83115727171177</v>
      </c>
      <c r="CJ11" s="1135">
        <v>116.98623908679559</v>
      </c>
      <c r="CK11" s="1135">
        <v>123.07736419396376</v>
      </c>
      <c r="CL11" s="1135">
        <v>134.43980286762266</v>
      </c>
      <c r="CM11" s="1312">
        <v>129.40303186901818</v>
      </c>
      <c r="CN11" s="1136">
        <f t="shared" si="7"/>
        <v>121.08055019217601</v>
      </c>
      <c r="CO11" s="1135">
        <v>129.80715583689459</v>
      </c>
      <c r="CP11" s="1135">
        <v>111.44047822387604</v>
      </c>
      <c r="CQ11" s="1135">
        <v>127.99825095838602</v>
      </c>
      <c r="CR11" s="1135">
        <v>119.55789291837704</v>
      </c>
      <c r="CS11" s="1135">
        <v>119.37542735495357</v>
      </c>
      <c r="CT11" s="1135">
        <v>139.90452315826113</v>
      </c>
      <c r="CU11" s="1135">
        <v>138.01511708015727</v>
      </c>
      <c r="CV11" s="1135">
        <v>142.95775738918809</v>
      </c>
      <c r="CW11" s="1135">
        <v>123.86610973139049</v>
      </c>
      <c r="CX11" s="1135">
        <v>139.77238976363512</v>
      </c>
      <c r="CY11" s="1135">
        <v>117.59334112738441</v>
      </c>
      <c r="CZ11" s="1312">
        <v>106.44964733683973</v>
      </c>
      <c r="DA11" s="1136">
        <f t="shared" si="8"/>
        <v>126.39484090661198</v>
      </c>
      <c r="DB11" s="1135">
        <v>108.94120335830861</v>
      </c>
      <c r="DC11" s="1135">
        <v>108.94120335830861</v>
      </c>
      <c r="DD11" s="1135">
        <v>114.63769042004014</v>
      </c>
      <c r="DE11" s="1135">
        <v>125.11816390023594</v>
      </c>
      <c r="DF11" s="1135">
        <v>153.49376789827954</v>
      </c>
      <c r="DG11" s="1135">
        <v>133.85600485489951</v>
      </c>
      <c r="DH11" s="1135">
        <v>135.14472417508333</v>
      </c>
      <c r="DI11" s="1135">
        <v>140.84552201638357</v>
      </c>
      <c r="DJ11" s="1135">
        <v>135.55093369571364</v>
      </c>
      <c r="DK11" s="1135">
        <v>165.59130317603027</v>
      </c>
      <c r="DL11" s="1135">
        <v>131.28114173347447</v>
      </c>
      <c r="DM11" s="1312">
        <v>130.89882586571326</v>
      </c>
      <c r="DN11" s="1136">
        <f t="shared" si="9"/>
        <v>132.02504037103924</v>
      </c>
      <c r="DO11" s="1135">
        <v>173.56582110467383</v>
      </c>
      <c r="DP11" s="1135">
        <v>150.31156949293415</v>
      </c>
      <c r="DQ11" s="1135">
        <v>166.1399476775718</v>
      </c>
      <c r="DR11" s="1135">
        <v>142.05331554755614</v>
      </c>
      <c r="DS11" s="1135">
        <v>164.45642125074042</v>
      </c>
      <c r="DT11" s="1135">
        <v>132.8664398185654</v>
      </c>
      <c r="DU11" s="1135">
        <v>130.09890156853024</v>
      </c>
      <c r="DV11" s="1135">
        <v>109.99376623384887</v>
      </c>
      <c r="DW11" s="1135">
        <v>169.84332844504701</v>
      </c>
      <c r="DX11" s="1135">
        <v>160.55873498718518</v>
      </c>
      <c r="DY11" s="1135">
        <v>168.56255065640016</v>
      </c>
      <c r="DZ11" s="1312">
        <v>173.97524910290974</v>
      </c>
      <c r="EA11" s="1136">
        <f t="shared" si="10"/>
        <v>153.53550382383025</v>
      </c>
      <c r="EB11" s="1135">
        <v>135.85302551774078</v>
      </c>
      <c r="EC11" s="1135">
        <v>123.92695614595446</v>
      </c>
      <c r="ED11" s="1135">
        <v>144.358040678967</v>
      </c>
      <c r="EE11" s="1135">
        <v>135.83660794779965</v>
      </c>
      <c r="EF11" s="1135">
        <v>152.68124211280843</v>
      </c>
      <c r="EG11" s="1135">
        <v>154.18323499401023</v>
      </c>
      <c r="EH11" s="1135">
        <v>163.69779154173344</v>
      </c>
      <c r="EI11" s="1135">
        <v>147.73524146347617</v>
      </c>
      <c r="EJ11" s="1135">
        <v>156.22424013183101</v>
      </c>
      <c r="EK11" s="1135">
        <v>100.8334809517636</v>
      </c>
      <c r="EL11" s="1135">
        <v>178.19911509061981</v>
      </c>
      <c r="EM11" s="1312">
        <v>153.93226302686782</v>
      </c>
      <c r="EN11" s="1136">
        <f t="shared" si="11"/>
        <v>145.62176996696437</v>
      </c>
      <c r="EO11" s="1135">
        <v>221.256958259718</v>
      </c>
      <c r="EP11" s="1135">
        <v>161.02017972367491</v>
      </c>
      <c r="EQ11" s="1135">
        <v>176.1425591420313</v>
      </c>
      <c r="ER11" s="1135">
        <v>158.48292913402005</v>
      </c>
      <c r="ES11" s="1135">
        <v>139.31438469465533</v>
      </c>
      <c r="ET11" s="1135">
        <v>129.39365287739702</v>
      </c>
      <c r="EU11" s="1135">
        <v>150.57011532544357</v>
      </c>
      <c r="EV11" s="1135">
        <v>187.97683874954177</v>
      </c>
      <c r="EW11" s="1135">
        <v>118.80168407701765</v>
      </c>
      <c r="EX11" s="1135">
        <v>169.30533472572748</v>
      </c>
      <c r="EY11" s="1135">
        <v>158.25268166236472</v>
      </c>
      <c r="EZ11" s="1312">
        <v>169.4879532638075</v>
      </c>
      <c r="FA11" s="1136">
        <f t="shared" si="12"/>
        <v>161.66710596961659</v>
      </c>
      <c r="FB11" s="1135">
        <v>182.59189076942511</v>
      </c>
      <c r="FC11" s="1135">
        <v>215.96503316420322</v>
      </c>
      <c r="FD11" s="1135">
        <v>198.33394026299379</v>
      </c>
      <c r="FE11" s="1135">
        <v>204.61848788217088</v>
      </c>
      <c r="FF11" s="1135">
        <v>193.8666804164921</v>
      </c>
      <c r="FG11" s="1135">
        <v>179.14646864799104</v>
      </c>
      <c r="FH11" s="1135">
        <v>223.51973854369805</v>
      </c>
      <c r="FI11" s="1135">
        <v>168.96873964717284</v>
      </c>
      <c r="FJ11" s="1135">
        <v>212.01677374476938</v>
      </c>
      <c r="FK11" s="1135">
        <v>146.32916375887669</v>
      </c>
      <c r="FL11" s="1135">
        <v>104.44551452934793</v>
      </c>
      <c r="FM11" s="1312">
        <v>119.47781636868224</v>
      </c>
      <c r="FN11" s="1136">
        <f t="shared" si="13"/>
        <v>179.10668731131861</v>
      </c>
      <c r="FO11" s="1135">
        <v>158.79771359323851</v>
      </c>
      <c r="FP11" s="1135">
        <v>127.98354648682889</v>
      </c>
      <c r="FQ11" s="1135">
        <v>154.4400017230052</v>
      </c>
      <c r="FR11" s="1135">
        <v>154.60379474458776</v>
      </c>
      <c r="FS11" s="1135">
        <v>165.59227803356285</v>
      </c>
      <c r="FT11" s="1135">
        <v>132.11260399180159</v>
      </c>
      <c r="FU11" s="1135">
        <v>139.84869509916814</v>
      </c>
      <c r="FV11" s="1135">
        <v>165.61144692296799</v>
      </c>
      <c r="FW11" s="1135">
        <v>149.64308811258914</v>
      </c>
      <c r="FX11" s="1135">
        <v>172.99550627889036</v>
      </c>
      <c r="FY11" s="1135">
        <v>156.06191669338367</v>
      </c>
      <c r="FZ11" s="1312">
        <v>167.24495825326233</v>
      </c>
      <c r="GA11" s="1136">
        <f t="shared" si="14"/>
        <v>153.74462916110721</v>
      </c>
      <c r="GB11" s="1135">
        <v>171.58305849412136</v>
      </c>
      <c r="GC11" s="1135">
        <v>124.88843706093738</v>
      </c>
      <c r="GD11" s="1135">
        <v>170.9633030873571</v>
      </c>
      <c r="GE11" s="1135">
        <v>160.85496050461708</v>
      </c>
      <c r="GF11" s="1135">
        <v>214.79137589005884</v>
      </c>
      <c r="GG11" s="1135">
        <v>201.18100307497221</v>
      </c>
      <c r="GH11" s="1135">
        <v>231.28795003653698</v>
      </c>
      <c r="GI11" s="1135">
        <v>155.21400533211948</v>
      </c>
      <c r="GJ11" s="1135">
        <v>124.99715842099725</v>
      </c>
      <c r="GK11" s="1135">
        <v>201.93605373943632</v>
      </c>
      <c r="GL11" s="1135">
        <v>229.01788959058456</v>
      </c>
      <c r="GM11" s="1312">
        <v>187.4579888665204</v>
      </c>
      <c r="GN11" s="1136">
        <f t="shared" si="15"/>
        <v>181.18109867485489</v>
      </c>
      <c r="GO11" s="1135">
        <v>187.4579888665204</v>
      </c>
      <c r="GP11" s="1135">
        <v>224.34395753521042</v>
      </c>
      <c r="GQ11" s="1135">
        <v>181.06218239484619</v>
      </c>
      <c r="GR11" s="1135">
        <v>252.70955450487313</v>
      </c>
      <c r="GS11" s="1135">
        <v>252.18743899946611</v>
      </c>
      <c r="GT11" s="1135">
        <v>252.62122701883234</v>
      </c>
      <c r="GU11" s="1135">
        <v>246.30800366707012</v>
      </c>
      <c r="GV11" s="1135">
        <v>251.93224222448242</v>
      </c>
      <c r="GW11" s="1135">
        <v>247.73983650975856</v>
      </c>
      <c r="GX11" s="1135">
        <v>282.11639210624725</v>
      </c>
      <c r="GY11" s="1135">
        <v>258.36619612430678</v>
      </c>
      <c r="GZ11" s="1312">
        <v>219.71958698740886</v>
      </c>
      <c r="HA11" s="1136">
        <f t="shared" si="16"/>
        <v>238.04705057825188</v>
      </c>
      <c r="HB11" s="1135">
        <v>237.79673474990369</v>
      </c>
      <c r="HC11" s="1135">
        <v>260.6825060523845</v>
      </c>
      <c r="HD11" s="1135">
        <v>244.41237934341166</v>
      </c>
      <c r="HE11" s="1135">
        <v>264.52535504120345</v>
      </c>
      <c r="HF11" s="1135">
        <v>263.36549920804202</v>
      </c>
      <c r="HG11" s="1135">
        <v>307.23524157538475</v>
      </c>
      <c r="HH11" s="1135">
        <v>302.34115736973342</v>
      </c>
      <c r="HI11" s="1135">
        <v>262.17804172485512</v>
      </c>
      <c r="HJ11" s="1135">
        <v>292.74948691352995</v>
      </c>
      <c r="HK11" s="1135">
        <v>287.15056599296361</v>
      </c>
      <c r="HL11" s="1135">
        <v>285.0724312890701</v>
      </c>
      <c r="HM11" s="1312">
        <v>274.50603358501399</v>
      </c>
      <c r="HN11" s="1136">
        <f t="shared" si="17"/>
        <v>273.50128607045804</v>
      </c>
      <c r="HO11" s="1135">
        <v>266.66879333788387</v>
      </c>
      <c r="HP11" s="1135">
        <v>248.75558485519142</v>
      </c>
      <c r="HQ11" s="1135">
        <v>286.42956925290372</v>
      </c>
      <c r="HR11" s="1135">
        <v>276.64605654757054</v>
      </c>
      <c r="HS11" s="1135">
        <v>245.66133052130223</v>
      </c>
      <c r="HT11" s="1135">
        <v>243.02132422717511</v>
      </c>
      <c r="HU11" s="1135">
        <v>270.59822628282171</v>
      </c>
      <c r="HV11" s="1135">
        <v>232.75536435031401</v>
      </c>
      <c r="HW11" s="1135">
        <v>259.84955767895491</v>
      </c>
      <c r="HX11" s="1135">
        <v>266.71378194786598</v>
      </c>
      <c r="HY11" s="1135">
        <v>278.65005839441551</v>
      </c>
      <c r="HZ11" s="1312">
        <v>280.80743011589482</v>
      </c>
      <c r="IA11" s="1136">
        <f t="shared" si="18"/>
        <v>263.04642312602454</v>
      </c>
      <c r="IB11" s="1135">
        <v>256.06685112822322</v>
      </c>
      <c r="IC11" s="1135">
        <v>253.72482968474296</v>
      </c>
      <c r="ID11" s="1135">
        <v>219.94040933337513</v>
      </c>
      <c r="IE11" s="1135">
        <v>181.42809343540583</v>
      </c>
      <c r="IF11" s="1135">
        <v>205.86770292503223</v>
      </c>
      <c r="IG11" s="1135">
        <v>275.12828290127993</v>
      </c>
      <c r="IH11" s="1135">
        <v>240.70406298004278</v>
      </c>
      <c r="II11" s="1135">
        <v>249.53295758862191</v>
      </c>
      <c r="IJ11" s="1135">
        <v>266.03590350130031</v>
      </c>
      <c r="IK11" s="1135">
        <v>278.05171659922502</v>
      </c>
      <c r="IL11" s="1135">
        <v>266.10768234989854</v>
      </c>
      <c r="IM11" s="1312">
        <v>255.75027975762598</v>
      </c>
      <c r="IN11" s="1136">
        <f t="shared" si="19"/>
        <v>245.69489768206446</v>
      </c>
      <c r="IO11" s="1135">
        <v>284.19436128117599</v>
      </c>
      <c r="IP11" s="1135">
        <v>235.55537499297597</v>
      </c>
      <c r="IQ11" s="1135">
        <v>190.39668348793012</v>
      </c>
      <c r="IR11" s="1135">
        <v>191.92456079013692</v>
      </c>
      <c r="IS11" s="1135">
        <v>188.84901434137552</v>
      </c>
      <c r="IT11" s="1135">
        <v>226.2713483774796</v>
      </c>
      <c r="IU11" s="1135">
        <v>241.77244629514317</v>
      </c>
      <c r="IV11" s="1135">
        <v>257.71956733959922</v>
      </c>
      <c r="IW11" s="1135">
        <v>277.98811105069399</v>
      </c>
      <c r="IX11" s="1135">
        <v>352.52125498959941</v>
      </c>
      <c r="IY11" s="1135">
        <v>307.04615913491409</v>
      </c>
      <c r="IZ11" s="1312">
        <v>268.29191861423942</v>
      </c>
      <c r="JA11" s="1136">
        <f t="shared" si="20"/>
        <v>251.87756672460532</v>
      </c>
      <c r="JB11" s="1135">
        <v>256.97606912116805</v>
      </c>
      <c r="JC11" s="1135">
        <v>199.7526279853862</v>
      </c>
      <c r="JD11" s="1135">
        <v>224.3944766971814</v>
      </c>
      <c r="JE11" s="1135">
        <v>226.88672560326407</v>
      </c>
      <c r="JF11" s="1135">
        <v>241.38363139230933</v>
      </c>
      <c r="JG11" s="1135">
        <v>241.38363139230933</v>
      </c>
      <c r="JH11" s="1135">
        <v>241.26771287211452</v>
      </c>
      <c r="JI11" s="1135">
        <v>243.6050613179539</v>
      </c>
      <c r="JJ11" s="1135">
        <v>254.27336819534202</v>
      </c>
      <c r="JK11" s="1135">
        <v>260.01503666602781</v>
      </c>
      <c r="JL11" s="1135">
        <v>364.37724312090188</v>
      </c>
      <c r="JM11" s="1312">
        <v>364.37724312090188</v>
      </c>
      <c r="JN11" s="1136">
        <f>IFERROR(AVERAGE(JB11:JM11),)</f>
        <v>259.8910689570717</v>
      </c>
      <c r="JO11" s="1135">
        <v>239.20692877985746</v>
      </c>
      <c r="JP11" s="1135">
        <v>240.55864293032067</v>
      </c>
      <c r="JQ11" s="1135">
        <v>284.81015580083408</v>
      </c>
      <c r="JR11" s="1135">
        <v>295.54294461388133</v>
      </c>
      <c r="JS11" s="1135">
        <v>292.17919939153848</v>
      </c>
      <c r="JT11" s="1135">
        <v>275.38697579220104</v>
      </c>
      <c r="JU11" s="1135">
        <v>295.98984936594036</v>
      </c>
      <c r="JV11" s="1135">
        <v>322.7988559070497</v>
      </c>
      <c r="JW11" s="1135"/>
      <c r="JX11" s="1135"/>
      <c r="JY11" s="1135"/>
      <c r="JZ11" s="1312"/>
      <c r="KA11" s="1136">
        <f t="shared" si="24"/>
        <v>280.80919407270289</v>
      </c>
      <c r="KC11" s="1270">
        <f>IFERROR(((
_xlfn.XLOOKUP((DATE(YEAR($KC$5),MONTH($KC$5),1)),SMN.MANUFACTURA.DATE,$B11:$KA11) /
_xlfn.XLOOKUP((DATE(YEAR($KC$5)-1,MONTH($KC$5),1)),SMN.MANUFACTURA.DATE,$B11:$KA11)
)-1)*100,"")</f>
        <v>32.509092446864997</v>
      </c>
      <c r="KD11" s="1297">
        <f t="shared" ref="KD11:KD18" si="25">IFERROR(((KF11/KE11)-1)*100,"")</f>
        <v>19.770406460562228</v>
      </c>
      <c r="KE11" s="1271" cm="1">
        <f t="array" ref="KE11">SUMIFS($B11:$KA11,SMN.MANUFACTURA.DATE,"&gt;="&amp;DATE(YEAR($KC$5)-1,1,1),SMN.MANUFACTURA.DATE,"&lt;="&amp;DATE(YEAR($KC$5)-1,MONTH($KC$5),1))</f>
        <v>1875.6499363816868</v>
      </c>
      <c r="KF11" s="1272" cm="1">
        <f t="array" ref="KF11">SUMIFS($B11:$KA11,SMN.MANUFACTURA.DATE,"&gt;="&amp;DATE(YEAR($KC$5),1,1),SMN.MANUFACTURA.DATE,"&lt;="&amp;$KC$5)</f>
        <v>2246.4735525816232</v>
      </c>
    </row>
    <row r="12" spans="1:293" ht="15" customHeight="1" x14ac:dyDescent="0.2">
      <c r="A12" s="1168" t="s">
        <v>253</v>
      </c>
      <c r="B12" s="1135"/>
      <c r="C12" s="1135"/>
      <c r="D12" s="1135"/>
      <c r="E12" s="1135"/>
      <c r="F12" s="1135"/>
      <c r="G12" s="1135"/>
      <c r="H12" s="1135"/>
      <c r="I12" s="1135"/>
      <c r="J12" s="1135"/>
      <c r="K12" s="1135"/>
      <c r="L12" s="1135"/>
      <c r="M12" s="1312"/>
      <c r="N12" s="1136">
        <f t="shared" si="1"/>
        <v>0</v>
      </c>
      <c r="O12" s="1135"/>
      <c r="P12" s="1135"/>
      <c r="Q12" s="1135"/>
      <c r="R12" s="1135"/>
      <c r="S12" s="1135"/>
      <c r="T12" s="1135"/>
      <c r="U12" s="1135"/>
      <c r="V12" s="1135"/>
      <c r="W12" s="1135"/>
      <c r="X12" s="1135"/>
      <c r="Y12" s="1135"/>
      <c r="Z12" s="1312"/>
      <c r="AA12" s="1136">
        <f t="shared" si="2"/>
        <v>0</v>
      </c>
      <c r="AB12" s="1135"/>
      <c r="AC12" s="1135"/>
      <c r="AD12" s="1135"/>
      <c r="AE12" s="1135"/>
      <c r="AF12" s="1135"/>
      <c r="AG12" s="1135"/>
      <c r="AH12" s="1135"/>
      <c r="AI12" s="1135"/>
      <c r="AJ12" s="1135"/>
      <c r="AK12" s="1135"/>
      <c r="AL12" s="1135"/>
      <c r="AM12" s="1312"/>
      <c r="AN12" s="1136">
        <f t="shared" si="3"/>
        <v>0</v>
      </c>
      <c r="AO12" s="1135"/>
      <c r="AP12" s="1135"/>
      <c r="AQ12" s="1135"/>
      <c r="AR12" s="1135"/>
      <c r="AS12" s="1135"/>
      <c r="AT12" s="1135"/>
      <c r="AU12" s="1135"/>
      <c r="AV12" s="1135"/>
      <c r="AW12" s="1135"/>
      <c r="AX12" s="1135"/>
      <c r="AY12" s="1135"/>
      <c r="AZ12" s="1312"/>
      <c r="BA12" s="1136">
        <f t="shared" si="4"/>
        <v>0</v>
      </c>
      <c r="BB12" s="1135"/>
      <c r="BC12" s="1135"/>
      <c r="BD12" s="1135"/>
      <c r="BE12" s="1135"/>
      <c r="BF12" s="1135"/>
      <c r="BG12" s="1135"/>
      <c r="BH12" s="1135"/>
      <c r="BI12" s="1135"/>
      <c r="BJ12" s="1135"/>
      <c r="BK12" s="1135"/>
      <c r="BL12" s="1135"/>
      <c r="BM12" s="1312"/>
      <c r="BN12" s="1136">
        <f t="shared" si="5"/>
        <v>0</v>
      </c>
      <c r="BO12" s="1135">
        <v>109.24305243312953</v>
      </c>
      <c r="BP12" s="1135">
        <v>70.449674872543881</v>
      </c>
      <c r="BQ12" s="1135">
        <v>80.73019525748613</v>
      </c>
      <c r="BR12" s="1135">
        <v>113.3749587371679</v>
      </c>
      <c r="BS12" s="1135">
        <v>95.948942354997598</v>
      </c>
      <c r="BT12" s="1135">
        <v>93.737440018440893</v>
      </c>
      <c r="BU12" s="1135">
        <v>79.826819817590859</v>
      </c>
      <c r="BV12" s="1135">
        <v>35.271504474325219</v>
      </c>
      <c r="BW12" s="1135">
        <v>81.888118974903733</v>
      </c>
      <c r="BX12" s="1135">
        <v>100.72608035163925</v>
      </c>
      <c r="BY12" s="1135">
        <v>58.242760437532226</v>
      </c>
      <c r="BZ12" s="1312">
        <v>70.287514909089126</v>
      </c>
      <c r="CA12" s="1136">
        <f t="shared" si="6"/>
        <v>82.477255219903853</v>
      </c>
      <c r="CB12" s="1135">
        <v>145.4688620423963</v>
      </c>
      <c r="CC12" s="1135">
        <v>70.449674872543881</v>
      </c>
      <c r="CD12" s="1135">
        <v>80.73019525748613</v>
      </c>
      <c r="CE12" s="1135">
        <v>113.3749587371679</v>
      </c>
      <c r="CF12" s="1135">
        <v>95.948942354997598</v>
      </c>
      <c r="CG12" s="1135">
        <v>93.737440018440893</v>
      </c>
      <c r="CH12" s="1135">
        <v>79.826819817590859</v>
      </c>
      <c r="CI12" s="1135">
        <v>35.271504474325219</v>
      </c>
      <c r="CJ12" s="1135">
        <v>81.888118974903733</v>
      </c>
      <c r="CK12" s="1135">
        <v>100.72608035163925</v>
      </c>
      <c r="CL12" s="1135">
        <v>58.242760437532226</v>
      </c>
      <c r="CM12" s="1312">
        <v>70.287514909089126</v>
      </c>
      <c r="CN12" s="1136">
        <f t="shared" si="7"/>
        <v>85.496072687342746</v>
      </c>
      <c r="CO12" s="1135">
        <v>95.254120104333822</v>
      </c>
      <c r="CP12" s="1135">
        <v>80.544874242785085</v>
      </c>
      <c r="CQ12" s="1135">
        <v>78.942469665062049</v>
      </c>
      <c r="CR12" s="1135">
        <v>57.910158009684856</v>
      </c>
      <c r="CS12" s="1135">
        <v>38.545062345095701</v>
      </c>
      <c r="CT12" s="1135">
        <v>77.604236387923947</v>
      </c>
      <c r="CU12" s="1135">
        <v>84.969399096833001</v>
      </c>
      <c r="CV12" s="1135">
        <v>88.589350764637658</v>
      </c>
      <c r="CW12" s="1135">
        <v>76.356481156428359</v>
      </c>
      <c r="CX12" s="1135">
        <v>230.11179645966888</v>
      </c>
      <c r="CY12" s="1135">
        <v>476.07778064385843</v>
      </c>
      <c r="CZ12" s="1312">
        <v>68.888171377451144</v>
      </c>
      <c r="DA12" s="1136">
        <f t="shared" si="8"/>
        <v>121.14949168781357</v>
      </c>
      <c r="DB12" s="1135">
        <v>556.47726792075809</v>
      </c>
      <c r="DC12" s="1135">
        <v>488.63751851073135</v>
      </c>
      <c r="DD12" s="1135">
        <v>231.03296126527795</v>
      </c>
      <c r="DE12" s="1135">
        <v>95.551539554721458</v>
      </c>
      <c r="DF12" s="1135">
        <v>87.80795658247979</v>
      </c>
      <c r="DG12" s="1135">
        <v>97.586178161355463</v>
      </c>
      <c r="DH12" s="1135">
        <v>234.83459411759196</v>
      </c>
      <c r="DI12" s="1135">
        <v>152.93458768287979</v>
      </c>
      <c r="DJ12" s="1135">
        <v>237.37779006448943</v>
      </c>
      <c r="DK12" s="1135">
        <v>476.23416192480238</v>
      </c>
      <c r="DL12" s="1135">
        <v>757.30446724279363</v>
      </c>
      <c r="DM12" s="1312">
        <v>442.1870703079511</v>
      </c>
      <c r="DN12" s="1136">
        <f t="shared" si="9"/>
        <v>321.49717444465267</v>
      </c>
      <c r="DO12" s="1135">
        <v>93.325787759262994</v>
      </c>
      <c r="DP12" s="1135">
        <v>76.912831859531877</v>
      </c>
      <c r="DQ12" s="1135">
        <v>105.67868121709047</v>
      </c>
      <c r="DR12" s="1135">
        <v>96.021771720964693</v>
      </c>
      <c r="DS12" s="1135">
        <v>102.4</v>
      </c>
      <c r="DT12" s="1135">
        <v>97.741390169212636</v>
      </c>
      <c r="DU12" s="1135">
        <v>80.924014189205366</v>
      </c>
      <c r="DV12" s="1135">
        <v>97.717941746619189</v>
      </c>
      <c r="DW12" s="1135">
        <v>73.657215809696879</v>
      </c>
      <c r="DX12" s="1135">
        <v>115.26023555997966</v>
      </c>
      <c r="DY12" s="1135">
        <v>115.94703059350078</v>
      </c>
      <c r="DZ12" s="1312">
        <v>121.63133927461152</v>
      </c>
      <c r="EA12" s="1136">
        <f t="shared" si="10"/>
        <v>98.101519991639677</v>
      </c>
      <c r="EB12" s="1135">
        <v>93.493816799032558</v>
      </c>
      <c r="EC12" s="1135">
        <v>124.97177259527739</v>
      </c>
      <c r="ED12" s="1135">
        <v>63.1060867316654</v>
      </c>
      <c r="EE12" s="1135">
        <v>71.376791503024691</v>
      </c>
      <c r="EF12" s="1135">
        <v>97.317816496334757</v>
      </c>
      <c r="EG12" s="1135">
        <v>66.709539038786446</v>
      </c>
      <c r="EH12" s="1135">
        <v>100.58233701044573</v>
      </c>
      <c r="EI12" s="1135">
        <v>107.63693031352652</v>
      </c>
      <c r="EJ12" s="1135">
        <v>109.93782589362515</v>
      </c>
      <c r="EK12" s="1135">
        <v>121.90463437261747</v>
      </c>
      <c r="EL12" s="1135">
        <v>126.91242413175792</v>
      </c>
      <c r="EM12" s="1312">
        <v>107.79590648128217</v>
      </c>
      <c r="EN12" s="1136">
        <f t="shared" si="11"/>
        <v>99.312156780614671</v>
      </c>
      <c r="EO12" s="1135">
        <v>90.826623938489902</v>
      </c>
      <c r="EP12" s="1135">
        <v>127.20010578593504</v>
      </c>
      <c r="EQ12" s="1135">
        <v>132.71254931211087</v>
      </c>
      <c r="ER12" s="1135">
        <v>115.2172557796334</v>
      </c>
      <c r="ES12" s="1135">
        <v>121.1408561979467</v>
      </c>
      <c r="ET12" s="1135">
        <v>118.25464049943982</v>
      </c>
      <c r="EU12" s="1135">
        <v>119.63802097998142</v>
      </c>
      <c r="EV12" s="1135">
        <v>119.74854876710819</v>
      </c>
      <c r="EW12" s="1135">
        <v>105.92189001913361</v>
      </c>
      <c r="EX12" s="1135">
        <v>103.27234418779247</v>
      </c>
      <c r="EY12" s="1135">
        <v>98.059724767079217</v>
      </c>
      <c r="EZ12" s="1312">
        <v>100.29815867832468</v>
      </c>
      <c r="FA12" s="1136">
        <f t="shared" si="12"/>
        <v>112.69089324274795</v>
      </c>
      <c r="FB12" s="1135">
        <v>119.6688706797574</v>
      </c>
      <c r="FC12" s="1135">
        <v>107.77017888917439</v>
      </c>
      <c r="FD12" s="1135">
        <v>95.272061476838459</v>
      </c>
      <c r="FE12" s="1135">
        <v>99.92490728566446</v>
      </c>
      <c r="FF12" s="1135">
        <v>119.26392819151219</v>
      </c>
      <c r="FG12" s="1135">
        <v>122.95960245630992</v>
      </c>
      <c r="FH12" s="1135">
        <v>105.3598833219316</v>
      </c>
      <c r="FI12" s="1135">
        <v>111.08368814973244</v>
      </c>
      <c r="FJ12" s="1135">
        <v>91.485729527510955</v>
      </c>
      <c r="FK12" s="1135">
        <v>128.26585172661808</v>
      </c>
      <c r="FL12" s="1135">
        <v>100.73436499693275</v>
      </c>
      <c r="FM12" s="1312">
        <v>110.71202737352692</v>
      </c>
      <c r="FN12" s="1136">
        <f t="shared" si="13"/>
        <v>109.37509117295916</v>
      </c>
      <c r="FO12" s="1135">
        <v>106.31304806764435</v>
      </c>
      <c r="FP12" s="1135">
        <v>109.39767588295102</v>
      </c>
      <c r="FQ12" s="1135">
        <v>64.62082049946666</v>
      </c>
      <c r="FR12" s="1135">
        <v>87.350405184606828</v>
      </c>
      <c r="FS12" s="1135">
        <v>80.882637184770189</v>
      </c>
      <c r="FT12" s="1135">
        <v>68.999001914740688</v>
      </c>
      <c r="FU12" s="1135">
        <v>62.005283550082183</v>
      </c>
      <c r="FV12" s="1135">
        <v>60.797019198464341</v>
      </c>
      <c r="FW12" s="1135">
        <v>49.211896297658065</v>
      </c>
      <c r="FX12" s="1135">
        <v>10.94545353818507</v>
      </c>
      <c r="FY12" s="1135">
        <v>27.292559471838096</v>
      </c>
      <c r="FZ12" s="1312"/>
      <c r="GA12" s="1136">
        <f t="shared" si="14"/>
        <v>66.165072799127969</v>
      </c>
      <c r="GB12" s="1135">
        <v>4.5629747866979322</v>
      </c>
      <c r="GC12" s="1135"/>
      <c r="GD12" s="1135"/>
      <c r="GE12" s="1135"/>
      <c r="GF12" s="1135">
        <v>35.242374136907138</v>
      </c>
      <c r="GG12" s="1135">
        <v>47.855716248216609</v>
      </c>
      <c r="GH12" s="1135">
        <v>16.536600326398297</v>
      </c>
      <c r="GI12" s="1135"/>
      <c r="GJ12" s="1135"/>
      <c r="GK12" s="1135"/>
      <c r="GL12" s="1135"/>
      <c r="GM12" s="1312"/>
      <c r="GN12" s="1136">
        <f t="shared" si="15"/>
        <v>26.049416374554994</v>
      </c>
      <c r="GO12" s="1135"/>
      <c r="GP12" s="1135"/>
      <c r="GQ12" s="1135"/>
      <c r="GR12" s="1135"/>
      <c r="GS12" s="1135"/>
      <c r="GT12" s="1135"/>
      <c r="GU12" s="1135"/>
      <c r="GV12" s="1135"/>
      <c r="GW12" s="1135"/>
      <c r="GX12" s="1135"/>
      <c r="GY12" s="1135"/>
      <c r="GZ12" s="1312"/>
      <c r="HA12" s="1136">
        <f t="shared" si="16"/>
        <v>0</v>
      </c>
      <c r="HB12" s="1135"/>
      <c r="HC12" s="1135"/>
      <c r="HD12" s="1135"/>
      <c r="HE12" s="1135"/>
      <c r="HF12" s="1135"/>
      <c r="HG12" s="1135"/>
      <c r="HH12" s="1135"/>
      <c r="HI12" s="1135"/>
      <c r="HJ12" s="1135"/>
      <c r="HK12" s="1135"/>
      <c r="HL12" s="1135"/>
      <c r="HM12" s="1312"/>
      <c r="HN12" s="1136">
        <f t="shared" si="17"/>
        <v>0</v>
      </c>
      <c r="HO12" s="1135"/>
      <c r="HP12" s="1135"/>
      <c r="HQ12" s="1135"/>
      <c r="HR12" s="1135"/>
      <c r="HS12" s="1135"/>
      <c r="HT12" s="1135"/>
      <c r="HU12" s="1135"/>
      <c r="HV12" s="1135"/>
      <c r="HW12" s="1135"/>
      <c r="HX12" s="1135"/>
      <c r="HY12" s="1135"/>
      <c r="HZ12" s="1312"/>
      <c r="IA12" s="1136">
        <f t="shared" si="18"/>
        <v>0</v>
      </c>
      <c r="IB12" s="1135"/>
      <c r="IC12" s="1135"/>
      <c r="ID12" s="1135"/>
      <c r="IE12" s="1135"/>
      <c r="IF12" s="1135"/>
      <c r="IG12" s="1135"/>
      <c r="IH12" s="1135"/>
      <c r="II12" s="1135"/>
      <c r="IJ12" s="1135"/>
      <c r="IK12" s="1135"/>
      <c r="IL12" s="1135"/>
      <c r="IM12" s="1312"/>
      <c r="IN12" s="1136">
        <f t="shared" si="19"/>
        <v>0</v>
      </c>
      <c r="IO12" s="1135"/>
      <c r="IP12" s="1135"/>
      <c r="IQ12" s="1135"/>
      <c r="IR12" s="1135"/>
      <c r="IS12" s="1135"/>
      <c r="IT12" s="1135"/>
      <c r="IU12" s="1135"/>
      <c r="IV12" s="1135"/>
      <c r="IW12" s="1135"/>
      <c r="IX12" s="1135"/>
      <c r="IY12" s="1135"/>
      <c r="IZ12" s="1312"/>
      <c r="JA12" s="1136">
        <f t="shared" si="20"/>
        <v>0</v>
      </c>
      <c r="JB12" s="1135">
        <v>0</v>
      </c>
      <c r="JC12" s="1135">
        <v>0</v>
      </c>
      <c r="JD12" s="1135">
        <v>0</v>
      </c>
      <c r="JE12" s="1135">
        <v>0</v>
      </c>
      <c r="JF12" s="1135">
        <v>0</v>
      </c>
      <c r="JG12" s="1135">
        <v>0</v>
      </c>
      <c r="JH12" s="1135">
        <v>0</v>
      </c>
      <c r="JI12" s="1135">
        <v>0</v>
      </c>
      <c r="JJ12" s="1135">
        <v>0</v>
      </c>
      <c r="JK12" s="1135">
        <v>0</v>
      </c>
      <c r="JL12" s="1135">
        <v>0</v>
      </c>
      <c r="JM12" s="1312">
        <v>0</v>
      </c>
      <c r="JN12" s="1136">
        <f t="shared" si="21"/>
        <v>0</v>
      </c>
      <c r="JO12" s="1135">
        <v>0</v>
      </c>
      <c r="JP12" s="1135">
        <v>0</v>
      </c>
      <c r="JQ12" s="1135">
        <v>0</v>
      </c>
      <c r="JR12" s="1135">
        <v>0</v>
      </c>
      <c r="JS12" s="1135">
        <v>0</v>
      </c>
      <c r="JT12" s="1135">
        <v>0</v>
      </c>
      <c r="JU12" s="1135">
        <v>0</v>
      </c>
      <c r="JV12" s="1135">
        <v>0</v>
      </c>
      <c r="JW12" s="1135"/>
      <c r="JX12" s="1135"/>
      <c r="JY12" s="1135"/>
      <c r="JZ12" s="1312"/>
      <c r="KA12" s="1136">
        <f t="shared" si="24"/>
        <v>0</v>
      </c>
      <c r="KC12" s="1270" t="str" cm="1">
        <f t="array" ref="KC12">IFERROR(((
_xlfn.XLOOKUP((DATE(YEAR($KC$5),MONTH($KC$5),1)),SMN.MANUFACTURA.DATE,$B12:$KA12) /
_xlfn.XLOOKUP((DATE(YEAR($KC$5)-1,MONTH($KC$5),1)),SMN.MANUFACTURA.DATE,$B12:$KA12)
)-1)*100,"")</f>
        <v/>
      </c>
      <c r="KD12" s="1297" t="str">
        <f t="shared" si="25"/>
        <v/>
      </c>
      <c r="KE12" s="1271" cm="1">
        <f t="array" ref="KE12">SUMIFS($B12:$KA12,SMN.MANUFACTURA.DATE,"&gt;="&amp;DATE(YEAR($KC$5)-1,1,1),SMN.MANUFACTURA.DATE,"&lt;="&amp;DATE(YEAR($KC$5)-1,MONTH($KC$5),1))</f>
        <v>0</v>
      </c>
      <c r="KF12" s="1272" cm="1">
        <f t="array" ref="KF12">SUMIFS($B12:$KA12,SMN.MANUFACTURA.DATE,"&gt;="&amp;DATE(YEAR($KC$5),1,1),SMN.MANUFACTURA.DATE,"&lt;="&amp;$KC$5)</f>
        <v>0</v>
      </c>
    </row>
    <row r="13" spans="1:293" ht="15" customHeight="1" x14ac:dyDescent="0.2">
      <c r="A13" s="1168" t="s">
        <v>257</v>
      </c>
      <c r="B13" s="1135"/>
      <c r="C13" s="1135"/>
      <c r="D13" s="1135"/>
      <c r="E13" s="1135"/>
      <c r="F13" s="1135"/>
      <c r="G13" s="1135"/>
      <c r="H13" s="1135"/>
      <c r="I13" s="1135"/>
      <c r="J13" s="1135"/>
      <c r="K13" s="1135"/>
      <c r="L13" s="1135"/>
      <c r="M13" s="1312"/>
      <c r="N13" s="1136">
        <f t="shared" si="1"/>
        <v>0</v>
      </c>
      <c r="O13" s="1135"/>
      <c r="P13" s="1135"/>
      <c r="Q13" s="1135"/>
      <c r="R13" s="1135"/>
      <c r="S13" s="1135"/>
      <c r="T13" s="1135"/>
      <c r="U13" s="1135"/>
      <c r="V13" s="1135"/>
      <c r="W13" s="1135"/>
      <c r="X13" s="1135"/>
      <c r="Y13" s="1135"/>
      <c r="Z13" s="1312"/>
      <c r="AA13" s="1136">
        <f t="shared" si="2"/>
        <v>0</v>
      </c>
      <c r="AB13" s="1135"/>
      <c r="AC13" s="1135"/>
      <c r="AD13" s="1135"/>
      <c r="AE13" s="1135"/>
      <c r="AF13" s="1135"/>
      <c r="AG13" s="1135"/>
      <c r="AH13" s="1135"/>
      <c r="AI13" s="1135"/>
      <c r="AJ13" s="1135"/>
      <c r="AK13" s="1135"/>
      <c r="AL13" s="1135"/>
      <c r="AM13" s="1312"/>
      <c r="AN13" s="1136">
        <f t="shared" si="3"/>
        <v>0</v>
      </c>
      <c r="AO13" s="1135"/>
      <c r="AP13" s="1135"/>
      <c r="AQ13" s="1135"/>
      <c r="AR13" s="1135"/>
      <c r="AS13" s="1135"/>
      <c r="AT13" s="1135"/>
      <c r="AU13" s="1135"/>
      <c r="AV13" s="1135"/>
      <c r="AW13" s="1135"/>
      <c r="AX13" s="1135"/>
      <c r="AY13" s="1135"/>
      <c r="AZ13" s="1312"/>
      <c r="BA13" s="1136">
        <f t="shared" si="4"/>
        <v>0</v>
      </c>
      <c r="BB13" s="1135"/>
      <c r="BC13" s="1135"/>
      <c r="BD13" s="1135"/>
      <c r="BE13" s="1135"/>
      <c r="BF13" s="1135"/>
      <c r="BG13" s="1135"/>
      <c r="BH13" s="1135"/>
      <c r="BI13" s="1135"/>
      <c r="BJ13" s="1135"/>
      <c r="BK13" s="1135"/>
      <c r="BL13" s="1135"/>
      <c r="BM13" s="1312"/>
      <c r="BN13" s="1136">
        <f t="shared" si="5"/>
        <v>0</v>
      </c>
      <c r="BO13" s="1135">
        <v>468.40484101768089</v>
      </c>
      <c r="BP13" s="1135">
        <v>188.65416798040309</v>
      </c>
      <c r="BQ13" s="1135">
        <v>181.29077635759504</v>
      </c>
      <c r="BR13" s="1135"/>
      <c r="BS13" s="1135"/>
      <c r="BT13" s="1135"/>
      <c r="BU13" s="1135"/>
      <c r="BV13" s="1135">
        <v>99.944216730130265</v>
      </c>
      <c r="BW13" s="1135">
        <v>69.55931216802891</v>
      </c>
      <c r="BX13" s="1135">
        <v>82.598045160194999</v>
      </c>
      <c r="BY13" s="1135">
        <v>104.95015886105116</v>
      </c>
      <c r="BZ13" s="1312">
        <v>4.598481724915719</v>
      </c>
      <c r="CA13" s="1136">
        <f t="shared" si="6"/>
        <v>150.00000000000003</v>
      </c>
      <c r="CB13" s="1135"/>
      <c r="CC13" s="1135">
        <v>12.747689845019524</v>
      </c>
      <c r="CD13" s="1135">
        <v>13.213358880454029</v>
      </c>
      <c r="CE13" s="1135">
        <v>74.099585263515323</v>
      </c>
      <c r="CF13" s="1135">
        <v>37.078896946472319</v>
      </c>
      <c r="CG13" s="1135">
        <v>6.3447406077951056</v>
      </c>
      <c r="CH13" s="1135">
        <v>6.1410104047925111</v>
      </c>
      <c r="CI13" s="1135">
        <v>72.644369527782501</v>
      </c>
      <c r="CJ13" s="1135">
        <v>13.067837306880747</v>
      </c>
      <c r="CK13" s="1135">
        <v>51.660158618515197</v>
      </c>
      <c r="CL13" s="1135">
        <v>105.9979141907788</v>
      </c>
      <c r="CM13" s="1312">
        <v>65.54291673740633</v>
      </c>
      <c r="CN13" s="1136">
        <f t="shared" si="7"/>
        <v>41.685316211764764</v>
      </c>
      <c r="CO13" s="1135"/>
      <c r="CP13" s="1135">
        <v>8.5566685261089965</v>
      </c>
      <c r="CQ13" s="1135">
        <v>13.737236545317844</v>
      </c>
      <c r="CR13" s="1135">
        <v>8.8768159879702164</v>
      </c>
      <c r="CS13" s="1135"/>
      <c r="CT13" s="1135">
        <v>10.623074870849605</v>
      </c>
      <c r="CU13" s="1135">
        <v>11.001430962140137</v>
      </c>
      <c r="CV13" s="1135">
        <v>16.531250757924866</v>
      </c>
      <c r="CW13" s="1135">
        <v>1.7171545681647304</v>
      </c>
      <c r="CX13" s="1135">
        <v>16.909606849215397</v>
      </c>
      <c r="CY13" s="1135"/>
      <c r="CZ13" s="1312">
        <v>38.330382479202548</v>
      </c>
      <c r="DA13" s="1136">
        <f t="shared" si="8"/>
        <v>14.031513505210484</v>
      </c>
      <c r="DB13" s="1135">
        <v>47.003468264170166</v>
      </c>
      <c r="DC13" s="1135">
        <v>47.003468264170166</v>
      </c>
      <c r="DD13" s="1135"/>
      <c r="DE13" s="1135">
        <v>1.4552157357328226</v>
      </c>
      <c r="DF13" s="1135">
        <v>14.639470301472196</v>
      </c>
      <c r="DG13" s="1135">
        <v>46.421381969877039</v>
      </c>
      <c r="DH13" s="1135">
        <v>44.354975625136426</v>
      </c>
      <c r="DI13" s="1135">
        <v>3.2887875627561791</v>
      </c>
      <c r="DJ13" s="1135">
        <v>19.907351264825014</v>
      </c>
      <c r="DK13" s="1135">
        <v>40.367684509228496</v>
      </c>
      <c r="DL13" s="1135">
        <v>72.848099730785094</v>
      </c>
      <c r="DM13" s="1312">
        <v>16.996919793359368</v>
      </c>
      <c r="DN13" s="1136">
        <f t="shared" si="9"/>
        <v>32.207893001955718</v>
      </c>
      <c r="DO13" s="1135">
        <v>29.482670805946988</v>
      </c>
      <c r="DP13" s="1135">
        <v>25.96104872547355</v>
      </c>
      <c r="DQ13" s="1135">
        <v>14.959617763333416</v>
      </c>
      <c r="DR13" s="1135">
        <v>10.244718779559072</v>
      </c>
      <c r="DS13" s="1135">
        <v>16.618563702068833</v>
      </c>
      <c r="DT13" s="1135">
        <v>16.705876646212804</v>
      </c>
      <c r="DU13" s="1135">
        <v>16.82229390507143</v>
      </c>
      <c r="DV13" s="1135"/>
      <c r="DW13" s="1135">
        <v>67.347384249715034</v>
      </c>
      <c r="DX13" s="1135"/>
      <c r="DY13" s="1135">
        <v>78.028667749993943</v>
      </c>
      <c r="DZ13" s="1312">
        <v>11.350682738716015</v>
      </c>
      <c r="EA13" s="1136">
        <f t="shared" si="10"/>
        <v>28.752152506609104</v>
      </c>
      <c r="EB13" s="1135">
        <v>28.958793141083166</v>
      </c>
      <c r="EC13" s="1135"/>
      <c r="ED13" s="1135">
        <v>15.890955834202424</v>
      </c>
      <c r="EE13" s="1135">
        <v>3.1432659891828965</v>
      </c>
      <c r="EF13" s="1135">
        <v>4.0454997453372501</v>
      </c>
      <c r="EG13" s="1135">
        <v>15.949164463631735</v>
      </c>
      <c r="EH13" s="1135">
        <v>1.07685964444229</v>
      </c>
      <c r="EI13" s="1135">
        <v>22.5267395891441</v>
      </c>
      <c r="EJ13" s="1135">
        <v>2.0664063447406082</v>
      </c>
      <c r="EK13" s="1135">
        <v>38.941573088210298</v>
      </c>
      <c r="EL13" s="1135">
        <v>76.282408867114597</v>
      </c>
      <c r="EM13" s="1312">
        <v>101.28301520700444</v>
      </c>
      <c r="EN13" s="1136">
        <f t="shared" si="11"/>
        <v>28.196789264917619</v>
      </c>
      <c r="EO13" s="1135">
        <v>193.48548422303608</v>
      </c>
      <c r="EP13" s="1135">
        <v>174.21842788193348</v>
      </c>
      <c r="EQ13" s="1135">
        <v>132.19179743396961</v>
      </c>
      <c r="ER13" s="1135">
        <v>48.837040091193529</v>
      </c>
      <c r="ES13" s="1135">
        <v>29.366253547088355</v>
      </c>
      <c r="ET13" s="1135">
        <v>39.174407605927584</v>
      </c>
      <c r="EU13" s="1135">
        <v>62.370546433508778</v>
      </c>
      <c r="EV13" s="1135">
        <v>60.886226383061306</v>
      </c>
      <c r="EW13" s="1135">
        <v>47.614658873177952</v>
      </c>
      <c r="EX13" s="1135">
        <v>173.8982804200723</v>
      </c>
      <c r="EY13" s="1135">
        <v>114.61279134631712</v>
      </c>
      <c r="EZ13" s="1312">
        <v>263.27763090878227</v>
      </c>
      <c r="FA13" s="1136">
        <f t="shared" si="12"/>
        <v>111.66112876233903</v>
      </c>
      <c r="FB13" s="1135">
        <v>288.54017608110405</v>
      </c>
      <c r="FC13" s="1135">
        <v>197.00710630350952</v>
      </c>
      <c r="FD13" s="1135">
        <v>271.22310882588346</v>
      </c>
      <c r="FE13" s="1135">
        <v>182.68778346389857</v>
      </c>
      <c r="FF13" s="1135">
        <v>112.13892459557131</v>
      </c>
      <c r="FG13" s="1135">
        <v>26.310300502049433</v>
      </c>
      <c r="FH13" s="1135"/>
      <c r="FI13" s="1135">
        <v>246.7172758361427</v>
      </c>
      <c r="FJ13" s="1135">
        <v>175.79006087652496</v>
      </c>
      <c r="FK13" s="1135">
        <v>232.80541340253694</v>
      </c>
      <c r="FL13" s="1135">
        <v>235.10465426499482</v>
      </c>
      <c r="FM13" s="1312">
        <v>117.11576241177757</v>
      </c>
      <c r="FN13" s="1136">
        <f t="shared" si="13"/>
        <v>189.58550605127212</v>
      </c>
      <c r="FO13" s="1135">
        <v>194.50413523804906</v>
      </c>
      <c r="FP13" s="1135">
        <v>275.41413014479394</v>
      </c>
      <c r="FQ13" s="1135">
        <v>274.83204385050095</v>
      </c>
      <c r="FR13" s="1135">
        <v>188.04297737139532</v>
      </c>
      <c r="FS13" s="1135">
        <v>111.17848220998765</v>
      </c>
      <c r="FT13" s="1135"/>
      <c r="FU13" s="1135">
        <v>27.911037811355538</v>
      </c>
      <c r="FV13" s="1135">
        <v>225.96589944459268</v>
      </c>
      <c r="FW13" s="1135">
        <v>104.13523804904079</v>
      </c>
      <c r="FX13" s="1135">
        <v>126.37093449103831</v>
      </c>
      <c r="FY13" s="1135">
        <v>214.44059081758877</v>
      </c>
      <c r="FZ13" s="1312">
        <v>262.57912735563053</v>
      </c>
      <c r="GA13" s="1136">
        <f t="shared" si="14"/>
        <v>182.30678152581575</v>
      </c>
      <c r="GB13" s="1135">
        <v>165.95280250297111</v>
      </c>
      <c r="GC13" s="1135">
        <v>205.18541873832797</v>
      </c>
      <c r="GD13" s="1135">
        <v>293.25507506487844</v>
      </c>
      <c r="GE13" s="1135">
        <v>218.39877761878205</v>
      </c>
      <c r="GF13" s="1135">
        <v>152.44840047537051</v>
      </c>
      <c r="GG13" s="1135">
        <v>87.429361402827979</v>
      </c>
      <c r="GH13" s="1135"/>
      <c r="GI13" s="1135">
        <v>82.65625378962433</v>
      </c>
      <c r="GJ13" s="1135">
        <v>262.05524969076669</v>
      </c>
      <c r="GK13" s="1135">
        <v>195.93024665906722</v>
      </c>
      <c r="GL13" s="1135">
        <v>256.93289030098714</v>
      </c>
      <c r="GM13" s="1312">
        <v>261.182120249327</v>
      </c>
      <c r="GN13" s="1136">
        <f t="shared" si="15"/>
        <v>198.31150877208458</v>
      </c>
      <c r="GO13" s="1135">
        <v>261.182120249327</v>
      </c>
      <c r="GP13" s="1135">
        <v>233.88227304697926</v>
      </c>
      <c r="GQ13" s="1135">
        <v>110.18893550968932</v>
      </c>
      <c r="GR13" s="1135"/>
      <c r="GS13" s="1135"/>
      <c r="GT13" s="1135"/>
      <c r="GU13" s="1135"/>
      <c r="GV13" s="1135"/>
      <c r="GW13" s="1135"/>
      <c r="GX13" s="1135"/>
      <c r="GY13" s="1135"/>
      <c r="GZ13" s="1312"/>
      <c r="HA13" s="1136">
        <f t="shared" si="16"/>
        <v>201.75110960199854</v>
      </c>
      <c r="HB13" s="1135">
        <v>46.566903543450323</v>
      </c>
      <c r="HC13" s="1135">
        <v>55.298197957847265</v>
      </c>
      <c r="HD13" s="1135">
        <v>55.298197957847265</v>
      </c>
      <c r="HE13" s="1135">
        <v>38.650529941063766</v>
      </c>
      <c r="HF13" s="1135">
        <v>46.625112172879632</v>
      </c>
      <c r="HG13" s="1135"/>
      <c r="HH13" s="1135">
        <v>17.462588828793869</v>
      </c>
      <c r="HI13" s="1135"/>
      <c r="HJ13" s="1135">
        <v>75.554800999248144</v>
      </c>
      <c r="HK13" s="1135">
        <v>61.119060900778543</v>
      </c>
      <c r="HL13" s="1135"/>
      <c r="HM13" s="1312"/>
      <c r="HN13" s="1136">
        <f t="shared" si="17"/>
        <v>49.571924037738604</v>
      </c>
      <c r="HO13" s="1135">
        <v>8.3820426378210566</v>
      </c>
      <c r="HP13" s="1135"/>
      <c r="HQ13" s="1135"/>
      <c r="HR13" s="1135"/>
      <c r="HS13" s="1135"/>
      <c r="HT13" s="1135"/>
      <c r="HU13" s="1135"/>
      <c r="HV13" s="1135"/>
      <c r="HW13" s="1135"/>
      <c r="HX13" s="1135"/>
      <c r="HY13" s="1135"/>
      <c r="HZ13" s="1312"/>
      <c r="IA13" s="1136">
        <f t="shared" si="18"/>
        <v>8.3820426378210566</v>
      </c>
      <c r="IB13" s="1135"/>
      <c r="IC13" s="1135"/>
      <c r="ID13" s="1135"/>
      <c r="IE13" s="1135"/>
      <c r="IF13" s="1135"/>
      <c r="IG13" s="1135"/>
      <c r="IH13" s="1135"/>
      <c r="II13" s="1135"/>
      <c r="IJ13" s="1135"/>
      <c r="IK13" s="1135"/>
      <c r="IL13" s="1135"/>
      <c r="IM13" s="1312"/>
      <c r="IN13" s="1136">
        <f t="shared" si="19"/>
        <v>0</v>
      </c>
      <c r="IO13" s="1135"/>
      <c r="IP13" s="1135"/>
      <c r="IQ13" s="1135"/>
      <c r="IR13" s="1135"/>
      <c r="IS13" s="1135"/>
      <c r="IT13" s="1135"/>
      <c r="IU13" s="1135"/>
      <c r="IV13" s="1135"/>
      <c r="IW13" s="1135"/>
      <c r="IX13" s="1135"/>
      <c r="IY13" s="1135"/>
      <c r="IZ13" s="1312"/>
      <c r="JA13" s="1136">
        <f t="shared" si="20"/>
        <v>0</v>
      </c>
      <c r="JB13" s="1135">
        <v>0</v>
      </c>
      <c r="JC13" s="1135">
        <v>0</v>
      </c>
      <c r="JD13" s="1135">
        <v>0</v>
      </c>
      <c r="JE13" s="1135">
        <v>0</v>
      </c>
      <c r="JF13" s="1135">
        <v>0</v>
      </c>
      <c r="JG13" s="1135">
        <v>0</v>
      </c>
      <c r="JH13" s="1135">
        <v>0</v>
      </c>
      <c r="JI13" s="1135">
        <v>0</v>
      </c>
      <c r="JJ13" s="1135">
        <v>0</v>
      </c>
      <c r="JK13" s="1135">
        <v>0</v>
      </c>
      <c r="JL13" s="1135">
        <v>0</v>
      </c>
      <c r="JM13" s="1312">
        <v>0</v>
      </c>
      <c r="JN13" s="1136">
        <f t="shared" si="21"/>
        <v>0</v>
      </c>
      <c r="JO13" s="1135">
        <v>0</v>
      </c>
      <c r="JP13" s="1135">
        <v>0</v>
      </c>
      <c r="JQ13" s="1135">
        <v>0</v>
      </c>
      <c r="JR13" s="1135">
        <v>0</v>
      </c>
      <c r="JS13" s="1135">
        <v>0</v>
      </c>
      <c r="JT13" s="1135">
        <v>0</v>
      </c>
      <c r="JU13" s="1135">
        <v>0</v>
      </c>
      <c r="JV13" s="1135">
        <v>0</v>
      </c>
      <c r="JW13" s="1135"/>
      <c r="JX13" s="1135"/>
      <c r="JY13" s="1135"/>
      <c r="JZ13" s="1312"/>
      <c r="KA13" s="1136">
        <f t="shared" si="24"/>
        <v>0</v>
      </c>
      <c r="KC13" s="1270" t="str" cm="1">
        <f t="array" ref="KC13">IFERROR(((
_xlfn.XLOOKUP((DATE(YEAR($KC$5),MONTH($KC$5),1)),SMN.MANUFACTURA.DATE,$B13:$KA13) /
_xlfn.XLOOKUP((DATE(YEAR($KC$5)-1,MONTH($KC$5),1)),SMN.MANUFACTURA.DATE,$B13:$KA13)
)-1)*100,"")</f>
        <v/>
      </c>
      <c r="KD13" s="1297" t="str">
        <f t="shared" si="25"/>
        <v/>
      </c>
      <c r="KE13" s="1271">
        <f>SUMIFS($B13:$KA13,SMN.MANUFACTURA.DATE,"&gt;="&amp;DATE(YEAR($KC$5)-1,1,1),SMN.MANUFACTURA.DATE,"&lt;="&amp;DATE(YEAR($KC$5)-1,MONTH($KC$5),1))</f>
        <v>0</v>
      </c>
      <c r="KF13" s="1272" cm="1">
        <f t="array" ref="KF13">SUMIFS($B13:$KA13,SMN.MANUFACTURA.DATE,"&gt;="&amp;DATE(YEAR($KC$5),1,1),SMN.MANUFACTURA.DATE,"&lt;="&amp;$KC$5)</f>
        <v>0</v>
      </c>
    </row>
    <row r="14" spans="1:293" ht="15" customHeight="1" x14ac:dyDescent="0.2">
      <c r="A14" s="1168" t="s">
        <v>210</v>
      </c>
      <c r="B14" s="1135"/>
      <c r="C14" s="1135"/>
      <c r="D14" s="1135"/>
      <c r="E14" s="1135"/>
      <c r="F14" s="1135"/>
      <c r="G14" s="1135"/>
      <c r="H14" s="1135"/>
      <c r="I14" s="1135"/>
      <c r="J14" s="1135"/>
      <c r="K14" s="1135">
        <v>293.10000000000002</v>
      </c>
      <c r="L14" s="1135">
        <v>231.2</v>
      </c>
      <c r="M14" s="1312">
        <v>340.8</v>
      </c>
      <c r="N14" s="1136">
        <f t="shared" si="1"/>
        <v>288.36666666666662</v>
      </c>
      <c r="O14" s="1135">
        <v>316.60000000000002</v>
      </c>
      <c r="P14" s="1135">
        <v>245.8</v>
      </c>
      <c r="Q14" s="1135">
        <v>314.5</v>
      </c>
      <c r="R14" s="1135">
        <v>306.5</v>
      </c>
      <c r="S14" s="1135">
        <v>415.7</v>
      </c>
      <c r="T14" s="1135">
        <v>433.5</v>
      </c>
      <c r="U14" s="1135">
        <v>374.9</v>
      </c>
      <c r="V14" s="1135">
        <v>419.8</v>
      </c>
      <c r="W14" s="1135">
        <v>389.7</v>
      </c>
      <c r="X14" s="1135">
        <v>438.3</v>
      </c>
      <c r="Y14" s="1135">
        <v>412.5</v>
      </c>
      <c r="Z14" s="1312">
        <v>391.5</v>
      </c>
      <c r="AA14" s="1136">
        <f t="shared" si="2"/>
        <v>371.60833333333335</v>
      </c>
      <c r="AB14" s="1135">
        <v>400.7</v>
      </c>
      <c r="AC14" s="1135">
        <v>329.4</v>
      </c>
      <c r="AD14" s="1135">
        <v>422.1</v>
      </c>
      <c r="AE14" s="1135">
        <v>341.3</v>
      </c>
      <c r="AF14" s="1135">
        <v>360.3</v>
      </c>
      <c r="AG14" s="1135">
        <v>303.60000000000002</v>
      </c>
      <c r="AH14" s="1135">
        <v>417.4</v>
      </c>
      <c r="AI14" s="1135">
        <v>344.5</v>
      </c>
      <c r="AJ14" s="1135">
        <v>346.4</v>
      </c>
      <c r="AK14" s="1135">
        <v>425.2</v>
      </c>
      <c r="AL14" s="1135">
        <v>358.3</v>
      </c>
      <c r="AM14" s="1312">
        <v>427.6</v>
      </c>
      <c r="AN14" s="1136">
        <f t="shared" si="3"/>
        <v>373.06666666666666</v>
      </c>
      <c r="AO14" s="1135">
        <v>450.2</v>
      </c>
      <c r="AP14" s="1135">
        <v>347.2</v>
      </c>
      <c r="AQ14" s="1135">
        <v>453.4</v>
      </c>
      <c r="AR14" s="1135">
        <v>443.8</v>
      </c>
      <c r="AS14" s="1135">
        <v>512.6</v>
      </c>
      <c r="AT14" s="1135">
        <v>475.2</v>
      </c>
      <c r="AU14" s="1135">
        <v>537.4</v>
      </c>
      <c r="AV14" s="1135">
        <v>506.3</v>
      </c>
      <c r="AW14" s="1135">
        <v>505.4</v>
      </c>
      <c r="AX14" s="1135">
        <v>502.7</v>
      </c>
      <c r="AY14" s="1135">
        <v>453.8</v>
      </c>
      <c r="AZ14" s="1312">
        <v>480.9</v>
      </c>
      <c r="BA14" s="1136">
        <f t="shared" si="4"/>
        <v>472.4083333333333</v>
      </c>
      <c r="BB14" s="1135">
        <v>532</v>
      </c>
      <c r="BC14" s="1135">
        <v>388</v>
      </c>
      <c r="BD14" s="1135">
        <v>420.4</v>
      </c>
      <c r="BE14" s="1135">
        <v>424.2</v>
      </c>
      <c r="BF14" s="1135">
        <v>480.8</v>
      </c>
      <c r="BG14" s="1135">
        <v>491.5</v>
      </c>
      <c r="BH14" s="1135">
        <v>464.9</v>
      </c>
      <c r="BI14" s="1135">
        <v>470.5</v>
      </c>
      <c r="BJ14" s="1135">
        <v>523.4</v>
      </c>
      <c r="BK14" s="1135">
        <v>492.6</v>
      </c>
      <c r="BL14" s="1135">
        <v>510</v>
      </c>
      <c r="BM14" s="1312">
        <v>507.4</v>
      </c>
      <c r="BN14" s="1136">
        <f t="shared" si="5"/>
        <v>475.47499999999997</v>
      </c>
      <c r="BO14" s="1135">
        <v>135.00653856336845</v>
      </c>
      <c r="BP14" s="1135">
        <v>97.683496120184145</v>
      </c>
      <c r="BQ14" s="1135">
        <v>118.63399339765375</v>
      </c>
      <c r="BR14" s="1135">
        <v>137.78460965673057</v>
      </c>
      <c r="BS14" s="1135">
        <v>141.814271651539</v>
      </c>
      <c r="BT14" s="1135">
        <v>175.68142530830741</v>
      </c>
      <c r="BU14" s="1135">
        <v>127.3330270090016</v>
      </c>
      <c r="BV14" s="1135">
        <v>155.33968908070284</v>
      </c>
      <c r="BW14" s="1135">
        <v>174.64644692465842</v>
      </c>
      <c r="BX14" s="1135">
        <v>157.87096248516363</v>
      </c>
      <c r="BY14" s="1135">
        <v>151.83267952551458</v>
      </c>
      <c r="BZ14" s="1312">
        <v>82.016946422025072</v>
      </c>
      <c r="CA14" s="1136">
        <f t="shared" si="6"/>
        <v>137.97034051207078</v>
      </c>
      <c r="CB14" s="1135">
        <v>102.51753889755896</v>
      </c>
      <c r="CC14" s="1135">
        <v>79.19391762653018</v>
      </c>
      <c r="CD14" s="1135">
        <v>120.06021502702913</v>
      </c>
      <c r="CE14" s="1135">
        <v>127.21614216917018</v>
      </c>
      <c r="CF14" s="1135">
        <v>135.51037083823434</v>
      </c>
      <c r="CG14" s="1135">
        <v>123.70739819835516</v>
      </c>
      <c r="CH14" s="1135">
        <v>85.507952477466603</v>
      </c>
      <c r="CI14" s="1135">
        <v>111.79492734159165</v>
      </c>
      <c r="CJ14" s="1135">
        <v>125.31299722264524</v>
      </c>
      <c r="CK14" s="1135">
        <v>109.80020274404583</v>
      </c>
      <c r="CL14" s="1135">
        <v>97.659612177345849</v>
      </c>
      <c r="CM14" s="1312">
        <v>121.85135500091113</v>
      </c>
      <c r="CN14" s="1136">
        <f t="shared" si="7"/>
        <v>111.67771914340703</v>
      </c>
      <c r="CO14" s="1135">
        <v>128.59278505245047</v>
      </c>
      <c r="CP14" s="1135">
        <v>80.692410337967431</v>
      </c>
      <c r="CQ14" s="1135">
        <v>91.379970191156119</v>
      </c>
      <c r="CR14" s="1135">
        <v>109.77209543506574</v>
      </c>
      <c r="CS14" s="1135">
        <v>117.96880848234255</v>
      </c>
      <c r="CT14" s="1135">
        <v>114.25627794030362</v>
      </c>
      <c r="CU14" s="1135">
        <v>98.536853028131191</v>
      </c>
      <c r="CV14" s="1135">
        <v>124.25492558363915</v>
      </c>
      <c r="CW14" s="1135">
        <v>117.34098373770129</v>
      </c>
      <c r="CX14" s="1135">
        <v>121.90321762552631</v>
      </c>
      <c r="CY14" s="1135">
        <v>107.12282586137817</v>
      </c>
      <c r="CZ14" s="1312">
        <v>117.25297098023597</v>
      </c>
      <c r="DA14" s="1136">
        <f t="shared" si="8"/>
        <v>110.75617702132485</v>
      </c>
      <c r="DB14" s="1135">
        <v>136.03892667733291</v>
      </c>
      <c r="DC14" s="1135">
        <v>90.972208826810444</v>
      </c>
      <c r="DD14" s="1135">
        <v>94.281713637139433</v>
      </c>
      <c r="DE14" s="1135">
        <v>125.02739024977787</v>
      </c>
      <c r="DF14" s="1135">
        <v>116.11460752841639</v>
      </c>
      <c r="DG14" s="1135">
        <v>95.461207934013927</v>
      </c>
      <c r="DH14" s="1135">
        <v>83.686511429384538</v>
      </c>
      <c r="DI14" s="1135">
        <v>77.611581227047026</v>
      </c>
      <c r="DJ14" s="1135">
        <v>77.212208377408245</v>
      </c>
      <c r="DK14" s="1135">
        <v>79.963639808482327</v>
      </c>
      <c r="DL14" s="1135">
        <v>109.21789735212393</v>
      </c>
      <c r="DM14" s="1312">
        <v>85.275521445539809</v>
      </c>
      <c r="DN14" s="1136">
        <f t="shared" si="9"/>
        <v>97.571951207789724</v>
      </c>
      <c r="DO14" s="1135">
        <v>102.79412825453964</v>
      </c>
      <c r="DP14" s="1135">
        <v>96.358204176351862</v>
      </c>
      <c r="DQ14" s="1135">
        <v>87.352233329082154</v>
      </c>
      <c r="DR14" s="1135">
        <v>92.050173573358364</v>
      </c>
      <c r="DS14" s="1135">
        <v>84.626580350193365</v>
      </c>
      <c r="DT14" s="1135">
        <v>69.577984887224076</v>
      </c>
      <c r="DU14" s="1135">
        <v>84.725627041239591</v>
      </c>
      <c r="DV14" s="1135">
        <v>119.14077899699949</v>
      </c>
      <c r="DW14" s="1135">
        <v>123.98594817987944</v>
      </c>
      <c r="DX14" s="1135">
        <v>82.471233118046968</v>
      </c>
      <c r="DY14" s="1135">
        <v>97.251338650906035</v>
      </c>
      <c r="DZ14" s="1312">
        <v>107.99865790990779</v>
      </c>
      <c r="EA14" s="1136">
        <f t="shared" si="10"/>
        <v>95.694407372310721</v>
      </c>
      <c r="EB14" s="1135">
        <v>112.26166425150063</v>
      </c>
      <c r="EC14" s="1135">
        <v>67.289998556193595</v>
      </c>
      <c r="ED14" s="1135">
        <v>99.203085054002017</v>
      </c>
      <c r="EE14" s="1135">
        <v>103.96809380327691</v>
      </c>
      <c r="EF14" s="1135">
        <v>97.204367210118178</v>
      </c>
      <c r="EG14" s="1135">
        <v>93.14978325673529</v>
      </c>
      <c r="EH14" s="1135">
        <v>99.285200076767211</v>
      </c>
      <c r="EI14" s="1135">
        <v>96.869358012560639</v>
      </c>
      <c r="EJ14" s="1135">
        <v>98.688147003120591</v>
      </c>
      <c r="EK14" s="1135">
        <v>112.32614399094847</v>
      </c>
      <c r="EL14" s="1135">
        <v>99.891455704021496</v>
      </c>
      <c r="EM14" s="1312">
        <v>111.62952597713769</v>
      </c>
      <c r="EN14" s="1136">
        <f t="shared" si="11"/>
        <v>99.31390190803188</v>
      </c>
      <c r="EO14" s="1135">
        <v>55.854225612284203</v>
      </c>
      <c r="EP14" s="1135">
        <v>53.491314020496219</v>
      </c>
      <c r="EQ14" s="1135">
        <v>39.043103235743828</v>
      </c>
      <c r="ER14" s="1135">
        <v>59.705250895251069</v>
      </c>
      <c r="ES14" s="1135">
        <v>89.188217139343436</v>
      </c>
      <c r="ET14" s="1135">
        <v>81.474760709868292</v>
      </c>
      <c r="EU14" s="1135">
        <v>80.652167310993889</v>
      </c>
      <c r="EV14" s="1135">
        <v>115.06943647285799</v>
      </c>
      <c r="EW14" s="1135">
        <v>118.76320861484049</v>
      </c>
      <c r="EX14" s="1135">
        <v>125.82260536625974</v>
      </c>
      <c r="EY14" s="1135">
        <v>118.88431396364689</v>
      </c>
      <c r="EZ14" s="1312">
        <v>116.5167469449969</v>
      </c>
      <c r="FA14" s="1136">
        <f t="shared" si="12"/>
        <v>87.87211252388191</v>
      </c>
      <c r="FB14" s="1135">
        <v>106.81796965017283</v>
      </c>
      <c r="FC14" s="1135">
        <v>69.019146161627361</v>
      </c>
      <c r="FD14" s="1135">
        <v>73.488319260762907</v>
      </c>
      <c r="FE14" s="1135">
        <v>106.28998596625789</v>
      </c>
      <c r="FF14" s="1135">
        <v>125.15795484140857</v>
      </c>
      <c r="FG14" s="1135">
        <v>74.07782473502003</v>
      </c>
      <c r="FH14" s="1135">
        <v>90.827664006896114</v>
      </c>
      <c r="FI14" s="1135">
        <v>139.78676487803162</v>
      </c>
      <c r="FJ14" s="1135">
        <v>116.10888762898384</v>
      </c>
      <c r="FK14" s="1135">
        <v>111.36835905072398</v>
      </c>
      <c r="FL14" s="1135">
        <v>107.94874500317249</v>
      </c>
      <c r="FM14" s="1312">
        <v>115.90478163128542</v>
      </c>
      <c r="FN14" s="1136">
        <f t="shared" si="13"/>
        <v>103.06636690119525</v>
      </c>
      <c r="FO14" s="1135">
        <v>117.52291826278372</v>
      </c>
      <c r="FP14" s="1135">
        <v>90.267638454900748</v>
      </c>
      <c r="FQ14" s="1135">
        <v>95.476046944832575</v>
      </c>
      <c r="FR14" s="1135">
        <v>139.2834022149938</v>
      </c>
      <c r="FS14" s="1135">
        <v>133.19179283931356</v>
      </c>
      <c r="FT14" s="1135">
        <v>83.725300961835231</v>
      </c>
      <c r="FU14" s="1135">
        <v>52.648987882708788</v>
      </c>
      <c r="FV14" s="1135">
        <v>68.068294127110178</v>
      </c>
      <c r="FW14" s="1135"/>
      <c r="FX14" s="1135"/>
      <c r="FY14" s="1135">
        <v>93.444100314496083</v>
      </c>
      <c r="FZ14" s="1312">
        <v>108.06154195329486</v>
      </c>
      <c r="GA14" s="1136">
        <f t="shared" si="14"/>
        <v>98.169002395626961</v>
      </c>
      <c r="GB14" s="1135">
        <v>99.607750630152708</v>
      </c>
      <c r="GC14" s="1135">
        <v>63.556100354522741</v>
      </c>
      <c r="GD14" s="1135"/>
      <c r="GE14" s="1135"/>
      <c r="GF14" s="1135"/>
      <c r="GG14" s="1135"/>
      <c r="GH14" s="1135"/>
      <c r="GI14" s="1135"/>
      <c r="GJ14" s="1135"/>
      <c r="GK14" s="1135"/>
      <c r="GL14" s="1135"/>
      <c r="GM14" s="1312"/>
      <c r="GN14" s="1136">
        <f t="shared" si="15"/>
        <v>81.581925492337717</v>
      </c>
      <c r="GO14" s="1135"/>
      <c r="GP14" s="1135"/>
      <c r="GQ14" s="1135"/>
      <c r="GR14" s="1135"/>
      <c r="GS14" s="1135"/>
      <c r="GT14" s="1135"/>
      <c r="GU14" s="1135"/>
      <c r="GV14" s="1135"/>
      <c r="GW14" s="1135"/>
      <c r="GX14" s="1135"/>
      <c r="GY14" s="1135"/>
      <c r="GZ14" s="1312"/>
      <c r="HA14" s="1136">
        <f t="shared" si="16"/>
        <v>0</v>
      </c>
      <c r="HB14" s="1135"/>
      <c r="HC14" s="1135"/>
      <c r="HD14" s="1135"/>
      <c r="HE14" s="1135"/>
      <c r="HF14" s="1135"/>
      <c r="HG14" s="1135"/>
      <c r="HH14" s="1135"/>
      <c r="HI14" s="1135"/>
      <c r="HJ14" s="1135"/>
      <c r="HK14" s="1135"/>
      <c r="HL14" s="1135"/>
      <c r="HM14" s="1312"/>
      <c r="HN14" s="1136">
        <f t="shared" si="17"/>
        <v>0</v>
      </c>
      <c r="HO14" s="1135"/>
      <c r="HP14" s="1135"/>
      <c r="HQ14" s="1135"/>
      <c r="HR14" s="1135"/>
      <c r="HS14" s="1135"/>
      <c r="HT14" s="1135"/>
      <c r="HU14" s="1135"/>
      <c r="HV14" s="1135"/>
      <c r="HW14" s="1135"/>
      <c r="HX14" s="1135"/>
      <c r="HY14" s="1135"/>
      <c r="HZ14" s="1312"/>
      <c r="IA14" s="1136">
        <f t="shared" si="18"/>
        <v>0</v>
      </c>
      <c r="IB14" s="1135"/>
      <c r="IC14" s="1135"/>
      <c r="ID14" s="1135"/>
      <c r="IE14" s="1135"/>
      <c r="IF14" s="1135"/>
      <c r="IG14" s="1135"/>
      <c r="IH14" s="1135"/>
      <c r="II14" s="1135"/>
      <c r="IJ14" s="1135"/>
      <c r="IK14" s="1135"/>
      <c r="IL14" s="1135"/>
      <c r="IM14" s="1312"/>
      <c r="IN14" s="1136">
        <f t="shared" si="19"/>
        <v>0</v>
      </c>
      <c r="IO14" s="1135"/>
      <c r="IP14" s="1135"/>
      <c r="IQ14" s="1135"/>
      <c r="IR14" s="1135"/>
      <c r="IS14" s="1135"/>
      <c r="IT14" s="1135"/>
      <c r="IU14" s="1135"/>
      <c r="IV14" s="1135"/>
      <c r="IW14" s="1135"/>
      <c r="IX14" s="1135"/>
      <c r="IY14" s="1135"/>
      <c r="IZ14" s="1312"/>
      <c r="JA14" s="1136">
        <f t="shared" si="20"/>
        <v>0</v>
      </c>
      <c r="JB14" s="1135">
        <v>0</v>
      </c>
      <c r="JC14" s="1135">
        <v>0</v>
      </c>
      <c r="JD14" s="1135">
        <v>0</v>
      </c>
      <c r="JE14" s="1135">
        <v>0</v>
      </c>
      <c r="JF14" s="1135">
        <v>0</v>
      </c>
      <c r="JG14" s="1135">
        <v>0</v>
      </c>
      <c r="JH14" s="1135">
        <v>0</v>
      </c>
      <c r="JI14" s="1135">
        <v>0</v>
      </c>
      <c r="JJ14" s="1135">
        <v>0</v>
      </c>
      <c r="JK14" s="1135">
        <v>0</v>
      </c>
      <c r="JL14" s="1135">
        <v>0</v>
      </c>
      <c r="JM14" s="1312">
        <v>0</v>
      </c>
      <c r="JN14" s="1136">
        <f t="shared" si="21"/>
        <v>0</v>
      </c>
      <c r="JO14" s="1135">
        <v>0</v>
      </c>
      <c r="JP14" s="1135">
        <v>0</v>
      </c>
      <c r="JQ14" s="1135">
        <v>0</v>
      </c>
      <c r="JR14" s="1135">
        <v>0</v>
      </c>
      <c r="JS14" s="1135">
        <v>0</v>
      </c>
      <c r="JT14" s="1135">
        <v>0</v>
      </c>
      <c r="JU14" s="1135">
        <v>0</v>
      </c>
      <c r="JV14" s="1135">
        <v>0</v>
      </c>
      <c r="JW14" s="1135"/>
      <c r="JX14" s="1135"/>
      <c r="JY14" s="1135"/>
      <c r="JZ14" s="1312"/>
      <c r="KA14" s="1136">
        <f t="shared" si="24"/>
        <v>0</v>
      </c>
      <c r="KC14" s="1270" t="str" cm="1">
        <f t="array" ref="KC14">IFERROR(((
_xlfn.XLOOKUP((DATE(YEAR($KC$5),MONTH($KC$5),1)),SMN.MANUFACTURA.DATE,$B14:$KA14) /
_xlfn.XLOOKUP((DATE(YEAR($KC$5)-1,MONTH($KC$5),1)),SMN.MANUFACTURA.DATE,$B14:$KA14)
)-1)*100,"")</f>
        <v/>
      </c>
      <c r="KD14" s="1297" t="str">
        <f t="shared" si="25"/>
        <v/>
      </c>
      <c r="KE14" s="1271" cm="1">
        <f t="array" ref="KE14">SUMIFS($B14:$KA14,SMN.MANUFACTURA.DATE,"&gt;="&amp;DATE(YEAR($KC$5)-1,1,1),SMN.MANUFACTURA.DATE,"&lt;="&amp;DATE(YEAR($KC$5)-1,MONTH($KC$5),1))</f>
        <v>0</v>
      </c>
      <c r="KF14" s="1272" cm="1">
        <f t="array" ref="KF14">SUMIFS($B14:$KA14,SMN.MANUFACTURA.DATE,"&gt;="&amp;DATE(YEAR($KC$5),1,1),SMN.MANUFACTURA.DATE,"&lt;="&amp;$KC$5)</f>
        <v>0</v>
      </c>
    </row>
    <row r="15" spans="1:293" ht="15" customHeight="1" x14ac:dyDescent="0.2">
      <c r="A15" s="1168" t="s">
        <v>211</v>
      </c>
      <c r="B15" s="1135">
        <v>20.3</v>
      </c>
      <c r="C15" s="1135">
        <v>28.7</v>
      </c>
      <c r="D15" s="1135">
        <v>28.7</v>
      </c>
      <c r="E15" s="1135">
        <v>23.5</v>
      </c>
      <c r="F15" s="1135">
        <v>14.5</v>
      </c>
      <c r="G15" s="1135">
        <v>42.2</v>
      </c>
      <c r="H15" s="1135">
        <v>9.9</v>
      </c>
      <c r="I15" s="1135">
        <v>36.5</v>
      </c>
      <c r="J15" s="1135">
        <v>34.799999999999997</v>
      </c>
      <c r="K15" s="1135">
        <v>56.6</v>
      </c>
      <c r="L15" s="1135">
        <v>52.4</v>
      </c>
      <c r="M15" s="1312">
        <v>61.6</v>
      </c>
      <c r="N15" s="1136">
        <f t="shared" si="1"/>
        <v>34.141666666666673</v>
      </c>
      <c r="O15" s="1135">
        <v>37.1</v>
      </c>
      <c r="P15" s="1135">
        <v>42.7</v>
      </c>
      <c r="Q15" s="1135">
        <v>54.1</v>
      </c>
      <c r="R15" s="1135">
        <v>51.7</v>
      </c>
      <c r="S15" s="1135">
        <v>43.7</v>
      </c>
      <c r="T15" s="1135">
        <v>49.8</v>
      </c>
      <c r="U15" s="1135">
        <v>45.7</v>
      </c>
      <c r="V15" s="1135">
        <v>62.5</v>
      </c>
      <c r="W15" s="1135">
        <v>42.7</v>
      </c>
      <c r="X15" s="1135">
        <v>61.6</v>
      </c>
      <c r="Y15" s="1135">
        <v>36.700000000000003</v>
      </c>
      <c r="Z15" s="1312">
        <v>86.9</v>
      </c>
      <c r="AA15" s="1136">
        <f t="shared" si="2"/>
        <v>51.266666666666673</v>
      </c>
      <c r="AB15" s="1135">
        <v>46.9</v>
      </c>
      <c r="AC15" s="1135">
        <v>50.6</v>
      </c>
      <c r="AD15" s="1135">
        <v>58.4</v>
      </c>
      <c r="AE15" s="1135">
        <v>36</v>
      </c>
      <c r="AF15" s="1135">
        <v>43.5</v>
      </c>
      <c r="AG15" s="1135">
        <v>50.25</v>
      </c>
      <c r="AH15" s="1135">
        <v>50.3</v>
      </c>
      <c r="AI15" s="1135">
        <v>72.7</v>
      </c>
      <c r="AJ15" s="1135">
        <v>73.400000000000006</v>
      </c>
      <c r="AK15" s="1135">
        <v>55.1</v>
      </c>
      <c r="AL15" s="1135">
        <v>64</v>
      </c>
      <c r="AM15" s="1312">
        <v>44.2</v>
      </c>
      <c r="AN15" s="1136">
        <f t="shared" si="3"/>
        <v>53.779166666666669</v>
      </c>
      <c r="AO15" s="1135">
        <v>18</v>
      </c>
      <c r="AP15" s="1135">
        <v>27.3</v>
      </c>
      <c r="AQ15" s="1135">
        <v>40.299999999999997</v>
      </c>
      <c r="AR15" s="1135">
        <v>21.7</v>
      </c>
      <c r="AS15" s="1135">
        <v>34.1</v>
      </c>
      <c r="AT15" s="1135">
        <v>32.299999999999997</v>
      </c>
      <c r="AU15" s="1135">
        <v>22.9</v>
      </c>
      <c r="AV15" s="1135">
        <v>33.4</v>
      </c>
      <c r="AW15" s="1135">
        <v>43.6</v>
      </c>
      <c r="AX15" s="1135">
        <v>42.1</v>
      </c>
      <c r="AY15" s="1135">
        <v>25.1</v>
      </c>
      <c r="AZ15" s="1312">
        <v>39</v>
      </c>
      <c r="BA15" s="1136">
        <f t="shared" si="4"/>
        <v>31.650000000000006</v>
      </c>
      <c r="BB15" s="1135">
        <v>23.3</v>
      </c>
      <c r="BC15" s="1135">
        <v>19.2</v>
      </c>
      <c r="BD15" s="1135">
        <v>23.2</v>
      </c>
      <c r="BE15" s="1135">
        <v>11</v>
      </c>
      <c r="BF15" s="1135">
        <v>10.9</v>
      </c>
      <c r="BG15" s="1135">
        <v>11.2</v>
      </c>
      <c r="BH15" s="1135">
        <v>9.5</v>
      </c>
      <c r="BI15" s="1135">
        <v>12.6</v>
      </c>
      <c r="BJ15" s="1135">
        <v>25.2</v>
      </c>
      <c r="BK15" s="1135">
        <v>22.8</v>
      </c>
      <c r="BL15" s="1135">
        <v>23.5</v>
      </c>
      <c r="BM15" s="1312">
        <v>22.3</v>
      </c>
      <c r="BN15" s="1136">
        <f t="shared" si="5"/>
        <v>17.891666666666669</v>
      </c>
      <c r="BO15" s="1135">
        <v>25.25207215992199</v>
      </c>
      <c r="BP15" s="1135">
        <v>46.455387615797179</v>
      </c>
      <c r="BQ15" s="1135">
        <v>38.100438810336421</v>
      </c>
      <c r="BR15" s="1135">
        <v>29.815699658703075</v>
      </c>
      <c r="BS15" s="1135">
        <v>28.505119453924916</v>
      </c>
      <c r="BT15" s="1135">
        <v>33.74744027303754</v>
      </c>
      <c r="BU15" s="1135">
        <v>30.353973671379819</v>
      </c>
      <c r="BV15" s="1135">
        <v>35.362262311067774</v>
      </c>
      <c r="BW15" s="1135">
        <v>51.861530960507075</v>
      </c>
      <c r="BX15" s="1135">
        <v>55.254997562164796</v>
      </c>
      <c r="BY15" s="1135">
        <v>53.569965870307165</v>
      </c>
      <c r="BZ15" s="1312">
        <v>59.842028278888357</v>
      </c>
      <c r="CA15" s="1136">
        <f t="shared" si="6"/>
        <v>40.676743052169677</v>
      </c>
      <c r="CB15" s="1135">
        <v>33.607020965382738</v>
      </c>
      <c r="CC15" s="1135">
        <v>42.921501706484641</v>
      </c>
      <c r="CD15" s="1135">
        <v>24.549975621647981</v>
      </c>
      <c r="CE15" s="1135">
        <v>8.6123842028278901</v>
      </c>
      <c r="CF15" s="1135">
        <v>17.361162359824476</v>
      </c>
      <c r="CG15" s="1135">
        <v>19.517862506094588</v>
      </c>
      <c r="CH15" s="1135">
        <v>17.205530960507069</v>
      </c>
      <c r="CI15" s="1135">
        <v>40.56023403217943</v>
      </c>
      <c r="CJ15" s="1135">
        <v>63.992776206728443</v>
      </c>
      <c r="CK15" s="1135">
        <v>54.201852754753787</v>
      </c>
      <c r="CL15" s="1135">
        <v>48.608483666504156</v>
      </c>
      <c r="CM15" s="1312">
        <v>18.348122866894201</v>
      </c>
      <c r="CN15" s="1136">
        <f t="shared" si="7"/>
        <v>32.45724232081912</v>
      </c>
      <c r="CO15" s="1135">
        <v>22.91</v>
      </c>
      <c r="CP15" s="1135">
        <v>19.14</v>
      </c>
      <c r="CQ15" s="1135">
        <v>23.66</v>
      </c>
      <c r="CR15" s="1135">
        <v>20.87</v>
      </c>
      <c r="CS15" s="1135">
        <v>12.56</v>
      </c>
      <c r="CT15" s="1135">
        <v>24.62</v>
      </c>
      <c r="CU15" s="1135">
        <v>33.020000000000003</v>
      </c>
      <c r="CV15" s="1135">
        <v>43.97</v>
      </c>
      <c r="CW15" s="1135">
        <v>46.97</v>
      </c>
      <c r="CX15" s="1135">
        <v>89.23</v>
      </c>
      <c r="CY15" s="1135">
        <v>50.45</v>
      </c>
      <c r="CZ15" s="1312">
        <v>36.76</v>
      </c>
      <c r="DA15" s="1136">
        <f t="shared" si="8"/>
        <v>35.346666666666664</v>
      </c>
      <c r="DB15" s="1135">
        <v>25.018039980497321</v>
      </c>
      <c r="DC15" s="1135">
        <v>31.822689419795225</v>
      </c>
      <c r="DD15" s="1135">
        <v>24.971233544612385</v>
      </c>
      <c r="DE15" s="1135">
        <v>27.639200390053638</v>
      </c>
      <c r="DF15" s="1135">
        <v>25.626523647001463</v>
      </c>
      <c r="DG15" s="1135">
        <v>18.722574353973673</v>
      </c>
      <c r="DH15" s="1135">
        <v>26.773281326182353</v>
      </c>
      <c r="DI15" s="1135">
        <v>52.516821062896149</v>
      </c>
      <c r="DJ15" s="1135">
        <v>42.336421257922972</v>
      </c>
      <c r="DK15" s="1135">
        <v>62.346172598732331</v>
      </c>
      <c r="DL15" s="1135">
        <v>38.49829351535837</v>
      </c>
      <c r="DM15" s="1312">
        <v>35.198439785470512</v>
      </c>
      <c r="DN15" s="1136">
        <f t="shared" si="9"/>
        <v>34.289140906874692</v>
      </c>
      <c r="DO15" s="1135">
        <v>28.177474402730379</v>
      </c>
      <c r="DP15" s="1135">
        <v>27.849829351535842</v>
      </c>
      <c r="DQ15" s="1135">
        <v>15.422720624085812</v>
      </c>
      <c r="DR15" s="1135">
        <v>17.271574841540712</v>
      </c>
      <c r="DS15" s="1135">
        <v>21.437347635299858</v>
      </c>
      <c r="DT15" s="1135">
        <v>19.003412969283278</v>
      </c>
      <c r="DU15" s="1135">
        <v>17.271574841540712</v>
      </c>
      <c r="DV15" s="1135">
        <v>26.281813749390544</v>
      </c>
      <c r="DW15" s="1135">
        <v>39.036567528035107</v>
      </c>
      <c r="DX15" s="1135">
        <v>41.376889322281819</v>
      </c>
      <c r="DY15" s="1135">
        <v>27.779619697708441</v>
      </c>
      <c r="DZ15" s="1312">
        <v>21.203315455875185</v>
      </c>
      <c r="EA15" s="1136">
        <f t="shared" si="10"/>
        <v>25.176011701608974</v>
      </c>
      <c r="EB15" s="1135">
        <v>12.193076548025354</v>
      </c>
      <c r="EC15" s="1135">
        <v>11.631399317406146</v>
      </c>
      <c r="ED15" s="1135">
        <v>18.816187225743541</v>
      </c>
      <c r="EE15" s="1135">
        <v>12.122866894197953</v>
      </c>
      <c r="EF15" s="1135">
        <v>14.29936616284739</v>
      </c>
      <c r="EG15" s="1135">
        <v>15.937591418820091</v>
      </c>
      <c r="EH15" s="1135">
        <v>14.861043393466602</v>
      </c>
      <c r="EI15" s="1135">
        <v>13.246221355436374</v>
      </c>
      <c r="EJ15" s="1135">
        <v>22.490492442710874</v>
      </c>
      <c r="EK15" s="1135">
        <v>22.677718186250615</v>
      </c>
      <c r="EL15" s="1135">
        <v>20.477815699658706</v>
      </c>
      <c r="EM15" s="1312">
        <v>24.971233544612385</v>
      </c>
      <c r="EN15" s="1136">
        <f t="shared" si="11"/>
        <v>16.977084349098003</v>
      </c>
      <c r="EO15" s="1135">
        <v>9.829351535836178</v>
      </c>
      <c r="EP15" s="1135">
        <v>8.0975134080936133</v>
      </c>
      <c r="EQ15" s="1135">
        <v>9.9463676255485129</v>
      </c>
      <c r="ER15" s="1135">
        <v>11.280351048269138</v>
      </c>
      <c r="ES15" s="1135">
        <v>19.588493417844958</v>
      </c>
      <c r="ET15" s="1135">
        <v>14.439785470502194</v>
      </c>
      <c r="EU15" s="1135">
        <v>15.797172111165287</v>
      </c>
      <c r="EV15" s="1135">
        <v>19.377864456362751</v>
      </c>
      <c r="EW15" s="1135">
        <v>14.158946855192589</v>
      </c>
      <c r="EX15" s="1135">
        <v>17.575816674792787</v>
      </c>
      <c r="EY15" s="1135">
        <v>19.284251584592884</v>
      </c>
      <c r="EZ15" s="1312">
        <v>25.064846416382252</v>
      </c>
      <c r="FA15" s="1136">
        <f t="shared" si="12"/>
        <v>15.370063383715262</v>
      </c>
      <c r="FB15" s="1135">
        <v>6.2954656265236482</v>
      </c>
      <c r="FC15" s="1135">
        <v>5.1253047294002938</v>
      </c>
      <c r="FD15" s="1135">
        <v>22.935153583617751</v>
      </c>
      <c r="FE15" s="1135">
        <v>16.171623598244761</v>
      </c>
      <c r="FF15" s="1135">
        <v>16.4290589956119</v>
      </c>
      <c r="FG15" s="1135">
        <v>7.6762554851292064</v>
      </c>
      <c r="FH15" s="1135">
        <v>17.669429546562657</v>
      </c>
      <c r="FI15" s="1135">
        <v>34.636762554851295</v>
      </c>
      <c r="FJ15" s="1135">
        <v>35.409068746952713</v>
      </c>
      <c r="FK15" s="1135">
        <v>28.59873232569478</v>
      </c>
      <c r="FL15" s="1135">
        <v>23.964895173086301</v>
      </c>
      <c r="FM15" s="1312">
        <v>19.097025841053146</v>
      </c>
      <c r="FN15" s="1136">
        <f t="shared" si="13"/>
        <v>19.500731350560706</v>
      </c>
      <c r="FO15" s="1135">
        <v>8.3315455875182831</v>
      </c>
      <c r="FP15" s="1135">
        <v>9.922964407606047</v>
      </c>
      <c r="FQ15" s="1135">
        <v>24.830814236957583</v>
      </c>
      <c r="FR15" s="1135">
        <v>18.114090687469528</v>
      </c>
      <c r="FS15" s="1135">
        <v>18.160897123354459</v>
      </c>
      <c r="FT15" s="1135">
        <v>30.915650901999026</v>
      </c>
      <c r="FU15" s="1135">
        <v>41.774744027303761</v>
      </c>
      <c r="FV15" s="1135">
        <v>101.71038517796198</v>
      </c>
      <c r="FW15" s="1135">
        <v>88.604583130180416</v>
      </c>
      <c r="FX15" s="1135">
        <v>51.838127742564609</v>
      </c>
      <c r="FY15" s="1135">
        <v>21.624573378839592</v>
      </c>
      <c r="FZ15" s="1312">
        <v>22.092637737688936</v>
      </c>
      <c r="GA15" s="1136">
        <f t="shared" si="14"/>
        <v>36.49341784495369</v>
      </c>
      <c r="GB15" s="1135">
        <v>4.5402242808386148</v>
      </c>
      <c r="GC15" s="1135">
        <v>14.697220867869335</v>
      </c>
      <c r="GD15" s="1135">
        <v>28.645538761579719</v>
      </c>
      <c r="GE15" s="1135">
        <v>12.47391516333496</v>
      </c>
      <c r="GF15" s="1135">
        <v>31.617747440273043</v>
      </c>
      <c r="GG15" s="1135">
        <v>25.392491467576793</v>
      </c>
      <c r="GH15" s="1135">
        <v>15.84397854705022</v>
      </c>
      <c r="GI15" s="1135">
        <v>10.554851292052659</v>
      </c>
      <c r="GJ15" s="1135">
        <v>11.022915650902</v>
      </c>
      <c r="GK15" s="1135">
        <v>53.369634324719648</v>
      </c>
      <c r="GL15" s="1135">
        <v>15.773768893222821</v>
      </c>
      <c r="GM15" s="1312">
        <v>4.7040468064358851</v>
      </c>
      <c r="GN15" s="1136">
        <f t="shared" si="15"/>
        <v>19.053027791321306</v>
      </c>
      <c r="GO15" s="1135">
        <v>21.390541199414919</v>
      </c>
      <c r="GP15" s="1135">
        <v>21.764992686494399</v>
      </c>
      <c r="GQ15" s="1135">
        <v>15.609946367625549</v>
      </c>
      <c r="GR15" s="1135"/>
      <c r="GS15" s="1135">
        <v>18.184300341296929</v>
      </c>
      <c r="GT15" s="1135">
        <v>24.549975621647981</v>
      </c>
      <c r="GU15" s="1135">
        <v>15.235494880546078</v>
      </c>
      <c r="GV15" s="1135">
        <v>25.27547537786446</v>
      </c>
      <c r="GW15" s="1135">
        <v>23.028766455387618</v>
      </c>
      <c r="GX15" s="1135">
        <v>30.939054119941495</v>
      </c>
      <c r="GY15" s="1135">
        <v>28.107264748902978</v>
      </c>
      <c r="GZ15" s="1312">
        <v>37.796196977084357</v>
      </c>
      <c r="HA15" s="1136">
        <f t="shared" si="16"/>
        <v>23.807455343291522</v>
      </c>
      <c r="HB15" s="1135">
        <v>6.8571428571428577</v>
      </c>
      <c r="HC15" s="1135">
        <v>17.388590931253049</v>
      </c>
      <c r="HD15" s="1135">
        <v>19.284251584592884</v>
      </c>
      <c r="HE15" s="1135">
        <v>11.139931740614335</v>
      </c>
      <c r="HF15" s="1135">
        <v>10.742077035592395</v>
      </c>
      <c r="HG15" s="1135">
        <v>22.022428083861534</v>
      </c>
      <c r="HH15" s="1135">
        <v>36.274987810823987</v>
      </c>
      <c r="HI15" s="1135">
        <v>41.353486104339346</v>
      </c>
      <c r="HJ15" s="1135">
        <v>36.017552413456855</v>
      </c>
      <c r="HK15" s="1135">
        <v>39.879083373963923</v>
      </c>
      <c r="HL15" s="1135">
        <v>41.072647489029741</v>
      </c>
      <c r="HM15" s="1312">
        <v>29.768893222818143</v>
      </c>
      <c r="HN15" s="1136">
        <f t="shared" si="17"/>
        <v>25.983422720624088</v>
      </c>
      <c r="HO15" s="1135">
        <v>29.019990248659195</v>
      </c>
      <c r="HP15" s="1135">
        <v>30.213554363725017</v>
      </c>
      <c r="HQ15" s="1135">
        <v>37.234519746465139</v>
      </c>
      <c r="HR15" s="1135">
        <v>42.102389078498298</v>
      </c>
      <c r="HS15" s="1135">
        <v>40.534373476353004</v>
      </c>
      <c r="HT15" s="1135">
        <v>36.906874695270595</v>
      </c>
      <c r="HU15" s="1135">
        <v>35.362262311067774</v>
      </c>
      <c r="HV15" s="1135">
        <v>46.385177961969774</v>
      </c>
      <c r="HW15" s="1135">
        <v>53.008288639687962</v>
      </c>
      <c r="HX15" s="1135">
        <v>51.510482691370072</v>
      </c>
      <c r="HY15" s="1135">
        <v>53.265724037055094</v>
      </c>
      <c r="HZ15" s="1312">
        <v>50.223305704534383</v>
      </c>
      <c r="IA15" s="1136">
        <f t="shared" si="18"/>
        <v>42.14724524622136</v>
      </c>
      <c r="IB15" s="1135">
        <v>26.866894197952224</v>
      </c>
      <c r="IC15" s="1135">
        <v>36.321794246708919</v>
      </c>
      <c r="ID15" s="1135">
        <v>29.651877133105803</v>
      </c>
      <c r="IE15" s="1135">
        <v>17.646026328620184</v>
      </c>
      <c r="IF15" s="1135">
        <v>20.103364212579233</v>
      </c>
      <c r="IG15" s="1135">
        <v>17.716235982447586</v>
      </c>
      <c r="IH15" s="1135">
        <v>30.09653827401268</v>
      </c>
      <c r="II15" s="1135">
        <v>31.477328132618236</v>
      </c>
      <c r="IJ15" s="1135">
        <v>25.744663091175042</v>
      </c>
      <c r="IK15" s="1135">
        <v>47.248101413944418</v>
      </c>
      <c r="IL15" s="1135">
        <v>29.535492930277918</v>
      </c>
      <c r="IM15" s="1312">
        <v>13.454931253047295</v>
      </c>
      <c r="IN15" s="1136">
        <f t="shared" si="19"/>
        <v>27.15527059970746</v>
      </c>
      <c r="IO15" s="1135">
        <v>4.1988649439297907</v>
      </c>
      <c r="IP15" s="1135">
        <v>7.6158283764017565</v>
      </c>
      <c r="IQ15" s="1135">
        <v>47.809263773768912</v>
      </c>
      <c r="IR15" s="1135">
        <v>55.268313993174075</v>
      </c>
      <c r="IS15" s="1135">
        <v>42.820118966357889</v>
      </c>
      <c r="IT15" s="1135">
        <v>46.9359024865919</v>
      </c>
      <c r="IU15" s="1135">
        <v>63.843978547050227</v>
      </c>
      <c r="IV15" s="1135">
        <v>52.329595319356415</v>
      </c>
      <c r="IW15" s="1135">
        <v>81.513408093612881</v>
      </c>
      <c r="IX15" s="1135">
        <v>13.218722574353976</v>
      </c>
      <c r="IY15" s="1135">
        <v>11.417868356899076</v>
      </c>
      <c r="IZ15" s="1312">
        <v>20.561201365187713</v>
      </c>
      <c r="JA15" s="1136">
        <f t="shared" si="20"/>
        <v>37.294422233057048</v>
      </c>
      <c r="JB15" s="1135">
        <v>53.045008288639693</v>
      </c>
      <c r="JC15" s="1135">
        <v>26.998256460263292</v>
      </c>
      <c r="JD15" s="1135">
        <v>39.12559336908825</v>
      </c>
      <c r="JE15" s="1135">
        <v>34.064015602145297</v>
      </c>
      <c r="JF15" s="1135">
        <v>30.51206240858118</v>
      </c>
      <c r="JG15" s="1135">
        <v>22.3328951730863</v>
      </c>
      <c r="JH15" s="1135">
        <v>33.09046513895661</v>
      </c>
      <c r="JI15" s="1135">
        <v>48.51657922964408</v>
      </c>
      <c r="JJ15" s="1135">
        <v>54.775699658703083</v>
      </c>
      <c r="JK15" s="1135">
        <v>65.873809848854222</v>
      </c>
      <c r="JL15" s="1135">
        <v>42.390529497805957</v>
      </c>
      <c r="JM15" s="1312">
        <v>40.347147732813269</v>
      </c>
      <c r="JN15" s="1136">
        <f t="shared" si="21"/>
        <v>40.922671867381766</v>
      </c>
      <c r="JO15" s="1135">
        <v>18.652364700146272</v>
      </c>
      <c r="JP15" s="1135">
        <v>19.07362262311068</v>
      </c>
      <c r="JQ15" s="1135">
        <v>15.001462701121405</v>
      </c>
      <c r="JR15" s="1135">
        <v>24.805515358361781</v>
      </c>
      <c r="JS15" s="1135">
        <v>18.372710486371123</v>
      </c>
      <c r="JT15" s="1135">
        <v>27.264748902974162</v>
      </c>
      <c r="JU15" s="1135">
        <v>27.875221843003413</v>
      </c>
      <c r="JV15" s="1135">
        <v>28.423372013651882</v>
      </c>
      <c r="JW15" s="1135"/>
      <c r="JX15" s="1135"/>
      <c r="JY15" s="1135"/>
      <c r="JZ15" s="1312"/>
      <c r="KA15" s="1136">
        <f t="shared" si="24"/>
        <v>22.433627328592589</v>
      </c>
      <c r="KC15" s="1270" cm="1">
        <f t="array" ref="KC15">IFERROR(((
_xlfn.XLOOKUP((DATE(YEAR($KC$5),MONTH($KC$5),1)),SMN.MANUFACTURA.DATE,$B15:$KA15) /
_xlfn.XLOOKUP((DATE(YEAR($KC$5)-1,MONTH($KC$5),1)),SMN.MANUFACTURA.DATE,$B15:$KA15)
)-1)*100,"")</f>
        <v>-41.415135887641199</v>
      </c>
      <c r="KD15" s="1297">
        <f t="shared" si="25"/>
        <v>-37.616109220022011</v>
      </c>
      <c r="KE15" s="1271" cm="1">
        <f t="array" ref="KE15">SUMIFS($B15:$KA15,SMN.MANUFACTURA.DATE,"&gt;="&amp;DATE(YEAR($KC$5)-1,1,1),SMN.MANUFACTURA.DATE,"&lt;="&amp;DATE(YEAR($KC$5)-1,MONTH($KC$5),1))</f>
        <v>287.68487567040467</v>
      </c>
      <c r="KF15" s="1272" cm="1">
        <f t="array" ref="KF15">SUMIFS($B15:$KA15,SMN.MANUFACTURA.DATE,"&gt;="&amp;DATE(YEAR($KC$5),1,1),SMN.MANUFACTURA.DATE,"&lt;="&amp;$KC$5)</f>
        <v>179.46901862874071</v>
      </c>
    </row>
    <row r="16" spans="1:293" ht="15" customHeight="1" x14ac:dyDescent="0.2">
      <c r="A16" s="1168" t="s">
        <v>371</v>
      </c>
      <c r="B16" s="1135">
        <v>78.900000000000006</v>
      </c>
      <c r="C16" s="1135">
        <v>92.9</v>
      </c>
      <c r="D16" s="1135">
        <v>97</v>
      </c>
      <c r="E16" s="1135">
        <v>114.9</v>
      </c>
      <c r="F16" s="1135">
        <v>50.7</v>
      </c>
      <c r="G16" s="1135">
        <v>102.7</v>
      </c>
      <c r="H16" s="1135">
        <v>71.8</v>
      </c>
      <c r="I16" s="1135">
        <v>75.900000000000006</v>
      </c>
      <c r="J16" s="1135">
        <v>56.5</v>
      </c>
      <c r="K16" s="1135">
        <v>126.9</v>
      </c>
      <c r="L16" s="1135">
        <v>83.8</v>
      </c>
      <c r="M16" s="1312">
        <v>74.599999999999994</v>
      </c>
      <c r="N16" s="1136">
        <f t="shared" si="1"/>
        <v>85.55</v>
      </c>
      <c r="O16" s="1135">
        <v>129.9</v>
      </c>
      <c r="P16" s="1135">
        <v>109.9</v>
      </c>
      <c r="Q16" s="1135">
        <v>68.2</v>
      </c>
      <c r="R16" s="1135">
        <v>122.9</v>
      </c>
      <c r="S16" s="1135">
        <v>135.30000000000001</v>
      </c>
      <c r="T16" s="1135">
        <v>104.4</v>
      </c>
      <c r="U16" s="1135">
        <v>190.4</v>
      </c>
      <c r="V16" s="1135">
        <v>128.5</v>
      </c>
      <c r="W16" s="1135">
        <v>117</v>
      </c>
      <c r="X16" s="1135">
        <v>151</v>
      </c>
      <c r="Y16" s="1135">
        <v>114.7</v>
      </c>
      <c r="Z16" s="1312">
        <v>106.1</v>
      </c>
      <c r="AA16" s="1136">
        <f t="shared" si="2"/>
        <v>123.19166666666666</v>
      </c>
      <c r="AB16" s="1135">
        <v>59</v>
      </c>
      <c r="AC16" s="1135">
        <v>170.9</v>
      </c>
      <c r="AD16" s="1135">
        <v>89.7</v>
      </c>
      <c r="AE16" s="1135"/>
      <c r="AF16" s="1135"/>
      <c r="AG16" s="1135">
        <v>60.2</v>
      </c>
      <c r="AH16" s="1135">
        <v>83.8</v>
      </c>
      <c r="AI16" s="1135">
        <v>103.7</v>
      </c>
      <c r="AJ16" s="1135">
        <v>140.6</v>
      </c>
      <c r="AK16" s="1135"/>
      <c r="AL16" s="1135"/>
      <c r="AM16" s="1312"/>
      <c r="AN16" s="1136">
        <f t="shared" si="3"/>
        <v>101.12857142857145</v>
      </c>
      <c r="AO16" s="1135">
        <v>48</v>
      </c>
      <c r="AP16" s="1135">
        <v>144.69999999999999</v>
      </c>
      <c r="AQ16" s="1135">
        <v>132.4</v>
      </c>
      <c r="AR16" s="1135">
        <v>148.5</v>
      </c>
      <c r="AS16" s="1135">
        <v>129</v>
      </c>
      <c r="AT16" s="1135">
        <v>149.9</v>
      </c>
      <c r="AU16" s="1135">
        <v>164.4</v>
      </c>
      <c r="AV16" s="1135">
        <v>184.4</v>
      </c>
      <c r="AW16" s="1135">
        <v>221.7</v>
      </c>
      <c r="AX16" s="1135">
        <v>227.8</v>
      </c>
      <c r="AY16" s="1135">
        <v>299.39999999999998</v>
      </c>
      <c r="AZ16" s="1312">
        <v>352.1</v>
      </c>
      <c r="BA16" s="1136">
        <f t="shared" si="4"/>
        <v>183.52499999999998</v>
      </c>
      <c r="BB16" s="1135">
        <v>236.6</v>
      </c>
      <c r="BC16" s="1135">
        <v>755.1</v>
      </c>
      <c r="BD16" s="1135">
        <v>263.10000000000002</v>
      </c>
      <c r="BE16" s="1135">
        <v>244.4</v>
      </c>
      <c r="BF16" s="1135">
        <v>307.7</v>
      </c>
      <c r="BG16" s="1135">
        <v>330.5</v>
      </c>
      <c r="BH16" s="1135">
        <v>451.7</v>
      </c>
      <c r="BI16" s="1135">
        <v>309.3</v>
      </c>
      <c r="BJ16" s="1135">
        <v>390.9</v>
      </c>
      <c r="BK16" s="1135">
        <v>529.4</v>
      </c>
      <c r="BL16" s="1135">
        <v>536.1</v>
      </c>
      <c r="BM16" s="1312">
        <v>436.2</v>
      </c>
      <c r="BN16" s="1136">
        <f t="shared" si="5"/>
        <v>399.25000000000006</v>
      </c>
      <c r="BO16" s="1135">
        <v>682.28714748182335</v>
      </c>
      <c r="BP16" s="1135">
        <v>324.82508819148757</v>
      </c>
      <c r="BQ16" s="1135">
        <v>393.12164519585156</v>
      </c>
      <c r="BR16" s="1135">
        <v>353.53084283837723</v>
      </c>
      <c r="BS16" s="1135">
        <v>272.75615657201854</v>
      </c>
      <c r="BT16" s="1135">
        <v>335.63139042614705</v>
      </c>
      <c r="BU16" s="1135">
        <v>214.06654763052995</v>
      </c>
      <c r="BV16" s="1135">
        <v>239.08337959753868</v>
      </c>
      <c r="BW16" s="1135">
        <v>261.71967525388538</v>
      </c>
      <c r="BX16" s="1135">
        <v>287.76625575222374</v>
      </c>
      <c r="BY16" s="1135">
        <v>258.12161273853349</v>
      </c>
      <c r="BZ16" s="1312">
        <v>214.59959392910059</v>
      </c>
      <c r="CA16" s="1136">
        <f t="shared" si="6"/>
        <v>319.79244463395975</v>
      </c>
      <c r="CB16" s="1135">
        <v>311.53527479303295</v>
      </c>
      <c r="CC16" s="1135">
        <v>242.63904070277698</v>
      </c>
      <c r="CD16" s="1135">
        <v>274.98525927513214</v>
      </c>
      <c r="CE16" s="1135">
        <v>314.30953848332115</v>
      </c>
      <c r="CF16" s="1135">
        <v>328.70178854472857</v>
      </c>
      <c r="CG16" s="1135">
        <v>330.34332885055414</v>
      </c>
      <c r="CH16" s="1135">
        <v>266.00827501965824</v>
      </c>
      <c r="CI16" s="1135">
        <v>140.10637370385282</v>
      </c>
      <c r="CJ16" s="1135">
        <v>267.18945715853641</v>
      </c>
      <c r="CK16" s="1135">
        <v>250.0350580954447</v>
      </c>
      <c r="CL16" s="1135">
        <v>235.98201931494586</v>
      </c>
      <c r="CM16" s="1312">
        <v>262.84028394974411</v>
      </c>
      <c r="CN16" s="1136">
        <f t="shared" si="7"/>
        <v>268.72297482431065</v>
      </c>
      <c r="CO16" s="1135">
        <v>231.89</v>
      </c>
      <c r="CP16" s="1135">
        <v>237.21</v>
      </c>
      <c r="CQ16" s="1135">
        <v>342.88</v>
      </c>
      <c r="CR16" s="1135">
        <v>174.77</v>
      </c>
      <c r="CS16" s="1135">
        <v>286.39999999999998</v>
      </c>
      <c r="CT16" s="1135">
        <v>237.17</v>
      </c>
      <c r="CU16" s="1135">
        <v>244.37</v>
      </c>
      <c r="CV16" s="1135">
        <v>221</v>
      </c>
      <c r="CW16" s="1135">
        <v>232.36</v>
      </c>
      <c r="CX16" s="1135">
        <v>240.53</v>
      </c>
      <c r="CY16" s="1135">
        <v>278.60000000000002</v>
      </c>
      <c r="CZ16" s="1312">
        <v>295.75</v>
      </c>
      <c r="DA16" s="1136">
        <f t="shared" si="8"/>
        <v>251.91083333333336</v>
      </c>
      <c r="DB16" s="1135">
        <v>225.4240681966659</v>
      </c>
      <c r="DC16" s="1135">
        <v>225.4240681966659</v>
      </c>
      <c r="DD16" s="1135">
        <v>308.99119018621855</v>
      </c>
      <c r="DE16" s="1135">
        <v>287.82077185094124</v>
      </c>
      <c r="DF16" s="1135">
        <v>274.50067173097699</v>
      </c>
      <c r="DG16" s="1135">
        <v>318.43458995294174</v>
      </c>
      <c r="DH16" s="1135">
        <v>359.12782897336899</v>
      </c>
      <c r="DI16" s="1135">
        <v>302.26753801106611</v>
      </c>
      <c r="DJ16" s="1135">
        <v>382.61215283198709</v>
      </c>
      <c r="DK16" s="1135">
        <v>326.95727338577012</v>
      </c>
      <c r="DL16" s="1135">
        <v>328.05365270442115</v>
      </c>
      <c r="DM16" s="1312">
        <v>312.57108066866459</v>
      </c>
      <c r="DN16" s="1136">
        <f t="shared" si="9"/>
        <v>304.34874055747406</v>
      </c>
      <c r="DO16" s="1135">
        <v>401.53529643124506</v>
      </c>
      <c r="DP16" s="1135">
        <v>332.77838125993367</v>
      </c>
      <c r="DQ16" s="1135">
        <v>362.45331099513362</v>
      </c>
      <c r="DR16" s="1135">
        <v>267.79519158873035</v>
      </c>
      <c r="DS16" s="1135">
        <v>258.97569828510694</v>
      </c>
      <c r="DT16" s="1135">
        <v>208.65128182459634</v>
      </c>
      <c r="DU16" s="1135">
        <v>231.75399299219234</v>
      </c>
      <c r="DV16" s="1135">
        <v>295</v>
      </c>
      <c r="DW16" s="1135">
        <v>267.64375798118192</v>
      </c>
      <c r="DX16" s="1135">
        <v>291.52180921942602</v>
      </c>
      <c r="DY16" s="1135">
        <v>271.72640804068885</v>
      </c>
      <c r="DZ16" s="1312">
        <v>281.34547079216827</v>
      </c>
      <c r="EA16" s="1136">
        <f t="shared" si="10"/>
        <v>289.26504995086697</v>
      </c>
      <c r="EB16" s="1135">
        <v>389.77193379687918</v>
      </c>
      <c r="EC16" s="1135">
        <v>333.98985012032148</v>
      </c>
      <c r="ED16" s="1135">
        <v>313.22527385327408</v>
      </c>
      <c r="EE16" s="1135">
        <v>307.82212273594433</v>
      </c>
      <c r="EF16" s="1135">
        <v>315.0848785539693</v>
      </c>
      <c r="EG16" s="1135">
        <v>347.92779935908351</v>
      </c>
      <c r="EH16" s="1135">
        <v>392.55225483146921</v>
      </c>
      <c r="EI16" s="1135">
        <v>306.56219512114097</v>
      </c>
      <c r="EJ16" s="1135">
        <v>392.63705765169652</v>
      </c>
      <c r="EK16" s="1135">
        <v>349.36944730294505</v>
      </c>
      <c r="EL16" s="1135">
        <v>464.46504638409101</v>
      </c>
      <c r="EM16" s="1312">
        <v>301.17721603671703</v>
      </c>
      <c r="EN16" s="1136">
        <f t="shared" si="11"/>
        <v>351.21542297896099</v>
      </c>
      <c r="EO16" s="1135">
        <v>458.17752299867823</v>
      </c>
      <c r="EP16" s="1135">
        <v>318.90100546419109</v>
      </c>
      <c r="EQ16" s="1135">
        <v>270.4422510486778</v>
      </c>
      <c r="ER16" s="1135">
        <v>524.22074792272088</v>
      </c>
      <c r="ES16" s="1135">
        <v>496.19947318195028</v>
      </c>
      <c r="ET16" s="1135">
        <v>414.18908867799598</v>
      </c>
      <c r="EU16" s="1135">
        <v>363.50728890367105</v>
      </c>
      <c r="EV16" s="1135">
        <v>351.04733167458215</v>
      </c>
      <c r="EW16" s="1135">
        <v>254.82641743827861</v>
      </c>
      <c r="EX16" s="1135">
        <v>278.37737208421805</v>
      </c>
      <c r="EY16" s="1135">
        <v>368.41979513254375</v>
      </c>
      <c r="EZ16" s="1312">
        <v>349.3452179257373</v>
      </c>
      <c r="FA16" s="1136">
        <f t="shared" si="12"/>
        <v>370.63779270443712</v>
      </c>
      <c r="FB16" s="1135">
        <v>326.67257820357901</v>
      </c>
      <c r="FC16" s="1135">
        <v>410.03980783116765</v>
      </c>
      <c r="FD16" s="1135">
        <v>334.03225153043508</v>
      </c>
      <c r="FE16" s="1135">
        <v>289.21396104038723</v>
      </c>
      <c r="FF16" s="1135">
        <v>281.97543459956995</v>
      </c>
      <c r="FG16" s="1135">
        <v>333.66881087231877</v>
      </c>
      <c r="FH16" s="1135">
        <v>383.9447685784138</v>
      </c>
      <c r="FI16" s="1135">
        <v>442.96753145650894</v>
      </c>
      <c r="FJ16" s="1135">
        <v>367.02054859879576</v>
      </c>
      <c r="FK16" s="1135">
        <v>384.4111840896631</v>
      </c>
      <c r="FL16" s="1135">
        <v>295.30764940813799</v>
      </c>
      <c r="FM16" s="1312">
        <v>341.36163813578145</v>
      </c>
      <c r="FN16" s="1136">
        <f t="shared" si="13"/>
        <v>349.21801369539656</v>
      </c>
      <c r="FO16" s="1135">
        <v>354.17897867868476</v>
      </c>
      <c r="FP16" s="1135">
        <v>141.94780637164232</v>
      </c>
      <c r="FQ16" s="1135">
        <v>469.81973874700532</v>
      </c>
      <c r="FR16" s="1135">
        <v>459.81300596020179</v>
      </c>
      <c r="FS16" s="1135">
        <v>431.57366682456137</v>
      </c>
      <c r="FT16" s="1135">
        <v>226.21758030021991</v>
      </c>
      <c r="FU16" s="1135">
        <v>188.49243998774284</v>
      </c>
      <c r="FV16" s="1135">
        <v>361.81123249912798</v>
      </c>
      <c r="FW16" s="1135">
        <v>420.54324285073017</v>
      </c>
      <c r="FX16" s="1135">
        <v>383.57527057599549</v>
      </c>
      <c r="FY16" s="1135">
        <v>228.32553611729475</v>
      </c>
      <c r="FZ16" s="1312">
        <v>221.02643623345807</v>
      </c>
      <c r="GA16" s="1136">
        <f t="shared" si="14"/>
        <v>323.94374459555542</v>
      </c>
      <c r="GB16" s="1135">
        <v>244.6803657325305</v>
      </c>
      <c r="GC16" s="1135">
        <v>338.55708772398361</v>
      </c>
      <c r="GD16" s="1135">
        <v>367.98366634280404</v>
      </c>
      <c r="GE16" s="1135">
        <v>301.31653495566167</v>
      </c>
      <c r="GF16" s="1135">
        <v>329.54981674700002</v>
      </c>
      <c r="GG16" s="1135">
        <v>492.17133922116079</v>
      </c>
      <c r="GH16" s="1135">
        <v>455.7606426222045</v>
      </c>
      <c r="GI16" s="1135">
        <v>480.88650678664811</v>
      </c>
      <c r="GJ16" s="1135">
        <v>407.04747974600969</v>
      </c>
      <c r="GK16" s="1135">
        <v>441.22907364185238</v>
      </c>
      <c r="GL16" s="1135">
        <v>237.88402542575477</v>
      </c>
      <c r="GM16" s="1312">
        <v>163.69972975990584</v>
      </c>
      <c r="GN16" s="1136">
        <f t="shared" si="15"/>
        <v>355.06385572545963</v>
      </c>
      <c r="GO16" s="1135">
        <v>163.69972975990584</v>
      </c>
      <c r="GP16" s="1135">
        <v>327.1571657477341</v>
      </c>
      <c r="GQ16" s="1135">
        <v>313.03143883561199</v>
      </c>
      <c r="GR16" s="1135">
        <v>438.4426952629604</v>
      </c>
      <c r="GS16" s="1135">
        <v>434.05717798835644</v>
      </c>
      <c r="GT16" s="1135">
        <v>578.57935568832295</v>
      </c>
      <c r="GU16" s="1135">
        <v>578.98519775655279</v>
      </c>
      <c r="GV16" s="1135">
        <v>785.71630143743448</v>
      </c>
      <c r="GW16" s="1135">
        <v>840.48680861556841</v>
      </c>
      <c r="GX16" s="1135">
        <v>793.13654820731006</v>
      </c>
      <c r="GY16" s="1135">
        <v>667.98575758494496</v>
      </c>
      <c r="GZ16" s="1312">
        <v>336.23106751203898</v>
      </c>
      <c r="HA16" s="1136">
        <f t="shared" si="16"/>
        <v>521.45910369972842</v>
      </c>
      <c r="HB16" s="1135">
        <v>655.17447438634349</v>
      </c>
      <c r="HC16" s="1135">
        <v>500.28212324145727</v>
      </c>
      <c r="HD16" s="1135">
        <v>665.22966592756268</v>
      </c>
      <c r="HE16" s="1135">
        <v>346.94105797229759</v>
      </c>
      <c r="HF16" s="1135">
        <v>332.84501204725501</v>
      </c>
      <c r="HG16" s="1135">
        <v>63.032724805978923</v>
      </c>
      <c r="HH16" s="1135">
        <v>94.833782391159517</v>
      </c>
      <c r="HI16" s="1135">
        <v>303.09133683612987</v>
      </c>
      <c r="HJ16" s="1135">
        <v>334.09888231775636</v>
      </c>
      <c r="HK16" s="1135">
        <v>187.0931934539949</v>
      </c>
      <c r="HL16" s="1135">
        <v>216.62274692594829</v>
      </c>
      <c r="HM16" s="1312">
        <v>212.1857422247779</v>
      </c>
      <c r="HN16" s="1136">
        <f t="shared" si="17"/>
        <v>325.95256187755518</v>
      </c>
      <c r="HO16" s="1135">
        <v>349.78740405977885</v>
      </c>
      <c r="HP16" s="1135">
        <v>421.75471171111798</v>
      </c>
      <c r="HQ16" s="1135">
        <v>287.44521650422098</v>
      </c>
      <c r="HR16" s="1135">
        <v>490.92352629496128</v>
      </c>
      <c r="HS16" s="1135">
        <v>285.5432103934121</v>
      </c>
      <c r="HT16" s="1135">
        <v>367.57418986799303</v>
      </c>
      <c r="HU16" s="1135">
        <v>386.5797133497573</v>
      </c>
      <c r="HV16" s="1135">
        <v>454.37956812136224</v>
      </c>
      <c r="HW16" s="1135">
        <v>444.66358786105189</v>
      </c>
      <c r="HX16" s="1135">
        <v>428.6782562482345</v>
      </c>
      <c r="HY16" s="1135">
        <v>428.94477939751977</v>
      </c>
      <c r="HZ16" s="1312">
        <v>352.10736692742148</v>
      </c>
      <c r="IA16" s="1136">
        <f t="shared" si="18"/>
        <v>391.53179422806926</v>
      </c>
      <c r="IB16" s="1135">
        <v>405.98744449317036</v>
      </c>
      <c r="IC16" s="1135">
        <v>461.84221630135136</v>
      </c>
      <c r="ID16" s="1135">
        <v>428.14520994966381</v>
      </c>
      <c r="IE16" s="1135">
        <v>271.98687384567222</v>
      </c>
      <c r="IF16" s="1135">
        <v>362.05176358401377</v>
      </c>
      <c r="IG16" s="1135">
        <v>380.58899983513942</v>
      </c>
      <c r="IH16" s="1135">
        <v>415.34604143966635</v>
      </c>
      <c r="II16" s="1135">
        <v>481.32387127462522</v>
      </c>
      <c r="IJ16" s="1135">
        <v>483.89094956040992</v>
      </c>
      <c r="IK16" s="1135">
        <v>546.9963624980121</v>
      </c>
      <c r="IL16" s="1135">
        <v>449.16086919537099</v>
      </c>
      <c r="IM16" s="1312">
        <v>659.02389246084874</v>
      </c>
      <c r="IN16" s="1136">
        <f t="shared" si="19"/>
        <v>445.52870786982862</v>
      </c>
      <c r="IO16" s="1135">
        <v>719.70336323490164</v>
      </c>
      <c r="IP16" s="1135">
        <v>625.34205369929316</v>
      </c>
      <c r="IQ16" s="1135">
        <v>788.71468686689423</v>
      </c>
      <c r="IR16" s="1135">
        <v>665.62945065149063</v>
      </c>
      <c r="IS16" s="1135">
        <v>459.27465948536684</v>
      </c>
      <c r="IT16" s="1135">
        <v>530.95074819470187</v>
      </c>
      <c r="IU16" s="1135">
        <v>635.03401053210212</v>
      </c>
      <c r="IV16" s="1135">
        <v>519.6837182950926</v>
      </c>
      <c r="IW16" s="1135">
        <v>609.60309245126859</v>
      </c>
      <c r="IX16" s="1135">
        <v>664.70267697329382</v>
      </c>
      <c r="IY16" s="1135">
        <v>544.68851431897326</v>
      </c>
      <c r="IZ16" s="1312">
        <v>321.71767056459277</v>
      </c>
      <c r="JA16" s="1136">
        <f t="shared" si="20"/>
        <v>590.4203871056643</v>
      </c>
      <c r="JB16" s="1135">
        <v>520.32587553657447</v>
      </c>
      <c r="JC16" s="1135">
        <v>482.16460643435778</v>
      </c>
      <c r="JD16" s="1135">
        <v>481.55887200416379</v>
      </c>
      <c r="JE16" s="1135">
        <v>500.33663934017528</v>
      </c>
      <c r="JF16" s="1135">
        <v>466.4155112493159</v>
      </c>
      <c r="JG16" s="1135">
        <v>466.4155112493159</v>
      </c>
      <c r="JH16" s="1135">
        <v>520.32587553657447</v>
      </c>
      <c r="JI16" s="1135">
        <v>480.95313757396997</v>
      </c>
      <c r="JJ16" s="1135">
        <v>561.51581678976083</v>
      </c>
      <c r="JK16" s="1135">
        <v>517.90293781579885</v>
      </c>
      <c r="JL16" s="1135">
        <v>754.74510002162026</v>
      </c>
      <c r="JM16" s="1312">
        <v>754.74510002162026</v>
      </c>
      <c r="JN16" s="1136">
        <f t="shared" si="21"/>
        <v>542.283748631104</v>
      </c>
      <c r="JO16" s="1135">
        <v>572.41903653325141</v>
      </c>
      <c r="JP16" s="1135">
        <v>515.48000009502312</v>
      </c>
      <c r="JQ16" s="1135">
        <v>512.45132794405356</v>
      </c>
      <c r="JR16" s="1135">
        <v>512.45132794405356</v>
      </c>
      <c r="JS16" s="1135">
        <v>548.79539375568856</v>
      </c>
      <c r="JT16" s="1135">
        <v>626.32940082050993</v>
      </c>
      <c r="JU16" s="1135">
        <v>609.97457120527429</v>
      </c>
      <c r="JV16" s="1135">
        <v>631.17527626206129</v>
      </c>
      <c r="JW16" s="1135"/>
      <c r="JX16" s="1135"/>
      <c r="JY16" s="1135"/>
      <c r="JZ16" s="1312"/>
      <c r="KA16" s="1136">
        <f t="shared" si="24"/>
        <v>566.13454181998941</v>
      </c>
      <c r="KC16" s="1270" cm="1">
        <f t="array" ref="KC16">IFERROR(((
_xlfn.XLOOKUP((DATE(YEAR($KC$5),MONTH($KC$5),1)),SMN.MANUFACTURA.DATE,$B16:$KA16) /
_xlfn.XLOOKUP((DATE(YEAR($KC$5)-1,MONTH($KC$5),1)),SMN.MANUFACTURA.DATE,$B16:$KA16)
)-1)*100,"")</f>
        <v>31.234256926952121</v>
      </c>
      <c r="KD16" s="1297">
        <f t="shared" si="25"/>
        <v>15.582006492502698</v>
      </c>
      <c r="KE16" s="1271" cm="1">
        <f t="array" ref="KE16">SUMIFS($B16:$KA16,SMN.MANUFACTURA.DATE,"&gt;="&amp;DATE(YEAR($KC$5)-1,1,1),SMN.MANUFACTURA.DATE,"&lt;="&amp;DATE(YEAR($KC$5)-1,MONTH($KC$5),1))</f>
        <v>3918.4960289244473</v>
      </c>
      <c r="KF16" s="1272" cm="1">
        <f t="array" ref="KF16">SUMIFS($B16:$KA16,SMN.MANUFACTURA.DATE,"&gt;="&amp;DATE(YEAR($KC$5),1,1),SMN.MANUFACTURA.DATE,"&lt;="&amp;$KC$5)</f>
        <v>4529.0763345599153</v>
      </c>
    </row>
    <row r="17" spans="1:292" ht="15" customHeight="1" x14ac:dyDescent="0.2">
      <c r="A17" s="1168" t="s">
        <v>256</v>
      </c>
      <c r="B17" s="1135"/>
      <c r="C17" s="1135"/>
      <c r="D17" s="1135"/>
      <c r="E17" s="1135"/>
      <c r="F17" s="1135"/>
      <c r="G17" s="1135"/>
      <c r="H17" s="1135"/>
      <c r="I17" s="1135"/>
      <c r="J17" s="1135"/>
      <c r="K17" s="1135"/>
      <c r="L17" s="1135"/>
      <c r="M17" s="1312"/>
      <c r="N17" s="1136">
        <f t="shared" si="1"/>
        <v>0</v>
      </c>
      <c r="O17" s="1135"/>
      <c r="P17" s="1135"/>
      <c r="Q17" s="1135"/>
      <c r="R17" s="1135"/>
      <c r="S17" s="1135"/>
      <c r="T17" s="1135"/>
      <c r="U17" s="1135"/>
      <c r="V17" s="1135"/>
      <c r="W17" s="1135"/>
      <c r="X17" s="1135"/>
      <c r="Y17" s="1135"/>
      <c r="Z17" s="1312"/>
      <c r="AA17" s="1136">
        <f t="shared" si="2"/>
        <v>0</v>
      </c>
      <c r="AB17" s="1135"/>
      <c r="AC17" s="1135"/>
      <c r="AD17" s="1135"/>
      <c r="AE17" s="1135"/>
      <c r="AF17" s="1135"/>
      <c r="AG17" s="1135"/>
      <c r="AH17" s="1135"/>
      <c r="AI17" s="1135"/>
      <c r="AJ17" s="1135"/>
      <c r="AK17" s="1135"/>
      <c r="AL17" s="1135"/>
      <c r="AM17" s="1312"/>
      <c r="AN17" s="1136">
        <f t="shared" si="3"/>
        <v>0</v>
      </c>
      <c r="AO17" s="1135"/>
      <c r="AP17" s="1135"/>
      <c r="AQ17" s="1135"/>
      <c r="AR17" s="1135"/>
      <c r="AS17" s="1135"/>
      <c r="AT17" s="1135"/>
      <c r="AU17" s="1135"/>
      <c r="AV17" s="1135"/>
      <c r="AW17" s="1135"/>
      <c r="AX17" s="1135"/>
      <c r="AY17" s="1135"/>
      <c r="AZ17" s="1312"/>
      <c r="BA17" s="1136">
        <f t="shared" si="4"/>
        <v>0</v>
      </c>
      <c r="BB17" s="1135"/>
      <c r="BC17" s="1135"/>
      <c r="BD17" s="1135"/>
      <c r="BE17" s="1135"/>
      <c r="BF17" s="1135"/>
      <c r="BG17" s="1135"/>
      <c r="BH17" s="1135"/>
      <c r="BI17" s="1135"/>
      <c r="BJ17" s="1135"/>
      <c r="BK17" s="1135"/>
      <c r="BL17" s="1135"/>
      <c r="BM17" s="1312"/>
      <c r="BN17" s="1136">
        <f t="shared" si="5"/>
        <v>0</v>
      </c>
      <c r="BO17" s="1135">
        <v>189.52403696594246</v>
      </c>
      <c r="BP17" s="1135">
        <v>123.78876130407379</v>
      </c>
      <c r="BQ17" s="1135">
        <v>91.220006892777491</v>
      </c>
      <c r="BR17" s="1135">
        <v>162.03139608971199</v>
      </c>
      <c r="BS17" s="1135">
        <v>79.992566374809897</v>
      </c>
      <c r="BT17" s="1135">
        <v>66.207973240461143</v>
      </c>
      <c r="BU17" s="1135">
        <v>114.28502857939056</v>
      </c>
      <c r="BV17" s="1135">
        <v>64.392618443269498</v>
      </c>
      <c r="BW17" s="1135">
        <v>53.012872605315117</v>
      </c>
      <c r="BX17" s="1135">
        <v>130.61351404123874</v>
      </c>
      <c r="BY17" s="1135">
        <v>161.34350253725506</v>
      </c>
      <c r="BZ17" s="1312">
        <v>161.41308640982461</v>
      </c>
      <c r="CA17" s="1136">
        <f t="shared" si="6"/>
        <v>116.48544695700586</v>
      </c>
      <c r="CB17" s="1135">
        <v>58.986566010476317</v>
      </c>
      <c r="CC17" s="1135">
        <v>115.33844034214786</v>
      </c>
      <c r="CD17" s="1135">
        <v>165.20944193835979</v>
      </c>
      <c r="CE17" s="1135">
        <v>144.17132531745344</v>
      </c>
      <c r="CF17" s="1135">
        <v>149.84257858952154</v>
      </c>
      <c r="CG17" s="1135">
        <v>99.096217690988297</v>
      </c>
      <c r="CH17" s="1135">
        <v>155.44846513110056</v>
      </c>
      <c r="CI17" s="1135">
        <v>143.74919910963803</v>
      </c>
      <c r="CJ17" s="1135">
        <v>122.26873008287271</v>
      </c>
      <c r="CK17" s="1135">
        <v>160.48676562032398</v>
      </c>
      <c r="CL17" s="1135">
        <v>146.93759642757851</v>
      </c>
      <c r="CM17" s="1312">
        <v>146.93759642757851</v>
      </c>
      <c r="CN17" s="1136">
        <f t="shared" si="7"/>
        <v>134.03941022400326</v>
      </c>
      <c r="CO17" s="1135">
        <v>176.91</v>
      </c>
      <c r="CP17" s="1135">
        <v>164.18</v>
      </c>
      <c r="CQ17" s="1135">
        <v>165.04</v>
      </c>
      <c r="CR17" s="1135">
        <v>149.9</v>
      </c>
      <c r="CS17" s="1135">
        <v>133.96</v>
      </c>
      <c r="CT17" s="1135">
        <v>174.55</v>
      </c>
      <c r="CU17" s="1135">
        <v>151.37</v>
      </c>
      <c r="CV17" s="1135">
        <v>165.58</v>
      </c>
      <c r="CW17" s="1135">
        <v>106.09</v>
      </c>
      <c r="CX17" s="1135">
        <v>198.61</v>
      </c>
      <c r="CY17" s="1135">
        <v>137.16999999999999</v>
      </c>
      <c r="CZ17" s="1312">
        <v>169.55</v>
      </c>
      <c r="DA17" s="1136">
        <f t="shared" si="8"/>
        <v>157.74249999999998</v>
      </c>
      <c r="DB17" s="1135">
        <v>175.33374448173339</v>
      </c>
      <c r="DC17" s="1135">
        <v>213.0601570280966</v>
      </c>
      <c r="DD17" s="1135">
        <v>145.18171557959354</v>
      </c>
      <c r="DE17" s="1135">
        <v>140.3234751233035</v>
      </c>
      <c r="DF17" s="1135">
        <v>129.90990561144739</v>
      </c>
      <c r="DG17" s="1135">
        <v>140.56967612145229</v>
      </c>
      <c r="DH17" s="1135">
        <v>137.88271547585541</v>
      </c>
      <c r="DI17" s="1135">
        <v>128.18066842248911</v>
      </c>
      <c r="DJ17" s="1135">
        <v>85.582523703065149</v>
      </c>
      <c r="DK17" s="1135">
        <v>176.80921796684549</v>
      </c>
      <c r="DL17" s="1135">
        <v>152.40299248165744</v>
      </c>
      <c r="DM17" s="1312">
        <v>140.04516429684296</v>
      </c>
      <c r="DN17" s="1136">
        <f t="shared" si="9"/>
        <v>147.10682969103186</v>
      </c>
      <c r="DO17" s="1135">
        <v>114.58040217550575</v>
      </c>
      <c r="DP17" s="1135">
        <v>80.073329136689836</v>
      </c>
      <c r="DQ17" s="1135">
        <v>85.52136079297739</v>
      </c>
      <c r="DR17" s="1135">
        <v>96.021890476920333</v>
      </c>
      <c r="DS17" s="1135">
        <v>109.26392792377683</v>
      </c>
      <c r="DT17" s="1135">
        <v>133.50802134485272</v>
      </c>
      <c r="DU17" s="1135">
        <v>162.27015248309829</v>
      </c>
      <c r="DV17" s="1135">
        <v>151.5</v>
      </c>
      <c r="DW17" s="1135">
        <v>146.2930310891266</v>
      </c>
      <c r="DX17" s="1135">
        <v>109.01777083925448</v>
      </c>
      <c r="DY17" s="1135">
        <v>100.96318993078228</v>
      </c>
      <c r="DZ17" s="1312">
        <v>119.64312334505809</v>
      </c>
      <c r="EA17" s="1136">
        <f t="shared" si="10"/>
        <v>117.38801662817021</v>
      </c>
      <c r="EB17" s="1135">
        <v>139.29016307433511</v>
      </c>
      <c r="EC17" s="1135">
        <v>104.8</v>
      </c>
      <c r="ED17" s="1135">
        <v>120.8</v>
      </c>
      <c r="EE17" s="1135">
        <v>118.8</v>
      </c>
      <c r="EF17" s="1135">
        <v>93.3</v>
      </c>
      <c r="EG17" s="1135">
        <v>115.05566463724062</v>
      </c>
      <c r="EH17" s="1135">
        <v>87.924535786710109</v>
      </c>
      <c r="EI17" s="1135">
        <v>94.499506123971614</v>
      </c>
      <c r="EJ17" s="1135">
        <v>69.299224733280653</v>
      </c>
      <c r="EK17" s="1135">
        <v>94.740495733008871</v>
      </c>
      <c r="EL17" s="1135">
        <v>91.51163688021866</v>
      </c>
      <c r="EM17" s="1312">
        <v>78.611797094805596</v>
      </c>
      <c r="EN17" s="1136">
        <f t="shared" si="11"/>
        <v>100.71941867196426</v>
      </c>
      <c r="EO17" s="1135">
        <v>74.507914370411157</v>
      </c>
      <c r="EP17" s="1135">
        <v>95.6</v>
      </c>
      <c r="EQ17" s="1135">
        <v>87.870088922985474</v>
      </c>
      <c r="ER17" s="1135">
        <v>91.053383590151455</v>
      </c>
      <c r="ES17" s="1135">
        <v>98.881006160592307</v>
      </c>
      <c r="ET17" s="1135">
        <v>75.002853130580959</v>
      </c>
      <c r="EU17" s="1135">
        <v>54.420984762875172</v>
      </c>
      <c r="EV17" s="1135">
        <v>69.211114549494042</v>
      </c>
      <c r="EW17" s="1135">
        <v>74.267395154095638</v>
      </c>
      <c r="EX17" s="1135">
        <v>58.955429325753336</v>
      </c>
      <c r="EY17" s="1135">
        <v>51.774792099711711</v>
      </c>
      <c r="EZ17" s="1312">
        <v>78.611797094805596</v>
      </c>
      <c r="FA17" s="1136">
        <f t="shared" si="12"/>
        <v>75.846396596788068</v>
      </c>
      <c r="FB17" s="1135">
        <v>80.799104106085352</v>
      </c>
      <c r="FC17" s="1135">
        <v>74.993878372362943</v>
      </c>
      <c r="FD17" s="1135">
        <v>74.656765035204515</v>
      </c>
      <c r="FE17" s="1135">
        <v>62.682682678107561</v>
      </c>
      <c r="FF17" s="1135">
        <v>82.454430199046698</v>
      </c>
      <c r="FG17" s="1135">
        <v>52.905300973203836</v>
      </c>
      <c r="FH17" s="1135">
        <v>63.092932435861428</v>
      </c>
      <c r="FI17" s="1135">
        <v>55.055867737762867</v>
      </c>
      <c r="FJ17" s="1135">
        <v>53.175907476368991</v>
      </c>
      <c r="FK17" s="1135">
        <v>58.346776268406728</v>
      </c>
      <c r="FL17" s="1135">
        <v>61.392767935225024</v>
      </c>
      <c r="FM17" s="1312">
        <v>66.204687587677398</v>
      </c>
      <c r="FN17" s="1136">
        <f t="shared" si="13"/>
        <v>65.480091733776121</v>
      </c>
      <c r="FO17" s="1135">
        <v>42.591544513714894</v>
      </c>
      <c r="FP17" s="1135">
        <v>49.05497024293399</v>
      </c>
      <c r="FQ17" s="1135">
        <v>30.101710758308997</v>
      </c>
      <c r="FR17" s="1135">
        <v>31.764921612257279</v>
      </c>
      <c r="FS17" s="1135">
        <v>32.342668842497105</v>
      </c>
      <c r="FT17" s="1135">
        <v>32.378535620768588</v>
      </c>
      <c r="FU17" s="1135">
        <v>54.598668745303549</v>
      </c>
      <c r="FV17" s="1135">
        <v>30.621288297594706</v>
      </c>
      <c r="FW17" s="1135">
        <v>42.058359966904035</v>
      </c>
      <c r="FX17" s="1135">
        <v>55.904309252465097</v>
      </c>
      <c r="FY17" s="1135">
        <v>38.75427355299955</v>
      </c>
      <c r="FZ17" s="1312">
        <v>47.046981551326397</v>
      </c>
      <c r="GA17" s="1136">
        <f t="shared" si="14"/>
        <v>40.60151941308952</v>
      </c>
      <c r="GB17" s="1135">
        <v>26.831665135904796</v>
      </c>
      <c r="GC17" s="1135">
        <v>72.926060621212713</v>
      </c>
      <c r="GD17" s="1135">
        <v>52.705865595352499</v>
      </c>
      <c r="GE17" s="1135">
        <v>42.669784632479931</v>
      </c>
      <c r="GF17" s="1135">
        <v>29.183188826494455</v>
      </c>
      <c r="GG17" s="1135">
        <v>23.555128864419615</v>
      </c>
      <c r="GH17" s="1135">
        <v>37.411153597663663</v>
      </c>
      <c r="GI17" s="1135">
        <v>32.473557658828071</v>
      </c>
      <c r="GJ17" s="1135">
        <v>25.745518328543938</v>
      </c>
      <c r="GK17" s="1135">
        <v>27.236381315146023</v>
      </c>
      <c r="GL17" s="1135">
        <v>30.337602659819691</v>
      </c>
      <c r="GM17" s="1312">
        <v>42.934267605541457</v>
      </c>
      <c r="GN17" s="1136">
        <f t="shared" si="15"/>
        <v>37.00084790345057</v>
      </c>
      <c r="GO17" s="1135">
        <v>22.50024293126857</v>
      </c>
      <c r="GP17" s="1135">
        <v>35.580447140568225</v>
      </c>
      <c r="GQ17" s="1135">
        <v>11.724399305227422</v>
      </c>
      <c r="GR17" s="1135">
        <v>1.2977806785087467</v>
      </c>
      <c r="GS17" s="1135">
        <v>10.426618626718675</v>
      </c>
      <c r="GT17" s="1135">
        <v>11.857839551962936</v>
      </c>
      <c r="GU17" s="1135">
        <v>27.338780303767745</v>
      </c>
      <c r="GV17" s="1135">
        <v>16.923666729606225</v>
      </c>
      <c r="GW17" s="1135">
        <v>34.063672242376015</v>
      </c>
      <c r="GX17" s="1135">
        <v>34.063672242376015</v>
      </c>
      <c r="GY17" s="1135">
        <v>31.598580024552341</v>
      </c>
      <c r="GZ17" s="1312">
        <v>47.66929756292096</v>
      </c>
      <c r="HA17" s="1136">
        <f t="shared" si="16"/>
        <v>23.753749778321161</v>
      </c>
      <c r="HB17" s="1135"/>
      <c r="HC17" s="1135"/>
      <c r="HD17" s="1135"/>
      <c r="HE17" s="1135"/>
      <c r="HF17" s="1135"/>
      <c r="HG17" s="1135"/>
      <c r="HH17" s="1135"/>
      <c r="HI17" s="1135"/>
      <c r="HJ17" s="1135"/>
      <c r="HK17" s="1135"/>
      <c r="HL17" s="1135"/>
      <c r="HM17" s="1312"/>
      <c r="HN17" s="1136">
        <f t="shared" si="17"/>
        <v>0</v>
      </c>
      <c r="HO17" s="1135"/>
      <c r="HP17" s="1135"/>
      <c r="HQ17" s="1135"/>
      <c r="HR17" s="1135"/>
      <c r="HS17" s="1135"/>
      <c r="HT17" s="1135"/>
      <c r="HU17" s="1135"/>
      <c r="HV17" s="1135"/>
      <c r="HW17" s="1135"/>
      <c r="HX17" s="1135"/>
      <c r="HY17" s="1135"/>
      <c r="HZ17" s="1312"/>
      <c r="IA17" s="1136">
        <f t="shared" si="18"/>
        <v>0</v>
      </c>
      <c r="IB17" s="1135"/>
      <c r="IC17" s="1135"/>
      <c r="ID17" s="1135"/>
      <c r="IE17" s="1135"/>
      <c r="IF17" s="1135"/>
      <c r="IG17" s="1135"/>
      <c r="IH17" s="1135"/>
      <c r="II17" s="1135"/>
      <c r="IJ17" s="1135"/>
      <c r="IK17" s="1135"/>
      <c r="IL17" s="1135"/>
      <c r="IM17" s="1312"/>
      <c r="IN17" s="1136">
        <f t="shared" si="19"/>
        <v>0</v>
      </c>
      <c r="IO17" s="1135"/>
      <c r="IP17" s="1135"/>
      <c r="IQ17" s="1135"/>
      <c r="IR17" s="1135"/>
      <c r="IS17" s="1135"/>
      <c r="IT17" s="1135"/>
      <c r="IU17" s="1135"/>
      <c r="IV17" s="1135"/>
      <c r="IW17" s="1135"/>
      <c r="IX17" s="1135"/>
      <c r="IY17" s="1135"/>
      <c r="IZ17" s="1312"/>
      <c r="JA17" s="1136">
        <f t="shared" si="20"/>
        <v>0</v>
      </c>
      <c r="JB17" s="1135">
        <v>0</v>
      </c>
      <c r="JC17" s="1135">
        <v>0</v>
      </c>
      <c r="JD17" s="1135">
        <v>0</v>
      </c>
      <c r="JE17" s="1135">
        <v>0</v>
      </c>
      <c r="JF17" s="1135">
        <v>0</v>
      </c>
      <c r="JG17" s="1135">
        <v>0</v>
      </c>
      <c r="JH17" s="1135">
        <v>0</v>
      </c>
      <c r="JI17" s="1135">
        <v>0</v>
      </c>
      <c r="JJ17" s="1135">
        <v>0</v>
      </c>
      <c r="JK17" s="1135">
        <v>0</v>
      </c>
      <c r="JL17" s="1135">
        <v>0</v>
      </c>
      <c r="JM17" s="1312">
        <v>0</v>
      </c>
      <c r="JN17" s="1136">
        <f t="shared" si="21"/>
        <v>0</v>
      </c>
      <c r="JO17" s="1135">
        <v>0</v>
      </c>
      <c r="JP17" s="1135">
        <v>0</v>
      </c>
      <c r="JQ17" s="1135">
        <v>0</v>
      </c>
      <c r="JR17" s="1135">
        <v>0</v>
      </c>
      <c r="JS17" s="1135">
        <v>0</v>
      </c>
      <c r="JT17" s="1135">
        <v>0</v>
      </c>
      <c r="JU17" s="1135">
        <v>0</v>
      </c>
      <c r="JV17" s="1135">
        <v>0</v>
      </c>
      <c r="JW17" s="1135"/>
      <c r="JX17" s="1135"/>
      <c r="JY17" s="1135"/>
      <c r="JZ17" s="1312"/>
      <c r="KA17" s="1136">
        <f t="shared" si="24"/>
        <v>0</v>
      </c>
      <c r="KC17" s="1270" t="str" cm="1">
        <f t="array" ref="KC17">IFERROR(((
_xlfn.XLOOKUP((DATE(YEAR($KC$5),MONTH($KC$5),1)),SMN.MANUFACTURA.DATE,$B17:$KA17) /
_xlfn.XLOOKUP((DATE(YEAR($KC$5)-1,MONTH($KC$5),1)),SMN.MANUFACTURA.DATE,$B17:$KA17)
)-1)*100,"")</f>
        <v/>
      </c>
      <c r="KD17" s="1297" t="str">
        <f t="shared" si="25"/>
        <v/>
      </c>
      <c r="KE17" s="1271" cm="1">
        <f t="array" ref="KE17">SUMIFS($B17:$KA17,SMN.MANUFACTURA.DATE,"&gt;="&amp;DATE(YEAR($KC$5)-1,1,1),SMN.MANUFACTURA.DATE,"&lt;="&amp;DATE(YEAR($KC$5)-1,MONTH($KC$5),1))</f>
        <v>0</v>
      </c>
      <c r="KF17" s="1272" cm="1">
        <f t="array" ref="KF17">SUMIFS($B17:$KA17,SMN.MANUFACTURA.DATE,"&gt;="&amp;DATE(YEAR($KC$5),1,1),SMN.MANUFACTURA.DATE,"&lt;="&amp;$KC$5)</f>
        <v>0</v>
      </c>
    </row>
    <row r="18" spans="1:292" ht="15" customHeight="1" x14ac:dyDescent="0.2">
      <c r="A18" s="1168" t="s">
        <v>254</v>
      </c>
      <c r="B18" s="1135">
        <v>274.39999999999998</v>
      </c>
      <c r="C18" s="1135">
        <v>305</v>
      </c>
      <c r="D18" s="1135">
        <v>304.8</v>
      </c>
      <c r="E18" s="1135">
        <v>230.1</v>
      </c>
      <c r="F18" s="1135">
        <v>239</v>
      </c>
      <c r="G18" s="1135">
        <v>247.3</v>
      </c>
      <c r="H18" s="1135">
        <v>243.6</v>
      </c>
      <c r="I18" s="1135">
        <v>240.4</v>
      </c>
      <c r="J18" s="1135">
        <v>232.5</v>
      </c>
      <c r="K18" s="1135">
        <v>264.2</v>
      </c>
      <c r="L18" s="1135">
        <v>264.2</v>
      </c>
      <c r="M18" s="1312">
        <v>245.1</v>
      </c>
      <c r="N18" s="1136">
        <f t="shared" si="1"/>
        <v>257.54999999999995</v>
      </c>
      <c r="O18" s="1135">
        <v>231.5</v>
      </c>
      <c r="P18" s="1135">
        <v>165.6</v>
      </c>
      <c r="Q18" s="1135">
        <v>154.30000000000001</v>
      </c>
      <c r="R18" s="1135">
        <v>180.7</v>
      </c>
      <c r="S18" s="1135">
        <v>165.8</v>
      </c>
      <c r="T18" s="1135">
        <v>167.5</v>
      </c>
      <c r="U18" s="1135">
        <v>206.9</v>
      </c>
      <c r="V18" s="1135">
        <v>253.7</v>
      </c>
      <c r="W18" s="1135">
        <v>244</v>
      </c>
      <c r="X18" s="1135">
        <v>243.3</v>
      </c>
      <c r="Y18" s="1135">
        <v>217.2</v>
      </c>
      <c r="Z18" s="1312">
        <v>245.3</v>
      </c>
      <c r="AA18" s="1136">
        <f t="shared" si="2"/>
        <v>206.31666666666669</v>
      </c>
      <c r="AB18" s="1135">
        <v>217.2</v>
      </c>
      <c r="AC18" s="1135">
        <v>216.4</v>
      </c>
      <c r="AD18" s="1135">
        <v>288.5</v>
      </c>
      <c r="AE18" s="1135">
        <v>225.4</v>
      </c>
      <c r="AF18" s="1135">
        <v>215.2</v>
      </c>
      <c r="AG18" s="1135">
        <v>196.1</v>
      </c>
      <c r="AH18" s="1135">
        <v>330.7</v>
      </c>
      <c r="AI18" s="1135">
        <v>390.2</v>
      </c>
      <c r="AJ18" s="1135">
        <v>355</v>
      </c>
      <c r="AK18" s="1135">
        <v>396.9</v>
      </c>
      <c r="AL18" s="1135">
        <v>362.1</v>
      </c>
      <c r="AM18" s="1312">
        <v>303.60000000000002</v>
      </c>
      <c r="AN18" s="1136">
        <f t="shared" si="3"/>
        <v>291.44166666666666</v>
      </c>
      <c r="AO18" s="1135">
        <v>304.39999999999998</v>
      </c>
      <c r="AP18" s="1135">
        <v>322</v>
      </c>
      <c r="AQ18" s="1135">
        <v>297.10000000000002</v>
      </c>
      <c r="AR18" s="1135">
        <v>310</v>
      </c>
      <c r="AS18" s="1135">
        <v>289.2</v>
      </c>
      <c r="AT18" s="1135">
        <v>297.89999999999998</v>
      </c>
      <c r="AU18" s="1135">
        <v>316.89999999999998</v>
      </c>
      <c r="AV18" s="1135">
        <v>370.2</v>
      </c>
      <c r="AW18" s="1135">
        <v>343.7</v>
      </c>
      <c r="AX18" s="1135">
        <v>323.7</v>
      </c>
      <c r="AY18" s="1135">
        <v>362.5</v>
      </c>
      <c r="AZ18" s="1312">
        <v>303.10000000000002</v>
      </c>
      <c r="BA18" s="1136">
        <f t="shared" si="4"/>
        <v>320.05833333333328</v>
      </c>
      <c r="BB18" s="1135">
        <v>277</v>
      </c>
      <c r="BC18" s="1135">
        <v>272.60000000000002</v>
      </c>
      <c r="BD18" s="1135">
        <v>283.7</v>
      </c>
      <c r="BE18" s="1135">
        <v>239.9</v>
      </c>
      <c r="BF18" s="1135">
        <v>245.9</v>
      </c>
      <c r="BG18" s="1135">
        <v>281.5</v>
      </c>
      <c r="BH18" s="1135">
        <v>327.10000000000002</v>
      </c>
      <c r="BI18" s="1135">
        <v>354.7</v>
      </c>
      <c r="BJ18" s="1135">
        <v>374.2</v>
      </c>
      <c r="BK18" s="1135">
        <v>396</v>
      </c>
      <c r="BL18" s="1135">
        <v>412.7</v>
      </c>
      <c r="BM18" s="1312">
        <v>432.5</v>
      </c>
      <c r="BN18" s="1136">
        <f t="shared" si="5"/>
        <v>324.81666666666666</v>
      </c>
      <c r="BO18" s="1135">
        <v>140.81718382435309</v>
      </c>
      <c r="BP18" s="1135">
        <v>129.5087935476644</v>
      </c>
      <c r="BQ18" s="1135">
        <v>136.77607258877563</v>
      </c>
      <c r="BR18" s="1135">
        <v>121.94746275344461</v>
      </c>
      <c r="BS18" s="1135">
        <v>132.92819536238378</v>
      </c>
      <c r="BT18" s="1135">
        <v>128.10574661140362</v>
      </c>
      <c r="BU18" s="1135">
        <v>134.44886299988798</v>
      </c>
      <c r="BV18" s="1135">
        <v>158.09902542847541</v>
      </c>
      <c r="BW18" s="1135">
        <v>147.26111795676039</v>
      </c>
      <c r="BX18" s="1135">
        <v>147.20230760613867</v>
      </c>
      <c r="BY18" s="1135">
        <v>126.25742130614989</v>
      </c>
      <c r="BZ18" s="1312">
        <v>146.4629774840372</v>
      </c>
      <c r="CA18" s="1136">
        <f t="shared" si="6"/>
        <v>137.48459728912289</v>
      </c>
      <c r="CB18" s="1135">
        <v>86.568836115156273</v>
      </c>
      <c r="CC18" s="1135">
        <v>121.53579029909265</v>
      </c>
      <c r="CD18" s="1135">
        <v>146.21093312422988</v>
      </c>
      <c r="CE18" s="1135">
        <v>123.53534222023077</v>
      </c>
      <c r="CF18" s="1135">
        <v>134.93614876218214</v>
      </c>
      <c r="CG18" s="1135">
        <v>144.77428027332812</v>
      </c>
      <c r="CH18" s="1135">
        <v>153.57062843060382</v>
      </c>
      <c r="CI18" s="1135">
        <v>146.8242410664277</v>
      </c>
      <c r="CJ18" s="1135">
        <v>131.12187745043127</v>
      </c>
      <c r="CK18" s="1135">
        <v>150.21003696650612</v>
      </c>
      <c r="CL18" s="1135">
        <v>148.80699003024534</v>
      </c>
      <c r="CM18" s="1312">
        <v>148.80699003024534</v>
      </c>
      <c r="CN18" s="1136">
        <f t="shared" si="7"/>
        <v>136.40850789738994</v>
      </c>
      <c r="CO18" s="1135">
        <v>143.51</v>
      </c>
      <c r="CP18" s="1135">
        <v>140.59</v>
      </c>
      <c r="CQ18" s="1135">
        <v>137.63999999999999</v>
      </c>
      <c r="CR18" s="1135">
        <v>138.84</v>
      </c>
      <c r="CS18" s="1135">
        <v>138.13</v>
      </c>
      <c r="CT18" s="1135">
        <v>149.84</v>
      </c>
      <c r="CU18" s="1135">
        <v>135.69999999999999</v>
      </c>
      <c r="CV18" s="1135">
        <v>140.5</v>
      </c>
      <c r="CW18" s="1135">
        <v>134.43</v>
      </c>
      <c r="CX18" s="1135">
        <v>153.93</v>
      </c>
      <c r="CY18" s="1135">
        <v>126.22</v>
      </c>
      <c r="CZ18" s="1312">
        <v>143.11000000000001</v>
      </c>
      <c r="DA18" s="1136">
        <f t="shared" si="8"/>
        <v>140.20333333333335</v>
      </c>
      <c r="DB18" s="1135">
        <v>113.60479444382212</v>
      </c>
      <c r="DC18" s="1135">
        <v>134.64209700907361</v>
      </c>
      <c r="DD18" s="1135">
        <v>84.350845748851796</v>
      </c>
      <c r="DE18" s="1135">
        <v>154.67962361375604</v>
      </c>
      <c r="DF18" s="1135">
        <v>172.95283969978718</v>
      </c>
      <c r="DG18" s="1135">
        <v>163.19032149658341</v>
      </c>
      <c r="DH18" s="1135">
        <v>182.95059930547777</v>
      </c>
      <c r="DI18" s="1135">
        <v>198.28329786042346</v>
      </c>
      <c r="DJ18" s="1135">
        <v>206.13868040775176</v>
      </c>
      <c r="DK18" s="1135">
        <v>215.59874537918677</v>
      </c>
      <c r="DL18" s="1135">
        <v>193.50285650274449</v>
      </c>
      <c r="DM18" s="1312">
        <v>197.3255292931556</v>
      </c>
      <c r="DN18" s="1136">
        <f t="shared" si="9"/>
        <v>168.10168589671784</v>
      </c>
      <c r="DO18" s="1135">
        <v>208.65912400582499</v>
      </c>
      <c r="DP18" s="1135">
        <v>207.38209924946793</v>
      </c>
      <c r="DQ18" s="1135">
        <v>179.37997087487398</v>
      </c>
      <c r="DR18" s="1135">
        <v>171.16332474515514</v>
      </c>
      <c r="DS18" s="1135">
        <v>196.11571636608042</v>
      </c>
      <c r="DT18" s="1135">
        <v>186.54643217206228</v>
      </c>
      <c r="DU18" s="1135">
        <v>213.64120085134982</v>
      </c>
      <c r="DV18" s="1135">
        <v>202.7</v>
      </c>
      <c r="DW18" s="1135">
        <v>226.40304693626078</v>
      </c>
      <c r="DX18" s="1135">
        <v>228.8226727904111</v>
      </c>
      <c r="DY18" s="1135">
        <v>240.16466898174082</v>
      </c>
      <c r="DZ18" s="1312">
        <v>229.36876890332704</v>
      </c>
      <c r="EA18" s="1136">
        <f t="shared" si="10"/>
        <v>207.52891882304621</v>
      </c>
      <c r="EB18" s="1135">
        <v>206.47473955416152</v>
      </c>
      <c r="EC18" s="1135">
        <v>184.3</v>
      </c>
      <c r="ED18" s="1135">
        <v>205.1725103618237</v>
      </c>
      <c r="EE18" s="1135">
        <v>166.81976027780888</v>
      </c>
      <c r="EF18" s="1135">
        <v>180.2</v>
      </c>
      <c r="EG18" s="1135">
        <v>181.77439229304358</v>
      </c>
      <c r="EH18" s="1135">
        <v>179.2119413016691</v>
      </c>
      <c r="EI18" s="1135">
        <v>219.17777528845082</v>
      </c>
      <c r="EJ18" s="1135">
        <v>217.17822336731265</v>
      </c>
      <c r="EK18" s="1135">
        <v>230.21731824801165</v>
      </c>
      <c r="EL18" s="1135">
        <v>237.21574997199508</v>
      </c>
      <c r="EM18" s="1312">
        <v>208.01221014898621</v>
      </c>
      <c r="EN18" s="1136">
        <f t="shared" si="11"/>
        <v>201.31288506777193</v>
      </c>
      <c r="EO18" s="1135">
        <v>237.4509913744819</v>
      </c>
      <c r="EP18" s="1135">
        <v>218.78290579141927</v>
      </c>
      <c r="EQ18" s="1135">
        <v>190.73036854486389</v>
      </c>
      <c r="ER18" s="1135">
        <v>178.53142153018933</v>
      </c>
      <c r="ES18" s="1135">
        <v>191.97378738658003</v>
      </c>
      <c r="ET18" s="1135">
        <v>189.3861319592248</v>
      </c>
      <c r="EU18" s="1135">
        <v>191.05802621261341</v>
      </c>
      <c r="EV18" s="1135">
        <v>209.76811918897727</v>
      </c>
      <c r="EW18" s="1135">
        <v>182.06844404615214</v>
      </c>
      <c r="EX18" s="1135">
        <v>185.94186176767116</v>
      </c>
      <c r="EY18" s="1135">
        <v>195.35118180799822</v>
      </c>
      <c r="EZ18" s="1312">
        <v>195.42721518987344</v>
      </c>
      <c r="FA18" s="1136">
        <f t="shared" si="12"/>
        <v>197.20587123333704</v>
      </c>
      <c r="FB18" s="1135">
        <v>202.11437212949483</v>
      </c>
      <c r="FC18" s="1135">
        <v>181.73238489974239</v>
      </c>
      <c r="FD18" s="1135">
        <v>216.2792651506665</v>
      </c>
      <c r="FE18" s="1135">
        <v>178.21216534110005</v>
      </c>
      <c r="FF18" s="1135">
        <v>194.83029013106307</v>
      </c>
      <c r="FG18" s="1135">
        <v>177.55685000560101</v>
      </c>
      <c r="FH18" s="1135">
        <v>190.80598185280607</v>
      </c>
      <c r="FI18" s="1135">
        <v>211.63324745155148</v>
      </c>
      <c r="FJ18" s="1135">
        <v>212.99428699451104</v>
      </c>
      <c r="FK18" s="1135">
        <v>238.98006049064637</v>
      </c>
      <c r="FL18" s="1135">
        <v>193.92293043575671</v>
      </c>
      <c r="FM18" s="1312">
        <v>209.84373249691944</v>
      </c>
      <c r="FN18" s="1136">
        <f t="shared" si="13"/>
        <v>200.74213061498824</v>
      </c>
      <c r="FO18" s="1135">
        <v>178.76666293267616</v>
      </c>
      <c r="FP18" s="1135">
        <v>185.83230648594153</v>
      </c>
      <c r="FQ18" s="1135">
        <v>162.50980172510364</v>
      </c>
      <c r="FR18" s="1135">
        <v>160.98073260893921</v>
      </c>
      <c r="FS18" s="1135">
        <v>155.67099809566483</v>
      </c>
      <c r="FT18" s="1135">
        <v>171.13812030917441</v>
      </c>
      <c r="FU18" s="1135">
        <v>201.37504200739329</v>
      </c>
      <c r="FV18" s="1135">
        <v>214.8258093424443</v>
      </c>
      <c r="FW18" s="1135">
        <v>219.09376050184832</v>
      </c>
      <c r="FX18" s="1135">
        <v>209.67570292371457</v>
      </c>
      <c r="FY18" s="1135">
        <v>220.17755124901984</v>
      </c>
      <c r="FZ18" s="1312">
        <v>212.41458496695424</v>
      </c>
      <c r="GA18" s="1136">
        <f t="shared" si="14"/>
        <v>191.03842276240619</v>
      </c>
      <c r="GB18" s="1135">
        <v>188.11750868152794</v>
      </c>
      <c r="GC18" s="1135">
        <v>210.3394197378739</v>
      </c>
      <c r="GD18" s="1135">
        <v>189.8986221575</v>
      </c>
      <c r="GE18" s="1135">
        <v>173.00324857174863</v>
      </c>
      <c r="GF18" s="1135">
        <v>197.88842836339194</v>
      </c>
      <c r="GG18" s="1135">
        <v>202.8705052089168</v>
      </c>
      <c r="GH18" s="1135">
        <v>184.63929651618687</v>
      </c>
      <c r="GI18" s="1135">
        <v>230.21731824801165</v>
      </c>
      <c r="GJ18" s="1135">
        <v>228.53702251596286</v>
      </c>
      <c r="GK18" s="1135">
        <v>247.55797020275571</v>
      </c>
      <c r="GL18" s="1135">
        <v>237.77024756357119</v>
      </c>
      <c r="GM18" s="1312">
        <v>238.60199395093537</v>
      </c>
      <c r="GN18" s="1136">
        <f t="shared" si="15"/>
        <v>210.78679847653189</v>
      </c>
      <c r="GO18" s="1135">
        <v>216.1784474067436</v>
      </c>
      <c r="GP18" s="1135">
        <v>188.20992494679066</v>
      </c>
      <c r="GQ18" s="1135">
        <v>110.79870057130054</v>
      </c>
      <c r="GR18" s="1135"/>
      <c r="GS18" s="1135">
        <v>61.364400134423661</v>
      </c>
      <c r="GT18" s="1135">
        <v>114.89022067883947</v>
      </c>
      <c r="GU18" s="1135">
        <v>216.20365184272435</v>
      </c>
      <c r="GV18" s="1135">
        <v>247.47395541615322</v>
      </c>
      <c r="GW18" s="1135">
        <v>262.09252828497813</v>
      </c>
      <c r="GX18" s="1135">
        <v>262.09252828497813</v>
      </c>
      <c r="GY18" s="1135">
        <v>254.72443149994399</v>
      </c>
      <c r="GZ18" s="1312">
        <v>264.78940293491655</v>
      </c>
      <c r="HA18" s="1136">
        <f t="shared" si="16"/>
        <v>199.89256290925385</v>
      </c>
      <c r="HB18" s="1135">
        <v>265.41111235577461</v>
      </c>
      <c r="HC18" s="1135">
        <v>252.37201747507564</v>
      </c>
      <c r="HD18" s="1135">
        <v>249.78436204772044</v>
      </c>
      <c r="HE18" s="1135">
        <v>197.19950711325191</v>
      </c>
      <c r="HF18" s="1135">
        <v>250.76733505096897</v>
      </c>
      <c r="HG18" s="1135">
        <v>249.78436204772044</v>
      </c>
      <c r="HH18" s="1135">
        <v>246.30614988237932</v>
      </c>
      <c r="HI18" s="1135">
        <v>232.8469810686681</v>
      </c>
      <c r="HJ18" s="1135">
        <v>237.76184608491096</v>
      </c>
      <c r="HK18" s="1135">
        <v>250.59930547776409</v>
      </c>
      <c r="HL18" s="1135">
        <v>202.35801501064188</v>
      </c>
      <c r="HM18" s="1312">
        <v>203.90388708412681</v>
      </c>
      <c r="HN18" s="1136">
        <f t="shared" si="17"/>
        <v>236.59124005825026</v>
      </c>
      <c r="HO18" s="1135">
        <v>231.52794891900976</v>
      </c>
      <c r="HP18" s="1135">
        <v>218.55606586759274</v>
      </c>
      <c r="HQ18" s="1135">
        <v>209.33124229864455</v>
      </c>
      <c r="HR18" s="1135">
        <v>195.32597737201749</v>
      </c>
      <c r="HS18" s="1135">
        <v>194.0573540943206</v>
      </c>
      <c r="HT18" s="1135">
        <v>224.43710092976366</v>
      </c>
      <c r="HU18" s="1135">
        <v>207.47451551473057</v>
      </c>
      <c r="HV18" s="1135">
        <v>227.22639184496472</v>
      </c>
      <c r="HW18" s="1135">
        <v>210.54945670437996</v>
      </c>
      <c r="HX18" s="1135">
        <v>225.54609611291588</v>
      </c>
      <c r="HY18" s="1135">
        <v>230.83902766886973</v>
      </c>
      <c r="HZ18" s="1312">
        <v>206.23949815167472</v>
      </c>
      <c r="IA18" s="1136">
        <f t="shared" si="18"/>
        <v>215.09255628990704</v>
      </c>
      <c r="IB18" s="1135">
        <v>215.96358799148646</v>
      </c>
      <c r="IC18" s="1135">
        <v>223.02534166013217</v>
      </c>
      <c r="ID18" s="1135">
        <v>208.1139268511258</v>
      </c>
      <c r="IE18" s="1135">
        <v>158.51586479220344</v>
      </c>
      <c r="IF18" s="1135">
        <v>155.55238601993949</v>
      </c>
      <c r="IG18" s="1135">
        <v>170.5049932788171</v>
      </c>
      <c r="IH18" s="1135">
        <v>221.233432284082</v>
      </c>
      <c r="II18" s="1135">
        <v>221.86278705052089</v>
      </c>
      <c r="IJ18" s="1135">
        <v>203.05632071244543</v>
      </c>
      <c r="IK18" s="1135">
        <v>96.641100033605909</v>
      </c>
      <c r="IL18" s="1135">
        <v>95.786510025764528</v>
      </c>
      <c r="IM18" s="1312">
        <v>201.71632687352977</v>
      </c>
      <c r="IN18" s="1136">
        <f t="shared" si="19"/>
        <v>180.99771479780441</v>
      </c>
      <c r="IO18" s="1135">
        <v>213.09554161532432</v>
      </c>
      <c r="IP18" s="1135">
        <v>214.51103954295959</v>
      </c>
      <c r="IQ18" s="1135">
        <v>209.5800352862104</v>
      </c>
      <c r="IR18" s="1135">
        <v>22.354688025092415</v>
      </c>
      <c r="IS18" s="1135">
        <v>215.46763190321499</v>
      </c>
      <c r="IT18" s="1135">
        <v>211.87772207908594</v>
      </c>
      <c r="IU18" s="1135">
        <v>246.76624005825025</v>
      </c>
      <c r="IV18" s="1135">
        <v>250.77758485493447</v>
      </c>
      <c r="IW18" s="1135">
        <v>231.01951663492775</v>
      </c>
      <c r="IX18" s="1135">
        <v>246.22309286434412</v>
      </c>
      <c r="IY18" s="1135">
        <v>227.48021731824801</v>
      </c>
      <c r="IZ18" s="1312">
        <v>223.59245827265596</v>
      </c>
      <c r="JA18" s="1136">
        <f t="shared" si="20"/>
        <v>209.39548070460401</v>
      </c>
      <c r="JB18" s="1135">
        <v>224.40207989029474</v>
      </c>
      <c r="JC18" s="1135">
        <v>212.35443037974684</v>
      </c>
      <c r="JD18" s="1135">
        <v>205.55763414360931</v>
      </c>
      <c r="JE18" s="1135">
        <v>208.4189431737542</v>
      </c>
      <c r="JF18" s="1135">
        <v>216.8799965895069</v>
      </c>
      <c r="JG18" s="1135">
        <v>216.88058296826077</v>
      </c>
      <c r="JH18" s="1135">
        <v>243.75951268092032</v>
      </c>
      <c r="JI18" s="1135">
        <v>258.88386852392375</v>
      </c>
      <c r="JJ18" s="1135">
        <v>274.98440106505114</v>
      </c>
      <c r="JK18" s="1135">
        <v>279.04318210473593</v>
      </c>
      <c r="JL18" s="1135">
        <v>259.24781785594269</v>
      </c>
      <c r="JM18" s="1312">
        <v>263.05927971322956</v>
      </c>
      <c r="JN18" s="1136">
        <f t="shared" si="21"/>
        <v>238.62264409074803</v>
      </c>
      <c r="JO18" s="1135">
        <v>241.8815733169038</v>
      </c>
      <c r="JP18" s="1135">
        <v>225.59052356308055</v>
      </c>
      <c r="JQ18" s="1135">
        <v>249.67958312908121</v>
      </c>
      <c r="JR18" s="1135">
        <v>228.72040159067998</v>
      </c>
      <c r="JS18" s="1135">
        <v>204.71866834337652</v>
      </c>
      <c r="JT18" s="1135">
        <v>265.05803097345131</v>
      </c>
      <c r="JU18" s="1135">
        <v>275.62565531533551</v>
      </c>
      <c r="JV18" s="1135">
        <v>276.05637392181029</v>
      </c>
      <c r="JW18" s="1135"/>
      <c r="JX18" s="1135"/>
      <c r="JY18" s="1135"/>
      <c r="JZ18" s="1312"/>
      <c r="KA18" s="1136">
        <f t="shared" si="24"/>
        <v>245.91635126921489</v>
      </c>
      <c r="KC18" s="1270" cm="1">
        <f t="array" ref="KC18">IFERROR(((
_xlfn.XLOOKUP((DATE(YEAR($KC$5),MONTH($KC$5),1)),SMN.MANUFACTURA.DATE,$B18:$KA18) /
_xlfn.XLOOKUP((DATE(YEAR($KC$5)-1,MONTH($KC$5),1)),SMN.MANUFACTURA.DATE,$B18:$KA18)
)-1)*100,"")</f>
        <v>6.6332852239109785</v>
      </c>
      <c r="KD18" s="1297">
        <f t="shared" si="25"/>
        <v>10.082817205880602</v>
      </c>
      <c r="KE18" s="1271" cm="1">
        <f t="array" ref="KE18">SUMIFS($B18:$KA18,SMN.MANUFACTURA.DATE,"&gt;="&amp;DATE(YEAR($KC$5)-1,1,1),SMN.MANUFACTURA.DATE,"&lt;="&amp;DATE(YEAR($KC$5)-1,MONTH($KC$5),1))</f>
        <v>1787.1370483500168</v>
      </c>
      <c r="KF18" s="1272" cm="1">
        <f t="array" ref="KF18">SUMIFS($B18:$KA18,SMN.MANUFACTURA.DATE,"&gt;="&amp;DATE(YEAR($KC$5),1,1),SMN.MANUFACTURA.DATE,"&lt;="&amp;$KC$5)</f>
        <v>1967.3308101537191</v>
      </c>
    </row>
    <row r="19" spans="1:292" ht="15" customHeight="1" x14ac:dyDescent="0.2">
      <c r="A19" s="1313"/>
      <c r="B19" s="1135"/>
      <c r="C19" s="1135"/>
      <c r="D19" s="1135"/>
      <c r="E19" s="1135"/>
      <c r="F19" s="1135"/>
      <c r="G19" s="1135"/>
      <c r="H19" s="1135"/>
      <c r="I19" s="1135"/>
      <c r="J19" s="1135"/>
      <c r="K19" s="1135"/>
      <c r="L19" s="1135"/>
      <c r="M19" s="1312"/>
      <c r="N19" s="1136"/>
      <c r="O19" s="1135"/>
      <c r="P19" s="1135"/>
      <c r="Q19" s="1135"/>
      <c r="R19" s="1135"/>
      <c r="S19" s="1135"/>
      <c r="T19" s="1135"/>
      <c r="U19" s="1135"/>
      <c r="V19" s="1135"/>
      <c r="W19" s="1135"/>
      <c r="X19" s="1135"/>
      <c r="Y19" s="1135"/>
      <c r="Z19" s="1312"/>
      <c r="AA19" s="1136"/>
      <c r="AB19" s="1135"/>
      <c r="AC19" s="1135"/>
      <c r="AD19" s="1135"/>
      <c r="AE19" s="1135"/>
      <c r="AF19" s="1135"/>
      <c r="AG19" s="1135"/>
      <c r="AH19" s="1135"/>
      <c r="AI19" s="1135"/>
      <c r="AJ19" s="1135"/>
      <c r="AK19" s="1135"/>
      <c r="AL19" s="1135"/>
      <c r="AM19" s="1312"/>
      <c r="AN19" s="1136"/>
      <c r="AO19" s="1135"/>
      <c r="AP19" s="1135"/>
      <c r="AQ19" s="1135"/>
      <c r="AR19" s="1135"/>
      <c r="AS19" s="1135"/>
      <c r="AT19" s="1135"/>
      <c r="AU19" s="1135"/>
      <c r="AV19" s="1135"/>
      <c r="AW19" s="1135"/>
      <c r="AX19" s="1135"/>
      <c r="AY19" s="1135"/>
      <c r="AZ19" s="1312"/>
      <c r="BA19" s="1136"/>
      <c r="BB19" s="1135"/>
      <c r="BC19" s="1135"/>
      <c r="BD19" s="1135"/>
      <c r="BE19" s="1135"/>
      <c r="BF19" s="1135"/>
      <c r="BG19" s="1135"/>
      <c r="BH19" s="1135"/>
      <c r="BI19" s="1135"/>
      <c r="BJ19" s="1135"/>
      <c r="BK19" s="1135"/>
      <c r="BL19" s="1135"/>
      <c r="BM19" s="1312"/>
      <c r="BN19" s="1136"/>
      <c r="BO19" s="1135"/>
      <c r="BP19" s="1135"/>
      <c r="BQ19" s="1135"/>
      <c r="BR19" s="1135"/>
      <c r="BS19" s="1135"/>
      <c r="BT19" s="1135"/>
      <c r="BU19" s="1135"/>
      <c r="BV19" s="1135"/>
      <c r="BW19" s="1135"/>
      <c r="BX19" s="1135"/>
      <c r="BY19" s="1135"/>
      <c r="BZ19" s="1312"/>
      <c r="CA19" s="1136"/>
      <c r="CB19" s="1135"/>
      <c r="CC19" s="1135"/>
      <c r="CD19" s="1135"/>
      <c r="CE19" s="1135"/>
      <c r="CF19" s="1135"/>
      <c r="CG19" s="1135"/>
      <c r="CH19" s="1135"/>
      <c r="CI19" s="1135"/>
      <c r="CJ19" s="1135"/>
      <c r="CK19" s="1135"/>
      <c r="CL19" s="1135"/>
      <c r="CM19" s="1312"/>
      <c r="CN19" s="1136"/>
      <c r="CO19" s="1135"/>
      <c r="CP19" s="1135"/>
      <c r="CQ19" s="1135"/>
      <c r="CR19" s="1135"/>
      <c r="CS19" s="1135"/>
      <c r="CT19" s="1135"/>
      <c r="CU19" s="1135"/>
      <c r="CV19" s="1135"/>
      <c r="CW19" s="1135"/>
      <c r="CX19" s="1135"/>
      <c r="CY19" s="1135"/>
      <c r="CZ19" s="1312"/>
      <c r="DA19" s="1136"/>
      <c r="DB19" s="1135"/>
      <c r="DC19" s="1135"/>
      <c r="DD19" s="1135"/>
      <c r="DE19" s="1135"/>
      <c r="DF19" s="1135"/>
      <c r="DG19" s="1135"/>
      <c r="DH19" s="1135"/>
      <c r="DI19" s="1135"/>
      <c r="DJ19" s="1135"/>
      <c r="DK19" s="1135"/>
      <c r="DL19" s="1135"/>
      <c r="DM19" s="1312"/>
      <c r="DN19" s="1136"/>
      <c r="DO19" s="1135"/>
      <c r="DP19" s="1135"/>
      <c r="DQ19" s="1135"/>
      <c r="DR19" s="1135"/>
      <c r="DS19" s="1135"/>
      <c r="DT19" s="1135"/>
      <c r="DU19" s="1135"/>
      <c r="DV19" s="1135"/>
      <c r="DW19" s="1135"/>
      <c r="DX19" s="1135"/>
      <c r="DY19" s="1135"/>
      <c r="DZ19" s="1312"/>
      <c r="EA19" s="1136"/>
      <c r="EB19" s="1135"/>
      <c r="EC19" s="1135"/>
      <c r="ED19" s="1135"/>
      <c r="EE19" s="1135"/>
      <c r="EF19" s="1135"/>
      <c r="EG19" s="1135"/>
      <c r="EH19" s="1135"/>
      <c r="EI19" s="1135"/>
      <c r="EJ19" s="1135"/>
      <c r="EK19" s="1135"/>
      <c r="EL19" s="1135"/>
      <c r="EM19" s="1312"/>
      <c r="EN19" s="1136"/>
      <c r="EO19" s="1135"/>
      <c r="EP19" s="1135"/>
      <c r="EQ19" s="1135"/>
      <c r="ER19" s="1135"/>
      <c r="ES19" s="1135"/>
      <c r="ET19" s="1135"/>
      <c r="EU19" s="1135"/>
      <c r="EV19" s="1135"/>
      <c r="EW19" s="1135"/>
      <c r="EX19" s="1135"/>
      <c r="EY19" s="1135"/>
      <c r="EZ19" s="1312"/>
      <c r="FA19" s="1136"/>
      <c r="FB19" s="1135"/>
      <c r="FC19" s="1135"/>
      <c r="FD19" s="1135"/>
      <c r="FE19" s="1135"/>
      <c r="FF19" s="1135"/>
      <c r="FG19" s="1135"/>
      <c r="FH19" s="1135"/>
      <c r="FI19" s="1135"/>
      <c r="FJ19" s="1135"/>
      <c r="FK19" s="1135"/>
      <c r="FL19" s="1135"/>
      <c r="FM19" s="1312"/>
      <c r="FN19" s="1136"/>
      <c r="FO19" s="1135"/>
      <c r="FP19" s="1135"/>
      <c r="FQ19" s="1135"/>
      <c r="FR19" s="1135"/>
      <c r="FS19" s="1135"/>
      <c r="FT19" s="1135"/>
      <c r="FU19" s="1135"/>
      <c r="FV19" s="1135"/>
      <c r="FW19" s="1135"/>
      <c r="FX19" s="1135"/>
      <c r="FY19" s="1135"/>
      <c r="FZ19" s="1312"/>
      <c r="GA19" s="1136"/>
      <c r="GB19" s="1135"/>
      <c r="GC19" s="1135"/>
      <c r="GD19" s="1135"/>
      <c r="GE19" s="1135"/>
      <c r="GF19" s="1135"/>
      <c r="GG19" s="1135"/>
      <c r="GH19" s="1135"/>
      <c r="GI19" s="1135"/>
      <c r="GJ19" s="1135"/>
      <c r="GK19" s="1135"/>
      <c r="GL19" s="1135"/>
      <c r="GM19" s="1312"/>
      <c r="GN19" s="1136"/>
      <c r="GO19" s="1135"/>
      <c r="GP19" s="1135"/>
      <c r="GQ19" s="1135"/>
      <c r="GR19" s="1135"/>
      <c r="GS19" s="1135"/>
      <c r="GT19" s="1135"/>
      <c r="GU19" s="1135"/>
      <c r="GV19" s="1135"/>
      <c r="GW19" s="1135"/>
      <c r="GX19" s="1135"/>
      <c r="GY19" s="1135"/>
      <c r="GZ19" s="1312"/>
      <c r="HA19" s="1136"/>
      <c r="HB19" s="1135"/>
      <c r="HC19" s="1135"/>
      <c r="HD19" s="1135"/>
      <c r="HE19" s="1135"/>
      <c r="HF19" s="1135"/>
      <c r="HG19" s="1135"/>
      <c r="HH19" s="1135"/>
      <c r="HI19" s="1135"/>
      <c r="HJ19" s="1135"/>
      <c r="HK19" s="1135"/>
      <c r="HL19" s="1135"/>
      <c r="HM19" s="1312"/>
      <c r="HN19" s="1136"/>
      <c r="HO19" s="1135"/>
      <c r="HP19" s="1135"/>
      <c r="HQ19" s="1135"/>
      <c r="HR19" s="1135"/>
      <c r="HS19" s="1135"/>
      <c r="HT19" s="1135"/>
      <c r="HU19" s="1135"/>
      <c r="HV19" s="1135"/>
      <c r="HW19" s="1135"/>
      <c r="HX19" s="1135"/>
      <c r="HY19" s="1135"/>
      <c r="HZ19" s="1312"/>
      <c r="IA19" s="1136"/>
      <c r="IB19" s="1135"/>
      <c r="IC19" s="1135"/>
      <c r="ID19" s="1135"/>
      <c r="IE19" s="1135"/>
      <c r="IF19" s="1135"/>
      <c r="IG19" s="1135"/>
      <c r="IH19" s="1135"/>
      <c r="II19" s="1135"/>
      <c r="IJ19" s="1135"/>
      <c r="IK19" s="1135"/>
      <c r="IL19" s="1135"/>
      <c r="IM19" s="1312"/>
      <c r="IN19" s="1136"/>
      <c r="IO19" s="1135"/>
      <c r="IP19" s="1135"/>
      <c r="IQ19" s="1135"/>
      <c r="IR19" s="1135"/>
      <c r="IS19" s="1135"/>
      <c r="IT19" s="1135"/>
      <c r="IU19" s="1135"/>
      <c r="IV19" s="1135"/>
      <c r="IW19" s="1135"/>
      <c r="IX19" s="1135"/>
      <c r="IY19" s="1135"/>
      <c r="IZ19" s="1312"/>
      <c r="JA19" s="1136"/>
      <c r="JB19" s="1135"/>
      <c r="JC19" s="1135"/>
      <c r="JD19" s="1135"/>
      <c r="JE19" s="1135"/>
      <c r="JF19" s="1135"/>
      <c r="JG19" s="1135"/>
      <c r="JH19" s="1135"/>
      <c r="JI19" s="1135"/>
      <c r="JJ19" s="1135"/>
      <c r="JK19" s="1135"/>
      <c r="JL19" s="1135"/>
      <c r="JM19" s="1312"/>
      <c r="JN19" s="1136"/>
      <c r="JO19" s="1135"/>
      <c r="JP19" s="1135"/>
      <c r="JQ19" s="1135"/>
      <c r="JR19" s="1135"/>
      <c r="JS19" s="1135"/>
      <c r="JT19" s="1135"/>
      <c r="JU19" s="1135"/>
      <c r="JV19" s="1135"/>
      <c r="JW19" s="1135"/>
      <c r="JX19" s="1135"/>
      <c r="JY19" s="1135"/>
      <c r="JZ19" s="1312"/>
      <c r="KA19" s="1136"/>
      <c r="KC19" s="1270"/>
      <c r="KD19" s="1297"/>
      <c r="KE19" s="1271"/>
      <c r="KF19" s="1272"/>
    </row>
    <row r="20" spans="1:292" ht="15" customHeight="1" x14ac:dyDescent="0.2">
      <c r="A20" s="1311" t="s">
        <v>22</v>
      </c>
      <c r="B20" s="1306"/>
      <c r="C20" s="1306"/>
      <c r="D20" s="1306"/>
      <c r="E20" s="1306"/>
      <c r="F20" s="1306"/>
      <c r="G20" s="1306"/>
      <c r="H20" s="1306"/>
      <c r="I20" s="1306"/>
      <c r="J20" s="1306"/>
      <c r="K20" s="1306"/>
      <c r="L20" s="1306"/>
      <c r="M20" s="1307"/>
      <c r="N20" s="1265">
        <f t="shared" si="1"/>
        <v>0</v>
      </c>
      <c r="O20" s="1306"/>
      <c r="P20" s="1306"/>
      <c r="Q20" s="1306"/>
      <c r="R20" s="1306"/>
      <c r="S20" s="1306"/>
      <c r="T20" s="1306"/>
      <c r="U20" s="1306"/>
      <c r="V20" s="1306"/>
      <c r="W20" s="1306"/>
      <c r="X20" s="1306"/>
      <c r="Y20" s="1306"/>
      <c r="Z20" s="1307"/>
      <c r="AA20" s="1265">
        <f t="shared" si="2"/>
        <v>0</v>
      </c>
      <c r="AB20" s="1306"/>
      <c r="AC20" s="1306"/>
      <c r="AD20" s="1306"/>
      <c r="AE20" s="1306"/>
      <c r="AF20" s="1306"/>
      <c r="AG20" s="1306"/>
      <c r="AH20" s="1306"/>
      <c r="AI20" s="1306"/>
      <c r="AJ20" s="1306"/>
      <c r="AK20" s="1306"/>
      <c r="AL20" s="1306"/>
      <c r="AM20" s="1307"/>
      <c r="AN20" s="1265">
        <f t="shared" si="3"/>
        <v>0</v>
      </c>
      <c r="AO20" s="1306"/>
      <c r="AP20" s="1306"/>
      <c r="AQ20" s="1306"/>
      <c r="AR20" s="1306"/>
      <c r="AS20" s="1306"/>
      <c r="AT20" s="1306"/>
      <c r="AU20" s="1306"/>
      <c r="AV20" s="1306"/>
      <c r="AW20" s="1306"/>
      <c r="AX20" s="1306"/>
      <c r="AY20" s="1306"/>
      <c r="AZ20" s="1307"/>
      <c r="BA20" s="1265">
        <f t="shared" si="4"/>
        <v>0</v>
      </c>
      <c r="BB20" s="1306"/>
      <c r="BC20" s="1306"/>
      <c r="BD20" s="1306"/>
      <c r="BE20" s="1306"/>
      <c r="BF20" s="1306"/>
      <c r="BG20" s="1306"/>
      <c r="BH20" s="1306"/>
      <c r="BI20" s="1306"/>
      <c r="BJ20" s="1306"/>
      <c r="BK20" s="1306"/>
      <c r="BL20" s="1306"/>
      <c r="BM20" s="1307"/>
      <c r="BN20" s="1265">
        <f t="shared" si="5"/>
        <v>0</v>
      </c>
      <c r="BO20" s="1306">
        <v>165.55435986242549</v>
      </c>
      <c r="BP20" s="1306">
        <v>100.94320409947882</v>
      </c>
      <c r="BQ20" s="1306">
        <v>116.11975143986797</v>
      </c>
      <c r="BR20" s="1306">
        <v>111.44183999775466</v>
      </c>
      <c r="BS20" s="1306">
        <v>107.02414437913886</v>
      </c>
      <c r="BT20" s="1306">
        <v>109.91659025211834</v>
      </c>
      <c r="BU20" s="1306">
        <v>105.88972958205278</v>
      </c>
      <c r="BV20" s="1306">
        <v>104.73212418002892</v>
      </c>
      <c r="BW20" s="1306">
        <v>116.8752720316094</v>
      </c>
      <c r="BX20" s="1306">
        <v>117.03433508174406</v>
      </c>
      <c r="BY20" s="1306">
        <v>125.32342798069432</v>
      </c>
      <c r="BZ20" s="1307">
        <v>107.8106232525752</v>
      </c>
      <c r="CA20" s="1265">
        <f t="shared" si="6"/>
        <v>115.7221168449574</v>
      </c>
      <c r="CB20" s="1306">
        <v>106.57747150068506</v>
      </c>
      <c r="CC20" s="1306">
        <v>102.28233790595962</v>
      </c>
      <c r="CD20" s="1306">
        <v>116.65032538521969</v>
      </c>
      <c r="CE20" s="1306">
        <v>113.84758788865302</v>
      </c>
      <c r="CF20" s="1306">
        <v>135.76312042995579</v>
      </c>
      <c r="CG20" s="1306">
        <v>122.05683927982059</v>
      </c>
      <c r="CH20" s="1306">
        <v>106.57022075045504</v>
      </c>
      <c r="CI20" s="1306">
        <v>122.29521353454174</v>
      </c>
      <c r="CJ20" s="1306">
        <v>116.68580004258021</v>
      </c>
      <c r="CK20" s="1306">
        <v>132.44048117646585</v>
      </c>
      <c r="CL20" s="1306">
        <v>147.57935060558603</v>
      </c>
      <c r="CM20" s="1307">
        <v>124.52664287214886</v>
      </c>
      <c r="CN20" s="1265">
        <f t="shared" si="7"/>
        <v>120.60628261433931</v>
      </c>
      <c r="CO20" s="1306">
        <v>126.67820850377041</v>
      </c>
      <c r="CP20" s="1306">
        <v>114.3045822444786</v>
      </c>
      <c r="CQ20" s="1306">
        <v>129.29168502123736</v>
      </c>
      <c r="CR20" s="1306">
        <v>122.73994545758782</v>
      </c>
      <c r="CS20" s="1306">
        <v>135.1269348203131</v>
      </c>
      <c r="CT20" s="1306">
        <v>129.37628798219598</v>
      </c>
      <c r="CU20" s="1306">
        <v>118.61339042902307</v>
      </c>
      <c r="CV20" s="1306">
        <v>140.39068906483709</v>
      </c>
      <c r="CW20" s="1306">
        <v>128.06301938723212</v>
      </c>
      <c r="CX20" s="1306">
        <v>129.88550860729111</v>
      </c>
      <c r="CY20" s="1306">
        <v>138.95963727766403</v>
      </c>
      <c r="CZ20" s="1307">
        <v>117.2438393642806</v>
      </c>
      <c r="DA20" s="1265">
        <f t="shared" si="8"/>
        <v>127.55614401332593</v>
      </c>
      <c r="DB20" s="1306">
        <v>150.24731762993397</v>
      </c>
      <c r="DC20" s="1306">
        <v>149.21563795648655</v>
      </c>
      <c r="DD20" s="1306">
        <v>109.49377381457185</v>
      </c>
      <c r="DE20" s="1306">
        <v>131.02285879567236</v>
      </c>
      <c r="DF20" s="1306">
        <v>137.920286166171</v>
      </c>
      <c r="DG20" s="1306">
        <v>123.71731676487123</v>
      </c>
      <c r="DH20" s="1306">
        <v>141.23499849139128</v>
      </c>
      <c r="DI20" s="1306">
        <v>144.79439857231858</v>
      </c>
      <c r="DJ20" s="1306">
        <v>146.29832910320286</v>
      </c>
      <c r="DK20" s="1306">
        <v>180.30957611054268</v>
      </c>
      <c r="DL20" s="1306">
        <v>174.30577406318693</v>
      </c>
      <c r="DM20" s="1307">
        <v>151.81314619411089</v>
      </c>
      <c r="DN20" s="1265">
        <f t="shared" si="9"/>
        <v>145.03111780520501</v>
      </c>
      <c r="DO20" s="1306">
        <v>154.46897029613282</v>
      </c>
      <c r="DP20" s="1306">
        <v>128.53784821479223</v>
      </c>
      <c r="DQ20" s="1306">
        <v>129.71034527959304</v>
      </c>
      <c r="DR20" s="1306">
        <v>115.90710066735296</v>
      </c>
      <c r="DS20" s="1306">
        <v>131.23520636958503</v>
      </c>
      <c r="DT20" s="1306">
        <v>112.96230727514603</v>
      </c>
      <c r="DU20" s="1306">
        <v>119.06251812407132</v>
      </c>
      <c r="DV20" s="1306">
        <v>111.48630852919013</v>
      </c>
      <c r="DW20" s="1306">
        <v>144.1593725126526</v>
      </c>
      <c r="DX20" s="1306">
        <v>139.03967218667529</v>
      </c>
      <c r="DY20" s="1306">
        <v>146.61238432137273</v>
      </c>
      <c r="DZ20" s="1307">
        <v>148.01272329570378</v>
      </c>
      <c r="EA20" s="1265">
        <f t="shared" si="10"/>
        <v>131.76622975602234</v>
      </c>
      <c r="EB20" s="1306">
        <v>123.09513110691033</v>
      </c>
      <c r="EC20" s="1306">
        <v>110.11664045800839</v>
      </c>
      <c r="ED20" s="1306">
        <v>123.6716539866662</v>
      </c>
      <c r="EE20" s="1306">
        <v>112.12315682073177</v>
      </c>
      <c r="EF20" s="1306">
        <v>123.16794519326814</v>
      </c>
      <c r="EG20" s="1306">
        <v>127.11644025059776</v>
      </c>
      <c r="EH20" s="1306">
        <v>129.47678763302983</v>
      </c>
      <c r="EI20" s="1306">
        <v>128.74381823240674</v>
      </c>
      <c r="EJ20" s="1306">
        <v>134.48266880977681</v>
      </c>
      <c r="EK20" s="1306">
        <v>113.29430699946138</v>
      </c>
      <c r="EL20" s="1306">
        <v>154.87847367493805</v>
      </c>
      <c r="EM20" s="1307">
        <v>131.54700638403486</v>
      </c>
      <c r="EN20" s="1265">
        <f t="shared" si="11"/>
        <v>125.97616912915252</v>
      </c>
      <c r="EO20" s="1306">
        <v>165.19866705043862</v>
      </c>
      <c r="EP20" s="1306">
        <v>141.93444888521452</v>
      </c>
      <c r="EQ20" s="1306">
        <v>134.62211362660764</v>
      </c>
      <c r="ER20" s="1306">
        <v>126.92735982427833</v>
      </c>
      <c r="ES20" s="1306">
        <v>123.67304763212698</v>
      </c>
      <c r="ET20" s="1306">
        <v>115.8616369084488</v>
      </c>
      <c r="EU20" s="1306">
        <v>125.1581438927392</v>
      </c>
      <c r="EV20" s="1306">
        <v>148.60223536043802</v>
      </c>
      <c r="EW20" s="1306">
        <v>109.25048777365295</v>
      </c>
      <c r="EX20" s="1306">
        <v>135.06605676939344</v>
      </c>
      <c r="EY20" s="1306">
        <v>132.11468800467273</v>
      </c>
      <c r="EZ20" s="1307">
        <v>139.24746396106826</v>
      </c>
      <c r="FA20" s="1265">
        <f t="shared" si="12"/>
        <v>133.13802914075663</v>
      </c>
      <c r="FB20" s="1306">
        <v>142.2508434011238</v>
      </c>
      <c r="FC20" s="1306">
        <v>152.3252299357579</v>
      </c>
      <c r="FD20" s="1306">
        <v>167.76206916281899</v>
      </c>
      <c r="FE20" s="1306">
        <v>155.0805384349359</v>
      </c>
      <c r="FF20" s="1306">
        <v>153.99645050374303</v>
      </c>
      <c r="FG20" s="1306">
        <v>144.02340732488526</v>
      </c>
      <c r="FH20" s="1306">
        <v>170.65791947620832</v>
      </c>
      <c r="FI20" s="1306">
        <v>170.08434752691696</v>
      </c>
      <c r="FJ20" s="1306">
        <v>186.26862799512722</v>
      </c>
      <c r="FK20" s="1306">
        <v>158.81169300258566</v>
      </c>
      <c r="FL20" s="1306">
        <v>127.57208856834421</v>
      </c>
      <c r="FM20" s="1307">
        <v>126.70518460638338</v>
      </c>
      <c r="FN20" s="1265">
        <f t="shared" si="13"/>
        <v>154.62819999490253</v>
      </c>
      <c r="FO20" s="1306">
        <v>128.68916077789729</v>
      </c>
      <c r="FP20" s="1306">
        <v>120.17159736889847</v>
      </c>
      <c r="FQ20" s="1306">
        <v>124.71124215480246</v>
      </c>
      <c r="FR20" s="1306">
        <v>126.79673893440081</v>
      </c>
      <c r="FS20" s="1306">
        <v>129.01047020151219</v>
      </c>
      <c r="FT20" s="1306">
        <v>110.02280198707521</v>
      </c>
      <c r="FU20" s="1306">
        <v>126.94050874417999</v>
      </c>
      <c r="FV20" s="1306">
        <v>152.73641945921923</v>
      </c>
      <c r="FW20" s="1306">
        <v>131.83714713967171</v>
      </c>
      <c r="FX20" s="1306">
        <v>134.29104556711101</v>
      </c>
      <c r="FY20" s="1306">
        <v>132.92517468926661</v>
      </c>
      <c r="FZ20" s="1307">
        <v>137.28179744966573</v>
      </c>
      <c r="GA20" s="1265">
        <f t="shared" si="14"/>
        <v>129.61784203947505</v>
      </c>
      <c r="GB20" s="1306">
        <v>133.38486635245022</v>
      </c>
      <c r="GC20" s="1306">
        <v>111.89336976753482</v>
      </c>
      <c r="GD20" s="1306">
        <v>127.38676781615264</v>
      </c>
      <c r="GE20" s="1306">
        <v>115.65057156201746</v>
      </c>
      <c r="GF20" s="1306">
        <v>148.75594423253557</v>
      </c>
      <c r="GG20" s="1306">
        <v>145.10545501902374</v>
      </c>
      <c r="GH20" s="1306">
        <v>151.73308058971668</v>
      </c>
      <c r="GI20" s="1306">
        <v>125.24633684862621</v>
      </c>
      <c r="GJ20" s="1306">
        <v>114.87840929127522</v>
      </c>
      <c r="GK20" s="1306">
        <v>155.72506913337944</v>
      </c>
      <c r="GL20" s="1306">
        <v>160.09503321060467</v>
      </c>
      <c r="GM20" s="1307">
        <v>141.28472284760184</v>
      </c>
      <c r="GN20" s="1265">
        <f t="shared" si="15"/>
        <v>135.92830222257655</v>
      </c>
      <c r="GO20" s="1306">
        <v>135.23198677756966</v>
      </c>
      <c r="GP20" s="1306">
        <v>149.32272706558666</v>
      </c>
      <c r="GQ20" s="1306">
        <v>112.26710921123423</v>
      </c>
      <c r="GR20" s="1306">
        <v>122.83298243340026</v>
      </c>
      <c r="GS20" s="1306">
        <v>136.66956238943769</v>
      </c>
      <c r="GT20" s="1306">
        <v>150.18786210906873</v>
      </c>
      <c r="GU20" s="1306">
        <v>165.69583240434571</v>
      </c>
      <c r="GV20" s="1306">
        <v>178.62956427407877</v>
      </c>
      <c r="GW20" s="1306">
        <v>180.28143358480818</v>
      </c>
      <c r="GX20" s="1306">
        <v>196.31476531277534</v>
      </c>
      <c r="GY20" s="1306">
        <v>181.66450137777537</v>
      </c>
      <c r="GZ20" s="1307">
        <v>162.08896579309808</v>
      </c>
      <c r="HA20" s="1265">
        <f t="shared" si="16"/>
        <v>155.93227439443157</v>
      </c>
      <c r="HB20" s="1306">
        <v>171.60315923117696</v>
      </c>
      <c r="HC20" s="1306">
        <v>178.41681835983005</v>
      </c>
      <c r="HD20" s="1306">
        <v>173.27030217864882</v>
      </c>
      <c r="HE20" s="1306">
        <v>166.29263718123704</v>
      </c>
      <c r="HF20" s="1306">
        <v>175.81118800314638</v>
      </c>
      <c r="HG20" s="1306">
        <v>192.55001035953563</v>
      </c>
      <c r="HH20" s="1306">
        <v>192.08680671869053</v>
      </c>
      <c r="HI20" s="1306">
        <v>174.81818797186983</v>
      </c>
      <c r="HJ20" s="1306">
        <v>190.26954037409118</v>
      </c>
      <c r="HK20" s="1306">
        <v>188.21958805311772</v>
      </c>
      <c r="HL20" s="1306">
        <v>178.10451822423053</v>
      </c>
      <c r="HM20" s="1307">
        <v>172.05700193353547</v>
      </c>
      <c r="HN20" s="1265">
        <f t="shared" si="17"/>
        <v>179.45831321575918</v>
      </c>
      <c r="HO20" s="1306">
        <v>175.87535678555568</v>
      </c>
      <c r="HP20" s="1306">
        <v>166.37278415272993</v>
      </c>
      <c r="HQ20" s="1306">
        <v>180.68389313722682</v>
      </c>
      <c r="HR20" s="1306">
        <v>177.30578330318264</v>
      </c>
      <c r="HS20" s="1306">
        <v>159.43869836406662</v>
      </c>
      <c r="HT20" s="1306">
        <v>164.86429696654452</v>
      </c>
      <c r="HU20" s="1306">
        <v>174.37573414237986</v>
      </c>
      <c r="HV20" s="1306">
        <v>163.23755401653119</v>
      </c>
      <c r="HW20" s="1306">
        <v>173.16326120204675</v>
      </c>
      <c r="HX20" s="1306">
        <v>178.74447800670305</v>
      </c>
      <c r="HY20" s="1306">
        <v>185.4603704729364</v>
      </c>
      <c r="HZ20" s="1307">
        <v>180.15960048260993</v>
      </c>
      <c r="IA20" s="1265">
        <f t="shared" si="18"/>
        <v>173.3068175860428</v>
      </c>
      <c r="IB20" s="1306">
        <v>168.56372688520202</v>
      </c>
      <c r="IC20" s="1306">
        <v>170.90454749574602</v>
      </c>
      <c r="ID20" s="1306">
        <v>151.18018564706253</v>
      </c>
      <c r="IE20" s="1306">
        <v>120.06347096299442</v>
      </c>
      <c r="IF20" s="1306">
        <v>132.42828046657596</v>
      </c>
      <c r="IG20" s="1306">
        <v>167.06453188915629</v>
      </c>
      <c r="IH20" s="1306">
        <v>163.07537810003615</v>
      </c>
      <c r="II20" s="1306">
        <v>168.45193891566038</v>
      </c>
      <c r="IJ20" s="1306">
        <v>171.74392639010404</v>
      </c>
      <c r="IK20" s="1306">
        <v>160.5915511391774</v>
      </c>
      <c r="IL20" s="1306">
        <v>151.18586003953689</v>
      </c>
      <c r="IM20" s="1307">
        <v>167.953218645546</v>
      </c>
      <c r="IN20" s="1265">
        <f t="shared" si="19"/>
        <v>157.76721804806652</v>
      </c>
      <c r="IO20" s="1306">
        <v>182.9646074665593</v>
      </c>
      <c r="IP20" s="1306">
        <v>159.87181737308913</v>
      </c>
      <c r="IQ20" s="1306">
        <v>145.82331427341006</v>
      </c>
      <c r="IR20" s="1306">
        <v>109.71618718275772</v>
      </c>
      <c r="IS20" s="1306">
        <v>140.4656013387258</v>
      </c>
      <c r="IT20" s="1306">
        <v>158.59027330501755</v>
      </c>
      <c r="IU20" s="1306">
        <v>176.13699852340446</v>
      </c>
      <c r="IV20" s="1306">
        <v>180.96969384633508</v>
      </c>
      <c r="IW20" s="1306">
        <v>191.57376255260863</v>
      </c>
      <c r="IX20" s="1306">
        <v>220.93743176222767</v>
      </c>
      <c r="IY20" s="1306">
        <v>194.38074095880989</v>
      </c>
      <c r="IZ20" s="1307">
        <v>173.52263909652666</v>
      </c>
      <c r="JA20" s="1265">
        <f t="shared" si="20"/>
        <v>169.57942230662266</v>
      </c>
      <c r="JB20" s="1306">
        <v>175.68166082430304</v>
      </c>
      <c r="JC20" s="1306">
        <v>143.23645862522312</v>
      </c>
      <c r="JD20" s="1306">
        <v>154.76356644013347</v>
      </c>
      <c r="JE20" s="1306">
        <v>156.10995747040457</v>
      </c>
      <c r="JF20" s="1306">
        <v>163.40416460789058</v>
      </c>
      <c r="JG20" s="1306">
        <v>162.37314067225756</v>
      </c>
      <c r="JH20" s="1306">
        <v>169.66148645421617</v>
      </c>
      <c r="JI20" s="1306">
        <v>174.9580487261259</v>
      </c>
      <c r="JJ20" s="1306">
        <v>184.98198481693956</v>
      </c>
      <c r="JK20" s="1306">
        <v>189.11152045060632</v>
      </c>
      <c r="JL20" s="1306">
        <v>233.95445632748709</v>
      </c>
      <c r="JM20" s="1307">
        <v>234.42618841467811</v>
      </c>
      <c r="JN20" s="1265">
        <f>IFERROR(AVERAGE(JB20:JM20),)</f>
        <v>178.55521948585547</v>
      </c>
      <c r="JO20" s="1306">
        <v>167.34981769989599</v>
      </c>
      <c r="JP20" s="1306">
        <v>164.01661652957674</v>
      </c>
      <c r="JQ20" s="1306">
        <v>188.37275404766157</v>
      </c>
      <c r="JR20" s="1306">
        <v>190.51484066784869</v>
      </c>
      <c r="JS20" s="1306">
        <v>183.77467196090385</v>
      </c>
      <c r="JT20" s="1306">
        <v>190.3156668367686</v>
      </c>
      <c r="JU20" s="1306">
        <v>201.51947203772428</v>
      </c>
      <c r="JV20" s="1306">
        <v>214.39957476467814</v>
      </c>
      <c r="JW20" s="1306"/>
      <c r="JX20" s="1306"/>
      <c r="JY20" s="1306"/>
      <c r="JZ20" s="1307"/>
      <c r="KA20" s="1265">
        <f t="shared" ref="KA20" si="26">IFERROR(AVERAGE(JO20:JZ20),)</f>
        <v>187.53292681813221</v>
      </c>
      <c r="KB20" s="72"/>
      <c r="KC20" s="1302" cm="1">
        <f t="array" ref="KC20">IFERROR(((
_xlfn.XLOOKUP((DATE(YEAR($KC$5),MONTH($KC$5),1)),SMN.MANUFACTURA.DATE,$B20:$KA20) /
_xlfn.XLOOKUP((DATE(YEAR($KC$5)-1,MONTH($KC$5),1)),SMN.MANUFACTURA.DATE,$B20:$KA20)
)-1)*100,"")</f>
        <v>22.543419022861212</v>
      </c>
      <c r="KD20" s="1303">
        <f>IFERROR(((KF20/KE20)-1)*100,"")</f>
        <v>15.388148196528428</v>
      </c>
      <c r="KE20" s="1304" cm="1">
        <f t="array" ref="KE20">SUMIFS($B20:$KA20,SMN.MANUFACTURA.DATE,"&gt;="&amp;DATE(YEAR($KC$5)-1,1,1),SMN.MANUFACTURA.DATE,"&lt;="&amp;DATE(YEAR($KC$5)-1,MONTH($KC$5),1))</f>
        <v>1300.1884838205547</v>
      </c>
      <c r="KF20" s="1305" cm="1">
        <f t="array" ref="KF20">SUMIFS($B20:$KA20,SMN.MANUFACTURA.DATE,"&gt;="&amp;DATE(YEAR($KC$5),1,1),SMN.MANUFACTURA.DATE,"&lt;="&amp;$KC$5)</f>
        <v>1500.2634145450577</v>
      </c>
    </row>
    <row r="21" spans="1:292" ht="15" customHeight="1" x14ac:dyDescent="0.2">
      <c r="A21" s="118" t="s">
        <v>248</v>
      </c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  <c r="BA21" s="124"/>
      <c r="BB21" s="124"/>
      <c r="BC21" s="124"/>
      <c r="BD21" s="124"/>
      <c r="BE21" s="124"/>
      <c r="BF21" s="124"/>
      <c r="BG21" s="124"/>
      <c r="BH21" s="124"/>
      <c r="BI21" s="124"/>
      <c r="BJ21" s="124"/>
      <c r="BK21" s="124"/>
      <c r="BL21" s="124"/>
      <c r="BM21" s="124"/>
      <c r="BN21" s="124"/>
      <c r="BO21" s="124"/>
      <c r="BP21" s="124"/>
      <c r="BQ21" s="124"/>
      <c r="BR21" s="124"/>
      <c r="BS21" s="124"/>
      <c r="BT21" s="124"/>
      <c r="BU21" s="124"/>
      <c r="BV21" s="124"/>
      <c r="BW21" s="124"/>
      <c r="BX21" s="124"/>
      <c r="BY21" s="124"/>
      <c r="BZ21" s="124"/>
      <c r="CA21" s="124"/>
      <c r="CB21" s="124"/>
      <c r="CC21" s="124"/>
      <c r="CD21" s="124"/>
      <c r="CE21" s="124"/>
      <c r="CF21" s="124"/>
      <c r="CG21" s="124"/>
      <c r="CH21" s="124"/>
      <c r="CI21" s="124"/>
      <c r="CJ21" s="124"/>
      <c r="CK21" s="124"/>
      <c r="CL21" s="124"/>
      <c r="CM21" s="124"/>
      <c r="CN21" s="124"/>
      <c r="CO21" s="124"/>
      <c r="CP21" s="124"/>
      <c r="CQ21" s="124"/>
      <c r="CR21" s="124"/>
      <c r="CS21" s="124"/>
      <c r="CT21" s="124"/>
      <c r="CU21" s="124"/>
      <c r="CV21" s="124"/>
      <c r="CW21" s="124"/>
      <c r="CX21" s="124"/>
      <c r="CY21" s="124"/>
      <c r="CZ21" s="124"/>
      <c r="DA21" s="124"/>
      <c r="DB21" s="124"/>
      <c r="DC21" s="124"/>
      <c r="DD21" s="124"/>
      <c r="DE21" s="124"/>
      <c r="DF21" s="124"/>
      <c r="DG21" s="124"/>
      <c r="DH21" s="124"/>
      <c r="DI21" s="124"/>
      <c r="DJ21" s="124"/>
      <c r="DK21" s="124"/>
      <c r="DL21" s="124"/>
      <c r="DM21" s="124"/>
      <c r="DN21" s="124"/>
      <c r="DO21" s="124"/>
      <c r="DP21" s="124"/>
      <c r="DQ21" s="124"/>
      <c r="DR21" s="124"/>
      <c r="DS21" s="124"/>
      <c r="DT21" s="124"/>
      <c r="DU21" s="124"/>
      <c r="DV21" s="124"/>
      <c r="DW21" s="124"/>
      <c r="DX21" s="124"/>
      <c r="DY21" s="124"/>
      <c r="DZ21" s="124"/>
      <c r="EA21" s="124"/>
      <c r="EB21" s="124"/>
      <c r="EC21" s="124"/>
      <c r="ED21" s="124"/>
      <c r="EE21" s="124"/>
      <c r="EF21" s="124"/>
      <c r="EG21" s="124"/>
      <c r="EH21" s="124"/>
      <c r="EI21" s="124"/>
      <c r="EJ21" s="124"/>
      <c r="EK21" s="124"/>
      <c r="EL21" s="124"/>
      <c r="EM21" s="124"/>
      <c r="EN21" s="124"/>
      <c r="EO21" s="124"/>
      <c r="EP21" s="124"/>
      <c r="EQ21" s="124"/>
      <c r="ER21" s="124"/>
      <c r="ES21" s="124"/>
      <c r="ET21" s="124"/>
      <c r="EU21" s="124"/>
      <c r="EV21" s="124"/>
      <c r="EW21" s="124"/>
      <c r="EX21" s="124"/>
      <c r="EY21" s="124"/>
      <c r="EZ21" s="124"/>
      <c r="FA21" s="124"/>
      <c r="FB21" s="124"/>
      <c r="FC21" s="124"/>
      <c r="FD21" s="124"/>
      <c r="FE21" s="124"/>
      <c r="FF21" s="124"/>
      <c r="FG21" s="124"/>
      <c r="FH21" s="124"/>
      <c r="FI21" s="124"/>
      <c r="FJ21" s="124"/>
      <c r="FK21" s="124"/>
      <c r="FL21" s="124"/>
      <c r="FM21" s="124"/>
      <c r="FN21" s="124"/>
      <c r="FO21" s="124"/>
      <c r="FP21" s="124"/>
      <c r="FQ21" s="124"/>
      <c r="FR21" s="124"/>
      <c r="FS21" s="124"/>
      <c r="FT21" s="124"/>
      <c r="FU21" s="124"/>
      <c r="FV21" s="124"/>
      <c r="FW21" s="124"/>
      <c r="FX21" s="124"/>
      <c r="FY21" s="124"/>
      <c r="FZ21" s="124"/>
      <c r="GA21" s="124"/>
      <c r="GB21" s="124"/>
      <c r="GC21" s="124"/>
      <c r="GD21" s="124"/>
      <c r="GE21" s="124"/>
      <c r="GF21" s="124"/>
      <c r="GG21" s="124"/>
      <c r="GH21" s="124"/>
      <c r="GI21" s="124"/>
      <c r="GJ21" s="124"/>
      <c r="GK21" s="124"/>
      <c r="GL21" s="124"/>
      <c r="GM21" s="124"/>
      <c r="GN21" s="124"/>
      <c r="GO21" s="124"/>
      <c r="GP21" s="124"/>
      <c r="GQ21" s="124"/>
      <c r="GR21" s="124"/>
      <c r="GS21" s="124"/>
      <c r="GT21" s="124"/>
      <c r="GU21" s="124"/>
      <c r="GV21" s="124"/>
      <c r="GW21" s="124"/>
      <c r="GX21" s="124"/>
      <c r="GY21" s="124"/>
      <c r="GZ21" s="124"/>
      <c r="HA21" s="124"/>
      <c r="HB21" s="124"/>
      <c r="HC21" s="124"/>
      <c r="HD21" s="124"/>
      <c r="HE21" s="124"/>
      <c r="HF21" s="124"/>
      <c r="HG21" s="124"/>
      <c r="HH21" s="124"/>
      <c r="HI21" s="124"/>
      <c r="HJ21" s="124"/>
      <c r="HK21" s="124"/>
      <c r="HL21" s="124"/>
      <c r="HM21" s="124"/>
      <c r="HN21" s="124"/>
      <c r="HO21" s="124"/>
      <c r="HP21" s="124"/>
      <c r="HQ21" s="124"/>
      <c r="HR21" s="124"/>
      <c r="HS21" s="124"/>
      <c r="HT21" s="124"/>
      <c r="HU21" s="124"/>
      <c r="HV21" s="124"/>
      <c r="HW21" s="124"/>
      <c r="HX21" s="124"/>
      <c r="HY21" s="124"/>
      <c r="HZ21" s="124"/>
      <c r="IA21" s="124"/>
      <c r="IB21" s="124"/>
      <c r="IC21" s="124"/>
      <c r="ID21" s="124"/>
      <c r="IE21" s="124"/>
      <c r="IF21" s="124"/>
      <c r="IG21" s="124"/>
      <c r="IH21" s="124"/>
      <c r="II21" s="124"/>
      <c r="IJ21" s="124"/>
      <c r="IK21" s="124"/>
      <c r="IL21" s="124"/>
      <c r="IM21" s="124"/>
      <c r="IN21" s="124"/>
      <c r="IO21" s="124"/>
      <c r="IP21" s="124"/>
      <c r="IQ21" s="124"/>
      <c r="IR21" s="124"/>
      <c r="IS21" s="124"/>
      <c r="IT21" s="124"/>
      <c r="IU21" s="124"/>
      <c r="IV21" s="124"/>
      <c r="IW21" s="124"/>
      <c r="IX21" s="124"/>
      <c r="IY21" s="124"/>
      <c r="IZ21" s="124"/>
      <c r="JA21" s="124"/>
      <c r="JB21" s="124"/>
      <c r="JC21" s="124"/>
      <c r="JD21" s="124"/>
      <c r="JE21" s="124"/>
      <c r="JF21" s="124"/>
      <c r="JG21" s="124"/>
      <c r="JH21" s="124"/>
      <c r="JI21" s="124"/>
      <c r="JJ21" s="124"/>
      <c r="JK21" s="124"/>
      <c r="JL21" s="124"/>
      <c r="JM21" s="124"/>
      <c r="JN21" s="124"/>
      <c r="JO21" s="124"/>
      <c r="JP21" s="124"/>
      <c r="JQ21" s="124"/>
      <c r="JR21" s="124"/>
      <c r="JS21" s="124"/>
      <c r="JT21" s="124"/>
      <c r="JU21" s="124"/>
      <c r="JV21" s="124"/>
      <c r="JW21" s="124"/>
      <c r="JX21" s="124"/>
      <c r="JY21" s="124"/>
      <c r="JZ21" s="124"/>
      <c r="KA21" s="124"/>
      <c r="KC21" s="125"/>
      <c r="KD21" s="125"/>
      <c r="KE21" s="125"/>
      <c r="KF21" s="125"/>
    </row>
    <row r="22" spans="1:292" ht="15" customHeight="1" x14ac:dyDescent="0.2">
      <c r="A22" s="1476" t="s">
        <v>612</v>
      </c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118"/>
      <c r="BS22" s="118"/>
      <c r="BT22" s="118"/>
      <c r="BU22" s="118"/>
      <c r="BV22" s="118"/>
      <c r="BW22" s="118"/>
      <c r="BX22" s="118"/>
      <c r="BY22" s="118"/>
      <c r="BZ22" s="118"/>
      <c r="CA22" s="118"/>
      <c r="CB22" s="118"/>
      <c r="CC22" s="118"/>
      <c r="CD22" s="118"/>
      <c r="CE22" s="118"/>
      <c r="CF22" s="118"/>
      <c r="CG22" s="118"/>
      <c r="CH22" s="118"/>
      <c r="CI22" s="118"/>
      <c r="CJ22" s="118"/>
      <c r="CK22" s="118"/>
      <c r="CL22" s="118"/>
      <c r="CM22" s="118"/>
      <c r="CN22" s="118"/>
      <c r="CO22" s="118"/>
      <c r="CP22" s="118"/>
      <c r="CQ22" s="118"/>
      <c r="CR22" s="118"/>
      <c r="CS22" s="118"/>
      <c r="CT22" s="118"/>
      <c r="CU22" s="118"/>
      <c r="CV22" s="118"/>
      <c r="CW22" s="118"/>
      <c r="CX22" s="118"/>
      <c r="CY22" s="118"/>
      <c r="CZ22" s="118"/>
      <c r="DA22" s="118"/>
      <c r="DB22" s="118"/>
      <c r="DC22" s="118"/>
      <c r="DD22" s="118"/>
      <c r="DE22" s="118"/>
      <c r="DF22" s="118"/>
      <c r="DG22" s="118"/>
      <c r="DH22" s="118"/>
      <c r="DI22" s="118"/>
      <c r="DJ22" s="118"/>
      <c r="DK22" s="118"/>
      <c r="DL22" s="118"/>
      <c r="DM22" s="118"/>
      <c r="DN22" s="118"/>
      <c r="DO22" s="118"/>
      <c r="DP22" s="118"/>
      <c r="DQ22" s="118"/>
      <c r="DR22" s="118"/>
      <c r="DS22" s="118"/>
      <c r="DT22" s="118"/>
      <c r="DU22" s="118"/>
      <c r="DV22" s="118"/>
      <c r="DW22" s="118"/>
      <c r="DX22" s="118"/>
      <c r="DY22" s="118"/>
      <c r="DZ22" s="118"/>
      <c r="EA22" s="118"/>
      <c r="EB22" s="118"/>
      <c r="EC22" s="118"/>
      <c r="ED22" s="118"/>
      <c r="EE22" s="118"/>
      <c r="EF22" s="118"/>
      <c r="EG22" s="118"/>
      <c r="EH22" s="118"/>
      <c r="EI22" s="118"/>
      <c r="EJ22" s="118"/>
      <c r="EK22" s="118"/>
      <c r="EL22" s="118"/>
      <c r="EM22" s="118"/>
      <c r="EN22" s="118"/>
      <c r="EO22" s="118"/>
      <c r="EP22" s="118"/>
      <c r="EQ22" s="118"/>
      <c r="ER22" s="118"/>
      <c r="ES22" s="118"/>
      <c r="ET22" s="118"/>
      <c r="EU22" s="118"/>
      <c r="EV22" s="118"/>
      <c r="EW22" s="118"/>
      <c r="EX22" s="118"/>
      <c r="EY22" s="118"/>
      <c r="EZ22" s="118"/>
      <c r="FA22" s="118"/>
      <c r="FB22" s="118"/>
      <c r="FC22" s="118"/>
      <c r="FD22" s="118"/>
      <c r="FE22" s="118"/>
      <c r="FF22" s="118"/>
      <c r="FG22" s="118"/>
      <c r="FH22" s="118"/>
      <c r="FI22" s="118"/>
      <c r="FJ22" s="118"/>
      <c r="FK22" s="118"/>
      <c r="FL22" s="118"/>
      <c r="FM22" s="118"/>
      <c r="FN22" s="118"/>
      <c r="FO22" s="118"/>
      <c r="FP22" s="118"/>
      <c r="FQ22" s="118"/>
      <c r="FR22" s="118"/>
      <c r="FS22" s="118"/>
      <c r="FT22" s="118"/>
      <c r="FU22" s="118"/>
      <c r="FV22" s="118"/>
      <c r="FW22" s="118"/>
      <c r="FX22" s="118"/>
      <c r="FY22" s="118"/>
      <c r="FZ22" s="118"/>
      <c r="GA22" s="118"/>
      <c r="GB22" s="118"/>
      <c r="GC22" s="118"/>
      <c r="GD22" s="118"/>
      <c r="GE22" s="118"/>
      <c r="GF22" s="118"/>
      <c r="GG22" s="118"/>
      <c r="GH22" s="118"/>
      <c r="GI22" s="118"/>
      <c r="GJ22" s="118"/>
      <c r="GK22" s="118"/>
      <c r="GL22" s="118"/>
      <c r="GM22" s="118"/>
      <c r="GN22" s="118"/>
      <c r="GO22" s="118"/>
      <c r="GP22" s="118"/>
      <c r="GQ22" s="118"/>
      <c r="GR22" s="118"/>
      <c r="GS22" s="118"/>
      <c r="GT22" s="118"/>
      <c r="GU22" s="118"/>
      <c r="GV22" s="118"/>
      <c r="GW22" s="118"/>
      <c r="GX22" s="118"/>
      <c r="GY22" s="118"/>
      <c r="GZ22" s="118"/>
      <c r="HA22" s="118"/>
      <c r="HB22" s="118"/>
      <c r="HC22" s="118"/>
      <c r="HD22" s="118"/>
      <c r="HE22" s="118"/>
      <c r="HF22" s="118"/>
      <c r="HG22" s="118"/>
      <c r="HH22" s="118"/>
      <c r="HI22" s="118"/>
      <c r="HJ22" s="118"/>
      <c r="HK22" s="118"/>
      <c r="HL22" s="118"/>
      <c r="HM22" s="118"/>
      <c r="HN22" s="118"/>
      <c r="HO22" s="118"/>
      <c r="HP22" s="118"/>
      <c r="HQ22" s="118"/>
      <c r="HR22" s="118"/>
      <c r="HS22" s="118"/>
      <c r="HT22" s="118"/>
      <c r="HU22" s="118"/>
      <c r="HV22" s="118"/>
      <c r="HW22" s="118"/>
      <c r="HX22" s="118"/>
      <c r="HY22" s="118"/>
      <c r="HZ22" s="118"/>
      <c r="IA22" s="118"/>
      <c r="IB22" s="118"/>
      <c r="IC22" s="118"/>
      <c r="ID22" s="118"/>
      <c r="IE22" s="118"/>
      <c r="IF22" s="118"/>
      <c r="IG22" s="118"/>
      <c r="IH22" s="118"/>
      <c r="II22" s="118"/>
      <c r="IJ22" s="118"/>
      <c r="IK22" s="118"/>
      <c r="IL22" s="118"/>
      <c r="IM22" s="118"/>
      <c r="IN22" s="118"/>
      <c r="IO22" s="118"/>
      <c r="IP22" s="118"/>
      <c r="IQ22" s="118"/>
      <c r="IR22" s="118"/>
      <c r="IS22" s="118"/>
      <c r="IT22" s="118"/>
      <c r="IU22" s="118"/>
      <c r="IV22" s="118"/>
      <c r="IW22" s="118"/>
      <c r="IX22" s="118"/>
      <c r="IY22" s="118"/>
      <c r="IZ22" s="118"/>
      <c r="JA22" s="118"/>
      <c r="JB22" s="118"/>
      <c r="JC22" s="118"/>
      <c r="JD22" s="118"/>
      <c r="JE22" s="118"/>
      <c r="JF22" s="118"/>
      <c r="JG22" s="118"/>
      <c r="JH22" s="118"/>
      <c r="JI22" s="118"/>
      <c r="JJ22" s="118"/>
      <c r="JK22" s="118"/>
      <c r="JL22" s="118"/>
      <c r="JM22" s="118"/>
      <c r="JN22" s="118"/>
      <c r="JO22" s="118"/>
      <c r="JP22" s="118"/>
      <c r="JQ22" s="118"/>
      <c r="JR22" s="118"/>
      <c r="JS22" s="118"/>
      <c r="JT22" s="118"/>
      <c r="JU22" s="118"/>
      <c r="JV22" s="118"/>
      <c r="JW22" s="118"/>
      <c r="JX22" s="118"/>
      <c r="JY22" s="118"/>
      <c r="JZ22" s="118"/>
      <c r="KA22" s="118"/>
      <c r="KC22" s="119"/>
      <c r="KD22" s="119"/>
      <c r="KE22" s="119"/>
      <c r="KF22" s="119"/>
    </row>
    <row r="23" spans="1:292" ht="15" customHeight="1" x14ac:dyDescent="0.2">
      <c r="A23" s="62" t="s">
        <v>352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  <c r="DL23" s="62"/>
      <c r="DM23" s="62"/>
      <c r="DN23" s="62"/>
      <c r="DO23" s="62"/>
      <c r="DP23" s="62"/>
      <c r="DQ23" s="62"/>
      <c r="DR23" s="62"/>
      <c r="DS23" s="62"/>
      <c r="DT23" s="62"/>
      <c r="DU23" s="62"/>
      <c r="DV23" s="62"/>
      <c r="DW23" s="62"/>
      <c r="DX23" s="62"/>
      <c r="DY23" s="62"/>
      <c r="DZ23" s="62"/>
      <c r="EA23" s="62"/>
      <c r="EB23" s="62"/>
      <c r="EC23" s="62"/>
      <c r="ED23" s="62"/>
      <c r="EE23" s="62"/>
      <c r="EF23" s="62"/>
      <c r="EG23" s="62"/>
      <c r="EH23" s="62"/>
      <c r="EI23" s="62"/>
      <c r="EJ23" s="62"/>
      <c r="EK23" s="62"/>
      <c r="EL23" s="62"/>
      <c r="EM23" s="62"/>
      <c r="EN23" s="62"/>
      <c r="EO23" s="62"/>
      <c r="EP23" s="62"/>
      <c r="EQ23" s="62"/>
      <c r="ER23" s="62"/>
      <c r="ES23" s="62"/>
      <c r="ET23" s="62"/>
      <c r="EU23" s="62"/>
      <c r="EV23" s="62"/>
      <c r="EW23" s="62"/>
      <c r="EX23" s="62"/>
      <c r="EY23" s="62"/>
      <c r="EZ23" s="62"/>
      <c r="FA23" s="62"/>
      <c r="FB23" s="62"/>
      <c r="FC23" s="62"/>
      <c r="FD23" s="62"/>
      <c r="FE23" s="62"/>
      <c r="FF23" s="62"/>
      <c r="FG23" s="62"/>
      <c r="FH23" s="62"/>
      <c r="FI23" s="62"/>
      <c r="FJ23" s="62"/>
      <c r="FK23" s="62"/>
      <c r="FL23" s="62"/>
      <c r="FM23" s="62"/>
      <c r="FN23" s="62"/>
      <c r="FO23" s="62"/>
      <c r="FP23" s="62"/>
      <c r="FQ23" s="62"/>
      <c r="FR23" s="62"/>
      <c r="FS23" s="62"/>
      <c r="FT23" s="62"/>
      <c r="FU23" s="62"/>
      <c r="FV23" s="62"/>
      <c r="FW23" s="62"/>
      <c r="FX23" s="62"/>
      <c r="FY23" s="62"/>
      <c r="FZ23" s="62"/>
      <c r="GA23" s="62"/>
      <c r="GB23" s="62"/>
      <c r="GC23" s="62"/>
      <c r="GD23" s="62"/>
      <c r="GE23" s="62"/>
      <c r="GF23" s="62"/>
      <c r="GG23" s="62"/>
      <c r="GH23" s="62"/>
      <c r="GI23" s="62"/>
      <c r="GJ23" s="62"/>
      <c r="GK23" s="62"/>
      <c r="GL23" s="62"/>
      <c r="GM23" s="62"/>
      <c r="GN23" s="62"/>
      <c r="GO23" s="62"/>
      <c r="GP23" s="62"/>
      <c r="GQ23" s="62"/>
      <c r="GR23" s="62"/>
      <c r="GS23" s="62"/>
      <c r="GT23" s="62"/>
      <c r="GU23" s="62"/>
      <c r="GV23" s="62"/>
      <c r="GW23" s="62"/>
      <c r="GX23" s="62"/>
      <c r="GY23" s="62"/>
      <c r="GZ23" s="62"/>
      <c r="HA23" s="62"/>
      <c r="HB23" s="62"/>
      <c r="HC23" s="62"/>
      <c r="HD23" s="62"/>
      <c r="HE23" s="62"/>
      <c r="HF23" s="62"/>
      <c r="HG23" s="62"/>
      <c r="HH23" s="62"/>
      <c r="HI23" s="62"/>
      <c r="HJ23" s="62"/>
      <c r="HK23" s="62"/>
      <c r="HL23" s="62"/>
      <c r="HM23" s="62"/>
      <c r="HN23" s="62"/>
      <c r="HO23" s="62"/>
      <c r="HP23" s="62"/>
      <c r="HQ23" s="62"/>
      <c r="HR23" s="62"/>
      <c r="HS23" s="62"/>
      <c r="HT23" s="62"/>
      <c r="HU23" s="62"/>
      <c r="HV23" s="62"/>
      <c r="HW23" s="62"/>
      <c r="HX23" s="62"/>
      <c r="HY23" s="62"/>
      <c r="HZ23" s="62"/>
      <c r="IA23" s="62"/>
      <c r="IB23" s="62"/>
      <c r="IC23" s="62"/>
      <c r="ID23" s="62"/>
      <c r="IE23" s="62"/>
      <c r="IF23" s="62"/>
      <c r="IG23" s="62"/>
      <c r="IH23" s="62"/>
      <c r="II23" s="62"/>
      <c r="IJ23" s="62"/>
      <c r="IK23" s="62"/>
      <c r="IL23" s="62"/>
      <c r="IM23" s="62"/>
      <c r="IN23" s="62"/>
      <c r="IO23" s="62"/>
      <c r="IP23" s="62"/>
      <c r="IQ23" s="62"/>
      <c r="IR23" s="62"/>
      <c r="IS23" s="62"/>
      <c r="IT23" s="62"/>
      <c r="IU23" s="62"/>
      <c r="IV23" s="62"/>
      <c r="IW23" s="62"/>
      <c r="IX23" s="62"/>
      <c r="IY23" s="62"/>
      <c r="IZ23" s="62"/>
      <c r="JA23" s="62"/>
      <c r="JB23" s="62"/>
      <c r="JC23" s="62"/>
      <c r="JD23" s="62"/>
      <c r="JE23" s="62"/>
      <c r="JF23" s="62"/>
      <c r="JG23" s="62"/>
      <c r="JH23" s="62"/>
      <c r="JI23" s="62"/>
      <c r="JJ23" s="62"/>
      <c r="JK23" s="62"/>
      <c r="JL23" s="62"/>
      <c r="JM23" s="62"/>
      <c r="JN23" s="62"/>
      <c r="JO23" s="62"/>
      <c r="JP23" s="62"/>
      <c r="JQ23" s="62"/>
      <c r="JR23" s="62"/>
      <c r="JS23" s="62"/>
      <c r="JT23" s="62"/>
      <c r="JU23" s="62"/>
      <c r="JV23" s="62"/>
      <c r="JW23" s="62"/>
      <c r="JX23" s="62"/>
      <c r="JY23" s="62"/>
      <c r="JZ23" s="62"/>
      <c r="KA23" s="62"/>
      <c r="KC23" s="119"/>
      <c r="KD23" s="62"/>
      <c r="KE23" s="62"/>
      <c r="KF23" s="62"/>
    </row>
    <row r="24" spans="1:292" ht="15" customHeight="1" x14ac:dyDescent="0.25">
      <c r="A24" s="1309" t="s">
        <v>607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  <c r="DI24" s="62"/>
      <c r="DJ24" s="62"/>
      <c r="DK24" s="62"/>
      <c r="DL24" s="62"/>
      <c r="DM24" s="62"/>
      <c r="DN24" s="62"/>
      <c r="DO24" s="62"/>
      <c r="DP24" s="62"/>
      <c r="DQ24" s="62"/>
      <c r="DR24" s="62"/>
      <c r="DS24" s="62"/>
      <c r="DT24" s="62"/>
      <c r="DU24" s="62"/>
      <c r="DV24" s="62"/>
      <c r="DW24" s="62"/>
      <c r="DX24" s="62"/>
      <c r="DY24" s="62"/>
      <c r="DZ24" s="62"/>
      <c r="EA24" s="62"/>
      <c r="EB24" s="62"/>
      <c r="EC24" s="62"/>
      <c r="ED24" s="62"/>
      <c r="EE24" s="62"/>
      <c r="EF24" s="62"/>
      <c r="EG24" s="62"/>
      <c r="EH24" s="62"/>
      <c r="EI24" s="62"/>
      <c r="EJ24" s="62"/>
      <c r="EK24" s="62"/>
      <c r="EL24" s="62"/>
      <c r="EM24" s="62"/>
      <c r="EN24" s="62"/>
      <c r="EO24" s="62"/>
      <c r="EP24" s="62"/>
      <c r="EQ24" s="62"/>
      <c r="ER24" s="62"/>
      <c r="ES24" s="62"/>
      <c r="ET24" s="62"/>
      <c r="EU24" s="62"/>
      <c r="EV24" s="62"/>
      <c r="EW24" s="62"/>
      <c r="EX24" s="62"/>
      <c r="EY24" s="62"/>
      <c r="EZ24" s="62"/>
      <c r="FA24" s="62"/>
      <c r="FB24" s="62"/>
      <c r="FC24" s="62"/>
      <c r="FD24" s="62"/>
      <c r="FE24" s="62"/>
      <c r="FF24" s="62"/>
      <c r="FG24" s="62"/>
      <c r="FH24" s="62"/>
      <c r="FI24" s="62"/>
      <c r="FJ24" s="62"/>
      <c r="FK24" s="62"/>
      <c r="FL24" s="62"/>
      <c r="FM24" s="62"/>
      <c r="FN24" s="62"/>
      <c r="FO24" s="62"/>
      <c r="FP24" s="62"/>
      <c r="FQ24" s="62"/>
      <c r="FR24" s="62"/>
      <c r="FS24" s="62"/>
      <c r="FT24" s="62"/>
      <c r="FU24" s="62"/>
      <c r="FV24" s="62"/>
      <c r="FW24" s="62"/>
      <c r="FX24" s="62"/>
      <c r="FY24" s="62"/>
      <c r="FZ24" s="62"/>
      <c r="GA24" s="62"/>
      <c r="GB24" s="62"/>
      <c r="GC24" s="62"/>
      <c r="GD24" s="62"/>
      <c r="GE24" s="62"/>
      <c r="GF24" s="62"/>
      <c r="GG24" s="62"/>
      <c r="GH24" s="62"/>
      <c r="GI24" s="62"/>
      <c r="GJ24" s="62"/>
      <c r="GK24" s="62"/>
      <c r="GL24" s="62"/>
      <c r="GM24" s="62"/>
      <c r="GN24" s="62"/>
      <c r="GO24" s="62"/>
      <c r="GP24" s="62"/>
      <c r="GQ24" s="62"/>
      <c r="GR24" s="62"/>
      <c r="GS24" s="62"/>
      <c r="GT24" s="62"/>
      <c r="GU24" s="62"/>
      <c r="GV24" s="62"/>
      <c r="GW24" s="62"/>
      <c r="GX24" s="62"/>
      <c r="GY24" s="62"/>
      <c r="GZ24" s="62"/>
      <c r="HA24" s="62"/>
      <c r="HB24" s="62"/>
      <c r="HC24" s="62"/>
      <c r="HD24" s="62"/>
      <c r="HE24" s="62"/>
      <c r="HF24" s="62"/>
      <c r="HG24" s="62"/>
      <c r="HH24" s="62"/>
      <c r="HI24" s="62"/>
      <c r="HJ24" s="62"/>
      <c r="HK24" s="62"/>
      <c r="HL24" s="62"/>
      <c r="HM24" s="62"/>
      <c r="HN24" s="62"/>
      <c r="HO24" s="62"/>
      <c r="HP24" s="62"/>
      <c r="HQ24" s="62"/>
      <c r="HR24" s="62"/>
      <c r="HS24" s="62"/>
      <c r="HT24" s="62"/>
      <c r="HU24" s="62"/>
      <c r="HV24" s="62"/>
      <c r="HW24" s="62"/>
      <c r="HX24" s="62"/>
      <c r="HY24" s="62"/>
      <c r="HZ24" s="62"/>
      <c r="IA24" s="62"/>
      <c r="IB24" s="62"/>
      <c r="IC24" s="62"/>
      <c r="ID24" s="62"/>
      <c r="IE24" s="62"/>
      <c r="IF24" s="62"/>
      <c r="IG24" s="62"/>
      <c r="IH24" s="62"/>
      <c r="II24" s="62"/>
      <c r="IJ24" s="62"/>
      <c r="IK24" s="62"/>
      <c r="IL24" s="62"/>
      <c r="IM24" s="62"/>
      <c r="IN24" s="62"/>
      <c r="IO24" s="62"/>
      <c r="IP24" s="62"/>
      <c r="IQ24" s="62"/>
      <c r="IR24" s="62"/>
      <c r="IS24" s="62"/>
      <c r="IT24" s="62"/>
      <c r="IU24" s="62"/>
      <c r="IV24" s="62"/>
      <c r="IW24" s="62"/>
      <c r="IX24" s="62"/>
      <c r="IY24" s="62"/>
      <c r="IZ24" s="62"/>
      <c r="JA24" s="62"/>
      <c r="JB24" s="62"/>
      <c r="JC24" s="62"/>
      <c r="JD24" s="62"/>
      <c r="JE24" s="62"/>
      <c r="JF24" s="62"/>
      <c r="JG24" s="62"/>
      <c r="JH24" s="62"/>
      <c r="JI24" s="62"/>
      <c r="JJ24" s="62"/>
      <c r="JK24" s="62"/>
      <c r="JL24" s="62"/>
      <c r="JM24" s="62"/>
      <c r="JN24" s="62"/>
      <c r="JO24" s="62"/>
      <c r="JP24" s="62"/>
      <c r="JQ24" s="62"/>
      <c r="JR24" s="62"/>
      <c r="JS24" s="62"/>
      <c r="JT24" s="62"/>
      <c r="JU24" s="62"/>
      <c r="JV24" s="62"/>
      <c r="JW24" s="62"/>
      <c r="JX24" s="62"/>
      <c r="JY24" s="62"/>
      <c r="JZ24" s="62"/>
      <c r="KA24" s="62"/>
      <c r="KC24" s="119"/>
      <c r="KD24" s="62"/>
      <c r="KE24" s="62"/>
      <c r="KF24" s="62"/>
    </row>
    <row r="25" spans="1:292" ht="15" customHeight="1" x14ac:dyDescent="0.2">
      <c r="A25" s="1459" t="s">
        <v>608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62"/>
      <c r="EV25" s="62"/>
      <c r="EW25" s="62"/>
      <c r="EX25" s="62"/>
      <c r="EY25" s="62"/>
      <c r="EZ25" s="62"/>
      <c r="FA25" s="62"/>
      <c r="FB25" s="62"/>
      <c r="FC25" s="62"/>
      <c r="FD25" s="62"/>
      <c r="FE25" s="62"/>
      <c r="FF25" s="62"/>
      <c r="FG25" s="62"/>
      <c r="FH25" s="62"/>
      <c r="FI25" s="62"/>
      <c r="FJ25" s="62"/>
      <c r="FK25" s="62"/>
      <c r="FL25" s="62"/>
      <c r="FM25" s="62"/>
      <c r="FN25" s="62"/>
      <c r="FO25" s="62"/>
      <c r="FP25" s="62"/>
      <c r="FQ25" s="62"/>
      <c r="FR25" s="62"/>
      <c r="FS25" s="62"/>
      <c r="FT25" s="62"/>
      <c r="FU25" s="62"/>
      <c r="FV25" s="62"/>
      <c r="FW25" s="62"/>
      <c r="FX25" s="62"/>
      <c r="FY25" s="62"/>
      <c r="FZ25" s="62"/>
      <c r="GA25" s="62"/>
      <c r="GB25" s="62"/>
      <c r="GC25" s="62"/>
      <c r="GD25" s="62"/>
      <c r="GE25" s="62"/>
      <c r="GF25" s="62"/>
      <c r="GG25" s="62"/>
      <c r="GH25" s="62"/>
      <c r="GI25" s="62"/>
      <c r="GJ25" s="62"/>
      <c r="GK25" s="62"/>
      <c r="GL25" s="62"/>
      <c r="GM25" s="62"/>
      <c r="GN25" s="62"/>
      <c r="GO25" s="62"/>
      <c r="GP25" s="62"/>
      <c r="GQ25" s="62"/>
      <c r="GR25" s="62"/>
      <c r="GS25" s="62"/>
      <c r="GT25" s="62"/>
      <c r="GU25" s="62"/>
      <c r="GV25" s="62"/>
      <c r="GW25" s="62"/>
      <c r="GX25" s="62"/>
      <c r="GY25" s="62"/>
      <c r="GZ25" s="62"/>
      <c r="HA25" s="62"/>
      <c r="HB25" s="62"/>
      <c r="HC25" s="62"/>
      <c r="HD25" s="62"/>
      <c r="HE25" s="62"/>
      <c r="HF25" s="62"/>
      <c r="HG25" s="62"/>
      <c r="HH25" s="62"/>
      <c r="HI25" s="62"/>
      <c r="HJ25" s="62"/>
      <c r="HK25" s="62"/>
      <c r="HL25" s="62"/>
      <c r="HM25" s="62"/>
      <c r="HN25" s="62"/>
      <c r="HO25" s="62"/>
      <c r="HP25" s="62"/>
      <c r="HQ25" s="62"/>
      <c r="HR25" s="62"/>
      <c r="HS25" s="62"/>
      <c r="HT25" s="62"/>
      <c r="HU25" s="62"/>
      <c r="HV25" s="62"/>
      <c r="HW25" s="62"/>
      <c r="HX25" s="62"/>
      <c r="HY25" s="62"/>
      <c r="HZ25" s="62"/>
      <c r="IA25" s="62"/>
      <c r="IB25" s="62"/>
      <c r="IC25" s="62"/>
      <c r="ID25" s="62"/>
      <c r="IE25" s="62"/>
      <c r="IF25" s="62"/>
      <c r="IG25" s="62"/>
      <c r="IH25" s="62"/>
      <c r="II25" s="62"/>
      <c r="IJ25" s="62"/>
      <c r="IK25" s="62"/>
      <c r="IL25" s="62"/>
      <c r="IM25" s="62"/>
      <c r="IN25" s="62"/>
      <c r="IO25" s="62"/>
      <c r="IP25" s="62"/>
      <c r="IQ25" s="62"/>
      <c r="IR25" s="62"/>
      <c r="IS25" s="62"/>
      <c r="IT25" s="62"/>
      <c r="IU25" s="62"/>
      <c r="IV25" s="62"/>
      <c r="IW25" s="62"/>
      <c r="IX25" s="62"/>
      <c r="IY25" s="62"/>
      <c r="IZ25" s="62"/>
      <c r="JA25" s="62"/>
      <c r="JB25" s="62"/>
      <c r="JC25" s="62"/>
      <c r="JD25" s="62"/>
      <c r="JE25" s="62"/>
      <c r="JF25" s="62"/>
      <c r="JG25" s="62"/>
      <c r="JH25" s="62"/>
      <c r="JI25" s="62"/>
      <c r="JJ25" s="62"/>
      <c r="JK25" s="62"/>
      <c r="JL25" s="62"/>
      <c r="JM25" s="62"/>
      <c r="JN25" s="62"/>
      <c r="JO25" s="62"/>
      <c r="JP25" s="62"/>
      <c r="JQ25" s="62"/>
      <c r="JR25" s="62"/>
      <c r="JS25" s="62"/>
      <c r="JT25" s="62"/>
      <c r="JU25" s="62"/>
      <c r="JV25" s="62"/>
      <c r="JW25" s="62"/>
      <c r="JX25" s="62"/>
      <c r="JY25" s="62"/>
      <c r="JZ25" s="62"/>
      <c r="KA25" s="62"/>
      <c r="KC25" s="62"/>
      <c r="KD25" s="62"/>
      <c r="KE25" s="62"/>
      <c r="KF25" s="62"/>
    </row>
    <row r="26" spans="1:292" ht="15" customHeight="1" x14ac:dyDescent="0.2">
      <c r="A26" s="1681" t="s">
        <v>369</v>
      </c>
      <c r="B26" s="1088">
        <v>2005</v>
      </c>
      <c r="C26" s="1088"/>
      <c r="D26" s="1088"/>
      <c r="E26" s="1088"/>
      <c r="F26" s="1088"/>
      <c r="G26" s="1088"/>
      <c r="H26" s="1088"/>
      <c r="I26" s="1088"/>
      <c r="J26" s="1088"/>
      <c r="K26" s="1088"/>
      <c r="L26" s="1088"/>
      <c r="M26" s="1088"/>
      <c r="N26" s="1089" t="s">
        <v>29</v>
      </c>
      <c r="O26" s="1088">
        <v>2006</v>
      </c>
      <c r="P26" s="1088"/>
      <c r="Q26" s="1088"/>
      <c r="R26" s="1088"/>
      <c r="S26" s="1088"/>
      <c r="T26" s="1088"/>
      <c r="U26" s="1088"/>
      <c r="V26" s="1088"/>
      <c r="W26" s="1088"/>
      <c r="X26" s="1088"/>
      <c r="Y26" s="1088"/>
      <c r="Z26" s="1088"/>
      <c r="AA26" s="1089" t="s">
        <v>29</v>
      </c>
      <c r="AB26" s="1088">
        <v>2007</v>
      </c>
      <c r="AC26" s="1088"/>
      <c r="AD26" s="1088"/>
      <c r="AE26" s="1088"/>
      <c r="AF26" s="1088"/>
      <c r="AG26" s="1088"/>
      <c r="AH26" s="1088"/>
      <c r="AI26" s="1088"/>
      <c r="AJ26" s="1088"/>
      <c r="AK26" s="1088"/>
      <c r="AL26" s="1088"/>
      <c r="AM26" s="1088"/>
      <c r="AN26" s="1089" t="s">
        <v>29</v>
      </c>
      <c r="AO26" s="1088">
        <v>2008</v>
      </c>
      <c r="AP26" s="1088"/>
      <c r="AQ26" s="1088"/>
      <c r="AR26" s="1088"/>
      <c r="AS26" s="1088"/>
      <c r="AT26" s="1088"/>
      <c r="AU26" s="1088"/>
      <c r="AV26" s="1088"/>
      <c r="AW26" s="1088"/>
      <c r="AX26" s="1088"/>
      <c r="AY26" s="1088"/>
      <c r="AZ26" s="1088"/>
      <c r="BA26" s="1089" t="s">
        <v>29</v>
      </c>
      <c r="BB26" s="1088">
        <v>2009</v>
      </c>
      <c r="BC26" s="1088"/>
      <c r="BD26" s="1088"/>
      <c r="BE26" s="1088"/>
      <c r="BF26" s="1088"/>
      <c r="BG26" s="1088"/>
      <c r="BH26" s="1088"/>
      <c r="BI26" s="1088"/>
      <c r="BJ26" s="1088"/>
      <c r="BK26" s="1088"/>
      <c r="BL26" s="1088"/>
      <c r="BM26" s="1088"/>
      <c r="BN26" s="1089" t="s">
        <v>29</v>
      </c>
      <c r="BO26" s="1088">
        <v>2010</v>
      </c>
      <c r="BP26" s="1088"/>
      <c r="BQ26" s="1088"/>
      <c r="BR26" s="1088"/>
      <c r="BS26" s="1088"/>
      <c r="BT26" s="1088"/>
      <c r="BU26" s="1088"/>
      <c r="BV26" s="1088"/>
      <c r="BW26" s="1088"/>
      <c r="BX26" s="1088"/>
      <c r="BY26" s="1088"/>
      <c r="BZ26" s="1088"/>
      <c r="CA26" s="1089" t="s">
        <v>29</v>
      </c>
      <c r="CB26" s="1088">
        <v>2011</v>
      </c>
      <c r="CC26" s="1088"/>
      <c r="CD26" s="1088"/>
      <c r="CE26" s="1088"/>
      <c r="CF26" s="1088"/>
      <c r="CG26" s="1088"/>
      <c r="CH26" s="1088"/>
      <c r="CI26" s="1088"/>
      <c r="CJ26" s="1088"/>
      <c r="CK26" s="1088"/>
      <c r="CL26" s="1088"/>
      <c r="CM26" s="1088"/>
      <c r="CN26" s="1089" t="s">
        <v>29</v>
      </c>
      <c r="CO26" s="1088">
        <v>2012</v>
      </c>
      <c r="CP26" s="1088"/>
      <c r="CQ26" s="1088"/>
      <c r="CR26" s="1088"/>
      <c r="CS26" s="1088"/>
      <c r="CT26" s="1088"/>
      <c r="CU26" s="1088"/>
      <c r="CV26" s="1088"/>
      <c r="CW26" s="1088"/>
      <c r="CX26" s="1088"/>
      <c r="CY26" s="1088"/>
      <c r="CZ26" s="1088"/>
      <c r="DA26" s="1089" t="s">
        <v>29</v>
      </c>
      <c r="DB26" s="1088">
        <v>2013</v>
      </c>
      <c r="DC26" s="1088"/>
      <c r="DD26" s="1088"/>
      <c r="DE26" s="1088"/>
      <c r="DF26" s="1088"/>
      <c r="DG26" s="1088"/>
      <c r="DH26" s="1088"/>
      <c r="DI26" s="1088"/>
      <c r="DJ26" s="1088"/>
      <c r="DK26" s="1088"/>
      <c r="DL26" s="1088"/>
      <c r="DM26" s="1088"/>
      <c r="DN26" s="1089" t="s">
        <v>29</v>
      </c>
      <c r="DO26" s="1088">
        <v>2014</v>
      </c>
      <c r="DP26" s="1088"/>
      <c r="DQ26" s="1088"/>
      <c r="DR26" s="1088"/>
      <c r="DS26" s="1088"/>
      <c r="DT26" s="1088"/>
      <c r="DU26" s="1088"/>
      <c r="DV26" s="1088"/>
      <c r="DW26" s="1088"/>
      <c r="DX26" s="1088"/>
      <c r="DY26" s="1088"/>
      <c r="DZ26" s="1088"/>
      <c r="EA26" s="1089" t="s">
        <v>29</v>
      </c>
      <c r="EB26" s="1088">
        <v>2015</v>
      </c>
      <c r="EC26" s="1088"/>
      <c r="ED26" s="1088"/>
      <c r="EE26" s="1088"/>
      <c r="EF26" s="1088"/>
      <c r="EG26" s="1088"/>
      <c r="EH26" s="1088"/>
      <c r="EI26" s="1088"/>
      <c r="EJ26" s="1088"/>
      <c r="EK26" s="1088"/>
      <c r="EL26" s="1088"/>
      <c r="EM26" s="1088"/>
      <c r="EN26" s="1089" t="s">
        <v>29</v>
      </c>
      <c r="EO26" s="1088">
        <v>2016</v>
      </c>
      <c r="EP26" s="1088"/>
      <c r="EQ26" s="1088"/>
      <c r="ER26" s="1088"/>
      <c r="ES26" s="1088"/>
      <c r="ET26" s="1088"/>
      <c r="EU26" s="1088"/>
      <c r="EV26" s="1088"/>
      <c r="EW26" s="1088"/>
      <c r="EX26" s="1088"/>
      <c r="EY26" s="1088"/>
      <c r="EZ26" s="1088"/>
      <c r="FA26" s="1089" t="s">
        <v>29</v>
      </c>
      <c r="FB26" s="1088">
        <v>2017</v>
      </c>
      <c r="FC26" s="1088"/>
      <c r="FD26" s="1088"/>
      <c r="FE26" s="1088"/>
      <c r="FF26" s="1088"/>
      <c r="FG26" s="1088"/>
      <c r="FH26" s="1088"/>
      <c r="FI26" s="1088"/>
      <c r="FJ26" s="1088"/>
      <c r="FK26" s="1088"/>
      <c r="FL26" s="1088"/>
      <c r="FM26" s="1088"/>
      <c r="FN26" s="1089" t="s">
        <v>29</v>
      </c>
      <c r="FO26" s="1088">
        <v>2018</v>
      </c>
      <c r="FP26" s="1088"/>
      <c r="FQ26" s="1088"/>
      <c r="FR26" s="1088"/>
      <c r="FS26" s="1088"/>
      <c r="FT26" s="1088"/>
      <c r="FU26" s="1088"/>
      <c r="FV26" s="1088"/>
      <c r="FW26" s="1088"/>
      <c r="FX26" s="1088"/>
      <c r="FY26" s="1088"/>
      <c r="FZ26" s="1088"/>
      <c r="GA26" s="1089" t="s">
        <v>29</v>
      </c>
      <c r="GB26" s="1088">
        <v>2019</v>
      </c>
      <c r="GC26" s="1088"/>
      <c r="GD26" s="1088"/>
      <c r="GE26" s="1088"/>
      <c r="GF26" s="1088"/>
      <c r="GG26" s="1088"/>
      <c r="GH26" s="1088"/>
      <c r="GI26" s="1088"/>
      <c r="GJ26" s="1088"/>
      <c r="GK26" s="1088"/>
      <c r="GL26" s="1088"/>
      <c r="GM26" s="1088"/>
      <c r="GN26" s="1089" t="s">
        <v>29</v>
      </c>
      <c r="GO26" s="1088">
        <v>2020</v>
      </c>
      <c r="GP26" s="1088"/>
      <c r="GQ26" s="1088"/>
      <c r="GR26" s="1088"/>
      <c r="GS26" s="1088"/>
      <c r="GT26" s="1088"/>
      <c r="GU26" s="1088"/>
      <c r="GV26" s="1088"/>
      <c r="GW26" s="1088"/>
      <c r="GX26" s="1088"/>
      <c r="GY26" s="1088"/>
      <c r="GZ26" s="1088"/>
      <c r="HA26" s="1089" t="s">
        <v>29</v>
      </c>
      <c r="HB26" s="1088">
        <v>2021</v>
      </c>
      <c r="HC26" s="1088"/>
      <c r="HD26" s="1088"/>
      <c r="HE26" s="1088"/>
      <c r="HF26" s="1088"/>
      <c r="HG26" s="1088"/>
      <c r="HH26" s="1088"/>
      <c r="HI26" s="1088"/>
      <c r="HJ26" s="1088"/>
      <c r="HK26" s="1088"/>
      <c r="HL26" s="1088"/>
      <c r="HM26" s="1088"/>
      <c r="HN26" s="1089" t="s">
        <v>29</v>
      </c>
      <c r="HO26" s="1088">
        <v>2022</v>
      </c>
      <c r="HP26" s="1088"/>
      <c r="HQ26" s="1088"/>
      <c r="HR26" s="1088"/>
      <c r="HS26" s="1088"/>
      <c r="HT26" s="1088"/>
      <c r="HU26" s="1088"/>
      <c r="HV26" s="1088"/>
      <c r="HW26" s="1088"/>
      <c r="HX26" s="1088"/>
      <c r="HY26" s="1088"/>
      <c r="HZ26" s="1088"/>
      <c r="IA26" s="1089" t="s">
        <v>29</v>
      </c>
      <c r="IB26" s="1088">
        <v>2023</v>
      </c>
      <c r="IC26" s="1088"/>
      <c r="ID26" s="1088"/>
      <c r="IE26" s="1088"/>
      <c r="IF26" s="1088"/>
      <c r="IG26" s="1088"/>
      <c r="IH26" s="1088"/>
      <c r="II26" s="1088"/>
      <c r="IJ26" s="1088"/>
      <c r="IK26" s="1088"/>
      <c r="IL26" s="1088"/>
      <c r="IM26" s="1088"/>
      <c r="IN26" s="1089" t="s">
        <v>29</v>
      </c>
      <c r="IO26" s="1088">
        <v>2024</v>
      </c>
      <c r="IP26" s="1088"/>
      <c r="IQ26" s="1088"/>
      <c r="IR26" s="1088"/>
      <c r="IS26" s="1088"/>
      <c r="IT26" s="1088"/>
      <c r="IU26" s="1088"/>
      <c r="IV26" s="1088"/>
      <c r="IW26" s="1088"/>
      <c r="IX26" s="1088"/>
      <c r="IY26" s="1088"/>
      <c r="IZ26" s="1088"/>
      <c r="JA26" s="1089" t="s">
        <v>29</v>
      </c>
      <c r="JB26" s="1088">
        <v>2025</v>
      </c>
      <c r="JC26" s="1088"/>
      <c r="JD26" s="1088"/>
      <c r="JE26" s="1088"/>
      <c r="JF26" s="1088"/>
      <c r="JG26" s="1088"/>
      <c r="JH26" s="1088"/>
      <c r="JI26" s="1088"/>
      <c r="JJ26" s="1088"/>
      <c r="JK26" s="1088"/>
      <c r="JL26" s="1088"/>
      <c r="JM26" s="1088"/>
      <c r="JN26" s="1089" t="s">
        <v>29</v>
      </c>
      <c r="JO26" s="1088">
        <v>2026</v>
      </c>
      <c r="JP26" s="1088"/>
      <c r="JQ26" s="1088"/>
      <c r="JR26" s="1088"/>
      <c r="JS26" s="1088"/>
      <c r="JT26" s="1088"/>
      <c r="JU26" s="1088"/>
      <c r="JV26" s="1088"/>
      <c r="JW26" s="1088"/>
      <c r="JX26" s="1088"/>
      <c r="JY26" s="1088"/>
      <c r="JZ26" s="1088"/>
      <c r="KA26" s="1089" t="s">
        <v>29</v>
      </c>
      <c r="KC26" s="62"/>
      <c r="KD26" s="62"/>
      <c r="KE26" s="62"/>
      <c r="KF26" s="62"/>
    </row>
    <row r="27" spans="1:292" ht="15" customHeight="1" x14ac:dyDescent="0.2">
      <c r="A27" s="1682"/>
      <c r="B27" s="1090">
        <v>38353</v>
      </c>
      <c r="C27" s="1090">
        <v>38384</v>
      </c>
      <c r="D27" s="1090">
        <v>38412</v>
      </c>
      <c r="E27" s="1090">
        <v>38443</v>
      </c>
      <c r="F27" s="1090">
        <v>38473</v>
      </c>
      <c r="G27" s="1090">
        <v>38504</v>
      </c>
      <c r="H27" s="1090">
        <v>38534</v>
      </c>
      <c r="I27" s="1090">
        <v>38565</v>
      </c>
      <c r="J27" s="1090">
        <v>38596</v>
      </c>
      <c r="K27" s="1090">
        <v>38626</v>
      </c>
      <c r="L27" s="1090">
        <v>38657</v>
      </c>
      <c r="M27" s="1090">
        <v>38687</v>
      </c>
      <c r="N27" s="1091">
        <f>YEAR(M27)</f>
        <v>2005</v>
      </c>
      <c r="O27" s="1090">
        <v>38718</v>
      </c>
      <c r="P27" s="1090">
        <v>38749</v>
      </c>
      <c r="Q27" s="1090">
        <v>38777</v>
      </c>
      <c r="R27" s="1090">
        <v>38808</v>
      </c>
      <c r="S27" s="1090">
        <v>38838</v>
      </c>
      <c r="T27" s="1090">
        <v>38869</v>
      </c>
      <c r="U27" s="1090">
        <v>38899</v>
      </c>
      <c r="V27" s="1090">
        <v>38930</v>
      </c>
      <c r="W27" s="1090">
        <v>38961</v>
      </c>
      <c r="X27" s="1090">
        <v>38991</v>
      </c>
      <c r="Y27" s="1090">
        <v>39022</v>
      </c>
      <c r="Z27" s="1090">
        <v>39052</v>
      </c>
      <c r="AA27" s="1091">
        <f>YEAR(Z27)</f>
        <v>2006</v>
      </c>
      <c r="AB27" s="1090">
        <v>39083</v>
      </c>
      <c r="AC27" s="1090">
        <v>39114</v>
      </c>
      <c r="AD27" s="1090">
        <v>39142</v>
      </c>
      <c r="AE27" s="1090">
        <v>39173</v>
      </c>
      <c r="AF27" s="1090">
        <v>39203</v>
      </c>
      <c r="AG27" s="1090">
        <v>39234</v>
      </c>
      <c r="AH27" s="1090">
        <v>39264</v>
      </c>
      <c r="AI27" s="1090">
        <v>39295</v>
      </c>
      <c r="AJ27" s="1090">
        <v>39326</v>
      </c>
      <c r="AK27" s="1090">
        <v>39356</v>
      </c>
      <c r="AL27" s="1090">
        <v>39387</v>
      </c>
      <c r="AM27" s="1090">
        <v>39417</v>
      </c>
      <c r="AN27" s="1091">
        <f>YEAR(AM27)</f>
        <v>2007</v>
      </c>
      <c r="AO27" s="1090">
        <v>39448</v>
      </c>
      <c r="AP27" s="1090">
        <v>39479</v>
      </c>
      <c r="AQ27" s="1090">
        <v>39508</v>
      </c>
      <c r="AR27" s="1090">
        <v>39539</v>
      </c>
      <c r="AS27" s="1090">
        <v>39569</v>
      </c>
      <c r="AT27" s="1090">
        <v>39600</v>
      </c>
      <c r="AU27" s="1090">
        <v>39630</v>
      </c>
      <c r="AV27" s="1090">
        <v>39661</v>
      </c>
      <c r="AW27" s="1090">
        <v>39692</v>
      </c>
      <c r="AX27" s="1090">
        <v>39722</v>
      </c>
      <c r="AY27" s="1090">
        <v>39753</v>
      </c>
      <c r="AZ27" s="1090">
        <v>39783</v>
      </c>
      <c r="BA27" s="1091">
        <f>YEAR(AZ27)</f>
        <v>2008</v>
      </c>
      <c r="BB27" s="1090">
        <v>39814</v>
      </c>
      <c r="BC27" s="1090">
        <v>39845</v>
      </c>
      <c r="BD27" s="1090">
        <v>39873</v>
      </c>
      <c r="BE27" s="1090">
        <v>39904</v>
      </c>
      <c r="BF27" s="1090">
        <v>39934</v>
      </c>
      <c r="BG27" s="1090">
        <v>39965</v>
      </c>
      <c r="BH27" s="1090">
        <v>39995</v>
      </c>
      <c r="BI27" s="1090">
        <v>40026</v>
      </c>
      <c r="BJ27" s="1090">
        <v>40057</v>
      </c>
      <c r="BK27" s="1090">
        <v>40087</v>
      </c>
      <c r="BL27" s="1090">
        <v>40118</v>
      </c>
      <c r="BM27" s="1090">
        <v>40148</v>
      </c>
      <c r="BN27" s="1091">
        <f>YEAR(BM27)</f>
        <v>2009</v>
      </c>
      <c r="BO27" s="1090">
        <v>40179</v>
      </c>
      <c r="BP27" s="1090">
        <v>40210</v>
      </c>
      <c r="BQ27" s="1090">
        <v>40238</v>
      </c>
      <c r="BR27" s="1090">
        <v>40269</v>
      </c>
      <c r="BS27" s="1090">
        <v>40299</v>
      </c>
      <c r="BT27" s="1090">
        <v>40330</v>
      </c>
      <c r="BU27" s="1090">
        <v>40360</v>
      </c>
      <c r="BV27" s="1090">
        <v>40391</v>
      </c>
      <c r="BW27" s="1090">
        <v>40422</v>
      </c>
      <c r="BX27" s="1090">
        <v>40452</v>
      </c>
      <c r="BY27" s="1090">
        <v>40483</v>
      </c>
      <c r="BZ27" s="1090">
        <v>40513</v>
      </c>
      <c r="CA27" s="1091">
        <f>YEAR(BZ27)</f>
        <v>2010</v>
      </c>
      <c r="CB27" s="1090">
        <v>40544</v>
      </c>
      <c r="CC27" s="1090">
        <v>40575</v>
      </c>
      <c r="CD27" s="1090">
        <v>40603</v>
      </c>
      <c r="CE27" s="1090">
        <v>40634</v>
      </c>
      <c r="CF27" s="1090">
        <v>40664</v>
      </c>
      <c r="CG27" s="1090">
        <v>40695</v>
      </c>
      <c r="CH27" s="1090">
        <v>40725</v>
      </c>
      <c r="CI27" s="1090">
        <v>40756</v>
      </c>
      <c r="CJ27" s="1090">
        <v>40787</v>
      </c>
      <c r="CK27" s="1090">
        <v>40817</v>
      </c>
      <c r="CL27" s="1090">
        <v>40848</v>
      </c>
      <c r="CM27" s="1090">
        <v>40878</v>
      </c>
      <c r="CN27" s="1091">
        <f>YEAR(CM27)</f>
        <v>2011</v>
      </c>
      <c r="CO27" s="1090">
        <v>40909</v>
      </c>
      <c r="CP27" s="1090">
        <v>40940</v>
      </c>
      <c r="CQ27" s="1090">
        <v>40969</v>
      </c>
      <c r="CR27" s="1090">
        <v>41000</v>
      </c>
      <c r="CS27" s="1090">
        <v>41030</v>
      </c>
      <c r="CT27" s="1090">
        <v>41061</v>
      </c>
      <c r="CU27" s="1090">
        <v>41091</v>
      </c>
      <c r="CV27" s="1090">
        <v>41122</v>
      </c>
      <c r="CW27" s="1090">
        <v>41153</v>
      </c>
      <c r="CX27" s="1090">
        <v>41183</v>
      </c>
      <c r="CY27" s="1090">
        <v>41214</v>
      </c>
      <c r="CZ27" s="1090">
        <v>41244</v>
      </c>
      <c r="DA27" s="1091">
        <f>YEAR(CZ27)</f>
        <v>2012</v>
      </c>
      <c r="DB27" s="1090">
        <v>41275</v>
      </c>
      <c r="DC27" s="1090">
        <v>41306</v>
      </c>
      <c r="DD27" s="1090">
        <v>41334</v>
      </c>
      <c r="DE27" s="1090">
        <v>41365</v>
      </c>
      <c r="DF27" s="1090">
        <v>41395</v>
      </c>
      <c r="DG27" s="1090">
        <v>41426</v>
      </c>
      <c r="DH27" s="1090">
        <v>41456</v>
      </c>
      <c r="DI27" s="1090">
        <v>41487</v>
      </c>
      <c r="DJ27" s="1090">
        <v>41518</v>
      </c>
      <c r="DK27" s="1090">
        <v>41548</v>
      </c>
      <c r="DL27" s="1090">
        <v>41579</v>
      </c>
      <c r="DM27" s="1090">
        <v>41609</v>
      </c>
      <c r="DN27" s="1091">
        <f>YEAR(DM27)</f>
        <v>2013</v>
      </c>
      <c r="DO27" s="1090">
        <v>41640</v>
      </c>
      <c r="DP27" s="1090">
        <v>41671</v>
      </c>
      <c r="DQ27" s="1090">
        <v>41699</v>
      </c>
      <c r="DR27" s="1090">
        <v>41730</v>
      </c>
      <c r="DS27" s="1090">
        <v>41760</v>
      </c>
      <c r="DT27" s="1090">
        <v>41791</v>
      </c>
      <c r="DU27" s="1090">
        <v>41821</v>
      </c>
      <c r="DV27" s="1090">
        <v>41852</v>
      </c>
      <c r="DW27" s="1090">
        <v>41883</v>
      </c>
      <c r="DX27" s="1090">
        <v>41913</v>
      </c>
      <c r="DY27" s="1090">
        <v>41944</v>
      </c>
      <c r="DZ27" s="1090">
        <v>41974</v>
      </c>
      <c r="EA27" s="1091">
        <f>YEAR(DZ27)</f>
        <v>2014</v>
      </c>
      <c r="EB27" s="1090">
        <v>42005</v>
      </c>
      <c r="EC27" s="1090">
        <v>42036</v>
      </c>
      <c r="ED27" s="1090">
        <v>42064</v>
      </c>
      <c r="EE27" s="1090">
        <v>42095</v>
      </c>
      <c r="EF27" s="1090">
        <v>42125</v>
      </c>
      <c r="EG27" s="1090">
        <v>42156</v>
      </c>
      <c r="EH27" s="1090">
        <v>42186</v>
      </c>
      <c r="EI27" s="1090">
        <v>42217</v>
      </c>
      <c r="EJ27" s="1090">
        <v>42248</v>
      </c>
      <c r="EK27" s="1090">
        <v>42278</v>
      </c>
      <c r="EL27" s="1090">
        <v>42309</v>
      </c>
      <c r="EM27" s="1090">
        <v>42339</v>
      </c>
      <c r="EN27" s="1091">
        <f>YEAR(EM27)</f>
        <v>2015</v>
      </c>
      <c r="EO27" s="1090">
        <v>42370</v>
      </c>
      <c r="EP27" s="1090">
        <v>42401</v>
      </c>
      <c r="EQ27" s="1090">
        <v>42430</v>
      </c>
      <c r="ER27" s="1090">
        <v>42461</v>
      </c>
      <c r="ES27" s="1090">
        <v>42491</v>
      </c>
      <c r="ET27" s="1090">
        <v>42522</v>
      </c>
      <c r="EU27" s="1090">
        <v>42552</v>
      </c>
      <c r="EV27" s="1090">
        <v>42583</v>
      </c>
      <c r="EW27" s="1090">
        <v>42614</v>
      </c>
      <c r="EX27" s="1090">
        <v>42644</v>
      </c>
      <c r="EY27" s="1090">
        <v>42675</v>
      </c>
      <c r="EZ27" s="1090">
        <v>42705</v>
      </c>
      <c r="FA27" s="1091">
        <f>YEAR(EZ27)</f>
        <v>2016</v>
      </c>
      <c r="FB27" s="1090">
        <v>42736</v>
      </c>
      <c r="FC27" s="1090">
        <v>42767</v>
      </c>
      <c r="FD27" s="1090">
        <v>42795</v>
      </c>
      <c r="FE27" s="1090">
        <v>42826</v>
      </c>
      <c r="FF27" s="1090">
        <v>42856</v>
      </c>
      <c r="FG27" s="1090">
        <v>42887</v>
      </c>
      <c r="FH27" s="1090">
        <v>42917</v>
      </c>
      <c r="FI27" s="1090">
        <v>42948</v>
      </c>
      <c r="FJ27" s="1090">
        <v>42979</v>
      </c>
      <c r="FK27" s="1090">
        <v>43009</v>
      </c>
      <c r="FL27" s="1090">
        <v>43040</v>
      </c>
      <c r="FM27" s="1090">
        <v>43070</v>
      </c>
      <c r="FN27" s="1091">
        <f>YEAR(FM27)</f>
        <v>2017</v>
      </c>
      <c r="FO27" s="1090">
        <v>43101</v>
      </c>
      <c r="FP27" s="1090">
        <v>43132</v>
      </c>
      <c r="FQ27" s="1090">
        <v>43160</v>
      </c>
      <c r="FR27" s="1090">
        <v>43191</v>
      </c>
      <c r="FS27" s="1090">
        <v>43221</v>
      </c>
      <c r="FT27" s="1090">
        <v>43252</v>
      </c>
      <c r="FU27" s="1090">
        <v>43282</v>
      </c>
      <c r="FV27" s="1090">
        <v>43313</v>
      </c>
      <c r="FW27" s="1090">
        <v>43344</v>
      </c>
      <c r="FX27" s="1090">
        <v>43374</v>
      </c>
      <c r="FY27" s="1090">
        <v>43405</v>
      </c>
      <c r="FZ27" s="1090">
        <v>43435</v>
      </c>
      <c r="GA27" s="1091">
        <f>YEAR(FZ27)</f>
        <v>2018</v>
      </c>
      <c r="GB27" s="1090">
        <v>43466</v>
      </c>
      <c r="GC27" s="1090">
        <v>43497</v>
      </c>
      <c r="GD27" s="1090">
        <v>43525</v>
      </c>
      <c r="GE27" s="1090">
        <v>43556</v>
      </c>
      <c r="GF27" s="1090">
        <v>43586</v>
      </c>
      <c r="GG27" s="1090">
        <v>43617</v>
      </c>
      <c r="GH27" s="1090">
        <v>43647</v>
      </c>
      <c r="GI27" s="1090">
        <v>43678</v>
      </c>
      <c r="GJ27" s="1090">
        <v>43709</v>
      </c>
      <c r="GK27" s="1090">
        <v>43739</v>
      </c>
      <c r="GL27" s="1090">
        <v>43770</v>
      </c>
      <c r="GM27" s="1090">
        <v>43800</v>
      </c>
      <c r="GN27" s="1091">
        <f>YEAR(GM27)</f>
        <v>2019</v>
      </c>
      <c r="GO27" s="1090">
        <v>43831</v>
      </c>
      <c r="GP27" s="1090">
        <v>43862</v>
      </c>
      <c r="GQ27" s="1090">
        <v>43891</v>
      </c>
      <c r="GR27" s="1090">
        <v>43922</v>
      </c>
      <c r="GS27" s="1090">
        <v>43952</v>
      </c>
      <c r="GT27" s="1090">
        <v>43983</v>
      </c>
      <c r="GU27" s="1090">
        <v>44013</v>
      </c>
      <c r="GV27" s="1090">
        <v>44044</v>
      </c>
      <c r="GW27" s="1090">
        <v>44075</v>
      </c>
      <c r="GX27" s="1090">
        <v>44105</v>
      </c>
      <c r="GY27" s="1090">
        <v>44136</v>
      </c>
      <c r="GZ27" s="1090">
        <v>44166</v>
      </c>
      <c r="HA27" s="1091">
        <f>YEAR(GZ27)</f>
        <v>2020</v>
      </c>
      <c r="HB27" s="1090">
        <v>44197</v>
      </c>
      <c r="HC27" s="1090">
        <v>44228</v>
      </c>
      <c r="HD27" s="1090">
        <v>44256</v>
      </c>
      <c r="HE27" s="1090">
        <v>44287</v>
      </c>
      <c r="HF27" s="1090">
        <v>44317</v>
      </c>
      <c r="HG27" s="1090">
        <v>44348</v>
      </c>
      <c r="HH27" s="1090">
        <v>44378</v>
      </c>
      <c r="HI27" s="1090">
        <v>44409</v>
      </c>
      <c r="HJ27" s="1090">
        <v>44440</v>
      </c>
      <c r="HK27" s="1090">
        <v>44470</v>
      </c>
      <c r="HL27" s="1090">
        <v>44501</v>
      </c>
      <c r="HM27" s="1090">
        <v>44531</v>
      </c>
      <c r="HN27" s="1091">
        <f>YEAR(HM27)</f>
        <v>2021</v>
      </c>
      <c r="HO27" s="1090">
        <v>44562</v>
      </c>
      <c r="HP27" s="1090">
        <v>44593</v>
      </c>
      <c r="HQ27" s="1090">
        <v>44621</v>
      </c>
      <c r="HR27" s="1090">
        <v>44652</v>
      </c>
      <c r="HS27" s="1090">
        <v>44682</v>
      </c>
      <c r="HT27" s="1090">
        <v>44713</v>
      </c>
      <c r="HU27" s="1090">
        <v>44743</v>
      </c>
      <c r="HV27" s="1090">
        <v>44774</v>
      </c>
      <c r="HW27" s="1090">
        <v>44805</v>
      </c>
      <c r="HX27" s="1090">
        <v>44835</v>
      </c>
      <c r="HY27" s="1090">
        <v>44866</v>
      </c>
      <c r="HZ27" s="1090">
        <v>44896</v>
      </c>
      <c r="IA27" s="1091">
        <f>YEAR(HZ27)</f>
        <v>2022</v>
      </c>
      <c r="IB27" s="1090">
        <v>44927</v>
      </c>
      <c r="IC27" s="1090">
        <v>44958</v>
      </c>
      <c r="ID27" s="1090">
        <v>44986</v>
      </c>
      <c r="IE27" s="1090">
        <v>45017</v>
      </c>
      <c r="IF27" s="1090">
        <v>45047</v>
      </c>
      <c r="IG27" s="1090">
        <v>45078</v>
      </c>
      <c r="IH27" s="1090">
        <v>45108</v>
      </c>
      <c r="II27" s="1090">
        <v>45139</v>
      </c>
      <c r="IJ27" s="1090">
        <v>45170</v>
      </c>
      <c r="IK27" s="1090">
        <v>45200</v>
      </c>
      <c r="IL27" s="1090">
        <v>45231</v>
      </c>
      <c r="IM27" s="1090">
        <v>45261</v>
      </c>
      <c r="IN27" s="1091">
        <f>YEAR(IM27)</f>
        <v>2023</v>
      </c>
      <c r="IO27" s="1090">
        <v>45292</v>
      </c>
      <c r="IP27" s="1090">
        <v>45323</v>
      </c>
      <c r="IQ27" s="1090">
        <v>45352</v>
      </c>
      <c r="IR27" s="1090">
        <v>45383</v>
      </c>
      <c r="IS27" s="1090">
        <v>45413</v>
      </c>
      <c r="IT27" s="1090">
        <v>45444</v>
      </c>
      <c r="IU27" s="1090">
        <v>45474</v>
      </c>
      <c r="IV27" s="1090">
        <v>45505</v>
      </c>
      <c r="IW27" s="1090">
        <v>45536</v>
      </c>
      <c r="IX27" s="1090">
        <v>45566</v>
      </c>
      <c r="IY27" s="1090">
        <v>45597</v>
      </c>
      <c r="IZ27" s="1090">
        <v>45627</v>
      </c>
      <c r="JA27" s="1091">
        <f>YEAR(IZ27)</f>
        <v>2024</v>
      </c>
      <c r="JB27" s="1090">
        <v>45658</v>
      </c>
      <c r="JC27" s="1090">
        <v>45689</v>
      </c>
      <c r="JD27" s="1090">
        <v>45717</v>
      </c>
      <c r="JE27" s="1090">
        <v>45748</v>
      </c>
      <c r="JF27" s="1090">
        <v>45778</v>
      </c>
      <c r="JG27" s="1090">
        <v>45809</v>
      </c>
      <c r="JH27" s="1090">
        <v>45839</v>
      </c>
      <c r="JI27" s="1090">
        <v>45870</v>
      </c>
      <c r="JJ27" s="1090">
        <v>45901</v>
      </c>
      <c r="JK27" s="1090">
        <v>45931</v>
      </c>
      <c r="JL27" s="1090">
        <v>45962</v>
      </c>
      <c r="JM27" s="1090">
        <v>45992</v>
      </c>
      <c r="JN27" s="1091">
        <f>YEAR(JM27)</f>
        <v>2025</v>
      </c>
      <c r="JO27" s="1090">
        <v>46023</v>
      </c>
      <c r="JP27" s="1090">
        <v>46054</v>
      </c>
      <c r="JQ27" s="1090">
        <v>46082</v>
      </c>
      <c r="JR27" s="1090">
        <v>46113</v>
      </c>
      <c r="JS27" s="1090">
        <v>46143</v>
      </c>
      <c r="JT27" s="1090">
        <v>46174</v>
      </c>
      <c r="JU27" s="1090">
        <v>46204</v>
      </c>
      <c r="JV27" s="1090">
        <v>46235</v>
      </c>
      <c r="JW27" s="1090">
        <v>46266</v>
      </c>
      <c r="JX27" s="1090">
        <v>46296</v>
      </c>
      <c r="JY27" s="1090">
        <v>46327</v>
      </c>
      <c r="JZ27" s="1090">
        <v>46357</v>
      </c>
      <c r="KA27" s="1091">
        <f>YEAR(JZ27)</f>
        <v>2026</v>
      </c>
      <c r="KC27" s="62"/>
      <c r="KD27" s="62"/>
      <c r="KE27" s="62"/>
      <c r="KF27" s="62"/>
    </row>
    <row r="28" spans="1:292" ht="15" customHeight="1" x14ac:dyDescent="0.2">
      <c r="A28" s="1310"/>
      <c r="B28" s="1294"/>
      <c r="C28" s="1294"/>
      <c r="D28" s="1294"/>
      <c r="E28" s="1294"/>
      <c r="F28" s="1294"/>
      <c r="G28" s="1294"/>
      <c r="H28" s="1294"/>
      <c r="I28" s="1294"/>
      <c r="J28" s="1294"/>
      <c r="K28" s="1294"/>
      <c r="L28" s="1294"/>
      <c r="M28" s="1295"/>
      <c r="N28" s="1293"/>
      <c r="O28" s="1294"/>
      <c r="P28" s="1294"/>
      <c r="Q28" s="1294"/>
      <c r="R28" s="1294"/>
      <c r="S28" s="1294"/>
      <c r="T28" s="1294"/>
      <c r="U28" s="1294"/>
      <c r="V28" s="1294"/>
      <c r="W28" s="1294"/>
      <c r="X28" s="1294"/>
      <c r="Y28" s="1294"/>
      <c r="Z28" s="1295"/>
      <c r="AA28" s="1293"/>
      <c r="AB28" s="1294"/>
      <c r="AC28" s="1294"/>
      <c r="AD28" s="1294"/>
      <c r="AE28" s="1294"/>
      <c r="AF28" s="1294"/>
      <c r="AG28" s="1294"/>
      <c r="AH28" s="1294"/>
      <c r="AI28" s="1294"/>
      <c r="AJ28" s="1294"/>
      <c r="AK28" s="1294"/>
      <c r="AL28" s="1294"/>
      <c r="AM28" s="1295"/>
      <c r="AN28" s="1293"/>
      <c r="AO28" s="1294"/>
      <c r="AP28" s="1294"/>
      <c r="AQ28" s="1294"/>
      <c r="AR28" s="1294"/>
      <c r="AS28" s="1294"/>
      <c r="AT28" s="1294"/>
      <c r="AU28" s="1294"/>
      <c r="AV28" s="1294"/>
      <c r="AW28" s="1294"/>
      <c r="AX28" s="1294"/>
      <c r="AY28" s="1294"/>
      <c r="AZ28" s="1295"/>
      <c r="BA28" s="1293"/>
      <c r="BB28" s="1294"/>
      <c r="BC28" s="1294"/>
      <c r="BD28" s="1294"/>
      <c r="BE28" s="1294"/>
      <c r="BF28" s="1294"/>
      <c r="BG28" s="1294"/>
      <c r="BH28" s="1294"/>
      <c r="BI28" s="1294"/>
      <c r="BJ28" s="1294"/>
      <c r="BK28" s="1294"/>
      <c r="BL28" s="1294"/>
      <c r="BM28" s="1295"/>
      <c r="BN28" s="1293"/>
      <c r="BO28" s="1294"/>
      <c r="BP28" s="1294"/>
      <c r="BQ28" s="1294"/>
      <c r="BR28" s="1294"/>
      <c r="BS28" s="1294"/>
      <c r="BT28" s="1294"/>
      <c r="BU28" s="1294"/>
      <c r="BV28" s="1294"/>
      <c r="BW28" s="1294"/>
      <c r="BX28" s="1294"/>
      <c r="BY28" s="1294"/>
      <c r="BZ28" s="1295"/>
      <c r="CA28" s="1293"/>
      <c r="CB28" s="1294"/>
      <c r="CC28" s="1294"/>
      <c r="CD28" s="1294"/>
      <c r="CE28" s="1294"/>
      <c r="CF28" s="1294"/>
      <c r="CG28" s="1294"/>
      <c r="CH28" s="1294"/>
      <c r="CI28" s="1294"/>
      <c r="CJ28" s="1294"/>
      <c r="CK28" s="1294"/>
      <c r="CL28" s="1294"/>
      <c r="CM28" s="1295"/>
      <c r="CN28" s="1293"/>
      <c r="CO28" s="1294"/>
      <c r="CP28" s="1294"/>
      <c r="CQ28" s="1294"/>
      <c r="CR28" s="1294"/>
      <c r="CS28" s="1294"/>
      <c r="CT28" s="1294"/>
      <c r="CU28" s="1294"/>
      <c r="CV28" s="1294"/>
      <c r="CW28" s="1294"/>
      <c r="CX28" s="1294"/>
      <c r="CY28" s="1294"/>
      <c r="CZ28" s="1295"/>
      <c r="DA28" s="1293"/>
      <c r="DB28" s="1294"/>
      <c r="DC28" s="1294"/>
      <c r="DD28" s="1294"/>
      <c r="DE28" s="1294"/>
      <c r="DF28" s="1294"/>
      <c r="DG28" s="1294"/>
      <c r="DH28" s="1294"/>
      <c r="DI28" s="1294"/>
      <c r="DJ28" s="1294"/>
      <c r="DK28" s="1294"/>
      <c r="DL28" s="1294"/>
      <c r="DM28" s="1295"/>
      <c r="DN28" s="1293"/>
      <c r="DO28" s="1294"/>
      <c r="DP28" s="1294"/>
      <c r="DQ28" s="1294"/>
      <c r="DR28" s="1294"/>
      <c r="DS28" s="1294"/>
      <c r="DT28" s="1294"/>
      <c r="DU28" s="1294"/>
      <c r="DV28" s="1294"/>
      <c r="DW28" s="1294"/>
      <c r="DX28" s="1294"/>
      <c r="DY28" s="1294"/>
      <c r="DZ28" s="1295"/>
      <c r="EA28" s="1293"/>
      <c r="EB28" s="1294"/>
      <c r="EC28" s="1294"/>
      <c r="ED28" s="1294"/>
      <c r="EE28" s="1294"/>
      <c r="EF28" s="1294"/>
      <c r="EG28" s="1294"/>
      <c r="EH28" s="1294"/>
      <c r="EI28" s="1294"/>
      <c r="EJ28" s="1294"/>
      <c r="EK28" s="1294"/>
      <c r="EL28" s="1294"/>
      <c r="EM28" s="1295"/>
      <c r="EN28" s="1293"/>
      <c r="EO28" s="1294"/>
      <c r="EP28" s="1294"/>
      <c r="EQ28" s="1294"/>
      <c r="ER28" s="1294"/>
      <c r="ES28" s="1294"/>
      <c r="ET28" s="1294"/>
      <c r="EU28" s="1294"/>
      <c r="EV28" s="1294"/>
      <c r="EW28" s="1294"/>
      <c r="EX28" s="1294"/>
      <c r="EY28" s="1294"/>
      <c r="EZ28" s="1295"/>
      <c r="FA28" s="1293"/>
      <c r="FB28" s="1294"/>
      <c r="FC28" s="1294"/>
      <c r="FD28" s="1294"/>
      <c r="FE28" s="1294"/>
      <c r="FF28" s="1294"/>
      <c r="FG28" s="1294"/>
      <c r="FH28" s="1294"/>
      <c r="FI28" s="1294"/>
      <c r="FJ28" s="1294"/>
      <c r="FK28" s="1294"/>
      <c r="FL28" s="1294"/>
      <c r="FM28" s="1295"/>
      <c r="FN28" s="1293"/>
      <c r="FO28" s="1294"/>
      <c r="FP28" s="1294"/>
      <c r="FQ28" s="1294"/>
      <c r="FR28" s="1294"/>
      <c r="FS28" s="1294"/>
      <c r="FT28" s="1294"/>
      <c r="FU28" s="1294"/>
      <c r="FV28" s="1294"/>
      <c r="FW28" s="1294"/>
      <c r="FX28" s="1294"/>
      <c r="FY28" s="1294"/>
      <c r="FZ28" s="1295"/>
      <c r="GA28" s="1293"/>
      <c r="GB28" s="1294"/>
      <c r="GC28" s="1294"/>
      <c r="GD28" s="1294"/>
      <c r="GE28" s="1294"/>
      <c r="GF28" s="1294"/>
      <c r="GG28" s="1294"/>
      <c r="GH28" s="1294"/>
      <c r="GI28" s="1294"/>
      <c r="GJ28" s="1294"/>
      <c r="GK28" s="1294"/>
      <c r="GL28" s="1294"/>
      <c r="GM28" s="1295"/>
      <c r="GN28" s="1293"/>
      <c r="GO28" s="1294"/>
      <c r="GP28" s="1294"/>
      <c r="GQ28" s="1294"/>
      <c r="GR28" s="1294"/>
      <c r="GS28" s="1294"/>
      <c r="GT28" s="1294"/>
      <c r="GU28" s="1294"/>
      <c r="GV28" s="1294"/>
      <c r="GW28" s="1294"/>
      <c r="GX28" s="1294"/>
      <c r="GY28" s="1294"/>
      <c r="GZ28" s="1295"/>
      <c r="HA28" s="1293"/>
      <c r="HB28" s="1294"/>
      <c r="HC28" s="1294"/>
      <c r="HD28" s="1294"/>
      <c r="HE28" s="1294"/>
      <c r="HF28" s="1294"/>
      <c r="HG28" s="1294"/>
      <c r="HH28" s="1294"/>
      <c r="HI28" s="1294"/>
      <c r="HJ28" s="1294"/>
      <c r="HK28" s="1294"/>
      <c r="HL28" s="1294"/>
      <c r="HM28" s="1295"/>
      <c r="HN28" s="1293"/>
      <c r="HO28" s="1294"/>
      <c r="HP28" s="1294"/>
      <c r="HQ28" s="1294"/>
      <c r="HR28" s="1294"/>
      <c r="HS28" s="1294"/>
      <c r="HT28" s="1294"/>
      <c r="HU28" s="1294"/>
      <c r="HV28" s="1294"/>
      <c r="HW28" s="1294"/>
      <c r="HX28" s="1294"/>
      <c r="HY28" s="1294"/>
      <c r="HZ28" s="1295"/>
      <c r="IA28" s="1293"/>
      <c r="IB28" s="1294"/>
      <c r="IC28" s="1294"/>
      <c r="ID28" s="1294"/>
      <c r="IE28" s="1294"/>
      <c r="IF28" s="1294"/>
      <c r="IG28" s="1294"/>
      <c r="IH28" s="1294"/>
      <c r="II28" s="1294"/>
      <c r="IJ28" s="1294"/>
      <c r="IK28" s="1294"/>
      <c r="IL28" s="1294"/>
      <c r="IM28" s="1295"/>
      <c r="IN28" s="1293"/>
      <c r="IO28" s="1294"/>
      <c r="IP28" s="1294"/>
      <c r="IQ28" s="1294"/>
      <c r="IR28" s="1294"/>
      <c r="IS28" s="1294"/>
      <c r="IT28" s="1294"/>
      <c r="IU28" s="1294"/>
      <c r="IV28" s="1294"/>
      <c r="IW28" s="1294"/>
      <c r="IX28" s="1294"/>
      <c r="IY28" s="1294"/>
      <c r="IZ28" s="1295"/>
      <c r="JA28" s="1293"/>
      <c r="JB28" s="1294"/>
      <c r="JC28" s="1294"/>
      <c r="JD28" s="1294"/>
      <c r="JE28" s="1294"/>
      <c r="JF28" s="1294"/>
      <c r="JG28" s="1294"/>
      <c r="JH28" s="1294"/>
      <c r="JI28" s="1294"/>
      <c r="JJ28" s="1294"/>
      <c r="JK28" s="1294"/>
      <c r="JL28" s="1294"/>
      <c r="JM28" s="1295"/>
      <c r="JN28" s="1293"/>
      <c r="JO28" s="1294"/>
      <c r="JP28" s="1294"/>
      <c r="JQ28" s="1294"/>
      <c r="JR28" s="1294"/>
      <c r="JS28" s="1294"/>
      <c r="JT28" s="1294"/>
      <c r="JU28" s="1294"/>
      <c r="JV28" s="1294"/>
      <c r="JW28" s="1294"/>
      <c r="JX28" s="1294"/>
      <c r="JY28" s="1294"/>
      <c r="JZ28" s="1295"/>
      <c r="KA28" s="1293"/>
      <c r="KC28" s="62"/>
      <c r="KD28" s="62"/>
      <c r="KE28" s="62"/>
      <c r="KF28" s="62"/>
    </row>
    <row r="29" spans="1:292" ht="15" customHeight="1" x14ac:dyDescent="0.2">
      <c r="A29" s="1163" t="s">
        <v>252</v>
      </c>
      <c r="B29" s="1467"/>
      <c r="C29" s="1467"/>
      <c r="D29" s="1467"/>
      <c r="E29" s="1467"/>
      <c r="F29" s="1467"/>
      <c r="G29" s="1467"/>
      <c r="H29" s="1467"/>
      <c r="I29" s="1467"/>
      <c r="J29" s="1467"/>
      <c r="K29" s="1467"/>
      <c r="L29" s="1467"/>
      <c r="M29" s="1468"/>
      <c r="N29" s="1469"/>
      <c r="O29" s="1467">
        <f t="shared" ref="O29:O30" si="27">IFERROR((((O7/B7)-1)*100),)</f>
        <v>0</v>
      </c>
      <c r="P29" s="1467">
        <f t="shared" ref="P29:P30" si="28">IFERROR((((P7/C7)-1)*100),)</f>
        <v>0</v>
      </c>
      <c r="Q29" s="1467">
        <f t="shared" ref="Q29:Q30" si="29">IFERROR((((Q7/D7)-1)*100),)</f>
        <v>0</v>
      </c>
      <c r="R29" s="1467">
        <f t="shared" ref="R29:R30" si="30">IFERROR((((R7/E7)-1)*100),)</f>
        <v>0</v>
      </c>
      <c r="S29" s="1467">
        <f t="shared" ref="S29:S30" si="31">IFERROR((((S7/F7)-1)*100),)</f>
        <v>0</v>
      </c>
      <c r="T29" s="1467">
        <f t="shared" ref="T29:T30" si="32">IFERROR((((T7/G7)-1)*100),)</f>
        <v>0</v>
      </c>
      <c r="U29" s="1467">
        <f t="shared" ref="U29:U30" si="33">IFERROR((((U7/H7)-1)*100),)</f>
        <v>0</v>
      </c>
      <c r="V29" s="1467">
        <f t="shared" ref="V29:V30" si="34">IFERROR((((V7/I7)-1)*100),)</f>
        <v>0</v>
      </c>
      <c r="W29" s="1467">
        <f t="shared" ref="W29:W30" si="35">IFERROR((((W7/J7)-1)*100),)</f>
        <v>0</v>
      </c>
      <c r="X29" s="1467">
        <f t="shared" ref="X29:X30" si="36">IFERROR((((X7/K7)-1)*100),)</f>
        <v>0</v>
      </c>
      <c r="Y29" s="1467">
        <f t="shared" ref="Y29:Y30" si="37">IFERROR((((Y7/L7)-1)*100),)</f>
        <v>0</v>
      </c>
      <c r="Z29" s="1468">
        <f t="shared" ref="Z29:Z30" si="38">IFERROR((((Z7/M7)-1)*100),)</f>
        <v>0</v>
      </c>
      <c r="AA29" s="1469">
        <f t="shared" ref="AA29:AA30" si="39">IFERROR((((AA7/N7)-1)*100),)</f>
        <v>0</v>
      </c>
      <c r="AB29" s="1467">
        <f t="shared" ref="AB29:AB30" si="40">IFERROR((((AB7/O7)-1)*100),)</f>
        <v>0</v>
      </c>
      <c r="AC29" s="1467">
        <f t="shared" ref="AC29:AC30" si="41">IFERROR((((AC7/P7)-1)*100),)</f>
        <v>0</v>
      </c>
      <c r="AD29" s="1467">
        <f t="shared" ref="AD29:AD30" si="42">IFERROR((((AD7/Q7)-1)*100),)</f>
        <v>0</v>
      </c>
      <c r="AE29" s="1467">
        <f t="shared" ref="AE29:AE30" si="43">IFERROR((((AE7/R7)-1)*100),)</f>
        <v>0</v>
      </c>
      <c r="AF29" s="1467">
        <f t="shared" ref="AF29:AF30" si="44">IFERROR((((AF7/S7)-1)*100),)</f>
        <v>0</v>
      </c>
      <c r="AG29" s="1467">
        <f t="shared" ref="AG29:AG30" si="45">IFERROR((((AG7/T7)-1)*100),)</f>
        <v>0</v>
      </c>
      <c r="AH29" s="1467">
        <f t="shared" ref="AH29:AH30" si="46">IFERROR((((AH7/U7)-1)*100),)</f>
        <v>0</v>
      </c>
      <c r="AI29" s="1467">
        <f t="shared" ref="AI29:AI30" si="47">IFERROR((((AI7/V7)-1)*100),)</f>
        <v>0</v>
      </c>
      <c r="AJ29" s="1467">
        <f t="shared" ref="AJ29:AJ30" si="48">IFERROR((((AJ7/W7)-1)*100),)</f>
        <v>0</v>
      </c>
      <c r="AK29" s="1467">
        <f t="shared" ref="AK29:AK30" si="49">IFERROR((((AK7/X7)-1)*100),)</f>
        <v>0</v>
      </c>
      <c r="AL29" s="1467">
        <f t="shared" ref="AL29:AL30" si="50">IFERROR((((AL7/Y7)-1)*100),)</f>
        <v>0</v>
      </c>
      <c r="AM29" s="1468">
        <f t="shared" ref="AM29:AM30" si="51">IFERROR((((AM7/Z7)-1)*100),)</f>
        <v>0</v>
      </c>
      <c r="AN29" s="1469">
        <f t="shared" ref="AN29:AN30" si="52">IFERROR((((AN7/AA7)-1)*100),)</f>
        <v>0</v>
      </c>
      <c r="AO29" s="1467">
        <f t="shared" ref="AO29:AO30" si="53">IFERROR((((AO7/AB7)-1)*100),)</f>
        <v>0</v>
      </c>
      <c r="AP29" s="1467">
        <f t="shared" ref="AP29:AP30" si="54">IFERROR((((AP7/AC7)-1)*100),)</f>
        <v>0</v>
      </c>
      <c r="AQ29" s="1467">
        <f t="shared" ref="AQ29:AQ30" si="55">IFERROR((((AQ7/AD7)-1)*100),)</f>
        <v>0</v>
      </c>
      <c r="AR29" s="1467">
        <f t="shared" ref="AR29:AR30" si="56">IFERROR((((AR7/AE7)-1)*100),)</f>
        <v>0</v>
      </c>
      <c r="AS29" s="1467">
        <f t="shared" ref="AS29:AS30" si="57">IFERROR((((AS7/AF7)-1)*100),)</f>
        <v>0</v>
      </c>
      <c r="AT29" s="1467">
        <f t="shared" ref="AT29:AT30" si="58">IFERROR((((AT7/AG7)-1)*100),)</f>
        <v>0</v>
      </c>
      <c r="AU29" s="1467">
        <f t="shared" ref="AU29:AU30" si="59">IFERROR((((AU7/AH7)-1)*100),)</f>
        <v>0</v>
      </c>
      <c r="AV29" s="1467">
        <f t="shared" ref="AV29:AV30" si="60">IFERROR((((AV7/AI7)-1)*100),)</f>
        <v>0</v>
      </c>
      <c r="AW29" s="1467">
        <f t="shared" ref="AW29:AW30" si="61">IFERROR((((AW7/AJ7)-1)*100),)</f>
        <v>0</v>
      </c>
      <c r="AX29" s="1467">
        <f t="shared" ref="AX29:AX30" si="62">IFERROR((((AX7/AK7)-1)*100),)</f>
        <v>0</v>
      </c>
      <c r="AY29" s="1467">
        <f t="shared" ref="AY29:AY30" si="63">IFERROR((((AY7/AL7)-1)*100),)</f>
        <v>0</v>
      </c>
      <c r="AZ29" s="1468">
        <f t="shared" ref="AZ29:AZ30" si="64">IFERROR((((AZ7/AM7)-1)*100),)</f>
        <v>0</v>
      </c>
      <c r="BA29" s="1469">
        <f t="shared" ref="BA29:BA30" si="65">IFERROR((((BA7/AN7)-1)*100),)</f>
        <v>0</v>
      </c>
      <c r="BB29" s="1467">
        <f t="shared" ref="BB29:BB30" si="66">IFERROR((((BB7/AO7)-1)*100),)</f>
        <v>0</v>
      </c>
      <c r="BC29" s="1467">
        <f t="shared" ref="BC29:BC30" si="67">IFERROR((((BC7/AP7)-1)*100),)</f>
        <v>0</v>
      </c>
      <c r="BD29" s="1467">
        <f t="shared" ref="BD29:BD30" si="68">IFERROR((((BD7/AQ7)-1)*100),)</f>
        <v>0</v>
      </c>
      <c r="BE29" s="1467">
        <f t="shared" ref="BE29:BE30" si="69">IFERROR((((BE7/AR7)-1)*100),)</f>
        <v>0</v>
      </c>
      <c r="BF29" s="1467">
        <f t="shared" ref="BF29:BF30" si="70">IFERROR((((BF7/AS7)-1)*100),)</f>
        <v>0</v>
      </c>
      <c r="BG29" s="1467">
        <f t="shared" ref="BG29:BG30" si="71">IFERROR((((BG7/AT7)-1)*100),)</f>
        <v>0</v>
      </c>
      <c r="BH29" s="1467">
        <f t="shared" ref="BH29:BH30" si="72">IFERROR((((BH7/AU7)-1)*100),)</f>
        <v>0</v>
      </c>
      <c r="BI29" s="1467">
        <f t="shared" ref="BI29:BI30" si="73">IFERROR((((BI7/AV7)-1)*100),)</f>
        <v>0</v>
      </c>
      <c r="BJ29" s="1467">
        <f t="shared" ref="BJ29:BJ30" si="74">IFERROR((((BJ7/AW7)-1)*100),)</f>
        <v>0</v>
      </c>
      <c r="BK29" s="1467">
        <f t="shared" ref="BK29:BK30" si="75">IFERROR((((BK7/AX7)-1)*100),)</f>
        <v>0</v>
      </c>
      <c r="BL29" s="1467">
        <f t="shared" ref="BL29:BL30" si="76">IFERROR((((BL7/AY7)-1)*100),)</f>
        <v>0</v>
      </c>
      <c r="BM29" s="1468">
        <f t="shared" ref="BM29:BM30" si="77">IFERROR((((BM7/AZ7)-1)*100),)</f>
        <v>0</v>
      </c>
      <c r="BN29" s="1469">
        <f t="shared" ref="BN29:BN30" si="78">IFERROR((((BN7/BA7)-1)*100),)</f>
        <v>0</v>
      </c>
      <c r="BO29" s="1467">
        <f t="shared" ref="BO29:BO30" si="79">IFERROR((((BO7/BB7)-1)*100),)</f>
        <v>0</v>
      </c>
      <c r="BP29" s="1467">
        <f t="shared" ref="BP29:BP30" si="80">IFERROR((((BP7/BC7)-1)*100),)</f>
        <v>0</v>
      </c>
      <c r="BQ29" s="1467">
        <f t="shared" ref="BQ29:BQ30" si="81">IFERROR((((BQ7/BD7)-1)*100),)</f>
        <v>0</v>
      </c>
      <c r="BR29" s="1467">
        <f t="shared" ref="BR29:BR30" si="82">IFERROR((((BR7/BE7)-1)*100),)</f>
        <v>0</v>
      </c>
      <c r="BS29" s="1467">
        <f t="shared" ref="BS29:BS30" si="83">IFERROR((((BS7/BF7)-1)*100),)</f>
        <v>0</v>
      </c>
      <c r="BT29" s="1467">
        <f t="shared" ref="BT29:BT30" si="84">IFERROR((((BT7/BG7)-1)*100),)</f>
        <v>0</v>
      </c>
      <c r="BU29" s="1467">
        <f t="shared" ref="BU29:BU30" si="85">IFERROR((((BU7/BH7)-1)*100),)</f>
        <v>0</v>
      </c>
      <c r="BV29" s="1467">
        <f t="shared" ref="BV29:BV30" si="86">IFERROR((((BV7/BI7)-1)*100),)</f>
        <v>0</v>
      </c>
      <c r="BW29" s="1467">
        <f t="shared" ref="BW29:BW30" si="87">IFERROR((((BW7/BJ7)-1)*100),)</f>
        <v>0</v>
      </c>
      <c r="BX29" s="1467">
        <f t="shared" ref="BX29:BX30" si="88">IFERROR((((BX7/BK7)-1)*100),)</f>
        <v>0</v>
      </c>
      <c r="BY29" s="1467">
        <f t="shared" ref="BY29:BY30" si="89">IFERROR((((BY7/BL7)-1)*100),)</f>
        <v>0</v>
      </c>
      <c r="BZ29" s="1468">
        <f t="shared" ref="BZ29:BZ30" si="90">IFERROR((((BZ7/BM7)-1)*100),)</f>
        <v>0</v>
      </c>
      <c r="CA29" s="1469">
        <f t="shared" ref="CA29:CA30" si="91">IFERROR((((CA7/BN7)-1)*100),)</f>
        <v>0</v>
      </c>
      <c r="CB29" s="1467">
        <f t="shared" ref="CB29:CB30" si="92">IFERROR((((CB7/BO7)-1)*100),)</f>
        <v>65.282989059599501</v>
      </c>
      <c r="CC29" s="1467">
        <f t="shared" ref="CC29:CC30" si="93">IFERROR((((CC7/BP7)-1)*100),)</f>
        <v>52.8515871119126</v>
      </c>
      <c r="CD29" s="1467">
        <f t="shared" ref="CD29:CD30" si="94">IFERROR((((CD7/BQ7)-1)*100),)</f>
        <v>-20.952102602895163</v>
      </c>
      <c r="CE29" s="1467">
        <f t="shared" ref="CE29:CE30" si="95">IFERROR((((CE7/BR7)-1)*100),)</f>
        <v>15.21872459385829</v>
      </c>
      <c r="CF29" s="1467">
        <f t="shared" ref="CF29:CF30" si="96">IFERROR((((CF7/BS7)-1)*100),)</f>
        <v>0</v>
      </c>
      <c r="CG29" s="1467">
        <f t="shared" ref="CG29:CG30" si="97">IFERROR((((CG7/BT7)-1)*100),)</f>
        <v>0</v>
      </c>
      <c r="CH29" s="1467">
        <f t="shared" ref="CH29:CH30" si="98">IFERROR((((CH7/BU7)-1)*100),)</f>
        <v>152.91147107951679</v>
      </c>
      <c r="CI29" s="1467">
        <f t="shared" ref="CI29:CI30" si="99">IFERROR((((CI7/BV7)-1)*100),)</f>
        <v>335.10448448563704</v>
      </c>
      <c r="CJ29" s="1467">
        <f t="shared" ref="CJ29:CJ30" si="100">IFERROR((((CJ7/BW7)-1)*100),)</f>
        <v>125.94643429603943</v>
      </c>
      <c r="CK29" s="1467">
        <f t="shared" ref="CK29:CK30" si="101">IFERROR((((CK7/BX7)-1)*100),)</f>
        <v>298.27900552486193</v>
      </c>
      <c r="CL29" s="1467">
        <f t="shared" ref="CL29:CL30" si="102">IFERROR((((CL7/BY7)-1)*100),)</f>
        <v>203.099082234875</v>
      </c>
      <c r="CM29" s="1468">
        <f t="shared" ref="CM29:CM30" si="103">IFERROR((((CM7/BZ7)-1)*100),)</f>
        <v>22.861635936823422</v>
      </c>
      <c r="CN29" s="1469">
        <f t="shared" ref="CN29:CN30" si="104">IFERROR((((CN7/CA7)-1)*100),)</f>
        <v>94.920344767611283</v>
      </c>
      <c r="CO29" s="1467">
        <f t="shared" ref="CO29:CO30" si="105">IFERROR((((CO7/CB7)-1)*100),)</f>
        <v>40.224144523035775</v>
      </c>
      <c r="CP29" s="1467">
        <f t="shared" ref="CP29:CP30" si="106">IFERROR((((CP7/CC7)-1)*100),)</f>
        <v>76.785638139098495</v>
      </c>
      <c r="CQ29" s="1467">
        <f t="shared" ref="CQ29:CQ30" si="107">IFERROR((((CQ7/CD7)-1)*100),)</f>
        <v>71.062876530590046</v>
      </c>
      <c r="CR29" s="1467">
        <f t="shared" ref="CR29:CR30" si="108">IFERROR((((CR7/CE7)-1)*100),)</f>
        <v>94.241220088882343</v>
      </c>
      <c r="CS29" s="1467">
        <f t="shared" ref="CS29:CS30" si="109">IFERROR((((CS7/CF7)-1)*100),)</f>
        <v>50.753116891336013</v>
      </c>
      <c r="CT29" s="1467">
        <f t="shared" ref="CT29:CT30" si="110">IFERROR((((CT7/CG7)-1)*100),)</f>
        <v>18.580169455764928</v>
      </c>
      <c r="CU29" s="1467">
        <f t="shared" ref="CU29:CU30" si="111">IFERROR((((CU7/CH7)-1)*100),)</f>
        <v>-9.1864162071666815</v>
      </c>
      <c r="CV29" s="1467">
        <f t="shared" ref="CV29:CV30" si="112">IFERROR((((CV7/CI7)-1)*100),)</f>
        <v>5.2916038210155669</v>
      </c>
      <c r="CW29" s="1467">
        <f t="shared" ref="CW29:CW30" si="113">IFERROR((((CW7/CJ7)-1)*100),)</f>
        <v>95.755136787524719</v>
      </c>
      <c r="CX29" s="1467">
        <f t="shared" ref="CX29:CX30" si="114">IFERROR((((CX7/CK7)-1)*100),)</f>
        <v>-100</v>
      </c>
      <c r="CY29" s="1467">
        <f t="shared" ref="CY29:CY30" si="115">IFERROR((((CY7/CL7)-1)*100),)</f>
        <v>-46.568051397740632</v>
      </c>
      <c r="CZ29" s="1468">
        <f t="shared" ref="CZ29:CZ30" si="116">IFERROR((((CZ7/CM7)-1)*100),)</f>
        <v>10.688580544631577</v>
      </c>
      <c r="DA29" s="1469">
        <f t="shared" ref="DA29:DA30" si="117">IFERROR((((DA7/CN7)-1)*100),)</f>
        <v>22.073701173513129</v>
      </c>
      <c r="DB29" s="1467">
        <f t="shared" ref="DB29:DB30" si="118">IFERROR((((DB7/CO7)-1)*100),)</f>
        <v>89.174519861624702</v>
      </c>
      <c r="DC29" s="1467">
        <f t="shared" ref="DC29:DC30" si="119">IFERROR((((DC7/CP7)-1)*100),)</f>
        <v>78.509173943107058</v>
      </c>
      <c r="DD29" s="1467">
        <f t="shared" ref="DD29:DD30" si="120">IFERROR((((DD7/CQ7)-1)*100),)</f>
        <v>-41.871257294699504</v>
      </c>
      <c r="DE29" s="1467">
        <f t="shared" ref="DE29:DE30" si="121">IFERROR((((DE7/CR7)-1)*100),)</f>
        <v>-10.558919125613409</v>
      </c>
      <c r="DF29" s="1467">
        <f t="shared" ref="DF29:DF30" si="122">IFERROR((((DF7/CS7)-1)*100),)</f>
        <v>-63.017988707205987</v>
      </c>
      <c r="DG29" s="1467">
        <f t="shared" ref="DG29:DG30" si="123">IFERROR((((DG7/CT7)-1)*100),)</f>
        <v>-33.515006789343069</v>
      </c>
      <c r="DH29" s="1467">
        <f t="shared" ref="DH29:DH30" si="124">IFERROR((((DH7/CU7)-1)*100),)</f>
        <v>85.647600040591314</v>
      </c>
      <c r="DI29" s="1467">
        <f t="shared" ref="DI29:DI30" si="125">IFERROR((((DI7/CV7)-1)*100),)</f>
        <v>-29.309575717974635</v>
      </c>
      <c r="DJ29" s="1467">
        <f t="shared" ref="DJ29:DJ30" si="126">IFERROR((((DJ7/CW7)-1)*100),)</f>
        <v>-30.683218354451249</v>
      </c>
      <c r="DK29" s="1467">
        <f t="shared" ref="DK29:DK30" si="127">IFERROR((((DK7/CX7)-1)*100),)</f>
        <v>0</v>
      </c>
      <c r="DL29" s="1467">
        <f t="shared" ref="DL29:DL30" si="128">IFERROR((((DL7/CY7)-1)*100),)</f>
        <v>14.897698722939756</v>
      </c>
      <c r="DM29" s="1468">
        <f t="shared" ref="DM29:DM30" si="129">IFERROR((((DM7/CZ7)-1)*100),)</f>
        <v>-8.9676554382436819</v>
      </c>
      <c r="DN29" s="1469">
        <f t="shared" ref="DN29:DN30" si="130">IFERROR((((DN7/DA7)-1)*100),)</f>
        <v>-6.3932266655048808</v>
      </c>
      <c r="DO29" s="1467">
        <f t="shared" ref="DO29:DO30" si="131">IFERROR((((DO7/DB7)-1)*100),)</f>
        <v>-63.172971682603738</v>
      </c>
      <c r="DP29" s="1467">
        <f t="shared" ref="DP29:DP30" si="132">IFERROR((((DP7/DC7)-1)*100),)</f>
        <v>-99.284745900125671</v>
      </c>
      <c r="DQ29" s="1467">
        <f t="shared" ref="DQ29:DQ30" si="133">IFERROR((((DQ7/DD7)-1)*100),)</f>
        <v>-100</v>
      </c>
      <c r="DR29" s="1467">
        <f t="shared" ref="DR29:DR30" si="134">IFERROR((((DR7/DE7)-1)*100),)</f>
        <v>-100</v>
      </c>
      <c r="DS29" s="1467">
        <f t="shared" ref="DS29:DS30" si="135">IFERROR((((DS7/DF7)-1)*100),)</f>
        <v>-100</v>
      </c>
      <c r="DT29" s="1467">
        <f t="shared" ref="DT29:DT30" si="136">IFERROR((((DT7/DG7)-1)*100),)</f>
        <v>-100</v>
      </c>
      <c r="DU29" s="1467">
        <f t="shared" ref="DU29:DU30" si="137">IFERROR((((DU7/DH7)-1)*100),)</f>
        <v>-91.684128054224445</v>
      </c>
      <c r="DV29" s="1467">
        <f t="shared" ref="DV29:DV30" si="138">IFERROR((((DV7/DI7)-1)*100),)</f>
        <v>-100</v>
      </c>
      <c r="DW29" s="1467">
        <f t="shared" ref="DW29:DW30" si="139">IFERROR((((DW7/DJ7)-1)*100),)</f>
        <v>-100</v>
      </c>
      <c r="DX29" s="1467">
        <f t="shared" ref="DX29:DX30" si="140">IFERROR((((DX7/DK7)-1)*100),)</f>
        <v>-100</v>
      </c>
      <c r="DY29" s="1467">
        <f t="shared" ref="DY29:DY30" si="141">IFERROR((((DY7/DL7)-1)*100),)</f>
        <v>-100</v>
      </c>
      <c r="DZ29" s="1468">
        <f t="shared" ref="DZ29:DZ30" si="142">IFERROR((((DZ7/DM7)-1)*100),)</f>
        <v>-92.373755039673043</v>
      </c>
      <c r="EA29" s="1469">
        <f t="shared" ref="EA29:EA30" si="143">IFERROR((((EA7/DN7)-1)*100),)</f>
        <v>-80.459267839874229</v>
      </c>
      <c r="EB29" s="1467">
        <f t="shared" ref="EB29:EB30" si="144">IFERROR((((EB7/DO7)-1)*100),)</f>
        <v>-100</v>
      </c>
      <c r="EC29" s="1467">
        <f t="shared" ref="EC29:EC30" si="145">IFERROR((((EC7/DP7)-1)*100),)</f>
        <v>-100</v>
      </c>
      <c r="ED29" s="1467">
        <f t="shared" ref="ED29:ED30" si="146">IFERROR((((ED7/DQ7)-1)*100),)</f>
        <v>0</v>
      </c>
      <c r="EE29" s="1467">
        <f t="shared" ref="EE29:EE30" si="147">IFERROR((((EE7/DR7)-1)*100),)</f>
        <v>0</v>
      </c>
      <c r="EF29" s="1467">
        <f t="shared" ref="EF29:EF30" si="148">IFERROR((((EF7/DS7)-1)*100),)</f>
        <v>0</v>
      </c>
      <c r="EG29" s="1467">
        <f t="shared" ref="EG29:EG30" si="149">IFERROR((((EG7/DT7)-1)*100),)</f>
        <v>0</v>
      </c>
      <c r="EH29" s="1467">
        <f t="shared" ref="EH29:EH30" si="150">IFERROR((((EH7/DU7)-1)*100),)</f>
        <v>-100</v>
      </c>
      <c r="EI29" s="1467">
        <f t="shared" ref="EI29:EI30" si="151">IFERROR((((EI7/DV7)-1)*100),)</f>
        <v>0</v>
      </c>
      <c r="EJ29" s="1467">
        <f t="shared" ref="EJ29:EJ30" si="152">IFERROR((((EJ7/DW7)-1)*100),)</f>
        <v>0</v>
      </c>
      <c r="EK29" s="1467">
        <f t="shared" ref="EK29:EK30" si="153">IFERROR((((EK7/DX7)-1)*100),)</f>
        <v>0</v>
      </c>
      <c r="EL29" s="1467">
        <f t="shared" ref="EL29:EL30" si="154">IFERROR((((EL7/DY7)-1)*100),)</f>
        <v>0</v>
      </c>
      <c r="EM29" s="1468">
        <f t="shared" ref="EM29:EM30" si="155">IFERROR((((EM7/DZ7)-1)*100),)</f>
        <v>-100</v>
      </c>
      <c r="EN29" s="1469">
        <f t="shared" ref="EN29:EN30" si="156">IFERROR((((EN7/EA7)-1)*100),)</f>
        <v>-3.2213885911635209</v>
      </c>
      <c r="EO29" s="1467">
        <f t="shared" ref="EO29:EO30" si="157">IFERROR((((EO7/EB7)-1)*100),)</f>
        <v>0</v>
      </c>
      <c r="EP29" s="1467">
        <f t="shared" ref="EP29:EP30" si="158">IFERROR((((EP7/EC7)-1)*100),)</f>
        <v>0</v>
      </c>
      <c r="EQ29" s="1467">
        <f t="shared" ref="EQ29:EQ30" si="159">IFERROR((((EQ7/ED7)-1)*100),)</f>
        <v>0</v>
      </c>
      <c r="ER29" s="1467">
        <f t="shared" ref="ER29:ER30" si="160">IFERROR((((ER7/EE7)-1)*100),)</f>
        <v>0</v>
      </c>
      <c r="ES29" s="1467">
        <f t="shared" ref="ES29:ES30" si="161">IFERROR((((ES7/EF7)-1)*100),)</f>
        <v>0</v>
      </c>
      <c r="ET29" s="1467">
        <f t="shared" ref="ET29:ET30" si="162">IFERROR((((ET7/EG7)-1)*100),)</f>
        <v>-100</v>
      </c>
      <c r="EU29" s="1467">
        <f t="shared" ref="EU29:EU30" si="163">IFERROR((((EU7/EH7)-1)*100),)</f>
        <v>0</v>
      </c>
      <c r="EV29" s="1467">
        <f t="shared" ref="EV29:EV30" si="164">IFERROR((((EV7/EI7)-1)*100),)</f>
        <v>0</v>
      </c>
      <c r="EW29" s="1467">
        <f t="shared" ref="EW29:EW30" si="165">IFERROR((((EW7/EJ7)-1)*100),)</f>
        <v>0</v>
      </c>
      <c r="EX29" s="1467">
        <f t="shared" ref="EX29:EX30" si="166">IFERROR((((EX7/EK7)-1)*100),)</f>
        <v>0</v>
      </c>
      <c r="EY29" s="1467">
        <f t="shared" ref="EY29:EY30" si="167">IFERROR((((EY7/EL7)-1)*100),)</f>
        <v>-100</v>
      </c>
      <c r="EZ29" s="1468">
        <f t="shared" ref="EZ29:EZ30" si="168">IFERROR((((EZ7/EM7)-1)*100),)</f>
        <v>0</v>
      </c>
      <c r="FA29" s="1469">
        <f t="shared" ref="FA29:FA30" si="169">IFERROR((((FA7/EN7)-1)*100),)</f>
        <v>-76.088089160851112</v>
      </c>
      <c r="FB29" s="1467">
        <f t="shared" ref="FB29:FB30" si="170">IFERROR((((FB7/EO7)-1)*100),)</f>
        <v>0</v>
      </c>
      <c r="FC29" s="1467">
        <f t="shared" ref="FC29:FC30" si="171">IFERROR((((FC7/EP7)-1)*100),)</f>
        <v>-100</v>
      </c>
      <c r="FD29" s="1467">
        <f t="shared" ref="FD29:FD30" si="172">IFERROR((((FD7/EQ7)-1)*100),)</f>
        <v>-100</v>
      </c>
      <c r="FE29" s="1467">
        <f t="shared" ref="FE29:FE30" si="173">IFERROR((((FE7/ER7)-1)*100),)</f>
        <v>0</v>
      </c>
      <c r="FF29" s="1467">
        <f t="shared" ref="FF29:FF30" si="174">IFERROR((((FF7/ES7)-1)*100),)</f>
        <v>0</v>
      </c>
      <c r="FG29" s="1467">
        <f t="shared" ref="FG29:FG30" si="175">IFERROR((((FG7/ET7)-1)*100),)</f>
        <v>0</v>
      </c>
      <c r="FH29" s="1467">
        <f t="shared" ref="FH29:FH30" si="176">IFERROR((((FH7/EU7)-1)*100),)</f>
        <v>0</v>
      </c>
      <c r="FI29" s="1467">
        <f t="shared" ref="FI29:FI30" si="177">IFERROR((((FI7/EV7)-1)*100),)</f>
        <v>0</v>
      </c>
      <c r="FJ29" s="1467">
        <f t="shared" ref="FJ29:FJ30" si="178">IFERROR((((FJ7/EW7)-1)*100),)</f>
        <v>0</v>
      </c>
      <c r="FK29" s="1467">
        <f t="shared" ref="FK29:FK30" si="179">IFERROR((((FK7/EX7)-1)*100),)</f>
        <v>0</v>
      </c>
      <c r="FL29" s="1467">
        <f t="shared" ref="FL29:FL30" si="180">IFERROR((((FL7/EY7)-1)*100),)</f>
        <v>0</v>
      </c>
      <c r="FM29" s="1468">
        <f t="shared" ref="FM29:FM30" si="181">IFERROR((((FM7/EZ7)-1)*100),)</f>
        <v>0</v>
      </c>
      <c r="FN29" s="1469">
        <f t="shared" ref="FN29:FN30" si="182">IFERROR((((FN7/FA7)-1)*100),)</f>
        <v>332.00187681536181</v>
      </c>
      <c r="FO29" s="1467">
        <f t="shared" ref="FO29:FO30" si="183">IFERROR((((FO7/FB7)-1)*100),)</f>
        <v>0</v>
      </c>
      <c r="FP29" s="1467">
        <f t="shared" ref="FP29:FP30" si="184">IFERROR((((FP7/FC7)-1)*100),)</f>
        <v>0</v>
      </c>
      <c r="FQ29" s="1467">
        <f t="shared" ref="FQ29:FQ30" si="185">IFERROR((((FQ7/FD7)-1)*100),)</f>
        <v>0</v>
      </c>
      <c r="FR29" s="1467">
        <f t="shared" ref="FR29:FR30" si="186">IFERROR((((FR7/FE7)-1)*100),)</f>
        <v>0</v>
      </c>
      <c r="FS29" s="1467">
        <f t="shared" ref="FS29:FS30" si="187">IFERROR((((FS7/FF7)-1)*100),)</f>
        <v>0</v>
      </c>
      <c r="FT29" s="1467">
        <f t="shared" ref="FT29:FT30" si="188">IFERROR((((FT7/FG7)-1)*100),)</f>
        <v>-100</v>
      </c>
      <c r="FU29" s="1467">
        <f t="shared" ref="FU29:FU30" si="189">IFERROR((((FU7/FH7)-1)*100),)</f>
        <v>197.6079803624589</v>
      </c>
      <c r="FV29" s="1467">
        <f t="shared" ref="FV29:FV30" si="190">IFERROR((((FV7/FI7)-1)*100),)</f>
        <v>146.60512820512827</v>
      </c>
      <c r="FW29" s="1467">
        <f t="shared" ref="FW29:FW30" si="191">IFERROR((((FW7/FJ7)-1)*100),)</f>
        <v>-100</v>
      </c>
      <c r="FX29" s="1467">
        <f t="shared" ref="FX29:FX30" si="192">IFERROR((((FX7/FK7)-1)*100),)</f>
        <v>-100</v>
      </c>
      <c r="FY29" s="1467">
        <f t="shared" ref="FY29:FY30" si="193">IFERROR((((FY7/FL7)-1)*100),)</f>
        <v>-59.784318130757129</v>
      </c>
      <c r="FZ29" s="1468">
        <f t="shared" ref="FZ29:FZ30" si="194">IFERROR((((FZ7/FM7)-1)*100),)</f>
        <v>288.46153846153851</v>
      </c>
      <c r="GA29" s="1469">
        <f t="shared" ref="GA29:GA30" si="195">IFERROR((((GA7/FN7)-1)*100),)</f>
        <v>56.934561626429492</v>
      </c>
      <c r="GB29" s="1467">
        <f t="shared" ref="GB29:GB30" si="196">IFERROR((((GB7/FO7)-1)*100),)</f>
        <v>0</v>
      </c>
      <c r="GC29" s="1467">
        <f t="shared" ref="GC29:GC30" si="197">IFERROR((((GC7/FP7)-1)*100),)</f>
        <v>-100</v>
      </c>
      <c r="GD29" s="1467">
        <f t="shared" ref="GD29:GD30" si="198">IFERROR((((GD7/FQ7)-1)*100),)</f>
        <v>0</v>
      </c>
      <c r="GE29" s="1467">
        <f t="shared" ref="GE29:GE30" si="199">IFERROR((((GE7/FR7)-1)*100),)</f>
        <v>0</v>
      </c>
      <c r="GF29" s="1467">
        <f t="shared" ref="GF29:GF30" si="200">IFERROR((((GF7/FS7)-1)*100),)</f>
        <v>0</v>
      </c>
      <c r="GG29" s="1467">
        <f t="shared" ref="GG29:GG30" si="201">IFERROR((((GG7/FT7)-1)*100),)</f>
        <v>0</v>
      </c>
      <c r="GH29" s="1467">
        <f t="shared" ref="GH29:GH30" si="202">IFERROR((((GH7/FU7)-1)*100),)</f>
        <v>-100</v>
      </c>
      <c r="GI29" s="1467">
        <f t="shared" ref="GI29:GI30" si="203">IFERROR((((GI7/FV7)-1)*100),)</f>
        <v>-100</v>
      </c>
      <c r="GJ29" s="1467">
        <f t="shared" ref="GJ29:GJ30" si="204">IFERROR((((GJ7/FW7)-1)*100),)</f>
        <v>0</v>
      </c>
      <c r="GK29" s="1467">
        <f t="shared" ref="GK29:GK30" si="205">IFERROR((((GK7/FX7)-1)*100),)</f>
        <v>0</v>
      </c>
      <c r="GL29" s="1467">
        <f t="shared" ref="GL29:GL30" si="206">IFERROR((((GL7/FY7)-1)*100),)</f>
        <v>-100</v>
      </c>
      <c r="GM29" s="1468">
        <f t="shared" ref="GM29:GM30" si="207">IFERROR((((GM7/FZ7)-1)*100),)</f>
        <v>-50.470297029702984</v>
      </c>
      <c r="GN29" s="1469">
        <f t="shared" ref="GN29:GN30" si="208">IFERROR((((GN7/GA7)-1)*100),)</f>
        <v>-44.331147231274755</v>
      </c>
      <c r="GO29" s="1467">
        <f t="shared" ref="GO29:GO30" si="209">IFERROR((((GO7/GB7)-1)*100),)</f>
        <v>-100</v>
      </c>
      <c r="GP29" s="1467">
        <f t="shared" ref="GP29:GP30" si="210">IFERROR((((GP7/GC7)-1)*100),)</f>
        <v>0</v>
      </c>
      <c r="GQ29" s="1467">
        <f t="shared" ref="GQ29:GQ30" si="211">IFERROR((((GQ7/GD7)-1)*100),)</f>
        <v>0</v>
      </c>
      <c r="GR29" s="1467">
        <f t="shared" ref="GR29:GR30" si="212">IFERROR((((GR7/GE7)-1)*100),)</f>
        <v>0</v>
      </c>
      <c r="GS29" s="1467">
        <f t="shared" ref="GS29:GS30" si="213">IFERROR((((GS7/GF7)-1)*100),)</f>
        <v>0</v>
      </c>
      <c r="GT29" s="1467">
        <f t="shared" ref="GT29:GT30" si="214">IFERROR((((GT7/GG7)-1)*100),)</f>
        <v>0</v>
      </c>
      <c r="GU29" s="1467">
        <f t="shared" ref="GU29:GU30" si="215">IFERROR((((GU7/GH7)-1)*100),)</f>
        <v>0</v>
      </c>
      <c r="GV29" s="1467">
        <f t="shared" ref="GV29:GV30" si="216">IFERROR((((GV7/GI7)-1)*100),)</f>
        <v>0</v>
      </c>
      <c r="GW29" s="1467">
        <f t="shared" ref="GW29:GW30" si="217">IFERROR((((GW7/GJ7)-1)*100),)</f>
        <v>-100</v>
      </c>
      <c r="GX29" s="1467">
        <f t="shared" ref="GX29:GX30" si="218">IFERROR((((GX7/GK7)-1)*100),)</f>
        <v>0</v>
      </c>
      <c r="GY29" s="1467">
        <f t="shared" ref="GY29:GY30" si="219">IFERROR((((GY7/GL7)-1)*100),)</f>
        <v>0</v>
      </c>
      <c r="GZ29" s="1468">
        <f t="shared" ref="GZ29:GZ30" si="220">IFERROR((((GZ7/GM7)-1)*100),)</f>
        <v>-100</v>
      </c>
      <c r="HA29" s="1469">
        <f t="shared" ref="HA29:HA30" si="221">IFERROR((((HA7/GN7)-1)*100),)</f>
        <v>-100</v>
      </c>
      <c r="HB29" s="1467">
        <f t="shared" ref="HB29:HB30" si="222">IFERROR((((HB7/GO7)-1)*100),)</f>
        <v>0</v>
      </c>
      <c r="HC29" s="1467">
        <f t="shared" ref="HC29:HC30" si="223">IFERROR((((HC7/GP7)-1)*100),)</f>
        <v>0</v>
      </c>
      <c r="HD29" s="1467">
        <f t="shared" ref="HD29:HD30" si="224">IFERROR((((HD7/GQ7)-1)*100),)</f>
        <v>0</v>
      </c>
      <c r="HE29" s="1467">
        <f t="shared" ref="HE29:HE30" si="225">IFERROR((((HE7/GR7)-1)*100),)</f>
        <v>0</v>
      </c>
      <c r="HF29" s="1467">
        <f t="shared" ref="HF29:HF30" si="226">IFERROR((((HF7/GS7)-1)*100),)</f>
        <v>0</v>
      </c>
      <c r="HG29" s="1467">
        <f t="shared" ref="HG29:HG30" si="227">IFERROR((((HG7/GT7)-1)*100),)</f>
        <v>0</v>
      </c>
      <c r="HH29" s="1467">
        <f t="shared" ref="HH29:HH30" si="228">IFERROR((((HH7/GU7)-1)*100),)</f>
        <v>0</v>
      </c>
      <c r="HI29" s="1467">
        <f t="shared" ref="HI29:HI30" si="229">IFERROR((((HI7/GV7)-1)*100),)</f>
        <v>0</v>
      </c>
      <c r="HJ29" s="1467">
        <f t="shared" ref="HJ29:HJ30" si="230">IFERROR((((HJ7/GW7)-1)*100),)</f>
        <v>0</v>
      </c>
      <c r="HK29" s="1467">
        <f t="shared" ref="HK29:HK30" si="231">IFERROR((((HK7/GX7)-1)*100),)</f>
        <v>0</v>
      </c>
      <c r="HL29" s="1467">
        <f t="shared" ref="HL29:HL30" si="232">IFERROR((((HL7/GY7)-1)*100),)</f>
        <v>0</v>
      </c>
      <c r="HM29" s="1468">
        <f t="shared" ref="HM29:HM30" si="233">IFERROR((((HM7/GZ7)-1)*100),)</f>
        <v>0</v>
      </c>
      <c r="HN29" s="1469">
        <f t="shared" ref="HN29:HN30" si="234">IFERROR((((HN7/HA7)-1)*100),)</f>
        <v>0</v>
      </c>
      <c r="HO29" s="1467">
        <f t="shared" ref="HO29:HO30" si="235">IFERROR((((HO7/HB7)-1)*100),)</f>
        <v>0</v>
      </c>
      <c r="HP29" s="1467">
        <f t="shared" ref="HP29:HP30" si="236">IFERROR((((HP7/HC7)-1)*100),)</f>
        <v>0</v>
      </c>
      <c r="HQ29" s="1467">
        <f t="shared" ref="HQ29:HQ30" si="237">IFERROR((((HQ7/HD7)-1)*100),)</f>
        <v>0</v>
      </c>
      <c r="HR29" s="1467">
        <f t="shared" ref="HR29:HR30" si="238">IFERROR((((HR7/HE7)-1)*100),)</f>
        <v>0</v>
      </c>
      <c r="HS29" s="1467">
        <f t="shared" ref="HS29:HS30" si="239">IFERROR((((HS7/HF7)-1)*100),)</f>
        <v>0</v>
      </c>
      <c r="HT29" s="1467">
        <f t="shared" ref="HT29:HT30" si="240">IFERROR((((HT7/HG7)-1)*100),)</f>
        <v>0</v>
      </c>
      <c r="HU29" s="1467">
        <f t="shared" ref="HU29:HU30" si="241">IFERROR((((HU7/HH7)-1)*100),)</f>
        <v>0</v>
      </c>
      <c r="HV29" s="1467">
        <f t="shared" ref="HV29:HV30" si="242">IFERROR((((HV7/HI7)-1)*100),)</f>
        <v>0</v>
      </c>
      <c r="HW29" s="1467">
        <f t="shared" ref="HW29:HW30" si="243">IFERROR((((HW7/HJ7)-1)*100),)</f>
        <v>0</v>
      </c>
      <c r="HX29" s="1467">
        <f t="shared" ref="HX29:HX30" si="244">IFERROR((((HX7/HK7)-1)*100),)</f>
        <v>0</v>
      </c>
      <c r="HY29" s="1467">
        <f t="shared" ref="HY29:HY30" si="245">IFERROR((((HY7/HL7)-1)*100),)</f>
        <v>0</v>
      </c>
      <c r="HZ29" s="1468">
        <f t="shared" ref="HZ29:HZ30" si="246">IFERROR((((HZ7/HM7)-1)*100),)</f>
        <v>0</v>
      </c>
      <c r="IA29" s="1469">
        <f t="shared" ref="IA29:IA30" si="247">IFERROR((((IA7/HN7)-1)*100),)</f>
        <v>0</v>
      </c>
      <c r="IB29" s="1467">
        <f t="shared" ref="IB29:IB30" si="248">IFERROR((((IB7/HO7)-1)*100),)</f>
        <v>0</v>
      </c>
      <c r="IC29" s="1467">
        <f t="shared" ref="IC29:IC30" si="249">IFERROR((((IC7/HP7)-1)*100),)</f>
        <v>0</v>
      </c>
      <c r="ID29" s="1467">
        <f t="shared" ref="ID29:ID30" si="250">IFERROR((((ID7/HQ7)-1)*100),)</f>
        <v>0</v>
      </c>
      <c r="IE29" s="1467">
        <f t="shared" ref="IE29:IE30" si="251">IFERROR((((IE7/HR7)-1)*100),)</f>
        <v>0</v>
      </c>
      <c r="IF29" s="1467">
        <f t="shared" ref="IF29:IF30" si="252">IFERROR((((IF7/HS7)-1)*100),)</f>
        <v>0</v>
      </c>
      <c r="IG29" s="1467">
        <f t="shared" ref="IG29:IG30" si="253">IFERROR((((IG7/HT7)-1)*100),)</f>
        <v>0</v>
      </c>
      <c r="IH29" s="1467">
        <f t="shared" ref="IH29:IH30" si="254">IFERROR((((IH7/HU7)-1)*100),)</f>
        <v>0</v>
      </c>
      <c r="II29" s="1467">
        <f t="shared" ref="II29:II30" si="255">IFERROR((((II7/HV7)-1)*100),)</f>
        <v>0</v>
      </c>
      <c r="IJ29" s="1467">
        <f t="shared" ref="IJ29:IJ30" si="256">IFERROR((((IJ7/HW7)-1)*100),)</f>
        <v>0</v>
      </c>
      <c r="IK29" s="1467">
        <f t="shared" ref="IK29:IK30" si="257">IFERROR((((IK7/HX7)-1)*100),)</f>
        <v>0</v>
      </c>
      <c r="IL29" s="1467">
        <f t="shared" ref="IL29:IL30" si="258">IFERROR((((IL7/HY7)-1)*100),)</f>
        <v>0</v>
      </c>
      <c r="IM29" s="1468">
        <f t="shared" ref="IM29:IM30" si="259">IFERROR((((IM7/HZ7)-1)*100),)</f>
        <v>0</v>
      </c>
      <c r="IN29" s="1469">
        <f t="shared" ref="IN29:IN30" si="260">IFERROR((((IN7/IA7)-1)*100),)</f>
        <v>0</v>
      </c>
      <c r="IO29" s="1467">
        <f t="shared" ref="IO29:IO30" si="261">IFERROR((((IO7/IB7)-1)*100),)</f>
        <v>0</v>
      </c>
      <c r="IP29" s="1467">
        <f t="shared" ref="IP29:IP30" si="262">IFERROR((((IP7/IC7)-1)*100),)</f>
        <v>0</v>
      </c>
      <c r="IQ29" s="1467">
        <f t="shared" ref="IQ29:IQ30" si="263">IFERROR((((IQ7/ID7)-1)*100),)</f>
        <v>0</v>
      </c>
      <c r="IR29" s="1467">
        <f t="shared" ref="IR29:IR30" si="264">IFERROR((((IR7/IE7)-1)*100),)</f>
        <v>0</v>
      </c>
      <c r="IS29" s="1467">
        <f t="shared" ref="IS29:IS30" si="265">IFERROR((((IS7/IF7)-1)*100),)</f>
        <v>0</v>
      </c>
      <c r="IT29" s="1467">
        <f t="shared" ref="IT29:IT30" si="266">IFERROR((((IT7/IG7)-1)*100),)</f>
        <v>0</v>
      </c>
      <c r="IU29" s="1467">
        <f t="shared" ref="IU29:IU30" si="267">IFERROR((((IU7/IH7)-1)*100),)</f>
        <v>0</v>
      </c>
      <c r="IV29" s="1467">
        <f t="shared" ref="IV29:IV30" si="268">IFERROR((((IV7/II7)-1)*100),)</f>
        <v>0</v>
      </c>
      <c r="IW29" s="1467">
        <f t="shared" ref="IW29:IW30" si="269">IFERROR((((IW7/IJ7)-1)*100),)</f>
        <v>0</v>
      </c>
      <c r="IX29" s="1467">
        <f t="shared" ref="IX29:IX30" si="270">IFERROR((((IX7/IK7)-1)*100),)</f>
        <v>0</v>
      </c>
      <c r="IY29" s="1467">
        <f t="shared" ref="IY29:IY30" si="271">IFERROR((((IY7/IL7)-1)*100),)</f>
        <v>0</v>
      </c>
      <c r="IZ29" s="1468">
        <f t="shared" ref="IZ29:IZ30" si="272">IFERROR((((IZ7/IM7)-1)*100),)</f>
        <v>0</v>
      </c>
      <c r="JA29" s="1469">
        <f t="shared" ref="JA29:JA30" si="273">IFERROR((((JA7/IN7)-1)*100),)</f>
        <v>0</v>
      </c>
      <c r="JB29" s="1467">
        <f t="shared" ref="JB29:JB30" si="274">IFERROR((((JB7/IO7)-1)*100),)</f>
        <v>0</v>
      </c>
      <c r="JC29" s="1467">
        <f t="shared" ref="JC29:JC30" si="275">IFERROR((((JC7/IP7)-1)*100),)</f>
        <v>0</v>
      </c>
      <c r="JD29" s="1467">
        <f t="shared" ref="JD29:JD30" si="276">IFERROR((((JD7/IQ7)-1)*100),)</f>
        <v>0</v>
      </c>
      <c r="JE29" s="1467">
        <f t="shared" ref="JE29:JE30" si="277">IFERROR((((JE7/IR7)-1)*100),)</f>
        <v>0</v>
      </c>
      <c r="JF29" s="1467">
        <f t="shared" ref="JF29:JF30" si="278">IFERROR((((JF7/IS7)-1)*100),)</f>
        <v>0</v>
      </c>
      <c r="JG29" s="1467">
        <f t="shared" ref="JG29:JG30" si="279">IFERROR((((JG7/IT7)-1)*100),)</f>
        <v>0</v>
      </c>
      <c r="JH29" s="1467">
        <f t="shared" ref="JH29:JH30" si="280">IFERROR((((JH7/IU7)-1)*100),)</f>
        <v>0</v>
      </c>
      <c r="JI29" s="1467">
        <f t="shared" ref="JI29:JI30" si="281">IFERROR((((JI7/IV7)-1)*100),)</f>
        <v>0</v>
      </c>
      <c r="JJ29" s="1467">
        <f t="shared" ref="JJ29:JJ30" si="282">IFERROR((((JJ7/IW7)-1)*100),)</f>
        <v>0</v>
      </c>
      <c r="JK29" s="1467">
        <f t="shared" ref="JK29:JK30" si="283">IFERROR((((JK7/IX7)-1)*100),)</f>
        <v>0</v>
      </c>
      <c r="JL29" s="1467">
        <f t="shared" ref="JL29:JL30" si="284">IFERROR((((JL7/IY7)-1)*100),)</f>
        <v>0</v>
      </c>
      <c r="JM29" s="1468">
        <f t="shared" ref="JM29:JM30" si="285">IFERROR((((JM7/IZ7)-1)*100),)</f>
        <v>0</v>
      </c>
      <c r="JN29" s="1469">
        <f t="shared" ref="JN29:KA30" si="286">IFERROR((((JN7/JA7)-1)*100),)</f>
        <v>0</v>
      </c>
      <c r="JO29" s="1467">
        <f t="shared" si="286"/>
        <v>0</v>
      </c>
      <c r="JP29" s="1467">
        <f t="shared" si="286"/>
        <v>0</v>
      </c>
      <c r="JQ29" s="1467">
        <f t="shared" si="286"/>
        <v>0</v>
      </c>
      <c r="JR29" s="1467">
        <f t="shared" si="286"/>
        <v>0</v>
      </c>
      <c r="JS29" s="1467">
        <f>IFERROR((((JS7/JF7)-1)*100),)</f>
        <v>0</v>
      </c>
      <c r="JT29" s="1467">
        <f>IFERROR((((JT7/JG7)-1)*100),)</f>
        <v>0</v>
      </c>
      <c r="JU29" s="1467">
        <f t="shared" si="286"/>
        <v>0</v>
      </c>
      <c r="JV29" s="1467">
        <f t="shared" si="286"/>
        <v>0</v>
      </c>
      <c r="JW29" s="1467">
        <f t="shared" si="286"/>
        <v>0</v>
      </c>
      <c r="JX29" s="1467">
        <f t="shared" si="286"/>
        <v>0</v>
      </c>
      <c r="JY29" s="1467">
        <f t="shared" si="286"/>
        <v>0</v>
      </c>
      <c r="JZ29" s="1468">
        <f t="shared" si="286"/>
        <v>0</v>
      </c>
      <c r="KA29" s="1469">
        <f t="shared" si="286"/>
        <v>0</v>
      </c>
      <c r="KB29" s="129"/>
      <c r="KC29" s="129"/>
      <c r="KD29" s="66"/>
      <c r="KE29" s="66"/>
      <c r="KF29" s="66"/>
    </row>
    <row r="30" spans="1:292" ht="15" customHeight="1" x14ac:dyDescent="0.2">
      <c r="A30" s="1168" t="s">
        <v>255</v>
      </c>
      <c r="B30" s="1470"/>
      <c r="C30" s="1470"/>
      <c r="D30" s="1470"/>
      <c r="E30" s="1470"/>
      <c r="F30" s="1470"/>
      <c r="G30" s="1470"/>
      <c r="H30" s="1470"/>
      <c r="I30" s="1470"/>
      <c r="J30" s="1470"/>
      <c r="K30" s="1470"/>
      <c r="L30" s="1470"/>
      <c r="M30" s="1471"/>
      <c r="N30" s="1469"/>
      <c r="O30" s="1470">
        <f t="shared" si="27"/>
        <v>0</v>
      </c>
      <c r="P30" s="1470">
        <f t="shared" si="28"/>
        <v>0</v>
      </c>
      <c r="Q30" s="1470">
        <f t="shared" si="29"/>
        <v>0</v>
      </c>
      <c r="R30" s="1470">
        <f t="shared" si="30"/>
        <v>0</v>
      </c>
      <c r="S30" s="1470">
        <f t="shared" si="31"/>
        <v>0</v>
      </c>
      <c r="T30" s="1470">
        <f t="shared" si="32"/>
        <v>0</v>
      </c>
      <c r="U30" s="1470">
        <f t="shared" si="33"/>
        <v>0</v>
      </c>
      <c r="V30" s="1470">
        <f t="shared" si="34"/>
        <v>0</v>
      </c>
      <c r="W30" s="1470">
        <f t="shared" si="35"/>
        <v>0</v>
      </c>
      <c r="X30" s="1470">
        <f t="shared" si="36"/>
        <v>0</v>
      </c>
      <c r="Y30" s="1470">
        <f t="shared" si="37"/>
        <v>0</v>
      </c>
      <c r="Z30" s="1471">
        <f t="shared" si="38"/>
        <v>0</v>
      </c>
      <c r="AA30" s="1469">
        <f t="shared" si="39"/>
        <v>0</v>
      </c>
      <c r="AB30" s="1470">
        <f t="shared" si="40"/>
        <v>0</v>
      </c>
      <c r="AC30" s="1470">
        <f t="shared" si="41"/>
        <v>0</v>
      </c>
      <c r="AD30" s="1470">
        <f t="shared" si="42"/>
        <v>0</v>
      </c>
      <c r="AE30" s="1470">
        <f t="shared" si="43"/>
        <v>0</v>
      </c>
      <c r="AF30" s="1470">
        <f t="shared" si="44"/>
        <v>0</v>
      </c>
      <c r="AG30" s="1470">
        <f t="shared" si="45"/>
        <v>0</v>
      </c>
      <c r="AH30" s="1470">
        <f t="shared" si="46"/>
        <v>0</v>
      </c>
      <c r="AI30" s="1470">
        <f t="shared" si="47"/>
        <v>0</v>
      </c>
      <c r="AJ30" s="1470">
        <f t="shared" si="48"/>
        <v>0</v>
      </c>
      <c r="AK30" s="1470">
        <f t="shared" si="49"/>
        <v>0</v>
      </c>
      <c r="AL30" s="1470">
        <f t="shared" si="50"/>
        <v>0</v>
      </c>
      <c r="AM30" s="1471">
        <f t="shared" si="51"/>
        <v>0</v>
      </c>
      <c r="AN30" s="1469">
        <f t="shared" si="52"/>
        <v>0</v>
      </c>
      <c r="AO30" s="1470">
        <f t="shared" si="53"/>
        <v>0</v>
      </c>
      <c r="AP30" s="1470">
        <f t="shared" si="54"/>
        <v>0</v>
      </c>
      <c r="AQ30" s="1470">
        <f t="shared" si="55"/>
        <v>0</v>
      </c>
      <c r="AR30" s="1470">
        <f t="shared" si="56"/>
        <v>0</v>
      </c>
      <c r="AS30" s="1470">
        <f t="shared" si="57"/>
        <v>0</v>
      </c>
      <c r="AT30" s="1470">
        <f t="shared" si="58"/>
        <v>0</v>
      </c>
      <c r="AU30" s="1470">
        <f t="shared" si="59"/>
        <v>0</v>
      </c>
      <c r="AV30" s="1470">
        <f t="shared" si="60"/>
        <v>0</v>
      </c>
      <c r="AW30" s="1470">
        <f t="shared" si="61"/>
        <v>0</v>
      </c>
      <c r="AX30" s="1470">
        <f t="shared" si="62"/>
        <v>0</v>
      </c>
      <c r="AY30" s="1470">
        <f t="shared" si="63"/>
        <v>0</v>
      </c>
      <c r="AZ30" s="1471">
        <f t="shared" si="64"/>
        <v>0</v>
      </c>
      <c r="BA30" s="1469">
        <f t="shared" si="65"/>
        <v>0</v>
      </c>
      <c r="BB30" s="1470">
        <f t="shared" si="66"/>
        <v>0</v>
      </c>
      <c r="BC30" s="1470">
        <f t="shared" si="67"/>
        <v>0</v>
      </c>
      <c r="BD30" s="1470">
        <f t="shared" si="68"/>
        <v>0</v>
      </c>
      <c r="BE30" s="1470">
        <f t="shared" si="69"/>
        <v>0</v>
      </c>
      <c r="BF30" s="1470">
        <f t="shared" si="70"/>
        <v>0</v>
      </c>
      <c r="BG30" s="1470">
        <f t="shared" si="71"/>
        <v>0</v>
      </c>
      <c r="BH30" s="1470">
        <f t="shared" si="72"/>
        <v>0</v>
      </c>
      <c r="BI30" s="1470">
        <f t="shared" si="73"/>
        <v>0</v>
      </c>
      <c r="BJ30" s="1470">
        <f t="shared" si="74"/>
        <v>0</v>
      </c>
      <c r="BK30" s="1470">
        <f t="shared" si="75"/>
        <v>0</v>
      </c>
      <c r="BL30" s="1470">
        <f t="shared" si="76"/>
        <v>0</v>
      </c>
      <c r="BM30" s="1471">
        <f t="shared" si="77"/>
        <v>0</v>
      </c>
      <c r="BN30" s="1469">
        <f t="shared" si="78"/>
        <v>0</v>
      </c>
      <c r="BO30" s="1470">
        <f t="shared" si="79"/>
        <v>0</v>
      </c>
      <c r="BP30" s="1470">
        <f t="shared" si="80"/>
        <v>0</v>
      </c>
      <c r="BQ30" s="1470">
        <f t="shared" si="81"/>
        <v>0</v>
      </c>
      <c r="BR30" s="1470">
        <f t="shared" si="82"/>
        <v>0</v>
      </c>
      <c r="BS30" s="1470">
        <f t="shared" si="83"/>
        <v>0</v>
      </c>
      <c r="BT30" s="1470">
        <f t="shared" si="84"/>
        <v>0</v>
      </c>
      <c r="BU30" s="1470">
        <f t="shared" si="85"/>
        <v>0</v>
      </c>
      <c r="BV30" s="1470">
        <f t="shared" si="86"/>
        <v>0</v>
      </c>
      <c r="BW30" s="1470">
        <f t="shared" si="87"/>
        <v>0</v>
      </c>
      <c r="BX30" s="1470">
        <f t="shared" si="88"/>
        <v>0</v>
      </c>
      <c r="BY30" s="1470">
        <f t="shared" si="89"/>
        <v>0</v>
      </c>
      <c r="BZ30" s="1471">
        <f t="shared" si="90"/>
        <v>0</v>
      </c>
      <c r="CA30" s="1469">
        <f t="shared" si="91"/>
        <v>0</v>
      </c>
      <c r="CB30" s="1470">
        <f t="shared" si="92"/>
        <v>65.282989059599501</v>
      </c>
      <c r="CC30" s="1470">
        <f t="shared" si="93"/>
        <v>52.851587111912579</v>
      </c>
      <c r="CD30" s="1470">
        <f t="shared" si="94"/>
        <v>-20.952102602895163</v>
      </c>
      <c r="CE30" s="1470">
        <f t="shared" si="95"/>
        <v>15.21872459385829</v>
      </c>
      <c r="CF30" s="1470">
        <f t="shared" si="96"/>
        <v>0</v>
      </c>
      <c r="CG30" s="1470">
        <f t="shared" si="97"/>
        <v>0</v>
      </c>
      <c r="CH30" s="1470">
        <f t="shared" si="98"/>
        <v>152.91147107951679</v>
      </c>
      <c r="CI30" s="1470">
        <f t="shared" si="99"/>
        <v>335.10448448563704</v>
      </c>
      <c r="CJ30" s="1470">
        <f t="shared" si="100"/>
        <v>125.94643429603943</v>
      </c>
      <c r="CK30" s="1470">
        <f t="shared" si="101"/>
        <v>298.27900552486193</v>
      </c>
      <c r="CL30" s="1470">
        <f t="shared" si="102"/>
        <v>203.09908223487506</v>
      </c>
      <c r="CM30" s="1471">
        <f t="shared" si="103"/>
        <v>22.861635936823422</v>
      </c>
      <c r="CN30" s="1469">
        <f t="shared" si="104"/>
        <v>94.920344767611283</v>
      </c>
      <c r="CO30" s="1470">
        <f t="shared" si="105"/>
        <v>40.224144523035775</v>
      </c>
      <c r="CP30" s="1470">
        <f t="shared" si="106"/>
        <v>76.785638139098538</v>
      </c>
      <c r="CQ30" s="1470">
        <f t="shared" si="107"/>
        <v>71.062876530590046</v>
      </c>
      <c r="CR30" s="1470">
        <f t="shared" si="108"/>
        <v>94.241220088882343</v>
      </c>
      <c r="CS30" s="1470">
        <f t="shared" si="109"/>
        <v>50.753116891336013</v>
      </c>
      <c r="CT30" s="1470">
        <f t="shared" si="110"/>
        <v>18.580169455764928</v>
      </c>
      <c r="CU30" s="1470">
        <f t="shared" si="111"/>
        <v>-9.1864162071666815</v>
      </c>
      <c r="CV30" s="1470">
        <f t="shared" si="112"/>
        <v>5.2916038210155669</v>
      </c>
      <c r="CW30" s="1470">
        <f t="shared" si="113"/>
        <v>95.755136787524719</v>
      </c>
      <c r="CX30" s="1470">
        <f t="shared" si="114"/>
        <v>-100</v>
      </c>
      <c r="CY30" s="1470">
        <f t="shared" si="115"/>
        <v>-46.568051397740632</v>
      </c>
      <c r="CZ30" s="1471">
        <f t="shared" si="116"/>
        <v>10.688580544631577</v>
      </c>
      <c r="DA30" s="1469">
        <f t="shared" si="117"/>
        <v>22.073701173513129</v>
      </c>
      <c r="DB30" s="1470">
        <f t="shared" si="118"/>
        <v>89.174519861624702</v>
      </c>
      <c r="DC30" s="1470">
        <f t="shared" si="119"/>
        <v>78.509173943107058</v>
      </c>
      <c r="DD30" s="1470">
        <f t="shared" si="120"/>
        <v>-41.871257294699504</v>
      </c>
      <c r="DE30" s="1470">
        <f t="shared" si="121"/>
        <v>-10.558919125613409</v>
      </c>
      <c r="DF30" s="1470">
        <f t="shared" si="122"/>
        <v>-63.017988707205987</v>
      </c>
      <c r="DG30" s="1470">
        <f t="shared" si="123"/>
        <v>-33.515006789343069</v>
      </c>
      <c r="DH30" s="1470">
        <f t="shared" si="124"/>
        <v>85.647600040591314</v>
      </c>
      <c r="DI30" s="1470">
        <f t="shared" si="125"/>
        <v>-29.309575717974635</v>
      </c>
      <c r="DJ30" s="1470">
        <f t="shared" si="126"/>
        <v>-30.683218354451249</v>
      </c>
      <c r="DK30" s="1470">
        <f t="shared" si="127"/>
        <v>0</v>
      </c>
      <c r="DL30" s="1470">
        <f t="shared" si="128"/>
        <v>14.897698722939756</v>
      </c>
      <c r="DM30" s="1471">
        <f t="shared" si="129"/>
        <v>-8.9676554382436819</v>
      </c>
      <c r="DN30" s="1469">
        <f t="shared" si="130"/>
        <v>-6.3932266655048808</v>
      </c>
      <c r="DO30" s="1470">
        <f t="shared" si="131"/>
        <v>-63.172971682603738</v>
      </c>
      <c r="DP30" s="1470">
        <f t="shared" si="132"/>
        <v>-99.284745900125671</v>
      </c>
      <c r="DQ30" s="1470">
        <f t="shared" si="133"/>
        <v>-100</v>
      </c>
      <c r="DR30" s="1470">
        <f t="shared" si="134"/>
        <v>-100</v>
      </c>
      <c r="DS30" s="1470">
        <f t="shared" si="135"/>
        <v>-100</v>
      </c>
      <c r="DT30" s="1470">
        <f t="shared" si="136"/>
        <v>-100</v>
      </c>
      <c r="DU30" s="1470">
        <f t="shared" si="137"/>
        <v>-91.684128054224445</v>
      </c>
      <c r="DV30" s="1470">
        <f t="shared" si="138"/>
        <v>-100</v>
      </c>
      <c r="DW30" s="1470">
        <f t="shared" si="139"/>
        <v>-100</v>
      </c>
      <c r="DX30" s="1470">
        <f t="shared" si="140"/>
        <v>-100</v>
      </c>
      <c r="DY30" s="1470">
        <f t="shared" si="141"/>
        <v>-100</v>
      </c>
      <c r="DZ30" s="1471">
        <f t="shared" si="142"/>
        <v>-92.373755039673043</v>
      </c>
      <c r="EA30" s="1469">
        <f t="shared" si="143"/>
        <v>-80.459267839874229</v>
      </c>
      <c r="EB30" s="1470">
        <f t="shared" si="144"/>
        <v>-100</v>
      </c>
      <c r="EC30" s="1470">
        <f t="shared" si="145"/>
        <v>-100</v>
      </c>
      <c r="ED30" s="1470">
        <f t="shared" si="146"/>
        <v>0</v>
      </c>
      <c r="EE30" s="1470">
        <f t="shared" si="147"/>
        <v>0</v>
      </c>
      <c r="EF30" s="1470">
        <f t="shared" si="148"/>
        <v>0</v>
      </c>
      <c r="EG30" s="1470">
        <f t="shared" si="149"/>
        <v>0</v>
      </c>
      <c r="EH30" s="1470">
        <f t="shared" si="150"/>
        <v>-100</v>
      </c>
      <c r="EI30" s="1470">
        <f t="shared" si="151"/>
        <v>0</v>
      </c>
      <c r="EJ30" s="1470">
        <f t="shared" si="152"/>
        <v>0</v>
      </c>
      <c r="EK30" s="1470">
        <f t="shared" si="153"/>
        <v>0</v>
      </c>
      <c r="EL30" s="1470">
        <f t="shared" si="154"/>
        <v>0</v>
      </c>
      <c r="EM30" s="1471">
        <f t="shared" si="155"/>
        <v>-100</v>
      </c>
      <c r="EN30" s="1469">
        <f t="shared" si="156"/>
        <v>-3.2213885911635209</v>
      </c>
      <c r="EO30" s="1470">
        <f t="shared" si="157"/>
        <v>0</v>
      </c>
      <c r="EP30" s="1470">
        <f t="shared" si="158"/>
        <v>0</v>
      </c>
      <c r="EQ30" s="1470">
        <f t="shared" si="159"/>
        <v>0</v>
      </c>
      <c r="ER30" s="1470">
        <f t="shared" si="160"/>
        <v>0</v>
      </c>
      <c r="ES30" s="1470">
        <f t="shared" si="161"/>
        <v>0</v>
      </c>
      <c r="ET30" s="1470">
        <f t="shared" si="162"/>
        <v>-100</v>
      </c>
      <c r="EU30" s="1470">
        <f t="shared" si="163"/>
        <v>0</v>
      </c>
      <c r="EV30" s="1470">
        <f t="shared" si="164"/>
        <v>0</v>
      </c>
      <c r="EW30" s="1470">
        <f t="shared" si="165"/>
        <v>0</v>
      </c>
      <c r="EX30" s="1470">
        <f t="shared" si="166"/>
        <v>0</v>
      </c>
      <c r="EY30" s="1470">
        <f t="shared" si="167"/>
        <v>-100</v>
      </c>
      <c r="EZ30" s="1471">
        <f t="shared" si="168"/>
        <v>0</v>
      </c>
      <c r="FA30" s="1469">
        <f t="shared" si="169"/>
        <v>31.515509615318884</v>
      </c>
      <c r="FB30" s="1470">
        <f t="shared" si="170"/>
        <v>0</v>
      </c>
      <c r="FC30" s="1470">
        <f t="shared" si="171"/>
        <v>-100</v>
      </c>
      <c r="FD30" s="1470">
        <f t="shared" si="172"/>
        <v>-100</v>
      </c>
      <c r="FE30" s="1470">
        <f t="shared" si="173"/>
        <v>0</v>
      </c>
      <c r="FF30" s="1470">
        <f t="shared" si="174"/>
        <v>0</v>
      </c>
      <c r="FG30" s="1470">
        <f t="shared" si="175"/>
        <v>0</v>
      </c>
      <c r="FH30" s="1470">
        <f t="shared" si="176"/>
        <v>0</v>
      </c>
      <c r="FI30" s="1470">
        <f t="shared" si="177"/>
        <v>0</v>
      </c>
      <c r="FJ30" s="1470">
        <f t="shared" si="178"/>
        <v>0</v>
      </c>
      <c r="FK30" s="1470">
        <f t="shared" si="179"/>
        <v>0</v>
      </c>
      <c r="FL30" s="1470">
        <f t="shared" si="180"/>
        <v>0</v>
      </c>
      <c r="FM30" s="1471">
        <f t="shared" si="181"/>
        <v>0</v>
      </c>
      <c r="FN30" s="1469">
        <f t="shared" si="182"/>
        <v>-21.45420421538876</v>
      </c>
      <c r="FO30" s="1470">
        <f t="shared" si="183"/>
        <v>0</v>
      </c>
      <c r="FP30" s="1470">
        <f t="shared" si="184"/>
        <v>0</v>
      </c>
      <c r="FQ30" s="1470">
        <f t="shared" si="185"/>
        <v>0</v>
      </c>
      <c r="FR30" s="1470">
        <f t="shared" si="186"/>
        <v>0</v>
      </c>
      <c r="FS30" s="1470">
        <f t="shared" si="187"/>
        <v>0</v>
      </c>
      <c r="FT30" s="1470">
        <f t="shared" si="188"/>
        <v>-100</v>
      </c>
      <c r="FU30" s="1470">
        <f t="shared" si="189"/>
        <v>197.6079803624589</v>
      </c>
      <c r="FV30" s="1470">
        <f t="shared" si="190"/>
        <v>146.60512820512827</v>
      </c>
      <c r="FW30" s="1470">
        <f t="shared" si="191"/>
        <v>-100</v>
      </c>
      <c r="FX30" s="1470">
        <f t="shared" si="192"/>
        <v>-100</v>
      </c>
      <c r="FY30" s="1470">
        <f t="shared" si="193"/>
        <v>-59.784318130757129</v>
      </c>
      <c r="FZ30" s="1471">
        <f t="shared" si="194"/>
        <v>288.46153846153845</v>
      </c>
      <c r="GA30" s="1469">
        <f t="shared" si="195"/>
        <v>56.934561626429492</v>
      </c>
      <c r="GB30" s="1470">
        <f t="shared" si="196"/>
        <v>0</v>
      </c>
      <c r="GC30" s="1470">
        <f t="shared" si="197"/>
        <v>-100</v>
      </c>
      <c r="GD30" s="1470">
        <f t="shared" si="198"/>
        <v>0</v>
      </c>
      <c r="GE30" s="1470">
        <f t="shared" si="199"/>
        <v>0</v>
      </c>
      <c r="GF30" s="1470">
        <f t="shared" si="200"/>
        <v>0</v>
      </c>
      <c r="GG30" s="1470">
        <f t="shared" si="201"/>
        <v>0</v>
      </c>
      <c r="GH30" s="1470">
        <f t="shared" si="202"/>
        <v>-100</v>
      </c>
      <c r="GI30" s="1470">
        <f t="shared" si="203"/>
        <v>-100</v>
      </c>
      <c r="GJ30" s="1470">
        <f t="shared" si="204"/>
        <v>0</v>
      </c>
      <c r="GK30" s="1470">
        <f t="shared" si="205"/>
        <v>0</v>
      </c>
      <c r="GL30" s="1470">
        <f t="shared" si="206"/>
        <v>-100</v>
      </c>
      <c r="GM30" s="1471">
        <f t="shared" si="207"/>
        <v>-50.470297029702969</v>
      </c>
      <c r="GN30" s="1469">
        <f t="shared" si="208"/>
        <v>-44.331147231274755</v>
      </c>
      <c r="GO30" s="1470">
        <f t="shared" si="209"/>
        <v>-100</v>
      </c>
      <c r="GP30" s="1470">
        <f t="shared" si="210"/>
        <v>0</v>
      </c>
      <c r="GQ30" s="1470">
        <f t="shared" si="211"/>
        <v>0</v>
      </c>
      <c r="GR30" s="1470">
        <f t="shared" si="212"/>
        <v>0</v>
      </c>
      <c r="GS30" s="1470">
        <f t="shared" si="213"/>
        <v>0</v>
      </c>
      <c r="GT30" s="1470">
        <f t="shared" si="214"/>
        <v>0</v>
      </c>
      <c r="GU30" s="1470">
        <f t="shared" si="215"/>
        <v>0</v>
      </c>
      <c r="GV30" s="1470">
        <f t="shared" si="216"/>
        <v>0</v>
      </c>
      <c r="GW30" s="1470">
        <f t="shared" si="217"/>
        <v>-100</v>
      </c>
      <c r="GX30" s="1470">
        <f t="shared" si="218"/>
        <v>0</v>
      </c>
      <c r="GY30" s="1470">
        <f t="shared" si="219"/>
        <v>0</v>
      </c>
      <c r="GZ30" s="1471">
        <f t="shared" si="220"/>
        <v>-100</v>
      </c>
      <c r="HA30" s="1469">
        <f t="shared" si="221"/>
        <v>-100</v>
      </c>
      <c r="HB30" s="1470">
        <f t="shared" si="222"/>
        <v>0</v>
      </c>
      <c r="HC30" s="1470">
        <f t="shared" si="223"/>
        <v>0</v>
      </c>
      <c r="HD30" s="1470">
        <f t="shared" si="224"/>
        <v>0</v>
      </c>
      <c r="HE30" s="1470">
        <f t="shared" si="225"/>
        <v>0</v>
      </c>
      <c r="HF30" s="1470">
        <f t="shared" si="226"/>
        <v>0</v>
      </c>
      <c r="HG30" s="1470">
        <f t="shared" si="227"/>
        <v>0</v>
      </c>
      <c r="HH30" s="1470">
        <f t="shared" si="228"/>
        <v>0</v>
      </c>
      <c r="HI30" s="1470">
        <f t="shared" si="229"/>
        <v>0</v>
      </c>
      <c r="HJ30" s="1470">
        <f t="shared" si="230"/>
        <v>0</v>
      </c>
      <c r="HK30" s="1470">
        <f t="shared" si="231"/>
        <v>0</v>
      </c>
      <c r="HL30" s="1470">
        <f t="shared" si="232"/>
        <v>0</v>
      </c>
      <c r="HM30" s="1471">
        <f t="shared" si="233"/>
        <v>0</v>
      </c>
      <c r="HN30" s="1469">
        <f t="shared" si="234"/>
        <v>0</v>
      </c>
      <c r="HO30" s="1470">
        <f t="shared" si="235"/>
        <v>0</v>
      </c>
      <c r="HP30" s="1470">
        <f t="shared" si="236"/>
        <v>0</v>
      </c>
      <c r="HQ30" s="1470">
        <f t="shared" si="237"/>
        <v>0</v>
      </c>
      <c r="HR30" s="1470">
        <f t="shared" si="238"/>
        <v>0</v>
      </c>
      <c r="HS30" s="1470">
        <f t="shared" si="239"/>
        <v>0</v>
      </c>
      <c r="HT30" s="1470">
        <f t="shared" si="240"/>
        <v>0</v>
      </c>
      <c r="HU30" s="1470">
        <f t="shared" si="241"/>
        <v>0</v>
      </c>
      <c r="HV30" s="1470">
        <f t="shared" si="242"/>
        <v>0</v>
      </c>
      <c r="HW30" s="1470">
        <f t="shared" si="243"/>
        <v>0</v>
      </c>
      <c r="HX30" s="1470">
        <f t="shared" si="244"/>
        <v>0</v>
      </c>
      <c r="HY30" s="1470">
        <f t="shared" si="245"/>
        <v>0</v>
      </c>
      <c r="HZ30" s="1471">
        <f t="shared" si="246"/>
        <v>0</v>
      </c>
      <c r="IA30" s="1469">
        <f t="shared" si="247"/>
        <v>0</v>
      </c>
      <c r="IB30" s="1470">
        <f t="shared" si="248"/>
        <v>0</v>
      </c>
      <c r="IC30" s="1470">
        <f t="shared" si="249"/>
        <v>0</v>
      </c>
      <c r="ID30" s="1470">
        <f t="shared" si="250"/>
        <v>0</v>
      </c>
      <c r="IE30" s="1470">
        <f t="shared" si="251"/>
        <v>0</v>
      </c>
      <c r="IF30" s="1470">
        <f t="shared" si="252"/>
        <v>0</v>
      </c>
      <c r="IG30" s="1470">
        <f t="shared" si="253"/>
        <v>0</v>
      </c>
      <c r="IH30" s="1470">
        <f t="shared" si="254"/>
        <v>0</v>
      </c>
      <c r="II30" s="1470">
        <f t="shared" si="255"/>
        <v>0</v>
      </c>
      <c r="IJ30" s="1470">
        <f t="shared" si="256"/>
        <v>0</v>
      </c>
      <c r="IK30" s="1470">
        <f t="shared" si="257"/>
        <v>0</v>
      </c>
      <c r="IL30" s="1470">
        <f t="shared" si="258"/>
        <v>0</v>
      </c>
      <c r="IM30" s="1471">
        <f t="shared" si="259"/>
        <v>0</v>
      </c>
      <c r="IN30" s="1469">
        <f t="shared" si="260"/>
        <v>0</v>
      </c>
      <c r="IO30" s="1470">
        <f t="shared" si="261"/>
        <v>0</v>
      </c>
      <c r="IP30" s="1470">
        <f t="shared" si="262"/>
        <v>0</v>
      </c>
      <c r="IQ30" s="1470">
        <f t="shared" si="263"/>
        <v>0</v>
      </c>
      <c r="IR30" s="1470">
        <f t="shared" si="264"/>
        <v>0</v>
      </c>
      <c r="IS30" s="1470">
        <f t="shared" si="265"/>
        <v>0</v>
      </c>
      <c r="IT30" s="1470">
        <f t="shared" si="266"/>
        <v>0</v>
      </c>
      <c r="IU30" s="1470">
        <f t="shared" si="267"/>
        <v>0</v>
      </c>
      <c r="IV30" s="1470">
        <f t="shared" si="268"/>
        <v>0</v>
      </c>
      <c r="IW30" s="1470">
        <f t="shared" si="269"/>
        <v>0</v>
      </c>
      <c r="IX30" s="1470">
        <f t="shared" si="270"/>
        <v>0</v>
      </c>
      <c r="IY30" s="1470">
        <f t="shared" si="271"/>
        <v>0</v>
      </c>
      <c r="IZ30" s="1471">
        <f t="shared" si="272"/>
        <v>0</v>
      </c>
      <c r="JA30" s="1469">
        <f t="shared" si="273"/>
        <v>0</v>
      </c>
      <c r="JB30" s="1470">
        <f t="shared" si="274"/>
        <v>0</v>
      </c>
      <c r="JC30" s="1470">
        <f t="shared" si="275"/>
        <v>0</v>
      </c>
      <c r="JD30" s="1470">
        <f t="shared" si="276"/>
        <v>0</v>
      </c>
      <c r="JE30" s="1470">
        <f t="shared" si="277"/>
        <v>0</v>
      </c>
      <c r="JF30" s="1470">
        <f t="shared" si="278"/>
        <v>0</v>
      </c>
      <c r="JG30" s="1470">
        <f t="shared" si="279"/>
        <v>0</v>
      </c>
      <c r="JH30" s="1470">
        <f t="shared" si="280"/>
        <v>0</v>
      </c>
      <c r="JI30" s="1470">
        <f t="shared" si="281"/>
        <v>0</v>
      </c>
      <c r="JJ30" s="1470">
        <f t="shared" si="282"/>
        <v>0</v>
      </c>
      <c r="JK30" s="1470">
        <f t="shared" si="283"/>
        <v>0</v>
      </c>
      <c r="JL30" s="1470">
        <f t="shared" si="284"/>
        <v>0</v>
      </c>
      <c r="JM30" s="1471">
        <f t="shared" si="285"/>
        <v>0</v>
      </c>
      <c r="JN30" s="1469">
        <f t="shared" si="286"/>
        <v>0</v>
      </c>
      <c r="JO30" s="1470">
        <f t="shared" si="286"/>
        <v>0</v>
      </c>
      <c r="JP30" s="1470">
        <f t="shared" si="286"/>
        <v>0</v>
      </c>
      <c r="JQ30" s="1470">
        <f t="shared" si="286"/>
        <v>0</v>
      </c>
      <c r="JR30" s="1470">
        <f t="shared" si="286"/>
        <v>0</v>
      </c>
      <c r="JS30" s="1470">
        <f t="shared" si="286"/>
        <v>0</v>
      </c>
      <c r="JT30" s="1470">
        <f t="shared" ref="JT30:JT41" si="287">IFERROR((((JT8/JG8)-1)*100),)</f>
        <v>0</v>
      </c>
      <c r="JU30" s="1470">
        <f t="shared" si="286"/>
        <v>0</v>
      </c>
      <c r="JV30" s="1470">
        <f t="shared" si="286"/>
        <v>0</v>
      </c>
      <c r="JW30" s="1470">
        <f t="shared" si="286"/>
        <v>0</v>
      </c>
      <c r="JX30" s="1470">
        <f t="shared" si="286"/>
        <v>0</v>
      </c>
      <c r="JY30" s="1470">
        <f t="shared" si="286"/>
        <v>0</v>
      </c>
      <c r="JZ30" s="1471">
        <f t="shared" si="286"/>
        <v>0</v>
      </c>
      <c r="KA30" s="1469">
        <f t="shared" si="286"/>
        <v>0</v>
      </c>
      <c r="KC30"/>
      <c r="KD30" s="66"/>
      <c r="KE30" s="66"/>
      <c r="KF30" s="66"/>
    </row>
    <row r="31" spans="1:292" ht="15" customHeight="1" x14ac:dyDescent="0.2">
      <c r="A31" s="1313"/>
      <c r="B31" s="1470"/>
      <c r="C31" s="1470"/>
      <c r="D31" s="1470"/>
      <c r="E31" s="1470"/>
      <c r="F31" s="1470"/>
      <c r="G31" s="1470"/>
      <c r="H31" s="1470"/>
      <c r="I31" s="1470"/>
      <c r="J31" s="1470"/>
      <c r="K31" s="1470"/>
      <c r="L31" s="1470"/>
      <c r="M31" s="1471"/>
      <c r="N31" s="1469"/>
      <c r="O31" s="1470"/>
      <c r="P31" s="1470"/>
      <c r="Q31" s="1470"/>
      <c r="R31" s="1470"/>
      <c r="S31" s="1470"/>
      <c r="T31" s="1470"/>
      <c r="U31" s="1470"/>
      <c r="V31" s="1470"/>
      <c r="W31" s="1470"/>
      <c r="X31" s="1470"/>
      <c r="Y31" s="1470"/>
      <c r="Z31" s="1471"/>
      <c r="AA31" s="1469"/>
      <c r="AB31" s="1470"/>
      <c r="AC31" s="1470"/>
      <c r="AD31" s="1470"/>
      <c r="AE31" s="1470"/>
      <c r="AF31" s="1470"/>
      <c r="AG31" s="1470"/>
      <c r="AH31" s="1470"/>
      <c r="AI31" s="1470"/>
      <c r="AJ31" s="1470"/>
      <c r="AK31" s="1470"/>
      <c r="AL31" s="1470"/>
      <c r="AM31" s="1471"/>
      <c r="AN31" s="1469"/>
      <c r="AO31" s="1470"/>
      <c r="AP31" s="1470"/>
      <c r="AQ31" s="1470"/>
      <c r="AR31" s="1470"/>
      <c r="AS31" s="1470"/>
      <c r="AT31" s="1470"/>
      <c r="AU31" s="1470"/>
      <c r="AV31" s="1470"/>
      <c r="AW31" s="1470"/>
      <c r="AX31" s="1470"/>
      <c r="AY31" s="1470"/>
      <c r="AZ31" s="1471"/>
      <c r="BA31" s="1469"/>
      <c r="BB31" s="1470"/>
      <c r="BC31" s="1470"/>
      <c r="BD31" s="1470"/>
      <c r="BE31" s="1470"/>
      <c r="BF31" s="1470"/>
      <c r="BG31" s="1470"/>
      <c r="BH31" s="1470"/>
      <c r="BI31" s="1470"/>
      <c r="BJ31" s="1470"/>
      <c r="BK31" s="1470"/>
      <c r="BL31" s="1470"/>
      <c r="BM31" s="1471"/>
      <c r="BN31" s="1469"/>
      <c r="BO31" s="1470"/>
      <c r="BP31" s="1470"/>
      <c r="BQ31" s="1470"/>
      <c r="BR31" s="1470"/>
      <c r="BS31" s="1470"/>
      <c r="BT31" s="1470"/>
      <c r="BU31" s="1470"/>
      <c r="BV31" s="1470"/>
      <c r="BW31" s="1470"/>
      <c r="BX31" s="1470"/>
      <c r="BY31" s="1470"/>
      <c r="BZ31" s="1471"/>
      <c r="CA31" s="1469"/>
      <c r="CB31" s="1470"/>
      <c r="CC31" s="1470"/>
      <c r="CD31" s="1470"/>
      <c r="CE31" s="1470"/>
      <c r="CF31" s="1470"/>
      <c r="CG31" s="1470"/>
      <c r="CH31" s="1470"/>
      <c r="CI31" s="1470"/>
      <c r="CJ31" s="1470"/>
      <c r="CK31" s="1470"/>
      <c r="CL31" s="1470"/>
      <c r="CM31" s="1471"/>
      <c r="CN31" s="1469"/>
      <c r="CO31" s="1470"/>
      <c r="CP31" s="1470"/>
      <c r="CQ31" s="1470"/>
      <c r="CR31" s="1470"/>
      <c r="CS31" s="1470"/>
      <c r="CT31" s="1470"/>
      <c r="CU31" s="1470"/>
      <c r="CV31" s="1470"/>
      <c r="CW31" s="1470"/>
      <c r="CX31" s="1470"/>
      <c r="CY31" s="1470"/>
      <c r="CZ31" s="1471"/>
      <c r="DA31" s="1469"/>
      <c r="DB31" s="1470"/>
      <c r="DC31" s="1470"/>
      <c r="DD31" s="1470"/>
      <c r="DE31" s="1470"/>
      <c r="DF31" s="1470"/>
      <c r="DG31" s="1470"/>
      <c r="DH31" s="1470"/>
      <c r="DI31" s="1470"/>
      <c r="DJ31" s="1470"/>
      <c r="DK31" s="1470"/>
      <c r="DL31" s="1470"/>
      <c r="DM31" s="1471"/>
      <c r="DN31" s="1469"/>
      <c r="DO31" s="1470"/>
      <c r="DP31" s="1470"/>
      <c r="DQ31" s="1470"/>
      <c r="DR31" s="1470"/>
      <c r="DS31" s="1470"/>
      <c r="DT31" s="1470"/>
      <c r="DU31" s="1470"/>
      <c r="DV31" s="1470"/>
      <c r="DW31" s="1470"/>
      <c r="DX31" s="1470"/>
      <c r="DY31" s="1470"/>
      <c r="DZ31" s="1471"/>
      <c r="EA31" s="1469"/>
      <c r="EB31" s="1470"/>
      <c r="EC31" s="1470"/>
      <c r="ED31" s="1470"/>
      <c r="EE31" s="1470"/>
      <c r="EF31" s="1470"/>
      <c r="EG31" s="1470"/>
      <c r="EH31" s="1470"/>
      <c r="EI31" s="1470"/>
      <c r="EJ31" s="1470"/>
      <c r="EK31" s="1470"/>
      <c r="EL31" s="1470"/>
      <c r="EM31" s="1471"/>
      <c r="EN31" s="1469"/>
      <c r="EO31" s="1470"/>
      <c r="EP31" s="1470"/>
      <c r="EQ31" s="1470"/>
      <c r="ER31" s="1470"/>
      <c r="ES31" s="1470"/>
      <c r="ET31" s="1470"/>
      <c r="EU31" s="1470"/>
      <c r="EV31" s="1470"/>
      <c r="EW31" s="1470"/>
      <c r="EX31" s="1470"/>
      <c r="EY31" s="1470"/>
      <c r="EZ31" s="1471"/>
      <c r="FA31" s="1469"/>
      <c r="FB31" s="1470"/>
      <c r="FC31" s="1470"/>
      <c r="FD31" s="1470"/>
      <c r="FE31" s="1470"/>
      <c r="FF31" s="1470"/>
      <c r="FG31" s="1470"/>
      <c r="FH31" s="1470"/>
      <c r="FI31" s="1470"/>
      <c r="FJ31" s="1470"/>
      <c r="FK31" s="1470"/>
      <c r="FL31" s="1470"/>
      <c r="FM31" s="1471"/>
      <c r="FN31" s="1469"/>
      <c r="FO31" s="1470"/>
      <c r="FP31" s="1470"/>
      <c r="FQ31" s="1470"/>
      <c r="FR31" s="1470"/>
      <c r="FS31" s="1470"/>
      <c r="FT31" s="1470"/>
      <c r="FU31" s="1470"/>
      <c r="FV31" s="1470"/>
      <c r="FW31" s="1470"/>
      <c r="FX31" s="1470"/>
      <c r="FY31" s="1470"/>
      <c r="FZ31" s="1471"/>
      <c r="GA31" s="1469"/>
      <c r="GB31" s="1470"/>
      <c r="GC31" s="1470"/>
      <c r="GD31" s="1470"/>
      <c r="GE31" s="1470"/>
      <c r="GF31" s="1470"/>
      <c r="GG31" s="1470"/>
      <c r="GH31" s="1470"/>
      <c r="GI31" s="1470"/>
      <c r="GJ31" s="1470"/>
      <c r="GK31" s="1470"/>
      <c r="GL31" s="1470"/>
      <c r="GM31" s="1471"/>
      <c r="GN31" s="1469"/>
      <c r="GO31" s="1470"/>
      <c r="GP31" s="1470"/>
      <c r="GQ31" s="1470"/>
      <c r="GR31" s="1470"/>
      <c r="GS31" s="1470"/>
      <c r="GT31" s="1470"/>
      <c r="GU31" s="1470"/>
      <c r="GV31" s="1470"/>
      <c r="GW31" s="1470"/>
      <c r="GX31" s="1470"/>
      <c r="GY31" s="1470"/>
      <c r="GZ31" s="1471"/>
      <c r="HA31" s="1469"/>
      <c r="HB31" s="1470"/>
      <c r="HC31" s="1470"/>
      <c r="HD31" s="1470"/>
      <c r="HE31" s="1470"/>
      <c r="HF31" s="1470"/>
      <c r="HG31" s="1470"/>
      <c r="HH31" s="1470"/>
      <c r="HI31" s="1470"/>
      <c r="HJ31" s="1470"/>
      <c r="HK31" s="1470"/>
      <c r="HL31" s="1470"/>
      <c r="HM31" s="1471"/>
      <c r="HN31" s="1469"/>
      <c r="HO31" s="1470"/>
      <c r="HP31" s="1470"/>
      <c r="HQ31" s="1470"/>
      <c r="HR31" s="1470"/>
      <c r="HS31" s="1470"/>
      <c r="HT31" s="1470"/>
      <c r="HU31" s="1470"/>
      <c r="HV31" s="1470"/>
      <c r="HW31" s="1470"/>
      <c r="HX31" s="1470"/>
      <c r="HY31" s="1470"/>
      <c r="HZ31" s="1471"/>
      <c r="IA31" s="1469"/>
      <c r="IB31" s="1470"/>
      <c r="IC31" s="1470"/>
      <c r="ID31" s="1470"/>
      <c r="IE31" s="1470"/>
      <c r="IF31" s="1470"/>
      <c r="IG31" s="1470"/>
      <c r="IH31" s="1470"/>
      <c r="II31" s="1470"/>
      <c r="IJ31" s="1470"/>
      <c r="IK31" s="1470"/>
      <c r="IL31" s="1470"/>
      <c r="IM31" s="1471"/>
      <c r="IN31" s="1469"/>
      <c r="IO31" s="1470"/>
      <c r="IP31" s="1470"/>
      <c r="IQ31" s="1470"/>
      <c r="IR31" s="1470"/>
      <c r="IS31" s="1470"/>
      <c r="IT31" s="1470"/>
      <c r="IU31" s="1470"/>
      <c r="IV31" s="1470"/>
      <c r="IW31" s="1470"/>
      <c r="IX31" s="1470"/>
      <c r="IY31" s="1470"/>
      <c r="IZ31" s="1471"/>
      <c r="JA31" s="1469"/>
      <c r="JB31" s="1470"/>
      <c r="JC31" s="1470"/>
      <c r="JD31" s="1470"/>
      <c r="JE31" s="1470"/>
      <c r="JF31" s="1470"/>
      <c r="JG31" s="1470"/>
      <c r="JH31" s="1470"/>
      <c r="JI31" s="1470"/>
      <c r="JJ31" s="1470"/>
      <c r="JK31" s="1470"/>
      <c r="JL31" s="1470"/>
      <c r="JM31" s="1471"/>
      <c r="JN31" s="1469"/>
      <c r="JO31" s="1470"/>
      <c r="JP31" s="1470"/>
      <c r="JQ31" s="1470"/>
      <c r="JR31" s="1470"/>
      <c r="JS31" s="1470"/>
      <c r="JT31" s="1470">
        <f t="shared" si="287"/>
        <v>0</v>
      </c>
      <c r="JU31" s="1470"/>
      <c r="JV31" s="1470"/>
      <c r="JW31" s="1470"/>
      <c r="JX31" s="1470"/>
      <c r="JY31" s="1470"/>
      <c r="JZ31" s="1471"/>
      <c r="KA31" s="1469"/>
      <c r="KC31"/>
      <c r="KD31" s="66"/>
      <c r="KE31" s="66"/>
      <c r="KF31" s="66"/>
    </row>
    <row r="32" spans="1:292" ht="15" customHeight="1" x14ac:dyDescent="0.2">
      <c r="A32" s="1163" t="s">
        <v>133</v>
      </c>
      <c r="B32" s="1467"/>
      <c r="C32" s="1467"/>
      <c r="D32" s="1467"/>
      <c r="E32" s="1467"/>
      <c r="F32" s="1467"/>
      <c r="G32" s="1467"/>
      <c r="H32" s="1467"/>
      <c r="I32" s="1467"/>
      <c r="J32" s="1467"/>
      <c r="K32" s="1467"/>
      <c r="L32" s="1467"/>
      <c r="M32" s="1468"/>
      <c r="N32" s="1469"/>
      <c r="O32" s="1467">
        <f t="shared" ref="O32:O40" si="288">IFERROR((((O10/B10)-1)*100),)</f>
        <v>10.471622701838523</v>
      </c>
      <c r="P32" s="1467">
        <f t="shared" ref="P32:P40" si="289">IFERROR((((P10/C10)-1)*100),)</f>
        <v>0.92165898617513342</v>
      </c>
      <c r="Q32" s="1467">
        <f t="shared" ref="Q32:Q40" si="290">IFERROR((((Q10/D10)-1)*100),)</f>
        <v>-3.4059945504087197</v>
      </c>
      <c r="R32" s="1467">
        <f t="shared" ref="R32:R40" si="291">IFERROR((((R10/E10)-1)*100),)</f>
        <v>-3.8067349926793503</v>
      </c>
      <c r="S32" s="1467">
        <f t="shared" ref="S32:S40" si="292">IFERROR((((S10/F10)-1)*100),)</f>
        <v>15.026833631484781</v>
      </c>
      <c r="T32" s="1467">
        <f t="shared" ref="T32:T40" si="293">IFERROR((((T10/G10)-1)*100),)</f>
        <v>-11.261261261261247</v>
      </c>
      <c r="U32" s="1467">
        <f t="shared" ref="U32:U40" si="294">IFERROR((((U10/H10)-1)*100),)</f>
        <v>32.697547683923702</v>
      </c>
      <c r="V32" s="1467">
        <f t="shared" ref="V32:V40" si="295">IFERROR((((V10/I10)-1)*100),)</f>
        <v>33.442622950819676</v>
      </c>
      <c r="W32" s="1467">
        <f t="shared" ref="W32:W40" si="296">IFERROR((((W10/J10)-1)*100),)</f>
        <v>12.671232876712324</v>
      </c>
      <c r="X32" s="1467">
        <f t="shared" ref="X32:X40" si="297">IFERROR((((X10/K10)-1)*100),)</f>
        <v>-5.8688147295742343</v>
      </c>
      <c r="Y32" s="1467">
        <f t="shared" ref="Y32:Y40" si="298">IFERROR((((Y10/L10)-1)*100),)</f>
        <v>-7.6781326781326769</v>
      </c>
      <c r="Z32" s="1468">
        <f t="shared" ref="Z32:Z40" si="299">IFERROR((((Z10/M10)-1)*100),)</f>
        <v>9.7677595628415261</v>
      </c>
      <c r="AA32" s="1469">
        <f t="shared" ref="AA32:AA40" si="300">IFERROR((((AA10/N10)-1)*100),)</f>
        <v>5.5149789551869111</v>
      </c>
      <c r="AB32" s="1467">
        <f t="shared" ref="AB32:AB40" si="301">IFERROR((((AB10/O10)-1)*100),)</f>
        <v>7.8147612156295398</v>
      </c>
      <c r="AC32" s="1467">
        <f t="shared" ref="AC32:AC40" si="302">IFERROR((((AC10/P10)-1)*100),)</f>
        <v>12.404870624048691</v>
      </c>
      <c r="AD32" s="1467">
        <f t="shared" ref="AD32:AD40" si="303">IFERROR((((AD10/Q10)-1)*100),)</f>
        <v>23.413258110014091</v>
      </c>
      <c r="AE32" s="1467">
        <f t="shared" ref="AE32:AE40" si="304">IFERROR((((AE10/R10)-1)*100),)</f>
        <v>12.024353120243525</v>
      </c>
      <c r="AF32" s="1467">
        <f t="shared" ref="AF32:AF40" si="305">IFERROR((((AF10/S10)-1)*100),)</f>
        <v>17.807153965785382</v>
      </c>
      <c r="AG32" s="1467">
        <f t="shared" ref="AG32:AG40" si="306">IFERROR((((AG10/T10)-1)*100),)</f>
        <v>23.434856175972939</v>
      </c>
      <c r="AH32" s="1467">
        <f t="shared" ref="AH32:AH40" si="307">IFERROR((((AH10/U10)-1)*100),)</f>
        <v>30.869267624914443</v>
      </c>
      <c r="AI32" s="1467">
        <f t="shared" ref="AI32:AI40" si="308">IFERROR((((AI10/V10)-1)*100),)</f>
        <v>29.606879606879598</v>
      </c>
      <c r="AJ32" s="1467">
        <f t="shared" ref="AJ32:AJ40" si="309">IFERROR((((AJ10/W10)-1)*100),)</f>
        <v>54.559270516717341</v>
      </c>
      <c r="AK32" s="1467">
        <f t="shared" ref="AK32:AK40" si="310">IFERROR((((AK10/X10)-1)*100),)</f>
        <v>29.278728606356964</v>
      </c>
      <c r="AL32" s="1467">
        <f t="shared" ref="AL32:AL40" si="311">IFERROR((((AL10/Y10)-1)*100),)</f>
        <v>29.8735861610113</v>
      </c>
      <c r="AM32" s="1468">
        <f t="shared" ref="AM32:AM40" si="312">IFERROR((((AM10/Z10)-1)*100),)</f>
        <v>13.192283758556322</v>
      </c>
      <c r="AN32" s="1469">
        <f t="shared" ref="AN32:AN40" si="313">IFERROR((((AN10/AA10)-1)*100),)</f>
        <v>23.804775033730262</v>
      </c>
      <c r="AO32" s="1467">
        <f t="shared" ref="AO32:AO40" si="314">IFERROR((((AO10/AB10)-1)*100),)</f>
        <v>28.053691275167793</v>
      </c>
      <c r="AP32" s="1467">
        <f t="shared" ref="AP32:AP40" si="315">IFERROR((((AP10/AC10)-1)*100),)</f>
        <v>21.123899796885581</v>
      </c>
      <c r="AQ32" s="1467">
        <f t="shared" ref="AQ32:AQ40" si="316">IFERROR((((AQ10/AD10)-1)*100),)</f>
        <v>22.857142857142865</v>
      </c>
      <c r="AR32" s="1467">
        <f t="shared" ref="AR32:AR40" si="317">IFERROR((((AR10/AE10)-1)*100),)</f>
        <v>49.592391304347828</v>
      </c>
      <c r="AS32" s="1467">
        <f t="shared" ref="AS32:AS40" si="318">IFERROR((((AS10/AF10)-1)*100),)</f>
        <v>68.250825082508257</v>
      </c>
      <c r="AT32" s="1467">
        <f t="shared" ref="AT32:AT40" si="319">IFERROR((((AT10/AG10)-1)*100),)</f>
        <v>57.230980123372177</v>
      </c>
      <c r="AU32" s="1467">
        <f t="shared" ref="AU32:AU40" si="320">IFERROR((((AU10/AH10)-1)*100),)</f>
        <v>22.243723849372387</v>
      </c>
      <c r="AV32" s="1467">
        <f t="shared" ref="AV32:AV40" si="321">IFERROR((((AV10/AI10)-1)*100),)</f>
        <v>5.1658767772511771</v>
      </c>
      <c r="AW32" s="1467">
        <f t="shared" ref="AW32:AW40" si="322">IFERROR((((AW10/AJ10)-1)*100),)</f>
        <v>3.6873156342182911</v>
      </c>
      <c r="AX32" s="1467">
        <f t="shared" ref="AX32:AX40" si="323">IFERROR((((AX10/AK10)-1)*100),)</f>
        <v>1.891252955082745</v>
      </c>
      <c r="AY32" s="1467">
        <f t="shared" ref="AY32:AY40" si="324">IFERROR((((AY10/AL10)-1)*100),)</f>
        <v>10.963114754098369</v>
      </c>
      <c r="AZ32" s="1468">
        <f t="shared" ref="AZ32:AZ40" si="325">IFERROR((((AZ10/AM10)-1)*100),)</f>
        <v>8.1913139087410602</v>
      </c>
      <c r="BA32" s="1469">
        <f t="shared" ref="BA32:BA40" si="326">IFERROR((((BA10/AN10)-1)*100),)</f>
        <v>22.465292584695607</v>
      </c>
      <c r="BB32" s="1467">
        <f t="shared" ref="BB32:BB40" si="327">IFERROR((((BB10/AO10)-1)*100),)</f>
        <v>-2.2536687631027341</v>
      </c>
      <c r="BC32" s="1467">
        <f t="shared" ref="BC32:BC40" si="328">IFERROR((((BC10/AP10)-1)*100),)</f>
        <v>-5.5897149245387467E-2</v>
      </c>
      <c r="BD32" s="1467">
        <f t="shared" ref="BD32:BD40" si="329">IFERROR((((BD10/AQ10)-1)*100),)</f>
        <v>-16.930232558139537</v>
      </c>
      <c r="BE32" s="1467">
        <f t="shared" ref="BE32:BE40" si="330">IFERROR((((BE10/AR10)-1)*100),)</f>
        <v>-30.835603996366935</v>
      </c>
      <c r="BF32" s="1467">
        <f t="shared" ref="BF32:BF40" si="331">IFERROR((((BF10/AS10)-1)*100),)</f>
        <v>-29.148685759121229</v>
      </c>
      <c r="BG32" s="1467">
        <f t="shared" ref="BG32:BG40" si="332">IFERROR((((BG10/AT10)-1)*100),)</f>
        <v>-17.567567567567576</v>
      </c>
      <c r="BH32" s="1467">
        <f t="shared" ref="BH32:BH40" si="333">IFERROR((((BH10/AU10)-1)*100),)</f>
        <v>-13.746630727762799</v>
      </c>
      <c r="BI32" s="1467">
        <f t="shared" ref="BI32:BI40" si="334">IFERROR((((BI10/AV10)-1)*100),)</f>
        <v>-2.0279405137449302</v>
      </c>
      <c r="BJ32" s="1467">
        <f t="shared" ref="BJ32:BJ40" si="335">IFERROR((((BJ10/AW10)-1)*100),)</f>
        <v>-1.3276434329066</v>
      </c>
      <c r="BK32" s="1467">
        <f t="shared" ref="BK32:BK40" si="336">IFERROR((((BK10/AX10)-1)*100),)</f>
        <v>0.78886310904870971</v>
      </c>
      <c r="BL32" s="1467">
        <f t="shared" ref="BL32:BL40" si="337">IFERROR((((BL10/AY10)-1)*100),)</f>
        <v>2.3084025854108958</v>
      </c>
      <c r="BM32" s="1468">
        <f t="shared" ref="BM32:BM40" si="338">IFERROR((((BM10/AZ10)-1)*100),)</f>
        <v>10.060975609756095</v>
      </c>
      <c r="BN32" s="1469">
        <f t="shared" ref="BN32:BN40" si="339">IFERROR((((BN10/BA10)-1)*100),)</f>
        <v>-9.1397995070861331</v>
      </c>
      <c r="BO32" s="1467">
        <f t="shared" ref="BO32:BO40" si="340">IFERROR((((BO10/BB10)-1)*100),)</f>
        <v>-8.6281721991193763</v>
      </c>
      <c r="BP32" s="1467">
        <f t="shared" ref="BP32:BP40" si="341">IFERROR((((BP10/BC10)-1)*100),)</f>
        <v>-43.296856972192508</v>
      </c>
      <c r="BQ32" s="1467">
        <f t="shared" ref="BQ32:BQ40" si="342">IFERROR((((BQ10/BD10)-1)*100),)</f>
        <v>-40.595836413871545</v>
      </c>
      <c r="BR32" s="1467">
        <f t="shared" ref="BR32:BR40" si="343">IFERROR((((BR10/BE10)-1)*100),)</f>
        <v>-28.612381296459986</v>
      </c>
      <c r="BS32" s="1467">
        <f t="shared" ref="BS32:BS40" si="344">IFERROR((((BS10/BF10)-1)*100),)</f>
        <v>-35.990247798750964</v>
      </c>
      <c r="BT32" s="1467">
        <f t="shared" ref="BT32:BT40" si="345">IFERROR((((BT10/BG10)-1)*100),)</f>
        <v>-37.215296715699296</v>
      </c>
      <c r="BU32" s="1467">
        <f t="shared" ref="BU32:BU40" si="346">IFERROR((((BU10/BH10)-1)*100),)</f>
        <v>-45.387557471307602</v>
      </c>
      <c r="BV32" s="1467">
        <f t="shared" ref="BV32:BV40" si="347">IFERROR((((BV10/BI10)-1)*100),)</f>
        <v>-50.619604463246979</v>
      </c>
      <c r="BW32" s="1467">
        <f t="shared" ref="BW32:BW40" si="348">IFERROR((((BW10/BJ10)-1)*100),)</f>
        <v>-42.075623578348953</v>
      </c>
      <c r="BX32" s="1467">
        <f t="shared" ref="BX32:BX40" si="349">IFERROR((((BX10/BK10)-1)*100),)</f>
        <v>-44.56773276949415</v>
      </c>
      <c r="BY32" s="1467">
        <f t="shared" ref="BY32:BY40" si="350">IFERROR((((BY10/BL10)-1)*100),)</f>
        <v>-44.681833784174266</v>
      </c>
      <c r="BZ32" s="1468">
        <f t="shared" ref="BZ32:BZ40" si="351">IFERROR((((BZ10/BM10)-1)*100),)</f>
        <v>-52.968861468862706</v>
      </c>
      <c r="CA32" s="1469">
        <f t="shared" ref="CA32:CA40" si="352">IFERROR((((CA10/BN10)-1)*100),)</f>
        <v>-40.223725830168618</v>
      </c>
      <c r="CB32" s="1467">
        <f t="shared" ref="CB32:CB40" si="353">IFERROR((((CB10/BO10)-1)*100),)</f>
        <v>-40.60637424085143</v>
      </c>
      <c r="CC32" s="1467">
        <f t="shared" ref="CC32:CC40" si="354">IFERROR((((CC10/BP10)-1)*100),)</f>
        <v>-2.5602157899424438</v>
      </c>
      <c r="CD32" s="1467">
        <f t="shared" ref="CD32:CD40" si="355">IFERROR((((CD10/BQ10)-1)*100),)</f>
        <v>4.3575811314152446</v>
      </c>
      <c r="CE32" s="1467">
        <f t="shared" ref="CE32:CE40" si="356">IFERROR((((CE10/BR10)-1)*100),)</f>
        <v>0.75933300814394755</v>
      </c>
      <c r="CF32" s="1467">
        <f t="shared" ref="CF32:CF40" si="357">IFERROR((((CF10/BS10)-1)*100),)</f>
        <v>4.1404894850338936</v>
      </c>
      <c r="CG32" s="1467">
        <f t="shared" ref="CG32:CG40" si="358">IFERROR((((CG10/BT10)-1)*100),)</f>
        <v>-1.5585993294359612</v>
      </c>
      <c r="CH32" s="1467">
        <f t="shared" ref="CH32:CH40" si="359">IFERROR((((CH10/BU10)-1)*100),)</f>
        <v>-5.273364774189071</v>
      </c>
      <c r="CI32" s="1467">
        <f t="shared" ref="CI32:CI40" si="360">IFERROR((((CI10/BV10)-1)*100),)</f>
        <v>-0.3489620002478766</v>
      </c>
      <c r="CJ32" s="1467">
        <f t="shared" ref="CJ32:CJ40" si="361">IFERROR((((CJ10/BW10)-1)*100),)</f>
        <v>-6.1271133055052385</v>
      </c>
      <c r="CK32" s="1467">
        <f t="shared" ref="CK32:CK40" si="362">IFERROR((((CK10/BX10)-1)*100),)</f>
        <v>-1.080712849919796</v>
      </c>
      <c r="CL32" s="1467">
        <f t="shared" ref="CL32:CL40" si="363">IFERROR((((CL10/BY10)-1)*100),)</f>
        <v>-1.5673923719257576</v>
      </c>
      <c r="CM32" s="1468">
        <f t="shared" ref="CM32:CM40" si="364">IFERROR((((CM10/BZ10)-1)*100),)</f>
        <v>14.451946402242966</v>
      </c>
      <c r="CN32" s="1469">
        <f t="shared" ref="CN32:CN40" si="365">IFERROR((((CN10/CA10)-1)*100),)</f>
        <v>-4.6641157571947307</v>
      </c>
      <c r="CO32" s="1467">
        <f t="shared" ref="CO32:CO40" si="366">IFERROR((((CO10/CB10)-1)*100),)</f>
        <v>15.924621327196387</v>
      </c>
      <c r="CP32" s="1467">
        <f t="shared" ref="CP32:CP40" si="367">IFERROR((((CP10/CC10)-1)*100),)</f>
        <v>4.0584747605381555</v>
      </c>
      <c r="CQ32" s="1467">
        <f t="shared" ref="CQ32:CQ40" si="368">IFERROR((((CQ10/CD10)-1)*100),)</f>
        <v>2.5252452668427017</v>
      </c>
      <c r="CR32" s="1467">
        <f t="shared" ref="CR32:CR40" si="369">IFERROR((((CR10/CE10)-1)*100),)</f>
        <v>-2.7795510482837238</v>
      </c>
      <c r="CS32" s="1467">
        <f t="shared" ref="CS32:CS40" si="370">IFERROR((((CS10/CF10)-1)*100),)</f>
        <v>-11.639695390284366</v>
      </c>
      <c r="CT32" s="1467">
        <f t="shared" ref="CT32:CT40" si="371">IFERROR((((CT10/CG10)-1)*100),)</f>
        <v>4.3856853028102272</v>
      </c>
      <c r="CU32" s="1467">
        <f t="shared" ref="CU32:CU40" si="372">IFERROR((((CU10/CH10)-1)*100),)</f>
        <v>13.425864087769845</v>
      </c>
      <c r="CV32" s="1467">
        <f t="shared" ref="CV32:CV40" si="373">IFERROR((((CV10/CI10)-1)*100),)</f>
        <v>17.028288437369365</v>
      </c>
      <c r="CW32" s="1467">
        <f t="shared" ref="CW32:CW40" si="374">IFERROR((((CW10/CJ10)-1)*100),)</f>
        <v>-4.1304269667918891E-2</v>
      </c>
      <c r="CX32" s="1467">
        <f t="shared" ref="CX32:CX40" si="375">IFERROR((((CX10/CK10)-1)*100),)</f>
        <v>17.798398410499459</v>
      </c>
      <c r="CY32" s="1467">
        <f t="shared" ref="CY32:CY40" si="376">IFERROR((((CY10/CL10)-1)*100),)</f>
        <v>7.236254728560132</v>
      </c>
      <c r="CZ32" s="1468">
        <f t="shared" ref="CZ32:CZ40" si="377">IFERROR((((CZ10/CM10)-1)*100),)</f>
        <v>-8.3894363163220742</v>
      </c>
      <c r="DA32" s="1469">
        <f t="shared" ref="DA32:DA40" si="378">IFERROR((((DA10/CN10)-1)*100),)</f>
        <v>4.7306294884619238</v>
      </c>
      <c r="DB32" s="1467">
        <f t="shared" ref="DB32:DB40" si="379">IFERROR((((DB10/CO10)-1)*100),)</f>
        <v>6.8761037317238261</v>
      </c>
      <c r="DC32" s="1467">
        <f t="shared" ref="DC32:DC40" si="380">IFERROR((((DC10/CP10)-1)*100),)</f>
        <v>20.898853039521814</v>
      </c>
      <c r="DD32" s="1467">
        <f t="shared" ref="DD32:DD40" si="381">IFERROR((((DD10/CQ10)-1)*100),)</f>
        <v>-9.1969965905869255</v>
      </c>
      <c r="DE32" s="1467">
        <f t="shared" ref="DE32:DE40" si="382">IFERROR((((DE10/CR10)-1)*100),)</f>
        <v>10.985298956146883</v>
      </c>
      <c r="DF32" s="1467">
        <f t="shared" ref="DF32:DF40" si="383">IFERROR((((DF10/CS10)-1)*100),)</f>
        <v>26.284908076264024</v>
      </c>
      <c r="DG32" s="1467">
        <f t="shared" ref="DG32:DG40" si="384">IFERROR((((DG10/CT10)-1)*100),)</f>
        <v>-0.13575048370869647</v>
      </c>
      <c r="DH32" s="1467">
        <f t="shared" ref="DH32:DH40" si="385">IFERROR((((DH10/CU10)-1)*100),)</f>
        <v>13.542421207180277</v>
      </c>
      <c r="DI32" s="1467">
        <f t="shared" ref="DI32:DI40" si="386">IFERROR((((DI10/CV10)-1)*100),)</f>
        <v>9.991027462087775</v>
      </c>
      <c r="DJ32" s="1467">
        <f t="shared" ref="DJ32:DJ40" si="387">IFERROR((((DJ10/CW10)-1)*100),)</f>
        <v>24.255180897294927</v>
      </c>
      <c r="DK32" s="1467">
        <f t="shared" ref="DK32:DK40" si="388">IFERROR((((DK10/CX10)-1)*100),)</f>
        <v>23.09134977683587</v>
      </c>
      <c r="DL32" s="1467">
        <f t="shared" ref="DL32:DL40" si="389">IFERROR((((DL10/CY10)-1)*100),)</f>
        <v>27.122281035986305</v>
      </c>
      <c r="DM32" s="1468">
        <f t="shared" ref="DM32:DM40" si="390">IFERROR((((DM10/CZ10)-1)*100),)</f>
        <v>36.624007701599147</v>
      </c>
      <c r="DN32" s="1469">
        <f t="shared" ref="DN32:DN40" si="391">IFERROR((((DN10/DA10)-1)*100),)</f>
        <v>15.780166086237823</v>
      </c>
      <c r="DO32" s="1467">
        <f t="shared" ref="DO32:DO40" si="392">IFERROR((((DO10/DB10)-1)*100),)</f>
        <v>22.221968601379594</v>
      </c>
      <c r="DP32" s="1467">
        <f t="shared" ref="DP32:DP40" si="393">IFERROR((((DP10/DC10)-1)*100),)</f>
        <v>11.50038699168865</v>
      </c>
      <c r="DQ32" s="1467">
        <f t="shared" ref="DQ32:DQ40" si="394">IFERROR((((DQ10/DD10)-1)*100),)</f>
        <v>35.926260248107191</v>
      </c>
      <c r="DR32" s="1467">
        <f t="shared" ref="DR32:DR40" si="395">IFERROR((((DR10/DE10)-1)*100),)</f>
        <v>5.9158628890783937</v>
      </c>
      <c r="DS32" s="1467">
        <f t="shared" ref="DS32:DS40" si="396">IFERROR((((DS10/DF10)-1)*100),)</f>
        <v>5.5213460667221881</v>
      </c>
      <c r="DT32" s="1467">
        <f t="shared" ref="DT32:DT40" si="397">IFERROR((((DT10/DG10)-1)*100),)</f>
        <v>0.14782758535005769</v>
      </c>
      <c r="DU32" s="1467">
        <f t="shared" ref="DU32:DU40" si="398">IFERROR((((DU10/DH10)-1)*100),)</f>
        <v>-5.3805943920649746</v>
      </c>
      <c r="DV32" s="1467">
        <f t="shared" ref="DV32:DV40" si="399">IFERROR((((DV10/DI10)-1)*100),)</f>
        <v>-12.55003907820047</v>
      </c>
      <c r="DW32" s="1467">
        <f t="shared" ref="DW32:DW40" si="400">IFERROR((((DW10/DJ10)-1)*100),)</f>
        <v>10.794015687157454</v>
      </c>
      <c r="DX32" s="1467">
        <f t="shared" ref="DX32:DX40" si="401">IFERROR((((DX10/DK10)-1)*100),)</f>
        <v>-13.033798420831012</v>
      </c>
      <c r="DY32" s="1467">
        <f t="shared" ref="DY32:DY40" si="402">IFERROR((((DY10/DL10)-1)*100),)</f>
        <v>-3.7251284285655606</v>
      </c>
      <c r="DZ32" s="1468">
        <f t="shared" ref="DZ32:DZ40" si="403">IFERROR((((DZ10/DM10)-1)*100),)</f>
        <v>8.6139438956686973</v>
      </c>
      <c r="EA32" s="1469">
        <f t="shared" ref="EA32:EA40" si="404">IFERROR((((EA10/DN10)-1)*100),)</f>
        <v>4.2134351055157504</v>
      </c>
      <c r="EB32" s="1467">
        <f t="shared" ref="EB32:EB40" si="405">IFERROR((((EB10/DO10)-1)*100),)</f>
        <v>-13.246612382469081</v>
      </c>
      <c r="EC32" s="1467">
        <f t="shared" ref="EC32:EC40" si="406">IFERROR((((EC10/DP10)-1)*100),)</f>
        <v>-14.168222035050205</v>
      </c>
      <c r="ED32" s="1467">
        <f t="shared" ref="ED32:ED40" si="407">IFERROR((((ED10/DQ10)-1)*100),)</f>
        <v>-4.6555201745167807</v>
      </c>
      <c r="EE32" s="1467">
        <f t="shared" ref="EE32:EE40" si="408">IFERROR((((EE10/DR10)-1)*100),)</f>
        <v>-3.2646350610398889</v>
      </c>
      <c r="EF32" s="1467">
        <f t="shared" ref="EF32:EF40" si="409">IFERROR((((EF10/DS10)-1)*100),)</f>
        <v>-6.1471775748939255</v>
      </c>
      <c r="EG32" s="1467">
        <f t="shared" ref="EG32:EG40" si="410">IFERROR((((EG10/DT10)-1)*100),)</f>
        <v>9.3434002715950371</v>
      </c>
      <c r="EH32" s="1467">
        <f t="shared" ref="EH32:EH40" si="411">IFERROR((((EH10/DU10)-1)*100),)</f>
        <v>10.04475321542877</v>
      </c>
      <c r="EI32" s="1467">
        <f t="shared" ref="EI32:EI40" si="412">IFERROR((((EI10/DV10)-1)*100),)</f>
        <v>15.479487957660854</v>
      </c>
      <c r="EJ32" s="1467">
        <f t="shared" ref="EJ32:EJ40" si="413">IFERROR((((EJ10/DW10)-1)*100),)</f>
        <v>-6.7125040392545188</v>
      </c>
      <c r="EK32" s="1467">
        <f t="shared" ref="EK32:EK40" si="414">IFERROR((((EK10/DX10)-1)*100),)</f>
        <v>-18.516560620660893</v>
      </c>
      <c r="EL32" s="1467">
        <f t="shared" ref="EL32:EL40" si="415">IFERROR((((EL10/DY10)-1)*100),)</f>
        <v>2.977104697757893</v>
      </c>
      <c r="EM32" s="1468">
        <f t="shared" ref="EM32:EM40" si="416">IFERROR((((EM10/DZ10)-1)*100),)</f>
        <v>-10.352577067501368</v>
      </c>
      <c r="EN32" s="1469">
        <f t="shared" ref="EN32:EN40" si="417">IFERROR((((EN10/EA10)-1)*100),)</f>
        <v>-3.926724700537787</v>
      </c>
      <c r="EO32" s="1467">
        <f t="shared" ref="EO32:EO40" si="418">IFERROR((((EO10/EB10)-1)*100),)</f>
        <v>34.204062796732892</v>
      </c>
      <c r="EP32" s="1467">
        <f t="shared" ref="EP32:EP40" si="419">IFERROR((((EP10/EC10)-1)*100),)</f>
        <v>21.202877872636861</v>
      </c>
      <c r="EQ32" s="1467">
        <f t="shared" ref="EQ32:EQ40" si="420">IFERROR((((EQ10/ED10)-1)*100),)</f>
        <v>7.7242471712520189</v>
      </c>
      <c r="ER32" s="1467">
        <f t="shared" ref="ER32:ER40" si="421">IFERROR((((ER10/EE10)-1)*100),)</f>
        <v>13.203519614789538</v>
      </c>
      <c r="ES32" s="1467">
        <f t="shared" ref="ES32:ES40" si="422">IFERROR((((ES10/EF10)-1)*100),)</f>
        <v>0.41009244577903115</v>
      </c>
      <c r="ET32" s="1467">
        <f t="shared" ref="ET32:ET40" si="423">IFERROR((((ET10/EG10)-1)*100),)</f>
        <v>-6.19769065300585</v>
      </c>
      <c r="EU32" s="1467">
        <f t="shared" ref="EU32:EU40" si="424">IFERROR((((EU10/EH10)-1)*100),)</f>
        <v>-3.335457898855787</v>
      </c>
      <c r="EV32" s="1467">
        <f t="shared" ref="EV32:EV40" si="425">IFERROR((((EV10/EI10)-1)*100),)</f>
        <v>15.4247539032772</v>
      </c>
      <c r="EW32" s="1467">
        <f t="shared" ref="EW32:EW40" si="426">IFERROR((((EW10/EJ10)-1)*100),)</f>
        <v>-18.762403556858544</v>
      </c>
      <c r="EX32" s="1467">
        <f t="shared" ref="EX32:EX40" si="427">IFERROR((((EX10/EK10)-1)*100),)</f>
        <v>19.216984812869352</v>
      </c>
      <c r="EY32" s="1467">
        <f t="shared" ref="EY32:EY40" si="428">IFERROR((((EY10/EL10)-1)*100),)</f>
        <v>-12.493609587592925</v>
      </c>
      <c r="EZ32" s="1468">
        <f t="shared" ref="EZ32:EZ40" si="429">IFERROR((((EZ10/EM10)-1)*100),)</f>
        <v>5.85376876958561</v>
      </c>
      <c r="FA32" s="1469">
        <f t="shared" ref="FA32:FA40" si="430">IFERROR((((FA10/EN10)-1)*100),)</f>
        <v>5.5560976666029882</v>
      </c>
      <c r="FB32" s="1467">
        <f t="shared" ref="FB32:FB40" si="431">IFERROR((((FB10/EO10)-1)*100),)</f>
        <v>-13.912105439632727</v>
      </c>
      <c r="FC32" s="1467">
        <f t="shared" ref="FC32:FC40" si="432">IFERROR((((FC10/EP10)-1)*100),)</f>
        <v>14.103701378482869</v>
      </c>
      <c r="FD32" s="1467">
        <f t="shared" ref="FD32:FD40" si="433">IFERROR((((FD10/EQ10)-1)*100),)</f>
        <v>25.893675330762235</v>
      </c>
      <c r="FE32" s="1467">
        <f t="shared" ref="FE32:FE40" si="434">IFERROR((((FE10/ER10)-1)*100),)</f>
        <v>22.150663106101455</v>
      </c>
      <c r="FF32" s="1467">
        <f t="shared" ref="FF32:FF40" si="435">IFERROR((((FF10/ES10)-1)*100),)</f>
        <v>24.488554160549715</v>
      </c>
      <c r="FG32" s="1467">
        <f t="shared" ref="FG32:FG40" si="436">IFERROR((((FG10/ET10)-1)*100),)</f>
        <v>16.37843786357913</v>
      </c>
      <c r="FH32" s="1467">
        <f t="shared" ref="FH32:FH40" si="437">IFERROR((((FH10/EU10)-1)*100),)</f>
        <v>33.974814035453058</v>
      </c>
      <c r="FI32" s="1467">
        <f t="shared" ref="FI32:FI40" si="438">IFERROR((((FI10/EV10)-1)*100),)</f>
        <v>12.416097424131456</v>
      </c>
      <c r="FJ32" s="1467">
        <f t="shared" ref="FJ32:FJ40" si="439">IFERROR((((FJ10/EW10)-1)*100),)</f>
        <v>69.416578505117982</v>
      </c>
      <c r="FK32" s="1467">
        <f t="shared" ref="FK32:FK40" si="440">IFERROR((((FK10/EX10)-1)*100),)</f>
        <v>15.184623073013448</v>
      </c>
      <c r="FL32" s="1467">
        <f t="shared" ref="FL32:FL40" si="441">IFERROR((((FL10/EY10)-1)*100),)</f>
        <v>-8.6277141202519942</v>
      </c>
      <c r="FM32" s="1468">
        <f t="shared" ref="FM32:FM40" si="442">IFERROR((((FM10/EZ10)-1)*100),)</f>
        <v>-9.6020262042046944</v>
      </c>
      <c r="FN32" s="1469">
        <f t="shared" ref="FN32:FN40" si="443">IFERROR((((FN10/FA10)-1)*100),)</f>
        <v>15.132104377699584</v>
      </c>
      <c r="FO32" s="1467">
        <f t="shared" ref="FO32:FO40" si="444">IFERROR((((FO10/FB10)-1)*100),)</f>
        <v>-9.5006464471933718</v>
      </c>
      <c r="FP32" s="1467">
        <f t="shared" ref="FP32:FP40" si="445">IFERROR((((FP10/FC10)-1)*100),)</f>
        <v>-26.588112179234912</v>
      </c>
      <c r="FQ32" s="1467">
        <f t="shared" ref="FQ32:FQ40" si="446">IFERROR((((FQ10/FD10)-1)*100),)</f>
        <v>-25.63472484906638</v>
      </c>
      <c r="FR32" s="1467">
        <f t="shared" ref="FR32:FR40" si="447">IFERROR((((FR10/FE10)-1)*100),)</f>
        <v>-18.208317451061983</v>
      </c>
      <c r="FS32" s="1467">
        <f t="shared" ref="FS32:FS40" si="448">IFERROR((((FS10/FF10)-1)*100),)</f>
        <v>-16.194483779076663</v>
      </c>
      <c r="FT32" s="1467">
        <f t="shared" ref="FT32:FT40" si="449">IFERROR((((FT10/FG10)-1)*100),)</f>
        <v>-18.393894730603378</v>
      </c>
      <c r="FU32" s="1467">
        <f t="shared" ref="FU32:FU40" si="450">IFERROR((((FU10/FH10)-1)*100),)</f>
        <v>-29.523351995859592</v>
      </c>
      <c r="FV32" s="1467">
        <f t="shared" ref="FV32:FV40" si="451">IFERROR((((FV10/FI10)-1)*100),)</f>
        <v>-12.99452421951386</v>
      </c>
      <c r="FW32" s="1467">
        <f t="shared" ref="FW32:FW40" si="452">IFERROR((((FW10/FJ10)-1)*100),)</f>
        <v>-28.7621770332822</v>
      </c>
      <c r="FX32" s="1467">
        <f t="shared" ref="FX32:FX40" si="453">IFERROR((((FX10/FK10)-1)*100),)</f>
        <v>-13.67065171861892</v>
      </c>
      <c r="FY32" s="1467">
        <f t="shared" ref="FY32:FY40" si="454">IFERROR((((FY10/FL10)-1)*100),)</f>
        <v>7.842193799798225</v>
      </c>
      <c r="FZ32" s="1468">
        <f t="shared" ref="FZ32:FZ40" si="455">IFERROR((((FZ10/FM10)-1)*100),)</f>
        <v>6.6007938264722732</v>
      </c>
      <c r="GA32" s="1469">
        <f t="shared" ref="GA32:GA40" si="456">IFERROR((((GA10/FN10)-1)*100),)</f>
        <v>-16.569678134367848</v>
      </c>
      <c r="GB32" s="1467">
        <f t="shared" ref="GB32:GB40" si="457">IFERROR((((GB10/FO10)-1)*100),)</f>
        <v>-0.40963132392831669</v>
      </c>
      <c r="GC32" s="1467">
        <f t="shared" ref="GC32:GC40" si="458">IFERROR((((GC10/FP10)-1)*100),)</f>
        <v>9.7787179900077348E-2</v>
      </c>
      <c r="GD32" s="1467">
        <f t="shared" ref="GD32:GD40" si="459">IFERROR((((GD10/FQ10)-1)*100),)</f>
        <v>2.1453764834040268</v>
      </c>
      <c r="GE32" s="1467">
        <f t="shared" ref="GE32:GE40" si="460">IFERROR((((GE10/FR10)-1)*100),)</f>
        <v>-8.790578895053347</v>
      </c>
      <c r="GF32" s="1467">
        <f t="shared" ref="GF32:GF40" si="461">IFERROR((((GF10/FS10)-1)*100),)</f>
        <v>15.305326769355476</v>
      </c>
      <c r="GG32" s="1467">
        <f t="shared" ref="GG32:GG40" si="462">IFERROR((((GG10/FT10)-1)*100),)</f>
        <v>31.886711116546373</v>
      </c>
      <c r="GH32" s="1467">
        <f t="shared" ref="GH32:GH40" si="463">IFERROR((((GH10/FU10)-1)*100),)</f>
        <v>28.411787651213103</v>
      </c>
      <c r="GI32" s="1467">
        <f t="shared" ref="GI32:GI40" si="464">IFERROR((((GI10/FV10)-1)*100),)</f>
        <v>-13.81796732523104</v>
      </c>
      <c r="GJ32" s="1467">
        <f t="shared" ref="GJ32:GJ40" si="465">IFERROR((((GJ10/FW10)-1)*100),)</f>
        <v>-15.446032824682309</v>
      </c>
      <c r="GK32" s="1467">
        <f t="shared" ref="GK32:GK40" si="466">IFERROR((((GK10/FX10)-1)*100),)</f>
        <v>15.960873247916529</v>
      </c>
      <c r="GL32" s="1467">
        <f t="shared" ref="GL32:GL40" si="467">IFERROR((((GL10/FY10)-1)*100),)</f>
        <v>22.991666108485909</v>
      </c>
      <c r="GM32" s="1468">
        <f t="shared" ref="GM32:GM40" si="468">IFERROR((((GM10/FZ10)-1)*100),)</f>
        <v>4.1541689599096765</v>
      </c>
      <c r="GN32" s="1469">
        <f t="shared" ref="GN32:GN40" si="469">IFERROR((((GN10/GA10)-1)*100),)</f>
        <v>6.2953266538489094</v>
      </c>
      <c r="GO32" s="1467">
        <f t="shared" ref="GO32:GO40" si="470">IFERROR((((GO10/GB10)-1)*100),)</f>
        <v>5.5164374616217593</v>
      </c>
      <c r="GP32" s="1467">
        <f t="shared" ref="GP32:GP40" si="471">IFERROR((((GP10/GC10)-1)*100),)</f>
        <v>33.450916149735747</v>
      </c>
      <c r="GQ32" s="1467">
        <f t="shared" ref="GQ32:GQ40" si="472">IFERROR((((GQ10/GD10)-1)*100),)</f>
        <v>-11.86909666060404</v>
      </c>
      <c r="GR32" s="1467">
        <f t="shared" ref="GR32:GR40" si="473">IFERROR((((GR10/GE10)-1)*100),)</f>
        <v>6.2104413098652334</v>
      </c>
      <c r="GS32" s="1467">
        <f t="shared" ref="GS32:GS40" si="474">IFERROR((((GS10/GF10)-1)*100),)</f>
        <v>-8.1249740341162067</v>
      </c>
      <c r="GT32" s="1467">
        <f t="shared" ref="GT32:GT40" si="475">IFERROR((((GT10/GG10)-1)*100),)</f>
        <v>3.5025610094249648</v>
      </c>
      <c r="GU32" s="1467">
        <f t="shared" ref="GU32:GU40" si="476">IFERROR((((GU10/GH10)-1)*100),)</f>
        <v>9.2021804080970817</v>
      </c>
      <c r="GV32" s="1467">
        <f t="shared" ref="GV32:GV40" si="477">IFERROR((((GV10/GI10)-1)*100),)</f>
        <v>42.622585832567708</v>
      </c>
      <c r="GW32" s="1467">
        <f t="shared" ref="GW32:GW40" si="478">IFERROR((((GW10/GJ10)-1)*100),)</f>
        <v>61.725766158976384</v>
      </c>
      <c r="GX32" s="1467">
        <f t="shared" ref="GX32:GX40" si="479">IFERROR((((GX10/GK10)-1)*100),)</f>
        <v>26.064972329298229</v>
      </c>
      <c r="GY32" s="1467">
        <f t="shared" ref="GY32:GY40" si="480">IFERROR((((GY10/GL10)-1)*100),)</f>
        <v>13.472915264520502</v>
      </c>
      <c r="GZ32" s="1468">
        <f t="shared" ref="GZ32:GZ40" si="481">IFERROR((((GZ10/GM10)-1)*100),)</f>
        <v>15.990520529154262</v>
      </c>
      <c r="HA32" s="1469">
        <f t="shared" ref="HA32:HA40" si="482">IFERROR((((HA10/GN10)-1)*100),)</f>
        <v>15.436236235666922</v>
      </c>
      <c r="HB32" s="1467">
        <f t="shared" ref="HB32:HB40" si="483">IFERROR((((HB10/GO10)-1)*100),)</f>
        <v>26.895391630554698</v>
      </c>
      <c r="HC32" s="1467">
        <f t="shared" ref="HC32:HC40" si="484">IFERROR((((HC10/GP10)-1)*100),)</f>
        <v>19.484034256529782</v>
      </c>
      <c r="HD32" s="1467">
        <f t="shared" ref="HD32:HD40" si="485">IFERROR((((HD10/GQ10)-1)*100),)</f>
        <v>54.337546763260015</v>
      </c>
      <c r="HE32" s="1467">
        <f t="shared" ref="HE32:HE40" si="486">IFERROR((((HE10/GR10)-1)*100),)</f>
        <v>35.381095441039619</v>
      </c>
      <c r="HF32" s="1467">
        <f t="shared" ref="HF32:HF40" si="487">IFERROR((((HF10/GS10)-1)*100),)</f>
        <v>28.639607041526393</v>
      </c>
      <c r="HG32" s="1467">
        <f t="shared" ref="HG32:HG40" si="488">IFERROR((((HG10/GT10)-1)*100),)</f>
        <v>28.206106442678337</v>
      </c>
      <c r="HH32" s="1467">
        <f t="shared" ref="HH32:HH40" si="489">IFERROR((((HH10/GU10)-1)*100),)</f>
        <v>15.927361558462838</v>
      </c>
      <c r="HI32" s="1467">
        <f t="shared" ref="HI32:HI40" si="490">IFERROR((((HI10/GV10)-1)*100),)</f>
        <v>-2.1336760897882612</v>
      </c>
      <c r="HJ32" s="1467">
        <f t="shared" ref="HJ32:HJ40" si="491">IFERROR((((HJ10/GW10)-1)*100),)</f>
        <v>5.5402858689740597</v>
      </c>
      <c r="HK32" s="1467">
        <f t="shared" ref="HK32:HK40" si="492">IFERROR((((HK10/GX10)-1)*100),)</f>
        <v>-4.123570250439446</v>
      </c>
      <c r="HL32" s="1467">
        <f t="shared" ref="HL32:HL40" si="493">IFERROR((((HL10/GY10)-1)*100),)</f>
        <v>-1.9596471113207503</v>
      </c>
      <c r="HM32" s="1468">
        <f t="shared" ref="HM32:HM40" si="494">IFERROR((((HM10/GZ10)-1)*100),)</f>
        <v>6.1497314710251771</v>
      </c>
      <c r="HN32" s="1469">
        <f t="shared" ref="HN32:HN40" si="495">IFERROR((((HN10/HA10)-1)*100),)</f>
        <v>15.087344113136169</v>
      </c>
      <c r="HO32" s="1467">
        <f t="shared" ref="HO32:HO40" si="496">IFERROR((((HO10/HB10)-1)*100),)</f>
        <v>2.4895797801854025</v>
      </c>
      <c r="HP32" s="1467">
        <f t="shared" ref="HP32:HP40" si="497">IFERROR((((HP10/HC10)-1)*100),)</f>
        <v>-6.7505038582235999</v>
      </c>
      <c r="HQ32" s="1467">
        <f t="shared" ref="HQ32:HQ40" si="498">IFERROR((((HQ10/HD10)-1)*100),)</f>
        <v>4.2786275924735717</v>
      </c>
      <c r="HR32" s="1467">
        <f t="shared" ref="HR32:HR40" si="499">IFERROR((((HR10/HE10)-1)*100),)</f>
        <v>6.622750296480473</v>
      </c>
      <c r="HS32" s="1467">
        <f t="shared" ref="HS32:HS40" si="500">IFERROR((((HS10/HF10)-1)*100),)</f>
        <v>-9.3125413831949935</v>
      </c>
      <c r="HT32" s="1467">
        <f t="shared" ref="HT32:HT40" si="501">IFERROR((((HT10/HG10)-1)*100),)</f>
        <v>-14.378453338587448</v>
      </c>
      <c r="HU32" s="1467">
        <f t="shared" ref="HU32:HU40" si="502">IFERROR((((HU10/HH10)-1)*100),)</f>
        <v>-9.2203482783949742</v>
      </c>
      <c r="HV32" s="1467">
        <f t="shared" ref="HV32:HV40" si="503">IFERROR((((HV10/HI10)-1)*100),)</f>
        <v>-6.6243873647758296</v>
      </c>
      <c r="HW32" s="1467">
        <f t="shared" ref="HW32:HW40" si="504">IFERROR((((HW10/HJ10)-1)*100),)</f>
        <v>-8.9905505307951827</v>
      </c>
      <c r="HX32" s="1467">
        <f t="shared" ref="HX32:HX40" si="505">IFERROR((((HX10/HK10)-1)*100),)</f>
        <v>-5.0340722474329747</v>
      </c>
      <c r="HY32" s="1467">
        <f t="shared" ref="HY32:HY40" si="506">IFERROR((((HY10/HL10)-1)*100),)</f>
        <v>4.1300761609230907</v>
      </c>
      <c r="HZ32" s="1468">
        <f t="shared" ref="HZ32:HZ40" si="507">IFERROR((((HZ10/HM10)-1)*100),)</f>
        <v>4.709252432635358</v>
      </c>
      <c r="IA32" s="1469">
        <f t="shared" ref="IA32:IA40" si="508">IFERROR((((IA10/HN10)-1)*100),)</f>
        <v>-3.4278131335830464</v>
      </c>
      <c r="IB32" s="1467">
        <f t="shared" ref="IB32:IB40" si="509">IFERROR((((IB10/HO10)-1)*100),)</f>
        <v>-4.157279356236776</v>
      </c>
      <c r="IC32" s="1467">
        <f t="shared" ref="IC32:IC40" si="510">IFERROR((((IC10/HP10)-1)*100),)</f>
        <v>2.7238609764779431</v>
      </c>
      <c r="ID32" s="1467">
        <f t="shared" ref="ID32:ID40" si="511">IFERROR((((ID10/HQ10)-1)*100),)</f>
        <v>-16.328908447725698</v>
      </c>
      <c r="IE32" s="1467">
        <f t="shared" ref="IE32:IE40" si="512">IFERROR((((IE10/HR10)-1)*100),)</f>
        <v>-32.284515075465507</v>
      </c>
      <c r="IF32" s="1467">
        <f t="shared" ref="IF32:IF40" si="513">IFERROR((((IF10/HS10)-1)*100),)</f>
        <v>-16.940942302360217</v>
      </c>
      <c r="IG32" s="1467">
        <f t="shared" ref="IG32:IG40" si="514">IFERROR((((IG10/HT10)-1)*100),)</f>
        <v>1.3345733206615806</v>
      </c>
      <c r="IH32" s="1467">
        <f t="shared" ref="IH32:IH40" si="515">IFERROR((((IH10/HU10)-1)*100),)</f>
        <v>-6.4804636367103763</v>
      </c>
      <c r="II32" s="1467">
        <f t="shared" ref="II32:II40" si="516">IFERROR((((II10/HV10)-1)*100),)</f>
        <v>3.1943537322306925</v>
      </c>
      <c r="IJ32" s="1467">
        <f t="shared" ref="IJ32:IJ40" si="517">IFERROR((((IJ10/HW10)-1)*100),)</f>
        <v>-0.81965123669427431</v>
      </c>
      <c r="IK32" s="1467">
        <f t="shared" ref="IK32:IK40" si="518">IFERROR((((IK10/HX10)-1)*100),)</f>
        <v>-10.155797297886259</v>
      </c>
      <c r="IL32" s="1467">
        <f t="shared" ref="IL32:IL40" si="519">IFERROR((((IL10/HY10)-1)*100),)</f>
        <v>-18.480773194832523</v>
      </c>
      <c r="IM32" s="1468">
        <f t="shared" ref="IM32:IM40" si="520">IFERROR((((IM10/HZ10)-1)*100),)</f>
        <v>-6.77531577799102</v>
      </c>
      <c r="IN32" s="1469">
        <f t="shared" ref="IN32:IN40" si="521">IFERROR((((IN10/IA10)-1)*100),)</f>
        <v>-8.9665252379706359</v>
      </c>
      <c r="IO32" s="1467">
        <f t="shared" ref="IO32:IO40" si="522">IFERROR((((IO10/IB10)-1)*100),)</f>
        <v>8.5432855854953971</v>
      </c>
      <c r="IP32" s="1467">
        <f t="shared" ref="IP32:IP40" si="523">IFERROR((((IP10/IC10)-1)*100),)</f>
        <v>-6.4554924279773935</v>
      </c>
      <c r="IQ32" s="1467">
        <f t="shared" ref="IQ32:IQ40" si="524">IFERROR((((IQ10/ID10)-1)*100),)</f>
        <v>-3.54336869658195</v>
      </c>
      <c r="IR32" s="1467">
        <f t="shared" ref="IR32:IR40" si="525">IFERROR((((IR10/IE10)-1)*100),)</f>
        <v>-8.6181781163280675</v>
      </c>
      <c r="IS32" s="1467">
        <f t="shared" ref="IS32:IS40" si="526">IFERROR((((IS10/IF10)-1)*100),)</f>
        <v>6.0691876718722559</v>
      </c>
      <c r="IT32" s="1467">
        <f t="shared" ref="IT32:IT40" si="527">IFERROR((((IT10/IG10)-1)*100),)</f>
        <v>-5.0724462507465207</v>
      </c>
      <c r="IU32" s="1467">
        <f t="shared" ref="IU32:IU40" si="528">IFERROR((((IU10/IH10)-1)*100),)</f>
        <v>8.0095601037673667</v>
      </c>
      <c r="IV32" s="1467">
        <f t="shared" ref="IV32:IV40" si="529">IFERROR((((IV10/II10)-1)*100),)</f>
        <v>7.431054229029721</v>
      </c>
      <c r="IW32" s="1467">
        <f t="shared" ref="IW32:IW40" si="530">IFERROR((((IW10/IJ10)-1)*100),)</f>
        <v>11.546164443371666</v>
      </c>
      <c r="IX32" s="1467">
        <f t="shared" ref="IX32:IX40" si="531">IFERROR((((IX10/IK10)-1)*100),)</f>
        <v>37.577245001358285</v>
      </c>
      <c r="IY32" s="1467">
        <f t="shared" ref="IY32:IY40" si="532">IFERROR((((IY10/IL10)-1)*100),)</f>
        <v>28.570714819479171</v>
      </c>
      <c r="IZ32" s="1468">
        <f t="shared" ref="IZ32:IZ40" si="533">IFERROR((((IZ10/IM10)-1)*100),)</f>
        <v>3.31605461085831</v>
      </c>
      <c r="JA32" s="1469">
        <f t="shared" ref="JA32:JA40" si="534">IFERROR((((JA10/IN10)-1)*100),)</f>
        <v>7.4871094291320661</v>
      </c>
      <c r="JB32" s="1467">
        <f t="shared" ref="JB32:JB40" si="535">IFERROR((((JB10/IO10)-1)*100),)</f>
        <v>-3.9805221037556904</v>
      </c>
      <c r="JC32" s="1467">
        <f t="shared" ref="JC32:JC40" si="536">IFERROR((((JC10/IP10)-1)*100),)</f>
        <v>-10.405435442723753</v>
      </c>
      <c r="JD32" s="1467">
        <f t="shared" ref="JD32:JD40" si="537">IFERROR((((JD10/IQ10)-1)*100),)</f>
        <v>6.1308798330841574</v>
      </c>
      <c r="JE32" s="1467">
        <f t="shared" ref="JE32:JE40" si="538">IFERROR((((JE10/IR10)-1)*100),)</f>
        <v>42.285255693735756</v>
      </c>
      <c r="JF32" s="1467">
        <f t="shared" ref="JF32:JF40" si="539">IFERROR((((JF10/IS10)-1)*100),)</f>
        <v>16.330377722763288</v>
      </c>
      <c r="JG32" s="1467">
        <f t="shared" ref="JG32:JG40" si="540">IFERROR((((JG10/IT10)-1)*100),)</f>
        <v>2.3853085617453917</v>
      </c>
      <c r="JH32" s="1467">
        <f t="shared" ref="JH32:JH40" si="541">IFERROR((((JH10/IU10)-1)*100),)</f>
        <v>-3.6764065037294347</v>
      </c>
      <c r="JI32" s="1467">
        <f t="shared" ref="JI32:JI40" si="542">IFERROR((((JI10/IV10)-1)*100),)</f>
        <v>-3.3219071063433359</v>
      </c>
      <c r="JJ32" s="1467">
        <f t="shared" ref="JJ32:JJ40" si="543">IFERROR((((JJ10/IW10)-1)*100),)</f>
        <v>-3.4408562257364772</v>
      </c>
      <c r="JK32" s="1467">
        <f t="shared" ref="JK32:JK40" si="544">IFERROR((((JK10/IX10)-1)*100),)</f>
        <v>-14.404943090798817</v>
      </c>
      <c r="JL32" s="1467">
        <f t="shared" ref="JL32:JL40" si="545">IFERROR((((JL10/IY10)-1)*100),)</f>
        <v>20.358866404909449</v>
      </c>
      <c r="JM32" s="1468">
        <f t="shared" ref="JM32:JM40" si="546">IFERROR((((JM10/IZ10)-1)*100),)</f>
        <v>35.098330474487646</v>
      </c>
      <c r="JN32" s="1469">
        <f t="shared" ref="JN32:JQ40" si="547">IFERROR((((JN10/JA10)-1)*100),)</f>
        <v>5.2929754430955267</v>
      </c>
      <c r="JO32" s="1467">
        <f t="shared" si="547"/>
        <v>-4.7425798944032422</v>
      </c>
      <c r="JP32" s="1467">
        <f t="shared" si="547"/>
        <v>14.507589829992028</v>
      </c>
      <c r="JQ32" s="1467">
        <f t="shared" si="547"/>
        <v>21.716472668991482</v>
      </c>
      <c r="JR32" s="1467">
        <f>IFERROR((((JR10/JE10)-1)*100),)</f>
        <v>22.044394863968009</v>
      </c>
      <c r="JS32" s="1467">
        <f t="shared" ref="JS32:KA40" si="548">IFERROR((((JS10/JF10)-1)*100),)</f>
        <v>12.692123286021584</v>
      </c>
      <c r="JT32" s="1467">
        <f t="shared" si="287"/>
        <v>17.208835185932458</v>
      </c>
      <c r="JU32" s="1467">
        <f t="shared" si="548"/>
        <v>18.833177867163322</v>
      </c>
      <c r="JV32" s="1467">
        <f t="shared" si="548"/>
        <v>22.543419022861187</v>
      </c>
      <c r="JW32" s="1467">
        <f t="shared" si="548"/>
        <v>-100</v>
      </c>
      <c r="JX32" s="1467">
        <f t="shared" si="548"/>
        <v>-100</v>
      </c>
      <c r="JY32" s="1467">
        <f t="shared" si="548"/>
        <v>-100</v>
      </c>
      <c r="JZ32" s="1468">
        <f t="shared" si="548"/>
        <v>-100</v>
      </c>
      <c r="KA32" s="1469">
        <f>IFERROR((((KA10/JN10)-1)*100),)</f>
        <v>5.0610313802145201</v>
      </c>
      <c r="KB32" s="129"/>
      <c r="KC32" s="129"/>
      <c r="KD32" s="66"/>
      <c r="KE32" s="66"/>
      <c r="KF32" s="66"/>
    </row>
    <row r="33" spans="1:292" ht="15" customHeight="1" x14ac:dyDescent="0.2">
      <c r="A33" s="1168" t="s">
        <v>370</v>
      </c>
      <c r="B33" s="1470"/>
      <c r="C33" s="1470"/>
      <c r="D33" s="1470"/>
      <c r="E33" s="1470"/>
      <c r="F33" s="1470"/>
      <c r="G33" s="1470"/>
      <c r="H33" s="1470"/>
      <c r="I33" s="1470"/>
      <c r="J33" s="1470"/>
      <c r="K33" s="1470"/>
      <c r="L33" s="1470"/>
      <c r="M33" s="1471"/>
      <c r="N33" s="1469"/>
      <c r="O33" s="1470">
        <f t="shared" si="288"/>
        <v>1.0842368640533673</v>
      </c>
      <c r="P33" s="1470">
        <f t="shared" si="289"/>
        <v>24.215867158671589</v>
      </c>
      <c r="Q33" s="1470">
        <f t="shared" si="290"/>
        <v>4.4639718804920792</v>
      </c>
      <c r="R33" s="1470">
        <f t="shared" si="291"/>
        <v>-26.186632224733607</v>
      </c>
      <c r="S33" s="1470">
        <f t="shared" si="292"/>
        <v>-1.1289622231871577</v>
      </c>
      <c r="T33" s="1470">
        <f t="shared" si="293"/>
        <v>-29.218939700526104</v>
      </c>
      <c r="U33" s="1470">
        <f t="shared" si="294"/>
        <v>21.457130164371385</v>
      </c>
      <c r="V33" s="1470">
        <f t="shared" si="295"/>
        <v>17.28007181328546</v>
      </c>
      <c r="W33" s="1470">
        <f t="shared" si="296"/>
        <v>-13.187325256290761</v>
      </c>
      <c r="X33" s="1470">
        <f t="shared" si="297"/>
        <v>-18.217882209337809</v>
      </c>
      <c r="Y33" s="1470">
        <f t="shared" si="298"/>
        <v>-4.1666666666666741</v>
      </c>
      <c r="Z33" s="1471">
        <f t="shared" si="299"/>
        <v>-2.1019677996422126</v>
      </c>
      <c r="AA33" s="1469">
        <f t="shared" si="300"/>
        <v>-3.5025580480125607</v>
      </c>
      <c r="AB33" s="1470">
        <f t="shared" si="301"/>
        <v>15.841584158415834</v>
      </c>
      <c r="AC33" s="1470">
        <f t="shared" si="302"/>
        <v>-4.4559970293353128</v>
      </c>
      <c r="AD33" s="1470">
        <f t="shared" si="303"/>
        <v>0.57200538358008757</v>
      </c>
      <c r="AE33" s="1470">
        <f t="shared" si="304"/>
        <v>34.514435695538069</v>
      </c>
      <c r="AF33" s="1470">
        <f t="shared" si="305"/>
        <v>38.735177865612648</v>
      </c>
      <c r="AG33" s="1470">
        <f t="shared" si="306"/>
        <v>66.495140080045729</v>
      </c>
      <c r="AH33" s="1470">
        <f t="shared" si="307"/>
        <v>27.980980248719824</v>
      </c>
      <c r="AI33" s="1470">
        <f t="shared" si="308"/>
        <v>32.070417145044019</v>
      </c>
      <c r="AJ33" s="1470">
        <f t="shared" si="309"/>
        <v>78.851315083199111</v>
      </c>
      <c r="AK33" s="1470">
        <f t="shared" si="310"/>
        <v>43.731343283582078</v>
      </c>
      <c r="AL33" s="1470">
        <f t="shared" si="311"/>
        <v>14.673913043478271</v>
      </c>
      <c r="AM33" s="1471">
        <f t="shared" si="312"/>
        <v>64.412973960712634</v>
      </c>
      <c r="AN33" s="1469">
        <f t="shared" si="313"/>
        <v>31.27039151712885</v>
      </c>
      <c r="AO33" s="1470">
        <f t="shared" si="314"/>
        <v>55.199430199430189</v>
      </c>
      <c r="AP33" s="1470">
        <f t="shared" si="315"/>
        <v>35.950252623396814</v>
      </c>
      <c r="AQ33" s="1470">
        <f t="shared" si="316"/>
        <v>60.85647373703582</v>
      </c>
      <c r="AR33" s="1470">
        <f t="shared" si="317"/>
        <v>71.544715447154459</v>
      </c>
      <c r="AS33" s="1470">
        <f t="shared" si="318"/>
        <v>107.91389680278569</v>
      </c>
      <c r="AT33" s="1470">
        <f t="shared" si="319"/>
        <v>88.598901098901123</v>
      </c>
      <c r="AU33" s="1470">
        <f t="shared" si="320"/>
        <v>59.874249785653056</v>
      </c>
      <c r="AV33" s="1470">
        <f t="shared" si="321"/>
        <v>29.585627354390009</v>
      </c>
      <c r="AW33" s="1470">
        <f t="shared" si="322"/>
        <v>18.787515006002398</v>
      </c>
      <c r="AX33" s="1470">
        <f t="shared" si="323"/>
        <v>12.435098650051923</v>
      </c>
      <c r="AY33" s="1470">
        <f t="shared" si="324"/>
        <v>28.406398104265396</v>
      </c>
      <c r="AZ33" s="1471">
        <f t="shared" si="325"/>
        <v>-0.36121144762433222</v>
      </c>
      <c r="BA33" s="1469">
        <f t="shared" si="326"/>
        <v>45.695792880258914</v>
      </c>
      <c r="BB33" s="1470">
        <f t="shared" si="327"/>
        <v>-12.115649380449744</v>
      </c>
      <c r="BC33" s="1470">
        <f t="shared" si="328"/>
        <v>-18.610634648370507</v>
      </c>
      <c r="BD33" s="1470">
        <f t="shared" si="329"/>
        <v>-26.060732113144759</v>
      </c>
      <c r="BE33" s="1470">
        <f t="shared" si="330"/>
        <v>-41.289099526066352</v>
      </c>
      <c r="BF33" s="1470">
        <f t="shared" si="331"/>
        <v>-38.794153471376369</v>
      </c>
      <c r="BG33" s="1470">
        <f t="shared" si="332"/>
        <v>-26.766205389657692</v>
      </c>
      <c r="BH33" s="1470">
        <f t="shared" si="333"/>
        <v>-28.316052913836252</v>
      </c>
      <c r="BI33" s="1470">
        <f t="shared" si="334"/>
        <v>3.7343470483005348</v>
      </c>
      <c r="BJ33" s="1470">
        <f t="shared" si="335"/>
        <v>-8.5144012127337021</v>
      </c>
      <c r="BK33" s="1470">
        <f t="shared" si="336"/>
        <v>-15.654583237127683</v>
      </c>
      <c r="BL33" s="1470">
        <f t="shared" si="337"/>
        <v>-15.801614763552486</v>
      </c>
      <c r="BM33" s="1471">
        <f t="shared" si="338"/>
        <v>-2.3982152816508728</v>
      </c>
      <c r="BN33" s="1469">
        <f t="shared" si="339"/>
        <v>-21.023545091070638</v>
      </c>
      <c r="BO33" s="1470">
        <f t="shared" si="340"/>
        <v>-44.913952679226057</v>
      </c>
      <c r="BP33" s="1470">
        <f t="shared" si="341"/>
        <v>-65.374422114853203</v>
      </c>
      <c r="BQ33" s="1470">
        <f t="shared" si="342"/>
        <v>-71.373046607148822</v>
      </c>
      <c r="BR33" s="1470">
        <f t="shared" si="343"/>
        <v>-63.718872869500018</v>
      </c>
      <c r="BS33" s="1470">
        <f t="shared" si="344"/>
        <v>-68.108882727414596</v>
      </c>
      <c r="BT33" s="1470">
        <f t="shared" si="345"/>
        <v>-68.099274824409378</v>
      </c>
      <c r="BU33" s="1470">
        <f t="shared" si="346"/>
        <v>-69.857473865575841</v>
      </c>
      <c r="BV33" s="1470">
        <f t="shared" si="347"/>
        <v>-77.867448546830801</v>
      </c>
      <c r="BW33" s="1470">
        <f t="shared" si="348"/>
        <v>-66.355656245276123</v>
      </c>
      <c r="BX33" s="1470">
        <f t="shared" si="349"/>
        <v>-67.668139768097049</v>
      </c>
      <c r="BY33" s="1470">
        <f t="shared" si="350"/>
        <v>-62.487889080417212</v>
      </c>
      <c r="BZ33" s="1471">
        <f t="shared" si="351"/>
        <v>-72.120911282599607</v>
      </c>
      <c r="CA33" s="1469">
        <f t="shared" si="352"/>
        <v>-66.740798192669232</v>
      </c>
      <c r="CB33" s="1470">
        <f t="shared" si="353"/>
        <v>-44.441688971005291</v>
      </c>
      <c r="CC33" s="1470">
        <f t="shared" si="354"/>
        <v>8.5271199024543609</v>
      </c>
      <c r="CD33" s="1470">
        <f t="shared" si="355"/>
        <v>14.132480694104288</v>
      </c>
      <c r="CE33" s="1470">
        <f t="shared" si="356"/>
        <v>7.9167988040349302</v>
      </c>
      <c r="CF33" s="1470">
        <f t="shared" si="357"/>
        <v>6.6249996108111109</v>
      </c>
      <c r="CG33" s="1470">
        <f t="shared" si="358"/>
        <v>0.34499578178275314</v>
      </c>
      <c r="CH33" s="1470">
        <f t="shared" si="359"/>
        <v>-10.504280175262625</v>
      </c>
      <c r="CI33" s="1470">
        <f t="shared" si="360"/>
        <v>10.867765893053626</v>
      </c>
      <c r="CJ33" s="1470">
        <f t="shared" si="361"/>
        <v>-3.9728161028797615</v>
      </c>
      <c r="CK33" s="1470">
        <f t="shared" si="362"/>
        <v>4.2072228454180349</v>
      </c>
      <c r="CL33" s="1470">
        <f t="shared" si="363"/>
        <v>-1.8108504146321147</v>
      </c>
      <c r="CM33" s="1471">
        <f t="shared" si="364"/>
        <v>32.616582968307981</v>
      </c>
      <c r="CN33" s="1469">
        <f t="shared" si="365"/>
        <v>-1.705171212387635</v>
      </c>
      <c r="CO33" s="1470">
        <f t="shared" si="366"/>
        <v>10.741197333077302</v>
      </c>
      <c r="CP33" s="1470">
        <f t="shared" si="367"/>
        <v>4.1646099150385529</v>
      </c>
      <c r="CQ33" s="1470">
        <f t="shared" si="368"/>
        <v>10.199606154591191</v>
      </c>
      <c r="CR33" s="1470">
        <f t="shared" si="369"/>
        <v>-1.4022005390016745</v>
      </c>
      <c r="CS33" s="1470">
        <f t="shared" si="370"/>
        <v>-12.670673846241719</v>
      </c>
      <c r="CT33" s="1470">
        <f t="shared" si="371"/>
        <v>8.6659333625665358</v>
      </c>
      <c r="CU33" s="1470">
        <f t="shared" si="372"/>
        <v>27.585222093128394</v>
      </c>
      <c r="CV33" s="1470">
        <f t="shared" si="373"/>
        <v>25.587546341070698</v>
      </c>
      <c r="CW33" s="1470">
        <f t="shared" si="374"/>
        <v>5.880923002824745</v>
      </c>
      <c r="CX33" s="1470">
        <f t="shared" si="375"/>
        <v>13.564659658587441</v>
      </c>
      <c r="CY33" s="1470">
        <f t="shared" si="376"/>
        <v>-12.530858704714309</v>
      </c>
      <c r="CZ33" s="1471">
        <f t="shared" si="377"/>
        <v>-17.737903201071724</v>
      </c>
      <c r="DA33" s="1469">
        <f t="shared" si="378"/>
        <v>4.389053985963276</v>
      </c>
      <c r="DB33" s="1470">
        <f t="shared" si="379"/>
        <v>-16.07457797226871</v>
      </c>
      <c r="DC33" s="1470">
        <f t="shared" si="380"/>
        <v>-2.2426993363637293</v>
      </c>
      <c r="DD33" s="1470">
        <f t="shared" si="381"/>
        <v>-10.438080550561256</v>
      </c>
      <c r="DE33" s="1470">
        <f t="shared" si="382"/>
        <v>4.6506933554399055</v>
      </c>
      <c r="DF33" s="1470">
        <f t="shared" si="383"/>
        <v>28.580706514982968</v>
      </c>
      <c r="DG33" s="1470">
        <f t="shared" si="384"/>
        <v>-4.3233186224576059</v>
      </c>
      <c r="DH33" s="1470">
        <f t="shared" si="385"/>
        <v>-2.0797670326264783</v>
      </c>
      <c r="DI33" s="1470">
        <f t="shared" si="386"/>
        <v>-1.4775241381649318</v>
      </c>
      <c r="DJ33" s="1470">
        <f t="shared" si="387"/>
        <v>9.4334309761259441</v>
      </c>
      <c r="DK33" s="1470">
        <f t="shared" si="388"/>
        <v>18.47211273704108</v>
      </c>
      <c r="DL33" s="1470">
        <f t="shared" si="389"/>
        <v>11.639945319065802</v>
      </c>
      <c r="DM33" s="1471">
        <f t="shared" si="390"/>
        <v>22.967834220726679</v>
      </c>
      <c r="DN33" s="1469">
        <f t="shared" si="391"/>
        <v>4.4544535394345663</v>
      </c>
      <c r="DO33" s="1470">
        <f t="shared" si="392"/>
        <v>59.320638797989275</v>
      </c>
      <c r="DP33" s="1470">
        <f t="shared" si="393"/>
        <v>37.974948742357874</v>
      </c>
      <c r="DQ33" s="1470">
        <f t="shared" si="394"/>
        <v>44.92611205688457</v>
      </c>
      <c r="DR33" s="1470">
        <f t="shared" si="395"/>
        <v>13.535326222356957</v>
      </c>
      <c r="DS33" s="1470">
        <f t="shared" si="396"/>
        <v>7.1420836836358248</v>
      </c>
      <c r="DT33" s="1470">
        <f t="shared" si="397"/>
        <v>-0.73927578923844717</v>
      </c>
      <c r="DU33" s="1470">
        <f t="shared" si="398"/>
        <v>-3.733643793609065</v>
      </c>
      <c r="DV33" s="1470">
        <f t="shared" si="399"/>
        <v>-21.904676372278221</v>
      </c>
      <c r="DW33" s="1470">
        <f t="shared" si="400"/>
        <v>25.298530828502706</v>
      </c>
      <c r="DX33" s="1470">
        <f t="shared" si="401"/>
        <v>-3.0391500594057597</v>
      </c>
      <c r="DY33" s="1470">
        <f t="shared" si="402"/>
        <v>28.398144951095873</v>
      </c>
      <c r="DZ33" s="1471">
        <f t="shared" si="403"/>
        <v>32.908181530511051</v>
      </c>
      <c r="EA33" s="1469">
        <f t="shared" si="404"/>
        <v>16.292714921607775</v>
      </c>
      <c r="EB33" s="1470">
        <f t="shared" si="405"/>
        <v>-21.728238513151322</v>
      </c>
      <c r="EC33" s="1470">
        <f t="shared" si="406"/>
        <v>-17.553281783954745</v>
      </c>
      <c r="ED33" s="1470">
        <f t="shared" si="407"/>
        <v>-13.110577740687024</v>
      </c>
      <c r="EE33" s="1470">
        <f t="shared" si="408"/>
        <v>-4.3763199583154222</v>
      </c>
      <c r="EF33" s="1470">
        <f t="shared" si="409"/>
        <v>-7.1600604271807811</v>
      </c>
      <c r="EG33" s="1470">
        <f t="shared" si="410"/>
        <v>16.043776896975494</v>
      </c>
      <c r="EH33" s="1470">
        <f t="shared" si="411"/>
        <v>25.825652306145574</v>
      </c>
      <c r="EI33" s="1470">
        <f t="shared" si="412"/>
        <v>34.312376529946434</v>
      </c>
      <c r="EJ33" s="1470">
        <f t="shared" si="413"/>
        <v>-8.018618357224705</v>
      </c>
      <c r="EK33" s="1470">
        <f t="shared" si="414"/>
        <v>-37.198383532473947</v>
      </c>
      <c r="EL33" s="1470">
        <f t="shared" si="415"/>
        <v>5.716907104629021</v>
      </c>
      <c r="EM33" s="1471">
        <f t="shared" si="416"/>
        <v>-11.520596279868588</v>
      </c>
      <c r="EN33" s="1469">
        <f t="shared" si="417"/>
        <v>-5.1543347693353443</v>
      </c>
      <c r="EO33" s="1470">
        <f t="shared" si="418"/>
        <v>62.864947185754438</v>
      </c>
      <c r="EP33" s="1470">
        <f t="shared" si="419"/>
        <v>29.931521544057027</v>
      </c>
      <c r="EQ33" s="1470">
        <f t="shared" si="420"/>
        <v>22.017837256290296</v>
      </c>
      <c r="ER33" s="1470">
        <f t="shared" si="421"/>
        <v>16.67173638119932</v>
      </c>
      <c r="ES33" s="1470">
        <f t="shared" si="422"/>
        <v>-8.7547476253022722</v>
      </c>
      <c r="ET33" s="1470">
        <f t="shared" si="423"/>
        <v>-16.078001034014012</v>
      </c>
      <c r="EU33" s="1470">
        <f t="shared" si="424"/>
        <v>-8.0194583522790417</v>
      </c>
      <c r="EV33" s="1470">
        <f t="shared" si="425"/>
        <v>27.238996523395077</v>
      </c>
      <c r="EW33" s="1470">
        <f t="shared" si="426"/>
        <v>-23.954385070610073</v>
      </c>
      <c r="EX33" s="1470">
        <f t="shared" si="427"/>
        <v>67.905871271784449</v>
      </c>
      <c r="EY33" s="1470">
        <f t="shared" si="428"/>
        <v>-11.193340336236634</v>
      </c>
      <c r="EZ33" s="1471">
        <f t="shared" si="429"/>
        <v>10.105542484114949</v>
      </c>
      <c r="FA33" s="1469">
        <f t="shared" si="430"/>
        <v>11.018500878194427</v>
      </c>
      <c r="FB33" s="1470">
        <f t="shared" si="431"/>
        <v>-17.4751871283102</v>
      </c>
      <c r="FC33" s="1470">
        <f t="shared" si="432"/>
        <v>34.122961193322851</v>
      </c>
      <c r="FD33" s="1470">
        <f t="shared" si="433"/>
        <v>12.598534521727167</v>
      </c>
      <c r="FE33" s="1470">
        <f t="shared" si="434"/>
        <v>29.110743346456314</v>
      </c>
      <c r="FF33" s="1470">
        <f t="shared" si="435"/>
        <v>39.157690601299144</v>
      </c>
      <c r="FG33" s="1470">
        <f t="shared" si="436"/>
        <v>38.450739015564992</v>
      </c>
      <c r="FH33" s="1470">
        <f t="shared" si="437"/>
        <v>48.448938928273066</v>
      </c>
      <c r="FI33" s="1470">
        <f t="shared" si="438"/>
        <v>-10.111936783709352</v>
      </c>
      <c r="FJ33" s="1470">
        <f t="shared" si="439"/>
        <v>78.462767924503112</v>
      </c>
      <c r="FK33" s="1470">
        <f t="shared" si="440"/>
        <v>-13.570848788711764</v>
      </c>
      <c r="FL33" s="1470">
        <f t="shared" si="441"/>
        <v>-34.000793267955778</v>
      </c>
      <c r="FM33" s="1471">
        <f t="shared" si="442"/>
        <v>-29.506602641713787</v>
      </c>
      <c r="FN33" s="1469">
        <f t="shared" si="443"/>
        <v>10.787340589235006</v>
      </c>
      <c r="FO33" s="1470">
        <f t="shared" si="444"/>
        <v>-13.031343876182099</v>
      </c>
      <c r="FP33" s="1470">
        <f t="shared" si="445"/>
        <v>-40.738764691819327</v>
      </c>
      <c r="FQ33" s="1470">
        <f t="shared" si="446"/>
        <v>-22.131329858008453</v>
      </c>
      <c r="FR33" s="1470">
        <f t="shared" si="447"/>
        <v>-24.44290037290471</v>
      </c>
      <c r="FS33" s="1470">
        <f t="shared" si="448"/>
        <v>-14.584456866020579</v>
      </c>
      <c r="FT33" s="1470">
        <f t="shared" si="449"/>
        <v>-26.25441908576348</v>
      </c>
      <c r="FU33" s="1470">
        <f t="shared" si="450"/>
        <v>-37.433402521707158</v>
      </c>
      <c r="FV33" s="1470">
        <f t="shared" si="451"/>
        <v>-1.9869312697812003</v>
      </c>
      <c r="FW33" s="1470">
        <f t="shared" si="452"/>
        <v>-29.419222135351941</v>
      </c>
      <c r="FX33" s="1470">
        <f t="shared" si="453"/>
        <v>18.22353236703713</v>
      </c>
      <c r="FY33" s="1470">
        <f t="shared" si="454"/>
        <v>49.419453192058469</v>
      </c>
      <c r="FZ33" s="1471">
        <f t="shared" si="455"/>
        <v>39.979925425805575</v>
      </c>
      <c r="GA33" s="1469">
        <f t="shared" si="456"/>
        <v>-14.160307764571467</v>
      </c>
      <c r="GB33" s="1470">
        <f t="shared" si="457"/>
        <v>8.0513406720909018</v>
      </c>
      <c r="GC33" s="1470">
        <f t="shared" si="458"/>
        <v>-2.4183651030564524</v>
      </c>
      <c r="GD33" s="1470">
        <f t="shared" si="459"/>
        <v>10.69884821290481</v>
      </c>
      <c r="GE33" s="1470">
        <f t="shared" si="460"/>
        <v>4.0433456179756355</v>
      </c>
      <c r="GF33" s="1470">
        <f t="shared" si="461"/>
        <v>29.710985585042881</v>
      </c>
      <c r="GG33" s="1470">
        <f t="shared" si="462"/>
        <v>52.279946800122666</v>
      </c>
      <c r="GH33" s="1470">
        <f t="shared" si="463"/>
        <v>65.38441768979564</v>
      </c>
      <c r="GI33" s="1470">
        <f t="shared" si="464"/>
        <v>-6.2782143287986258</v>
      </c>
      <c r="GJ33" s="1470">
        <f t="shared" si="465"/>
        <v>-16.469808263411856</v>
      </c>
      <c r="GK33" s="1470">
        <f t="shared" si="466"/>
        <v>16.729074692778532</v>
      </c>
      <c r="GL33" s="1470">
        <f t="shared" si="467"/>
        <v>46.748094886299654</v>
      </c>
      <c r="GM33" s="1471">
        <f t="shared" si="468"/>
        <v>12.085883379903795</v>
      </c>
      <c r="GN33" s="1469">
        <f t="shared" si="469"/>
        <v>17.845481603781632</v>
      </c>
      <c r="GO33" s="1470">
        <f t="shared" si="470"/>
        <v>9.2520383490791502</v>
      </c>
      <c r="GP33" s="1470">
        <f t="shared" si="471"/>
        <v>79.635491335154796</v>
      </c>
      <c r="GQ33" s="1470">
        <f t="shared" si="472"/>
        <v>5.9070450354652193</v>
      </c>
      <c r="GR33" s="1470">
        <f t="shared" si="473"/>
        <v>57.103985921291823</v>
      </c>
      <c r="GS33" s="1470">
        <f t="shared" si="474"/>
        <v>17.410411826100724</v>
      </c>
      <c r="GT33" s="1470">
        <f t="shared" si="475"/>
        <v>25.569125890425347</v>
      </c>
      <c r="GU33" s="1470">
        <f t="shared" si="476"/>
        <v>6.4940925924417581</v>
      </c>
      <c r="GV33" s="1470">
        <f t="shared" si="477"/>
        <v>62.312828462489513</v>
      </c>
      <c r="GW33" s="1470">
        <f t="shared" si="478"/>
        <v>98.196374733061759</v>
      </c>
      <c r="GX33" s="1470">
        <f t="shared" si="479"/>
        <v>39.705806309491344</v>
      </c>
      <c r="GY33" s="1470">
        <f t="shared" si="480"/>
        <v>12.814853279011619</v>
      </c>
      <c r="GZ33" s="1471">
        <f t="shared" si="481"/>
        <v>17.210041735730108</v>
      </c>
      <c r="HA33" s="1469">
        <f t="shared" si="482"/>
        <v>31.386249624994189</v>
      </c>
      <c r="HB33" s="1470">
        <f t="shared" si="483"/>
        <v>26.853347882243117</v>
      </c>
      <c r="HC33" s="1470">
        <f t="shared" si="484"/>
        <v>16.197694342389756</v>
      </c>
      <c r="HD33" s="1470">
        <f t="shared" si="485"/>
        <v>34.988088683486836</v>
      </c>
      <c r="HE33" s="1470">
        <f t="shared" si="486"/>
        <v>4.6756445594155371</v>
      </c>
      <c r="HF33" s="1470">
        <f t="shared" si="487"/>
        <v>4.4324413035494503</v>
      </c>
      <c r="HG33" s="1470">
        <f t="shared" si="488"/>
        <v>21.618933294343101</v>
      </c>
      <c r="HH33" s="1470">
        <f t="shared" si="489"/>
        <v>22.749221652741024</v>
      </c>
      <c r="HI33" s="1470">
        <f t="shared" si="490"/>
        <v>4.0668869573443622</v>
      </c>
      <c r="HJ33" s="1470">
        <f t="shared" si="491"/>
        <v>18.168111773173969</v>
      </c>
      <c r="HK33" s="1470">
        <f t="shared" si="492"/>
        <v>1.7844315422906876</v>
      </c>
      <c r="HL33" s="1470">
        <f t="shared" si="493"/>
        <v>10.336582558158746</v>
      </c>
      <c r="HM33" s="1471">
        <f t="shared" si="494"/>
        <v>24.934712170537932</v>
      </c>
      <c r="HN33" s="1469">
        <f t="shared" si="495"/>
        <v>14.893793225365526</v>
      </c>
      <c r="HO33" s="1470">
        <f t="shared" si="496"/>
        <v>12.141486559243786</v>
      </c>
      <c r="HP33" s="1470">
        <f t="shared" si="497"/>
        <v>-4.5752672006292405</v>
      </c>
      <c r="HQ33" s="1470">
        <f t="shared" si="498"/>
        <v>17.191105467884583</v>
      </c>
      <c r="HR33" s="1470">
        <f t="shared" si="499"/>
        <v>4.5820566064372681</v>
      </c>
      <c r="HS33" s="1470">
        <f t="shared" si="500"/>
        <v>-6.722280913778544</v>
      </c>
      <c r="HT33" s="1470">
        <f t="shared" si="501"/>
        <v>-20.900570201173942</v>
      </c>
      <c r="HU33" s="1470">
        <f t="shared" si="502"/>
        <v>-10.49904398166116</v>
      </c>
      <c r="HV33" s="1470">
        <f t="shared" si="503"/>
        <v>-11.222403364130306</v>
      </c>
      <c r="HW33" s="1470">
        <f t="shared" si="504"/>
        <v>-11.23825342323922</v>
      </c>
      <c r="HX33" s="1470">
        <f t="shared" si="505"/>
        <v>-7.1170969050426418</v>
      </c>
      <c r="HY33" s="1470">
        <f t="shared" si="506"/>
        <v>-2.2528916127081189</v>
      </c>
      <c r="HZ33" s="1471">
        <f t="shared" si="507"/>
        <v>2.2955402650300272</v>
      </c>
      <c r="IA33" s="1469">
        <f t="shared" si="508"/>
        <v>-3.8226010175835823</v>
      </c>
      <c r="IB33" s="1470">
        <f t="shared" si="509"/>
        <v>-3.9756966223743362</v>
      </c>
      <c r="IC33" s="1470">
        <f t="shared" si="510"/>
        <v>1.9976415132324732</v>
      </c>
      <c r="ID33" s="1470">
        <f t="shared" si="511"/>
        <v>-23.213092172345451</v>
      </c>
      <c r="IE33" s="1470">
        <f t="shared" si="512"/>
        <v>-34.418695245631149</v>
      </c>
      <c r="IF33" s="1470">
        <f t="shared" si="513"/>
        <v>-16.198572038923054</v>
      </c>
      <c r="IG33" s="1470">
        <f t="shared" si="514"/>
        <v>13.211580825759706</v>
      </c>
      <c r="IH33" s="1470">
        <f t="shared" si="515"/>
        <v>-11.047435052857434</v>
      </c>
      <c r="II33" s="1470">
        <f t="shared" si="516"/>
        <v>7.2082520139284068</v>
      </c>
      <c r="IJ33" s="1470">
        <f t="shared" si="517"/>
        <v>2.3807413326401239</v>
      </c>
      <c r="IK33" s="1470">
        <f t="shared" si="518"/>
        <v>4.250974422302356</v>
      </c>
      <c r="IL33" s="1470">
        <f t="shared" si="519"/>
        <v>-4.5011209101430865</v>
      </c>
      <c r="IM33" s="1471">
        <f t="shared" si="520"/>
        <v>-8.9232504809175666</v>
      </c>
      <c r="IN33" s="1469">
        <f t="shared" si="521"/>
        <v>-6.5963738406916157</v>
      </c>
      <c r="IO33" s="1470">
        <f t="shared" si="522"/>
        <v>10.984440207322322</v>
      </c>
      <c r="IP33" s="1470">
        <f t="shared" si="523"/>
        <v>-7.1610865654507698</v>
      </c>
      <c r="IQ33" s="1470">
        <f t="shared" si="524"/>
        <v>-13.432604738251641</v>
      </c>
      <c r="IR33" s="1470">
        <f t="shared" si="525"/>
        <v>5.7854696899342972</v>
      </c>
      <c r="IS33" s="1470">
        <f t="shared" si="526"/>
        <v>-8.266808412320092</v>
      </c>
      <c r="IT33" s="1470">
        <f t="shared" si="527"/>
        <v>-17.757874257271801</v>
      </c>
      <c r="IU33" s="1470">
        <f t="shared" si="528"/>
        <v>0.44385761580973959</v>
      </c>
      <c r="IV33" s="1470">
        <f t="shared" si="529"/>
        <v>3.2807729408127706</v>
      </c>
      <c r="IW33" s="1470">
        <f t="shared" si="530"/>
        <v>4.4927047034218237</v>
      </c>
      <c r="IX33" s="1470">
        <f t="shared" si="531"/>
        <v>26.782621341522763</v>
      </c>
      <c r="IY33" s="1470">
        <f t="shared" si="532"/>
        <v>15.384176970579343</v>
      </c>
      <c r="IZ33" s="1471">
        <f t="shared" si="533"/>
        <v>4.9038612464076703</v>
      </c>
      <c r="JA33" s="1469">
        <f t="shared" si="534"/>
        <v>2.5164010733919939</v>
      </c>
      <c r="JB33" s="1470">
        <f t="shared" si="535"/>
        <v>-9.577351231497067</v>
      </c>
      <c r="JC33" s="1470">
        <f t="shared" si="536"/>
        <v>-15.199291040867724</v>
      </c>
      <c r="JD33" s="1470">
        <f t="shared" si="537"/>
        <v>17.856294861042855</v>
      </c>
      <c r="JE33" s="1470">
        <f t="shared" si="538"/>
        <v>18.216618378174697</v>
      </c>
      <c r="JF33" s="1470">
        <f t="shared" si="539"/>
        <v>27.818316782934804</v>
      </c>
      <c r="JG33" s="1470">
        <f t="shared" si="540"/>
        <v>6.6788319083238568</v>
      </c>
      <c r="JH33" s="1470">
        <f t="shared" si="541"/>
        <v>-0.20876383176124946</v>
      </c>
      <c r="JI33" s="1470">
        <f t="shared" si="542"/>
        <v>-5.4766916487355877</v>
      </c>
      <c r="JJ33" s="1470">
        <f t="shared" si="543"/>
        <v>-8.5308478717736733</v>
      </c>
      <c r="JK33" s="1470">
        <f t="shared" si="544"/>
        <v>-26.24131652041828</v>
      </c>
      <c r="JL33" s="1470">
        <f t="shared" si="545"/>
        <v>18.671812781346951</v>
      </c>
      <c r="JM33" s="1471">
        <f t="shared" si="546"/>
        <v>35.81372297867</v>
      </c>
      <c r="JN33" s="1469">
        <f t="shared" si="547"/>
        <v>3.1815069268269047</v>
      </c>
      <c r="JO33" s="1470">
        <f t="shared" si="547"/>
        <v>-6.9147062612013759</v>
      </c>
      <c r="JP33" s="1470">
        <f t="shared" si="547"/>
        <v>20.428274389421208</v>
      </c>
      <c r="JQ33" s="1470">
        <f>IFERROR((((JQ11/JD11)-1)*100),)</f>
        <v>26.92387085141279</v>
      </c>
      <c r="JR33" s="1470">
        <f t="shared" ref="JR33:JR40" si="549">IFERROR((((JR11/JE11)-1)*100),)</f>
        <v>30.260130392410023</v>
      </c>
      <c r="JS33" s="1470">
        <f t="shared" si="548"/>
        <v>21.043501461237657</v>
      </c>
      <c r="JT33" s="1470">
        <f t="shared" si="287"/>
        <v>14.086847647356704</v>
      </c>
      <c r="JU33" s="1470">
        <f t="shared" si="548"/>
        <v>22.68108560503148</v>
      </c>
      <c r="JV33" s="1470">
        <f t="shared" si="548"/>
        <v>32.509092446864997</v>
      </c>
      <c r="JW33" s="1470">
        <f t="shared" si="548"/>
        <v>-100</v>
      </c>
      <c r="JX33" s="1470">
        <f t="shared" si="548"/>
        <v>-100</v>
      </c>
      <c r="JY33" s="1470">
        <f t="shared" si="548"/>
        <v>-100</v>
      </c>
      <c r="JZ33" s="1471">
        <f t="shared" si="548"/>
        <v>-100</v>
      </c>
      <c r="KA33" s="1469">
        <f t="shared" si="548"/>
        <v>8.0488049087544589</v>
      </c>
      <c r="KC33"/>
      <c r="KD33" s="62"/>
      <c r="KE33" s="62"/>
      <c r="KF33" s="62"/>
    </row>
    <row r="34" spans="1:292" ht="15" customHeight="1" x14ac:dyDescent="0.2">
      <c r="A34" s="1168" t="s">
        <v>253</v>
      </c>
      <c r="B34" s="1470"/>
      <c r="C34" s="1470"/>
      <c r="D34" s="1470"/>
      <c r="E34" s="1470"/>
      <c r="F34" s="1470"/>
      <c r="G34" s="1470"/>
      <c r="H34" s="1470"/>
      <c r="I34" s="1470"/>
      <c r="J34" s="1470"/>
      <c r="K34" s="1470"/>
      <c r="L34" s="1470"/>
      <c r="M34" s="1471"/>
      <c r="N34" s="1469"/>
      <c r="O34" s="1470">
        <f t="shared" si="288"/>
        <v>0</v>
      </c>
      <c r="P34" s="1470">
        <f t="shared" si="289"/>
        <v>0</v>
      </c>
      <c r="Q34" s="1470">
        <f t="shared" si="290"/>
        <v>0</v>
      </c>
      <c r="R34" s="1470">
        <f t="shared" si="291"/>
        <v>0</v>
      </c>
      <c r="S34" s="1470">
        <f t="shared" si="292"/>
        <v>0</v>
      </c>
      <c r="T34" s="1470">
        <f t="shared" si="293"/>
        <v>0</v>
      </c>
      <c r="U34" s="1470">
        <f t="shared" si="294"/>
        <v>0</v>
      </c>
      <c r="V34" s="1470">
        <f t="shared" si="295"/>
        <v>0</v>
      </c>
      <c r="W34" s="1470">
        <f t="shared" si="296"/>
        <v>0</v>
      </c>
      <c r="X34" s="1470">
        <f t="shared" si="297"/>
        <v>0</v>
      </c>
      <c r="Y34" s="1470">
        <f t="shared" si="298"/>
        <v>0</v>
      </c>
      <c r="Z34" s="1471">
        <f t="shared" si="299"/>
        <v>0</v>
      </c>
      <c r="AA34" s="1469">
        <f t="shared" si="300"/>
        <v>0</v>
      </c>
      <c r="AB34" s="1470">
        <f t="shared" si="301"/>
        <v>0</v>
      </c>
      <c r="AC34" s="1470">
        <f t="shared" si="302"/>
        <v>0</v>
      </c>
      <c r="AD34" s="1470">
        <f t="shared" si="303"/>
        <v>0</v>
      </c>
      <c r="AE34" s="1470">
        <f t="shared" si="304"/>
        <v>0</v>
      </c>
      <c r="AF34" s="1470">
        <f t="shared" si="305"/>
        <v>0</v>
      </c>
      <c r="AG34" s="1470">
        <f t="shared" si="306"/>
        <v>0</v>
      </c>
      <c r="AH34" s="1470">
        <f t="shared" si="307"/>
        <v>0</v>
      </c>
      <c r="AI34" s="1470">
        <f t="shared" si="308"/>
        <v>0</v>
      </c>
      <c r="AJ34" s="1470">
        <f t="shared" si="309"/>
        <v>0</v>
      </c>
      <c r="AK34" s="1470">
        <f t="shared" si="310"/>
        <v>0</v>
      </c>
      <c r="AL34" s="1470">
        <f t="shared" si="311"/>
        <v>0</v>
      </c>
      <c r="AM34" s="1471">
        <f t="shared" si="312"/>
        <v>0</v>
      </c>
      <c r="AN34" s="1469">
        <f t="shared" si="313"/>
        <v>0</v>
      </c>
      <c r="AO34" s="1470">
        <f t="shared" si="314"/>
        <v>0</v>
      </c>
      <c r="AP34" s="1470">
        <f t="shared" si="315"/>
        <v>0</v>
      </c>
      <c r="AQ34" s="1470">
        <f t="shared" si="316"/>
        <v>0</v>
      </c>
      <c r="AR34" s="1470">
        <f t="shared" si="317"/>
        <v>0</v>
      </c>
      <c r="AS34" s="1470">
        <f t="shared" si="318"/>
        <v>0</v>
      </c>
      <c r="AT34" s="1470">
        <f t="shared" si="319"/>
        <v>0</v>
      </c>
      <c r="AU34" s="1470">
        <f t="shared" si="320"/>
        <v>0</v>
      </c>
      <c r="AV34" s="1470">
        <f t="shared" si="321"/>
        <v>0</v>
      </c>
      <c r="AW34" s="1470">
        <f t="shared" si="322"/>
        <v>0</v>
      </c>
      <c r="AX34" s="1470">
        <f t="shared" si="323"/>
        <v>0</v>
      </c>
      <c r="AY34" s="1470">
        <f t="shared" si="324"/>
        <v>0</v>
      </c>
      <c r="AZ34" s="1471">
        <f t="shared" si="325"/>
        <v>0</v>
      </c>
      <c r="BA34" s="1469">
        <f t="shared" si="326"/>
        <v>0</v>
      </c>
      <c r="BB34" s="1470">
        <f t="shared" si="327"/>
        <v>0</v>
      </c>
      <c r="BC34" s="1470">
        <f t="shared" si="328"/>
        <v>0</v>
      </c>
      <c r="BD34" s="1470">
        <f t="shared" si="329"/>
        <v>0</v>
      </c>
      <c r="BE34" s="1470">
        <f t="shared" si="330"/>
        <v>0</v>
      </c>
      <c r="BF34" s="1470">
        <f t="shared" si="331"/>
        <v>0</v>
      </c>
      <c r="BG34" s="1470">
        <f t="shared" si="332"/>
        <v>0</v>
      </c>
      <c r="BH34" s="1470">
        <f t="shared" si="333"/>
        <v>0</v>
      </c>
      <c r="BI34" s="1470">
        <f t="shared" si="334"/>
        <v>0</v>
      </c>
      <c r="BJ34" s="1470">
        <f t="shared" si="335"/>
        <v>0</v>
      </c>
      <c r="BK34" s="1470">
        <f t="shared" si="336"/>
        <v>0</v>
      </c>
      <c r="BL34" s="1470">
        <f t="shared" si="337"/>
        <v>0</v>
      </c>
      <c r="BM34" s="1471">
        <f t="shared" si="338"/>
        <v>0</v>
      </c>
      <c r="BN34" s="1469">
        <f t="shared" si="339"/>
        <v>0</v>
      </c>
      <c r="BO34" s="1470">
        <f t="shared" si="340"/>
        <v>0</v>
      </c>
      <c r="BP34" s="1470">
        <f t="shared" si="341"/>
        <v>0</v>
      </c>
      <c r="BQ34" s="1470">
        <f t="shared" si="342"/>
        <v>0</v>
      </c>
      <c r="BR34" s="1470">
        <f t="shared" si="343"/>
        <v>0</v>
      </c>
      <c r="BS34" s="1470">
        <f t="shared" si="344"/>
        <v>0</v>
      </c>
      <c r="BT34" s="1470">
        <f t="shared" si="345"/>
        <v>0</v>
      </c>
      <c r="BU34" s="1470">
        <f t="shared" si="346"/>
        <v>0</v>
      </c>
      <c r="BV34" s="1470">
        <f t="shared" si="347"/>
        <v>0</v>
      </c>
      <c r="BW34" s="1470">
        <f t="shared" si="348"/>
        <v>0</v>
      </c>
      <c r="BX34" s="1470">
        <f t="shared" si="349"/>
        <v>0</v>
      </c>
      <c r="BY34" s="1470">
        <f t="shared" si="350"/>
        <v>0</v>
      </c>
      <c r="BZ34" s="1471">
        <f t="shared" si="351"/>
        <v>0</v>
      </c>
      <c r="CA34" s="1469">
        <f t="shared" si="352"/>
        <v>0</v>
      </c>
      <c r="CB34" s="1470">
        <f t="shared" si="353"/>
        <v>33.160744598784909</v>
      </c>
      <c r="CC34" s="1470">
        <f t="shared" si="354"/>
        <v>0</v>
      </c>
      <c r="CD34" s="1470">
        <f t="shared" si="355"/>
        <v>0</v>
      </c>
      <c r="CE34" s="1470">
        <f t="shared" si="356"/>
        <v>0</v>
      </c>
      <c r="CF34" s="1470">
        <f t="shared" si="357"/>
        <v>0</v>
      </c>
      <c r="CG34" s="1470">
        <f t="shared" si="358"/>
        <v>0</v>
      </c>
      <c r="CH34" s="1470">
        <f t="shared" si="359"/>
        <v>0</v>
      </c>
      <c r="CI34" s="1470">
        <f t="shared" si="360"/>
        <v>0</v>
      </c>
      <c r="CJ34" s="1470">
        <f t="shared" si="361"/>
        <v>0</v>
      </c>
      <c r="CK34" s="1470">
        <f t="shared" si="362"/>
        <v>0</v>
      </c>
      <c r="CL34" s="1470">
        <f t="shared" si="363"/>
        <v>0</v>
      </c>
      <c r="CM34" s="1471">
        <f t="shared" si="364"/>
        <v>0</v>
      </c>
      <c r="CN34" s="1469">
        <f t="shared" si="365"/>
        <v>3.6601817790735236</v>
      </c>
      <c r="CO34" s="1470">
        <f t="shared" si="366"/>
        <v>-34.519237473259125</v>
      </c>
      <c r="CP34" s="1470">
        <f t="shared" si="367"/>
        <v>14.329660695390345</v>
      </c>
      <c r="CQ34" s="1470">
        <f t="shared" si="368"/>
        <v>-2.2144447771025422</v>
      </c>
      <c r="CR34" s="1470">
        <f t="shared" si="369"/>
        <v>-48.921561996829134</v>
      </c>
      <c r="CS34" s="1470">
        <f t="shared" si="370"/>
        <v>-59.827527642269999</v>
      </c>
      <c r="CT34" s="1470">
        <f t="shared" si="371"/>
        <v>-17.211056358423139</v>
      </c>
      <c r="CU34" s="1470">
        <f t="shared" si="372"/>
        <v>6.4421698008178874</v>
      </c>
      <c r="CV34" s="1470">
        <f t="shared" si="373"/>
        <v>151.16408297560281</v>
      </c>
      <c r="CW34" s="1470">
        <f t="shared" si="374"/>
        <v>-6.755116478094525</v>
      </c>
      <c r="CX34" s="1470">
        <f t="shared" si="375"/>
        <v>128.45304379594472</v>
      </c>
      <c r="CY34" s="1470">
        <f t="shared" si="376"/>
        <v>717.40250130223751</v>
      </c>
      <c r="CZ34" s="1471">
        <f t="shared" si="377"/>
        <v>-1.9908849152625696</v>
      </c>
      <c r="DA34" s="1469">
        <f t="shared" si="378"/>
        <v>41.701820773516204</v>
      </c>
      <c r="DB34" s="1470">
        <f t="shared" si="379"/>
        <v>484.20283270816731</v>
      </c>
      <c r="DC34" s="1470">
        <f t="shared" si="380"/>
        <v>506.66494684421428</v>
      </c>
      <c r="DD34" s="1470">
        <f t="shared" si="381"/>
        <v>192.65991074957122</v>
      </c>
      <c r="DE34" s="1470">
        <f t="shared" si="382"/>
        <v>64.999618095915878</v>
      </c>
      <c r="DF34" s="1470">
        <f t="shared" si="383"/>
        <v>127.80597887306851</v>
      </c>
      <c r="DG34" s="1470">
        <f t="shared" si="384"/>
        <v>25.748519286430248</v>
      </c>
      <c r="DH34" s="1470">
        <f t="shared" si="385"/>
        <v>176.37549119297557</v>
      </c>
      <c r="DI34" s="1470">
        <f t="shared" si="386"/>
        <v>72.633151008401924</v>
      </c>
      <c r="DJ34" s="1470">
        <f t="shared" si="387"/>
        <v>210.8809972243003</v>
      </c>
      <c r="DK34" s="1470">
        <f t="shared" si="388"/>
        <v>106.95773500176502</v>
      </c>
      <c r="DL34" s="1470">
        <f t="shared" si="389"/>
        <v>59.071584105143039</v>
      </c>
      <c r="DM34" s="1471">
        <f t="shared" si="390"/>
        <v>541.8911425085239</v>
      </c>
      <c r="DN34" s="1469">
        <f t="shared" si="391"/>
        <v>165.37228507166083</v>
      </c>
      <c r="DO34" s="1470">
        <f t="shared" si="392"/>
        <v>-83.229182369305249</v>
      </c>
      <c r="DP34" s="1470">
        <f t="shared" si="393"/>
        <v>-84.259736727964182</v>
      </c>
      <c r="DQ34" s="1470">
        <f t="shared" si="394"/>
        <v>-54.258180028369416</v>
      </c>
      <c r="DR34" s="1470">
        <f t="shared" si="395"/>
        <v>0.49212411274015544</v>
      </c>
      <c r="DS34" s="1470">
        <f t="shared" si="396"/>
        <v>16.618133464720387</v>
      </c>
      <c r="DT34" s="1470">
        <f t="shared" si="397"/>
        <v>0.15905122096342428</v>
      </c>
      <c r="DU34" s="1470">
        <f t="shared" si="398"/>
        <v>-65.539994440221534</v>
      </c>
      <c r="DV34" s="1470">
        <f t="shared" si="399"/>
        <v>-36.104746985525637</v>
      </c>
      <c r="DW34" s="1470">
        <f t="shared" si="400"/>
        <v>-68.970468640016364</v>
      </c>
      <c r="DX34" s="1470">
        <f t="shared" si="401"/>
        <v>-75.797570864271748</v>
      </c>
      <c r="DY34" s="1470">
        <f t="shared" si="402"/>
        <v>-84.689509225312946</v>
      </c>
      <c r="DZ34" s="1471">
        <f t="shared" si="403"/>
        <v>-72.493239300302434</v>
      </c>
      <c r="EA34" s="1469">
        <f t="shared" si="404"/>
        <v>-69.48603975723951</v>
      </c>
      <c r="EB34" s="1470">
        <f t="shared" si="405"/>
        <v>0.18004566990958981</v>
      </c>
      <c r="EC34" s="1470">
        <f t="shared" si="406"/>
        <v>62.484945065495623</v>
      </c>
      <c r="ED34" s="1470">
        <f t="shared" si="407"/>
        <v>-40.28494110176328</v>
      </c>
      <c r="EE34" s="1470">
        <f t="shared" si="408"/>
        <v>-25.666033625746142</v>
      </c>
      <c r="EF34" s="1470">
        <f t="shared" si="409"/>
        <v>-4.963069827798094</v>
      </c>
      <c r="EG34" s="1470">
        <f t="shared" si="410"/>
        <v>-31.748935713624469</v>
      </c>
      <c r="EH34" s="1470">
        <f t="shared" si="411"/>
        <v>24.2923228885779</v>
      </c>
      <c r="EI34" s="1470">
        <f t="shared" si="412"/>
        <v>10.150631899950447</v>
      </c>
      <c r="EJ34" s="1470">
        <f t="shared" si="413"/>
        <v>49.256016107999521</v>
      </c>
      <c r="EK34" s="1470">
        <f t="shared" si="414"/>
        <v>5.7646930707339727</v>
      </c>
      <c r="EL34" s="1470">
        <f t="shared" si="415"/>
        <v>9.4572439519393647</v>
      </c>
      <c r="EM34" s="1471">
        <f t="shared" si="416"/>
        <v>-11.37489143492253</v>
      </c>
      <c r="EN34" s="1469">
        <f t="shared" si="417"/>
        <v>1.2340652714434741</v>
      </c>
      <c r="EO34" s="1470">
        <f t="shared" si="418"/>
        <v>-2.8528013422276399</v>
      </c>
      <c r="EP34" s="1470">
        <f t="shared" si="419"/>
        <v>1.7830692038546481</v>
      </c>
      <c r="EQ34" s="1470">
        <f t="shared" si="420"/>
        <v>110.30071136627507</v>
      </c>
      <c r="ER34" s="1470">
        <f t="shared" si="421"/>
        <v>61.421175361673285</v>
      </c>
      <c r="ES34" s="1470">
        <f t="shared" si="422"/>
        <v>24.479628252355191</v>
      </c>
      <c r="ET34" s="1470">
        <f t="shared" si="423"/>
        <v>77.267962278503944</v>
      </c>
      <c r="EU34" s="1470">
        <f t="shared" si="424"/>
        <v>18.945358137340463</v>
      </c>
      <c r="EV34" s="1470">
        <f t="shared" si="425"/>
        <v>11.252288985112035</v>
      </c>
      <c r="EW34" s="1470">
        <f t="shared" si="426"/>
        <v>-3.6529154927779972</v>
      </c>
      <c r="EX34" s="1470">
        <f t="shared" si="427"/>
        <v>-15.284316532112275</v>
      </c>
      <c r="EY34" s="1470">
        <f t="shared" si="428"/>
        <v>-22.73433792007976</v>
      </c>
      <c r="EZ34" s="1471">
        <f t="shared" si="429"/>
        <v>-6.9555032725286399</v>
      </c>
      <c r="FA34" s="1469">
        <f t="shared" si="430"/>
        <v>13.471398563710135</v>
      </c>
      <c r="FB34" s="1470">
        <f t="shared" si="431"/>
        <v>31.755277792555848</v>
      </c>
      <c r="FC34" s="1470">
        <f t="shared" si="432"/>
        <v>-15.275087058071524</v>
      </c>
      <c r="FD34" s="1470">
        <f t="shared" si="433"/>
        <v>-28.211716246381926</v>
      </c>
      <c r="FE34" s="1470">
        <f t="shared" si="434"/>
        <v>-13.272619965205013</v>
      </c>
      <c r="FF34" s="1470">
        <f t="shared" si="435"/>
        <v>-1.5493765401224935</v>
      </c>
      <c r="FG34" s="1470">
        <f t="shared" si="436"/>
        <v>3.9786700437285605</v>
      </c>
      <c r="FH34" s="1470">
        <f t="shared" si="437"/>
        <v>-11.934448213949411</v>
      </c>
      <c r="FI34" s="1470">
        <f t="shared" si="438"/>
        <v>-7.2358794378606817</v>
      </c>
      <c r="FJ34" s="1470">
        <f t="shared" si="439"/>
        <v>-13.629062405339376</v>
      </c>
      <c r="FK34" s="1470">
        <f t="shared" si="440"/>
        <v>24.201549539126297</v>
      </c>
      <c r="FL34" s="1470">
        <f t="shared" si="441"/>
        <v>2.7275624485043171</v>
      </c>
      <c r="FM34" s="1471">
        <f t="shared" si="442"/>
        <v>10.38291114456198</v>
      </c>
      <c r="FN34" s="1469">
        <f t="shared" si="443"/>
        <v>-2.9423868907012762</v>
      </c>
      <c r="FO34" s="1470">
        <f t="shared" si="444"/>
        <v>-11.160648994385692</v>
      </c>
      <c r="FP34" s="1470">
        <f t="shared" si="445"/>
        <v>1.5101552308364186</v>
      </c>
      <c r="FQ34" s="1470">
        <f t="shared" si="446"/>
        <v>-32.172328909691331</v>
      </c>
      <c r="FR34" s="1470">
        <f t="shared" si="447"/>
        <v>-12.583951731983856</v>
      </c>
      <c r="FS34" s="1470">
        <f t="shared" si="448"/>
        <v>-32.181810199233006</v>
      </c>
      <c r="FT34" s="1470">
        <f t="shared" si="449"/>
        <v>-43.884820269114442</v>
      </c>
      <c r="FU34" s="1470">
        <f t="shared" si="450"/>
        <v>-41.14905826098687</v>
      </c>
      <c r="FV34" s="1470">
        <f t="shared" si="451"/>
        <v>-45.269174789628387</v>
      </c>
      <c r="FW34" s="1470">
        <f t="shared" si="452"/>
        <v>-46.208117318603882</v>
      </c>
      <c r="FX34" s="1470">
        <f t="shared" si="453"/>
        <v>-91.466588035049369</v>
      </c>
      <c r="FY34" s="1470">
        <f t="shared" si="454"/>
        <v>-72.906406396000875</v>
      </c>
      <c r="FZ34" s="1471">
        <f t="shared" si="455"/>
        <v>-100</v>
      </c>
      <c r="GA34" s="1469">
        <f t="shared" si="456"/>
        <v>-39.506269581527917</v>
      </c>
      <c r="GB34" s="1470">
        <f t="shared" si="457"/>
        <v>-95.707982350581631</v>
      </c>
      <c r="GC34" s="1470">
        <f t="shared" si="458"/>
        <v>-100</v>
      </c>
      <c r="GD34" s="1470">
        <f t="shared" si="459"/>
        <v>-100</v>
      </c>
      <c r="GE34" s="1470">
        <f t="shared" si="460"/>
        <v>-100</v>
      </c>
      <c r="GF34" s="1470">
        <f t="shared" si="461"/>
        <v>-56.42776328323886</v>
      </c>
      <c r="GG34" s="1470">
        <f t="shared" si="462"/>
        <v>-30.642886244427114</v>
      </c>
      <c r="GH34" s="1470">
        <f t="shared" si="463"/>
        <v>-73.330336739704521</v>
      </c>
      <c r="GI34" s="1470">
        <f t="shared" si="464"/>
        <v>-100</v>
      </c>
      <c r="GJ34" s="1470">
        <f t="shared" si="465"/>
        <v>-100</v>
      </c>
      <c r="GK34" s="1470">
        <f t="shared" si="466"/>
        <v>-100</v>
      </c>
      <c r="GL34" s="1470">
        <f t="shared" si="467"/>
        <v>-100</v>
      </c>
      <c r="GM34" s="1471">
        <f t="shared" si="468"/>
        <v>0</v>
      </c>
      <c r="GN34" s="1469">
        <f t="shared" si="469"/>
        <v>-60.629656595952063</v>
      </c>
      <c r="GO34" s="1470">
        <f t="shared" si="470"/>
        <v>-100</v>
      </c>
      <c r="GP34" s="1470">
        <f t="shared" si="471"/>
        <v>0</v>
      </c>
      <c r="GQ34" s="1470">
        <f t="shared" si="472"/>
        <v>0</v>
      </c>
      <c r="GR34" s="1470">
        <f t="shared" si="473"/>
        <v>0</v>
      </c>
      <c r="GS34" s="1470">
        <f t="shared" si="474"/>
        <v>-100</v>
      </c>
      <c r="GT34" s="1470">
        <f t="shared" si="475"/>
        <v>-100</v>
      </c>
      <c r="GU34" s="1470">
        <f t="shared" si="476"/>
        <v>-100</v>
      </c>
      <c r="GV34" s="1470">
        <f t="shared" si="477"/>
        <v>0</v>
      </c>
      <c r="GW34" s="1470">
        <f t="shared" si="478"/>
        <v>0</v>
      </c>
      <c r="GX34" s="1470">
        <f t="shared" si="479"/>
        <v>0</v>
      </c>
      <c r="GY34" s="1470">
        <f t="shared" si="480"/>
        <v>0</v>
      </c>
      <c r="GZ34" s="1471">
        <f t="shared" si="481"/>
        <v>0</v>
      </c>
      <c r="HA34" s="1469">
        <f t="shared" si="482"/>
        <v>-100</v>
      </c>
      <c r="HB34" s="1470">
        <f t="shared" si="483"/>
        <v>0</v>
      </c>
      <c r="HC34" s="1470">
        <f t="shared" si="484"/>
        <v>0</v>
      </c>
      <c r="HD34" s="1470">
        <f t="shared" si="485"/>
        <v>0</v>
      </c>
      <c r="HE34" s="1470">
        <f t="shared" si="486"/>
        <v>0</v>
      </c>
      <c r="HF34" s="1470">
        <f t="shared" si="487"/>
        <v>0</v>
      </c>
      <c r="HG34" s="1470">
        <f t="shared" si="488"/>
        <v>0</v>
      </c>
      <c r="HH34" s="1470">
        <f t="shared" si="489"/>
        <v>0</v>
      </c>
      <c r="HI34" s="1470">
        <f t="shared" si="490"/>
        <v>0</v>
      </c>
      <c r="HJ34" s="1470">
        <f t="shared" si="491"/>
        <v>0</v>
      </c>
      <c r="HK34" s="1470">
        <f t="shared" si="492"/>
        <v>0</v>
      </c>
      <c r="HL34" s="1470">
        <f t="shared" si="493"/>
        <v>0</v>
      </c>
      <c r="HM34" s="1471">
        <f t="shared" si="494"/>
        <v>0</v>
      </c>
      <c r="HN34" s="1469">
        <f t="shared" si="495"/>
        <v>0</v>
      </c>
      <c r="HO34" s="1470">
        <f t="shared" si="496"/>
        <v>0</v>
      </c>
      <c r="HP34" s="1470">
        <f t="shared" si="497"/>
        <v>0</v>
      </c>
      <c r="HQ34" s="1470">
        <f t="shared" si="498"/>
        <v>0</v>
      </c>
      <c r="HR34" s="1470">
        <f t="shared" si="499"/>
        <v>0</v>
      </c>
      <c r="HS34" s="1470">
        <f t="shared" si="500"/>
        <v>0</v>
      </c>
      <c r="HT34" s="1470">
        <f t="shared" si="501"/>
        <v>0</v>
      </c>
      <c r="HU34" s="1470">
        <f t="shared" si="502"/>
        <v>0</v>
      </c>
      <c r="HV34" s="1470">
        <f t="shared" si="503"/>
        <v>0</v>
      </c>
      <c r="HW34" s="1470">
        <f t="shared" si="504"/>
        <v>0</v>
      </c>
      <c r="HX34" s="1470">
        <f t="shared" si="505"/>
        <v>0</v>
      </c>
      <c r="HY34" s="1470">
        <f t="shared" si="506"/>
        <v>0</v>
      </c>
      <c r="HZ34" s="1471">
        <f t="shared" si="507"/>
        <v>0</v>
      </c>
      <c r="IA34" s="1469">
        <f t="shared" si="508"/>
        <v>0</v>
      </c>
      <c r="IB34" s="1470">
        <f t="shared" si="509"/>
        <v>0</v>
      </c>
      <c r="IC34" s="1470">
        <f t="shared" si="510"/>
        <v>0</v>
      </c>
      <c r="ID34" s="1470">
        <f t="shared" si="511"/>
        <v>0</v>
      </c>
      <c r="IE34" s="1470">
        <f t="shared" si="512"/>
        <v>0</v>
      </c>
      <c r="IF34" s="1470">
        <f t="shared" si="513"/>
        <v>0</v>
      </c>
      <c r="IG34" s="1470">
        <f t="shared" si="514"/>
        <v>0</v>
      </c>
      <c r="IH34" s="1470">
        <f t="shared" si="515"/>
        <v>0</v>
      </c>
      <c r="II34" s="1470">
        <f t="shared" si="516"/>
        <v>0</v>
      </c>
      <c r="IJ34" s="1470">
        <f t="shared" si="517"/>
        <v>0</v>
      </c>
      <c r="IK34" s="1470">
        <f t="shared" si="518"/>
        <v>0</v>
      </c>
      <c r="IL34" s="1470">
        <f t="shared" si="519"/>
        <v>0</v>
      </c>
      <c r="IM34" s="1471">
        <f t="shared" si="520"/>
        <v>0</v>
      </c>
      <c r="IN34" s="1469">
        <f t="shared" si="521"/>
        <v>0</v>
      </c>
      <c r="IO34" s="1470">
        <f t="shared" si="522"/>
        <v>0</v>
      </c>
      <c r="IP34" s="1470">
        <f t="shared" si="523"/>
        <v>0</v>
      </c>
      <c r="IQ34" s="1470">
        <f t="shared" si="524"/>
        <v>0</v>
      </c>
      <c r="IR34" s="1470">
        <f t="shared" si="525"/>
        <v>0</v>
      </c>
      <c r="IS34" s="1470">
        <f t="shared" si="526"/>
        <v>0</v>
      </c>
      <c r="IT34" s="1470">
        <f t="shared" si="527"/>
        <v>0</v>
      </c>
      <c r="IU34" s="1470">
        <f t="shared" si="528"/>
        <v>0</v>
      </c>
      <c r="IV34" s="1470">
        <f t="shared" si="529"/>
        <v>0</v>
      </c>
      <c r="IW34" s="1470">
        <f t="shared" si="530"/>
        <v>0</v>
      </c>
      <c r="IX34" s="1470">
        <f t="shared" si="531"/>
        <v>0</v>
      </c>
      <c r="IY34" s="1470">
        <f t="shared" si="532"/>
        <v>0</v>
      </c>
      <c r="IZ34" s="1471">
        <f t="shared" si="533"/>
        <v>0</v>
      </c>
      <c r="JA34" s="1469">
        <f t="shared" si="534"/>
        <v>0</v>
      </c>
      <c r="JB34" s="1470">
        <f t="shared" si="535"/>
        <v>0</v>
      </c>
      <c r="JC34" s="1470">
        <f t="shared" si="536"/>
        <v>0</v>
      </c>
      <c r="JD34" s="1470">
        <f t="shared" si="537"/>
        <v>0</v>
      </c>
      <c r="JE34" s="1470">
        <f t="shared" si="538"/>
        <v>0</v>
      </c>
      <c r="JF34" s="1470">
        <f t="shared" si="539"/>
        <v>0</v>
      </c>
      <c r="JG34" s="1470">
        <f t="shared" si="540"/>
        <v>0</v>
      </c>
      <c r="JH34" s="1470">
        <f t="shared" si="541"/>
        <v>0</v>
      </c>
      <c r="JI34" s="1470">
        <f t="shared" si="542"/>
        <v>0</v>
      </c>
      <c r="JJ34" s="1470">
        <f t="shared" si="543"/>
        <v>0</v>
      </c>
      <c r="JK34" s="1470">
        <f t="shared" si="544"/>
        <v>0</v>
      </c>
      <c r="JL34" s="1470">
        <f t="shared" si="545"/>
        <v>0</v>
      </c>
      <c r="JM34" s="1471">
        <f t="shared" si="546"/>
        <v>0</v>
      </c>
      <c r="JN34" s="1469">
        <f t="shared" si="547"/>
        <v>0</v>
      </c>
      <c r="JO34" s="1470">
        <f t="shared" si="547"/>
        <v>0</v>
      </c>
      <c r="JP34" s="1470">
        <f t="shared" si="547"/>
        <v>0</v>
      </c>
      <c r="JQ34" s="1470">
        <f t="shared" si="547"/>
        <v>0</v>
      </c>
      <c r="JR34" s="1470">
        <f t="shared" si="549"/>
        <v>0</v>
      </c>
      <c r="JS34" s="1470">
        <f t="shared" si="548"/>
        <v>0</v>
      </c>
      <c r="JT34" s="1470">
        <f t="shared" si="287"/>
        <v>0</v>
      </c>
      <c r="JU34" s="1470">
        <f t="shared" si="548"/>
        <v>0</v>
      </c>
      <c r="JV34" s="1470">
        <f t="shared" si="548"/>
        <v>0</v>
      </c>
      <c r="JW34" s="1470">
        <f t="shared" si="548"/>
        <v>0</v>
      </c>
      <c r="JX34" s="1470">
        <f t="shared" si="548"/>
        <v>0</v>
      </c>
      <c r="JY34" s="1470">
        <f t="shared" si="548"/>
        <v>0</v>
      </c>
      <c r="JZ34" s="1471">
        <f t="shared" si="548"/>
        <v>0</v>
      </c>
      <c r="KA34" s="1469">
        <f t="shared" si="548"/>
        <v>0</v>
      </c>
      <c r="KC34"/>
      <c r="KD34" s="62"/>
      <c r="KE34" s="62"/>
      <c r="KF34" s="62"/>
    </row>
    <row r="35" spans="1:292" ht="15" customHeight="1" x14ac:dyDescent="0.2">
      <c r="A35" s="1168" t="s">
        <v>257</v>
      </c>
      <c r="B35" s="1470"/>
      <c r="C35" s="1470"/>
      <c r="D35" s="1470"/>
      <c r="E35" s="1470"/>
      <c r="F35" s="1470"/>
      <c r="G35" s="1470"/>
      <c r="H35" s="1470"/>
      <c r="I35" s="1470"/>
      <c r="J35" s="1470"/>
      <c r="K35" s="1470"/>
      <c r="L35" s="1470"/>
      <c r="M35" s="1471"/>
      <c r="N35" s="1469"/>
      <c r="O35" s="1470">
        <f t="shared" si="288"/>
        <v>0</v>
      </c>
      <c r="P35" s="1470">
        <f t="shared" si="289"/>
        <v>0</v>
      </c>
      <c r="Q35" s="1470">
        <f t="shared" si="290"/>
        <v>0</v>
      </c>
      <c r="R35" s="1470">
        <f t="shared" si="291"/>
        <v>0</v>
      </c>
      <c r="S35" s="1470">
        <f t="shared" si="292"/>
        <v>0</v>
      </c>
      <c r="T35" s="1470">
        <f t="shared" si="293"/>
        <v>0</v>
      </c>
      <c r="U35" s="1470">
        <f t="shared" si="294"/>
        <v>0</v>
      </c>
      <c r="V35" s="1470">
        <f t="shared" si="295"/>
        <v>0</v>
      </c>
      <c r="W35" s="1470">
        <f t="shared" si="296"/>
        <v>0</v>
      </c>
      <c r="X35" s="1470">
        <f t="shared" si="297"/>
        <v>0</v>
      </c>
      <c r="Y35" s="1470">
        <f t="shared" si="298"/>
        <v>0</v>
      </c>
      <c r="Z35" s="1471">
        <f t="shared" si="299"/>
        <v>0</v>
      </c>
      <c r="AA35" s="1469">
        <f t="shared" si="300"/>
        <v>0</v>
      </c>
      <c r="AB35" s="1470">
        <f t="shared" si="301"/>
        <v>0</v>
      </c>
      <c r="AC35" s="1470">
        <f t="shared" si="302"/>
        <v>0</v>
      </c>
      <c r="AD35" s="1470">
        <f t="shared" si="303"/>
        <v>0</v>
      </c>
      <c r="AE35" s="1470">
        <f t="shared" si="304"/>
        <v>0</v>
      </c>
      <c r="AF35" s="1470">
        <f t="shared" si="305"/>
        <v>0</v>
      </c>
      <c r="AG35" s="1470">
        <f t="shared" si="306"/>
        <v>0</v>
      </c>
      <c r="AH35" s="1470">
        <f t="shared" si="307"/>
        <v>0</v>
      </c>
      <c r="AI35" s="1470">
        <f t="shared" si="308"/>
        <v>0</v>
      </c>
      <c r="AJ35" s="1470">
        <f t="shared" si="309"/>
        <v>0</v>
      </c>
      <c r="AK35" s="1470">
        <f t="shared" si="310"/>
        <v>0</v>
      </c>
      <c r="AL35" s="1470">
        <f t="shared" si="311"/>
        <v>0</v>
      </c>
      <c r="AM35" s="1471">
        <f t="shared" si="312"/>
        <v>0</v>
      </c>
      <c r="AN35" s="1469">
        <f t="shared" si="313"/>
        <v>0</v>
      </c>
      <c r="AO35" s="1470">
        <f t="shared" si="314"/>
        <v>0</v>
      </c>
      <c r="AP35" s="1470">
        <f t="shared" si="315"/>
        <v>0</v>
      </c>
      <c r="AQ35" s="1470">
        <f t="shared" si="316"/>
        <v>0</v>
      </c>
      <c r="AR35" s="1470">
        <f t="shared" si="317"/>
        <v>0</v>
      </c>
      <c r="AS35" s="1470">
        <f t="shared" si="318"/>
        <v>0</v>
      </c>
      <c r="AT35" s="1470">
        <f t="shared" si="319"/>
        <v>0</v>
      </c>
      <c r="AU35" s="1470">
        <f t="shared" si="320"/>
        <v>0</v>
      </c>
      <c r="AV35" s="1470">
        <f t="shared" si="321"/>
        <v>0</v>
      </c>
      <c r="AW35" s="1470">
        <f t="shared" si="322"/>
        <v>0</v>
      </c>
      <c r="AX35" s="1470">
        <f t="shared" si="323"/>
        <v>0</v>
      </c>
      <c r="AY35" s="1470">
        <f t="shared" si="324"/>
        <v>0</v>
      </c>
      <c r="AZ35" s="1471">
        <f t="shared" si="325"/>
        <v>0</v>
      </c>
      <c r="BA35" s="1469">
        <f t="shared" si="326"/>
        <v>0</v>
      </c>
      <c r="BB35" s="1470">
        <f t="shared" si="327"/>
        <v>0</v>
      </c>
      <c r="BC35" s="1470">
        <f t="shared" si="328"/>
        <v>0</v>
      </c>
      <c r="BD35" s="1470">
        <f t="shared" si="329"/>
        <v>0</v>
      </c>
      <c r="BE35" s="1470">
        <f t="shared" si="330"/>
        <v>0</v>
      </c>
      <c r="BF35" s="1470">
        <f t="shared" si="331"/>
        <v>0</v>
      </c>
      <c r="BG35" s="1470">
        <f t="shared" si="332"/>
        <v>0</v>
      </c>
      <c r="BH35" s="1470">
        <f t="shared" si="333"/>
        <v>0</v>
      </c>
      <c r="BI35" s="1470">
        <f t="shared" si="334"/>
        <v>0</v>
      </c>
      <c r="BJ35" s="1470">
        <f t="shared" si="335"/>
        <v>0</v>
      </c>
      <c r="BK35" s="1470">
        <f t="shared" si="336"/>
        <v>0</v>
      </c>
      <c r="BL35" s="1470">
        <f t="shared" si="337"/>
        <v>0</v>
      </c>
      <c r="BM35" s="1471">
        <f t="shared" si="338"/>
        <v>0</v>
      </c>
      <c r="BN35" s="1469">
        <f t="shared" si="339"/>
        <v>0</v>
      </c>
      <c r="BO35" s="1470">
        <f t="shared" si="340"/>
        <v>0</v>
      </c>
      <c r="BP35" s="1470">
        <f t="shared" si="341"/>
        <v>0</v>
      </c>
      <c r="BQ35" s="1470">
        <f t="shared" si="342"/>
        <v>0</v>
      </c>
      <c r="BR35" s="1470">
        <f t="shared" si="343"/>
        <v>0</v>
      </c>
      <c r="BS35" s="1470">
        <f t="shared" si="344"/>
        <v>0</v>
      </c>
      <c r="BT35" s="1470">
        <f t="shared" si="345"/>
        <v>0</v>
      </c>
      <c r="BU35" s="1470">
        <f t="shared" si="346"/>
        <v>0</v>
      </c>
      <c r="BV35" s="1470">
        <f t="shared" si="347"/>
        <v>0</v>
      </c>
      <c r="BW35" s="1470">
        <f t="shared" si="348"/>
        <v>0</v>
      </c>
      <c r="BX35" s="1470">
        <f t="shared" si="349"/>
        <v>0</v>
      </c>
      <c r="BY35" s="1470">
        <f t="shared" si="350"/>
        <v>0</v>
      </c>
      <c r="BZ35" s="1471">
        <f t="shared" si="351"/>
        <v>0</v>
      </c>
      <c r="CA35" s="1469">
        <f t="shared" si="352"/>
        <v>0</v>
      </c>
      <c r="CB35" s="1470">
        <f t="shared" si="353"/>
        <v>-100</v>
      </c>
      <c r="CC35" s="1470">
        <f t="shared" si="354"/>
        <v>-93.242826288182656</v>
      </c>
      <c r="CD35" s="1470">
        <f t="shared" si="355"/>
        <v>-92.711510675870926</v>
      </c>
      <c r="CE35" s="1470">
        <f t="shared" si="356"/>
        <v>0</v>
      </c>
      <c r="CF35" s="1470">
        <f t="shared" si="357"/>
        <v>0</v>
      </c>
      <c r="CG35" s="1470">
        <f t="shared" si="358"/>
        <v>0</v>
      </c>
      <c r="CH35" s="1470">
        <f t="shared" si="359"/>
        <v>0</v>
      </c>
      <c r="CI35" s="1470">
        <f t="shared" si="360"/>
        <v>-27.315084449621441</v>
      </c>
      <c r="CJ35" s="1470">
        <f t="shared" si="361"/>
        <v>-81.213389121338906</v>
      </c>
      <c r="CK35" s="1470">
        <f t="shared" si="362"/>
        <v>-37.45595489781536</v>
      </c>
      <c r="CL35" s="1470">
        <f t="shared" si="363"/>
        <v>0.99833610648918381</v>
      </c>
      <c r="CM35" s="1471">
        <f t="shared" si="364"/>
        <v>1325.3164556962026</v>
      </c>
      <c r="CN35" s="1469">
        <f t="shared" si="365"/>
        <v>-72.209789192156833</v>
      </c>
      <c r="CO35" s="1470">
        <f t="shared" si="366"/>
        <v>0</v>
      </c>
      <c r="CP35" s="1470">
        <f t="shared" si="367"/>
        <v>-32.876712328767113</v>
      </c>
      <c r="CQ35" s="1470">
        <f t="shared" si="368"/>
        <v>3.9647577092510877</v>
      </c>
      <c r="CR35" s="1470">
        <f t="shared" si="369"/>
        <v>-88.020424194815391</v>
      </c>
      <c r="CS35" s="1470">
        <f t="shared" si="370"/>
        <v>-100</v>
      </c>
      <c r="CT35" s="1470">
        <f t="shared" si="371"/>
        <v>67.431192660550494</v>
      </c>
      <c r="CU35" s="1470">
        <f t="shared" si="372"/>
        <v>79.146919431279599</v>
      </c>
      <c r="CV35" s="1470">
        <f t="shared" si="373"/>
        <v>-77.243589743589737</v>
      </c>
      <c r="CW35" s="1470">
        <f t="shared" si="374"/>
        <v>-86.859688195991097</v>
      </c>
      <c r="CX35" s="1470">
        <f t="shared" si="375"/>
        <v>-67.267605633802816</v>
      </c>
      <c r="CY35" s="1470">
        <f t="shared" si="376"/>
        <v>-100</v>
      </c>
      <c r="CZ35" s="1471">
        <f t="shared" si="377"/>
        <v>-41.518650088809949</v>
      </c>
      <c r="DA35" s="1469">
        <f t="shared" si="378"/>
        <v>-66.339433689481297</v>
      </c>
      <c r="DB35" s="1470">
        <f t="shared" si="379"/>
        <v>0</v>
      </c>
      <c r="DC35" s="1470">
        <f t="shared" si="380"/>
        <v>449.31972789115645</v>
      </c>
      <c r="DD35" s="1470">
        <f t="shared" si="381"/>
        <v>-100</v>
      </c>
      <c r="DE35" s="1470">
        <f t="shared" si="382"/>
        <v>-83.606557377049185</v>
      </c>
      <c r="DF35" s="1470">
        <f t="shared" si="383"/>
        <v>0</v>
      </c>
      <c r="DG35" s="1470">
        <f t="shared" si="384"/>
        <v>336.98630136986304</v>
      </c>
      <c r="DH35" s="1470">
        <f t="shared" si="385"/>
        <v>303.17460317460313</v>
      </c>
      <c r="DI35" s="1470">
        <f t="shared" si="386"/>
        <v>-80.105633802816897</v>
      </c>
      <c r="DJ35" s="1470">
        <f t="shared" si="387"/>
        <v>1059.3220338983051</v>
      </c>
      <c r="DK35" s="1470">
        <f t="shared" si="388"/>
        <v>138.72633390705681</v>
      </c>
      <c r="DL35" s="1470">
        <f t="shared" si="389"/>
        <v>0</v>
      </c>
      <c r="DM35" s="1471">
        <f t="shared" si="390"/>
        <v>-55.656795747911922</v>
      </c>
      <c r="DN35" s="1469">
        <f t="shared" si="391"/>
        <v>129.53969284921109</v>
      </c>
      <c r="DO35" s="1470">
        <f t="shared" si="392"/>
        <v>-37.275541795665625</v>
      </c>
      <c r="DP35" s="1470">
        <f t="shared" si="393"/>
        <v>-44.767801857585141</v>
      </c>
      <c r="DQ35" s="1470">
        <f t="shared" si="394"/>
        <v>0</v>
      </c>
      <c r="DR35" s="1470">
        <f t="shared" si="395"/>
        <v>604.00000000000011</v>
      </c>
      <c r="DS35" s="1470">
        <f t="shared" si="396"/>
        <v>13.518886679920472</v>
      </c>
      <c r="DT35" s="1470">
        <f t="shared" si="397"/>
        <v>-64.012539184952971</v>
      </c>
      <c r="DU35" s="1470">
        <f t="shared" si="398"/>
        <v>-62.073490813648277</v>
      </c>
      <c r="DV35" s="1470">
        <f t="shared" si="399"/>
        <v>-100</v>
      </c>
      <c r="DW35" s="1470">
        <f t="shared" si="400"/>
        <v>238.30409356725147</v>
      </c>
      <c r="DX35" s="1470">
        <f t="shared" si="401"/>
        <v>-100</v>
      </c>
      <c r="DY35" s="1470">
        <f t="shared" si="402"/>
        <v>7.1114662405113771</v>
      </c>
      <c r="DZ35" s="1471">
        <f t="shared" si="403"/>
        <v>-33.219178082191782</v>
      </c>
      <c r="EA35" s="1469">
        <f t="shared" si="404"/>
        <v>-10.729483282674767</v>
      </c>
      <c r="EB35" s="1470">
        <f t="shared" si="405"/>
        <v>-1.7769002961500635</v>
      </c>
      <c r="EC35" s="1470">
        <f t="shared" si="406"/>
        <v>-100</v>
      </c>
      <c r="ED35" s="1470">
        <f t="shared" si="407"/>
        <v>6.2256809338521624</v>
      </c>
      <c r="EE35" s="1470">
        <f t="shared" si="408"/>
        <v>-69.318181818181827</v>
      </c>
      <c r="EF35" s="1470">
        <f t="shared" si="409"/>
        <v>-75.656742556917663</v>
      </c>
      <c r="EG35" s="1470">
        <f t="shared" si="410"/>
        <v>-4.5296167247386832</v>
      </c>
      <c r="EH35" s="1470">
        <f t="shared" si="411"/>
        <v>-93.598615916955012</v>
      </c>
      <c r="EI35" s="1470">
        <f t="shared" si="412"/>
        <v>0</v>
      </c>
      <c r="EJ35" s="1470">
        <f t="shared" si="413"/>
        <v>-96.931719965427831</v>
      </c>
      <c r="EK35" s="1470">
        <f t="shared" si="414"/>
        <v>0</v>
      </c>
      <c r="EL35" s="1470">
        <f t="shared" si="415"/>
        <v>-2.2379709063781617</v>
      </c>
      <c r="EM35" s="1471">
        <f t="shared" si="416"/>
        <v>792.30769230769238</v>
      </c>
      <c r="EN35" s="1469">
        <f t="shared" si="417"/>
        <v>-1.9315536169468572</v>
      </c>
      <c r="EO35" s="1470">
        <f t="shared" si="418"/>
        <v>568.14070351758801</v>
      </c>
      <c r="EP35" s="1470">
        <f t="shared" si="419"/>
        <v>0</v>
      </c>
      <c r="EQ35" s="1470">
        <f t="shared" si="420"/>
        <v>731.86813186813174</v>
      </c>
      <c r="ER35" s="1470">
        <f t="shared" si="421"/>
        <v>1453.7037037037039</v>
      </c>
      <c r="ES35" s="1470">
        <f t="shared" si="422"/>
        <v>625.89928057553891</v>
      </c>
      <c r="ET35" s="1470">
        <f t="shared" si="423"/>
        <v>145.62043795620437</v>
      </c>
      <c r="EU35" s="1470">
        <f t="shared" si="424"/>
        <v>5691.8918918918853</v>
      </c>
      <c r="EV35" s="1470">
        <f t="shared" si="425"/>
        <v>170.28423772609816</v>
      </c>
      <c r="EW35" s="1470">
        <f t="shared" si="426"/>
        <v>2204.2253521126759</v>
      </c>
      <c r="EX35" s="1470">
        <f t="shared" si="427"/>
        <v>346.5620328849032</v>
      </c>
      <c r="EY35" s="1470">
        <f t="shared" si="428"/>
        <v>50.247996947729831</v>
      </c>
      <c r="EZ35" s="1471">
        <f t="shared" si="429"/>
        <v>159.94252873563224</v>
      </c>
      <c r="FA35" s="1469">
        <f t="shared" si="430"/>
        <v>296.00653717431425</v>
      </c>
      <c r="FB35" s="1470">
        <f t="shared" si="431"/>
        <v>49.127557160048127</v>
      </c>
      <c r="FC35" s="1470">
        <f t="shared" si="432"/>
        <v>13.080521216171093</v>
      </c>
      <c r="FD35" s="1470">
        <f t="shared" si="433"/>
        <v>105.17393218846323</v>
      </c>
      <c r="FE35" s="1470">
        <f t="shared" si="434"/>
        <v>274.07628128724673</v>
      </c>
      <c r="FF35" s="1470">
        <f t="shared" si="435"/>
        <v>281.86323092170471</v>
      </c>
      <c r="FG35" s="1470">
        <f t="shared" si="436"/>
        <v>-32.838038632986624</v>
      </c>
      <c r="FH35" s="1470">
        <f t="shared" si="437"/>
        <v>-100</v>
      </c>
      <c r="FI35" s="1470">
        <f t="shared" si="438"/>
        <v>305.21032504780106</v>
      </c>
      <c r="FJ35" s="1470">
        <f t="shared" si="439"/>
        <v>269.19315403422985</v>
      </c>
      <c r="FK35" s="1470">
        <f t="shared" si="440"/>
        <v>33.8744769874477</v>
      </c>
      <c r="FL35" s="1470">
        <f t="shared" si="441"/>
        <v>105.12950736414419</v>
      </c>
      <c r="FM35" s="1471">
        <f t="shared" si="442"/>
        <v>-55.516250276365241</v>
      </c>
      <c r="FN35" s="1469">
        <f t="shared" si="443"/>
        <v>69.786485371098422</v>
      </c>
      <c r="FO35" s="1470">
        <f t="shared" si="444"/>
        <v>-32.590276376840833</v>
      </c>
      <c r="FP35" s="1470">
        <f t="shared" si="445"/>
        <v>39.799084059683821</v>
      </c>
      <c r="FQ35" s="1470">
        <f t="shared" si="446"/>
        <v>1.3306148728404743</v>
      </c>
      <c r="FR35" s="1470">
        <f t="shared" si="447"/>
        <v>2.931336625776626</v>
      </c>
      <c r="FS35" s="1470">
        <f t="shared" si="448"/>
        <v>-0.85647547365689247</v>
      </c>
      <c r="FT35" s="1470">
        <f t="shared" si="449"/>
        <v>-100</v>
      </c>
      <c r="FU35" s="1470">
        <f t="shared" si="450"/>
        <v>0</v>
      </c>
      <c r="FV35" s="1470">
        <f t="shared" si="451"/>
        <v>-8.4109944555856959</v>
      </c>
      <c r="FW35" s="1470">
        <f t="shared" si="452"/>
        <v>-40.761589403973495</v>
      </c>
      <c r="FX35" s="1470">
        <f t="shared" si="453"/>
        <v>-45.718214776847098</v>
      </c>
      <c r="FY35" s="1470">
        <f t="shared" si="454"/>
        <v>-8.7893042832384083</v>
      </c>
      <c r="FZ35" s="1471">
        <f t="shared" si="455"/>
        <v>124.20477137176937</v>
      </c>
      <c r="GA35" s="1469">
        <f t="shared" si="456"/>
        <v>-3.8392832221509021</v>
      </c>
      <c r="GB35" s="1470">
        <f t="shared" si="457"/>
        <v>-14.679036360915742</v>
      </c>
      <c r="GC35" s="1470">
        <f t="shared" si="458"/>
        <v>-25.499313114234379</v>
      </c>
      <c r="GD35" s="1470">
        <f t="shared" si="459"/>
        <v>6.7033781637191314</v>
      </c>
      <c r="GE35" s="1470">
        <f t="shared" si="460"/>
        <v>16.143011917659834</v>
      </c>
      <c r="GF35" s="1470">
        <f t="shared" si="461"/>
        <v>37.120418848167546</v>
      </c>
      <c r="GG35" s="1470">
        <f t="shared" si="462"/>
        <v>0</v>
      </c>
      <c r="GH35" s="1470">
        <f t="shared" si="463"/>
        <v>-100</v>
      </c>
      <c r="GI35" s="1470">
        <f t="shared" si="464"/>
        <v>-63.42091705306543</v>
      </c>
      <c r="GJ35" s="1470">
        <f t="shared" si="465"/>
        <v>151.64896590273895</v>
      </c>
      <c r="GK35" s="1470">
        <f t="shared" si="466"/>
        <v>55.043758636573003</v>
      </c>
      <c r="GL35" s="1470">
        <f t="shared" si="467"/>
        <v>19.815418023887045</v>
      </c>
      <c r="GM35" s="1471">
        <f t="shared" si="468"/>
        <v>-0.53203280868987513</v>
      </c>
      <c r="GN35" s="1469">
        <f t="shared" si="469"/>
        <v>8.7790081709069323</v>
      </c>
      <c r="GO35" s="1470">
        <f t="shared" si="470"/>
        <v>57.383374254647478</v>
      </c>
      <c r="GP35" s="1470">
        <f t="shared" si="471"/>
        <v>13.985815602836894</v>
      </c>
      <c r="GQ35" s="1470">
        <f t="shared" si="472"/>
        <v>-62.425565700674881</v>
      </c>
      <c r="GR35" s="1470">
        <f t="shared" si="473"/>
        <v>-100</v>
      </c>
      <c r="GS35" s="1470">
        <f t="shared" si="474"/>
        <v>-100</v>
      </c>
      <c r="GT35" s="1470">
        <f t="shared" si="475"/>
        <v>-100</v>
      </c>
      <c r="GU35" s="1470">
        <f t="shared" si="476"/>
        <v>0</v>
      </c>
      <c r="GV35" s="1470">
        <f t="shared" si="477"/>
        <v>-100</v>
      </c>
      <c r="GW35" s="1470">
        <f t="shared" si="478"/>
        <v>-100</v>
      </c>
      <c r="GX35" s="1470">
        <f t="shared" si="479"/>
        <v>-100</v>
      </c>
      <c r="GY35" s="1470">
        <f t="shared" si="480"/>
        <v>-100</v>
      </c>
      <c r="GZ35" s="1471">
        <f t="shared" si="481"/>
        <v>-100</v>
      </c>
      <c r="HA35" s="1469">
        <f t="shared" si="482"/>
        <v>1.7344433770946743</v>
      </c>
      <c r="HB35" s="1470">
        <f t="shared" si="483"/>
        <v>-82.170715400044571</v>
      </c>
      <c r="HC35" s="1470">
        <f t="shared" si="484"/>
        <v>-76.356396217023388</v>
      </c>
      <c r="HD35" s="1470">
        <f t="shared" si="485"/>
        <v>-49.815108293713671</v>
      </c>
      <c r="HE35" s="1470">
        <f t="shared" si="486"/>
        <v>0</v>
      </c>
      <c r="HF35" s="1470">
        <f t="shared" si="487"/>
        <v>0</v>
      </c>
      <c r="HG35" s="1470">
        <f t="shared" si="488"/>
        <v>0</v>
      </c>
      <c r="HH35" s="1470">
        <f t="shared" si="489"/>
        <v>0</v>
      </c>
      <c r="HI35" s="1470">
        <f t="shared" si="490"/>
        <v>0</v>
      </c>
      <c r="HJ35" s="1470">
        <f t="shared" si="491"/>
        <v>0</v>
      </c>
      <c r="HK35" s="1470">
        <f t="shared" si="492"/>
        <v>0</v>
      </c>
      <c r="HL35" s="1470">
        <f t="shared" si="493"/>
        <v>0</v>
      </c>
      <c r="HM35" s="1471">
        <f t="shared" si="494"/>
        <v>0</v>
      </c>
      <c r="HN35" s="1469">
        <f t="shared" si="495"/>
        <v>-75.429169070975192</v>
      </c>
      <c r="HO35" s="1470">
        <f t="shared" si="496"/>
        <v>-82</v>
      </c>
      <c r="HP35" s="1470">
        <f t="shared" si="497"/>
        <v>-100</v>
      </c>
      <c r="HQ35" s="1470">
        <f t="shared" si="498"/>
        <v>-100</v>
      </c>
      <c r="HR35" s="1470">
        <f t="shared" si="499"/>
        <v>-100</v>
      </c>
      <c r="HS35" s="1470">
        <f t="shared" si="500"/>
        <v>-100</v>
      </c>
      <c r="HT35" s="1470">
        <f t="shared" si="501"/>
        <v>0</v>
      </c>
      <c r="HU35" s="1470">
        <f t="shared" si="502"/>
        <v>-100</v>
      </c>
      <c r="HV35" s="1470">
        <f t="shared" si="503"/>
        <v>0</v>
      </c>
      <c r="HW35" s="1470">
        <f t="shared" si="504"/>
        <v>-100</v>
      </c>
      <c r="HX35" s="1470">
        <f t="shared" si="505"/>
        <v>-100</v>
      </c>
      <c r="HY35" s="1470">
        <f t="shared" si="506"/>
        <v>0</v>
      </c>
      <c r="HZ35" s="1471">
        <f t="shared" si="507"/>
        <v>0</v>
      </c>
      <c r="IA35" s="1469">
        <f t="shared" si="508"/>
        <v>-83.091149273447826</v>
      </c>
      <c r="IB35" s="1470">
        <f t="shared" si="509"/>
        <v>-100</v>
      </c>
      <c r="IC35" s="1470">
        <f t="shared" si="510"/>
        <v>0</v>
      </c>
      <c r="ID35" s="1470">
        <f t="shared" si="511"/>
        <v>0</v>
      </c>
      <c r="IE35" s="1470">
        <f t="shared" si="512"/>
        <v>0</v>
      </c>
      <c r="IF35" s="1470">
        <f t="shared" si="513"/>
        <v>0</v>
      </c>
      <c r="IG35" s="1470">
        <f t="shared" si="514"/>
        <v>0</v>
      </c>
      <c r="IH35" s="1470">
        <f t="shared" si="515"/>
        <v>0</v>
      </c>
      <c r="II35" s="1470">
        <f t="shared" si="516"/>
        <v>0</v>
      </c>
      <c r="IJ35" s="1470">
        <f t="shared" si="517"/>
        <v>0</v>
      </c>
      <c r="IK35" s="1470">
        <f t="shared" si="518"/>
        <v>0</v>
      </c>
      <c r="IL35" s="1470">
        <f t="shared" si="519"/>
        <v>0</v>
      </c>
      <c r="IM35" s="1471">
        <f t="shared" si="520"/>
        <v>0</v>
      </c>
      <c r="IN35" s="1469">
        <f t="shared" si="521"/>
        <v>-100</v>
      </c>
      <c r="IO35" s="1470">
        <f t="shared" si="522"/>
        <v>0</v>
      </c>
      <c r="IP35" s="1470">
        <f t="shared" si="523"/>
        <v>0</v>
      </c>
      <c r="IQ35" s="1470">
        <f t="shared" si="524"/>
        <v>0</v>
      </c>
      <c r="IR35" s="1470">
        <f t="shared" si="525"/>
        <v>0</v>
      </c>
      <c r="IS35" s="1470">
        <f t="shared" si="526"/>
        <v>0</v>
      </c>
      <c r="IT35" s="1470">
        <f t="shared" si="527"/>
        <v>0</v>
      </c>
      <c r="IU35" s="1470">
        <f t="shared" si="528"/>
        <v>0</v>
      </c>
      <c r="IV35" s="1470">
        <f t="shared" si="529"/>
        <v>0</v>
      </c>
      <c r="IW35" s="1470">
        <f t="shared" si="530"/>
        <v>0</v>
      </c>
      <c r="IX35" s="1470">
        <f t="shared" si="531"/>
        <v>0</v>
      </c>
      <c r="IY35" s="1470">
        <f t="shared" si="532"/>
        <v>0</v>
      </c>
      <c r="IZ35" s="1471">
        <f t="shared" si="533"/>
        <v>0</v>
      </c>
      <c r="JA35" s="1469">
        <f t="shared" si="534"/>
        <v>0</v>
      </c>
      <c r="JB35" s="1470">
        <f t="shared" si="535"/>
        <v>0</v>
      </c>
      <c r="JC35" s="1470">
        <f t="shared" si="536"/>
        <v>0</v>
      </c>
      <c r="JD35" s="1470">
        <f t="shared" si="537"/>
        <v>0</v>
      </c>
      <c r="JE35" s="1470">
        <f t="shared" si="538"/>
        <v>0</v>
      </c>
      <c r="JF35" s="1470">
        <f t="shared" si="539"/>
        <v>0</v>
      </c>
      <c r="JG35" s="1470">
        <f t="shared" si="540"/>
        <v>0</v>
      </c>
      <c r="JH35" s="1470">
        <f t="shared" si="541"/>
        <v>0</v>
      </c>
      <c r="JI35" s="1470">
        <f t="shared" si="542"/>
        <v>0</v>
      </c>
      <c r="JJ35" s="1470">
        <f t="shared" si="543"/>
        <v>0</v>
      </c>
      <c r="JK35" s="1470">
        <f t="shared" si="544"/>
        <v>0</v>
      </c>
      <c r="JL35" s="1470">
        <f t="shared" si="545"/>
        <v>0</v>
      </c>
      <c r="JM35" s="1471">
        <f t="shared" si="546"/>
        <v>0</v>
      </c>
      <c r="JN35" s="1469">
        <f t="shared" si="547"/>
        <v>0</v>
      </c>
      <c r="JO35" s="1470">
        <f t="shared" si="547"/>
        <v>0</v>
      </c>
      <c r="JP35" s="1470">
        <f t="shared" si="547"/>
        <v>0</v>
      </c>
      <c r="JQ35" s="1470">
        <f t="shared" si="547"/>
        <v>0</v>
      </c>
      <c r="JR35" s="1470">
        <f t="shared" si="549"/>
        <v>0</v>
      </c>
      <c r="JS35" s="1470">
        <f t="shared" si="548"/>
        <v>0</v>
      </c>
      <c r="JT35" s="1470">
        <f t="shared" si="287"/>
        <v>0</v>
      </c>
      <c r="JU35" s="1470">
        <f t="shared" si="548"/>
        <v>0</v>
      </c>
      <c r="JV35" s="1470">
        <f t="shared" si="548"/>
        <v>0</v>
      </c>
      <c r="JW35" s="1470">
        <f t="shared" si="548"/>
        <v>0</v>
      </c>
      <c r="JX35" s="1470">
        <f t="shared" si="548"/>
        <v>0</v>
      </c>
      <c r="JY35" s="1470">
        <f t="shared" si="548"/>
        <v>0</v>
      </c>
      <c r="JZ35" s="1471">
        <f t="shared" si="548"/>
        <v>0</v>
      </c>
      <c r="KA35" s="1469">
        <f t="shared" si="548"/>
        <v>0</v>
      </c>
      <c r="KC35"/>
      <c r="KD35" s="62"/>
      <c r="KE35" s="62"/>
      <c r="KF35" s="62"/>
    </row>
    <row r="36" spans="1:292" ht="15" customHeight="1" x14ac:dyDescent="0.2">
      <c r="A36" s="1168" t="s">
        <v>210</v>
      </c>
      <c r="B36" s="1470"/>
      <c r="C36" s="1470"/>
      <c r="D36" s="1470"/>
      <c r="E36" s="1470"/>
      <c r="F36" s="1470"/>
      <c r="G36" s="1470"/>
      <c r="H36" s="1470"/>
      <c r="I36" s="1470"/>
      <c r="J36" s="1470"/>
      <c r="K36" s="1470"/>
      <c r="L36" s="1470"/>
      <c r="M36" s="1471"/>
      <c r="N36" s="1469"/>
      <c r="O36" s="1470">
        <f t="shared" si="288"/>
        <v>0</v>
      </c>
      <c r="P36" s="1470">
        <f t="shared" si="289"/>
        <v>0</v>
      </c>
      <c r="Q36" s="1470">
        <f t="shared" si="290"/>
        <v>0</v>
      </c>
      <c r="R36" s="1470">
        <f t="shared" si="291"/>
        <v>0</v>
      </c>
      <c r="S36" s="1470">
        <f t="shared" si="292"/>
        <v>0</v>
      </c>
      <c r="T36" s="1470">
        <f t="shared" si="293"/>
        <v>0</v>
      </c>
      <c r="U36" s="1470">
        <f t="shared" si="294"/>
        <v>0</v>
      </c>
      <c r="V36" s="1470">
        <f t="shared" si="295"/>
        <v>0</v>
      </c>
      <c r="W36" s="1470">
        <f t="shared" si="296"/>
        <v>0</v>
      </c>
      <c r="X36" s="1470">
        <f t="shared" si="297"/>
        <v>49.539406345956991</v>
      </c>
      <c r="Y36" s="1470">
        <f t="shared" si="298"/>
        <v>78.416955017301035</v>
      </c>
      <c r="Z36" s="1471">
        <f t="shared" si="299"/>
        <v>14.876760563380277</v>
      </c>
      <c r="AA36" s="1469">
        <f t="shared" si="300"/>
        <v>28.866605016761106</v>
      </c>
      <c r="AB36" s="1470">
        <f t="shared" si="301"/>
        <v>26.563487049905234</v>
      </c>
      <c r="AC36" s="1470">
        <f t="shared" si="302"/>
        <v>34.011391375101695</v>
      </c>
      <c r="AD36" s="1470">
        <f t="shared" si="303"/>
        <v>34.213036565977738</v>
      </c>
      <c r="AE36" s="1470">
        <f t="shared" si="304"/>
        <v>11.353996737357264</v>
      </c>
      <c r="AF36" s="1470">
        <f t="shared" si="305"/>
        <v>-13.32691845080587</v>
      </c>
      <c r="AG36" s="1470">
        <f t="shared" si="306"/>
        <v>-29.965397923875425</v>
      </c>
      <c r="AH36" s="1470">
        <f t="shared" si="307"/>
        <v>11.336356361696453</v>
      </c>
      <c r="AI36" s="1470">
        <f t="shared" si="308"/>
        <v>-17.93711291090996</v>
      </c>
      <c r="AJ36" s="1470">
        <f t="shared" si="309"/>
        <v>-11.111111111111116</v>
      </c>
      <c r="AK36" s="1470">
        <f t="shared" si="310"/>
        <v>-2.9888204426192111</v>
      </c>
      <c r="AL36" s="1470">
        <f t="shared" si="311"/>
        <v>-13.139393939393941</v>
      </c>
      <c r="AM36" s="1471">
        <f t="shared" si="312"/>
        <v>9.2209450830140547</v>
      </c>
      <c r="AN36" s="1469">
        <f t="shared" si="313"/>
        <v>0.39243827506558748</v>
      </c>
      <c r="AO36" s="1470">
        <f t="shared" si="314"/>
        <v>12.353381582231094</v>
      </c>
      <c r="AP36" s="1470">
        <f t="shared" si="315"/>
        <v>5.4037644201578638</v>
      </c>
      <c r="AQ36" s="1470">
        <f t="shared" si="316"/>
        <v>7.4153044302297966</v>
      </c>
      <c r="AR36" s="1470">
        <f t="shared" si="317"/>
        <v>30.032229709932601</v>
      </c>
      <c r="AS36" s="1470">
        <f t="shared" si="318"/>
        <v>42.270330280321964</v>
      </c>
      <c r="AT36" s="1470">
        <f t="shared" si="319"/>
        <v>56.521739130434767</v>
      </c>
      <c r="AU36" s="1470">
        <f t="shared" si="320"/>
        <v>28.749401054144698</v>
      </c>
      <c r="AV36" s="1470">
        <f t="shared" si="321"/>
        <v>46.966618287373009</v>
      </c>
      <c r="AW36" s="1470">
        <f t="shared" si="322"/>
        <v>45.900692840646663</v>
      </c>
      <c r="AX36" s="1470">
        <f t="shared" si="323"/>
        <v>18.226716839134525</v>
      </c>
      <c r="AY36" s="1470">
        <f t="shared" si="324"/>
        <v>26.653642199274351</v>
      </c>
      <c r="AZ36" s="1471">
        <f t="shared" si="325"/>
        <v>12.464920486435904</v>
      </c>
      <c r="BA36" s="1469">
        <f t="shared" si="326"/>
        <v>26.628395282344531</v>
      </c>
      <c r="BB36" s="1470">
        <f t="shared" si="327"/>
        <v>18.16970235450912</v>
      </c>
      <c r="BC36" s="1470">
        <f t="shared" si="328"/>
        <v>11.751152073732719</v>
      </c>
      <c r="BD36" s="1470">
        <f t="shared" si="329"/>
        <v>-7.2783414203793528</v>
      </c>
      <c r="BE36" s="1470">
        <f t="shared" si="330"/>
        <v>-4.4164037854889653</v>
      </c>
      <c r="BF36" s="1470">
        <f t="shared" si="331"/>
        <v>-6.2036675770581358</v>
      </c>
      <c r="BG36" s="1470">
        <f t="shared" si="332"/>
        <v>3.4301346801346888</v>
      </c>
      <c r="BH36" s="1470">
        <f t="shared" si="333"/>
        <v>-13.490882024562712</v>
      </c>
      <c r="BI36" s="1470">
        <f t="shared" si="334"/>
        <v>-7.0709065771281887</v>
      </c>
      <c r="BJ36" s="1470">
        <f t="shared" si="335"/>
        <v>3.5615354174910907</v>
      </c>
      <c r="BK36" s="1470">
        <f t="shared" si="336"/>
        <v>-2.0091505868311099</v>
      </c>
      <c r="BL36" s="1470">
        <f t="shared" si="337"/>
        <v>12.384310268840903</v>
      </c>
      <c r="BM36" s="1471">
        <f t="shared" si="338"/>
        <v>5.5105011436889173</v>
      </c>
      <c r="BN36" s="1469">
        <f t="shared" si="339"/>
        <v>0.64915592090175611</v>
      </c>
      <c r="BO36" s="1470">
        <f t="shared" si="340"/>
        <v>-74.622831097111188</v>
      </c>
      <c r="BP36" s="1470">
        <f t="shared" si="341"/>
        <v>-74.823841206138113</v>
      </c>
      <c r="BQ36" s="1470">
        <f t="shared" si="342"/>
        <v>-71.78068663233735</v>
      </c>
      <c r="BR36" s="1470">
        <f t="shared" si="343"/>
        <v>-67.518951047446834</v>
      </c>
      <c r="BS36" s="1470">
        <f t="shared" si="344"/>
        <v>-70.504519207250624</v>
      </c>
      <c r="BT36" s="1470">
        <f t="shared" si="345"/>
        <v>-64.256068095970008</v>
      </c>
      <c r="BU36" s="1470">
        <f t="shared" si="346"/>
        <v>-72.610663151430074</v>
      </c>
      <c r="BV36" s="1470">
        <f t="shared" si="347"/>
        <v>-66.984125593899506</v>
      </c>
      <c r="BW36" s="1470">
        <f t="shared" si="348"/>
        <v>-66.632318126737019</v>
      </c>
      <c r="BX36" s="1470">
        <f t="shared" si="349"/>
        <v>-67.951489548281856</v>
      </c>
      <c r="BY36" s="1470">
        <f t="shared" si="350"/>
        <v>-70.228886367546167</v>
      </c>
      <c r="BZ36" s="1471">
        <f t="shared" si="351"/>
        <v>-83.835840279458992</v>
      </c>
      <c r="CA36" s="1469">
        <f t="shared" si="352"/>
        <v>-70.982629893880684</v>
      </c>
      <c r="CB36" s="1470">
        <f t="shared" si="353"/>
        <v>-24.064760130532502</v>
      </c>
      <c r="CC36" s="1470">
        <f t="shared" si="354"/>
        <v>-18.928047447140361</v>
      </c>
      <c r="CD36" s="1470">
        <f t="shared" si="355"/>
        <v>1.202203170043159</v>
      </c>
      <c r="CE36" s="1470">
        <f t="shared" si="356"/>
        <v>-7.6702815458780993</v>
      </c>
      <c r="CF36" s="1470">
        <f t="shared" si="357"/>
        <v>-4.4451808269300175</v>
      </c>
      <c r="CG36" s="1470">
        <f t="shared" si="358"/>
        <v>-29.584247178517487</v>
      </c>
      <c r="CH36" s="1470">
        <f t="shared" si="359"/>
        <v>-32.846996191002539</v>
      </c>
      <c r="CI36" s="1470">
        <f t="shared" si="360"/>
        <v>-28.031961436776541</v>
      </c>
      <c r="CJ36" s="1470">
        <f t="shared" si="361"/>
        <v>-28.247611429103614</v>
      </c>
      <c r="CK36" s="1470">
        <f t="shared" si="362"/>
        <v>-30.449399296995729</v>
      </c>
      <c r="CL36" s="1470">
        <f t="shared" si="363"/>
        <v>-35.679451563038022</v>
      </c>
      <c r="CM36" s="1471">
        <f t="shared" si="364"/>
        <v>48.568509700318231</v>
      </c>
      <c r="CN36" s="1469">
        <f t="shared" si="365"/>
        <v>-19.056719923339937</v>
      </c>
      <c r="CO36" s="1470">
        <f t="shared" si="366"/>
        <v>25.434912343094073</v>
      </c>
      <c r="CP36" s="1470">
        <f t="shared" si="367"/>
        <v>1.8921815669026287</v>
      </c>
      <c r="CQ36" s="1470">
        <f t="shared" si="368"/>
        <v>-23.888217116233079</v>
      </c>
      <c r="CR36" s="1470">
        <f t="shared" si="369"/>
        <v>-13.712133096213218</v>
      </c>
      <c r="CS36" s="1470">
        <f t="shared" si="370"/>
        <v>-12.94481171247922</v>
      </c>
      <c r="CT36" s="1470">
        <f t="shared" si="371"/>
        <v>-7.6398989839697506</v>
      </c>
      <c r="CU36" s="1470">
        <f t="shared" si="372"/>
        <v>15.237062955165515</v>
      </c>
      <c r="CV36" s="1470">
        <f t="shared" si="373"/>
        <v>11.14540573381808</v>
      </c>
      <c r="CW36" s="1470">
        <f t="shared" si="374"/>
        <v>-6.3616812793807487</v>
      </c>
      <c r="CX36" s="1470">
        <f t="shared" si="375"/>
        <v>11.022761870206832</v>
      </c>
      <c r="CY36" s="1470">
        <f t="shared" si="376"/>
        <v>9.689997198481116</v>
      </c>
      <c r="CZ36" s="1471">
        <f t="shared" si="377"/>
        <v>-3.7737651917295278</v>
      </c>
      <c r="DA36" s="1469">
        <f t="shared" si="378"/>
        <v>-0.82517992769786108</v>
      </c>
      <c r="DB36" s="1470">
        <f t="shared" si="379"/>
        <v>5.7904816524856351</v>
      </c>
      <c r="DC36" s="1470">
        <f t="shared" si="380"/>
        <v>12.739486211637118</v>
      </c>
      <c r="DD36" s="1470">
        <f t="shared" si="381"/>
        <v>3.1754698977393137</v>
      </c>
      <c r="DE36" s="1470">
        <f t="shared" si="382"/>
        <v>13.897242968943967</v>
      </c>
      <c r="DF36" s="1470">
        <f t="shared" si="383"/>
        <v>-1.5717722148594016</v>
      </c>
      <c r="DG36" s="1470">
        <f t="shared" si="384"/>
        <v>-16.44992322969745</v>
      </c>
      <c r="DH36" s="1470">
        <f t="shared" si="385"/>
        <v>-15.070850288375903</v>
      </c>
      <c r="DI36" s="1470">
        <f t="shared" si="386"/>
        <v>-37.538426857127128</v>
      </c>
      <c r="DJ36" s="1470">
        <f t="shared" si="387"/>
        <v>-34.198431001733454</v>
      </c>
      <c r="DK36" s="1470">
        <f t="shared" si="388"/>
        <v>-34.403995754958572</v>
      </c>
      <c r="DL36" s="1470">
        <f t="shared" si="389"/>
        <v>1.9557657053006272</v>
      </c>
      <c r="DM36" s="1471">
        <f t="shared" si="390"/>
        <v>-27.272187022097928</v>
      </c>
      <c r="DN36" s="1469">
        <f t="shared" si="391"/>
        <v>-11.903828904275604</v>
      </c>
      <c r="DO36" s="1470">
        <f t="shared" si="392"/>
        <v>-24.437710025194271</v>
      </c>
      <c r="DP36" s="1470">
        <f t="shared" si="393"/>
        <v>5.9204843094390336</v>
      </c>
      <c r="DQ36" s="1470">
        <f t="shared" si="394"/>
        <v>-7.3497606701620422</v>
      </c>
      <c r="DR36" s="1470">
        <f t="shared" si="395"/>
        <v>-26.375993780673269</v>
      </c>
      <c r="DS36" s="1470">
        <f t="shared" si="396"/>
        <v>-27.118058484172249</v>
      </c>
      <c r="DT36" s="1470">
        <f t="shared" si="397"/>
        <v>-27.113865000201155</v>
      </c>
      <c r="DU36" s="1470">
        <f t="shared" si="398"/>
        <v>1.2416763395996844</v>
      </c>
      <c r="DV36" s="1470">
        <f t="shared" si="399"/>
        <v>53.509021609109887</v>
      </c>
      <c r="DW36" s="1470">
        <f t="shared" si="400"/>
        <v>60.5781660509491</v>
      </c>
      <c r="DX36" s="1470">
        <f t="shared" si="401"/>
        <v>3.1359169187026525</v>
      </c>
      <c r="DY36" s="1470">
        <f t="shared" si="402"/>
        <v>-10.956591356668511</v>
      </c>
      <c r="DZ36" s="1471">
        <f t="shared" si="403"/>
        <v>26.646728251177976</v>
      </c>
      <c r="EA36" s="1469">
        <f t="shared" si="404"/>
        <v>-1.9242659516776284</v>
      </c>
      <c r="EB36" s="1470">
        <f t="shared" si="405"/>
        <v>9.2101914357572987</v>
      </c>
      <c r="EC36" s="1470">
        <f t="shared" si="406"/>
        <v>-30.166819596345441</v>
      </c>
      <c r="ED36" s="1470">
        <f t="shared" si="407"/>
        <v>13.566741539708715</v>
      </c>
      <c r="EE36" s="1470">
        <f t="shared" si="408"/>
        <v>12.947200170590323</v>
      </c>
      <c r="EF36" s="1470">
        <f t="shared" si="409"/>
        <v>14.862690667490819</v>
      </c>
      <c r="EG36" s="1470">
        <f t="shared" si="410"/>
        <v>33.878242389051238</v>
      </c>
      <c r="EH36" s="1470">
        <f t="shared" si="411"/>
        <v>17.184379206117704</v>
      </c>
      <c r="EI36" s="1470">
        <f t="shared" si="412"/>
        <v>-18.69336525405776</v>
      </c>
      <c r="EJ36" s="1470">
        <f t="shared" si="413"/>
        <v>-20.403764739578932</v>
      </c>
      <c r="EK36" s="1470">
        <f t="shared" si="414"/>
        <v>36.20039345133597</v>
      </c>
      <c r="EL36" s="1470">
        <f t="shared" si="415"/>
        <v>2.7147359509285929</v>
      </c>
      <c r="EM36" s="1471">
        <f t="shared" si="416"/>
        <v>3.3619566552935964</v>
      </c>
      <c r="EN36" s="1469">
        <f t="shared" si="417"/>
        <v>3.7823469888256689</v>
      </c>
      <c r="EO36" s="1470">
        <f t="shared" si="418"/>
        <v>-50.246394452915325</v>
      </c>
      <c r="EP36" s="1470">
        <f t="shared" si="419"/>
        <v>-20.506293404322417</v>
      </c>
      <c r="EQ36" s="1470">
        <f t="shared" si="420"/>
        <v>-60.643256997007299</v>
      </c>
      <c r="ER36" s="1470">
        <f t="shared" si="421"/>
        <v>-42.573487008214009</v>
      </c>
      <c r="ES36" s="1470">
        <f t="shared" si="422"/>
        <v>-8.2466974487338973</v>
      </c>
      <c r="ET36" s="1470">
        <f t="shared" si="423"/>
        <v>-12.533601409129236</v>
      </c>
      <c r="EU36" s="1470">
        <f t="shared" si="424"/>
        <v>-18.767180557994823</v>
      </c>
      <c r="EV36" s="1470">
        <f t="shared" si="425"/>
        <v>18.788271991993</v>
      </c>
      <c r="EW36" s="1470">
        <f t="shared" si="426"/>
        <v>20.34191766827389</v>
      </c>
      <c r="EX36" s="1470">
        <f t="shared" si="427"/>
        <v>12.015423031345973</v>
      </c>
      <c r="EY36" s="1470">
        <f t="shared" si="428"/>
        <v>19.013496325352651</v>
      </c>
      <c r="EZ36" s="1471">
        <f t="shared" si="429"/>
        <v>4.3780719528094592</v>
      </c>
      <c r="FA36" s="1469">
        <f t="shared" si="430"/>
        <v>-11.520833603683666</v>
      </c>
      <c r="FB36" s="1470">
        <f t="shared" si="431"/>
        <v>91.244204855075452</v>
      </c>
      <c r="FC36" s="1470">
        <f t="shared" si="432"/>
        <v>29.028698257779496</v>
      </c>
      <c r="FD36" s="1470">
        <f t="shared" si="433"/>
        <v>88.223561065413975</v>
      </c>
      <c r="FE36" s="1470">
        <f t="shared" si="434"/>
        <v>78.024519405733116</v>
      </c>
      <c r="FF36" s="1470">
        <f t="shared" si="435"/>
        <v>40.330145456173568</v>
      </c>
      <c r="FG36" s="1470">
        <f t="shared" si="436"/>
        <v>-9.0788066272311738</v>
      </c>
      <c r="FH36" s="1470">
        <f t="shared" si="437"/>
        <v>12.616519847093045</v>
      </c>
      <c r="FI36" s="1470">
        <f t="shared" si="438"/>
        <v>21.480359305491014</v>
      </c>
      <c r="FJ36" s="1470">
        <f t="shared" si="439"/>
        <v>-2.2349690757049623</v>
      </c>
      <c r="FK36" s="1470">
        <f t="shared" si="440"/>
        <v>-11.487797660412912</v>
      </c>
      <c r="FL36" s="1470">
        <f t="shared" si="441"/>
        <v>-9.1984960806674074</v>
      </c>
      <c r="FM36" s="1471">
        <f t="shared" si="442"/>
        <v>-0.52521661456988999</v>
      </c>
      <c r="FN36" s="1469">
        <f t="shared" si="443"/>
        <v>17.291327067144135</v>
      </c>
      <c r="FO36" s="1470">
        <f t="shared" si="444"/>
        <v>10.021673925903496</v>
      </c>
      <c r="FP36" s="1470">
        <f t="shared" si="445"/>
        <v>30.786373745502704</v>
      </c>
      <c r="FQ36" s="1470">
        <f t="shared" si="446"/>
        <v>29.92003070045639</v>
      </c>
      <c r="FR36" s="1470">
        <f t="shared" si="447"/>
        <v>31.040945154710787</v>
      </c>
      <c r="FS36" s="1470">
        <f t="shared" si="448"/>
        <v>6.418959152923942</v>
      </c>
      <c r="FT36" s="1470">
        <f t="shared" si="449"/>
        <v>13.02343347867556</v>
      </c>
      <c r="FU36" s="1470">
        <f t="shared" si="450"/>
        <v>-42.034193592481472</v>
      </c>
      <c r="FV36" s="1470">
        <f t="shared" si="451"/>
        <v>-51.305623113531581</v>
      </c>
      <c r="FW36" s="1470">
        <f t="shared" si="452"/>
        <v>-100</v>
      </c>
      <c r="FX36" s="1470">
        <f t="shared" si="453"/>
        <v>-100</v>
      </c>
      <c r="FY36" s="1470">
        <f t="shared" si="454"/>
        <v>-13.43660335120166</v>
      </c>
      <c r="FZ36" s="1471">
        <f t="shared" si="455"/>
        <v>-6.7669681678374172</v>
      </c>
      <c r="GA36" s="1469">
        <f t="shared" si="456"/>
        <v>-4.75166114108122</v>
      </c>
      <c r="GB36" s="1470">
        <f t="shared" si="457"/>
        <v>-15.243977853385427</v>
      </c>
      <c r="GC36" s="1470">
        <f t="shared" si="458"/>
        <v>-29.591488774488706</v>
      </c>
      <c r="GD36" s="1470">
        <f t="shared" si="459"/>
        <v>-100</v>
      </c>
      <c r="GE36" s="1470">
        <f t="shared" si="460"/>
        <v>-100</v>
      </c>
      <c r="GF36" s="1470">
        <f t="shared" si="461"/>
        <v>-100</v>
      </c>
      <c r="GG36" s="1470">
        <f t="shared" si="462"/>
        <v>-100</v>
      </c>
      <c r="GH36" s="1470">
        <f t="shared" si="463"/>
        <v>-100</v>
      </c>
      <c r="GI36" s="1470">
        <f t="shared" si="464"/>
        <v>-100</v>
      </c>
      <c r="GJ36" s="1470">
        <f t="shared" si="465"/>
        <v>0</v>
      </c>
      <c r="GK36" s="1470">
        <f t="shared" si="466"/>
        <v>0</v>
      </c>
      <c r="GL36" s="1470">
        <f t="shared" si="467"/>
        <v>-100</v>
      </c>
      <c r="GM36" s="1471">
        <f t="shared" si="468"/>
        <v>-100</v>
      </c>
      <c r="GN36" s="1469">
        <f t="shared" si="469"/>
        <v>-16.896450507302021</v>
      </c>
      <c r="GO36" s="1470">
        <f t="shared" si="470"/>
        <v>-100</v>
      </c>
      <c r="GP36" s="1470">
        <f t="shared" si="471"/>
        <v>-100</v>
      </c>
      <c r="GQ36" s="1470">
        <f t="shared" si="472"/>
        <v>0</v>
      </c>
      <c r="GR36" s="1470">
        <f t="shared" si="473"/>
        <v>0</v>
      </c>
      <c r="GS36" s="1470">
        <f t="shared" si="474"/>
        <v>0</v>
      </c>
      <c r="GT36" s="1470">
        <f t="shared" si="475"/>
        <v>0</v>
      </c>
      <c r="GU36" s="1470">
        <f t="shared" si="476"/>
        <v>0</v>
      </c>
      <c r="GV36" s="1470">
        <f t="shared" si="477"/>
        <v>0</v>
      </c>
      <c r="GW36" s="1470">
        <f t="shared" si="478"/>
        <v>0</v>
      </c>
      <c r="GX36" s="1470">
        <f t="shared" si="479"/>
        <v>0</v>
      </c>
      <c r="GY36" s="1470">
        <f t="shared" si="480"/>
        <v>0</v>
      </c>
      <c r="GZ36" s="1471">
        <f t="shared" si="481"/>
        <v>0</v>
      </c>
      <c r="HA36" s="1469">
        <f t="shared" si="482"/>
        <v>-100</v>
      </c>
      <c r="HB36" s="1470">
        <f t="shared" si="483"/>
        <v>0</v>
      </c>
      <c r="HC36" s="1470">
        <f t="shared" si="484"/>
        <v>0</v>
      </c>
      <c r="HD36" s="1470">
        <f t="shared" si="485"/>
        <v>0</v>
      </c>
      <c r="HE36" s="1470">
        <f t="shared" si="486"/>
        <v>0</v>
      </c>
      <c r="HF36" s="1470">
        <f t="shared" si="487"/>
        <v>0</v>
      </c>
      <c r="HG36" s="1470">
        <f t="shared" si="488"/>
        <v>0</v>
      </c>
      <c r="HH36" s="1470">
        <f t="shared" si="489"/>
        <v>0</v>
      </c>
      <c r="HI36" s="1470">
        <f t="shared" si="490"/>
        <v>0</v>
      </c>
      <c r="HJ36" s="1470">
        <f t="shared" si="491"/>
        <v>0</v>
      </c>
      <c r="HK36" s="1470">
        <f t="shared" si="492"/>
        <v>0</v>
      </c>
      <c r="HL36" s="1470">
        <f t="shared" si="493"/>
        <v>0</v>
      </c>
      <c r="HM36" s="1471">
        <f t="shared" si="494"/>
        <v>0</v>
      </c>
      <c r="HN36" s="1469">
        <f t="shared" si="495"/>
        <v>0</v>
      </c>
      <c r="HO36" s="1470">
        <f t="shared" si="496"/>
        <v>0</v>
      </c>
      <c r="HP36" s="1470">
        <f t="shared" si="497"/>
        <v>0</v>
      </c>
      <c r="HQ36" s="1470">
        <f t="shared" si="498"/>
        <v>0</v>
      </c>
      <c r="HR36" s="1470">
        <f t="shared" si="499"/>
        <v>0</v>
      </c>
      <c r="HS36" s="1470">
        <f t="shared" si="500"/>
        <v>0</v>
      </c>
      <c r="HT36" s="1470">
        <f t="shared" si="501"/>
        <v>0</v>
      </c>
      <c r="HU36" s="1470">
        <f t="shared" si="502"/>
        <v>0</v>
      </c>
      <c r="HV36" s="1470">
        <f t="shared" si="503"/>
        <v>0</v>
      </c>
      <c r="HW36" s="1470">
        <f t="shared" si="504"/>
        <v>0</v>
      </c>
      <c r="HX36" s="1470">
        <f t="shared" si="505"/>
        <v>0</v>
      </c>
      <c r="HY36" s="1470">
        <f t="shared" si="506"/>
        <v>0</v>
      </c>
      <c r="HZ36" s="1471">
        <f t="shared" si="507"/>
        <v>0</v>
      </c>
      <c r="IA36" s="1469">
        <f t="shared" si="508"/>
        <v>0</v>
      </c>
      <c r="IB36" s="1470">
        <f t="shared" si="509"/>
        <v>0</v>
      </c>
      <c r="IC36" s="1470">
        <f t="shared" si="510"/>
        <v>0</v>
      </c>
      <c r="ID36" s="1470">
        <f t="shared" si="511"/>
        <v>0</v>
      </c>
      <c r="IE36" s="1470">
        <f t="shared" si="512"/>
        <v>0</v>
      </c>
      <c r="IF36" s="1470">
        <f t="shared" si="513"/>
        <v>0</v>
      </c>
      <c r="IG36" s="1470">
        <f t="shared" si="514"/>
        <v>0</v>
      </c>
      <c r="IH36" s="1470">
        <f t="shared" si="515"/>
        <v>0</v>
      </c>
      <c r="II36" s="1470">
        <f t="shared" si="516"/>
        <v>0</v>
      </c>
      <c r="IJ36" s="1470">
        <f t="shared" si="517"/>
        <v>0</v>
      </c>
      <c r="IK36" s="1470">
        <f t="shared" si="518"/>
        <v>0</v>
      </c>
      <c r="IL36" s="1470">
        <f t="shared" si="519"/>
        <v>0</v>
      </c>
      <c r="IM36" s="1471">
        <f t="shared" si="520"/>
        <v>0</v>
      </c>
      <c r="IN36" s="1469">
        <f t="shared" si="521"/>
        <v>0</v>
      </c>
      <c r="IO36" s="1470">
        <f t="shared" si="522"/>
        <v>0</v>
      </c>
      <c r="IP36" s="1470">
        <f t="shared" si="523"/>
        <v>0</v>
      </c>
      <c r="IQ36" s="1470">
        <f t="shared" si="524"/>
        <v>0</v>
      </c>
      <c r="IR36" s="1470">
        <f t="shared" si="525"/>
        <v>0</v>
      </c>
      <c r="IS36" s="1470">
        <f t="shared" si="526"/>
        <v>0</v>
      </c>
      <c r="IT36" s="1470">
        <f t="shared" si="527"/>
        <v>0</v>
      </c>
      <c r="IU36" s="1470">
        <f t="shared" si="528"/>
        <v>0</v>
      </c>
      <c r="IV36" s="1470">
        <f t="shared" si="529"/>
        <v>0</v>
      </c>
      <c r="IW36" s="1470">
        <f t="shared" si="530"/>
        <v>0</v>
      </c>
      <c r="IX36" s="1470">
        <f t="shared" si="531"/>
        <v>0</v>
      </c>
      <c r="IY36" s="1470">
        <f t="shared" si="532"/>
        <v>0</v>
      </c>
      <c r="IZ36" s="1471">
        <f t="shared" si="533"/>
        <v>0</v>
      </c>
      <c r="JA36" s="1469">
        <f t="shared" si="534"/>
        <v>0</v>
      </c>
      <c r="JB36" s="1470">
        <f t="shared" si="535"/>
        <v>0</v>
      </c>
      <c r="JC36" s="1470">
        <f t="shared" si="536"/>
        <v>0</v>
      </c>
      <c r="JD36" s="1470">
        <f t="shared" si="537"/>
        <v>0</v>
      </c>
      <c r="JE36" s="1470">
        <f t="shared" si="538"/>
        <v>0</v>
      </c>
      <c r="JF36" s="1470">
        <f t="shared" si="539"/>
        <v>0</v>
      </c>
      <c r="JG36" s="1470">
        <f t="shared" si="540"/>
        <v>0</v>
      </c>
      <c r="JH36" s="1470">
        <f t="shared" si="541"/>
        <v>0</v>
      </c>
      <c r="JI36" s="1470">
        <f t="shared" si="542"/>
        <v>0</v>
      </c>
      <c r="JJ36" s="1470">
        <f t="shared" si="543"/>
        <v>0</v>
      </c>
      <c r="JK36" s="1470">
        <f t="shared" si="544"/>
        <v>0</v>
      </c>
      <c r="JL36" s="1470">
        <f t="shared" si="545"/>
        <v>0</v>
      </c>
      <c r="JM36" s="1471">
        <f t="shared" si="546"/>
        <v>0</v>
      </c>
      <c r="JN36" s="1469">
        <f t="shared" si="547"/>
        <v>0</v>
      </c>
      <c r="JO36" s="1470">
        <f t="shared" si="547"/>
        <v>0</v>
      </c>
      <c r="JP36" s="1470">
        <f t="shared" si="547"/>
        <v>0</v>
      </c>
      <c r="JQ36" s="1470">
        <f t="shared" si="547"/>
        <v>0</v>
      </c>
      <c r="JR36" s="1470">
        <f t="shared" si="549"/>
        <v>0</v>
      </c>
      <c r="JS36" s="1470">
        <f t="shared" si="548"/>
        <v>0</v>
      </c>
      <c r="JT36" s="1470">
        <f t="shared" si="287"/>
        <v>0</v>
      </c>
      <c r="JU36" s="1470">
        <f t="shared" si="548"/>
        <v>0</v>
      </c>
      <c r="JV36" s="1470">
        <f t="shared" si="548"/>
        <v>0</v>
      </c>
      <c r="JW36" s="1470">
        <f t="shared" si="548"/>
        <v>0</v>
      </c>
      <c r="JX36" s="1470">
        <f t="shared" si="548"/>
        <v>0</v>
      </c>
      <c r="JY36" s="1470">
        <f t="shared" si="548"/>
        <v>0</v>
      </c>
      <c r="JZ36" s="1471">
        <f t="shared" si="548"/>
        <v>0</v>
      </c>
      <c r="KA36" s="1469">
        <f t="shared" si="548"/>
        <v>0</v>
      </c>
      <c r="KC36"/>
      <c r="KD36" s="62"/>
      <c r="KE36" s="62"/>
      <c r="KF36" s="62"/>
    </row>
    <row r="37" spans="1:292" ht="15" customHeight="1" x14ac:dyDescent="0.2">
      <c r="A37" s="1168" t="s">
        <v>211</v>
      </c>
      <c r="B37" s="1470"/>
      <c r="C37" s="1470"/>
      <c r="D37" s="1470"/>
      <c r="E37" s="1470"/>
      <c r="F37" s="1470"/>
      <c r="G37" s="1470"/>
      <c r="H37" s="1470"/>
      <c r="I37" s="1470"/>
      <c r="J37" s="1470"/>
      <c r="K37" s="1470"/>
      <c r="L37" s="1470"/>
      <c r="M37" s="1471"/>
      <c r="N37" s="1469"/>
      <c r="O37" s="1470">
        <f t="shared" si="288"/>
        <v>82.758620689655189</v>
      </c>
      <c r="P37" s="1470">
        <f t="shared" si="289"/>
        <v>48.780487804878071</v>
      </c>
      <c r="Q37" s="1470">
        <f t="shared" si="290"/>
        <v>88.501742160278752</v>
      </c>
      <c r="R37" s="1470">
        <f t="shared" si="291"/>
        <v>120.00000000000001</v>
      </c>
      <c r="S37" s="1470">
        <f t="shared" si="292"/>
        <v>201.37931034482759</v>
      </c>
      <c r="T37" s="1470">
        <f t="shared" si="293"/>
        <v>18.009478672985768</v>
      </c>
      <c r="U37" s="1470">
        <f t="shared" si="294"/>
        <v>361.61616161616161</v>
      </c>
      <c r="V37" s="1470">
        <f t="shared" si="295"/>
        <v>71.232876712328761</v>
      </c>
      <c r="W37" s="1470">
        <f t="shared" si="296"/>
        <v>22.701149425287383</v>
      </c>
      <c r="X37" s="1470">
        <f t="shared" si="297"/>
        <v>8.8339222614840942</v>
      </c>
      <c r="Y37" s="1470">
        <f t="shared" si="298"/>
        <v>-29.961832061068694</v>
      </c>
      <c r="Z37" s="1471">
        <f t="shared" si="299"/>
        <v>41.071428571428584</v>
      </c>
      <c r="AA37" s="1469">
        <f t="shared" si="300"/>
        <v>50.158652672687332</v>
      </c>
      <c r="AB37" s="1470">
        <f t="shared" si="301"/>
        <v>26.415094339622634</v>
      </c>
      <c r="AC37" s="1470">
        <f t="shared" si="302"/>
        <v>18.501170960187352</v>
      </c>
      <c r="AD37" s="1470">
        <f t="shared" si="303"/>
        <v>7.9482439926062742</v>
      </c>
      <c r="AE37" s="1470">
        <f t="shared" si="304"/>
        <v>-30.367504835589941</v>
      </c>
      <c r="AF37" s="1470">
        <f t="shared" si="305"/>
        <v>-0.45766590389016981</v>
      </c>
      <c r="AG37" s="1470">
        <f t="shared" si="306"/>
        <v>0.90361445783133654</v>
      </c>
      <c r="AH37" s="1470">
        <f t="shared" si="307"/>
        <v>10.065645514223176</v>
      </c>
      <c r="AI37" s="1470">
        <f t="shared" si="308"/>
        <v>16.32</v>
      </c>
      <c r="AJ37" s="1470">
        <f t="shared" si="309"/>
        <v>71.896955503512871</v>
      </c>
      <c r="AK37" s="1470">
        <f t="shared" si="310"/>
        <v>-10.551948051948056</v>
      </c>
      <c r="AL37" s="1470">
        <f t="shared" si="311"/>
        <v>74.386920980926405</v>
      </c>
      <c r="AM37" s="1471">
        <f t="shared" si="312"/>
        <v>-49.136939010356727</v>
      </c>
      <c r="AN37" s="1469">
        <f t="shared" si="313"/>
        <v>4.9008452535760583</v>
      </c>
      <c r="AO37" s="1470">
        <f t="shared" si="314"/>
        <v>-61.620469083155648</v>
      </c>
      <c r="AP37" s="1470">
        <f t="shared" si="315"/>
        <v>-46.047430830039524</v>
      </c>
      <c r="AQ37" s="1470">
        <f t="shared" si="316"/>
        <v>-30.993150684931514</v>
      </c>
      <c r="AR37" s="1470">
        <f t="shared" si="317"/>
        <v>-39.722222222222229</v>
      </c>
      <c r="AS37" s="1470">
        <f t="shared" si="318"/>
        <v>-21.609195402298841</v>
      </c>
      <c r="AT37" s="1470">
        <f t="shared" si="319"/>
        <v>-35.72139303482588</v>
      </c>
      <c r="AU37" s="1470">
        <f t="shared" si="320"/>
        <v>-54.473161033797226</v>
      </c>
      <c r="AV37" s="1470">
        <f t="shared" si="321"/>
        <v>-54.057771664374144</v>
      </c>
      <c r="AW37" s="1470">
        <f t="shared" si="322"/>
        <v>-40.599455040871938</v>
      </c>
      <c r="AX37" s="1470">
        <f t="shared" si="323"/>
        <v>-23.593466424682397</v>
      </c>
      <c r="AY37" s="1470">
        <f t="shared" si="324"/>
        <v>-60.78125</v>
      </c>
      <c r="AZ37" s="1471">
        <f t="shared" si="325"/>
        <v>-11.764705882352944</v>
      </c>
      <c r="BA37" s="1469">
        <f t="shared" si="326"/>
        <v>-41.148214147361884</v>
      </c>
      <c r="BB37" s="1470">
        <f t="shared" si="327"/>
        <v>29.44444444444445</v>
      </c>
      <c r="BC37" s="1470">
        <f t="shared" si="328"/>
        <v>-29.670329670329675</v>
      </c>
      <c r="BD37" s="1470">
        <f t="shared" si="329"/>
        <v>-42.431761786600497</v>
      </c>
      <c r="BE37" s="1470">
        <f t="shared" si="330"/>
        <v>-49.308755760368662</v>
      </c>
      <c r="BF37" s="1470">
        <f t="shared" si="331"/>
        <v>-68.035190615835788</v>
      </c>
      <c r="BG37" s="1470">
        <f t="shared" si="332"/>
        <v>-65.325077399380802</v>
      </c>
      <c r="BH37" s="1470">
        <f t="shared" si="333"/>
        <v>-58.515283842794766</v>
      </c>
      <c r="BI37" s="1470">
        <f t="shared" si="334"/>
        <v>-62.275449101796411</v>
      </c>
      <c r="BJ37" s="1470">
        <f t="shared" si="335"/>
        <v>-42.201834862385326</v>
      </c>
      <c r="BK37" s="1470">
        <f t="shared" si="336"/>
        <v>-45.843230403800476</v>
      </c>
      <c r="BL37" s="1470">
        <f t="shared" si="337"/>
        <v>-6.3745019920318775</v>
      </c>
      <c r="BM37" s="1471">
        <f t="shared" si="338"/>
        <v>-42.820512820512825</v>
      </c>
      <c r="BN37" s="1469">
        <f t="shared" si="339"/>
        <v>-43.47024749868352</v>
      </c>
      <c r="BO37" s="1470">
        <f t="shared" si="340"/>
        <v>8.3779921026694737</v>
      </c>
      <c r="BP37" s="1470">
        <f t="shared" si="341"/>
        <v>141.95514383227697</v>
      </c>
      <c r="BQ37" s="1470">
        <f t="shared" si="342"/>
        <v>64.226029354898358</v>
      </c>
      <c r="BR37" s="1470">
        <f t="shared" si="343"/>
        <v>171.05181507911885</v>
      </c>
      <c r="BS37" s="1470">
        <f t="shared" si="344"/>
        <v>161.51485737545795</v>
      </c>
      <c r="BT37" s="1470">
        <f t="shared" si="345"/>
        <v>201.31643100926374</v>
      </c>
      <c r="BU37" s="1470">
        <f t="shared" si="346"/>
        <v>219.5155123303139</v>
      </c>
      <c r="BV37" s="1470">
        <f t="shared" si="347"/>
        <v>180.65287548466489</v>
      </c>
      <c r="BW37" s="1470">
        <f t="shared" si="348"/>
        <v>105.79972603375825</v>
      </c>
      <c r="BX37" s="1470">
        <f t="shared" si="349"/>
        <v>142.34648053581051</v>
      </c>
      <c r="BY37" s="1470">
        <f t="shared" si="350"/>
        <v>127.95730157577516</v>
      </c>
      <c r="BZ37" s="1471">
        <f t="shared" si="351"/>
        <v>168.34990259591191</v>
      </c>
      <c r="CA37" s="1469">
        <f t="shared" si="352"/>
        <v>127.35021733862881</v>
      </c>
      <c r="CB37" s="1470">
        <f t="shared" si="353"/>
        <v>33.086190917516213</v>
      </c>
      <c r="CC37" s="1470">
        <f t="shared" si="354"/>
        <v>-7.6070528967254525</v>
      </c>
      <c r="CD37" s="1470">
        <f t="shared" si="355"/>
        <v>-35.565110565110558</v>
      </c>
      <c r="CE37" s="1470">
        <f t="shared" si="356"/>
        <v>-71.114599686028257</v>
      </c>
      <c r="CF37" s="1470">
        <f t="shared" si="357"/>
        <v>-39.094581280788177</v>
      </c>
      <c r="CG37" s="1470">
        <f t="shared" si="358"/>
        <v>-42.164909847434117</v>
      </c>
      <c r="CH37" s="1470">
        <f t="shared" si="359"/>
        <v>-43.317039321511189</v>
      </c>
      <c r="CI37" s="1470">
        <f t="shared" si="360"/>
        <v>14.699205823957652</v>
      </c>
      <c r="CJ37" s="1470">
        <f t="shared" si="361"/>
        <v>23.39160649819496</v>
      </c>
      <c r="CK37" s="1470">
        <f t="shared" si="362"/>
        <v>-1.9059720457433094</v>
      </c>
      <c r="CL37" s="1470">
        <f t="shared" si="363"/>
        <v>-9.2616863259064814</v>
      </c>
      <c r="CM37" s="1471">
        <f t="shared" si="364"/>
        <v>-69.339069221744225</v>
      </c>
      <c r="CN37" s="1469">
        <f t="shared" si="365"/>
        <v>-20.206880184110844</v>
      </c>
      <c r="CO37" s="1470">
        <f t="shared" si="366"/>
        <v>-31.829720868152268</v>
      </c>
      <c r="CP37" s="1470">
        <f t="shared" si="367"/>
        <v>-55.406965648854964</v>
      </c>
      <c r="CQ37" s="1470">
        <f t="shared" si="368"/>
        <v>-3.6251588814744329</v>
      </c>
      <c r="CR37" s="1470">
        <f t="shared" si="369"/>
        <v>142.32546422101447</v>
      </c>
      <c r="CS37" s="1470">
        <f t="shared" si="370"/>
        <v>-27.654613558219243</v>
      </c>
      <c r="CT37" s="1470">
        <f t="shared" si="371"/>
        <v>26.14086195305574</v>
      </c>
      <c r="CU37" s="1470">
        <f t="shared" si="372"/>
        <v>91.915030554958605</v>
      </c>
      <c r="CV37" s="1470">
        <f t="shared" si="373"/>
        <v>8.406672321257691</v>
      </c>
      <c r="CW37" s="1470">
        <f t="shared" si="374"/>
        <v>-26.60109033515975</v>
      </c>
      <c r="CX37" s="1470">
        <f t="shared" si="375"/>
        <v>64.62536881116867</v>
      </c>
      <c r="CY37" s="1470">
        <f t="shared" si="376"/>
        <v>3.788466939496038</v>
      </c>
      <c r="CZ37" s="1471">
        <f t="shared" si="377"/>
        <v>100.34747023809518</v>
      </c>
      <c r="DA37" s="1469">
        <f t="shared" si="378"/>
        <v>8.902248432837979</v>
      </c>
      <c r="DB37" s="1470">
        <f t="shared" si="379"/>
        <v>9.2013966848420772</v>
      </c>
      <c r="DC37" s="1470">
        <f t="shared" si="380"/>
        <v>66.262745139995943</v>
      </c>
      <c r="DD37" s="1470">
        <f t="shared" si="381"/>
        <v>5.5419845503482001</v>
      </c>
      <c r="DE37" s="1470">
        <f t="shared" si="382"/>
        <v>32.435076138254139</v>
      </c>
      <c r="DF37" s="1470">
        <f t="shared" si="383"/>
        <v>104.03283158440652</v>
      </c>
      <c r="DG37" s="1470">
        <f t="shared" si="384"/>
        <v>-23.953800349416444</v>
      </c>
      <c r="DH37" s="1470">
        <f t="shared" si="385"/>
        <v>-18.917985081216383</v>
      </c>
      <c r="DI37" s="1470">
        <f t="shared" si="386"/>
        <v>19.437846401856152</v>
      </c>
      <c r="DJ37" s="1470">
        <f t="shared" si="387"/>
        <v>-9.8649749671642084</v>
      </c>
      <c r="DK37" s="1470">
        <f t="shared" si="388"/>
        <v>-30.128686990101617</v>
      </c>
      <c r="DL37" s="1470">
        <f t="shared" si="389"/>
        <v>-23.690201158853586</v>
      </c>
      <c r="DM37" s="1471">
        <f t="shared" si="390"/>
        <v>-4.2479875259235245</v>
      </c>
      <c r="DN37" s="1469">
        <f t="shared" si="391"/>
        <v>-2.9918684264201412</v>
      </c>
      <c r="DO37" s="1470">
        <f t="shared" si="392"/>
        <v>12.628624883068284</v>
      </c>
      <c r="DP37" s="1470">
        <f t="shared" si="393"/>
        <v>-12.484363014862209</v>
      </c>
      <c r="DQ37" s="1470">
        <f t="shared" si="394"/>
        <v>-38.238050609184626</v>
      </c>
      <c r="DR37" s="1470">
        <f t="shared" si="395"/>
        <v>-37.51058425063507</v>
      </c>
      <c r="DS37" s="1470">
        <f t="shared" si="396"/>
        <v>-16.347031963470304</v>
      </c>
      <c r="DT37" s="1470">
        <f t="shared" si="397"/>
        <v>1.4999999999999902</v>
      </c>
      <c r="DU37" s="1470">
        <f t="shared" si="398"/>
        <v>-35.489510489510501</v>
      </c>
      <c r="DV37" s="1470">
        <f t="shared" si="399"/>
        <v>-49.9554367201426</v>
      </c>
      <c r="DW37" s="1470">
        <f t="shared" si="400"/>
        <v>-7.7943615257048187</v>
      </c>
      <c r="DX37" s="1470">
        <f t="shared" si="401"/>
        <v>-33.633633633633629</v>
      </c>
      <c r="DY37" s="1470">
        <f t="shared" si="402"/>
        <v>-27.841945288753799</v>
      </c>
      <c r="DZ37" s="1471">
        <f t="shared" si="403"/>
        <v>-39.760638297872354</v>
      </c>
      <c r="EA37" s="1469">
        <f t="shared" si="404"/>
        <v>-26.577303963420707</v>
      </c>
      <c r="EB37" s="1470">
        <f t="shared" si="405"/>
        <v>-56.72757475083057</v>
      </c>
      <c r="EC37" s="1470">
        <f t="shared" si="406"/>
        <v>-58.235294117647051</v>
      </c>
      <c r="ED37" s="1470">
        <f t="shared" si="407"/>
        <v>22.003034901365702</v>
      </c>
      <c r="EE37" s="1470">
        <f t="shared" si="408"/>
        <v>-29.810298102981026</v>
      </c>
      <c r="EF37" s="1470">
        <f t="shared" si="409"/>
        <v>-33.29694323144107</v>
      </c>
      <c r="EG37" s="1470">
        <f t="shared" si="410"/>
        <v>-16.133004926108363</v>
      </c>
      <c r="EH37" s="1470">
        <f t="shared" si="411"/>
        <v>-13.956639566395667</v>
      </c>
      <c r="EI37" s="1470">
        <f t="shared" si="412"/>
        <v>-49.599287622439888</v>
      </c>
      <c r="EJ37" s="1470">
        <f t="shared" si="413"/>
        <v>-42.386091127098325</v>
      </c>
      <c r="EK37" s="1470">
        <f t="shared" si="414"/>
        <v>-45.192307692307686</v>
      </c>
      <c r="EL37" s="1470">
        <f t="shared" si="415"/>
        <v>-26.284751474304979</v>
      </c>
      <c r="EM37" s="1471">
        <f t="shared" si="416"/>
        <v>17.770419426048555</v>
      </c>
      <c r="EN37" s="1469">
        <f t="shared" si="417"/>
        <v>-32.566426524130456</v>
      </c>
      <c r="EO37" s="1470">
        <f t="shared" si="418"/>
        <v>-19.38579654510557</v>
      </c>
      <c r="EP37" s="1470">
        <f t="shared" si="419"/>
        <v>-30.382293762575465</v>
      </c>
      <c r="EQ37" s="1470">
        <f t="shared" si="420"/>
        <v>-47.139303482587067</v>
      </c>
      <c r="ER37" s="1470">
        <f t="shared" si="421"/>
        <v>-6.9498069498069466</v>
      </c>
      <c r="ES37" s="1470">
        <f t="shared" si="422"/>
        <v>36.988543371522155</v>
      </c>
      <c r="ET37" s="1470">
        <f t="shared" si="423"/>
        <v>-9.3979441997063322</v>
      </c>
      <c r="EU37" s="1470">
        <f t="shared" si="424"/>
        <v>6.2992125984252079</v>
      </c>
      <c r="EV37" s="1470">
        <f t="shared" si="425"/>
        <v>46.289752650176673</v>
      </c>
      <c r="EW37" s="1470">
        <f t="shared" si="426"/>
        <v>-37.044745057232056</v>
      </c>
      <c r="EX37" s="1470">
        <f t="shared" si="427"/>
        <v>-22.497420020639847</v>
      </c>
      <c r="EY37" s="1470">
        <f t="shared" si="428"/>
        <v>-5.8285714285714274</v>
      </c>
      <c r="EZ37" s="1471">
        <f t="shared" si="429"/>
        <v>0.37488284910964786</v>
      </c>
      <c r="FA37" s="1469">
        <f t="shared" si="430"/>
        <v>-9.465824238943144</v>
      </c>
      <c r="FB37" s="1470">
        <f t="shared" si="431"/>
        <v>-35.952380952380949</v>
      </c>
      <c r="FC37" s="1470">
        <f t="shared" si="432"/>
        <v>-36.705202312138717</v>
      </c>
      <c r="FD37" s="1470">
        <f t="shared" si="433"/>
        <v>130.58823529411768</v>
      </c>
      <c r="FE37" s="1470">
        <f t="shared" si="434"/>
        <v>43.360995850622409</v>
      </c>
      <c r="FF37" s="1470">
        <f t="shared" si="435"/>
        <v>-16.129032258064523</v>
      </c>
      <c r="FG37" s="1470">
        <f t="shared" si="436"/>
        <v>-46.839546191247969</v>
      </c>
      <c r="FH37" s="1470">
        <f t="shared" si="437"/>
        <v>11.851851851851869</v>
      </c>
      <c r="FI37" s="1470">
        <f t="shared" si="438"/>
        <v>78.743961352656996</v>
      </c>
      <c r="FJ37" s="1470">
        <f t="shared" si="439"/>
        <v>150.08264462809922</v>
      </c>
      <c r="FK37" s="1470">
        <f t="shared" si="440"/>
        <v>62.716378162450013</v>
      </c>
      <c r="FL37" s="1470">
        <f t="shared" si="441"/>
        <v>24.271844660194162</v>
      </c>
      <c r="FM37" s="1471">
        <f t="shared" si="442"/>
        <v>-23.809523809523803</v>
      </c>
      <c r="FN37" s="1469">
        <f t="shared" si="443"/>
        <v>26.874762086029701</v>
      </c>
      <c r="FO37" s="1470">
        <f t="shared" si="444"/>
        <v>32.3420074349442</v>
      </c>
      <c r="FP37" s="1470">
        <f t="shared" si="445"/>
        <v>93.607305936073033</v>
      </c>
      <c r="FQ37" s="1470">
        <f t="shared" si="446"/>
        <v>8.2653061224489566</v>
      </c>
      <c r="FR37" s="1470">
        <f t="shared" si="447"/>
        <v>12.011577424023145</v>
      </c>
      <c r="FS37" s="1470">
        <f t="shared" si="448"/>
        <v>10.541310541310512</v>
      </c>
      <c r="FT37" s="1470">
        <f t="shared" si="449"/>
        <v>302.7439024390244</v>
      </c>
      <c r="FU37" s="1470">
        <f t="shared" si="450"/>
        <v>136.42384105960264</v>
      </c>
      <c r="FV37" s="1470">
        <f t="shared" si="451"/>
        <v>193.64864864864865</v>
      </c>
      <c r="FW37" s="1470">
        <f t="shared" si="452"/>
        <v>150.23132848645076</v>
      </c>
      <c r="FX37" s="1470">
        <f t="shared" si="453"/>
        <v>81.260229132569606</v>
      </c>
      <c r="FY37" s="1470">
        <f t="shared" si="454"/>
        <v>-9.765625</v>
      </c>
      <c r="FZ37" s="1471">
        <f t="shared" si="455"/>
        <v>15.686274509803933</v>
      </c>
      <c r="GA37" s="1469">
        <f t="shared" si="456"/>
        <v>87.138713871387139</v>
      </c>
      <c r="GB37" s="1470">
        <f t="shared" si="457"/>
        <v>-45.50561797752809</v>
      </c>
      <c r="GC37" s="1470">
        <f t="shared" si="458"/>
        <v>48.113207547169836</v>
      </c>
      <c r="GD37" s="1470">
        <f t="shared" si="459"/>
        <v>15.362865221489152</v>
      </c>
      <c r="GE37" s="1470">
        <f t="shared" si="460"/>
        <v>-31.136950904392759</v>
      </c>
      <c r="GF37" s="1470">
        <f t="shared" si="461"/>
        <v>74.097938144329945</v>
      </c>
      <c r="GG37" s="1470">
        <f t="shared" si="462"/>
        <v>-17.865253595760787</v>
      </c>
      <c r="GH37" s="1470">
        <f t="shared" si="463"/>
        <v>-62.072829131652661</v>
      </c>
      <c r="GI37" s="1470">
        <f t="shared" si="464"/>
        <v>-89.622641509433961</v>
      </c>
      <c r="GJ37" s="1470">
        <f t="shared" si="465"/>
        <v>-87.559429477020601</v>
      </c>
      <c r="GK37" s="1470">
        <f t="shared" si="466"/>
        <v>2.9544018058690558</v>
      </c>
      <c r="GL37" s="1470">
        <f t="shared" si="467"/>
        <v>-27.056277056277057</v>
      </c>
      <c r="GM37" s="1471">
        <f t="shared" si="468"/>
        <v>-78.707627118644069</v>
      </c>
      <c r="GN37" s="1469">
        <f t="shared" si="469"/>
        <v>-47.790508764429262</v>
      </c>
      <c r="GO37" s="1470">
        <f t="shared" si="470"/>
        <v>371.13402061855669</v>
      </c>
      <c r="GP37" s="1470">
        <f t="shared" si="471"/>
        <v>48.089171974522294</v>
      </c>
      <c r="GQ37" s="1470">
        <f t="shared" si="472"/>
        <v>-45.506535947712422</v>
      </c>
      <c r="GR37" s="1470">
        <f t="shared" si="473"/>
        <v>-100</v>
      </c>
      <c r="GS37" s="1470">
        <f t="shared" si="474"/>
        <v>-42.487046632124361</v>
      </c>
      <c r="GT37" s="1470">
        <f t="shared" si="475"/>
        <v>-3.3179723502304026</v>
      </c>
      <c r="GU37" s="1470">
        <f t="shared" si="476"/>
        <v>-3.8404726735598138</v>
      </c>
      <c r="GV37" s="1470">
        <f t="shared" si="477"/>
        <v>139.46784922394676</v>
      </c>
      <c r="GW37" s="1470">
        <f t="shared" si="478"/>
        <v>108.9171974522293</v>
      </c>
      <c r="GX37" s="1470">
        <f t="shared" si="479"/>
        <v>-42.028731297468902</v>
      </c>
      <c r="GY37" s="1470">
        <f t="shared" si="480"/>
        <v>78.189910979228472</v>
      </c>
      <c r="GZ37" s="1471">
        <f t="shared" si="481"/>
        <v>703.48258706467664</v>
      </c>
      <c r="HA37" s="1469">
        <f t="shared" si="482"/>
        <v>24.953658830728575</v>
      </c>
      <c r="HB37" s="1470">
        <f t="shared" si="483"/>
        <v>-67.943107221006557</v>
      </c>
      <c r="HC37" s="1470">
        <f t="shared" si="484"/>
        <v>-20.107526881720439</v>
      </c>
      <c r="HD37" s="1470">
        <f t="shared" si="485"/>
        <v>23.538230884557731</v>
      </c>
      <c r="HE37" s="1470">
        <f t="shared" si="486"/>
        <v>0</v>
      </c>
      <c r="HF37" s="1470">
        <f t="shared" si="487"/>
        <v>-40.926640926640921</v>
      </c>
      <c r="HG37" s="1470">
        <f t="shared" si="488"/>
        <v>-10.29551954242136</v>
      </c>
      <c r="HH37" s="1470">
        <f t="shared" si="489"/>
        <v>138.09523809523805</v>
      </c>
      <c r="HI37" s="1470">
        <f t="shared" si="490"/>
        <v>63.611111111111086</v>
      </c>
      <c r="HJ37" s="1470">
        <f t="shared" si="491"/>
        <v>56.40243902439024</v>
      </c>
      <c r="HK37" s="1470">
        <f t="shared" si="492"/>
        <v>28.895612708018149</v>
      </c>
      <c r="HL37" s="1470">
        <f t="shared" si="493"/>
        <v>46.128226477935044</v>
      </c>
      <c r="HM37" s="1471">
        <f t="shared" si="494"/>
        <v>-21.238390092879257</v>
      </c>
      <c r="HN37" s="1469">
        <f t="shared" si="495"/>
        <v>9.1398570151921312</v>
      </c>
      <c r="HO37" s="1470">
        <f t="shared" si="496"/>
        <v>323.20819112627987</v>
      </c>
      <c r="HP37" s="1470">
        <f t="shared" si="497"/>
        <v>73.755047106325719</v>
      </c>
      <c r="HQ37" s="1470">
        <f t="shared" si="498"/>
        <v>93.082524271844648</v>
      </c>
      <c r="HR37" s="1470">
        <f t="shared" si="499"/>
        <v>277.94117647058829</v>
      </c>
      <c r="HS37" s="1470">
        <f t="shared" si="500"/>
        <v>277.34204793028323</v>
      </c>
      <c r="HT37" s="1470">
        <f t="shared" si="501"/>
        <v>67.58767268862907</v>
      </c>
      <c r="HU37" s="1470">
        <f t="shared" si="502"/>
        <v>-2.5161290322580521</v>
      </c>
      <c r="HV37" s="1470">
        <f t="shared" si="503"/>
        <v>12.167515563101317</v>
      </c>
      <c r="HW37" s="1470">
        <f t="shared" si="504"/>
        <v>47.17348927875242</v>
      </c>
      <c r="HX37" s="1470">
        <f t="shared" si="505"/>
        <v>29.166666666666675</v>
      </c>
      <c r="HY37" s="1470">
        <f t="shared" si="506"/>
        <v>29.686609686609678</v>
      </c>
      <c r="HZ37" s="1471">
        <f t="shared" si="507"/>
        <v>68.710691823899367</v>
      </c>
      <c r="IA37" s="1469">
        <f t="shared" si="508"/>
        <v>62.208211363806967</v>
      </c>
      <c r="IB37" s="1470">
        <f t="shared" si="509"/>
        <v>-7.4193548387096691</v>
      </c>
      <c r="IC37" s="1470">
        <f t="shared" si="510"/>
        <v>20.216886134779209</v>
      </c>
      <c r="ID37" s="1470">
        <f t="shared" si="511"/>
        <v>-20.364550597108732</v>
      </c>
      <c r="IE37" s="1470">
        <f t="shared" si="512"/>
        <v>-58.087826570316849</v>
      </c>
      <c r="IF37" s="1470">
        <f t="shared" si="513"/>
        <v>-50.404157043879906</v>
      </c>
      <c r="IG37" s="1470">
        <f t="shared" si="514"/>
        <v>-51.997463538363988</v>
      </c>
      <c r="IH37" s="1470">
        <f t="shared" si="515"/>
        <v>-14.890800794176041</v>
      </c>
      <c r="II37" s="1470">
        <f t="shared" si="516"/>
        <v>-32.139253279515643</v>
      </c>
      <c r="IJ37" s="1470">
        <f t="shared" si="517"/>
        <v>-51.432759381898443</v>
      </c>
      <c r="IK37" s="1470">
        <f t="shared" si="518"/>
        <v>-8.2747841890050129</v>
      </c>
      <c r="IL37" s="1470">
        <f t="shared" si="519"/>
        <v>-44.550659050966601</v>
      </c>
      <c r="IM37" s="1471">
        <f t="shared" si="520"/>
        <v>-73.209785647716686</v>
      </c>
      <c r="IN37" s="1469">
        <f t="shared" si="521"/>
        <v>-35.570473370043047</v>
      </c>
      <c r="IO37" s="1470">
        <f t="shared" si="522"/>
        <v>-84.371602787456439</v>
      </c>
      <c r="IP37" s="1470">
        <f t="shared" si="523"/>
        <v>-79.032345360824735</v>
      </c>
      <c r="IQ37" s="1470">
        <f t="shared" si="524"/>
        <v>61.235201262825626</v>
      </c>
      <c r="IR37" s="1470">
        <f t="shared" si="525"/>
        <v>213.2054376657826</v>
      </c>
      <c r="IS37" s="1470">
        <f t="shared" si="526"/>
        <v>112.99976717112928</v>
      </c>
      <c r="IT37" s="1470">
        <f t="shared" si="527"/>
        <v>164.93157199471597</v>
      </c>
      <c r="IU37" s="1470">
        <f t="shared" si="528"/>
        <v>112.13063763608089</v>
      </c>
      <c r="IV37" s="1470">
        <f t="shared" si="529"/>
        <v>66.245353159851291</v>
      </c>
      <c r="IW37" s="1470">
        <f t="shared" si="530"/>
        <v>216.6225473797507</v>
      </c>
      <c r="IX37" s="1470">
        <f t="shared" si="531"/>
        <v>-72.022743393340434</v>
      </c>
      <c r="IY37" s="1470">
        <f t="shared" si="532"/>
        <v>-61.341873034412096</v>
      </c>
      <c r="IZ37" s="1471">
        <f t="shared" si="533"/>
        <v>52.81535801627362</v>
      </c>
      <c r="JA37" s="1469">
        <f t="shared" si="534"/>
        <v>37.337693233882987</v>
      </c>
      <c r="JB37" s="1470">
        <f t="shared" si="535"/>
        <v>1163.3178012864103</v>
      </c>
      <c r="JC37" s="1470">
        <f t="shared" si="536"/>
        <v>254.50190216890277</v>
      </c>
      <c r="JD37" s="1470">
        <f t="shared" si="537"/>
        <v>-18.163154416623861</v>
      </c>
      <c r="JE37" s="1470">
        <f t="shared" si="538"/>
        <v>-38.366103213583855</v>
      </c>
      <c r="JF37" s="1470">
        <f t="shared" si="539"/>
        <v>-28.743629991889264</v>
      </c>
      <c r="JG37" s="1470">
        <f t="shared" si="540"/>
        <v>-52.41831095190701</v>
      </c>
      <c r="JH37" s="1470">
        <f t="shared" si="541"/>
        <v>-48.169794721407619</v>
      </c>
      <c r="JI37" s="1470">
        <f t="shared" si="542"/>
        <v>-7.286538461538461</v>
      </c>
      <c r="JJ37" s="1470">
        <f t="shared" si="543"/>
        <v>-32.801607809359744</v>
      </c>
      <c r="JK37" s="1470">
        <f t="shared" si="544"/>
        <v>398.33718408356572</v>
      </c>
      <c r="JL37" s="1470">
        <f t="shared" si="545"/>
        <v>271.26482958784612</v>
      </c>
      <c r="JM37" s="1471">
        <f t="shared" si="546"/>
        <v>96.229524803571323</v>
      </c>
      <c r="JN37" s="1469">
        <f t="shared" si="547"/>
        <v>9.7286656209643709</v>
      </c>
      <c r="JO37" s="1470">
        <f t="shared" si="547"/>
        <v>-64.836720170442646</v>
      </c>
      <c r="JP37" s="1470">
        <f t="shared" si="547"/>
        <v>-29.352391139836332</v>
      </c>
      <c r="JQ37" s="1470">
        <f t="shared" si="547"/>
        <v>-61.658184811138142</v>
      </c>
      <c r="JR37" s="1470">
        <f t="shared" si="549"/>
        <v>-27.17970879276027</v>
      </c>
      <c r="JS37" s="1470">
        <f t="shared" si="548"/>
        <v>-39.785419155396063</v>
      </c>
      <c r="JT37" s="1470">
        <f t="shared" si="287"/>
        <v>22.083360404750895</v>
      </c>
      <c r="JU37" s="1470">
        <f t="shared" si="548"/>
        <v>-15.760562065395135</v>
      </c>
      <c r="JV37" s="1470">
        <f t="shared" si="548"/>
        <v>-41.415135887641199</v>
      </c>
      <c r="JW37" s="1470">
        <f t="shared" si="548"/>
        <v>-100</v>
      </c>
      <c r="JX37" s="1470">
        <f t="shared" si="548"/>
        <v>-100</v>
      </c>
      <c r="JY37" s="1470">
        <f t="shared" si="548"/>
        <v>-100</v>
      </c>
      <c r="JZ37" s="1471">
        <f t="shared" si="548"/>
        <v>-100</v>
      </c>
      <c r="KA37" s="1469">
        <f t="shared" si="548"/>
        <v>-45.180443248443517</v>
      </c>
      <c r="KC37"/>
      <c r="KD37" s="62"/>
      <c r="KE37" s="62"/>
      <c r="KF37" s="62"/>
    </row>
    <row r="38" spans="1:292" ht="15" customHeight="1" x14ac:dyDescent="0.2">
      <c r="A38" s="1168" t="s">
        <v>371</v>
      </c>
      <c r="B38" s="1470"/>
      <c r="C38" s="1470"/>
      <c r="D38" s="1470"/>
      <c r="E38" s="1470"/>
      <c r="F38" s="1470"/>
      <c r="G38" s="1470"/>
      <c r="H38" s="1470"/>
      <c r="I38" s="1470"/>
      <c r="J38" s="1470"/>
      <c r="K38" s="1470"/>
      <c r="L38" s="1470"/>
      <c r="M38" s="1471"/>
      <c r="N38" s="1469"/>
      <c r="O38" s="1470">
        <f t="shared" si="288"/>
        <v>64.638783269961976</v>
      </c>
      <c r="P38" s="1470">
        <f t="shared" si="289"/>
        <v>18.299246501614629</v>
      </c>
      <c r="Q38" s="1470">
        <f t="shared" si="290"/>
        <v>-29.69072164948453</v>
      </c>
      <c r="R38" s="1470">
        <f t="shared" si="291"/>
        <v>6.9625761531766805</v>
      </c>
      <c r="S38" s="1470">
        <f t="shared" si="292"/>
        <v>166.8639053254438</v>
      </c>
      <c r="T38" s="1470">
        <f t="shared" si="293"/>
        <v>1.6553067185978598</v>
      </c>
      <c r="U38" s="1470">
        <f t="shared" si="294"/>
        <v>165.18105849582176</v>
      </c>
      <c r="V38" s="1470">
        <f t="shared" si="295"/>
        <v>69.301712779973627</v>
      </c>
      <c r="W38" s="1470">
        <f t="shared" si="296"/>
        <v>107.07964601769913</v>
      </c>
      <c r="X38" s="1470">
        <f t="shared" si="297"/>
        <v>18.991331757289199</v>
      </c>
      <c r="Y38" s="1470">
        <f t="shared" si="298"/>
        <v>36.873508353221965</v>
      </c>
      <c r="Z38" s="1471">
        <f t="shared" si="299"/>
        <v>42.225201072386056</v>
      </c>
      <c r="AA38" s="1469">
        <f t="shared" si="300"/>
        <v>43.999610364309369</v>
      </c>
      <c r="AB38" s="1470">
        <f t="shared" si="301"/>
        <v>-54.580446497305623</v>
      </c>
      <c r="AC38" s="1470">
        <f t="shared" si="302"/>
        <v>55.505004549590531</v>
      </c>
      <c r="AD38" s="1470">
        <f t="shared" si="303"/>
        <v>31.524926686217004</v>
      </c>
      <c r="AE38" s="1470">
        <f t="shared" si="304"/>
        <v>-100</v>
      </c>
      <c r="AF38" s="1470">
        <f t="shared" si="305"/>
        <v>-100</v>
      </c>
      <c r="AG38" s="1470">
        <f t="shared" si="306"/>
        <v>-42.337164750957854</v>
      </c>
      <c r="AH38" s="1470">
        <f t="shared" si="307"/>
        <v>-55.987394957983192</v>
      </c>
      <c r="AI38" s="1470">
        <f t="shared" si="308"/>
        <v>-19.299610894941633</v>
      </c>
      <c r="AJ38" s="1470">
        <f t="shared" si="309"/>
        <v>20.170940170940167</v>
      </c>
      <c r="AK38" s="1470">
        <f t="shared" si="310"/>
        <v>-100</v>
      </c>
      <c r="AL38" s="1470">
        <f t="shared" si="311"/>
        <v>-100</v>
      </c>
      <c r="AM38" s="1471">
        <f t="shared" si="312"/>
        <v>-100</v>
      </c>
      <c r="AN38" s="1469">
        <f t="shared" si="313"/>
        <v>-17.909567940008298</v>
      </c>
      <c r="AO38" s="1470">
        <f t="shared" si="314"/>
        <v>-18.644067796610166</v>
      </c>
      <c r="AP38" s="1470">
        <f t="shared" si="315"/>
        <v>-15.330602691632544</v>
      </c>
      <c r="AQ38" s="1470">
        <f t="shared" si="316"/>
        <v>47.60312151616499</v>
      </c>
      <c r="AR38" s="1470">
        <f t="shared" si="317"/>
        <v>0</v>
      </c>
      <c r="AS38" s="1470">
        <f t="shared" si="318"/>
        <v>0</v>
      </c>
      <c r="AT38" s="1470">
        <f t="shared" si="319"/>
        <v>149.00332225913621</v>
      </c>
      <c r="AU38" s="1470">
        <f t="shared" si="320"/>
        <v>96.181384248210037</v>
      </c>
      <c r="AV38" s="1470">
        <f t="shared" si="321"/>
        <v>77.820636451301837</v>
      </c>
      <c r="AW38" s="1470">
        <f t="shared" si="322"/>
        <v>57.681365576102415</v>
      </c>
      <c r="AX38" s="1470">
        <f t="shared" si="323"/>
        <v>0</v>
      </c>
      <c r="AY38" s="1470">
        <f t="shared" si="324"/>
        <v>0</v>
      </c>
      <c r="AZ38" s="1471">
        <f t="shared" si="325"/>
        <v>0</v>
      </c>
      <c r="BA38" s="1469">
        <f t="shared" si="326"/>
        <v>81.476903517445919</v>
      </c>
      <c r="BB38" s="1470">
        <f t="shared" si="327"/>
        <v>392.91666666666663</v>
      </c>
      <c r="BC38" s="1470">
        <f t="shared" si="328"/>
        <v>421.83828610919153</v>
      </c>
      <c r="BD38" s="1470">
        <f t="shared" si="329"/>
        <v>98.716012084592151</v>
      </c>
      <c r="BE38" s="1470">
        <f t="shared" si="330"/>
        <v>64.579124579124581</v>
      </c>
      <c r="BF38" s="1470">
        <f t="shared" si="331"/>
        <v>138.52713178294573</v>
      </c>
      <c r="BG38" s="1470">
        <f t="shared" si="332"/>
        <v>120.48032021347565</v>
      </c>
      <c r="BH38" s="1470">
        <f t="shared" si="333"/>
        <v>174.75669099756689</v>
      </c>
      <c r="BI38" s="1470">
        <f t="shared" si="334"/>
        <v>67.73318872017353</v>
      </c>
      <c r="BJ38" s="1470">
        <f t="shared" si="335"/>
        <v>76.319350473612985</v>
      </c>
      <c r="BK38" s="1470">
        <f t="shared" si="336"/>
        <v>132.39683933274802</v>
      </c>
      <c r="BL38" s="1470">
        <f t="shared" si="337"/>
        <v>79.058116232464954</v>
      </c>
      <c r="BM38" s="1471">
        <f t="shared" si="338"/>
        <v>23.885259869355281</v>
      </c>
      <c r="BN38" s="1469">
        <f t="shared" si="339"/>
        <v>117.54529355673623</v>
      </c>
      <c r="BO38" s="1470">
        <f t="shared" si="340"/>
        <v>188.37157543610456</v>
      </c>
      <c r="BP38" s="1470">
        <f t="shared" si="341"/>
        <v>-56.982507192227835</v>
      </c>
      <c r="BQ38" s="1470">
        <f t="shared" si="342"/>
        <v>49.419097375846263</v>
      </c>
      <c r="BR38" s="1470">
        <f t="shared" si="343"/>
        <v>44.652554352854843</v>
      </c>
      <c r="BS38" s="1470">
        <f t="shared" si="344"/>
        <v>-11.356465202463905</v>
      </c>
      <c r="BT38" s="1470">
        <f t="shared" si="345"/>
        <v>1.5526143498175715</v>
      </c>
      <c r="BU38" s="1470">
        <f t="shared" si="346"/>
        <v>-52.608689920183757</v>
      </c>
      <c r="BV38" s="1470">
        <f t="shared" si="347"/>
        <v>-22.701784805192805</v>
      </c>
      <c r="BW38" s="1470">
        <f t="shared" si="348"/>
        <v>-33.04689811872975</v>
      </c>
      <c r="BX38" s="1470">
        <f t="shared" si="349"/>
        <v>-45.642943756663435</v>
      </c>
      <c r="BY38" s="1470">
        <f t="shared" si="350"/>
        <v>-51.851965540284752</v>
      </c>
      <c r="BZ38" s="1471">
        <f t="shared" si="351"/>
        <v>-50.802477320242879</v>
      </c>
      <c r="CA38" s="1469">
        <f t="shared" si="352"/>
        <v>-19.901704537517915</v>
      </c>
      <c r="CB38" s="1470">
        <f t="shared" si="353"/>
        <v>-54.339565688311239</v>
      </c>
      <c r="CC38" s="1470">
        <f t="shared" si="354"/>
        <v>-25.30163170163171</v>
      </c>
      <c r="CD38" s="1470">
        <f t="shared" si="355"/>
        <v>-30.050847457627107</v>
      </c>
      <c r="CE38" s="1470">
        <f t="shared" si="356"/>
        <v>-11.094167637584817</v>
      </c>
      <c r="CF38" s="1470">
        <f t="shared" si="357"/>
        <v>20.511226098736344</v>
      </c>
      <c r="CG38" s="1470">
        <f t="shared" si="358"/>
        <v>-1.5755563175657405</v>
      </c>
      <c r="CH38" s="1470">
        <f t="shared" si="359"/>
        <v>24.264289756649671</v>
      </c>
      <c r="CI38" s="1470">
        <f t="shared" si="360"/>
        <v>-41.398530529516073</v>
      </c>
      <c r="CJ38" s="1470">
        <f t="shared" si="361"/>
        <v>2.0899391302335202</v>
      </c>
      <c r="CK38" s="1470">
        <f t="shared" si="362"/>
        <v>-13.111751952343864</v>
      </c>
      <c r="CL38" s="1470">
        <f t="shared" si="363"/>
        <v>-8.5771947527749752</v>
      </c>
      <c r="CM38" s="1471">
        <f t="shared" si="364"/>
        <v>22.479394828948873</v>
      </c>
      <c r="CN38" s="1469">
        <f t="shared" si="365"/>
        <v>-15.969567344877122</v>
      </c>
      <c r="CO38" s="1470">
        <f t="shared" si="366"/>
        <v>-25.565411443678386</v>
      </c>
      <c r="CP38" s="1470">
        <f t="shared" si="367"/>
        <v>-2.2374967717694427</v>
      </c>
      <c r="CQ38" s="1470">
        <f t="shared" si="368"/>
        <v>24.690320093462482</v>
      </c>
      <c r="CR38" s="1470">
        <f t="shared" si="369"/>
        <v>-44.395578688658155</v>
      </c>
      <c r="CS38" s="1470">
        <f t="shared" si="370"/>
        <v>-12.869351496994463</v>
      </c>
      <c r="CT38" s="1470">
        <f t="shared" si="371"/>
        <v>-28.204997865328572</v>
      </c>
      <c r="CU38" s="1470">
        <f t="shared" si="372"/>
        <v>-8.1344368020352604</v>
      </c>
      <c r="CV38" s="1470">
        <f t="shared" si="373"/>
        <v>57.73729214285035</v>
      </c>
      <c r="CW38" s="1470">
        <f t="shared" si="374"/>
        <v>-13.035490819486339</v>
      </c>
      <c r="CX38" s="1470">
        <f t="shared" si="375"/>
        <v>-3.801490146160369</v>
      </c>
      <c r="CY38" s="1470">
        <f t="shared" si="376"/>
        <v>18.059842359504287</v>
      </c>
      <c r="CZ38" s="1471">
        <f t="shared" si="377"/>
        <v>12.520803719930672</v>
      </c>
      <c r="DA38" s="1469">
        <f t="shared" si="378"/>
        <v>-6.2563096817341179</v>
      </c>
      <c r="DB38" s="1470">
        <f t="shared" si="379"/>
        <v>-2.7883616384208443</v>
      </c>
      <c r="DC38" s="1470">
        <f t="shared" si="380"/>
        <v>-4.9685644801374718</v>
      </c>
      <c r="DD38" s="1470">
        <f t="shared" si="381"/>
        <v>-9.8835772905335517</v>
      </c>
      <c r="DE38" s="1470">
        <f t="shared" si="382"/>
        <v>64.685456228724163</v>
      </c>
      <c r="DF38" s="1470">
        <f t="shared" si="383"/>
        <v>-4.1547933900219931</v>
      </c>
      <c r="DG38" s="1470">
        <f t="shared" si="384"/>
        <v>34.264278767526136</v>
      </c>
      <c r="DH38" s="1470">
        <f t="shared" si="385"/>
        <v>46.960686243552388</v>
      </c>
      <c r="DI38" s="1470">
        <f t="shared" si="386"/>
        <v>36.772641633966565</v>
      </c>
      <c r="DJ38" s="1470">
        <f t="shared" si="387"/>
        <v>64.663519035973096</v>
      </c>
      <c r="DK38" s="1470">
        <f t="shared" si="388"/>
        <v>35.932014046385106</v>
      </c>
      <c r="DL38" s="1470">
        <f t="shared" si="389"/>
        <v>17.750772686439742</v>
      </c>
      <c r="DM38" s="1471">
        <f t="shared" si="390"/>
        <v>5.6876012404613929</v>
      </c>
      <c r="DN38" s="1469">
        <f t="shared" si="391"/>
        <v>20.816058813458739</v>
      </c>
      <c r="DO38" s="1470">
        <f t="shared" si="392"/>
        <v>78.12441219938195</v>
      </c>
      <c r="DP38" s="1470">
        <f t="shared" si="393"/>
        <v>47.623270186752656</v>
      </c>
      <c r="DQ38" s="1470">
        <f t="shared" si="394"/>
        <v>17.302150516555258</v>
      </c>
      <c r="DR38" s="1470">
        <f t="shared" si="395"/>
        <v>-6.9576563683811816</v>
      </c>
      <c r="DS38" s="1470">
        <f t="shared" si="396"/>
        <v>-5.6557141911423914</v>
      </c>
      <c r="DT38" s="1470">
        <f t="shared" si="397"/>
        <v>-34.475936846109953</v>
      </c>
      <c r="DU38" s="1470">
        <f t="shared" si="398"/>
        <v>-35.467548239104033</v>
      </c>
      <c r="DV38" s="1470">
        <f t="shared" si="399"/>
        <v>-2.4043395658319255</v>
      </c>
      <c r="DW38" s="1470">
        <f t="shared" si="400"/>
        <v>-30.048286234465259</v>
      </c>
      <c r="DX38" s="1470">
        <f t="shared" si="401"/>
        <v>-10.837949497007992</v>
      </c>
      <c r="DY38" s="1470">
        <f t="shared" si="402"/>
        <v>-17.170131836478465</v>
      </c>
      <c r="DZ38" s="1471">
        <f t="shared" si="403"/>
        <v>-9.9899228712065238</v>
      </c>
      <c r="EA38" s="1469">
        <f t="shared" si="404"/>
        <v>-4.956054879339522</v>
      </c>
      <c r="EB38" s="1470">
        <f t="shared" si="405"/>
        <v>-2.929596162259207</v>
      </c>
      <c r="EC38" s="1470">
        <f t="shared" si="406"/>
        <v>0.36404674360186462</v>
      </c>
      <c r="ED38" s="1470">
        <f t="shared" si="407"/>
        <v>-13.581897488176208</v>
      </c>
      <c r="EE38" s="1470">
        <f t="shared" si="408"/>
        <v>14.94684460529292</v>
      </c>
      <c r="EF38" s="1470">
        <f t="shared" si="409"/>
        <v>21.665809047106666</v>
      </c>
      <c r="EG38" s="1470">
        <f t="shared" si="410"/>
        <v>66.750856412936216</v>
      </c>
      <c r="EH38" s="1470">
        <f t="shared" si="411"/>
        <v>69.383167799268122</v>
      </c>
      <c r="EI38" s="1470">
        <f t="shared" si="412"/>
        <v>3.9193881766579564</v>
      </c>
      <c r="EJ38" s="1470">
        <f t="shared" si="413"/>
        <v>46.701369242955735</v>
      </c>
      <c r="EK38" s="1470">
        <f t="shared" si="414"/>
        <v>19.843331186236423</v>
      </c>
      <c r="EL38" s="1470">
        <f t="shared" si="415"/>
        <v>70.931139793575412</v>
      </c>
      <c r="EM38" s="1471">
        <f t="shared" si="416"/>
        <v>7.0488944388227281</v>
      </c>
      <c r="EN38" s="1469">
        <f t="shared" si="417"/>
        <v>21.416473590092068</v>
      </c>
      <c r="EO38" s="1470">
        <f t="shared" si="418"/>
        <v>17.55015773851154</v>
      </c>
      <c r="EP38" s="1470">
        <f t="shared" si="419"/>
        <v>-4.517755449961891</v>
      </c>
      <c r="EQ38" s="1470">
        <f t="shared" si="420"/>
        <v>-13.658866756913547</v>
      </c>
      <c r="ER38" s="1470">
        <f t="shared" si="421"/>
        <v>70.299893738439124</v>
      </c>
      <c r="ES38" s="1470">
        <f t="shared" si="422"/>
        <v>57.481208066593645</v>
      </c>
      <c r="ET38" s="1470">
        <f t="shared" si="423"/>
        <v>19.044551611274564</v>
      </c>
      <c r="EU38" s="1470">
        <f t="shared" si="424"/>
        <v>-7.3990062648519928</v>
      </c>
      <c r="EV38" s="1470">
        <f t="shared" si="425"/>
        <v>14.510966212211018</v>
      </c>
      <c r="EW38" s="1470">
        <f t="shared" si="426"/>
        <v>-35.098734958346199</v>
      </c>
      <c r="EX38" s="1470">
        <f t="shared" si="427"/>
        <v>-20.32005825545712</v>
      </c>
      <c r="EY38" s="1470">
        <f t="shared" si="428"/>
        <v>-20.678682281749637</v>
      </c>
      <c r="EZ38" s="1471">
        <f t="shared" si="429"/>
        <v>15.993242291989329</v>
      </c>
      <c r="FA38" s="1469">
        <f t="shared" si="430"/>
        <v>5.5300446548554927</v>
      </c>
      <c r="FB38" s="1470">
        <f t="shared" si="431"/>
        <v>-28.70174510840825</v>
      </c>
      <c r="FC38" s="1470">
        <f t="shared" si="432"/>
        <v>28.579026345280802</v>
      </c>
      <c r="FD38" s="1470">
        <f t="shared" si="433"/>
        <v>23.513337962237092</v>
      </c>
      <c r="FE38" s="1470">
        <f t="shared" si="434"/>
        <v>-44.829737818194417</v>
      </c>
      <c r="FF38" s="1470">
        <f t="shared" si="435"/>
        <v>-43.172967760049794</v>
      </c>
      <c r="FG38" s="1470">
        <f t="shared" si="436"/>
        <v>-19.44046330691156</v>
      </c>
      <c r="FH38" s="1470">
        <f t="shared" si="437"/>
        <v>5.6223025778607383</v>
      </c>
      <c r="FI38" s="1470">
        <f t="shared" si="438"/>
        <v>26.184560168409419</v>
      </c>
      <c r="FJ38" s="1470">
        <f t="shared" si="439"/>
        <v>44.027668829779643</v>
      </c>
      <c r="FK38" s="1470">
        <f t="shared" si="440"/>
        <v>38.089953652327189</v>
      </c>
      <c r="FL38" s="1470">
        <f t="shared" si="441"/>
        <v>-19.844793002532001</v>
      </c>
      <c r="FM38" s="1471">
        <f t="shared" si="442"/>
        <v>-2.2852981464463573</v>
      </c>
      <c r="FN38" s="1469">
        <f t="shared" si="443"/>
        <v>-5.7791675405647673</v>
      </c>
      <c r="FO38" s="1470">
        <f t="shared" si="444"/>
        <v>8.4201743000185569</v>
      </c>
      <c r="FP38" s="1470">
        <f t="shared" si="445"/>
        <v>-65.381944957381123</v>
      </c>
      <c r="FQ38" s="1470">
        <f t="shared" si="446"/>
        <v>40.651010971076261</v>
      </c>
      <c r="FR38" s="1470">
        <f t="shared" si="447"/>
        <v>58.987140284002848</v>
      </c>
      <c r="FS38" s="1470">
        <f t="shared" si="448"/>
        <v>53.05364009366069</v>
      </c>
      <c r="FT38" s="1470">
        <f t="shared" si="449"/>
        <v>-32.20295906326588</v>
      </c>
      <c r="FU38" s="1470">
        <f t="shared" si="450"/>
        <v>-50.906365859430466</v>
      </c>
      <c r="FV38" s="1470">
        <f t="shared" si="451"/>
        <v>-18.321049105006239</v>
      </c>
      <c r="FW38" s="1470">
        <f t="shared" si="452"/>
        <v>14.583023881434531</v>
      </c>
      <c r="FX38" s="1470">
        <f t="shared" si="453"/>
        <v>-0.21745296397844838</v>
      </c>
      <c r="FY38" s="1470">
        <f t="shared" si="454"/>
        <v>-22.682146373482116</v>
      </c>
      <c r="FZ38" s="1471">
        <f t="shared" si="455"/>
        <v>-35.251530476443968</v>
      </c>
      <c r="GA38" s="1469">
        <f t="shared" si="456"/>
        <v>-7.2373898563796608</v>
      </c>
      <c r="GB38" s="1470">
        <f t="shared" si="457"/>
        <v>-30.916180670759875</v>
      </c>
      <c r="GC38" s="1470">
        <f t="shared" si="458"/>
        <v>138.50815055048221</v>
      </c>
      <c r="GD38" s="1470">
        <f t="shared" si="459"/>
        <v>-21.675562775585998</v>
      </c>
      <c r="GE38" s="1470">
        <f t="shared" si="460"/>
        <v>-34.469766829139772</v>
      </c>
      <c r="GF38" s="1470">
        <f t="shared" si="461"/>
        <v>-23.639961823489799</v>
      </c>
      <c r="GG38" s="1470">
        <f t="shared" si="462"/>
        <v>117.56546885878008</v>
      </c>
      <c r="GH38" s="1470">
        <f t="shared" si="463"/>
        <v>141.79253165370525</v>
      </c>
      <c r="GI38" s="1470">
        <f t="shared" si="464"/>
        <v>32.910883795684008</v>
      </c>
      <c r="GJ38" s="1470">
        <f t="shared" si="465"/>
        <v>-3.2091261324844855</v>
      </c>
      <c r="GK38" s="1470">
        <f t="shared" si="466"/>
        <v>15.030636093740114</v>
      </c>
      <c r="GL38" s="1470">
        <f t="shared" si="467"/>
        <v>4.1863426540033055</v>
      </c>
      <c r="GM38" s="1471">
        <f t="shared" si="468"/>
        <v>-25.936583627942667</v>
      </c>
      <c r="GN38" s="1469">
        <f t="shared" si="469"/>
        <v>9.6066405507406074</v>
      </c>
      <c r="GO38" s="1470">
        <f t="shared" si="470"/>
        <v>-33.096499480120812</v>
      </c>
      <c r="GP38" s="1470">
        <f t="shared" si="471"/>
        <v>-3.3672081872182069</v>
      </c>
      <c r="GQ38" s="1470">
        <f t="shared" si="472"/>
        <v>-14.933333333333332</v>
      </c>
      <c r="GR38" s="1470">
        <f t="shared" si="473"/>
        <v>45.509006111289807</v>
      </c>
      <c r="GS38" s="1470">
        <f t="shared" si="474"/>
        <v>31.712158808933033</v>
      </c>
      <c r="GT38" s="1470">
        <f t="shared" si="475"/>
        <v>17.556490917146661</v>
      </c>
      <c r="GU38" s="1470">
        <f t="shared" si="476"/>
        <v>27.037120718757034</v>
      </c>
      <c r="GV38" s="1470">
        <f t="shared" si="477"/>
        <v>63.389134514857219</v>
      </c>
      <c r="GW38" s="1470">
        <f t="shared" si="478"/>
        <v>106.48372743642022</v>
      </c>
      <c r="GX38" s="1470">
        <f t="shared" si="479"/>
        <v>79.756184618763953</v>
      </c>
      <c r="GY38" s="1470">
        <f t="shared" si="480"/>
        <v>180.80311672438376</v>
      </c>
      <c r="GZ38" s="1471">
        <f t="shared" si="481"/>
        <v>105.3950046253469</v>
      </c>
      <c r="HA38" s="1469">
        <f t="shared" si="482"/>
        <v>46.863471257668074</v>
      </c>
      <c r="HB38" s="1470">
        <f t="shared" si="483"/>
        <v>300.22941720629046</v>
      </c>
      <c r="HC38" s="1470">
        <f t="shared" si="484"/>
        <v>52.917978152194031</v>
      </c>
      <c r="HD38" s="1470">
        <f t="shared" si="485"/>
        <v>112.51209412128955</v>
      </c>
      <c r="HE38" s="1470">
        <f t="shared" si="486"/>
        <v>-20.869691359730325</v>
      </c>
      <c r="HF38" s="1470">
        <f t="shared" si="487"/>
        <v>-23.317703536241584</v>
      </c>
      <c r="HG38" s="1470">
        <f t="shared" si="488"/>
        <v>-89.105604237989041</v>
      </c>
      <c r="HH38" s="1470">
        <f t="shared" si="489"/>
        <v>-83.620689655172413</v>
      </c>
      <c r="HI38" s="1470">
        <f t="shared" si="490"/>
        <v>-61.424837911388984</v>
      </c>
      <c r="HJ38" s="1470">
        <f t="shared" si="491"/>
        <v>-60.249360383409609</v>
      </c>
      <c r="HK38" s="1470">
        <f t="shared" si="492"/>
        <v>-76.410973132322169</v>
      </c>
      <c r="HL38" s="1470">
        <f t="shared" si="493"/>
        <v>-67.570753647632785</v>
      </c>
      <c r="HM38" s="1471">
        <f t="shared" si="494"/>
        <v>-36.892880305541532</v>
      </c>
      <c r="HN38" s="1469">
        <f t="shared" si="495"/>
        <v>-37.492209923091437</v>
      </c>
      <c r="HO38" s="1470">
        <f t="shared" si="496"/>
        <v>-46.611564135278549</v>
      </c>
      <c r="HP38" s="1470">
        <f t="shared" si="497"/>
        <v>-15.696625540313114</v>
      </c>
      <c r="HQ38" s="1470">
        <f t="shared" si="498"/>
        <v>-56.790078490648511</v>
      </c>
      <c r="HR38" s="1470">
        <f t="shared" si="499"/>
        <v>41.500556078364291</v>
      </c>
      <c r="HS38" s="1470">
        <f t="shared" si="500"/>
        <v>-14.211359624378971</v>
      </c>
      <c r="HT38" s="1470">
        <f t="shared" si="501"/>
        <v>483.14818374014993</v>
      </c>
      <c r="HU38" s="1470">
        <f t="shared" si="502"/>
        <v>307.63924374041903</v>
      </c>
      <c r="HV38" s="1470">
        <f t="shared" si="503"/>
        <v>49.915062853488365</v>
      </c>
      <c r="HW38" s="1470">
        <f t="shared" si="504"/>
        <v>33.093407788817174</v>
      </c>
      <c r="HX38" s="1470">
        <f t="shared" si="505"/>
        <v>129.12552206429888</v>
      </c>
      <c r="HY38" s="1470">
        <f t="shared" si="506"/>
        <v>98.014652424361046</v>
      </c>
      <c r="HZ38" s="1471">
        <f t="shared" si="507"/>
        <v>65.942990907663486</v>
      </c>
      <c r="IA38" s="1469">
        <f t="shared" si="508"/>
        <v>20.119256609846524</v>
      </c>
      <c r="IB38" s="1470">
        <f t="shared" si="509"/>
        <v>16.066913725626009</v>
      </c>
      <c r="IC38" s="1470">
        <f t="shared" si="510"/>
        <v>9.5049334309966085</v>
      </c>
      <c r="ID38" s="1470">
        <f t="shared" si="511"/>
        <v>48.948455346230027</v>
      </c>
      <c r="IE38" s="1470">
        <f t="shared" si="512"/>
        <v>-44.596895590158681</v>
      </c>
      <c r="IF38" s="1470">
        <f t="shared" si="513"/>
        <v>26.794036911327957</v>
      </c>
      <c r="IG38" s="1470">
        <f t="shared" si="514"/>
        <v>3.5407300963705923</v>
      </c>
      <c r="IH38" s="1470">
        <f t="shared" si="515"/>
        <v>7.4412409902851806</v>
      </c>
      <c r="II38" s="1470">
        <f t="shared" si="516"/>
        <v>5.9299108154586611</v>
      </c>
      <c r="IJ38" s="1470">
        <f t="shared" si="517"/>
        <v>8.8218065904725584</v>
      </c>
      <c r="IK38" s="1470">
        <f t="shared" si="518"/>
        <v>27.600678253497236</v>
      </c>
      <c r="IL38" s="1470">
        <f t="shared" si="519"/>
        <v>4.7129818962352132</v>
      </c>
      <c r="IM38" s="1471">
        <f t="shared" si="520"/>
        <v>87.165607528084109</v>
      </c>
      <c r="IN38" s="1469">
        <f t="shared" si="521"/>
        <v>13.791195105423771</v>
      </c>
      <c r="IO38" s="1470">
        <f t="shared" si="522"/>
        <v>77.27232036285514</v>
      </c>
      <c r="IP38" s="1470">
        <f t="shared" si="523"/>
        <v>35.401665682995585</v>
      </c>
      <c r="IQ38" s="1470">
        <f t="shared" si="524"/>
        <v>84.216632240174278</v>
      </c>
      <c r="IR38" s="1470">
        <f t="shared" si="525"/>
        <v>144.72851988775557</v>
      </c>
      <c r="IS38" s="1470">
        <f t="shared" si="526"/>
        <v>26.853313719266716</v>
      </c>
      <c r="IT38" s="1470">
        <f t="shared" si="527"/>
        <v>39.507644315704084</v>
      </c>
      <c r="IU38" s="1470">
        <f t="shared" si="528"/>
        <v>52.892756201782156</v>
      </c>
      <c r="IV38" s="1470">
        <f t="shared" si="529"/>
        <v>7.9696539710121028</v>
      </c>
      <c r="IW38" s="1470">
        <f t="shared" si="530"/>
        <v>25.979436690242231</v>
      </c>
      <c r="IX38" s="1470">
        <f t="shared" si="531"/>
        <v>21.518664939149289</v>
      </c>
      <c r="IY38" s="1470">
        <f t="shared" si="532"/>
        <v>21.268024815859611</v>
      </c>
      <c r="IZ38" s="1471">
        <f t="shared" si="533"/>
        <v>-51.182700013610607</v>
      </c>
      <c r="JA38" s="1469">
        <f t="shared" si="534"/>
        <v>32.521289128279719</v>
      </c>
      <c r="JB38" s="1470">
        <f t="shared" si="535"/>
        <v>-27.702731136640946</v>
      </c>
      <c r="JC38" s="1470">
        <f t="shared" si="536"/>
        <v>-22.895860980074879</v>
      </c>
      <c r="JD38" s="1470">
        <f t="shared" si="537"/>
        <v>-38.943843696239796</v>
      </c>
      <c r="JE38" s="1470">
        <f t="shared" si="538"/>
        <v>-24.832556785090198</v>
      </c>
      <c r="JF38" s="1470">
        <f t="shared" si="539"/>
        <v>1.5548107470049866</v>
      </c>
      <c r="JG38" s="1470">
        <f t="shared" si="540"/>
        <v>-12.154655994894769</v>
      </c>
      <c r="JH38" s="1470">
        <f t="shared" si="541"/>
        <v>-18.063305758917135</v>
      </c>
      <c r="JI38" s="1470">
        <f t="shared" si="542"/>
        <v>-7.4527215992420626</v>
      </c>
      <c r="JJ38" s="1470">
        <f t="shared" si="543"/>
        <v>-7.8882926049709701</v>
      </c>
      <c r="JK38" s="1470">
        <f t="shared" si="544"/>
        <v>-22.085023009978499</v>
      </c>
      <c r="JL38" s="1470">
        <f t="shared" si="545"/>
        <v>38.564533706990645</v>
      </c>
      <c r="JM38" s="1471">
        <f t="shared" si="546"/>
        <v>134.59858412411529</v>
      </c>
      <c r="JN38" s="1469">
        <f t="shared" si="547"/>
        <v>-8.1529431445505836</v>
      </c>
      <c r="JO38" s="1470">
        <f t="shared" si="547"/>
        <v>10.011641443539009</v>
      </c>
      <c r="JP38" s="1470">
        <f t="shared" si="547"/>
        <v>6.9095477386934556</v>
      </c>
      <c r="JQ38" s="1470">
        <f t="shared" si="547"/>
        <v>6.4150943396226401</v>
      </c>
      <c r="JR38" s="1470">
        <f t="shared" si="549"/>
        <v>2.4213075060532496</v>
      </c>
      <c r="JS38" s="1470">
        <f t="shared" si="548"/>
        <v>17.66233766233767</v>
      </c>
      <c r="JT38" s="1470">
        <f t="shared" si="287"/>
        <v>34.285714285714299</v>
      </c>
      <c r="JU38" s="1470">
        <f t="shared" si="548"/>
        <v>17.229336437718313</v>
      </c>
      <c r="JV38" s="1470">
        <f t="shared" si="548"/>
        <v>31.234256926952121</v>
      </c>
      <c r="JW38" s="1470">
        <f t="shared" si="548"/>
        <v>-100</v>
      </c>
      <c r="JX38" s="1470">
        <f t="shared" si="548"/>
        <v>-100</v>
      </c>
      <c r="JY38" s="1470">
        <f t="shared" si="548"/>
        <v>-100</v>
      </c>
      <c r="JZ38" s="1471">
        <f t="shared" si="548"/>
        <v>-100</v>
      </c>
      <c r="KA38" s="1469">
        <f t="shared" si="548"/>
        <v>4.3982127897235213</v>
      </c>
      <c r="KC38"/>
      <c r="KD38" s="62"/>
      <c r="KE38" s="62"/>
      <c r="KF38" s="62"/>
    </row>
    <row r="39" spans="1:292" ht="15" customHeight="1" x14ac:dyDescent="0.2">
      <c r="A39" s="1168" t="s">
        <v>256</v>
      </c>
      <c r="B39" s="1470"/>
      <c r="C39" s="1470"/>
      <c r="D39" s="1470"/>
      <c r="E39" s="1470"/>
      <c r="F39" s="1470"/>
      <c r="G39" s="1470"/>
      <c r="H39" s="1470"/>
      <c r="I39" s="1470"/>
      <c r="J39" s="1470"/>
      <c r="K39" s="1470"/>
      <c r="L39" s="1470"/>
      <c r="M39" s="1471"/>
      <c r="N39" s="1469"/>
      <c r="O39" s="1470">
        <f t="shared" si="288"/>
        <v>0</v>
      </c>
      <c r="P39" s="1470">
        <f t="shared" si="289"/>
        <v>0</v>
      </c>
      <c r="Q39" s="1470">
        <f t="shared" si="290"/>
        <v>0</v>
      </c>
      <c r="R39" s="1470">
        <f t="shared" si="291"/>
        <v>0</v>
      </c>
      <c r="S39" s="1470">
        <f t="shared" si="292"/>
        <v>0</v>
      </c>
      <c r="T39" s="1470">
        <f t="shared" si="293"/>
        <v>0</v>
      </c>
      <c r="U39" s="1470">
        <f t="shared" si="294"/>
        <v>0</v>
      </c>
      <c r="V39" s="1470">
        <f t="shared" si="295"/>
        <v>0</v>
      </c>
      <c r="W39" s="1470">
        <f t="shared" si="296"/>
        <v>0</v>
      </c>
      <c r="X39" s="1470">
        <f t="shared" si="297"/>
        <v>0</v>
      </c>
      <c r="Y39" s="1470">
        <f t="shared" si="298"/>
        <v>0</v>
      </c>
      <c r="Z39" s="1471">
        <f t="shared" si="299"/>
        <v>0</v>
      </c>
      <c r="AA39" s="1469">
        <f t="shared" si="300"/>
        <v>0</v>
      </c>
      <c r="AB39" s="1470">
        <f t="shared" si="301"/>
        <v>0</v>
      </c>
      <c r="AC39" s="1470">
        <f t="shared" si="302"/>
        <v>0</v>
      </c>
      <c r="AD39" s="1470">
        <f t="shared" si="303"/>
        <v>0</v>
      </c>
      <c r="AE39" s="1470">
        <f t="shared" si="304"/>
        <v>0</v>
      </c>
      <c r="AF39" s="1470">
        <f t="shared" si="305"/>
        <v>0</v>
      </c>
      <c r="AG39" s="1470">
        <f t="shared" si="306"/>
        <v>0</v>
      </c>
      <c r="AH39" s="1470">
        <f t="shared" si="307"/>
        <v>0</v>
      </c>
      <c r="AI39" s="1470">
        <f t="shared" si="308"/>
        <v>0</v>
      </c>
      <c r="AJ39" s="1470">
        <f t="shared" si="309"/>
        <v>0</v>
      </c>
      <c r="AK39" s="1470">
        <f t="shared" si="310"/>
        <v>0</v>
      </c>
      <c r="AL39" s="1470">
        <f t="shared" si="311"/>
        <v>0</v>
      </c>
      <c r="AM39" s="1471">
        <f t="shared" si="312"/>
        <v>0</v>
      </c>
      <c r="AN39" s="1469">
        <f t="shared" si="313"/>
        <v>0</v>
      </c>
      <c r="AO39" s="1470">
        <f t="shared" si="314"/>
        <v>0</v>
      </c>
      <c r="AP39" s="1470">
        <f t="shared" si="315"/>
        <v>0</v>
      </c>
      <c r="AQ39" s="1470">
        <f t="shared" si="316"/>
        <v>0</v>
      </c>
      <c r="AR39" s="1470">
        <f t="shared" si="317"/>
        <v>0</v>
      </c>
      <c r="AS39" s="1470">
        <f t="shared" si="318"/>
        <v>0</v>
      </c>
      <c r="AT39" s="1470">
        <f t="shared" si="319"/>
        <v>0</v>
      </c>
      <c r="AU39" s="1470">
        <f t="shared" si="320"/>
        <v>0</v>
      </c>
      <c r="AV39" s="1470">
        <f t="shared" si="321"/>
        <v>0</v>
      </c>
      <c r="AW39" s="1470">
        <f t="shared" si="322"/>
        <v>0</v>
      </c>
      <c r="AX39" s="1470">
        <f t="shared" si="323"/>
        <v>0</v>
      </c>
      <c r="AY39" s="1470">
        <f t="shared" si="324"/>
        <v>0</v>
      </c>
      <c r="AZ39" s="1471">
        <f t="shared" si="325"/>
        <v>0</v>
      </c>
      <c r="BA39" s="1469">
        <f t="shared" si="326"/>
        <v>0</v>
      </c>
      <c r="BB39" s="1470">
        <f t="shared" si="327"/>
        <v>0</v>
      </c>
      <c r="BC39" s="1470">
        <f t="shared" si="328"/>
        <v>0</v>
      </c>
      <c r="BD39" s="1470">
        <f t="shared" si="329"/>
        <v>0</v>
      </c>
      <c r="BE39" s="1470">
        <f t="shared" si="330"/>
        <v>0</v>
      </c>
      <c r="BF39" s="1470">
        <f t="shared" si="331"/>
        <v>0</v>
      </c>
      <c r="BG39" s="1470">
        <f t="shared" si="332"/>
        <v>0</v>
      </c>
      <c r="BH39" s="1470">
        <f t="shared" si="333"/>
        <v>0</v>
      </c>
      <c r="BI39" s="1470">
        <f t="shared" si="334"/>
        <v>0</v>
      </c>
      <c r="BJ39" s="1470">
        <f t="shared" si="335"/>
        <v>0</v>
      </c>
      <c r="BK39" s="1470">
        <f t="shared" si="336"/>
        <v>0</v>
      </c>
      <c r="BL39" s="1470">
        <f t="shared" si="337"/>
        <v>0</v>
      </c>
      <c r="BM39" s="1471">
        <f t="shared" si="338"/>
        <v>0</v>
      </c>
      <c r="BN39" s="1469">
        <f t="shared" si="339"/>
        <v>0</v>
      </c>
      <c r="BO39" s="1470">
        <f t="shared" si="340"/>
        <v>0</v>
      </c>
      <c r="BP39" s="1470">
        <f t="shared" si="341"/>
        <v>0</v>
      </c>
      <c r="BQ39" s="1470">
        <f t="shared" si="342"/>
        <v>0</v>
      </c>
      <c r="BR39" s="1470">
        <f t="shared" si="343"/>
        <v>0</v>
      </c>
      <c r="BS39" s="1470">
        <f t="shared" si="344"/>
        <v>0</v>
      </c>
      <c r="BT39" s="1470">
        <f t="shared" si="345"/>
        <v>0</v>
      </c>
      <c r="BU39" s="1470">
        <f t="shared" si="346"/>
        <v>0</v>
      </c>
      <c r="BV39" s="1470">
        <f t="shared" si="347"/>
        <v>0</v>
      </c>
      <c r="BW39" s="1470">
        <f t="shared" si="348"/>
        <v>0</v>
      </c>
      <c r="BX39" s="1470">
        <f t="shared" si="349"/>
        <v>0</v>
      </c>
      <c r="BY39" s="1470">
        <f t="shared" si="350"/>
        <v>0</v>
      </c>
      <c r="BZ39" s="1471">
        <f t="shared" si="351"/>
        <v>0</v>
      </c>
      <c r="CA39" s="1469">
        <f t="shared" si="352"/>
        <v>0</v>
      </c>
      <c r="CB39" s="1470">
        <f t="shared" si="353"/>
        <v>-68.876472370058138</v>
      </c>
      <c r="CC39" s="1470">
        <f t="shared" si="354"/>
        <v>-6.8264040070395549</v>
      </c>
      <c r="CD39" s="1470">
        <f t="shared" si="355"/>
        <v>81.110972873035962</v>
      </c>
      <c r="CE39" s="1470">
        <f t="shared" si="356"/>
        <v>-11.022598831630114</v>
      </c>
      <c r="CF39" s="1470">
        <f t="shared" si="357"/>
        <v>87.320629128743391</v>
      </c>
      <c r="CG39" s="1470">
        <f t="shared" si="358"/>
        <v>49.674144730393934</v>
      </c>
      <c r="CH39" s="1470">
        <f t="shared" si="359"/>
        <v>36.0182230895755</v>
      </c>
      <c r="CI39" s="1470">
        <f t="shared" si="360"/>
        <v>123.23862980705221</v>
      </c>
      <c r="CJ39" s="1470">
        <f t="shared" si="361"/>
        <v>130.63969951821463</v>
      </c>
      <c r="CK39" s="1470">
        <f t="shared" si="362"/>
        <v>22.871486000792629</v>
      </c>
      <c r="CL39" s="1470">
        <f t="shared" si="363"/>
        <v>-8.9287178492670645</v>
      </c>
      <c r="CM39" s="1471">
        <f t="shared" si="364"/>
        <v>-8.9679779404583826</v>
      </c>
      <c r="CN39" s="1469">
        <f t="shared" si="365"/>
        <v>15.069662112792926</v>
      </c>
      <c r="CO39" s="1470">
        <f t="shared" si="366"/>
        <v>199.91574686442993</v>
      </c>
      <c r="CP39" s="1470">
        <f t="shared" si="367"/>
        <v>42.346298001746163</v>
      </c>
      <c r="CQ39" s="1470">
        <f t="shared" si="368"/>
        <v>-0.10256189741444377</v>
      </c>
      <c r="CR39" s="1470">
        <f t="shared" si="369"/>
        <v>3.9735187770054026</v>
      </c>
      <c r="CS39" s="1470">
        <f t="shared" si="370"/>
        <v>-10.59950965808606</v>
      </c>
      <c r="CT39" s="1470">
        <f t="shared" si="371"/>
        <v>76.141939689665278</v>
      </c>
      <c r="CU39" s="1470">
        <f t="shared" si="372"/>
        <v>-2.6236766813110046</v>
      </c>
      <c r="CV39" s="1470">
        <f t="shared" si="373"/>
        <v>15.186728709153741</v>
      </c>
      <c r="CW39" s="1470">
        <f t="shared" si="374"/>
        <v>-13.232107728531162</v>
      </c>
      <c r="CX39" s="1470">
        <f t="shared" si="375"/>
        <v>23.754752756290909</v>
      </c>
      <c r="CY39" s="1470">
        <f t="shared" si="376"/>
        <v>-6.6474453543907686</v>
      </c>
      <c r="CZ39" s="1471">
        <f t="shared" si="377"/>
        <v>15.389120362783748</v>
      </c>
      <c r="DA39" s="1469">
        <f t="shared" si="378"/>
        <v>17.683672090458114</v>
      </c>
      <c r="DB39" s="1470">
        <f t="shared" si="379"/>
        <v>-0.89099288805980503</v>
      </c>
      <c r="DC39" s="1470">
        <f t="shared" si="380"/>
        <v>29.772296886403083</v>
      </c>
      <c r="DD39" s="1470">
        <f t="shared" si="381"/>
        <v>-12.032406944017481</v>
      </c>
      <c r="DE39" s="1470">
        <f t="shared" si="382"/>
        <v>-6.3886089904579784</v>
      </c>
      <c r="DF39" s="1470">
        <f t="shared" si="383"/>
        <v>-3.0233609947391882</v>
      </c>
      <c r="DG39" s="1470">
        <f t="shared" si="384"/>
        <v>-19.467386925550112</v>
      </c>
      <c r="DH39" s="1470">
        <f t="shared" si="385"/>
        <v>-8.9101437036034898</v>
      </c>
      <c r="DI39" s="1470">
        <f t="shared" si="386"/>
        <v>-22.586865308316774</v>
      </c>
      <c r="DJ39" s="1470">
        <f t="shared" si="387"/>
        <v>-19.330263264148229</v>
      </c>
      <c r="DK39" s="1470">
        <f t="shared" si="388"/>
        <v>-10.976678935176743</v>
      </c>
      <c r="DL39" s="1470">
        <f t="shared" si="389"/>
        <v>11.105192448536449</v>
      </c>
      <c r="DM39" s="1471">
        <f t="shared" si="390"/>
        <v>-17.401849426810411</v>
      </c>
      <c r="DN39" s="1469">
        <f t="shared" si="391"/>
        <v>-6.742425350788861</v>
      </c>
      <c r="DO39" s="1470">
        <f t="shared" si="392"/>
        <v>-34.650113978805166</v>
      </c>
      <c r="DP39" s="1470">
        <f t="shared" si="393"/>
        <v>-62.417502055003915</v>
      </c>
      <c r="DQ39" s="1470">
        <f t="shared" si="394"/>
        <v>-41.093573352842995</v>
      </c>
      <c r="DR39" s="1470">
        <f t="shared" si="395"/>
        <v>-31.571042982975563</v>
      </c>
      <c r="DS39" s="1470">
        <f t="shared" si="396"/>
        <v>-15.892535361715531</v>
      </c>
      <c r="DT39" s="1470">
        <f t="shared" si="397"/>
        <v>-5.0235975293122959</v>
      </c>
      <c r="DU39" s="1470">
        <f t="shared" si="398"/>
        <v>17.687087843518245</v>
      </c>
      <c r="DV39" s="1470">
        <f t="shared" si="399"/>
        <v>18.192549519752355</v>
      </c>
      <c r="DW39" s="1470">
        <f t="shared" si="400"/>
        <v>70.937972800032185</v>
      </c>
      <c r="DX39" s="1470">
        <f t="shared" si="401"/>
        <v>-38.341579645639847</v>
      </c>
      <c r="DY39" s="1470">
        <f t="shared" si="402"/>
        <v>-33.752488526146387</v>
      </c>
      <c r="DZ39" s="1471">
        <f t="shared" si="403"/>
        <v>-14.568186666224502</v>
      </c>
      <c r="EA39" s="1469">
        <f t="shared" si="404"/>
        <v>-20.202198038853815</v>
      </c>
      <c r="EB39" s="1470">
        <f t="shared" si="405"/>
        <v>21.565433904639985</v>
      </c>
      <c r="EC39" s="1470">
        <f t="shared" si="406"/>
        <v>30.880033501667327</v>
      </c>
      <c r="ED39" s="1470">
        <f t="shared" si="407"/>
        <v>41.251260363386933</v>
      </c>
      <c r="EE39" s="1470">
        <f t="shared" si="408"/>
        <v>23.721788240104026</v>
      </c>
      <c r="EF39" s="1470">
        <f t="shared" si="409"/>
        <v>-14.61042837020592</v>
      </c>
      <c r="EG39" s="1470">
        <f t="shared" si="410"/>
        <v>-13.821159599054688</v>
      </c>
      <c r="EH39" s="1470">
        <f t="shared" si="411"/>
        <v>-45.815952939424186</v>
      </c>
      <c r="EI39" s="1470">
        <f t="shared" si="412"/>
        <v>-37.624088367015439</v>
      </c>
      <c r="EJ39" s="1470">
        <f t="shared" si="413"/>
        <v>-52.629852415142551</v>
      </c>
      <c r="EK39" s="1470">
        <f t="shared" si="414"/>
        <v>-13.096282373354795</v>
      </c>
      <c r="EL39" s="1470">
        <f t="shared" si="415"/>
        <v>-9.3613851315943464</v>
      </c>
      <c r="EM39" s="1471">
        <f t="shared" si="416"/>
        <v>-34.294763546013115</v>
      </c>
      <c r="EN39" s="1469">
        <f t="shared" si="417"/>
        <v>-14.199573717140302</v>
      </c>
      <c r="EO39" s="1470">
        <f t="shared" si="418"/>
        <v>-46.508846909276393</v>
      </c>
      <c r="EP39" s="1470">
        <f t="shared" si="419"/>
        <v>-8.7786259541984712</v>
      </c>
      <c r="EQ39" s="1470">
        <f t="shared" si="420"/>
        <v>-27.259860163091499</v>
      </c>
      <c r="ER39" s="1470">
        <f t="shared" si="421"/>
        <v>-23.355737718727731</v>
      </c>
      <c r="ES39" s="1470">
        <f t="shared" si="422"/>
        <v>5.9817858098524246</v>
      </c>
      <c r="ET39" s="1470">
        <f t="shared" si="423"/>
        <v>-34.811681487341197</v>
      </c>
      <c r="EU39" s="1470">
        <f t="shared" si="424"/>
        <v>-38.104893843407737</v>
      </c>
      <c r="EV39" s="1470">
        <f t="shared" si="425"/>
        <v>-26.760342579253638</v>
      </c>
      <c r="EW39" s="1470">
        <f t="shared" si="426"/>
        <v>7.1691572884639232</v>
      </c>
      <c r="EX39" s="1470">
        <f t="shared" si="427"/>
        <v>-37.771668947249907</v>
      </c>
      <c r="EY39" s="1470">
        <f t="shared" si="428"/>
        <v>-43.422723202426447</v>
      </c>
      <c r="EZ39" s="1471">
        <f t="shared" si="429"/>
        <v>0</v>
      </c>
      <c r="FA39" s="1469">
        <f t="shared" si="430"/>
        <v>-24.69535905105429</v>
      </c>
      <c r="FB39" s="1470">
        <f t="shared" si="431"/>
        <v>8.4436529848332054</v>
      </c>
      <c r="FC39" s="1470">
        <f t="shared" si="432"/>
        <v>-21.554520531001099</v>
      </c>
      <c r="FD39" s="1470">
        <f t="shared" si="433"/>
        <v>-15.037339838544938</v>
      </c>
      <c r="FE39" s="1470">
        <f t="shared" si="434"/>
        <v>-31.158315916897493</v>
      </c>
      <c r="FF39" s="1470">
        <f t="shared" si="435"/>
        <v>-16.612468460188666</v>
      </c>
      <c r="FG39" s="1470">
        <f t="shared" si="436"/>
        <v>-29.462282079996339</v>
      </c>
      <c r="FH39" s="1470">
        <f t="shared" si="437"/>
        <v>15.934933391543616</v>
      </c>
      <c r="FI39" s="1470">
        <f t="shared" si="438"/>
        <v>-20.452274037009644</v>
      </c>
      <c r="FJ39" s="1470">
        <f t="shared" si="439"/>
        <v>-28.399390653145197</v>
      </c>
      <c r="FK39" s="1470">
        <f t="shared" si="440"/>
        <v>-1.0323952591092977</v>
      </c>
      <c r="FL39" s="1470">
        <f t="shared" si="441"/>
        <v>18.576560997078097</v>
      </c>
      <c r="FM39" s="1471">
        <f t="shared" si="442"/>
        <v>-15.782757761109645</v>
      </c>
      <c r="FN39" s="1469">
        <f t="shared" si="443"/>
        <v>-13.667498164904169</v>
      </c>
      <c r="FO39" s="1470">
        <f t="shared" si="444"/>
        <v>-47.287107963729099</v>
      </c>
      <c r="FP39" s="1470">
        <f t="shared" si="445"/>
        <v>-34.588033973434385</v>
      </c>
      <c r="FQ39" s="1470">
        <f t="shared" si="446"/>
        <v>-59.679861906533873</v>
      </c>
      <c r="FR39" s="1470">
        <f t="shared" si="447"/>
        <v>-49.324246737526053</v>
      </c>
      <c r="FS39" s="1470">
        <f t="shared" si="448"/>
        <v>-60.775098724930565</v>
      </c>
      <c r="FT39" s="1470">
        <f t="shared" si="449"/>
        <v>-38.799071123008844</v>
      </c>
      <c r="FU39" s="1470">
        <f t="shared" si="450"/>
        <v>-13.463098579532529</v>
      </c>
      <c r="FV39" s="1470">
        <f t="shared" si="451"/>
        <v>-44.381426438600045</v>
      </c>
      <c r="FW39" s="1470">
        <f t="shared" si="452"/>
        <v>-20.907113836102408</v>
      </c>
      <c r="FX39" s="1470">
        <f t="shared" si="453"/>
        <v>-4.186121619994565</v>
      </c>
      <c r="FY39" s="1470">
        <f t="shared" si="454"/>
        <v>-36.874855367510307</v>
      </c>
      <c r="FZ39" s="1471">
        <f t="shared" si="455"/>
        <v>-28.937083965511835</v>
      </c>
      <c r="GA39" s="1469">
        <f t="shared" si="456"/>
        <v>-37.994101202295148</v>
      </c>
      <c r="GB39" s="1470">
        <f t="shared" si="457"/>
        <v>-37.002366450306269</v>
      </c>
      <c r="GC39" s="1470">
        <f t="shared" si="458"/>
        <v>48.661920005378413</v>
      </c>
      <c r="GD39" s="1470">
        <f t="shared" si="459"/>
        <v>75.09259197437494</v>
      </c>
      <c r="GE39" s="1470">
        <f t="shared" si="460"/>
        <v>34.329891171570658</v>
      </c>
      <c r="GF39" s="1470">
        <f t="shared" si="461"/>
        <v>-9.7687671706646722</v>
      </c>
      <c r="GG39" s="1470">
        <f t="shared" si="462"/>
        <v>-27.250790028593418</v>
      </c>
      <c r="GH39" s="1470">
        <f t="shared" si="463"/>
        <v>-31.479733009274725</v>
      </c>
      <c r="GI39" s="1470">
        <f t="shared" si="464"/>
        <v>6.048959610163962</v>
      </c>
      <c r="GJ39" s="1470">
        <f t="shared" si="465"/>
        <v>-38.786204814445369</v>
      </c>
      <c r="GK39" s="1470">
        <f t="shared" si="466"/>
        <v>-51.280354449697384</v>
      </c>
      <c r="GL39" s="1470">
        <f t="shared" si="467"/>
        <v>-21.718045834788757</v>
      </c>
      <c r="GM39" s="1471">
        <f t="shared" si="468"/>
        <v>-8.7417169182216981</v>
      </c>
      <c r="GN39" s="1469">
        <f t="shared" si="469"/>
        <v>-8.8683171509047813</v>
      </c>
      <c r="GO39" s="1470">
        <f t="shared" si="470"/>
        <v>-16.142949692824438</v>
      </c>
      <c r="GP39" s="1470">
        <f t="shared" si="471"/>
        <v>-51.210243858669926</v>
      </c>
      <c r="GQ39" s="1470">
        <f t="shared" si="472"/>
        <v>-77.755038888382742</v>
      </c>
      <c r="GR39" s="1470">
        <f t="shared" si="473"/>
        <v>-96.958548795859429</v>
      </c>
      <c r="GS39" s="1470">
        <f t="shared" si="474"/>
        <v>-64.271832359688219</v>
      </c>
      <c r="GT39" s="1470">
        <f t="shared" si="475"/>
        <v>-49.659203223997707</v>
      </c>
      <c r="GU39" s="1470">
        <f t="shared" si="476"/>
        <v>-26.923450161999117</v>
      </c>
      <c r="GV39" s="1470">
        <f t="shared" si="477"/>
        <v>-47.884777801654089</v>
      </c>
      <c r="GW39" s="1470">
        <f t="shared" si="478"/>
        <v>32.309133604079655</v>
      </c>
      <c r="GX39" s="1470">
        <f t="shared" si="479"/>
        <v>25.066806225955453</v>
      </c>
      <c r="GY39" s="1470">
        <f t="shared" si="480"/>
        <v>4.1564832227259041</v>
      </c>
      <c r="GZ39" s="1471">
        <f t="shared" si="481"/>
        <v>11.028556492176801</v>
      </c>
      <c r="HA39" s="1469">
        <f t="shared" si="482"/>
        <v>-35.802147452664265</v>
      </c>
      <c r="HB39" s="1470">
        <f t="shared" si="483"/>
        <v>-100</v>
      </c>
      <c r="HC39" s="1470">
        <f t="shared" si="484"/>
        <v>-100</v>
      </c>
      <c r="HD39" s="1470">
        <f t="shared" si="485"/>
        <v>-100</v>
      </c>
      <c r="HE39" s="1470">
        <f t="shared" si="486"/>
        <v>-100</v>
      </c>
      <c r="HF39" s="1470">
        <f t="shared" si="487"/>
        <v>-100</v>
      </c>
      <c r="HG39" s="1470">
        <f t="shared" si="488"/>
        <v>-100</v>
      </c>
      <c r="HH39" s="1470">
        <f t="shared" si="489"/>
        <v>-100</v>
      </c>
      <c r="HI39" s="1470">
        <f t="shared" si="490"/>
        <v>-100</v>
      </c>
      <c r="HJ39" s="1470">
        <f t="shared" si="491"/>
        <v>-100</v>
      </c>
      <c r="HK39" s="1470">
        <f t="shared" si="492"/>
        <v>-100</v>
      </c>
      <c r="HL39" s="1470">
        <f t="shared" si="493"/>
        <v>-100</v>
      </c>
      <c r="HM39" s="1471">
        <f t="shared" si="494"/>
        <v>-100</v>
      </c>
      <c r="HN39" s="1469">
        <f t="shared" si="495"/>
        <v>-100</v>
      </c>
      <c r="HO39" s="1470">
        <f t="shared" si="496"/>
        <v>0</v>
      </c>
      <c r="HP39" s="1470">
        <f t="shared" si="497"/>
        <v>0</v>
      </c>
      <c r="HQ39" s="1470">
        <f t="shared" si="498"/>
        <v>0</v>
      </c>
      <c r="HR39" s="1470">
        <f t="shared" si="499"/>
        <v>0</v>
      </c>
      <c r="HS39" s="1470">
        <f t="shared" si="500"/>
        <v>0</v>
      </c>
      <c r="HT39" s="1470">
        <f t="shared" si="501"/>
        <v>0</v>
      </c>
      <c r="HU39" s="1470">
        <f t="shared" si="502"/>
        <v>0</v>
      </c>
      <c r="HV39" s="1470">
        <f t="shared" si="503"/>
        <v>0</v>
      </c>
      <c r="HW39" s="1470">
        <f t="shared" si="504"/>
        <v>0</v>
      </c>
      <c r="HX39" s="1470">
        <f t="shared" si="505"/>
        <v>0</v>
      </c>
      <c r="HY39" s="1470">
        <f t="shared" si="506"/>
        <v>0</v>
      </c>
      <c r="HZ39" s="1471">
        <f t="shared" si="507"/>
        <v>0</v>
      </c>
      <c r="IA39" s="1469">
        <f t="shared" si="508"/>
        <v>0</v>
      </c>
      <c r="IB39" s="1470">
        <f t="shared" si="509"/>
        <v>0</v>
      </c>
      <c r="IC39" s="1470">
        <f t="shared" si="510"/>
        <v>0</v>
      </c>
      <c r="ID39" s="1470">
        <f t="shared" si="511"/>
        <v>0</v>
      </c>
      <c r="IE39" s="1470">
        <f t="shared" si="512"/>
        <v>0</v>
      </c>
      <c r="IF39" s="1470">
        <f t="shared" si="513"/>
        <v>0</v>
      </c>
      <c r="IG39" s="1470">
        <f t="shared" si="514"/>
        <v>0</v>
      </c>
      <c r="IH39" s="1470">
        <f t="shared" si="515"/>
        <v>0</v>
      </c>
      <c r="II39" s="1470">
        <f t="shared" si="516"/>
        <v>0</v>
      </c>
      <c r="IJ39" s="1470">
        <f t="shared" si="517"/>
        <v>0</v>
      </c>
      <c r="IK39" s="1470">
        <f t="shared" si="518"/>
        <v>0</v>
      </c>
      <c r="IL39" s="1470">
        <f t="shared" si="519"/>
        <v>0</v>
      </c>
      <c r="IM39" s="1471">
        <f t="shared" si="520"/>
        <v>0</v>
      </c>
      <c r="IN39" s="1469">
        <f t="shared" si="521"/>
        <v>0</v>
      </c>
      <c r="IO39" s="1470">
        <f t="shared" si="522"/>
        <v>0</v>
      </c>
      <c r="IP39" s="1470">
        <f t="shared" si="523"/>
        <v>0</v>
      </c>
      <c r="IQ39" s="1470">
        <f t="shared" si="524"/>
        <v>0</v>
      </c>
      <c r="IR39" s="1470">
        <f t="shared" si="525"/>
        <v>0</v>
      </c>
      <c r="IS39" s="1470">
        <f t="shared" si="526"/>
        <v>0</v>
      </c>
      <c r="IT39" s="1470">
        <f t="shared" si="527"/>
        <v>0</v>
      </c>
      <c r="IU39" s="1470">
        <f t="shared" si="528"/>
        <v>0</v>
      </c>
      <c r="IV39" s="1470">
        <f t="shared" si="529"/>
        <v>0</v>
      </c>
      <c r="IW39" s="1470">
        <f t="shared" si="530"/>
        <v>0</v>
      </c>
      <c r="IX39" s="1470">
        <f t="shared" si="531"/>
        <v>0</v>
      </c>
      <c r="IY39" s="1470">
        <f t="shared" si="532"/>
        <v>0</v>
      </c>
      <c r="IZ39" s="1471">
        <f t="shared" si="533"/>
        <v>0</v>
      </c>
      <c r="JA39" s="1469">
        <f t="shared" si="534"/>
        <v>0</v>
      </c>
      <c r="JB39" s="1470">
        <f t="shared" si="535"/>
        <v>0</v>
      </c>
      <c r="JC39" s="1470">
        <f t="shared" si="536"/>
        <v>0</v>
      </c>
      <c r="JD39" s="1470">
        <f t="shared" si="537"/>
        <v>0</v>
      </c>
      <c r="JE39" s="1470">
        <f t="shared" si="538"/>
        <v>0</v>
      </c>
      <c r="JF39" s="1470">
        <f t="shared" si="539"/>
        <v>0</v>
      </c>
      <c r="JG39" s="1470">
        <f t="shared" si="540"/>
        <v>0</v>
      </c>
      <c r="JH39" s="1470">
        <f t="shared" si="541"/>
        <v>0</v>
      </c>
      <c r="JI39" s="1470">
        <f t="shared" si="542"/>
        <v>0</v>
      </c>
      <c r="JJ39" s="1470">
        <f t="shared" si="543"/>
        <v>0</v>
      </c>
      <c r="JK39" s="1470">
        <f t="shared" si="544"/>
        <v>0</v>
      </c>
      <c r="JL39" s="1470">
        <f t="shared" si="545"/>
        <v>0</v>
      </c>
      <c r="JM39" s="1471">
        <f t="shared" si="546"/>
        <v>0</v>
      </c>
      <c r="JN39" s="1469">
        <f t="shared" si="547"/>
        <v>0</v>
      </c>
      <c r="JO39" s="1470">
        <f t="shared" si="547"/>
        <v>0</v>
      </c>
      <c r="JP39" s="1470">
        <f t="shared" si="547"/>
        <v>0</v>
      </c>
      <c r="JQ39" s="1470">
        <f t="shared" si="547"/>
        <v>0</v>
      </c>
      <c r="JR39" s="1470">
        <f t="shared" si="549"/>
        <v>0</v>
      </c>
      <c r="JS39" s="1470">
        <f t="shared" si="548"/>
        <v>0</v>
      </c>
      <c r="JT39" s="1470">
        <f t="shared" si="287"/>
        <v>0</v>
      </c>
      <c r="JU39" s="1470">
        <f t="shared" si="548"/>
        <v>0</v>
      </c>
      <c r="JV39" s="1470">
        <f t="shared" si="548"/>
        <v>0</v>
      </c>
      <c r="JW39" s="1470">
        <f t="shared" si="548"/>
        <v>0</v>
      </c>
      <c r="JX39" s="1470">
        <f t="shared" si="548"/>
        <v>0</v>
      </c>
      <c r="JY39" s="1470">
        <f t="shared" si="548"/>
        <v>0</v>
      </c>
      <c r="JZ39" s="1471">
        <f t="shared" si="548"/>
        <v>0</v>
      </c>
      <c r="KA39" s="1469">
        <f t="shared" si="548"/>
        <v>0</v>
      </c>
      <c r="KC39"/>
      <c r="KD39" s="62"/>
      <c r="KE39" s="62"/>
      <c r="KF39" s="62"/>
    </row>
    <row r="40" spans="1:292" ht="15" customHeight="1" x14ac:dyDescent="0.2">
      <c r="A40" s="1168" t="s">
        <v>254</v>
      </c>
      <c r="B40" s="1470"/>
      <c r="C40" s="1470"/>
      <c r="D40" s="1470"/>
      <c r="E40" s="1470"/>
      <c r="F40" s="1470"/>
      <c r="G40" s="1470"/>
      <c r="H40" s="1470"/>
      <c r="I40" s="1470"/>
      <c r="J40" s="1470"/>
      <c r="K40" s="1470"/>
      <c r="L40" s="1470"/>
      <c r="M40" s="1471"/>
      <c r="N40" s="1469"/>
      <c r="O40" s="1470">
        <f t="shared" si="288"/>
        <v>-15.634110787172006</v>
      </c>
      <c r="P40" s="1470">
        <f t="shared" si="289"/>
        <v>-45.704918032786892</v>
      </c>
      <c r="Q40" s="1470">
        <f t="shared" si="290"/>
        <v>-49.376640419947506</v>
      </c>
      <c r="R40" s="1470">
        <f t="shared" si="291"/>
        <v>-21.468926553672318</v>
      </c>
      <c r="S40" s="1470">
        <f t="shared" si="292"/>
        <v>-30.627615062761503</v>
      </c>
      <c r="T40" s="1470">
        <f t="shared" si="293"/>
        <v>-32.268499797816418</v>
      </c>
      <c r="U40" s="1470">
        <f t="shared" si="294"/>
        <v>-15.065681444991785</v>
      </c>
      <c r="V40" s="1470">
        <f t="shared" si="295"/>
        <v>5.5324459234608936</v>
      </c>
      <c r="W40" s="1470">
        <f t="shared" si="296"/>
        <v>4.9462365591397939</v>
      </c>
      <c r="X40" s="1470">
        <f t="shared" si="297"/>
        <v>-7.9106737320211895</v>
      </c>
      <c r="Y40" s="1470">
        <f t="shared" si="298"/>
        <v>-17.789553368660105</v>
      </c>
      <c r="Z40" s="1471">
        <f t="shared" si="299"/>
        <v>8.1599347205218997E-2</v>
      </c>
      <c r="AA40" s="1469">
        <f t="shared" si="300"/>
        <v>-19.892577493043394</v>
      </c>
      <c r="AB40" s="1470">
        <f t="shared" si="301"/>
        <v>-6.1771058315334804</v>
      </c>
      <c r="AC40" s="1470">
        <f t="shared" si="302"/>
        <v>30.676328502415462</v>
      </c>
      <c r="AD40" s="1470">
        <f t="shared" si="303"/>
        <v>86.973428386260522</v>
      </c>
      <c r="AE40" s="1470">
        <f t="shared" si="304"/>
        <v>24.737133370226914</v>
      </c>
      <c r="AF40" s="1470">
        <f t="shared" si="305"/>
        <v>29.794933655006005</v>
      </c>
      <c r="AG40" s="1470">
        <f t="shared" si="306"/>
        <v>17.07462686567165</v>
      </c>
      <c r="AH40" s="1470">
        <f t="shared" si="307"/>
        <v>59.835669405509904</v>
      </c>
      <c r="AI40" s="1470">
        <f t="shared" si="308"/>
        <v>53.803705163579039</v>
      </c>
      <c r="AJ40" s="1470">
        <f t="shared" si="309"/>
        <v>45.491803278688515</v>
      </c>
      <c r="AK40" s="1470">
        <f t="shared" si="310"/>
        <v>63.131935881627598</v>
      </c>
      <c r="AL40" s="1470">
        <f t="shared" si="311"/>
        <v>66.712707182320457</v>
      </c>
      <c r="AM40" s="1471">
        <f t="shared" si="312"/>
        <v>23.76681614349776</v>
      </c>
      <c r="AN40" s="1469">
        <f t="shared" si="313"/>
        <v>41.259390903950212</v>
      </c>
      <c r="AO40" s="1470">
        <f t="shared" si="314"/>
        <v>40.147329650092068</v>
      </c>
      <c r="AP40" s="1470">
        <f t="shared" si="315"/>
        <v>48.798521256931608</v>
      </c>
      <c r="AQ40" s="1470">
        <f t="shared" si="316"/>
        <v>2.9809358752166393</v>
      </c>
      <c r="AR40" s="1470">
        <f t="shared" si="317"/>
        <v>37.533274179236912</v>
      </c>
      <c r="AS40" s="1470">
        <f t="shared" si="318"/>
        <v>34.386617100371744</v>
      </c>
      <c r="AT40" s="1470">
        <f t="shared" si="319"/>
        <v>51.912289648138696</v>
      </c>
      <c r="AU40" s="1470">
        <f t="shared" si="320"/>
        <v>-4.1729664348352014</v>
      </c>
      <c r="AV40" s="1470">
        <f t="shared" si="321"/>
        <v>-5.1255766273705756</v>
      </c>
      <c r="AW40" s="1470">
        <f t="shared" si="322"/>
        <v>-3.1830985915492938</v>
      </c>
      <c r="AX40" s="1470">
        <f t="shared" si="323"/>
        <v>-18.442932728647008</v>
      </c>
      <c r="AY40" s="1470">
        <f t="shared" si="324"/>
        <v>0.1104667219000266</v>
      </c>
      <c r="AZ40" s="1471">
        <f t="shared" si="325"/>
        <v>-0.16469038208168918</v>
      </c>
      <c r="BA40" s="1469">
        <f t="shared" si="326"/>
        <v>9.8190032310639488</v>
      </c>
      <c r="BB40" s="1470">
        <f t="shared" si="327"/>
        <v>-9.0013140604467736</v>
      </c>
      <c r="BC40" s="1470">
        <f t="shared" si="328"/>
        <v>-15.341614906832291</v>
      </c>
      <c r="BD40" s="1470">
        <f t="shared" si="329"/>
        <v>-4.510265903736121</v>
      </c>
      <c r="BE40" s="1470">
        <f t="shared" si="330"/>
        <v>-22.612903225806448</v>
      </c>
      <c r="BF40" s="1470">
        <f t="shared" si="331"/>
        <v>-14.972337482710918</v>
      </c>
      <c r="BG40" s="1470">
        <f t="shared" si="332"/>
        <v>-5.5052030882846488</v>
      </c>
      <c r="BH40" s="1470">
        <f t="shared" si="333"/>
        <v>3.2186809719154441</v>
      </c>
      <c r="BI40" s="1470">
        <f t="shared" si="334"/>
        <v>-4.1869259859535379</v>
      </c>
      <c r="BJ40" s="1470">
        <f t="shared" si="335"/>
        <v>8.8740180389874865</v>
      </c>
      <c r="BK40" s="1470">
        <f t="shared" si="336"/>
        <v>22.335495829471739</v>
      </c>
      <c r="BL40" s="1470">
        <f t="shared" si="337"/>
        <v>13.848275862068959</v>
      </c>
      <c r="BM40" s="1471">
        <f t="shared" si="338"/>
        <v>42.692180798416345</v>
      </c>
      <c r="BN40" s="1469">
        <f t="shared" si="339"/>
        <v>1.486708152159788</v>
      </c>
      <c r="BO40" s="1470">
        <f t="shared" si="340"/>
        <v>-49.163471543554834</v>
      </c>
      <c r="BP40" s="1470">
        <f t="shared" si="341"/>
        <v>-52.491271625948499</v>
      </c>
      <c r="BQ40" s="1470">
        <f t="shared" si="342"/>
        <v>-51.788483401912004</v>
      </c>
      <c r="BR40" s="1470">
        <f t="shared" si="343"/>
        <v>-49.167376926450771</v>
      </c>
      <c r="BS40" s="1470">
        <f t="shared" si="344"/>
        <v>-45.942173500453933</v>
      </c>
      <c r="BT40" s="1470">
        <f t="shared" si="345"/>
        <v>-54.491741878719857</v>
      </c>
      <c r="BU40" s="1470">
        <f t="shared" si="346"/>
        <v>-58.896709568973414</v>
      </c>
      <c r="BV40" s="1470">
        <f t="shared" si="347"/>
        <v>-55.427396270517228</v>
      </c>
      <c r="BW40" s="1470">
        <f t="shared" si="348"/>
        <v>-60.646414228551471</v>
      </c>
      <c r="BX40" s="1470">
        <f t="shared" si="349"/>
        <v>-62.827700099459925</v>
      </c>
      <c r="BY40" s="1470">
        <f t="shared" si="350"/>
        <v>-69.406973272074168</v>
      </c>
      <c r="BZ40" s="1471">
        <f t="shared" si="351"/>
        <v>-66.135727749355567</v>
      </c>
      <c r="CA40" s="1469">
        <f t="shared" si="352"/>
        <v>-57.673170314806434</v>
      </c>
      <c r="CB40" s="1470">
        <f t="shared" si="353"/>
        <v>-38.523954417994155</v>
      </c>
      <c r="CC40" s="1470">
        <f t="shared" si="354"/>
        <v>-6.1563412260784878</v>
      </c>
      <c r="CD40" s="1470">
        <f t="shared" si="355"/>
        <v>6.8980343980344028</v>
      </c>
      <c r="CE40" s="1470">
        <f t="shared" si="356"/>
        <v>1.3021012745435767</v>
      </c>
      <c r="CF40" s="1470">
        <f t="shared" si="357"/>
        <v>1.5105549235242099</v>
      </c>
      <c r="CG40" s="1470">
        <f t="shared" si="358"/>
        <v>13.011542497376706</v>
      </c>
      <c r="CH40" s="1470">
        <f t="shared" si="359"/>
        <v>14.222333312503931</v>
      </c>
      <c r="CI40" s="1470">
        <f t="shared" si="360"/>
        <v>-7.131469869274099</v>
      </c>
      <c r="CJ40" s="1470">
        <f t="shared" si="361"/>
        <v>-10.95960748516659</v>
      </c>
      <c r="CK40" s="1470">
        <f t="shared" si="362"/>
        <v>2.0432623708692699</v>
      </c>
      <c r="CL40" s="1470">
        <f t="shared" si="363"/>
        <v>17.859994676603684</v>
      </c>
      <c r="CM40" s="1471">
        <f t="shared" si="364"/>
        <v>1.6004130098089986</v>
      </c>
      <c r="CN40" s="1469">
        <f t="shared" si="365"/>
        <v>-0.78269814433830076</v>
      </c>
      <c r="CO40" s="1470">
        <f t="shared" si="366"/>
        <v>65.77559135610764</v>
      </c>
      <c r="CP40" s="1470">
        <f t="shared" si="367"/>
        <v>15.677858887506325</v>
      </c>
      <c r="CQ40" s="1470">
        <f t="shared" si="368"/>
        <v>-5.8620329828190769</v>
      </c>
      <c r="CR40" s="1470">
        <f t="shared" si="369"/>
        <v>12.388890097932537</v>
      </c>
      <c r="CS40" s="1470">
        <f t="shared" si="370"/>
        <v>2.366935226117084</v>
      </c>
      <c r="CT40" s="1470">
        <f t="shared" si="371"/>
        <v>3.4990467347570275</v>
      </c>
      <c r="CU40" s="1470">
        <f t="shared" si="372"/>
        <v>-11.636748910407235</v>
      </c>
      <c r="CV40" s="1470">
        <f t="shared" si="373"/>
        <v>-4.3073548485542119</v>
      </c>
      <c r="CW40" s="1470">
        <f t="shared" si="374"/>
        <v>2.522937143589421</v>
      </c>
      <c r="CX40" s="1470">
        <f t="shared" si="375"/>
        <v>2.4765076346551673</v>
      </c>
      <c r="CY40" s="1470">
        <f t="shared" si="376"/>
        <v>-15.178715748268612</v>
      </c>
      <c r="CZ40" s="1471">
        <f t="shared" si="377"/>
        <v>-3.8284424872026546</v>
      </c>
      <c r="DA40" s="1469">
        <f t="shared" si="378"/>
        <v>2.7819565615349928</v>
      </c>
      <c r="DB40" s="1470">
        <f t="shared" si="379"/>
        <v>-20.838412344908285</v>
      </c>
      <c r="DC40" s="1470">
        <f t="shared" si="380"/>
        <v>-4.2306728721291709</v>
      </c>
      <c r="DD40" s="1470">
        <f t="shared" si="381"/>
        <v>-38.716328284763293</v>
      </c>
      <c r="DE40" s="1470">
        <f t="shared" si="382"/>
        <v>11.408544809677345</v>
      </c>
      <c r="DF40" s="1470">
        <f t="shared" si="383"/>
        <v>25.210193078829501</v>
      </c>
      <c r="DG40" s="1470">
        <f t="shared" si="384"/>
        <v>8.9097180302879053</v>
      </c>
      <c r="DH40" s="1470">
        <f t="shared" si="385"/>
        <v>34.819896319438314</v>
      </c>
      <c r="DI40" s="1470">
        <f t="shared" si="386"/>
        <v>41.126902391760467</v>
      </c>
      <c r="DJ40" s="1470">
        <f t="shared" si="387"/>
        <v>53.342766055011339</v>
      </c>
      <c r="DK40" s="1470">
        <f t="shared" si="388"/>
        <v>40.06285024308891</v>
      </c>
      <c r="DL40" s="1470">
        <f t="shared" si="389"/>
        <v>53.306018462006421</v>
      </c>
      <c r="DM40" s="1471">
        <f t="shared" si="390"/>
        <v>37.883816150622309</v>
      </c>
      <c r="DN40" s="1469">
        <f t="shared" si="391"/>
        <v>19.898494493748011</v>
      </c>
      <c r="DO40" s="1470">
        <f t="shared" si="392"/>
        <v>83.671054577725144</v>
      </c>
      <c r="DP40" s="1470">
        <f t="shared" si="393"/>
        <v>54.024709846499434</v>
      </c>
      <c r="DQ40" s="1470">
        <f t="shared" si="394"/>
        <v>112.65936254980078</v>
      </c>
      <c r="DR40" s="1470">
        <f t="shared" si="395"/>
        <v>10.656672641355701</v>
      </c>
      <c r="DS40" s="1470">
        <f t="shared" si="396"/>
        <v>13.392596910521704</v>
      </c>
      <c r="DT40" s="1470">
        <f t="shared" si="397"/>
        <v>14.312191103789118</v>
      </c>
      <c r="DU40" s="1470">
        <f t="shared" si="398"/>
        <v>16.775349008082287</v>
      </c>
      <c r="DV40" s="1470">
        <f t="shared" si="399"/>
        <v>2.2274705874044676</v>
      </c>
      <c r="DW40" s="1470">
        <f t="shared" si="400"/>
        <v>9.830453211607427</v>
      </c>
      <c r="DX40" s="1470">
        <f t="shared" si="401"/>
        <v>6.1335827293274026</v>
      </c>
      <c r="DY40" s="1470">
        <f t="shared" si="402"/>
        <v>24.114275790204953</v>
      </c>
      <c r="DZ40" s="1471">
        <f t="shared" si="403"/>
        <v>16.238770383616497</v>
      </c>
      <c r="EA40" s="1469">
        <f t="shared" si="404"/>
        <v>23.454394711158688</v>
      </c>
      <c r="EB40" s="1470">
        <f t="shared" si="405"/>
        <v>-1.0468674504751085</v>
      </c>
      <c r="EC40" s="1470">
        <f t="shared" si="406"/>
        <v>-11.130227407767524</v>
      </c>
      <c r="ED40" s="1470">
        <f t="shared" si="407"/>
        <v>14.378717624467253</v>
      </c>
      <c r="EE40" s="1470">
        <f t="shared" si="408"/>
        <v>-2.5376724095616754</v>
      </c>
      <c r="EF40" s="1470">
        <f t="shared" si="409"/>
        <v>-8.1154721615330772</v>
      </c>
      <c r="EG40" s="1470">
        <f t="shared" si="410"/>
        <v>-2.5580976400648492</v>
      </c>
      <c r="EH40" s="1470">
        <f t="shared" si="411"/>
        <v>-16.115458728223675</v>
      </c>
      <c r="EI40" s="1470">
        <f t="shared" si="412"/>
        <v>8.129144197558368</v>
      </c>
      <c r="EJ40" s="1470">
        <f t="shared" si="413"/>
        <v>-4.0745138785809658</v>
      </c>
      <c r="EK40" s="1470">
        <f t="shared" si="414"/>
        <v>0.60948744309003988</v>
      </c>
      <c r="EL40" s="1470">
        <f t="shared" si="415"/>
        <v>-1.2278737843699816</v>
      </c>
      <c r="EM40" s="1471">
        <f t="shared" si="416"/>
        <v>-9.3110142485623442</v>
      </c>
      <c r="EN40" s="1469">
        <f t="shared" si="417"/>
        <v>-2.9952614751366347</v>
      </c>
      <c r="EO40" s="1470">
        <f t="shared" si="418"/>
        <v>15.00244140625</v>
      </c>
      <c r="EP40" s="1470">
        <f t="shared" si="419"/>
        <v>18.710203902018051</v>
      </c>
      <c r="EQ40" s="1470">
        <f t="shared" si="420"/>
        <v>-7.0390237909995541</v>
      </c>
      <c r="ER40" s="1470">
        <f t="shared" si="421"/>
        <v>7.020547945205502</v>
      </c>
      <c r="ES40" s="1470">
        <f t="shared" si="422"/>
        <v>6.5337332888901534</v>
      </c>
      <c r="ET40" s="1470">
        <f t="shared" si="423"/>
        <v>4.1874653355518543</v>
      </c>
      <c r="EU40" s="1470">
        <f t="shared" si="424"/>
        <v>6.6100979794665005</v>
      </c>
      <c r="EV40" s="1470">
        <f t="shared" si="425"/>
        <v>-4.2931616068690781</v>
      </c>
      <c r="EW40" s="1470">
        <f t="shared" si="426"/>
        <v>-16.166344294003864</v>
      </c>
      <c r="EX40" s="1470">
        <f t="shared" si="427"/>
        <v>-19.232026859353311</v>
      </c>
      <c r="EY40" s="1470">
        <f t="shared" si="428"/>
        <v>-17.648308836550374</v>
      </c>
      <c r="EZ40" s="1471">
        <f t="shared" si="429"/>
        <v>-6.0501231875277561</v>
      </c>
      <c r="FA40" s="1469">
        <f t="shared" si="430"/>
        <v>-2.0401147363479866</v>
      </c>
      <c r="FB40" s="1470">
        <f t="shared" si="431"/>
        <v>-14.881647383504914</v>
      </c>
      <c r="FC40" s="1470">
        <f t="shared" si="432"/>
        <v>-16.934833531738391</v>
      </c>
      <c r="FD40" s="1470">
        <f t="shared" si="433"/>
        <v>13.39529556867236</v>
      </c>
      <c r="FE40" s="1470">
        <f t="shared" si="434"/>
        <v>-0.1788235294117646</v>
      </c>
      <c r="FF40" s="1470">
        <f t="shared" si="435"/>
        <v>1.4879649890590763</v>
      </c>
      <c r="FG40" s="1470">
        <f t="shared" si="436"/>
        <v>-6.2461183568449758</v>
      </c>
      <c r="FH40" s="1470">
        <f t="shared" si="437"/>
        <v>-0.131920320126655</v>
      </c>
      <c r="FI40" s="1470">
        <f t="shared" si="438"/>
        <v>0.88913809676385291</v>
      </c>
      <c r="FJ40" s="1470">
        <f t="shared" si="439"/>
        <v>16.985833602510269</v>
      </c>
      <c r="FK40" s="1470">
        <f t="shared" si="440"/>
        <v>28.524076406874354</v>
      </c>
      <c r="FL40" s="1470">
        <f t="shared" si="441"/>
        <v>-0.73111990366420132</v>
      </c>
      <c r="FM40" s="1471">
        <f t="shared" si="442"/>
        <v>7.3769240855421137</v>
      </c>
      <c r="FN40" s="1469">
        <f t="shared" si="443"/>
        <v>1.7931815921783834</v>
      </c>
      <c r="FO40" s="1470">
        <f t="shared" si="444"/>
        <v>-11.551731304817736</v>
      </c>
      <c r="FP40" s="1470">
        <f t="shared" si="445"/>
        <v>2.2560214506957443</v>
      </c>
      <c r="FQ40" s="1470">
        <f t="shared" si="446"/>
        <v>-24.861127296740847</v>
      </c>
      <c r="FR40" s="1470">
        <f t="shared" si="447"/>
        <v>-9.669055251744286</v>
      </c>
      <c r="FS40" s="1470">
        <f t="shared" si="448"/>
        <v>-20.099180681328164</v>
      </c>
      <c r="FT40" s="1470">
        <f t="shared" si="449"/>
        <v>-3.6150279171004218</v>
      </c>
      <c r="FU40" s="1470">
        <f t="shared" si="450"/>
        <v>5.5391660428867118</v>
      </c>
      <c r="FV40" s="1470">
        <f t="shared" si="451"/>
        <v>1.5085351329892971</v>
      </c>
      <c r="FW40" s="1470">
        <f t="shared" si="452"/>
        <v>2.863679394130636</v>
      </c>
      <c r="FX40" s="1470">
        <f t="shared" si="453"/>
        <v>-12.262260502724565</v>
      </c>
      <c r="FY40" s="1470">
        <f t="shared" si="454"/>
        <v>13.538688155272505</v>
      </c>
      <c r="FZ40" s="1471">
        <f t="shared" si="455"/>
        <v>1.2251271169476219</v>
      </c>
      <c r="GA40" s="1469">
        <f t="shared" si="456"/>
        <v>-4.8339169375427264</v>
      </c>
      <c r="GB40" s="1470">
        <f t="shared" si="457"/>
        <v>5.2307547701851531</v>
      </c>
      <c r="GC40" s="1470">
        <f t="shared" si="458"/>
        <v>13.187757131877586</v>
      </c>
      <c r="GD40" s="1470">
        <f t="shared" si="459"/>
        <v>16.853642144445182</v>
      </c>
      <c r="GE40" s="1470">
        <f t="shared" si="460"/>
        <v>7.4682949741662563</v>
      </c>
      <c r="GF40" s="1470">
        <f t="shared" si="461"/>
        <v>27.119650277942675</v>
      </c>
      <c r="GG40" s="1470">
        <f t="shared" si="462"/>
        <v>18.541973490427122</v>
      </c>
      <c r="GH40" s="1470">
        <f t="shared" si="463"/>
        <v>-8.3107346989861774</v>
      </c>
      <c r="GI40" s="1470">
        <f t="shared" si="464"/>
        <v>7.1646460696128011</v>
      </c>
      <c r="GJ40" s="1470">
        <f t="shared" si="465"/>
        <v>4.310146483626065</v>
      </c>
      <c r="GK40" s="1470">
        <f t="shared" si="466"/>
        <v>18.067075369635788</v>
      </c>
      <c r="GL40" s="1470">
        <f t="shared" si="467"/>
        <v>7.99023161750676</v>
      </c>
      <c r="GM40" s="1471">
        <f t="shared" si="468"/>
        <v>12.328442036150754</v>
      </c>
      <c r="GN40" s="1469">
        <f t="shared" si="469"/>
        <v>10.337384191392051</v>
      </c>
      <c r="GO40" s="1470">
        <f t="shared" si="470"/>
        <v>14.916707605734469</v>
      </c>
      <c r="GP40" s="1470">
        <f t="shared" si="471"/>
        <v>-10.520849976034508</v>
      </c>
      <c r="GQ40" s="1470">
        <f t="shared" si="472"/>
        <v>-41.653762774852986</v>
      </c>
      <c r="GR40" s="1470">
        <f t="shared" si="473"/>
        <v>-100</v>
      </c>
      <c r="GS40" s="1470">
        <f t="shared" si="474"/>
        <v>-68.990405026747055</v>
      </c>
      <c r="GT40" s="1470">
        <f t="shared" si="475"/>
        <v>-43.367706133267077</v>
      </c>
      <c r="GU40" s="1470">
        <f t="shared" si="476"/>
        <v>17.09514492423898</v>
      </c>
      <c r="GV40" s="1470">
        <f t="shared" si="477"/>
        <v>7.4958032260418861</v>
      </c>
      <c r="GW40" s="1470">
        <f t="shared" si="478"/>
        <v>14.682743915888508</v>
      </c>
      <c r="GX40" s="1470">
        <f t="shared" si="479"/>
        <v>5.8711735559627831</v>
      </c>
      <c r="GY40" s="1470">
        <f t="shared" si="480"/>
        <v>7.1304900886894451</v>
      </c>
      <c r="GZ40" s="1471">
        <f t="shared" si="481"/>
        <v>10.975352112676063</v>
      </c>
      <c r="HA40" s="1469">
        <f t="shared" si="482"/>
        <v>-5.1683671112310865</v>
      </c>
      <c r="HB40" s="1470">
        <f t="shared" si="483"/>
        <v>22.77408573316233</v>
      </c>
      <c r="HC40" s="1470">
        <f t="shared" si="484"/>
        <v>34.090706186947585</v>
      </c>
      <c r="HD40" s="1470">
        <f t="shared" si="485"/>
        <v>125.43979375189571</v>
      </c>
      <c r="HE40" s="1470">
        <f t="shared" si="486"/>
        <v>0</v>
      </c>
      <c r="HF40" s="1470">
        <f t="shared" si="487"/>
        <v>308.65279299014236</v>
      </c>
      <c r="HG40" s="1470">
        <f t="shared" si="488"/>
        <v>117.41133455210245</v>
      </c>
      <c r="HH40" s="1470">
        <f t="shared" si="489"/>
        <v>13.923214424496756</v>
      </c>
      <c r="HI40" s="1470">
        <f t="shared" si="490"/>
        <v>-5.9105105920695067</v>
      </c>
      <c r="HJ40" s="1470">
        <f t="shared" si="491"/>
        <v>-9.2832414412104001</v>
      </c>
      <c r="HK40" s="1470">
        <f t="shared" si="492"/>
        <v>-4.3851775868701033</v>
      </c>
      <c r="HL40" s="1470">
        <f t="shared" si="493"/>
        <v>-20.558065899271082</v>
      </c>
      <c r="HM40" s="1471">
        <f t="shared" si="494"/>
        <v>-22.993939778532223</v>
      </c>
      <c r="HN40" s="1469">
        <f t="shared" si="495"/>
        <v>18.359200870147774</v>
      </c>
      <c r="HO40" s="1470">
        <f t="shared" si="496"/>
        <v>-12.766294197714533</v>
      </c>
      <c r="HP40" s="1470">
        <f t="shared" si="497"/>
        <v>-13.399247644728508</v>
      </c>
      <c r="HQ40" s="1470">
        <f t="shared" si="498"/>
        <v>-16.195217113450621</v>
      </c>
      <c r="HR40" s="1470">
        <f t="shared" si="499"/>
        <v>-0.95006816632581259</v>
      </c>
      <c r="HS40" s="1470">
        <f t="shared" si="500"/>
        <v>-22.614580541409811</v>
      </c>
      <c r="HT40" s="1470">
        <f t="shared" si="501"/>
        <v>-10.147657327368742</v>
      </c>
      <c r="HU40" s="1470">
        <f t="shared" si="502"/>
        <v>-15.765596752737332</v>
      </c>
      <c r="HV40" s="1470">
        <f t="shared" si="503"/>
        <v>-2.4138553130073959</v>
      </c>
      <c r="HW40" s="1470">
        <f t="shared" si="504"/>
        <v>-11.445229681978809</v>
      </c>
      <c r="HX40" s="1470">
        <f t="shared" si="505"/>
        <v>-9.9973179562826928</v>
      </c>
      <c r="HY40" s="1470">
        <f t="shared" si="506"/>
        <v>14.074566138005483</v>
      </c>
      <c r="HZ40" s="1471">
        <f t="shared" si="507"/>
        <v>1.145447053976123</v>
      </c>
      <c r="IA40" s="1469">
        <f t="shared" si="508"/>
        <v>-9.0868469022987171</v>
      </c>
      <c r="IB40" s="1470">
        <f t="shared" si="509"/>
        <v>-6.7224544596850455</v>
      </c>
      <c r="IC40" s="1470">
        <f t="shared" si="510"/>
        <v>2.0449104328438272</v>
      </c>
      <c r="ID40" s="1470">
        <f t="shared" si="511"/>
        <v>-0.58152592711510076</v>
      </c>
      <c r="IE40" s="1470">
        <f t="shared" si="512"/>
        <v>-18.845477224826869</v>
      </c>
      <c r="IF40" s="1470">
        <f t="shared" si="513"/>
        <v>-19.842055589228515</v>
      </c>
      <c r="IG40" s="1470">
        <f t="shared" si="514"/>
        <v>-24.02994310099573</v>
      </c>
      <c r="IH40" s="1470">
        <f t="shared" si="515"/>
        <v>6.6316177363838991</v>
      </c>
      <c r="II40" s="1470">
        <f t="shared" si="516"/>
        <v>-2.3604673519189601</v>
      </c>
      <c r="IJ40" s="1470">
        <f t="shared" si="517"/>
        <v>-3.5588484098798778</v>
      </c>
      <c r="IK40" s="1470">
        <f t="shared" si="518"/>
        <v>-57.152395142665583</v>
      </c>
      <c r="IL40" s="1470">
        <f t="shared" si="519"/>
        <v>-58.505062600087356</v>
      </c>
      <c r="IM40" s="1471">
        <f t="shared" si="520"/>
        <v>-2.1931644125794403</v>
      </c>
      <c r="IN40" s="1469">
        <f t="shared" si="521"/>
        <v>-15.851241939841366</v>
      </c>
      <c r="IO40" s="1470">
        <f t="shared" si="522"/>
        <v>-1.3280231185431091</v>
      </c>
      <c r="IP40" s="1470">
        <f t="shared" si="523"/>
        <v>-3.8176388628281988</v>
      </c>
      <c r="IQ40" s="1470">
        <f t="shared" si="524"/>
        <v>0.70447396638351201</v>
      </c>
      <c r="IR40" s="1470">
        <f t="shared" si="525"/>
        <v>-85.897507448609701</v>
      </c>
      <c r="IS40" s="1470">
        <f t="shared" si="526"/>
        <v>38.517728603401345</v>
      </c>
      <c r="IT40" s="1470">
        <f t="shared" si="527"/>
        <v>24.264819466380306</v>
      </c>
      <c r="IU40" s="1470">
        <f t="shared" si="528"/>
        <v>11.541116327021506</v>
      </c>
      <c r="IV40" s="1470">
        <f t="shared" si="529"/>
        <v>13.032738923373088</v>
      </c>
      <c r="IW40" s="1470">
        <f t="shared" si="530"/>
        <v>13.771152665610398</v>
      </c>
      <c r="IX40" s="1470">
        <f t="shared" si="531"/>
        <v>154.78092941690718</v>
      </c>
      <c r="IY40" s="1470">
        <f t="shared" si="532"/>
        <v>137.48669541990898</v>
      </c>
      <c r="IZ40" s="1471">
        <f t="shared" si="533"/>
        <v>10.844997892928077</v>
      </c>
      <c r="JA40" s="1469">
        <f t="shared" si="534"/>
        <v>15.689571516702983</v>
      </c>
      <c r="JB40" s="1470">
        <f t="shared" si="535"/>
        <v>5.3058539795171944</v>
      </c>
      <c r="JC40" s="1470">
        <f t="shared" si="536"/>
        <v>-1.0053604550179118</v>
      </c>
      <c r="JD40" s="1470">
        <f t="shared" si="537"/>
        <v>-1.9192673276860361</v>
      </c>
      <c r="JE40" s="1470">
        <f t="shared" si="538"/>
        <v>832.32767525008933</v>
      </c>
      <c r="JF40" s="1470">
        <f t="shared" si="539"/>
        <v>0.65548809991391455</v>
      </c>
      <c r="JG40" s="1470">
        <f t="shared" si="540"/>
        <v>2.3612019423672415</v>
      </c>
      <c r="JH40" s="1470">
        <f t="shared" si="541"/>
        <v>-1.2184516717603566</v>
      </c>
      <c r="JI40" s="1470">
        <f t="shared" si="542"/>
        <v>3.2324594216339042</v>
      </c>
      <c r="JJ40" s="1470">
        <f t="shared" si="543"/>
        <v>19.030809634841205</v>
      </c>
      <c r="JK40" s="1470">
        <f t="shared" si="544"/>
        <v>13.329411493695243</v>
      </c>
      <c r="JL40" s="1470">
        <f t="shared" si="545"/>
        <v>13.964994807988674</v>
      </c>
      <c r="JM40" s="1471">
        <f t="shared" si="546"/>
        <v>17.651231059164996</v>
      </c>
      <c r="JN40" s="1469">
        <f t="shared" si="547"/>
        <v>13.957876878620423</v>
      </c>
      <c r="JO40" s="1470">
        <f t="shared" si="547"/>
        <v>7.7893633762906367</v>
      </c>
      <c r="JP40" s="1470">
        <f t="shared" si="547"/>
        <v>6.2330195605827532</v>
      </c>
      <c r="JQ40" s="1470">
        <f t="shared" si="547"/>
        <v>21.464514888630639</v>
      </c>
      <c r="JR40" s="1470">
        <f t="shared" si="549"/>
        <v>9.7406973223162829</v>
      </c>
      <c r="JS40" s="1470">
        <f t="shared" si="548"/>
        <v>-5.6073996852500692</v>
      </c>
      <c r="JT40" s="1470">
        <f t="shared" si="287"/>
        <v>22.213813401746997</v>
      </c>
      <c r="JU40" s="1470">
        <f t="shared" si="548"/>
        <v>13.072779102626342</v>
      </c>
      <c r="JV40" s="1470">
        <f t="shared" si="548"/>
        <v>6.6332852239109785</v>
      </c>
      <c r="JW40" s="1470">
        <f t="shared" si="548"/>
        <v>-100</v>
      </c>
      <c r="JX40" s="1470">
        <f t="shared" si="548"/>
        <v>-100</v>
      </c>
      <c r="JY40" s="1470">
        <f t="shared" si="548"/>
        <v>-100</v>
      </c>
      <c r="JZ40" s="1471">
        <f t="shared" si="548"/>
        <v>-100</v>
      </c>
      <c r="KA40" s="1469">
        <f t="shared" si="548"/>
        <v>3.0565863546852201</v>
      </c>
      <c r="KC40"/>
      <c r="KD40" s="62"/>
      <c r="KE40" s="62"/>
      <c r="KF40" s="62"/>
    </row>
    <row r="41" spans="1:292" ht="15" customHeight="1" x14ac:dyDescent="0.2">
      <c r="A41" s="1313"/>
      <c r="B41" s="1470"/>
      <c r="C41" s="1470"/>
      <c r="D41" s="1470"/>
      <c r="E41" s="1470"/>
      <c r="F41" s="1470"/>
      <c r="G41" s="1470"/>
      <c r="H41" s="1470"/>
      <c r="I41" s="1470"/>
      <c r="J41" s="1470"/>
      <c r="K41" s="1470"/>
      <c r="L41" s="1470"/>
      <c r="M41" s="1471"/>
      <c r="N41" s="1472"/>
      <c r="O41" s="1470"/>
      <c r="P41" s="1470"/>
      <c r="Q41" s="1470"/>
      <c r="R41" s="1470"/>
      <c r="S41" s="1470"/>
      <c r="T41" s="1470"/>
      <c r="U41" s="1470"/>
      <c r="V41" s="1470"/>
      <c r="W41" s="1470"/>
      <c r="X41" s="1470"/>
      <c r="Y41" s="1470"/>
      <c r="Z41" s="1471"/>
      <c r="AA41" s="1472"/>
      <c r="AB41" s="1470"/>
      <c r="AC41" s="1470"/>
      <c r="AD41" s="1470"/>
      <c r="AE41" s="1470"/>
      <c r="AF41" s="1470"/>
      <c r="AG41" s="1470"/>
      <c r="AH41" s="1470"/>
      <c r="AI41" s="1470"/>
      <c r="AJ41" s="1470"/>
      <c r="AK41" s="1470"/>
      <c r="AL41" s="1470"/>
      <c r="AM41" s="1471"/>
      <c r="AN41" s="1472"/>
      <c r="AO41" s="1470"/>
      <c r="AP41" s="1470"/>
      <c r="AQ41" s="1470"/>
      <c r="AR41" s="1470"/>
      <c r="AS41" s="1470"/>
      <c r="AT41" s="1470"/>
      <c r="AU41" s="1470"/>
      <c r="AV41" s="1470"/>
      <c r="AW41" s="1470"/>
      <c r="AX41" s="1470"/>
      <c r="AY41" s="1470"/>
      <c r="AZ41" s="1471"/>
      <c r="BA41" s="1472"/>
      <c r="BB41" s="1470"/>
      <c r="BC41" s="1470"/>
      <c r="BD41" s="1470"/>
      <c r="BE41" s="1470"/>
      <c r="BF41" s="1470"/>
      <c r="BG41" s="1470"/>
      <c r="BH41" s="1470"/>
      <c r="BI41" s="1470"/>
      <c r="BJ41" s="1470"/>
      <c r="BK41" s="1470"/>
      <c r="BL41" s="1470"/>
      <c r="BM41" s="1471"/>
      <c r="BN41" s="1472"/>
      <c r="BO41" s="1470"/>
      <c r="BP41" s="1470"/>
      <c r="BQ41" s="1470"/>
      <c r="BR41" s="1470"/>
      <c r="BS41" s="1470"/>
      <c r="BT41" s="1470"/>
      <c r="BU41" s="1470"/>
      <c r="BV41" s="1470"/>
      <c r="BW41" s="1470"/>
      <c r="BX41" s="1470"/>
      <c r="BY41" s="1470"/>
      <c r="BZ41" s="1471"/>
      <c r="CA41" s="1472"/>
      <c r="CB41" s="1470"/>
      <c r="CC41" s="1470"/>
      <c r="CD41" s="1470"/>
      <c r="CE41" s="1470"/>
      <c r="CF41" s="1470"/>
      <c r="CG41" s="1470"/>
      <c r="CH41" s="1470"/>
      <c r="CI41" s="1470"/>
      <c r="CJ41" s="1470"/>
      <c r="CK41" s="1470"/>
      <c r="CL41" s="1470"/>
      <c r="CM41" s="1471"/>
      <c r="CN41" s="1472"/>
      <c r="CO41" s="1470"/>
      <c r="CP41" s="1470"/>
      <c r="CQ41" s="1470"/>
      <c r="CR41" s="1470"/>
      <c r="CS41" s="1470"/>
      <c r="CT41" s="1470"/>
      <c r="CU41" s="1470"/>
      <c r="CV41" s="1470"/>
      <c r="CW41" s="1470"/>
      <c r="CX41" s="1470"/>
      <c r="CY41" s="1470"/>
      <c r="CZ41" s="1471"/>
      <c r="DA41" s="1472"/>
      <c r="DB41" s="1470"/>
      <c r="DC41" s="1470"/>
      <c r="DD41" s="1470"/>
      <c r="DE41" s="1470"/>
      <c r="DF41" s="1470"/>
      <c r="DG41" s="1470"/>
      <c r="DH41" s="1470"/>
      <c r="DI41" s="1470"/>
      <c r="DJ41" s="1470"/>
      <c r="DK41" s="1470"/>
      <c r="DL41" s="1470"/>
      <c r="DM41" s="1471"/>
      <c r="DN41" s="1472"/>
      <c r="DO41" s="1470"/>
      <c r="DP41" s="1470"/>
      <c r="DQ41" s="1470"/>
      <c r="DR41" s="1470"/>
      <c r="DS41" s="1470"/>
      <c r="DT41" s="1470"/>
      <c r="DU41" s="1470"/>
      <c r="DV41" s="1470"/>
      <c r="DW41" s="1470"/>
      <c r="DX41" s="1470"/>
      <c r="DY41" s="1470"/>
      <c r="DZ41" s="1471"/>
      <c r="EA41" s="1472"/>
      <c r="EB41" s="1470"/>
      <c r="EC41" s="1470"/>
      <c r="ED41" s="1470"/>
      <c r="EE41" s="1470"/>
      <c r="EF41" s="1470"/>
      <c r="EG41" s="1470"/>
      <c r="EH41" s="1470"/>
      <c r="EI41" s="1470"/>
      <c r="EJ41" s="1470"/>
      <c r="EK41" s="1470"/>
      <c r="EL41" s="1470"/>
      <c r="EM41" s="1471"/>
      <c r="EN41" s="1472"/>
      <c r="EO41" s="1470"/>
      <c r="EP41" s="1470"/>
      <c r="EQ41" s="1470"/>
      <c r="ER41" s="1470"/>
      <c r="ES41" s="1470"/>
      <c r="ET41" s="1470"/>
      <c r="EU41" s="1470"/>
      <c r="EV41" s="1470"/>
      <c r="EW41" s="1470"/>
      <c r="EX41" s="1470"/>
      <c r="EY41" s="1470"/>
      <c r="EZ41" s="1471"/>
      <c r="FA41" s="1472"/>
      <c r="FB41" s="1470"/>
      <c r="FC41" s="1470"/>
      <c r="FD41" s="1470"/>
      <c r="FE41" s="1470"/>
      <c r="FF41" s="1470"/>
      <c r="FG41" s="1470"/>
      <c r="FH41" s="1470"/>
      <c r="FI41" s="1470"/>
      <c r="FJ41" s="1470"/>
      <c r="FK41" s="1470"/>
      <c r="FL41" s="1470"/>
      <c r="FM41" s="1471"/>
      <c r="FN41" s="1472"/>
      <c r="FO41" s="1470"/>
      <c r="FP41" s="1470"/>
      <c r="FQ41" s="1470"/>
      <c r="FR41" s="1470"/>
      <c r="FS41" s="1470"/>
      <c r="FT41" s="1470"/>
      <c r="FU41" s="1470"/>
      <c r="FV41" s="1470"/>
      <c r="FW41" s="1470"/>
      <c r="FX41" s="1470"/>
      <c r="FY41" s="1470"/>
      <c r="FZ41" s="1471"/>
      <c r="GA41" s="1472"/>
      <c r="GB41" s="1470"/>
      <c r="GC41" s="1470"/>
      <c r="GD41" s="1470"/>
      <c r="GE41" s="1470"/>
      <c r="GF41" s="1470"/>
      <c r="GG41" s="1470"/>
      <c r="GH41" s="1470"/>
      <c r="GI41" s="1470"/>
      <c r="GJ41" s="1470"/>
      <c r="GK41" s="1470"/>
      <c r="GL41" s="1470"/>
      <c r="GM41" s="1471"/>
      <c r="GN41" s="1472"/>
      <c r="GO41" s="1470"/>
      <c r="GP41" s="1470"/>
      <c r="GQ41" s="1470"/>
      <c r="GR41" s="1470"/>
      <c r="GS41" s="1470"/>
      <c r="GT41" s="1470"/>
      <c r="GU41" s="1470"/>
      <c r="GV41" s="1470"/>
      <c r="GW41" s="1470"/>
      <c r="GX41" s="1470"/>
      <c r="GY41" s="1470"/>
      <c r="GZ41" s="1471"/>
      <c r="HA41" s="1472"/>
      <c r="HB41" s="1470"/>
      <c r="HC41" s="1470"/>
      <c r="HD41" s="1470"/>
      <c r="HE41" s="1470"/>
      <c r="HF41" s="1470"/>
      <c r="HG41" s="1470"/>
      <c r="HH41" s="1470"/>
      <c r="HI41" s="1470"/>
      <c r="HJ41" s="1470"/>
      <c r="HK41" s="1470"/>
      <c r="HL41" s="1470"/>
      <c r="HM41" s="1471"/>
      <c r="HN41" s="1472"/>
      <c r="HO41" s="1470"/>
      <c r="HP41" s="1470"/>
      <c r="HQ41" s="1470"/>
      <c r="HR41" s="1470"/>
      <c r="HS41" s="1470"/>
      <c r="HT41" s="1470"/>
      <c r="HU41" s="1470"/>
      <c r="HV41" s="1470"/>
      <c r="HW41" s="1470"/>
      <c r="HX41" s="1470"/>
      <c r="HY41" s="1470"/>
      <c r="HZ41" s="1471"/>
      <c r="IA41" s="1472"/>
      <c r="IB41" s="1470"/>
      <c r="IC41" s="1470"/>
      <c r="ID41" s="1470"/>
      <c r="IE41" s="1470"/>
      <c r="IF41" s="1470"/>
      <c r="IG41" s="1470"/>
      <c r="IH41" s="1470"/>
      <c r="II41" s="1470"/>
      <c r="IJ41" s="1470"/>
      <c r="IK41" s="1470"/>
      <c r="IL41" s="1470"/>
      <c r="IM41" s="1471"/>
      <c r="IN41" s="1472"/>
      <c r="IO41" s="1470"/>
      <c r="IP41" s="1470"/>
      <c r="IQ41" s="1470"/>
      <c r="IR41" s="1470"/>
      <c r="IS41" s="1470"/>
      <c r="IT41" s="1470"/>
      <c r="IU41" s="1470"/>
      <c r="IV41" s="1470"/>
      <c r="IW41" s="1470"/>
      <c r="IX41" s="1470"/>
      <c r="IY41" s="1470"/>
      <c r="IZ41" s="1471"/>
      <c r="JA41" s="1472"/>
      <c r="JB41" s="1470"/>
      <c r="JC41" s="1470"/>
      <c r="JD41" s="1470"/>
      <c r="JE41" s="1470"/>
      <c r="JF41" s="1470"/>
      <c r="JG41" s="1470"/>
      <c r="JH41" s="1470"/>
      <c r="JI41" s="1470"/>
      <c r="JJ41" s="1470"/>
      <c r="JK41" s="1470"/>
      <c r="JL41" s="1470"/>
      <c r="JM41" s="1471"/>
      <c r="JN41" s="1472"/>
      <c r="JO41" s="1470"/>
      <c r="JP41" s="1470"/>
      <c r="JQ41" s="1470"/>
      <c r="JR41" s="1470"/>
      <c r="JS41" s="1470"/>
      <c r="JT41" s="1470">
        <f t="shared" si="287"/>
        <v>0</v>
      </c>
      <c r="JU41" s="1470"/>
      <c r="JV41" s="1470"/>
      <c r="JW41" s="1470"/>
      <c r="JX41" s="1470"/>
      <c r="JY41" s="1470"/>
      <c r="JZ41" s="1471"/>
      <c r="KA41" s="1472"/>
      <c r="KC41"/>
      <c r="KD41" s="62"/>
      <c r="KE41" s="62"/>
      <c r="KF41" s="62"/>
    </row>
    <row r="42" spans="1:292" ht="15" customHeight="1" x14ac:dyDescent="0.2">
      <c r="A42" s="1311" t="s">
        <v>22</v>
      </c>
      <c r="B42" s="1473"/>
      <c r="C42" s="1473"/>
      <c r="D42" s="1473"/>
      <c r="E42" s="1473"/>
      <c r="F42" s="1473"/>
      <c r="G42" s="1473"/>
      <c r="H42" s="1473"/>
      <c r="I42" s="1473"/>
      <c r="J42" s="1473"/>
      <c r="K42" s="1473"/>
      <c r="L42" s="1473"/>
      <c r="M42" s="1474"/>
      <c r="N42" s="1475"/>
      <c r="O42" s="1473">
        <f t="shared" ref="O42" si="550">IFERROR((((O20/B20)-1)*100),)</f>
        <v>0</v>
      </c>
      <c r="P42" s="1473">
        <f t="shared" ref="P42" si="551">IFERROR((((P20/C20)-1)*100),)</f>
        <v>0</v>
      </c>
      <c r="Q42" s="1473">
        <f t="shared" ref="Q42" si="552">IFERROR((((Q20/D20)-1)*100),)</f>
        <v>0</v>
      </c>
      <c r="R42" s="1473">
        <f t="shared" ref="R42" si="553">IFERROR((((R20/E20)-1)*100),)</f>
        <v>0</v>
      </c>
      <c r="S42" s="1473">
        <f t="shared" ref="S42" si="554">IFERROR((((S20/F20)-1)*100),)</f>
        <v>0</v>
      </c>
      <c r="T42" s="1473">
        <f t="shared" ref="T42" si="555">IFERROR((((T20/G20)-1)*100),)</f>
        <v>0</v>
      </c>
      <c r="U42" s="1473">
        <f t="shared" ref="U42" si="556">IFERROR((((U20/H20)-1)*100),)</f>
        <v>0</v>
      </c>
      <c r="V42" s="1473">
        <f t="shared" ref="V42" si="557">IFERROR((((V20/I20)-1)*100),)</f>
        <v>0</v>
      </c>
      <c r="W42" s="1473">
        <f t="shared" ref="W42" si="558">IFERROR((((W20/J20)-1)*100),)</f>
        <v>0</v>
      </c>
      <c r="X42" s="1473">
        <f t="shared" ref="X42" si="559">IFERROR((((X20/K20)-1)*100),)</f>
        <v>0</v>
      </c>
      <c r="Y42" s="1473">
        <f t="shared" ref="Y42" si="560">IFERROR((((Y20/L20)-1)*100),)</f>
        <v>0</v>
      </c>
      <c r="Z42" s="1474">
        <f t="shared" ref="Z42" si="561">IFERROR((((Z20/M20)-1)*100),)</f>
        <v>0</v>
      </c>
      <c r="AA42" s="1475">
        <f t="shared" ref="AA42" si="562">IFERROR((((AA20/N20)-1)*100),)</f>
        <v>0</v>
      </c>
      <c r="AB42" s="1473">
        <f t="shared" ref="AB42" si="563">IFERROR((((AB20/O20)-1)*100),)</f>
        <v>0</v>
      </c>
      <c r="AC42" s="1473">
        <f t="shared" ref="AC42" si="564">IFERROR((((AC20/P20)-1)*100),)</f>
        <v>0</v>
      </c>
      <c r="AD42" s="1473">
        <f t="shared" ref="AD42" si="565">IFERROR((((AD20/Q20)-1)*100),)</f>
        <v>0</v>
      </c>
      <c r="AE42" s="1473">
        <f t="shared" ref="AE42" si="566">IFERROR((((AE20/R20)-1)*100),)</f>
        <v>0</v>
      </c>
      <c r="AF42" s="1473">
        <f t="shared" ref="AF42" si="567">IFERROR((((AF20/S20)-1)*100),)</f>
        <v>0</v>
      </c>
      <c r="AG42" s="1473">
        <f t="shared" ref="AG42" si="568">IFERROR((((AG20/T20)-1)*100),)</f>
        <v>0</v>
      </c>
      <c r="AH42" s="1473">
        <f t="shared" ref="AH42" si="569">IFERROR((((AH20/U20)-1)*100),)</f>
        <v>0</v>
      </c>
      <c r="AI42" s="1473">
        <f t="shared" ref="AI42" si="570">IFERROR((((AI20/V20)-1)*100),)</f>
        <v>0</v>
      </c>
      <c r="AJ42" s="1473">
        <f t="shared" ref="AJ42" si="571">IFERROR((((AJ20/W20)-1)*100),)</f>
        <v>0</v>
      </c>
      <c r="AK42" s="1473">
        <f t="shared" ref="AK42" si="572">IFERROR((((AK20/X20)-1)*100),)</f>
        <v>0</v>
      </c>
      <c r="AL42" s="1473">
        <f t="shared" ref="AL42" si="573">IFERROR((((AL20/Y20)-1)*100),)</f>
        <v>0</v>
      </c>
      <c r="AM42" s="1474">
        <f t="shared" ref="AM42" si="574">IFERROR((((AM20/Z20)-1)*100),)</f>
        <v>0</v>
      </c>
      <c r="AN42" s="1475">
        <f t="shared" ref="AN42" si="575">IFERROR((((AN20/AA20)-1)*100),)</f>
        <v>0</v>
      </c>
      <c r="AO42" s="1473">
        <f t="shared" ref="AO42" si="576">IFERROR((((AO20/AB20)-1)*100),)</f>
        <v>0</v>
      </c>
      <c r="AP42" s="1473">
        <f t="shared" ref="AP42" si="577">IFERROR((((AP20/AC20)-1)*100),)</f>
        <v>0</v>
      </c>
      <c r="AQ42" s="1473">
        <f t="shared" ref="AQ42" si="578">IFERROR((((AQ20/AD20)-1)*100),)</f>
        <v>0</v>
      </c>
      <c r="AR42" s="1473">
        <f t="shared" ref="AR42" si="579">IFERROR((((AR20/AE20)-1)*100),)</f>
        <v>0</v>
      </c>
      <c r="AS42" s="1473">
        <f t="shared" ref="AS42" si="580">IFERROR((((AS20/AF20)-1)*100),)</f>
        <v>0</v>
      </c>
      <c r="AT42" s="1473">
        <f t="shared" ref="AT42" si="581">IFERROR((((AT20/AG20)-1)*100),)</f>
        <v>0</v>
      </c>
      <c r="AU42" s="1473">
        <f t="shared" ref="AU42" si="582">IFERROR((((AU20/AH20)-1)*100),)</f>
        <v>0</v>
      </c>
      <c r="AV42" s="1473">
        <f t="shared" ref="AV42" si="583">IFERROR((((AV20/AI20)-1)*100),)</f>
        <v>0</v>
      </c>
      <c r="AW42" s="1473">
        <f t="shared" ref="AW42" si="584">IFERROR((((AW20/AJ20)-1)*100),)</f>
        <v>0</v>
      </c>
      <c r="AX42" s="1473">
        <f t="shared" ref="AX42" si="585">IFERROR((((AX20/AK20)-1)*100),)</f>
        <v>0</v>
      </c>
      <c r="AY42" s="1473">
        <f t="shared" ref="AY42" si="586">IFERROR((((AY20/AL20)-1)*100),)</f>
        <v>0</v>
      </c>
      <c r="AZ42" s="1474">
        <f t="shared" ref="AZ42" si="587">IFERROR((((AZ20/AM20)-1)*100),)</f>
        <v>0</v>
      </c>
      <c r="BA42" s="1475">
        <f t="shared" ref="BA42" si="588">IFERROR((((BA20/AN20)-1)*100),)</f>
        <v>0</v>
      </c>
      <c r="BB42" s="1473">
        <f t="shared" ref="BB42" si="589">IFERROR((((BB20/AO20)-1)*100),)</f>
        <v>0</v>
      </c>
      <c r="BC42" s="1473">
        <f t="shared" ref="BC42" si="590">IFERROR((((BC20/AP20)-1)*100),)</f>
        <v>0</v>
      </c>
      <c r="BD42" s="1473">
        <f t="shared" ref="BD42" si="591">IFERROR((((BD20/AQ20)-1)*100),)</f>
        <v>0</v>
      </c>
      <c r="BE42" s="1473">
        <f t="shared" ref="BE42" si="592">IFERROR((((BE20/AR20)-1)*100),)</f>
        <v>0</v>
      </c>
      <c r="BF42" s="1473">
        <f t="shared" ref="BF42" si="593">IFERROR((((BF20/AS20)-1)*100),)</f>
        <v>0</v>
      </c>
      <c r="BG42" s="1473">
        <f t="shared" ref="BG42" si="594">IFERROR((((BG20/AT20)-1)*100),)</f>
        <v>0</v>
      </c>
      <c r="BH42" s="1473">
        <f t="shared" ref="BH42" si="595">IFERROR((((BH20/AU20)-1)*100),)</f>
        <v>0</v>
      </c>
      <c r="BI42" s="1473">
        <f t="shared" ref="BI42" si="596">IFERROR((((BI20/AV20)-1)*100),)</f>
        <v>0</v>
      </c>
      <c r="BJ42" s="1473">
        <f t="shared" ref="BJ42" si="597">IFERROR((((BJ20/AW20)-1)*100),)</f>
        <v>0</v>
      </c>
      <c r="BK42" s="1473">
        <f t="shared" ref="BK42" si="598">IFERROR((((BK20/AX20)-1)*100),)</f>
        <v>0</v>
      </c>
      <c r="BL42" s="1473">
        <f t="shared" ref="BL42" si="599">IFERROR((((BL20/AY20)-1)*100),)</f>
        <v>0</v>
      </c>
      <c r="BM42" s="1474">
        <f t="shared" ref="BM42" si="600">IFERROR((((BM20/AZ20)-1)*100),)</f>
        <v>0</v>
      </c>
      <c r="BN42" s="1475">
        <f t="shared" ref="BN42" si="601">IFERROR((((BN20/BA20)-1)*100),)</f>
        <v>0</v>
      </c>
      <c r="BO42" s="1473">
        <f t="shared" ref="BO42" si="602">IFERROR((((BO20/BB20)-1)*100),)</f>
        <v>0</v>
      </c>
      <c r="BP42" s="1473">
        <f t="shared" ref="BP42" si="603">IFERROR((((BP20/BC20)-1)*100),)</f>
        <v>0</v>
      </c>
      <c r="BQ42" s="1473">
        <f t="shared" ref="BQ42" si="604">IFERROR((((BQ20/BD20)-1)*100),)</f>
        <v>0</v>
      </c>
      <c r="BR42" s="1473">
        <f t="shared" ref="BR42" si="605">IFERROR((((BR20/BE20)-1)*100),)</f>
        <v>0</v>
      </c>
      <c r="BS42" s="1473">
        <f t="shared" ref="BS42" si="606">IFERROR((((BS20/BF20)-1)*100),)</f>
        <v>0</v>
      </c>
      <c r="BT42" s="1473">
        <f t="shared" ref="BT42" si="607">IFERROR((((BT20/BG20)-1)*100),)</f>
        <v>0</v>
      </c>
      <c r="BU42" s="1473">
        <f t="shared" ref="BU42" si="608">IFERROR((((BU20/BH20)-1)*100),)</f>
        <v>0</v>
      </c>
      <c r="BV42" s="1473">
        <f t="shared" ref="BV42" si="609">IFERROR((((BV20/BI20)-1)*100),)</f>
        <v>0</v>
      </c>
      <c r="BW42" s="1473">
        <f t="shared" ref="BW42" si="610">IFERROR((((BW20/BJ20)-1)*100),)</f>
        <v>0</v>
      </c>
      <c r="BX42" s="1473">
        <f t="shared" ref="BX42" si="611">IFERROR((((BX20/BK20)-1)*100),)</f>
        <v>0</v>
      </c>
      <c r="BY42" s="1473">
        <f t="shared" ref="BY42" si="612">IFERROR((((BY20/BL20)-1)*100),)</f>
        <v>0</v>
      </c>
      <c r="BZ42" s="1474">
        <f t="shared" ref="BZ42" si="613">IFERROR((((BZ20/BM20)-1)*100),)</f>
        <v>0</v>
      </c>
      <c r="CA42" s="1475">
        <f t="shared" ref="CA42" si="614">IFERROR((((CA20/BN20)-1)*100),)</f>
        <v>0</v>
      </c>
      <c r="CB42" s="1473">
        <f t="shared" ref="CB42" si="615">IFERROR((((CB20/BO20)-1)*100),)</f>
        <v>-35.623881129285749</v>
      </c>
      <c r="CC42" s="1473">
        <f t="shared" ref="CC42" si="616">IFERROR((((CC20/BP20)-1)*100),)</f>
        <v>1.326621062237221</v>
      </c>
      <c r="CD42" s="1473">
        <f t="shared" ref="CD42" si="617">IFERROR((((CD20/BQ20)-1)*100),)</f>
        <v>0.45691963578347039</v>
      </c>
      <c r="CE42" s="1473">
        <f t="shared" ref="CE42" si="618">IFERROR((((CE20/BR20)-1)*100),)</f>
        <v>2.1587474605111012</v>
      </c>
      <c r="CF42" s="1473">
        <f t="shared" ref="CF42" si="619">IFERROR((((CF20/BS20)-1)*100),)</f>
        <v>26.852796831533212</v>
      </c>
      <c r="CG42" s="1473">
        <f t="shared" ref="CG42" si="620">IFERROR((((CG20/BT20)-1)*100),)</f>
        <v>11.044965095674698</v>
      </c>
      <c r="CH42" s="1473">
        <f t="shared" ref="CH42" si="621">IFERROR((((CH20/BU20)-1)*100),)</f>
        <v>0.64264133177802663</v>
      </c>
      <c r="CI42" s="1473">
        <f t="shared" ref="CI42" si="622">IFERROR((((CI20/BV20)-1)*100),)</f>
        <v>16.769534173032529</v>
      </c>
      <c r="CJ42" s="1473">
        <f t="shared" ref="CJ42" si="623">IFERROR((((CJ20/BW20)-1)*100),)</f>
        <v>-0.16211469349816099</v>
      </c>
      <c r="CK42" s="1473">
        <f t="shared" ref="CK42" si="624">IFERROR((((CK20/BX20)-1)*100),)</f>
        <v>13.163783161549292</v>
      </c>
      <c r="CL42" s="1473">
        <f t="shared" ref="CL42" si="625">IFERROR((((CL20/BY20)-1)*100),)</f>
        <v>17.75878858685558</v>
      </c>
      <c r="CM42" s="1474">
        <f t="shared" ref="CM42" si="626">IFERROR((((CM20/BZ20)-1)*100),)</f>
        <v>15.504983753235436</v>
      </c>
      <c r="CN42" s="1475">
        <f t="shared" ref="CN42" si="627">IFERROR((((CN20/CA20)-1)*100),)</f>
        <v>4.2205983631682376</v>
      </c>
      <c r="CO42" s="1473">
        <f t="shared" ref="CO42" si="628">IFERROR((((CO20/CB20)-1)*100),)</f>
        <v>18.860211937901106</v>
      </c>
      <c r="CP42" s="1473">
        <f t="shared" ref="CP42" si="629">IFERROR((((CP20/CC20)-1)*100),)</f>
        <v>11.753978824352318</v>
      </c>
      <c r="CQ42" s="1473">
        <f t="shared" ref="CQ42" si="630">IFERROR((((CQ20/CD20)-1)*100),)</f>
        <v>10.836969030537658</v>
      </c>
      <c r="CR42" s="1473">
        <f t="shared" ref="CR42" si="631">IFERROR((((CR20/CE20)-1)*100),)</f>
        <v>7.8107562345825388</v>
      </c>
      <c r="CS42" s="1473">
        <f t="shared" ref="CS42" si="632">IFERROR((((CS20/CF20)-1)*100),)</f>
        <v>-0.46859972548356499</v>
      </c>
      <c r="CT42" s="1473">
        <f t="shared" ref="CT42" si="633">IFERROR((((CT20/CG20)-1)*100),)</f>
        <v>5.9967542544627328</v>
      </c>
      <c r="CU42" s="1473">
        <f t="shared" ref="CU42" si="634">IFERROR((((CU20/CH20)-1)*100),)</f>
        <v>11.300689436281019</v>
      </c>
      <c r="CV42" s="1473">
        <f t="shared" ref="CV42" si="635">IFERROR((((CV20/CI20)-1)*100),)</f>
        <v>14.796552544703111</v>
      </c>
      <c r="CW42" s="1473">
        <f t="shared" ref="CW42" si="636">IFERROR((((CW20/CJ20)-1)*100),)</f>
        <v>9.750303242125602</v>
      </c>
      <c r="CX42" s="1473">
        <f t="shared" ref="CX42" si="637">IFERROR((((CX20/CK20)-1)*100),)</f>
        <v>-1.9291477548850411</v>
      </c>
      <c r="CY42" s="1473">
        <f t="shared" ref="CY42" si="638">IFERROR((((CY20/CL20)-1)*100),)</f>
        <v>-5.8407313032286297</v>
      </c>
      <c r="CZ42" s="1474">
        <f t="shared" ref="CZ42" si="639">IFERROR((((CZ20/CM20)-1)*100),)</f>
        <v>-5.8483898223655517</v>
      </c>
      <c r="DA42" s="1475">
        <f t="shared" ref="DA42" si="640">IFERROR((((DA20/CN20)-1)*100),)</f>
        <v>5.7624372862979945</v>
      </c>
      <c r="DB42" s="1473">
        <f t="shared" ref="DB42" si="641">IFERROR((((DB20/CO20)-1)*100),)</f>
        <v>18.605496086931204</v>
      </c>
      <c r="DC42" s="1473">
        <f t="shared" ref="DC42" si="642">IFERROR((((DC20/CP20)-1)*100),)</f>
        <v>30.542131405842476</v>
      </c>
      <c r="DD42" s="1473">
        <f t="shared" ref="DD42" si="643">IFERROR((((DD20/CQ20)-1)*100),)</f>
        <v>-15.312594312165951</v>
      </c>
      <c r="DE42" s="1473">
        <f t="shared" ref="DE42" si="644">IFERROR((((DE20/CR20)-1)*100),)</f>
        <v>6.748343668562784</v>
      </c>
      <c r="DF42" s="1473">
        <f t="shared" ref="DF42" si="645">IFERROR((((DF20/CS20)-1)*100),)</f>
        <v>2.0672054387768091</v>
      </c>
      <c r="DG42" s="1473">
        <f t="shared" ref="DG42" si="646">IFERROR((((DG20/CT20)-1)*100),)</f>
        <v>-4.3740404873136463</v>
      </c>
      <c r="DH42" s="1473">
        <f t="shared" ref="DH42" si="647">IFERROR((((DH20/CU20)-1)*100),)</f>
        <v>19.071715242727795</v>
      </c>
      <c r="DI42" s="1473">
        <f t="shared" ref="DI42" si="648">IFERROR((((DI20/CV20)-1)*100),)</f>
        <v>3.1367532539481324</v>
      </c>
      <c r="DJ42" s="1473">
        <f t="shared" ref="DJ42" si="649">IFERROR((((DJ20/CW20)-1)*100),)</f>
        <v>14.239325141031944</v>
      </c>
      <c r="DK42" s="1473">
        <f t="shared" ref="DK42" si="650">IFERROR((((DK20/CX20)-1)*100),)</f>
        <v>38.821934828548699</v>
      </c>
      <c r="DL42" s="1473">
        <f t="shared" ref="DL42" si="651">IFERROR((((DL20/CY20)-1)*100),)</f>
        <v>25.436261549024874</v>
      </c>
      <c r="DM42" s="1474">
        <f t="shared" ref="DM42" si="652">IFERROR((((DM20/CZ20)-1)*100),)</f>
        <v>29.4849665596691</v>
      </c>
      <c r="DN42" s="1475">
        <f t="shared" ref="DN42" si="653">IFERROR((((DN20/DA20)-1)*100),)</f>
        <v>13.699829143513043</v>
      </c>
      <c r="DO42" s="1473">
        <f t="shared" ref="DO42" si="654">IFERROR((((DO20/DB20)-1)*100),)</f>
        <v>2.8098023530755967</v>
      </c>
      <c r="DP42" s="1473">
        <f t="shared" ref="DP42" si="655">IFERROR((((DP20/DC20)-1)*100),)</f>
        <v>-13.857655956759874</v>
      </c>
      <c r="DQ42" s="1473">
        <f t="shared" ref="DQ42" si="656">IFERROR((((DQ20/DD20)-1)*100),)</f>
        <v>18.463672189487255</v>
      </c>
      <c r="DR42" s="1473">
        <f t="shared" ref="DR42" si="657">IFERROR((((DR20/DE20)-1)*100),)</f>
        <v>-11.536733564859958</v>
      </c>
      <c r="DS42" s="1473">
        <f t="shared" ref="DS42" si="658">IFERROR((((DS20/DF20)-1)*100),)</f>
        <v>-4.8470605611501956</v>
      </c>
      <c r="DT42" s="1473">
        <f t="shared" ref="DT42" si="659">IFERROR((((DT20/DG20)-1)*100),)</f>
        <v>-8.6932126972697255</v>
      </c>
      <c r="DU42" s="1473">
        <f t="shared" ref="DU42" si="660">IFERROR((((DU20/DH20)-1)*100),)</f>
        <v>-15.69899855146134</v>
      </c>
      <c r="DV42" s="1473">
        <f t="shared" ref="DV42" si="661">IFERROR((((DV20/DI20)-1)*100),)</f>
        <v>-23.003714488646121</v>
      </c>
      <c r="DW42" s="1473">
        <f t="shared" ref="DW42" si="662">IFERROR((((DW20/DJ20)-1)*100),)</f>
        <v>-1.4620512781396089</v>
      </c>
      <c r="DX42" s="1473">
        <f t="shared" ref="DX42" si="663">IFERROR((((DX20/DK20)-1)*100),)</f>
        <v>-22.888359461599528</v>
      </c>
      <c r="DY42" s="1473">
        <f t="shared" ref="DY42" si="664">IFERROR((((DY20/DL20)-1)*100),)</f>
        <v>-15.887821209970454</v>
      </c>
      <c r="DZ42" s="1474">
        <f t="shared" ref="DZ42" si="665">IFERROR((((DZ20/DM20)-1)*100),)</f>
        <v>-2.5033556010675251</v>
      </c>
      <c r="EA42" s="1475">
        <f t="shared" ref="EA42" si="666">IFERROR((((EA20/DN20)-1)*100),)</f>
        <v>-9.1462358216111141</v>
      </c>
      <c r="EB42" s="1473">
        <f t="shared" ref="EB42" si="667">IFERROR((((EB20/DO20)-1)*100),)</f>
        <v>-20.310771237145964</v>
      </c>
      <c r="EC42" s="1473">
        <f t="shared" ref="EC42" si="668">IFERROR((((EC20/DP20)-1)*100),)</f>
        <v>-14.33134910271815</v>
      </c>
      <c r="ED42" s="1473">
        <f t="shared" ref="ED42" si="669">IFERROR((((ED20/DQ20)-1)*100),)</f>
        <v>-4.6555201745167913</v>
      </c>
      <c r="EE42" s="1473">
        <f t="shared" ref="EE42" si="670">IFERROR((((EE20/DR20)-1)*100),)</f>
        <v>-3.2646350610398889</v>
      </c>
      <c r="EF42" s="1473">
        <f t="shared" ref="EF42" si="671">IFERROR((((EF20/DS20)-1)*100),)</f>
        <v>-6.1471775748939255</v>
      </c>
      <c r="EG42" s="1473">
        <f t="shared" ref="EG42" si="672">IFERROR((((EG20/DT20)-1)*100),)</f>
        <v>12.529960937302786</v>
      </c>
      <c r="EH42" s="1473">
        <f t="shared" ref="EH42" si="673">IFERROR((((EH20/DU20)-1)*100),)</f>
        <v>8.7468916944173145</v>
      </c>
      <c r="EI42" s="1473">
        <f t="shared" ref="EI42" si="674">IFERROR((((EI20/DV20)-1)*100),)</f>
        <v>15.479487957660854</v>
      </c>
      <c r="EJ42" s="1473">
        <f t="shared" ref="EJ42" si="675">IFERROR((((EJ20/DW20)-1)*100),)</f>
        <v>-6.7125040392545294</v>
      </c>
      <c r="EK42" s="1473">
        <f t="shared" ref="EK42" si="676">IFERROR((((EK20/DX20)-1)*100),)</f>
        <v>-18.516560620660893</v>
      </c>
      <c r="EL42" s="1473">
        <f t="shared" ref="EL42" si="677">IFERROR((((EL20/DY20)-1)*100),)</f>
        <v>5.6380566974793433</v>
      </c>
      <c r="EM42" s="1474">
        <f t="shared" ref="EM42" si="678">IFERROR((((EM20/DZ20)-1)*100),)</f>
        <v>-11.124528043966375</v>
      </c>
      <c r="EN42" s="1475">
        <f t="shared" ref="EN42" si="679">IFERROR((((EN20/EA20)-1)*100),)</f>
        <v>-4.3941916207139382</v>
      </c>
      <c r="EO42" s="1473">
        <f t="shared" ref="EO42" si="680">IFERROR((((EO20/EB20)-1)*100),)</f>
        <v>34.204062796732892</v>
      </c>
      <c r="EP42" s="1473">
        <f t="shared" ref="EP42" si="681">IFERROR((((EP20/EC20)-1)*100),)</f>
        <v>28.894641440990434</v>
      </c>
      <c r="EQ42" s="1473">
        <f t="shared" ref="EQ42" si="682">IFERROR((((EQ20/ED20)-1)*100),)</f>
        <v>8.8544620266193483</v>
      </c>
      <c r="ER42" s="1473">
        <f t="shared" ref="ER42" si="683">IFERROR((((ER20/EE20)-1)*100),)</f>
        <v>13.203519614789538</v>
      </c>
      <c r="ES42" s="1473">
        <f t="shared" ref="ES42" si="684">IFERROR((((ES20/EF20)-1)*100),)</f>
        <v>0.41009244577903115</v>
      </c>
      <c r="ET42" s="1473">
        <f t="shared" ref="ET42" si="685">IFERROR((((ET20/EG20)-1)*100),)</f>
        <v>-8.8539321270806539</v>
      </c>
      <c r="EU42" s="1473">
        <f t="shared" ref="EU42" si="686">IFERROR((((EU20/EH20)-1)*100),)</f>
        <v>-3.335457898855787</v>
      </c>
      <c r="EV42" s="1473">
        <f t="shared" ref="EV42" si="687">IFERROR((((EV20/EI20)-1)*100),)</f>
        <v>15.424753903277221</v>
      </c>
      <c r="EW42" s="1473">
        <f t="shared" ref="EW42" si="688">IFERROR((((EW20/EJ20)-1)*100),)</f>
        <v>-18.762403556858544</v>
      </c>
      <c r="EX42" s="1473">
        <f t="shared" ref="EX42" si="689">IFERROR((((EX20/EK20)-1)*100),)</f>
        <v>19.216984812869331</v>
      </c>
      <c r="EY42" s="1473">
        <f t="shared" ref="EY42" si="690">IFERROR((((EY20/EL20)-1)*100),)</f>
        <v>-14.697837039666595</v>
      </c>
      <c r="EZ42" s="1474">
        <f t="shared" ref="EZ42" si="691">IFERROR((((EZ20/EM20)-1)*100),)</f>
        <v>5.8537687695855878</v>
      </c>
      <c r="FA42" s="1475">
        <f t="shared" ref="FA42" si="692">IFERROR((((FA20/EN20)-1)*100),)</f>
        <v>5.6850911256570047</v>
      </c>
      <c r="FB42" s="1473">
        <f t="shared" ref="FB42" si="693">IFERROR((((FB20/EO20)-1)*100),)</f>
        <v>-13.891046495132041</v>
      </c>
      <c r="FC42" s="1473">
        <f t="shared" ref="FC42" si="694">IFERROR((((FC20/EP20)-1)*100),)</f>
        <v>7.3208309414345418</v>
      </c>
      <c r="FD42" s="1473">
        <f t="shared" ref="FD42" si="695">IFERROR((((FD20/EQ20)-1)*100),)</f>
        <v>24.617022154420653</v>
      </c>
      <c r="FE42" s="1473">
        <f t="shared" ref="FE42" si="696">IFERROR((((FE20/ER20)-1)*100),)</f>
        <v>22.180543776876483</v>
      </c>
      <c r="FF42" s="1473">
        <f t="shared" ref="FF42" si="697">IFERROR((((FF20/ES20)-1)*100),)</f>
        <v>24.519006729594683</v>
      </c>
      <c r="FG42" s="1473">
        <f t="shared" ref="FG42" si="698">IFERROR((((FG20/ET20)-1)*100),)</f>
        <v>24.306380582806053</v>
      </c>
      <c r="FH42" s="1473">
        <f t="shared" ref="FH42" si="699">IFERROR((((FH20/EU20)-1)*100),)</f>
        <v>36.353827380551863</v>
      </c>
      <c r="FI42" s="1473">
        <f t="shared" ref="FI42" si="700">IFERROR((((FI20/EV20)-1)*100),)</f>
        <v>14.45611643349347</v>
      </c>
      <c r="FJ42" s="1473">
        <f t="shared" ref="FJ42" si="701">IFERROR((((FJ20/EW20)-1)*100),)</f>
        <v>70.496838770222965</v>
      </c>
      <c r="FK42" s="1473">
        <f t="shared" ref="FK42" si="702">IFERROR((((FK20/EX20)-1)*100),)</f>
        <v>17.580757742661124</v>
      </c>
      <c r="FL42" s="1473">
        <f t="shared" ref="FL42" si="703">IFERROR((((FL20/EY20)-1)*100),)</f>
        <v>-3.4383757816298544</v>
      </c>
      <c r="FM42" s="1474">
        <f t="shared" ref="FM42" si="704">IFERROR((((FM20/EZ20)-1)*100),)</f>
        <v>-9.0071869159437874</v>
      </c>
      <c r="FN42" s="1475">
        <f t="shared" ref="FN42" si="705">IFERROR((((FN20/FA20)-1)*100),)</f>
        <v>16.141271575701332</v>
      </c>
      <c r="FO42" s="1473">
        <f t="shared" ref="FO42" si="706">IFERROR((((FO20/FB20)-1)*100),)</f>
        <v>-9.5336395194401966</v>
      </c>
      <c r="FP42" s="1473">
        <f t="shared" ref="FP42" si="707">IFERROR((((FP20/FC20)-1)*100),)</f>
        <v>-21.108540312343528</v>
      </c>
      <c r="FQ42" s="1473">
        <f t="shared" ref="FQ42" si="708">IFERROR((((FQ20/FD20)-1)*100),)</f>
        <v>-25.661835969747237</v>
      </c>
      <c r="FR42" s="1473">
        <f t="shared" ref="FR42" si="709">IFERROR((((FR20/FE20)-1)*100),)</f>
        <v>-18.238135994350813</v>
      </c>
      <c r="FS42" s="1473">
        <f t="shared" ref="FS42" si="710">IFERROR((((FS20/FF20)-1)*100),)</f>
        <v>-16.225036499541613</v>
      </c>
      <c r="FT42" s="1473">
        <f t="shared" ref="FT42" si="711">IFERROR((((FT20/FG20)-1)*100),)</f>
        <v>-23.607694033451189</v>
      </c>
      <c r="FU42" s="1473">
        <f t="shared" ref="FU42" si="712">IFERROR((((FU20/FH20)-1)*100),)</f>
        <v>-25.616983299812834</v>
      </c>
      <c r="FV42" s="1473">
        <f t="shared" ref="FV42" si="713">IFERROR((((FV20/FI20)-1)*100),)</f>
        <v>-10.199602914637573</v>
      </c>
      <c r="FW42" s="1473">
        <f t="shared" ref="FW42" si="714">IFERROR((((FW20/FJ20)-1)*100),)</f>
        <v>-29.222033490727938</v>
      </c>
      <c r="FX42" s="1473">
        <f t="shared" ref="FX42" si="715">IFERROR((((FX20/FK20)-1)*100),)</f>
        <v>-15.440076843129813</v>
      </c>
      <c r="FY42" s="1473">
        <f t="shared" ref="FY42" si="716">IFERROR((((FY20/FL20)-1)*100),)</f>
        <v>4.1961264262398545</v>
      </c>
      <c r="FZ42" s="1474">
        <f t="shared" ref="FZ42" si="717">IFERROR((((FZ20/FM20)-1)*100),)</f>
        <v>8.3474191495313868</v>
      </c>
      <c r="GA42" s="1475">
        <f t="shared" ref="GA42" si="718">IFERROR((((GA20/FN20)-1)*100),)</f>
        <v>-16.174512770795989</v>
      </c>
      <c r="GB42" s="1473">
        <f t="shared" ref="GB42" si="719">IFERROR((((GB20/FO20)-1)*100),)</f>
        <v>3.6488741912438005</v>
      </c>
      <c r="GC42" s="1473">
        <f t="shared" ref="GC42" si="720">IFERROR((((GC20/FP20)-1)*100),)</f>
        <v>-6.8886723507148195</v>
      </c>
      <c r="GD42" s="1473">
        <f t="shared" ref="GD42" si="721">IFERROR((((GD20/FQ20)-1)*100),)</f>
        <v>2.1453764834040268</v>
      </c>
      <c r="GE42" s="1473">
        <f t="shared" ref="GE42" si="722">IFERROR((((GE20/FR20)-1)*100),)</f>
        <v>-8.7905788950533577</v>
      </c>
      <c r="GF42" s="1473">
        <f t="shared" ref="GF42" si="723">IFERROR((((GF20/FS20)-1)*100),)</f>
        <v>15.305326769355453</v>
      </c>
      <c r="GG42" s="1473">
        <f t="shared" ref="GG42" si="724">IFERROR((((GG20/FT20)-1)*100),)</f>
        <v>31.886711116546373</v>
      </c>
      <c r="GH42" s="1473">
        <f t="shared" ref="GH42" si="725">IFERROR((((GH20/FU20)-1)*100),)</f>
        <v>19.530859054220851</v>
      </c>
      <c r="GI42" s="1473">
        <f t="shared" ref="GI42" si="726">IFERROR((((GI20/FV20)-1)*100),)</f>
        <v>-17.998380941444616</v>
      </c>
      <c r="GJ42" s="1473">
        <f t="shared" ref="GJ42" si="727">IFERROR((((GJ20/FW20)-1)*100),)</f>
        <v>-12.863398682641369</v>
      </c>
      <c r="GK42" s="1473">
        <f t="shared" ref="GK42" si="728">IFERROR((((GK20/FX20)-1)*100),)</f>
        <v>15.960873247916529</v>
      </c>
      <c r="GL42" s="1473">
        <f t="shared" ref="GL42" si="729">IFERROR((((GL20/FY20)-1)*100),)</f>
        <v>20.439964502474318</v>
      </c>
      <c r="GM42" s="1474">
        <f t="shared" ref="GM42" si="730">IFERROR((((GM20/FZ20)-1)*100),)</f>
        <v>2.9158457073697575</v>
      </c>
      <c r="GN42" s="1475">
        <f t="shared" ref="GN42" si="731">IFERROR((((GN20/GA20)-1)*100),)</f>
        <v>4.8685119917207365</v>
      </c>
      <c r="GO42" s="1473">
        <f t="shared" ref="GO42" si="732">IFERROR((((GO20/GB20)-1)*100),)</f>
        <v>1.3848050949338608</v>
      </c>
      <c r="GP42" s="1473">
        <f t="shared" ref="GP42" si="733">IFERROR((((GP20/GC20)-1)*100),)</f>
        <v>33.450916149735747</v>
      </c>
      <c r="GQ42" s="1473">
        <f t="shared" ref="GQ42" si="734">IFERROR((((GQ20/GD20)-1)*100),)</f>
        <v>-11.86909666060405</v>
      </c>
      <c r="GR42" s="1473">
        <f t="shared" ref="GR42" si="735">IFERROR((((GR20/GE20)-1)*100),)</f>
        <v>6.2104413098652556</v>
      </c>
      <c r="GS42" s="1473">
        <f t="shared" ref="GS42" si="736">IFERROR((((GS20/GF20)-1)*100),)</f>
        <v>-8.1249740341161942</v>
      </c>
      <c r="GT42" s="1473">
        <f t="shared" ref="GT42" si="737">IFERROR((((GT20/GG20)-1)*100),)</f>
        <v>3.5025610094249648</v>
      </c>
      <c r="GU42" s="1473">
        <f t="shared" ref="GU42" si="738">IFERROR((((GU20/GH20)-1)*100),)</f>
        <v>9.2021804080970604</v>
      </c>
      <c r="GV42" s="1473">
        <f t="shared" ref="GV42" si="739">IFERROR((((GV20/GI20)-1)*100),)</f>
        <v>42.62258583256768</v>
      </c>
      <c r="GW42" s="1473">
        <f t="shared" ref="GW42" si="740">IFERROR((((GW20/GJ20)-1)*100),)</f>
        <v>56.932390252465126</v>
      </c>
      <c r="GX42" s="1473">
        <f t="shared" ref="GX42" si="741">IFERROR((((GX20/GK20)-1)*100),)</f>
        <v>26.064972329298229</v>
      </c>
      <c r="GY42" s="1473">
        <f t="shared" ref="GY42" si="742">IFERROR((((GY20/GL20)-1)*100),)</f>
        <v>13.472915264520481</v>
      </c>
      <c r="GZ42" s="1474">
        <f t="shared" ref="GZ42" si="743">IFERROR((((GZ20/GM20)-1)*100),)</f>
        <v>14.725047780245104</v>
      </c>
      <c r="HA42" s="1475">
        <f t="shared" ref="HA42" si="744">IFERROR((((HA20/GN20)-1)*100),)</f>
        <v>14.716561484818236</v>
      </c>
      <c r="HB42" s="1473">
        <f t="shared" ref="HB42" si="745">IFERROR((((HB20/GO20)-1)*100),)</f>
        <v>26.895391630554698</v>
      </c>
      <c r="HC42" s="1473">
        <f t="shared" ref="HC42" si="746">IFERROR((((HC20/GP20)-1)*100),)</f>
        <v>19.484034256529782</v>
      </c>
      <c r="HD42" s="1473">
        <f t="shared" ref="HD42" si="747">IFERROR((((HD20/GQ20)-1)*100),)</f>
        <v>54.337546763260015</v>
      </c>
      <c r="HE42" s="1473">
        <f t="shared" ref="HE42" si="748">IFERROR((((HE20/GR20)-1)*100),)</f>
        <v>35.381095441039619</v>
      </c>
      <c r="HF42" s="1473">
        <f t="shared" ref="HF42" si="749">IFERROR((((HF20/GS20)-1)*100),)</f>
        <v>28.639607041526393</v>
      </c>
      <c r="HG42" s="1473">
        <f t="shared" ref="HG42" si="750">IFERROR((((HG20/GT20)-1)*100),)</f>
        <v>28.206106442678337</v>
      </c>
      <c r="HH42" s="1473">
        <f t="shared" ref="HH42" si="751">IFERROR((((HH20/GU20)-1)*100),)</f>
        <v>15.927361558462859</v>
      </c>
      <c r="HI42" s="1473">
        <f t="shared" ref="HI42" si="752">IFERROR((((HI20/GV20)-1)*100),)</f>
        <v>-2.133676089788239</v>
      </c>
      <c r="HJ42" s="1473">
        <f t="shared" ref="HJ42" si="753">IFERROR((((HJ20/GW20)-1)*100),)</f>
        <v>5.5402858689740597</v>
      </c>
      <c r="HK42" s="1473">
        <f t="shared" ref="HK42" si="754">IFERROR((((HK20/GX20)-1)*100),)</f>
        <v>-4.123570250439446</v>
      </c>
      <c r="HL42" s="1473">
        <f t="shared" ref="HL42" si="755">IFERROR((((HL20/GY20)-1)*100),)</f>
        <v>-1.9596471113207614</v>
      </c>
      <c r="HM42" s="1474">
        <f t="shared" ref="HM42" si="756">IFERROR((((HM20/GZ20)-1)*100),)</f>
        <v>6.1497314710251771</v>
      </c>
      <c r="HN42" s="1475">
        <f t="shared" ref="HN42" si="757">IFERROR((((HN20/HA20)-1)*100),)</f>
        <v>15.087344113136169</v>
      </c>
      <c r="HO42" s="1473">
        <f t="shared" ref="HO42" si="758">IFERROR((((HO20/HB20)-1)*100),)</f>
        <v>2.4895797801853803</v>
      </c>
      <c r="HP42" s="1473">
        <f t="shared" ref="HP42" si="759">IFERROR((((HP20/HC20)-1)*100),)</f>
        <v>-6.7505038582235999</v>
      </c>
      <c r="HQ42" s="1473">
        <f t="shared" ref="HQ42" si="760">IFERROR((((HQ20/HD20)-1)*100),)</f>
        <v>4.2786275924735717</v>
      </c>
      <c r="HR42" s="1473">
        <f t="shared" ref="HR42" si="761">IFERROR((((HR20/HE20)-1)*100),)</f>
        <v>6.6227502964804952</v>
      </c>
      <c r="HS42" s="1473">
        <f t="shared" ref="HS42" si="762">IFERROR((((HS20/HF20)-1)*100),)</f>
        <v>-9.3125413831949935</v>
      </c>
      <c r="HT42" s="1473">
        <f t="shared" ref="HT42" si="763">IFERROR((((HT20/HG20)-1)*100),)</f>
        <v>-14.378453338587438</v>
      </c>
      <c r="HU42" s="1473">
        <f t="shared" ref="HU42" si="764">IFERROR((((HU20/HH20)-1)*100),)</f>
        <v>-9.2203482783949742</v>
      </c>
      <c r="HV42" s="1473">
        <f t="shared" ref="HV42" si="765">IFERROR((((HV20/HI20)-1)*100),)</f>
        <v>-6.6243873647758527</v>
      </c>
      <c r="HW42" s="1473">
        <f t="shared" ref="HW42" si="766">IFERROR((((HW20/HJ20)-1)*100),)</f>
        <v>-8.9905505307951934</v>
      </c>
      <c r="HX42" s="1473">
        <f t="shared" ref="HX42" si="767">IFERROR((((HX20/HK20)-1)*100),)</f>
        <v>-5.0340722474329747</v>
      </c>
      <c r="HY42" s="1473">
        <f t="shared" ref="HY42" si="768">IFERROR((((HY20/HL20)-1)*100),)</f>
        <v>4.1300761609230907</v>
      </c>
      <c r="HZ42" s="1474">
        <f t="shared" ref="HZ42" si="769">IFERROR((((HZ20/HM20)-1)*100),)</f>
        <v>4.7092524326353358</v>
      </c>
      <c r="IA42" s="1475">
        <f t="shared" ref="IA42" si="770">IFERROR((((IA20/HN20)-1)*100),)</f>
        <v>-3.4278131335830353</v>
      </c>
      <c r="IB42" s="1473">
        <f t="shared" ref="IB42" si="771">IFERROR((((IB20/HO20)-1)*100),)</f>
        <v>-4.1572793562367654</v>
      </c>
      <c r="IC42" s="1473">
        <f t="shared" ref="IC42" si="772">IFERROR((((IC20/HP20)-1)*100),)</f>
        <v>2.7238609764779431</v>
      </c>
      <c r="ID42" s="1473">
        <f t="shared" ref="ID42" si="773">IFERROR((((ID20/HQ20)-1)*100),)</f>
        <v>-16.328908447725688</v>
      </c>
      <c r="IE42" s="1473">
        <f t="shared" ref="IE42" si="774">IFERROR((((IE20/HR20)-1)*100),)</f>
        <v>-32.284515075465514</v>
      </c>
      <c r="IF42" s="1473">
        <f t="shared" ref="IF42" si="775">IFERROR((((IF20/HS20)-1)*100),)</f>
        <v>-16.940942302360217</v>
      </c>
      <c r="IG42" s="1473">
        <f t="shared" ref="IG42" si="776">IFERROR((((IG20/HT20)-1)*100),)</f>
        <v>1.3345733206615806</v>
      </c>
      <c r="IH42" s="1473">
        <f t="shared" ref="IH42" si="777">IFERROR((((IH20/HU20)-1)*100),)</f>
        <v>-6.4804636367103878</v>
      </c>
      <c r="II42" s="1473">
        <f t="shared" ref="II42" si="778">IFERROR((((II20/HV20)-1)*100),)</f>
        <v>3.1943537322307147</v>
      </c>
      <c r="IJ42" s="1473">
        <f t="shared" ref="IJ42" si="779">IFERROR((((IJ20/HW20)-1)*100),)</f>
        <v>-0.81965123669427431</v>
      </c>
      <c r="IK42" s="1473">
        <f t="shared" ref="IK42" si="780">IFERROR((((IK20/HX20)-1)*100),)</f>
        <v>-10.155797297886259</v>
      </c>
      <c r="IL42" s="1473">
        <f t="shared" ref="IL42" si="781">IFERROR((((IL20/HY20)-1)*100),)</f>
        <v>-18.480773194832523</v>
      </c>
      <c r="IM42" s="1474">
        <f t="shared" ref="IM42" si="782">IFERROR((((IM20/HZ20)-1)*100),)</f>
        <v>-6.7753157779910644</v>
      </c>
      <c r="IN42" s="1475">
        <f t="shared" ref="IN42" si="783">IFERROR((((IN20/IA20)-1)*100),)</f>
        <v>-8.9665252379706466</v>
      </c>
      <c r="IO42" s="1473">
        <f t="shared" ref="IO42" si="784">IFERROR((((IO20/IB20)-1)*100),)</f>
        <v>8.5432855854953971</v>
      </c>
      <c r="IP42" s="1473">
        <f t="shared" ref="IP42" si="785">IFERROR((((IP20/IC20)-1)*100),)</f>
        <v>-6.4554924279773829</v>
      </c>
      <c r="IQ42" s="1473">
        <f t="shared" ref="IQ42" si="786">IFERROR((((IQ20/ID20)-1)*100),)</f>
        <v>-3.5433686965819389</v>
      </c>
      <c r="IR42" s="1473">
        <f t="shared" ref="IR42" si="787">IFERROR((((IR20/IE20)-1)*100),)</f>
        <v>-8.6181781163280675</v>
      </c>
      <c r="IS42" s="1473">
        <f t="shared" ref="IS42" si="788">IFERROR((((IS20/IF20)-1)*100),)</f>
        <v>6.0691876718722559</v>
      </c>
      <c r="IT42" s="1473">
        <f t="shared" ref="IT42" si="789">IFERROR((((IT20/IG20)-1)*100),)</f>
        <v>-5.0724462507465207</v>
      </c>
      <c r="IU42" s="1473">
        <f t="shared" ref="IU42" si="790">IFERROR((((IU20/IH20)-1)*100),)</f>
        <v>8.009560103767388</v>
      </c>
      <c r="IV42" s="1473">
        <f t="shared" ref="IV42" si="791">IFERROR((((IV20/II20)-1)*100),)</f>
        <v>7.4310542290296988</v>
      </c>
      <c r="IW42" s="1473">
        <f t="shared" ref="IW42" si="792">IFERROR((((IW20/IJ20)-1)*100),)</f>
        <v>11.546164443371666</v>
      </c>
      <c r="IX42" s="1473">
        <f t="shared" ref="IX42" si="793">IFERROR((((IX20/IK20)-1)*100),)</f>
        <v>37.577245001358285</v>
      </c>
      <c r="IY42" s="1473">
        <f t="shared" ref="IY42" si="794">IFERROR((((IY20/IL20)-1)*100),)</f>
        <v>28.570714819479171</v>
      </c>
      <c r="IZ42" s="1474">
        <f t="shared" ref="IZ42" si="795">IFERROR((((IZ20/IM20)-1)*100),)</f>
        <v>3.3160546108583544</v>
      </c>
      <c r="JA42" s="1475">
        <f t="shared" ref="JA42" si="796">IFERROR((((JA20/IN20)-1)*100),)</f>
        <v>7.4871094291320661</v>
      </c>
      <c r="JB42" s="1473">
        <f t="shared" ref="JB42" si="797">IFERROR((((JB20/IO20)-1)*100),)</f>
        <v>-3.9805221037557126</v>
      </c>
      <c r="JC42" s="1473">
        <f t="shared" ref="JC42" si="798">IFERROR((((JC20/IP20)-1)*100),)</f>
        <v>-10.405435442723753</v>
      </c>
      <c r="JD42" s="1473">
        <f t="shared" ref="JD42" si="799">IFERROR((((JD20/IQ20)-1)*100),)</f>
        <v>6.1308798330841352</v>
      </c>
      <c r="JE42" s="1473">
        <f t="shared" ref="JE42" si="800">IFERROR((((JE20/IR20)-1)*100),)</f>
        <v>42.285255693735756</v>
      </c>
      <c r="JF42" s="1473">
        <f t="shared" ref="JF42" si="801">IFERROR((((JF20/IS20)-1)*100),)</f>
        <v>16.330377722763288</v>
      </c>
      <c r="JG42" s="1473">
        <f t="shared" ref="JG42" si="802">IFERROR((((JG20/IT20)-1)*100),)</f>
        <v>2.3853085617453917</v>
      </c>
      <c r="JH42" s="1473">
        <f t="shared" ref="JH42" si="803">IFERROR((((JH20/IU20)-1)*100),)</f>
        <v>-3.6764065037294458</v>
      </c>
      <c r="JI42" s="1473">
        <f t="shared" ref="JI42" si="804">IFERROR((((JI20/IV20)-1)*100),)</f>
        <v>-3.3219071063433359</v>
      </c>
      <c r="JJ42" s="1473">
        <f t="shared" ref="JJ42" si="805">IFERROR((((JJ20/IW20)-1)*100),)</f>
        <v>-3.4408562257364883</v>
      </c>
      <c r="JK42" s="1473">
        <f t="shared" ref="JK42" si="806">IFERROR((((JK20/IX20)-1)*100),)</f>
        <v>-14.404943090798817</v>
      </c>
      <c r="JL42" s="1473">
        <f t="shared" ref="JL42" si="807">IFERROR((((JL20/IY20)-1)*100),)</f>
        <v>20.358866404909449</v>
      </c>
      <c r="JM42" s="1474">
        <f t="shared" ref="JM42" si="808">IFERROR((((JM20/IZ20)-1)*100),)</f>
        <v>35.098330474487646</v>
      </c>
      <c r="JN42" s="1475">
        <f t="shared" ref="JN42:KA42" si="809">IFERROR((((JN20/JA20)-1)*100),)</f>
        <v>5.2929754430955267</v>
      </c>
      <c r="JO42" s="1473">
        <f t="shared" si="809"/>
        <v>-4.7425798944032094</v>
      </c>
      <c r="JP42" s="1473">
        <f t="shared" si="809"/>
        <v>14.507589829992028</v>
      </c>
      <c r="JQ42" s="1473">
        <f t="shared" si="809"/>
        <v>21.716472668991504</v>
      </c>
      <c r="JR42" s="1473">
        <f>IFERROR((((JR20/JE20)-1)*100),)</f>
        <v>22.038878079873037</v>
      </c>
      <c r="JS42" s="1473">
        <f t="shared" si="809"/>
        <v>12.466333034959632</v>
      </c>
      <c r="JT42" s="1473">
        <f>IFERROR((((JT20/JG20)-1)*100),)</f>
        <v>17.208835185932436</v>
      </c>
      <c r="JU42" s="1473">
        <f t="shared" si="809"/>
        <v>18.777382097324203</v>
      </c>
      <c r="JV42" s="1473">
        <f>IFERROR((((JV20/JI20)-1)*100),)</f>
        <v>22.543419022861212</v>
      </c>
      <c r="JW42" s="1473">
        <f t="shared" si="809"/>
        <v>-100</v>
      </c>
      <c r="JX42" s="1473">
        <f t="shared" si="809"/>
        <v>-100</v>
      </c>
      <c r="JY42" s="1473">
        <f t="shared" si="809"/>
        <v>-100</v>
      </c>
      <c r="JZ42" s="1474">
        <f t="shared" si="809"/>
        <v>-100</v>
      </c>
      <c r="KA42" s="1475">
        <f t="shared" si="809"/>
        <v>5.0279724995593966</v>
      </c>
      <c r="KB42" s="130"/>
      <c r="KC42" s="130"/>
      <c r="KD42" s="77"/>
      <c r="KE42" s="77"/>
      <c r="KF42" s="77"/>
    </row>
    <row r="43" spans="1:292" ht="15" customHeight="1" x14ac:dyDescent="0.2">
      <c r="A43" s="1168" t="s">
        <v>611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C43"/>
      <c r="KD43"/>
      <c r="KE43"/>
      <c r="KF43"/>
    </row>
    <row r="44" spans="1:292" ht="15" customHeigh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C44"/>
      <c r="KD44"/>
      <c r="KE44"/>
      <c r="KF44"/>
    </row>
    <row r="45" spans="1:292" ht="15" customHeigh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C45"/>
      <c r="KD45"/>
      <c r="KE45"/>
      <c r="KF45"/>
    </row>
    <row r="46" spans="1:292" ht="15" customHeigh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C46"/>
      <c r="KD46"/>
      <c r="KE46"/>
      <c r="KF46"/>
    </row>
    <row r="47" spans="1:292" ht="15" customHeigh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C47"/>
      <c r="KD47"/>
      <c r="KE47"/>
      <c r="KF47"/>
    </row>
    <row r="48" spans="1:292" ht="15" customHeigh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C48"/>
      <c r="KD48"/>
      <c r="KE48"/>
      <c r="KF48"/>
    </row>
    <row r="49" customFormat="1" ht="15" customHeight="1" x14ac:dyDescent="0.2"/>
    <row r="50" customFormat="1" ht="15" customHeight="1" x14ac:dyDescent="0.2"/>
    <row r="51" customFormat="1" ht="15" customHeight="1" x14ac:dyDescent="0.2"/>
    <row r="52" customFormat="1" ht="15" customHeight="1" x14ac:dyDescent="0.2"/>
    <row r="53" customFormat="1" ht="15" customHeight="1" x14ac:dyDescent="0.2"/>
    <row r="54" customFormat="1" ht="15" customHeight="1" x14ac:dyDescent="0.2"/>
    <row r="55" customFormat="1" ht="15" customHeight="1" x14ac:dyDescent="0.2"/>
    <row r="56" customFormat="1" ht="15" customHeight="1" x14ac:dyDescent="0.2"/>
    <row r="57" customFormat="1" ht="15" customHeight="1" x14ac:dyDescent="0.2"/>
    <row r="58" customFormat="1" ht="15" customHeight="1" x14ac:dyDescent="0.2"/>
    <row r="59" customFormat="1" ht="15" customHeight="1" x14ac:dyDescent="0.2"/>
    <row r="60" customFormat="1" ht="15" customHeight="1" x14ac:dyDescent="0.2"/>
    <row r="61" customFormat="1" ht="15" customHeight="1" x14ac:dyDescent="0.2"/>
    <row r="62" customFormat="1" ht="15" customHeight="1" x14ac:dyDescent="0.2"/>
    <row r="63" customFormat="1" ht="15" customHeight="1" x14ac:dyDescent="0.2"/>
    <row r="64" customFormat="1" ht="15" customHeight="1" x14ac:dyDescent="0.2"/>
    <row r="65" customFormat="1" ht="15" customHeight="1" x14ac:dyDescent="0.2"/>
    <row r="66" customFormat="1" ht="15" customHeight="1" x14ac:dyDescent="0.2"/>
    <row r="67" customFormat="1" ht="15" customHeight="1" x14ac:dyDescent="0.2"/>
    <row r="68" customFormat="1" ht="15" customHeight="1" x14ac:dyDescent="0.2"/>
    <row r="69" customFormat="1" ht="15" customHeight="1" x14ac:dyDescent="0.2"/>
    <row r="70" customFormat="1" ht="15" customHeight="1" x14ac:dyDescent="0.2"/>
    <row r="71" customFormat="1" ht="15" customHeight="1" x14ac:dyDescent="0.2"/>
    <row r="72" customFormat="1" ht="15" customHeight="1" x14ac:dyDescent="0.2"/>
    <row r="73" customFormat="1" ht="15" customHeight="1" x14ac:dyDescent="0.2"/>
    <row r="74" customFormat="1" ht="15" customHeight="1" x14ac:dyDescent="0.2"/>
    <row r="75" customFormat="1" ht="15" customHeight="1" x14ac:dyDescent="0.2"/>
    <row r="76" customFormat="1" ht="15" customHeight="1" x14ac:dyDescent="0.2"/>
    <row r="77" customFormat="1" ht="15" customHeight="1" x14ac:dyDescent="0.2"/>
    <row r="78" customFormat="1" ht="15" customHeight="1" x14ac:dyDescent="0.2"/>
    <row r="79" customFormat="1" ht="15" customHeight="1" x14ac:dyDescent="0.2"/>
    <row r="80" customFormat="1" ht="15" customHeight="1" x14ac:dyDescent="0.2"/>
  </sheetData>
  <mergeCells count="2">
    <mergeCell ref="A4:A5"/>
    <mergeCell ref="A26:A27"/>
  </mergeCells>
  <pageMargins left="0.70866141732283472" right="0.70866141732283472" top="0.74803149606299213" bottom="0.74803149606299213" header="0.31496062992125984" footer="0.31496062992125984"/>
  <pageSetup paperSize="9" scale="10" orientation="landscape" r:id="rId1"/>
  <rowBreaks count="1" manualBreakCount="1">
    <brk id="7" max="16383" man="1"/>
  </rowBreaks>
  <colBreaks count="1" manualBreakCount="1">
    <brk id="29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3"/>
  <dimension ref="A1:EU16"/>
  <sheetViews>
    <sheetView showGridLines="0" view="pageBreakPreview" zoomScaleNormal="85" zoomScaleSheetLayoutView="100" workbookViewId="0">
      <pane xSplit="1" topLeftCell="EA1" activePane="topRight" state="frozen"/>
      <selection activeCell="IB59" sqref="IB59:JB59"/>
      <selection pane="topRight" activeCell="EC16" sqref="EC16"/>
    </sheetView>
  </sheetViews>
  <sheetFormatPr baseColWidth="10" defaultColWidth="9.7109375" defaultRowHeight="13.9" customHeight="1" x14ac:dyDescent="0.2"/>
  <cols>
    <col min="1" max="1" width="20.7109375" style="1" customWidth="1"/>
    <col min="2" max="144" width="9.7109375" style="1"/>
    <col min="145" max="145" width="1.7109375" customWidth="1"/>
    <col min="146" max="16384" width="9.7109375" style="1"/>
  </cols>
  <sheetData>
    <row r="1" spans="1:151" ht="13.9" customHeight="1" x14ac:dyDescent="0.2">
      <c r="A1" s="35" t="s">
        <v>166</v>
      </c>
      <c r="CB1" s="116"/>
      <c r="CC1" s="116"/>
      <c r="CD1" s="116"/>
      <c r="CE1" s="116"/>
      <c r="CF1" s="116"/>
      <c r="CG1" s="116"/>
      <c r="CH1" s="116"/>
      <c r="CI1" s="116"/>
      <c r="CJ1" s="116"/>
      <c r="CK1" s="116"/>
      <c r="CL1" s="116"/>
      <c r="CM1" s="116"/>
      <c r="CN1" s="116"/>
      <c r="CO1" s="116"/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16"/>
      <c r="DC1" s="116"/>
      <c r="DD1" s="116"/>
      <c r="DE1" s="116"/>
      <c r="DF1" s="116"/>
      <c r="DG1" s="116"/>
      <c r="DH1" s="116"/>
      <c r="DI1" s="116"/>
      <c r="DJ1" s="116"/>
      <c r="DK1" s="116"/>
      <c r="DL1" s="116"/>
      <c r="DM1" s="116"/>
      <c r="DN1" s="116"/>
      <c r="DO1" s="116"/>
      <c r="DP1" s="116"/>
      <c r="DQ1" s="116"/>
      <c r="DR1" s="116"/>
      <c r="DS1" s="116"/>
      <c r="DT1" s="116"/>
      <c r="DU1" s="116"/>
      <c r="DV1" s="116"/>
      <c r="DW1" s="116"/>
      <c r="DX1" s="116"/>
      <c r="DY1" s="116"/>
      <c r="DZ1" s="116"/>
      <c r="EA1" s="116"/>
      <c r="EB1" s="116"/>
      <c r="EC1" s="116"/>
      <c r="ED1" s="116"/>
      <c r="EE1" s="116"/>
      <c r="EF1" s="116"/>
      <c r="EG1" s="116"/>
      <c r="EH1" s="116"/>
      <c r="EI1" s="116"/>
      <c r="EJ1" s="116"/>
      <c r="EK1" s="116"/>
      <c r="EL1" s="116"/>
      <c r="EM1" s="116"/>
      <c r="EN1" s="116"/>
      <c r="EP1" s="116"/>
    </row>
    <row r="2" spans="1:151" ht="13.9" customHeight="1" x14ac:dyDescent="0.2">
      <c r="A2" s="35" t="s">
        <v>258</v>
      </c>
      <c r="CB2" s="116"/>
      <c r="CC2" s="116"/>
      <c r="CD2" s="116"/>
      <c r="CE2" s="116"/>
      <c r="CF2" s="116"/>
      <c r="CG2" s="116"/>
      <c r="CH2" s="116"/>
      <c r="CI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  <c r="DB2" s="116"/>
      <c r="DC2" s="116"/>
      <c r="DD2" s="116"/>
      <c r="DE2" s="116"/>
      <c r="DF2" s="116"/>
      <c r="DG2" s="116"/>
      <c r="DH2" s="116"/>
      <c r="DI2" s="116"/>
      <c r="DJ2" s="116"/>
      <c r="DK2" s="116"/>
      <c r="DL2" s="116"/>
      <c r="DM2" s="116"/>
      <c r="DN2" s="116"/>
      <c r="DO2" s="116"/>
      <c r="DP2" s="116"/>
      <c r="DQ2" s="116"/>
      <c r="DR2" s="116"/>
      <c r="DS2" s="116"/>
      <c r="DT2" s="116"/>
      <c r="DU2" s="116"/>
      <c r="DV2" s="116"/>
      <c r="DW2" s="116"/>
      <c r="DX2" s="116"/>
      <c r="DY2" s="116"/>
      <c r="DZ2" s="116"/>
      <c r="EA2" s="116"/>
      <c r="EB2" s="116"/>
      <c r="EC2" s="116"/>
      <c r="ED2" s="116"/>
      <c r="EE2" s="116"/>
      <c r="EF2" s="116"/>
      <c r="EG2" s="116"/>
      <c r="EH2" s="116"/>
      <c r="EI2" s="116"/>
      <c r="EJ2" s="116"/>
      <c r="EK2" s="116"/>
      <c r="EL2" s="116"/>
      <c r="EM2" s="116"/>
      <c r="EN2" s="116"/>
      <c r="EP2" s="116"/>
    </row>
    <row r="3" spans="1:151" ht="13.9" customHeight="1" x14ac:dyDescent="0.2">
      <c r="A3" s="35" t="s">
        <v>615</v>
      </c>
      <c r="AQ3" s="2"/>
      <c r="AR3" s="2"/>
      <c r="CB3" s="116"/>
      <c r="CC3" s="116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  <c r="DJ3" s="116"/>
      <c r="DK3" s="116"/>
      <c r="DL3" s="116"/>
      <c r="DM3" s="116"/>
      <c r="DN3" s="116"/>
      <c r="DO3" s="116"/>
      <c r="DP3" s="116"/>
      <c r="DQ3" s="116"/>
      <c r="DR3" s="116"/>
      <c r="DS3" s="116"/>
      <c r="DT3" s="116"/>
      <c r="DU3" s="116"/>
      <c r="DV3" s="116"/>
      <c r="DW3" s="116"/>
      <c r="DX3" s="116"/>
      <c r="DY3" s="116"/>
      <c r="DZ3" s="116"/>
      <c r="EA3" s="116"/>
      <c r="EB3" s="116"/>
      <c r="EC3" s="116"/>
      <c r="ED3" s="116"/>
      <c r="EE3" s="116"/>
      <c r="EF3" s="116"/>
      <c r="EG3" s="116"/>
      <c r="EH3" s="116"/>
      <c r="EI3" s="116"/>
      <c r="EJ3" s="116"/>
      <c r="EK3" s="116"/>
      <c r="EL3" s="116"/>
      <c r="EM3" s="116"/>
      <c r="EN3" s="116"/>
      <c r="EP3" s="116"/>
    </row>
    <row r="4" spans="1:151" ht="13.9" customHeight="1" x14ac:dyDescent="0.2">
      <c r="A4" s="131"/>
      <c r="B4" s="121">
        <v>2006</v>
      </c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37"/>
      <c r="N4" s="103" t="s">
        <v>29</v>
      </c>
      <c r="O4" s="121">
        <v>2007</v>
      </c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37"/>
      <c r="AA4" s="103" t="s">
        <v>29</v>
      </c>
      <c r="AB4" s="121">
        <v>2008</v>
      </c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37"/>
      <c r="AN4" s="103" t="s">
        <v>29</v>
      </c>
      <c r="AO4" s="121">
        <v>2009</v>
      </c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37"/>
      <c r="BA4" s="103" t="s">
        <v>29</v>
      </c>
      <c r="BB4" s="121">
        <v>2010</v>
      </c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37"/>
      <c r="BN4" s="103" t="s">
        <v>29</v>
      </c>
      <c r="BO4" s="121">
        <v>2011</v>
      </c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37"/>
      <c r="CA4" s="103" t="s">
        <v>29</v>
      </c>
      <c r="CB4" s="121">
        <v>2012</v>
      </c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37"/>
      <c r="CN4" s="103" t="s">
        <v>29</v>
      </c>
      <c r="CO4" s="121">
        <v>2013</v>
      </c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37"/>
      <c r="DA4" s="103" t="s">
        <v>29</v>
      </c>
      <c r="DB4" s="121">
        <v>2014</v>
      </c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37"/>
      <c r="DN4" s="103" t="s">
        <v>29</v>
      </c>
      <c r="DO4" s="121">
        <v>2015</v>
      </c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37"/>
      <c r="EA4" s="103" t="s">
        <v>29</v>
      </c>
      <c r="EB4" s="121">
        <v>2016</v>
      </c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37"/>
      <c r="EN4" s="103" t="s">
        <v>29</v>
      </c>
      <c r="EP4" s="1683" t="str">
        <f>CONCATENATE("Var.% ",ES4,"/",ES4-1)</f>
        <v>Var.% 2016/2015</v>
      </c>
      <c r="EQ4" s="1684"/>
      <c r="ER4" s="41">
        <f>ES4-1</f>
        <v>2015</v>
      </c>
      <c r="ES4" s="41">
        <f>EN5</f>
        <v>2016</v>
      </c>
      <c r="ET4" s="82"/>
    </row>
    <row r="5" spans="1:151" ht="13.9" customHeight="1" x14ac:dyDescent="0.2">
      <c r="A5" s="48"/>
      <c r="B5" s="68">
        <v>38718</v>
      </c>
      <c r="C5" s="69">
        <v>38749</v>
      </c>
      <c r="D5" s="69">
        <v>38777</v>
      </c>
      <c r="E5" s="69">
        <v>38808</v>
      </c>
      <c r="F5" s="69">
        <v>38838</v>
      </c>
      <c r="G5" s="69">
        <v>38869</v>
      </c>
      <c r="H5" s="69">
        <v>38899</v>
      </c>
      <c r="I5" s="69">
        <v>38930</v>
      </c>
      <c r="J5" s="69">
        <v>38961</v>
      </c>
      <c r="K5" s="69">
        <v>38991</v>
      </c>
      <c r="L5" s="69">
        <v>39022</v>
      </c>
      <c r="M5" s="138">
        <v>39052</v>
      </c>
      <c r="N5" s="70">
        <f>YEAR(M5)</f>
        <v>2006</v>
      </c>
      <c r="O5" s="68">
        <v>39083</v>
      </c>
      <c r="P5" s="69">
        <v>39114</v>
      </c>
      <c r="Q5" s="69">
        <v>39142</v>
      </c>
      <c r="R5" s="69">
        <v>39173</v>
      </c>
      <c r="S5" s="69">
        <v>39203</v>
      </c>
      <c r="T5" s="69">
        <v>39234</v>
      </c>
      <c r="U5" s="69">
        <v>39264</v>
      </c>
      <c r="V5" s="69">
        <v>39295</v>
      </c>
      <c r="W5" s="69">
        <v>39326</v>
      </c>
      <c r="X5" s="69">
        <v>39356</v>
      </c>
      <c r="Y5" s="69">
        <v>39387</v>
      </c>
      <c r="Z5" s="138">
        <v>39417</v>
      </c>
      <c r="AA5" s="70">
        <f>YEAR(Z5)</f>
        <v>2007</v>
      </c>
      <c r="AB5" s="68">
        <v>39448</v>
      </c>
      <c r="AC5" s="69">
        <v>39479</v>
      </c>
      <c r="AD5" s="69">
        <v>39508</v>
      </c>
      <c r="AE5" s="69">
        <v>39539</v>
      </c>
      <c r="AF5" s="69">
        <v>39569</v>
      </c>
      <c r="AG5" s="69">
        <v>39600</v>
      </c>
      <c r="AH5" s="69">
        <v>39630</v>
      </c>
      <c r="AI5" s="69">
        <v>39661</v>
      </c>
      <c r="AJ5" s="69">
        <v>39692</v>
      </c>
      <c r="AK5" s="69">
        <v>39722</v>
      </c>
      <c r="AL5" s="69">
        <v>39753</v>
      </c>
      <c r="AM5" s="138">
        <v>39783</v>
      </c>
      <c r="AN5" s="70">
        <f>YEAR(AM5)</f>
        <v>2008</v>
      </c>
      <c r="AO5" s="68">
        <v>39814</v>
      </c>
      <c r="AP5" s="69">
        <v>39845</v>
      </c>
      <c r="AQ5" s="69">
        <v>39873</v>
      </c>
      <c r="AR5" s="69">
        <v>39904</v>
      </c>
      <c r="AS5" s="69">
        <v>39934</v>
      </c>
      <c r="AT5" s="69">
        <v>39965</v>
      </c>
      <c r="AU5" s="69">
        <v>39995</v>
      </c>
      <c r="AV5" s="69">
        <v>40026</v>
      </c>
      <c r="AW5" s="69">
        <v>40057</v>
      </c>
      <c r="AX5" s="69">
        <v>40087</v>
      </c>
      <c r="AY5" s="69">
        <v>40118</v>
      </c>
      <c r="AZ5" s="138">
        <v>40148</v>
      </c>
      <c r="BA5" s="70">
        <f>YEAR(AZ5)</f>
        <v>2009</v>
      </c>
      <c r="BB5" s="68">
        <v>40179</v>
      </c>
      <c r="BC5" s="69">
        <v>40210</v>
      </c>
      <c r="BD5" s="69">
        <v>40238</v>
      </c>
      <c r="BE5" s="69">
        <v>40269</v>
      </c>
      <c r="BF5" s="69">
        <v>40299</v>
      </c>
      <c r="BG5" s="69">
        <v>40330</v>
      </c>
      <c r="BH5" s="69">
        <v>40360</v>
      </c>
      <c r="BI5" s="69">
        <v>40391</v>
      </c>
      <c r="BJ5" s="69">
        <v>40422</v>
      </c>
      <c r="BK5" s="69">
        <v>40452</v>
      </c>
      <c r="BL5" s="69">
        <v>40483</v>
      </c>
      <c r="BM5" s="138">
        <v>40513</v>
      </c>
      <c r="BN5" s="70">
        <f>YEAR(BM5)</f>
        <v>2010</v>
      </c>
      <c r="BO5" s="68">
        <v>40544</v>
      </c>
      <c r="BP5" s="69">
        <v>40575</v>
      </c>
      <c r="BQ5" s="69">
        <v>40603</v>
      </c>
      <c r="BR5" s="69">
        <v>40634</v>
      </c>
      <c r="BS5" s="69">
        <v>40664</v>
      </c>
      <c r="BT5" s="69">
        <v>40695</v>
      </c>
      <c r="BU5" s="69">
        <v>40725</v>
      </c>
      <c r="BV5" s="69">
        <v>40756</v>
      </c>
      <c r="BW5" s="69">
        <v>40787</v>
      </c>
      <c r="BX5" s="69">
        <v>40817</v>
      </c>
      <c r="BY5" s="69">
        <v>40848</v>
      </c>
      <c r="BZ5" s="138">
        <v>40878</v>
      </c>
      <c r="CA5" s="70">
        <f>YEAR(BZ5)</f>
        <v>2011</v>
      </c>
      <c r="CB5" s="68">
        <v>40909</v>
      </c>
      <c r="CC5" s="69">
        <v>40940</v>
      </c>
      <c r="CD5" s="69">
        <v>40969</v>
      </c>
      <c r="CE5" s="69">
        <v>41000</v>
      </c>
      <c r="CF5" s="69">
        <v>41030</v>
      </c>
      <c r="CG5" s="69">
        <v>41061</v>
      </c>
      <c r="CH5" s="69">
        <v>41091</v>
      </c>
      <c r="CI5" s="69">
        <v>41122</v>
      </c>
      <c r="CJ5" s="69">
        <v>41153</v>
      </c>
      <c r="CK5" s="69">
        <v>41183</v>
      </c>
      <c r="CL5" s="69">
        <v>41214</v>
      </c>
      <c r="CM5" s="138">
        <v>41244</v>
      </c>
      <c r="CN5" s="70">
        <f>YEAR(CM5)</f>
        <v>2012</v>
      </c>
      <c r="CO5" s="68">
        <v>41275</v>
      </c>
      <c r="CP5" s="69">
        <v>41306</v>
      </c>
      <c r="CQ5" s="69">
        <v>41334</v>
      </c>
      <c r="CR5" s="69">
        <v>41365</v>
      </c>
      <c r="CS5" s="69">
        <v>41395</v>
      </c>
      <c r="CT5" s="69">
        <v>41426</v>
      </c>
      <c r="CU5" s="69">
        <v>41456</v>
      </c>
      <c r="CV5" s="69">
        <v>41487</v>
      </c>
      <c r="CW5" s="69">
        <v>41518</v>
      </c>
      <c r="CX5" s="69">
        <v>41548</v>
      </c>
      <c r="CY5" s="69">
        <v>41579</v>
      </c>
      <c r="CZ5" s="138">
        <v>41609</v>
      </c>
      <c r="DA5" s="70">
        <f>YEAR(CZ5)</f>
        <v>2013</v>
      </c>
      <c r="DB5" s="68">
        <v>41640</v>
      </c>
      <c r="DC5" s="69">
        <v>41671</v>
      </c>
      <c r="DD5" s="69">
        <v>41699</v>
      </c>
      <c r="DE5" s="69">
        <v>41730</v>
      </c>
      <c r="DF5" s="69">
        <v>41760</v>
      </c>
      <c r="DG5" s="69">
        <v>41791</v>
      </c>
      <c r="DH5" s="69">
        <v>41821</v>
      </c>
      <c r="DI5" s="69">
        <v>41852</v>
      </c>
      <c r="DJ5" s="69">
        <v>41883</v>
      </c>
      <c r="DK5" s="69">
        <v>41913</v>
      </c>
      <c r="DL5" s="69">
        <v>41944</v>
      </c>
      <c r="DM5" s="138">
        <v>41974</v>
      </c>
      <c r="DN5" s="70">
        <f>YEAR(DM5)</f>
        <v>2014</v>
      </c>
      <c r="DO5" s="68">
        <v>42005</v>
      </c>
      <c r="DP5" s="69">
        <v>42036</v>
      </c>
      <c r="DQ5" s="69">
        <v>42064</v>
      </c>
      <c r="DR5" s="69">
        <v>42095</v>
      </c>
      <c r="DS5" s="69">
        <v>42125</v>
      </c>
      <c r="DT5" s="69">
        <v>42156</v>
      </c>
      <c r="DU5" s="69">
        <v>42186</v>
      </c>
      <c r="DV5" s="69">
        <v>42217</v>
      </c>
      <c r="DW5" s="69">
        <v>42248</v>
      </c>
      <c r="DX5" s="69">
        <v>42278</v>
      </c>
      <c r="DY5" s="69">
        <v>42309</v>
      </c>
      <c r="DZ5" s="138">
        <v>42339</v>
      </c>
      <c r="EA5" s="70">
        <f>YEAR(DZ5)</f>
        <v>2015</v>
      </c>
      <c r="EB5" s="68">
        <v>42370</v>
      </c>
      <c r="EC5" s="69">
        <v>42401</v>
      </c>
      <c r="ED5" s="69">
        <v>42430</v>
      </c>
      <c r="EE5" s="69">
        <v>42461</v>
      </c>
      <c r="EF5" s="69">
        <v>42491</v>
      </c>
      <c r="EG5" s="69">
        <v>42522</v>
      </c>
      <c r="EH5" s="69">
        <v>42552</v>
      </c>
      <c r="EI5" s="69">
        <v>42583</v>
      </c>
      <c r="EJ5" s="69">
        <v>42614</v>
      </c>
      <c r="EK5" s="69">
        <v>42644</v>
      </c>
      <c r="EL5" s="69">
        <v>42675</v>
      </c>
      <c r="EM5" s="138">
        <v>42705</v>
      </c>
      <c r="EN5" s="70">
        <f>YEAR(EM5)</f>
        <v>2016</v>
      </c>
      <c r="EP5" s="42">
        <f>EH5</f>
        <v>42552</v>
      </c>
      <c r="EQ5" s="43" t="str">
        <f>CONCATENATE("Ene.-",TEXT(EP5,"MMM."))</f>
        <v>Ene.-Jul.</v>
      </c>
      <c r="ER5" s="43" t="str">
        <f>EQ5</f>
        <v>Ene.-Jul.</v>
      </c>
      <c r="ES5" s="43" t="str">
        <f>EQ5</f>
        <v>Ene.-Jul.</v>
      </c>
      <c r="ET5" s="35"/>
    </row>
    <row r="6" spans="1:151" ht="13.9" customHeight="1" x14ac:dyDescent="0.2">
      <c r="A6" s="131"/>
      <c r="B6" s="1460"/>
      <c r="C6" s="1461"/>
      <c r="D6" s="1461"/>
      <c r="E6" s="1461"/>
      <c r="F6" s="1461"/>
      <c r="G6" s="1461"/>
      <c r="H6" s="1461"/>
      <c r="I6" s="1461"/>
      <c r="J6" s="1461"/>
      <c r="K6" s="1461"/>
      <c r="L6" s="1461"/>
      <c r="M6" s="1462"/>
      <c r="N6" s="1463"/>
      <c r="O6" s="1461"/>
      <c r="P6" s="1461"/>
      <c r="Q6" s="1461"/>
      <c r="R6" s="1461"/>
      <c r="S6" s="1461"/>
      <c r="T6" s="1461"/>
      <c r="U6" s="1461"/>
      <c r="V6" s="1461"/>
      <c r="W6" s="1461"/>
      <c r="X6" s="1461"/>
      <c r="Y6" s="1461"/>
      <c r="Z6" s="1461"/>
      <c r="AA6" s="1463"/>
      <c r="AB6" s="1460"/>
      <c r="AC6" s="1461"/>
      <c r="AD6" s="1461"/>
      <c r="AE6" s="1461"/>
      <c r="AF6" s="1461"/>
      <c r="AG6" s="1461"/>
      <c r="AH6" s="1461"/>
      <c r="AI6" s="1461"/>
      <c r="AJ6" s="1461"/>
      <c r="AK6" s="1461"/>
      <c r="AL6" s="1461"/>
      <c r="AM6" s="1462"/>
      <c r="AN6" s="1463"/>
      <c r="AO6" s="1461"/>
      <c r="AP6" s="1461"/>
      <c r="AQ6" s="1461"/>
      <c r="AR6" s="1461"/>
      <c r="AS6" s="1461"/>
      <c r="AT6" s="1461"/>
      <c r="AU6" s="1461"/>
      <c r="AV6" s="1461"/>
      <c r="AW6" s="1461"/>
      <c r="AX6" s="1461"/>
      <c r="AY6" s="1461"/>
      <c r="AZ6" s="1462"/>
      <c r="BA6" s="137"/>
      <c r="BB6" s="1461"/>
      <c r="BC6" s="1461"/>
      <c r="BD6" s="1461"/>
      <c r="BE6" s="1461"/>
      <c r="BF6" s="1461"/>
      <c r="BG6" s="1461"/>
      <c r="BH6" s="1461"/>
      <c r="BI6" s="1461"/>
      <c r="BJ6" s="1461"/>
      <c r="BK6" s="1461"/>
      <c r="BL6" s="1461"/>
      <c r="BM6" s="1462"/>
      <c r="BN6" s="137"/>
      <c r="BO6" s="1461"/>
      <c r="BP6" s="1461"/>
      <c r="BQ6" s="1461"/>
      <c r="BR6" s="1461"/>
      <c r="BS6" s="1461"/>
      <c r="BT6" s="1461"/>
      <c r="BU6" s="1461"/>
      <c r="BV6" s="1461"/>
      <c r="BW6" s="1461"/>
      <c r="BX6" s="1461"/>
      <c r="BY6" s="1461"/>
      <c r="BZ6" s="1461"/>
      <c r="CA6" s="1463"/>
      <c r="CB6" s="1460"/>
      <c r="CC6" s="1461"/>
      <c r="CD6" s="1461"/>
      <c r="CE6" s="1461"/>
      <c r="CF6" s="1461"/>
      <c r="CG6" s="1461"/>
      <c r="CH6" s="1461"/>
      <c r="CI6" s="1461"/>
      <c r="CJ6" s="1461"/>
      <c r="CK6" s="1461"/>
      <c r="CL6" s="1461"/>
      <c r="CM6" s="1461"/>
      <c r="CN6" s="1463"/>
      <c r="CO6" s="1461"/>
      <c r="CP6" s="1461"/>
      <c r="CQ6" s="1461"/>
      <c r="CR6" s="1461"/>
      <c r="CS6" s="1461"/>
      <c r="CT6" s="1461"/>
      <c r="CU6" s="1461"/>
      <c r="CV6" s="1461"/>
      <c r="CW6" s="1461"/>
      <c r="CX6" s="1461"/>
      <c r="CY6" s="1461"/>
      <c r="CZ6" s="1461"/>
      <c r="DA6" s="1463"/>
      <c r="DB6" s="1460"/>
      <c r="DC6" s="1461"/>
      <c r="DD6" s="1461"/>
      <c r="DE6" s="1461"/>
      <c r="DF6" s="1461"/>
      <c r="DG6" s="1461"/>
      <c r="DH6" s="1461"/>
      <c r="DI6" s="1461"/>
      <c r="DJ6" s="1461"/>
      <c r="DK6" s="1461"/>
      <c r="DL6" s="1461"/>
      <c r="DM6" s="1462"/>
      <c r="DN6" s="137"/>
      <c r="DO6" s="1460"/>
      <c r="DP6" s="1461"/>
      <c r="DQ6" s="1461"/>
      <c r="DR6" s="1461"/>
      <c r="DS6" s="1461"/>
      <c r="DT6" s="1461"/>
      <c r="DU6" s="1461"/>
      <c r="DV6" s="1461"/>
      <c r="DW6" s="1461"/>
      <c r="DX6" s="1461"/>
      <c r="DY6" s="1461"/>
      <c r="DZ6" s="1462"/>
      <c r="EA6" s="137"/>
      <c r="EB6" s="1460"/>
      <c r="EC6" s="1461"/>
      <c r="ED6" s="1461"/>
      <c r="EE6" s="1461"/>
      <c r="EF6" s="1461"/>
      <c r="EG6" s="1461"/>
      <c r="EH6" s="1461"/>
      <c r="EI6" s="1461"/>
      <c r="EJ6" s="1461"/>
      <c r="EK6" s="1461"/>
      <c r="EL6" s="1461"/>
      <c r="EM6" s="1461"/>
      <c r="EN6" s="1463"/>
      <c r="EP6" s="45"/>
      <c r="EQ6" s="46"/>
      <c r="ER6" s="46"/>
      <c r="ES6" s="46"/>
      <c r="ET6" s="35"/>
    </row>
    <row r="7" spans="1:151" ht="13.9" customHeight="1" x14ac:dyDescent="0.2">
      <c r="A7" s="9" t="s">
        <v>73</v>
      </c>
      <c r="B7" s="51">
        <f t="shared" ref="B7:AM7" si="0">SUM(B8:B9)</f>
        <v>16333</v>
      </c>
      <c r="C7" s="29">
        <f t="shared" si="0"/>
        <v>15209</v>
      </c>
      <c r="D7" s="29">
        <f t="shared" si="0"/>
        <v>18242</v>
      </c>
      <c r="E7" s="29">
        <f t="shared" si="0"/>
        <v>17299</v>
      </c>
      <c r="F7" s="29">
        <f t="shared" si="0"/>
        <v>16882</v>
      </c>
      <c r="G7" s="29">
        <f t="shared" si="0"/>
        <v>19592</v>
      </c>
      <c r="H7" s="29">
        <f t="shared" si="0"/>
        <v>20876</v>
      </c>
      <c r="I7" s="29">
        <f t="shared" si="0"/>
        <v>20545</v>
      </c>
      <c r="J7" s="29">
        <f t="shared" si="0"/>
        <v>19128</v>
      </c>
      <c r="K7" s="29">
        <f t="shared" si="0"/>
        <v>19083</v>
      </c>
      <c r="L7" s="29">
        <f t="shared" si="0"/>
        <v>17583</v>
      </c>
      <c r="M7" s="15">
        <f>SUM(M8:M9)</f>
        <v>17414</v>
      </c>
      <c r="N7" s="50">
        <f t="shared" ref="N7:N13" si="1">SUM(B7:M7)</f>
        <v>218186</v>
      </c>
      <c r="O7" s="29">
        <f t="shared" si="0"/>
        <v>18082</v>
      </c>
      <c r="P7" s="29">
        <f t="shared" si="0"/>
        <v>18979</v>
      </c>
      <c r="Q7" s="29">
        <f t="shared" si="0"/>
        <v>22524</v>
      </c>
      <c r="R7" s="29">
        <f t="shared" si="0"/>
        <v>20747</v>
      </c>
      <c r="S7" s="29">
        <f t="shared" si="0"/>
        <v>15734</v>
      </c>
      <c r="T7" s="29">
        <f t="shared" si="0"/>
        <v>20954</v>
      </c>
      <c r="U7" s="29">
        <f t="shared" si="0"/>
        <v>21061</v>
      </c>
      <c r="V7" s="29">
        <f t="shared" si="0"/>
        <v>23792</v>
      </c>
      <c r="W7" s="29">
        <f t="shared" si="0"/>
        <v>22204</v>
      </c>
      <c r="X7" s="29">
        <f t="shared" si="0"/>
        <v>23366</v>
      </c>
      <c r="Y7" s="29">
        <f t="shared" si="0"/>
        <v>23056</v>
      </c>
      <c r="Z7" s="29">
        <f t="shared" si="0"/>
        <v>20398</v>
      </c>
      <c r="AA7" s="50">
        <f t="shared" ref="AA7:AA13" si="2">SUM(O7:Z7)</f>
        <v>250897</v>
      </c>
      <c r="AB7" s="51">
        <f t="shared" si="0"/>
        <v>25898</v>
      </c>
      <c r="AC7" s="29">
        <f t="shared" si="0"/>
        <v>24443</v>
      </c>
      <c r="AD7" s="29">
        <f t="shared" si="0"/>
        <v>27584</v>
      </c>
      <c r="AE7" s="29">
        <f t="shared" si="0"/>
        <v>26220</v>
      </c>
      <c r="AF7" s="29">
        <f t="shared" si="0"/>
        <v>27717</v>
      </c>
      <c r="AG7" s="29">
        <f t="shared" si="0"/>
        <v>27173</v>
      </c>
      <c r="AH7" s="29">
        <f t="shared" si="0"/>
        <v>28800</v>
      </c>
      <c r="AI7" s="29">
        <f t="shared" si="0"/>
        <v>30659</v>
      </c>
      <c r="AJ7" s="29">
        <f t="shared" si="0"/>
        <v>26045</v>
      </c>
      <c r="AK7" s="29">
        <f t="shared" si="0"/>
        <v>30202</v>
      </c>
      <c r="AL7" s="29">
        <f t="shared" si="0"/>
        <v>25685</v>
      </c>
      <c r="AM7" s="15">
        <f t="shared" si="0"/>
        <v>26958</v>
      </c>
      <c r="AN7" s="50">
        <f t="shared" ref="AN7:AN13" si="3">SUM(AB7:AM7)</f>
        <v>327384</v>
      </c>
      <c r="AO7" s="29">
        <f t="shared" ref="AO7:AZ7" si="4">SUM(AO8:AO9)</f>
        <v>32273</v>
      </c>
      <c r="AP7" s="29">
        <f t="shared" si="4"/>
        <v>31708</v>
      </c>
      <c r="AQ7" s="29">
        <f t="shared" si="4"/>
        <v>33370</v>
      </c>
      <c r="AR7" s="29">
        <f t="shared" si="4"/>
        <v>31648</v>
      </c>
      <c r="AS7" s="29">
        <f t="shared" si="4"/>
        <v>31972</v>
      </c>
      <c r="AT7" s="29">
        <f t="shared" si="4"/>
        <v>32043</v>
      </c>
      <c r="AU7" s="29">
        <f t="shared" si="4"/>
        <v>36837</v>
      </c>
      <c r="AV7" s="29">
        <f t="shared" si="4"/>
        <v>35263</v>
      </c>
      <c r="AW7" s="29">
        <f t="shared" si="4"/>
        <v>33484</v>
      </c>
      <c r="AX7" s="29">
        <f t="shared" si="4"/>
        <v>32519</v>
      </c>
      <c r="AY7" s="29">
        <f t="shared" si="4"/>
        <v>30965</v>
      </c>
      <c r="AZ7" s="15">
        <f t="shared" si="4"/>
        <v>27221</v>
      </c>
      <c r="BA7" s="15">
        <f t="shared" ref="BA7:BA13" si="5">SUM(AO7:AZ7)</f>
        <v>389303</v>
      </c>
      <c r="BB7" s="29">
        <f t="shared" ref="BB7:BY7" si="6">SUM(BB8:BB9)</f>
        <v>35948</v>
      </c>
      <c r="BC7" s="29">
        <f t="shared" si="6"/>
        <v>35609</v>
      </c>
      <c r="BD7" s="29">
        <f t="shared" si="6"/>
        <v>35008</v>
      </c>
      <c r="BE7" s="29">
        <f t="shared" si="6"/>
        <v>33841</v>
      </c>
      <c r="BF7" s="29">
        <f t="shared" si="6"/>
        <v>38547</v>
      </c>
      <c r="BG7" s="29">
        <f t="shared" si="6"/>
        <v>34076</v>
      </c>
      <c r="BH7" s="29">
        <f t="shared" si="6"/>
        <v>40609</v>
      </c>
      <c r="BI7" s="29">
        <f t="shared" si="6"/>
        <v>41867</v>
      </c>
      <c r="BJ7" s="29">
        <f t="shared" si="6"/>
        <v>38107</v>
      </c>
      <c r="BK7" s="29">
        <f t="shared" si="6"/>
        <v>40301</v>
      </c>
      <c r="BL7" s="29">
        <f t="shared" si="6"/>
        <v>46132</v>
      </c>
      <c r="BM7" s="15">
        <f t="shared" si="6"/>
        <v>37156</v>
      </c>
      <c r="BN7" s="15">
        <f t="shared" ref="BN7:BN13" si="7">SUM(BB7:BM7)</f>
        <v>457201</v>
      </c>
      <c r="BO7" s="29">
        <f t="shared" si="6"/>
        <v>42059</v>
      </c>
      <c r="BP7" s="29">
        <f t="shared" si="6"/>
        <v>40421</v>
      </c>
      <c r="BQ7" s="29">
        <f t="shared" si="6"/>
        <v>42857</v>
      </c>
      <c r="BR7" s="29">
        <f t="shared" si="6"/>
        <v>41190</v>
      </c>
      <c r="BS7" s="29">
        <f t="shared" si="6"/>
        <v>42222</v>
      </c>
      <c r="BT7" s="29">
        <f t="shared" si="6"/>
        <v>43092</v>
      </c>
      <c r="BU7" s="29">
        <f t="shared" si="6"/>
        <v>53383</v>
      </c>
      <c r="BV7" s="29">
        <f t="shared" si="6"/>
        <v>49959</v>
      </c>
      <c r="BW7" s="29">
        <f t="shared" si="6"/>
        <v>47230</v>
      </c>
      <c r="BX7" s="29">
        <f t="shared" si="6"/>
        <v>48172</v>
      </c>
      <c r="BY7" s="29">
        <f t="shared" si="6"/>
        <v>45325</v>
      </c>
      <c r="BZ7" s="29">
        <f>SUM(BZ8:BZ9)</f>
        <v>44395</v>
      </c>
      <c r="CA7" s="50">
        <f t="shared" ref="CA7:CA13" si="8">SUM(BO7:BZ7)</f>
        <v>540305</v>
      </c>
      <c r="CB7" s="51">
        <f t="shared" ref="CB7:CM7" si="9">SUM(CB8:CB9)</f>
        <v>46249</v>
      </c>
      <c r="CC7" s="29">
        <f t="shared" si="9"/>
        <v>42257</v>
      </c>
      <c r="CD7" s="29">
        <f t="shared" si="9"/>
        <v>40855</v>
      </c>
      <c r="CE7" s="29">
        <f t="shared" si="9"/>
        <v>42923</v>
      </c>
      <c r="CF7" s="29">
        <f t="shared" si="9"/>
        <v>45539</v>
      </c>
      <c r="CG7" s="29">
        <f t="shared" si="9"/>
        <v>48356</v>
      </c>
      <c r="CH7" s="29">
        <f t="shared" si="9"/>
        <v>47550</v>
      </c>
      <c r="CI7" s="29">
        <f t="shared" si="9"/>
        <v>56851</v>
      </c>
      <c r="CJ7" s="29">
        <f t="shared" si="9"/>
        <v>50166</v>
      </c>
      <c r="CK7" s="29">
        <f t="shared" si="9"/>
        <v>51018</v>
      </c>
      <c r="CL7" s="29">
        <f t="shared" si="9"/>
        <v>53055</v>
      </c>
      <c r="CM7" s="29">
        <f t="shared" si="9"/>
        <v>55732</v>
      </c>
      <c r="CN7" s="50">
        <f t="shared" ref="CN7:CN13" si="10">SUM(CB7:CM7)</f>
        <v>580551</v>
      </c>
      <c r="CO7" s="29">
        <f t="shared" ref="CO7:CZ7" si="11">SUM(CO8:CO9)</f>
        <v>51291</v>
      </c>
      <c r="CP7" s="29">
        <f t="shared" si="11"/>
        <v>46697</v>
      </c>
      <c r="CQ7" s="29">
        <f t="shared" si="11"/>
        <v>48694</v>
      </c>
      <c r="CR7" s="29">
        <f t="shared" si="11"/>
        <v>48837</v>
      </c>
      <c r="CS7" s="29">
        <f t="shared" si="11"/>
        <v>53635</v>
      </c>
      <c r="CT7" s="29">
        <f t="shared" si="11"/>
        <v>59354</v>
      </c>
      <c r="CU7" s="29">
        <f t="shared" si="11"/>
        <v>61309</v>
      </c>
      <c r="CV7" s="29">
        <f t="shared" si="11"/>
        <v>59743</v>
      </c>
      <c r="CW7" s="29">
        <f t="shared" si="11"/>
        <v>58023</v>
      </c>
      <c r="CX7" s="29">
        <f t="shared" si="11"/>
        <v>60986</v>
      </c>
      <c r="CY7" s="29">
        <f t="shared" si="11"/>
        <v>59903</v>
      </c>
      <c r="CZ7" s="29">
        <f t="shared" si="11"/>
        <v>61241</v>
      </c>
      <c r="DA7" s="50">
        <f t="shared" ref="DA7:DA13" si="12">SUM(CO7:CZ7)</f>
        <v>669713</v>
      </c>
      <c r="DB7" s="51">
        <f t="shared" ref="DB7:DH7" si="13">SUM(DB8:DB9)</f>
        <v>62042</v>
      </c>
      <c r="DC7" s="29">
        <f t="shared" si="13"/>
        <v>61950</v>
      </c>
      <c r="DD7" s="29">
        <f t="shared" si="13"/>
        <v>66399</v>
      </c>
      <c r="DE7" s="29">
        <f t="shared" si="13"/>
        <v>62049</v>
      </c>
      <c r="DF7" s="29">
        <f t="shared" si="13"/>
        <v>66877</v>
      </c>
      <c r="DG7" s="29">
        <f t="shared" si="13"/>
        <v>69204</v>
      </c>
      <c r="DH7" s="29">
        <f t="shared" si="13"/>
        <v>73817</v>
      </c>
      <c r="DI7" s="29">
        <f t="shared" ref="DI7:EH7" si="14">SUM(DI8:DI9)</f>
        <v>75352</v>
      </c>
      <c r="DJ7" s="29">
        <f t="shared" si="14"/>
        <v>69728</v>
      </c>
      <c r="DK7" s="29">
        <f t="shared" si="14"/>
        <v>72175</v>
      </c>
      <c r="DL7" s="29">
        <f t="shared" si="14"/>
        <v>64670</v>
      </c>
      <c r="DM7" s="15">
        <f t="shared" si="14"/>
        <v>54413</v>
      </c>
      <c r="DN7" s="15">
        <f t="shared" ref="DN7:DN13" si="15">SUM(DB7:DM7)</f>
        <v>798676</v>
      </c>
      <c r="DO7" s="51">
        <f t="shared" si="14"/>
        <v>67178</v>
      </c>
      <c r="DP7" s="29">
        <f t="shared" si="14"/>
        <v>68637</v>
      </c>
      <c r="DQ7" s="29">
        <f t="shared" si="14"/>
        <v>72462</v>
      </c>
      <c r="DR7" s="29">
        <f t="shared" si="14"/>
        <v>65588</v>
      </c>
      <c r="DS7" s="29">
        <f t="shared" si="14"/>
        <v>69442</v>
      </c>
      <c r="DT7" s="29">
        <f t="shared" si="14"/>
        <v>68728</v>
      </c>
      <c r="DU7" s="29">
        <f t="shared" si="14"/>
        <v>80986</v>
      </c>
      <c r="DV7" s="29">
        <f t="shared" si="14"/>
        <v>74761</v>
      </c>
      <c r="DW7" s="29">
        <f t="shared" si="14"/>
        <v>70259</v>
      </c>
      <c r="DX7" s="29">
        <f t="shared" si="14"/>
        <v>57892</v>
      </c>
      <c r="DY7" s="29">
        <f t="shared" si="14"/>
        <v>72299</v>
      </c>
      <c r="DZ7" s="15">
        <f t="shared" si="14"/>
        <v>55111</v>
      </c>
      <c r="EA7" s="15">
        <f t="shared" ref="EA7:EA13" si="16">SUM(DO7:DZ7)</f>
        <v>823343</v>
      </c>
      <c r="EB7" s="51">
        <f t="shared" si="14"/>
        <v>66719</v>
      </c>
      <c r="EC7" s="29">
        <f t="shared" si="14"/>
        <v>65868</v>
      </c>
      <c r="ED7" s="29">
        <f t="shared" si="14"/>
        <v>63152</v>
      </c>
      <c r="EE7" s="29">
        <f t="shared" si="14"/>
        <v>62299</v>
      </c>
      <c r="EF7" s="29">
        <f t="shared" si="14"/>
        <v>65922</v>
      </c>
      <c r="EG7" s="29">
        <f t="shared" si="14"/>
        <v>67566</v>
      </c>
      <c r="EH7" s="29">
        <f t="shared" si="14"/>
        <v>77658</v>
      </c>
      <c r="EI7" s="29"/>
      <c r="EJ7" s="29"/>
      <c r="EK7" s="29"/>
      <c r="EL7" s="29"/>
      <c r="EM7" s="29"/>
      <c r="EN7" s="50">
        <f t="shared" ref="EN7:EN13" si="17">SUM(EB7:EM7)</f>
        <v>469184</v>
      </c>
      <c r="EP7" s="132">
        <f t="shared" ref="EP7:EP13" si="18">IFERROR(((EH7/DU7)-1)*100,"-")</f>
        <v>-4.1093522337194095</v>
      </c>
      <c r="EQ7" s="132">
        <f t="shared" ref="EQ7:EQ13" si="19">IFERROR(((ES7/ER7)-1)*100,"-")</f>
        <v>-4.8348853294281628</v>
      </c>
      <c r="ER7" s="13">
        <f t="shared" ref="ER7:ER13" si="20">IFERROR(SUM(DO7:DU7),"-")</f>
        <v>493021</v>
      </c>
      <c r="ES7" s="13">
        <f t="shared" ref="ES7:ES13" si="21">IFERROR(SUM(EB7:EH7),"-")</f>
        <v>469184</v>
      </c>
      <c r="ET7" s="38"/>
    </row>
    <row r="8" spans="1:151" ht="13.9" customHeight="1" x14ac:dyDescent="0.2">
      <c r="A8" s="8" t="s">
        <v>74</v>
      </c>
      <c r="B8" s="52">
        <v>15925</v>
      </c>
      <c r="C8" s="24">
        <v>14843</v>
      </c>
      <c r="D8" s="24">
        <v>17928</v>
      </c>
      <c r="E8" s="24">
        <v>17003</v>
      </c>
      <c r="F8" s="24">
        <v>16548</v>
      </c>
      <c r="G8" s="24">
        <v>19265</v>
      </c>
      <c r="H8" s="24">
        <v>20064</v>
      </c>
      <c r="I8" s="24">
        <v>20035</v>
      </c>
      <c r="J8" s="24">
        <v>18853</v>
      </c>
      <c r="K8" s="24">
        <v>18620</v>
      </c>
      <c r="L8" s="24">
        <v>17223</v>
      </c>
      <c r="M8" s="23">
        <v>17059</v>
      </c>
      <c r="N8" s="53">
        <f t="shared" si="1"/>
        <v>213366</v>
      </c>
      <c r="O8" s="24">
        <v>17693</v>
      </c>
      <c r="P8" s="24">
        <v>18648</v>
      </c>
      <c r="Q8" s="24">
        <v>22006</v>
      </c>
      <c r="R8" s="24">
        <v>20422</v>
      </c>
      <c r="S8" s="24">
        <v>15508</v>
      </c>
      <c r="T8" s="24">
        <v>20535</v>
      </c>
      <c r="U8" s="24">
        <v>20549</v>
      </c>
      <c r="V8" s="24">
        <v>23164</v>
      </c>
      <c r="W8" s="24">
        <v>21834</v>
      </c>
      <c r="X8" s="24">
        <v>22990</v>
      </c>
      <c r="Y8" s="24">
        <v>22587</v>
      </c>
      <c r="Z8" s="24">
        <v>20088</v>
      </c>
      <c r="AA8" s="53">
        <f t="shared" si="2"/>
        <v>246024</v>
      </c>
      <c r="AB8" s="52">
        <v>25421</v>
      </c>
      <c r="AC8" s="24">
        <v>23945</v>
      </c>
      <c r="AD8" s="24">
        <v>27224</v>
      </c>
      <c r="AE8" s="24">
        <v>25934</v>
      </c>
      <c r="AF8" s="24">
        <v>27327</v>
      </c>
      <c r="AG8" s="24">
        <v>26689</v>
      </c>
      <c r="AH8" s="24">
        <v>28036</v>
      </c>
      <c r="AI8" s="24">
        <v>30019</v>
      </c>
      <c r="AJ8" s="24">
        <v>25465</v>
      </c>
      <c r="AK8" s="24">
        <v>29724</v>
      </c>
      <c r="AL8" s="24">
        <v>25415</v>
      </c>
      <c r="AM8" s="23">
        <v>26569</v>
      </c>
      <c r="AN8" s="53">
        <f t="shared" si="3"/>
        <v>321768</v>
      </c>
      <c r="AO8" s="24">
        <v>31767</v>
      </c>
      <c r="AP8" s="24">
        <v>31182</v>
      </c>
      <c r="AQ8" s="24">
        <v>32925</v>
      </c>
      <c r="AR8" s="24">
        <v>31175</v>
      </c>
      <c r="AS8" s="24">
        <v>31529</v>
      </c>
      <c r="AT8" s="24">
        <v>31332</v>
      </c>
      <c r="AU8" s="24">
        <v>35937</v>
      </c>
      <c r="AV8" s="24">
        <v>34645</v>
      </c>
      <c r="AW8" s="24">
        <v>32935</v>
      </c>
      <c r="AX8" s="24">
        <v>31998</v>
      </c>
      <c r="AY8" s="24">
        <v>30390</v>
      </c>
      <c r="AZ8" s="23">
        <v>26800</v>
      </c>
      <c r="BA8" s="23">
        <f t="shared" si="5"/>
        <v>382615</v>
      </c>
      <c r="BB8" s="24">
        <v>35378</v>
      </c>
      <c r="BC8" s="24">
        <v>35123</v>
      </c>
      <c r="BD8" s="24">
        <v>34486</v>
      </c>
      <c r="BE8" s="24">
        <v>33537</v>
      </c>
      <c r="BF8" s="24">
        <v>38134</v>
      </c>
      <c r="BG8" s="24">
        <v>33591</v>
      </c>
      <c r="BH8" s="24">
        <v>39804</v>
      </c>
      <c r="BI8" s="24">
        <v>41095</v>
      </c>
      <c r="BJ8" s="24">
        <v>37655</v>
      </c>
      <c r="BK8" s="24">
        <v>39604</v>
      </c>
      <c r="BL8" s="24">
        <v>45553</v>
      </c>
      <c r="BM8" s="23">
        <v>36577</v>
      </c>
      <c r="BN8" s="23">
        <f t="shared" si="7"/>
        <v>450537</v>
      </c>
      <c r="BO8" s="24">
        <v>41329</v>
      </c>
      <c r="BP8" s="24">
        <v>39302</v>
      </c>
      <c r="BQ8" s="24">
        <v>41939</v>
      </c>
      <c r="BR8" s="24">
        <v>40582</v>
      </c>
      <c r="BS8" s="24">
        <v>41697</v>
      </c>
      <c r="BT8" s="24">
        <v>42579</v>
      </c>
      <c r="BU8" s="24">
        <v>52238</v>
      </c>
      <c r="BV8" s="24">
        <v>49232</v>
      </c>
      <c r="BW8" s="24">
        <v>46650</v>
      </c>
      <c r="BX8" s="24">
        <v>47442</v>
      </c>
      <c r="BY8" s="24">
        <v>44815</v>
      </c>
      <c r="BZ8" s="24">
        <v>43899</v>
      </c>
      <c r="CA8" s="53">
        <f t="shared" si="8"/>
        <v>531704</v>
      </c>
      <c r="CB8" s="52">
        <v>45479</v>
      </c>
      <c r="CC8" s="24">
        <v>41691</v>
      </c>
      <c r="CD8" s="24">
        <f>6939+2616+21597+474+1264+2741+2778+427+888+524</f>
        <v>40248</v>
      </c>
      <c r="CE8" s="24">
        <v>42077</v>
      </c>
      <c r="CF8" s="24">
        <v>44849</v>
      </c>
      <c r="CG8" s="24">
        <v>47237</v>
      </c>
      <c r="CH8" s="24">
        <v>45557</v>
      </c>
      <c r="CI8" s="24">
        <v>56049</v>
      </c>
      <c r="CJ8" s="24">
        <v>49582</v>
      </c>
      <c r="CK8" s="24">
        <v>50383</v>
      </c>
      <c r="CL8" s="24">
        <v>52226</v>
      </c>
      <c r="CM8" s="24">
        <v>55121</v>
      </c>
      <c r="CN8" s="53">
        <f t="shared" si="10"/>
        <v>570499</v>
      </c>
      <c r="CO8" s="24">
        <v>50659</v>
      </c>
      <c r="CP8" s="24">
        <v>46095</v>
      </c>
      <c r="CQ8" s="24">
        <v>47906</v>
      </c>
      <c r="CR8" s="24">
        <v>48084</v>
      </c>
      <c r="CS8" s="24">
        <v>52842</v>
      </c>
      <c r="CT8" s="24">
        <v>58572</v>
      </c>
      <c r="CU8" s="24">
        <v>60248</v>
      </c>
      <c r="CV8" s="24">
        <v>58652</v>
      </c>
      <c r="CW8" s="24">
        <v>57192</v>
      </c>
      <c r="CX8" s="24">
        <v>60140</v>
      </c>
      <c r="CY8" s="24">
        <v>59065</v>
      </c>
      <c r="CZ8" s="24">
        <v>60564</v>
      </c>
      <c r="DA8" s="53">
        <f t="shared" si="12"/>
        <v>660019</v>
      </c>
      <c r="DB8" s="52">
        <v>61122</v>
      </c>
      <c r="DC8" s="24">
        <v>60934</v>
      </c>
      <c r="DD8" s="24">
        <v>65482</v>
      </c>
      <c r="DE8" s="24">
        <v>61186</v>
      </c>
      <c r="DF8" s="24">
        <v>65814</v>
      </c>
      <c r="DG8" s="24">
        <v>68011</v>
      </c>
      <c r="DH8" s="24">
        <v>72317</v>
      </c>
      <c r="DI8" s="24">
        <v>73479</v>
      </c>
      <c r="DJ8" s="24">
        <v>68507</v>
      </c>
      <c r="DK8" s="24">
        <v>70883</v>
      </c>
      <c r="DL8" s="24">
        <v>63355</v>
      </c>
      <c r="DM8" s="23">
        <v>53072</v>
      </c>
      <c r="DN8" s="23">
        <f t="shared" si="15"/>
        <v>784162</v>
      </c>
      <c r="DO8" s="52">
        <v>66206</v>
      </c>
      <c r="DP8" s="24">
        <v>67752</v>
      </c>
      <c r="DQ8" s="24">
        <v>71354</v>
      </c>
      <c r="DR8" s="24">
        <v>64625</v>
      </c>
      <c r="DS8" s="24">
        <v>68403</v>
      </c>
      <c r="DT8" s="24">
        <v>67742</v>
      </c>
      <c r="DU8" s="24">
        <v>79584</v>
      </c>
      <c r="DV8" s="24">
        <v>73563</v>
      </c>
      <c r="DW8" s="24">
        <v>69297</v>
      </c>
      <c r="DX8" s="24">
        <v>56934</v>
      </c>
      <c r="DY8" s="24">
        <v>71137</v>
      </c>
      <c r="DZ8" s="23">
        <v>54351</v>
      </c>
      <c r="EA8" s="23">
        <f t="shared" si="16"/>
        <v>810948</v>
      </c>
      <c r="EB8" s="52">
        <v>65524</v>
      </c>
      <c r="EC8" s="24">
        <v>64673</v>
      </c>
      <c r="ED8" s="24">
        <v>62266</v>
      </c>
      <c r="EE8" s="24">
        <v>61431</v>
      </c>
      <c r="EF8" s="24">
        <v>64912</v>
      </c>
      <c r="EG8" s="24">
        <v>65817</v>
      </c>
      <c r="EH8" s="24">
        <v>75761</v>
      </c>
      <c r="EI8" s="24"/>
      <c r="EJ8" s="24"/>
      <c r="EK8" s="24"/>
      <c r="EL8" s="24"/>
      <c r="EM8" s="24"/>
      <c r="EN8" s="53">
        <f t="shared" si="17"/>
        <v>460384</v>
      </c>
      <c r="EP8" s="133">
        <f t="shared" si="18"/>
        <v>-4.8037293928427811</v>
      </c>
      <c r="EQ8" s="133">
        <f t="shared" si="19"/>
        <v>-5.2056351484353396</v>
      </c>
      <c r="ER8" s="20">
        <f t="shared" si="20"/>
        <v>485666</v>
      </c>
      <c r="ES8" s="20">
        <f t="shared" si="21"/>
        <v>460384</v>
      </c>
      <c r="ET8" s="35"/>
    </row>
    <row r="9" spans="1:151" ht="13.9" customHeight="1" x14ac:dyDescent="0.2">
      <c r="A9" s="8" t="s">
        <v>75</v>
      </c>
      <c r="B9" s="52">
        <v>408</v>
      </c>
      <c r="C9" s="24">
        <v>366</v>
      </c>
      <c r="D9" s="24">
        <v>314</v>
      </c>
      <c r="E9" s="24">
        <v>296</v>
      </c>
      <c r="F9" s="24">
        <v>334</v>
      </c>
      <c r="G9" s="24">
        <v>327</v>
      </c>
      <c r="H9" s="24">
        <v>812</v>
      </c>
      <c r="I9" s="24">
        <v>510</v>
      </c>
      <c r="J9" s="24">
        <v>275</v>
      </c>
      <c r="K9" s="24">
        <v>463</v>
      </c>
      <c r="L9" s="24">
        <v>360</v>
      </c>
      <c r="M9" s="23">
        <v>355</v>
      </c>
      <c r="N9" s="53">
        <f t="shared" si="1"/>
        <v>4820</v>
      </c>
      <c r="O9" s="24">
        <v>389</v>
      </c>
      <c r="P9" s="24">
        <v>331</v>
      </c>
      <c r="Q9" s="24">
        <v>518</v>
      </c>
      <c r="R9" s="24">
        <v>325</v>
      </c>
      <c r="S9" s="24">
        <v>226</v>
      </c>
      <c r="T9" s="24">
        <v>419</v>
      </c>
      <c r="U9" s="24">
        <v>512</v>
      </c>
      <c r="V9" s="24">
        <v>628</v>
      </c>
      <c r="W9" s="24">
        <v>370</v>
      </c>
      <c r="X9" s="24">
        <v>376</v>
      </c>
      <c r="Y9" s="24">
        <v>469</v>
      </c>
      <c r="Z9" s="24">
        <v>310</v>
      </c>
      <c r="AA9" s="53">
        <f t="shared" si="2"/>
        <v>4873</v>
      </c>
      <c r="AB9" s="52">
        <v>477</v>
      </c>
      <c r="AC9" s="24">
        <v>498</v>
      </c>
      <c r="AD9" s="24">
        <v>360</v>
      </c>
      <c r="AE9" s="24">
        <v>286</v>
      </c>
      <c r="AF9" s="24">
        <v>390</v>
      </c>
      <c r="AG9" s="24">
        <v>484</v>
      </c>
      <c r="AH9" s="24">
        <v>764</v>
      </c>
      <c r="AI9" s="24">
        <v>640</v>
      </c>
      <c r="AJ9" s="24">
        <v>580</v>
      </c>
      <c r="AK9" s="24">
        <v>478</v>
      </c>
      <c r="AL9" s="24">
        <v>270</v>
      </c>
      <c r="AM9" s="23">
        <v>389</v>
      </c>
      <c r="AN9" s="53">
        <f t="shared" si="3"/>
        <v>5616</v>
      </c>
      <c r="AO9" s="24">
        <v>506</v>
      </c>
      <c r="AP9" s="24">
        <v>526</v>
      </c>
      <c r="AQ9" s="24">
        <v>445</v>
      </c>
      <c r="AR9" s="24">
        <v>473</v>
      </c>
      <c r="AS9" s="24">
        <v>443</v>
      </c>
      <c r="AT9" s="24">
        <v>711</v>
      </c>
      <c r="AU9" s="24">
        <v>900</v>
      </c>
      <c r="AV9" s="24">
        <v>618</v>
      </c>
      <c r="AW9" s="24">
        <v>549</v>
      </c>
      <c r="AX9" s="24">
        <v>521</v>
      </c>
      <c r="AY9" s="24">
        <v>575</v>
      </c>
      <c r="AZ9" s="23">
        <v>421</v>
      </c>
      <c r="BA9" s="23">
        <f t="shared" si="5"/>
        <v>6688</v>
      </c>
      <c r="BB9" s="24">
        <v>570</v>
      </c>
      <c r="BC9" s="24">
        <v>486</v>
      </c>
      <c r="BD9" s="24">
        <v>522</v>
      </c>
      <c r="BE9" s="24">
        <v>304</v>
      </c>
      <c r="BF9" s="24">
        <v>413</v>
      </c>
      <c r="BG9" s="24">
        <v>485</v>
      </c>
      <c r="BH9" s="24">
        <v>805</v>
      </c>
      <c r="BI9" s="24">
        <v>772</v>
      </c>
      <c r="BJ9" s="24">
        <v>452</v>
      </c>
      <c r="BK9" s="24">
        <v>697</v>
      </c>
      <c r="BL9" s="24">
        <v>579</v>
      </c>
      <c r="BM9" s="23">
        <v>579</v>
      </c>
      <c r="BN9" s="23">
        <f t="shared" si="7"/>
        <v>6664</v>
      </c>
      <c r="BO9" s="24">
        <v>730</v>
      </c>
      <c r="BP9" s="24">
        <v>1119</v>
      </c>
      <c r="BQ9" s="24">
        <v>918</v>
      </c>
      <c r="BR9" s="24">
        <v>608</v>
      </c>
      <c r="BS9" s="24">
        <v>525</v>
      </c>
      <c r="BT9" s="24">
        <v>513</v>
      </c>
      <c r="BU9" s="24">
        <v>1145</v>
      </c>
      <c r="BV9" s="24">
        <v>727</v>
      </c>
      <c r="BW9" s="24">
        <v>580</v>
      </c>
      <c r="BX9" s="24">
        <v>730</v>
      </c>
      <c r="BY9" s="24">
        <v>510</v>
      </c>
      <c r="BZ9" s="24">
        <v>496</v>
      </c>
      <c r="CA9" s="53">
        <f t="shared" si="8"/>
        <v>8601</v>
      </c>
      <c r="CB9" s="52">
        <v>770</v>
      </c>
      <c r="CC9" s="24">
        <v>566</v>
      </c>
      <c r="CD9" s="24">
        <f>81+9+478+16+0+23</f>
        <v>607</v>
      </c>
      <c r="CE9" s="24">
        <v>846</v>
      </c>
      <c r="CF9" s="24">
        <v>690</v>
      </c>
      <c r="CG9" s="24">
        <v>1119</v>
      </c>
      <c r="CH9" s="24">
        <v>1993</v>
      </c>
      <c r="CI9" s="24">
        <v>802</v>
      </c>
      <c r="CJ9" s="24">
        <v>584</v>
      </c>
      <c r="CK9" s="24">
        <v>635</v>
      </c>
      <c r="CL9" s="24">
        <v>829</v>
      </c>
      <c r="CM9" s="24">
        <v>611</v>
      </c>
      <c r="CN9" s="53">
        <f t="shared" si="10"/>
        <v>10052</v>
      </c>
      <c r="CO9" s="24">
        <v>632</v>
      </c>
      <c r="CP9" s="24">
        <v>602</v>
      </c>
      <c r="CQ9" s="24">
        <v>788</v>
      </c>
      <c r="CR9" s="24">
        <v>753</v>
      </c>
      <c r="CS9" s="24">
        <v>793</v>
      </c>
      <c r="CT9" s="24">
        <v>782</v>
      </c>
      <c r="CU9" s="24">
        <v>1061</v>
      </c>
      <c r="CV9" s="24">
        <v>1091</v>
      </c>
      <c r="CW9" s="24">
        <v>831</v>
      </c>
      <c r="CX9" s="24">
        <v>846</v>
      </c>
      <c r="CY9" s="24">
        <v>838</v>
      </c>
      <c r="CZ9" s="24">
        <v>677</v>
      </c>
      <c r="DA9" s="53">
        <f t="shared" si="12"/>
        <v>9694</v>
      </c>
      <c r="DB9" s="52">
        <v>920</v>
      </c>
      <c r="DC9" s="24">
        <v>1016</v>
      </c>
      <c r="DD9" s="24">
        <v>917</v>
      </c>
      <c r="DE9" s="24">
        <v>863</v>
      </c>
      <c r="DF9" s="24">
        <v>1063</v>
      </c>
      <c r="DG9" s="24">
        <v>1193</v>
      </c>
      <c r="DH9" s="24">
        <v>1500</v>
      </c>
      <c r="DI9" s="24">
        <v>1873</v>
      </c>
      <c r="DJ9" s="24">
        <v>1221</v>
      </c>
      <c r="DK9" s="24">
        <v>1292</v>
      </c>
      <c r="DL9" s="24">
        <v>1315</v>
      </c>
      <c r="DM9" s="23">
        <v>1341</v>
      </c>
      <c r="DN9" s="23">
        <f t="shared" si="15"/>
        <v>14514</v>
      </c>
      <c r="DO9" s="52">
        <v>972</v>
      </c>
      <c r="DP9" s="24">
        <v>885</v>
      </c>
      <c r="DQ9" s="24">
        <v>1108</v>
      </c>
      <c r="DR9" s="24">
        <v>963</v>
      </c>
      <c r="DS9" s="24">
        <v>1039</v>
      </c>
      <c r="DT9" s="24">
        <v>986</v>
      </c>
      <c r="DU9" s="24">
        <v>1402</v>
      </c>
      <c r="DV9" s="24">
        <v>1198</v>
      </c>
      <c r="DW9" s="24">
        <v>962</v>
      </c>
      <c r="DX9" s="24">
        <v>958</v>
      </c>
      <c r="DY9" s="24">
        <v>1162</v>
      </c>
      <c r="DZ9" s="23">
        <v>760</v>
      </c>
      <c r="EA9" s="23">
        <f t="shared" si="16"/>
        <v>12395</v>
      </c>
      <c r="EB9" s="52">
        <v>1195</v>
      </c>
      <c r="EC9" s="24">
        <v>1195</v>
      </c>
      <c r="ED9" s="24">
        <v>886</v>
      </c>
      <c r="EE9" s="24">
        <v>868</v>
      </c>
      <c r="EF9" s="24">
        <v>1010</v>
      </c>
      <c r="EG9" s="24">
        <v>1749</v>
      </c>
      <c r="EH9" s="24">
        <v>1897</v>
      </c>
      <c r="EI9" s="24"/>
      <c r="EJ9" s="24"/>
      <c r="EK9" s="24"/>
      <c r="EL9" s="24"/>
      <c r="EM9" s="24"/>
      <c r="EN9" s="53">
        <f t="shared" si="17"/>
        <v>8800</v>
      </c>
      <c r="EP9" s="133">
        <f t="shared" si="18"/>
        <v>35.306704707560634</v>
      </c>
      <c r="EQ9" s="133">
        <f t="shared" si="19"/>
        <v>19.646498980285521</v>
      </c>
      <c r="ER9" s="20">
        <f t="shared" si="20"/>
        <v>7355</v>
      </c>
      <c r="ES9" s="20">
        <f t="shared" si="21"/>
        <v>8800</v>
      </c>
      <c r="ET9" s="35"/>
    </row>
    <row r="10" spans="1:151" ht="13.9" customHeight="1" x14ac:dyDescent="0.2">
      <c r="A10" s="8"/>
      <c r="B10" s="52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3"/>
      <c r="N10" s="53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53"/>
      <c r="AB10" s="52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3"/>
      <c r="AN10" s="53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3"/>
      <c r="BA10" s="23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3"/>
      <c r="BN10" s="23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53"/>
      <c r="CB10" s="52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53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53"/>
      <c r="DB10" s="52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3"/>
      <c r="DN10" s="23"/>
      <c r="DO10" s="52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3"/>
      <c r="EA10" s="23"/>
      <c r="EB10" s="52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53"/>
      <c r="EP10" s="133"/>
      <c r="EQ10" s="133"/>
      <c r="ER10" s="20"/>
      <c r="ES10" s="20"/>
      <c r="ET10" s="35"/>
    </row>
    <row r="11" spans="1:151" ht="13.9" customHeight="1" x14ac:dyDescent="0.2">
      <c r="A11" s="9" t="s">
        <v>76</v>
      </c>
      <c r="B11" s="51">
        <f t="shared" ref="B11:AM11" si="22">SUM(B12:B13)</f>
        <v>23948</v>
      </c>
      <c r="C11" s="29">
        <f t="shared" si="22"/>
        <v>23382</v>
      </c>
      <c r="D11" s="29">
        <f t="shared" si="22"/>
        <v>27744</v>
      </c>
      <c r="E11" s="29">
        <f t="shared" si="22"/>
        <v>26885</v>
      </c>
      <c r="F11" s="29">
        <f t="shared" si="22"/>
        <v>27293</v>
      </c>
      <c r="G11" s="29">
        <f t="shared" si="22"/>
        <v>28676</v>
      </c>
      <c r="H11" s="29">
        <f t="shared" si="22"/>
        <v>31193</v>
      </c>
      <c r="I11" s="29">
        <f t="shared" si="22"/>
        <v>30871</v>
      </c>
      <c r="J11" s="29">
        <f t="shared" si="22"/>
        <v>28074</v>
      </c>
      <c r="K11" s="29">
        <f t="shared" si="22"/>
        <v>30000</v>
      </c>
      <c r="L11" s="29">
        <f t="shared" si="22"/>
        <v>25859</v>
      </c>
      <c r="M11" s="15">
        <f>SUM(M12:M13)</f>
        <v>25394</v>
      </c>
      <c r="N11" s="50">
        <f t="shared" si="1"/>
        <v>329319</v>
      </c>
      <c r="O11" s="29">
        <f t="shared" si="22"/>
        <v>27314</v>
      </c>
      <c r="P11" s="29">
        <f t="shared" si="22"/>
        <v>27725</v>
      </c>
      <c r="Q11" s="29">
        <f t="shared" si="22"/>
        <v>30813</v>
      </c>
      <c r="R11" s="29">
        <f t="shared" si="22"/>
        <v>32019</v>
      </c>
      <c r="S11" s="29">
        <f t="shared" si="22"/>
        <v>23525</v>
      </c>
      <c r="T11" s="29">
        <f t="shared" si="22"/>
        <v>31945</v>
      </c>
      <c r="U11" s="29">
        <f t="shared" si="22"/>
        <v>32341</v>
      </c>
      <c r="V11" s="29">
        <f t="shared" si="22"/>
        <v>34187</v>
      </c>
      <c r="W11" s="29">
        <f t="shared" si="22"/>
        <v>30716</v>
      </c>
      <c r="X11" s="29">
        <f t="shared" si="22"/>
        <v>32825</v>
      </c>
      <c r="Y11" s="29">
        <f t="shared" si="22"/>
        <v>33757</v>
      </c>
      <c r="Z11" s="29">
        <f t="shared" si="22"/>
        <v>28573</v>
      </c>
      <c r="AA11" s="50">
        <f t="shared" si="2"/>
        <v>365740</v>
      </c>
      <c r="AB11" s="51">
        <f t="shared" si="22"/>
        <v>35098</v>
      </c>
      <c r="AC11" s="29">
        <f t="shared" si="22"/>
        <v>33460</v>
      </c>
      <c r="AD11" s="29">
        <f t="shared" si="22"/>
        <v>35582</v>
      </c>
      <c r="AE11" s="29">
        <f t="shared" si="22"/>
        <v>35190</v>
      </c>
      <c r="AF11" s="29">
        <f t="shared" si="22"/>
        <v>35544</v>
      </c>
      <c r="AG11" s="29">
        <f t="shared" si="22"/>
        <v>35983</v>
      </c>
      <c r="AH11" s="29">
        <f t="shared" si="22"/>
        <v>40993</v>
      </c>
      <c r="AI11" s="29">
        <f t="shared" si="22"/>
        <v>44798</v>
      </c>
      <c r="AJ11" s="29">
        <f t="shared" si="22"/>
        <v>36825</v>
      </c>
      <c r="AK11" s="29">
        <f t="shared" si="22"/>
        <v>39784</v>
      </c>
      <c r="AL11" s="29">
        <f t="shared" si="22"/>
        <v>35145</v>
      </c>
      <c r="AM11" s="15">
        <f t="shared" si="22"/>
        <v>38896</v>
      </c>
      <c r="AN11" s="50">
        <f t="shared" si="3"/>
        <v>447298</v>
      </c>
      <c r="AO11" s="29">
        <f t="shared" ref="AO11:AZ11" si="23">SUM(AO12:AO13)</f>
        <v>45872</v>
      </c>
      <c r="AP11" s="29">
        <f t="shared" si="23"/>
        <v>47100</v>
      </c>
      <c r="AQ11" s="29">
        <f t="shared" si="23"/>
        <v>47902</v>
      </c>
      <c r="AR11" s="29">
        <f t="shared" si="23"/>
        <v>47321</v>
      </c>
      <c r="AS11" s="29">
        <f t="shared" si="23"/>
        <v>46103</v>
      </c>
      <c r="AT11" s="29">
        <f t="shared" si="23"/>
        <v>48059</v>
      </c>
      <c r="AU11" s="29">
        <f t="shared" si="23"/>
        <v>54071</v>
      </c>
      <c r="AV11" s="29">
        <f t="shared" si="23"/>
        <v>51371</v>
      </c>
      <c r="AW11" s="29">
        <f t="shared" si="23"/>
        <v>48536</v>
      </c>
      <c r="AX11" s="29">
        <f t="shared" si="23"/>
        <v>54384</v>
      </c>
      <c r="AY11" s="29">
        <f t="shared" si="23"/>
        <v>49542</v>
      </c>
      <c r="AZ11" s="15">
        <f t="shared" si="23"/>
        <v>39224</v>
      </c>
      <c r="BA11" s="15">
        <f t="shared" si="5"/>
        <v>579485</v>
      </c>
      <c r="BB11" s="29">
        <f t="shared" ref="BB11:BZ11" si="24">SUM(BB12:BB13)</f>
        <v>49968</v>
      </c>
      <c r="BC11" s="29">
        <f t="shared" si="24"/>
        <v>47812</v>
      </c>
      <c r="BD11" s="29">
        <f t="shared" si="24"/>
        <v>47726</v>
      </c>
      <c r="BE11" s="29">
        <f t="shared" si="24"/>
        <v>45201</v>
      </c>
      <c r="BF11" s="29">
        <f t="shared" si="24"/>
        <v>49133</v>
      </c>
      <c r="BG11" s="29">
        <f t="shared" si="24"/>
        <v>46147</v>
      </c>
      <c r="BH11" s="29">
        <f t="shared" si="24"/>
        <v>55943</v>
      </c>
      <c r="BI11" s="29">
        <f t="shared" si="24"/>
        <v>57311</v>
      </c>
      <c r="BJ11" s="29">
        <f t="shared" si="24"/>
        <v>52048</v>
      </c>
      <c r="BK11" s="29">
        <f t="shared" si="24"/>
        <v>54963</v>
      </c>
      <c r="BL11" s="29">
        <f t="shared" si="24"/>
        <v>54610</v>
      </c>
      <c r="BM11" s="15">
        <f t="shared" si="24"/>
        <v>48244</v>
      </c>
      <c r="BN11" s="15">
        <f t="shared" si="7"/>
        <v>609106</v>
      </c>
      <c r="BO11" s="29">
        <f t="shared" si="24"/>
        <v>55305</v>
      </c>
      <c r="BP11" s="29">
        <f t="shared" si="24"/>
        <v>55205</v>
      </c>
      <c r="BQ11" s="29">
        <f t="shared" si="24"/>
        <v>57547</v>
      </c>
      <c r="BR11" s="29">
        <f t="shared" si="24"/>
        <v>57097</v>
      </c>
      <c r="BS11" s="29">
        <f t="shared" si="24"/>
        <v>58116</v>
      </c>
      <c r="BT11" s="29">
        <f t="shared" si="24"/>
        <v>57207</v>
      </c>
      <c r="BU11" s="29">
        <f t="shared" si="24"/>
        <v>72111</v>
      </c>
      <c r="BV11" s="29">
        <f t="shared" si="24"/>
        <v>66824</v>
      </c>
      <c r="BW11" s="29">
        <f t="shared" si="24"/>
        <v>64412</v>
      </c>
      <c r="BX11" s="29">
        <f t="shared" si="24"/>
        <v>66741</v>
      </c>
      <c r="BY11" s="29">
        <f t="shared" si="24"/>
        <v>61895</v>
      </c>
      <c r="BZ11" s="29">
        <f t="shared" si="24"/>
        <v>56798</v>
      </c>
      <c r="CA11" s="50">
        <f t="shared" si="8"/>
        <v>729258</v>
      </c>
      <c r="CB11" s="51">
        <f t="shared" ref="CB11:CM11" si="25">SUM(CB12:CB13)</f>
        <v>60613</v>
      </c>
      <c r="CC11" s="29">
        <f t="shared" si="25"/>
        <v>56670</v>
      </c>
      <c r="CD11" s="29">
        <f t="shared" si="25"/>
        <v>56384</v>
      </c>
      <c r="CE11" s="29">
        <f t="shared" si="25"/>
        <v>58645</v>
      </c>
      <c r="CF11" s="29">
        <f t="shared" si="25"/>
        <v>62603</v>
      </c>
      <c r="CG11" s="29">
        <f t="shared" si="25"/>
        <v>64287</v>
      </c>
      <c r="CH11" s="29">
        <f t="shared" si="25"/>
        <v>63571</v>
      </c>
      <c r="CI11" s="29">
        <f t="shared" si="25"/>
        <v>76005</v>
      </c>
      <c r="CJ11" s="29">
        <f t="shared" si="25"/>
        <v>67546</v>
      </c>
      <c r="CK11" s="29">
        <f t="shared" si="25"/>
        <v>70614</v>
      </c>
      <c r="CL11" s="29">
        <f t="shared" si="25"/>
        <v>72560</v>
      </c>
      <c r="CM11" s="29">
        <f t="shared" si="25"/>
        <v>72682</v>
      </c>
      <c r="CN11" s="50">
        <f t="shared" si="10"/>
        <v>782180</v>
      </c>
      <c r="CO11" s="29">
        <f t="shared" ref="CO11:CZ11" si="26">SUM(CO12:CO13)</f>
        <v>66381</v>
      </c>
      <c r="CP11" s="29">
        <f t="shared" si="26"/>
        <v>63353</v>
      </c>
      <c r="CQ11" s="29">
        <f t="shared" si="26"/>
        <v>65296</v>
      </c>
      <c r="CR11" s="29">
        <f t="shared" si="26"/>
        <v>64722</v>
      </c>
      <c r="CS11" s="29">
        <f t="shared" si="26"/>
        <v>71010</v>
      </c>
      <c r="CT11" s="29">
        <f t="shared" si="26"/>
        <v>75954</v>
      </c>
      <c r="CU11" s="29">
        <f t="shared" si="26"/>
        <v>81902</v>
      </c>
      <c r="CV11" s="29">
        <f t="shared" si="26"/>
        <v>79185</v>
      </c>
      <c r="CW11" s="29">
        <f t="shared" si="26"/>
        <v>78456</v>
      </c>
      <c r="CX11" s="29">
        <f t="shared" si="26"/>
        <v>82949</v>
      </c>
      <c r="CY11" s="29">
        <f t="shared" si="26"/>
        <v>80005</v>
      </c>
      <c r="CZ11" s="29">
        <f t="shared" si="26"/>
        <v>81193</v>
      </c>
      <c r="DA11" s="50">
        <f t="shared" si="12"/>
        <v>890406</v>
      </c>
      <c r="DB11" s="51">
        <f t="shared" ref="DB11:EH11" si="27">SUM(DB12:DB13)</f>
        <v>82655</v>
      </c>
      <c r="DC11" s="29">
        <f t="shared" si="27"/>
        <v>84356</v>
      </c>
      <c r="DD11" s="29">
        <f t="shared" si="27"/>
        <v>90285</v>
      </c>
      <c r="DE11" s="29">
        <f t="shared" si="27"/>
        <v>83756</v>
      </c>
      <c r="DF11" s="29">
        <f t="shared" si="27"/>
        <v>94899</v>
      </c>
      <c r="DG11" s="29">
        <f t="shared" si="27"/>
        <v>93440</v>
      </c>
      <c r="DH11" s="29">
        <f t="shared" si="27"/>
        <v>101731</v>
      </c>
      <c r="DI11" s="29">
        <f t="shared" si="27"/>
        <v>103635</v>
      </c>
      <c r="DJ11" s="29">
        <f t="shared" si="27"/>
        <v>94316</v>
      </c>
      <c r="DK11" s="29">
        <f t="shared" si="27"/>
        <v>97248</v>
      </c>
      <c r="DL11" s="29">
        <f t="shared" si="27"/>
        <v>87819</v>
      </c>
      <c r="DM11" s="15">
        <f t="shared" si="27"/>
        <v>75113</v>
      </c>
      <c r="DN11" s="15">
        <f t="shared" si="15"/>
        <v>1089253</v>
      </c>
      <c r="DO11" s="51">
        <f t="shared" si="27"/>
        <v>86090</v>
      </c>
      <c r="DP11" s="29">
        <f t="shared" si="27"/>
        <v>85973</v>
      </c>
      <c r="DQ11" s="29">
        <f t="shared" si="27"/>
        <v>95393</v>
      </c>
      <c r="DR11" s="29">
        <f t="shared" si="27"/>
        <v>87284</v>
      </c>
      <c r="DS11" s="29">
        <f t="shared" si="27"/>
        <v>93616</v>
      </c>
      <c r="DT11" s="29">
        <f t="shared" si="27"/>
        <v>90107</v>
      </c>
      <c r="DU11" s="29">
        <f t="shared" si="27"/>
        <v>108249</v>
      </c>
      <c r="DV11" s="29">
        <f t="shared" si="27"/>
        <v>101543</v>
      </c>
      <c r="DW11" s="29">
        <f t="shared" si="27"/>
        <v>92511</v>
      </c>
      <c r="DX11" s="29">
        <f t="shared" si="27"/>
        <v>83594</v>
      </c>
      <c r="DY11" s="29">
        <f t="shared" si="27"/>
        <v>98018</v>
      </c>
      <c r="DZ11" s="15">
        <f t="shared" si="27"/>
        <v>75988</v>
      </c>
      <c r="EA11" s="15">
        <f t="shared" si="16"/>
        <v>1098366</v>
      </c>
      <c r="EB11" s="51">
        <f t="shared" si="27"/>
        <v>91911</v>
      </c>
      <c r="EC11" s="29">
        <f t="shared" si="27"/>
        <v>90648</v>
      </c>
      <c r="ED11" s="29">
        <f t="shared" si="27"/>
        <v>87003</v>
      </c>
      <c r="EE11" s="29">
        <f t="shared" si="27"/>
        <v>84451</v>
      </c>
      <c r="EF11" s="29">
        <f t="shared" si="27"/>
        <v>89792</v>
      </c>
      <c r="EG11" s="29">
        <f t="shared" si="27"/>
        <v>89241</v>
      </c>
      <c r="EH11" s="29">
        <f t="shared" si="27"/>
        <v>106808</v>
      </c>
      <c r="EI11" s="29"/>
      <c r="EJ11" s="29"/>
      <c r="EK11" s="29"/>
      <c r="EL11" s="29"/>
      <c r="EM11" s="29"/>
      <c r="EN11" s="50">
        <f t="shared" si="17"/>
        <v>639854</v>
      </c>
      <c r="EP11" s="132">
        <f t="shared" si="18"/>
        <v>-1.3311901264676851</v>
      </c>
      <c r="EQ11" s="132">
        <f t="shared" si="19"/>
        <v>-1.0604411237150391</v>
      </c>
      <c r="ER11" s="13">
        <f t="shared" si="20"/>
        <v>646712</v>
      </c>
      <c r="ES11" s="13">
        <f t="shared" si="21"/>
        <v>639854</v>
      </c>
      <c r="ET11" s="38"/>
    </row>
    <row r="12" spans="1:151" ht="13.9" customHeight="1" x14ac:dyDescent="0.2">
      <c r="A12" s="8" t="s">
        <v>74</v>
      </c>
      <c r="B12" s="52">
        <v>22955</v>
      </c>
      <c r="C12" s="24">
        <v>22596</v>
      </c>
      <c r="D12" s="24">
        <v>26957</v>
      </c>
      <c r="E12" s="24">
        <v>26076</v>
      </c>
      <c r="F12" s="24">
        <v>26218</v>
      </c>
      <c r="G12" s="24">
        <v>27779</v>
      </c>
      <c r="H12" s="24">
        <v>29375</v>
      </c>
      <c r="I12" s="24">
        <v>29622</v>
      </c>
      <c r="J12" s="24">
        <v>27375</v>
      </c>
      <c r="K12" s="24">
        <v>28717</v>
      </c>
      <c r="L12" s="24">
        <v>24978</v>
      </c>
      <c r="M12" s="23">
        <v>24258</v>
      </c>
      <c r="N12" s="53">
        <f t="shared" si="1"/>
        <v>316906</v>
      </c>
      <c r="O12" s="24">
        <v>26176</v>
      </c>
      <c r="P12" s="24">
        <v>26955</v>
      </c>
      <c r="Q12" s="24">
        <v>30010</v>
      </c>
      <c r="R12" s="24">
        <v>31200</v>
      </c>
      <c r="S12" s="24">
        <v>23073</v>
      </c>
      <c r="T12" s="24">
        <v>30717</v>
      </c>
      <c r="U12" s="24">
        <v>30839</v>
      </c>
      <c r="V12" s="24">
        <v>32816</v>
      </c>
      <c r="W12" s="24">
        <v>29919</v>
      </c>
      <c r="X12" s="24">
        <v>31971</v>
      </c>
      <c r="Y12" s="24">
        <v>32565</v>
      </c>
      <c r="Z12" s="24">
        <v>27796</v>
      </c>
      <c r="AA12" s="53">
        <f t="shared" si="2"/>
        <v>354037</v>
      </c>
      <c r="AB12" s="52">
        <v>34023</v>
      </c>
      <c r="AC12" s="24">
        <v>32449</v>
      </c>
      <c r="AD12" s="24">
        <v>34789</v>
      </c>
      <c r="AE12" s="24">
        <v>34474</v>
      </c>
      <c r="AF12" s="24">
        <v>34767</v>
      </c>
      <c r="AG12" s="24">
        <v>34927</v>
      </c>
      <c r="AH12" s="24">
        <v>39055</v>
      </c>
      <c r="AI12" s="24">
        <v>43314</v>
      </c>
      <c r="AJ12" s="24">
        <v>35393</v>
      </c>
      <c r="AK12" s="24">
        <v>38553</v>
      </c>
      <c r="AL12" s="24">
        <v>34340</v>
      </c>
      <c r="AM12" s="23">
        <v>37912</v>
      </c>
      <c r="AN12" s="53">
        <f t="shared" si="3"/>
        <v>433996</v>
      </c>
      <c r="AO12" s="24">
        <v>44531</v>
      </c>
      <c r="AP12" s="24">
        <v>45957</v>
      </c>
      <c r="AQ12" s="24">
        <v>46852</v>
      </c>
      <c r="AR12" s="24">
        <v>46268</v>
      </c>
      <c r="AS12" s="24">
        <v>45122</v>
      </c>
      <c r="AT12" s="24">
        <v>46224</v>
      </c>
      <c r="AU12" s="24">
        <v>52123</v>
      </c>
      <c r="AV12" s="24">
        <v>50111</v>
      </c>
      <c r="AW12" s="24">
        <v>47297</v>
      </c>
      <c r="AX12" s="24">
        <v>53251</v>
      </c>
      <c r="AY12" s="24">
        <v>48274</v>
      </c>
      <c r="AZ12" s="23">
        <v>38200</v>
      </c>
      <c r="BA12" s="23">
        <f t="shared" si="5"/>
        <v>564210</v>
      </c>
      <c r="BB12" s="24">
        <v>48659</v>
      </c>
      <c r="BC12" s="24">
        <v>46802</v>
      </c>
      <c r="BD12" s="24">
        <v>46632</v>
      </c>
      <c r="BE12" s="24">
        <v>44414</v>
      </c>
      <c r="BF12" s="24">
        <v>48326</v>
      </c>
      <c r="BG12" s="24">
        <v>44924</v>
      </c>
      <c r="BH12" s="24">
        <v>54352</v>
      </c>
      <c r="BI12" s="24">
        <v>55857</v>
      </c>
      <c r="BJ12" s="24">
        <v>51062</v>
      </c>
      <c r="BK12" s="24">
        <v>53651</v>
      </c>
      <c r="BL12" s="24">
        <v>53625</v>
      </c>
      <c r="BM12" s="23">
        <v>47161</v>
      </c>
      <c r="BN12" s="23">
        <f t="shared" si="7"/>
        <v>595465</v>
      </c>
      <c r="BO12" s="24">
        <v>53942</v>
      </c>
      <c r="BP12" s="24">
        <v>53299</v>
      </c>
      <c r="BQ12" s="24">
        <v>55654</v>
      </c>
      <c r="BR12" s="24">
        <v>55622</v>
      </c>
      <c r="BS12" s="24">
        <v>56980</v>
      </c>
      <c r="BT12" s="24">
        <v>56082</v>
      </c>
      <c r="BU12" s="24">
        <v>69612</v>
      </c>
      <c r="BV12" s="24">
        <v>65372</v>
      </c>
      <c r="BW12" s="24">
        <v>63020</v>
      </c>
      <c r="BX12" s="24">
        <v>65198</v>
      </c>
      <c r="BY12" s="24">
        <v>60701</v>
      </c>
      <c r="BZ12" s="24">
        <v>55775</v>
      </c>
      <c r="CA12" s="53">
        <f t="shared" si="8"/>
        <v>711257</v>
      </c>
      <c r="CB12" s="52">
        <v>59105</v>
      </c>
      <c r="CC12" s="24">
        <v>55398</v>
      </c>
      <c r="CD12" s="24">
        <v>54992</v>
      </c>
      <c r="CE12" s="24">
        <v>56731</v>
      </c>
      <c r="CF12" s="24">
        <v>60840</v>
      </c>
      <c r="CG12" s="24">
        <v>62846</v>
      </c>
      <c r="CH12" s="24">
        <v>60459</v>
      </c>
      <c r="CI12" s="24">
        <v>74207</v>
      </c>
      <c r="CJ12" s="24">
        <v>65980</v>
      </c>
      <c r="CK12" s="24">
        <v>68972</v>
      </c>
      <c r="CL12" s="24">
        <v>69487</v>
      </c>
      <c r="CM12" s="24">
        <v>71373</v>
      </c>
      <c r="CN12" s="53">
        <f t="shared" si="10"/>
        <v>760390</v>
      </c>
      <c r="CO12" s="24">
        <v>64906</v>
      </c>
      <c r="CP12" s="24">
        <v>61945</v>
      </c>
      <c r="CQ12" s="24">
        <v>63751</v>
      </c>
      <c r="CR12" s="24">
        <v>62965</v>
      </c>
      <c r="CS12" s="24">
        <v>69353</v>
      </c>
      <c r="CT12" s="24">
        <v>74527</v>
      </c>
      <c r="CU12" s="24">
        <v>79728</v>
      </c>
      <c r="CV12" s="24">
        <v>76868</v>
      </c>
      <c r="CW12" s="24">
        <v>76722</v>
      </c>
      <c r="CX12" s="24">
        <v>81116</v>
      </c>
      <c r="CY12" s="24">
        <v>78231</v>
      </c>
      <c r="CZ12" s="24">
        <v>79615</v>
      </c>
      <c r="DA12" s="53">
        <f t="shared" si="12"/>
        <v>869727</v>
      </c>
      <c r="DB12" s="52">
        <v>80958</v>
      </c>
      <c r="DC12" s="24">
        <v>82318</v>
      </c>
      <c r="DD12" s="24">
        <v>88054</v>
      </c>
      <c r="DE12" s="24">
        <v>82641</v>
      </c>
      <c r="DF12" s="24">
        <v>92435</v>
      </c>
      <c r="DG12" s="24">
        <v>91031</v>
      </c>
      <c r="DH12" s="24">
        <v>98757</v>
      </c>
      <c r="DI12" s="24">
        <v>100147</v>
      </c>
      <c r="DJ12" s="24">
        <v>91605</v>
      </c>
      <c r="DK12" s="24">
        <v>94644</v>
      </c>
      <c r="DL12" s="24">
        <v>85582</v>
      </c>
      <c r="DM12" s="23">
        <v>72678</v>
      </c>
      <c r="DN12" s="23">
        <f t="shared" si="15"/>
        <v>1060850</v>
      </c>
      <c r="DO12" s="52">
        <v>84219</v>
      </c>
      <c r="DP12" s="24">
        <v>84160</v>
      </c>
      <c r="DQ12" s="24">
        <v>92930</v>
      </c>
      <c r="DR12" s="24">
        <v>85255</v>
      </c>
      <c r="DS12" s="24">
        <v>91363</v>
      </c>
      <c r="DT12" s="24">
        <v>87661</v>
      </c>
      <c r="DU12" s="24">
        <v>104853</v>
      </c>
      <c r="DV12" s="24">
        <v>98880</v>
      </c>
      <c r="DW12" s="24">
        <v>90363</v>
      </c>
      <c r="DX12" s="24">
        <v>81265</v>
      </c>
      <c r="DY12" s="24">
        <v>95273</v>
      </c>
      <c r="DZ12" s="23">
        <v>74288</v>
      </c>
      <c r="EA12" s="23">
        <f t="shared" si="16"/>
        <v>1070510</v>
      </c>
      <c r="EB12" s="52">
        <v>89126</v>
      </c>
      <c r="EC12" s="24">
        <v>88279</v>
      </c>
      <c r="ED12" s="24">
        <v>84953</v>
      </c>
      <c r="EE12" s="24">
        <v>82561</v>
      </c>
      <c r="EF12" s="24">
        <v>87787</v>
      </c>
      <c r="EG12" s="24">
        <v>85938</v>
      </c>
      <c r="EH12" s="24">
        <v>102365</v>
      </c>
      <c r="EI12" s="24"/>
      <c r="EJ12" s="24"/>
      <c r="EK12" s="24"/>
      <c r="EL12" s="24"/>
      <c r="EM12" s="24"/>
      <c r="EN12" s="53">
        <f t="shared" si="17"/>
        <v>621009</v>
      </c>
      <c r="EP12" s="133">
        <f t="shared" si="18"/>
        <v>-2.3728457936349034</v>
      </c>
      <c r="EQ12" s="133">
        <f t="shared" si="19"/>
        <v>-1.4960955902296957</v>
      </c>
      <c r="ER12" s="20">
        <f t="shared" si="20"/>
        <v>630441</v>
      </c>
      <c r="ES12" s="20">
        <f t="shared" si="21"/>
        <v>621009</v>
      </c>
      <c r="ET12" s="35"/>
    </row>
    <row r="13" spans="1:151" ht="13.9" customHeight="1" x14ac:dyDescent="0.2">
      <c r="A13" s="37" t="s">
        <v>75</v>
      </c>
      <c r="B13" s="55">
        <v>993</v>
      </c>
      <c r="C13" s="56">
        <v>786</v>
      </c>
      <c r="D13" s="56">
        <v>787</v>
      </c>
      <c r="E13" s="56">
        <v>809</v>
      </c>
      <c r="F13" s="56">
        <v>1075</v>
      </c>
      <c r="G13" s="56">
        <v>897</v>
      </c>
      <c r="H13" s="56">
        <v>1818</v>
      </c>
      <c r="I13" s="56">
        <v>1249</v>
      </c>
      <c r="J13" s="56">
        <v>699</v>
      </c>
      <c r="K13" s="56">
        <v>1283</v>
      </c>
      <c r="L13" s="56">
        <v>881</v>
      </c>
      <c r="M13" s="57">
        <v>1136</v>
      </c>
      <c r="N13" s="58">
        <f t="shared" si="1"/>
        <v>12413</v>
      </c>
      <c r="O13" s="56">
        <v>1138</v>
      </c>
      <c r="P13" s="56">
        <v>770</v>
      </c>
      <c r="Q13" s="56">
        <v>803</v>
      </c>
      <c r="R13" s="56">
        <v>819</v>
      </c>
      <c r="S13" s="56">
        <v>452</v>
      </c>
      <c r="T13" s="56">
        <v>1228</v>
      </c>
      <c r="U13" s="56">
        <v>1502</v>
      </c>
      <c r="V13" s="56">
        <v>1371</v>
      </c>
      <c r="W13" s="56">
        <v>797</v>
      </c>
      <c r="X13" s="56">
        <v>854</v>
      </c>
      <c r="Y13" s="56">
        <v>1192</v>
      </c>
      <c r="Z13" s="56">
        <v>777</v>
      </c>
      <c r="AA13" s="58">
        <f t="shared" si="2"/>
        <v>11703</v>
      </c>
      <c r="AB13" s="55">
        <v>1075</v>
      </c>
      <c r="AC13" s="56">
        <v>1011</v>
      </c>
      <c r="AD13" s="56">
        <v>793</v>
      </c>
      <c r="AE13" s="56">
        <v>716</v>
      </c>
      <c r="AF13" s="56">
        <v>777</v>
      </c>
      <c r="AG13" s="56">
        <v>1056</v>
      </c>
      <c r="AH13" s="56">
        <v>1938</v>
      </c>
      <c r="AI13" s="56">
        <v>1484</v>
      </c>
      <c r="AJ13" s="56">
        <v>1432</v>
      </c>
      <c r="AK13" s="56">
        <v>1231</v>
      </c>
      <c r="AL13" s="56">
        <v>805</v>
      </c>
      <c r="AM13" s="57">
        <v>984</v>
      </c>
      <c r="AN13" s="58">
        <f t="shared" si="3"/>
        <v>13302</v>
      </c>
      <c r="AO13" s="56">
        <v>1341</v>
      </c>
      <c r="AP13" s="56">
        <v>1143</v>
      </c>
      <c r="AQ13" s="56">
        <v>1050</v>
      </c>
      <c r="AR13" s="56">
        <v>1053</v>
      </c>
      <c r="AS13" s="56">
        <v>981</v>
      </c>
      <c r="AT13" s="56">
        <v>1835</v>
      </c>
      <c r="AU13" s="56">
        <v>1948</v>
      </c>
      <c r="AV13" s="56">
        <v>1260</v>
      </c>
      <c r="AW13" s="56">
        <v>1239</v>
      </c>
      <c r="AX13" s="56">
        <v>1133</v>
      </c>
      <c r="AY13" s="56">
        <v>1268</v>
      </c>
      <c r="AZ13" s="57">
        <v>1024</v>
      </c>
      <c r="BA13" s="58">
        <f t="shared" si="5"/>
        <v>15275</v>
      </c>
      <c r="BB13" s="55">
        <v>1309</v>
      </c>
      <c r="BC13" s="56">
        <v>1010</v>
      </c>
      <c r="BD13" s="56">
        <v>1094</v>
      </c>
      <c r="BE13" s="56">
        <v>787</v>
      </c>
      <c r="BF13" s="56">
        <v>807</v>
      </c>
      <c r="BG13" s="56">
        <v>1223</v>
      </c>
      <c r="BH13" s="56">
        <v>1591</v>
      </c>
      <c r="BI13" s="56">
        <v>1454</v>
      </c>
      <c r="BJ13" s="56">
        <v>986</v>
      </c>
      <c r="BK13" s="56">
        <v>1312</v>
      </c>
      <c r="BL13" s="56">
        <v>985</v>
      </c>
      <c r="BM13" s="57">
        <v>1083</v>
      </c>
      <c r="BN13" s="57">
        <f t="shared" si="7"/>
        <v>13641</v>
      </c>
      <c r="BO13" s="56">
        <v>1363</v>
      </c>
      <c r="BP13" s="56">
        <v>1906</v>
      </c>
      <c r="BQ13" s="56">
        <v>1893</v>
      </c>
      <c r="BR13" s="56">
        <v>1475</v>
      </c>
      <c r="BS13" s="56">
        <v>1136</v>
      </c>
      <c r="BT13" s="56">
        <v>1125</v>
      </c>
      <c r="BU13" s="56">
        <v>2499</v>
      </c>
      <c r="BV13" s="56">
        <v>1452</v>
      </c>
      <c r="BW13" s="56">
        <v>1392</v>
      </c>
      <c r="BX13" s="56">
        <v>1543</v>
      </c>
      <c r="BY13" s="56">
        <v>1194</v>
      </c>
      <c r="BZ13" s="56">
        <v>1023</v>
      </c>
      <c r="CA13" s="58">
        <f t="shared" si="8"/>
        <v>18001</v>
      </c>
      <c r="CB13" s="55">
        <v>1508</v>
      </c>
      <c r="CC13" s="56">
        <v>1272</v>
      </c>
      <c r="CD13" s="56">
        <f>161+129+1029+33+40</f>
        <v>1392</v>
      </c>
      <c r="CE13" s="56">
        <v>1914</v>
      </c>
      <c r="CF13" s="56">
        <v>1763</v>
      </c>
      <c r="CG13" s="56">
        <v>1441</v>
      </c>
      <c r="CH13" s="56">
        <v>3112</v>
      </c>
      <c r="CI13" s="56">
        <v>1798</v>
      </c>
      <c r="CJ13" s="56">
        <v>1566</v>
      </c>
      <c r="CK13" s="56">
        <v>1642</v>
      </c>
      <c r="CL13" s="56">
        <v>3073</v>
      </c>
      <c r="CM13" s="56">
        <v>1309</v>
      </c>
      <c r="CN13" s="58">
        <f t="shared" si="10"/>
        <v>21790</v>
      </c>
      <c r="CO13" s="56">
        <v>1475</v>
      </c>
      <c r="CP13" s="56">
        <v>1408</v>
      </c>
      <c r="CQ13" s="56">
        <v>1545</v>
      </c>
      <c r="CR13" s="56">
        <v>1757</v>
      </c>
      <c r="CS13" s="56">
        <v>1657</v>
      </c>
      <c r="CT13" s="56">
        <v>1427</v>
      </c>
      <c r="CU13" s="56">
        <v>2174</v>
      </c>
      <c r="CV13" s="56">
        <v>2317</v>
      </c>
      <c r="CW13" s="56">
        <v>1734</v>
      </c>
      <c r="CX13" s="56">
        <v>1833</v>
      </c>
      <c r="CY13" s="56">
        <v>1774</v>
      </c>
      <c r="CZ13" s="56">
        <v>1578</v>
      </c>
      <c r="DA13" s="58">
        <f t="shared" si="12"/>
        <v>20679</v>
      </c>
      <c r="DB13" s="55">
        <v>1697</v>
      </c>
      <c r="DC13" s="56">
        <v>2038</v>
      </c>
      <c r="DD13" s="56">
        <v>2231</v>
      </c>
      <c r="DE13" s="56">
        <v>1115</v>
      </c>
      <c r="DF13" s="56">
        <v>2464</v>
      </c>
      <c r="DG13" s="56">
        <v>2409</v>
      </c>
      <c r="DH13" s="56">
        <v>2974</v>
      </c>
      <c r="DI13" s="56">
        <v>3488</v>
      </c>
      <c r="DJ13" s="56">
        <v>2711</v>
      </c>
      <c r="DK13" s="56">
        <v>2604</v>
      </c>
      <c r="DL13" s="56">
        <v>2237</v>
      </c>
      <c r="DM13" s="57">
        <v>2435</v>
      </c>
      <c r="DN13" s="57">
        <f t="shared" si="15"/>
        <v>28403</v>
      </c>
      <c r="DO13" s="55">
        <v>1871</v>
      </c>
      <c r="DP13" s="56">
        <v>1813</v>
      </c>
      <c r="DQ13" s="56">
        <v>2463</v>
      </c>
      <c r="DR13" s="56">
        <v>2029</v>
      </c>
      <c r="DS13" s="56">
        <v>2253</v>
      </c>
      <c r="DT13" s="56">
        <v>2446</v>
      </c>
      <c r="DU13" s="56">
        <v>3396</v>
      </c>
      <c r="DV13" s="56">
        <v>2663</v>
      </c>
      <c r="DW13" s="56">
        <v>2148</v>
      </c>
      <c r="DX13" s="56">
        <v>2329</v>
      </c>
      <c r="DY13" s="56">
        <v>2745</v>
      </c>
      <c r="DZ13" s="57">
        <v>1700</v>
      </c>
      <c r="EA13" s="57">
        <f t="shared" si="16"/>
        <v>27856</v>
      </c>
      <c r="EB13" s="55">
        <v>2785</v>
      </c>
      <c r="EC13" s="56">
        <v>2369</v>
      </c>
      <c r="ED13" s="56">
        <v>2050</v>
      </c>
      <c r="EE13" s="56">
        <v>1890</v>
      </c>
      <c r="EF13" s="56">
        <v>2005</v>
      </c>
      <c r="EG13" s="56">
        <v>3303</v>
      </c>
      <c r="EH13" s="56">
        <v>4443</v>
      </c>
      <c r="EI13" s="56"/>
      <c r="EJ13" s="56"/>
      <c r="EK13" s="56"/>
      <c r="EL13" s="56"/>
      <c r="EM13" s="56"/>
      <c r="EN13" s="58">
        <f t="shared" si="17"/>
        <v>18845</v>
      </c>
      <c r="EP13" s="134">
        <f t="shared" si="18"/>
        <v>30.830388692579504</v>
      </c>
      <c r="EQ13" s="134">
        <f t="shared" si="19"/>
        <v>15.819556265748869</v>
      </c>
      <c r="ER13" s="83">
        <f t="shared" si="20"/>
        <v>16271</v>
      </c>
      <c r="ES13" s="83">
        <f t="shared" si="21"/>
        <v>18845</v>
      </c>
      <c r="ET13" s="35"/>
      <c r="EU13" s="102"/>
    </row>
    <row r="14" spans="1:151" ht="13.9" customHeight="1" x14ac:dyDescent="0.2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P14" s="135"/>
      <c r="EQ14" s="135"/>
      <c r="ER14" s="16"/>
      <c r="ES14" s="16"/>
      <c r="ET14" s="35"/>
      <c r="EU14" s="102"/>
    </row>
    <row r="15" spans="1:151" ht="13.9" customHeight="1" x14ac:dyDescent="0.2">
      <c r="A15" s="1" t="s">
        <v>228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P15" s="135"/>
      <c r="EQ15" s="135"/>
      <c r="ER15" s="16"/>
      <c r="ES15" s="16"/>
      <c r="ET15" s="35"/>
      <c r="EU15" s="102"/>
    </row>
    <row r="16" spans="1:151" ht="13.9" customHeight="1" x14ac:dyDescent="0.2">
      <c r="A16" s="1" t="s">
        <v>110</v>
      </c>
    </row>
  </sheetData>
  <mergeCells count="1">
    <mergeCell ref="EP4:EQ4"/>
  </mergeCells>
  <printOptions horizontalCentered="1" verticalCentered="1"/>
  <pageMargins left="0.74803149606299213" right="0.74803149606299213" top="0.98425196850393704" bottom="0.98425196850393704" header="0" footer="0"/>
  <pageSetup paperSize="9" scale="10" orientation="landscape" r:id="rId1"/>
  <headerFooter alignWithMargins="0"/>
  <colBreaks count="1" manualBreakCount="1">
    <brk id="13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H39"/>
  <sheetViews>
    <sheetView showGridLines="0" view="pageBreakPreview" zoomScale="90" zoomScaleNormal="90" zoomScaleSheetLayoutView="90" workbookViewId="0">
      <pane xSplit="1" topLeftCell="GI1" activePane="topRight" state="frozen"/>
      <selection activeCell="IB59" sqref="IB59:JB59"/>
      <selection pane="topRight" activeCell="GL12" sqref="GL12:GM13"/>
    </sheetView>
  </sheetViews>
  <sheetFormatPr baseColWidth="10" defaultColWidth="9.7109375" defaultRowHeight="13.9" customHeight="1" x14ac:dyDescent="0.2"/>
  <cols>
    <col min="1" max="1" width="20.7109375" style="62" customWidth="1"/>
    <col min="2" max="209" width="9.7109375" style="62"/>
    <col min="210" max="210" width="1.7109375" customWidth="1"/>
    <col min="211" max="213" width="9.7109375" style="62"/>
    <col min="214" max="214" width="10" style="62" customWidth="1"/>
    <col min="215" max="16384" width="9.7109375" style="62"/>
  </cols>
  <sheetData>
    <row r="1" spans="1:216" ht="13.9" customHeight="1" x14ac:dyDescent="0.2">
      <c r="A1" s="66" t="s">
        <v>249</v>
      </c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6"/>
      <c r="CO1" s="126"/>
      <c r="CP1" s="126"/>
      <c r="CQ1" s="126"/>
      <c r="CR1" s="126"/>
      <c r="CS1" s="126"/>
      <c r="CT1" s="126"/>
      <c r="CU1" s="126"/>
      <c r="CV1" s="126"/>
      <c r="CW1" s="126"/>
      <c r="CX1" s="126"/>
      <c r="CY1" s="126"/>
      <c r="CZ1" s="126"/>
      <c r="DA1" s="126"/>
      <c r="DB1" s="126"/>
      <c r="DC1" s="126"/>
      <c r="DD1" s="126"/>
      <c r="DE1" s="126"/>
      <c r="DF1" s="126"/>
      <c r="DG1" s="126"/>
      <c r="DH1" s="126"/>
      <c r="DI1" s="126"/>
      <c r="DJ1" s="126"/>
      <c r="DK1" s="126"/>
      <c r="DL1" s="126"/>
      <c r="DM1" s="126"/>
      <c r="DN1" s="126"/>
      <c r="DO1" s="126"/>
      <c r="DP1" s="126"/>
      <c r="DQ1" s="126"/>
      <c r="DR1" s="126"/>
      <c r="DS1" s="126"/>
      <c r="DT1" s="126"/>
      <c r="DU1" s="126"/>
      <c r="DV1" s="126"/>
      <c r="DW1" s="126"/>
      <c r="DX1" s="126"/>
      <c r="DY1" s="126"/>
      <c r="DZ1" s="126"/>
      <c r="EA1" s="126"/>
      <c r="EB1" s="126"/>
      <c r="EC1" s="126"/>
      <c r="ED1" s="126"/>
      <c r="EE1" s="126"/>
      <c r="EF1" s="126"/>
      <c r="EG1" s="126"/>
      <c r="EH1" s="126"/>
      <c r="EI1" s="126"/>
      <c r="EJ1" s="126"/>
      <c r="EK1" s="126"/>
      <c r="EL1" s="126"/>
      <c r="EM1" s="126"/>
      <c r="EN1" s="126"/>
      <c r="EO1" s="126"/>
      <c r="EP1" s="126"/>
      <c r="EQ1" s="126"/>
      <c r="ER1" s="126"/>
      <c r="ES1" s="126"/>
      <c r="ET1" s="126"/>
      <c r="EU1" s="126"/>
      <c r="EV1" s="126"/>
      <c r="EW1" s="126"/>
      <c r="EX1" s="126"/>
      <c r="EY1" s="126"/>
      <c r="EZ1" s="126"/>
      <c r="FA1" s="126"/>
      <c r="FB1" s="126"/>
      <c r="FC1" s="126"/>
      <c r="FD1" s="126"/>
      <c r="FE1" s="126"/>
      <c r="FF1" s="126"/>
      <c r="FG1" s="126"/>
      <c r="FH1" s="126"/>
      <c r="FI1" s="126"/>
      <c r="FJ1" s="126"/>
      <c r="FK1" s="126"/>
      <c r="FL1" s="126"/>
      <c r="FM1" s="126"/>
      <c r="FN1" s="126"/>
      <c r="FO1" s="126"/>
      <c r="FP1" s="126"/>
      <c r="FQ1" s="126"/>
      <c r="FR1" s="126"/>
      <c r="FS1" s="126"/>
      <c r="FT1" s="126"/>
      <c r="FU1" s="126"/>
      <c r="FV1" s="126"/>
      <c r="FW1" s="126"/>
      <c r="FX1" s="126"/>
      <c r="FY1" s="126"/>
      <c r="FZ1" s="126"/>
      <c r="GA1" s="126"/>
      <c r="GB1" s="126"/>
      <c r="GC1" s="126"/>
      <c r="GD1" s="126"/>
      <c r="GE1" s="126"/>
      <c r="GF1" s="126"/>
      <c r="GG1" s="126"/>
      <c r="GH1" s="126"/>
      <c r="GI1" s="126"/>
      <c r="GJ1" s="126"/>
      <c r="GK1" s="126"/>
      <c r="GL1" s="126"/>
      <c r="GM1" s="126"/>
      <c r="GN1" s="126"/>
      <c r="GO1" s="126"/>
      <c r="GP1" s="126"/>
      <c r="GQ1" s="126"/>
      <c r="GR1" s="126"/>
      <c r="GS1" s="126"/>
      <c r="GT1" s="126"/>
      <c r="GU1" s="126"/>
      <c r="GV1" s="126"/>
      <c r="GW1" s="126"/>
      <c r="GX1" s="126"/>
      <c r="GY1" s="126"/>
      <c r="GZ1" s="126"/>
      <c r="HA1" s="126"/>
      <c r="HC1" s="126"/>
    </row>
    <row r="2" spans="1:216" ht="13.9" customHeight="1" x14ac:dyDescent="0.2">
      <c r="A2" s="66" t="s">
        <v>258</v>
      </c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  <c r="BS2" s="126"/>
      <c r="BT2" s="126"/>
      <c r="BU2" s="126"/>
      <c r="BV2" s="126"/>
      <c r="BW2" s="126"/>
      <c r="BX2" s="126"/>
      <c r="BY2" s="126"/>
      <c r="BZ2" s="126"/>
      <c r="CA2" s="126"/>
      <c r="CB2" s="126"/>
      <c r="CC2" s="126"/>
      <c r="CD2" s="126"/>
      <c r="CE2" s="126"/>
      <c r="CF2" s="126"/>
      <c r="CG2" s="126"/>
      <c r="CH2" s="126"/>
      <c r="CI2" s="126"/>
      <c r="CJ2" s="126"/>
      <c r="CK2" s="126"/>
      <c r="CL2" s="126"/>
      <c r="CM2" s="126"/>
      <c r="CN2" s="126"/>
      <c r="CO2" s="126"/>
      <c r="CP2" s="126"/>
      <c r="CQ2" s="126"/>
      <c r="CR2" s="126"/>
      <c r="CS2" s="126"/>
      <c r="CT2" s="126"/>
      <c r="CU2" s="126"/>
      <c r="CV2" s="126"/>
      <c r="CW2" s="126"/>
      <c r="CX2" s="126"/>
      <c r="CY2" s="126"/>
      <c r="CZ2" s="126"/>
      <c r="DA2" s="126"/>
      <c r="DB2" s="126"/>
      <c r="DC2" s="126"/>
      <c r="DD2" s="126"/>
      <c r="DE2" s="126"/>
      <c r="DF2" s="126"/>
      <c r="DG2" s="126"/>
      <c r="DH2" s="126"/>
      <c r="DI2" s="126"/>
      <c r="DJ2" s="126"/>
      <c r="DK2" s="126"/>
      <c r="DL2" s="126"/>
      <c r="DM2" s="126"/>
      <c r="DN2" s="126"/>
      <c r="DO2" s="126"/>
      <c r="DP2" s="126"/>
      <c r="DQ2" s="126"/>
      <c r="DR2" s="126"/>
      <c r="DS2" s="126"/>
      <c r="DT2" s="126"/>
      <c r="DU2" s="126"/>
      <c r="DV2" s="126"/>
      <c r="DW2" s="126"/>
      <c r="DX2" s="126"/>
      <c r="DY2" s="126"/>
      <c r="DZ2" s="126"/>
      <c r="EA2" s="126"/>
      <c r="EB2" s="126"/>
      <c r="EC2" s="126"/>
      <c r="ED2" s="126"/>
      <c r="EE2" s="126"/>
      <c r="EF2" s="126"/>
      <c r="EG2" s="126"/>
      <c r="EH2" s="126"/>
      <c r="EI2" s="126"/>
      <c r="EJ2" s="126"/>
      <c r="EK2" s="126"/>
      <c r="EL2" s="126"/>
      <c r="EM2" s="126"/>
      <c r="EN2" s="126"/>
      <c r="EO2" s="126"/>
      <c r="EP2" s="126"/>
      <c r="EQ2" s="126"/>
      <c r="ER2" s="126"/>
      <c r="ES2" s="126"/>
      <c r="ET2" s="126"/>
      <c r="EU2" s="126"/>
      <c r="EV2" s="126"/>
      <c r="EW2" s="126"/>
      <c r="EX2" s="126"/>
      <c r="EY2" s="126"/>
      <c r="EZ2" s="126"/>
      <c r="FA2" s="126"/>
      <c r="FB2" s="126"/>
      <c r="FC2" s="126"/>
      <c r="FD2" s="126"/>
      <c r="FE2" s="126"/>
      <c r="FF2" s="126"/>
      <c r="FG2" s="126"/>
      <c r="FH2" s="126"/>
      <c r="FI2" s="126"/>
      <c r="FJ2" s="126"/>
      <c r="FK2" s="126"/>
      <c r="FL2" s="126"/>
      <c r="FM2" s="126"/>
      <c r="FN2" s="126"/>
      <c r="FO2" s="126"/>
      <c r="FP2" s="126"/>
      <c r="FQ2" s="126"/>
      <c r="FR2" s="126"/>
      <c r="FS2" s="126"/>
      <c r="FT2" s="126"/>
      <c r="FU2" s="126"/>
      <c r="FV2" s="126"/>
      <c r="FW2" s="126"/>
      <c r="FX2" s="126"/>
      <c r="FY2" s="126"/>
      <c r="FZ2" s="126"/>
      <c r="GA2" s="126"/>
      <c r="GB2" s="126"/>
      <c r="GC2" s="126"/>
      <c r="GD2" s="126"/>
      <c r="GE2" s="126"/>
      <c r="GF2" s="126"/>
      <c r="GG2" s="126"/>
      <c r="GH2" s="126"/>
      <c r="GI2" s="126"/>
      <c r="GJ2" s="126"/>
      <c r="GK2" s="126"/>
      <c r="GL2" s="126"/>
      <c r="GM2" s="126"/>
      <c r="GN2" s="126"/>
      <c r="GO2" s="126"/>
      <c r="GP2" s="126"/>
      <c r="GQ2" s="126"/>
      <c r="GR2" s="126"/>
      <c r="GS2" s="126"/>
      <c r="GT2" s="126"/>
      <c r="GU2" s="126"/>
      <c r="GV2" s="126"/>
      <c r="GW2" s="126"/>
      <c r="GX2" s="126"/>
      <c r="GY2" s="126"/>
      <c r="GZ2" s="126"/>
      <c r="HA2" s="126"/>
      <c r="HC2" s="126"/>
    </row>
    <row r="3" spans="1:216" ht="13.9" customHeight="1" x14ac:dyDescent="0.2">
      <c r="A3" s="66" t="s">
        <v>615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/>
      <c r="CQ3" s="126"/>
      <c r="CR3" s="126"/>
      <c r="CS3" s="126"/>
      <c r="CT3" s="126"/>
      <c r="CU3" s="126"/>
      <c r="CV3" s="126"/>
      <c r="CW3" s="126"/>
      <c r="CX3" s="126"/>
      <c r="CY3" s="126"/>
      <c r="CZ3" s="126"/>
      <c r="DA3" s="126"/>
      <c r="DB3" s="126"/>
      <c r="DC3" s="126"/>
      <c r="DD3" s="126"/>
      <c r="DE3" s="126"/>
      <c r="DF3" s="126"/>
      <c r="DG3" s="126"/>
      <c r="DH3" s="126"/>
      <c r="DI3" s="126"/>
      <c r="DJ3" s="126"/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26"/>
      <c r="EB3" s="126"/>
      <c r="EC3" s="126"/>
      <c r="ED3" s="126"/>
      <c r="EE3" s="126"/>
      <c r="EF3" s="126"/>
      <c r="EG3" s="126"/>
      <c r="EH3" s="126"/>
      <c r="EI3" s="126"/>
      <c r="EJ3" s="126"/>
      <c r="EK3" s="126"/>
      <c r="EL3" s="126"/>
      <c r="EM3" s="126"/>
      <c r="EN3" s="126"/>
      <c r="EO3" s="126"/>
      <c r="EP3" s="126"/>
      <c r="EQ3" s="126"/>
      <c r="ER3" s="126"/>
      <c r="ES3" s="126"/>
      <c r="ET3" s="126"/>
      <c r="EU3" s="126"/>
      <c r="EV3" s="126"/>
      <c r="EW3" s="126"/>
      <c r="EX3" s="126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26"/>
      <c r="FK3" s="126"/>
      <c r="FL3" s="126"/>
      <c r="FM3" s="126"/>
      <c r="FN3" s="126"/>
      <c r="FO3" s="126"/>
      <c r="FP3" s="126"/>
      <c r="FQ3" s="126"/>
      <c r="FR3" s="126"/>
      <c r="FS3" s="126"/>
      <c r="FT3" s="126"/>
      <c r="FU3" s="126"/>
      <c r="FV3" s="126"/>
      <c r="FW3" s="126"/>
      <c r="FX3" s="126"/>
      <c r="FY3" s="126"/>
      <c r="FZ3" s="126"/>
      <c r="GA3" s="126"/>
      <c r="GB3" s="126"/>
      <c r="GC3" s="126"/>
      <c r="GD3" s="126"/>
      <c r="GE3" s="126"/>
      <c r="GF3" s="126"/>
      <c r="GG3" s="126"/>
      <c r="GH3" s="126"/>
      <c r="GI3" s="126"/>
      <c r="GJ3" s="126"/>
      <c r="GK3" s="126"/>
      <c r="GL3" s="126"/>
      <c r="GM3" s="126"/>
      <c r="GN3" s="126"/>
      <c r="GO3" s="126"/>
      <c r="GP3" s="126"/>
      <c r="GQ3" s="126"/>
      <c r="GR3" s="126"/>
      <c r="GS3" s="126"/>
      <c r="GT3" s="126"/>
      <c r="GU3" s="126"/>
      <c r="GV3" s="126"/>
      <c r="GW3" s="126"/>
      <c r="GX3" s="126"/>
      <c r="GY3" s="126"/>
      <c r="GZ3" s="126"/>
      <c r="HA3" s="126"/>
      <c r="HC3" s="126"/>
    </row>
    <row r="4" spans="1:216" ht="13.9" customHeight="1" x14ac:dyDescent="0.2">
      <c r="A4" s="142"/>
      <c r="B4" s="121">
        <v>2011</v>
      </c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37"/>
      <c r="N4" s="123" t="s">
        <v>29</v>
      </c>
      <c r="O4" s="121">
        <v>2012</v>
      </c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37"/>
      <c r="AA4" s="123" t="s">
        <v>29</v>
      </c>
      <c r="AB4" s="121">
        <v>2013</v>
      </c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37"/>
      <c r="AN4" s="123" t="s">
        <v>29</v>
      </c>
      <c r="AO4" s="121">
        <v>2014</v>
      </c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37"/>
      <c r="BA4" s="123" t="s">
        <v>29</v>
      </c>
      <c r="BB4" s="121">
        <v>2015</v>
      </c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37"/>
      <c r="BN4" s="123" t="s">
        <v>29</v>
      </c>
      <c r="BO4" s="121">
        <v>2016</v>
      </c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37"/>
      <c r="CA4" s="123" t="s">
        <v>29</v>
      </c>
      <c r="CB4" s="121">
        <v>2017</v>
      </c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37"/>
      <c r="CN4" s="123" t="s">
        <v>29</v>
      </c>
      <c r="CO4" s="121">
        <v>2018</v>
      </c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37"/>
      <c r="DA4" s="123" t="s">
        <v>29</v>
      </c>
      <c r="DB4" s="121">
        <v>2019</v>
      </c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37"/>
      <c r="DN4" s="123" t="s">
        <v>29</v>
      </c>
      <c r="DO4" s="121">
        <v>2020</v>
      </c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37"/>
      <c r="EA4" s="123" t="s">
        <v>29</v>
      </c>
      <c r="EB4" s="121">
        <v>2021</v>
      </c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37"/>
      <c r="EN4" s="123" t="s">
        <v>29</v>
      </c>
      <c r="EO4" s="121">
        <v>2022</v>
      </c>
      <c r="EP4" s="122"/>
      <c r="EQ4" s="122"/>
      <c r="ER4" s="122"/>
      <c r="ES4" s="122"/>
      <c r="ET4" s="122"/>
      <c r="EU4" s="122"/>
      <c r="EV4" s="122"/>
      <c r="EW4" s="122"/>
      <c r="EX4" s="122"/>
      <c r="EY4" s="122"/>
      <c r="EZ4" s="137"/>
      <c r="FA4" s="123" t="s">
        <v>29</v>
      </c>
      <c r="FB4" s="121">
        <v>2023</v>
      </c>
      <c r="FC4" s="122"/>
      <c r="FD4" s="122"/>
      <c r="FE4" s="122"/>
      <c r="FF4" s="122"/>
      <c r="FG4" s="122"/>
      <c r="FH4" s="122"/>
      <c r="FI4" s="122"/>
      <c r="FJ4" s="122"/>
      <c r="FK4" s="122"/>
      <c r="FL4" s="122"/>
      <c r="FM4" s="137"/>
      <c r="FN4" s="123" t="s">
        <v>29</v>
      </c>
      <c r="FO4" s="121">
        <v>2024</v>
      </c>
      <c r="FP4" s="122"/>
      <c r="FQ4" s="122"/>
      <c r="FR4" s="122"/>
      <c r="FS4" s="122"/>
      <c r="FT4" s="122"/>
      <c r="FU4" s="122"/>
      <c r="FV4" s="122"/>
      <c r="FW4" s="122"/>
      <c r="FX4" s="122"/>
      <c r="FY4" s="122"/>
      <c r="FZ4" s="137"/>
      <c r="GA4" s="123" t="s">
        <v>29</v>
      </c>
      <c r="GB4" s="121">
        <v>2025</v>
      </c>
      <c r="GC4" s="122"/>
      <c r="GD4" s="122"/>
      <c r="GE4" s="122"/>
      <c r="GF4" s="122"/>
      <c r="GG4" s="122"/>
      <c r="GH4" s="122"/>
      <c r="GI4" s="122"/>
      <c r="GJ4" s="122"/>
      <c r="GK4" s="122"/>
      <c r="GL4" s="122"/>
      <c r="GM4" s="137"/>
      <c r="GN4" s="123" t="s">
        <v>29</v>
      </c>
      <c r="GO4" s="121">
        <v>2026</v>
      </c>
      <c r="GP4" s="122"/>
      <c r="GQ4" s="122"/>
      <c r="GR4" s="122"/>
      <c r="GS4" s="122"/>
      <c r="GT4" s="122"/>
      <c r="GU4" s="122"/>
      <c r="GV4" s="122"/>
      <c r="GW4" s="122"/>
      <c r="GX4" s="122"/>
      <c r="GY4" s="122"/>
      <c r="GZ4" s="137"/>
      <c r="HA4" s="123" t="s">
        <v>29</v>
      </c>
      <c r="HC4" s="1685" t="str">
        <f>CONCATENATE("Var.% ",HF4,"/",HF4-1)</f>
        <v>Var.% 2026/2025</v>
      </c>
      <c r="HD4" s="1686"/>
      <c r="HE4" s="73">
        <f>HF4-1</f>
        <v>2025</v>
      </c>
      <c r="HF4" s="73">
        <f>HA5</f>
        <v>2026</v>
      </c>
      <c r="HG4" s="128"/>
    </row>
    <row r="5" spans="1:216" ht="13.9" customHeight="1" x14ac:dyDescent="0.2">
      <c r="A5" s="1464"/>
      <c r="B5" s="113">
        <v>40544</v>
      </c>
      <c r="C5" s="114">
        <v>40575</v>
      </c>
      <c r="D5" s="114">
        <v>40603</v>
      </c>
      <c r="E5" s="114">
        <v>40634</v>
      </c>
      <c r="F5" s="114">
        <v>40664</v>
      </c>
      <c r="G5" s="114">
        <v>40695</v>
      </c>
      <c r="H5" s="114">
        <v>40725</v>
      </c>
      <c r="I5" s="114">
        <v>40756</v>
      </c>
      <c r="J5" s="114">
        <v>40787</v>
      </c>
      <c r="K5" s="114">
        <v>40817</v>
      </c>
      <c r="L5" s="114">
        <v>40848</v>
      </c>
      <c r="M5" s="157">
        <v>40878</v>
      </c>
      <c r="N5" s="115">
        <f>YEAR(M5)</f>
        <v>2011</v>
      </c>
      <c r="O5" s="113">
        <v>40909</v>
      </c>
      <c r="P5" s="114">
        <v>40940</v>
      </c>
      <c r="Q5" s="114">
        <v>40969</v>
      </c>
      <c r="R5" s="114">
        <v>41000</v>
      </c>
      <c r="S5" s="114">
        <v>41030</v>
      </c>
      <c r="T5" s="114">
        <v>41061</v>
      </c>
      <c r="U5" s="114">
        <v>41091</v>
      </c>
      <c r="V5" s="114">
        <v>41122</v>
      </c>
      <c r="W5" s="114">
        <v>41153</v>
      </c>
      <c r="X5" s="114">
        <v>41183</v>
      </c>
      <c r="Y5" s="114">
        <v>41214</v>
      </c>
      <c r="Z5" s="157">
        <v>41244</v>
      </c>
      <c r="AA5" s="115">
        <f>YEAR(Z5)</f>
        <v>2012</v>
      </c>
      <c r="AB5" s="113">
        <v>41275</v>
      </c>
      <c r="AC5" s="114">
        <v>41306</v>
      </c>
      <c r="AD5" s="114">
        <v>41334</v>
      </c>
      <c r="AE5" s="114">
        <v>41365</v>
      </c>
      <c r="AF5" s="114">
        <v>41395</v>
      </c>
      <c r="AG5" s="114">
        <v>41426</v>
      </c>
      <c r="AH5" s="114">
        <v>41456</v>
      </c>
      <c r="AI5" s="114">
        <v>41487</v>
      </c>
      <c r="AJ5" s="114">
        <v>41518</v>
      </c>
      <c r="AK5" s="114">
        <v>41548</v>
      </c>
      <c r="AL5" s="114">
        <v>41579</v>
      </c>
      <c r="AM5" s="157">
        <v>41609</v>
      </c>
      <c r="AN5" s="115">
        <f>YEAR(AM5)</f>
        <v>2013</v>
      </c>
      <c r="AO5" s="113">
        <v>41640</v>
      </c>
      <c r="AP5" s="114">
        <v>41671</v>
      </c>
      <c r="AQ5" s="114">
        <v>41699</v>
      </c>
      <c r="AR5" s="114">
        <v>41730</v>
      </c>
      <c r="AS5" s="114">
        <v>41760</v>
      </c>
      <c r="AT5" s="114">
        <v>41791</v>
      </c>
      <c r="AU5" s="114">
        <v>41821</v>
      </c>
      <c r="AV5" s="114">
        <v>41852</v>
      </c>
      <c r="AW5" s="114">
        <v>41883</v>
      </c>
      <c r="AX5" s="114">
        <v>41913</v>
      </c>
      <c r="AY5" s="114">
        <v>41944</v>
      </c>
      <c r="AZ5" s="157">
        <v>41974</v>
      </c>
      <c r="BA5" s="115">
        <f>YEAR(AZ5)</f>
        <v>2014</v>
      </c>
      <c r="BB5" s="113">
        <v>42005</v>
      </c>
      <c r="BC5" s="114">
        <v>42036</v>
      </c>
      <c r="BD5" s="114">
        <v>42064</v>
      </c>
      <c r="BE5" s="114">
        <v>42095</v>
      </c>
      <c r="BF5" s="114">
        <v>42125</v>
      </c>
      <c r="BG5" s="114">
        <v>42156</v>
      </c>
      <c r="BH5" s="114">
        <v>42186</v>
      </c>
      <c r="BI5" s="114">
        <v>42217</v>
      </c>
      <c r="BJ5" s="114">
        <v>42248</v>
      </c>
      <c r="BK5" s="114">
        <v>42278</v>
      </c>
      <c r="BL5" s="114">
        <v>42309</v>
      </c>
      <c r="BM5" s="157">
        <v>42339</v>
      </c>
      <c r="BN5" s="115">
        <f>YEAR(BM5)</f>
        <v>2015</v>
      </c>
      <c r="BO5" s="113">
        <v>42370</v>
      </c>
      <c r="BP5" s="114">
        <v>42401</v>
      </c>
      <c r="BQ5" s="114">
        <v>42430</v>
      </c>
      <c r="BR5" s="114">
        <v>42461</v>
      </c>
      <c r="BS5" s="114">
        <v>42491</v>
      </c>
      <c r="BT5" s="114">
        <v>42522</v>
      </c>
      <c r="BU5" s="114">
        <v>42552</v>
      </c>
      <c r="BV5" s="114">
        <v>42583</v>
      </c>
      <c r="BW5" s="114">
        <v>42614</v>
      </c>
      <c r="BX5" s="114">
        <v>42644</v>
      </c>
      <c r="BY5" s="114">
        <v>42675</v>
      </c>
      <c r="BZ5" s="157">
        <v>42705</v>
      </c>
      <c r="CA5" s="115">
        <f>YEAR(BZ5)</f>
        <v>2016</v>
      </c>
      <c r="CB5" s="113">
        <v>42736</v>
      </c>
      <c r="CC5" s="114">
        <v>42767</v>
      </c>
      <c r="CD5" s="114">
        <v>42795</v>
      </c>
      <c r="CE5" s="114">
        <v>42826</v>
      </c>
      <c r="CF5" s="114">
        <v>42856</v>
      </c>
      <c r="CG5" s="114">
        <v>42887</v>
      </c>
      <c r="CH5" s="114">
        <v>42917</v>
      </c>
      <c r="CI5" s="114">
        <v>42948</v>
      </c>
      <c r="CJ5" s="114">
        <v>42979</v>
      </c>
      <c r="CK5" s="114">
        <v>43009</v>
      </c>
      <c r="CL5" s="114">
        <v>43040</v>
      </c>
      <c r="CM5" s="157">
        <v>43070</v>
      </c>
      <c r="CN5" s="115">
        <f>YEAR(CM5)</f>
        <v>2017</v>
      </c>
      <c r="CO5" s="113">
        <v>43101</v>
      </c>
      <c r="CP5" s="114">
        <v>43132</v>
      </c>
      <c r="CQ5" s="114">
        <v>43160</v>
      </c>
      <c r="CR5" s="114">
        <v>43191</v>
      </c>
      <c r="CS5" s="114">
        <v>43221</v>
      </c>
      <c r="CT5" s="114">
        <v>43252</v>
      </c>
      <c r="CU5" s="114">
        <v>43282</v>
      </c>
      <c r="CV5" s="114">
        <v>43313</v>
      </c>
      <c r="CW5" s="114">
        <v>43344</v>
      </c>
      <c r="CX5" s="114">
        <v>43374</v>
      </c>
      <c r="CY5" s="114">
        <v>43405</v>
      </c>
      <c r="CZ5" s="157">
        <v>43435</v>
      </c>
      <c r="DA5" s="115">
        <f>YEAR(CZ5)</f>
        <v>2018</v>
      </c>
      <c r="DB5" s="113">
        <v>43466</v>
      </c>
      <c r="DC5" s="114">
        <v>43497</v>
      </c>
      <c r="DD5" s="114">
        <v>43525</v>
      </c>
      <c r="DE5" s="114">
        <v>43556</v>
      </c>
      <c r="DF5" s="114">
        <v>43586</v>
      </c>
      <c r="DG5" s="114">
        <v>43617</v>
      </c>
      <c r="DH5" s="114">
        <v>43647</v>
      </c>
      <c r="DI5" s="114">
        <v>43678</v>
      </c>
      <c r="DJ5" s="114">
        <v>43709</v>
      </c>
      <c r="DK5" s="114">
        <v>43739</v>
      </c>
      <c r="DL5" s="114">
        <v>43770</v>
      </c>
      <c r="DM5" s="157">
        <v>43800</v>
      </c>
      <c r="DN5" s="115">
        <f>YEAR(DM5)</f>
        <v>2019</v>
      </c>
      <c r="DO5" s="113">
        <v>43831</v>
      </c>
      <c r="DP5" s="114">
        <v>43862</v>
      </c>
      <c r="DQ5" s="114">
        <v>43891</v>
      </c>
      <c r="DR5" s="114">
        <v>43922</v>
      </c>
      <c r="DS5" s="114">
        <v>43952</v>
      </c>
      <c r="DT5" s="114">
        <v>43983</v>
      </c>
      <c r="DU5" s="114">
        <v>44013</v>
      </c>
      <c r="DV5" s="114">
        <v>44044</v>
      </c>
      <c r="DW5" s="114">
        <v>44075</v>
      </c>
      <c r="DX5" s="114">
        <v>44105</v>
      </c>
      <c r="DY5" s="114">
        <v>44136</v>
      </c>
      <c r="DZ5" s="157">
        <v>44166</v>
      </c>
      <c r="EA5" s="115">
        <f>YEAR(DZ5)</f>
        <v>2020</v>
      </c>
      <c r="EB5" s="113">
        <v>44197</v>
      </c>
      <c r="EC5" s="114">
        <v>44228</v>
      </c>
      <c r="ED5" s="114">
        <v>44256</v>
      </c>
      <c r="EE5" s="114">
        <v>44287</v>
      </c>
      <c r="EF5" s="114">
        <v>44317</v>
      </c>
      <c r="EG5" s="114">
        <v>44348</v>
      </c>
      <c r="EH5" s="114">
        <v>44378</v>
      </c>
      <c r="EI5" s="114">
        <v>44409</v>
      </c>
      <c r="EJ5" s="114">
        <v>44440</v>
      </c>
      <c r="EK5" s="114">
        <v>44470</v>
      </c>
      <c r="EL5" s="114">
        <v>44501</v>
      </c>
      <c r="EM5" s="157">
        <v>44531</v>
      </c>
      <c r="EN5" s="115">
        <f>YEAR(EM5)</f>
        <v>2021</v>
      </c>
      <c r="EO5" s="113">
        <v>44562</v>
      </c>
      <c r="EP5" s="114">
        <v>44593</v>
      </c>
      <c r="EQ5" s="114">
        <v>44621</v>
      </c>
      <c r="ER5" s="114">
        <v>44652</v>
      </c>
      <c r="ES5" s="114">
        <v>44682</v>
      </c>
      <c r="ET5" s="114">
        <v>44713</v>
      </c>
      <c r="EU5" s="114">
        <v>44743</v>
      </c>
      <c r="EV5" s="114">
        <v>44774</v>
      </c>
      <c r="EW5" s="114">
        <v>44805</v>
      </c>
      <c r="EX5" s="114">
        <v>44835</v>
      </c>
      <c r="EY5" s="114">
        <v>44866</v>
      </c>
      <c r="EZ5" s="157">
        <v>44896</v>
      </c>
      <c r="FA5" s="115">
        <f>YEAR(EZ5)</f>
        <v>2022</v>
      </c>
      <c r="FB5" s="113">
        <v>44927</v>
      </c>
      <c r="FC5" s="114">
        <v>44958</v>
      </c>
      <c r="FD5" s="114">
        <v>44986</v>
      </c>
      <c r="FE5" s="114">
        <v>45017</v>
      </c>
      <c r="FF5" s="114">
        <v>45047</v>
      </c>
      <c r="FG5" s="114">
        <v>45078</v>
      </c>
      <c r="FH5" s="114">
        <v>45108</v>
      </c>
      <c r="FI5" s="114">
        <v>45139</v>
      </c>
      <c r="FJ5" s="114">
        <v>45170</v>
      </c>
      <c r="FK5" s="114">
        <v>45200</v>
      </c>
      <c r="FL5" s="114">
        <v>45231</v>
      </c>
      <c r="FM5" s="157">
        <v>45261</v>
      </c>
      <c r="FN5" s="115">
        <f>YEAR(FM5)</f>
        <v>2023</v>
      </c>
      <c r="FO5" s="113">
        <v>45292</v>
      </c>
      <c r="FP5" s="114">
        <v>45323</v>
      </c>
      <c r="FQ5" s="114">
        <v>45352</v>
      </c>
      <c r="FR5" s="114">
        <v>45383</v>
      </c>
      <c r="FS5" s="114">
        <v>45413</v>
      </c>
      <c r="FT5" s="114">
        <v>45444</v>
      </c>
      <c r="FU5" s="114">
        <v>45474</v>
      </c>
      <c r="FV5" s="114">
        <v>45505</v>
      </c>
      <c r="FW5" s="114">
        <v>45536</v>
      </c>
      <c r="FX5" s="114">
        <v>45566</v>
      </c>
      <c r="FY5" s="114">
        <v>45597</v>
      </c>
      <c r="FZ5" s="157">
        <v>45627</v>
      </c>
      <c r="GA5" s="115">
        <f>YEAR(FZ5)</f>
        <v>2024</v>
      </c>
      <c r="GB5" s="113">
        <v>45658</v>
      </c>
      <c r="GC5" s="114">
        <v>45689</v>
      </c>
      <c r="GD5" s="114">
        <v>45717</v>
      </c>
      <c r="GE5" s="114">
        <v>45748</v>
      </c>
      <c r="GF5" s="114">
        <v>45778</v>
      </c>
      <c r="GG5" s="114">
        <v>45809</v>
      </c>
      <c r="GH5" s="114">
        <v>45839</v>
      </c>
      <c r="GI5" s="114">
        <v>45870</v>
      </c>
      <c r="GJ5" s="114">
        <v>45901</v>
      </c>
      <c r="GK5" s="114">
        <v>45931</v>
      </c>
      <c r="GL5" s="114">
        <v>45962</v>
      </c>
      <c r="GM5" s="157">
        <v>45992</v>
      </c>
      <c r="GN5" s="115">
        <f>YEAR(GM5)</f>
        <v>2025</v>
      </c>
      <c r="GO5" s="113">
        <v>46023</v>
      </c>
      <c r="GP5" s="114">
        <v>46054</v>
      </c>
      <c r="GQ5" s="114">
        <v>46082</v>
      </c>
      <c r="GR5" s="114">
        <v>46113</v>
      </c>
      <c r="GS5" s="114">
        <v>46143</v>
      </c>
      <c r="GT5" s="114">
        <v>46174</v>
      </c>
      <c r="GU5" s="114">
        <v>46204</v>
      </c>
      <c r="GV5" s="114">
        <v>46235</v>
      </c>
      <c r="GW5" s="114">
        <v>46266</v>
      </c>
      <c r="GX5" s="114">
        <v>46296</v>
      </c>
      <c r="GY5" s="114">
        <v>46327</v>
      </c>
      <c r="GZ5" s="157">
        <v>46357</v>
      </c>
      <c r="HA5" s="115">
        <f>YEAR(GZ5)</f>
        <v>2026</v>
      </c>
      <c r="HC5" s="42">
        <f>GX5</f>
        <v>46296</v>
      </c>
      <c r="HD5" s="75" t="str">
        <f>CONCATENATE("Ene.-",TEXT(HC5,"MMM."))</f>
        <v>Ene.-Oct.</v>
      </c>
      <c r="HE5" s="75" t="str">
        <f>HD5</f>
        <v>Ene.-Oct.</v>
      </c>
      <c r="HF5" s="75" t="str">
        <f>HD5</f>
        <v>Ene.-Oct.</v>
      </c>
      <c r="HG5" s="66"/>
    </row>
    <row r="6" spans="1:216" ht="13.9" customHeight="1" x14ac:dyDescent="0.2">
      <c r="A6" s="142"/>
      <c r="B6" s="1460"/>
      <c r="C6" s="1461"/>
      <c r="D6" s="1461"/>
      <c r="E6" s="1461"/>
      <c r="F6" s="1461"/>
      <c r="G6" s="1461"/>
      <c r="H6" s="1461"/>
      <c r="I6" s="1461"/>
      <c r="J6" s="1461"/>
      <c r="K6" s="1461"/>
      <c r="L6" s="1461"/>
      <c r="M6" s="1462"/>
      <c r="N6" s="137"/>
      <c r="O6" s="1460"/>
      <c r="P6" s="1461"/>
      <c r="Q6" s="1461"/>
      <c r="R6" s="1461"/>
      <c r="S6" s="1461"/>
      <c r="T6" s="1461"/>
      <c r="U6" s="1461"/>
      <c r="V6" s="1461"/>
      <c r="W6" s="1461"/>
      <c r="X6" s="1461"/>
      <c r="Y6" s="1461"/>
      <c r="Z6" s="1462"/>
      <c r="AA6" s="137"/>
      <c r="AB6" s="1460"/>
      <c r="AC6" s="1461"/>
      <c r="AD6" s="1461"/>
      <c r="AE6" s="1461"/>
      <c r="AF6" s="1461"/>
      <c r="AG6" s="1461"/>
      <c r="AH6" s="1461"/>
      <c r="AI6" s="1461"/>
      <c r="AJ6" s="1461"/>
      <c r="AK6" s="1461"/>
      <c r="AL6" s="1461"/>
      <c r="AM6" s="1462"/>
      <c r="AN6" s="137"/>
      <c r="AO6" s="1460"/>
      <c r="AP6" s="1461"/>
      <c r="AQ6" s="1461"/>
      <c r="AR6" s="1461"/>
      <c r="AS6" s="1461"/>
      <c r="AT6" s="1461"/>
      <c r="AU6" s="1461"/>
      <c r="AV6" s="1461"/>
      <c r="AW6" s="1461"/>
      <c r="AX6" s="1461"/>
      <c r="AY6" s="1461"/>
      <c r="AZ6" s="1462"/>
      <c r="BA6" s="137"/>
      <c r="BB6" s="1460"/>
      <c r="BC6" s="1461"/>
      <c r="BD6" s="1461"/>
      <c r="BE6" s="1461"/>
      <c r="BF6" s="1461"/>
      <c r="BG6" s="1461"/>
      <c r="BH6" s="1461"/>
      <c r="BI6" s="1461"/>
      <c r="BJ6" s="1461"/>
      <c r="BK6" s="1461"/>
      <c r="BL6" s="1461"/>
      <c r="BM6" s="1462"/>
      <c r="BN6" s="137"/>
      <c r="BO6" s="1460"/>
      <c r="BP6" s="1461"/>
      <c r="BQ6" s="1461"/>
      <c r="BR6" s="1461"/>
      <c r="BS6" s="1461"/>
      <c r="BT6" s="1461"/>
      <c r="BU6" s="1461"/>
      <c r="BV6" s="1461"/>
      <c r="BW6" s="1461"/>
      <c r="BX6" s="1461"/>
      <c r="BY6" s="1461"/>
      <c r="BZ6" s="1462"/>
      <c r="CA6" s="137"/>
      <c r="CB6" s="1460"/>
      <c r="CC6" s="1461"/>
      <c r="CD6" s="1461"/>
      <c r="CE6" s="1461"/>
      <c r="CF6" s="1461"/>
      <c r="CG6" s="1461"/>
      <c r="CH6" s="1461"/>
      <c r="CI6" s="1461"/>
      <c r="CJ6" s="1461"/>
      <c r="CK6" s="1461"/>
      <c r="CL6" s="1461"/>
      <c r="CM6" s="1462"/>
      <c r="CN6" s="137"/>
      <c r="CO6" s="1460"/>
      <c r="CP6" s="1461"/>
      <c r="CQ6" s="1461"/>
      <c r="CR6" s="1461"/>
      <c r="CS6" s="1461"/>
      <c r="CT6" s="1461"/>
      <c r="CU6" s="1461"/>
      <c r="CV6" s="1461"/>
      <c r="CW6" s="1461"/>
      <c r="CX6" s="1461"/>
      <c r="CY6" s="1461"/>
      <c r="CZ6" s="1462"/>
      <c r="DA6" s="137"/>
      <c r="DB6" s="1460"/>
      <c r="DC6" s="1461"/>
      <c r="DD6" s="1461"/>
      <c r="DE6" s="1461"/>
      <c r="DF6" s="1461"/>
      <c r="DG6" s="1461"/>
      <c r="DH6" s="1461"/>
      <c r="DI6" s="1461"/>
      <c r="DJ6" s="1461"/>
      <c r="DK6" s="1461"/>
      <c r="DL6" s="1461"/>
      <c r="DM6" s="1462"/>
      <c r="DN6" s="137"/>
      <c r="DO6" s="1460"/>
      <c r="DP6" s="1461"/>
      <c r="DQ6" s="1461"/>
      <c r="DR6" s="1461"/>
      <c r="DS6" s="1461"/>
      <c r="DT6" s="1461"/>
      <c r="DU6" s="1461"/>
      <c r="DV6" s="1461"/>
      <c r="DW6" s="1461"/>
      <c r="DX6" s="1461"/>
      <c r="DY6" s="1461"/>
      <c r="DZ6" s="1462"/>
      <c r="EA6" s="137"/>
      <c r="EB6" s="1460"/>
      <c r="EC6" s="1461"/>
      <c r="ED6" s="1461"/>
      <c r="EE6" s="1461"/>
      <c r="EF6" s="1461"/>
      <c r="EG6" s="1461"/>
      <c r="EH6" s="1461"/>
      <c r="EI6" s="1461"/>
      <c r="EJ6" s="1461"/>
      <c r="EK6" s="1461"/>
      <c r="EL6" s="1461"/>
      <c r="EM6" s="1462"/>
      <c r="EN6" s="137"/>
      <c r="EO6" s="1460"/>
      <c r="EP6" s="1461"/>
      <c r="EQ6" s="1461"/>
      <c r="ER6" s="1461"/>
      <c r="ES6" s="1461"/>
      <c r="ET6" s="1461"/>
      <c r="EU6" s="1461"/>
      <c r="EV6" s="1461"/>
      <c r="EW6" s="1461"/>
      <c r="EX6" s="1461"/>
      <c r="EY6" s="1461"/>
      <c r="EZ6" s="1462"/>
      <c r="FA6" s="137"/>
      <c r="FB6" s="1460"/>
      <c r="FC6" s="1461"/>
      <c r="FD6" s="1461"/>
      <c r="FE6" s="1461"/>
      <c r="FF6" s="1461"/>
      <c r="FG6" s="1461"/>
      <c r="FH6" s="1461"/>
      <c r="FI6" s="1461"/>
      <c r="FJ6" s="1461"/>
      <c r="FK6" s="1461"/>
      <c r="FL6" s="1461"/>
      <c r="FM6" s="1462"/>
      <c r="FN6" s="137"/>
      <c r="FO6" s="1460"/>
      <c r="FP6" s="1461"/>
      <c r="FQ6" s="1461"/>
      <c r="FR6" s="1461"/>
      <c r="FS6" s="1461"/>
      <c r="FT6" s="1461"/>
      <c r="FU6" s="1461"/>
      <c r="FV6" s="1461"/>
      <c r="FW6" s="1461"/>
      <c r="FX6" s="1461"/>
      <c r="FY6" s="1461"/>
      <c r="FZ6" s="1462"/>
      <c r="GA6" s="137"/>
      <c r="GB6" s="1460"/>
      <c r="GC6" s="1461"/>
      <c r="GD6" s="1461"/>
      <c r="GE6" s="1461"/>
      <c r="GF6" s="1461"/>
      <c r="GG6" s="1461"/>
      <c r="GH6" s="1461"/>
      <c r="GI6" s="1461"/>
      <c r="GJ6" s="1461"/>
      <c r="GK6" s="1461"/>
      <c r="GL6" s="1461"/>
      <c r="GM6" s="1462"/>
      <c r="GN6" s="137"/>
      <c r="GO6" s="1460"/>
      <c r="GP6" s="1461"/>
      <c r="GQ6" s="1461"/>
      <c r="GR6" s="1461"/>
      <c r="GS6" s="1461"/>
      <c r="GT6" s="1461"/>
      <c r="GU6" s="1461"/>
      <c r="GV6" s="1461"/>
      <c r="GW6" s="1461"/>
      <c r="GX6" s="1461"/>
      <c r="GY6" s="1461"/>
      <c r="GZ6" s="1462"/>
      <c r="HA6" s="137"/>
      <c r="HC6" s="45"/>
      <c r="HD6" s="1465"/>
      <c r="HE6" s="1465"/>
      <c r="HF6" s="1465"/>
      <c r="HG6" s="66"/>
    </row>
    <row r="7" spans="1:216" ht="13.9" customHeight="1" x14ac:dyDescent="0.2">
      <c r="A7" s="76" t="s">
        <v>73</v>
      </c>
      <c r="B7" s="143">
        <f t="shared" ref="B7:L7" si="0">SUM(B8:B9)</f>
        <v>54646</v>
      </c>
      <c r="C7" s="1466">
        <f t="shared" si="0"/>
        <v>55072</v>
      </c>
      <c r="D7" s="1466">
        <f t="shared" si="0"/>
        <v>60080</v>
      </c>
      <c r="E7" s="1466">
        <f t="shared" si="0"/>
        <v>58782</v>
      </c>
      <c r="F7" s="1466">
        <f t="shared" si="0"/>
        <v>62299</v>
      </c>
      <c r="G7" s="1466">
        <f t="shared" si="0"/>
        <v>67876</v>
      </c>
      <c r="H7" s="1466">
        <f t="shared" si="0"/>
        <v>71945</v>
      </c>
      <c r="I7" s="1466">
        <f t="shared" si="0"/>
        <v>68186</v>
      </c>
      <c r="J7" s="1466">
        <f t="shared" si="0"/>
        <v>63234</v>
      </c>
      <c r="K7" s="1466">
        <f t="shared" si="0"/>
        <v>67041</v>
      </c>
      <c r="L7" s="1466">
        <f t="shared" si="0"/>
        <v>65210</v>
      </c>
      <c r="M7" s="144">
        <f>SUM(M8:M9)</f>
        <v>60602</v>
      </c>
      <c r="N7" s="144">
        <f t="shared" ref="N7:N13" si="1">SUM(B7:M7)</f>
        <v>754973</v>
      </c>
      <c r="O7" s="143">
        <f t="shared" ref="O7:Z7" si="2">SUM(O8:O9)</f>
        <v>61277</v>
      </c>
      <c r="P7" s="1466">
        <f t="shared" si="2"/>
        <v>55104</v>
      </c>
      <c r="Q7" s="1466">
        <f t="shared" si="2"/>
        <v>63922</v>
      </c>
      <c r="R7" s="1466">
        <f t="shared" si="2"/>
        <v>61708</v>
      </c>
      <c r="S7" s="1466">
        <f t="shared" si="2"/>
        <v>68242</v>
      </c>
      <c r="T7" s="1466">
        <f t="shared" si="2"/>
        <v>74271</v>
      </c>
      <c r="U7" s="1466">
        <f t="shared" si="2"/>
        <v>78319</v>
      </c>
      <c r="V7" s="1466">
        <f t="shared" si="2"/>
        <v>78085</v>
      </c>
      <c r="W7" s="1466">
        <f t="shared" si="2"/>
        <v>75113</v>
      </c>
      <c r="X7" s="1466">
        <f t="shared" si="2"/>
        <v>72578</v>
      </c>
      <c r="Y7" s="1466">
        <f t="shared" si="2"/>
        <v>72280</v>
      </c>
      <c r="Z7" s="144">
        <f t="shared" si="2"/>
        <v>69385</v>
      </c>
      <c r="AA7" s="144">
        <f t="shared" ref="AA7:AA13" si="3">SUM(O7:Z7)</f>
        <v>830284</v>
      </c>
      <c r="AB7" s="143">
        <f t="shared" ref="AB7:AM7" si="4">SUM(AB8:AB9)</f>
        <v>67782</v>
      </c>
      <c r="AC7" s="1466">
        <f t="shared" si="4"/>
        <v>67178</v>
      </c>
      <c r="AD7" s="1466">
        <f t="shared" si="4"/>
        <v>75541</v>
      </c>
      <c r="AE7" s="1466">
        <f t="shared" si="4"/>
        <v>71550</v>
      </c>
      <c r="AF7" s="1466">
        <f t="shared" si="4"/>
        <v>74465</v>
      </c>
      <c r="AG7" s="1466">
        <f t="shared" si="4"/>
        <v>81580</v>
      </c>
      <c r="AH7" s="1466">
        <f t="shared" si="4"/>
        <v>85808</v>
      </c>
      <c r="AI7" s="1466">
        <f t="shared" si="4"/>
        <v>89207</v>
      </c>
      <c r="AJ7" s="1466">
        <f t="shared" si="4"/>
        <v>81175</v>
      </c>
      <c r="AK7" s="1466">
        <f t="shared" si="4"/>
        <v>81379</v>
      </c>
      <c r="AL7" s="1466">
        <f t="shared" si="4"/>
        <v>78245</v>
      </c>
      <c r="AM7" s="144">
        <f t="shared" si="4"/>
        <v>71483</v>
      </c>
      <c r="AN7" s="144">
        <f t="shared" ref="AN7:AN13" si="5">SUM(AB7:AM7)</f>
        <v>925393</v>
      </c>
      <c r="AO7" s="143">
        <f t="shared" ref="AO7:AU7" si="6">SUM(AO8:AO9)</f>
        <v>70597</v>
      </c>
      <c r="AP7" s="1466">
        <f t="shared" si="6"/>
        <v>70855</v>
      </c>
      <c r="AQ7" s="1466">
        <f t="shared" si="6"/>
        <v>77370</v>
      </c>
      <c r="AR7" s="1466">
        <f t="shared" si="6"/>
        <v>72999</v>
      </c>
      <c r="AS7" s="1466">
        <f t="shared" si="6"/>
        <v>79043</v>
      </c>
      <c r="AT7" s="1466">
        <f t="shared" si="6"/>
        <v>83554</v>
      </c>
      <c r="AU7" s="1466">
        <f t="shared" si="6"/>
        <v>90111</v>
      </c>
      <c r="AV7" s="1466">
        <f t="shared" ref="AV7:BO7" si="7">SUM(AV8:AV9)</f>
        <v>87568</v>
      </c>
      <c r="AW7" s="1466">
        <f t="shared" si="7"/>
        <v>83416</v>
      </c>
      <c r="AX7" s="1466">
        <f t="shared" si="7"/>
        <v>88209</v>
      </c>
      <c r="AY7" s="1466">
        <f t="shared" si="7"/>
        <v>86917</v>
      </c>
      <c r="AZ7" s="144">
        <f t="shared" si="7"/>
        <v>83078</v>
      </c>
      <c r="BA7" s="144">
        <f t="shared" ref="BA7:BA13" si="8">SUM(AO7:AZ7)</f>
        <v>973717</v>
      </c>
      <c r="BB7" s="143">
        <f t="shared" si="7"/>
        <v>82997</v>
      </c>
      <c r="BC7" s="1466">
        <f t="shared" si="7"/>
        <v>86903</v>
      </c>
      <c r="BD7" s="1466">
        <f t="shared" si="7"/>
        <v>89338</v>
      </c>
      <c r="BE7" s="1466">
        <f t="shared" si="7"/>
        <v>84590</v>
      </c>
      <c r="BF7" s="1466">
        <f t="shared" si="7"/>
        <v>90284</v>
      </c>
      <c r="BG7" s="1466">
        <f t="shared" si="7"/>
        <v>93687</v>
      </c>
      <c r="BH7" s="1466">
        <f t="shared" si="7"/>
        <v>102641</v>
      </c>
      <c r="BI7" s="1466">
        <f t="shared" si="7"/>
        <v>96040</v>
      </c>
      <c r="BJ7" s="1466">
        <f t="shared" si="7"/>
        <v>95077</v>
      </c>
      <c r="BK7" s="1466">
        <f t="shared" si="7"/>
        <v>93445</v>
      </c>
      <c r="BL7" s="1466">
        <f t="shared" si="7"/>
        <v>98058</v>
      </c>
      <c r="BM7" s="144">
        <f t="shared" si="7"/>
        <v>92248</v>
      </c>
      <c r="BN7" s="144">
        <f t="shared" ref="BN7:BN13" si="9">SUM(BB7:BM7)</f>
        <v>1105308</v>
      </c>
      <c r="BO7" s="143">
        <f t="shared" si="7"/>
        <v>99008</v>
      </c>
      <c r="BP7" s="1466">
        <f t="shared" ref="BP7:BZ7" si="10">BP8+BP9</f>
        <v>98486</v>
      </c>
      <c r="BQ7" s="1466">
        <f t="shared" si="10"/>
        <v>99196</v>
      </c>
      <c r="BR7" s="1466">
        <f t="shared" si="10"/>
        <v>89047</v>
      </c>
      <c r="BS7" s="1466">
        <f t="shared" si="10"/>
        <v>91552</v>
      </c>
      <c r="BT7" s="1466">
        <f t="shared" si="10"/>
        <v>91243</v>
      </c>
      <c r="BU7" s="1466">
        <f t="shared" si="10"/>
        <v>110479</v>
      </c>
      <c r="BV7" s="1466">
        <f t="shared" si="10"/>
        <v>99843</v>
      </c>
      <c r="BW7" s="1466">
        <f t="shared" si="10"/>
        <v>95798</v>
      </c>
      <c r="BX7" s="1466">
        <f t="shared" si="10"/>
        <v>96960</v>
      </c>
      <c r="BY7" s="1466">
        <f t="shared" si="10"/>
        <v>94542</v>
      </c>
      <c r="BZ7" s="144">
        <f t="shared" si="10"/>
        <v>92844</v>
      </c>
      <c r="CA7" s="144">
        <f t="shared" ref="CA7:CA13" si="11">SUM(BO7:BZ7)</f>
        <v>1158998</v>
      </c>
      <c r="CB7" s="143">
        <f t="shared" ref="CB7:EB7" si="12">SUM(CB8:CB9)</f>
        <v>102139</v>
      </c>
      <c r="CC7" s="1466">
        <f t="shared" si="12"/>
        <v>91501</v>
      </c>
      <c r="CD7" s="1466">
        <f t="shared" si="12"/>
        <v>87612</v>
      </c>
      <c r="CE7" s="1466">
        <f t="shared" si="12"/>
        <v>96130</v>
      </c>
      <c r="CF7" s="1466">
        <f t="shared" si="12"/>
        <v>98018</v>
      </c>
      <c r="CG7" s="1466">
        <f t="shared" si="12"/>
        <v>107164</v>
      </c>
      <c r="CH7" s="1466">
        <f t="shared" si="12"/>
        <v>127694</v>
      </c>
      <c r="CI7" s="1466">
        <f t="shared" si="12"/>
        <v>118000</v>
      </c>
      <c r="CJ7" s="1466">
        <f t="shared" si="12"/>
        <v>107041</v>
      </c>
      <c r="CK7" s="1466">
        <f t="shared" si="12"/>
        <v>116195</v>
      </c>
      <c r="CL7" s="1466">
        <f t="shared" si="12"/>
        <v>110711</v>
      </c>
      <c r="CM7" s="144">
        <f t="shared" si="12"/>
        <v>110827</v>
      </c>
      <c r="CN7" s="144">
        <f t="shared" ref="CN7:CN13" si="13">SUM(CB7:CM7)</f>
        <v>1273032</v>
      </c>
      <c r="CO7" s="143">
        <f t="shared" si="12"/>
        <v>106773</v>
      </c>
      <c r="CP7" s="1466">
        <f t="shared" si="12"/>
        <v>106348</v>
      </c>
      <c r="CQ7" s="1466">
        <f t="shared" si="12"/>
        <v>98464</v>
      </c>
      <c r="CR7" s="1466">
        <f t="shared" si="12"/>
        <v>100084</v>
      </c>
      <c r="CS7" s="1466">
        <f t="shared" si="12"/>
        <v>106299</v>
      </c>
      <c r="CT7" s="1466">
        <f t="shared" si="12"/>
        <v>105851</v>
      </c>
      <c r="CU7" s="1466">
        <f t="shared" si="12"/>
        <v>110868</v>
      </c>
      <c r="CV7" s="1466">
        <f t="shared" si="12"/>
        <v>115489</v>
      </c>
      <c r="CW7" s="1466">
        <f t="shared" si="12"/>
        <v>106050</v>
      </c>
      <c r="CX7" s="1466">
        <f t="shared" si="12"/>
        <v>113813</v>
      </c>
      <c r="CY7" s="1466">
        <f t="shared" si="12"/>
        <v>110280</v>
      </c>
      <c r="CZ7" s="144">
        <f t="shared" si="12"/>
        <v>112577</v>
      </c>
      <c r="DA7" s="144">
        <f t="shared" ref="DA7:DA13" si="14">SUM(CO7:CZ7)</f>
        <v>1292896</v>
      </c>
      <c r="DB7" s="143">
        <f t="shared" si="12"/>
        <v>109491</v>
      </c>
      <c r="DC7" s="1466">
        <f t="shared" si="12"/>
        <v>99053</v>
      </c>
      <c r="DD7" s="1466">
        <f t="shared" si="12"/>
        <v>101060</v>
      </c>
      <c r="DE7" s="1466">
        <f t="shared" si="12"/>
        <v>101272</v>
      </c>
      <c r="DF7" s="1466">
        <f t="shared" si="12"/>
        <v>108677</v>
      </c>
      <c r="DG7" s="1466">
        <f t="shared" si="12"/>
        <v>105336</v>
      </c>
      <c r="DH7" s="1466">
        <f t="shared" si="12"/>
        <v>105444</v>
      </c>
      <c r="DI7" s="1466">
        <f t="shared" si="12"/>
        <v>110188</v>
      </c>
      <c r="DJ7" s="1466">
        <f t="shared" si="12"/>
        <v>105982</v>
      </c>
      <c r="DK7" s="1466">
        <f t="shared" si="12"/>
        <v>114765</v>
      </c>
      <c r="DL7" s="1466">
        <f t="shared" si="12"/>
        <v>113365</v>
      </c>
      <c r="DM7" s="144">
        <f t="shared" si="12"/>
        <v>115554</v>
      </c>
      <c r="DN7" s="144">
        <f t="shared" si="12"/>
        <v>1290187</v>
      </c>
      <c r="DO7" s="143">
        <f t="shared" si="12"/>
        <v>126442</v>
      </c>
      <c r="DP7" s="1466">
        <f t="shared" si="12"/>
        <v>127235</v>
      </c>
      <c r="DQ7" s="1466">
        <f t="shared" si="12"/>
        <v>33448</v>
      </c>
      <c r="DR7" s="1466">
        <f t="shared" si="12"/>
        <v>218</v>
      </c>
      <c r="DS7" s="1466">
        <f t="shared" si="12"/>
        <v>880</v>
      </c>
      <c r="DT7" s="1466">
        <f t="shared" si="12"/>
        <v>903</v>
      </c>
      <c r="DU7" s="1466">
        <f t="shared" si="12"/>
        <v>8854</v>
      </c>
      <c r="DV7" s="1466">
        <f t="shared" si="12"/>
        <v>12803</v>
      </c>
      <c r="DW7" s="1466">
        <f t="shared" si="12"/>
        <v>42161</v>
      </c>
      <c r="DX7" s="1466">
        <f t="shared" si="12"/>
        <v>65013</v>
      </c>
      <c r="DY7" s="1466">
        <f t="shared" si="12"/>
        <v>61398</v>
      </c>
      <c r="DZ7" s="144">
        <f t="shared" si="12"/>
        <v>86977</v>
      </c>
      <c r="EA7" s="144">
        <f t="shared" ref="EA7:EA13" si="15">SUM(DO7:DZ7)</f>
        <v>566332</v>
      </c>
      <c r="EB7" s="143">
        <f t="shared" si="12"/>
        <v>85006</v>
      </c>
      <c r="EC7" s="1466">
        <f t="shared" ref="EC7:EK7" si="16">SUM(EC8:EC9)</f>
        <v>63452</v>
      </c>
      <c r="ED7" s="1466">
        <f t="shared" si="16"/>
        <v>72989</v>
      </c>
      <c r="EE7" s="1466">
        <f t="shared" si="16"/>
        <v>70970</v>
      </c>
      <c r="EF7" s="1466">
        <f t="shared" si="16"/>
        <v>72438</v>
      </c>
      <c r="EG7" s="1466">
        <f t="shared" si="16"/>
        <v>74001</v>
      </c>
      <c r="EH7" s="1466">
        <f t="shared" si="16"/>
        <v>102948</v>
      </c>
      <c r="EI7" s="1466">
        <f t="shared" si="16"/>
        <v>105073</v>
      </c>
      <c r="EJ7" s="1466">
        <f t="shared" si="16"/>
        <v>96827</v>
      </c>
      <c r="EK7" s="1466">
        <f t="shared" si="16"/>
        <v>108392</v>
      </c>
      <c r="EL7" s="1466">
        <f>SUM(EL8:EL9)</f>
        <v>96421</v>
      </c>
      <c r="EM7" s="144">
        <f>SUM(EM8:EM9)</f>
        <v>91871</v>
      </c>
      <c r="EN7" s="144">
        <f t="shared" ref="EN7:EN13" si="17">SUM(EB7:EM7)</f>
        <v>1040388</v>
      </c>
      <c r="EO7" s="143">
        <f>SUM(EO8:EO9)</f>
        <v>100036</v>
      </c>
      <c r="EP7" s="1466">
        <f>SUM(EP8:EP9)</f>
        <v>95540</v>
      </c>
      <c r="EQ7" s="1466">
        <f>SUM(EQ8:EQ9)</f>
        <v>92016</v>
      </c>
      <c r="ER7" s="1466">
        <f t="shared" ref="ER7:EZ7" si="18">SUM(ER8:ER9)</f>
        <v>92464</v>
      </c>
      <c r="ES7" s="1466">
        <f t="shared" si="18"/>
        <v>93808</v>
      </c>
      <c r="ET7" s="1466">
        <f t="shared" si="18"/>
        <v>94571</v>
      </c>
      <c r="EU7" s="1466">
        <f t="shared" si="18"/>
        <v>101045</v>
      </c>
      <c r="EV7" s="1466">
        <f t="shared" si="18"/>
        <v>105339</v>
      </c>
      <c r="EW7" s="1466">
        <f t="shared" si="18"/>
        <v>91820</v>
      </c>
      <c r="EX7" s="1466">
        <f t="shared" si="18"/>
        <v>106002</v>
      </c>
      <c r="EY7" s="1466">
        <f t="shared" si="18"/>
        <v>88691</v>
      </c>
      <c r="EZ7" s="144">
        <f t="shared" si="18"/>
        <v>82398</v>
      </c>
      <c r="FA7" s="144">
        <f t="shared" ref="FA7:FA13" si="19">SUM(EO7:EZ7)</f>
        <v>1143730</v>
      </c>
      <c r="FB7" s="143">
        <f t="shared" ref="FB7:FH7" si="20">SUM(FB8:FB9)</f>
        <v>90383</v>
      </c>
      <c r="FC7" s="1466">
        <f t="shared" si="20"/>
        <v>92978</v>
      </c>
      <c r="FD7" s="1466">
        <f t="shared" si="20"/>
        <v>85595</v>
      </c>
      <c r="FE7" s="1466">
        <f t="shared" si="20"/>
        <v>87011</v>
      </c>
      <c r="FF7" s="1466">
        <f t="shared" si="20"/>
        <v>84945</v>
      </c>
      <c r="FG7" s="1466">
        <f t="shared" si="20"/>
        <v>89522</v>
      </c>
      <c r="FH7" s="1466">
        <f t="shared" si="20"/>
        <v>101687</v>
      </c>
      <c r="FI7" s="1466">
        <f t="shared" ref="FI7:FQ7" si="21">SUM(FI8:FI9)</f>
        <v>98151</v>
      </c>
      <c r="FJ7" s="1466">
        <f t="shared" si="21"/>
        <v>81853</v>
      </c>
      <c r="FK7" s="1466">
        <f t="shared" si="21"/>
        <v>78796</v>
      </c>
      <c r="FL7" s="1466">
        <f t="shared" si="21"/>
        <v>76617</v>
      </c>
      <c r="FM7" s="144">
        <f t="shared" si="21"/>
        <v>85370</v>
      </c>
      <c r="FN7" s="144">
        <f t="shared" ref="FN7:FN13" si="22">SUM(FB7:FM7)</f>
        <v>1052908</v>
      </c>
      <c r="FO7" s="143">
        <f t="shared" si="21"/>
        <v>84719</v>
      </c>
      <c r="FP7" s="1466">
        <f t="shared" si="21"/>
        <v>81953</v>
      </c>
      <c r="FQ7" s="1466">
        <f t="shared" si="21"/>
        <v>77161</v>
      </c>
      <c r="FR7" s="1466">
        <f t="shared" ref="FR7:GZ7" si="23">SUM(FR8:FR9)</f>
        <v>74500</v>
      </c>
      <c r="FS7" s="1466">
        <f t="shared" si="23"/>
        <v>82579</v>
      </c>
      <c r="FT7" s="1466">
        <f t="shared" si="23"/>
        <v>87263</v>
      </c>
      <c r="FU7" s="1466">
        <f t="shared" si="23"/>
        <v>106590</v>
      </c>
      <c r="FV7" s="1466">
        <f t="shared" si="23"/>
        <v>103992</v>
      </c>
      <c r="FW7" s="1466">
        <f t="shared" si="23"/>
        <v>89865</v>
      </c>
      <c r="FX7" s="1466">
        <f t="shared" si="23"/>
        <v>95820</v>
      </c>
      <c r="FY7" s="1466">
        <f t="shared" si="23"/>
        <v>87087</v>
      </c>
      <c r="FZ7" s="144">
        <f t="shared" si="23"/>
        <v>85058</v>
      </c>
      <c r="GA7" s="144">
        <f t="shared" ref="GA7:GA13" si="24">SUM(FO7:FZ7)</f>
        <v>1056587</v>
      </c>
      <c r="GB7" s="143">
        <f t="shared" ref="GB7:GK7" si="25">SUM(GB8:GB9)</f>
        <v>94103</v>
      </c>
      <c r="GC7" s="1466">
        <f t="shared" si="25"/>
        <v>86029</v>
      </c>
      <c r="GD7" s="1466">
        <f t="shared" si="25"/>
        <v>79376</v>
      </c>
      <c r="GE7" s="1466">
        <f t="shared" si="25"/>
        <v>78237</v>
      </c>
      <c r="GF7" s="1466">
        <f t="shared" si="25"/>
        <v>90569</v>
      </c>
      <c r="GG7" s="1466">
        <f t="shared" si="25"/>
        <v>92771</v>
      </c>
      <c r="GH7" s="1466">
        <f t="shared" si="25"/>
        <v>109961</v>
      </c>
      <c r="GI7" s="1466">
        <f t="shared" si="25"/>
        <v>115255</v>
      </c>
      <c r="GJ7" s="1466">
        <f t="shared" si="25"/>
        <v>99386</v>
      </c>
      <c r="GK7" s="1466">
        <f t="shared" si="25"/>
        <v>103636</v>
      </c>
      <c r="GL7" s="1466">
        <f>SUM(GL8:GL9)</f>
        <v>98020</v>
      </c>
      <c r="GM7" s="144">
        <f>SUM(GM8:GM9)</f>
        <v>95262</v>
      </c>
      <c r="GN7" s="144">
        <f t="shared" ref="GN7:GN9" si="26">SUM(GB7:GM7)</f>
        <v>1142605</v>
      </c>
      <c r="GO7" s="143">
        <f t="shared" si="23"/>
        <v>0</v>
      </c>
      <c r="GP7" s="1466">
        <f t="shared" si="23"/>
        <v>0</v>
      </c>
      <c r="GQ7" s="1466">
        <f t="shared" si="23"/>
        <v>0</v>
      </c>
      <c r="GR7" s="1466">
        <f t="shared" si="23"/>
        <v>0</v>
      </c>
      <c r="GS7" s="1466">
        <f t="shared" si="23"/>
        <v>0</v>
      </c>
      <c r="GT7" s="1466">
        <f t="shared" si="23"/>
        <v>0</v>
      </c>
      <c r="GU7" s="1466">
        <f t="shared" si="23"/>
        <v>0</v>
      </c>
      <c r="GV7" s="1466">
        <f t="shared" si="23"/>
        <v>0</v>
      </c>
      <c r="GW7" s="1466">
        <f t="shared" si="23"/>
        <v>0</v>
      </c>
      <c r="GX7" s="1466">
        <f t="shared" si="23"/>
        <v>0</v>
      </c>
      <c r="GY7" s="1466">
        <f t="shared" si="23"/>
        <v>0</v>
      </c>
      <c r="GZ7" s="144">
        <f t="shared" si="23"/>
        <v>0</v>
      </c>
      <c r="HA7" s="144">
        <f t="shared" ref="HA7:HA13" si="27">SUM(GO7:GZ7)</f>
        <v>0</v>
      </c>
      <c r="HC7" s="145">
        <f>IFERROR(((GX7/FX7)-1)*100,"-")</f>
        <v>-100</v>
      </c>
      <c r="HD7" s="145">
        <f t="shared" ref="HD7" si="28">IFERROR(((HF7/HE7)-1)*100,"-")</f>
        <v>-100</v>
      </c>
      <c r="HE7" s="88">
        <f>IFERROR(SUM(FO7:FX7),"-")</f>
        <v>884442</v>
      </c>
      <c r="HF7" s="88">
        <f>IFERROR(SUM(GO7:GX7),"-")</f>
        <v>0</v>
      </c>
      <c r="HG7" s="77"/>
    </row>
    <row r="8" spans="1:216" ht="13.9" customHeight="1" x14ac:dyDescent="0.2">
      <c r="A8" s="78" t="s">
        <v>74</v>
      </c>
      <c r="B8" s="146">
        <v>53769</v>
      </c>
      <c r="C8" s="127">
        <v>53454</v>
      </c>
      <c r="D8" s="127">
        <v>58809</v>
      </c>
      <c r="E8" s="127">
        <v>57845</v>
      </c>
      <c r="F8" s="127">
        <v>61486</v>
      </c>
      <c r="G8" s="127">
        <v>66797</v>
      </c>
      <c r="H8" s="127">
        <v>70184</v>
      </c>
      <c r="I8" s="127">
        <v>66866</v>
      </c>
      <c r="J8" s="127">
        <v>62396</v>
      </c>
      <c r="K8" s="127">
        <v>65938</v>
      </c>
      <c r="L8" s="127">
        <v>64292</v>
      </c>
      <c r="M8" s="147">
        <v>59832</v>
      </c>
      <c r="N8" s="147">
        <f t="shared" si="1"/>
        <v>741668</v>
      </c>
      <c r="O8" s="146">
        <v>60173</v>
      </c>
      <c r="P8" s="127">
        <v>54165</v>
      </c>
      <c r="Q8" s="127">
        <v>62969</v>
      </c>
      <c r="R8" s="127">
        <v>60641</v>
      </c>
      <c r="S8" s="127">
        <v>67330</v>
      </c>
      <c r="T8" s="127">
        <v>73268</v>
      </c>
      <c r="U8" s="127">
        <v>76478</v>
      </c>
      <c r="V8" s="127">
        <v>76878</v>
      </c>
      <c r="W8" s="127">
        <v>74149</v>
      </c>
      <c r="X8" s="127">
        <v>71748</v>
      </c>
      <c r="Y8" s="127">
        <v>71331</v>
      </c>
      <c r="Z8" s="147">
        <v>68730</v>
      </c>
      <c r="AA8" s="147">
        <f t="shared" si="3"/>
        <v>817860</v>
      </c>
      <c r="AB8" s="146">
        <v>66605</v>
      </c>
      <c r="AC8" s="127">
        <v>66054</v>
      </c>
      <c r="AD8" s="127">
        <v>74654</v>
      </c>
      <c r="AE8" s="127">
        <v>70192</v>
      </c>
      <c r="AF8" s="127">
        <v>72948</v>
      </c>
      <c r="AG8" s="127">
        <v>80032</v>
      </c>
      <c r="AH8" s="127">
        <v>84234</v>
      </c>
      <c r="AI8" s="127">
        <v>87458</v>
      </c>
      <c r="AJ8" s="127">
        <v>79720</v>
      </c>
      <c r="AK8" s="127">
        <v>80023</v>
      </c>
      <c r="AL8" s="127">
        <v>76249</v>
      </c>
      <c r="AM8" s="147">
        <v>69902</v>
      </c>
      <c r="AN8" s="147">
        <f t="shared" si="5"/>
        <v>908071</v>
      </c>
      <c r="AO8" s="146">
        <v>69257</v>
      </c>
      <c r="AP8" s="127">
        <v>69330</v>
      </c>
      <c r="AQ8" s="127">
        <v>75261</v>
      </c>
      <c r="AR8" s="127">
        <v>71750</v>
      </c>
      <c r="AS8" s="127">
        <v>77679</v>
      </c>
      <c r="AT8" s="127">
        <v>82173</v>
      </c>
      <c r="AU8" s="127">
        <v>87684</v>
      </c>
      <c r="AV8" s="127">
        <v>83965</v>
      </c>
      <c r="AW8" s="127">
        <v>81035</v>
      </c>
      <c r="AX8" s="127">
        <v>85371</v>
      </c>
      <c r="AY8" s="127">
        <v>84084</v>
      </c>
      <c r="AZ8" s="147">
        <v>80885</v>
      </c>
      <c r="BA8" s="147">
        <f t="shared" si="8"/>
        <v>948474</v>
      </c>
      <c r="BB8" s="146">
        <v>81838</v>
      </c>
      <c r="BC8" s="127">
        <v>84767</v>
      </c>
      <c r="BD8" s="127">
        <v>87874</v>
      </c>
      <c r="BE8" s="127">
        <v>83437</v>
      </c>
      <c r="BF8" s="127">
        <v>89057</v>
      </c>
      <c r="BG8" s="127">
        <v>91606</v>
      </c>
      <c r="BH8" s="127">
        <v>100817</v>
      </c>
      <c r="BI8" s="127">
        <v>92420</v>
      </c>
      <c r="BJ8" s="127">
        <v>92736</v>
      </c>
      <c r="BK8" s="127">
        <v>90529</v>
      </c>
      <c r="BL8" s="127">
        <v>95099</v>
      </c>
      <c r="BM8" s="147">
        <v>91064</v>
      </c>
      <c r="BN8" s="147">
        <f t="shared" si="9"/>
        <v>1081244</v>
      </c>
      <c r="BO8" s="146">
        <v>94007</v>
      </c>
      <c r="BP8" s="127">
        <v>94610</v>
      </c>
      <c r="BQ8" s="127">
        <v>97889</v>
      </c>
      <c r="BR8" s="127">
        <v>87789</v>
      </c>
      <c r="BS8" s="127">
        <v>90155</v>
      </c>
      <c r="BT8" s="127">
        <v>89050</v>
      </c>
      <c r="BU8" s="127">
        <v>108155</v>
      </c>
      <c r="BV8" s="127">
        <v>97582</v>
      </c>
      <c r="BW8" s="127">
        <v>94025</v>
      </c>
      <c r="BX8" s="127">
        <v>95472</v>
      </c>
      <c r="BY8" s="127">
        <v>92939</v>
      </c>
      <c r="BZ8" s="147">
        <v>91278</v>
      </c>
      <c r="CA8" s="147">
        <f t="shared" si="11"/>
        <v>1132951</v>
      </c>
      <c r="CB8" s="146">
        <v>100455</v>
      </c>
      <c r="CC8" s="127">
        <v>89947</v>
      </c>
      <c r="CD8" s="127">
        <v>86273</v>
      </c>
      <c r="CE8" s="127">
        <v>94437</v>
      </c>
      <c r="CF8" s="127">
        <v>96705</v>
      </c>
      <c r="CG8" s="127">
        <v>105656</v>
      </c>
      <c r="CH8" s="127">
        <v>125948</v>
      </c>
      <c r="CI8" s="127">
        <v>116148</v>
      </c>
      <c r="CJ8" s="127">
        <v>105651</v>
      </c>
      <c r="CK8" s="127">
        <v>114168</v>
      </c>
      <c r="CL8" s="127">
        <v>109202</v>
      </c>
      <c r="CM8" s="147">
        <v>109335</v>
      </c>
      <c r="CN8" s="147">
        <f t="shared" si="13"/>
        <v>1253925</v>
      </c>
      <c r="CO8" s="146">
        <v>105360</v>
      </c>
      <c r="CP8" s="127">
        <v>104870</v>
      </c>
      <c r="CQ8" s="127">
        <v>96856</v>
      </c>
      <c r="CR8" s="127">
        <v>98856</v>
      </c>
      <c r="CS8" s="127">
        <v>104678</v>
      </c>
      <c r="CT8" s="127">
        <v>103960</v>
      </c>
      <c r="CU8" s="127">
        <v>108565</v>
      </c>
      <c r="CV8" s="127">
        <v>113067</v>
      </c>
      <c r="CW8" s="127">
        <v>104260</v>
      </c>
      <c r="CX8" s="127">
        <v>111759</v>
      </c>
      <c r="CY8" s="127">
        <v>108316</v>
      </c>
      <c r="CZ8" s="147">
        <v>110877</v>
      </c>
      <c r="DA8" s="147">
        <f t="shared" si="14"/>
        <v>1271424</v>
      </c>
      <c r="DB8" s="146">
        <v>107823</v>
      </c>
      <c r="DC8" s="127">
        <v>97621</v>
      </c>
      <c r="DD8" s="127">
        <v>99598</v>
      </c>
      <c r="DE8" s="127">
        <v>100270</v>
      </c>
      <c r="DF8" s="127">
        <v>107267</v>
      </c>
      <c r="DG8" s="127">
        <v>103953</v>
      </c>
      <c r="DH8" s="127">
        <v>103316</v>
      </c>
      <c r="DI8" s="127">
        <v>107984</v>
      </c>
      <c r="DJ8" s="127">
        <v>104496</v>
      </c>
      <c r="DK8" s="127">
        <v>112968</v>
      </c>
      <c r="DL8" s="127">
        <v>111806</v>
      </c>
      <c r="DM8" s="147">
        <v>114280</v>
      </c>
      <c r="DN8" s="147">
        <f>SUM(DB8:DM8)</f>
        <v>1271382</v>
      </c>
      <c r="DO8" s="146">
        <v>123508</v>
      </c>
      <c r="DP8" s="127">
        <v>124002</v>
      </c>
      <c r="DQ8" s="127">
        <v>31650</v>
      </c>
      <c r="DR8" s="127">
        <v>218</v>
      </c>
      <c r="DS8" s="127">
        <v>746</v>
      </c>
      <c r="DT8" s="127">
        <v>900</v>
      </c>
      <c r="DU8" s="127">
        <v>8788</v>
      </c>
      <c r="DV8" s="127">
        <v>12663</v>
      </c>
      <c r="DW8" s="127">
        <v>41953</v>
      </c>
      <c r="DX8" s="127">
        <v>64452</v>
      </c>
      <c r="DY8" s="127">
        <v>60831</v>
      </c>
      <c r="DZ8" s="147">
        <v>86299</v>
      </c>
      <c r="EA8" s="147">
        <f t="shared" si="15"/>
        <v>556010</v>
      </c>
      <c r="EB8" s="146">
        <v>84378</v>
      </c>
      <c r="EC8" s="127">
        <v>62700</v>
      </c>
      <c r="ED8" s="127">
        <v>72496</v>
      </c>
      <c r="EE8" s="127">
        <v>70182</v>
      </c>
      <c r="EF8" s="127">
        <v>71642</v>
      </c>
      <c r="EG8" s="127">
        <v>72837</v>
      </c>
      <c r="EH8" s="127">
        <v>101671</v>
      </c>
      <c r="EI8" s="127">
        <v>103517</v>
      </c>
      <c r="EJ8" s="127">
        <v>95834</v>
      </c>
      <c r="EK8" s="127">
        <v>107071</v>
      </c>
      <c r="EL8" s="127">
        <v>95135</v>
      </c>
      <c r="EM8" s="147">
        <v>89831</v>
      </c>
      <c r="EN8" s="147">
        <f t="shared" si="17"/>
        <v>1027294</v>
      </c>
      <c r="EO8" s="146">
        <v>98082</v>
      </c>
      <c r="EP8" s="127">
        <v>93751</v>
      </c>
      <c r="EQ8" s="127">
        <v>90289</v>
      </c>
      <c r="ER8" s="127">
        <v>90680</v>
      </c>
      <c r="ES8" s="127">
        <v>91803</v>
      </c>
      <c r="ET8" s="127">
        <v>92178</v>
      </c>
      <c r="EU8" s="127">
        <v>98131</v>
      </c>
      <c r="EV8" s="127">
        <v>102988</v>
      </c>
      <c r="EW8" s="127">
        <v>90249</v>
      </c>
      <c r="EX8" s="127">
        <v>104026</v>
      </c>
      <c r="EY8" s="127">
        <v>86889</v>
      </c>
      <c r="EZ8" s="147">
        <v>79899</v>
      </c>
      <c r="FA8" s="147">
        <f t="shared" si="19"/>
        <v>1118965</v>
      </c>
      <c r="FB8" s="146">
        <v>87808</v>
      </c>
      <c r="FC8" s="127">
        <v>90283</v>
      </c>
      <c r="FD8" s="127">
        <v>82553</v>
      </c>
      <c r="FE8" s="127">
        <v>83519</v>
      </c>
      <c r="FF8" s="127">
        <v>82521</v>
      </c>
      <c r="FG8" s="127">
        <v>86391</v>
      </c>
      <c r="FH8" s="127">
        <v>97460</v>
      </c>
      <c r="FI8" s="127">
        <v>94426</v>
      </c>
      <c r="FJ8" s="127">
        <v>80047</v>
      </c>
      <c r="FK8" s="127">
        <v>77081</v>
      </c>
      <c r="FL8" s="127">
        <v>74300</v>
      </c>
      <c r="FM8" s="147">
        <v>83377</v>
      </c>
      <c r="FN8" s="147">
        <f t="shared" si="22"/>
        <v>1019766</v>
      </c>
      <c r="FO8" s="146">
        <v>82227</v>
      </c>
      <c r="FP8" s="127">
        <v>80177</v>
      </c>
      <c r="FQ8" s="127">
        <v>75564</v>
      </c>
      <c r="FR8" s="127">
        <v>72451</v>
      </c>
      <c r="FS8" s="127">
        <v>79657</v>
      </c>
      <c r="FT8" s="127">
        <v>84740</v>
      </c>
      <c r="FU8" s="127">
        <v>104028</v>
      </c>
      <c r="FV8" s="127">
        <v>101907</v>
      </c>
      <c r="FW8" s="127">
        <v>87614</v>
      </c>
      <c r="FX8" s="127">
        <v>94146</v>
      </c>
      <c r="FY8" s="127">
        <v>84266</v>
      </c>
      <c r="FZ8" s="147">
        <v>83085</v>
      </c>
      <c r="GA8" s="147">
        <f t="shared" si="24"/>
        <v>1029862</v>
      </c>
      <c r="GB8" s="146">
        <v>92258</v>
      </c>
      <c r="GC8" s="127">
        <v>83925</v>
      </c>
      <c r="GD8" s="127">
        <v>77429</v>
      </c>
      <c r="GE8" s="127">
        <v>76128</v>
      </c>
      <c r="GF8" s="127">
        <v>88291</v>
      </c>
      <c r="GG8" s="127">
        <v>90141</v>
      </c>
      <c r="GH8" s="127">
        <v>107491</v>
      </c>
      <c r="GI8" s="127">
        <v>112749</v>
      </c>
      <c r="GJ8" s="127">
        <v>97461</v>
      </c>
      <c r="GK8" s="127">
        <v>101557</v>
      </c>
      <c r="GL8" s="127">
        <v>95824</v>
      </c>
      <c r="GM8" s="147">
        <v>93115</v>
      </c>
      <c r="GN8" s="147">
        <f>SUM(GB8:GM8)</f>
        <v>1116369</v>
      </c>
      <c r="GO8" s="146"/>
      <c r="GP8" s="127"/>
      <c r="GQ8" s="127"/>
      <c r="GR8" s="127"/>
      <c r="GS8" s="127"/>
      <c r="GT8" s="127"/>
      <c r="GU8" s="127"/>
      <c r="GV8" s="127"/>
      <c r="GW8" s="127"/>
      <c r="GX8" s="127"/>
      <c r="GY8" s="127"/>
      <c r="GZ8" s="147"/>
      <c r="HA8" s="147">
        <f t="shared" si="27"/>
        <v>0</v>
      </c>
      <c r="HC8" s="148">
        <f t="shared" ref="HC8:HC13" si="29">IFERROR(((GX8/FX8)-1)*100,"-")</f>
        <v>-100</v>
      </c>
      <c r="HD8" s="148">
        <f t="shared" ref="HD8:HD13" si="30">IFERROR(((HF8/HE8)-1)*100,"-")</f>
        <v>-100</v>
      </c>
      <c r="HE8" s="90">
        <f t="shared" ref="HE8:HE13" si="31">IFERROR(SUM(FO8:FX8),"-")</f>
        <v>862511</v>
      </c>
      <c r="HF8" s="90">
        <f t="shared" ref="HF8:HF13" si="32">IFERROR(SUM(GO8:GX8),"-")</f>
        <v>0</v>
      </c>
      <c r="HG8" s="66"/>
    </row>
    <row r="9" spans="1:216" ht="13.9" customHeight="1" x14ac:dyDescent="0.2">
      <c r="A9" s="78" t="s">
        <v>75</v>
      </c>
      <c r="B9" s="146">
        <v>877</v>
      </c>
      <c r="C9" s="127">
        <v>1618</v>
      </c>
      <c r="D9" s="127">
        <v>1271</v>
      </c>
      <c r="E9" s="127">
        <v>937</v>
      </c>
      <c r="F9" s="127">
        <v>813</v>
      </c>
      <c r="G9" s="127">
        <v>1079</v>
      </c>
      <c r="H9" s="127">
        <v>1761</v>
      </c>
      <c r="I9" s="127">
        <v>1320</v>
      </c>
      <c r="J9" s="127">
        <v>838</v>
      </c>
      <c r="K9" s="127">
        <v>1103</v>
      </c>
      <c r="L9" s="127">
        <v>918</v>
      </c>
      <c r="M9" s="147">
        <v>770</v>
      </c>
      <c r="N9" s="147">
        <f t="shared" si="1"/>
        <v>13305</v>
      </c>
      <c r="O9" s="146">
        <v>1104</v>
      </c>
      <c r="P9" s="127">
        <v>939</v>
      </c>
      <c r="Q9" s="127">
        <v>953</v>
      </c>
      <c r="R9" s="127">
        <v>1067</v>
      </c>
      <c r="S9" s="127">
        <v>912</v>
      </c>
      <c r="T9" s="127">
        <v>1003</v>
      </c>
      <c r="U9" s="127">
        <v>1841</v>
      </c>
      <c r="V9" s="127">
        <v>1207</v>
      </c>
      <c r="W9" s="127">
        <v>964</v>
      </c>
      <c r="X9" s="127">
        <v>830</v>
      </c>
      <c r="Y9" s="127">
        <v>949</v>
      </c>
      <c r="Z9" s="147">
        <v>655</v>
      </c>
      <c r="AA9" s="147">
        <f t="shared" si="3"/>
        <v>12424</v>
      </c>
      <c r="AB9" s="146">
        <v>1177</v>
      </c>
      <c r="AC9" s="127">
        <v>1124</v>
      </c>
      <c r="AD9" s="127">
        <v>887</v>
      </c>
      <c r="AE9" s="127">
        <v>1358</v>
      </c>
      <c r="AF9" s="127">
        <v>1517</v>
      </c>
      <c r="AG9" s="127">
        <v>1548</v>
      </c>
      <c r="AH9" s="127">
        <v>1574</v>
      </c>
      <c r="AI9" s="127">
        <v>1749</v>
      </c>
      <c r="AJ9" s="127">
        <v>1455</v>
      </c>
      <c r="AK9" s="127">
        <v>1356</v>
      </c>
      <c r="AL9" s="127">
        <v>1996</v>
      </c>
      <c r="AM9" s="147">
        <v>1581</v>
      </c>
      <c r="AN9" s="147">
        <f t="shared" si="5"/>
        <v>17322</v>
      </c>
      <c r="AO9" s="146">
        <v>1340</v>
      </c>
      <c r="AP9" s="127">
        <v>1525</v>
      </c>
      <c r="AQ9" s="127">
        <v>2109</v>
      </c>
      <c r="AR9" s="127">
        <v>1249</v>
      </c>
      <c r="AS9" s="127">
        <v>1364</v>
      </c>
      <c r="AT9" s="127">
        <v>1381</v>
      </c>
      <c r="AU9" s="127">
        <v>2427</v>
      </c>
      <c r="AV9" s="127">
        <v>3603</v>
      </c>
      <c r="AW9" s="127">
        <v>2381</v>
      </c>
      <c r="AX9" s="127">
        <v>2838</v>
      </c>
      <c r="AY9" s="127">
        <v>2833</v>
      </c>
      <c r="AZ9" s="147">
        <v>2193</v>
      </c>
      <c r="BA9" s="147">
        <f t="shared" si="8"/>
        <v>25243</v>
      </c>
      <c r="BB9" s="146">
        <v>1159</v>
      </c>
      <c r="BC9" s="127">
        <v>2136</v>
      </c>
      <c r="BD9" s="127">
        <v>1464</v>
      </c>
      <c r="BE9" s="127">
        <v>1153</v>
      </c>
      <c r="BF9" s="127">
        <v>1227</v>
      </c>
      <c r="BG9" s="127">
        <v>2081</v>
      </c>
      <c r="BH9" s="127">
        <v>1824</v>
      </c>
      <c r="BI9" s="127">
        <v>3620</v>
      </c>
      <c r="BJ9" s="127">
        <v>2341</v>
      </c>
      <c r="BK9" s="127">
        <v>2916</v>
      </c>
      <c r="BL9" s="127">
        <v>2959</v>
      </c>
      <c r="BM9" s="147">
        <v>1184</v>
      </c>
      <c r="BN9" s="147">
        <f t="shared" si="9"/>
        <v>24064</v>
      </c>
      <c r="BO9" s="146">
        <v>5001</v>
      </c>
      <c r="BP9" s="127">
        <v>3876</v>
      </c>
      <c r="BQ9" s="127">
        <v>1307</v>
      </c>
      <c r="BR9" s="127">
        <v>1258</v>
      </c>
      <c r="BS9" s="127">
        <v>1397</v>
      </c>
      <c r="BT9" s="127">
        <v>2193</v>
      </c>
      <c r="BU9" s="127">
        <v>2324</v>
      </c>
      <c r="BV9" s="127">
        <v>2261</v>
      </c>
      <c r="BW9" s="127">
        <v>1773</v>
      </c>
      <c r="BX9" s="127">
        <v>1488</v>
      </c>
      <c r="BY9" s="127">
        <v>1603</v>
      </c>
      <c r="BZ9" s="147">
        <v>1566</v>
      </c>
      <c r="CA9" s="147">
        <f t="shared" si="11"/>
        <v>26047</v>
      </c>
      <c r="CB9" s="146">
        <v>1684</v>
      </c>
      <c r="CC9" s="127">
        <v>1554</v>
      </c>
      <c r="CD9" s="127">
        <v>1339</v>
      </c>
      <c r="CE9" s="127">
        <v>1693</v>
      </c>
      <c r="CF9" s="127">
        <v>1313</v>
      </c>
      <c r="CG9" s="127">
        <v>1508</v>
      </c>
      <c r="CH9" s="127">
        <v>1746</v>
      </c>
      <c r="CI9" s="127">
        <v>1852</v>
      </c>
      <c r="CJ9" s="127">
        <v>1390</v>
      </c>
      <c r="CK9" s="127">
        <v>2027</v>
      </c>
      <c r="CL9" s="127">
        <v>1509</v>
      </c>
      <c r="CM9" s="147">
        <v>1492</v>
      </c>
      <c r="CN9" s="147">
        <f t="shared" si="13"/>
        <v>19107</v>
      </c>
      <c r="CO9" s="146">
        <v>1413</v>
      </c>
      <c r="CP9" s="127">
        <v>1478</v>
      </c>
      <c r="CQ9" s="127">
        <v>1608</v>
      </c>
      <c r="CR9" s="127">
        <v>1228</v>
      </c>
      <c r="CS9" s="127">
        <v>1621</v>
      </c>
      <c r="CT9" s="127">
        <v>1891</v>
      </c>
      <c r="CU9" s="127">
        <v>2303</v>
      </c>
      <c r="CV9" s="127">
        <v>2422</v>
      </c>
      <c r="CW9" s="127">
        <v>1790</v>
      </c>
      <c r="CX9" s="127">
        <v>2054</v>
      </c>
      <c r="CY9" s="127">
        <v>1964</v>
      </c>
      <c r="CZ9" s="147">
        <v>1700</v>
      </c>
      <c r="DA9" s="147">
        <f t="shared" si="14"/>
        <v>21472</v>
      </c>
      <c r="DB9" s="146">
        <v>1668</v>
      </c>
      <c r="DC9" s="127">
        <v>1432</v>
      </c>
      <c r="DD9" s="127">
        <v>1462</v>
      </c>
      <c r="DE9" s="127">
        <v>1002</v>
      </c>
      <c r="DF9" s="127">
        <v>1410</v>
      </c>
      <c r="DG9" s="127">
        <v>1383</v>
      </c>
      <c r="DH9" s="127">
        <v>2128</v>
      </c>
      <c r="DI9" s="127">
        <v>2204</v>
      </c>
      <c r="DJ9" s="127">
        <v>1486</v>
      </c>
      <c r="DK9" s="127">
        <v>1797</v>
      </c>
      <c r="DL9" s="127">
        <v>1559</v>
      </c>
      <c r="DM9" s="147">
        <v>1274</v>
      </c>
      <c r="DN9" s="147">
        <f>SUM(DB9:DM9)</f>
        <v>18805</v>
      </c>
      <c r="DO9" s="146">
        <v>2934</v>
      </c>
      <c r="DP9" s="127">
        <v>3233</v>
      </c>
      <c r="DQ9" s="127">
        <v>1798</v>
      </c>
      <c r="DR9" s="127"/>
      <c r="DS9" s="127">
        <v>134</v>
      </c>
      <c r="DT9" s="127">
        <v>3</v>
      </c>
      <c r="DU9" s="127">
        <v>66</v>
      </c>
      <c r="DV9" s="127">
        <v>140</v>
      </c>
      <c r="DW9" s="127">
        <v>208</v>
      </c>
      <c r="DX9" s="127">
        <v>561</v>
      </c>
      <c r="DY9" s="127">
        <v>567</v>
      </c>
      <c r="DZ9" s="147">
        <v>678</v>
      </c>
      <c r="EA9" s="147">
        <f t="shared" si="15"/>
        <v>10322</v>
      </c>
      <c r="EB9" s="146">
        <v>628</v>
      </c>
      <c r="EC9" s="127">
        <v>752</v>
      </c>
      <c r="ED9" s="127">
        <v>493</v>
      </c>
      <c r="EE9" s="127">
        <v>788</v>
      </c>
      <c r="EF9" s="127">
        <v>796</v>
      </c>
      <c r="EG9" s="127">
        <v>1164</v>
      </c>
      <c r="EH9" s="127">
        <v>1277</v>
      </c>
      <c r="EI9" s="127">
        <v>1556</v>
      </c>
      <c r="EJ9" s="127">
        <v>993</v>
      </c>
      <c r="EK9" s="127">
        <v>1321</v>
      </c>
      <c r="EL9" s="127">
        <v>1286</v>
      </c>
      <c r="EM9" s="147">
        <v>2040</v>
      </c>
      <c r="EN9" s="147">
        <f t="shared" si="17"/>
        <v>13094</v>
      </c>
      <c r="EO9" s="146">
        <v>1954</v>
      </c>
      <c r="EP9" s="127">
        <v>1789</v>
      </c>
      <c r="EQ9" s="127">
        <v>1727</v>
      </c>
      <c r="ER9" s="127">
        <v>1784</v>
      </c>
      <c r="ES9" s="127">
        <v>2005</v>
      </c>
      <c r="ET9" s="127">
        <v>2393</v>
      </c>
      <c r="EU9" s="127">
        <v>2914</v>
      </c>
      <c r="EV9" s="127">
        <v>2351</v>
      </c>
      <c r="EW9" s="127">
        <v>1571</v>
      </c>
      <c r="EX9" s="127">
        <v>1976</v>
      </c>
      <c r="EY9" s="127">
        <v>1802</v>
      </c>
      <c r="EZ9" s="147">
        <v>2499</v>
      </c>
      <c r="FA9" s="147">
        <f t="shared" si="19"/>
        <v>24765</v>
      </c>
      <c r="FB9" s="146">
        <v>2575</v>
      </c>
      <c r="FC9" s="127">
        <v>2695</v>
      </c>
      <c r="FD9" s="127">
        <v>3042</v>
      </c>
      <c r="FE9" s="127">
        <v>3492</v>
      </c>
      <c r="FF9" s="127">
        <v>2424</v>
      </c>
      <c r="FG9" s="127">
        <v>3131</v>
      </c>
      <c r="FH9" s="127">
        <v>4227</v>
      </c>
      <c r="FI9" s="127">
        <v>3725</v>
      </c>
      <c r="FJ9" s="127">
        <v>1806</v>
      </c>
      <c r="FK9" s="127">
        <v>1715</v>
      </c>
      <c r="FL9" s="127">
        <v>2317</v>
      </c>
      <c r="FM9" s="147">
        <v>1993</v>
      </c>
      <c r="FN9" s="147">
        <f t="shared" si="22"/>
        <v>33142</v>
      </c>
      <c r="FO9" s="146">
        <v>2492</v>
      </c>
      <c r="FP9" s="127">
        <v>1776</v>
      </c>
      <c r="FQ9" s="127">
        <v>1597</v>
      </c>
      <c r="FR9" s="127">
        <v>2049</v>
      </c>
      <c r="FS9" s="127">
        <v>2922</v>
      </c>
      <c r="FT9" s="127">
        <v>2523</v>
      </c>
      <c r="FU9" s="127">
        <v>2562</v>
      </c>
      <c r="FV9" s="127">
        <v>2085</v>
      </c>
      <c r="FW9" s="127">
        <v>2251</v>
      </c>
      <c r="FX9" s="127">
        <v>1674</v>
      </c>
      <c r="FY9" s="127">
        <v>2821</v>
      </c>
      <c r="FZ9" s="147">
        <v>1973</v>
      </c>
      <c r="GA9" s="147">
        <f t="shared" si="24"/>
        <v>26725</v>
      </c>
      <c r="GB9" s="146">
        <v>1845</v>
      </c>
      <c r="GC9" s="127">
        <v>2104</v>
      </c>
      <c r="GD9" s="127">
        <v>1947</v>
      </c>
      <c r="GE9" s="127">
        <v>2109</v>
      </c>
      <c r="GF9" s="127">
        <v>2278</v>
      </c>
      <c r="GG9" s="127">
        <v>2630</v>
      </c>
      <c r="GH9" s="127">
        <v>2470</v>
      </c>
      <c r="GI9" s="127">
        <v>2506</v>
      </c>
      <c r="GJ9" s="127">
        <v>1925</v>
      </c>
      <c r="GK9" s="127">
        <v>2079</v>
      </c>
      <c r="GL9" s="127">
        <v>2196</v>
      </c>
      <c r="GM9" s="147">
        <v>2147</v>
      </c>
      <c r="GN9" s="147">
        <f t="shared" si="26"/>
        <v>26236</v>
      </c>
      <c r="GO9" s="146"/>
      <c r="GP9" s="127"/>
      <c r="GQ9" s="127"/>
      <c r="GR9" s="127"/>
      <c r="GS9" s="127"/>
      <c r="GT9" s="127"/>
      <c r="GU9" s="127"/>
      <c r="GV9" s="127"/>
      <c r="GW9" s="127"/>
      <c r="GX9" s="127"/>
      <c r="GY9" s="127"/>
      <c r="GZ9" s="147"/>
      <c r="HA9" s="147">
        <f t="shared" si="27"/>
        <v>0</v>
      </c>
      <c r="HC9" s="148">
        <f t="shared" si="29"/>
        <v>-100</v>
      </c>
      <c r="HD9" s="148">
        <f t="shared" si="30"/>
        <v>-100</v>
      </c>
      <c r="HE9" s="90">
        <f t="shared" si="31"/>
        <v>21931</v>
      </c>
      <c r="HF9" s="90">
        <f t="shared" si="32"/>
        <v>0</v>
      </c>
      <c r="HG9" s="66"/>
    </row>
    <row r="10" spans="1:216" ht="13.9" customHeight="1" x14ac:dyDescent="0.2">
      <c r="A10" s="78"/>
      <c r="B10" s="146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47"/>
      <c r="N10" s="147"/>
      <c r="O10" s="146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47"/>
      <c r="AA10" s="147"/>
      <c r="AB10" s="146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47"/>
      <c r="AN10" s="147"/>
      <c r="AO10" s="146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47"/>
      <c r="BA10" s="147"/>
      <c r="BB10" s="146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47"/>
      <c r="BN10" s="147"/>
      <c r="BO10" s="146"/>
      <c r="BP10" s="127"/>
      <c r="BQ10" s="127"/>
      <c r="BR10" s="127"/>
      <c r="BS10" s="127"/>
      <c r="BT10" s="127"/>
      <c r="BU10" s="127"/>
      <c r="BV10" s="127"/>
      <c r="BW10" s="127"/>
      <c r="BX10" s="127"/>
      <c r="BY10" s="127"/>
      <c r="BZ10" s="147"/>
      <c r="CA10" s="147"/>
      <c r="CB10" s="146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47"/>
      <c r="CN10" s="147"/>
      <c r="CO10" s="146"/>
      <c r="CP10" s="127"/>
      <c r="CQ10" s="127"/>
      <c r="CR10" s="127"/>
      <c r="CS10" s="127"/>
      <c r="CT10" s="127"/>
      <c r="CU10" s="127"/>
      <c r="CV10" s="127"/>
      <c r="CW10" s="127"/>
      <c r="CX10" s="127"/>
      <c r="CY10" s="127"/>
      <c r="CZ10" s="147"/>
      <c r="DA10" s="147"/>
      <c r="DB10" s="146"/>
      <c r="DC10" s="127"/>
      <c r="DD10" s="127"/>
      <c r="DE10" s="127"/>
      <c r="DF10" s="127"/>
      <c r="DG10" s="127"/>
      <c r="DH10" s="127"/>
      <c r="DI10" s="127"/>
      <c r="DJ10" s="127"/>
      <c r="DK10" s="127"/>
      <c r="DL10" s="127"/>
      <c r="DM10" s="147"/>
      <c r="DN10" s="147"/>
      <c r="DO10" s="146"/>
      <c r="DP10" s="127"/>
      <c r="DQ10" s="127"/>
      <c r="DR10" s="127"/>
      <c r="DS10" s="127"/>
      <c r="DT10" s="127"/>
      <c r="DU10" s="127"/>
      <c r="DV10" s="127"/>
      <c r="DW10" s="127"/>
      <c r="DX10" s="127"/>
      <c r="DY10" s="127"/>
      <c r="DZ10" s="147"/>
      <c r="EA10" s="147"/>
      <c r="EB10" s="146"/>
      <c r="EC10" s="127"/>
      <c r="ED10" s="127"/>
      <c r="EE10" s="127"/>
      <c r="EF10" s="127"/>
      <c r="EG10" s="127"/>
      <c r="EH10" s="127"/>
      <c r="EI10" s="127"/>
      <c r="EJ10" s="127"/>
      <c r="EK10" s="127"/>
      <c r="EL10" s="127"/>
      <c r="EM10" s="147"/>
      <c r="EN10" s="147"/>
      <c r="EO10" s="146"/>
      <c r="EP10" s="127"/>
      <c r="EQ10" s="127"/>
      <c r="ER10" s="127"/>
      <c r="ES10" s="127"/>
      <c r="ET10" s="127"/>
      <c r="EU10" s="127"/>
      <c r="EV10" s="127"/>
      <c r="EW10" s="127"/>
      <c r="EX10" s="127"/>
      <c r="EY10" s="127"/>
      <c r="EZ10" s="147"/>
      <c r="FA10" s="147"/>
      <c r="FB10" s="146"/>
      <c r="FC10" s="127"/>
      <c r="FD10" s="127"/>
      <c r="FE10" s="127"/>
      <c r="FF10" s="127"/>
      <c r="FG10" s="127"/>
      <c r="FH10" s="127"/>
      <c r="FI10" s="127"/>
      <c r="FJ10" s="127"/>
      <c r="FK10" s="127"/>
      <c r="FL10" s="127"/>
      <c r="FM10" s="147"/>
      <c r="FN10" s="147"/>
      <c r="FO10" s="146"/>
      <c r="FP10" s="127"/>
      <c r="FQ10" s="127"/>
      <c r="FR10" s="127"/>
      <c r="FS10" s="127"/>
      <c r="FT10" s="127"/>
      <c r="FU10" s="127"/>
      <c r="FV10" s="127"/>
      <c r="FW10" s="127"/>
      <c r="FX10" s="127"/>
      <c r="FY10" s="127"/>
      <c r="FZ10" s="147"/>
      <c r="GA10" s="147"/>
      <c r="GB10" s="146"/>
      <c r="GC10" s="127"/>
      <c r="GD10" s="127"/>
      <c r="GE10" s="127"/>
      <c r="GF10" s="127"/>
      <c r="GG10" s="127"/>
      <c r="GH10" s="127"/>
      <c r="GI10" s="127"/>
      <c r="GJ10" s="127"/>
      <c r="GK10" s="127"/>
      <c r="GL10" s="127"/>
      <c r="GM10" s="147"/>
      <c r="GN10" s="147"/>
      <c r="GO10" s="146"/>
      <c r="GP10" s="127"/>
      <c r="GQ10" s="127"/>
      <c r="GR10" s="127"/>
      <c r="GS10" s="127"/>
      <c r="GT10" s="127"/>
      <c r="GU10" s="127"/>
      <c r="GV10" s="127"/>
      <c r="GW10" s="127"/>
      <c r="GX10" s="127"/>
      <c r="GY10" s="127"/>
      <c r="GZ10" s="147"/>
      <c r="HA10" s="147"/>
      <c r="HC10" s="148"/>
      <c r="HD10" s="148"/>
      <c r="HE10" s="90"/>
      <c r="HF10" s="90"/>
      <c r="HG10" s="66"/>
    </row>
    <row r="11" spans="1:216" ht="13.9" customHeight="1" x14ac:dyDescent="0.2">
      <c r="A11" s="76" t="s">
        <v>76</v>
      </c>
      <c r="B11" s="143">
        <f t="shared" ref="B11:M11" si="33">SUM(B12:B13)</f>
        <v>69830.150000000009</v>
      </c>
      <c r="C11" s="1466">
        <f t="shared" si="33"/>
        <v>72548.820000000007</v>
      </c>
      <c r="D11" s="1466">
        <f t="shared" si="33"/>
        <v>76987.94</v>
      </c>
      <c r="E11" s="1466">
        <f t="shared" si="33"/>
        <v>77241.16</v>
      </c>
      <c r="F11" s="1466">
        <f t="shared" si="33"/>
        <v>82213.31</v>
      </c>
      <c r="G11" s="1466">
        <f t="shared" si="33"/>
        <v>87744.48000000001</v>
      </c>
      <c r="H11" s="1466">
        <f t="shared" si="33"/>
        <v>96129.66</v>
      </c>
      <c r="I11" s="1466">
        <f t="shared" si="33"/>
        <v>92161.24</v>
      </c>
      <c r="J11" s="1466">
        <f t="shared" si="33"/>
        <v>84662.680000000008</v>
      </c>
      <c r="K11" s="1466">
        <f t="shared" si="33"/>
        <v>91804.47</v>
      </c>
      <c r="L11" s="1466">
        <f t="shared" si="33"/>
        <v>85296.260000000009</v>
      </c>
      <c r="M11" s="144">
        <f t="shared" si="33"/>
        <v>77395.740000000005</v>
      </c>
      <c r="N11" s="144">
        <f t="shared" si="1"/>
        <v>994015.91000000015</v>
      </c>
      <c r="O11" s="143">
        <f t="shared" ref="O11:Z11" si="34">SUM(O12:O13)</f>
        <v>80156.900000000009</v>
      </c>
      <c r="P11" s="1466">
        <f t="shared" si="34"/>
        <v>73310.070000000007</v>
      </c>
      <c r="Q11" s="1466">
        <f t="shared" si="34"/>
        <v>84986.96</v>
      </c>
      <c r="R11" s="1466">
        <f t="shared" si="34"/>
        <v>80542.28</v>
      </c>
      <c r="S11" s="1466">
        <f t="shared" si="34"/>
        <v>91018.8</v>
      </c>
      <c r="T11" s="1466">
        <f t="shared" si="34"/>
        <v>96682.2</v>
      </c>
      <c r="U11" s="1466">
        <f t="shared" si="34"/>
        <v>102283.39000000001</v>
      </c>
      <c r="V11" s="1466">
        <f t="shared" si="34"/>
        <v>103244.88</v>
      </c>
      <c r="W11" s="1466">
        <f t="shared" si="34"/>
        <v>100151.72</v>
      </c>
      <c r="X11" s="1466">
        <f t="shared" si="34"/>
        <v>98076.22</v>
      </c>
      <c r="Y11" s="1466">
        <f t="shared" si="34"/>
        <v>95300.53</v>
      </c>
      <c r="Z11" s="144">
        <f t="shared" si="34"/>
        <v>88649.5</v>
      </c>
      <c r="AA11" s="144">
        <f t="shared" si="3"/>
        <v>1094403.4500000002</v>
      </c>
      <c r="AB11" s="143">
        <f t="shared" ref="AB11:AM11" si="35">SUM(AB12:AB13)</f>
        <v>86005.59</v>
      </c>
      <c r="AC11" s="1466">
        <f t="shared" si="35"/>
        <v>90043.62000000001</v>
      </c>
      <c r="AD11" s="1466">
        <f t="shared" si="35"/>
        <v>99579.61</v>
      </c>
      <c r="AE11" s="1466">
        <f t="shared" si="35"/>
        <v>92493.86</v>
      </c>
      <c r="AF11" s="1466">
        <f t="shared" si="35"/>
        <v>96848.69</v>
      </c>
      <c r="AG11" s="1466">
        <f t="shared" si="35"/>
        <v>106688.68000000001</v>
      </c>
      <c r="AH11" s="1466">
        <f t="shared" si="35"/>
        <v>112620.72</v>
      </c>
      <c r="AI11" s="1466">
        <f t="shared" si="35"/>
        <v>115059.46</v>
      </c>
      <c r="AJ11" s="1466">
        <f t="shared" si="35"/>
        <v>106182.25</v>
      </c>
      <c r="AK11" s="1466">
        <f t="shared" si="35"/>
        <v>109807.22</v>
      </c>
      <c r="AL11" s="1466">
        <f t="shared" si="35"/>
        <v>105526.94</v>
      </c>
      <c r="AM11" s="144">
        <f t="shared" si="35"/>
        <v>95768.03</v>
      </c>
      <c r="AN11" s="144">
        <f t="shared" si="5"/>
        <v>1216624.67</v>
      </c>
      <c r="AO11" s="143">
        <f t="shared" ref="AO11:BO11" si="36">SUM(AO12:AO13)</f>
        <v>94005.440000000002</v>
      </c>
      <c r="AP11" s="1466">
        <f t="shared" si="36"/>
        <v>96950.5</v>
      </c>
      <c r="AQ11" s="1466">
        <f t="shared" si="36"/>
        <v>105363</v>
      </c>
      <c r="AR11" s="1466">
        <f t="shared" si="36"/>
        <v>100065.51</v>
      </c>
      <c r="AS11" s="1466">
        <f t="shared" si="36"/>
        <v>111696.84</v>
      </c>
      <c r="AT11" s="1466">
        <f t="shared" si="36"/>
        <v>111175.12</v>
      </c>
      <c r="AU11" s="1466">
        <f t="shared" si="36"/>
        <v>124541.1</v>
      </c>
      <c r="AV11" s="1466">
        <f t="shared" si="36"/>
        <v>120209.41</v>
      </c>
      <c r="AW11" s="1466">
        <f t="shared" si="36"/>
        <v>113706.05</v>
      </c>
      <c r="AX11" s="1466">
        <f t="shared" si="36"/>
        <v>119247.81000000001</v>
      </c>
      <c r="AY11" s="1466">
        <f t="shared" si="36"/>
        <v>116534.5</v>
      </c>
      <c r="AZ11" s="144">
        <f t="shared" si="36"/>
        <v>116034.35</v>
      </c>
      <c r="BA11" s="144">
        <f t="shared" si="8"/>
        <v>1329529.6300000001</v>
      </c>
      <c r="BB11" s="143">
        <f t="shared" si="36"/>
        <v>106501</v>
      </c>
      <c r="BC11" s="1466">
        <f t="shared" si="36"/>
        <v>110427</v>
      </c>
      <c r="BD11" s="1466">
        <f t="shared" si="36"/>
        <v>115683</v>
      </c>
      <c r="BE11" s="1466">
        <f t="shared" si="36"/>
        <v>111382</v>
      </c>
      <c r="BF11" s="1466">
        <f t="shared" si="36"/>
        <v>119132</v>
      </c>
      <c r="BG11" s="1466">
        <f t="shared" si="36"/>
        <v>119988</v>
      </c>
      <c r="BH11" s="1466">
        <f t="shared" si="36"/>
        <v>138099</v>
      </c>
      <c r="BI11" s="1466">
        <f t="shared" si="36"/>
        <v>130690</v>
      </c>
      <c r="BJ11" s="1466">
        <f t="shared" si="36"/>
        <v>125683</v>
      </c>
      <c r="BK11" s="1466">
        <f t="shared" si="36"/>
        <v>127657</v>
      </c>
      <c r="BL11" s="1466">
        <f t="shared" si="36"/>
        <v>131376</v>
      </c>
      <c r="BM11" s="144">
        <f t="shared" si="36"/>
        <v>121174</v>
      </c>
      <c r="BN11" s="144">
        <f t="shared" si="9"/>
        <v>1457792</v>
      </c>
      <c r="BO11" s="143">
        <f t="shared" si="36"/>
        <v>136683</v>
      </c>
      <c r="BP11" s="1466">
        <f t="shared" ref="BP11:BZ11" si="37">BP12+BP13</f>
        <v>134605</v>
      </c>
      <c r="BQ11" s="1466">
        <f t="shared" si="37"/>
        <v>135460</v>
      </c>
      <c r="BR11" s="1466">
        <f t="shared" si="37"/>
        <v>123978</v>
      </c>
      <c r="BS11" s="1466">
        <f t="shared" si="37"/>
        <v>128473</v>
      </c>
      <c r="BT11" s="1466">
        <f t="shared" si="37"/>
        <v>120803</v>
      </c>
      <c r="BU11" s="1466">
        <f t="shared" si="37"/>
        <v>151907</v>
      </c>
      <c r="BV11" s="1466">
        <f t="shared" si="37"/>
        <v>144848</v>
      </c>
      <c r="BW11" s="1466">
        <f t="shared" si="37"/>
        <v>129373</v>
      </c>
      <c r="BX11" s="1466">
        <f t="shared" si="37"/>
        <v>128425</v>
      </c>
      <c r="BY11" s="1466">
        <f t="shared" si="37"/>
        <v>123987</v>
      </c>
      <c r="BZ11" s="144">
        <f t="shared" si="37"/>
        <v>120660</v>
      </c>
      <c r="CA11" s="144">
        <f t="shared" si="11"/>
        <v>1579202</v>
      </c>
      <c r="CB11" s="143">
        <f t="shared" ref="CB11:CZ11" si="38">SUM(CB12:CB13)</f>
        <v>138293</v>
      </c>
      <c r="CC11" s="1466">
        <f t="shared" si="38"/>
        <v>127348</v>
      </c>
      <c r="CD11" s="1466">
        <f t="shared" si="38"/>
        <v>118239</v>
      </c>
      <c r="CE11" s="1466">
        <f t="shared" si="38"/>
        <v>129242</v>
      </c>
      <c r="CF11" s="1466">
        <f t="shared" si="38"/>
        <v>135022</v>
      </c>
      <c r="CG11" s="1466">
        <f t="shared" si="38"/>
        <v>148071</v>
      </c>
      <c r="CH11" s="1466">
        <f t="shared" si="38"/>
        <v>170144</v>
      </c>
      <c r="CI11" s="1466">
        <f t="shared" si="38"/>
        <v>164835</v>
      </c>
      <c r="CJ11" s="1466">
        <f t="shared" si="38"/>
        <v>147331</v>
      </c>
      <c r="CK11" s="1466">
        <f t="shared" si="38"/>
        <v>159037</v>
      </c>
      <c r="CL11" s="1466">
        <f t="shared" si="38"/>
        <v>151121</v>
      </c>
      <c r="CM11" s="144">
        <f t="shared" si="38"/>
        <v>147941</v>
      </c>
      <c r="CN11" s="144">
        <f t="shared" si="13"/>
        <v>1736624</v>
      </c>
      <c r="CO11" s="143">
        <f t="shared" si="38"/>
        <v>142337</v>
      </c>
      <c r="CP11" s="1466">
        <f t="shared" si="38"/>
        <v>141210</v>
      </c>
      <c r="CQ11" s="1466">
        <f t="shared" si="38"/>
        <v>130078</v>
      </c>
      <c r="CR11" s="1466">
        <f t="shared" si="38"/>
        <v>134658</v>
      </c>
      <c r="CS11" s="1466">
        <f t="shared" si="38"/>
        <v>144802</v>
      </c>
      <c r="CT11" s="1466">
        <f t="shared" si="38"/>
        <v>145101</v>
      </c>
      <c r="CU11" s="1466">
        <f t="shared" si="38"/>
        <v>150384</v>
      </c>
      <c r="CV11" s="1466">
        <f t="shared" si="38"/>
        <v>157532</v>
      </c>
      <c r="CW11" s="1466">
        <f t="shared" si="38"/>
        <v>145857</v>
      </c>
      <c r="CX11" s="1466">
        <f t="shared" si="38"/>
        <v>157658</v>
      </c>
      <c r="CY11" s="1466">
        <f t="shared" si="38"/>
        <v>153268</v>
      </c>
      <c r="CZ11" s="144">
        <f t="shared" si="38"/>
        <v>153672</v>
      </c>
      <c r="DA11" s="144">
        <f t="shared" si="14"/>
        <v>1756557</v>
      </c>
      <c r="DB11" s="143">
        <f t="shared" ref="DB11:EB11" si="39">SUM(DB12:DB13)</f>
        <v>151893</v>
      </c>
      <c r="DC11" s="1466">
        <f t="shared" si="39"/>
        <v>139353</v>
      </c>
      <c r="DD11" s="1466">
        <f t="shared" si="39"/>
        <v>138339</v>
      </c>
      <c r="DE11" s="1466">
        <f t="shared" si="39"/>
        <v>139263</v>
      </c>
      <c r="DF11" s="1466">
        <f t="shared" si="39"/>
        <v>150645</v>
      </c>
      <c r="DG11" s="1466">
        <f t="shared" si="39"/>
        <v>147984</v>
      </c>
      <c r="DH11" s="1466">
        <f t="shared" si="39"/>
        <v>147194</v>
      </c>
      <c r="DI11" s="1466">
        <f t="shared" si="39"/>
        <v>151304</v>
      </c>
      <c r="DJ11" s="1466">
        <f t="shared" si="39"/>
        <v>147221</v>
      </c>
      <c r="DK11" s="1466">
        <f t="shared" si="39"/>
        <v>158012</v>
      </c>
      <c r="DL11" s="1466">
        <f t="shared" si="39"/>
        <v>153951</v>
      </c>
      <c r="DM11" s="144">
        <f t="shared" si="39"/>
        <v>148519</v>
      </c>
      <c r="DN11" s="144">
        <f t="shared" si="39"/>
        <v>1773678</v>
      </c>
      <c r="DO11" s="143">
        <f t="shared" si="39"/>
        <v>178233</v>
      </c>
      <c r="DP11" s="1466">
        <f t="shared" si="39"/>
        <v>168164</v>
      </c>
      <c r="DQ11" s="1466">
        <f t="shared" si="39"/>
        <v>52948</v>
      </c>
      <c r="DR11" s="1466">
        <f t="shared" si="39"/>
        <v>3200</v>
      </c>
      <c r="DS11" s="1466">
        <f t="shared" si="39"/>
        <v>4357</v>
      </c>
      <c r="DT11" s="1466">
        <f t="shared" si="39"/>
        <v>4505</v>
      </c>
      <c r="DU11" s="1466">
        <f t="shared" si="39"/>
        <v>32675</v>
      </c>
      <c r="DV11" s="1466">
        <f t="shared" si="39"/>
        <v>30768</v>
      </c>
      <c r="DW11" s="1466">
        <f t="shared" si="39"/>
        <v>59633</v>
      </c>
      <c r="DX11" s="1466">
        <f t="shared" si="39"/>
        <v>90610</v>
      </c>
      <c r="DY11" s="1466">
        <f t="shared" si="39"/>
        <v>91706</v>
      </c>
      <c r="DZ11" s="144">
        <f t="shared" si="39"/>
        <v>119617</v>
      </c>
      <c r="EA11" s="144">
        <f t="shared" si="15"/>
        <v>836416</v>
      </c>
      <c r="EB11" s="143">
        <f t="shared" si="39"/>
        <v>116343</v>
      </c>
      <c r="EC11" s="1466">
        <f t="shared" ref="EC11:EK11" si="40">SUM(EC12:EC13)</f>
        <v>90226</v>
      </c>
      <c r="ED11" s="1466">
        <f t="shared" si="40"/>
        <v>101434</v>
      </c>
      <c r="EE11" s="1466">
        <f t="shared" si="40"/>
        <v>99040</v>
      </c>
      <c r="EF11" s="1466">
        <f t="shared" si="40"/>
        <v>105398</v>
      </c>
      <c r="EG11" s="1466">
        <f t="shared" si="40"/>
        <v>96485</v>
      </c>
      <c r="EH11" s="1466">
        <f t="shared" si="40"/>
        <v>146122</v>
      </c>
      <c r="EI11" s="1466">
        <f t="shared" si="40"/>
        <v>148222</v>
      </c>
      <c r="EJ11" s="1466">
        <f t="shared" si="40"/>
        <v>132757</v>
      </c>
      <c r="EK11" s="1466">
        <f t="shared" si="40"/>
        <v>141856</v>
      </c>
      <c r="EL11" s="1466">
        <f>SUM(EL12:EL13)</f>
        <v>131779</v>
      </c>
      <c r="EM11" s="144">
        <f>SUM(EM12:EM13)</f>
        <v>122365</v>
      </c>
      <c r="EN11" s="144">
        <f t="shared" si="17"/>
        <v>1432027</v>
      </c>
      <c r="EO11" s="143">
        <f t="shared" ref="EO11:EZ11" si="41">SUM(EO12:EO13)</f>
        <v>141612</v>
      </c>
      <c r="EP11" s="1466">
        <f t="shared" si="41"/>
        <v>136062</v>
      </c>
      <c r="EQ11" s="1466">
        <f t="shared" si="41"/>
        <v>127516</v>
      </c>
      <c r="ER11" s="1466">
        <f t="shared" si="41"/>
        <v>127093</v>
      </c>
      <c r="ES11" s="1466">
        <f t="shared" si="41"/>
        <v>131562</v>
      </c>
      <c r="ET11" s="1466">
        <f t="shared" si="41"/>
        <v>129843</v>
      </c>
      <c r="EU11" s="1466">
        <f t="shared" si="41"/>
        <v>150239</v>
      </c>
      <c r="EV11" s="1466">
        <f t="shared" si="41"/>
        <v>152188</v>
      </c>
      <c r="EW11" s="1466">
        <f t="shared" si="41"/>
        <v>126529</v>
      </c>
      <c r="EX11" s="1466">
        <f t="shared" si="41"/>
        <v>156115</v>
      </c>
      <c r="EY11" s="1466">
        <f t="shared" si="41"/>
        <v>125677</v>
      </c>
      <c r="EZ11" s="144">
        <f t="shared" si="41"/>
        <v>118309</v>
      </c>
      <c r="FA11" s="144">
        <f t="shared" si="19"/>
        <v>1622745</v>
      </c>
      <c r="FB11" s="143">
        <f>SUM(FB12:FB13)</f>
        <v>133894</v>
      </c>
      <c r="FC11" s="1466">
        <f t="shared" ref="FC11:FH11" si="42">SUM(FC12:FC13)</f>
        <v>138236</v>
      </c>
      <c r="FD11" s="1466">
        <f t="shared" si="42"/>
        <v>124693</v>
      </c>
      <c r="FE11" s="1466">
        <f t="shared" si="42"/>
        <v>128125</v>
      </c>
      <c r="FF11" s="1466">
        <f t="shared" si="42"/>
        <v>123791</v>
      </c>
      <c r="FG11" s="1466">
        <f t="shared" si="42"/>
        <v>134080</v>
      </c>
      <c r="FH11" s="1466">
        <f t="shared" si="42"/>
        <v>151123</v>
      </c>
      <c r="FI11" s="1466">
        <f t="shared" ref="FI11:GZ11" si="43">SUM(FI12:FI13)</f>
        <v>148493</v>
      </c>
      <c r="FJ11" s="1466">
        <f t="shared" si="43"/>
        <v>119044</v>
      </c>
      <c r="FK11" s="1466">
        <f t="shared" si="43"/>
        <v>120650</v>
      </c>
      <c r="FL11" s="1466">
        <f t="shared" si="43"/>
        <v>119971</v>
      </c>
      <c r="FM11" s="144">
        <f t="shared" si="43"/>
        <v>116788</v>
      </c>
      <c r="FN11" s="144">
        <f t="shared" si="22"/>
        <v>1558888</v>
      </c>
      <c r="FO11" s="143">
        <f t="shared" si="43"/>
        <v>123919</v>
      </c>
      <c r="FP11" s="1466">
        <f t="shared" si="43"/>
        <v>122338</v>
      </c>
      <c r="FQ11" s="1466">
        <f t="shared" si="43"/>
        <v>113660</v>
      </c>
      <c r="FR11" s="1466">
        <f t="shared" si="43"/>
        <v>102726</v>
      </c>
      <c r="FS11" s="1466">
        <f t="shared" si="43"/>
        <v>117856</v>
      </c>
      <c r="FT11" s="1466">
        <f t="shared" si="43"/>
        <v>124493</v>
      </c>
      <c r="FU11" s="1466">
        <f t="shared" si="43"/>
        <v>153644</v>
      </c>
      <c r="FV11" s="1466">
        <f t="shared" si="43"/>
        <v>158488</v>
      </c>
      <c r="FW11" s="1466">
        <f t="shared" si="43"/>
        <v>136188</v>
      </c>
      <c r="FX11" s="1466">
        <f t="shared" si="43"/>
        <v>158831</v>
      </c>
      <c r="FY11" s="1466">
        <f t="shared" si="43"/>
        <v>134947</v>
      </c>
      <c r="FZ11" s="144">
        <f t="shared" si="43"/>
        <v>124476</v>
      </c>
      <c r="GA11" s="144">
        <f t="shared" si="24"/>
        <v>1571566</v>
      </c>
      <c r="GB11" s="143">
        <f t="shared" ref="GB11:GK11" si="44">SUM(GB12:GB13)</f>
        <v>140451</v>
      </c>
      <c r="GC11" s="1466">
        <f t="shared" si="44"/>
        <v>127461</v>
      </c>
      <c r="GD11" s="1466">
        <f t="shared" si="44"/>
        <v>117916</v>
      </c>
      <c r="GE11" s="1466">
        <f t="shared" si="44"/>
        <v>113230</v>
      </c>
      <c r="GF11" s="1466">
        <f t="shared" si="44"/>
        <v>132245</v>
      </c>
      <c r="GG11" s="1466">
        <f t="shared" si="44"/>
        <v>133761</v>
      </c>
      <c r="GH11" s="1466">
        <f t="shared" si="44"/>
        <v>160298</v>
      </c>
      <c r="GI11" s="1466">
        <f t="shared" si="44"/>
        <v>166544</v>
      </c>
      <c r="GJ11" s="1466">
        <f t="shared" si="44"/>
        <v>144968</v>
      </c>
      <c r="GK11" s="1466">
        <f t="shared" si="44"/>
        <v>156919</v>
      </c>
      <c r="GL11" s="1466">
        <f>SUM(GL12:GL13)</f>
        <v>141497</v>
      </c>
      <c r="GM11" s="144">
        <f>SUM(GM12:GM13)</f>
        <v>132792</v>
      </c>
      <c r="GN11" s="144">
        <f t="shared" ref="GN11:GN13" si="45">SUM(GB11:GM11)</f>
        <v>1668082</v>
      </c>
      <c r="GO11" s="143">
        <f t="shared" si="43"/>
        <v>0</v>
      </c>
      <c r="GP11" s="1466">
        <f t="shared" si="43"/>
        <v>0</v>
      </c>
      <c r="GQ11" s="1466">
        <f t="shared" si="43"/>
        <v>0</v>
      </c>
      <c r="GR11" s="1466">
        <f t="shared" si="43"/>
        <v>0</v>
      </c>
      <c r="GS11" s="1466">
        <f t="shared" si="43"/>
        <v>0</v>
      </c>
      <c r="GT11" s="1466">
        <f t="shared" si="43"/>
        <v>0</v>
      </c>
      <c r="GU11" s="1466">
        <f t="shared" si="43"/>
        <v>0</v>
      </c>
      <c r="GV11" s="1466">
        <f t="shared" si="43"/>
        <v>0</v>
      </c>
      <c r="GW11" s="1466">
        <f t="shared" si="43"/>
        <v>0</v>
      </c>
      <c r="GX11" s="1466">
        <f t="shared" si="43"/>
        <v>0</v>
      </c>
      <c r="GY11" s="1466">
        <f t="shared" si="43"/>
        <v>0</v>
      </c>
      <c r="GZ11" s="144">
        <f t="shared" si="43"/>
        <v>0</v>
      </c>
      <c r="HA11" s="144">
        <f t="shared" si="27"/>
        <v>0</v>
      </c>
      <c r="HC11" s="145">
        <f t="shared" si="29"/>
        <v>-100</v>
      </c>
      <c r="HD11" s="145">
        <f t="shared" si="30"/>
        <v>-100</v>
      </c>
      <c r="HE11" s="88">
        <f t="shared" si="31"/>
        <v>1312143</v>
      </c>
      <c r="HF11" s="88">
        <f t="shared" si="32"/>
        <v>0</v>
      </c>
      <c r="HG11" s="77"/>
    </row>
    <row r="12" spans="1:216" ht="13.9" customHeight="1" x14ac:dyDescent="0.2">
      <c r="A12" s="78" t="s">
        <v>74</v>
      </c>
      <c r="B12" s="146">
        <f>B8*1.27</f>
        <v>68286.63</v>
      </c>
      <c r="C12" s="127">
        <f>C8*1.31</f>
        <v>70024.740000000005</v>
      </c>
      <c r="D12" s="127">
        <f>D8*1.27</f>
        <v>74687.430000000008</v>
      </c>
      <c r="E12" s="127">
        <f>E8*1.3</f>
        <v>75198.5</v>
      </c>
      <c r="F12" s="127">
        <f>F8*1.31</f>
        <v>80546.66</v>
      </c>
      <c r="G12" s="127">
        <f>G8*1.28</f>
        <v>85500.160000000003</v>
      </c>
      <c r="H12" s="127">
        <f>H8*1.32</f>
        <v>92642.880000000005</v>
      </c>
      <c r="I12" s="127">
        <f>I8*1.34</f>
        <v>89600.44</v>
      </c>
      <c r="J12" s="127">
        <f>J8*1.33</f>
        <v>82986.680000000008</v>
      </c>
      <c r="K12" s="127">
        <f>K8*1.36</f>
        <v>89675.680000000008</v>
      </c>
      <c r="L12" s="127">
        <f>L8*1.3</f>
        <v>83579.600000000006</v>
      </c>
      <c r="M12" s="147">
        <f>M8*1.27</f>
        <v>75986.64</v>
      </c>
      <c r="N12" s="147">
        <f t="shared" si="1"/>
        <v>968716.04</v>
      </c>
      <c r="O12" s="146">
        <f>O8*1.3</f>
        <v>78224.900000000009</v>
      </c>
      <c r="P12" s="127">
        <f>P8*1.32</f>
        <v>71497.8</v>
      </c>
      <c r="Q12" s="127">
        <f>Q8*1.32</f>
        <v>83119.08</v>
      </c>
      <c r="R12" s="127">
        <f>R8*1.29</f>
        <v>78226.89</v>
      </c>
      <c r="S12" s="127">
        <f>S8*1.32</f>
        <v>88875.6</v>
      </c>
      <c r="T12" s="127">
        <f>T8*1.29</f>
        <v>94515.72</v>
      </c>
      <c r="U12" s="127">
        <f>U8*1.29</f>
        <v>98656.62000000001</v>
      </c>
      <c r="V12" s="127">
        <f>V8*1.31</f>
        <v>100710.18000000001</v>
      </c>
      <c r="W12" s="127">
        <f>W8*1.32</f>
        <v>97876.680000000008</v>
      </c>
      <c r="X12" s="127">
        <f>X8*1.34</f>
        <v>96142.32</v>
      </c>
      <c r="Y12" s="127">
        <f>Y8*1.29</f>
        <v>92016.99</v>
      </c>
      <c r="Z12" s="147">
        <f>Z8*1.27</f>
        <v>87287.1</v>
      </c>
      <c r="AA12" s="147">
        <f t="shared" si="3"/>
        <v>1067149.8800000001</v>
      </c>
      <c r="AB12" s="146">
        <f>AB8*1.26</f>
        <v>83922.3</v>
      </c>
      <c r="AC12" s="127">
        <f>AC8*1.33</f>
        <v>87851.82</v>
      </c>
      <c r="AD12" s="127">
        <f>AD8*1.31</f>
        <v>97796.74</v>
      </c>
      <c r="AE12" s="127">
        <f>AE8*1.28</f>
        <v>89845.759999999995</v>
      </c>
      <c r="AF12" s="127">
        <f>AF8*1.29</f>
        <v>94102.92</v>
      </c>
      <c r="AG12" s="127">
        <f>AG8*1.3</f>
        <v>104041.60000000001</v>
      </c>
      <c r="AH12" s="127">
        <f>AH8*1.3</f>
        <v>109504.2</v>
      </c>
      <c r="AI12" s="127">
        <f>AI8*1.28</f>
        <v>111946.24000000001</v>
      </c>
      <c r="AJ12" s="127">
        <f>AJ8*1.3</f>
        <v>103636</v>
      </c>
      <c r="AK12" s="127">
        <f>AK8*1.34</f>
        <v>107230.82</v>
      </c>
      <c r="AL12" s="127">
        <f>AL8*1.34</f>
        <v>102173.66</v>
      </c>
      <c r="AM12" s="147">
        <f>AM8*1.33</f>
        <v>92969.66</v>
      </c>
      <c r="AN12" s="147">
        <f t="shared" si="5"/>
        <v>1185021.7199999997</v>
      </c>
      <c r="AO12" s="146">
        <f>AO8*1.32</f>
        <v>91419.24</v>
      </c>
      <c r="AP12" s="127">
        <f>AP8*1.35</f>
        <v>93595.5</v>
      </c>
      <c r="AQ12" s="127">
        <f>AQ8*1.34</f>
        <v>100849.74</v>
      </c>
      <c r="AR12" s="127">
        <f>AR8*1.36</f>
        <v>97580</v>
      </c>
      <c r="AS12" s="127">
        <f>AS8*1.4</f>
        <v>108750.59999999999</v>
      </c>
      <c r="AT12" s="127">
        <f>AT8*1.32</f>
        <v>108468.36</v>
      </c>
      <c r="AU12" s="127">
        <f>AU8*1.36</f>
        <v>119250.24000000001</v>
      </c>
      <c r="AV12" s="127">
        <f>AV8*1.36</f>
        <v>114192.40000000001</v>
      </c>
      <c r="AW12" s="127">
        <f>AW8*1.34</f>
        <v>108586.90000000001</v>
      </c>
      <c r="AX12" s="127">
        <f>AX8*1.33</f>
        <v>113543.43000000001</v>
      </c>
      <c r="AY12" s="127">
        <f>AY8*1.33</f>
        <v>111831.72</v>
      </c>
      <c r="AZ12" s="147">
        <f>AZ8*1.36</f>
        <v>110003.6</v>
      </c>
      <c r="BA12" s="147">
        <f t="shared" si="8"/>
        <v>1278071.73</v>
      </c>
      <c r="BB12" s="146">
        <v>104407</v>
      </c>
      <c r="BC12" s="127">
        <v>106843</v>
      </c>
      <c r="BD12" s="127">
        <v>112819</v>
      </c>
      <c r="BE12" s="127">
        <v>109078</v>
      </c>
      <c r="BF12" s="127">
        <v>116609</v>
      </c>
      <c r="BG12" s="127">
        <v>116320</v>
      </c>
      <c r="BH12" s="127">
        <v>133757</v>
      </c>
      <c r="BI12" s="127">
        <v>125100</v>
      </c>
      <c r="BJ12" s="127">
        <v>121848</v>
      </c>
      <c r="BK12" s="127">
        <v>123098</v>
      </c>
      <c r="BL12" s="127">
        <v>125579</v>
      </c>
      <c r="BM12" s="147">
        <v>118708</v>
      </c>
      <c r="BN12" s="147">
        <f t="shared" si="9"/>
        <v>1414166</v>
      </c>
      <c r="BO12" s="146">
        <v>127166</v>
      </c>
      <c r="BP12" s="127">
        <v>128184</v>
      </c>
      <c r="BQ12" s="127">
        <v>132760</v>
      </c>
      <c r="BR12" s="127">
        <v>121501</v>
      </c>
      <c r="BS12" s="127">
        <v>125807</v>
      </c>
      <c r="BT12" s="127">
        <v>116554</v>
      </c>
      <c r="BU12" s="127">
        <v>146825</v>
      </c>
      <c r="BV12" s="127">
        <v>140118</v>
      </c>
      <c r="BW12" s="127">
        <v>126355</v>
      </c>
      <c r="BX12" s="127">
        <v>125246</v>
      </c>
      <c r="BY12" s="127">
        <v>120759</v>
      </c>
      <c r="BZ12" s="147">
        <v>117532</v>
      </c>
      <c r="CA12" s="147">
        <f t="shared" si="11"/>
        <v>1528807</v>
      </c>
      <c r="CB12" s="146">
        <v>134855</v>
      </c>
      <c r="CC12" s="127">
        <v>124071</v>
      </c>
      <c r="CD12" s="127">
        <v>115552</v>
      </c>
      <c r="CE12" s="127">
        <v>124839</v>
      </c>
      <c r="CF12" s="127">
        <v>132196</v>
      </c>
      <c r="CG12" s="127">
        <v>144758</v>
      </c>
      <c r="CH12" s="127">
        <v>166140</v>
      </c>
      <c r="CI12" s="127">
        <v>161257</v>
      </c>
      <c r="CJ12" s="127">
        <v>144266</v>
      </c>
      <c r="CK12" s="127">
        <v>155160</v>
      </c>
      <c r="CL12" s="127">
        <v>147864</v>
      </c>
      <c r="CM12" s="147">
        <v>144988</v>
      </c>
      <c r="CN12" s="147">
        <f t="shared" si="13"/>
        <v>1695946</v>
      </c>
      <c r="CO12" s="146">
        <v>139323</v>
      </c>
      <c r="CP12" s="127">
        <v>138419</v>
      </c>
      <c r="CQ12" s="127">
        <v>127354</v>
      </c>
      <c r="CR12" s="127">
        <v>132243</v>
      </c>
      <c r="CS12" s="127">
        <v>140658</v>
      </c>
      <c r="CT12" s="127">
        <v>141541</v>
      </c>
      <c r="CU12" s="127">
        <v>145754</v>
      </c>
      <c r="CV12" s="127">
        <v>152732</v>
      </c>
      <c r="CW12" s="127">
        <v>141781</v>
      </c>
      <c r="CX12" s="127">
        <v>153238</v>
      </c>
      <c r="CY12" s="127">
        <v>149419</v>
      </c>
      <c r="CZ12" s="147">
        <v>150608</v>
      </c>
      <c r="DA12" s="147">
        <f t="shared" si="14"/>
        <v>1713070</v>
      </c>
      <c r="DB12" s="146">
        <v>148567</v>
      </c>
      <c r="DC12" s="127">
        <v>136299</v>
      </c>
      <c r="DD12" s="127">
        <v>135836</v>
      </c>
      <c r="DE12" s="127">
        <v>137353</v>
      </c>
      <c r="DF12" s="127">
        <v>147578</v>
      </c>
      <c r="DG12" s="127">
        <v>145372</v>
      </c>
      <c r="DH12" s="127">
        <v>142529</v>
      </c>
      <c r="DI12" s="127">
        <v>147178</v>
      </c>
      <c r="DJ12" s="127">
        <v>144270</v>
      </c>
      <c r="DK12" s="127">
        <v>154496</v>
      </c>
      <c r="DL12" s="127">
        <v>151041</v>
      </c>
      <c r="DM12" s="147">
        <v>146247</v>
      </c>
      <c r="DN12" s="147">
        <f>SUM(DB12:DM12)</f>
        <v>1736766</v>
      </c>
      <c r="DO12" s="146">
        <v>172097</v>
      </c>
      <c r="DP12" s="127">
        <v>162663</v>
      </c>
      <c r="DQ12" s="127">
        <v>48036</v>
      </c>
      <c r="DR12" s="127">
        <v>3200</v>
      </c>
      <c r="DS12" s="127">
        <v>3653</v>
      </c>
      <c r="DT12" s="127">
        <v>4500</v>
      </c>
      <c r="DU12" s="127">
        <v>32393</v>
      </c>
      <c r="DV12" s="127">
        <v>30491</v>
      </c>
      <c r="DW12" s="127">
        <v>59400</v>
      </c>
      <c r="DX12" s="127">
        <v>89785</v>
      </c>
      <c r="DY12" s="127">
        <v>90883</v>
      </c>
      <c r="DZ12" s="147">
        <v>118540</v>
      </c>
      <c r="EA12" s="147">
        <f t="shared" si="15"/>
        <v>815641</v>
      </c>
      <c r="EB12" s="146">
        <v>115226</v>
      </c>
      <c r="EC12" s="127">
        <v>88791</v>
      </c>
      <c r="ED12" s="127">
        <v>100451</v>
      </c>
      <c r="EE12" s="127">
        <v>96996</v>
      </c>
      <c r="EF12" s="127">
        <v>103394</v>
      </c>
      <c r="EG12" s="127">
        <v>94728</v>
      </c>
      <c r="EH12" s="127">
        <v>143598</v>
      </c>
      <c r="EI12" s="127">
        <v>145434</v>
      </c>
      <c r="EJ12" s="127">
        <v>130574</v>
      </c>
      <c r="EK12" s="127">
        <v>139852</v>
      </c>
      <c r="EL12" s="127">
        <v>129433</v>
      </c>
      <c r="EM12" s="147">
        <v>118549</v>
      </c>
      <c r="EN12" s="147">
        <f t="shared" si="17"/>
        <v>1407026</v>
      </c>
      <c r="EO12" s="146">
        <v>138319</v>
      </c>
      <c r="EP12" s="127">
        <v>132999</v>
      </c>
      <c r="EQ12" s="127">
        <v>124561</v>
      </c>
      <c r="ER12" s="127">
        <v>123737</v>
      </c>
      <c r="ES12" s="127">
        <v>128168</v>
      </c>
      <c r="ET12" s="127">
        <v>125632</v>
      </c>
      <c r="EU12" s="127">
        <v>144799</v>
      </c>
      <c r="EV12" s="127">
        <v>147168</v>
      </c>
      <c r="EW12" s="127">
        <v>123746</v>
      </c>
      <c r="EX12" s="127">
        <v>152663</v>
      </c>
      <c r="EY12" s="127">
        <v>121581</v>
      </c>
      <c r="EZ12" s="147">
        <v>112853</v>
      </c>
      <c r="FA12" s="147">
        <f t="shared" si="19"/>
        <v>1576226</v>
      </c>
      <c r="FB12" s="146">
        <v>129405</v>
      </c>
      <c r="FC12" s="127">
        <v>133732</v>
      </c>
      <c r="FD12" s="127">
        <v>119285</v>
      </c>
      <c r="FE12" s="127">
        <v>121729</v>
      </c>
      <c r="FF12" s="127">
        <v>119293</v>
      </c>
      <c r="FG12" s="127">
        <v>127876</v>
      </c>
      <c r="FH12" s="127">
        <v>142240</v>
      </c>
      <c r="FI12" s="127">
        <v>141918</v>
      </c>
      <c r="FJ12" s="127">
        <v>113523</v>
      </c>
      <c r="FK12" s="127">
        <v>115903</v>
      </c>
      <c r="FL12" s="127">
        <v>111424</v>
      </c>
      <c r="FM12" s="147">
        <v>112907</v>
      </c>
      <c r="FN12" s="147">
        <f t="shared" si="22"/>
        <v>1489235</v>
      </c>
      <c r="FO12" s="146">
        <v>117793</v>
      </c>
      <c r="FP12" s="127">
        <v>119042</v>
      </c>
      <c r="FQ12" s="127">
        <v>110790</v>
      </c>
      <c r="FR12" s="127">
        <v>97520</v>
      </c>
      <c r="FS12" s="127">
        <v>111864</v>
      </c>
      <c r="FT12" s="127">
        <v>119592</v>
      </c>
      <c r="FU12" s="127">
        <v>148866</v>
      </c>
      <c r="FV12" s="127">
        <v>154286</v>
      </c>
      <c r="FW12" s="127">
        <v>131531</v>
      </c>
      <c r="FX12" s="127">
        <v>155615</v>
      </c>
      <c r="FY12" s="127">
        <v>129444</v>
      </c>
      <c r="FZ12" s="147">
        <v>120585</v>
      </c>
      <c r="GA12" s="147">
        <f t="shared" si="24"/>
        <v>1516928</v>
      </c>
      <c r="GB12" s="146">
        <v>136719</v>
      </c>
      <c r="GC12" s="127">
        <v>123262</v>
      </c>
      <c r="GD12" s="127">
        <v>114144</v>
      </c>
      <c r="GE12" s="127">
        <v>109252</v>
      </c>
      <c r="GF12" s="127">
        <v>127755</v>
      </c>
      <c r="GG12" s="127">
        <v>128358</v>
      </c>
      <c r="GH12" s="127">
        <v>155476</v>
      </c>
      <c r="GI12" s="127">
        <v>162139</v>
      </c>
      <c r="GJ12" s="127">
        <v>141276</v>
      </c>
      <c r="GK12" s="127">
        <v>153112</v>
      </c>
      <c r="GL12" s="127">
        <v>137242</v>
      </c>
      <c r="GM12" s="147">
        <v>128806</v>
      </c>
      <c r="GN12" s="147">
        <f>SUM(GB12:GM12)</f>
        <v>1617541</v>
      </c>
      <c r="GO12" s="146"/>
      <c r="GP12" s="127"/>
      <c r="GQ12" s="127"/>
      <c r="GR12" s="127"/>
      <c r="GS12" s="127"/>
      <c r="GT12" s="127"/>
      <c r="GU12" s="127"/>
      <c r="GV12" s="127"/>
      <c r="GW12" s="127"/>
      <c r="GX12" s="127"/>
      <c r="GY12" s="127"/>
      <c r="GZ12" s="147"/>
      <c r="HA12" s="147">
        <f t="shared" si="27"/>
        <v>0</v>
      </c>
      <c r="HC12" s="148">
        <f t="shared" si="29"/>
        <v>-100</v>
      </c>
      <c r="HD12" s="148">
        <f t="shared" si="30"/>
        <v>-100</v>
      </c>
      <c r="HE12" s="90">
        <f t="shared" si="31"/>
        <v>1266899</v>
      </c>
      <c r="HF12" s="90">
        <f t="shared" si="32"/>
        <v>0</v>
      </c>
      <c r="HG12" s="66"/>
    </row>
    <row r="13" spans="1:216" ht="13.9" customHeight="1" x14ac:dyDescent="0.2">
      <c r="A13" s="78" t="s">
        <v>75</v>
      </c>
      <c r="B13" s="146">
        <f>B9*1.76</f>
        <v>1543.52</v>
      </c>
      <c r="C13" s="127">
        <f>C9*1.56</f>
        <v>2524.08</v>
      </c>
      <c r="D13" s="127">
        <f>D9*1.81</f>
        <v>2300.5100000000002</v>
      </c>
      <c r="E13" s="127">
        <f>E9*2.18</f>
        <v>2042.66</v>
      </c>
      <c r="F13" s="127">
        <f>F9*2.05</f>
        <v>1666.6499999999999</v>
      </c>
      <c r="G13" s="127">
        <f>G9*2.08</f>
        <v>2244.3200000000002</v>
      </c>
      <c r="H13" s="127">
        <f>H9*1.98</f>
        <v>3486.7799999999997</v>
      </c>
      <c r="I13" s="127">
        <f>I9*1.94</f>
        <v>2560.7999999999997</v>
      </c>
      <c r="J13" s="127">
        <f>J9*2</f>
        <v>1676</v>
      </c>
      <c r="K13" s="127">
        <f>K9*1.93</f>
        <v>2128.79</v>
      </c>
      <c r="L13" s="127">
        <f>L9*1.87</f>
        <v>1716.66</v>
      </c>
      <c r="M13" s="147">
        <f>M9*1.83</f>
        <v>1409.1000000000001</v>
      </c>
      <c r="N13" s="147">
        <f t="shared" si="1"/>
        <v>25299.87</v>
      </c>
      <c r="O13" s="146">
        <f>O9*1.75</f>
        <v>1932</v>
      </c>
      <c r="P13" s="127">
        <f>P9*1.93</f>
        <v>1812.27</v>
      </c>
      <c r="Q13" s="127">
        <f>Q9*1.96</f>
        <v>1867.8799999999999</v>
      </c>
      <c r="R13" s="127">
        <f>R9*2.17</f>
        <v>2315.39</v>
      </c>
      <c r="S13" s="127">
        <f>S9*2.35</f>
        <v>2143.2000000000003</v>
      </c>
      <c r="T13" s="127">
        <f>T9*2.16</f>
        <v>2166.48</v>
      </c>
      <c r="U13" s="127">
        <f>U9*1.97</f>
        <v>3626.77</v>
      </c>
      <c r="V13" s="127">
        <f>V9*2.1</f>
        <v>2534.7000000000003</v>
      </c>
      <c r="W13" s="127">
        <f>W9*2.36</f>
        <v>2275.04</v>
      </c>
      <c r="X13" s="127">
        <f>X9*2.33</f>
        <v>1933.9</v>
      </c>
      <c r="Y13" s="127">
        <f>Y9*3.46</f>
        <v>3283.54</v>
      </c>
      <c r="Z13" s="147">
        <f>Z9*2.08</f>
        <v>1362.4</v>
      </c>
      <c r="AA13" s="147">
        <f t="shared" si="3"/>
        <v>27253.570000000003</v>
      </c>
      <c r="AB13" s="146">
        <f>AB9*1.77</f>
        <v>2083.29</v>
      </c>
      <c r="AC13" s="127">
        <f>AC9*1.95</f>
        <v>2191.7999999999997</v>
      </c>
      <c r="AD13" s="127">
        <f>AD9*2.01</f>
        <v>1782.87</v>
      </c>
      <c r="AE13" s="127">
        <f>AE9*1.95</f>
        <v>2648.1</v>
      </c>
      <c r="AF13" s="127">
        <f>AF9*1.81</f>
        <v>2745.77</v>
      </c>
      <c r="AG13" s="127">
        <f>AG9*1.71</f>
        <v>2647.08</v>
      </c>
      <c r="AH13" s="127">
        <f>AH9*1.98</f>
        <v>3116.52</v>
      </c>
      <c r="AI13" s="127">
        <f>AI9*1.78</f>
        <v>3113.2200000000003</v>
      </c>
      <c r="AJ13" s="127">
        <f>AJ9*1.75</f>
        <v>2546.25</v>
      </c>
      <c r="AK13" s="127">
        <f>AK9*1.9</f>
        <v>2576.4</v>
      </c>
      <c r="AL13" s="127">
        <f>AL9*1.68</f>
        <v>3353.2799999999997</v>
      </c>
      <c r="AM13" s="147">
        <f>AM9*1.77</f>
        <v>2798.37</v>
      </c>
      <c r="AN13" s="147">
        <f t="shared" si="5"/>
        <v>31602.95</v>
      </c>
      <c r="AO13" s="146">
        <f>AO9*1.93</f>
        <v>2586.1999999999998</v>
      </c>
      <c r="AP13" s="127">
        <f>AP9*2.2</f>
        <v>3355.0000000000005</v>
      </c>
      <c r="AQ13" s="127">
        <f>AQ9*2.14</f>
        <v>4513.26</v>
      </c>
      <c r="AR13" s="127">
        <f>AR9*1.99</f>
        <v>2485.5099999999998</v>
      </c>
      <c r="AS13" s="127">
        <f>AS9*2.16</f>
        <v>2946.2400000000002</v>
      </c>
      <c r="AT13" s="127">
        <f>AT9*1.96</f>
        <v>2706.7599999999998</v>
      </c>
      <c r="AU13" s="127">
        <f>AU9*2.18</f>
        <v>5290.8600000000006</v>
      </c>
      <c r="AV13" s="127">
        <f>AV9*1.67</f>
        <v>6017.0099999999993</v>
      </c>
      <c r="AW13" s="127">
        <f>AW9*2.15</f>
        <v>5119.1499999999996</v>
      </c>
      <c r="AX13" s="127">
        <f>AX9*2.01</f>
        <v>5704.3799999999992</v>
      </c>
      <c r="AY13" s="127">
        <f>AY9*1.66</f>
        <v>4702.78</v>
      </c>
      <c r="AZ13" s="147">
        <f>AZ9*2.75</f>
        <v>6030.75</v>
      </c>
      <c r="BA13" s="147">
        <f t="shared" si="8"/>
        <v>51457.899999999994</v>
      </c>
      <c r="BB13" s="146">
        <v>2094</v>
      </c>
      <c r="BC13" s="127">
        <v>3584</v>
      </c>
      <c r="BD13" s="127">
        <v>2864</v>
      </c>
      <c r="BE13" s="127">
        <v>2304</v>
      </c>
      <c r="BF13" s="127">
        <v>2523</v>
      </c>
      <c r="BG13" s="127">
        <v>3668</v>
      </c>
      <c r="BH13" s="127">
        <v>4342</v>
      </c>
      <c r="BI13" s="127">
        <v>5590</v>
      </c>
      <c r="BJ13" s="127">
        <v>3835</v>
      </c>
      <c r="BK13" s="127">
        <v>4559</v>
      </c>
      <c r="BL13" s="127">
        <v>5797</v>
      </c>
      <c r="BM13" s="147">
        <v>2466</v>
      </c>
      <c r="BN13" s="147">
        <f t="shared" si="9"/>
        <v>43626</v>
      </c>
      <c r="BO13" s="146">
        <v>9517</v>
      </c>
      <c r="BP13" s="127">
        <v>6421</v>
      </c>
      <c r="BQ13" s="127">
        <v>2700</v>
      </c>
      <c r="BR13" s="127">
        <v>2477</v>
      </c>
      <c r="BS13" s="127">
        <v>2666</v>
      </c>
      <c r="BT13" s="127">
        <v>4249</v>
      </c>
      <c r="BU13" s="127">
        <v>5082</v>
      </c>
      <c r="BV13" s="127">
        <v>4730</v>
      </c>
      <c r="BW13" s="127">
        <v>3018</v>
      </c>
      <c r="BX13" s="127">
        <v>3179</v>
      </c>
      <c r="BY13" s="127">
        <v>3228</v>
      </c>
      <c r="BZ13" s="147">
        <v>3128</v>
      </c>
      <c r="CA13" s="147">
        <f t="shared" si="11"/>
        <v>50395</v>
      </c>
      <c r="CB13" s="146">
        <v>3438</v>
      </c>
      <c r="CC13" s="127">
        <v>3277</v>
      </c>
      <c r="CD13" s="127">
        <v>2687</v>
      </c>
      <c r="CE13" s="127">
        <v>4403</v>
      </c>
      <c r="CF13" s="127">
        <v>2826</v>
      </c>
      <c r="CG13" s="127">
        <v>3313</v>
      </c>
      <c r="CH13" s="127">
        <v>4004</v>
      </c>
      <c r="CI13" s="127">
        <v>3578</v>
      </c>
      <c r="CJ13" s="127">
        <v>3065</v>
      </c>
      <c r="CK13" s="127">
        <v>3877</v>
      </c>
      <c r="CL13" s="127">
        <v>3257</v>
      </c>
      <c r="CM13" s="147">
        <v>2953</v>
      </c>
      <c r="CN13" s="147">
        <f t="shared" si="13"/>
        <v>40678</v>
      </c>
      <c r="CO13" s="146">
        <v>3014</v>
      </c>
      <c r="CP13" s="127">
        <v>2791</v>
      </c>
      <c r="CQ13" s="127">
        <v>2724</v>
      </c>
      <c r="CR13" s="127">
        <v>2415</v>
      </c>
      <c r="CS13" s="127">
        <v>4144</v>
      </c>
      <c r="CT13" s="127">
        <v>3560</v>
      </c>
      <c r="CU13" s="127">
        <v>4630</v>
      </c>
      <c r="CV13" s="127">
        <v>4800</v>
      </c>
      <c r="CW13" s="127">
        <v>4076</v>
      </c>
      <c r="CX13" s="127">
        <v>4420</v>
      </c>
      <c r="CY13" s="127">
        <v>3849</v>
      </c>
      <c r="CZ13" s="147">
        <v>3064</v>
      </c>
      <c r="DA13" s="147">
        <f t="shared" si="14"/>
        <v>43487</v>
      </c>
      <c r="DB13" s="146">
        <v>3326</v>
      </c>
      <c r="DC13" s="127">
        <v>3054</v>
      </c>
      <c r="DD13" s="127">
        <v>2503</v>
      </c>
      <c r="DE13" s="127">
        <v>1910</v>
      </c>
      <c r="DF13" s="127">
        <v>3067</v>
      </c>
      <c r="DG13" s="127">
        <v>2612</v>
      </c>
      <c r="DH13" s="127">
        <v>4665</v>
      </c>
      <c r="DI13" s="127">
        <v>4126</v>
      </c>
      <c r="DJ13" s="127">
        <v>2951</v>
      </c>
      <c r="DK13" s="127">
        <v>3516</v>
      </c>
      <c r="DL13" s="127">
        <v>2910</v>
      </c>
      <c r="DM13" s="147">
        <v>2272</v>
      </c>
      <c r="DN13" s="147">
        <f>SUM(DB13:DM13)</f>
        <v>36912</v>
      </c>
      <c r="DO13" s="146">
        <v>6136</v>
      </c>
      <c r="DP13" s="127">
        <v>5501</v>
      </c>
      <c r="DQ13" s="127">
        <v>4912</v>
      </c>
      <c r="DR13" s="127"/>
      <c r="DS13" s="127">
        <v>704</v>
      </c>
      <c r="DT13" s="127">
        <v>5</v>
      </c>
      <c r="DU13" s="127">
        <v>282</v>
      </c>
      <c r="DV13" s="127">
        <v>277</v>
      </c>
      <c r="DW13" s="127">
        <v>233</v>
      </c>
      <c r="DX13" s="127">
        <v>825</v>
      </c>
      <c r="DY13" s="127">
        <v>823</v>
      </c>
      <c r="DZ13" s="147">
        <v>1077</v>
      </c>
      <c r="EA13" s="147">
        <f t="shared" si="15"/>
        <v>20775</v>
      </c>
      <c r="EB13" s="146">
        <v>1117</v>
      </c>
      <c r="EC13" s="127">
        <v>1435</v>
      </c>
      <c r="ED13" s="127">
        <v>983</v>
      </c>
      <c r="EE13" s="127">
        <v>2044</v>
      </c>
      <c r="EF13" s="127">
        <v>2004</v>
      </c>
      <c r="EG13" s="127">
        <v>1757</v>
      </c>
      <c r="EH13" s="127">
        <v>2524</v>
      </c>
      <c r="EI13" s="127">
        <v>2788</v>
      </c>
      <c r="EJ13" s="127">
        <v>2183</v>
      </c>
      <c r="EK13" s="127">
        <v>2004</v>
      </c>
      <c r="EL13" s="127">
        <v>2346</v>
      </c>
      <c r="EM13" s="147">
        <v>3816</v>
      </c>
      <c r="EN13" s="147">
        <f t="shared" si="17"/>
        <v>25001</v>
      </c>
      <c r="EO13" s="146">
        <v>3293</v>
      </c>
      <c r="EP13" s="127">
        <v>3063</v>
      </c>
      <c r="EQ13" s="127">
        <v>2955</v>
      </c>
      <c r="ER13" s="127">
        <v>3356</v>
      </c>
      <c r="ES13" s="127">
        <v>3394</v>
      </c>
      <c r="ET13" s="127">
        <v>4211</v>
      </c>
      <c r="EU13" s="127">
        <v>5440</v>
      </c>
      <c r="EV13" s="127">
        <v>5020</v>
      </c>
      <c r="EW13" s="127">
        <v>2783</v>
      </c>
      <c r="EX13" s="127">
        <v>3452</v>
      </c>
      <c r="EY13" s="127">
        <v>4096</v>
      </c>
      <c r="EZ13" s="147">
        <v>5456</v>
      </c>
      <c r="FA13" s="147">
        <f t="shared" si="19"/>
        <v>46519</v>
      </c>
      <c r="FB13" s="146">
        <v>4489</v>
      </c>
      <c r="FC13" s="127">
        <v>4504</v>
      </c>
      <c r="FD13" s="127">
        <v>5408</v>
      </c>
      <c r="FE13" s="127">
        <v>6396</v>
      </c>
      <c r="FF13" s="127">
        <v>4498</v>
      </c>
      <c r="FG13" s="127">
        <v>6204</v>
      </c>
      <c r="FH13" s="127">
        <v>8883</v>
      </c>
      <c r="FI13" s="127">
        <v>6575</v>
      </c>
      <c r="FJ13" s="127">
        <v>5521</v>
      </c>
      <c r="FK13" s="127">
        <v>4747</v>
      </c>
      <c r="FL13" s="127">
        <v>8547</v>
      </c>
      <c r="FM13" s="147">
        <v>3881</v>
      </c>
      <c r="FN13" s="147">
        <f t="shared" si="22"/>
        <v>69653</v>
      </c>
      <c r="FO13" s="146">
        <v>6126</v>
      </c>
      <c r="FP13" s="127">
        <v>3296</v>
      </c>
      <c r="FQ13" s="127">
        <v>2870</v>
      </c>
      <c r="FR13" s="127">
        <v>5206</v>
      </c>
      <c r="FS13" s="127">
        <v>5992</v>
      </c>
      <c r="FT13" s="127">
        <v>4901</v>
      </c>
      <c r="FU13" s="127">
        <v>4778</v>
      </c>
      <c r="FV13" s="127">
        <v>4202</v>
      </c>
      <c r="FW13" s="127">
        <v>4657</v>
      </c>
      <c r="FX13" s="127">
        <v>3216</v>
      </c>
      <c r="FY13" s="127">
        <v>5503</v>
      </c>
      <c r="FZ13" s="147">
        <v>3891</v>
      </c>
      <c r="GA13" s="147">
        <f t="shared" si="24"/>
        <v>54638</v>
      </c>
      <c r="GB13" s="146">
        <v>3732</v>
      </c>
      <c r="GC13" s="127">
        <v>4199</v>
      </c>
      <c r="GD13" s="127">
        <v>3772</v>
      </c>
      <c r="GE13" s="127">
        <v>3978</v>
      </c>
      <c r="GF13" s="127">
        <v>4490</v>
      </c>
      <c r="GG13" s="127">
        <v>5403</v>
      </c>
      <c r="GH13" s="127">
        <v>4822</v>
      </c>
      <c r="GI13" s="127">
        <v>4405</v>
      </c>
      <c r="GJ13" s="127">
        <v>3692</v>
      </c>
      <c r="GK13" s="127">
        <v>3807</v>
      </c>
      <c r="GL13" s="127">
        <v>4255</v>
      </c>
      <c r="GM13" s="147">
        <v>3986</v>
      </c>
      <c r="GN13" s="147">
        <f t="shared" si="45"/>
        <v>50541</v>
      </c>
      <c r="GO13" s="146"/>
      <c r="GP13" s="127"/>
      <c r="GQ13" s="127"/>
      <c r="GR13" s="127"/>
      <c r="GS13" s="127"/>
      <c r="GT13" s="127"/>
      <c r="GU13" s="127"/>
      <c r="GV13" s="127"/>
      <c r="GW13" s="127"/>
      <c r="GX13" s="127"/>
      <c r="GY13" s="127"/>
      <c r="GZ13" s="147"/>
      <c r="HA13" s="147">
        <f t="shared" si="27"/>
        <v>0</v>
      </c>
      <c r="HC13" s="152">
        <f t="shared" si="29"/>
        <v>-100</v>
      </c>
      <c r="HD13" s="152">
        <f t="shared" si="30"/>
        <v>-100</v>
      </c>
      <c r="HE13" s="92">
        <f t="shared" si="31"/>
        <v>45244</v>
      </c>
      <c r="HF13" s="92">
        <f t="shared" si="32"/>
        <v>0</v>
      </c>
      <c r="HG13" s="66"/>
    </row>
    <row r="14" spans="1:216" ht="13.9" customHeight="1" x14ac:dyDescent="0.2">
      <c r="A14" s="74"/>
      <c r="B14" s="151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50"/>
      <c r="N14" s="150"/>
      <c r="O14" s="151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50"/>
      <c r="AA14" s="150"/>
      <c r="AB14" s="151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50"/>
      <c r="AN14" s="150"/>
      <c r="AO14" s="151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50"/>
      <c r="BA14" s="150"/>
      <c r="BB14" s="151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50"/>
      <c r="BN14" s="150"/>
      <c r="BO14" s="151"/>
      <c r="BP14" s="149"/>
      <c r="BQ14" s="149"/>
      <c r="BR14" s="149"/>
      <c r="BS14" s="149"/>
      <c r="BT14" s="149"/>
      <c r="BU14" s="149"/>
      <c r="BV14" s="149"/>
      <c r="BW14" s="149"/>
      <c r="BX14" s="149"/>
      <c r="BY14" s="149"/>
      <c r="BZ14" s="150"/>
      <c r="CA14" s="150"/>
      <c r="CB14" s="151"/>
      <c r="CC14" s="149"/>
      <c r="CD14" s="149"/>
      <c r="CE14" s="149"/>
      <c r="CF14" s="149"/>
      <c r="CG14" s="149"/>
      <c r="CH14" s="149"/>
      <c r="CI14" s="149"/>
      <c r="CJ14" s="149"/>
      <c r="CK14" s="149"/>
      <c r="CL14" s="149"/>
      <c r="CM14" s="150"/>
      <c r="CN14" s="150"/>
      <c r="CO14" s="151"/>
      <c r="CP14" s="149"/>
      <c r="CQ14" s="149"/>
      <c r="CR14" s="149"/>
      <c r="CS14" s="149"/>
      <c r="CT14" s="149"/>
      <c r="CU14" s="149"/>
      <c r="CV14" s="149"/>
      <c r="CW14" s="149"/>
      <c r="CX14" s="149"/>
      <c r="CY14" s="149"/>
      <c r="CZ14" s="150"/>
      <c r="DA14" s="150"/>
      <c r="DB14" s="151"/>
      <c r="DC14" s="149"/>
      <c r="DD14" s="149"/>
      <c r="DE14" s="149"/>
      <c r="DF14" s="149"/>
      <c r="DG14" s="149"/>
      <c r="DH14" s="149"/>
      <c r="DI14" s="149"/>
      <c r="DJ14" s="149"/>
      <c r="DK14" s="149"/>
      <c r="DL14" s="149"/>
      <c r="DM14" s="150"/>
      <c r="DN14" s="150"/>
      <c r="DO14" s="151"/>
      <c r="DP14" s="149"/>
      <c r="DQ14" s="149"/>
      <c r="DR14" s="149"/>
      <c r="DS14" s="149"/>
      <c r="DT14" s="149"/>
      <c r="DU14" s="149"/>
      <c r="DV14" s="149"/>
      <c r="DW14" s="149"/>
      <c r="DX14" s="149"/>
      <c r="DY14" s="149"/>
      <c r="DZ14" s="150"/>
      <c r="EA14" s="150"/>
      <c r="EB14" s="151"/>
      <c r="EC14" s="149"/>
      <c r="ED14" s="149"/>
      <c r="EE14" s="149"/>
      <c r="EF14" s="149"/>
      <c r="EG14" s="149"/>
      <c r="EH14" s="149"/>
      <c r="EI14" s="149"/>
      <c r="EJ14" s="149"/>
      <c r="EK14" s="149"/>
      <c r="EL14" s="149"/>
      <c r="EM14" s="150"/>
      <c r="EN14" s="150"/>
      <c r="EO14" s="151"/>
      <c r="EP14" s="149"/>
      <c r="EQ14" s="149"/>
      <c r="ER14" s="149"/>
      <c r="ES14" s="149"/>
      <c r="ET14" s="149"/>
      <c r="EU14" s="149"/>
      <c r="EV14" s="149"/>
      <c r="EW14" s="149"/>
      <c r="EX14" s="149"/>
      <c r="EY14" s="149"/>
      <c r="EZ14" s="150"/>
      <c r="FA14" s="150"/>
      <c r="FB14" s="151"/>
      <c r="FC14" s="149"/>
      <c r="FD14" s="149"/>
      <c r="FE14" s="149"/>
      <c r="FF14" s="149"/>
      <c r="FG14" s="149"/>
      <c r="FH14" s="149"/>
      <c r="FI14" s="149"/>
      <c r="FJ14" s="149"/>
      <c r="FK14" s="149"/>
      <c r="FL14" s="149"/>
      <c r="FM14" s="150"/>
      <c r="FN14" s="150"/>
      <c r="FO14" s="151"/>
      <c r="FP14" s="149"/>
      <c r="FQ14" s="149"/>
      <c r="FR14" s="149"/>
      <c r="FS14" s="149"/>
      <c r="FT14" s="149"/>
      <c r="FU14" s="149"/>
      <c r="FV14" s="149"/>
      <c r="FW14" s="149"/>
      <c r="FX14" s="149"/>
      <c r="FY14" s="149"/>
      <c r="FZ14" s="150"/>
      <c r="GA14" s="150"/>
      <c r="GB14" s="151"/>
      <c r="GC14" s="149"/>
      <c r="GD14" s="149"/>
      <c r="GE14" s="149"/>
      <c r="GF14" s="149"/>
      <c r="GG14" s="149"/>
      <c r="GH14" s="149"/>
      <c r="GI14" s="149"/>
      <c r="GJ14" s="149"/>
      <c r="GK14" s="149"/>
      <c r="GL14" s="149"/>
      <c r="GM14" s="150"/>
      <c r="GN14" s="150"/>
      <c r="GO14" s="151"/>
      <c r="GP14" s="149"/>
      <c r="GQ14" s="149"/>
      <c r="GR14" s="149"/>
      <c r="GS14" s="149"/>
      <c r="GT14" s="149"/>
      <c r="GU14" s="149"/>
      <c r="GV14" s="149"/>
      <c r="GW14" s="149"/>
      <c r="GX14" s="149"/>
      <c r="GY14" s="149"/>
      <c r="GZ14" s="150"/>
      <c r="HA14" s="150"/>
      <c r="HC14" s="153"/>
      <c r="HD14" s="153"/>
      <c r="HE14" s="91"/>
      <c r="HF14" s="91"/>
      <c r="HG14" s="66"/>
    </row>
    <row r="15" spans="1:216" ht="13.9" customHeight="1" x14ac:dyDescent="0.2">
      <c r="A15" s="62" t="s">
        <v>228</v>
      </c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CB15" s="127"/>
      <c r="CC15" s="127"/>
      <c r="CD15" s="127"/>
      <c r="CE15" s="127"/>
      <c r="CF15" s="127"/>
      <c r="CG15" s="127"/>
      <c r="CH15" s="127"/>
      <c r="CI15" s="127"/>
      <c r="CJ15" s="127"/>
      <c r="CK15" s="127"/>
      <c r="CL15" s="127"/>
      <c r="CM15" s="127"/>
      <c r="CN15" s="127"/>
      <c r="CO15" s="127"/>
      <c r="CP15" s="127"/>
      <c r="CQ15" s="127"/>
      <c r="CR15" s="127"/>
      <c r="CS15" s="127"/>
      <c r="CT15" s="127"/>
      <c r="CU15" s="127"/>
      <c r="CV15" s="127"/>
      <c r="CW15" s="127"/>
      <c r="CX15" s="127"/>
      <c r="CY15" s="127"/>
      <c r="CZ15" s="127"/>
      <c r="DA15" s="127"/>
      <c r="DB15" s="127"/>
      <c r="DC15" s="127"/>
      <c r="DD15" s="127"/>
      <c r="DE15" s="127"/>
      <c r="DF15" s="127"/>
      <c r="DG15" s="127"/>
      <c r="DH15" s="127"/>
      <c r="DI15" s="127"/>
      <c r="DJ15" s="127"/>
      <c r="DK15" s="127"/>
      <c r="DL15" s="127"/>
      <c r="DM15" s="127"/>
      <c r="DN15" s="127"/>
      <c r="DO15" s="127"/>
      <c r="DP15" s="127"/>
      <c r="DQ15" s="127"/>
      <c r="DR15" s="127"/>
      <c r="DS15" s="127"/>
      <c r="DT15" s="127"/>
      <c r="DU15" s="127"/>
      <c r="DV15" s="127"/>
      <c r="DW15" s="127"/>
      <c r="DX15" s="127"/>
      <c r="DY15" s="127"/>
      <c r="DZ15" s="127"/>
      <c r="EA15" s="127"/>
      <c r="EB15" s="127"/>
      <c r="EC15" s="127"/>
      <c r="ED15" s="127"/>
      <c r="EE15" s="127"/>
      <c r="EF15" s="127"/>
      <c r="EG15" s="127"/>
      <c r="EH15" s="127"/>
      <c r="EI15" s="127"/>
      <c r="EJ15" s="127"/>
      <c r="EK15" s="127"/>
      <c r="EL15" s="127"/>
      <c r="EM15" s="127"/>
      <c r="EN15" s="127"/>
      <c r="EO15" s="127"/>
      <c r="EP15" s="127"/>
      <c r="EQ15" s="127"/>
      <c r="ER15" s="127"/>
      <c r="ES15" s="127"/>
      <c r="ET15" s="127"/>
      <c r="EU15" s="127"/>
      <c r="EV15" s="127"/>
      <c r="EW15" s="127"/>
      <c r="EX15" s="127"/>
      <c r="EY15" s="127"/>
      <c r="EZ15" s="127"/>
      <c r="FA15" s="127"/>
      <c r="FB15" s="127"/>
      <c r="FC15" s="127"/>
      <c r="FD15" s="127"/>
      <c r="FE15" s="127"/>
      <c r="FF15" s="127"/>
      <c r="FG15" s="127"/>
      <c r="FH15" s="127"/>
      <c r="FI15" s="127"/>
      <c r="FJ15" s="127"/>
      <c r="FK15" s="127"/>
      <c r="FL15" s="127"/>
      <c r="FM15" s="127"/>
      <c r="FN15" s="127"/>
      <c r="FO15" s="127"/>
      <c r="FP15" s="127"/>
      <c r="FQ15" s="127"/>
      <c r="FR15" s="127"/>
      <c r="FS15" s="127"/>
      <c r="FT15" s="127"/>
      <c r="FU15" s="127"/>
      <c r="FV15" s="127"/>
      <c r="FW15" s="127"/>
      <c r="FX15" s="127"/>
      <c r="FY15" s="127"/>
      <c r="FZ15" s="127"/>
      <c r="GA15" s="127"/>
      <c r="GB15" s="127"/>
      <c r="GC15" s="127"/>
      <c r="GD15" s="127"/>
      <c r="GE15" s="127"/>
      <c r="GF15" s="127"/>
      <c r="GG15" s="127"/>
      <c r="GH15" s="127"/>
      <c r="GI15" s="127"/>
      <c r="GJ15" s="127"/>
      <c r="GK15" s="127"/>
      <c r="GL15" s="127"/>
      <c r="GM15" s="127"/>
      <c r="GN15" s="127"/>
      <c r="GO15" s="127"/>
      <c r="GP15" s="127"/>
      <c r="GQ15" s="127"/>
      <c r="GR15" s="127"/>
      <c r="GS15" s="127"/>
      <c r="GT15" s="127"/>
      <c r="GU15" s="127"/>
      <c r="GV15" s="127"/>
      <c r="GW15" s="127"/>
      <c r="GX15" s="127"/>
      <c r="GY15" s="127"/>
      <c r="GZ15" s="127"/>
      <c r="HA15" s="127"/>
      <c r="HC15" s="153"/>
      <c r="HD15" s="153"/>
      <c r="HE15" s="91"/>
      <c r="HF15" s="91"/>
      <c r="HH15" s="154"/>
    </row>
    <row r="16" spans="1:216" ht="13.9" customHeight="1" x14ac:dyDescent="0.2">
      <c r="A16" s="62" t="s">
        <v>250</v>
      </c>
    </row>
    <row r="17" spans="2:214" ht="13.9" customHeight="1" x14ac:dyDescent="0.2">
      <c r="CX17" s="153"/>
      <c r="CY17" s="153"/>
      <c r="CZ17" s="153"/>
      <c r="DA17" s="153"/>
      <c r="DB17" s="153">
        <f t="shared" ref="DB17:EG17" si="46">IFERROR(((DB7/CO7)-1)*100,"-")</f>
        <v>2.5455873675929386</v>
      </c>
      <c r="DC17" s="153">
        <f t="shared" si="46"/>
        <v>-6.8595554218226944</v>
      </c>
      <c r="DD17" s="153">
        <f t="shared" si="46"/>
        <v>2.636496587585313</v>
      </c>
      <c r="DE17" s="153">
        <f t="shared" si="46"/>
        <v>1.1870029175492514</v>
      </c>
      <c r="DF17" s="153">
        <f t="shared" si="46"/>
        <v>2.2370859556533951</v>
      </c>
      <c r="DG17" s="153">
        <f t="shared" si="46"/>
        <v>-0.48653295670328944</v>
      </c>
      <c r="DH17" s="153">
        <f t="shared" si="46"/>
        <v>-4.8923043619439337</v>
      </c>
      <c r="DI17" s="153">
        <f t="shared" si="46"/>
        <v>-4.5900475369948683</v>
      </c>
      <c r="DJ17" s="153">
        <f t="shared" si="46"/>
        <v>-6.4120697784064706E-2</v>
      </c>
      <c r="DK17" s="153">
        <f t="shared" si="46"/>
        <v>0.83645980687618859</v>
      </c>
      <c r="DL17" s="153">
        <f t="shared" si="46"/>
        <v>2.7974247370330163</v>
      </c>
      <c r="DM17" s="153">
        <f t="shared" si="46"/>
        <v>2.6444122689359251</v>
      </c>
      <c r="DN17" s="153">
        <f t="shared" si="46"/>
        <v>-0.20952961413756022</v>
      </c>
      <c r="DO17" s="153">
        <f t="shared" si="46"/>
        <v>15.481637760181211</v>
      </c>
      <c r="DP17" s="153">
        <f t="shared" si="46"/>
        <v>28.451435090305189</v>
      </c>
      <c r="DQ17" s="153">
        <f t="shared" si="46"/>
        <v>-66.902830001979027</v>
      </c>
      <c r="DR17" s="153">
        <f t="shared" si="46"/>
        <v>-99.78473813097402</v>
      </c>
      <c r="DS17" s="153">
        <f t="shared" si="46"/>
        <v>-99.190261048795975</v>
      </c>
      <c r="DT17" s="153">
        <f t="shared" si="46"/>
        <v>-99.142743221690594</v>
      </c>
      <c r="DU17" s="153">
        <f t="shared" si="46"/>
        <v>-91.603125829824364</v>
      </c>
      <c r="DV17" s="153">
        <f t="shared" si="46"/>
        <v>-88.380767415689547</v>
      </c>
      <c r="DW17" s="153">
        <f t="shared" si="46"/>
        <v>-60.218716385801365</v>
      </c>
      <c r="DX17" s="153">
        <f t="shared" si="46"/>
        <v>-43.351195922101681</v>
      </c>
      <c r="DY17" s="153">
        <f t="shared" si="46"/>
        <v>-45.840426939531596</v>
      </c>
      <c r="DZ17" s="153">
        <f t="shared" si="46"/>
        <v>-24.730429063468161</v>
      </c>
      <c r="EA17" s="153">
        <f t="shared" si="46"/>
        <v>-56.104657696907502</v>
      </c>
      <c r="EB17" s="153">
        <f t="shared" si="46"/>
        <v>-32.770756552411385</v>
      </c>
      <c r="EC17" s="153">
        <f t="shared" si="46"/>
        <v>-50.130074272016344</v>
      </c>
      <c r="ED17" s="153">
        <f t="shared" si="46"/>
        <v>118.21633580483137</v>
      </c>
      <c r="EE17" s="153">
        <f t="shared" si="46"/>
        <v>32455.045871559632</v>
      </c>
      <c r="EF17" s="153">
        <f t="shared" si="46"/>
        <v>8131.590909090909</v>
      </c>
      <c r="EG17" s="153">
        <f t="shared" si="46"/>
        <v>8095.0166112956804</v>
      </c>
      <c r="EH17" s="153">
        <f t="shared" ref="EH17:FM17" si="47">IFERROR(((EH7/DU7)-1)*100,"-")</f>
        <v>1062.7287101874861</v>
      </c>
      <c r="EI17" s="153">
        <f t="shared" si="47"/>
        <v>720.69046317269385</v>
      </c>
      <c r="EJ17" s="153">
        <f t="shared" si="47"/>
        <v>129.66011242617586</v>
      </c>
      <c r="EK17" s="153">
        <f t="shared" si="47"/>
        <v>66.72357836125083</v>
      </c>
      <c r="EL17" s="153">
        <f t="shared" si="47"/>
        <v>57.042574676699573</v>
      </c>
      <c r="EM17" s="153">
        <f t="shared" si="47"/>
        <v>5.6267748945123319</v>
      </c>
      <c r="EN17" s="153">
        <f t="shared" si="47"/>
        <v>83.706377178051028</v>
      </c>
      <c r="EO17" s="153">
        <f t="shared" si="47"/>
        <v>17.681104863186125</v>
      </c>
      <c r="EP17" s="153">
        <f t="shared" si="47"/>
        <v>50.570509991804833</v>
      </c>
      <c r="EQ17" s="153">
        <f t="shared" si="47"/>
        <v>26.068311663401332</v>
      </c>
      <c r="ER17" s="153">
        <f t="shared" si="47"/>
        <v>30.286036353388756</v>
      </c>
      <c r="ES17" s="153">
        <f t="shared" si="47"/>
        <v>29.501090587813028</v>
      </c>
      <c r="ET17" s="153">
        <f t="shared" si="47"/>
        <v>27.796921663220765</v>
      </c>
      <c r="EU17" s="153">
        <f t="shared" si="47"/>
        <v>-1.8485060418852228</v>
      </c>
      <c r="EV17" s="153">
        <f t="shared" si="47"/>
        <v>0.25315732871431518</v>
      </c>
      <c r="EW17" s="153">
        <f t="shared" si="47"/>
        <v>-5.1710783149328199</v>
      </c>
      <c r="EX17" s="153">
        <f t="shared" si="47"/>
        <v>-2.2049597756292005</v>
      </c>
      <c r="EY17" s="153">
        <f t="shared" si="47"/>
        <v>-8.0169257734310939</v>
      </c>
      <c r="EZ17" s="153">
        <f t="shared" si="47"/>
        <v>-10.311197222191982</v>
      </c>
      <c r="FA17" s="153">
        <f t="shared" si="47"/>
        <v>9.933024986831839</v>
      </c>
      <c r="FB17" s="153">
        <f t="shared" si="47"/>
        <v>-9.6495261705785929</v>
      </c>
      <c r="FC17" s="153">
        <f t="shared" si="47"/>
        <v>-2.6815993301235075</v>
      </c>
      <c r="FD17" s="153">
        <f t="shared" si="47"/>
        <v>-6.9781342375239142</v>
      </c>
      <c r="FE17" s="153">
        <f t="shared" si="47"/>
        <v>-5.8974303512718489</v>
      </c>
      <c r="FF17" s="153">
        <f t="shared" si="47"/>
        <v>-9.4480214907044164</v>
      </c>
      <c r="FG17" s="153">
        <f t="shared" si="47"/>
        <v>-5.3388459464317801</v>
      </c>
      <c r="FH17" s="153">
        <f t="shared" si="47"/>
        <v>0.63536048295314007</v>
      </c>
      <c r="FI17" s="153">
        <f t="shared" si="47"/>
        <v>-6.8236835360123038</v>
      </c>
      <c r="FJ17" s="153">
        <f t="shared" si="47"/>
        <v>-10.854933565671965</v>
      </c>
      <c r="FK17" s="153">
        <f t="shared" si="47"/>
        <v>-25.665553480123016</v>
      </c>
      <c r="FL17" s="153">
        <f t="shared" si="47"/>
        <v>-13.613557181675706</v>
      </c>
      <c r="FM17" s="153">
        <f t="shared" si="47"/>
        <v>3.6068836622248135</v>
      </c>
      <c r="FN17" s="153">
        <f t="shared" ref="FN17:GA17" si="48">IFERROR(((FN7/FA7)-1)*100,"-")</f>
        <v>-7.94086016804666</v>
      </c>
      <c r="FO17" s="153">
        <f t="shared" si="48"/>
        <v>-6.2666651914629945</v>
      </c>
      <c r="FP17" s="153">
        <f t="shared" si="48"/>
        <v>-11.857643743681301</v>
      </c>
      <c r="FQ17" s="153">
        <f t="shared" si="48"/>
        <v>-9.8533792861732579</v>
      </c>
      <c r="FR17" s="153">
        <f t="shared" si="48"/>
        <v>-14.378641780924251</v>
      </c>
      <c r="FS17" s="153">
        <f t="shared" si="48"/>
        <v>-2.7853316852080812</v>
      </c>
      <c r="FT17" s="153">
        <f t="shared" si="48"/>
        <v>-2.5234020687652237</v>
      </c>
      <c r="FU17" s="153">
        <f t="shared" si="48"/>
        <v>4.8216586190958477</v>
      </c>
      <c r="FV17" s="153">
        <f t="shared" si="48"/>
        <v>5.9510346303145223</v>
      </c>
      <c r="FW17" s="153">
        <f t="shared" si="48"/>
        <v>9.7882789879417906</v>
      </c>
      <c r="FX17" s="153">
        <f t="shared" si="48"/>
        <v>21.605157622214332</v>
      </c>
      <c r="FY17" s="153">
        <f t="shared" si="48"/>
        <v>13.665374525235908</v>
      </c>
      <c r="FZ17" s="153">
        <f t="shared" si="48"/>
        <v>-0.36546796298465578</v>
      </c>
      <c r="GA17" s="153">
        <f t="shared" si="48"/>
        <v>0.3494132440821085</v>
      </c>
      <c r="GB17" s="153">
        <f t="shared" ref="GB17:GM19" si="49">IFERROR(((GB7/FB7)-1)*100,"-")</f>
        <v>4.1158182401557886</v>
      </c>
      <c r="GC17" s="153">
        <f t="shared" si="49"/>
        <v>-7.4738110090559084</v>
      </c>
      <c r="GD17" s="153">
        <f t="shared" si="49"/>
        <v>-7.2656113090717955</v>
      </c>
      <c r="GE17" s="153">
        <f t="shared" si="49"/>
        <v>-10.083782510257322</v>
      </c>
      <c r="GF17" s="153">
        <f t="shared" si="49"/>
        <v>6.6207546059214861</v>
      </c>
      <c r="GG17" s="153">
        <f t="shared" si="49"/>
        <v>3.6292754853555653</v>
      </c>
      <c r="GH17" s="153">
        <f t="shared" si="49"/>
        <v>8.1367333090758933</v>
      </c>
      <c r="GI17" s="153">
        <f t="shared" si="49"/>
        <v>17.426210634634387</v>
      </c>
      <c r="GJ17" s="153">
        <f t="shared" si="49"/>
        <v>21.420106776782767</v>
      </c>
      <c r="GK17" s="153">
        <f t="shared" si="49"/>
        <v>31.524442865120061</v>
      </c>
      <c r="GL17" s="153">
        <f t="shared" si="49"/>
        <v>27.93505357818762</v>
      </c>
      <c r="GM17" s="153">
        <f t="shared" si="49"/>
        <v>11.587208621295542</v>
      </c>
      <c r="GN17" s="153"/>
      <c r="GO17" s="153">
        <f t="shared" ref="GO17:GZ19" si="50">IFERROR(((GO7/FO7)-1)*100,"-")</f>
        <v>-100</v>
      </c>
      <c r="GP17" s="153">
        <f t="shared" si="50"/>
        <v>-100</v>
      </c>
      <c r="GQ17" s="153">
        <f t="shared" si="50"/>
        <v>-100</v>
      </c>
      <c r="GR17" s="153">
        <f t="shared" si="50"/>
        <v>-100</v>
      </c>
      <c r="GS17" s="153">
        <f t="shared" si="50"/>
        <v>-100</v>
      </c>
      <c r="GT17" s="153">
        <f t="shared" si="50"/>
        <v>-100</v>
      </c>
      <c r="GU17" s="153">
        <f t="shared" si="50"/>
        <v>-100</v>
      </c>
      <c r="GV17" s="153">
        <f t="shared" si="50"/>
        <v>-100</v>
      </c>
      <c r="GW17" s="153">
        <f t="shared" si="50"/>
        <v>-100</v>
      </c>
      <c r="GX17" s="153">
        <f t="shared" si="50"/>
        <v>-100</v>
      </c>
      <c r="GY17" s="153">
        <f t="shared" si="50"/>
        <v>-100</v>
      </c>
      <c r="GZ17" s="153">
        <f t="shared" si="50"/>
        <v>-100</v>
      </c>
      <c r="HA17" s="153"/>
      <c r="HC17" s="153"/>
    </row>
    <row r="18" spans="2:214" ht="13.9" customHeight="1" x14ac:dyDescent="0.2">
      <c r="EB18" s="153">
        <f t="shared" ref="EB18:EK19" si="51">IFERROR(((EB8/DO8)-1)*100,"-")</f>
        <v>-31.682158240761737</v>
      </c>
      <c r="EC18" s="153">
        <f t="shared" si="51"/>
        <v>-49.436299414525578</v>
      </c>
      <c r="ED18" s="153">
        <f t="shared" si="51"/>
        <v>129.05529225908373</v>
      </c>
      <c r="EE18" s="153">
        <f t="shared" si="51"/>
        <v>32093.577981651379</v>
      </c>
      <c r="EF18" s="153">
        <f t="shared" si="51"/>
        <v>9503.48525469169</v>
      </c>
      <c r="EG18" s="153">
        <f t="shared" si="51"/>
        <v>7993.0000000000009</v>
      </c>
      <c r="EH18" s="153">
        <f t="shared" si="51"/>
        <v>1056.9299044151117</v>
      </c>
      <c r="EI18" s="153">
        <f t="shared" si="51"/>
        <v>717.47611150596219</v>
      </c>
      <c r="EJ18" s="153">
        <f t="shared" si="51"/>
        <v>128.43181655662289</v>
      </c>
      <c r="EK18" s="153">
        <f t="shared" si="51"/>
        <v>66.125178427356786</v>
      </c>
      <c r="EL18" s="153">
        <f t="shared" ref="EL18:EU19" si="52">IFERROR(((EL8/DY8)-1)*100,"-")</f>
        <v>56.39229997862931</v>
      </c>
      <c r="EM18" s="153">
        <f t="shared" si="52"/>
        <v>4.092747308775313</v>
      </c>
      <c r="EN18" s="153">
        <f t="shared" si="52"/>
        <v>84.76178485998453</v>
      </c>
      <c r="EO18" s="153">
        <f t="shared" si="52"/>
        <v>16.241200312877769</v>
      </c>
      <c r="EP18" s="153">
        <f t="shared" si="52"/>
        <v>49.523125996810215</v>
      </c>
      <c r="EQ18" s="153">
        <f t="shared" si="52"/>
        <v>24.543423085411618</v>
      </c>
      <c r="ER18" s="153">
        <f t="shared" si="52"/>
        <v>29.206919153059197</v>
      </c>
      <c r="ES18" s="153">
        <f t="shared" si="52"/>
        <v>28.141313754501553</v>
      </c>
      <c r="ET18" s="153">
        <f t="shared" si="52"/>
        <v>26.5538119362412</v>
      </c>
      <c r="EU18" s="153">
        <f t="shared" si="52"/>
        <v>-3.4818188077229473</v>
      </c>
      <c r="EV18" s="153">
        <f t="shared" ref="EV18:FE19" si="53">IFERROR(((EV8/EI8)-1)*100,"-")</f>
        <v>-0.51102717428055389</v>
      </c>
      <c r="EW18" s="153">
        <f t="shared" si="53"/>
        <v>-5.8277855458396814</v>
      </c>
      <c r="EX18" s="153">
        <f t="shared" si="53"/>
        <v>-2.8439073138384785</v>
      </c>
      <c r="EY18" s="153">
        <f t="shared" si="53"/>
        <v>-8.6676827665948419</v>
      </c>
      <c r="EZ18" s="153">
        <f t="shared" si="53"/>
        <v>-11.056316861662452</v>
      </c>
      <c r="FA18" s="153">
        <f t="shared" si="53"/>
        <v>8.9235408753482339</v>
      </c>
      <c r="FB18" s="153">
        <f t="shared" si="53"/>
        <v>-10.474908749821576</v>
      </c>
      <c r="FC18" s="153">
        <f t="shared" si="53"/>
        <v>-3.6991605422875495</v>
      </c>
      <c r="FD18" s="153">
        <f t="shared" si="53"/>
        <v>-8.5680426187021652</v>
      </c>
      <c r="FE18" s="153">
        <f t="shared" si="53"/>
        <v>-7.8970004411116008</v>
      </c>
      <c r="FF18" s="153">
        <f t="shared" ref="FF18:FO19" si="54">IFERROR(((FF8/ES8)-1)*100,"-")</f>
        <v>-10.11078069344139</v>
      </c>
      <c r="FG18" s="153">
        <f t="shared" si="54"/>
        <v>-6.2780706893184934</v>
      </c>
      <c r="FH18" s="153">
        <f t="shared" si="54"/>
        <v>-0.68377984530881841</v>
      </c>
      <c r="FI18" s="153">
        <f t="shared" si="54"/>
        <v>-8.3135899328077087</v>
      </c>
      <c r="FJ18" s="153">
        <f t="shared" si="54"/>
        <v>-11.304280379838005</v>
      </c>
      <c r="FK18" s="153">
        <f t="shared" si="54"/>
        <v>-25.902178301578449</v>
      </c>
      <c r="FL18" s="153">
        <f t="shared" si="54"/>
        <v>-14.488600398209206</v>
      </c>
      <c r="FM18" s="153">
        <f t="shared" si="54"/>
        <v>4.3529956570169892</v>
      </c>
      <c r="FN18" s="153">
        <f t="shared" si="54"/>
        <v>-8.86524600858829</v>
      </c>
      <c r="FO18" s="153">
        <f t="shared" si="54"/>
        <v>-6.3559129008746389</v>
      </c>
      <c r="FP18" s="153">
        <f t="shared" ref="FP18:FY19" si="55">IFERROR(((FP8/FC8)-1)*100,"-")</f>
        <v>-11.193690949569691</v>
      </c>
      <c r="FQ18" s="153">
        <f t="shared" si="55"/>
        <v>-8.4660763388368707</v>
      </c>
      <c r="FR18" s="153">
        <f t="shared" si="55"/>
        <v>-13.252074378285183</v>
      </c>
      <c r="FS18" s="153">
        <f t="shared" si="55"/>
        <v>-3.4706317179869384</v>
      </c>
      <c r="FT18" s="153">
        <f t="shared" si="55"/>
        <v>-1.9110787003275842</v>
      </c>
      <c r="FU18" s="153">
        <f t="shared" si="55"/>
        <v>6.7391750461727851</v>
      </c>
      <c r="FV18" s="153">
        <f t="shared" si="55"/>
        <v>7.9226060618897254</v>
      </c>
      <c r="FW18" s="153">
        <f t="shared" si="55"/>
        <v>9.4531962472047759</v>
      </c>
      <c r="FX18" s="153">
        <f t="shared" si="55"/>
        <v>22.139048533361017</v>
      </c>
      <c r="FY18" s="153">
        <f t="shared" si="55"/>
        <v>13.413189771197853</v>
      </c>
      <c r="FZ18" s="153">
        <f t="shared" ref="FZ18:GA19" si="56">IFERROR(((FZ8/FM8)-1)*100,"-")</f>
        <v>-0.3502164865610391</v>
      </c>
      <c r="GA18" s="153">
        <f t="shared" si="56"/>
        <v>0.99003104633808015</v>
      </c>
      <c r="GB18" s="153">
        <f t="shared" si="49"/>
        <v>5.0678753644314956</v>
      </c>
      <c r="GC18" s="153">
        <f t="shared" si="49"/>
        <v>-7.0423003223198162</v>
      </c>
      <c r="GD18" s="153">
        <f t="shared" si="49"/>
        <v>-6.2069216139934325</v>
      </c>
      <c r="GE18" s="153">
        <f t="shared" si="49"/>
        <v>-8.8494833510937667</v>
      </c>
      <c r="GF18" s="153">
        <f t="shared" si="49"/>
        <v>6.9921595715030094</v>
      </c>
      <c r="GG18" s="153">
        <f t="shared" si="49"/>
        <v>4.340729937146226</v>
      </c>
      <c r="GH18" s="153">
        <f t="shared" si="49"/>
        <v>10.292427662630832</v>
      </c>
      <c r="GI18" s="153">
        <f t="shared" si="49"/>
        <v>19.40461313621249</v>
      </c>
      <c r="GJ18" s="153">
        <f t="shared" si="49"/>
        <v>21.754719102527265</v>
      </c>
      <c r="GK18" s="153">
        <f t="shared" si="49"/>
        <v>31.753609839000529</v>
      </c>
      <c r="GL18" s="153">
        <f t="shared" si="49"/>
        <v>28.969044414535674</v>
      </c>
      <c r="GM18" s="153">
        <f t="shared" si="49"/>
        <v>11.67947995250489</v>
      </c>
      <c r="GN18" s="153"/>
      <c r="GO18" s="153">
        <f t="shared" si="50"/>
        <v>-100</v>
      </c>
      <c r="GP18" s="153">
        <f t="shared" si="50"/>
        <v>-100</v>
      </c>
      <c r="GQ18" s="153">
        <f t="shared" si="50"/>
        <v>-100</v>
      </c>
      <c r="GR18" s="153">
        <f t="shared" si="50"/>
        <v>-100</v>
      </c>
      <c r="GS18" s="153">
        <f t="shared" si="50"/>
        <v>-100</v>
      </c>
      <c r="GT18" s="153">
        <f t="shared" si="50"/>
        <v>-100</v>
      </c>
      <c r="GU18" s="153">
        <f t="shared" si="50"/>
        <v>-100</v>
      </c>
      <c r="GV18" s="153">
        <f t="shared" si="50"/>
        <v>-100</v>
      </c>
      <c r="GW18" s="153">
        <f t="shared" si="50"/>
        <v>-100</v>
      </c>
      <c r="GX18" s="153">
        <f t="shared" si="50"/>
        <v>-100</v>
      </c>
      <c r="GY18" s="153">
        <f t="shared" si="50"/>
        <v>-100</v>
      </c>
      <c r="GZ18" s="153">
        <f t="shared" si="50"/>
        <v>-100</v>
      </c>
      <c r="HA18" s="153"/>
      <c r="HC18" s="153"/>
    </row>
    <row r="19" spans="2:214" ht="13.9" customHeight="1" x14ac:dyDescent="0.2">
      <c r="EB19" s="153">
        <f t="shared" si="51"/>
        <v>-78.595773687798228</v>
      </c>
      <c r="EC19" s="153">
        <f t="shared" si="51"/>
        <v>-76.739870089699963</v>
      </c>
      <c r="ED19" s="153">
        <f t="shared" si="51"/>
        <v>-72.58064516129032</v>
      </c>
      <c r="EE19" s="153" t="str">
        <f t="shared" si="51"/>
        <v>-</v>
      </c>
      <c r="EF19" s="153">
        <f t="shared" si="51"/>
        <v>494.02985074626866</v>
      </c>
      <c r="EG19" s="153">
        <f t="shared" si="51"/>
        <v>38700</v>
      </c>
      <c r="EH19" s="153">
        <f t="shared" si="51"/>
        <v>1834.8484848484848</v>
      </c>
      <c r="EI19" s="153">
        <f t="shared" si="51"/>
        <v>1011.4285714285713</v>
      </c>
      <c r="EJ19" s="153">
        <f t="shared" si="51"/>
        <v>377.40384615384619</v>
      </c>
      <c r="EK19" s="153">
        <f t="shared" si="51"/>
        <v>135.47237076648838</v>
      </c>
      <c r="EL19" s="153">
        <f t="shared" si="52"/>
        <v>126.80776014109347</v>
      </c>
      <c r="EM19" s="153">
        <f t="shared" si="52"/>
        <v>200.88495575221236</v>
      </c>
      <c r="EN19" s="153">
        <f t="shared" si="52"/>
        <v>26.855260608409214</v>
      </c>
      <c r="EO19" s="153">
        <f t="shared" si="52"/>
        <v>211.14649681528661</v>
      </c>
      <c r="EP19" s="153">
        <f t="shared" si="52"/>
        <v>137.89893617021275</v>
      </c>
      <c r="EQ19" s="153">
        <f t="shared" si="52"/>
        <v>250.30425963488844</v>
      </c>
      <c r="ER19" s="153">
        <f t="shared" si="52"/>
        <v>126.3959390862944</v>
      </c>
      <c r="ES19" s="153">
        <f t="shared" si="52"/>
        <v>151.88442211055278</v>
      </c>
      <c r="ET19" s="153">
        <f t="shared" si="52"/>
        <v>105.58419243986252</v>
      </c>
      <c r="EU19" s="153">
        <f t="shared" si="52"/>
        <v>128.19107282693815</v>
      </c>
      <c r="EV19" s="153">
        <f t="shared" si="53"/>
        <v>51.092544987146525</v>
      </c>
      <c r="EW19" s="153">
        <f t="shared" si="53"/>
        <v>58.207452165156084</v>
      </c>
      <c r="EX19" s="153">
        <f t="shared" si="53"/>
        <v>49.583648750946253</v>
      </c>
      <c r="EY19" s="153">
        <f t="shared" si="53"/>
        <v>40.124416796267504</v>
      </c>
      <c r="EZ19" s="153">
        <f t="shared" si="53"/>
        <v>22.500000000000007</v>
      </c>
      <c r="FA19" s="153">
        <f t="shared" si="53"/>
        <v>89.132427065831692</v>
      </c>
      <c r="FB19" s="153">
        <f t="shared" si="53"/>
        <v>31.780962128966216</v>
      </c>
      <c r="FC19" s="153">
        <f t="shared" si="53"/>
        <v>50.64281721632198</v>
      </c>
      <c r="FD19" s="153">
        <f t="shared" si="53"/>
        <v>76.143601621308619</v>
      </c>
      <c r="FE19" s="153">
        <f t="shared" si="53"/>
        <v>95.739910313901348</v>
      </c>
      <c r="FF19" s="153">
        <f t="shared" si="54"/>
        <v>20.897755610972581</v>
      </c>
      <c r="FG19" s="153">
        <f t="shared" si="54"/>
        <v>30.83994985374008</v>
      </c>
      <c r="FH19" s="153">
        <f t="shared" si="54"/>
        <v>45.058339052848325</v>
      </c>
      <c r="FI19" s="153">
        <f t="shared" si="54"/>
        <v>58.443215652913658</v>
      </c>
      <c r="FJ19" s="153">
        <f t="shared" si="54"/>
        <v>14.958625079567156</v>
      </c>
      <c r="FK19" s="153">
        <f t="shared" si="54"/>
        <v>-13.208502024291501</v>
      </c>
      <c r="FL19" s="153">
        <f t="shared" si="54"/>
        <v>28.579356270810209</v>
      </c>
      <c r="FM19" s="153">
        <f t="shared" si="54"/>
        <v>-20.248099239695883</v>
      </c>
      <c r="FN19" s="153">
        <f t="shared" si="54"/>
        <v>33.825964062184546</v>
      </c>
      <c r="FO19" s="153">
        <f t="shared" si="54"/>
        <v>-3.2233009708737881</v>
      </c>
      <c r="FP19" s="153">
        <f t="shared" si="55"/>
        <v>-34.100185528756953</v>
      </c>
      <c r="FQ19" s="153">
        <f t="shared" si="55"/>
        <v>-47.501643655489815</v>
      </c>
      <c r="FR19" s="153">
        <f t="shared" si="55"/>
        <v>-41.323024054982817</v>
      </c>
      <c r="FS19" s="153">
        <f t="shared" si="55"/>
        <v>20.544554455445542</v>
      </c>
      <c r="FT19" s="153">
        <f t="shared" si="55"/>
        <v>-19.418716065154907</v>
      </c>
      <c r="FU19" s="153">
        <f t="shared" si="55"/>
        <v>-39.389638041163941</v>
      </c>
      <c r="FV19" s="153">
        <f t="shared" si="55"/>
        <v>-44.026845637583889</v>
      </c>
      <c r="FW19" s="153">
        <f t="shared" si="55"/>
        <v>24.640088593576959</v>
      </c>
      <c r="FX19" s="153">
        <f t="shared" si="55"/>
        <v>-2.3906705539358586</v>
      </c>
      <c r="FY19" s="153">
        <f t="shared" si="55"/>
        <v>21.752265861027187</v>
      </c>
      <c r="FZ19" s="153">
        <f t="shared" si="56"/>
        <v>-1.003512293025588</v>
      </c>
      <c r="GA19" s="153">
        <f t="shared" si="56"/>
        <v>-19.362138676000239</v>
      </c>
      <c r="GB19" s="153">
        <f t="shared" si="49"/>
        <v>-28.349514563106794</v>
      </c>
      <c r="GC19" s="153">
        <f t="shared" si="49"/>
        <v>-21.929499072356219</v>
      </c>
      <c r="GD19" s="153">
        <f t="shared" si="49"/>
        <v>-35.996055226824453</v>
      </c>
      <c r="GE19" s="153">
        <f t="shared" si="49"/>
        <v>-39.604810996563579</v>
      </c>
      <c r="GF19" s="153">
        <f t="shared" si="49"/>
        <v>-6.0231023102310211</v>
      </c>
      <c r="GG19" s="153">
        <f t="shared" si="49"/>
        <v>-16.001277547109549</v>
      </c>
      <c r="GH19" s="153">
        <f t="shared" si="49"/>
        <v>-41.566122545540573</v>
      </c>
      <c r="GI19" s="153">
        <f t="shared" si="49"/>
        <v>-32.724832214765101</v>
      </c>
      <c r="GJ19" s="153">
        <f t="shared" si="49"/>
        <v>6.5891472868216949</v>
      </c>
      <c r="GK19" s="153">
        <f t="shared" si="49"/>
        <v>21.224489795918377</v>
      </c>
      <c r="GL19" s="153">
        <f t="shared" si="49"/>
        <v>-5.2222701769529589</v>
      </c>
      <c r="GM19" s="153">
        <f t="shared" si="49"/>
        <v>7.727044656297033</v>
      </c>
      <c r="GN19" s="153"/>
      <c r="GO19" s="153">
        <f t="shared" si="50"/>
        <v>-100</v>
      </c>
      <c r="GP19" s="153">
        <f t="shared" si="50"/>
        <v>-100</v>
      </c>
      <c r="GQ19" s="153">
        <f t="shared" si="50"/>
        <v>-100</v>
      </c>
      <c r="GR19" s="153">
        <f t="shared" si="50"/>
        <v>-100</v>
      </c>
      <c r="GS19" s="153">
        <f t="shared" si="50"/>
        <v>-100</v>
      </c>
      <c r="GT19" s="153">
        <f t="shared" si="50"/>
        <v>-100</v>
      </c>
      <c r="GU19" s="153">
        <f t="shared" si="50"/>
        <v>-100</v>
      </c>
      <c r="GV19" s="153">
        <f t="shared" si="50"/>
        <v>-100</v>
      </c>
      <c r="GW19" s="153">
        <f t="shared" si="50"/>
        <v>-100</v>
      </c>
      <c r="GX19" s="153">
        <f t="shared" si="50"/>
        <v>-100</v>
      </c>
      <c r="GY19" s="153">
        <f t="shared" si="50"/>
        <v>-100</v>
      </c>
      <c r="GZ19" s="153">
        <f t="shared" si="50"/>
        <v>-100</v>
      </c>
      <c r="HA19" s="153"/>
      <c r="HC19" s="153"/>
    </row>
    <row r="20" spans="2:214" ht="13.9" customHeight="1" x14ac:dyDescent="0.2">
      <c r="EB20" s="153">
        <f t="shared" ref="EB20:EK21" si="57">IFERROR(((EB11/DO11)-1)*100,"-")</f>
        <v>-34.724209321506116</v>
      </c>
      <c r="EC20" s="153">
        <f t="shared" si="57"/>
        <v>-46.34642372921671</v>
      </c>
      <c r="ED20" s="153">
        <f t="shared" si="57"/>
        <v>91.572863941980813</v>
      </c>
      <c r="EE20" s="153">
        <f t="shared" si="57"/>
        <v>2995</v>
      </c>
      <c r="EF20" s="153">
        <f t="shared" si="57"/>
        <v>2319.0498049116363</v>
      </c>
      <c r="EG20" s="153">
        <f t="shared" si="57"/>
        <v>2041.7314095449501</v>
      </c>
      <c r="EH20" s="153">
        <f t="shared" si="57"/>
        <v>347.19816373374135</v>
      </c>
      <c r="EI20" s="153">
        <f t="shared" si="57"/>
        <v>381.74076963078522</v>
      </c>
      <c r="EJ20" s="153">
        <f t="shared" si="57"/>
        <v>122.62337967232907</v>
      </c>
      <c r="EK20" s="153">
        <f t="shared" si="57"/>
        <v>56.556671449067444</v>
      </c>
      <c r="EL20" s="153">
        <f t="shared" ref="EL20:EU21" si="58">IFERROR(((EL11/DY11)-1)*100,"-")</f>
        <v>43.697249907312496</v>
      </c>
      <c r="EM20" s="153">
        <f t="shared" si="58"/>
        <v>2.2973323189847683</v>
      </c>
      <c r="EN20" s="153">
        <f t="shared" si="58"/>
        <v>71.209900336674579</v>
      </c>
      <c r="EO20" s="153">
        <f t="shared" si="58"/>
        <v>21.719398674608705</v>
      </c>
      <c r="EP20" s="153">
        <f t="shared" si="58"/>
        <v>50.801321126947883</v>
      </c>
      <c r="EQ20" s="153">
        <f t="shared" si="58"/>
        <v>25.71327168405071</v>
      </c>
      <c r="ER20" s="153">
        <f t="shared" si="58"/>
        <v>28.324919224555735</v>
      </c>
      <c r="ES20" s="153">
        <f t="shared" si="58"/>
        <v>24.824000455416616</v>
      </c>
      <c r="ET20" s="153">
        <f t="shared" si="58"/>
        <v>34.573249727936982</v>
      </c>
      <c r="EU20" s="153">
        <f t="shared" si="58"/>
        <v>2.8175086571495145</v>
      </c>
      <c r="EV20" s="153">
        <f t="shared" ref="EV20:FE21" si="59">IFERROR(((EV11/EI11)-1)*100,"-")</f>
        <v>2.6757161554964881</v>
      </c>
      <c r="EW20" s="153">
        <f t="shared" si="59"/>
        <v>-4.691278049368397</v>
      </c>
      <c r="EX20" s="153">
        <f t="shared" si="59"/>
        <v>10.051742612226477</v>
      </c>
      <c r="EY20" s="153">
        <f t="shared" si="59"/>
        <v>-4.6304798184839786</v>
      </c>
      <c r="EZ20" s="153">
        <f t="shared" si="59"/>
        <v>-3.3146733134474693</v>
      </c>
      <c r="FA20" s="153">
        <f t="shared" si="59"/>
        <v>13.31804498099547</v>
      </c>
      <c r="FB20" s="153">
        <f t="shared" si="59"/>
        <v>-5.4501030986074621</v>
      </c>
      <c r="FC20" s="153">
        <f t="shared" si="59"/>
        <v>1.5978010024841671</v>
      </c>
      <c r="FD20" s="153">
        <f t="shared" si="59"/>
        <v>-2.2138398318642394</v>
      </c>
      <c r="FE20" s="153">
        <f t="shared" si="59"/>
        <v>0.81200380823491791</v>
      </c>
      <c r="FF20" s="153">
        <f t="shared" ref="FF20:FO21" si="60">IFERROR(((FF11/ES11)-1)*100,"-")</f>
        <v>-5.9067207856371873</v>
      </c>
      <c r="FG20" s="153">
        <f t="shared" si="60"/>
        <v>3.2631716765632257</v>
      </c>
      <c r="FH20" s="153">
        <f t="shared" si="60"/>
        <v>0.58839582265590717</v>
      </c>
      <c r="FI20" s="153">
        <f t="shared" si="60"/>
        <v>-2.4279181012957674</v>
      </c>
      <c r="FJ20" s="153">
        <f t="shared" si="60"/>
        <v>-5.9156398928308924</v>
      </c>
      <c r="FK20" s="153">
        <f t="shared" si="60"/>
        <v>-22.7172276847196</v>
      </c>
      <c r="FL20" s="153">
        <f t="shared" si="60"/>
        <v>-4.5402102214406774</v>
      </c>
      <c r="FM20" s="153">
        <f t="shared" si="60"/>
        <v>-1.2856164788815683</v>
      </c>
      <c r="FN20" s="153">
        <f t="shared" si="60"/>
        <v>-3.93512227737568</v>
      </c>
      <c r="FO20" s="153">
        <f t="shared" si="60"/>
        <v>-7.449923073476028</v>
      </c>
      <c r="FP20" s="153">
        <f t="shared" ref="FP20:FY21" si="61">IFERROR(((FP11/FC11)-1)*100,"-")</f>
        <v>-11.500622124482774</v>
      </c>
      <c r="FQ20" s="153">
        <f t="shared" si="61"/>
        <v>-8.8481310097599746</v>
      </c>
      <c r="FR20" s="153">
        <f t="shared" si="61"/>
        <v>-19.823609756097561</v>
      </c>
      <c r="FS20" s="153">
        <f t="shared" si="61"/>
        <v>-4.7943711578386168</v>
      </c>
      <c r="FT20" s="153">
        <f t="shared" si="61"/>
        <v>-7.1502088305489213</v>
      </c>
      <c r="FU20" s="153">
        <f t="shared" si="61"/>
        <v>1.6681775772053209</v>
      </c>
      <c r="FV20" s="153">
        <f t="shared" si="61"/>
        <v>6.7309570148087694</v>
      </c>
      <c r="FW20" s="153">
        <f t="shared" si="61"/>
        <v>14.401397802493188</v>
      </c>
      <c r="FX20" s="153">
        <f t="shared" si="61"/>
        <v>31.646083713220065</v>
      </c>
      <c r="FY20" s="153">
        <f t="shared" si="61"/>
        <v>12.483016729042863</v>
      </c>
      <c r="FZ20" s="153">
        <f t="shared" ref="FZ20:GA21" si="62">IFERROR(((FZ11/FM11)-1)*100,"-")</f>
        <v>6.5828681028872849</v>
      </c>
      <c r="GA20" s="153">
        <f t="shared" si="62"/>
        <v>0.8132720246740055</v>
      </c>
      <c r="GB20" s="153">
        <f t="shared" ref="GB20:GF22" si="63">IFERROR(((GB11/FB11)-1)*100,"-")</f>
        <v>4.8971574529105055</v>
      </c>
      <c r="GC20" s="153">
        <f t="shared" si="63"/>
        <v>-7.7946410486414486</v>
      </c>
      <c r="GD20" s="153">
        <f t="shared" si="63"/>
        <v>-5.4349482328599041</v>
      </c>
      <c r="GE20" s="153">
        <f t="shared" si="63"/>
        <v>-11.625365853658531</v>
      </c>
      <c r="GF20" s="153">
        <f t="shared" si="63"/>
        <v>6.8292525304747498</v>
      </c>
      <c r="GG20" s="153">
        <f t="shared" ref="GG20:GG22" si="64">IFERROR(((GG11/FG11)-1)*100,"-")</f>
        <v>-0.23791766109785284</v>
      </c>
      <c r="GH20" s="153">
        <f t="shared" ref="GH20:GH22" si="65">IFERROR(((GH11/FH11)-1)*100,"-")</f>
        <v>6.0712135148190516</v>
      </c>
      <c r="GI20" s="153">
        <f t="shared" ref="GI20:GI22" si="66">IFERROR(((GI11/FI11)-1)*100,"-")</f>
        <v>12.156128571717195</v>
      </c>
      <c r="GJ20" s="153">
        <f t="shared" ref="GJ20:GJ22" si="67">IFERROR(((GJ11/FJ11)-1)*100,"-")</f>
        <v>21.776822015389264</v>
      </c>
      <c r="GK20" s="153">
        <f t="shared" ref="GK20:GK22" si="68">IFERROR(((GK11/FK11)-1)*100,"-")</f>
        <v>30.061334438458353</v>
      </c>
      <c r="GL20" s="153">
        <f t="shared" ref="GL20" si="69">IFERROR(((GL11/FL11)-1)*100,"-")</f>
        <v>17.942669478457283</v>
      </c>
      <c r="GM20" s="153">
        <f t="shared" ref="GM20" si="70">IFERROR(((GM11/FM11)-1)*100,"-")</f>
        <v>13.703462684522382</v>
      </c>
      <c r="GN20" s="153"/>
      <c r="GO20" s="153">
        <f t="shared" ref="GO20:GS22" si="71">IFERROR(((GO11/FO11)-1)*100,"-")</f>
        <v>-100</v>
      </c>
      <c r="GP20" s="153">
        <f t="shared" si="71"/>
        <v>-100</v>
      </c>
      <c r="GQ20" s="153">
        <f t="shared" si="71"/>
        <v>-100</v>
      </c>
      <c r="GR20" s="153">
        <f t="shared" si="71"/>
        <v>-100</v>
      </c>
      <c r="GS20" s="153">
        <f t="shared" si="71"/>
        <v>-100</v>
      </c>
      <c r="GT20" s="153">
        <f t="shared" ref="GT20:GT22" si="72">IFERROR(((GT11/FT11)-1)*100,"-")</f>
        <v>-100</v>
      </c>
      <c r="GU20" s="153">
        <f t="shared" ref="GU20:GU22" si="73">IFERROR(((GU11/FU11)-1)*100,"-")</f>
        <v>-100</v>
      </c>
      <c r="GV20" s="153">
        <f t="shared" ref="GV20:GV22" si="74">IFERROR(((GV11/FV11)-1)*100,"-")</f>
        <v>-100</v>
      </c>
      <c r="GW20" s="153">
        <f t="shared" ref="GW20:GW22" si="75">IFERROR(((GW11/FW11)-1)*100,"-")</f>
        <v>-100</v>
      </c>
      <c r="GX20" s="153">
        <f t="shared" ref="GX20:GX22" si="76">IFERROR(((GX11/FX11)-1)*100,"-")</f>
        <v>-100</v>
      </c>
      <c r="GY20" s="153">
        <f t="shared" ref="GY20:GY22" si="77">IFERROR(((GY11/FY11)-1)*100,"-")</f>
        <v>-100</v>
      </c>
      <c r="GZ20" s="153">
        <f t="shared" ref="GZ20:GZ22" si="78">IFERROR(((GZ11/FZ11)-1)*100,"-")</f>
        <v>-100</v>
      </c>
      <c r="HA20" s="153"/>
      <c r="HC20" s="153"/>
    </row>
    <row r="21" spans="2:214" ht="13.9" customHeight="1" x14ac:dyDescent="0.2">
      <c r="EB21" s="153">
        <f t="shared" si="57"/>
        <v>-33.045898533966309</v>
      </c>
      <c r="EC21" s="153">
        <f t="shared" si="57"/>
        <v>-45.414138433448294</v>
      </c>
      <c r="ED21" s="153">
        <f t="shared" si="57"/>
        <v>109.11607960696146</v>
      </c>
      <c r="EE21" s="153">
        <f t="shared" si="57"/>
        <v>2931.125</v>
      </c>
      <c r="EF21" s="153">
        <f t="shared" si="57"/>
        <v>2730.385984122639</v>
      </c>
      <c r="EG21" s="153">
        <f t="shared" si="57"/>
        <v>2005.0666666666668</v>
      </c>
      <c r="EH21" s="153">
        <f t="shared" si="57"/>
        <v>343.29947828234492</v>
      </c>
      <c r="EI21" s="153">
        <f t="shared" si="57"/>
        <v>376.97353317372341</v>
      </c>
      <c r="EJ21" s="153">
        <f t="shared" si="57"/>
        <v>119.82154882154883</v>
      </c>
      <c r="EK21" s="153">
        <f t="shared" si="57"/>
        <v>55.763212117837057</v>
      </c>
      <c r="EL21" s="153">
        <f t="shared" si="58"/>
        <v>42.417173728860178</v>
      </c>
      <c r="EM21" s="153">
        <f t="shared" si="58"/>
        <v>7.5923738822369913E-3</v>
      </c>
      <c r="EN21" s="153">
        <f t="shared" si="58"/>
        <v>72.505550848964191</v>
      </c>
      <c r="EO21" s="153">
        <f t="shared" si="58"/>
        <v>20.04148369291654</v>
      </c>
      <c r="EP21" s="153">
        <f t="shared" si="58"/>
        <v>49.788829948981302</v>
      </c>
      <c r="EQ21" s="153">
        <f t="shared" si="58"/>
        <v>24.001752098037855</v>
      </c>
      <c r="ER21" s="153">
        <f t="shared" si="58"/>
        <v>27.569178110437555</v>
      </c>
      <c r="ES21" s="153">
        <f t="shared" si="58"/>
        <v>23.960771418070692</v>
      </c>
      <c r="ET21" s="153">
        <f t="shared" si="58"/>
        <v>32.62393378937589</v>
      </c>
      <c r="EU21" s="153">
        <f t="shared" si="58"/>
        <v>0.836362623434872</v>
      </c>
      <c r="EV21" s="153">
        <f t="shared" si="59"/>
        <v>1.1922934114443562</v>
      </c>
      <c r="EW21" s="153">
        <f t="shared" si="59"/>
        <v>-5.2292186805949159</v>
      </c>
      <c r="EX21" s="153">
        <f t="shared" si="59"/>
        <v>9.1603981351714658</v>
      </c>
      <c r="EY21" s="153">
        <f t="shared" si="59"/>
        <v>-6.0664590946667429</v>
      </c>
      <c r="EZ21" s="153">
        <f t="shared" si="59"/>
        <v>-4.8047642746881003</v>
      </c>
      <c r="FA21" s="153">
        <f t="shared" si="59"/>
        <v>12.025364136838967</v>
      </c>
      <c r="FB21" s="153">
        <f t="shared" si="59"/>
        <v>-6.4445231674607246</v>
      </c>
      <c r="FC21" s="153">
        <f t="shared" si="59"/>
        <v>0.55113196339822146</v>
      </c>
      <c r="FD21" s="153">
        <f t="shared" si="59"/>
        <v>-4.2356756930339357</v>
      </c>
      <c r="FE21" s="153">
        <f t="shared" si="59"/>
        <v>-1.622796738243204</v>
      </c>
      <c r="FF21" s="153">
        <f t="shared" si="60"/>
        <v>-6.9245053367455238</v>
      </c>
      <c r="FG21" s="153">
        <f t="shared" si="60"/>
        <v>1.7861691288843629</v>
      </c>
      <c r="FH21" s="153">
        <f t="shared" si="60"/>
        <v>-1.7672773983245738</v>
      </c>
      <c r="FI21" s="153">
        <f t="shared" si="60"/>
        <v>-3.5673515981735182</v>
      </c>
      <c r="FJ21" s="153">
        <f t="shared" si="60"/>
        <v>-8.2612771321901377</v>
      </c>
      <c r="FK21" s="153">
        <f t="shared" si="60"/>
        <v>-24.079180941026969</v>
      </c>
      <c r="FL21" s="153">
        <f t="shared" si="60"/>
        <v>-8.3541013809723559</v>
      </c>
      <c r="FM21" s="153">
        <f t="shared" si="60"/>
        <v>4.7849857779591609E-2</v>
      </c>
      <c r="FN21" s="153">
        <f t="shared" si="60"/>
        <v>-5.5189420806407208</v>
      </c>
      <c r="FO21" s="153">
        <f t="shared" si="60"/>
        <v>-8.9733781538580466</v>
      </c>
      <c r="FP21" s="153">
        <f t="shared" si="61"/>
        <v>-10.984655878922023</v>
      </c>
      <c r="FQ21" s="153">
        <f t="shared" si="61"/>
        <v>-7.1215995305361162</v>
      </c>
      <c r="FR21" s="153">
        <f t="shared" si="61"/>
        <v>-19.887619219742213</v>
      </c>
      <c r="FS21" s="153">
        <f t="shared" si="61"/>
        <v>-6.2275238278859613</v>
      </c>
      <c r="FT21" s="153">
        <f t="shared" si="61"/>
        <v>-6.4781507084988537</v>
      </c>
      <c r="FU21" s="153">
        <f t="shared" si="61"/>
        <v>4.6583239595050729</v>
      </c>
      <c r="FV21" s="153">
        <f t="shared" si="61"/>
        <v>8.7148916980227966</v>
      </c>
      <c r="FW21" s="153">
        <f t="shared" si="61"/>
        <v>15.862864793918408</v>
      </c>
      <c r="FX21" s="153">
        <f t="shared" si="61"/>
        <v>34.263133827424653</v>
      </c>
      <c r="FY21" s="153">
        <f t="shared" si="61"/>
        <v>16.172458357265928</v>
      </c>
      <c r="FZ21" s="153">
        <f t="shared" si="62"/>
        <v>6.8002869618358552</v>
      </c>
      <c r="GA21" s="153">
        <f t="shared" si="62"/>
        <v>1.8595453370354509</v>
      </c>
      <c r="GB21" s="153">
        <f t="shared" si="63"/>
        <v>5.6520227193694206</v>
      </c>
      <c r="GC21" s="153">
        <f t="shared" si="63"/>
        <v>-7.8290910178566042</v>
      </c>
      <c r="GD21" s="153">
        <f t="shared" si="63"/>
        <v>-4.3098461667435135</v>
      </c>
      <c r="GE21" s="153">
        <f t="shared" si="63"/>
        <v>-10.2498172169327</v>
      </c>
      <c r="GF21" s="153">
        <f t="shared" si="63"/>
        <v>7.0934589623867339</v>
      </c>
      <c r="GG21" s="153">
        <f t="shared" si="64"/>
        <v>0.37692764865964179</v>
      </c>
      <c r="GH21" s="153">
        <f t="shared" si="65"/>
        <v>9.3053993250843625</v>
      </c>
      <c r="GI21" s="153">
        <f t="shared" si="66"/>
        <v>14.24836877633564</v>
      </c>
      <c r="GJ21" s="153">
        <f t="shared" si="67"/>
        <v>24.447028355487443</v>
      </c>
      <c r="GK21" s="153">
        <f t="shared" si="68"/>
        <v>32.103569364037178</v>
      </c>
      <c r="GL21" s="153">
        <f>IFERROR(((GL12/FL12)-1)*100,"-")</f>
        <v>23.170950603101659</v>
      </c>
      <c r="GM21" s="153">
        <f>IFERROR(((GM12/FM12)-1)*100,"-")</f>
        <v>14.081500704119311</v>
      </c>
      <c r="GN21" s="153"/>
      <c r="GO21" s="153">
        <f t="shared" si="71"/>
        <v>-100</v>
      </c>
      <c r="GP21" s="153">
        <f t="shared" si="71"/>
        <v>-100</v>
      </c>
      <c r="GQ21" s="153">
        <f t="shared" si="71"/>
        <v>-100</v>
      </c>
      <c r="GR21" s="153">
        <f t="shared" si="71"/>
        <v>-100</v>
      </c>
      <c r="GS21" s="153">
        <f t="shared" si="71"/>
        <v>-100</v>
      </c>
      <c r="GT21" s="153">
        <f t="shared" si="72"/>
        <v>-100</v>
      </c>
      <c r="GU21" s="153">
        <f t="shared" si="73"/>
        <v>-100</v>
      </c>
      <c r="GV21" s="153">
        <f t="shared" si="74"/>
        <v>-100</v>
      </c>
      <c r="GW21" s="153">
        <f t="shared" si="75"/>
        <v>-100</v>
      </c>
      <c r="GX21" s="153">
        <f t="shared" si="76"/>
        <v>-100</v>
      </c>
      <c r="GY21" s="153">
        <f t="shared" si="77"/>
        <v>-100</v>
      </c>
      <c r="GZ21" s="153">
        <f t="shared" si="78"/>
        <v>-100</v>
      </c>
      <c r="HA21" s="153"/>
      <c r="HC21" s="153"/>
    </row>
    <row r="22" spans="2:214" ht="13.9" customHeight="1" x14ac:dyDescent="0.2"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4"/>
      <c r="BF22" s="154"/>
      <c r="BG22" s="154"/>
      <c r="BH22" s="154"/>
      <c r="BI22" s="154"/>
      <c r="BJ22" s="154"/>
      <c r="BK22" s="154"/>
      <c r="BL22" s="154"/>
      <c r="BM22" s="154"/>
      <c r="BN22" s="154"/>
      <c r="BO22" s="154"/>
      <c r="BP22" s="154"/>
      <c r="BQ22" s="154"/>
      <c r="BR22" s="154"/>
      <c r="BS22" s="154"/>
      <c r="BT22" s="154"/>
      <c r="BU22" s="154"/>
      <c r="BV22" s="154"/>
      <c r="BW22" s="154"/>
      <c r="BX22" s="154"/>
      <c r="BY22" s="154"/>
      <c r="BZ22" s="154"/>
      <c r="CA22" s="154"/>
      <c r="CB22" s="154"/>
      <c r="CC22" s="154"/>
      <c r="CD22" s="154"/>
      <c r="CE22" s="154"/>
      <c r="CF22" s="154"/>
      <c r="CG22" s="154"/>
      <c r="CH22" s="154"/>
      <c r="CI22" s="154"/>
      <c r="CJ22" s="154"/>
      <c r="CK22" s="154"/>
      <c r="CL22" s="154"/>
      <c r="CM22" s="154"/>
      <c r="CN22" s="154"/>
      <c r="CO22" s="154"/>
      <c r="CP22" s="154"/>
      <c r="CQ22" s="154"/>
      <c r="CR22" s="154"/>
      <c r="CS22" s="154"/>
      <c r="CT22" s="154"/>
      <c r="CU22" s="154"/>
      <c r="CV22" s="154"/>
      <c r="CW22" s="154"/>
      <c r="CX22" s="154"/>
      <c r="CY22" s="154"/>
      <c r="CZ22" s="154"/>
      <c r="DA22" s="154"/>
      <c r="DB22" s="154"/>
      <c r="DC22" s="154"/>
      <c r="DD22" s="154"/>
      <c r="DE22" s="154"/>
      <c r="DF22" s="154"/>
      <c r="DG22" s="154"/>
      <c r="DH22" s="154"/>
      <c r="DI22" s="154"/>
      <c r="DJ22" s="154"/>
      <c r="DK22" s="154"/>
      <c r="DL22" s="154"/>
      <c r="DM22" s="154"/>
      <c r="DN22" s="154"/>
      <c r="DO22" s="154"/>
      <c r="DP22" s="154"/>
      <c r="DQ22" s="154"/>
      <c r="DR22" s="154"/>
      <c r="DS22" s="154"/>
      <c r="DT22" s="154"/>
      <c r="DU22" s="154"/>
      <c r="DV22" s="154"/>
      <c r="DW22" s="154"/>
      <c r="DX22" s="154"/>
      <c r="DY22" s="154"/>
      <c r="DZ22" s="154"/>
      <c r="EA22" s="154"/>
      <c r="EB22" s="154"/>
      <c r="EC22" s="154"/>
      <c r="ED22" s="154"/>
      <c r="EE22" s="154"/>
      <c r="EF22" s="154"/>
      <c r="EG22" s="154"/>
      <c r="EH22" s="154"/>
      <c r="EI22" s="154"/>
      <c r="EJ22" s="154"/>
      <c r="EK22" s="154"/>
      <c r="EL22" s="154"/>
      <c r="EM22" s="154"/>
      <c r="EN22" s="154"/>
      <c r="EO22" s="154"/>
      <c r="EP22" s="154"/>
      <c r="EQ22" s="154"/>
      <c r="ER22" s="154"/>
      <c r="ES22" s="154"/>
      <c r="ET22" s="154"/>
      <c r="EU22" s="154"/>
      <c r="EV22" s="154"/>
      <c r="EW22" s="154"/>
      <c r="EX22" s="154"/>
      <c r="EY22" s="154"/>
      <c r="EZ22" s="154"/>
      <c r="FA22" s="154"/>
      <c r="FB22" s="154"/>
      <c r="FC22" s="154"/>
      <c r="FD22" s="154"/>
      <c r="FE22" s="154"/>
      <c r="FF22" s="154"/>
      <c r="FG22" s="154"/>
      <c r="FH22" s="154"/>
      <c r="FI22" s="154"/>
      <c r="FJ22" s="154"/>
      <c r="FK22" s="154"/>
      <c r="FL22" s="154"/>
      <c r="FM22" s="153">
        <f t="shared" ref="FM22:GA22" si="79">IFERROR(((FM13/EZ13)-1)*100,"-")</f>
        <v>-28.867302052785927</v>
      </c>
      <c r="FN22" s="153">
        <f t="shared" si="79"/>
        <v>49.730217760484962</v>
      </c>
      <c r="FO22" s="153">
        <f t="shared" si="79"/>
        <v>36.466919135664952</v>
      </c>
      <c r="FP22" s="153">
        <f t="shared" si="79"/>
        <v>-26.820603907637654</v>
      </c>
      <c r="FQ22" s="153">
        <f t="shared" si="79"/>
        <v>-46.930473372781066</v>
      </c>
      <c r="FR22" s="153">
        <f t="shared" si="79"/>
        <v>-18.605378361475921</v>
      </c>
      <c r="FS22" s="153">
        <f t="shared" si="79"/>
        <v>33.21476211649621</v>
      </c>
      <c r="FT22" s="153">
        <f t="shared" si="79"/>
        <v>-21.002578981302388</v>
      </c>
      <c r="FU22" s="153">
        <f t="shared" si="79"/>
        <v>-46.211865360801532</v>
      </c>
      <c r="FV22" s="153">
        <f t="shared" si="79"/>
        <v>-36.091254752851711</v>
      </c>
      <c r="FW22" s="153">
        <f t="shared" si="79"/>
        <v>-15.649338887882625</v>
      </c>
      <c r="FX22" s="153">
        <f t="shared" si="79"/>
        <v>-32.251948599115231</v>
      </c>
      <c r="FY22" s="153">
        <f t="shared" si="79"/>
        <v>-35.614835614835613</v>
      </c>
      <c r="FZ22" s="153">
        <f t="shared" si="79"/>
        <v>0.25766555011594861</v>
      </c>
      <c r="GA22" s="153">
        <f t="shared" si="79"/>
        <v>-21.556860436736393</v>
      </c>
      <c r="GB22" s="153">
        <f t="shared" si="63"/>
        <v>-16.863443974159054</v>
      </c>
      <c r="GC22" s="153">
        <f t="shared" si="63"/>
        <v>-6.7717584369449408</v>
      </c>
      <c r="GD22" s="153">
        <f t="shared" si="63"/>
        <v>-30.251479289940832</v>
      </c>
      <c r="GE22" s="153">
        <f t="shared" si="63"/>
        <v>-37.804878048780488</v>
      </c>
      <c r="GF22" s="153">
        <f t="shared" si="63"/>
        <v>-0.17785682525567337</v>
      </c>
      <c r="GG22" s="153">
        <f t="shared" si="64"/>
        <v>-12.9110251450677</v>
      </c>
      <c r="GH22" s="153">
        <f t="shared" si="65"/>
        <v>-45.716537205898909</v>
      </c>
      <c r="GI22" s="153">
        <f t="shared" si="66"/>
        <v>-33.00380228136882</v>
      </c>
      <c r="GJ22" s="153">
        <f t="shared" si="67"/>
        <v>-33.128056511501534</v>
      </c>
      <c r="GK22" s="153">
        <f t="shared" si="68"/>
        <v>-19.801980198019798</v>
      </c>
      <c r="GL22" s="153">
        <f>IFERROR(((GL13/FL13)-1)*100,"-")</f>
        <v>-50.216450216450212</v>
      </c>
      <c r="GM22" s="153">
        <f>IFERROR(((GM13/FM13)-1)*100,"-")</f>
        <v>2.7054882762174604</v>
      </c>
      <c r="GN22" s="153"/>
      <c r="GO22" s="153">
        <f t="shared" si="71"/>
        <v>-100</v>
      </c>
      <c r="GP22" s="153">
        <f t="shared" si="71"/>
        <v>-100</v>
      </c>
      <c r="GQ22" s="153">
        <f t="shared" si="71"/>
        <v>-100</v>
      </c>
      <c r="GR22" s="153">
        <f t="shared" si="71"/>
        <v>-100</v>
      </c>
      <c r="GS22" s="153">
        <f t="shared" si="71"/>
        <v>-100</v>
      </c>
      <c r="GT22" s="153">
        <f t="shared" si="72"/>
        <v>-100</v>
      </c>
      <c r="GU22" s="153">
        <f t="shared" si="73"/>
        <v>-100</v>
      </c>
      <c r="GV22" s="153">
        <f t="shared" si="74"/>
        <v>-100</v>
      </c>
      <c r="GW22" s="153">
        <f t="shared" si="75"/>
        <v>-100</v>
      </c>
      <c r="GX22" s="153">
        <f t="shared" si="76"/>
        <v>-100</v>
      </c>
      <c r="GY22" s="153">
        <f t="shared" si="77"/>
        <v>-100</v>
      </c>
      <c r="GZ22" s="153">
        <f t="shared" si="78"/>
        <v>-100</v>
      </c>
      <c r="HA22" s="153"/>
      <c r="HD22" s="155"/>
      <c r="HE22" s="155"/>
      <c r="HF22" s="156"/>
    </row>
    <row r="23" spans="2:214" customFormat="1" ht="13.9" customHeight="1" x14ac:dyDescent="0.2"/>
    <row r="24" spans="2:214" customFormat="1" ht="13.9" customHeight="1" x14ac:dyDescent="0.2"/>
    <row r="25" spans="2:214" customFormat="1" ht="13.9" customHeight="1" x14ac:dyDescent="0.2"/>
    <row r="26" spans="2:214" customFormat="1" ht="13.9" customHeight="1" x14ac:dyDescent="0.2"/>
    <row r="27" spans="2:214" customFormat="1" ht="13.9" customHeight="1" x14ac:dyDescent="0.2"/>
    <row r="28" spans="2:214" customFormat="1" ht="13.9" customHeight="1" x14ac:dyDescent="0.2"/>
    <row r="29" spans="2:214" customFormat="1" ht="13.9" customHeight="1" x14ac:dyDescent="0.2"/>
    <row r="30" spans="2:214" customFormat="1" ht="13.9" customHeight="1" x14ac:dyDescent="0.2"/>
    <row r="31" spans="2:214" customFormat="1" ht="13.9" customHeight="1" x14ac:dyDescent="0.2"/>
    <row r="32" spans="2:214" customFormat="1" ht="13.9" customHeight="1" x14ac:dyDescent="0.2"/>
    <row r="33" customFormat="1" ht="13.9" customHeight="1" x14ac:dyDescent="0.2"/>
    <row r="34" customFormat="1" ht="13.9" customHeight="1" x14ac:dyDescent="0.2"/>
    <row r="35" customFormat="1" ht="13.9" customHeight="1" x14ac:dyDescent="0.2"/>
    <row r="36" customFormat="1" ht="13.9" customHeight="1" x14ac:dyDescent="0.2"/>
    <row r="37" customFormat="1" ht="13.9" customHeight="1" x14ac:dyDescent="0.2"/>
    <row r="38" customFormat="1" ht="13.9" customHeight="1" x14ac:dyDescent="0.2"/>
    <row r="39" customFormat="1" ht="13.9" customHeight="1" x14ac:dyDescent="0.2"/>
  </sheetData>
  <mergeCells count="1">
    <mergeCell ref="HC4:HD4"/>
  </mergeCells>
  <phoneticPr fontId="3" type="noConversion"/>
  <pageMargins left="0.7" right="0.7" top="0.75" bottom="0.75" header="0.3" footer="0.3"/>
  <pageSetup paperSize="9" scale="1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5"/>
  <dimension ref="A1:GE32"/>
  <sheetViews>
    <sheetView showGridLines="0" view="pageBreakPreview" zoomScaleSheetLayoutView="100" workbookViewId="0">
      <pane xSplit="1" topLeftCell="FC1" activePane="topRight" state="frozen"/>
      <selection activeCell="IB59" sqref="IB59:JB59"/>
      <selection pane="topRight"/>
    </sheetView>
  </sheetViews>
  <sheetFormatPr baseColWidth="10" defaultColWidth="8.7109375" defaultRowHeight="13.9" customHeight="1" x14ac:dyDescent="0.2"/>
  <cols>
    <col min="1" max="1" width="30.7109375" customWidth="1"/>
    <col min="183" max="183" width="1.7109375" customWidth="1"/>
  </cols>
  <sheetData>
    <row r="1" spans="1:187" s="102" customFormat="1" ht="13.9" customHeight="1" x14ac:dyDescent="0.2">
      <c r="A1" s="158" t="s">
        <v>164</v>
      </c>
      <c r="GA1"/>
      <c r="GC1" s="136"/>
      <c r="GE1" t="s">
        <v>611</v>
      </c>
    </row>
    <row r="2" spans="1:187" s="102" customFormat="1" ht="13.9" customHeight="1" x14ac:dyDescent="0.2">
      <c r="A2" s="158" t="s">
        <v>152</v>
      </c>
      <c r="GA2"/>
      <c r="GC2" s="159"/>
      <c r="GE2"/>
    </row>
    <row r="3" spans="1:187" s="102" customFormat="1" ht="13.9" customHeight="1" x14ac:dyDescent="0.2">
      <c r="A3" s="158" t="s">
        <v>616</v>
      </c>
      <c r="BV3" s="160"/>
      <c r="GA3"/>
      <c r="GC3" s="136"/>
      <c r="GE3"/>
    </row>
    <row r="4" spans="1:187" s="102" customFormat="1" ht="13.9" customHeight="1" x14ac:dyDescent="0.2">
      <c r="A4" s="172" t="s">
        <v>352</v>
      </c>
      <c r="B4" s="173" t="s">
        <v>104</v>
      </c>
      <c r="C4" s="139">
        <v>2004</v>
      </c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1"/>
      <c r="O4" s="139" t="s">
        <v>111</v>
      </c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1"/>
      <c r="AA4" s="139">
        <v>2006</v>
      </c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1"/>
      <c r="AM4" s="139">
        <v>2007</v>
      </c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1"/>
      <c r="AY4" s="139">
        <v>2008</v>
      </c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1"/>
      <c r="BK4" s="139">
        <v>2009</v>
      </c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39">
        <v>2010</v>
      </c>
      <c r="BX4" s="140"/>
      <c r="BY4" s="140"/>
      <c r="BZ4" s="140"/>
      <c r="CA4" s="140"/>
      <c r="CB4" s="140"/>
      <c r="CC4" s="140"/>
      <c r="CD4" s="140"/>
      <c r="CE4" s="140"/>
      <c r="CF4" s="140"/>
      <c r="CG4" s="140"/>
      <c r="CH4" s="140"/>
      <c r="CI4" s="139">
        <v>2011</v>
      </c>
      <c r="CJ4" s="140"/>
      <c r="CK4" s="140"/>
      <c r="CL4" s="140"/>
      <c r="CM4" s="140"/>
      <c r="CN4" s="140"/>
      <c r="CO4" s="140"/>
      <c r="CP4" s="140"/>
      <c r="CQ4" s="140"/>
      <c r="CR4" s="140"/>
      <c r="CS4" s="140"/>
      <c r="CT4" s="140"/>
      <c r="CU4" s="139">
        <v>2012</v>
      </c>
      <c r="CV4" s="140"/>
      <c r="CW4" s="140"/>
      <c r="CX4" s="140"/>
      <c r="CY4" s="140"/>
      <c r="CZ4" s="140"/>
      <c r="DA4" s="140"/>
      <c r="DB4" s="140"/>
      <c r="DC4" s="140"/>
      <c r="DD4" s="140"/>
      <c r="DE4" s="140"/>
      <c r="DF4" s="140"/>
      <c r="DG4" s="139">
        <v>2013</v>
      </c>
      <c r="DH4" s="140"/>
      <c r="DI4" s="140"/>
      <c r="DJ4" s="140"/>
      <c r="DK4" s="140"/>
      <c r="DL4" s="140"/>
      <c r="DM4" s="140"/>
      <c r="DN4" s="140"/>
      <c r="DO4" s="140"/>
      <c r="DP4" s="140"/>
      <c r="DQ4" s="140"/>
      <c r="DR4" s="140"/>
      <c r="DS4" s="139">
        <v>2014</v>
      </c>
      <c r="DT4" s="140"/>
      <c r="DU4" s="140"/>
      <c r="DV4" s="140"/>
      <c r="DW4" s="140"/>
      <c r="DX4" s="140"/>
      <c r="DY4" s="140"/>
      <c r="DZ4" s="140"/>
      <c r="EA4" s="140"/>
      <c r="EB4" s="140"/>
      <c r="EC4" s="140"/>
      <c r="ED4" s="140"/>
      <c r="EE4" s="139">
        <v>2015</v>
      </c>
      <c r="EF4" s="140"/>
      <c r="EG4" s="140"/>
      <c r="EH4" s="140"/>
      <c r="EI4" s="140"/>
      <c r="EJ4" s="140"/>
      <c r="EK4" s="140"/>
      <c r="EL4" s="140"/>
      <c r="EM4" s="140"/>
      <c r="EN4" s="140"/>
      <c r="EO4" s="140"/>
      <c r="EP4" s="140"/>
      <c r="EQ4" s="139">
        <v>2016</v>
      </c>
      <c r="ER4" s="140"/>
      <c r="ES4" s="140"/>
      <c r="ET4" s="140"/>
      <c r="EU4" s="140"/>
      <c r="EV4" s="140"/>
      <c r="EW4" s="140"/>
      <c r="EX4" s="140"/>
      <c r="EY4" s="140"/>
      <c r="EZ4" s="140"/>
      <c r="FA4" s="140"/>
      <c r="FB4" s="141"/>
      <c r="FC4" s="139">
        <v>2017</v>
      </c>
      <c r="FD4" s="140"/>
      <c r="FE4" s="140"/>
      <c r="FF4" s="140"/>
      <c r="FG4" s="140"/>
      <c r="FH4" s="140"/>
      <c r="FI4" s="140"/>
      <c r="FJ4" s="140"/>
      <c r="FK4" s="140"/>
      <c r="FL4" s="140"/>
      <c r="FM4" s="140"/>
      <c r="FN4" s="140"/>
      <c r="FO4" s="39">
        <f>YEAR(FO5)</f>
        <v>2018</v>
      </c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94"/>
      <c r="GA4"/>
      <c r="GB4" s="166" t="s">
        <v>85</v>
      </c>
      <c r="GC4" s="167"/>
      <c r="GD4" s="168"/>
      <c r="GE4"/>
    </row>
    <row r="5" spans="1:187" s="102" customFormat="1" ht="13.9" customHeight="1" x14ac:dyDescent="0.2">
      <c r="A5" s="163" t="s">
        <v>352</v>
      </c>
      <c r="B5" s="1482"/>
      <c r="C5" s="1477" t="s">
        <v>0</v>
      </c>
      <c r="D5" s="161" t="s">
        <v>1</v>
      </c>
      <c r="E5" s="161" t="s">
        <v>2</v>
      </c>
      <c r="F5" s="161" t="s">
        <v>3</v>
      </c>
      <c r="G5" s="161" t="s">
        <v>4</v>
      </c>
      <c r="H5" s="161" t="s">
        <v>5</v>
      </c>
      <c r="I5" s="161" t="s">
        <v>6</v>
      </c>
      <c r="J5" s="161" t="s">
        <v>7</v>
      </c>
      <c r="K5" s="161" t="s">
        <v>8</v>
      </c>
      <c r="L5" s="161" t="s">
        <v>9</v>
      </c>
      <c r="M5" s="161" t="s">
        <v>10</v>
      </c>
      <c r="N5" s="161" t="s">
        <v>11</v>
      </c>
      <c r="O5" s="1477" t="s">
        <v>0</v>
      </c>
      <c r="P5" s="161" t="s">
        <v>1</v>
      </c>
      <c r="Q5" s="161" t="s">
        <v>2</v>
      </c>
      <c r="R5" s="161" t="s">
        <v>3</v>
      </c>
      <c r="S5" s="161" t="s">
        <v>4</v>
      </c>
      <c r="T5" s="161" t="s">
        <v>5</v>
      </c>
      <c r="U5" s="161" t="s">
        <v>6</v>
      </c>
      <c r="V5" s="161" t="s">
        <v>7</v>
      </c>
      <c r="W5" s="161" t="s">
        <v>8</v>
      </c>
      <c r="X5" s="161" t="s">
        <v>9</v>
      </c>
      <c r="Y5" s="161" t="s">
        <v>10</v>
      </c>
      <c r="Z5" s="161" t="s">
        <v>11</v>
      </c>
      <c r="AA5" s="1477" t="s">
        <v>0</v>
      </c>
      <c r="AB5" s="161" t="s">
        <v>1</v>
      </c>
      <c r="AC5" s="161" t="s">
        <v>2</v>
      </c>
      <c r="AD5" s="161" t="s">
        <v>3</v>
      </c>
      <c r="AE5" s="161" t="s">
        <v>4</v>
      </c>
      <c r="AF5" s="161" t="s">
        <v>5</v>
      </c>
      <c r="AG5" s="161" t="s">
        <v>6</v>
      </c>
      <c r="AH5" s="161" t="s">
        <v>7</v>
      </c>
      <c r="AI5" s="161" t="s">
        <v>8</v>
      </c>
      <c r="AJ5" s="161" t="s">
        <v>9</v>
      </c>
      <c r="AK5" s="161" t="s">
        <v>10</v>
      </c>
      <c r="AL5" s="162" t="s">
        <v>11</v>
      </c>
      <c r="AM5" s="161" t="s">
        <v>0</v>
      </c>
      <c r="AN5" s="161" t="s">
        <v>1</v>
      </c>
      <c r="AO5" s="161" t="s">
        <v>2</v>
      </c>
      <c r="AP5" s="161" t="s">
        <v>3</v>
      </c>
      <c r="AQ5" s="161" t="s">
        <v>4</v>
      </c>
      <c r="AR5" s="161" t="s">
        <v>5</v>
      </c>
      <c r="AS5" s="161" t="s">
        <v>6</v>
      </c>
      <c r="AT5" s="161" t="s">
        <v>7</v>
      </c>
      <c r="AU5" s="161" t="s">
        <v>8</v>
      </c>
      <c r="AV5" s="161" t="s">
        <v>9</v>
      </c>
      <c r="AW5" s="161" t="s">
        <v>10</v>
      </c>
      <c r="AX5" s="162" t="s">
        <v>11</v>
      </c>
      <c r="AY5" s="1477" t="s">
        <v>0</v>
      </c>
      <c r="AZ5" s="161" t="s">
        <v>1</v>
      </c>
      <c r="BA5" s="161" t="s">
        <v>2</v>
      </c>
      <c r="BB5" s="161" t="s">
        <v>3</v>
      </c>
      <c r="BC5" s="161" t="s">
        <v>4</v>
      </c>
      <c r="BD5" s="161" t="s">
        <v>5</v>
      </c>
      <c r="BE5" s="161" t="s">
        <v>6</v>
      </c>
      <c r="BF5" s="161" t="s">
        <v>7</v>
      </c>
      <c r="BG5" s="161" t="s">
        <v>8</v>
      </c>
      <c r="BH5" s="161" t="s">
        <v>9</v>
      </c>
      <c r="BI5" s="161" t="s">
        <v>10</v>
      </c>
      <c r="BJ5" s="162" t="s">
        <v>11</v>
      </c>
      <c r="BK5" s="161" t="s">
        <v>183</v>
      </c>
      <c r="BL5" s="161" t="s">
        <v>1</v>
      </c>
      <c r="BM5" s="161" t="s">
        <v>2</v>
      </c>
      <c r="BN5" s="161" t="s">
        <v>3</v>
      </c>
      <c r="BO5" s="161" t="s">
        <v>4</v>
      </c>
      <c r="BP5" s="161" t="s">
        <v>5</v>
      </c>
      <c r="BQ5" s="161" t="s">
        <v>6</v>
      </c>
      <c r="BR5" s="161" t="s">
        <v>7</v>
      </c>
      <c r="BS5" s="161" t="s">
        <v>8</v>
      </c>
      <c r="BT5" s="161" t="s">
        <v>9</v>
      </c>
      <c r="BU5" s="161" t="s">
        <v>10</v>
      </c>
      <c r="BV5" s="161" t="s">
        <v>190</v>
      </c>
      <c r="BW5" s="1477" t="s">
        <v>183</v>
      </c>
      <c r="BX5" s="161" t="s">
        <v>1</v>
      </c>
      <c r="BY5" s="161" t="s">
        <v>2</v>
      </c>
      <c r="BZ5" s="161" t="s">
        <v>3</v>
      </c>
      <c r="CA5" s="161" t="s">
        <v>4</v>
      </c>
      <c r="CB5" s="161" t="s">
        <v>5</v>
      </c>
      <c r="CC5" s="161" t="s">
        <v>6</v>
      </c>
      <c r="CD5" s="161" t="s">
        <v>7</v>
      </c>
      <c r="CE5" s="161" t="s">
        <v>8</v>
      </c>
      <c r="CF5" s="161" t="s">
        <v>9</v>
      </c>
      <c r="CG5" s="161" t="s">
        <v>10</v>
      </c>
      <c r="CH5" s="161" t="s">
        <v>11</v>
      </c>
      <c r="CI5" s="1478" t="s">
        <v>183</v>
      </c>
      <c r="CJ5" s="1479" t="s">
        <v>1</v>
      </c>
      <c r="CK5" s="161" t="s">
        <v>2</v>
      </c>
      <c r="CL5" s="161" t="s">
        <v>3</v>
      </c>
      <c r="CM5" s="161" t="s">
        <v>4</v>
      </c>
      <c r="CN5" s="161" t="s">
        <v>5</v>
      </c>
      <c r="CO5" s="161" t="s">
        <v>6</v>
      </c>
      <c r="CP5" s="161" t="s">
        <v>7</v>
      </c>
      <c r="CQ5" s="161" t="s">
        <v>8</v>
      </c>
      <c r="CR5" s="161" t="s">
        <v>9</v>
      </c>
      <c r="CS5" s="161" t="s">
        <v>10</v>
      </c>
      <c r="CT5" s="161" t="s">
        <v>11</v>
      </c>
      <c r="CU5" s="1477" t="s">
        <v>0</v>
      </c>
      <c r="CV5" s="161" t="s">
        <v>1</v>
      </c>
      <c r="CW5" s="161" t="s">
        <v>2</v>
      </c>
      <c r="CX5" s="161" t="s">
        <v>3</v>
      </c>
      <c r="CY5" s="161" t="s">
        <v>4</v>
      </c>
      <c r="CZ5" s="161" t="s">
        <v>5</v>
      </c>
      <c r="DA5" s="161" t="s">
        <v>6</v>
      </c>
      <c r="DB5" s="161" t="s">
        <v>7</v>
      </c>
      <c r="DC5" s="161" t="s">
        <v>8</v>
      </c>
      <c r="DD5" s="161" t="s">
        <v>9</v>
      </c>
      <c r="DE5" s="161" t="s">
        <v>10</v>
      </c>
      <c r="DF5" s="161" t="s">
        <v>11</v>
      </c>
      <c r="DG5" s="1477" t="s">
        <v>0</v>
      </c>
      <c r="DH5" s="161" t="s">
        <v>1</v>
      </c>
      <c r="DI5" s="161" t="s">
        <v>2</v>
      </c>
      <c r="DJ5" s="161" t="s">
        <v>3</v>
      </c>
      <c r="DK5" s="161" t="s">
        <v>4</v>
      </c>
      <c r="DL5" s="161" t="s">
        <v>5</v>
      </c>
      <c r="DM5" s="161" t="s">
        <v>6</v>
      </c>
      <c r="DN5" s="161" t="s">
        <v>7</v>
      </c>
      <c r="DO5" s="161" t="s">
        <v>8</v>
      </c>
      <c r="DP5" s="161" t="s">
        <v>9</v>
      </c>
      <c r="DQ5" s="161" t="s">
        <v>10</v>
      </c>
      <c r="DR5" s="161" t="s">
        <v>11</v>
      </c>
      <c r="DS5" s="1477" t="s">
        <v>0</v>
      </c>
      <c r="DT5" s="161" t="s">
        <v>1</v>
      </c>
      <c r="DU5" s="161" t="s">
        <v>2</v>
      </c>
      <c r="DV5" s="161" t="s">
        <v>3</v>
      </c>
      <c r="DW5" s="161" t="s">
        <v>4</v>
      </c>
      <c r="DX5" s="161" t="s">
        <v>5</v>
      </c>
      <c r="DY5" s="161" t="s">
        <v>6</v>
      </c>
      <c r="DZ5" s="161" t="s">
        <v>7</v>
      </c>
      <c r="EA5" s="161" t="s">
        <v>8</v>
      </c>
      <c r="EB5" s="161" t="s">
        <v>9</v>
      </c>
      <c r="EC5" s="161" t="s">
        <v>10</v>
      </c>
      <c r="ED5" s="161" t="s">
        <v>11</v>
      </c>
      <c r="EE5" s="1477" t="s">
        <v>0</v>
      </c>
      <c r="EF5" s="161" t="s">
        <v>1</v>
      </c>
      <c r="EG5" s="161" t="s">
        <v>2</v>
      </c>
      <c r="EH5" s="161" t="s">
        <v>3</v>
      </c>
      <c r="EI5" s="161" t="s">
        <v>4</v>
      </c>
      <c r="EJ5" s="161" t="s">
        <v>5</v>
      </c>
      <c r="EK5" s="161" t="s">
        <v>6</v>
      </c>
      <c r="EL5" s="161" t="s">
        <v>7</v>
      </c>
      <c r="EM5" s="161" t="s">
        <v>8</v>
      </c>
      <c r="EN5" s="161" t="s">
        <v>9</v>
      </c>
      <c r="EO5" s="161" t="s">
        <v>10</v>
      </c>
      <c r="EP5" s="161" t="s">
        <v>11</v>
      </c>
      <c r="EQ5" s="1477" t="s">
        <v>0</v>
      </c>
      <c r="ER5" s="161" t="s">
        <v>1</v>
      </c>
      <c r="ES5" s="161" t="s">
        <v>2</v>
      </c>
      <c r="ET5" s="161" t="s">
        <v>3</v>
      </c>
      <c r="EU5" s="161" t="s">
        <v>4</v>
      </c>
      <c r="EV5" s="161" t="s">
        <v>5</v>
      </c>
      <c r="EW5" s="161" t="s">
        <v>6</v>
      </c>
      <c r="EX5" s="161" t="s">
        <v>7</v>
      </c>
      <c r="EY5" s="161" t="s">
        <v>234</v>
      </c>
      <c r="EZ5" s="161" t="s">
        <v>9</v>
      </c>
      <c r="FA5" s="161" t="s">
        <v>10</v>
      </c>
      <c r="FB5" s="161" t="s">
        <v>190</v>
      </c>
      <c r="FC5" s="1477" t="s">
        <v>0</v>
      </c>
      <c r="FD5" s="161" t="s">
        <v>1</v>
      </c>
      <c r="FE5" s="161" t="s">
        <v>2</v>
      </c>
      <c r="FF5" s="161" t="s">
        <v>3</v>
      </c>
      <c r="FG5" s="161" t="s">
        <v>4</v>
      </c>
      <c r="FH5" s="161" t="s">
        <v>5</v>
      </c>
      <c r="FI5" s="161" t="s">
        <v>6</v>
      </c>
      <c r="FJ5" s="161" t="s">
        <v>7</v>
      </c>
      <c r="FK5" s="161" t="s">
        <v>8</v>
      </c>
      <c r="FL5" s="161" t="s">
        <v>9</v>
      </c>
      <c r="FM5" s="161" t="s">
        <v>10</v>
      </c>
      <c r="FN5" s="161" t="s">
        <v>11</v>
      </c>
      <c r="FO5" s="113">
        <v>43101</v>
      </c>
      <c r="FP5" s="114">
        <v>43132</v>
      </c>
      <c r="FQ5" s="114">
        <v>43160</v>
      </c>
      <c r="FR5" s="114">
        <v>43191</v>
      </c>
      <c r="FS5" s="114">
        <v>43221</v>
      </c>
      <c r="FT5" s="114">
        <v>43252</v>
      </c>
      <c r="FU5" s="114">
        <v>43282</v>
      </c>
      <c r="FV5" s="114">
        <v>43313</v>
      </c>
      <c r="FW5" s="114">
        <v>43344</v>
      </c>
      <c r="FX5" s="114">
        <v>43374</v>
      </c>
      <c r="FY5" s="114">
        <v>43405</v>
      </c>
      <c r="FZ5" s="157">
        <v>43435</v>
      </c>
      <c r="GA5"/>
      <c r="GB5" s="169" t="s">
        <v>23</v>
      </c>
      <c r="GC5" s="170" t="s">
        <v>24</v>
      </c>
      <c r="GD5" s="171" t="s">
        <v>12</v>
      </c>
      <c r="GE5"/>
    </row>
    <row r="6" spans="1:187" s="102" customFormat="1" ht="13.9" customHeight="1" x14ac:dyDescent="0.2">
      <c r="A6" s="172"/>
      <c r="B6" s="1483"/>
      <c r="C6" s="1484"/>
      <c r="D6" s="1485"/>
      <c r="E6" s="1485"/>
      <c r="F6" s="1485"/>
      <c r="G6" s="1485"/>
      <c r="H6" s="1485"/>
      <c r="I6" s="1485"/>
      <c r="J6" s="1485"/>
      <c r="K6" s="1485"/>
      <c r="L6" s="1485"/>
      <c r="M6" s="1485"/>
      <c r="N6" s="1485"/>
      <c r="O6" s="1484"/>
      <c r="P6" s="1485"/>
      <c r="Q6" s="1485"/>
      <c r="R6" s="1485"/>
      <c r="S6" s="1485"/>
      <c r="T6" s="1485"/>
      <c r="U6" s="1485"/>
      <c r="V6" s="1485"/>
      <c r="W6" s="1485"/>
      <c r="X6" s="1485"/>
      <c r="Y6" s="1485"/>
      <c r="Z6" s="1485"/>
      <c r="AA6" s="1484"/>
      <c r="AB6" s="1485"/>
      <c r="AC6" s="1485"/>
      <c r="AD6" s="1485"/>
      <c r="AE6" s="1485"/>
      <c r="AF6" s="1485"/>
      <c r="AG6" s="1485"/>
      <c r="AH6" s="1485"/>
      <c r="AI6" s="1485"/>
      <c r="AJ6" s="1485"/>
      <c r="AK6" s="1485"/>
      <c r="AL6" s="1486"/>
      <c r="AM6" s="1485"/>
      <c r="AN6" s="1485"/>
      <c r="AO6" s="1485"/>
      <c r="AP6" s="1485"/>
      <c r="AQ6" s="1485"/>
      <c r="AR6" s="1485"/>
      <c r="AS6" s="1485"/>
      <c r="AT6" s="1485"/>
      <c r="AU6" s="1485"/>
      <c r="AV6" s="1485"/>
      <c r="AW6" s="1485"/>
      <c r="AX6" s="1486"/>
      <c r="AY6" s="1484"/>
      <c r="AZ6" s="1485"/>
      <c r="BA6" s="1485"/>
      <c r="BB6" s="1485"/>
      <c r="BC6" s="1485"/>
      <c r="BD6" s="1485"/>
      <c r="BE6" s="1485"/>
      <c r="BF6" s="1485"/>
      <c r="BG6" s="1485"/>
      <c r="BH6" s="1485"/>
      <c r="BI6" s="1485"/>
      <c r="BJ6" s="1486"/>
      <c r="BK6" s="1485"/>
      <c r="BL6" s="1485"/>
      <c r="BM6" s="1485"/>
      <c r="BN6" s="1485"/>
      <c r="BO6" s="1485"/>
      <c r="BP6" s="1485"/>
      <c r="BQ6" s="1485"/>
      <c r="BR6" s="1485"/>
      <c r="BS6" s="1485"/>
      <c r="BT6" s="1485"/>
      <c r="BU6" s="1485"/>
      <c r="BV6" s="1485"/>
      <c r="BW6" s="1484"/>
      <c r="BX6" s="1485"/>
      <c r="BY6" s="1485"/>
      <c r="BZ6" s="1485"/>
      <c r="CA6" s="1485"/>
      <c r="CB6" s="1485"/>
      <c r="CC6" s="1485"/>
      <c r="CD6" s="1485"/>
      <c r="CE6" s="1485"/>
      <c r="CF6" s="1485"/>
      <c r="CG6" s="1485"/>
      <c r="CH6" s="1485"/>
      <c r="CI6" s="1487"/>
      <c r="CJ6" s="1488"/>
      <c r="CK6" s="1485"/>
      <c r="CL6" s="1485"/>
      <c r="CM6" s="1485"/>
      <c r="CN6" s="1485"/>
      <c r="CO6" s="1485"/>
      <c r="CP6" s="1485"/>
      <c r="CQ6" s="1485"/>
      <c r="CR6" s="1485"/>
      <c r="CS6" s="1485"/>
      <c r="CT6" s="1485"/>
      <c r="CU6" s="1484"/>
      <c r="CV6" s="1485"/>
      <c r="CW6" s="1485"/>
      <c r="CX6" s="1485"/>
      <c r="CY6" s="1485"/>
      <c r="CZ6" s="1485"/>
      <c r="DA6" s="1485"/>
      <c r="DB6" s="1485"/>
      <c r="DC6" s="1485"/>
      <c r="DD6" s="1485"/>
      <c r="DE6" s="1485"/>
      <c r="DF6" s="1485"/>
      <c r="DG6" s="1484"/>
      <c r="DH6" s="1485"/>
      <c r="DI6" s="1485"/>
      <c r="DJ6" s="1485"/>
      <c r="DK6" s="1485"/>
      <c r="DL6" s="1485"/>
      <c r="DM6" s="1485"/>
      <c r="DN6" s="1485"/>
      <c r="DO6" s="1485"/>
      <c r="DP6" s="1485"/>
      <c r="DQ6" s="1485"/>
      <c r="DR6" s="1485"/>
      <c r="DS6" s="1484"/>
      <c r="DT6" s="1485"/>
      <c r="DU6" s="1485"/>
      <c r="DV6" s="1485"/>
      <c r="DW6" s="1485"/>
      <c r="DX6" s="1485"/>
      <c r="DY6" s="1485"/>
      <c r="DZ6" s="1485"/>
      <c r="EA6" s="1485"/>
      <c r="EB6" s="1485"/>
      <c r="EC6" s="1485"/>
      <c r="ED6" s="1485"/>
      <c r="EE6" s="1484"/>
      <c r="EF6" s="1485"/>
      <c r="EG6" s="1485"/>
      <c r="EH6" s="1485"/>
      <c r="EI6" s="1485"/>
      <c r="EJ6" s="1485"/>
      <c r="EK6" s="1485"/>
      <c r="EL6" s="1485"/>
      <c r="EM6" s="1485"/>
      <c r="EN6" s="1485"/>
      <c r="EO6" s="1485"/>
      <c r="EP6" s="1485"/>
      <c r="EQ6" s="1484"/>
      <c r="ER6" s="1485"/>
      <c r="ES6" s="1485"/>
      <c r="ET6" s="1485"/>
      <c r="EU6" s="1485"/>
      <c r="EV6" s="1485"/>
      <c r="EW6" s="1485"/>
      <c r="EX6" s="1485"/>
      <c r="EY6" s="1485"/>
      <c r="EZ6" s="1485"/>
      <c r="FA6" s="1485"/>
      <c r="FB6" s="1485"/>
      <c r="FC6" s="1484"/>
      <c r="FD6" s="1485"/>
      <c r="FE6" s="1485"/>
      <c r="FF6" s="1485"/>
      <c r="FG6" s="1485"/>
      <c r="FH6" s="1485"/>
      <c r="FI6" s="1485"/>
      <c r="FJ6" s="1485"/>
      <c r="FK6" s="1485"/>
      <c r="FL6" s="1485"/>
      <c r="FM6" s="1485"/>
      <c r="FN6" s="1485"/>
      <c r="FO6" s="1460"/>
      <c r="FP6" s="1461"/>
      <c r="FQ6" s="1461"/>
      <c r="FR6" s="1461"/>
      <c r="FS6" s="1461"/>
      <c r="FT6" s="1461"/>
      <c r="FU6" s="1461"/>
      <c r="FV6" s="1461"/>
      <c r="FW6" s="1461"/>
      <c r="FX6" s="1461"/>
      <c r="FY6" s="1461"/>
      <c r="FZ6" s="1462"/>
      <c r="GA6"/>
      <c r="GB6" s="1480"/>
      <c r="GC6" s="1493"/>
      <c r="GD6" s="1481"/>
      <c r="GE6"/>
    </row>
    <row r="7" spans="1:187" s="102" customFormat="1" ht="13.9" customHeight="1" x14ac:dyDescent="0.2">
      <c r="A7" s="164" t="s">
        <v>86</v>
      </c>
      <c r="B7" s="1489">
        <v>100</v>
      </c>
      <c r="C7" s="1490">
        <v>136.31</v>
      </c>
      <c r="D7" s="1491">
        <v>137.53399999999999</v>
      </c>
      <c r="E7" s="1491">
        <v>139.04</v>
      </c>
      <c r="F7" s="1491">
        <v>139.91999999999999</v>
      </c>
      <c r="G7" s="1491">
        <v>139.66</v>
      </c>
      <c r="H7" s="1491">
        <v>140.15</v>
      </c>
      <c r="I7" s="1491">
        <v>141.01</v>
      </c>
      <c r="J7" s="1491">
        <v>141.24</v>
      </c>
      <c r="K7" s="1491">
        <v>140.22</v>
      </c>
      <c r="L7" s="1491">
        <v>140.16999999999999</v>
      </c>
      <c r="M7" s="1491">
        <v>140.13999999999999</v>
      </c>
      <c r="N7" s="1492">
        <v>140.46</v>
      </c>
      <c r="O7" s="1490">
        <v>140.09</v>
      </c>
      <c r="P7" s="1491">
        <v>139.08000000000001</v>
      </c>
      <c r="Q7" s="1491">
        <v>138.91999999999999</v>
      </c>
      <c r="R7" s="1491">
        <v>139.12</v>
      </c>
      <c r="S7" s="1491">
        <v>140.16</v>
      </c>
      <c r="T7" s="1491">
        <v>138.72999999999999</v>
      </c>
      <c r="U7" s="1491">
        <v>139.36000000000001</v>
      </c>
      <c r="V7" s="1491">
        <v>139.88999999999999</v>
      </c>
      <c r="W7" s="1491">
        <v>139.31</v>
      </c>
      <c r="X7" s="1491">
        <v>139.41999999999999</v>
      </c>
      <c r="Y7" s="1491">
        <v>139.52000000000001</v>
      </c>
      <c r="Z7" s="1492">
        <v>139.94</v>
      </c>
      <c r="AA7" s="1490">
        <v>139.68</v>
      </c>
      <c r="AB7" s="1491">
        <v>140.28</v>
      </c>
      <c r="AC7" s="1491">
        <v>141.41</v>
      </c>
      <c r="AD7" s="1491">
        <v>142.57</v>
      </c>
      <c r="AE7" s="1491">
        <v>142.99</v>
      </c>
      <c r="AF7" s="1491">
        <v>142.13999999999999</v>
      </c>
      <c r="AG7" s="1491">
        <v>141.97</v>
      </c>
      <c r="AH7" s="1491">
        <v>141.80000000000001</v>
      </c>
      <c r="AI7" s="1491">
        <v>142.22999999999999</v>
      </c>
      <c r="AJ7" s="1491">
        <v>142</v>
      </c>
      <c r="AK7" s="1491">
        <v>141.37</v>
      </c>
      <c r="AL7" s="1492">
        <v>141.26</v>
      </c>
      <c r="AM7" s="1490">
        <v>141.13</v>
      </c>
      <c r="AN7" s="1491">
        <v>141.5</v>
      </c>
      <c r="AO7" s="1491">
        <v>142.41999999999999</v>
      </c>
      <c r="AP7" s="1491">
        <v>143.16999999999999</v>
      </c>
      <c r="AQ7" s="1491">
        <v>144.5</v>
      </c>
      <c r="AR7" s="1491">
        <v>145.02000000000001</v>
      </c>
      <c r="AS7" s="1491">
        <v>146.38</v>
      </c>
      <c r="AT7" s="1491">
        <v>146.59</v>
      </c>
      <c r="AU7" s="1491">
        <v>147.49</v>
      </c>
      <c r="AV7" s="1491">
        <v>149.24</v>
      </c>
      <c r="AW7" s="1491">
        <v>149.57</v>
      </c>
      <c r="AX7" s="1492">
        <v>151.04</v>
      </c>
      <c r="AY7" s="1490">
        <v>151.79</v>
      </c>
      <c r="AZ7" s="1491">
        <v>153.01</v>
      </c>
      <c r="BA7" s="1491">
        <v>154.5</v>
      </c>
      <c r="BB7" s="1491">
        <v>156.46</v>
      </c>
      <c r="BC7" s="1491">
        <v>157.66999999999999</v>
      </c>
      <c r="BD7" s="1491">
        <v>159.28</v>
      </c>
      <c r="BE7" s="1491">
        <v>160.87</v>
      </c>
      <c r="BF7" s="1491">
        <v>163.26</v>
      </c>
      <c r="BG7" s="1491">
        <v>164.78</v>
      </c>
      <c r="BH7" s="1491">
        <v>164.8</v>
      </c>
      <c r="BI7" s="1491">
        <v>165.14</v>
      </c>
      <c r="BJ7" s="1492">
        <v>163.81</v>
      </c>
      <c r="BK7" s="1490">
        <v>163.07</v>
      </c>
      <c r="BL7" s="1491">
        <v>162.68</v>
      </c>
      <c r="BM7" s="1491">
        <v>162.86000000000001</v>
      </c>
      <c r="BN7" s="1491">
        <v>164.26</v>
      </c>
      <c r="BO7" s="1491">
        <v>164.34</v>
      </c>
      <c r="BP7" s="1491">
        <v>164.94</v>
      </c>
      <c r="BQ7" s="1491">
        <v>165.09</v>
      </c>
      <c r="BR7" s="1491">
        <v>165.04</v>
      </c>
      <c r="BS7" s="1491">
        <v>163.91</v>
      </c>
      <c r="BT7" s="1491">
        <v>163.49</v>
      </c>
      <c r="BU7" s="1491">
        <v>162.51</v>
      </c>
      <c r="BV7" s="1492">
        <v>99.664271555000013</v>
      </c>
      <c r="BW7" s="1490">
        <v>100.26810306499999</v>
      </c>
      <c r="BX7" s="1491">
        <v>100.609034897</v>
      </c>
      <c r="BY7" s="1491">
        <v>101.53015080600002</v>
      </c>
      <c r="BZ7" s="1491">
        <v>101.61477934300001</v>
      </c>
      <c r="CA7" s="1491">
        <v>102.109965703</v>
      </c>
      <c r="CB7" s="1491">
        <v>102.526704345</v>
      </c>
      <c r="CC7" s="1491">
        <v>102.722026184</v>
      </c>
      <c r="CD7" s="1491">
        <v>102.619471104</v>
      </c>
      <c r="CE7" s="1491">
        <v>102.57793827100001</v>
      </c>
      <c r="CF7" s="1491">
        <v>102.303631521</v>
      </c>
      <c r="CG7" s="1491">
        <v>102.512959172</v>
      </c>
      <c r="CH7" s="1492">
        <v>102.33277819599999</v>
      </c>
      <c r="CI7" s="1490">
        <v>102.632667944</v>
      </c>
      <c r="CJ7" s="1491">
        <v>102.617977912</v>
      </c>
      <c r="CK7" s="1491">
        <v>103.38387095000002</v>
      </c>
      <c r="CL7" s="1491">
        <v>104.84858426500001</v>
      </c>
      <c r="CM7" s="1491">
        <v>105.365316393</v>
      </c>
      <c r="CN7" s="1491">
        <v>105.298231876</v>
      </c>
      <c r="CO7" s="1491">
        <v>105.97748285000002</v>
      </c>
      <c r="CP7" s="1491">
        <v>106.69882349899999</v>
      </c>
      <c r="CQ7" s="1491">
        <v>107.11875581599999</v>
      </c>
      <c r="CR7" s="1491">
        <v>107.12621375499999</v>
      </c>
      <c r="CS7" s="1491">
        <v>106.934894126</v>
      </c>
      <c r="CT7" s="1492">
        <v>107.150066397</v>
      </c>
      <c r="CU7" s="1490">
        <v>107.34417350000001</v>
      </c>
      <c r="CV7" s="1491">
        <v>107.66713590000001</v>
      </c>
      <c r="CW7" s="1491">
        <v>108.87543390000002</v>
      </c>
      <c r="CX7" s="1491">
        <v>109.7246865</v>
      </c>
      <c r="CY7" s="1491">
        <v>110.29875799999999</v>
      </c>
      <c r="CZ7" s="1491">
        <v>110.31517260000001</v>
      </c>
      <c r="DA7" s="1491">
        <v>109.72183540000002</v>
      </c>
      <c r="DB7" s="1491">
        <v>109.83667740000001</v>
      </c>
      <c r="DC7" s="1491">
        <v>109.87443830000002</v>
      </c>
      <c r="DD7" s="1491">
        <v>109.4185037</v>
      </c>
      <c r="DE7" s="1491">
        <v>109.28115890000001</v>
      </c>
      <c r="DF7" s="1492">
        <v>109.15656180000001</v>
      </c>
      <c r="DG7" s="1490">
        <v>109.09769590000001</v>
      </c>
      <c r="DH7" s="1491">
        <v>108.45709480000001</v>
      </c>
      <c r="DI7" s="1491">
        <v>108.8887716</v>
      </c>
      <c r="DJ7" s="1491">
        <v>109.4571102</v>
      </c>
      <c r="DK7" s="1491">
        <v>110.12788199999999</v>
      </c>
      <c r="DL7" s="1491">
        <v>110.15781440000002</v>
      </c>
      <c r="DM7" s="1491">
        <v>110.24987780000001</v>
      </c>
      <c r="DN7" s="1491">
        <v>110.41876080000002</v>
      </c>
      <c r="DO7" s="1491">
        <v>110.6829936</v>
      </c>
      <c r="DP7" s="1491">
        <v>110.78713590000001</v>
      </c>
      <c r="DQ7" s="1491">
        <v>110.3777489</v>
      </c>
      <c r="DR7" s="1492">
        <v>109.90887280000001</v>
      </c>
      <c r="DS7" s="1490">
        <v>109.8215307</v>
      </c>
      <c r="DT7" s="1491">
        <v>110.15277970000001</v>
      </c>
      <c r="DU7" s="1491">
        <v>111.04051430000001</v>
      </c>
      <c r="DV7" s="1491">
        <v>111.38456740000001</v>
      </c>
      <c r="DW7" s="1491">
        <v>112.1034346</v>
      </c>
      <c r="DX7" s="1491">
        <v>111.6395795</v>
      </c>
      <c r="DY7" s="1491">
        <v>111.92149240000001</v>
      </c>
      <c r="DZ7" s="1491">
        <v>111.38252180000003</v>
      </c>
      <c r="EA7" s="1491">
        <v>111.36687730000001</v>
      </c>
      <c r="EB7" s="1491">
        <v>111.81237500000002</v>
      </c>
      <c r="EC7" s="1491">
        <v>111.6997039</v>
      </c>
      <c r="ED7" s="1492">
        <v>111.60465809999999</v>
      </c>
      <c r="EE7" s="1490">
        <v>111.93751560000001</v>
      </c>
      <c r="EF7" s="1491">
        <v>112.55341660000001</v>
      </c>
      <c r="EG7" s="1491">
        <v>113.63386750000001</v>
      </c>
      <c r="EH7" s="1491">
        <v>114.9331722</v>
      </c>
      <c r="EI7" s="1491">
        <v>115.51929120000001</v>
      </c>
      <c r="EJ7" s="1491">
        <v>115.76087899999999</v>
      </c>
      <c r="EK7" s="1491">
        <v>116.31863410000001</v>
      </c>
      <c r="EL7" s="1491">
        <v>116.68243410000001</v>
      </c>
      <c r="EM7" s="1491">
        <v>116.92541569999999</v>
      </c>
      <c r="EN7" s="1491">
        <v>116.8881889</v>
      </c>
      <c r="EO7" s="1491">
        <v>117.32722950000002</v>
      </c>
      <c r="EP7" s="1492">
        <v>117.4936455</v>
      </c>
      <c r="EQ7" s="1490">
        <v>118.36388969999999</v>
      </c>
      <c r="ER7" s="1491">
        <v>118.11316409999999</v>
      </c>
      <c r="ES7" s="1491">
        <v>118.30583109999999</v>
      </c>
      <c r="ET7" s="1491">
        <v>118.33588950000001</v>
      </c>
      <c r="EU7" s="1491">
        <v>118.4772457</v>
      </c>
      <c r="EV7" s="1491">
        <v>118.87818080000001</v>
      </c>
      <c r="EW7" s="1491">
        <v>119.57582590000001</v>
      </c>
      <c r="EX7" s="1491">
        <v>119.4685714</v>
      </c>
      <c r="EY7" s="1491">
        <v>119.6514121</v>
      </c>
      <c r="EZ7" s="1491">
        <v>119.95256520000001</v>
      </c>
      <c r="FA7" s="1491">
        <v>120.45548130000002</v>
      </c>
      <c r="FB7" s="1492">
        <v>120.52184890000001</v>
      </c>
      <c r="FC7" s="1490">
        <v>120.3073777</v>
      </c>
      <c r="FD7" s="1491">
        <v>120.72202290000001</v>
      </c>
      <c r="FE7" s="1491">
        <v>121.94944079999999</v>
      </c>
      <c r="FF7" s="1491">
        <v>123.51039364223998</v>
      </c>
      <c r="FG7" s="1491">
        <v>122.10237515471844</v>
      </c>
      <c r="FH7" s="1491">
        <v>122.29773895496599</v>
      </c>
      <c r="FI7" s="1491">
        <v>122.49341533729394</v>
      </c>
      <c r="FJ7" s="1491">
        <v>123.04463570631175</v>
      </c>
      <c r="FK7" s="1491">
        <v>123.58603210341951</v>
      </c>
      <c r="FL7" s="1491">
        <v>122.84451591079899</v>
      </c>
      <c r="FM7" s="1491">
        <v>122.55040750029713</v>
      </c>
      <c r="FN7" s="1492">
        <v>122.25628652229642</v>
      </c>
      <c r="FO7" s="1490">
        <v>122.09735334981744</v>
      </c>
      <c r="FP7" s="1491">
        <f t="shared" ref="FP7:FP15" si="0">((GB7/100)+1)*FO7</f>
        <v>122.34154805651707</v>
      </c>
      <c r="FQ7" s="1491"/>
      <c r="FR7" s="1491"/>
      <c r="FS7" s="1491"/>
      <c r="FT7" s="1491"/>
      <c r="FU7" s="1491"/>
      <c r="FV7" s="1491"/>
      <c r="FW7" s="1491"/>
      <c r="FX7" s="1491"/>
      <c r="FY7" s="1491"/>
      <c r="FZ7" s="1492"/>
      <c r="GA7"/>
      <c r="GB7" s="1494">
        <v>0.2</v>
      </c>
      <c r="GC7" s="1494">
        <v>7.0000000000000007E-2</v>
      </c>
      <c r="GD7" s="1494">
        <v>1.38</v>
      </c>
      <c r="GE7"/>
    </row>
    <row r="8" spans="1:187" s="102" customFormat="1" ht="13.9" customHeight="1" x14ac:dyDescent="0.2">
      <c r="A8" s="163" t="s">
        <v>25</v>
      </c>
      <c r="B8" s="182">
        <v>55.23</v>
      </c>
      <c r="C8" s="174">
        <v>125.53</v>
      </c>
      <c r="D8" s="181">
        <v>127.83</v>
      </c>
      <c r="E8" s="181">
        <v>130.43</v>
      </c>
      <c r="F8" s="181">
        <v>131.9</v>
      </c>
      <c r="G8" s="181">
        <v>131.27000000000001</v>
      </c>
      <c r="H8" s="181">
        <v>132.12</v>
      </c>
      <c r="I8" s="181">
        <v>133.91</v>
      </c>
      <c r="J8" s="181">
        <v>134.25</v>
      </c>
      <c r="K8" s="181">
        <v>132.43</v>
      </c>
      <c r="L8" s="181">
        <v>131.84</v>
      </c>
      <c r="M8" s="181">
        <v>131.5</v>
      </c>
      <c r="N8" s="175">
        <v>131.18</v>
      </c>
      <c r="O8" s="174">
        <v>130.53</v>
      </c>
      <c r="P8" s="181">
        <v>129.08000000000001</v>
      </c>
      <c r="Q8" s="181">
        <v>128.80000000000001</v>
      </c>
      <c r="R8" s="181">
        <v>129.06</v>
      </c>
      <c r="S8" s="181">
        <v>130.91</v>
      </c>
      <c r="T8" s="181">
        <v>128.15</v>
      </c>
      <c r="U8" s="181">
        <v>129.11000000000001</v>
      </c>
      <c r="V8" s="181">
        <v>130.13</v>
      </c>
      <c r="W8" s="181">
        <v>128.36000000000001</v>
      </c>
      <c r="X8" s="181">
        <v>127.75</v>
      </c>
      <c r="Y8" s="181">
        <v>126.92</v>
      </c>
      <c r="Z8" s="175">
        <v>127.47</v>
      </c>
      <c r="AA8" s="174">
        <v>127.1</v>
      </c>
      <c r="AB8" s="181">
        <v>127.96</v>
      </c>
      <c r="AC8" s="181">
        <v>129.86000000000001</v>
      </c>
      <c r="AD8" s="181">
        <v>131.85</v>
      </c>
      <c r="AE8" s="181">
        <v>132.79</v>
      </c>
      <c r="AF8" s="181">
        <v>131.38999999999999</v>
      </c>
      <c r="AG8" s="181">
        <v>131.1</v>
      </c>
      <c r="AH8" s="181">
        <v>130.88999999999999</v>
      </c>
      <c r="AI8" s="181">
        <v>131.69</v>
      </c>
      <c r="AJ8" s="181">
        <v>131.41</v>
      </c>
      <c r="AK8" s="181">
        <v>130.33000000000001</v>
      </c>
      <c r="AL8" s="175">
        <v>129.93</v>
      </c>
      <c r="AM8" s="174">
        <v>130.15</v>
      </c>
      <c r="AN8" s="181">
        <v>130.81</v>
      </c>
      <c r="AO8" s="181">
        <v>132.80000000000001</v>
      </c>
      <c r="AP8" s="181">
        <v>134.11000000000001</v>
      </c>
      <c r="AQ8" s="181">
        <v>136.29</v>
      </c>
      <c r="AR8" s="181">
        <v>136.25</v>
      </c>
      <c r="AS8" s="181">
        <v>138.5</v>
      </c>
      <c r="AT8" s="181">
        <v>138.91</v>
      </c>
      <c r="AU8" s="181">
        <v>140.47</v>
      </c>
      <c r="AV8" s="181">
        <v>143.59</v>
      </c>
      <c r="AW8" s="181">
        <v>144.26</v>
      </c>
      <c r="AX8" s="175">
        <v>146.22999999999999</v>
      </c>
      <c r="AY8" s="174">
        <v>147.54</v>
      </c>
      <c r="AZ8" s="181">
        <v>149.99</v>
      </c>
      <c r="BA8" s="181">
        <v>152.22</v>
      </c>
      <c r="BB8" s="181">
        <v>155.75</v>
      </c>
      <c r="BC8" s="181">
        <v>158.29</v>
      </c>
      <c r="BD8" s="181">
        <v>160.63999999999999</v>
      </c>
      <c r="BE8" s="181">
        <v>162.38999999999999</v>
      </c>
      <c r="BF8" s="181">
        <v>163.83000000000001</v>
      </c>
      <c r="BG8" s="181">
        <v>165.02</v>
      </c>
      <c r="BH8" s="181">
        <v>164.36</v>
      </c>
      <c r="BI8" s="181">
        <v>164.48</v>
      </c>
      <c r="BJ8" s="175">
        <v>164.31</v>
      </c>
      <c r="BK8" s="174">
        <v>163.28</v>
      </c>
      <c r="BL8" s="181">
        <v>162.61000000000001</v>
      </c>
      <c r="BM8" s="181">
        <v>163.08000000000001</v>
      </c>
      <c r="BN8" s="181">
        <v>165.85</v>
      </c>
      <c r="BO8" s="181">
        <v>165.48</v>
      </c>
      <c r="BP8" s="181">
        <v>166.03</v>
      </c>
      <c r="BQ8" s="181">
        <v>166.13</v>
      </c>
      <c r="BR8" s="181">
        <v>166.4</v>
      </c>
      <c r="BS8" s="181">
        <v>164.5</v>
      </c>
      <c r="BT8" s="181">
        <v>163.59</v>
      </c>
      <c r="BU8" s="181">
        <v>161.56</v>
      </c>
      <c r="BV8" s="175">
        <v>98.918700000000001</v>
      </c>
      <c r="BW8" s="174">
        <v>99.988200000000006</v>
      </c>
      <c r="BX8" s="181">
        <v>100.503</v>
      </c>
      <c r="BY8" s="181">
        <v>102.35599999999999</v>
      </c>
      <c r="BZ8" s="181">
        <v>102.3053</v>
      </c>
      <c r="CA8" s="181">
        <v>102.879</v>
      </c>
      <c r="CB8" s="181">
        <v>103.7003</v>
      </c>
      <c r="CC8" s="181">
        <v>103.1118</v>
      </c>
      <c r="CD8" s="181">
        <v>103.2919</v>
      </c>
      <c r="CE8" s="181">
        <v>103.2247</v>
      </c>
      <c r="CF8" s="181">
        <v>102.6883</v>
      </c>
      <c r="CG8" s="181">
        <v>102.53530000000001</v>
      </c>
      <c r="CH8" s="175">
        <v>103.1695</v>
      </c>
      <c r="CI8" s="174">
        <v>103.9269</v>
      </c>
      <c r="CJ8" s="181">
        <v>104.27379999999999</v>
      </c>
      <c r="CK8" s="181">
        <v>105.70650000000001</v>
      </c>
      <c r="CL8" s="181">
        <v>109.2863</v>
      </c>
      <c r="CM8" s="181">
        <v>110.6232</v>
      </c>
      <c r="CN8" s="181">
        <v>110.1266</v>
      </c>
      <c r="CO8" s="181">
        <v>111.1979</v>
      </c>
      <c r="CP8" s="181">
        <v>112.5112</v>
      </c>
      <c r="CQ8" s="181">
        <v>113.06059999999999</v>
      </c>
      <c r="CR8" s="181">
        <v>112.82429999999999</v>
      </c>
      <c r="CS8" s="181">
        <v>112.1262</v>
      </c>
      <c r="CT8" s="175">
        <v>112.2191</v>
      </c>
      <c r="CU8" s="174">
        <v>112.54</v>
      </c>
      <c r="CV8" s="181">
        <v>112.78</v>
      </c>
      <c r="CW8" s="181">
        <v>115.1</v>
      </c>
      <c r="CX8" s="181">
        <v>116.97</v>
      </c>
      <c r="CY8" s="181">
        <v>117.72</v>
      </c>
      <c r="CZ8" s="181">
        <v>117.87</v>
      </c>
      <c r="DA8" s="181">
        <v>116.56</v>
      </c>
      <c r="DB8" s="181">
        <v>116.8</v>
      </c>
      <c r="DC8" s="181">
        <v>117.03</v>
      </c>
      <c r="DD8" s="181">
        <v>116</v>
      </c>
      <c r="DE8" s="181">
        <v>115.69</v>
      </c>
      <c r="DF8" s="175">
        <v>115.17</v>
      </c>
      <c r="DG8" s="174">
        <v>115.18</v>
      </c>
      <c r="DH8" s="181">
        <v>113.68</v>
      </c>
      <c r="DI8" s="181">
        <v>114.51</v>
      </c>
      <c r="DJ8" s="181">
        <v>115.6</v>
      </c>
      <c r="DK8" s="181">
        <v>117.6</v>
      </c>
      <c r="DL8" s="181">
        <v>117.42</v>
      </c>
      <c r="DM8" s="181">
        <v>117.4</v>
      </c>
      <c r="DN8" s="181">
        <v>117.28</v>
      </c>
      <c r="DO8" s="181">
        <v>117.63</v>
      </c>
      <c r="DP8" s="181">
        <v>118.06</v>
      </c>
      <c r="DQ8" s="181">
        <v>116.72</v>
      </c>
      <c r="DR8" s="175">
        <v>115.04</v>
      </c>
      <c r="DS8" s="174">
        <v>115.15</v>
      </c>
      <c r="DT8" s="181">
        <v>115.66</v>
      </c>
      <c r="DU8" s="181">
        <v>117.47</v>
      </c>
      <c r="DV8" s="181">
        <v>117.98</v>
      </c>
      <c r="DW8" s="181">
        <v>119.45</v>
      </c>
      <c r="DX8" s="181">
        <v>118.4</v>
      </c>
      <c r="DY8" s="181">
        <v>118.87</v>
      </c>
      <c r="DZ8" s="181">
        <v>117.84</v>
      </c>
      <c r="EA8" s="181">
        <v>117.89</v>
      </c>
      <c r="EB8" s="181">
        <v>118.76</v>
      </c>
      <c r="EC8" s="181">
        <v>118.34</v>
      </c>
      <c r="ED8" s="175">
        <v>118.08</v>
      </c>
      <c r="EE8" s="174">
        <v>118.9</v>
      </c>
      <c r="EF8" s="181">
        <v>120.46</v>
      </c>
      <c r="EG8" s="181">
        <v>121.65</v>
      </c>
      <c r="EH8" s="181">
        <v>124.08</v>
      </c>
      <c r="EI8" s="181">
        <v>124.58</v>
      </c>
      <c r="EJ8" s="181">
        <v>124.76</v>
      </c>
      <c r="EK8" s="181">
        <v>125.05</v>
      </c>
      <c r="EL8" s="181">
        <v>125.6</v>
      </c>
      <c r="EM8" s="181">
        <v>125.94</v>
      </c>
      <c r="EN8" s="181">
        <v>125.88</v>
      </c>
      <c r="EO8" s="181">
        <v>126.73</v>
      </c>
      <c r="EP8" s="175">
        <v>126.5</v>
      </c>
      <c r="EQ8" s="174">
        <v>128.18</v>
      </c>
      <c r="ER8" s="181">
        <v>127.1</v>
      </c>
      <c r="ES8" s="181">
        <v>127.6</v>
      </c>
      <c r="ET8" s="181">
        <v>127.89</v>
      </c>
      <c r="EU8" s="181">
        <v>128.18</v>
      </c>
      <c r="EV8" s="181">
        <v>128.6</v>
      </c>
      <c r="EW8" s="181">
        <v>129.63999999999999</v>
      </c>
      <c r="EX8" s="181">
        <v>129.59</v>
      </c>
      <c r="EY8" s="181">
        <v>130.15</v>
      </c>
      <c r="EZ8" s="181">
        <v>130.41999999999999</v>
      </c>
      <c r="FA8" s="181">
        <v>131.62</v>
      </c>
      <c r="FB8" s="175">
        <v>131.06</v>
      </c>
      <c r="FC8" s="174">
        <v>130.72999999999999</v>
      </c>
      <c r="FD8" s="181">
        <v>131.85</v>
      </c>
      <c r="FE8" s="181">
        <v>134.34</v>
      </c>
      <c r="FF8" s="181">
        <v>137.26861200000002</v>
      </c>
      <c r="FG8" s="181">
        <v>134.11143392400001</v>
      </c>
      <c r="FH8" s="181">
        <v>134.6344685163036</v>
      </c>
      <c r="FI8" s="181">
        <v>134.58061472889707</v>
      </c>
      <c r="FJ8" s="181">
        <v>135.64380158525537</v>
      </c>
      <c r="FK8" s="181">
        <v>136.62043695666924</v>
      </c>
      <c r="FL8" s="181">
        <v>134.89901945101522</v>
      </c>
      <c r="FM8" s="181">
        <v>133.47002573508502</v>
      </c>
      <c r="FN8" s="175">
        <v>132.05524346229311</v>
      </c>
      <c r="FO8" s="174">
        <v>131.63266668321378</v>
      </c>
      <c r="FP8" s="181">
        <f t="shared" si="0"/>
        <v>131.89593201658022</v>
      </c>
      <c r="FQ8" s="181"/>
      <c r="FR8" s="181"/>
      <c r="FS8" s="181"/>
      <c r="FT8" s="181"/>
      <c r="FU8" s="181"/>
      <c r="FV8" s="181"/>
      <c r="FW8" s="181"/>
      <c r="FX8" s="181"/>
      <c r="FY8" s="181"/>
      <c r="FZ8" s="175"/>
      <c r="GA8"/>
      <c r="GB8" s="176">
        <v>0.2</v>
      </c>
      <c r="GC8" s="176">
        <v>-0.13</v>
      </c>
      <c r="GD8" s="176">
        <v>0.46</v>
      </c>
      <c r="GE8"/>
    </row>
    <row r="9" spans="1:187" s="102" customFormat="1" ht="13.9" customHeight="1" x14ac:dyDescent="0.2">
      <c r="A9" s="163" t="s">
        <v>26</v>
      </c>
      <c r="B9" s="182">
        <v>7.66</v>
      </c>
      <c r="C9" s="174">
        <v>138.81</v>
      </c>
      <c r="D9" s="181">
        <v>138.81</v>
      </c>
      <c r="E9" s="181">
        <v>138.81</v>
      </c>
      <c r="F9" s="181">
        <v>138.81</v>
      </c>
      <c r="G9" s="181">
        <v>138.81</v>
      </c>
      <c r="H9" s="181">
        <v>138.41</v>
      </c>
      <c r="I9" s="181">
        <v>137.99</v>
      </c>
      <c r="J9" s="181">
        <v>137.99</v>
      </c>
      <c r="K9" s="181">
        <v>137.85</v>
      </c>
      <c r="L9" s="181">
        <v>137.85</v>
      </c>
      <c r="M9" s="181">
        <v>137.85</v>
      </c>
      <c r="N9" s="175">
        <v>137.85</v>
      </c>
      <c r="O9" s="174">
        <v>137.85</v>
      </c>
      <c r="P9" s="181">
        <v>137.85</v>
      </c>
      <c r="Q9" s="181">
        <v>137.85</v>
      </c>
      <c r="R9" s="181">
        <v>137.85</v>
      </c>
      <c r="S9" s="181">
        <v>137.85</v>
      </c>
      <c r="T9" s="181">
        <v>137.85</v>
      </c>
      <c r="U9" s="181">
        <v>137.85</v>
      </c>
      <c r="V9" s="181">
        <v>137.85</v>
      </c>
      <c r="W9" s="181">
        <v>137.85</v>
      </c>
      <c r="X9" s="181">
        <v>137.85</v>
      </c>
      <c r="Y9" s="181">
        <v>137.85</v>
      </c>
      <c r="Z9" s="175">
        <v>137.85</v>
      </c>
      <c r="AA9" s="174">
        <v>137.85</v>
      </c>
      <c r="AB9" s="181">
        <v>137.87</v>
      </c>
      <c r="AC9" s="181">
        <v>137.94</v>
      </c>
      <c r="AD9" s="181">
        <v>138.04</v>
      </c>
      <c r="AE9" s="181">
        <v>138.04</v>
      </c>
      <c r="AF9" s="181">
        <v>138.04</v>
      </c>
      <c r="AG9" s="181">
        <v>138.04</v>
      </c>
      <c r="AH9" s="181">
        <v>138.04</v>
      </c>
      <c r="AI9" s="181">
        <v>138.04</v>
      </c>
      <c r="AJ9" s="181">
        <v>138.04</v>
      </c>
      <c r="AK9" s="181">
        <v>138.04</v>
      </c>
      <c r="AL9" s="175">
        <v>138.04</v>
      </c>
      <c r="AM9" s="174">
        <v>138.04</v>
      </c>
      <c r="AN9" s="181">
        <v>138.04</v>
      </c>
      <c r="AO9" s="181">
        <v>138.04</v>
      </c>
      <c r="AP9" s="181">
        <v>138.04</v>
      </c>
      <c r="AQ9" s="181">
        <v>138.04</v>
      </c>
      <c r="AR9" s="181">
        <v>138.24</v>
      </c>
      <c r="AS9" s="181">
        <v>138.05000000000001</v>
      </c>
      <c r="AT9" s="181">
        <v>138.05000000000001</v>
      </c>
      <c r="AU9" s="181">
        <v>138.05000000000001</v>
      </c>
      <c r="AV9" s="181">
        <v>138.05000000000001</v>
      </c>
      <c r="AW9" s="181">
        <v>138.05000000000001</v>
      </c>
      <c r="AX9" s="175">
        <v>138.05000000000001</v>
      </c>
      <c r="AY9" s="174">
        <v>138.05000000000001</v>
      </c>
      <c r="AZ9" s="181">
        <v>136.66</v>
      </c>
      <c r="BA9" s="181">
        <v>136.31</v>
      </c>
      <c r="BB9" s="181">
        <v>136.32</v>
      </c>
      <c r="BC9" s="181">
        <v>136.31</v>
      </c>
      <c r="BD9" s="181">
        <v>136.68</v>
      </c>
      <c r="BE9" s="181">
        <v>136.86000000000001</v>
      </c>
      <c r="BF9" s="181">
        <v>136.94999999999999</v>
      </c>
      <c r="BG9" s="181">
        <v>137.05000000000001</v>
      </c>
      <c r="BH9" s="181">
        <v>137.16</v>
      </c>
      <c r="BI9" s="181">
        <v>137.03</v>
      </c>
      <c r="BJ9" s="175">
        <v>137.97</v>
      </c>
      <c r="BK9" s="174">
        <v>138.36000000000001</v>
      </c>
      <c r="BL9" s="181">
        <v>137.94999999999999</v>
      </c>
      <c r="BM9" s="181">
        <v>138.16999999999999</v>
      </c>
      <c r="BN9" s="181">
        <v>138.86000000000001</v>
      </c>
      <c r="BO9" s="181">
        <v>140.35</v>
      </c>
      <c r="BP9" s="181">
        <v>139.88</v>
      </c>
      <c r="BQ9" s="181">
        <v>139.68</v>
      </c>
      <c r="BR9" s="181">
        <v>139.47999999999999</v>
      </c>
      <c r="BS9" s="181">
        <v>139.49</v>
      </c>
      <c r="BT9" s="181">
        <v>139.51</v>
      </c>
      <c r="BU9" s="181">
        <v>139.5</v>
      </c>
      <c r="BV9" s="175">
        <v>99.774799999999999</v>
      </c>
      <c r="BW9" s="174">
        <v>100.22969999999999</v>
      </c>
      <c r="BX9" s="181">
        <v>100.3896</v>
      </c>
      <c r="BY9" s="181">
        <v>101.2589</v>
      </c>
      <c r="BZ9" s="181">
        <v>101.39360000000001</v>
      </c>
      <c r="CA9" s="181">
        <v>101.8309</v>
      </c>
      <c r="CB9" s="181">
        <v>101.94670000000001</v>
      </c>
      <c r="CC9" s="181">
        <v>101.9665</v>
      </c>
      <c r="CD9" s="181">
        <v>101.8896</v>
      </c>
      <c r="CE9" s="181">
        <v>101.80329999999999</v>
      </c>
      <c r="CF9" s="181">
        <v>101.8032</v>
      </c>
      <c r="CG9" s="181">
        <v>101.2341</v>
      </c>
      <c r="CH9" s="175">
        <v>101.1322</v>
      </c>
      <c r="CI9" s="174">
        <v>101.2368</v>
      </c>
      <c r="CJ9" s="181">
        <v>101.496</v>
      </c>
      <c r="CK9" s="181">
        <v>101.7945</v>
      </c>
      <c r="CL9" s="181">
        <v>101.5868</v>
      </c>
      <c r="CM9" s="181">
        <v>101.4967</v>
      </c>
      <c r="CN9" s="181">
        <v>101.2908</v>
      </c>
      <c r="CO9" s="181">
        <v>101.0085</v>
      </c>
      <c r="CP9" s="181">
        <v>101.2216</v>
      </c>
      <c r="CQ9" s="181">
        <v>102.03749999999999</v>
      </c>
      <c r="CR9" s="181">
        <v>102.6827</v>
      </c>
      <c r="CS9" s="181">
        <v>103.2022</v>
      </c>
      <c r="CT9" s="175">
        <v>103.4448</v>
      </c>
      <c r="CU9" s="174">
        <v>103.52</v>
      </c>
      <c r="CV9" s="181">
        <v>104.25</v>
      </c>
      <c r="CW9" s="181">
        <v>104.15</v>
      </c>
      <c r="CX9" s="181">
        <v>104.47</v>
      </c>
      <c r="CY9" s="181">
        <v>104.85</v>
      </c>
      <c r="CZ9" s="181">
        <v>104.06</v>
      </c>
      <c r="DA9" s="181">
        <v>104.05</v>
      </c>
      <c r="DB9" s="181">
        <v>104.43</v>
      </c>
      <c r="DC9" s="181">
        <v>104.31</v>
      </c>
      <c r="DD9" s="181">
        <v>104.33</v>
      </c>
      <c r="DE9" s="181">
        <v>104.27</v>
      </c>
      <c r="DF9" s="175">
        <v>104.89</v>
      </c>
      <c r="DG9" s="174">
        <v>105.07</v>
      </c>
      <c r="DH9" s="181">
        <v>105.33</v>
      </c>
      <c r="DI9" s="181">
        <v>105.33</v>
      </c>
      <c r="DJ9" s="181">
        <v>105.36</v>
      </c>
      <c r="DK9" s="181">
        <v>105.47</v>
      </c>
      <c r="DL9" s="181">
        <v>105.6</v>
      </c>
      <c r="DM9" s="181">
        <v>105.44</v>
      </c>
      <c r="DN9" s="181">
        <v>106.11</v>
      </c>
      <c r="DO9" s="181">
        <v>106.11</v>
      </c>
      <c r="DP9" s="181">
        <v>105.93</v>
      </c>
      <c r="DQ9" s="181">
        <v>105.69</v>
      </c>
      <c r="DR9" s="175">
        <v>105.65</v>
      </c>
      <c r="DS9" s="174">
        <v>105.77</v>
      </c>
      <c r="DT9" s="181">
        <v>105.85</v>
      </c>
      <c r="DU9" s="181">
        <v>105.85</v>
      </c>
      <c r="DV9" s="181">
        <v>106.13</v>
      </c>
      <c r="DW9" s="181">
        <v>106.3</v>
      </c>
      <c r="DX9" s="181">
        <v>106.49</v>
      </c>
      <c r="DY9" s="181">
        <v>106.54</v>
      </c>
      <c r="DZ9" s="181">
        <v>106.56</v>
      </c>
      <c r="EA9" s="181">
        <v>106.45</v>
      </c>
      <c r="EB9" s="181">
        <v>106.45</v>
      </c>
      <c r="EC9" s="181">
        <v>106.39</v>
      </c>
      <c r="ED9" s="175">
        <v>106.36</v>
      </c>
      <c r="EE9" s="174">
        <v>106.45</v>
      </c>
      <c r="EF9" s="181">
        <v>106.45</v>
      </c>
      <c r="EG9" s="181">
        <v>106.45</v>
      </c>
      <c r="EH9" s="181">
        <v>106.59</v>
      </c>
      <c r="EI9" s="181">
        <v>107.1</v>
      </c>
      <c r="EJ9" s="181">
        <v>108.11</v>
      </c>
      <c r="EK9" s="181">
        <v>108.09</v>
      </c>
      <c r="EL9" s="181">
        <v>108.54</v>
      </c>
      <c r="EM9" s="181">
        <v>108.54</v>
      </c>
      <c r="EN9" s="181">
        <v>108.16</v>
      </c>
      <c r="EO9" s="181">
        <v>108.35</v>
      </c>
      <c r="EP9" s="175">
        <v>108.74</v>
      </c>
      <c r="EQ9" s="174">
        <v>110.04</v>
      </c>
      <c r="ER9" s="181">
        <v>110.77</v>
      </c>
      <c r="ES9" s="181">
        <v>110.14</v>
      </c>
      <c r="ET9" s="181">
        <v>110.17</v>
      </c>
      <c r="EU9" s="181">
        <v>110.65</v>
      </c>
      <c r="EV9" s="181">
        <v>110.73</v>
      </c>
      <c r="EW9" s="181">
        <v>110.6</v>
      </c>
      <c r="EX9" s="181">
        <v>110.42</v>
      </c>
      <c r="EY9" s="181">
        <v>110.25</v>
      </c>
      <c r="EZ9" s="181">
        <v>110.09</v>
      </c>
      <c r="FA9" s="181">
        <v>110.09</v>
      </c>
      <c r="FB9" s="175">
        <v>110.12</v>
      </c>
      <c r="FC9" s="174">
        <v>110.39</v>
      </c>
      <c r="FD9" s="181">
        <v>110.8</v>
      </c>
      <c r="FE9" s="181">
        <v>110.73</v>
      </c>
      <c r="FF9" s="181">
        <v>110.57497800000002</v>
      </c>
      <c r="FG9" s="181">
        <v>110.86247294280001</v>
      </c>
      <c r="FH9" s="181">
        <v>110.9844216630371</v>
      </c>
      <c r="FI9" s="181">
        <v>111.46165467618815</v>
      </c>
      <c r="FJ9" s="181">
        <v>112.36449407906527</v>
      </c>
      <c r="FK9" s="181">
        <v>112.49933147196016</v>
      </c>
      <c r="FL9" s="181">
        <v>112.6905803354625</v>
      </c>
      <c r="FM9" s="181">
        <v>112.75067663641465</v>
      </c>
      <c r="FN9" s="175">
        <v>112.80705197473286</v>
      </c>
      <c r="FO9" s="174">
        <v>112.80705197473286</v>
      </c>
      <c r="FP9" s="181">
        <f t="shared" si="0"/>
        <v>113.23571877223685</v>
      </c>
      <c r="FQ9" s="181"/>
      <c r="FR9" s="181"/>
      <c r="FS9" s="181"/>
      <c r="FT9" s="181"/>
      <c r="FU9" s="181"/>
      <c r="FV9" s="181"/>
      <c r="FW9" s="181"/>
      <c r="FX9" s="181"/>
      <c r="FY9" s="181"/>
      <c r="FZ9" s="175"/>
      <c r="GA9"/>
      <c r="GB9" s="176">
        <v>0.38</v>
      </c>
      <c r="GC9" s="176">
        <v>0.38</v>
      </c>
      <c r="GD9" s="176">
        <v>1.99</v>
      </c>
      <c r="GE9"/>
    </row>
    <row r="10" spans="1:187" s="102" customFormat="1" ht="13.9" customHeight="1" x14ac:dyDescent="0.2">
      <c r="A10" s="163" t="s">
        <v>78</v>
      </c>
      <c r="B10" s="182">
        <v>13.53</v>
      </c>
      <c r="C10" s="174">
        <v>160.51</v>
      </c>
      <c r="D10" s="181">
        <v>160.33000000000001</v>
      </c>
      <c r="E10" s="181">
        <v>160.5</v>
      </c>
      <c r="F10" s="181">
        <v>160.82</v>
      </c>
      <c r="G10" s="181">
        <v>161.53</v>
      </c>
      <c r="H10" s="181">
        <v>161.53</v>
      </c>
      <c r="I10" s="181">
        <v>161.38999999999999</v>
      </c>
      <c r="J10" s="181">
        <v>161.52000000000001</v>
      </c>
      <c r="K10" s="181">
        <v>161.55000000000001</v>
      </c>
      <c r="L10" s="181">
        <v>163.72</v>
      </c>
      <c r="M10" s="181">
        <v>165.18</v>
      </c>
      <c r="N10" s="175">
        <v>167.82</v>
      </c>
      <c r="O10" s="174">
        <v>168.8</v>
      </c>
      <c r="P10" s="181">
        <v>167.34</v>
      </c>
      <c r="Q10" s="181">
        <v>167.32</v>
      </c>
      <c r="R10" s="181">
        <v>167.71</v>
      </c>
      <c r="S10" s="181">
        <v>167.85</v>
      </c>
      <c r="T10" s="181">
        <v>168.69</v>
      </c>
      <c r="U10" s="181">
        <v>169.04</v>
      </c>
      <c r="V10" s="181">
        <v>169.01</v>
      </c>
      <c r="W10" s="181">
        <v>171.77</v>
      </c>
      <c r="X10" s="181">
        <v>174.57</v>
      </c>
      <c r="Y10" s="181">
        <v>174.89</v>
      </c>
      <c r="Z10" s="175">
        <v>174.87</v>
      </c>
      <c r="AA10" s="174">
        <v>175.2</v>
      </c>
      <c r="AB10" s="181">
        <v>175.24</v>
      </c>
      <c r="AC10" s="181">
        <v>176.2</v>
      </c>
      <c r="AD10" s="181">
        <v>175.44</v>
      </c>
      <c r="AE10" s="181">
        <v>176.1</v>
      </c>
      <c r="AF10" s="181">
        <v>176.11</v>
      </c>
      <c r="AG10" s="181">
        <v>176.13</v>
      </c>
      <c r="AH10" s="181">
        <v>176.16</v>
      </c>
      <c r="AI10" s="181">
        <v>176.19</v>
      </c>
      <c r="AJ10" s="181">
        <v>176.29</v>
      </c>
      <c r="AK10" s="181">
        <v>176.27</v>
      </c>
      <c r="AL10" s="175">
        <v>176.2</v>
      </c>
      <c r="AM10" s="174">
        <v>176.23</v>
      </c>
      <c r="AN10" s="181">
        <v>176.12</v>
      </c>
      <c r="AO10" s="181">
        <v>175.97</v>
      </c>
      <c r="AP10" s="181">
        <v>175.75</v>
      </c>
      <c r="AQ10" s="181">
        <v>177.05</v>
      </c>
      <c r="AR10" s="181">
        <v>180.78</v>
      </c>
      <c r="AS10" s="181">
        <v>181.11</v>
      </c>
      <c r="AT10" s="181">
        <v>181.19</v>
      </c>
      <c r="AU10" s="181">
        <v>181.19</v>
      </c>
      <c r="AV10" s="181">
        <v>181.26</v>
      </c>
      <c r="AW10" s="181">
        <v>180.25</v>
      </c>
      <c r="AX10" s="175">
        <v>181.67</v>
      </c>
      <c r="AY10" s="174">
        <v>181.69</v>
      </c>
      <c r="AZ10" s="181">
        <v>181.71</v>
      </c>
      <c r="BA10" s="181">
        <v>184.03</v>
      </c>
      <c r="BB10" s="181">
        <v>183.73</v>
      </c>
      <c r="BC10" s="181">
        <v>180.93</v>
      </c>
      <c r="BD10" s="181">
        <v>182.07</v>
      </c>
      <c r="BE10" s="181">
        <v>185.24</v>
      </c>
      <c r="BF10" s="181">
        <v>194.4</v>
      </c>
      <c r="BG10" s="181">
        <v>198.75</v>
      </c>
      <c r="BH10" s="181">
        <v>199.42</v>
      </c>
      <c r="BI10" s="181">
        <v>199.9</v>
      </c>
      <c r="BJ10" s="175">
        <v>188.35</v>
      </c>
      <c r="BK10" s="174">
        <v>187.18</v>
      </c>
      <c r="BL10" s="181">
        <v>187.19</v>
      </c>
      <c r="BM10" s="181">
        <v>185.9</v>
      </c>
      <c r="BN10" s="181">
        <v>185.35</v>
      </c>
      <c r="BO10" s="181">
        <v>187.24</v>
      </c>
      <c r="BP10" s="181">
        <v>187.94</v>
      </c>
      <c r="BQ10" s="181">
        <v>187.73</v>
      </c>
      <c r="BR10" s="181">
        <v>187.42</v>
      </c>
      <c r="BS10" s="181">
        <v>187.46</v>
      </c>
      <c r="BT10" s="181">
        <v>187.26</v>
      </c>
      <c r="BU10" s="181">
        <v>188.05</v>
      </c>
      <c r="BV10" s="175">
        <v>99.534099999999995</v>
      </c>
      <c r="BW10" s="174">
        <v>99.607799999999997</v>
      </c>
      <c r="BX10" s="181">
        <v>100.747</v>
      </c>
      <c r="BY10" s="181">
        <v>101.1259</v>
      </c>
      <c r="BZ10" s="181">
        <v>102.9209</v>
      </c>
      <c r="CA10" s="181">
        <v>104.7985</v>
      </c>
      <c r="CB10" s="181">
        <v>104.9117</v>
      </c>
      <c r="CC10" s="181">
        <v>107.3579</v>
      </c>
      <c r="CD10" s="181">
        <v>107.681</v>
      </c>
      <c r="CE10" s="181">
        <v>107.87820000000001</v>
      </c>
      <c r="CF10" s="181">
        <v>107.80589999999999</v>
      </c>
      <c r="CG10" s="181">
        <v>110.3045</v>
      </c>
      <c r="CH10" s="175">
        <v>102.8272</v>
      </c>
      <c r="CI10" s="174">
        <v>102.1024</v>
      </c>
      <c r="CJ10" s="181">
        <v>101.1405</v>
      </c>
      <c r="CK10" s="181">
        <v>102.9263</v>
      </c>
      <c r="CL10" s="181">
        <v>102.2513</v>
      </c>
      <c r="CM10" s="181">
        <v>101.3112</v>
      </c>
      <c r="CN10" s="181">
        <v>101.1795</v>
      </c>
      <c r="CO10" s="181">
        <v>101.7961</v>
      </c>
      <c r="CP10" s="181">
        <v>102.58969999999999</v>
      </c>
      <c r="CQ10" s="181">
        <v>103.00230000000001</v>
      </c>
      <c r="CR10" s="181">
        <v>103.16759999999999</v>
      </c>
      <c r="CS10" s="181">
        <v>103.6464</v>
      </c>
      <c r="CT10" s="175">
        <v>103.65089999999999</v>
      </c>
      <c r="CU10" s="174">
        <v>104.07</v>
      </c>
      <c r="CV10" s="181">
        <v>105.65</v>
      </c>
      <c r="CW10" s="181">
        <v>106.04</v>
      </c>
      <c r="CX10" s="181">
        <v>106.13</v>
      </c>
      <c r="CY10" s="181">
        <v>108.15</v>
      </c>
      <c r="CZ10" s="181">
        <v>108.3</v>
      </c>
      <c r="DA10" s="181">
        <v>108.26</v>
      </c>
      <c r="DB10" s="181">
        <v>108.59</v>
      </c>
      <c r="DC10" s="181">
        <v>108.72</v>
      </c>
      <c r="DD10" s="181">
        <v>109.48</v>
      </c>
      <c r="DE10" s="181">
        <v>109.58</v>
      </c>
      <c r="DF10" s="175">
        <v>109.35</v>
      </c>
      <c r="DG10" s="174">
        <v>109.42</v>
      </c>
      <c r="DH10" s="181">
        <v>110.19</v>
      </c>
      <c r="DI10" s="181">
        <v>110.4</v>
      </c>
      <c r="DJ10" s="181">
        <v>110.43</v>
      </c>
      <c r="DK10" s="181">
        <v>107.58</v>
      </c>
      <c r="DL10" s="181">
        <v>108.23</v>
      </c>
      <c r="DM10" s="181">
        <v>107.48</v>
      </c>
      <c r="DN10" s="181">
        <v>109.32</v>
      </c>
      <c r="DO10" s="181">
        <v>109.46</v>
      </c>
      <c r="DP10" s="181">
        <v>109.49</v>
      </c>
      <c r="DQ10" s="181">
        <v>112.92</v>
      </c>
      <c r="DR10" s="175">
        <v>113.39</v>
      </c>
      <c r="DS10" s="174">
        <v>113.46</v>
      </c>
      <c r="DT10" s="181">
        <v>114.93</v>
      </c>
      <c r="DU10" s="181">
        <v>115.32</v>
      </c>
      <c r="DV10" s="181">
        <v>115.95</v>
      </c>
      <c r="DW10" s="181">
        <v>115.95</v>
      </c>
      <c r="DX10" s="181">
        <v>116.23</v>
      </c>
      <c r="DY10" s="181">
        <v>116.42</v>
      </c>
      <c r="DZ10" s="181">
        <v>115.22</v>
      </c>
      <c r="EA10" s="181">
        <v>115.35</v>
      </c>
      <c r="EB10" s="181">
        <v>116.09</v>
      </c>
      <c r="EC10" s="181">
        <v>115.95</v>
      </c>
      <c r="ED10" s="175">
        <v>115.96</v>
      </c>
      <c r="EE10" s="174">
        <v>116.33</v>
      </c>
      <c r="EF10" s="181">
        <v>115.71</v>
      </c>
      <c r="EG10" s="181">
        <v>115.76</v>
      </c>
      <c r="EH10" s="181">
        <v>115.94</v>
      </c>
      <c r="EI10" s="181">
        <v>118.9</v>
      </c>
      <c r="EJ10" s="181">
        <v>119.15</v>
      </c>
      <c r="EK10" s="181">
        <v>121.63</v>
      </c>
      <c r="EL10" s="181">
        <v>122.72</v>
      </c>
      <c r="EM10" s="181">
        <v>122.74</v>
      </c>
      <c r="EN10" s="181">
        <v>122.58</v>
      </c>
      <c r="EO10" s="181">
        <v>122.43</v>
      </c>
      <c r="EP10" s="175">
        <v>122.44</v>
      </c>
      <c r="EQ10" s="174">
        <v>123.52</v>
      </c>
      <c r="ER10" s="181">
        <v>123.81</v>
      </c>
      <c r="ES10" s="181">
        <v>123.96</v>
      </c>
      <c r="ET10" s="181">
        <v>122.9</v>
      </c>
      <c r="EU10" s="181">
        <v>122.21</v>
      </c>
      <c r="EV10" s="181">
        <v>122.58</v>
      </c>
      <c r="EW10" s="181">
        <v>122.93</v>
      </c>
      <c r="EX10" s="181">
        <v>119.98</v>
      </c>
      <c r="EY10" s="181">
        <v>115.42</v>
      </c>
      <c r="EZ10" s="181">
        <v>115.19</v>
      </c>
      <c r="FA10" s="181">
        <v>115.12</v>
      </c>
      <c r="FB10" s="175">
        <v>115.5</v>
      </c>
      <c r="FC10" s="174">
        <v>115.51</v>
      </c>
      <c r="FD10" s="181">
        <v>115.69</v>
      </c>
      <c r="FE10" s="181">
        <v>115.82</v>
      </c>
      <c r="FF10" s="181">
        <v>115.958984</v>
      </c>
      <c r="FG10" s="181">
        <v>114.5558802936</v>
      </c>
      <c r="FH10" s="181">
        <v>114.56733588162936</v>
      </c>
      <c r="FI10" s="181">
        <v>114.56733588162936</v>
      </c>
      <c r="FJ10" s="181">
        <v>115.3922206999771</v>
      </c>
      <c r="FK10" s="181">
        <v>116.09611324624696</v>
      </c>
      <c r="FL10" s="181">
        <v>115.95679791035147</v>
      </c>
      <c r="FM10" s="181">
        <v>116.55338579190018</v>
      </c>
      <c r="FN10" s="175">
        <v>117.14780805943889</v>
      </c>
      <c r="FO10" s="174">
        <v>117.37038889475183</v>
      </c>
      <c r="FP10" s="181">
        <f t="shared" si="0"/>
        <v>117.58165559476238</v>
      </c>
      <c r="FQ10" s="181"/>
      <c r="FR10" s="181"/>
      <c r="FS10" s="181"/>
      <c r="FT10" s="181"/>
      <c r="FU10" s="181"/>
      <c r="FV10" s="181"/>
      <c r="FW10" s="181"/>
      <c r="FX10" s="181"/>
      <c r="FY10" s="181"/>
      <c r="FZ10" s="175"/>
      <c r="GA10"/>
      <c r="GB10" s="176">
        <v>0.18</v>
      </c>
      <c r="GC10" s="176">
        <v>0.37</v>
      </c>
      <c r="GD10" s="176">
        <v>1.69</v>
      </c>
      <c r="GE10"/>
    </row>
    <row r="11" spans="1:187" s="102" customFormat="1" ht="13.9" customHeight="1" x14ac:dyDescent="0.2">
      <c r="A11" s="163" t="s">
        <v>79</v>
      </c>
      <c r="B11" s="182">
        <v>5.75</v>
      </c>
      <c r="C11" s="174">
        <v>143.41</v>
      </c>
      <c r="D11" s="181">
        <v>142.52500000000001</v>
      </c>
      <c r="E11" s="181">
        <v>142.53</v>
      </c>
      <c r="F11" s="181">
        <v>142.53</v>
      </c>
      <c r="G11" s="181">
        <v>142.53</v>
      </c>
      <c r="H11" s="181">
        <v>142.46</v>
      </c>
      <c r="I11" s="181">
        <v>142.46</v>
      </c>
      <c r="J11" s="181">
        <v>142.46</v>
      </c>
      <c r="K11" s="181">
        <v>142.46</v>
      </c>
      <c r="L11" s="181">
        <v>142.46</v>
      </c>
      <c r="M11" s="181">
        <v>142.46</v>
      </c>
      <c r="N11" s="175">
        <v>142.46</v>
      </c>
      <c r="O11" s="174">
        <v>142.46</v>
      </c>
      <c r="P11" s="181">
        <v>142.46</v>
      </c>
      <c r="Q11" s="181">
        <v>142.46</v>
      </c>
      <c r="R11" s="181">
        <v>142.46</v>
      </c>
      <c r="S11" s="181">
        <v>142.46</v>
      </c>
      <c r="T11" s="181">
        <v>142.46</v>
      </c>
      <c r="U11" s="181">
        <v>141.58000000000001</v>
      </c>
      <c r="V11" s="181">
        <v>141.58000000000001</v>
      </c>
      <c r="W11" s="181">
        <v>141.53</v>
      </c>
      <c r="X11" s="181">
        <v>141.53</v>
      </c>
      <c r="Y11" s="181">
        <v>140.58000000000001</v>
      </c>
      <c r="Z11" s="175">
        <v>140.58000000000001</v>
      </c>
      <c r="AA11" s="174">
        <v>140.58000000000001</v>
      </c>
      <c r="AB11" s="181">
        <v>140.58000000000001</v>
      </c>
      <c r="AC11" s="181">
        <v>140.91999999999999</v>
      </c>
      <c r="AD11" s="181">
        <v>141.24</v>
      </c>
      <c r="AE11" s="181">
        <v>141.24</v>
      </c>
      <c r="AF11" s="181">
        <v>141.24</v>
      </c>
      <c r="AG11" s="181">
        <v>141.24</v>
      </c>
      <c r="AH11" s="181">
        <v>141.24</v>
      </c>
      <c r="AI11" s="181">
        <v>141.24</v>
      </c>
      <c r="AJ11" s="181">
        <v>141.24</v>
      </c>
      <c r="AK11" s="181">
        <v>141.24</v>
      </c>
      <c r="AL11" s="175">
        <v>141.24</v>
      </c>
      <c r="AM11" s="174">
        <v>140.94999999999999</v>
      </c>
      <c r="AN11" s="181">
        <v>140.93</v>
      </c>
      <c r="AO11" s="181">
        <v>140.97999999999999</v>
      </c>
      <c r="AP11" s="181">
        <v>140.97999999999999</v>
      </c>
      <c r="AQ11" s="181">
        <v>141.1</v>
      </c>
      <c r="AR11" s="181">
        <v>141.1</v>
      </c>
      <c r="AS11" s="181">
        <v>141.1</v>
      </c>
      <c r="AT11" s="181">
        <v>141.1</v>
      </c>
      <c r="AU11" s="181">
        <v>141.56</v>
      </c>
      <c r="AV11" s="181">
        <v>141.56</v>
      </c>
      <c r="AW11" s="181">
        <v>142.13</v>
      </c>
      <c r="AX11" s="175">
        <v>142.13</v>
      </c>
      <c r="AY11" s="174">
        <v>142.13</v>
      </c>
      <c r="AZ11" s="181">
        <v>141.97999999999999</v>
      </c>
      <c r="BA11" s="181">
        <v>142.97999999999999</v>
      </c>
      <c r="BB11" s="181">
        <v>144.05000000000001</v>
      </c>
      <c r="BC11" s="181">
        <v>145.25</v>
      </c>
      <c r="BD11" s="181">
        <v>145.47999999999999</v>
      </c>
      <c r="BE11" s="181">
        <v>145.69</v>
      </c>
      <c r="BF11" s="181">
        <v>147.55000000000001</v>
      </c>
      <c r="BG11" s="181">
        <v>148.27000000000001</v>
      </c>
      <c r="BH11" s="181">
        <v>149.43</v>
      </c>
      <c r="BI11" s="181">
        <v>149.75</v>
      </c>
      <c r="BJ11" s="175">
        <v>150.18</v>
      </c>
      <c r="BK11" s="174">
        <v>149.78</v>
      </c>
      <c r="BL11" s="181">
        <v>150.62</v>
      </c>
      <c r="BM11" s="181">
        <v>151.01</v>
      </c>
      <c r="BN11" s="181">
        <v>151.47999999999999</v>
      </c>
      <c r="BO11" s="181">
        <v>150.83000000000001</v>
      </c>
      <c r="BP11" s="181">
        <v>152.97</v>
      </c>
      <c r="BQ11" s="181">
        <v>153.47999999999999</v>
      </c>
      <c r="BR11" s="181">
        <v>153.9</v>
      </c>
      <c r="BS11" s="181">
        <v>153.66</v>
      </c>
      <c r="BT11" s="181">
        <v>153.72999999999999</v>
      </c>
      <c r="BU11" s="181">
        <v>153.54</v>
      </c>
      <c r="BV11" s="175">
        <v>100.4496</v>
      </c>
      <c r="BW11" s="174">
        <v>100.6133</v>
      </c>
      <c r="BX11" s="181">
        <v>101.3151</v>
      </c>
      <c r="BY11" s="181">
        <v>101.23779999999999</v>
      </c>
      <c r="BZ11" s="181">
        <v>101.67019999999999</v>
      </c>
      <c r="CA11" s="181">
        <v>102.03530000000001</v>
      </c>
      <c r="CB11" s="181">
        <v>102.06610000000001</v>
      </c>
      <c r="CC11" s="181">
        <v>101.95489999999999</v>
      </c>
      <c r="CD11" s="181">
        <v>101.846</v>
      </c>
      <c r="CE11" s="181">
        <v>101.4671</v>
      </c>
      <c r="CF11" s="181">
        <v>101.71420000000001</v>
      </c>
      <c r="CG11" s="181">
        <v>101.7681</v>
      </c>
      <c r="CH11" s="175">
        <v>101.9042</v>
      </c>
      <c r="CI11" s="174">
        <v>101.8681</v>
      </c>
      <c r="CJ11" s="181">
        <v>102.02200000000001</v>
      </c>
      <c r="CK11" s="181">
        <v>102.1198</v>
      </c>
      <c r="CL11" s="181">
        <v>101.9079</v>
      </c>
      <c r="CM11" s="181">
        <v>101.9798</v>
      </c>
      <c r="CN11" s="181">
        <v>102.4461</v>
      </c>
      <c r="CO11" s="181">
        <v>102.595</v>
      </c>
      <c r="CP11" s="181">
        <v>102.5928</v>
      </c>
      <c r="CQ11" s="181">
        <v>103.1515</v>
      </c>
      <c r="CR11" s="181">
        <v>103.47190000000001</v>
      </c>
      <c r="CS11" s="181">
        <v>103.4148</v>
      </c>
      <c r="CT11" s="175">
        <v>103.5337</v>
      </c>
      <c r="CU11" s="174">
        <v>103.09</v>
      </c>
      <c r="CV11" s="181">
        <v>102.76</v>
      </c>
      <c r="CW11" s="181">
        <v>103.31</v>
      </c>
      <c r="CX11" s="181">
        <v>102.82</v>
      </c>
      <c r="CY11" s="181">
        <v>103</v>
      </c>
      <c r="CZ11" s="181">
        <v>102.23</v>
      </c>
      <c r="DA11" s="181">
        <v>102.19</v>
      </c>
      <c r="DB11" s="181">
        <v>102.42</v>
      </c>
      <c r="DC11" s="181">
        <v>102.59</v>
      </c>
      <c r="DD11" s="181">
        <v>102.54</v>
      </c>
      <c r="DE11" s="181">
        <v>102.43</v>
      </c>
      <c r="DF11" s="175">
        <v>102.5</v>
      </c>
      <c r="DG11" s="174">
        <v>102.57</v>
      </c>
      <c r="DH11" s="181">
        <v>102.43</v>
      </c>
      <c r="DI11" s="181">
        <v>102.48</v>
      </c>
      <c r="DJ11" s="181">
        <v>102.5</v>
      </c>
      <c r="DK11" s="181">
        <v>102.27</v>
      </c>
      <c r="DL11" s="181">
        <v>101.9</v>
      </c>
      <c r="DM11" s="181">
        <v>101.67</v>
      </c>
      <c r="DN11" s="181">
        <v>102.56</v>
      </c>
      <c r="DO11" s="181">
        <v>102.82</v>
      </c>
      <c r="DP11" s="181">
        <v>102.8</v>
      </c>
      <c r="DQ11" s="181">
        <v>102.8</v>
      </c>
      <c r="DR11" s="175">
        <v>102.74</v>
      </c>
      <c r="DS11" s="174">
        <v>102.84</v>
      </c>
      <c r="DT11" s="181">
        <v>102.63</v>
      </c>
      <c r="DU11" s="181">
        <v>102.68</v>
      </c>
      <c r="DV11" s="181">
        <v>102.46</v>
      </c>
      <c r="DW11" s="181">
        <v>102.48</v>
      </c>
      <c r="DX11" s="181">
        <v>102.49</v>
      </c>
      <c r="DY11" s="181">
        <v>102.5</v>
      </c>
      <c r="DZ11" s="181">
        <v>103.14</v>
      </c>
      <c r="EA11" s="181">
        <v>103.14</v>
      </c>
      <c r="EB11" s="181">
        <v>103.1</v>
      </c>
      <c r="EC11" s="181">
        <v>103.08</v>
      </c>
      <c r="ED11" s="175">
        <v>103.08</v>
      </c>
      <c r="EE11" s="174">
        <v>103.36</v>
      </c>
      <c r="EF11" s="181">
        <v>103.66</v>
      </c>
      <c r="EG11" s="181">
        <v>103.81</v>
      </c>
      <c r="EH11" s="181">
        <v>104.08</v>
      </c>
      <c r="EI11" s="181">
        <v>104.32</v>
      </c>
      <c r="EJ11" s="181">
        <v>104.78</v>
      </c>
      <c r="EK11" s="181">
        <v>105.96</v>
      </c>
      <c r="EL11" s="181">
        <v>106.36</v>
      </c>
      <c r="EM11" s="181">
        <v>106.63</v>
      </c>
      <c r="EN11" s="181">
        <v>106.87</v>
      </c>
      <c r="EO11" s="181">
        <v>107.31</v>
      </c>
      <c r="EP11" s="175">
        <v>107.14</v>
      </c>
      <c r="EQ11" s="174">
        <v>107.24</v>
      </c>
      <c r="ER11" s="181">
        <v>107.82</v>
      </c>
      <c r="ES11" s="181">
        <v>109.26</v>
      </c>
      <c r="ET11" s="181">
        <v>109.85</v>
      </c>
      <c r="EU11" s="181">
        <v>109.96</v>
      </c>
      <c r="EV11" s="181">
        <v>110.17</v>
      </c>
      <c r="EW11" s="181">
        <v>110.34</v>
      </c>
      <c r="EX11" s="181">
        <v>110.84</v>
      </c>
      <c r="EY11" s="181">
        <v>110.66</v>
      </c>
      <c r="EZ11" s="181">
        <v>111.32</v>
      </c>
      <c r="FA11" s="181">
        <v>111.08</v>
      </c>
      <c r="FB11" s="175">
        <v>110.95</v>
      </c>
      <c r="FC11" s="174">
        <v>111.36</v>
      </c>
      <c r="FD11" s="181">
        <v>111.36</v>
      </c>
      <c r="FE11" s="181">
        <v>111.89</v>
      </c>
      <c r="FF11" s="181">
        <v>112.292804</v>
      </c>
      <c r="FG11" s="181">
        <v>112.88795586120001</v>
      </c>
      <c r="FH11" s="181">
        <v>113.11373177292241</v>
      </c>
      <c r="FI11" s="181">
        <v>113.2720909974045</v>
      </c>
      <c r="FJ11" s="181">
        <v>113.90641470698998</v>
      </c>
      <c r="FK11" s="181">
        <v>114.17979010228674</v>
      </c>
      <c r="FL11" s="181">
        <v>114.29396989238901</v>
      </c>
      <c r="FM11" s="181">
        <v>114.14405650060991</v>
      </c>
      <c r="FN11" s="175">
        <v>113.99566922715911</v>
      </c>
      <c r="FO11" s="174">
        <v>114.89623501405367</v>
      </c>
      <c r="FP11" s="181">
        <f t="shared" si="0"/>
        <v>115.26390296609866</v>
      </c>
      <c r="FQ11" s="181"/>
      <c r="FR11" s="181"/>
      <c r="FS11" s="181"/>
      <c r="FT11" s="181"/>
      <c r="FU11" s="181"/>
      <c r="FV11" s="181"/>
      <c r="FW11" s="181"/>
      <c r="FX11" s="181"/>
      <c r="FY11" s="181"/>
      <c r="FZ11" s="175"/>
      <c r="GA11"/>
      <c r="GB11" s="176">
        <v>0.32</v>
      </c>
      <c r="GC11" s="176">
        <v>1.1100000000000001</v>
      </c>
      <c r="GD11" s="176">
        <v>3.7</v>
      </c>
      <c r="GE11"/>
    </row>
    <row r="12" spans="1:187" s="102" customFormat="1" ht="13.9" customHeight="1" x14ac:dyDescent="0.2">
      <c r="A12" s="163" t="s">
        <v>27</v>
      </c>
      <c r="B12" s="182">
        <v>1.82</v>
      </c>
      <c r="C12" s="174">
        <v>167.67</v>
      </c>
      <c r="D12" s="181">
        <v>167.67</v>
      </c>
      <c r="E12" s="181">
        <v>167.67</v>
      </c>
      <c r="F12" s="181">
        <v>167.67</v>
      </c>
      <c r="G12" s="181">
        <v>167.67</v>
      </c>
      <c r="H12" s="181">
        <v>167.67</v>
      </c>
      <c r="I12" s="181">
        <v>167.65</v>
      </c>
      <c r="J12" s="181">
        <v>167.65</v>
      </c>
      <c r="K12" s="181">
        <v>167.65</v>
      </c>
      <c r="L12" s="181">
        <v>167.65</v>
      </c>
      <c r="M12" s="181">
        <v>167.65</v>
      </c>
      <c r="N12" s="175">
        <v>168.59</v>
      </c>
      <c r="O12" s="174">
        <v>168.59</v>
      </c>
      <c r="P12" s="181">
        <v>168.59</v>
      </c>
      <c r="Q12" s="181">
        <v>168.59</v>
      </c>
      <c r="R12" s="181">
        <v>168.59</v>
      </c>
      <c r="S12" s="181">
        <v>168.59</v>
      </c>
      <c r="T12" s="181">
        <v>168.59</v>
      </c>
      <c r="U12" s="181">
        <v>168.59</v>
      </c>
      <c r="V12" s="181">
        <v>168.59</v>
      </c>
      <c r="W12" s="181">
        <v>168.59</v>
      </c>
      <c r="X12" s="181">
        <v>168.59</v>
      </c>
      <c r="Y12" s="181">
        <v>168.59</v>
      </c>
      <c r="Z12" s="175">
        <v>169.42</v>
      </c>
      <c r="AA12" s="174">
        <v>169.42</v>
      </c>
      <c r="AB12" s="181">
        <v>168.97</v>
      </c>
      <c r="AC12" s="181">
        <v>168.97</v>
      </c>
      <c r="AD12" s="181">
        <v>168.97</v>
      </c>
      <c r="AE12" s="181">
        <v>168.97</v>
      </c>
      <c r="AF12" s="181">
        <v>168.97</v>
      </c>
      <c r="AG12" s="181">
        <v>168.71</v>
      </c>
      <c r="AH12" s="181">
        <v>168.71</v>
      </c>
      <c r="AI12" s="181">
        <v>168.71</v>
      </c>
      <c r="AJ12" s="181">
        <v>168.71</v>
      </c>
      <c r="AK12" s="181">
        <v>168.71</v>
      </c>
      <c r="AL12" s="175">
        <v>168.71</v>
      </c>
      <c r="AM12" s="174">
        <v>169.67</v>
      </c>
      <c r="AN12" s="181">
        <v>167.89</v>
      </c>
      <c r="AO12" s="181">
        <v>167.89</v>
      </c>
      <c r="AP12" s="181">
        <v>167.89</v>
      </c>
      <c r="AQ12" s="181">
        <v>167.89</v>
      </c>
      <c r="AR12" s="181">
        <v>167.89</v>
      </c>
      <c r="AS12" s="181">
        <v>167.89</v>
      </c>
      <c r="AT12" s="181">
        <v>167.89</v>
      </c>
      <c r="AU12" s="181">
        <v>167.89</v>
      </c>
      <c r="AV12" s="181">
        <v>167.89</v>
      </c>
      <c r="AW12" s="181">
        <v>167.89</v>
      </c>
      <c r="AX12" s="175">
        <v>167.89</v>
      </c>
      <c r="AY12" s="174">
        <v>167.51</v>
      </c>
      <c r="AZ12" s="181">
        <v>167.51</v>
      </c>
      <c r="BA12" s="181">
        <v>166.23</v>
      </c>
      <c r="BB12" s="181">
        <v>166.23</v>
      </c>
      <c r="BC12" s="181">
        <v>166.62</v>
      </c>
      <c r="BD12" s="181">
        <v>166.58</v>
      </c>
      <c r="BE12" s="181">
        <v>167.77</v>
      </c>
      <c r="BF12" s="181">
        <v>168.34</v>
      </c>
      <c r="BG12" s="181">
        <v>168.52</v>
      </c>
      <c r="BH12" s="181">
        <v>168.52</v>
      </c>
      <c r="BI12" s="181">
        <v>168.76</v>
      </c>
      <c r="BJ12" s="175">
        <v>169.11</v>
      </c>
      <c r="BK12" s="174">
        <v>168.61</v>
      </c>
      <c r="BL12" s="181">
        <v>168.27</v>
      </c>
      <c r="BM12" s="181">
        <v>166.99</v>
      </c>
      <c r="BN12" s="181">
        <v>165.59</v>
      </c>
      <c r="BO12" s="181">
        <v>165.49</v>
      </c>
      <c r="BP12" s="181">
        <v>165.58</v>
      </c>
      <c r="BQ12" s="181">
        <v>165.37</v>
      </c>
      <c r="BR12" s="181">
        <v>164.37</v>
      </c>
      <c r="BS12" s="181">
        <v>164.76</v>
      </c>
      <c r="BT12" s="181">
        <v>165.59</v>
      </c>
      <c r="BU12" s="181">
        <v>166.65</v>
      </c>
      <c r="BV12" s="175">
        <v>100.2677</v>
      </c>
      <c r="BW12" s="174">
        <v>100.785</v>
      </c>
      <c r="BX12" s="181">
        <v>100.99339999999999</v>
      </c>
      <c r="BY12" s="181">
        <v>100.5813</v>
      </c>
      <c r="BZ12" s="181">
        <v>100.52030000000001</v>
      </c>
      <c r="CA12" s="181">
        <v>100.5903</v>
      </c>
      <c r="CB12" s="181">
        <v>100.58920000000001</v>
      </c>
      <c r="CC12" s="181">
        <v>100.69289999999999</v>
      </c>
      <c r="CD12" s="181">
        <v>100.7235</v>
      </c>
      <c r="CE12" s="181">
        <v>100.727</v>
      </c>
      <c r="CF12" s="181">
        <v>100.735</v>
      </c>
      <c r="CG12" s="181">
        <v>100.97190000000001</v>
      </c>
      <c r="CH12" s="175">
        <v>100.96980000000001</v>
      </c>
      <c r="CI12" s="174">
        <v>100.97790000000001</v>
      </c>
      <c r="CJ12" s="181">
        <v>101.20350000000001</v>
      </c>
      <c r="CK12" s="181">
        <v>101.73269999999999</v>
      </c>
      <c r="CL12" s="181">
        <v>101.5746</v>
      </c>
      <c r="CM12" s="181">
        <v>101.4391</v>
      </c>
      <c r="CN12" s="181">
        <v>102.36239999999999</v>
      </c>
      <c r="CO12" s="181">
        <v>102.3338</v>
      </c>
      <c r="CP12" s="181">
        <v>102.74209999999999</v>
      </c>
      <c r="CQ12" s="181">
        <v>103.6069</v>
      </c>
      <c r="CR12" s="181">
        <v>103.87350000000001</v>
      </c>
      <c r="CS12" s="181">
        <v>103.87350000000001</v>
      </c>
      <c r="CT12" s="175">
        <v>103.2299</v>
      </c>
      <c r="CU12" s="174">
        <v>102.59</v>
      </c>
      <c r="CV12" s="181">
        <v>103.7</v>
      </c>
      <c r="CW12" s="181">
        <v>103.35</v>
      </c>
      <c r="CX12" s="181">
        <v>103.26</v>
      </c>
      <c r="CY12" s="181">
        <v>103.54</v>
      </c>
      <c r="CZ12" s="181">
        <v>103.93</v>
      </c>
      <c r="DA12" s="181">
        <v>105.43</v>
      </c>
      <c r="DB12" s="181">
        <v>104.93</v>
      </c>
      <c r="DC12" s="181">
        <v>104.76</v>
      </c>
      <c r="DD12" s="181">
        <v>104.82</v>
      </c>
      <c r="DE12" s="181">
        <v>104.51</v>
      </c>
      <c r="DF12" s="175">
        <v>104.62</v>
      </c>
      <c r="DG12" s="174">
        <v>104.17</v>
      </c>
      <c r="DH12" s="181">
        <v>104.41</v>
      </c>
      <c r="DI12" s="181">
        <v>104.5</v>
      </c>
      <c r="DJ12" s="181">
        <v>104.41</v>
      </c>
      <c r="DK12" s="181">
        <v>104.19</v>
      </c>
      <c r="DL12" s="181">
        <v>104.54</v>
      </c>
      <c r="DM12" s="181">
        <v>104.74</v>
      </c>
      <c r="DN12" s="181">
        <v>105.09</v>
      </c>
      <c r="DO12" s="181">
        <v>105.43</v>
      </c>
      <c r="DP12" s="181">
        <v>105.02</v>
      </c>
      <c r="DQ12" s="181">
        <v>105.01</v>
      </c>
      <c r="DR12" s="175">
        <v>105.45</v>
      </c>
      <c r="DS12" s="174">
        <v>105.39</v>
      </c>
      <c r="DT12" s="181">
        <v>105.13</v>
      </c>
      <c r="DU12" s="181">
        <v>105.22</v>
      </c>
      <c r="DV12" s="181">
        <v>106.28</v>
      </c>
      <c r="DW12" s="181">
        <v>105.94</v>
      </c>
      <c r="DX12" s="181">
        <v>106.48</v>
      </c>
      <c r="DY12" s="181">
        <v>105.84</v>
      </c>
      <c r="DZ12" s="181">
        <v>105.72</v>
      </c>
      <c r="EA12" s="181">
        <v>105.79</v>
      </c>
      <c r="EB12" s="181">
        <v>105.66</v>
      </c>
      <c r="EC12" s="181">
        <v>107.17</v>
      </c>
      <c r="ED12" s="175">
        <v>106.75</v>
      </c>
      <c r="EE12" s="174">
        <v>107.28</v>
      </c>
      <c r="EF12" s="181">
        <v>107.17</v>
      </c>
      <c r="EG12" s="181">
        <v>106.94</v>
      </c>
      <c r="EH12" s="181">
        <v>107.49</v>
      </c>
      <c r="EI12" s="181">
        <v>107.63</v>
      </c>
      <c r="EJ12" s="181">
        <v>107.46</v>
      </c>
      <c r="EK12" s="181">
        <v>107.74</v>
      </c>
      <c r="EL12" s="181">
        <v>108.07</v>
      </c>
      <c r="EM12" s="181">
        <v>108.34</v>
      </c>
      <c r="EN12" s="181">
        <v>109.52</v>
      </c>
      <c r="EO12" s="181">
        <v>110.53</v>
      </c>
      <c r="EP12" s="175">
        <v>110.92</v>
      </c>
      <c r="EQ12" s="174">
        <v>111.33</v>
      </c>
      <c r="ER12" s="181">
        <v>112.23</v>
      </c>
      <c r="ES12" s="181">
        <v>110.97</v>
      </c>
      <c r="ET12" s="181">
        <v>111.97</v>
      </c>
      <c r="EU12" s="181">
        <v>111.52</v>
      </c>
      <c r="EV12" s="181">
        <v>113.09</v>
      </c>
      <c r="EW12" s="181">
        <v>113.44</v>
      </c>
      <c r="EX12" s="181">
        <v>114.49</v>
      </c>
      <c r="EY12" s="181">
        <v>116.71</v>
      </c>
      <c r="EZ12" s="181">
        <v>117.66</v>
      </c>
      <c r="FA12" s="181">
        <v>117.66</v>
      </c>
      <c r="FB12" s="175">
        <v>117.64</v>
      </c>
      <c r="FC12" s="174">
        <v>117.28</v>
      </c>
      <c r="FD12" s="181">
        <v>117.43</v>
      </c>
      <c r="FE12" s="181">
        <v>117.12</v>
      </c>
      <c r="FF12" s="181">
        <v>117.24883200000002</v>
      </c>
      <c r="FG12" s="181">
        <v>117.06123386880002</v>
      </c>
      <c r="FH12" s="181">
        <v>117.43582981718019</v>
      </c>
      <c r="FI12" s="181">
        <v>118.97423918778527</v>
      </c>
      <c r="FJ12" s="181">
        <v>119.03372630737915</v>
      </c>
      <c r="FK12" s="181">
        <v>119.36702074103981</v>
      </c>
      <c r="FL12" s="181">
        <v>118.88955265807564</v>
      </c>
      <c r="FM12" s="181">
        <v>119.1475982686533</v>
      </c>
      <c r="FN12" s="175">
        <v>119.40972298484434</v>
      </c>
      <c r="FO12" s="174">
        <v>118.58579589624891</v>
      </c>
      <c r="FP12" s="181">
        <f t="shared" si="0"/>
        <v>119.32102783080565</v>
      </c>
      <c r="FQ12" s="181"/>
      <c r="FR12" s="181"/>
      <c r="FS12" s="181"/>
      <c r="FT12" s="181"/>
      <c r="FU12" s="181"/>
      <c r="FV12" s="181"/>
      <c r="FW12" s="181"/>
      <c r="FX12" s="181"/>
      <c r="FY12" s="181"/>
      <c r="FZ12" s="175"/>
      <c r="GA12"/>
      <c r="GB12" s="176">
        <v>0.62</v>
      </c>
      <c r="GC12" s="176">
        <v>-7.0000000000000007E-2</v>
      </c>
      <c r="GD12" s="176">
        <v>2.15</v>
      </c>
      <c r="GE12"/>
    </row>
    <row r="13" spans="1:187" s="102" customFormat="1" ht="13.9" customHeight="1" x14ac:dyDescent="0.2">
      <c r="A13" s="163" t="s">
        <v>119</v>
      </c>
      <c r="B13" s="182">
        <v>6.48</v>
      </c>
      <c r="C13" s="174">
        <v>124.684</v>
      </c>
      <c r="D13" s="181">
        <v>124.77</v>
      </c>
      <c r="E13" s="181">
        <v>124.99</v>
      </c>
      <c r="F13" s="181">
        <v>125.25</v>
      </c>
      <c r="G13" s="181">
        <v>125.28</v>
      </c>
      <c r="H13" s="181">
        <v>126.02</v>
      </c>
      <c r="I13" s="181">
        <v>126.11</v>
      </c>
      <c r="J13" s="181">
        <v>126.86</v>
      </c>
      <c r="K13" s="181">
        <v>127.13</v>
      </c>
      <c r="L13" s="181">
        <v>127.38</v>
      </c>
      <c r="M13" s="181">
        <v>126.85</v>
      </c>
      <c r="N13" s="175">
        <v>129.12</v>
      </c>
      <c r="O13" s="174">
        <v>127.21</v>
      </c>
      <c r="P13" s="181">
        <v>127.36</v>
      </c>
      <c r="Q13" s="181">
        <v>126.95</v>
      </c>
      <c r="R13" s="181">
        <v>127.1</v>
      </c>
      <c r="S13" s="181">
        <v>127.1</v>
      </c>
      <c r="T13" s="181">
        <v>126.73</v>
      </c>
      <c r="U13" s="181">
        <v>128.28</v>
      </c>
      <c r="V13" s="181">
        <v>127.83</v>
      </c>
      <c r="W13" s="181">
        <v>128.41</v>
      </c>
      <c r="X13" s="181">
        <v>129.63999999999999</v>
      </c>
      <c r="Y13" s="181">
        <v>138.27000000000001</v>
      </c>
      <c r="Z13" s="175">
        <v>140.21</v>
      </c>
      <c r="AA13" s="174">
        <v>138.6</v>
      </c>
      <c r="AB13" s="181">
        <v>137.91</v>
      </c>
      <c r="AC13" s="181">
        <v>137.24</v>
      </c>
      <c r="AD13" s="181">
        <v>139.27000000000001</v>
      </c>
      <c r="AE13" s="181">
        <v>136.6</v>
      </c>
      <c r="AF13" s="181">
        <v>135.78</v>
      </c>
      <c r="AG13" s="181">
        <v>135.21</v>
      </c>
      <c r="AH13" s="181">
        <v>134.19999999999999</v>
      </c>
      <c r="AI13" s="181">
        <v>133.97999999999999</v>
      </c>
      <c r="AJ13" s="181">
        <v>132.58000000000001</v>
      </c>
      <c r="AK13" s="181">
        <v>132.1</v>
      </c>
      <c r="AL13" s="175">
        <v>134</v>
      </c>
      <c r="AM13" s="174">
        <v>130.02000000000001</v>
      </c>
      <c r="AN13" s="181">
        <v>129.04</v>
      </c>
      <c r="AO13" s="181">
        <v>126.66</v>
      </c>
      <c r="AP13" s="181">
        <v>127.55</v>
      </c>
      <c r="AQ13" s="181">
        <v>126.59</v>
      </c>
      <c r="AR13" s="181">
        <v>127.07</v>
      </c>
      <c r="AS13" s="181">
        <v>128.4</v>
      </c>
      <c r="AT13" s="181">
        <v>127.87</v>
      </c>
      <c r="AU13" s="181">
        <v>127.84</v>
      </c>
      <c r="AV13" s="181">
        <v>128.13</v>
      </c>
      <c r="AW13" s="181">
        <v>129</v>
      </c>
      <c r="AX13" s="175">
        <v>131.91</v>
      </c>
      <c r="AY13" s="174">
        <v>132.03</v>
      </c>
      <c r="AZ13" s="181">
        <v>130.94999999999999</v>
      </c>
      <c r="BA13" s="181">
        <v>129.72999999999999</v>
      </c>
      <c r="BB13" s="181">
        <v>130.28</v>
      </c>
      <c r="BC13" s="181">
        <v>131.41</v>
      </c>
      <c r="BD13" s="181">
        <v>132.85</v>
      </c>
      <c r="BE13" s="181">
        <v>135.07</v>
      </c>
      <c r="BF13" s="181">
        <v>136.86000000000001</v>
      </c>
      <c r="BG13" s="181">
        <v>138.07</v>
      </c>
      <c r="BH13" s="181">
        <v>138.78</v>
      </c>
      <c r="BI13" s="181">
        <v>140.24</v>
      </c>
      <c r="BJ13" s="175">
        <v>143.4</v>
      </c>
      <c r="BK13" s="174">
        <v>140.69999999999999</v>
      </c>
      <c r="BL13" s="181">
        <v>140.06</v>
      </c>
      <c r="BM13" s="181">
        <v>138.75</v>
      </c>
      <c r="BN13" s="181">
        <v>138.75</v>
      </c>
      <c r="BO13" s="181">
        <v>138.15</v>
      </c>
      <c r="BP13" s="181">
        <v>139.09</v>
      </c>
      <c r="BQ13" s="181">
        <v>139.87</v>
      </c>
      <c r="BR13" s="181">
        <v>138.22</v>
      </c>
      <c r="BS13" s="181">
        <v>137.07</v>
      </c>
      <c r="BT13" s="181">
        <v>137.66999999999999</v>
      </c>
      <c r="BU13" s="181">
        <v>138.12</v>
      </c>
      <c r="BV13" s="175">
        <v>100.422</v>
      </c>
      <c r="BW13" s="174">
        <v>101.1399</v>
      </c>
      <c r="BX13" s="181">
        <v>100.5098</v>
      </c>
      <c r="BY13" s="181">
        <v>100.25790000000001</v>
      </c>
      <c r="BZ13" s="181">
        <v>99.955600000000004</v>
      </c>
      <c r="CA13" s="181">
        <v>100.37949999999999</v>
      </c>
      <c r="CB13" s="181">
        <v>100.5145</v>
      </c>
      <c r="CC13" s="181">
        <v>102.7077</v>
      </c>
      <c r="CD13" s="181">
        <v>101.215</v>
      </c>
      <c r="CE13" s="181">
        <v>101.09220000000001</v>
      </c>
      <c r="CF13" s="181">
        <v>101.05289999999999</v>
      </c>
      <c r="CG13" s="181">
        <v>101.6019</v>
      </c>
      <c r="CH13" s="175">
        <v>102.73699999999999</v>
      </c>
      <c r="CI13" s="174">
        <v>103.012</v>
      </c>
      <c r="CJ13" s="181">
        <v>102.5723</v>
      </c>
      <c r="CK13" s="181">
        <v>102.07340000000001</v>
      </c>
      <c r="CL13" s="181">
        <v>102.0077</v>
      </c>
      <c r="CM13" s="181">
        <v>101.92529999999999</v>
      </c>
      <c r="CN13" s="181">
        <v>102.3232</v>
      </c>
      <c r="CO13" s="181">
        <v>102.4207</v>
      </c>
      <c r="CP13" s="181">
        <v>102.5136</v>
      </c>
      <c r="CQ13" s="181">
        <v>102.14319999999999</v>
      </c>
      <c r="CR13" s="181">
        <v>101.9901</v>
      </c>
      <c r="CS13" s="181">
        <v>102.3407</v>
      </c>
      <c r="CT13" s="175">
        <v>103.6609</v>
      </c>
      <c r="CU13" s="174">
        <v>103.35</v>
      </c>
      <c r="CV13" s="181">
        <v>103.5</v>
      </c>
      <c r="CW13" s="181">
        <v>103.85</v>
      </c>
      <c r="CX13" s="181">
        <v>103.87</v>
      </c>
      <c r="CY13" s="181">
        <v>103.99</v>
      </c>
      <c r="CZ13" s="181">
        <v>104.04</v>
      </c>
      <c r="DA13" s="181">
        <v>103.51</v>
      </c>
      <c r="DB13" s="181">
        <v>103.35</v>
      </c>
      <c r="DC13" s="181">
        <v>102.84</v>
      </c>
      <c r="DD13" s="181">
        <v>102.47</v>
      </c>
      <c r="DE13" s="181">
        <v>102.66</v>
      </c>
      <c r="DF13" s="175">
        <v>103.1</v>
      </c>
      <c r="DG13" s="174">
        <v>102.78</v>
      </c>
      <c r="DH13" s="181">
        <v>102.2</v>
      </c>
      <c r="DI13" s="181">
        <v>102.48</v>
      </c>
      <c r="DJ13" s="181">
        <v>102.5</v>
      </c>
      <c r="DK13" s="181">
        <v>102.6</v>
      </c>
      <c r="DL13" s="181">
        <v>102.81</v>
      </c>
      <c r="DM13" s="181">
        <v>103.04</v>
      </c>
      <c r="DN13" s="181">
        <v>103.36</v>
      </c>
      <c r="DO13" s="181">
        <v>103.22</v>
      </c>
      <c r="DP13" s="181">
        <v>102.76</v>
      </c>
      <c r="DQ13" s="181">
        <v>102.33</v>
      </c>
      <c r="DR13" s="175">
        <v>104.07</v>
      </c>
      <c r="DS13" s="174">
        <v>102.7</v>
      </c>
      <c r="DT13" s="181">
        <v>102.57</v>
      </c>
      <c r="DU13" s="181">
        <v>102.7</v>
      </c>
      <c r="DV13" s="181">
        <v>102.65</v>
      </c>
      <c r="DW13" s="181">
        <v>102.75</v>
      </c>
      <c r="DX13" s="181">
        <v>102.55</v>
      </c>
      <c r="DY13" s="181">
        <v>103.21</v>
      </c>
      <c r="DZ13" s="181">
        <v>102.97</v>
      </c>
      <c r="EA13" s="181">
        <v>102.74</v>
      </c>
      <c r="EB13" s="181">
        <v>102.84</v>
      </c>
      <c r="EC13" s="181">
        <v>103.27</v>
      </c>
      <c r="ED13" s="175">
        <v>103.32</v>
      </c>
      <c r="EE13" s="174">
        <v>101.62</v>
      </c>
      <c r="EF13" s="181">
        <v>101.19</v>
      </c>
      <c r="EG13" s="181">
        <v>104.8</v>
      </c>
      <c r="EH13" s="181">
        <v>105.75</v>
      </c>
      <c r="EI13" s="181">
        <v>106.28</v>
      </c>
      <c r="EJ13" s="181">
        <v>106.55</v>
      </c>
      <c r="EK13" s="181">
        <v>107.15</v>
      </c>
      <c r="EL13" s="181">
        <v>106.8</v>
      </c>
      <c r="EM13" s="181">
        <v>107.06</v>
      </c>
      <c r="EN13" s="181">
        <v>106.91</v>
      </c>
      <c r="EO13" s="181">
        <v>106.71</v>
      </c>
      <c r="EP13" s="175">
        <v>108.78</v>
      </c>
      <c r="EQ13" s="174">
        <v>108.24</v>
      </c>
      <c r="ER13" s="181">
        <v>107.69</v>
      </c>
      <c r="ES13" s="181">
        <v>106.73</v>
      </c>
      <c r="ET13" s="181">
        <v>105.61</v>
      </c>
      <c r="EU13" s="181">
        <v>105.44</v>
      </c>
      <c r="EV13" s="181">
        <v>106</v>
      </c>
      <c r="EW13" s="181">
        <v>106.76</v>
      </c>
      <c r="EX13" s="181">
        <v>106.29</v>
      </c>
      <c r="EY13" s="181">
        <v>106.91</v>
      </c>
      <c r="EZ13" s="181">
        <v>106.89</v>
      </c>
      <c r="FA13" s="181">
        <v>107.04</v>
      </c>
      <c r="FB13" s="175">
        <v>109.69</v>
      </c>
      <c r="FC13" s="174">
        <v>108.75</v>
      </c>
      <c r="FD13" s="181">
        <v>107.49</v>
      </c>
      <c r="FE13" s="181">
        <v>107.32</v>
      </c>
      <c r="FF13" s="181">
        <v>106.66534799999999</v>
      </c>
      <c r="FG13" s="181">
        <v>106.66534799999999</v>
      </c>
      <c r="FH13" s="181">
        <v>106.46268383879999</v>
      </c>
      <c r="FI13" s="181">
        <v>107.22921516243936</v>
      </c>
      <c r="FJ13" s="181">
        <v>106.57511694994848</v>
      </c>
      <c r="FK13" s="181">
        <v>106.89484230079832</v>
      </c>
      <c r="FL13" s="181">
        <v>107.18345837501046</v>
      </c>
      <c r="FM13" s="181">
        <v>109.30905008034381</v>
      </c>
      <c r="FN13" s="175">
        <v>111.47336927193462</v>
      </c>
      <c r="FO13" s="174">
        <v>110.72649769781265</v>
      </c>
      <c r="FP13" s="181">
        <f t="shared" si="0"/>
        <v>110.82615154574067</v>
      </c>
      <c r="FQ13" s="181"/>
      <c r="FR13" s="181"/>
      <c r="FS13" s="181"/>
      <c r="FT13" s="181"/>
      <c r="FU13" s="181"/>
      <c r="FV13" s="181"/>
      <c r="FW13" s="181"/>
      <c r="FX13" s="181"/>
      <c r="FY13" s="181"/>
      <c r="FZ13" s="175"/>
      <c r="GA13"/>
      <c r="GB13" s="176">
        <v>0.09</v>
      </c>
      <c r="GC13" s="176">
        <v>-0.57999999999999996</v>
      </c>
      <c r="GD13" s="176">
        <v>1.79</v>
      </c>
      <c r="GE13"/>
    </row>
    <row r="14" spans="1:187" s="102" customFormat="1" ht="13.9" customHeight="1" x14ac:dyDescent="0.2">
      <c r="A14" s="163" t="s">
        <v>120</v>
      </c>
      <c r="B14" s="182">
        <v>3.49</v>
      </c>
      <c r="C14" s="174">
        <v>173.51400000000001</v>
      </c>
      <c r="D14" s="181">
        <v>174.01499999999999</v>
      </c>
      <c r="E14" s="181">
        <v>175.23</v>
      </c>
      <c r="F14" s="181">
        <v>175.23</v>
      </c>
      <c r="G14" s="181">
        <v>175.23</v>
      </c>
      <c r="H14" s="181">
        <v>175.23</v>
      </c>
      <c r="I14" s="181">
        <v>175.23</v>
      </c>
      <c r="J14" s="181">
        <v>175.23</v>
      </c>
      <c r="K14" s="181">
        <v>175.23</v>
      </c>
      <c r="L14" s="181">
        <v>174.3</v>
      </c>
      <c r="M14" s="181">
        <v>174.3</v>
      </c>
      <c r="N14" s="175">
        <v>173.61</v>
      </c>
      <c r="O14" s="174">
        <v>172.86</v>
      </c>
      <c r="P14" s="181">
        <v>172.74</v>
      </c>
      <c r="Q14" s="181">
        <v>173.37</v>
      </c>
      <c r="R14" s="181">
        <v>173.37</v>
      </c>
      <c r="S14" s="181">
        <v>173.37</v>
      </c>
      <c r="T14" s="181">
        <v>173.37</v>
      </c>
      <c r="U14" s="181">
        <v>173.37</v>
      </c>
      <c r="V14" s="181">
        <v>173.37</v>
      </c>
      <c r="W14" s="181">
        <v>173.37</v>
      </c>
      <c r="X14" s="181">
        <v>173.37</v>
      </c>
      <c r="Y14" s="181">
        <v>173.37</v>
      </c>
      <c r="Z14" s="175">
        <v>173.37</v>
      </c>
      <c r="AA14" s="174">
        <v>173.37</v>
      </c>
      <c r="AB14" s="181">
        <v>178.26</v>
      </c>
      <c r="AC14" s="181">
        <v>177.7</v>
      </c>
      <c r="AD14" s="181">
        <v>177.7</v>
      </c>
      <c r="AE14" s="181">
        <v>177.26</v>
      </c>
      <c r="AF14" s="181">
        <v>176.68</v>
      </c>
      <c r="AG14" s="181">
        <v>177.59</v>
      </c>
      <c r="AH14" s="181">
        <v>177.59</v>
      </c>
      <c r="AI14" s="181">
        <v>177.59</v>
      </c>
      <c r="AJ14" s="181">
        <v>177.59</v>
      </c>
      <c r="AK14" s="181">
        <v>177.59</v>
      </c>
      <c r="AL14" s="175">
        <v>177.59</v>
      </c>
      <c r="AM14" s="174">
        <v>177.59</v>
      </c>
      <c r="AN14" s="181">
        <v>180.32</v>
      </c>
      <c r="AO14" s="181">
        <v>181.19</v>
      </c>
      <c r="AP14" s="181">
        <v>181.19</v>
      </c>
      <c r="AQ14" s="181">
        <v>181.19</v>
      </c>
      <c r="AR14" s="181">
        <v>181.19</v>
      </c>
      <c r="AS14" s="181">
        <v>181.19</v>
      </c>
      <c r="AT14" s="181">
        <v>181.19</v>
      </c>
      <c r="AU14" s="181">
        <v>181.19</v>
      </c>
      <c r="AV14" s="181">
        <v>181.19</v>
      </c>
      <c r="AW14" s="181">
        <v>181.19</v>
      </c>
      <c r="AX14" s="175">
        <v>181.19</v>
      </c>
      <c r="AY14" s="174">
        <v>182.16</v>
      </c>
      <c r="AZ14" s="181">
        <v>182.67</v>
      </c>
      <c r="BA14" s="181">
        <v>182.45</v>
      </c>
      <c r="BB14" s="181">
        <v>181.86</v>
      </c>
      <c r="BC14" s="181">
        <v>182.06</v>
      </c>
      <c r="BD14" s="181">
        <v>181.58</v>
      </c>
      <c r="BE14" s="181">
        <v>181.79</v>
      </c>
      <c r="BF14" s="181">
        <v>182.68</v>
      </c>
      <c r="BG14" s="181">
        <v>184.03</v>
      </c>
      <c r="BH14" s="181">
        <v>186.06</v>
      </c>
      <c r="BI14" s="181">
        <v>187.28</v>
      </c>
      <c r="BJ14" s="175">
        <v>187.71</v>
      </c>
      <c r="BK14" s="174">
        <v>191.99</v>
      </c>
      <c r="BL14" s="181">
        <v>192.08</v>
      </c>
      <c r="BM14" s="181">
        <v>196.47</v>
      </c>
      <c r="BN14" s="181">
        <v>193.22</v>
      </c>
      <c r="BO14" s="181">
        <v>193.28</v>
      </c>
      <c r="BP14" s="181">
        <v>193.14</v>
      </c>
      <c r="BQ14" s="181">
        <v>193.49</v>
      </c>
      <c r="BR14" s="181">
        <v>193.49</v>
      </c>
      <c r="BS14" s="181">
        <v>193.49</v>
      </c>
      <c r="BT14" s="181">
        <v>193.49</v>
      </c>
      <c r="BU14" s="181">
        <v>193.64</v>
      </c>
      <c r="BV14" s="175">
        <v>100.2659</v>
      </c>
      <c r="BW14" s="174">
        <v>100.3254</v>
      </c>
      <c r="BX14" s="181">
        <v>100.7136</v>
      </c>
      <c r="BY14" s="181">
        <v>101.3537</v>
      </c>
      <c r="BZ14" s="181">
        <v>101.199</v>
      </c>
      <c r="CA14" s="181">
        <v>101.04510000000001</v>
      </c>
      <c r="CB14" s="181">
        <v>101.04510000000001</v>
      </c>
      <c r="CC14" s="181">
        <v>100.9807</v>
      </c>
      <c r="CD14" s="181">
        <v>101.07640000000001</v>
      </c>
      <c r="CE14" s="181">
        <v>101.0973</v>
      </c>
      <c r="CF14" s="181">
        <v>101.0151</v>
      </c>
      <c r="CG14" s="181">
        <v>101.1639</v>
      </c>
      <c r="CH14" s="175">
        <v>100.8674</v>
      </c>
      <c r="CI14" s="174">
        <v>100.6474</v>
      </c>
      <c r="CJ14" s="181">
        <v>100.25020000000001</v>
      </c>
      <c r="CK14" s="181">
        <v>100.1348</v>
      </c>
      <c r="CL14" s="181">
        <v>99.941400000000002</v>
      </c>
      <c r="CM14" s="181">
        <v>99.986800000000002</v>
      </c>
      <c r="CN14" s="181">
        <v>100.12269999999999</v>
      </c>
      <c r="CO14" s="181">
        <v>99.897099999999995</v>
      </c>
      <c r="CP14" s="181">
        <v>100.0166</v>
      </c>
      <c r="CQ14" s="181">
        <v>99.956199999999995</v>
      </c>
      <c r="CR14" s="181">
        <v>99.974800000000002</v>
      </c>
      <c r="CS14" s="181">
        <v>100.0716</v>
      </c>
      <c r="CT14" s="175">
        <v>99.929000000000002</v>
      </c>
      <c r="CU14" s="174">
        <v>100.59</v>
      </c>
      <c r="CV14" s="181">
        <v>100.53</v>
      </c>
      <c r="CW14" s="181">
        <v>101.12</v>
      </c>
      <c r="CX14" s="181">
        <v>101.4</v>
      </c>
      <c r="CY14" s="181">
        <v>101.45</v>
      </c>
      <c r="CZ14" s="181">
        <v>101.2</v>
      </c>
      <c r="DA14" s="181">
        <v>101.31</v>
      </c>
      <c r="DB14" s="181">
        <v>101.33</v>
      </c>
      <c r="DC14" s="181">
        <v>101.22</v>
      </c>
      <c r="DD14" s="181">
        <v>101.11</v>
      </c>
      <c r="DE14" s="181">
        <v>100.89</v>
      </c>
      <c r="DF14" s="175">
        <v>100.83</v>
      </c>
      <c r="DG14" s="174">
        <v>100.46</v>
      </c>
      <c r="DH14" s="181">
        <v>100.27</v>
      </c>
      <c r="DI14" s="181">
        <v>100.31</v>
      </c>
      <c r="DJ14" s="181">
        <v>101.02</v>
      </c>
      <c r="DK14" s="181">
        <v>100.82</v>
      </c>
      <c r="DL14" s="181">
        <v>101.01</v>
      </c>
      <c r="DM14" s="181">
        <v>101.15</v>
      </c>
      <c r="DN14" s="181">
        <v>100.25</v>
      </c>
      <c r="DO14" s="181">
        <v>100.48</v>
      </c>
      <c r="DP14" s="181">
        <v>100.32</v>
      </c>
      <c r="DQ14" s="181">
        <v>100.43</v>
      </c>
      <c r="DR14" s="175">
        <v>100.53</v>
      </c>
      <c r="DS14" s="174">
        <v>100.56</v>
      </c>
      <c r="DT14" s="181">
        <v>100.66</v>
      </c>
      <c r="DU14" s="181">
        <v>100.73</v>
      </c>
      <c r="DV14" s="181">
        <v>100.54</v>
      </c>
      <c r="DW14" s="181">
        <v>100.64</v>
      </c>
      <c r="DX14" s="181">
        <v>100.59</v>
      </c>
      <c r="DY14" s="181">
        <v>100.59</v>
      </c>
      <c r="DZ14" s="181">
        <v>100.59</v>
      </c>
      <c r="EA14" s="181">
        <v>100.64</v>
      </c>
      <c r="EB14" s="181">
        <v>100.51</v>
      </c>
      <c r="EC14" s="181">
        <v>100.41</v>
      </c>
      <c r="ED14" s="175">
        <v>100.34</v>
      </c>
      <c r="EE14" s="174">
        <v>100.32</v>
      </c>
      <c r="EF14" s="181">
        <v>100.34</v>
      </c>
      <c r="EG14" s="181">
        <v>101.15</v>
      </c>
      <c r="EH14" s="181">
        <v>101.49</v>
      </c>
      <c r="EI14" s="181">
        <v>101.56</v>
      </c>
      <c r="EJ14" s="181">
        <v>101.56</v>
      </c>
      <c r="EK14" s="181">
        <v>102.06</v>
      </c>
      <c r="EL14" s="181">
        <v>102.07</v>
      </c>
      <c r="EM14" s="181">
        <v>102.12</v>
      </c>
      <c r="EN14" s="181">
        <v>102.05</v>
      </c>
      <c r="EO14" s="181">
        <v>102.05</v>
      </c>
      <c r="EP14" s="175">
        <v>102</v>
      </c>
      <c r="EQ14" s="174">
        <v>101.92</v>
      </c>
      <c r="ER14" s="181">
        <v>102.68</v>
      </c>
      <c r="ES14" s="181">
        <v>103.15</v>
      </c>
      <c r="ET14" s="181">
        <v>103.16</v>
      </c>
      <c r="EU14" s="181">
        <v>103.17</v>
      </c>
      <c r="EV14" s="181">
        <v>103.16</v>
      </c>
      <c r="EW14" s="181">
        <v>104.09</v>
      </c>
      <c r="EX14" s="181">
        <v>104.99</v>
      </c>
      <c r="EY14" s="181">
        <v>106.15</v>
      </c>
      <c r="EZ14" s="181">
        <v>107.17</v>
      </c>
      <c r="FA14" s="181">
        <v>106.89</v>
      </c>
      <c r="FB14" s="175">
        <v>106.82</v>
      </c>
      <c r="FC14" s="174">
        <v>106.8</v>
      </c>
      <c r="FD14" s="181">
        <v>106.68</v>
      </c>
      <c r="FE14" s="181">
        <v>107.52</v>
      </c>
      <c r="FF14" s="181">
        <v>109.83168000000001</v>
      </c>
      <c r="FG14" s="181">
        <v>109.98544435200002</v>
      </c>
      <c r="FH14" s="181">
        <v>109.30353459701762</v>
      </c>
      <c r="FI14" s="181">
        <v>109.03027576052507</v>
      </c>
      <c r="FJ14" s="181">
        <v>109.03027576052507</v>
      </c>
      <c r="FK14" s="181">
        <v>109.03027576052507</v>
      </c>
      <c r="FL14" s="181">
        <v>109.03027576052507</v>
      </c>
      <c r="FM14" s="181">
        <v>109.15027606403112</v>
      </c>
      <c r="FN14" s="175">
        <v>109.27034136770156</v>
      </c>
      <c r="FO14" s="174">
        <v>109.41239281147958</v>
      </c>
      <c r="FP14" s="181">
        <f t="shared" si="0"/>
        <v>109.07321439376399</v>
      </c>
      <c r="FQ14" s="181"/>
      <c r="FR14" s="181"/>
      <c r="FS14" s="181"/>
      <c r="FT14" s="181"/>
      <c r="FU14" s="181"/>
      <c r="FV14" s="181"/>
      <c r="FW14" s="181"/>
      <c r="FX14" s="181"/>
      <c r="FY14" s="181"/>
      <c r="FZ14" s="175"/>
      <c r="GA14"/>
      <c r="GB14" s="176">
        <v>-0.31</v>
      </c>
      <c r="GC14" s="176">
        <v>-0.18</v>
      </c>
      <c r="GD14" s="176">
        <v>2.13</v>
      </c>
      <c r="GE14"/>
    </row>
    <row r="15" spans="1:187" s="102" customFormat="1" ht="13.9" customHeight="1" x14ac:dyDescent="0.2">
      <c r="A15" s="163" t="s">
        <v>28</v>
      </c>
      <c r="B15" s="182">
        <v>6.05</v>
      </c>
      <c r="C15" s="174">
        <v>152.29</v>
      </c>
      <c r="D15" s="181">
        <v>152.29</v>
      </c>
      <c r="E15" s="181">
        <v>152.29</v>
      </c>
      <c r="F15" s="181">
        <v>152.29</v>
      </c>
      <c r="G15" s="181">
        <v>152.29</v>
      </c>
      <c r="H15" s="181">
        <v>152.29</v>
      </c>
      <c r="I15" s="181">
        <v>150.87</v>
      </c>
      <c r="J15" s="181">
        <v>150.47</v>
      </c>
      <c r="K15" s="181">
        <v>150.09</v>
      </c>
      <c r="L15" s="181">
        <v>150.09</v>
      </c>
      <c r="M15" s="181">
        <v>150.09</v>
      </c>
      <c r="N15" s="175">
        <v>150.09</v>
      </c>
      <c r="O15" s="174">
        <v>150.09</v>
      </c>
      <c r="P15" s="181">
        <v>149.83000000000001</v>
      </c>
      <c r="Q15" s="181">
        <v>149.83000000000001</v>
      </c>
      <c r="R15" s="181">
        <v>149.83000000000001</v>
      </c>
      <c r="S15" s="181">
        <v>149.83000000000001</v>
      </c>
      <c r="T15" s="181">
        <v>149.83000000000001</v>
      </c>
      <c r="U15" s="181">
        <v>149.83000000000001</v>
      </c>
      <c r="V15" s="181">
        <v>149.83000000000001</v>
      </c>
      <c r="W15" s="181">
        <v>149.58000000000001</v>
      </c>
      <c r="X15" s="181">
        <v>149.58000000000001</v>
      </c>
      <c r="Y15" s="181">
        <v>149.58000000000001</v>
      </c>
      <c r="Z15" s="175">
        <v>149.35</v>
      </c>
      <c r="AA15" s="174">
        <v>149.35</v>
      </c>
      <c r="AB15" s="181">
        <v>149.29</v>
      </c>
      <c r="AC15" s="181">
        <v>149.29</v>
      </c>
      <c r="AD15" s="181">
        <v>149.29</v>
      </c>
      <c r="AE15" s="181">
        <v>149.29</v>
      </c>
      <c r="AF15" s="181">
        <v>149.29</v>
      </c>
      <c r="AG15" s="181">
        <v>149.19999999999999</v>
      </c>
      <c r="AH15" s="181">
        <v>149.26</v>
      </c>
      <c r="AI15" s="181">
        <v>149.26</v>
      </c>
      <c r="AJ15" s="181">
        <v>149.26</v>
      </c>
      <c r="AK15" s="181">
        <v>149.26</v>
      </c>
      <c r="AL15" s="175">
        <v>149.26</v>
      </c>
      <c r="AM15" s="174">
        <v>149.26</v>
      </c>
      <c r="AN15" s="181">
        <v>149.63999999999999</v>
      </c>
      <c r="AO15" s="181">
        <v>149.04</v>
      </c>
      <c r="AP15" s="181">
        <v>149.04</v>
      </c>
      <c r="AQ15" s="181">
        <v>149.04</v>
      </c>
      <c r="AR15" s="181">
        <v>149.04</v>
      </c>
      <c r="AS15" s="181">
        <v>149.04</v>
      </c>
      <c r="AT15" s="181">
        <v>149.04</v>
      </c>
      <c r="AU15" s="181">
        <v>149.32</v>
      </c>
      <c r="AV15" s="181">
        <v>149.32</v>
      </c>
      <c r="AW15" s="181">
        <v>149.32</v>
      </c>
      <c r="AX15" s="175">
        <v>149.32</v>
      </c>
      <c r="AY15" s="174">
        <v>149.32</v>
      </c>
      <c r="AZ15" s="181">
        <v>149.74</v>
      </c>
      <c r="BA15" s="181">
        <v>150.08000000000001</v>
      </c>
      <c r="BB15" s="181">
        <v>149.71</v>
      </c>
      <c r="BC15" s="181">
        <v>150.19</v>
      </c>
      <c r="BD15" s="181">
        <v>150.88999999999999</v>
      </c>
      <c r="BE15" s="181">
        <v>150.88999999999999</v>
      </c>
      <c r="BF15" s="181">
        <v>152.22999999999999</v>
      </c>
      <c r="BG15" s="181">
        <v>153.81</v>
      </c>
      <c r="BH15" s="181">
        <v>155.47999999999999</v>
      </c>
      <c r="BI15" s="181">
        <v>156.6</v>
      </c>
      <c r="BJ15" s="175">
        <v>156.54</v>
      </c>
      <c r="BK15" s="174">
        <v>156.80000000000001</v>
      </c>
      <c r="BL15" s="181">
        <v>156.84</v>
      </c>
      <c r="BM15" s="181">
        <v>157.13999999999999</v>
      </c>
      <c r="BN15" s="181">
        <v>157.15</v>
      </c>
      <c r="BO15" s="181">
        <v>156.97</v>
      </c>
      <c r="BP15" s="181">
        <v>158.02000000000001</v>
      </c>
      <c r="BQ15" s="181">
        <v>158.69</v>
      </c>
      <c r="BR15" s="181">
        <v>157.96</v>
      </c>
      <c r="BS15" s="181">
        <v>157.97</v>
      </c>
      <c r="BT15" s="181">
        <v>158.72999999999999</v>
      </c>
      <c r="BU15" s="181">
        <v>158.63999999999999</v>
      </c>
      <c r="BV15" s="175">
        <v>101.00069999999999</v>
      </c>
      <c r="BW15" s="174">
        <v>100.57429999999999</v>
      </c>
      <c r="BX15" s="181">
        <v>100.55159999999999</v>
      </c>
      <c r="BY15" s="181">
        <v>100.3685</v>
      </c>
      <c r="BZ15" s="181">
        <v>100.2461</v>
      </c>
      <c r="CA15" s="181">
        <v>100.2946</v>
      </c>
      <c r="CB15" s="181">
        <v>100.4594</v>
      </c>
      <c r="CC15" s="181">
        <v>100.5132</v>
      </c>
      <c r="CD15" s="181">
        <v>100.2638</v>
      </c>
      <c r="CE15" s="181">
        <v>100.4614</v>
      </c>
      <c r="CF15" s="181">
        <v>100.0908</v>
      </c>
      <c r="CG15" s="181">
        <v>100.41119999999999</v>
      </c>
      <c r="CH15" s="175">
        <v>100.39400000000001</v>
      </c>
      <c r="CI15" s="174">
        <v>100.40089999999999</v>
      </c>
      <c r="CJ15" s="181">
        <v>100.014</v>
      </c>
      <c r="CK15" s="181">
        <v>100.24760000000001</v>
      </c>
      <c r="CL15" s="181">
        <v>99.908600000000007</v>
      </c>
      <c r="CM15" s="181">
        <v>99.913600000000002</v>
      </c>
      <c r="CN15" s="181">
        <v>100.59829999999999</v>
      </c>
      <c r="CO15" s="181">
        <v>102.7491</v>
      </c>
      <c r="CP15" s="181">
        <v>102.9958</v>
      </c>
      <c r="CQ15" s="181">
        <v>103.98260000000001</v>
      </c>
      <c r="CR15" s="181">
        <v>104.5749</v>
      </c>
      <c r="CS15" s="181">
        <v>104.5791</v>
      </c>
      <c r="CT15" s="175">
        <v>104.82810000000001</v>
      </c>
      <c r="CU15" s="174">
        <v>105.16</v>
      </c>
      <c r="CV15" s="181">
        <v>105.42</v>
      </c>
      <c r="CW15" s="181">
        <v>105.6</v>
      </c>
      <c r="CX15" s="181">
        <v>105.34</v>
      </c>
      <c r="CY15" s="181">
        <v>105.57</v>
      </c>
      <c r="CZ15" s="181">
        <v>106.14</v>
      </c>
      <c r="DA15" s="181">
        <v>106.2</v>
      </c>
      <c r="DB15" s="181">
        <v>105.91</v>
      </c>
      <c r="DC15" s="181">
        <v>106.01</v>
      </c>
      <c r="DD15" s="181">
        <v>106.06</v>
      </c>
      <c r="DE15" s="181">
        <v>106.23</v>
      </c>
      <c r="DF15" s="175">
        <v>106.63</v>
      </c>
      <c r="DG15" s="174">
        <v>106.72</v>
      </c>
      <c r="DH15" s="181">
        <v>107.36</v>
      </c>
      <c r="DI15" s="181">
        <v>107.31</v>
      </c>
      <c r="DJ15" s="181">
        <v>107.3</v>
      </c>
      <c r="DK15" s="181">
        <v>107.52</v>
      </c>
      <c r="DL15" s="181">
        <v>107.73</v>
      </c>
      <c r="DM15" s="181">
        <v>109.39</v>
      </c>
      <c r="DN15" s="181">
        <v>109.71</v>
      </c>
      <c r="DO15" s="181">
        <v>110.5</v>
      </c>
      <c r="DP15" s="181">
        <v>110.61</v>
      </c>
      <c r="DQ15" s="181">
        <v>110.47</v>
      </c>
      <c r="DR15" s="175">
        <v>110.58</v>
      </c>
      <c r="DS15" s="174">
        <v>110.75</v>
      </c>
      <c r="DT15" s="181">
        <v>110.86</v>
      </c>
      <c r="DU15" s="181">
        <v>111.07</v>
      </c>
      <c r="DV15" s="181">
        <v>111.74</v>
      </c>
      <c r="DW15" s="181">
        <v>112.23</v>
      </c>
      <c r="DX15" s="181">
        <v>112.01</v>
      </c>
      <c r="DY15" s="181">
        <v>111.9</v>
      </c>
      <c r="DZ15" s="181">
        <v>111.99</v>
      </c>
      <c r="EA15" s="181">
        <v>111.74</v>
      </c>
      <c r="EB15" s="181">
        <v>111.83</v>
      </c>
      <c r="EC15" s="181">
        <v>111.85</v>
      </c>
      <c r="ED15" s="175">
        <v>112.3</v>
      </c>
      <c r="EE15" s="174">
        <v>113.66</v>
      </c>
      <c r="EF15" s="181">
        <v>113.69</v>
      </c>
      <c r="EG15" s="181">
        <v>113.68</v>
      </c>
      <c r="EH15" s="181">
        <v>113.61</v>
      </c>
      <c r="EI15" s="181">
        <v>113.72</v>
      </c>
      <c r="EJ15" s="181">
        <v>113.94</v>
      </c>
      <c r="EK15" s="181">
        <v>114.27</v>
      </c>
      <c r="EL15" s="181">
        <v>114.41</v>
      </c>
      <c r="EM15" s="181">
        <v>114.68</v>
      </c>
      <c r="EN15" s="181">
        <v>114.7</v>
      </c>
      <c r="EO15" s="181">
        <v>115.02</v>
      </c>
      <c r="EP15" s="175">
        <v>114.82</v>
      </c>
      <c r="EQ15" s="174">
        <v>114.93</v>
      </c>
      <c r="ER15" s="181">
        <v>115.96</v>
      </c>
      <c r="ES15" s="181">
        <v>116.18</v>
      </c>
      <c r="ET15" s="181">
        <v>116.81</v>
      </c>
      <c r="EU15" s="181">
        <v>117.6</v>
      </c>
      <c r="EV15" s="181">
        <v>118.18</v>
      </c>
      <c r="EW15" s="181">
        <v>118.06</v>
      </c>
      <c r="EX15" s="181">
        <v>118.7</v>
      </c>
      <c r="EY15" s="181">
        <v>119.05</v>
      </c>
      <c r="EZ15" s="181">
        <v>119.36</v>
      </c>
      <c r="FA15" s="181">
        <v>119.34</v>
      </c>
      <c r="FB15" s="175">
        <v>118.97</v>
      </c>
      <c r="FC15" s="174">
        <v>119.23</v>
      </c>
      <c r="FD15" s="181">
        <v>119.72</v>
      </c>
      <c r="FE15" s="181">
        <v>119.86</v>
      </c>
      <c r="FF15" s="181">
        <v>120.47128600000001</v>
      </c>
      <c r="FG15" s="181">
        <v>121.07364242999999</v>
      </c>
      <c r="FH15" s="181">
        <v>121.497400178505</v>
      </c>
      <c r="FI15" s="181">
        <v>122.20208509954034</v>
      </c>
      <c r="FJ15" s="181">
        <v>122.09210322295075</v>
      </c>
      <c r="FK15" s="181">
        <v>121.76245454424878</v>
      </c>
      <c r="FL15" s="181">
        <v>121.8233357715209</v>
      </c>
      <c r="FM15" s="181">
        <v>122.0139198291297</v>
      </c>
      <c r="FN15" s="175">
        <v>122.20914210085631</v>
      </c>
      <c r="FO15" s="174">
        <v>122.99128061030179</v>
      </c>
      <c r="FP15" s="181">
        <f t="shared" si="0"/>
        <v>123.74152742202463</v>
      </c>
      <c r="FQ15" s="181"/>
      <c r="FR15" s="181"/>
      <c r="FS15" s="181"/>
      <c r="FT15" s="181"/>
      <c r="FU15" s="181"/>
      <c r="FV15" s="181"/>
      <c r="FW15" s="181"/>
      <c r="FX15" s="181"/>
      <c r="FY15" s="181"/>
      <c r="FZ15" s="175"/>
      <c r="GA15"/>
      <c r="GB15" s="176">
        <v>0.61</v>
      </c>
      <c r="GC15" s="176">
        <v>1.26</v>
      </c>
      <c r="GD15" s="176">
        <v>2.88</v>
      </c>
      <c r="GE15"/>
    </row>
    <row r="16" spans="1:187" s="160" customFormat="1" ht="13.9" customHeight="1" x14ac:dyDescent="0.2">
      <c r="A16" s="165"/>
      <c r="B16" s="183"/>
      <c r="C16" s="177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9"/>
      <c r="O16" s="177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9"/>
      <c r="AA16" s="177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9"/>
      <c r="AM16" s="177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9"/>
      <c r="AY16" s="177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9"/>
      <c r="BK16" s="177"/>
      <c r="BL16" s="178"/>
      <c r="BM16" s="178"/>
      <c r="BN16" s="178"/>
      <c r="BO16" s="178"/>
      <c r="BP16" s="178"/>
      <c r="BQ16" s="178"/>
      <c r="BR16" s="178"/>
      <c r="BS16" s="178"/>
      <c r="BT16" s="178"/>
      <c r="BU16" s="178"/>
      <c r="BV16" s="179"/>
      <c r="BW16" s="177"/>
      <c r="BX16" s="178"/>
      <c r="BY16" s="178"/>
      <c r="BZ16" s="178"/>
      <c r="CA16" s="178"/>
      <c r="CB16" s="178"/>
      <c r="CC16" s="178"/>
      <c r="CD16" s="178"/>
      <c r="CE16" s="178"/>
      <c r="CF16" s="178"/>
      <c r="CG16" s="178"/>
      <c r="CH16" s="179"/>
      <c r="CI16" s="177"/>
      <c r="CJ16" s="178"/>
      <c r="CK16" s="178"/>
      <c r="CL16" s="178"/>
      <c r="CM16" s="178"/>
      <c r="CN16" s="178"/>
      <c r="CO16" s="178"/>
      <c r="CP16" s="178"/>
      <c r="CQ16" s="178"/>
      <c r="CR16" s="178"/>
      <c r="CS16" s="178"/>
      <c r="CT16" s="179"/>
      <c r="CU16" s="177"/>
      <c r="CV16" s="178"/>
      <c r="CW16" s="178"/>
      <c r="CX16" s="178"/>
      <c r="CY16" s="178"/>
      <c r="CZ16" s="178"/>
      <c r="DA16" s="178"/>
      <c r="DB16" s="178"/>
      <c r="DC16" s="178"/>
      <c r="DD16" s="178"/>
      <c r="DE16" s="178"/>
      <c r="DF16" s="179"/>
      <c r="DG16" s="177"/>
      <c r="DH16" s="178"/>
      <c r="DI16" s="178"/>
      <c r="DJ16" s="178"/>
      <c r="DK16" s="178"/>
      <c r="DL16" s="178"/>
      <c r="DM16" s="178"/>
      <c r="DN16" s="178"/>
      <c r="DO16" s="178"/>
      <c r="DP16" s="178"/>
      <c r="DQ16" s="178"/>
      <c r="DR16" s="179"/>
      <c r="DS16" s="177"/>
      <c r="DT16" s="178"/>
      <c r="DU16" s="178"/>
      <c r="DV16" s="178"/>
      <c r="DW16" s="178"/>
      <c r="DX16" s="178"/>
      <c r="DY16" s="178"/>
      <c r="DZ16" s="178"/>
      <c r="EA16" s="178"/>
      <c r="EB16" s="178"/>
      <c r="EC16" s="178"/>
      <c r="ED16" s="179"/>
      <c r="EE16" s="177"/>
      <c r="EF16" s="178"/>
      <c r="EG16" s="178"/>
      <c r="EH16" s="178"/>
      <c r="EI16" s="178"/>
      <c r="EJ16" s="178"/>
      <c r="EK16" s="178"/>
      <c r="EL16" s="178"/>
      <c r="EM16" s="178"/>
      <c r="EN16" s="178"/>
      <c r="EO16" s="178"/>
      <c r="EP16" s="179"/>
      <c r="EQ16" s="177"/>
      <c r="ER16" s="178"/>
      <c r="ES16" s="178"/>
      <c r="ET16" s="178"/>
      <c r="EU16" s="178"/>
      <c r="EV16" s="178"/>
      <c r="EW16" s="178"/>
      <c r="EX16" s="178"/>
      <c r="EY16" s="178"/>
      <c r="EZ16" s="178"/>
      <c r="FA16" s="178"/>
      <c r="FB16" s="179"/>
      <c r="FC16" s="177"/>
      <c r="FD16" s="178"/>
      <c r="FE16" s="178"/>
      <c r="FF16" s="178"/>
      <c r="FG16" s="178"/>
      <c r="FH16" s="178"/>
      <c r="FI16" s="178"/>
      <c r="FJ16" s="178"/>
      <c r="FK16" s="178"/>
      <c r="FL16" s="178"/>
      <c r="FM16" s="178"/>
      <c r="FN16" s="179"/>
      <c r="FO16" s="177"/>
      <c r="FP16" s="178"/>
      <c r="FQ16" s="178"/>
      <c r="FR16" s="178"/>
      <c r="FS16" s="178"/>
      <c r="FT16" s="178"/>
      <c r="FU16" s="178"/>
      <c r="FV16" s="178"/>
      <c r="FW16" s="178"/>
      <c r="FX16" s="178"/>
      <c r="FY16" s="178"/>
      <c r="FZ16" s="179"/>
      <c r="GA16"/>
      <c r="GB16" s="180"/>
      <c r="GC16" s="180"/>
      <c r="GD16" s="180"/>
      <c r="GE16"/>
    </row>
    <row r="17" spans="1:187" s="102" customFormat="1" ht="13.9" customHeight="1" x14ac:dyDescent="0.2">
      <c r="A17" s="102" t="s">
        <v>100</v>
      </c>
      <c r="GA17"/>
      <c r="GC17" s="136"/>
      <c r="GE17"/>
    </row>
    <row r="18" spans="1:187" s="102" customFormat="1" ht="13.9" customHeight="1" x14ac:dyDescent="0.2">
      <c r="A18" s="102" t="s">
        <v>352</v>
      </c>
      <c r="AG18" s="136"/>
      <c r="GA18"/>
      <c r="GE18"/>
    </row>
    <row r="19" spans="1:187" s="102" customFormat="1" ht="13.9" customHeight="1" x14ac:dyDescent="0.2">
      <c r="A19" s="158" t="s">
        <v>152</v>
      </c>
      <c r="GA19"/>
      <c r="GC19" s="159"/>
      <c r="GE19"/>
    </row>
    <row r="20" spans="1:187" s="102" customFormat="1" ht="13.9" customHeight="1" x14ac:dyDescent="0.2">
      <c r="A20" s="158" t="s">
        <v>617</v>
      </c>
      <c r="GA20"/>
      <c r="GC20" s="136"/>
      <c r="GE20"/>
    </row>
    <row r="21" spans="1:187" s="102" customFormat="1" ht="13.9" customHeight="1" x14ac:dyDescent="0.2">
      <c r="A21" s="172"/>
      <c r="B21" s="1483"/>
      <c r="C21" s="1484"/>
      <c r="D21" s="1485"/>
      <c r="E21" s="1485"/>
      <c r="F21" s="1485"/>
      <c r="G21" s="1485"/>
      <c r="H21" s="1485"/>
      <c r="I21" s="1485"/>
      <c r="J21" s="1485"/>
      <c r="K21" s="1485"/>
      <c r="L21" s="1485"/>
      <c r="M21" s="1485"/>
      <c r="N21" s="1485"/>
      <c r="O21" s="1484"/>
      <c r="P21" s="1485"/>
      <c r="Q21" s="1485"/>
      <c r="R21" s="1485"/>
      <c r="S21" s="1485"/>
      <c r="T21" s="1485"/>
      <c r="U21" s="1485"/>
      <c r="V21" s="1485"/>
      <c r="W21" s="1485"/>
      <c r="X21" s="1485"/>
      <c r="Y21" s="1485"/>
      <c r="Z21" s="1485"/>
      <c r="AA21" s="1484"/>
      <c r="AB21" s="1485"/>
      <c r="AC21" s="1485"/>
      <c r="AD21" s="1485"/>
      <c r="AE21" s="1485"/>
      <c r="AF21" s="1485"/>
      <c r="AG21" s="1485"/>
      <c r="AH21" s="1485"/>
      <c r="AI21" s="1485"/>
      <c r="AJ21" s="1485"/>
      <c r="AK21" s="1485"/>
      <c r="AL21" s="1486"/>
      <c r="AM21" s="1485"/>
      <c r="AN21" s="1485"/>
      <c r="AO21" s="1485"/>
      <c r="AP21" s="1485"/>
      <c r="AQ21" s="1485"/>
      <c r="AR21" s="1485"/>
      <c r="AS21" s="1485"/>
      <c r="AT21" s="1485"/>
      <c r="AU21" s="1485"/>
      <c r="AV21" s="1485"/>
      <c r="AW21" s="1485"/>
      <c r="AX21" s="1486"/>
      <c r="AY21" s="1484"/>
      <c r="AZ21" s="1485"/>
      <c r="BA21" s="1485"/>
      <c r="BB21" s="1485"/>
      <c r="BC21" s="1485"/>
      <c r="BD21" s="1485"/>
      <c r="BE21" s="1485"/>
      <c r="BF21" s="1485"/>
      <c r="BG21" s="1485"/>
      <c r="BH21" s="1485"/>
      <c r="BI21" s="1485"/>
      <c r="BJ21" s="1486"/>
      <c r="BK21" s="1485"/>
      <c r="BL21" s="1485"/>
      <c r="BM21" s="1485"/>
      <c r="BN21" s="1485"/>
      <c r="BO21" s="1485"/>
      <c r="BP21" s="1485"/>
      <c r="BQ21" s="1485"/>
      <c r="BR21" s="1485"/>
      <c r="BS21" s="1485"/>
      <c r="BT21" s="1485"/>
      <c r="BU21" s="1485"/>
      <c r="BV21" s="1485"/>
      <c r="BW21" s="1484"/>
      <c r="BX21" s="1485"/>
      <c r="BY21" s="1485"/>
      <c r="BZ21" s="1485"/>
      <c r="CA21" s="1485"/>
      <c r="CB21" s="1485"/>
      <c r="CC21" s="1485"/>
      <c r="CD21" s="1485"/>
      <c r="CE21" s="1485"/>
      <c r="CF21" s="1485"/>
      <c r="CG21" s="1485"/>
      <c r="CH21" s="1485"/>
      <c r="CI21" s="1487"/>
      <c r="CJ21" s="1488"/>
      <c r="CK21" s="1485"/>
      <c r="CL21" s="1485"/>
      <c r="CM21" s="1485"/>
      <c r="CN21" s="1485"/>
      <c r="CO21" s="1485"/>
      <c r="CP21" s="1485"/>
      <c r="CQ21" s="1485"/>
      <c r="CR21" s="1485"/>
      <c r="CS21" s="1485"/>
      <c r="CT21" s="1485"/>
      <c r="CU21" s="1484"/>
      <c r="CV21" s="1485"/>
      <c r="CW21" s="1485"/>
      <c r="CX21" s="1485"/>
      <c r="CY21" s="1485"/>
      <c r="CZ21" s="1485"/>
      <c r="DA21" s="1485"/>
      <c r="DB21" s="1485"/>
      <c r="DC21" s="1485"/>
      <c r="DD21" s="1485"/>
      <c r="DE21" s="1485"/>
      <c r="DF21" s="1485"/>
      <c r="DG21" s="1484"/>
      <c r="DH21" s="1485"/>
      <c r="DI21" s="1485"/>
      <c r="DJ21" s="1485"/>
      <c r="DK21" s="1485"/>
      <c r="DL21" s="1485"/>
      <c r="DM21" s="1485"/>
      <c r="DN21" s="1485"/>
      <c r="DO21" s="1485"/>
      <c r="DP21" s="1485"/>
      <c r="DQ21" s="1485"/>
      <c r="DR21" s="1485"/>
      <c r="DS21" s="1484"/>
      <c r="DT21" s="1485"/>
      <c r="DU21" s="1485"/>
      <c r="DV21" s="1485"/>
      <c r="DW21" s="1485"/>
      <c r="DX21" s="1485"/>
      <c r="DY21" s="1485"/>
      <c r="DZ21" s="1485"/>
      <c r="EA21" s="1485"/>
      <c r="EB21" s="1485"/>
      <c r="EC21" s="1485"/>
      <c r="ED21" s="1485"/>
      <c r="EE21" s="1484"/>
      <c r="EF21" s="1485"/>
      <c r="EG21" s="1485"/>
      <c r="EH21" s="1485"/>
      <c r="EI21" s="1485"/>
      <c r="EJ21" s="1485"/>
      <c r="EK21" s="1485"/>
      <c r="EL21" s="1485"/>
      <c r="EM21" s="1485"/>
      <c r="EN21" s="1485"/>
      <c r="EO21" s="1485"/>
      <c r="EP21" s="1485"/>
      <c r="EQ21" s="1484"/>
      <c r="ER21" s="1485"/>
      <c r="ES21" s="1485"/>
      <c r="ET21" s="1485"/>
      <c r="EU21" s="1485"/>
      <c r="EV21" s="1485"/>
      <c r="EW21" s="1485"/>
      <c r="EX21" s="1485"/>
      <c r="EY21" s="1485"/>
      <c r="EZ21" s="1485"/>
      <c r="FA21" s="1485"/>
      <c r="FB21" s="1485"/>
      <c r="FC21" s="1484"/>
      <c r="FD21" s="1485"/>
      <c r="FE21" s="1485"/>
      <c r="FF21" s="1485"/>
      <c r="FG21" s="1485"/>
      <c r="FH21" s="1485"/>
      <c r="FI21" s="1485"/>
      <c r="FJ21" s="1485"/>
      <c r="FK21" s="1485"/>
      <c r="FL21" s="1485"/>
      <c r="FM21" s="1485"/>
      <c r="FN21" s="1485"/>
      <c r="FO21" s="1460"/>
      <c r="FP21" s="1461"/>
      <c r="FQ21" s="1461"/>
      <c r="FR21" s="1461"/>
      <c r="FS21" s="1461"/>
      <c r="FT21" s="1461"/>
      <c r="FU21" s="1461"/>
      <c r="FV21" s="1461"/>
      <c r="FW21" s="1461"/>
      <c r="FX21" s="1461"/>
      <c r="FY21" s="1461"/>
      <c r="FZ21" s="1462"/>
      <c r="GA21"/>
      <c r="GB21" s="1480"/>
      <c r="GC21" s="1493"/>
      <c r="GD21" s="1481"/>
      <c r="GE21"/>
    </row>
    <row r="22" spans="1:187" s="102" customFormat="1" ht="13.9" customHeight="1" x14ac:dyDescent="0.2">
      <c r="A22" s="164" t="s">
        <v>86</v>
      </c>
      <c r="B22" s="1489">
        <v>100</v>
      </c>
      <c r="C22" s="1490"/>
      <c r="D22" s="1491"/>
      <c r="E22" s="1491"/>
      <c r="F22" s="1491"/>
      <c r="G22" s="1491"/>
      <c r="H22" s="1491"/>
      <c r="I22" s="1491"/>
      <c r="J22" s="1491"/>
      <c r="K22" s="1491"/>
      <c r="L22" s="1491"/>
      <c r="M22" s="1491"/>
      <c r="N22" s="1492"/>
      <c r="O22" s="1490"/>
      <c r="P22" s="1491"/>
      <c r="Q22" s="1491"/>
      <c r="R22" s="1491"/>
      <c r="S22" s="1491"/>
      <c r="T22" s="1491"/>
      <c r="U22" s="1491"/>
      <c r="V22" s="1491"/>
      <c r="W22" s="1491"/>
      <c r="X22" s="1491"/>
      <c r="Y22" s="1491"/>
      <c r="Z22" s="1492"/>
      <c r="AA22" s="1490"/>
      <c r="AB22" s="1491"/>
      <c r="AC22" s="1491"/>
      <c r="AD22" s="1491"/>
      <c r="AE22" s="1491"/>
      <c r="AF22" s="1491"/>
      <c r="AG22" s="1491"/>
      <c r="AH22" s="1491"/>
      <c r="AI22" s="1491"/>
      <c r="AJ22" s="1491"/>
      <c r="AK22" s="1491"/>
      <c r="AL22" s="1492"/>
      <c r="AM22" s="1490"/>
      <c r="AN22" s="1491"/>
      <c r="AO22" s="1491"/>
      <c r="AP22" s="1491"/>
      <c r="AQ22" s="1491"/>
      <c r="AR22" s="1491"/>
      <c r="AS22" s="1491"/>
      <c r="AT22" s="1491"/>
      <c r="AU22" s="1491"/>
      <c r="AV22" s="1491"/>
      <c r="AW22" s="1491"/>
      <c r="AX22" s="1492"/>
      <c r="AY22" s="1490"/>
      <c r="AZ22" s="1491"/>
      <c r="BA22" s="1491"/>
      <c r="BB22" s="1491"/>
      <c r="BC22" s="1491"/>
      <c r="BD22" s="1491"/>
      <c r="BE22" s="1491"/>
      <c r="BF22" s="1491"/>
      <c r="BG22" s="1491"/>
      <c r="BH22" s="1491"/>
      <c r="BI22" s="1491"/>
      <c r="BJ22" s="1492"/>
      <c r="BK22" s="1490"/>
      <c r="BL22" s="1491"/>
      <c r="BM22" s="1491"/>
      <c r="BN22" s="1491"/>
      <c r="BO22" s="1491"/>
      <c r="BP22" s="1491"/>
      <c r="BQ22" s="1491"/>
      <c r="BR22" s="1491"/>
      <c r="BS22" s="1491"/>
      <c r="BT22" s="1491"/>
      <c r="BU22" s="1491"/>
      <c r="BV22" s="1492"/>
      <c r="BW22" s="1490">
        <f t="shared" ref="BW22:EH25" si="1">((BW7/BV7)-1)*100</f>
        <v>0.60586557306723243</v>
      </c>
      <c r="BX22" s="1491">
        <f t="shared" si="1"/>
        <v>0.3400202273488695</v>
      </c>
      <c r="BY22" s="1491">
        <f t="shared" si="1"/>
        <v>0.91553995120123854</v>
      </c>
      <c r="BZ22" s="1491">
        <f t="shared" si="1"/>
        <v>8.335310873486268E-2</v>
      </c>
      <c r="CA22" s="1491">
        <f t="shared" si="1"/>
        <v>0.48731726152599908</v>
      </c>
      <c r="CB22" s="1491">
        <f t="shared" si="1"/>
        <v>0.40812729602919262</v>
      </c>
      <c r="CC22" s="1491">
        <f t="shared" si="1"/>
        <v>0.19050825855353448</v>
      </c>
      <c r="CD22" s="1491">
        <f t="shared" si="1"/>
        <v>-9.9837477715147838E-2</v>
      </c>
      <c r="CE22" s="1491">
        <f t="shared" si="1"/>
        <v>-4.0472663280344268E-2</v>
      </c>
      <c r="CF22" s="1491">
        <f t="shared" si="1"/>
        <v>-0.26741300773205356</v>
      </c>
      <c r="CG22" s="1491">
        <f t="shared" si="1"/>
        <v>0.20461409618388604</v>
      </c>
      <c r="CH22" s="1492">
        <f t="shared" si="1"/>
        <v>-0.1757640960277862</v>
      </c>
      <c r="CI22" s="1490">
        <f t="shared" si="1"/>
        <v>0.29305346076466954</v>
      </c>
      <c r="CJ22" s="1491">
        <f t="shared" si="1"/>
        <v>-1.4313212639094353E-2</v>
      </c>
      <c r="CK22" s="1491">
        <f t="shared" si="1"/>
        <v>0.74635366393285274</v>
      </c>
      <c r="CL22" s="1491">
        <f t="shared" si="1"/>
        <v>1.4167715926485025</v>
      </c>
      <c r="CM22" s="1491">
        <f t="shared" si="1"/>
        <v>0.49283653338987321</v>
      </c>
      <c r="CN22" s="1491">
        <f t="shared" si="1"/>
        <v>-6.3668500505209558E-2</v>
      </c>
      <c r="CO22" s="1491">
        <f t="shared" si="1"/>
        <v>0.64507348499440731</v>
      </c>
      <c r="CP22" s="1491">
        <f t="shared" si="1"/>
        <v>0.68065463492934519</v>
      </c>
      <c r="CQ22" s="1491">
        <f t="shared" si="1"/>
        <v>0.39356789815394588</v>
      </c>
      <c r="CR22" s="1491">
        <f t="shared" si="1"/>
        <v>6.962309208313755E-3</v>
      </c>
      <c r="CS22" s="1491">
        <f t="shared" si="1"/>
        <v>-0.17859272935525361</v>
      </c>
      <c r="CT22" s="1492">
        <f t="shared" si="1"/>
        <v>0.20121801471693068</v>
      </c>
      <c r="CU22" s="1490">
        <f t="shared" si="1"/>
        <v>0.18115444024162652</v>
      </c>
      <c r="CV22" s="1491">
        <f t="shared" si="1"/>
        <v>0.30086625987202353</v>
      </c>
      <c r="CW22" s="1491">
        <f t="shared" si="1"/>
        <v>1.1222533133251167</v>
      </c>
      <c r="CX22" s="1491">
        <f t="shared" si="1"/>
        <v>0.7800222415462521</v>
      </c>
      <c r="CY22" s="1491">
        <f t="shared" si="1"/>
        <v>0.52319265455362807</v>
      </c>
      <c r="CZ22" s="1491">
        <f t="shared" si="1"/>
        <v>1.488194454557501E-2</v>
      </c>
      <c r="DA22" s="1491">
        <f t="shared" si="1"/>
        <v>-0.5378563854959606</v>
      </c>
      <c r="DB22" s="1491">
        <f t="shared" si="1"/>
        <v>0.10466649558069641</v>
      </c>
      <c r="DC22" s="1491">
        <f t="shared" si="1"/>
        <v>3.4379135361572999E-2</v>
      </c>
      <c r="DD22" s="1491">
        <f t="shared" si="1"/>
        <v>-0.4149596640076969</v>
      </c>
      <c r="DE22" s="1491">
        <f t="shared" si="1"/>
        <v>-0.12552246224876162</v>
      </c>
      <c r="DF22" s="1492">
        <f t="shared" si="1"/>
        <v>-0.11401517082557655</v>
      </c>
      <c r="DG22" s="1490">
        <f t="shared" si="1"/>
        <v>-5.3927953601040635E-2</v>
      </c>
      <c r="DH22" s="1491">
        <f t="shared" si="1"/>
        <v>-0.5871811450419484</v>
      </c>
      <c r="DI22" s="1491">
        <f t="shared" si="1"/>
        <v>0.3980161932200188</v>
      </c>
      <c r="DJ22" s="1491">
        <f t="shared" si="1"/>
        <v>0.52194417445334818</v>
      </c>
      <c r="DK22" s="1491">
        <f t="shared" si="1"/>
        <v>0.61281701917248466</v>
      </c>
      <c r="DL22" s="1491">
        <f t="shared" si="1"/>
        <v>2.7179674625932293E-2</v>
      </c>
      <c r="DM22" s="1491">
        <f t="shared" si="1"/>
        <v>8.3574098216665504E-2</v>
      </c>
      <c r="DN22" s="1491">
        <f t="shared" si="1"/>
        <v>0.1531820291958752</v>
      </c>
      <c r="DO22" s="1491">
        <f t="shared" si="1"/>
        <v>0.23930063884578523</v>
      </c>
      <c r="DP22" s="1491">
        <f t="shared" si="1"/>
        <v>9.4090606526564535E-2</v>
      </c>
      <c r="DQ22" s="1491">
        <f t="shared" si="1"/>
        <v>-0.36952575465939441</v>
      </c>
      <c r="DR22" s="1492">
        <f t="shared" si="1"/>
        <v>-0.42479222911565584</v>
      </c>
      <c r="DS22" s="1490">
        <f t="shared" si="1"/>
        <v>-7.9467742480587855E-2</v>
      </c>
      <c r="DT22" s="1491">
        <f t="shared" si="1"/>
        <v>0.30162482519469069</v>
      </c>
      <c r="DU22" s="1491">
        <f t="shared" si="1"/>
        <v>0.80591211807612417</v>
      </c>
      <c r="DV22" s="1491">
        <f t="shared" si="1"/>
        <v>0.30984465640213621</v>
      </c>
      <c r="DW22" s="1491">
        <f t="shared" si="1"/>
        <v>0.64539210124003876</v>
      </c>
      <c r="DX22" s="1491">
        <f t="shared" si="1"/>
        <v>-0.41377420919804786</v>
      </c>
      <c r="DY22" s="1491">
        <f t="shared" si="1"/>
        <v>0.25252056776154941</v>
      </c>
      <c r="DZ22" s="1491">
        <f t="shared" si="1"/>
        <v>-0.48156130555668808</v>
      </c>
      <c r="EA22" s="1491">
        <f t="shared" si="1"/>
        <v>-1.4045740523016548E-2</v>
      </c>
      <c r="EB22" s="1491">
        <f t="shared" si="1"/>
        <v>0.40002710931719143</v>
      </c>
      <c r="EC22" s="1491">
        <f t="shared" si="1"/>
        <v>-0.10076800533037611</v>
      </c>
      <c r="ED22" s="1492">
        <f t="shared" si="1"/>
        <v>-8.5090467281001558E-2</v>
      </c>
      <c r="EE22" s="1490">
        <f t="shared" si="1"/>
        <v>0.29824695999853823</v>
      </c>
      <c r="EF22" s="1491">
        <f t="shared" si="1"/>
        <v>0.55021857211916547</v>
      </c>
      <c r="EG22" s="1491">
        <f t="shared" si="1"/>
        <v>0.95994500445932829</v>
      </c>
      <c r="EH22" s="1491">
        <f t="shared" si="1"/>
        <v>1.1434132522154972</v>
      </c>
      <c r="EI22" s="1491">
        <f t="shared" ref="EI22:FG23" si="2">((EI7/EH7)-1)*100</f>
        <v>0.50996504210296667</v>
      </c>
      <c r="EJ22" s="1491">
        <f t="shared" si="2"/>
        <v>0.20913199647469849</v>
      </c>
      <c r="EK22" s="1491">
        <f t="shared" si="2"/>
        <v>0.48181657293742131</v>
      </c>
      <c r="EL22" s="1491">
        <f t="shared" si="2"/>
        <v>0.31276158185216119</v>
      </c>
      <c r="EM22" s="1491">
        <f t="shared" si="2"/>
        <v>0.20824179909697538</v>
      </c>
      <c r="EN22" s="1491">
        <f t="shared" si="2"/>
        <v>-3.1838073678946976E-2</v>
      </c>
      <c r="EO22" s="1491">
        <f t="shared" si="2"/>
        <v>0.37560732536938701</v>
      </c>
      <c r="EP22" s="1492">
        <f t="shared" si="2"/>
        <v>0.14183919684218615</v>
      </c>
      <c r="EQ22" s="1490">
        <f t="shared" si="2"/>
        <v>0.74067341795092112</v>
      </c>
      <c r="ER22" s="1491">
        <f t="shared" si="2"/>
        <v>-0.21182609040263367</v>
      </c>
      <c r="ES22" s="1491">
        <f t="shared" si="2"/>
        <v>0.1631206830060794</v>
      </c>
      <c r="ET22" s="1491">
        <f t="shared" si="2"/>
        <v>2.5407369797858514E-2</v>
      </c>
      <c r="EU22" s="1491">
        <f t="shared" si="2"/>
        <v>0.11945336330108081</v>
      </c>
      <c r="EV22" s="1491">
        <f t="shared" si="2"/>
        <v>0.33840683722108356</v>
      </c>
      <c r="EW22" s="1491">
        <f t="shared" si="2"/>
        <v>0.58685714679105327</v>
      </c>
      <c r="EX22" s="1491">
        <f t="shared" si="2"/>
        <v>-8.9695805312439703E-2</v>
      </c>
      <c r="EY22" s="1491">
        <f t="shared" si="2"/>
        <v>0.15304502084303451</v>
      </c>
      <c r="EZ22" s="1491">
        <f t="shared" si="2"/>
        <v>0.25169205671247141</v>
      </c>
      <c r="FA22" s="1491">
        <f t="shared" si="2"/>
        <v>0.41926248026582513</v>
      </c>
      <c r="FB22" s="1492">
        <f t="shared" si="2"/>
        <v>5.5097202122911249E-2</v>
      </c>
      <c r="FC22" s="1490">
        <f t="shared" si="2"/>
        <v>-0.177952132295911</v>
      </c>
      <c r="FD22" s="1491">
        <f t="shared" si="2"/>
        <v>0.34465483990016033</v>
      </c>
      <c r="FE22" s="1491">
        <f t="shared" si="2"/>
        <v>1.0167307261051306</v>
      </c>
      <c r="FF22" s="1491">
        <f t="shared" si="2"/>
        <v>1.2799999999999923</v>
      </c>
      <c r="FG22" s="1491">
        <f t="shared" si="2"/>
        <v>-1.1399999999999966</v>
      </c>
      <c r="FH22" s="1491">
        <f>((FH7/FG7)-1)*100</f>
        <v>0.16000000000000458</v>
      </c>
      <c r="FI22" s="1491">
        <f>((FI7/FH7)-1)*100</f>
        <v>0.16000000000000458</v>
      </c>
      <c r="FJ22" s="1491">
        <f t="shared" ref="FJ22:FN30" si="3">((FJ7/FI7)-1)*100</f>
        <v>0.44999999999999485</v>
      </c>
      <c r="FK22" s="1491">
        <f t="shared" si="3"/>
        <v>0.43999999999999595</v>
      </c>
      <c r="FL22" s="1491">
        <f t="shared" si="3"/>
        <v>-0.60000000000000053</v>
      </c>
      <c r="FM22" s="1491">
        <f t="shared" si="3"/>
        <v>-0.23941517317339622</v>
      </c>
      <c r="FN22" s="1492">
        <f t="shared" si="3"/>
        <v>-0.23999999999999577</v>
      </c>
      <c r="FO22" s="1490">
        <v>-0.12999999999999678</v>
      </c>
      <c r="FP22" s="1491">
        <f>((FP7/FO7)-1)*100</f>
        <v>0.20000000000000018</v>
      </c>
      <c r="FQ22" s="1491"/>
      <c r="FR22" s="1491"/>
      <c r="FS22" s="1491"/>
      <c r="FT22" s="1491"/>
      <c r="FU22" s="1491"/>
      <c r="FV22" s="1491"/>
      <c r="FW22" s="1491"/>
      <c r="FX22" s="1491"/>
      <c r="FY22" s="1491"/>
      <c r="FZ22" s="1492"/>
      <c r="GA22"/>
      <c r="GB22" s="1494">
        <f t="shared" ref="GB22:GD30" si="4">GB7</f>
        <v>0.2</v>
      </c>
      <c r="GC22" s="1494">
        <f t="shared" si="4"/>
        <v>7.0000000000000007E-2</v>
      </c>
      <c r="GD22" s="1494">
        <f t="shared" si="4"/>
        <v>1.38</v>
      </c>
      <c r="GE22"/>
    </row>
    <row r="23" spans="1:187" s="102" customFormat="1" ht="13.9" customHeight="1" x14ac:dyDescent="0.2">
      <c r="A23" s="163" t="s">
        <v>25</v>
      </c>
      <c r="B23" s="182">
        <v>44.85</v>
      </c>
      <c r="C23" s="174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75"/>
      <c r="O23" s="174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75"/>
      <c r="AA23" s="174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75"/>
      <c r="AM23" s="174"/>
      <c r="AN23" s="181"/>
      <c r="AO23" s="181"/>
      <c r="AP23" s="181"/>
      <c r="AQ23" s="181"/>
      <c r="AR23" s="181"/>
      <c r="AS23" s="181"/>
      <c r="AT23" s="181"/>
      <c r="AU23" s="181"/>
      <c r="AV23" s="181"/>
      <c r="AW23" s="181"/>
      <c r="AX23" s="175"/>
      <c r="AY23" s="174"/>
      <c r="AZ23" s="181"/>
      <c r="BA23" s="181"/>
      <c r="BB23" s="181"/>
      <c r="BC23" s="181"/>
      <c r="BD23" s="181"/>
      <c r="BE23" s="181"/>
      <c r="BF23" s="181"/>
      <c r="BG23" s="181"/>
      <c r="BH23" s="181"/>
      <c r="BI23" s="181"/>
      <c r="BJ23" s="175"/>
      <c r="BK23" s="174"/>
      <c r="BL23" s="181"/>
      <c r="BM23" s="181"/>
      <c r="BN23" s="181"/>
      <c r="BO23" s="181"/>
      <c r="BP23" s="181"/>
      <c r="BQ23" s="181"/>
      <c r="BR23" s="181"/>
      <c r="BS23" s="181"/>
      <c r="BT23" s="181"/>
      <c r="BU23" s="181"/>
      <c r="BV23" s="175"/>
      <c r="BW23" s="174">
        <f t="shared" si="1"/>
        <v>1.0811909173897405</v>
      </c>
      <c r="BX23" s="181">
        <f t="shared" si="1"/>
        <v>0.51486075356892425</v>
      </c>
      <c r="BY23" s="181">
        <f t="shared" si="1"/>
        <v>1.8437260579286185</v>
      </c>
      <c r="BZ23" s="181">
        <f t="shared" si="1"/>
        <v>-4.9533002461987774E-2</v>
      </c>
      <c r="CA23" s="181">
        <f t="shared" si="1"/>
        <v>0.56077251129706962</v>
      </c>
      <c r="CB23" s="181">
        <f t="shared" si="1"/>
        <v>0.79831646886148189</v>
      </c>
      <c r="CC23" s="181">
        <f t="shared" si="1"/>
        <v>-0.56750076904309443</v>
      </c>
      <c r="CD23" s="181">
        <f t="shared" si="1"/>
        <v>0.17466478133443264</v>
      </c>
      <c r="CE23" s="181">
        <f t="shared" si="1"/>
        <v>-6.5058344361945686E-2</v>
      </c>
      <c r="CF23" s="181">
        <f t="shared" si="1"/>
        <v>-0.51964306992415832</v>
      </c>
      <c r="CG23" s="181">
        <f t="shared" si="1"/>
        <v>-0.14899457873973621</v>
      </c>
      <c r="CH23" s="175">
        <f t="shared" si="1"/>
        <v>0.61851869551265981</v>
      </c>
      <c r="CI23" s="174">
        <f t="shared" si="1"/>
        <v>0.73413169589851002</v>
      </c>
      <c r="CJ23" s="181">
        <f t="shared" si="1"/>
        <v>0.33379230978696217</v>
      </c>
      <c r="CK23" s="181">
        <f t="shared" si="1"/>
        <v>1.3739788901910188</v>
      </c>
      <c r="CL23" s="181">
        <f t="shared" si="1"/>
        <v>3.3865467118862069</v>
      </c>
      <c r="CM23" s="181">
        <f t="shared" si="1"/>
        <v>1.2233006332907248</v>
      </c>
      <c r="CN23" s="181">
        <f t="shared" si="1"/>
        <v>-0.44891125912105423</v>
      </c>
      <c r="CO23" s="181">
        <f t="shared" si="1"/>
        <v>0.9727894986315766</v>
      </c>
      <c r="CP23" s="181">
        <f t="shared" si="1"/>
        <v>1.1810474838104046</v>
      </c>
      <c r="CQ23" s="181">
        <f t="shared" si="1"/>
        <v>0.48830694188666257</v>
      </c>
      <c r="CR23" s="181">
        <f t="shared" si="1"/>
        <v>-0.20900295947483549</v>
      </c>
      <c r="CS23" s="181">
        <f t="shared" si="1"/>
        <v>-0.61874968424354693</v>
      </c>
      <c r="CT23" s="175">
        <f t="shared" si="1"/>
        <v>8.2853070914734595E-2</v>
      </c>
      <c r="CU23" s="174">
        <f t="shared" si="1"/>
        <v>0.28595845092325156</v>
      </c>
      <c r="CV23" s="181">
        <f t="shared" si="1"/>
        <v>0.21325750844143343</v>
      </c>
      <c r="CW23" s="181">
        <f t="shared" si="1"/>
        <v>2.0571023231069185</v>
      </c>
      <c r="CX23" s="181">
        <f t="shared" si="1"/>
        <v>1.6246741963509947</v>
      </c>
      <c r="CY23" s="181">
        <f t="shared" si="1"/>
        <v>0.6411900487304445</v>
      </c>
      <c r="CZ23" s="181">
        <f t="shared" si="1"/>
        <v>0.12742099898064296</v>
      </c>
      <c r="DA23" s="181">
        <f t="shared" si="1"/>
        <v>-1.1113939085433122</v>
      </c>
      <c r="DB23" s="181">
        <f t="shared" si="1"/>
        <v>0.20590253946464188</v>
      </c>
      <c r="DC23" s="181">
        <f t="shared" si="1"/>
        <v>0.19691780821917693</v>
      </c>
      <c r="DD23" s="181">
        <f t="shared" si="1"/>
        <v>-0.88011620951893299</v>
      </c>
      <c r="DE23" s="181">
        <f t="shared" si="1"/>
        <v>-0.26724137931034564</v>
      </c>
      <c r="DF23" s="175">
        <f t="shared" si="1"/>
        <v>-0.44947705073904443</v>
      </c>
      <c r="DG23" s="174">
        <f t="shared" si="1"/>
        <v>8.6828167057406702E-3</v>
      </c>
      <c r="DH23" s="181">
        <f t="shared" si="1"/>
        <v>-1.3023094287202608</v>
      </c>
      <c r="DI23" s="181">
        <f t="shared" si="1"/>
        <v>0.73011963406051095</v>
      </c>
      <c r="DJ23" s="181">
        <f t="shared" si="1"/>
        <v>0.95188193170900881</v>
      </c>
      <c r="DK23" s="181">
        <f t="shared" si="1"/>
        <v>1.730103806228378</v>
      </c>
      <c r="DL23" s="181">
        <f t="shared" si="1"/>
        <v>-0.1530612244897922</v>
      </c>
      <c r="DM23" s="181">
        <f t="shared" si="1"/>
        <v>-1.7032873445743668E-2</v>
      </c>
      <c r="DN23" s="181">
        <f t="shared" si="1"/>
        <v>-0.10221465076661884</v>
      </c>
      <c r="DO23" s="181">
        <f t="shared" si="1"/>
        <v>0.29843110504774728</v>
      </c>
      <c r="DP23" s="181">
        <f t="shared" si="1"/>
        <v>0.36555300518574807</v>
      </c>
      <c r="DQ23" s="181">
        <f t="shared" si="1"/>
        <v>-1.1350160935117759</v>
      </c>
      <c r="DR23" s="175">
        <f t="shared" si="1"/>
        <v>-1.439342015078815</v>
      </c>
      <c r="DS23" s="174">
        <f t="shared" si="1"/>
        <v>9.5618915159945139E-2</v>
      </c>
      <c r="DT23" s="181">
        <f t="shared" si="1"/>
        <v>0.44290056448110793</v>
      </c>
      <c r="DU23" s="181">
        <f t="shared" si="1"/>
        <v>1.5649316963513682</v>
      </c>
      <c r="DV23" s="181">
        <f t="shared" si="1"/>
        <v>0.43415340086832011</v>
      </c>
      <c r="DW23" s="181">
        <f t="shared" si="1"/>
        <v>1.2459738938803255</v>
      </c>
      <c r="DX23" s="181">
        <f t="shared" si="1"/>
        <v>-0.87902888237756382</v>
      </c>
      <c r="DY23" s="181">
        <f t="shared" si="1"/>
        <v>0.3969594594594561</v>
      </c>
      <c r="DZ23" s="181">
        <f t="shared" si="1"/>
        <v>-0.86649280726844857</v>
      </c>
      <c r="EA23" s="181">
        <f t="shared" si="1"/>
        <v>4.243041412084203E-2</v>
      </c>
      <c r="EB23" s="181">
        <f t="shared" si="1"/>
        <v>0.73797607939605214</v>
      </c>
      <c r="EC23" s="181">
        <f t="shared" si="1"/>
        <v>-0.35365442910071376</v>
      </c>
      <c r="ED23" s="175">
        <f t="shared" si="1"/>
        <v>-0.21970593206016575</v>
      </c>
      <c r="EE23" s="174">
        <f t="shared" si="1"/>
        <v>0.69444444444444198</v>
      </c>
      <c r="EF23" s="181">
        <f t="shared" si="1"/>
        <v>1.312026913372577</v>
      </c>
      <c r="EG23" s="181">
        <f t="shared" si="1"/>
        <v>0.98787979412253701</v>
      </c>
      <c r="EH23" s="181">
        <f t="shared" si="1"/>
        <v>1.9975339087546118</v>
      </c>
      <c r="EI23" s="181">
        <f t="shared" si="2"/>
        <v>0.40296582849774776</v>
      </c>
      <c r="EJ23" s="181">
        <f t="shared" si="2"/>
        <v>0.14448547118317556</v>
      </c>
      <c r="EK23" s="181">
        <f t="shared" si="2"/>
        <v>0.23244629689003204</v>
      </c>
      <c r="EL23" s="181">
        <f t="shared" si="2"/>
        <v>0.43982407037184146</v>
      </c>
      <c r="EM23" s="181">
        <f t="shared" si="2"/>
        <v>0.27070063694267787</v>
      </c>
      <c r="EN23" s="181">
        <f t="shared" si="2"/>
        <v>-4.7641734159120652E-2</v>
      </c>
      <c r="EO23" s="181">
        <f t="shared" si="2"/>
        <v>0.67524626628536755</v>
      </c>
      <c r="EP23" s="175">
        <f t="shared" si="2"/>
        <v>-0.18148820326678861</v>
      </c>
      <c r="EQ23" s="174">
        <f t="shared" si="2"/>
        <v>1.328063241106725</v>
      </c>
      <c r="ER23" s="181">
        <f t="shared" si="2"/>
        <v>-0.84256514276799255</v>
      </c>
      <c r="ES23" s="181">
        <f t="shared" si="2"/>
        <v>0.39339103068449788</v>
      </c>
      <c r="ET23" s="181">
        <f t="shared" si="2"/>
        <v>0.22727272727274261</v>
      </c>
      <c r="EU23" s="181">
        <f t="shared" si="2"/>
        <v>0.22675736961452753</v>
      </c>
      <c r="EV23" s="181">
        <f t="shared" si="2"/>
        <v>0.32766422218752922</v>
      </c>
      <c r="EW23" s="181">
        <f t="shared" si="2"/>
        <v>0.80870917573871992</v>
      </c>
      <c r="EX23" s="181">
        <f t="shared" si="2"/>
        <v>-3.8568343103961844E-2</v>
      </c>
      <c r="EY23" s="181">
        <f t="shared" si="2"/>
        <v>0.43213210895902687</v>
      </c>
      <c r="EZ23" s="181">
        <f t="shared" si="2"/>
        <v>0.20745293891661909</v>
      </c>
      <c r="FA23" s="181">
        <f t="shared" si="2"/>
        <v>0.92010427848490117</v>
      </c>
      <c r="FB23" s="175">
        <f t="shared" si="2"/>
        <v>-0.42546725421668263</v>
      </c>
      <c r="FC23" s="174">
        <f t="shared" si="2"/>
        <v>-0.2517930718754835</v>
      </c>
      <c r="FD23" s="181">
        <f t="shared" si="2"/>
        <v>0.85672760651724911</v>
      </c>
      <c r="FE23" s="181">
        <f t="shared" si="2"/>
        <v>1.8885096700796522</v>
      </c>
      <c r="FF23" s="181">
        <f t="shared" si="2"/>
        <v>2.1800000000000042</v>
      </c>
      <c r="FG23" s="181">
        <f t="shared" si="2"/>
        <v>-2.300000000000002</v>
      </c>
      <c r="FH23" s="181">
        <f t="shared" ref="EI23:FH24" si="5">((FH8/FG8)-1)*100</f>
        <v>0.39000000000000146</v>
      </c>
      <c r="FI23" s="181">
        <f>((FI8/FH8)-1)*100</f>
        <v>-4.0000000000006697E-2</v>
      </c>
      <c r="FJ23" s="181">
        <f t="shared" si="3"/>
        <v>0.79000000000000181</v>
      </c>
      <c r="FK23" s="181">
        <f t="shared" si="3"/>
        <v>0.72000000000000952</v>
      </c>
      <c r="FL23" s="181">
        <f t="shared" si="3"/>
        <v>-1.2599999999999834</v>
      </c>
      <c r="FM23" s="181">
        <f t="shared" si="3"/>
        <v>-1.0593062290190303</v>
      </c>
      <c r="FN23" s="175">
        <f t="shared" si="3"/>
        <v>-1.0600000000000054</v>
      </c>
      <c r="FO23" s="174">
        <v>-0.31999999999998696</v>
      </c>
      <c r="FP23" s="181">
        <f t="shared" ref="FP23:FP30" si="6">((FP8/FO8)-1)*100</f>
        <v>0.20000000000000018</v>
      </c>
      <c r="FQ23" s="181"/>
      <c r="FR23" s="181"/>
      <c r="FS23" s="181"/>
      <c r="FT23" s="181"/>
      <c r="FU23" s="181"/>
      <c r="FV23" s="181"/>
      <c r="FW23" s="181"/>
      <c r="FX23" s="181"/>
      <c r="FY23" s="181"/>
      <c r="FZ23" s="175"/>
      <c r="GA23"/>
      <c r="GB23" s="176">
        <f t="shared" si="4"/>
        <v>0.2</v>
      </c>
      <c r="GC23" s="176">
        <f t="shared" si="4"/>
        <v>-0.13</v>
      </c>
      <c r="GD23" s="176">
        <f t="shared" si="4"/>
        <v>0.46</v>
      </c>
      <c r="GE23"/>
    </row>
    <row r="24" spans="1:187" s="102" customFormat="1" ht="13.9" customHeight="1" x14ac:dyDescent="0.2">
      <c r="A24" s="163" t="s">
        <v>26</v>
      </c>
      <c r="B24" s="182">
        <v>6.43</v>
      </c>
      <c r="C24" s="174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75"/>
      <c r="O24" s="174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75"/>
      <c r="AA24" s="174"/>
      <c r="AB24" s="181"/>
      <c r="AC24" s="181"/>
      <c r="AD24" s="181"/>
      <c r="AE24" s="181"/>
      <c r="AF24" s="181"/>
      <c r="AG24" s="181"/>
      <c r="AH24" s="181"/>
      <c r="AI24" s="181"/>
      <c r="AJ24" s="181"/>
      <c r="AK24" s="181"/>
      <c r="AL24" s="175"/>
      <c r="AM24" s="174"/>
      <c r="AN24" s="181"/>
      <c r="AO24" s="181"/>
      <c r="AP24" s="181"/>
      <c r="AQ24" s="181"/>
      <c r="AR24" s="181"/>
      <c r="AS24" s="181"/>
      <c r="AT24" s="181"/>
      <c r="AU24" s="181"/>
      <c r="AV24" s="181"/>
      <c r="AW24" s="181"/>
      <c r="AX24" s="175"/>
      <c r="AY24" s="174"/>
      <c r="AZ24" s="181"/>
      <c r="BA24" s="181"/>
      <c r="BB24" s="181"/>
      <c r="BC24" s="181"/>
      <c r="BD24" s="181"/>
      <c r="BE24" s="181"/>
      <c r="BF24" s="181"/>
      <c r="BG24" s="181"/>
      <c r="BH24" s="181"/>
      <c r="BI24" s="181"/>
      <c r="BJ24" s="175"/>
      <c r="BK24" s="174"/>
      <c r="BL24" s="181"/>
      <c r="BM24" s="181"/>
      <c r="BN24" s="181"/>
      <c r="BO24" s="181"/>
      <c r="BP24" s="181"/>
      <c r="BQ24" s="181"/>
      <c r="BR24" s="181"/>
      <c r="BS24" s="181"/>
      <c r="BT24" s="181"/>
      <c r="BU24" s="181"/>
      <c r="BV24" s="175"/>
      <c r="BW24" s="174">
        <f t="shared" si="1"/>
        <v>0.45592674703431868</v>
      </c>
      <c r="BX24" s="181">
        <f t="shared" si="1"/>
        <v>0.15953355143236703</v>
      </c>
      <c r="BY24" s="181">
        <f t="shared" si="1"/>
        <v>0.86592635093674097</v>
      </c>
      <c r="BZ24" s="181">
        <f t="shared" si="1"/>
        <v>0.13302534394508125</v>
      </c>
      <c r="CA24" s="181">
        <f t="shared" si="1"/>
        <v>0.4312895488472579</v>
      </c>
      <c r="CB24" s="181">
        <f t="shared" si="1"/>
        <v>0.11371793826824295</v>
      </c>
      <c r="CC24" s="181">
        <f t="shared" si="1"/>
        <v>1.9421913607775565E-2</v>
      </c>
      <c r="CD24" s="181">
        <f t="shared" si="1"/>
        <v>-7.5416926147309216E-2</v>
      </c>
      <c r="CE24" s="181">
        <f t="shared" si="1"/>
        <v>-8.4699517909592181E-2</v>
      </c>
      <c r="CF24" s="181">
        <f t="shared" si="1"/>
        <v>-9.8228642875231031E-5</v>
      </c>
      <c r="CG24" s="181">
        <f t="shared" si="1"/>
        <v>-0.55901975576406748</v>
      </c>
      <c r="CH24" s="175">
        <f t="shared" si="1"/>
        <v>-0.10065778230853306</v>
      </c>
      <c r="CI24" s="174">
        <f t="shared" si="1"/>
        <v>0.10342897712103394</v>
      </c>
      <c r="CJ24" s="181">
        <f t="shared" si="1"/>
        <v>0.25603337916646485</v>
      </c>
      <c r="CK24" s="181">
        <f t="shared" si="1"/>
        <v>0.2941002601087872</v>
      </c>
      <c r="CL24" s="181">
        <f t="shared" si="1"/>
        <v>-0.20403852860420013</v>
      </c>
      <c r="CM24" s="181">
        <f t="shared" si="1"/>
        <v>-8.8692625419828364E-2</v>
      </c>
      <c r="CN24" s="181">
        <f t="shared" si="1"/>
        <v>-0.20286373842696159</v>
      </c>
      <c r="CO24" s="181">
        <f t="shared" si="1"/>
        <v>-0.27870250802640717</v>
      </c>
      <c r="CP24" s="181">
        <f t="shared" si="1"/>
        <v>0.21097234391165287</v>
      </c>
      <c r="CQ24" s="181">
        <f t="shared" si="1"/>
        <v>0.80605325345577405</v>
      </c>
      <c r="CR24" s="181">
        <f t="shared" si="1"/>
        <v>0.63231655028788136</v>
      </c>
      <c r="CS24" s="181">
        <f t="shared" si="1"/>
        <v>0.50592748340276827</v>
      </c>
      <c r="CT24" s="175">
        <f t="shared" si="1"/>
        <v>0.23507250814420733</v>
      </c>
      <c r="CU24" s="174">
        <f t="shared" si="1"/>
        <v>7.2695775911402194E-2</v>
      </c>
      <c r="CV24" s="181">
        <f t="shared" si="1"/>
        <v>0.70517774343121786</v>
      </c>
      <c r="CW24" s="181">
        <f t="shared" si="1"/>
        <v>-9.5923261390884473E-2</v>
      </c>
      <c r="CX24" s="181">
        <f t="shared" si="1"/>
        <v>0.30724915986557466</v>
      </c>
      <c r="CY24" s="181">
        <f t="shared" si="1"/>
        <v>0.36374078682874789</v>
      </c>
      <c r="CZ24" s="181">
        <f t="shared" si="1"/>
        <v>-0.75345731998092136</v>
      </c>
      <c r="DA24" s="181">
        <f t="shared" si="1"/>
        <v>-9.6098404766542522E-3</v>
      </c>
      <c r="DB24" s="181">
        <f t="shared" si="1"/>
        <v>0.36520903411823014</v>
      </c>
      <c r="DC24" s="181">
        <f t="shared" si="1"/>
        <v>-0.11490950876185124</v>
      </c>
      <c r="DD24" s="181">
        <f t="shared" si="1"/>
        <v>1.9173617102863361E-2</v>
      </c>
      <c r="DE24" s="181">
        <f t="shared" si="1"/>
        <v>-5.7509824595036729E-2</v>
      </c>
      <c r="DF24" s="175">
        <f t="shared" si="1"/>
        <v>0.59461014673445334</v>
      </c>
      <c r="DG24" s="174">
        <f t="shared" si="1"/>
        <v>0.17160835160643373</v>
      </c>
      <c r="DH24" s="181">
        <f t="shared" si="1"/>
        <v>0.24745407823356658</v>
      </c>
      <c r="DI24" s="181">
        <f t="shared" si="1"/>
        <v>0</v>
      </c>
      <c r="DJ24" s="181">
        <f t="shared" si="1"/>
        <v>2.8481913984612639E-2</v>
      </c>
      <c r="DK24" s="181">
        <f t="shared" si="1"/>
        <v>0.10440394836750411</v>
      </c>
      <c r="DL24" s="181">
        <f t="shared" si="1"/>
        <v>0.12325779842607965</v>
      </c>
      <c r="DM24" s="181">
        <f t="shared" si="1"/>
        <v>-0.15151515151514694</v>
      </c>
      <c r="DN24" s="181">
        <f t="shared" si="1"/>
        <v>0.63543247344461928</v>
      </c>
      <c r="DO24" s="181">
        <f t="shared" si="1"/>
        <v>0</v>
      </c>
      <c r="DP24" s="181">
        <f t="shared" si="1"/>
        <v>-0.16963528413909135</v>
      </c>
      <c r="DQ24" s="181">
        <f t="shared" si="1"/>
        <v>-0.22656471254602906</v>
      </c>
      <c r="DR24" s="175">
        <f t="shared" si="1"/>
        <v>-3.7846532311469616E-2</v>
      </c>
      <c r="DS24" s="174">
        <f t="shared" si="1"/>
        <v>0.11358258400377963</v>
      </c>
      <c r="DT24" s="181">
        <f t="shared" si="1"/>
        <v>7.5635813557717313E-2</v>
      </c>
      <c r="DU24" s="181">
        <f t="shared" si="1"/>
        <v>0</v>
      </c>
      <c r="DV24" s="181">
        <f t="shared" si="1"/>
        <v>0.26452527161076045</v>
      </c>
      <c r="DW24" s="181">
        <f t="shared" si="1"/>
        <v>0.16018091020446601</v>
      </c>
      <c r="DX24" s="181">
        <f t="shared" si="1"/>
        <v>0.17873941674506622</v>
      </c>
      <c r="DY24" s="181">
        <f t="shared" si="1"/>
        <v>4.6952765517893624E-2</v>
      </c>
      <c r="DZ24" s="181">
        <f t="shared" si="1"/>
        <v>1.8772292096858045E-2</v>
      </c>
      <c r="EA24" s="181">
        <f t="shared" si="1"/>
        <v>-0.10322822822822486</v>
      </c>
      <c r="EB24" s="181">
        <f t="shared" si="1"/>
        <v>0</v>
      </c>
      <c r="EC24" s="181">
        <f t="shared" si="1"/>
        <v>-5.6364490371063614E-2</v>
      </c>
      <c r="ED24" s="175">
        <f t="shared" si="1"/>
        <v>-2.8198138922830296E-2</v>
      </c>
      <c r="EE24" s="174">
        <f t="shared" si="1"/>
        <v>8.4618277547954257E-2</v>
      </c>
      <c r="EF24" s="181">
        <f t="shared" si="1"/>
        <v>0</v>
      </c>
      <c r="EG24" s="181">
        <f t="shared" si="1"/>
        <v>0</v>
      </c>
      <c r="EH24" s="181">
        <f t="shared" si="1"/>
        <v>0.13151714419914473</v>
      </c>
      <c r="EI24" s="181">
        <f t="shared" si="5"/>
        <v>0.47846889952152249</v>
      </c>
      <c r="EJ24" s="181">
        <f t="shared" si="5"/>
        <v>0.94304388422035146</v>
      </c>
      <c r="EK24" s="181">
        <f t="shared" si="5"/>
        <v>-1.8499676255656627E-2</v>
      </c>
      <c r="EL24" s="181">
        <f t="shared" si="5"/>
        <v>0.41631973355538143</v>
      </c>
      <c r="EM24" s="181">
        <f t="shared" si="5"/>
        <v>0</v>
      </c>
      <c r="EN24" s="181">
        <f t="shared" si="5"/>
        <v>-0.35010134512623026</v>
      </c>
      <c r="EO24" s="181">
        <f t="shared" si="5"/>
        <v>0.17566568047338027</v>
      </c>
      <c r="EP24" s="175">
        <f t="shared" si="5"/>
        <v>0.35994462390400717</v>
      </c>
      <c r="EQ24" s="174">
        <f t="shared" si="5"/>
        <v>1.1955122310097543</v>
      </c>
      <c r="ER24" s="181">
        <f t="shared" si="5"/>
        <v>0.66339512904396436</v>
      </c>
      <c r="ES24" s="181">
        <f t="shared" si="5"/>
        <v>-0.56874605037464665</v>
      </c>
      <c r="ET24" s="181">
        <f t="shared" si="5"/>
        <v>2.7238060650081053E-2</v>
      </c>
      <c r="EU24" s="181">
        <f t="shared" si="5"/>
        <v>0.4356902968140286</v>
      </c>
      <c r="EV24" s="181">
        <f t="shared" si="5"/>
        <v>7.230004518752331E-2</v>
      </c>
      <c r="EW24" s="181">
        <f t="shared" si="5"/>
        <v>-0.11740269123092784</v>
      </c>
      <c r="EX24" s="181">
        <f t="shared" si="5"/>
        <v>-0.16274864376129017</v>
      </c>
      <c r="EY24" s="181">
        <f t="shared" si="5"/>
        <v>-0.15395761637384542</v>
      </c>
      <c r="EZ24" s="181">
        <f t="shared" si="5"/>
        <v>-0.14512471655327985</v>
      </c>
      <c r="FA24" s="181">
        <f t="shared" si="5"/>
        <v>0</v>
      </c>
      <c r="FB24" s="175">
        <f t="shared" si="5"/>
        <v>2.7250431465164482E-2</v>
      </c>
      <c r="FC24" s="174">
        <f t="shared" si="5"/>
        <v>0.24518706865237494</v>
      </c>
      <c r="FD24" s="181">
        <f t="shared" si="5"/>
        <v>0.37141045384545546</v>
      </c>
      <c r="FE24" s="181">
        <f t="shared" si="5"/>
        <v>-6.3176895306849001E-2</v>
      </c>
      <c r="FF24" s="181">
        <f t="shared" si="5"/>
        <v>-0.13999999999998458</v>
      </c>
      <c r="FG24" s="181">
        <f t="shared" si="5"/>
        <v>0.25999999999999357</v>
      </c>
      <c r="FH24" s="181">
        <f t="shared" si="5"/>
        <v>0.11000000000001009</v>
      </c>
      <c r="FI24" s="181">
        <f>((FI9/FH9)-1)*100</f>
        <v>0.42999999999999705</v>
      </c>
      <c r="FJ24" s="181">
        <f t="shared" si="3"/>
        <v>0.80999999999999961</v>
      </c>
      <c r="FK24" s="181">
        <f t="shared" si="3"/>
        <v>0.12000000000000899</v>
      </c>
      <c r="FL24" s="181">
        <f t="shared" si="3"/>
        <v>0.17000000000000348</v>
      </c>
      <c r="FM24" s="181">
        <f t="shared" si="3"/>
        <v>5.3328593013945991E-2</v>
      </c>
      <c r="FN24" s="175">
        <f>((FN9/FM9)-1)*100</f>
        <v>4.9999999999994493E-2</v>
      </c>
      <c r="FO24" s="174"/>
      <c r="FP24" s="181">
        <f t="shared" si="6"/>
        <v>0.38000000000000256</v>
      </c>
      <c r="FQ24" s="181"/>
      <c r="FR24" s="181"/>
      <c r="FS24" s="181"/>
      <c r="FT24" s="181"/>
      <c r="FU24" s="181"/>
      <c r="FV24" s="181"/>
      <c r="FW24" s="181"/>
      <c r="FX24" s="181"/>
      <c r="FY24" s="181"/>
      <c r="FZ24" s="175"/>
      <c r="GA24"/>
      <c r="GB24" s="176">
        <f t="shared" si="4"/>
        <v>0.38</v>
      </c>
      <c r="GC24" s="176">
        <f t="shared" si="4"/>
        <v>0.38</v>
      </c>
      <c r="GD24" s="176">
        <f t="shared" si="4"/>
        <v>1.99</v>
      </c>
      <c r="GE24"/>
    </row>
    <row r="25" spans="1:187" s="102" customFormat="1" ht="13.9" customHeight="1" x14ac:dyDescent="0.2">
      <c r="A25" s="163" t="s">
        <v>78</v>
      </c>
      <c r="B25" s="182">
        <v>7.7</v>
      </c>
      <c r="C25" s="174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75"/>
      <c r="O25" s="174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75"/>
      <c r="AA25" s="174"/>
      <c r="AB25" s="181"/>
      <c r="AC25" s="181"/>
      <c r="AD25" s="181"/>
      <c r="AE25" s="181"/>
      <c r="AF25" s="181"/>
      <c r="AG25" s="181"/>
      <c r="AH25" s="181"/>
      <c r="AI25" s="181"/>
      <c r="AJ25" s="181"/>
      <c r="AK25" s="181"/>
      <c r="AL25" s="175"/>
      <c r="AM25" s="174"/>
      <c r="AN25" s="181"/>
      <c r="AO25" s="181"/>
      <c r="AP25" s="181"/>
      <c r="AQ25" s="181"/>
      <c r="AR25" s="181"/>
      <c r="AS25" s="181"/>
      <c r="AT25" s="181"/>
      <c r="AU25" s="181"/>
      <c r="AV25" s="181"/>
      <c r="AW25" s="181"/>
      <c r="AX25" s="175"/>
      <c r="AY25" s="174"/>
      <c r="AZ25" s="181"/>
      <c r="BA25" s="181"/>
      <c r="BB25" s="181"/>
      <c r="BC25" s="181"/>
      <c r="BD25" s="181"/>
      <c r="BE25" s="181"/>
      <c r="BF25" s="181"/>
      <c r="BG25" s="181"/>
      <c r="BH25" s="181"/>
      <c r="BI25" s="181"/>
      <c r="BJ25" s="175"/>
      <c r="BK25" s="174"/>
      <c r="BL25" s="181"/>
      <c r="BM25" s="181"/>
      <c r="BN25" s="181"/>
      <c r="BO25" s="181"/>
      <c r="BP25" s="181"/>
      <c r="BQ25" s="181"/>
      <c r="BR25" s="181"/>
      <c r="BS25" s="181"/>
      <c r="BT25" s="181"/>
      <c r="BU25" s="181"/>
      <c r="BV25" s="175"/>
      <c r="BW25" s="174">
        <f t="shared" si="1"/>
        <v>7.4044975541043279E-2</v>
      </c>
      <c r="BX25" s="181">
        <f t="shared" si="1"/>
        <v>1.1436855346669716</v>
      </c>
      <c r="BY25" s="181">
        <f t="shared" si="1"/>
        <v>0.37609060319414578</v>
      </c>
      <c r="BZ25" s="181">
        <f t="shared" si="1"/>
        <v>1.7750151049335638</v>
      </c>
      <c r="CA25" s="181">
        <f t="shared" si="1"/>
        <v>1.8243136233748514</v>
      </c>
      <c r="CB25" s="181">
        <f t="shared" si="1"/>
        <v>0.10801681321774836</v>
      </c>
      <c r="CC25" s="181">
        <f t="shared" si="1"/>
        <v>2.3316751134525582</v>
      </c>
      <c r="CD25" s="181">
        <f t="shared" si="1"/>
        <v>0.30095596132189151</v>
      </c>
      <c r="CE25" s="181">
        <f t="shared" si="1"/>
        <v>0.18313351473333572</v>
      </c>
      <c r="CF25" s="181">
        <f t="shared" si="1"/>
        <v>-6.7020028142861232E-2</v>
      </c>
      <c r="CG25" s="181">
        <f t="shared" si="1"/>
        <v>2.3176839115484515</v>
      </c>
      <c r="CH25" s="175">
        <f t="shared" si="1"/>
        <v>-6.7787805574568534</v>
      </c>
      <c r="CI25" s="174">
        <f t="shared" si="1"/>
        <v>-0.70487186269780899</v>
      </c>
      <c r="CJ25" s="181">
        <f t="shared" si="1"/>
        <v>-0.9420934277744708</v>
      </c>
      <c r="CK25" s="181">
        <f t="shared" si="1"/>
        <v>1.7656626178434998</v>
      </c>
      <c r="CL25" s="181">
        <f t="shared" si="1"/>
        <v>-0.65580905949208512</v>
      </c>
      <c r="CM25" s="181">
        <f t="shared" si="1"/>
        <v>-0.91940151372158496</v>
      </c>
      <c r="CN25" s="181">
        <f t="shared" si="1"/>
        <v>-0.12999549901688834</v>
      </c>
      <c r="CO25" s="181">
        <f t="shared" si="1"/>
        <v>0.60941198562949328</v>
      </c>
      <c r="CP25" s="181">
        <f t="shared" si="1"/>
        <v>0.77959764666819531</v>
      </c>
      <c r="CQ25" s="181">
        <f t="shared" si="1"/>
        <v>0.40218462477228378</v>
      </c>
      <c r="CR25" s="181">
        <f t="shared" si="1"/>
        <v>0.16048185331782872</v>
      </c>
      <c r="CS25" s="181">
        <f t="shared" si="1"/>
        <v>0.46409919393297638</v>
      </c>
      <c r="CT25" s="175">
        <f t="shared" si="1"/>
        <v>4.3416848052535428E-3</v>
      </c>
      <c r="CU25" s="174">
        <f t="shared" si="1"/>
        <v>0.40433802311412581</v>
      </c>
      <c r="CV25" s="181">
        <f t="shared" si="1"/>
        <v>1.5182088978572317</v>
      </c>
      <c r="CW25" s="181">
        <f t="shared" si="1"/>
        <v>0.369143398012306</v>
      </c>
      <c r="CX25" s="181">
        <f t="shared" si="1"/>
        <v>8.4873632591464521E-2</v>
      </c>
      <c r="CY25" s="181">
        <f t="shared" si="1"/>
        <v>1.9033261094883791</v>
      </c>
      <c r="CZ25" s="181">
        <f t="shared" si="1"/>
        <v>0.13869625520110951</v>
      </c>
      <c r="DA25" s="181">
        <f t="shared" si="1"/>
        <v>-3.6934441366565096E-2</v>
      </c>
      <c r="DB25" s="181">
        <f t="shared" si="1"/>
        <v>0.3048217254757013</v>
      </c>
      <c r="DC25" s="181">
        <f t="shared" si="1"/>
        <v>0.11971636430609944</v>
      </c>
      <c r="DD25" s="181">
        <f t="shared" si="1"/>
        <v>0.69904341427520222</v>
      </c>
      <c r="DE25" s="181">
        <f t="shared" si="1"/>
        <v>9.1340884179746951E-2</v>
      </c>
      <c r="DF25" s="175">
        <f t="shared" si="1"/>
        <v>-0.20989231611607817</v>
      </c>
      <c r="DG25" s="174">
        <f t="shared" si="1"/>
        <v>6.4014631915876308E-2</v>
      </c>
      <c r="DH25" s="181">
        <f t="shared" si="1"/>
        <v>0.70371047340522797</v>
      </c>
      <c r="DI25" s="181">
        <f t="shared" si="1"/>
        <v>0.19057990743263087</v>
      </c>
      <c r="DJ25" s="181">
        <f t="shared" si="1"/>
        <v>2.7173913043476716E-2</v>
      </c>
      <c r="DK25" s="181">
        <f t="shared" si="1"/>
        <v>-2.5808204292311898</v>
      </c>
      <c r="DL25" s="181">
        <f t="shared" si="1"/>
        <v>0.60420152444693453</v>
      </c>
      <c r="DM25" s="181">
        <f t="shared" si="1"/>
        <v>-0.69296867781576399</v>
      </c>
      <c r="DN25" s="181">
        <f t="shared" si="1"/>
        <v>1.7119464086341463</v>
      </c>
      <c r="DO25" s="181">
        <f t="shared" si="1"/>
        <v>0.12806439809733838</v>
      </c>
      <c r="DP25" s="181">
        <f t="shared" si="1"/>
        <v>2.740727206285154E-2</v>
      </c>
      <c r="DQ25" s="181">
        <f t="shared" si="1"/>
        <v>3.1327061832130854</v>
      </c>
      <c r="DR25" s="175">
        <f t="shared" si="1"/>
        <v>0.4162238753099512</v>
      </c>
      <c r="DS25" s="174">
        <f t="shared" si="1"/>
        <v>6.1733838962862997E-2</v>
      </c>
      <c r="DT25" s="181">
        <f t="shared" si="1"/>
        <v>1.2956107879428913</v>
      </c>
      <c r="DU25" s="181">
        <f t="shared" si="1"/>
        <v>0.33933698773165322</v>
      </c>
      <c r="DV25" s="181">
        <f t="shared" si="1"/>
        <v>0.54630593132154459</v>
      </c>
      <c r="DW25" s="181">
        <f t="shared" si="1"/>
        <v>0</v>
      </c>
      <c r="DX25" s="181">
        <f t="shared" si="1"/>
        <v>0.24148339801639551</v>
      </c>
      <c r="DY25" s="181">
        <f t="shared" si="1"/>
        <v>0.16346898391121911</v>
      </c>
      <c r="DZ25" s="181">
        <f t="shared" si="1"/>
        <v>-1.0307507301151042</v>
      </c>
      <c r="EA25" s="181">
        <f t="shared" si="1"/>
        <v>0.11282763409130592</v>
      </c>
      <c r="EB25" s="181">
        <f t="shared" si="1"/>
        <v>0.64152579107066288</v>
      </c>
      <c r="EC25" s="181">
        <f t="shared" si="1"/>
        <v>-0.12059608924110954</v>
      </c>
      <c r="ED25" s="175">
        <f t="shared" si="1"/>
        <v>8.6244070720109534E-3</v>
      </c>
      <c r="EE25" s="174">
        <f t="shared" si="1"/>
        <v>0.31907554329080323</v>
      </c>
      <c r="EF25" s="181">
        <f t="shared" si="1"/>
        <v>-0.53296656064644177</v>
      </c>
      <c r="EG25" s="181">
        <f t="shared" si="1"/>
        <v>4.3211476968285645E-2</v>
      </c>
      <c r="EH25" s="181">
        <f t="shared" ref="EH25:FI28" si="7">((EH10/EG10)-1)*100</f>
        <v>0.15549412577746669</v>
      </c>
      <c r="EI25" s="181">
        <f t="shared" si="7"/>
        <v>2.5530446782818794</v>
      </c>
      <c r="EJ25" s="181">
        <f t="shared" si="7"/>
        <v>0.2102607232968845</v>
      </c>
      <c r="EK25" s="181">
        <f t="shared" si="7"/>
        <v>2.0814099874108205</v>
      </c>
      <c r="EL25" s="181">
        <f t="shared" si="7"/>
        <v>0.89616048672203075</v>
      </c>
      <c r="EM25" s="181">
        <f t="shared" si="7"/>
        <v>1.6297262059961071E-2</v>
      </c>
      <c r="EN25" s="181">
        <f t="shared" si="7"/>
        <v>-0.13035685188202972</v>
      </c>
      <c r="EO25" s="181">
        <f t="shared" si="7"/>
        <v>-0.12236906510033618</v>
      </c>
      <c r="EP25" s="175">
        <f t="shared" si="7"/>
        <v>8.1679326962236232E-3</v>
      </c>
      <c r="EQ25" s="174">
        <f t="shared" si="7"/>
        <v>0.88206468474354427</v>
      </c>
      <c r="ER25" s="181">
        <f t="shared" si="7"/>
        <v>0.23477979274610927</v>
      </c>
      <c r="ES25" s="181">
        <f t="shared" si="7"/>
        <v>0.12115338017930632</v>
      </c>
      <c r="ET25" s="181">
        <f t="shared" si="7"/>
        <v>-0.85511455308162621</v>
      </c>
      <c r="EU25" s="181">
        <f t="shared" si="7"/>
        <v>-0.56143205858422141</v>
      </c>
      <c r="EV25" s="181">
        <f t="shared" si="7"/>
        <v>0.30275754848212433</v>
      </c>
      <c r="EW25" s="181">
        <f t="shared" si="7"/>
        <v>0.285527818567477</v>
      </c>
      <c r="EX25" s="181">
        <f t="shared" si="7"/>
        <v>-2.3997396892540546</v>
      </c>
      <c r="EY25" s="181">
        <f t="shared" si="7"/>
        <v>-3.8006334389064866</v>
      </c>
      <c r="EZ25" s="181">
        <f t="shared" si="7"/>
        <v>-0.19927222318489868</v>
      </c>
      <c r="FA25" s="181">
        <f t="shared" si="7"/>
        <v>-6.07691639899266E-2</v>
      </c>
      <c r="FB25" s="175">
        <f t="shared" si="7"/>
        <v>0.33009034051423303</v>
      </c>
      <c r="FC25" s="174">
        <f t="shared" si="7"/>
        <v>8.6580086580134719E-3</v>
      </c>
      <c r="FD25" s="181">
        <f t="shared" si="7"/>
        <v>0.15583066401176904</v>
      </c>
      <c r="FE25" s="181">
        <f t="shared" si="7"/>
        <v>0.11236926268476388</v>
      </c>
      <c r="FF25" s="181">
        <f t="shared" si="7"/>
        <v>0.12000000000000899</v>
      </c>
      <c r="FG25" s="181">
        <f t="shared" si="7"/>
        <v>-1.21</v>
      </c>
      <c r="FH25" s="181">
        <f t="shared" si="7"/>
        <v>9.9999999999988987E-3</v>
      </c>
      <c r="FI25" s="181">
        <f t="shared" si="7"/>
        <v>0</v>
      </c>
      <c r="FJ25" s="181">
        <f t="shared" si="3"/>
        <v>0.72000000000000952</v>
      </c>
      <c r="FK25" s="181">
        <f t="shared" si="3"/>
        <v>0.60999999999999943</v>
      </c>
      <c r="FL25" s="181">
        <f t="shared" si="3"/>
        <v>-0.11999999999999789</v>
      </c>
      <c r="FM25" s="181">
        <f t="shared" si="3"/>
        <v>0.51449151089006939</v>
      </c>
      <c r="FN25" s="175">
        <f t="shared" si="3"/>
        <v>0.51000000000001044</v>
      </c>
      <c r="FO25" s="174">
        <v>0.19000000000000128</v>
      </c>
      <c r="FP25" s="181">
        <f t="shared" si="6"/>
        <v>0.18000000000000238</v>
      </c>
      <c r="FQ25" s="181"/>
      <c r="FR25" s="181"/>
      <c r="FS25" s="181"/>
      <c r="FT25" s="181"/>
      <c r="FU25" s="181"/>
      <c r="FV25" s="181"/>
      <c r="FW25" s="181"/>
      <c r="FX25" s="181"/>
      <c r="FY25" s="181"/>
      <c r="FZ25" s="175"/>
      <c r="GA25"/>
      <c r="GB25" s="176">
        <f t="shared" si="4"/>
        <v>0.18</v>
      </c>
      <c r="GC25" s="176">
        <f t="shared" si="4"/>
        <v>0.37</v>
      </c>
      <c r="GD25" s="176">
        <f t="shared" si="4"/>
        <v>1.69</v>
      </c>
      <c r="GE25"/>
    </row>
    <row r="26" spans="1:187" s="102" customFormat="1" ht="13.9" customHeight="1" x14ac:dyDescent="0.2">
      <c r="A26" s="163" t="s">
        <v>79</v>
      </c>
      <c r="B26" s="182">
        <v>6.26</v>
      </c>
      <c r="C26" s="174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75"/>
      <c r="O26" s="174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75"/>
      <c r="AA26" s="174"/>
      <c r="AB26" s="181"/>
      <c r="AC26" s="181"/>
      <c r="AD26" s="181"/>
      <c r="AE26" s="181"/>
      <c r="AF26" s="181"/>
      <c r="AG26" s="181"/>
      <c r="AH26" s="181"/>
      <c r="AI26" s="181"/>
      <c r="AJ26" s="181"/>
      <c r="AK26" s="181"/>
      <c r="AL26" s="175"/>
      <c r="AM26" s="174"/>
      <c r="AN26" s="181"/>
      <c r="AO26" s="181"/>
      <c r="AP26" s="181"/>
      <c r="AQ26" s="181"/>
      <c r="AR26" s="181"/>
      <c r="AS26" s="181"/>
      <c r="AT26" s="181"/>
      <c r="AU26" s="181"/>
      <c r="AV26" s="181"/>
      <c r="AW26" s="181"/>
      <c r="AX26" s="175"/>
      <c r="AY26" s="174"/>
      <c r="AZ26" s="181"/>
      <c r="BA26" s="181"/>
      <c r="BB26" s="181"/>
      <c r="BC26" s="181"/>
      <c r="BD26" s="181"/>
      <c r="BE26" s="181"/>
      <c r="BF26" s="181"/>
      <c r="BG26" s="181"/>
      <c r="BH26" s="181"/>
      <c r="BI26" s="181"/>
      <c r="BJ26" s="175"/>
      <c r="BK26" s="174"/>
      <c r="BL26" s="181"/>
      <c r="BM26" s="181"/>
      <c r="BN26" s="181"/>
      <c r="BO26" s="181"/>
      <c r="BP26" s="181"/>
      <c r="BQ26" s="181"/>
      <c r="BR26" s="181"/>
      <c r="BS26" s="181"/>
      <c r="BT26" s="181"/>
      <c r="BU26" s="181"/>
      <c r="BV26" s="175"/>
      <c r="BW26" s="174">
        <f t="shared" ref="BW26:EH29" si="8">((BW11/BV11)-1)*100</f>
        <v>0.16296729902358642</v>
      </c>
      <c r="BX26" s="181">
        <f t="shared" si="8"/>
        <v>0.69752209697924172</v>
      </c>
      <c r="BY26" s="181">
        <f t="shared" si="8"/>
        <v>-7.6296623109495254E-2</v>
      </c>
      <c r="BZ26" s="181">
        <f t="shared" si="8"/>
        <v>0.42711319289829852</v>
      </c>
      <c r="CA26" s="181">
        <f t="shared" si="8"/>
        <v>0.35910227382263127</v>
      </c>
      <c r="CB26" s="181">
        <f t="shared" si="8"/>
        <v>3.0185631835255577E-2</v>
      </c>
      <c r="CC26" s="181">
        <f t="shared" si="8"/>
        <v>-0.10894900461564383</v>
      </c>
      <c r="CD26" s="181">
        <f t="shared" si="8"/>
        <v>-0.10681193351177454</v>
      </c>
      <c r="CE26" s="181">
        <f t="shared" si="8"/>
        <v>-0.37203228403668298</v>
      </c>
      <c r="CF26" s="181">
        <f t="shared" si="8"/>
        <v>0.24352721226881258</v>
      </c>
      <c r="CG26" s="181">
        <f t="shared" si="8"/>
        <v>5.2991617689568393E-2</v>
      </c>
      <c r="CH26" s="175">
        <f t="shared" si="8"/>
        <v>0.1337354239688171</v>
      </c>
      <c r="CI26" s="174">
        <f t="shared" si="8"/>
        <v>-3.542542898133938E-2</v>
      </c>
      <c r="CJ26" s="181">
        <f t="shared" si="8"/>
        <v>0.15107771716562635</v>
      </c>
      <c r="CK26" s="181">
        <f t="shared" si="8"/>
        <v>9.5861676893216341E-2</v>
      </c>
      <c r="CL26" s="181">
        <f t="shared" si="8"/>
        <v>-0.20750138562747322</v>
      </c>
      <c r="CM26" s="181">
        <f t="shared" si="8"/>
        <v>7.0553902101799792E-2</v>
      </c>
      <c r="CN26" s="181">
        <f t="shared" si="8"/>
        <v>0.45724741566468552</v>
      </c>
      <c r="CO26" s="181">
        <f t="shared" si="8"/>
        <v>0.14534472273712851</v>
      </c>
      <c r="CP26" s="181">
        <f t="shared" si="8"/>
        <v>-2.1443540133558869E-3</v>
      </c>
      <c r="CQ26" s="181">
        <f t="shared" si="8"/>
        <v>0.54458012648062049</v>
      </c>
      <c r="CR26" s="181">
        <f t="shared" si="8"/>
        <v>0.31061109145287258</v>
      </c>
      <c r="CS26" s="181">
        <f t="shared" si="8"/>
        <v>-5.5184064465818583E-2</v>
      </c>
      <c r="CT26" s="175">
        <f t="shared" si="8"/>
        <v>0.11497387221170996</v>
      </c>
      <c r="CU26" s="174">
        <f t="shared" si="8"/>
        <v>-0.42855611264737137</v>
      </c>
      <c r="CV26" s="181">
        <f t="shared" si="8"/>
        <v>-0.32010864293335883</v>
      </c>
      <c r="CW26" s="181">
        <f t="shared" si="8"/>
        <v>0.53522771506422373</v>
      </c>
      <c r="CX26" s="181">
        <f t="shared" si="8"/>
        <v>-0.47430064853354326</v>
      </c>
      <c r="CY26" s="181">
        <f t="shared" si="8"/>
        <v>0.1750632172729194</v>
      </c>
      <c r="CZ26" s="181">
        <f t="shared" si="8"/>
        <v>-0.74757281553398114</v>
      </c>
      <c r="DA26" s="181">
        <f t="shared" si="8"/>
        <v>-3.9127457693444168E-2</v>
      </c>
      <c r="DB26" s="181">
        <f t="shared" si="8"/>
        <v>0.225070946276551</v>
      </c>
      <c r="DC26" s="181">
        <f t="shared" si="8"/>
        <v>0.16598320640499598</v>
      </c>
      <c r="DD26" s="181">
        <f t="shared" si="8"/>
        <v>-4.8737693732325837E-2</v>
      </c>
      <c r="DE26" s="181">
        <f t="shared" si="8"/>
        <v>-0.10727520967427351</v>
      </c>
      <c r="DF26" s="175">
        <f t="shared" si="8"/>
        <v>6.8339353704960359E-2</v>
      </c>
      <c r="DG26" s="174">
        <f t="shared" si="8"/>
        <v>6.8292682926829329E-2</v>
      </c>
      <c r="DH26" s="181">
        <f t="shared" si="8"/>
        <v>-0.13649215170126183</v>
      </c>
      <c r="DI26" s="181">
        <f t="shared" si="8"/>
        <v>4.8813824074978029E-2</v>
      </c>
      <c r="DJ26" s="181">
        <f t="shared" si="8"/>
        <v>1.951600312255497E-2</v>
      </c>
      <c r="DK26" s="181">
        <f t="shared" si="8"/>
        <v>-0.22439024390243922</v>
      </c>
      <c r="DL26" s="181">
        <f t="shared" si="8"/>
        <v>-0.36178742544245024</v>
      </c>
      <c r="DM26" s="181">
        <f t="shared" si="8"/>
        <v>-0.22571148184494794</v>
      </c>
      <c r="DN26" s="181">
        <f t="shared" si="8"/>
        <v>0.87538113504475046</v>
      </c>
      <c r="DO26" s="181">
        <f t="shared" si="8"/>
        <v>0.25351014040559949</v>
      </c>
      <c r="DP26" s="181">
        <f t="shared" si="8"/>
        <v>-1.9451468585873766E-2</v>
      </c>
      <c r="DQ26" s="181">
        <f t="shared" si="8"/>
        <v>0</v>
      </c>
      <c r="DR26" s="175">
        <f t="shared" si="8"/>
        <v>-5.8365758754863606E-2</v>
      </c>
      <c r="DS26" s="174">
        <f t="shared" si="8"/>
        <v>9.733307377848277E-2</v>
      </c>
      <c r="DT26" s="181">
        <f t="shared" si="8"/>
        <v>-0.20420070011669678</v>
      </c>
      <c r="DU26" s="181">
        <f t="shared" si="8"/>
        <v>4.8718698236394076E-2</v>
      </c>
      <c r="DV26" s="181">
        <f t="shared" si="8"/>
        <v>-0.21425788858591144</v>
      </c>
      <c r="DW26" s="181">
        <f t="shared" si="8"/>
        <v>1.9519812609813947E-2</v>
      </c>
      <c r="DX26" s="181">
        <f t="shared" si="8"/>
        <v>9.7580015612663829E-3</v>
      </c>
      <c r="DY26" s="181">
        <f t="shared" si="8"/>
        <v>9.7570494682397424E-3</v>
      </c>
      <c r="DZ26" s="181">
        <f t="shared" si="8"/>
        <v>0.62439024390243958</v>
      </c>
      <c r="EA26" s="181">
        <f t="shared" si="8"/>
        <v>0</v>
      </c>
      <c r="EB26" s="181">
        <f t="shared" si="8"/>
        <v>-3.8782237735124347E-2</v>
      </c>
      <c r="EC26" s="181">
        <f t="shared" si="8"/>
        <v>-1.9398642095047602E-2</v>
      </c>
      <c r="ED26" s="175">
        <f t="shared" si="8"/>
        <v>0</v>
      </c>
      <c r="EE26" s="174">
        <f t="shared" si="8"/>
        <v>0.27163368257663301</v>
      </c>
      <c r="EF26" s="181">
        <f t="shared" si="8"/>
        <v>0.29024767801857365</v>
      </c>
      <c r="EG26" s="181">
        <f t="shared" si="8"/>
        <v>0.14470383947520205</v>
      </c>
      <c r="EH26" s="181">
        <f t="shared" si="8"/>
        <v>0.26009055004334591</v>
      </c>
      <c r="EI26" s="181">
        <f t="shared" si="7"/>
        <v>0.2305918524212025</v>
      </c>
      <c r="EJ26" s="181">
        <f t="shared" si="7"/>
        <v>0.44095092024540872</v>
      </c>
      <c r="EK26" s="181">
        <f t="shared" si="7"/>
        <v>1.1261691162435472</v>
      </c>
      <c r="EL26" s="181">
        <f t="shared" si="7"/>
        <v>0.37750094375237353</v>
      </c>
      <c r="EM26" s="181">
        <f t="shared" si="7"/>
        <v>0.25385483264384057</v>
      </c>
      <c r="EN26" s="181">
        <f t="shared" si="7"/>
        <v>0.22507737034607178</v>
      </c>
      <c r="EO26" s="181">
        <f t="shared" si="7"/>
        <v>0.41171516796107976</v>
      </c>
      <c r="EP26" s="175">
        <f t="shared" si="7"/>
        <v>-0.158419532196441</v>
      </c>
      <c r="EQ26" s="174">
        <f t="shared" si="7"/>
        <v>9.3335822288587167E-2</v>
      </c>
      <c r="ER26" s="181">
        <f t="shared" si="7"/>
        <v>0.54084296904139961</v>
      </c>
      <c r="ES26" s="181">
        <f t="shared" si="7"/>
        <v>1.3355592654424209</v>
      </c>
      <c r="ET26" s="181">
        <f t="shared" si="7"/>
        <v>0.53999633900785327</v>
      </c>
      <c r="EU26" s="181">
        <f t="shared" si="7"/>
        <v>0.10013654984069031</v>
      </c>
      <c r="EV26" s="181">
        <f t="shared" si="7"/>
        <v>0.19097853765006612</v>
      </c>
      <c r="EW26" s="181">
        <f t="shared" si="7"/>
        <v>0.15430698012162125</v>
      </c>
      <c r="EX26" s="181">
        <f t="shared" si="7"/>
        <v>0.45314482508609366</v>
      </c>
      <c r="EY26" s="181">
        <f t="shared" si="7"/>
        <v>-0.16239624684230014</v>
      </c>
      <c r="EZ26" s="181">
        <f t="shared" si="7"/>
        <v>0.59642147117295874</v>
      </c>
      <c r="FA26" s="181">
        <f t="shared" si="7"/>
        <v>-0.21559468199784382</v>
      </c>
      <c r="FB26" s="175">
        <f t="shared" si="7"/>
        <v>-0.11703276917536254</v>
      </c>
      <c r="FC26" s="174">
        <f t="shared" si="7"/>
        <v>0.3695358269490745</v>
      </c>
      <c r="FD26" s="181">
        <f t="shared" si="7"/>
        <v>0</v>
      </c>
      <c r="FE26" s="181">
        <f t="shared" si="7"/>
        <v>0.47593390804598901</v>
      </c>
      <c r="FF26" s="181">
        <f t="shared" si="7"/>
        <v>0.36000000000000476</v>
      </c>
      <c r="FG26" s="181">
        <f t="shared" si="7"/>
        <v>0.53000000000000824</v>
      </c>
      <c r="FH26" s="181">
        <f t="shared" si="7"/>
        <v>0.20000000000000018</v>
      </c>
      <c r="FI26" s="181">
        <f t="shared" si="7"/>
        <v>0.14000000000000679</v>
      </c>
      <c r="FJ26" s="181">
        <f t="shared" si="3"/>
        <v>0.56000000000000494</v>
      </c>
      <c r="FK26" s="181">
        <f t="shared" si="3"/>
        <v>0.23999999999999577</v>
      </c>
      <c r="FL26" s="181">
        <f t="shared" si="3"/>
        <v>9.9999999999988987E-2</v>
      </c>
      <c r="FM26" s="181">
        <f t="shared" si="3"/>
        <v>-0.13116474291711144</v>
      </c>
      <c r="FN26" s="175">
        <f t="shared" si="3"/>
        <v>-0.12999999999999678</v>
      </c>
      <c r="FO26" s="174">
        <v>0.79000000000000181</v>
      </c>
      <c r="FP26" s="181">
        <f t="shared" si="6"/>
        <v>0.32000000000000917</v>
      </c>
      <c r="FQ26" s="181"/>
      <c r="FR26" s="181"/>
      <c r="FS26" s="181"/>
      <c r="FT26" s="181"/>
      <c r="FU26" s="181"/>
      <c r="FV26" s="181"/>
      <c r="FW26" s="181"/>
      <c r="FX26" s="181"/>
      <c r="FY26" s="181"/>
      <c r="FZ26" s="175"/>
      <c r="GA26"/>
      <c r="GB26" s="176">
        <f t="shared" si="4"/>
        <v>0.32</v>
      </c>
      <c r="GC26" s="176">
        <f t="shared" si="4"/>
        <v>1.1100000000000001</v>
      </c>
      <c r="GD26" s="176">
        <f t="shared" si="4"/>
        <v>3.7</v>
      </c>
      <c r="GE26"/>
    </row>
    <row r="27" spans="1:187" s="102" customFormat="1" ht="13.9" customHeight="1" x14ac:dyDescent="0.2">
      <c r="A27" s="163" t="s">
        <v>27</v>
      </c>
      <c r="B27" s="182">
        <v>3.22</v>
      </c>
      <c r="C27" s="174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75"/>
      <c r="O27" s="174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75"/>
      <c r="AA27" s="174"/>
      <c r="AB27" s="181"/>
      <c r="AC27" s="181"/>
      <c r="AD27" s="181"/>
      <c r="AE27" s="181"/>
      <c r="AF27" s="181"/>
      <c r="AG27" s="181"/>
      <c r="AH27" s="181"/>
      <c r="AI27" s="181"/>
      <c r="AJ27" s="181"/>
      <c r="AK27" s="181"/>
      <c r="AL27" s="175"/>
      <c r="AM27" s="174"/>
      <c r="AN27" s="181"/>
      <c r="AO27" s="181"/>
      <c r="AP27" s="181"/>
      <c r="AQ27" s="181"/>
      <c r="AR27" s="181"/>
      <c r="AS27" s="181"/>
      <c r="AT27" s="181"/>
      <c r="AU27" s="181"/>
      <c r="AV27" s="181"/>
      <c r="AW27" s="181"/>
      <c r="AX27" s="175"/>
      <c r="AY27" s="174"/>
      <c r="AZ27" s="181"/>
      <c r="BA27" s="181"/>
      <c r="BB27" s="181"/>
      <c r="BC27" s="181"/>
      <c r="BD27" s="181"/>
      <c r="BE27" s="181"/>
      <c r="BF27" s="181"/>
      <c r="BG27" s="181"/>
      <c r="BH27" s="181"/>
      <c r="BI27" s="181"/>
      <c r="BJ27" s="175"/>
      <c r="BK27" s="174"/>
      <c r="BL27" s="181"/>
      <c r="BM27" s="181"/>
      <c r="BN27" s="181"/>
      <c r="BO27" s="181"/>
      <c r="BP27" s="181"/>
      <c r="BQ27" s="181"/>
      <c r="BR27" s="181"/>
      <c r="BS27" s="181"/>
      <c r="BT27" s="181"/>
      <c r="BU27" s="181"/>
      <c r="BV27" s="175"/>
      <c r="BW27" s="174">
        <f t="shared" si="8"/>
        <v>0.51591888514446183</v>
      </c>
      <c r="BX27" s="181">
        <f t="shared" si="8"/>
        <v>0.20677680210348104</v>
      </c>
      <c r="BY27" s="181">
        <f t="shared" si="8"/>
        <v>-0.408046466402745</v>
      </c>
      <c r="BZ27" s="181">
        <f t="shared" si="8"/>
        <v>-6.0647456336304639E-2</v>
      </c>
      <c r="CA27" s="181">
        <f t="shared" si="8"/>
        <v>6.9637675176048575E-2</v>
      </c>
      <c r="CB27" s="181">
        <f t="shared" si="8"/>
        <v>-1.0935448050086727E-3</v>
      </c>
      <c r="CC27" s="181">
        <f t="shared" si="8"/>
        <v>0.10309257852729736</v>
      </c>
      <c r="CD27" s="181">
        <f t="shared" si="8"/>
        <v>3.0389431628252694E-2</v>
      </c>
      <c r="CE27" s="181">
        <f t="shared" si="8"/>
        <v>3.4748593922939719E-3</v>
      </c>
      <c r="CF27" s="181">
        <f t="shared" si="8"/>
        <v>7.9422597714540188E-3</v>
      </c>
      <c r="CG27" s="181">
        <f t="shared" si="8"/>
        <v>0.23517148955181089</v>
      </c>
      <c r="CH27" s="175">
        <f t="shared" si="8"/>
        <v>-2.0797865544763816E-3</v>
      </c>
      <c r="CI27" s="174">
        <f t="shared" si="8"/>
        <v>8.0222006976438109E-3</v>
      </c>
      <c r="CJ27" s="181">
        <f t="shared" si="8"/>
        <v>0.22341522253879198</v>
      </c>
      <c r="CK27" s="181">
        <f t="shared" si="8"/>
        <v>0.52290681646385284</v>
      </c>
      <c r="CL27" s="181">
        <f t="shared" si="8"/>
        <v>-0.15540725843311565</v>
      </c>
      <c r="CM27" s="181">
        <f t="shared" si="8"/>
        <v>-0.1333994916051906</v>
      </c>
      <c r="CN27" s="181">
        <f t="shared" si="8"/>
        <v>0.91020129318970522</v>
      </c>
      <c r="CO27" s="181">
        <f t="shared" si="8"/>
        <v>-2.7939946699173657E-2</v>
      </c>
      <c r="CP27" s="181">
        <f t="shared" si="8"/>
        <v>0.39898840852190531</v>
      </c>
      <c r="CQ27" s="181">
        <f t="shared" si="8"/>
        <v>0.84171921734128574</v>
      </c>
      <c r="CR27" s="181">
        <f t="shared" si="8"/>
        <v>0.25731876930976672</v>
      </c>
      <c r="CS27" s="181">
        <f t="shared" si="8"/>
        <v>0</v>
      </c>
      <c r="CT27" s="175">
        <f t="shared" si="8"/>
        <v>-0.61959980168185824</v>
      </c>
      <c r="CU27" s="174">
        <f t="shared" si="8"/>
        <v>-0.61987854294153211</v>
      </c>
      <c r="CV27" s="181">
        <f t="shared" si="8"/>
        <v>1.0819768008577757</v>
      </c>
      <c r="CW27" s="181">
        <f t="shared" si="8"/>
        <v>-0.33751205400193163</v>
      </c>
      <c r="CX27" s="181">
        <f t="shared" si="8"/>
        <v>-8.7082728592147163E-2</v>
      </c>
      <c r="CY27" s="181">
        <f t="shared" si="8"/>
        <v>0.27116017819097671</v>
      </c>
      <c r="CZ27" s="181">
        <f t="shared" si="8"/>
        <v>0.37666602279311512</v>
      </c>
      <c r="DA27" s="181">
        <f t="shared" si="8"/>
        <v>1.4432791301837833</v>
      </c>
      <c r="DB27" s="181">
        <f t="shared" si="8"/>
        <v>-0.47424831641847964</v>
      </c>
      <c r="DC27" s="181">
        <f t="shared" si="8"/>
        <v>-0.16201277041837381</v>
      </c>
      <c r="DD27" s="181">
        <f t="shared" si="8"/>
        <v>5.7273768613952392E-2</v>
      </c>
      <c r="DE27" s="181">
        <f t="shared" si="8"/>
        <v>-0.29574508681547984</v>
      </c>
      <c r="DF27" s="175">
        <f t="shared" si="8"/>
        <v>0.10525308582911563</v>
      </c>
      <c r="DG27" s="174">
        <f t="shared" si="8"/>
        <v>-0.43012808258459101</v>
      </c>
      <c r="DH27" s="181">
        <f t="shared" si="8"/>
        <v>0.23039262743591582</v>
      </c>
      <c r="DI27" s="181">
        <f t="shared" si="8"/>
        <v>8.6198639977008717E-2</v>
      </c>
      <c r="DJ27" s="181">
        <f t="shared" si="8"/>
        <v>-8.612440191387849E-2</v>
      </c>
      <c r="DK27" s="181">
        <f t="shared" si="8"/>
        <v>-0.21070778661047562</v>
      </c>
      <c r="DL27" s="181">
        <f t="shared" si="8"/>
        <v>0.3359247528553766</v>
      </c>
      <c r="DM27" s="181">
        <f t="shared" si="8"/>
        <v>0.19131432944325955</v>
      </c>
      <c r="DN27" s="181">
        <f t="shared" si="8"/>
        <v>0.33416077907200137</v>
      </c>
      <c r="DO27" s="181">
        <f t="shared" si="8"/>
        <v>0.3235322104862437</v>
      </c>
      <c r="DP27" s="181">
        <f t="shared" si="8"/>
        <v>-0.38888361946316508</v>
      </c>
      <c r="DQ27" s="181">
        <f t="shared" si="8"/>
        <v>-9.5219958103132107E-3</v>
      </c>
      <c r="DR27" s="175">
        <f t="shared" si="8"/>
        <v>0.41900771355107835</v>
      </c>
      <c r="DS27" s="174">
        <f t="shared" si="8"/>
        <v>-5.6899004267429998E-2</v>
      </c>
      <c r="DT27" s="181">
        <f t="shared" si="8"/>
        <v>-0.24670272321852815</v>
      </c>
      <c r="DU27" s="181">
        <f t="shared" si="8"/>
        <v>8.5608294492534043E-2</v>
      </c>
      <c r="DV27" s="181">
        <f t="shared" si="8"/>
        <v>1.0074130393461278</v>
      </c>
      <c r="DW27" s="181">
        <f t="shared" si="8"/>
        <v>-0.3199096725630457</v>
      </c>
      <c r="DX27" s="181">
        <f t="shared" si="8"/>
        <v>0.50972248442515689</v>
      </c>
      <c r="DY27" s="181">
        <f t="shared" si="8"/>
        <v>-0.60105184072126727</v>
      </c>
      <c r="DZ27" s="181">
        <f t="shared" si="8"/>
        <v>-0.11337868480726376</v>
      </c>
      <c r="EA27" s="181">
        <f t="shared" si="8"/>
        <v>6.6212637154761111E-2</v>
      </c>
      <c r="EB27" s="181">
        <f t="shared" si="8"/>
        <v>-0.12288496077135225</v>
      </c>
      <c r="EC27" s="181">
        <f t="shared" si="8"/>
        <v>1.429112246829467</v>
      </c>
      <c r="ED27" s="175">
        <f t="shared" si="8"/>
        <v>-0.39190071848465013</v>
      </c>
      <c r="EE27" s="174">
        <f t="shared" si="8"/>
        <v>0.49648711943794943</v>
      </c>
      <c r="EF27" s="181">
        <f t="shared" si="8"/>
        <v>-0.10253542132736548</v>
      </c>
      <c r="EG27" s="181">
        <f t="shared" si="8"/>
        <v>-0.21461229821778671</v>
      </c>
      <c r="EH27" s="181">
        <f t="shared" si="8"/>
        <v>0.51430708808677394</v>
      </c>
      <c r="EI27" s="181">
        <f t="shared" si="7"/>
        <v>0.1302446739231522</v>
      </c>
      <c r="EJ27" s="181">
        <f t="shared" si="7"/>
        <v>-0.15794852736226161</v>
      </c>
      <c r="EK27" s="181">
        <f t="shared" si="7"/>
        <v>0.26056206960729522</v>
      </c>
      <c r="EL27" s="181">
        <f t="shared" si="7"/>
        <v>0.30629292741786163</v>
      </c>
      <c r="EM27" s="181">
        <f t="shared" si="7"/>
        <v>0.24983806791896157</v>
      </c>
      <c r="EN27" s="181">
        <f t="shared" si="7"/>
        <v>1.0891637437696167</v>
      </c>
      <c r="EO27" s="181">
        <f t="shared" si="7"/>
        <v>0.92220598977357238</v>
      </c>
      <c r="EP27" s="175">
        <f t="shared" si="7"/>
        <v>0.35284538134443544</v>
      </c>
      <c r="EQ27" s="174">
        <f t="shared" si="7"/>
        <v>0.3696357735304634</v>
      </c>
      <c r="ER27" s="181">
        <f t="shared" si="7"/>
        <v>0.80840743734842402</v>
      </c>
      <c r="ES27" s="181">
        <f t="shared" si="7"/>
        <v>-1.1226944667201311</v>
      </c>
      <c r="ET27" s="181">
        <f t="shared" si="7"/>
        <v>0.90114445345588212</v>
      </c>
      <c r="EU27" s="181">
        <f t="shared" si="7"/>
        <v>-0.40189336429401479</v>
      </c>
      <c r="EV27" s="181">
        <f t="shared" si="7"/>
        <v>1.4078192252510835</v>
      </c>
      <c r="EW27" s="181">
        <f t="shared" si="7"/>
        <v>0.30948801839243423</v>
      </c>
      <c r="EX27" s="181">
        <f t="shared" si="7"/>
        <v>0.92559943582510851</v>
      </c>
      <c r="EY27" s="181">
        <f t="shared" si="7"/>
        <v>1.9390339767665354</v>
      </c>
      <c r="EZ27" s="181">
        <f t="shared" si="7"/>
        <v>0.81398337760261175</v>
      </c>
      <c r="FA27" s="181">
        <f>((FA12/EZ12)-1)*100</f>
        <v>0</v>
      </c>
      <c r="FB27" s="175">
        <f t="shared" si="7"/>
        <v>-1.699813020566987E-2</v>
      </c>
      <c r="FC27" s="174">
        <f t="shared" si="7"/>
        <v>-0.30601836110166758</v>
      </c>
      <c r="FD27" s="181">
        <f t="shared" si="7"/>
        <v>0.12789904502046312</v>
      </c>
      <c r="FE27" s="181">
        <f t="shared" si="7"/>
        <v>-0.26398705611854201</v>
      </c>
      <c r="FF27" s="181">
        <f t="shared" si="7"/>
        <v>0.11000000000001009</v>
      </c>
      <c r="FG27" s="181">
        <f t="shared" si="7"/>
        <v>-0.16000000000000458</v>
      </c>
      <c r="FH27" s="181">
        <f t="shared" si="7"/>
        <v>0.32000000000000917</v>
      </c>
      <c r="FI27" s="181">
        <f t="shared" si="7"/>
        <v>1.3100000000000112</v>
      </c>
      <c r="FJ27" s="181">
        <f t="shared" si="3"/>
        <v>4.9999999999994493E-2</v>
      </c>
      <c r="FK27" s="181">
        <f t="shared" si="3"/>
        <v>0.27999999999999137</v>
      </c>
      <c r="FL27" s="181">
        <f t="shared" si="3"/>
        <v>-0.40000000000000036</v>
      </c>
      <c r="FM27" s="181">
        <f t="shared" si="3"/>
        <v>0.21704649803822029</v>
      </c>
      <c r="FN27" s="175">
        <f t="shared" si="3"/>
        <v>0.21999999999999797</v>
      </c>
      <c r="FO27" s="174">
        <v>-0.69000000000000172</v>
      </c>
      <c r="FP27" s="181">
        <f t="shared" si="6"/>
        <v>0.61999999999999833</v>
      </c>
      <c r="FQ27" s="181"/>
      <c r="FR27" s="181"/>
      <c r="FS27" s="181"/>
      <c r="FT27" s="181"/>
      <c r="FU27" s="181"/>
      <c r="FV27" s="181"/>
      <c r="FW27" s="181"/>
      <c r="FX27" s="181"/>
      <c r="FY27" s="181"/>
      <c r="FZ27" s="175"/>
      <c r="GA27"/>
      <c r="GB27" s="176">
        <f t="shared" si="4"/>
        <v>0.62</v>
      </c>
      <c r="GC27" s="176">
        <f t="shared" si="4"/>
        <v>-7.0000000000000007E-2</v>
      </c>
      <c r="GD27" s="176">
        <f t="shared" si="4"/>
        <v>2.15</v>
      </c>
      <c r="GE27"/>
    </row>
    <row r="28" spans="1:187" s="102" customFormat="1" ht="13.9" customHeight="1" x14ac:dyDescent="0.2">
      <c r="A28" s="163" t="s">
        <v>119</v>
      </c>
      <c r="B28" s="182">
        <v>12.58</v>
      </c>
      <c r="C28" s="174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75"/>
      <c r="O28" s="174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75"/>
      <c r="AA28" s="174"/>
      <c r="AB28" s="181"/>
      <c r="AC28" s="181"/>
      <c r="AD28" s="181"/>
      <c r="AE28" s="181"/>
      <c r="AF28" s="181"/>
      <c r="AG28" s="181"/>
      <c r="AH28" s="181"/>
      <c r="AI28" s="181"/>
      <c r="AJ28" s="181"/>
      <c r="AK28" s="181"/>
      <c r="AL28" s="175"/>
      <c r="AM28" s="174"/>
      <c r="AN28" s="181"/>
      <c r="AO28" s="181"/>
      <c r="AP28" s="181"/>
      <c r="AQ28" s="181"/>
      <c r="AR28" s="181"/>
      <c r="AS28" s="181"/>
      <c r="AT28" s="181"/>
      <c r="AU28" s="181"/>
      <c r="AV28" s="181"/>
      <c r="AW28" s="181"/>
      <c r="AX28" s="175"/>
      <c r="AY28" s="174"/>
      <c r="AZ28" s="181"/>
      <c r="BA28" s="181"/>
      <c r="BB28" s="181"/>
      <c r="BC28" s="181"/>
      <c r="BD28" s="181"/>
      <c r="BE28" s="181"/>
      <c r="BF28" s="181"/>
      <c r="BG28" s="181"/>
      <c r="BH28" s="181"/>
      <c r="BI28" s="181"/>
      <c r="BJ28" s="175"/>
      <c r="BK28" s="174"/>
      <c r="BL28" s="181"/>
      <c r="BM28" s="181"/>
      <c r="BN28" s="181"/>
      <c r="BO28" s="181"/>
      <c r="BP28" s="181"/>
      <c r="BQ28" s="181"/>
      <c r="BR28" s="181"/>
      <c r="BS28" s="181"/>
      <c r="BT28" s="181"/>
      <c r="BU28" s="181"/>
      <c r="BV28" s="175"/>
      <c r="BW28" s="174">
        <f t="shared" si="8"/>
        <v>0.71488319292585256</v>
      </c>
      <c r="BX28" s="181">
        <f t="shared" si="8"/>
        <v>-0.62299844077362554</v>
      </c>
      <c r="BY28" s="181">
        <f t="shared" si="8"/>
        <v>-0.25062232737503853</v>
      </c>
      <c r="BZ28" s="181">
        <f t="shared" si="8"/>
        <v>-0.30152237379797997</v>
      </c>
      <c r="CA28" s="181">
        <f t="shared" si="8"/>
        <v>0.42408829520306224</v>
      </c>
      <c r="CB28" s="181">
        <f t="shared" si="8"/>
        <v>0.13448961192275011</v>
      </c>
      <c r="CC28" s="181">
        <f t="shared" si="8"/>
        <v>2.1819737450815557</v>
      </c>
      <c r="CD28" s="181">
        <f t="shared" si="8"/>
        <v>-1.4533477042130261</v>
      </c>
      <c r="CE28" s="181">
        <f t="shared" si="8"/>
        <v>-0.12132589043125641</v>
      </c>
      <c r="CF28" s="181">
        <f t="shared" si="8"/>
        <v>-3.8875402850080398E-2</v>
      </c>
      <c r="CG28" s="181">
        <f t="shared" si="8"/>
        <v>0.5432798069130218</v>
      </c>
      <c r="CH28" s="175">
        <f t="shared" si="8"/>
        <v>1.1172035168633521</v>
      </c>
      <c r="CI28" s="174">
        <f t="shared" si="8"/>
        <v>0.26767376894401007</v>
      </c>
      <c r="CJ28" s="181">
        <f t="shared" si="8"/>
        <v>-0.4268434745466565</v>
      </c>
      <c r="CK28" s="181">
        <f t="shared" si="8"/>
        <v>-0.48638862538911143</v>
      </c>
      <c r="CL28" s="181">
        <f t="shared" si="8"/>
        <v>-6.4365446825531691E-2</v>
      </c>
      <c r="CM28" s="181">
        <f t="shared" si="8"/>
        <v>-8.0778215762145056E-2</v>
      </c>
      <c r="CN28" s="181">
        <f t="shared" si="8"/>
        <v>0.39038393804089466</v>
      </c>
      <c r="CO28" s="181">
        <f t="shared" si="8"/>
        <v>9.5286308481368209E-2</v>
      </c>
      <c r="CP28" s="181">
        <f t="shared" si="8"/>
        <v>9.0704320513323999E-2</v>
      </c>
      <c r="CQ28" s="181">
        <f t="shared" si="8"/>
        <v>-0.36131791294033988</v>
      </c>
      <c r="CR28" s="181">
        <f t="shared" si="8"/>
        <v>-0.14988760876886165</v>
      </c>
      <c r="CS28" s="181">
        <f t="shared" si="8"/>
        <v>0.34375885502613279</v>
      </c>
      <c r="CT28" s="175">
        <f t="shared" si="8"/>
        <v>1.2900048563279309</v>
      </c>
      <c r="CU28" s="174">
        <f t="shared" si="8"/>
        <v>-0.29992022064250223</v>
      </c>
      <c r="CV28" s="181">
        <f t="shared" si="8"/>
        <v>0.14513788098693414</v>
      </c>
      <c r="CW28" s="181">
        <f t="shared" si="8"/>
        <v>0.33816425120771765</v>
      </c>
      <c r="CX28" s="181">
        <f t="shared" si="8"/>
        <v>1.9258545979794484E-2</v>
      </c>
      <c r="CY28" s="181">
        <f t="shared" si="8"/>
        <v>0.11552902666793763</v>
      </c>
      <c r="CZ28" s="181">
        <f t="shared" si="8"/>
        <v>4.808154630253636E-2</v>
      </c>
      <c r="DA28" s="181">
        <f t="shared" si="8"/>
        <v>-0.50941945405613698</v>
      </c>
      <c r="DB28" s="181">
        <f t="shared" si="8"/>
        <v>-0.15457443725245268</v>
      </c>
      <c r="DC28" s="181">
        <f t="shared" si="8"/>
        <v>-0.4934687953555783</v>
      </c>
      <c r="DD28" s="181">
        <f t="shared" si="8"/>
        <v>-0.35978218591987687</v>
      </c>
      <c r="DE28" s="181">
        <f t="shared" si="8"/>
        <v>0.18542012296280941</v>
      </c>
      <c r="DF28" s="175">
        <f t="shared" si="8"/>
        <v>0.42859925969218615</v>
      </c>
      <c r="DG28" s="174">
        <f t="shared" si="8"/>
        <v>-0.31037827352085046</v>
      </c>
      <c r="DH28" s="181">
        <f t="shared" si="8"/>
        <v>-0.56431212298112543</v>
      </c>
      <c r="DI28" s="181">
        <f t="shared" si="8"/>
        <v>0.273972602739736</v>
      </c>
      <c r="DJ28" s="181">
        <f t="shared" si="8"/>
        <v>1.951600312255497E-2</v>
      </c>
      <c r="DK28" s="181">
        <f t="shared" si="8"/>
        <v>9.7560975609756184E-2</v>
      </c>
      <c r="DL28" s="181">
        <f t="shared" si="8"/>
        <v>0.20467836257309635</v>
      </c>
      <c r="DM28" s="181">
        <f t="shared" si="8"/>
        <v>0.22371364653244186</v>
      </c>
      <c r="DN28" s="181">
        <f t="shared" si="8"/>
        <v>0.31055900621117516</v>
      </c>
      <c r="DO28" s="181">
        <f t="shared" si="8"/>
        <v>-0.13544891640866474</v>
      </c>
      <c r="DP28" s="181">
        <f t="shared" si="8"/>
        <v>-0.44565006781630556</v>
      </c>
      <c r="DQ28" s="181">
        <f t="shared" si="8"/>
        <v>-0.41845075905022622</v>
      </c>
      <c r="DR28" s="175">
        <f t="shared" si="8"/>
        <v>1.7003811199061802</v>
      </c>
      <c r="DS28" s="174">
        <f t="shared" si="8"/>
        <v>-1.31642163928124</v>
      </c>
      <c r="DT28" s="181">
        <f t="shared" si="8"/>
        <v>-0.12658227848102444</v>
      </c>
      <c r="DU28" s="181">
        <f t="shared" si="8"/>
        <v>0.12674271229404788</v>
      </c>
      <c r="DV28" s="181">
        <f t="shared" si="8"/>
        <v>-4.8685491723465812E-2</v>
      </c>
      <c r="DW28" s="181">
        <f t="shared" si="8"/>
        <v>9.7418412079885996E-2</v>
      </c>
      <c r="DX28" s="181">
        <f t="shared" si="8"/>
        <v>-0.194647201946474</v>
      </c>
      <c r="DY28" s="181">
        <f t="shared" si="8"/>
        <v>0.64358849341783486</v>
      </c>
      <c r="DZ28" s="181">
        <f t="shared" si="8"/>
        <v>-0.23253560701481657</v>
      </c>
      <c r="EA28" s="181">
        <f t="shared" si="8"/>
        <v>-0.22336602894047486</v>
      </c>
      <c r="EB28" s="181">
        <f t="shared" si="8"/>
        <v>9.733307377848277E-2</v>
      </c>
      <c r="EC28" s="181">
        <f t="shared" si="8"/>
        <v>0.41812524309605692</v>
      </c>
      <c r="ED28" s="175">
        <f t="shared" si="8"/>
        <v>4.8416771569659289E-2</v>
      </c>
      <c r="EE28" s="174">
        <f t="shared" si="8"/>
        <v>-1.6453735965931027</v>
      </c>
      <c r="EF28" s="181">
        <f t="shared" si="8"/>
        <v>-0.42314505018697934</v>
      </c>
      <c r="EG28" s="181">
        <f t="shared" si="8"/>
        <v>3.5675462002174196</v>
      </c>
      <c r="EH28" s="181">
        <f t="shared" si="8"/>
        <v>0.90648854961832281</v>
      </c>
      <c r="EI28" s="181">
        <f t="shared" si="7"/>
        <v>0.50118203309692522</v>
      </c>
      <c r="EJ28" s="181">
        <f t="shared" si="7"/>
        <v>0.25404591644710983</v>
      </c>
      <c r="EK28" s="181">
        <f t="shared" si="7"/>
        <v>0.56311590802440303</v>
      </c>
      <c r="EL28" s="181">
        <f t="shared" si="7"/>
        <v>-0.32664489034065491</v>
      </c>
      <c r="EM28" s="181">
        <f t="shared" si="7"/>
        <v>0.2434456928839035</v>
      </c>
      <c r="EN28" s="181">
        <f t="shared" si="7"/>
        <v>-0.14010835045769054</v>
      </c>
      <c r="EO28" s="181">
        <f t="shared" si="7"/>
        <v>-0.18707323917314111</v>
      </c>
      <c r="EP28" s="175">
        <f t="shared" si="7"/>
        <v>1.9398369412426231</v>
      </c>
      <c r="EQ28" s="174">
        <f t="shared" si="7"/>
        <v>-0.4964147821290732</v>
      </c>
      <c r="ER28" s="181">
        <f t="shared" si="7"/>
        <v>-0.50813008130080606</v>
      </c>
      <c r="ES28" s="181">
        <f t="shared" si="7"/>
        <v>-0.89144767387872026</v>
      </c>
      <c r="ET28" s="181">
        <f t="shared" si="7"/>
        <v>-1.0493769324463664</v>
      </c>
      <c r="EU28" s="181">
        <f t="shared" si="7"/>
        <v>-0.16096960515102898</v>
      </c>
      <c r="EV28" s="181">
        <f t="shared" si="7"/>
        <v>0.53110773899849306</v>
      </c>
      <c r="EW28" s="181">
        <f t="shared" si="7"/>
        <v>0.7169811320754782</v>
      </c>
      <c r="EX28" s="181">
        <f t="shared" si="7"/>
        <v>-0.44023979018358306</v>
      </c>
      <c r="EY28" s="181">
        <f t="shared" si="7"/>
        <v>0.58330981277636695</v>
      </c>
      <c r="EZ28" s="181">
        <f t="shared" si="7"/>
        <v>-1.8707323917310781E-2</v>
      </c>
      <c r="FA28" s="181">
        <f t="shared" si="7"/>
        <v>0.14033118158855995</v>
      </c>
      <c r="FB28" s="175">
        <f t="shared" si="7"/>
        <v>2.4757100149476852</v>
      </c>
      <c r="FC28" s="174">
        <f t="shared" si="7"/>
        <v>-0.85696052511623488</v>
      </c>
      <c r="FD28" s="181">
        <f t="shared" si="7"/>
        <v>-1.1586206896551765</v>
      </c>
      <c r="FE28" s="181">
        <f t="shared" si="7"/>
        <v>-0.15815424690669433</v>
      </c>
      <c r="FF28" s="181">
        <f t="shared" si="7"/>
        <v>-0.60999999999999943</v>
      </c>
      <c r="FG28" s="181">
        <f t="shared" si="7"/>
        <v>0</v>
      </c>
      <c r="FH28" s="181">
        <f t="shared" si="7"/>
        <v>-0.19000000000000128</v>
      </c>
      <c r="FI28" s="181">
        <f t="shared" si="7"/>
        <v>0.72000000000000952</v>
      </c>
      <c r="FJ28" s="181">
        <f t="shared" si="3"/>
        <v>-0.60999999999999943</v>
      </c>
      <c r="FK28" s="181">
        <f t="shared" si="3"/>
        <v>0.29999999999998916</v>
      </c>
      <c r="FL28" s="181">
        <f t="shared" si="3"/>
        <v>0.26999999999999247</v>
      </c>
      <c r="FM28" s="181">
        <f t="shared" si="3"/>
        <v>1.9831340932258357</v>
      </c>
      <c r="FN28" s="175">
        <f t="shared" si="3"/>
        <v>1.980000000000004</v>
      </c>
      <c r="FO28" s="174">
        <v>-0.67000000000000393</v>
      </c>
      <c r="FP28" s="181">
        <f t="shared" si="6"/>
        <v>8.9999999999990088E-2</v>
      </c>
      <c r="FQ28" s="181"/>
      <c r="FR28" s="181"/>
      <c r="FS28" s="181"/>
      <c r="FT28" s="181"/>
      <c r="FU28" s="181"/>
      <c r="FV28" s="181"/>
      <c r="FW28" s="181"/>
      <c r="FX28" s="181"/>
      <c r="FY28" s="181"/>
      <c r="FZ28" s="175"/>
      <c r="GA28"/>
      <c r="GB28" s="176">
        <f t="shared" si="4"/>
        <v>0.09</v>
      </c>
      <c r="GC28" s="176">
        <f t="shared" si="4"/>
        <v>-0.57999999999999996</v>
      </c>
      <c r="GD28" s="176">
        <f t="shared" si="4"/>
        <v>1.79</v>
      </c>
      <c r="GE28"/>
    </row>
    <row r="29" spans="1:187" s="102" customFormat="1" ht="13.9" customHeight="1" x14ac:dyDescent="0.2">
      <c r="A29" s="163" t="s">
        <v>120</v>
      </c>
      <c r="B29" s="182">
        <v>10.88</v>
      </c>
      <c r="C29" s="174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75"/>
      <c r="O29" s="174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75"/>
      <c r="AA29" s="174"/>
      <c r="AB29" s="181"/>
      <c r="AC29" s="181"/>
      <c r="AD29" s="181"/>
      <c r="AE29" s="181"/>
      <c r="AF29" s="181"/>
      <c r="AG29" s="181"/>
      <c r="AH29" s="181"/>
      <c r="AI29" s="181"/>
      <c r="AJ29" s="181"/>
      <c r="AK29" s="181"/>
      <c r="AL29" s="175"/>
      <c r="AM29" s="174"/>
      <c r="AN29" s="181"/>
      <c r="AO29" s="181"/>
      <c r="AP29" s="181"/>
      <c r="AQ29" s="181"/>
      <c r="AR29" s="181"/>
      <c r="AS29" s="181"/>
      <c r="AT29" s="181"/>
      <c r="AU29" s="181"/>
      <c r="AV29" s="181"/>
      <c r="AW29" s="181"/>
      <c r="AX29" s="175"/>
      <c r="AY29" s="174"/>
      <c r="AZ29" s="181"/>
      <c r="BA29" s="181"/>
      <c r="BB29" s="181"/>
      <c r="BC29" s="181"/>
      <c r="BD29" s="181"/>
      <c r="BE29" s="181"/>
      <c r="BF29" s="181"/>
      <c r="BG29" s="181"/>
      <c r="BH29" s="181"/>
      <c r="BI29" s="181"/>
      <c r="BJ29" s="175"/>
      <c r="BK29" s="174"/>
      <c r="BL29" s="181"/>
      <c r="BM29" s="181"/>
      <c r="BN29" s="181"/>
      <c r="BO29" s="181"/>
      <c r="BP29" s="181"/>
      <c r="BQ29" s="181"/>
      <c r="BR29" s="181"/>
      <c r="BS29" s="181"/>
      <c r="BT29" s="181"/>
      <c r="BU29" s="181"/>
      <c r="BV29" s="175"/>
      <c r="BW29" s="174">
        <f t="shared" si="8"/>
        <v>5.9342209066093332E-2</v>
      </c>
      <c r="BX29" s="181">
        <f t="shared" si="8"/>
        <v>0.3869408943298458</v>
      </c>
      <c r="BY29" s="181">
        <f t="shared" si="8"/>
        <v>0.63556461093636774</v>
      </c>
      <c r="BZ29" s="181">
        <f t="shared" si="8"/>
        <v>-0.15263379629949503</v>
      </c>
      <c r="CA29" s="181">
        <f t="shared" si="8"/>
        <v>-0.15207660154743508</v>
      </c>
      <c r="CB29" s="181">
        <f t="shared" si="8"/>
        <v>0</v>
      </c>
      <c r="CC29" s="181">
        <f t="shared" si="8"/>
        <v>-6.3733916835162496E-2</v>
      </c>
      <c r="CD29" s="181">
        <f t="shared" si="8"/>
        <v>9.4770584874148689E-2</v>
      </c>
      <c r="CE29" s="181">
        <f t="shared" si="8"/>
        <v>2.0677428163251577E-2</v>
      </c>
      <c r="CF29" s="181">
        <f t="shared" si="8"/>
        <v>-8.130780940737159E-2</v>
      </c>
      <c r="CG29" s="181">
        <f t="shared" si="8"/>
        <v>0.14730470988990607</v>
      </c>
      <c r="CH29" s="175">
        <f t="shared" si="8"/>
        <v>-0.29308874015334663</v>
      </c>
      <c r="CI29" s="174">
        <f t="shared" si="8"/>
        <v>-0.2181081300796861</v>
      </c>
      <c r="CJ29" s="181">
        <f t="shared" si="8"/>
        <v>-0.39464506783085662</v>
      </c>
      <c r="CK29" s="181">
        <f t="shared" si="8"/>
        <v>-0.1151119898015196</v>
      </c>
      <c r="CL29" s="181">
        <f t="shared" si="8"/>
        <v>-0.19313964775482528</v>
      </c>
      <c r="CM29" s="181">
        <f t="shared" si="8"/>
        <v>4.5426619999311413E-2</v>
      </c>
      <c r="CN29" s="181">
        <f t="shared" si="8"/>
        <v>0.13591794116822875</v>
      </c>
      <c r="CO29" s="181">
        <f t="shared" si="8"/>
        <v>-0.22532352803110722</v>
      </c>
      <c r="CP29" s="181">
        <f t="shared" si="8"/>
        <v>0.11962309216184686</v>
      </c>
      <c r="CQ29" s="181">
        <f t="shared" si="8"/>
        <v>-6.0389975264107942E-2</v>
      </c>
      <c r="CR29" s="181">
        <f t="shared" si="8"/>
        <v>1.8608150369869847E-2</v>
      </c>
      <c r="CS29" s="181">
        <f t="shared" si="8"/>
        <v>9.6824399748740575E-2</v>
      </c>
      <c r="CT29" s="175">
        <f t="shared" si="8"/>
        <v>-0.1424979714524377</v>
      </c>
      <c r="CU29" s="174">
        <f t="shared" si="8"/>
        <v>0.66146964344684367</v>
      </c>
      <c r="CV29" s="181">
        <f t="shared" si="8"/>
        <v>-5.9648076349538837E-2</v>
      </c>
      <c r="CW29" s="181">
        <f t="shared" si="8"/>
        <v>0.58688948572565014</v>
      </c>
      <c r="CX29" s="181">
        <f t="shared" si="8"/>
        <v>0.27689873417722222</v>
      </c>
      <c r="CY29" s="181">
        <f t="shared" si="8"/>
        <v>4.930966469427478E-2</v>
      </c>
      <c r="CZ29" s="181">
        <f t="shared" si="8"/>
        <v>-0.246426811237066</v>
      </c>
      <c r="DA29" s="181">
        <f t="shared" si="8"/>
        <v>0.10869565217390686</v>
      </c>
      <c r="DB29" s="181">
        <f t="shared" si="8"/>
        <v>1.9741387819549594E-2</v>
      </c>
      <c r="DC29" s="181">
        <f t="shared" si="8"/>
        <v>-0.10855620250665998</v>
      </c>
      <c r="DD29" s="181">
        <f t="shared" si="8"/>
        <v>-0.10867417506421617</v>
      </c>
      <c r="DE29" s="181">
        <f t="shared" si="8"/>
        <v>-0.21758480862427154</v>
      </c>
      <c r="DF29" s="175">
        <f t="shared" si="8"/>
        <v>-5.9470710674991434E-2</v>
      </c>
      <c r="DG29" s="174">
        <f t="shared" si="8"/>
        <v>-0.36695427948031378</v>
      </c>
      <c r="DH29" s="181">
        <f t="shared" si="8"/>
        <v>-0.18913000199084484</v>
      </c>
      <c r="DI29" s="181">
        <f t="shared" si="8"/>
        <v>3.98922908148025E-2</v>
      </c>
      <c r="DJ29" s="181">
        <f t="shared" si="8"/>
        <v>0.7078058020137501</v>
      </c>
      <c r="DK29" s="181">
        <f t="shared" si="8"/>
        <v>-0.19798059790140377</v>
      </c>
      <c r="DL29" s="181">
        <f t="shared" si="8"/>
        <v>0.18845467169212871</v>
      </c>
      <c r="DM29" s="181">
        <f t="shared" si="8"/>
        <v>0.13860013860014231</v>
      </c>
      <c r="DN29" s="181">
        <f t="shared" si="8"/>
        <v>-0.88976767177459948</v>
      </c>
      <c r="DO29" s="181">
        <f t="shared" si="8"/>
        <v>0.22942643391521411</v>
      </c>
      <c r="DP29" s="181">
        <f t="shared" si="8"/>
        <v>-0.15923566878981443</v>
      </c>
      <c r="DQ29" s="181">
        <f t="shared" si="8"/>
        <v>0.10964912280702066</v>
      </c>
      <c r="DR29" s="175">
        <f t="shared" si="8"/>
        <v>9.9571841083334611E-2</v>
      </c>
      <c r="DS29" s="174">
        <f t="shared" si="8"/>
        <v>2.9841838257227415E-2</v>
      </c>
      <c r="DT29" s="181">
        <f t="shared" si="8"/>
        <v>9.9443118536202135E-2</v>
      </c>
      <c r="DU29" s="181">
        <f t="shared" si="8"/>
        <v>6.9541029207242921E-2</v>
      </c>
      <c r="DV29" s="181">
        <f t="shared" si="8"/>
        <v>-0.18862305172242522</v>
      </c>
      <c r="DW29" s="181">
        <f t="shared" si="8"/>
        <v>9.9462900338176397E-2</v>
      </c>
      <c r="DX29" s="181">
        <f t="shared" si="8"/>
        <v>-4.9682034976150646E-2</v>
      </c>
      <c r="DY29" s="181">
        <f t="shared" si="8"/>
        <v>0</v>
      </c>
      <c r="DZ29" s="181">
        <f t="shared" si="8"/>
        <v>0</v>
      </c>
      <c r="EA29" s="181">
        <f t="shared" si="8"/>
        <v>4.9706730291276813E-2</v>
      </c>
      <c r="EB29" s="181">
        <f t="shared" si="8"/>
        <v>-0.12917329093798946</v>
      </c>
      <c r="EC29" s="181">
        <f t="shared" si="8"/>
        <v>-9.9492587802219035E-2</v>
      </c>
      <c r="ED29" s="175">
        <f t="shared" si="8"/>
        <v>-6.9714171895218779E-2</v>
      </c>
      <c r="EE29" s="174">
        <f t="shared" si="8"/>
        <v>-1.9932230416597196E-2</v>
      </c>
      <c r="EF29" s="181">
        <f t="shared" si="8"/>
        <v>1.9936204146731029E-2</v>
      </c>
      <c r="EG29" s="181">
        <f t="shared" si="8"/>
        <v>0.807255331871648</v>
      </c>
      <c r="EH29" s="181">
        <f t="shared" ref="EH29:FI30" si="9">((EH14/EG14)-1)*100</f>
        <v>0.33613445378151141</v>
      </c>
      <c r="EI29" s="181">
        <f t="shared" si="9"/>
        <v>6.8972312543125192E-2</v>
      </c>
      <c r="EJ29" s="181">
        <f t="shared" si="9"/>
        <v>0</v>
      </c>
      <c r="EK29" s="181">
        <f t="shared" si="9"/>
        <v>0.4923198109491933</v>
      </c>
      <c r="EL29" s="181">
        <f t="shared" si="9"/>
        <v>9.7981579463057855E-3</v>
      </c>
      <c r="EM29" s="181">
        <f t="shared" si="9"/>
        <v>4.8985990006866764E-2</v>
      </c>
      <c r="EN29" s="181">
        <f t="shared" si="9"/>
        <v>-6.8546807677249966E-2</v>
      </c>
      <c r="EO29" s="181">
        <f t="shared" si="9"/>
        <v>0</v>
      </c>
      <c r="EP29" s="175">
        <f t="shared" si="9"/>
        <v>-4.8995590396860855E-2</v>
      </c>
      <c r="EQ29" s="174">
        <f t="shared" si="9"/>
        <v>-7.8431372549014888E-2</v>
      </c>
      <c r="ER29" s="181">
        <f t="shared" si="9"/>
        <v>0.74568288854004461</v>
      </c>
      <c r="ES29" s="181">
        <f t="shared" si="9"/>
        <v>0.45773276197895729</v>
      </c>
      <c r="ET29" s="181">
        <f t="shared" si="9"/>
        <v>9.6946194861668999E-3</v>
      </c>
      <c r="EU29" s="181">
        <f t="shared" si="9"/>
        <v>9.6936797208346803E-3</v>
      </c>
      <c r="EV29" s="181">
        <f t="shared" si="9"/>
        <v>-9.6927401376456501E-3</v>
      </c>
      <c r="EW29" s="181">
        <f t="shared" si="9"/>
        <v>0.90151221403644843</v>
      </c>
      <c r="EX29" s="181">
        <f t="shared" si="9"/>
        <v>0.86463637237006452</v>
      </c>
      <c r="EY29" s="181">
        <f t="shared" si="9"/>
        <v>1.1048671302028801</v>
      </c>
      <c r="EZ29" s="181">
        <f t="shared" si="9"/>
        <v>0.96090438059348582</v>
      </c>
      <c r="FA29" s="181">
        <f t="shared" si="9"/>
        <v>-0.26126714565642972</v>
      </c>
      <c r="FB29" s="175">
        <f t="shared" si="9"/>
        <v>-6.5487884741333158E-2</v>
      </c>
      <c r="FC29" s="174">
        <f t="shared" si="9"/>
        <v>-1.8723085564498199E-2</v>
      </c>
      <c r="FD29" s="181">
        <f t="shared" si="9"/>
        <v>-0.11235955056179137</v>
      </c>
      <c r="FE29" s="181">
        <f t="shared" si="9"/>
        <v>0.78740157480314821</v>
      </c>
      <c r="FF29" s="181">
        <f t="shared" si="9"/>
        <v>2.1500000000000075</v>
      </c>
      <c r="FG29" s="181">
        <f t="shared" si="9"/>
        <v>0.14000000000000679</v>
      </c>
      <c r="FH29" s="181">
        <f t="shared" si="9"/>
        <v>-0.61999999999999833</v>
      </c>
      <c r="FI29" s="181">
        <f t="shared" si="9"/>
        <v>-0.25000000000000577</v>
      </c>
      <c r="FJ29" s="181">
        <f t="shared" si="3"/>
        <v>0</v>
      </c>
      <c r="FK29" s="181">
        <f t="shared" si="3"/>
        <v>0</v>
      </c>
      <c r="FL29" s="181">
        <f t="shared" si="3"/>
        <v>0</v>
      </c>
      <c r="FM29" s="181">
        <f t="shared" si="3"/>
        <v>0.11006145097680609</v>
      </c>
      <c r="FN29" s="175">
        <f t="shared" si="3"/>
        <v>0.11000000000001009</v>
      </c>
      <c r="FO29" s="174">
        <v>0.13000000000000789</v>
      </c>
      <c r="FP29" s="181">
        <f t="shared" si="6"/>
        <v>-0.30999999999999917</v>
      </c>
      <c r="FQ29" s="181"/>
      <c r="FR29" s="181"/>
      <c r="FS29" s="181"/>
      <c r="FT29" s="181"/>
      <c r="FU29" s="181"/>
      <c r="FV29" s="181"/>
      <c r="FW29" s="181"/>
      <c r="FX29" s="181"/>
      <c r="FY29" s="181"/>
      <c r="FZ29" s="175"/>
      <c r="GA29"/>
      <c r="GB29" s="176">
        <f t="shared" si="4"/>
        <v>-0.31</v>
      </c>
      <c r="GC29" s="176">
        <f t="shared" si="4"/>
        <v>-0.18</v>
      </c>
      <c r="GD29" s="176">
        <f t="shared" si="4"/>
        <v>2.13</v>
      </c>
      <c r="GE29"/>
    </row>
    <row r="30" spans="1:187" s="102" customFormat="1" ht="13.9" customHeight="1" x14ac:dyDescent="0.2">
      <c r="A30" s="163" t="s">
        <v>28</v>
      </c>
      <c r="B30" s="182">
        <v>8.09</v>
      </c>
      <c r="C30" s="174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75"/>
      <c r="O30" s="174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75"/>
      <c r="AA30" s="174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75"/>
      <c r="AM30" s="174"/>
      <c r="AN30" s="181"/>
      <c r="AO30" s="181"/>
      <c r="AP30" s="181"/>
      <c r="AQ30" s="181"/>
      <c r="AR30" s="181"/>
      <c r="AS30" s="181"/>
      <c r="AT30" s="181"/>
      <c r="AU30" s="181"/>
      <c r="AV30" s="181"/>
      <c r="AW30" s="181"/>
      <c r="AX30" s="175"/>
      <c r="AY30" s="174"/>
      <c r="AZ30" s="181"/>
      <c r="BA30" s="181"/>
      <c r="BB30" s="181"/>
      <c r="BC30" s="181"/>
      <c r="BD30" s="181"/>
      <c r="BE30" s="181"/>
      <c r="BF30" s="181"/>
      <c r="BG30" s="181"/>
      <c r="BH30" s="181"/>
      <c r="BI30" s="181"/>
      <c r="BJ30" s="175"/>
      <c r="BK30" s="174"/>
      <c r="BL30" s="181"/>
      <c r="BM30" s="181"/>
      <c r="BN30" s="181"/>
      <c r="BO30" s="181"/>
      <c r="BP30" s="181"/>
      <c r="BQ30" s="181"/>
      <c r="BR30" s="181"/>
      <c r="BS30" s="181"/>
      <c r="BT30" s="181"/>
      <c r="BU30" s="181"/>
      <c r="BV30" s="175"/>
      <c r="BW30" s="174">
        <f t="shared" ref="BW30:EH30" si="10">((BW15/BV15)-1)*100</f>
        <v>-0.42217529185440972</v>
      </c>
      <c r="BX30" s="181">
        <f t="shared" si="10"/>
        <v>-2.2570378317321449E-2</v>
      </c>
      <c r="BY30" s="181">
        <f t="shared" si="10"/>
        <v>-0.18209556088615297</v>
      </c>
      <c r="BZ30" s="181">
        <f t="shared" si="10"/>
        <v>-0.12195061199480328</v>
      </c>
      <c r="CA30" s="181">
        <f t="shared" si="10"/>
        <v>4.8380934520153573E-2</v>
      </c>
      <c r="CB30" s="181">
        <f t="shared" si="10"/>
        <v>0.16431592528411976</v>
      </c>
      <c r="CC30" s="181">
        <f t="shared" si="10"/>
        <v>5.3553973047804071E-2</v>
      </c>
      <c r="CD30" s="181">
        <f t="shared" si="10"/>
        <v>-0.24812661421583782</v>
      </c>
      <c r="CE30" s="181">
        <f t="shared" si="10"/>
        <v>0.1970801026891067</v>
      </c>
      <c r="CF30" s="181">
        <f t="shared" si="10"/>
        <v>-0.36889790506602349</v>
      </c>
      <c r="CG30" s="181">
        <f t="shared" si="10"/>
        <v>0.32010934071862174</v>
      </c>
      <c r="CH30" s="175">
        <f t="shared" si="10"/>
        <v>-1.7129563235962486E-2</v>
      </c>
      <c r="CI30" s="174">
        <f t="shared" si="10"/>
        <v>6.8729206924578179E-3</v>
      </c>
      <c r="CJ30" s="181">
        <f t="shared" si="10"/>
        <v>-0.38535511135856515</v>
      </c>
      <c r="CK30" s="181">
        <f t="shared" si="10"/>
        <v>0.2335673005779304</v>
      </c>
      <c r="CL30" s="181">
        <f t="shared" si="10"/>
        <v>-0.33816270913218371</v>
      </c>
      <c r="CM30" s="181">
        <f t="shared" si="10"/>
        <v>5.0045741808002475E-3</v>
      </c>
      <c r="CN30" s="181">
        <f t="shared" si="10"/>
        <v>0.6852920923678063</v>
      </c>
      <c r="CO30" s="181">
        <f t="shared" si="10"/>
        <v>2.1380082963628588</v>
      </c>
      <c r="CP30" s="181">
        <f t="shared" si="10"/>
        <v>0.24009942666165518</v>
      </c>
      <c r="CQ30" s="181">
        <f t="shared" si="10"/>
        <v>0.95809732047327234</v>
      </c>
      <c r="CR30" s="181">
        <f t="shared" si="10"/>
        <v>0.56961453166202158</v>
      </c>
      <c r="CS30" s="181">
        <f t="shared" si="10"/>
        <v>4.0162601159465794E-3</v>
      </c>
      <c r="CT30" s="175">
        <f t="shared" si="10"/>
        <v>0.23809728712524958</v>
      </c>
      <c r="CU30" s="174">
        <f t="shared" si="10"/>
        <v>0.31661357975580895</v>
      </c>
      <c r="CV30" s="181">
        <f t="shared" si="10"/>
        <v>0.24724229745149984</v>
      </c>
      <c r="CW30" s="181">
        <f t="shared" si="10"/>
        <v>0.17074558907228532</v>
      </c>
      <c r="CX30" s="181">
        <f t="shared" si="10"/>
        <v>-0.24621212121210823</v>
      </c>
      <c r="CY30" s="181">
        <f t="shared" si="10"/>
        <v>0.21834061135370675</v>
      </c>
      <c r="CZ30" s="181">
        <f t="shared" si="10"/>
        <v>0.53992611537370117</v>
      </c>
      <c r="DA30" s="181">
        <f t="shared" si="10"/>
        <v>5.6529112492942346E-2</v>
      </c>
      <c r="DB30" s="181">
        <f t="shared" si="10"/>
        <v>-0.27306967984934705</v>
      </c>
      <c r="DC30" s="181">
        <f t="shared" si="10"/>
        <v>9.4419790388067248E-2</v>
      </c>
      <c r="DD30" s="181">
        <f t="shared" si="10"/>
        <v>4.7165361758327862E-2</v>
      </c>
      <c r="DE30" s="181">
        <f t="shared" si="10"/>
        <v>0.16028663020932754</v>
      </c>
      <c r="DF30" s="175">
        <f t="shared" si="10"/>
        <v>0.37654146662899901</v>
      </c>
      <c r="DG30" s="174">
        <f t="shared" si="10"/>
        <v>8.4404013879768591E-2</v>
      </c>
      <c r="DH30" s="181">
        <f t="shared" si="10"/>
        <v>0.59970014992503096</v>
      </c>
      <c r="DI30" s="181">
        <f t="shared" si="10"/>
        <v>-4.6572280178835967E-2</v>
      </c>
      <c r="DJ30" s="181">
        <f t="shared" si="10"/>
        <v>-9.3187960115592716E-3</v>
      </c>
      <c r="DK30" s="181">
        <f t="shared" si="10"/>
        <v>0.20503261882571788</v>
      </c>
      <c r="DL30" s="181">
        <f t="shared" si="10"/>
        <v>0.1953125</v>
      </c>
      <c r="DM30" s="181">
        <f t="shared" si="10"/>
        <v>1.5408892601874946</v>
      </c>
      <c r="DN30" s="181">
        <f t="shared" si="10"/>
        <v>0.29253130999176147</v>
      </c>
      <c r="DO30" s="181">
        <f t="shared" si="10"/>
        <v>0.7200802114665894</v>
      </c>
      <c r="DP30" s="181">
        <f t="shared" si="10"/>
        <v>9.9547511312225723E-2</v>
      </c>
      <c r="DQ30" s="181">
        <f t="shared" si="10"/>
        <v>-0.12657083446343531</v>
      </c>
      <c r="DR30" s="175">
        <f t="shared" si="10"/>
        <v>9.957454512536934E-2</v>
      </c>
      <c r="DS30" s="174">
        <f t="shared" si="10"/>
        <v>0.15373485259539965</v>
      </c>
      <c r="DT30" s="181">
        <f t="shared" si="10"/>
        <v>9.932279909705688E-2</v>
      </c>
      <c r="DU30" s="181">
        <f t="shared" si="10"/>
        <v>0.18942810752300421</v>
      </c>
      <c r="DV30" s="181">
        <f t="shared" si="10"/>
        <v>0.60322319258125923</v>
      </c>
      <c r="DW30" s="181">
        <f t="shared" si="10"/>
        <v>0.4385179881868595</v>
      </c>
      <c r="DX30" s="181">
        <f t="shared" si="10"/>
        <v>-0.19602601799875163</v>
      </c>
      <c r="DY30" s="181">
        <f t="shared" si="10"/>
        <v>-9.8205517364524653E-2</v>
      </c>
      <c r="DZ30" s="181">
        <f t="shared" si="10"/>
        <v>8.0428954423572563E-2</v>
      </c>
      <c r="EA30" s="181">
        <f t="shared" si="10"/>
        <v>-0.2232342173408286</v>
      </c>
      <c r="EB30" s="181">
        <f t="shared" si="10"/>
        <v>8.0544120279224529E-2</v>
      </c>
      <c r="EC30" s="181">
        <f t="shared" si="10"/>
        <v>1.7884288652414426E-2</v>
      </c>
      <c r="ED30" s="175">
        <f t="shared" si="10"/>
        <v>0.40232454179705002</v>
      </c>
      <c r="EE30" s="174">
        <f t="shared" si="10"/>
        <v>1.2110418521816602</v>
      </c>
      <c r="EF30" s="181">
        <f t="shared" si="10"/>
        <v>2.6394509941929378E-2</v>
      </c>
      <c r="EG30" s="181">
        <f t="shared" si="10"/>
        <v>-8.7958483595662607E-3</v>
      </c>
      <c r="EH30" s="181">
        <f t="shared" si="10"/>
        <v>-6.1576354679804268E-2</v>
      </c>
      <c r="EI30" s="181">
        <f t="shared" si="9"/>
        <v>9.6822462811374521E-2</v>
      </c>
      <c r="EJ30" s="181">
        <f t="shared" si="9"/>
        <v>0.19345761519522497</v>
      </c>
      <c r="EK30" s="181">
        <f t="shared" si="9"/>
        <v>0.28962611901000024</v>
      </c>
      <c r="EL30" s="181">
        <f t="shared" si="9"/>
        <v>0.12251684606634505</v>
      </c>
      <c r="EM30" s="181">
        <f t="shared" si="9"/>
        <v>0.23599335722401804</v>
      </c>
      <c r="EN30" s="181">
        <f t="shared" si="9"/>
        <v>1.7439832577603731E-2</v>
      </c>
      <c r="EO30" s="181">
        <f t="shared" si="9"/>
        <v>0.27898866608544459</v>
      </c>
      <c r="EP30" s="175">
        <f t="shared" si="9"/>
        <v>-0.17388280299078795</v>
      </c>
      <c r="EQ30" s="174">
        <f t="shared" si="9"/>
        <v>9.580212506532515E-2</v>
      </c>
      <c r="ER30" s="181">
        <f t="shared" si="9"/>
        <v>0.89619768554771717</v>
      </c>
      <c r="ES30" s="181">
        <f t="shared" si="9"/>
        <v>0.18972059330804036</v>
      </c>
      <c r="ET30" s="181">
        <f t="shared" si="9"/>
        <v>0.54226200723015427</v>
      </c>
      <c r="EU30" s="181">
        <f t="shared" si="9"/>
        <v>0.67631195959250157</v>
      </c>
      <c r="EV30" s="181">
        <f t="shared" si="9"/>
        <v>0.49319727891157239</v>
      </c>
      <c r="EW30" s="181">
        <f t="shared" si="9"/>
        <v>-0.10154002369268111</v>
      </c>
      <c r="EX30" s="181">
        <f t="shared" si="9"/>
        <v>0.54209723869218518</v>
      </c>
      <c r="EY30" s="181">
        <f t="shared" si="9"/>
        <v>0.29486099410278577</v>
      </c>
      <c r="EZ30" s="181">
        <f t="shared" si="9"/>
        <v>0.26039479210415717</v>
      </c>
      <c r="FA30" s="181">
        <f t="shared" si="9"/>
        <v>-1.6756032171583168E-2</v>
      </c>
      <c r="FB30" s="175">
        <f t="shared" si="9"/>
        <v>-0.31003854533266928</v>
      </c>
      <c r="FC30" s="174">
        <f t="shared" si="9"/>
        <v>0.21854248970329948</v>
      </c>
      <c r="FD30" s="181">
        <f t="shared" si="9"/>
        <v>0.41097039335737939</v>
      </c>
      <c r="FE30" s="181">
        <f t="shared" si="9"/>
        <v>0.11693952555964504</v>
      </c>
      <c r="FF30" s="181">
        <f t="shared" si="9"/>
        <v>0.51000000000001044</v>
      </c>
      <c r="FG30" s="181">
        <f t="shared" si="9"/>
        <v>0.49999999999998934</v>
      </c>
      <c r="FH30" s="181">
        <f t="shared" si="9"/>
        <v>0.35000000000000586</v>
      </c>
      <c r="FI30" s="181">
        <f t="shared" si="9"/>
        <v>0.58000000000000274</v>
      </c>
      <c r="FJ30" s="181">
        <f t="shared" si="3"/>
        <v>-9.000000000000119E-2</v>
      </c>
      <c r="FK30" s="181">
        <f t="shared" si="3"/>
        <v>-0.27000000000000357</v>
      </c>
      <c r="FL30" s="181">
        <f t="shared" si="3"/>
        <v>4.9999999999994493E-2</v>
      </c>
      <c r="FM30" s="181">
        <f t="shared" si="3"/>
        <v>0.15644298065047302</v>
      </c>
      <c r="FN30" s="175">
        <f t="shared" si="3"/>
        <v>0.16000000000000458</v>
      </c>
      <c r="FO30" s="174">
        <v>0.63999999999999613</v>
      </c>
      <c r="FP30" s="181">
        <f t="shared" si="6"/>
        <v>0.60999999999999943</v>
      </c>
      <c r="FQ30" s="181"/>
      <c r="FR30" s="181"/>
      <c r="FS30" s="181"/>
      <c r="FT30" s="181"/>
      <c r="FU30" s="181"/>
      <c r="FV30" s="181"/>
      <c r="FW30" s="181"/>
      <c r="FX30" s="181"/>
      <c r="FY30" s="181"/>
      <c r="FZ30" s="175"/>
      <c r="GA30"/>
      <c r="GB30" s="176">
        <f t="shared" si="4"/>
        <v>0.61</v>
      </c>
      <c r="GC30" s="176">
        <f t="shared" si="4"/>
        <v>1.26</v>
      </c>
      <c r="GD30" s="176">
        <f t="shared" si="4"/>
        <v>2.88</v>
      </c>
      <c r="GE30"/>
    </row>
    <row r="31" spans="1:187" s="102" customFormat="1" ht="13.9" customHeight="1" x14ac:dyDescent="0.2">
      <c r="A31" s="165"/>
      <c r="B31" s="183"/>
      <c r="C31" s="177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9"/>
      <c r="O31" s="177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9"/>
      <c r="AA31" s="177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9"/>
      <c r="AM31" s="177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  <c r="AX31" s="179"/>
      <c r="AY31" s="177"/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9"/>
      <c r="BK31" s="177"/>
      <c r="BL31" s="178"/>
      <c r="BM31" s="178"/>
      <c r="BN31" s="178"/>
      <c r="BO31" s="178"/>
      <c r="BP31" s="178"/>
      <c r="BQ31" s="178"/>
      <c r="BR31" s="178"/>
      <c r="BS31" s="178"/>
      <c r="BT31" s="178"/>
      <c r="BU31" s="178"/>
      <c r="BV31" s="179"/>
      <c r="BW31" s="177"/>
      <c r="BX31" s="178"/>
      <c r="BY31" s="178"/>
      <c r="BZ31" s="178"/>
      <c r="CA31" s="178"/>
      <c r="CB31" s="178"/>
      <c r="CC31" s="178"/>
      <c r="CD31" s="178"/>
      <c r="CE31" s="178"/>
      <c r="CF31" s="178"/>
      <c r="CG31" s="178"/>
      <c r="CH31" s="179"/>
      <c r="CI31" s="177"/>
      <c r="CJ31" s="178"/>
      <c r="CK31" s="178"/>
      <c r="CL31" s="178"/>
      <c r="CM31" s="178"/>
      <c r="CN31" s="178"/>
      <c r="CO31" s="178"/>
      <c r="CP31" s="178"/>
      <c r="CQ31" s="178"/>
      <c r="CR31" s="178"/>
      <c r="CS31" s="178"/>
      <c r="CT31" s="179"/>
      <c r="CU31" s="177"/>
      <c r="CV31" s="178"/>
      <c r="CW31" s="178"/>
      <c r="CX31" s="178"/>
      <c r="CY31" s="178"/>
      <c r="CZ31" s="178"/>
      <c r="DA31" s="178"/>
      <c r="DB31" s="178"/>
      <c r="DC31" s="178"/>
      <c r="DD31" s="178"/>
      <c r="DE31" s="178"/>
      <c r="DF31" s="179"/>
      <c r="DG31" s="177"/>
      <c r="DH31" s="178"/>
      <c r="DI31" s="178"/>
      <c r="DJ31" s="178"/>
      <c r="DK31" s="178"/>
      <c r="DL31" s="178"/>
      <c r="DM31" s="178"/>
      <c r="DN31" s="178"/>
      <c r="DO31" s="178"/>
      <c r="DP31" s="178"/>
      <c r="DQ31" s="178"/>
      <c r="DR31" s="179"/>
      <c r="DS31" s="177"/>
      <c r="DT31" s="178"/>
      <c r="DU31" s="178"/>
      <c r="DV31" s="178"/>
      <c r="DW31" s="178"/>
      <c r="DX31" s="178"/>
      <c r="DY31" s="178"/>
      <c r="DZ31" s="178"/>
      <c r="EA31" s="178"/>
      <c r="EB31" s="178"/>
      <c r="EC31" s="178"/>
      <c r="ED31" s="179"/>
      <c r="EE31" s="177"/>
      <c r="EF31" s="178"/>
      <c r="EG31" s="178"/>
      <c r="EH31" s="178"/>
      <c r="EI31" s="178"/>
      <c r="EJ31" s="178"/>
      <c r="EK31" s="178"/>
      <c r="EL31" s="178"/>
      <c r="EM31" s="178"/>
      <c r="EN31" s="178"/>
      <c r="EO31" s="178"/>
      <c r="EP31" s="179"/>
      <c r="EQ31" s="177"/>
      <c r="ER31" s="178"/>
      <c r="ES31" s="178"/>
      <c r="ET31" s="178"/>
      <c r="EU31" s="178"/>
      <c r="EV31" s="178"/>
      <c r="EW31" s="178"/>
      <c r="EX31" s="178"/>
      <c r="EY31" s="178"/>
      <c r="EZ31" s="178"/>
      <c r="FA31" s="178"/>
      <c r="FB31" s="179"/>
      <c r="FC31" s="177"/>
      <c r="FD31" s="178"/>
      <c r="FE31" s="178"/>
      <c r="FF31" s="178"/>
      <c r="FG31" s="178"/>
      <c r="FH31" s="178"/>
      <c r="FI31" s="178"/>
      <c r="FJ31" s="178"/>
      <c r="FK31" s="178"/>
      <c r="FL31" s="178"/>
      <c r="FM31" s="178"/>
      <c r="FN31" s="179"/>
      <c r="FO31" s="177"/>
      <c r="FP31" s="178"/>
      <c r="FQ31" s="178"/>
      <c r="FR31" s="178"/>
      <c r="FS31" s="178"/>
      <c r="FT31" s="178"/>
      <c r="FU31" s="178"/>
      <c r="FV31" s="178"/>
      <c r="FW31" s="178"/>
      <c r="FX31" s="178"/>
      <c r="FY31" s="178"/>
      <c r="FZ31" s="179"/>
      <c r="GA31"/>
      <c r="GB31" s="180"/>
      <c r="GC31" s="180"/>
      <c r="GD31" s="180"/>
      <c r="GE31"/>
    </row>
    <row r="32" spans="1:187" s="102" customFormat="1" ht="13.9" customHeight="1" x14ac:dyDescent="0.2">
      <c r="A32" s="102" t="s">
        <v>100</v>
      </c>
      <c r="GA32"/>
      <c r="GC32" s="136"/>
      <c r="GE32"/>
    </row>
  </sheetData>
  <printOptions horizontalCentered="1" verticalCentered="1"/>
  <pageMargins left="0.75" right="0.75" top="1" bottom="1" header="0" footer="0"/>
  <pageSetup paperSize="9" scale="10" orientation="landscape" r:id="rId1"/>
  <headerFooter alignWithMargins="0"/>
  <colBreaks count="1" manualBreakCount="1">
    <brk id="146" max="27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T30"/>
  <sheetViews>
    <sheetView showGridLines="0" view="pageBreakPreview" topLeftCell="A13" zoomScale="98" zoomScaleNormal="100" zoomScaleSheetLayoutView="100" workbookViewId="0">
      <pane xSplit="1" topLeftCell="IY1" activePane="topRight" state="frozen"/>
      <selection activeCell="IB59" sqref="IB59:JB59"/>
      <selection pane="topRight" activeCell="IY14" sqref="IY14"/>
    </sheetView>
  </sheetViews>
  <sheetFormatPr baseColWidth="10" defaultColWidth="10.7109375" defaultRowHeight="13.9" customHeight="1" x14ac:dyDescent="0.2"/>
  <cols>
    <col min="1" max="1" width="30.7109375" customWidth="1"/>
  </cols>
  <sheetData>
    <row r="1" spans="1:280" s="105" customFormat="1" ht="13.9" customHeight="1" x14ac:dyDescent="0.2">
      <c r="A1" s="184" t="s">
        <v>165</v>
      </c>
      <c r="JO1"/>
    </row>
    <row r="2" spans="1:280" s="105" customFormat="1" ht="13.9" customHeight="1" x14ac:dyDescent="0.2">
      <c r="A2" s="184" t="s">
        <v>372</v>
      </c>
      <c r="JO2"/>
    </row>
    <row r="3" spans="1:280" s="105" customFormat="1" ht="13.9" customHeight="1" x14ac:dyDescent="0.2">
      <c r="A3" s="185" t="s">
        <v>352</v>
      </c>
      <c r="B3" s="186"/>
      <c r="BO3" s="187"/>
      <c r="BP3" s="187"/>
      <c r="BQ3" s="187"/>
      <c r="BR3" s="187"/>
      <c r="BS3" s="187"/>
      <c r="BT3" s="187"/>
      <c r="BU3" s="187"/>
      <c r="BV3" s="187"/>
      <c r="BW3" s="187"/>
      <c r="BX3" s="186"/>
      <c r="BY3" s="186"/>
      <c r="BZ3" s="186"/>
      <c r="CA3" s="186"/>
      <c r="CB3" s="186"/>
      <c r="CC3" s="186"/>
      <c r="CD3" s="186"/>
      <c r="CE3" s="186"/>
      <c r="CF3" s="186"/>
      <c r="CG3" s="186"/>
      <c r="CH3" s="186"/>
      <c r="CI3" s="186"/>
      <c r="CJ3" s="186"/>
      <c r="CK3" s="186"/>
      <c r="CL3" s="186"/>
      <c r="CM3" s="186"/>
      <c r="CN3" s="186"/>
      <c r="CO3" s="186"/>
      <c r="CP3" s="186"/>
      <c r="CQ3" s="186"/>
      <c r="CR3" s="186"/>
      <c r="CS3" s="186"/>
      <c r="CT3" s="186"/>
      <c r="CU3" s="186"/>
      <c r="CV3" s="186"/>
      <c r="CW3" s="186"/>
      <c r="CX3" s="186"/>
      <c r="CY3" s="186"/>
      <c r="CZ3" s="186"/>
      <c r="DA3" s="186"/>
      <c r="DB3" s="186"/>
      <c r="DC3" s="186"/>
      <c r="DD3" s="186"/>
      <c r="DE3" s="186"/>
      <c r="DF3" s="186"/>
      <c r="DG3" s="186"/>
      <c r="DH3" s="186"/>
      <c r="DI3" s="186"/>
      <c r="DJ3" s="186"/>
      <c r="DK3" s="186"/>
      <c r="DL3" s="186"/>
      <c r="DM3" s="186"/>
      <c r="DN3" s="186"/>
      <c r="DO3" s="186"/>
      <c r="DP3" s="186"/>
      <c r="DQ3" s="186"/>
      <c r="DR3" s="186"/>
      <c r="DS3" s="186"/>
      <c r="DT3" s="186"/>
      <c r="DU3" s="186"/>
      <c r="DV3" s="186"/>
      <c r="DW3" s="186"/>
      <c r="DX3" s="186"/>
      <c r="DY3" s="186"/>
      <c r="DZ3" s="186"/>
      <c r="EA3" s="186"/>
      <c r="EB3" s="186"/>
      <c r="EC3" s="186"/>
      <c r="ED3" s="186"/>
      <c r="EE3" s="186"/>
      <c r="EF3" s="186"/>
      <c r="EG3" s="186"/>
      <c r="EH3" s="186"/>
      <c r="EI3" s="186"/>
      <c r="EJ3" s="186"/>
      <c r="EK3" s="186"/>
      <c r="EL3" s="186"/>
      <c r="EM3" s="186"/>
      <c r="EN3" s="186"/>
      <c r="EO3" s="186"/>
      <c r="EP3" s="186"/>
      <c r="EQ3" s="186"/>
      <c r="ER3" s="186"/>
      <c r="ES3" s="186"/>
      <c r="ET3" s="186"/>
      <c r="EU3" s="186"/>
      <c r="EV3" s="186"/>
      <c r="EW3" s="186"/>
      <c r="EX3" s="186"/>
      <c r="EY3" s="186"/>
      <c r="EZ3" s="186"/>
      <c r="FA3" s="186"/>
      <c r="FB3" s="186"/>
      <c r="FC3" s="186"/>
      <c r="FD3" s="186"/>
      <c r="FE3" s="186"/>
      <c r="FF3" s="186"/>
      <c r="FG3" s="186"/>
      <c r="FH3" s="186"/>
      <c r="FI3" s="186"/>
      <c r="FJ3" s="186"/>
      <c r="FK3" s="186"/>
      <c r="FL3" s="186"/>
      <c r="FM3" s="186"/>
      <c r="FN3" s="186"/>
      <c r="FO3" s="186"/>
      <c r="FP3" s="186"/>
      <c r="FQ3" s="186"/>
      <c r="FR3" s="186"/>
      <c r="FS3" s="186"/>
      <c r="FT3" s="186"/>
      <c r="FU3" s="186"/>
      <c r="FV3" s="186"/>
      <c r="FW3" s="186"/>
      <c r="FX3" s="186"/>
      <c r="FY3" s="186"/>
      <c r="FZ3" s="186"/>
      <c r="GA3" s="186"/>
      <c r="GB3" s="186"/>
      <c r="GC3" s="186"/>
      <c r="GD3" s="186"/>
      <c r="GE3" s="186"/>
      <c r="GF3" s="186"/>
      <c r="GG3" s="186"/>
      <c r="GH3" s="186"/>
      <c r="GI3" s="186"/>
      <c r="GJ3" s="186"/>
      <c r="GK3" s="186"/>
      <c r="GL3" s="186"/>
      <c r="GM3" s="186"/>
      <c r="GN3" s="186"/>
      <c r="GO3" s="186"/>
      <c r="GP3" s="186"/>
      <c r="GQ3" s="186"/>
      <c r="GR3" s="186"/>
      <c r="GS3" s="186"/>
      <c r="GT3" s="186"/>
      <c r="GU3" s="186"/>
      <c r="GV3" s="186"/>
      <c r="GW3" s="186"/>
      <c r="GX3" s="186"/>
      <c r="GY3" s="186"/>
      <c r="GZ3" s="186"/>
      <c r="HA3" s="186"/>
      <c r="HB3" s="186"/>
      <c r="HC3" s="186"/>
      <c r="HD3" s="186"/>
      <c r="HE3" s="186"/>
      <c r="HF3" s="186"/>
      <c r="HG3" s="186"/>
      <c r="HH3" s="186"/>
      <c r="HI3" s="186"/>
      <c r="HJ3" s="186"/>
      <c r="HK3" s="186"/>
      <c r="HL3" s="186"/>
      <c r="HM3" s="186"/>
      <c r="HN3" s="186"/>
      <c r="HO3" s="186"/>
      <c r="HP3" s="186"/>
      <c r="HQ3" s="186"/>
      <c r="HR3" s="186"/>
      <c r="HS3" s="186"/>
      <c r="HT3" s="186"/>
      <c r="HU3" s="186"/>
      <c r="HV3" s="186"/>
      <c r="HW3" s="186"/>
      <c r="HX3" s="186"/>
      <c r="HY3" s="186"/>
      <c r="HZ3" s="186"/>
      <c r="IA3" s="186"/>
      <c r="IB3" s="186"/>
      <c r="IC3" s="186"/>
      <c r="ID3" s="186"/>
      <c r="IE3" s="186"/>
      <c r="IF3" s="186"/>
      <c r="IG3" s="186"/>
      <c r="IH3" s="186"/>
      <c r="II3" s="186"/>
      <c r="IJ3" s="186"/>
      <c r="IK3" s="186"/>
      <c r="IL3" s="186"/>
      <c r="IM3" s="186"/>
      <c r="IN3" s="186"/>
      <c r="IO3" s="186"/>
      <c r="IP3" s="186"/>
      <c r="IQ3" s="186"/>
      <c r="IR3" s="186"/>
      <c r="IS3" s="186"/>
      <c r="IT3" s="186"/>
      <c r="IU3" s="186"/>
      <c r="IV3" s="186"/>
      <c r="IW3" s="186"/>
      <c r="IX3" s="186"/>
      <c r="IY3" s="186"/>
      <c r="IZ3" s="186"/>
      <c r="JA3" s="186"/>
      <c r="JB3" s="186"/>
      <c r="JC3" s="186"/>
      <c r="JD3" s="186"/>
      <c r="JE3" s="186"/>
      <c r="JF3" s="186"/>
      <c r="JG3" s="186"/>
      <c r="JH3" s="186"/>
      <c r="JI3" s="186"/>
      <c r="JJ3" s="186"/>
      <c r="JK3" s="186"/>
      <c r="JL3" s="186"/>
      <c r="JM3" s="186"/>
      <c r="JN3" s="186"/>
      <c r="JO3"/>
      <c r="JP3" s="188"/>
      <c r="JQ3" s="188"/>
      <c r="JR3" s="188"/>
      <c r="JS3" s="188"/>
    </row>
    <row r="4" spans="1:280" s="105" customFormat="1" ht="13.9" customHeight="1" x14ac:dyDescent="0.2">
      <c r="A4" s="209" t="s">
        <v>156</v>
      </c>
      <c r="B4" s="39">
        <f>YEAR(B5)</f>
        <v>2005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103" t="s">
        <v>29</v>
      </c>
      <c r="O4" s="39">
        <f>YEAR(O5)</f>
        <v>2006</v>
      </c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03" t="s">
        <v>29</v>
      </c>
      <c r="AB4" s="39">
        <f>YEAR(AB5)</f>
        <v>2007</v>
      </c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103" t="s">
        <v>29</v>
      </c>
      <c r="AO4" s="39">
        <f>YEAR(AO5)</f>
        <v>2008</v>
      </c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103" t="s">
        <v>29</v>
      </c>
      <c r="BB4" s="39">
        <f>YEAR(BB5)</f>
        <v>2009</v>
      </c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103" t="s">
        <v>29</v>
      </c>
      <c r="BO4" s="39">
        <f>YEAR(BO5)</f>
        <v>2010</v>
      </c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103" t="s">
        <v>29</v>
      </c>
      <c r="CB4" s="39">
        <f>YEAR(CB5)</f>
        <v>2011</v>
      </c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103" t="s">
        <v>29</v>
      </c>
      <c r="CO4" s="39">
        <f>YEAR(CO5)</f>
        <v>2012</v>
      </c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103" t="s">
        <v>29</v>
      </c>
      <c r="DB4" s="39">
        <f>YEAR(DB5)</f>
        <v>2013</v>
      </c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103" t="s">
        <v>29</v>
      </c>
      <c r="DO4" s="39">
        <f>YEAR(DO5)</f>
        <v>2014</v>
      </c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103" t="s">
        <v>29</v>
      </c>
      <c r="EB4" s="39">
        <f>YEAR(EB5)</f>
        <v>2015</v>
      </c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103" t="s">
        <v>29</v>
      </c>
      <c r="EO4" s="39">
        <f>YEAR(EO5)</f>
        <v>2016</v>
      </c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103" t="s">
        <v>29</v>
      </c>
      <c r="FB4" s="39">
        <f>YEAR(FB5)</f>
        <v>2017</v>
      </c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103" t="s">
        <v>29</v>
      </c>
      <c r="FO4" s="39">
        <f>YEAR(FO5)</f>
        <v>2018</v>
      </c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103" t="s">
        <v>29</v>
      </c>
      <c r="GB4" s="39">
        <f>YEAR(GB5)</f>
        <v>2019</v>
      </c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103" t="s">
        <v>29</v>
      </c>
      <c r="GO4" s="39">
        <f>YEAR(GO5)</f>
        <v>2020</v>
      </c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103" t="s">
        <v>29</v>
      </c>
      <c r="HB4" s="39">
        <f>YEAR(HB5)</f>
        <v>2021</v>
      </c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103" t="s">
        <v>29</v>
      </c>
      <c r="HO4" s="39">
        <f>YEAR(HO5)</f>
        <v>2022</v>
      </c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103" t="s">
        <v>29</v>
      </c>
      <c r="IB4" s="39">
        <f>YEAR(IB5)</f>
        <v>2023</v>
      </c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103" t="s">
        <v>29</v>
      </c>
      <c r="IO4" s="39">
        <f>YEAR(IO5)</f>
        <v>2024</v>
      </c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103" t="s">
        <v>29</v>
      </c>
      <c r="JB4" s="39">
        <f>YEAR(JB5)</f>
        <v>2025</v>
      </c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103" t="s">
        <v>29</v>
      </c>
      <c r="JO4"/>
      <c r="JP4" s="1683" t="str">
        <f>CONCATENATE("Var.% ",JS4,"/",JS4-1)</f>
        <v>Var.% 2025/2024</v>
      </c>
      <c r="JQ4" s="1684"/>
      <c r="JR4" s="41">
        <f>JS4-1</f>
        <v>2024</v>
      </c>
      <c r="JS4" s="41">
        <f>JN5</f>
        <v>2025</v>
      </c>
    </row>
    <row r="5" spans="1:280" s="105" customFormat="1" ht="13.9" customHeight="1" x14ac:dyDescent="0.2">
      <c r="A5" s="748"/>
      <c r="B5" s="113">
        <v>38353</v>
      </c>
      <c r="C5" s="114">
        <v>38384</v>
      </c>
      <c r="D5" s="114">
        <v>38412</v>
      </c>
      <c r="E5" s="114">
        <v>38443</v>
      </c>
      <c r="F5" s="114">
        <v>38473</v>
      </c>
      <c r="G5" s="114">
        <v>38504</v>
      </c>
      <c r="H5" s="114">
        <v>38534</v>
      </c>
      <c r="I5" s="114">
        <v>38565</v>
      </c>
      <c r="J5" s="114">
        <v>38596</v>
      </c>
      <c r="K5" s="114">
        <v>38626</v>
      </c>
      <c r="L5" s="114">
        <v>38657</v>
      </c>
      <c r="M5" s="114">
        <v>38687</v>
      </c>
      <c r="N5" s="115">
        <f>YEAR(M5)</f>
        <v>2005</v>
      </c>
      <c r="O5" s="113">
        <v>38718</v>
      </c>
      <c r="P5" s="114">
        <v>38749</v>
      </c>
      <c r="Q5" s="114">
        <v>38777</v>
      </c>
      <c r="R5" s="114">
        <v>38808</v>
      </c>
      <c r="S5" s="114">
        <v>38838</v>
      </c>
      <c r="T5" s="114">
        <v>38869</v>
      </c>
      <c r="U5" s="114">
        <v>38899</v>
      </c>
      <c r="V5" s="114">
        <v>38930</v>
      </c>
      <c r="W5" s="114">
        <v>38961</v>
      </c>
      <c r="X5" s="114">
        <v>38991</v>
      </c>
      <c r="Y5" s="114">
        <v>39022</v>
      </c>
      <c r="Z5" s="114">
        <v>39052</v>
      </c>
      <c r="AA5" s="115">
        <f>YEAR(Z5)</f>
        <v>2006</v>
      </c>
      <c r="AB5" s="113">
        <v>39083</v>
      </c>
      <c r="AC5" s="114">
        <v>39114</v>
      </c>
      <c r="AD5" s="114">
        <v>39142</v>
      </c>
      <c r="AE5" s="114">
        <v>39173</v>
      </c>
      <c r="AF5" s="114">
        <v>39203</v>
      </c>
      <c r="AG5" s="114">
        <v>39234</v>
      </c>
      <c r="AH5" s="114">
        <v>39264</v>
      </c>
      <c r="AI5" s="114">
        <v>39295</v>
      </c>
      <c r="AJ5" s="114">
        <v>39326</v>
      </c>
      <c r="AK5" s="114">
        <v>39356</v>
      </c>
      <c r="AL5" s="114">
        <v>39387</v>
      </c>
      <c r="AM5" s="114">
        <v>39417</v>
      </c>
      <c r="AN5" s="115">
        <f>YEAR(AM5)</f>
        <v>2007</v>
      </c>
      <c r="AO5" s="113">
        <v>39448</v>
      </c>
      <c r="AP5" s="114">
        <v>39479</v>
      </c>
      <c r="AQ5" s="114">
        <v>39508</v>
      </c>
      <c r="AR5" s="114">
        <v>39539</v>
      </c>
      <c r="AS5" s="114">
        <v>39569</v>
      </c>
      <c r="AT5" s="114">
        <v>39600</v>
      </c>
      <c r="AU5" s="114">
        <v>39630</v>
      </c>
      <c r="AV5" s="114">
        <v>39661</v>
      </c>
      <c r="AW5" s="114">
        <v>39692</v>
      </c>
      <c r="AX5" s="114">
        <v>39722</v>
      </c>
      <c r="AY5" s="114">
        <v>39753</v>
      </c>
      <c r="AZ5" s="114">
        <v>39783</v>
      </c>
      <c r="BA5" s="115">
        <f>YEAR(AZ5)</f>
        <v>2008</v>
      </c>
      <c r="BB5" s="113">
        <v>39814</v>
      </c>
      <c r="BC5" s="114">
        <v>39845</v>
      </c>
      <c r="BD5" s="114">
        <v>39873</v>
      </c>
      <c r="BE5" s="114">
        <v>39904</v>
      </c>
      <c r="BF5" s="114">
        <v>39934</v>
      </c>
      <c r="BG5" s="114">
        <v>39965</v>
      </c>
      <c r="BH5" s="114">
        <v>39995</v>
      </c>
      <c r="BI5" s="114">
        <v>40026</v>
      </c>
      <c r="BJ5" s="114">
        <v>40057</v>
      </c>
      <c r="BK5" s="114">
        <v>40087</v>
      </c>
      <c r="BL5" s="114">
        <v>40118</v>
      </c>
      <c r="BM5" s="114">
        <v>40148</v>
      </c>
      <c r="BN5" s="115">
        <f>YEAR(BM5)</f>
        <v>2009</v>
      </c>
      <c r="BO5" s="113">
        <v>40179</v>
      </c>
      <c r="BP5" s="114">
        <v>40210</v>
      </c>
      <c r="BQ5" s="114">
        <v>40238</v>
      </c>
      <c r="BR5" s="114">
        <v>40269</v>
      </c>
      <c r="BS5" s="114">
        <v>40299</v>
      </c>
      <c r="BT5" s="114">
        <v>40330</v>
      </c>
      <c r="BU5" s="114">
        <v>40360</v>
      </c>
      <c r="BV5" s="114">
        <v>40391</v>
      </c>
      <c r="BW5" s="114">
        <v>40422</v>
      </c>
      <c r="BX5" s="114">
        <v>40452</v>
      </c>
      <c r="BY5" s="114">
        <v>40483</v>
      </c>
      <c r="BZ5" s="114">
        <v>40513</v>
      </c>
      <c r="CA5" s="115">
        <f>YEAR(BZ5)</f>
        <v>2010</v>
      </c>
      <c r="CB5" s="113">
        <v>40544</v>
      </c>
      <c r="CC5" s="114">
        <v>40575</v>
      </c>
      <c r="CD5" s="114">
        <v>40603</v>
      </c>
      <c r="CE5" s="114">
        <v>40634</v>
      </c>
      <c r="CF5" s="114">
        <v>40664</v>
      </c>
      <c r="CG5" s="114">
        <v>40695</v>
      </c>
      <c r="CH5" s="114">
        <v>40725</v>
      </c>
      <c r="CI5" s="114">
        <v>40756</v>
      </c>
      <c r="CJ5" s="114">
        <v>40787</v>
      </c>
      <c r="CK5" s="114">
        <v>40817</v>
      </c>
      <c r="CL5" s="114">
        <v>40848</v>
      </c>
      <c r="CM5" s="114">
        <v>40878</v>
      </c>
      <c r="CN5" s="115">
        <f>YEAR(CM5)</f>
        <v>2011</v>
      </c>
      <c r="CO5" s="113">
        <v>40909</v>
      </c>
      <c r="CP5" s="114">
        <v>40940</v>
      </c>
      <c r="CQ5" s="114">
        <v>40969</v>
      </c>
      <c r="CR5" s="114">
        <v>41000</v>
      </c>
      <c r="CS5" s="114">
        <v>41030</v>
      </c>
      <c r="CT5" s="114">
        <v>41061</v>
      </c>
      <c r="CU5" s="114">
        <v>41091</v>
      </c>
      <c r="CV5" s="114">
        <v>41122</v>
      </c>
      <c r="CW5" s="114">
        <v>41153</v>
      </c>
      <c r="CX5" s="114">
        <v>41183</v>
      </c>
      <c r="CY5" s="114">
        <v>41214</v>
      </c>
      <c r="CZ5" s="114">
        <v>41244</v>
      </c>
      <c r="DA5" s="115">
        <f>YEAR(CZ5)</f>
        <v>2012</v>
      </c>
      <c r="DB5" s="113">
        <v>41275</v>
      </c>
      <c r="DC5" s="114">
        <v>41306</v>
      </c>
      <c r="DD5" s="114">
        <v>41334</v>
      </c>
      <c r="DE5" s="114">
        <v>41365</v>
      </c>
      <c r="DF5" s="114">
        <v>41395</v>
      </c>
      <c r="DG5" s="114">
        <v>41426</v>
      </c>
      <c r="DH5" s="114">
        <v>41456</v>
      </c>
      <c r="DI5" s="114">
        <v>41487</v>
      </c>
      <c r="DJ5" s="114">
        <v>41518</v>
      </c>
      <c r="DK5" s="114">
        <v>41548</v>
      </c>
      <c r="DL5" s="114">
        <v>41579</v>
      </c>
      <c r="DM5" s="114">
        <v>41609</v>
      </c>
      <c r="DN5" s="115">
        <f>YEAR(DM5)</f>
        <v>2013</v>
      </c>
      <c r="DO5" s="113">
        <v>41640</v>
      </c>
      <c r="DP5" s="114">
        <v>41671</v>
      </c>
      <c r="DQ5" s="114">
        <v>41699</v>
      </c>
      <c r="DR5" s="114">
        <v>41730</v>
      </c>
      <c r="DS5" s="114">
        <v>41760</v>
      </c>
      <c r="DT5" s="114">
        <v>41791</v>
      </c>
      <c r="DU5" s="114">
        <v>41821</v>
      </c>
      <c r="DV5" s="114">
        <v>41852</v>
      </c>
      <c r="DW5" s="114">
        <v>41883</v>
      </c>
      <c r="DX5" s="114">
        <v>41913</v>
      </c>
      <c r="DY5" s="114">
        <v>41944</v>
      </c>
      <c r="DZ5" s="114">
        <v>41974</v>
      </c>
      <c r="EA5" s="115">
        <f>YEAR(DZ5)</f>
        <v>2014</v>
      </c>
      <c r="EB5" s="113">
        <v>42005</v>
      </c>
      <c r="EC5" s="114">
        <v>42036</v>
      </c>
      <c r="ED5" s="114">
        <v>42064</v>
      </c>
      <c r="EE5" s="114">
        <v>42095</v>
      </c>
      <c r="EF5" s="114">
        <v>42125</v>
      </c>
      <c r="EG5" s="114">
        <v>42156</v>
      </c>
      <c r="EH5" s="114">
        <v>42186</v>
      </c>
      <c r="EI5" s="114">
        <v>42217</v>
      </c>
      <c r="EJ5" s="114">
        <v>42248</v>
      </c>
      <c r="EK5" s="114">
        <v>42278</v>
      </c>
      <c r="EL5" s="114">
        <v>42309</v>
      </c>
      <c r="EM5" s="114">
        <v>42339</v>
      </c>
      <c r="EN5" s="115">
        <f>YEAR(EM5)</f>
        <v>2015</v>
      </c>
      <c r="EO5" s="113">
        <v>42370</v>
      </c>
      <c r="EP5" s="114">
        <v>42401</v>
      </c>
      <c r="EQ5" s="114">
        <v>42430</v>
      </c>
      <c r="ER5" s="114">
        <v>42461</v>
      </c>
      <c r="ES5" s="114">
        <v>42491</v>
      </c>
      <c r="ET5" s="114">
        <v>42522</v>
      </c>
      <c r="EU5" s="114">
        <v>42552</v>
      </c>
      <c r="EV5" s="114">
        <v>42583</v>
      </c>
      <c r="EW5" s="114">
        <v>42614</v>
      </c>
      <c r="EX5" s="114">
        <v>42644</v>
      </c>
      <c r="EY5" s="114">
        <v>42675</v>
      </c>
      <c r="EZ5" s="114">
        <v>42705</v>
      </c>
      <c r="FA5" s="115">
        <f>YEAR(EZ5)</f>
        <v>2016</v>
      </c>
      <c r="FB5" s="113">
        <v>42736</v>
      </c>
      <c r="FC5" s="114">
        <v>42767</v>
      </c>
      <c r="FD5" s="114">
        <v>42795</v>
      </c>
      <c r="FE5" s="114">
        <v>42826</v>
      </c>
      <c r="FF5" s="114">
        <v>42856</v>
      </c>
      <c r="FG5" s="114">
        <v>42887</v>
      </c>
      <c r="FH5" s="114">
        <v>42917</v>
      </c>
      <c r="FI5" s="114">
        <v>42948</v>
      </c>
      <c r="FJ5" s="114">
        <v>42979</v>
      </c>
      <c r="FK5" s="114">
        <v>43009</v>
      </c>
      <c r="FL5" s="114">
        <v>43040</v>
      </c>
      <c r="FM5" s="114">
        <v>43070</v>
      </c>
      <c r="FN5" s="115">
        <f>YEAR(FM5)</f>
        <v>2017</v>
      </c>
      <c r="FO5" s="113">
        <v>43101</v>
      </c>
      <c r="FP5" s="114">
        <v>43132</v>
      </c>
      <c r="FQ5" s="114">
        <v>43160</v>
      </c>
      <c r="FR5" s="114">
        <v>43191</v>
      </c>
      <c r="FS5" s="114">
        <v>43221</v>
      </c>
      <c r="FT5" s="114">
        <v>43252</v>
      </c>
      <c r="FU5" s="114">
        <v>43282</v>
      </c>
      <c r="FV5" s="114">
        <v>43313</v>
      </c>
      <c r="FW5" s="114">
        <v>43344</v>
      </c>
      <c r="FX5" s="114">
        <v>43374</v>
      </c>
      <c r="FY5" s="114">
        <v>43405</v>
      </c>
      <c r="FZ5" s="114">
        <v>43435</v>
      </c>
      <c r="GA5" s="115">
        <f>YEAR(FZ5)</f>
        <v>2018</v>
      </c>
      <c r="GB5" s="113">
        <v>43466</v>
      </c>
      <c r="GC5" s="114">
        <v>43497</v>
      </c>
      <c r="GD5" s="114">
        <v>43525</v>
      </c>
      <c r="GE5" s="114">
        <v>43556</v>
      </c>
      <c r="GF5" s="114">
        <v>43586</v>
      </c>
      <c r="GG5" s="114">
        <v>43617</v>
      </c>
      <c r="GH5" s="114">
        <v>43647</v>
      </c>
      <c r="GI5" s="114">
        <v>43678</v>
      </c>
      <c r="GJ5" s="114">
        <v>43709</v>
      </c>
      <c r="GK5" s="114">
        <v>43739</v>
      </c>
      <c r="GL5" s="114">
        <v>43770</v>
      </c>
      <c r="GM5" s="114">
        <v>43800</v>
      </c>
      <c r="GN5" s="115">
        <f>YEAR(GM5)</f>
        <v>2019</v>
      </c>
      <c r="GO5" s="113">
        <v>43831</v>
      </c>
      <c r="GP5" s="114">
        <v>43862</v>
      </c>
      <c r="GQ5" s="114">
        <v>43891</v>
      </c>
      <c r="GR5" s="114">
        <v>43922</v>
      </c>
      <c r="GS5" s="114">
        <v>43952</v>
      </c>
      <c r="GT5" s="114">
        <v>43983</v>
      </c>
      <c r="GU5" s="114">
        <v>44013</v>
      </c>
      <c r="GV5" s="114">
        <v>44044</v>
      </c>
      <c r="GW5" s="114">
        <v>44075</v>
      </c>
      <c r="GX5" s="114">
        <v>44105</v>
      </c>
      <c r="GY5" s="114">
        <v>44136</v>
      </c>
      <c r="GZ5" s="114">
        <v>44166</v>
      </c>
      <c r="HA5" s="115">
        <f>YEAR(GZ5)</f>
        <v>2020</v>
      </c>
      <c r="HB5" s="113">
        <v>44197</v>
      </c>
      <c r="HC5" s="114">
        <v>44228</v>
      </c>
      <c r="HD5" s="114">
        <v>44256</v>
      </c>
      <c r="HE5" s="114">
        <v>44287</v>
      </c>
      <c r="HF5" s="114">
        <v>44317</v>
      </c>
      <c r="HG5" s="114">
        <v>44348</v>
      </c>
      <c r="HH5" s="114">
        <v>44378</v>
      </c>
      <c r="HI5" s="114">
        <v>44409</v>
      </c>
      <c r="HJ5" s="114">
        <v>44440</v>
      </c>
      <c r="HK5" s="114">
        <v>44470</v>
      </c>
      <c r="HL5" s="114">
        <v>44501</v>
      </c>
      <c r="HM5" s="114">
        <v>44531</v>
      </c>
      <c r="HN5" s="115">
        <f>YEAR(HM5)</f>
        <v>2021</v>
      </c>
      <c r="HO5" s="113">
        <v>44562</v>
      </c>
      <c r="HP5" s="114">
        <v>44593</v>
      </c>
      <c r="HQ5" s="114">
        <v>44621</v>
      </c>
      <c r="HR5" s="114">
        <v>44652</v>
      </c>
      <c r="HS5" s="114">
        <v>44682</v>
      </c>
      <c r="HT5" s="114">
        <v>44713</v>
      </c>
      <c r="HU5" s="114">
        <v>44743</v>
      </c>
      <c r="HV5" s="114">
        <v>44774</v>
      </c>
      <c r="HW5" s="114">
        <v>44805</v>
      </c>
      <c r="HX5" s="114">
        <v>44835</v>
      </c>
      <c r="HY5" s="114">
        <v>44866</v>
      </c>
      <c r="HZ5" s="114">
        <v>44896</v>
      </c>
      <c r="IA5" s="115">
        <f>YEAR(HZ5)</f>
        <v>2022</v>
      </c>
      <c r="IB5" s="113">
        <v>44927</v>
      </c>
      <c r="IC5" s="114">
        <v>44958</v>
      </c>
      <c r="ID5" s="114">
        <v>44986</v>
      </c>
      <c r="IE5" s="114">
        <v>45017</v>
      </c>
      <c r="IF5" s="114">
        <v>45047</v>
      </c>
      <c r="IG5" s="114">
        <v>45078</v>
      </c>
      <c r="IH5" s="114">
        <v>45108</v>
      </c>
      <c r="II5" s="114">
        <v>45139</v>
      </c>
      <c r="IJ5" s="114">
        <v>45170</v>
      </c>
      <c r="IK5" s="114">
        <v>45200</v>
      </c>
      <c r="IL5" s="114">
        <v>45231</v>
      </c>
      <c r="IM5" s="114">
        <v>45261</v>
      </c>
      <c r="IN5" s="115">
        <f>YEAR(IM5)</f>
        <v>2023</v>
      </c>
      <c r="IO5" s="113">
        <v>45292</v>
      </c>
      <c r="IP5" s="114">
        <v>45323</v>
      </c>
      <c r="IQ5" s="114">
        <v>45352</v>
      </c>
      <c r="IR5" s="114">
        <v>45383</v>
      </c>
      <c r="IS5" s="114">
        <v>45413</v>
      </c>
      <c r="IT5" s="114">
        <v>45444</v>
      </c>
      <c r="IU5" s="114">
        <v>45474</v>
      </c>
      <c r="IV5" s="114">
        <v>45505</v>
      </c>
      <c r="IW5" s="114">
        <v>45536</v>
      </c>
      <c r="IX5" s="114">
        <v>45566</v>
      </c>
      <c r="IY5" s="114">
        <v>45597</v>
      </c>
      <c r="IZ5" s="114">
        <v>45627</v>
      </c>
      <c r="JA5" s="115">
        <f>YEAR(IZ5)</f>
        <v>2024</v>
      </c>
      <c r="JB5" s="113">
        <v>45658</v>
      </c>
      <c r="JC5" s="114">
        <v>45689</v>
      </c>
      <c r="JD5" s="114">
        <v>45717</v>
      </c>
      <c r="JE5" s="114">
        <v>45748</v>
      </c>
      <c r="JF5" s="114">
        <v>45778</v>
      </c>
      <c r="JG5" s="114">
        <v>45809</v>
      </c>
      <c r="JH5" s="114">
        <v>45839</v>
      </c>
      <c r="JI5" s="114">
        <v>45870</v>
      </c>
      <c r="JJ5" s="114">
        <v>45901</v>
      </c>
      <c r="JK5" s="114">
        <v>45931</v>
      </c>
      <c r="JL5" s="114">
        <v>45962</v>
      </c>
      <c r="JM5" s="114">
        <v>45992</v>
      </c>
      <c r="JN5" s="115">
        <f>YEAR(JM5)</f>
        <v>2025</v>
      </c>
      <c r="JO5"/>
      <c r="JP5" s="45">
        <f>JL5</f>
        <v>45962</v>
      </c>
      <c r="JQ5" s="46" t="str">
        <f>CONCATENATE("Ene.-",TEXT(JP5,"MMM."))</f>
        <v>Ene.-Nov.</v>
      </c>
      <c r="JR5" s="46" t="str">
        <f>JQ5</f>
        <v>Ene.-Nov.</v>
      </c>
      <c r="JS5" s="46" t="str">
        <f>JQ5</f>
        <v>Ene.-Nov.</v>
      </c>
    </row>
    <row r="6" spans="1:280" s="105" customFormat="1" ht="13.9" customHeight="1" x14ac:dyDescent="0.2">
      <c r="A6" s="209"/>
      <c r="B6" s="1460"/>
      <c r="C6" s="1461"/>
      <c r="D6" s="1461"/>
      <c r="E6" s="1461"/>
      <c r="F6" s="1461"/>
      <c r="G6" s="1461"/>
      <c r="H6" s="1461"/>
      <c r="I6" s="1461"/>
      <c r="J6" s="1461"/>
      <c r="K6" s="1461"/>
      <c r="L6" s="1461"/>
      <c r="M6" s="1461"/>
      <c r="N6" s="1463"/>
      <c r="O6" s="1460"/>
      <c r="P6" s="1461"/>
      <c r="Q6" s="1461"/>
      <c r="R6" s="1461"/>
      <c r="S6" s="1461"/>
      <c r="T6" s="1461"/>
      <c r="U6" s="1461"/>
      <c r="V6" s="1461"/>
      <c r="W6" s="1461"/>
      <c r="X6" s="1461"/>
      <c r="Y6" s="1461"/>
      <c r="Z6" s="1461"/>
      <c r="AA6" s="1463"/>
      <c r="AB6" s="1460"/>
      <c r="AC6" s="1461"/>
      <c r="AD6" s="1461"/>
      <c r="AE6" s="1461"/>
      <c r="AF6" s="1461"/>
      <c r="AG6" s="1461"/>
      <c r="AH6" s="1461"/>
      <c r="AI6" s="1461"/>
      <c r="AJ6" s="1461"/>
      <c r="AK6" s="1461"/>
      <c r="AL6" s="1461"/>
      <c r="AM6" s="1461"/>
      <c r="AN6" s="1463"/>
      <c r="AO6" s="1460"/>
      <c r="AP6" s="1461"/>
      <c r="AQ6" s="1461"/>
      <c r="AR6" s="1461"/>
      <c r="AS6" s="1461"/>
      <c r="AT6" s="1461"/>
      <c r="AU6" s="1461"/>
      <c r="AV6" s="1461"/>
      <c r="AW6" s="1461"/>
      <c r="AX6" s="1461"/>
      <c r="AY6" s="1461"/>
      <c r="AZ6" s="1461"/>
      <c r="BA6" s="1463"/>
      <c r="BB6" s="1460"/>
      <c r="BC6" s="1461"/>
      <c r="BD6" s="1461"/>
      <c r="BE6" s="1461"/>
      <c r="BF6" s="1461"/>
      <c r="BG6" s="1461"/>
      <c r="BH6" s="1461"/>
      <c r="BI6" s="1461"/>
      <c r="BJ6" s="1461"/>
      <c r="BK6" s="1461"/>
      <c r="BL6" s="1461"/>
      <c r="BM6" s="1461"/>
      <c r="BN6" s="1463"/>
      <c r="BO6" s="1460"/>
      <c r="BP6" s="1461"/>
      <c r="BQ6" s="1461"/>
      <c r="BR6" s="1461"/>
      <c r="BS6" s="1461"/>
      <c r="BT6" s="1461"/>
      <c r="BU6" s="1461"/>
      <c r="BV6" s="1461"/>
      <c r="BW6" s="1461"/>
      <c r="BX6" s="1461"/>
      <c r="BY6" s="1461"/>
      <c r="BZ6" s="1461"/>
      <c r="CA6" s="1463"/>
      <c r="CB6" s="1460"/>
      <c r="CC6" s="1461"/>
      <c r="CD6" s="1461"/>
      <c r="CE6" s="1461"/>
      <c r="CF6" s="1461"/>
      <c r="CG6" s="1461"/>
      <c r="CH6" s="1461"/>
      <c r="CI6" s="1461"/>
      <c r="CJ6" s="1461"/>
      <c r="CK6" s="1461"/>
      <c r="CL6" s="1461"/>
      <c r="CM6" s="1461"/>
      <c r="CN6" s="1463"/>
      <c r="CO6" s="1460"/>
      <c r="CP6" s="1461"/>
      <c r="CQ6" s="1461"/>
      <c r="CR6" s="1461"/>
      <c r="CS6" s="1461"/>
      <c r="CT6" s="1461"/>
      <c r="CU6" s="1461"/>
      <c r="CV6" s="1461"/>
      <c r="CW6" s="1461"/>
      <c r="CX6" s="1461"/>
      <c r="CY6" s="1461"/>
      <c r="CZ6" s="1461"/>
      <c r="DA6" s="1463"/>
      <c r="DB6" s="1460"/>
      <c r="DC6" s="1461"/>
      <c r="DD6" s="1461"/>
      <c r="DE6" s="1461"/>
      <c r="DF6" s="1461"/>
      <c r="DG6" s="1461"/>
      <c r="DH6" s="1461"/>
      <c r="DI6" s="1461"/>
      <c r="DJ6" s="1461"/>
      <c r="DK6" s="1461"/>
      <c r="DL6" s="1461"/>
      <c r="DM6" s="1461"/>
      <c r="DN6" s="1463"/>
      <c r="DO6" s="1460"/>
      <c r="DP6" s="1461"/>
      <c r="DQ6" s="1461"/>
      <c r="DR6" s="1461"/>
      <c r="DS6" s="1461"/>
      <c r="DT6" s="1461"/>
      <c r="DU6" s="1461"/>
      <c r="DV6" s="1461"/>
      <c r="DW6" s="1461"/>
      <c r="DX6" s="1461"/>
      <c r="DY6" s="1461"/>
      <c r="DZ6" s="1461"/>
      <c r="EA6" s="1463"/>
      <c r="EB6" s="1460"/>
      <c r="EC6" s="1461"/>
      <c r="ED6" s="1461"/>
      <c r="EE6" s="1461"/>
      <c r="EF6" s="1461"/>
      <c r="EG6" s="1461"/>
      <c r="EH6" s="1461"/>
      <c r="EI6" s="1461"/>
      <c r="EJ6" s="1461"/>
      <c r="EK6" s="1461"/>
      <c r="EL6" s="1461"/>
      <c r="EM6" s="1461"/>
      <c r="EN6" s="1463"/>
      <c r="EO6" s="1460"/>
      <c r="EP6" s="1461"/>
      <c r="EQ6" s="1461"/>
      <c r="ER6" s="1461"/>
      <c r="ES6" s="1461"/>
      <c r="ET6" s="1461"/>
      <c r="EU6" s="1461"/>
      <c r="EV6" s="1461"/>
      <c r="EW6" s="1461"/>
      <c r="EX6" s="1461"/>
      <c r="EY6" s="1461"/>
      <c r="EZ6" s="1461"/>
      <c r="FA6" s="1463"/>
      <c r="FB6" s="1460"/>
      <c r="FC6" s="1461"/>
      <c r="FD6" s="1461"/>
      <c r="FE6" s="1461"/>
      <c r="FF6" s="1461"/>
      <c r="FG6" s="1461"/>
      <c r="FH6" s="1461"/>
      <c r="FI6" s="1461"/>
      <c r="FJ6" s="1461"/>
      <c r="FK6" s="1461"/>
      <c r="FL6" s="1461"/>
      <c r="FM6" s="1461"/>
      <c r="FN6" s="1463"/>
      <c r="FO6" s="1460"/>
      <c r="FP6" s="1461"/>
      <c r="FQ6" s="1461"/>
      <c r="FR6" s="1461"/>
      <c r="FS6" s="1461"/>
      <c r="FT6" s="1461"/>
      <c r="FU6" s="1461"/>
      <c r="FV6" s="1461"/>
      <c r="FW6" s="1461"/>
      <c r="FX6" s="1461"/>
      <c r="FY6" s="1461"/>
      <c r="FZ6" s="1461"/>
      <c r="GA6" s="1463"/>
      <c r="GB6" s="1460"/>
      <c r="GC6" s="1461"/>
      <c r="GD6" s="1461"/>
      <c r="GE6" s="1461"/>
      <c r="GF6" s="1461"/>
      <c r="GG6" s="1461"/>
      <c r="GH6" s="1461"/>
      <c r="GI6" s="1461"/>
      <c r="GJ6" s="1461"/>
      <c r="GK6" s="1461"/>
      <c r="GL6" s="1461"/>
      <c r="GM6" s="1461"/>
      <c r="GN6" s="1463"/>
      <c r="GO6" s="1460"/>
      <c r="GP6" s="1461"/>
      <c r="GQ6" s="1461"/>
      <c r="GR6" s="1461"/>
      <c r="GS6" s="1461"/>
      <c r="GT6" s="1461"/>
      <c r="GU6" s="1461"/>
      <c r="GV6" s="1461"/>
      <c r="GW6" s="1461"/>
      <c r="GX6" s="1461"/>
      <c r="GY6" s="1461"/>
      <c r="GZ6" s="1461"/>
      <c r="HA6" s="1463"/>
      <c r="HB6" s="1460"/>
      <c r="HC6" s="1461"/>
      <c r="HD6" s="1461"/>
      <c r="HE6" s="1461"/>
      <c r="HF6" s="1461"/>
      <c r="HG6" s="1461"/>
      <c r="HH6" s="1461"/>
      <c r="HI6" s="1461"/>
      <c r="HJ6" s="1461"/>
      <c r="HK6" s="1461"/>
      <c r="HL6" s="1461"/>
      <c r="HM6" s="1461"/>
      <c r="HN6" s="1463"/>
      <c r="HO6" s="1460"/>
      <c r="HP6" s="1461"/>
      <c r="HQ6" s="1461"/>
      <c r="HR6" s="1461"/>
      <c r="HS6" s="1461"/>
      <c r="HT6" s="1461"/>
      <c r="HU6" s="1461"/>
      <c r="HV6" s="1461"/>
      <c r="HW6" s="1461"/>
      <c r="HX6" s="1461"/>
      <c r="HY6" s="1461"/>
      <c r="HZ6" s="1461"/>
      <c r="IA6" s="1463"/>
      <c r="IB6" s="1460"/>
      <c r="IC6" s="1461"/>
      <c r="ID6" s="1461"/>
      <c r="IE6" s="1461"/>
      <c r="IF6" s="1461"/>
      <c r="IG6" s="1461"/>
      <c r="IH6" s="1461"/>
      <c r="II6" s="1461"/>
      <c r="IJ6" s="1461"/>
      <c r="IK6" s="1461"/>
      <c r="IL6" s="1461"/>
      <c r="IM6" s="1461"/>
      <c r="IN6" s="1463"/>
      <c r="IO6" s="1460"/>
      <c r="IP6" s="1461"/>
      <c r="IQ6" s="1461"/>
      <c r="IR6" s="1461"/>
      <c r="IS6" s="1461"/>
      <c r="IT6" s="1461"/>
      <c r="IU6" s="1461"/>
      <c r="IV6" s="1461"/>
      <c r="IW6" s="1461"/>
      <c r="IX6" s="1461"/>
      <c r="IY6" s="1461"/>
      <c r="IZ6" s="1461"/>
      <c r="JA6" s="1463"/>
      <c r="JB6" s="1460"/>
      <c r="JC6" s="1461"/>
      <c r="JD6" s="1461"/>
      <c r="JE6" s="1461"/>
      <c r="JF6" s="1461"/>
      <c r="JG6" s="1461"/>
      <c r="JH6" s="1461"/>
      <c r="JI6" s="1461"/>
      <c r="JJ6" s="1461"/>
      <c r="JK6" s="1461"/>
      <c r="JL6" s="1461"/>
      <c r="JM6" s="1461"/>
      <c r="JN6" s="1463"/>
      <c r="JO6"/>
      <c r="JP6" s="1509"/>
      <c r="JQ6" s="631"/>
      <c r="JR6" s="631"/>
      <c r="JS6" s="631"/>
    </row>
    <row r="7" spans="1:280" s="211" customFormat="1" ht="13.9" customHeight="1" x14ac:dyDescent="0.2">
      <c r="A7" s="191" t="s">
        <v>373</v>
      </c>
      <c r="B7" s="210">
        <v>9314.5400000000009</v>
      </c>
      <c r="C7" s="1497">
        <v>8670.0920000000006</v>
      </c>
      <c r="D7" s="1497">
        <v>9804.5360000000001</v>
      </c>
      <c r="E7" s="1497">
        <v>9398.83</v>
      </c>
      <c r="F7" s="1497">
        <v>9719.6880000000001</v>
      </c>
      <c r="G7" s="1497">
        <v>9601.3719999999994</v>
      </c>
      <c r="H7" s="1497">
        <v>9807.3709999999992</v>
      </c>
      <c r="I7" s="1497">
        <v>9963.2250000000004</v>
      </c>
      <c r="J7" s="1497">
        <v>9788.7139999999999</v>
      </c>
      <c r="K7" s="1497">
        <v>10053.326999999999</v>
      </c>
      <c r="L7" s="1497">
        <v>9878.9009999999998</v>
      </c>
      <c r="M7" s="1497">
        <v>10348.587</v>
      </c>
      <c r="N7" s="1498">
        <f>SUM(B7:M7)</f>
        <v>116349.18300000002</v>
      </c>
      <c r="O7" s="210">
        <v>9895.3809999999994</v>
      </c>
      <c r="P7" s="1497">
        <v>8852.4860000000008</v>
      </c>
      <c r="Q7" s="1497">
        <v>9659.8510000000006</v>
      </c>
      <c r="R7" s="1497">
        <v>9389.4179999999997</v>
      </c>
      <c r="S7" s="1497">
        <v>9833.2579999999998</v>
      </c>
      <c r="T7" s="1497">
        <v>9919.7919999999995</v>
      </c>
      <c r="U7" s="1497">
        <v>10271.833000000001</v>
      </c>
      <c r="V7" s="1497">
        <v>10529.977000000001</v>
      </c>
      <c r="W7" s="1497">
        <v>9934.0215000000007</v>
      </c>
      <c r="X7" s="1497">
        <v>9979.7165833333293</v>
      </c>
      <c r="Y7" s="1497">
        <v>10262.028</v>
      </c>
      <c r="Z7" s="1497">
        <v>10418.902</v>
      </c>
      <c r="AA7" s="1498">
        <f>SUM(O7:Z7)</f>
        <v>118946.66408333334</v>
      </c>
      <c r="AB7" s="210">
        <v>10886.927</v>
      </c>
      <c r="AC7" s="1497">
        <v>10021.393</v>
      </c>
      <c r="AD7" s="1497">
        <v>10978.013999999999</v>
      </c>
      <c r="AE7" s="1497">
        <v>10571.246999999999</v>
      </c>
      <c r="AF7" s="1497">
        <v>11009.617</v>
      </c>
      <c r="AG7" s="1497">
        <v>10969.695</v>
      </c>
      <c r="AH7" s="1497">
        <v>11740.915999999999</v>
      </c>
      <c r="AI7" s="1497">
        <v>12331.428</v>
      </c>
      <c r="AJ7" s="1497">
        <v>11844.11</v>
      </c>
      <c r="AK7" s="1497">
        <v>12521.013999999999</v>
      </c>
      <c r="AL7" s="1497">
        <v>12025.665999999999</v>
      </c>
      <c r="AM7" s="1497">
        <v>12316.753000000001</v>
      </c>
      <c r="AN7" s="1498">
        <f>SUM(AB7:AM7)</f>
        <v>137216.78</v>
      </c>
      <c r="AO7" s="210">
        <v>12288.858</v>
      </c>
      <c r="AP7" s="1497">
        <v>11676.766</v>
      </c>
      <c r="AQ7" s="1497">
        <v>12304.228999999999</v>
      </c>
      <c r="AR7" s="1497">
        <v>12375.833000000001</v>
      </c>
      <c r="AS7" s="1497">
        <v>12782.464</v>
      </c>
      <c r="AT7" s="1497">
        <v>12611.841</v>
      </c>
      <c r="AU7" s="1497">
        <v>13324.012000000001</v>
      </c>
      <c r="AV7" s="1497">
        <v>13413.205</v>
      </c>
      <c r="AW7" s="1497">
        <v>13090.121999999999</v>
      </c>
      <c r="AX7" s="1497">
        <v>13290.332</v>
      </c>
      <c r="AY7" s="1497">
        <v>13057.103999999999</v>
      </c>
      <c r="AZ7" s="1497">
        <v>13646.22</v>
      </c>
      <c r="BA7" s="1498">
        <f>SUM(AO7:AZ7)</f>
        <v>153860.986</v>
      </c>
      <c r="BB7" s="210">
        <v>12987.391</v>
      </c>
      <c r="BC7" s="1497">
        <v>12075.127</v>
      </c>
      <c r="BD7" s="1497">
        <v>13295.058999999999</v>
      </c>
      <c r="BE7" s="1497">
        <v>12887.855</v>
      </c>
      <c r="BF7" s="1497">
        <v>13263.887000000001</v>
      </c>
      <c r="BG7" s="1497">
        <v>12792.572</v>
      </c>
      <c r="BH7" s="1497">
        <v>14059.244000000001</v>
      </c>
      <c r="BI7" s="1497">
        <v>14548.888000000001</v>
      </c>
      <c r="BJ7" s="1497">
        <v>14536.047</v>
      </c>
      <c r="BK7" s="1497">
        <v>15254.503000000001</v>
      </c>
      <c r="BL7" s="1497">
        <v>15259.343999999999</v>
      </c>
      <c r="BM7" s="1497">
        <v>15828.703</v>
      </c>
      <c r="BN7" s="1498">
        <f>SUM(BB7:BM7)</f>
        <v>166788.62000000005</v>
      </c>
      <c r="BO7" s="210">
        <v>15443.864</v>
      </c>
      <c r="BP7" s="1497">
        <v>13934.165000000001</v>
      </c>
      <c r="BQ7" s="1497">
        <v>15025.433999999999</v>
      </c>
      <c r="BR7" s="1497">
        <v>15284.837</v>
      </c>
      <c r="BS7" s="1497">
        <v>15836.047</v>
      </c>
      <c r="BT7" s="1497">
        <v>15512.588</v>
      </c>
      <c r="BU7" s="1497">
        <v>15819.967000000001</v>
      </c>
      <c r="BV7" s="1497">
        <v>16308.767</v>
      </c>
      <c r="BW7" s="1497">
        <v>16052.971</v>
      </c>
      <c r="BX7" s="1497">
        <v>16792.3</v>
      </c>
      <c r="BY7" s="1497">
        <v>16295.37</v>
      </c>
      <c r="BZ7" s="1497">
        <v>5694.08</v>
      </c>
      <c r="CA7" s="1498">
        <f>SUM(BO7:BZ7)</f>
        <v>178000.38999999998</v>
      </c>
      <c r="CB7" s="210">
        <v>2758.0010000000002</v>
      </c>
      <c r="CC7" s="1497">
        <v>3872.71</v>
      </c>
      <c r="CD7" s="1497">
        <v>4825.1390000000001</v>
      </c>
      <c r="CE7" s="1497">
        <v>3810.7759999999998</v>
      </c>
      <c r="CF7" s="1497">
        <v>3524.924</v>
      </c>
      <c r="CG7" s="1497">
        <v>3538.8719999999998</v>
      </c>
      <c r="CH7" s="1497">
        <v>2794.5360000000001</v>
      </c>
      <c r="CI7" s="1497">
        <v>3166.1289999999999</v>
      </c>
      <c r="CJ7" s="1497">
        <v>3195.6289999999999</v>
      </c>
      <c r="CK7" s="1497">
        <v>2983.2649999999999</v>
      </c>
      <c r="CL7" s="1497">
        <v>4442.4219999999996</v>
      </c>
      <c r="CM7" s="1497">
        <v>5864.2879999999996</v>
      </c>
      <c r="CN7" s="1498">
        <f t="shared" ref="CN7:CN14" si="0">SUM(CB7:CM7)</f>
        <v>44776.690999999999</v>
      </c>
      <c r="CO7" s="210">
        <v>6238.6310000000003</v>
      </c>
      <c r="CP7" s="1497">
        <v>5992.68</v>
      </c>
      <c r="CQ7" s="1497">
        <v>6451.6530000000002</v>
      </c>
      <c r="CR7" s="1497">
        <v>6182.7030000000004</v>
      </c>
      <c r="CS7" s="1497">
        <v>6087.415</v>
      </c>
      <c r="CT7" s="1497">
        <v>4026.9490000000001</v>
      </c>
      <c r="CU7" s="1497">
        <v>2399.1819999999998</v>
      </c>
      <c r="CV7" s="1497">
        <v>1780.8230000000001</v>
      </c>
      <c r="CW7" s="1497">
        <v>2399.4110000000001</v>
      </c>
      <c r="CX7" s="1497">
        <v>3744.1379999999999</v>
      </c>
      <c r="CY7" s="1497">
        <v>3337.8519999999999</v>
      </c>
      <c r="CZ7" s="1497">
        <v>3467.5030000000002</v>
      </c>
      <c r="DA7" s="1498">
        <f t="shared" ref="DA7:DA14" si="1">SUM(CO7:CZ7)</f>
        <v>52108.939999999995</v>
      </c>
      <c r="DB7" s="210">
        <v>5628.759</v>
      </c>
      <c r="DC7" s="1497">
        <v>4155.8360000000002</v>
      </c>
      <c r="DD7" s="1497">
        <v>6422.8010000000004</v>
      </c>
      <c r="DE7" s="1497">
        <v>5508.1859999999997</v>
      </c>
      <c r="DF7" s="1497">
        <v>5193.2079999999996</v>
      </c>
      <c r="DG7" s="1497">
        <v>3274.1019999999999</v>
      </c>
      <c r="DH7" s="1497">
        <v>2954.1979999999999</v>
      </c>
      <c r="DI7" s="1497">
        <v>2629.1970000000001</v>
      </c>
      <c r="DJ7" s="1497">
        <v>3051.1439999999998</v>
      </c>
      <c r="DK7" s="1497">
        <v>4052.5920000000001</v>
      </c>
      <c r="DL7" s="1497">
        <v>4048.1419999999998</v>
      </c>
      <c r="DM7" s="1497">
        <v>4572.7568625825697</v>
      </c>
      <c r="DN7" s="1498">
        <f t="shared" ref="DN7:DN16" si="2">SUM(DB7:DM7)</f>
        <v>51490.92186258256</v>
      </c>
      <c r="DO7" s="210">
        <v>4337404</v>
      </c>
      <c r="DP7" s="1497">
        <v>4334074.9999999991</v>
      </c>
      <c r="DQ7" s="1497">
        <v>6545011.9999999991</v>
      </c>
      <c r="DR7" s="1497">
        <v>5835544</v>
      </c>
      <c r="DS7" s="1497">
        <v>5511793.9999999991</v>
      </c>
      <c r="DT7" s="1497">
        <v>4457186</v>
      </c>
      <c r="DU7" s="1497">
        <v>3049811.0000000005</v>
      </c>
      <c r="DV7" s="1497">
        <v>3312277.9999999991</v>
      </c>
      <c r="DW7" s="1497">
        <v>4520411.9999999991</v>
      </c>
      <c r="DX7" s="1497">
        <v>5724149.9999999991</v>
      </c>
      <c r="DY7" s="1497">
        <v>5981577</v>
      </c>
      <c r="DZ7" s="1497">
        <v>5966708.2860000012</v>
      </c>
      <c r="EA7" s="1498">
        <f t="shared" ref="EA7:EA15" si="3">SUM(DO7:DZ7)</f>
        <v>59575951.285999998</v>
      </c>
      <c r="EB7" s="210">
        <v>5294963</v>
      </c>
      <c r="EC7" s="1497">
        <v>5408484</v>
      </c>
      <c r="ED7" s="1497">
        <v>5903749</v>
      </c>
      <c r="EE7" s="1497">
        <v>6254652</v>
      </c>
      <c r="EF7" s="1497">
        <v>6716731</v>
      </c>
      <c r="EG7" s="1497">
        <v>5324842</v>
      </c>
      <c r="EH7" s="1497">
        <v>3621229</v>
      </c>
      <c r="EI7" s="1497">
        <v>3374106</v>
      </c>
      <c r="EJ7" s="1497">
        <v>3401397</v>
      </c>
      <c r="EK7" s="1497">
        <v>4682809</v>
      </c>
      <c r="EL7" s="1497">
        <v>5271831</v>
      </c>
      <c r="EM7" s="1497">
        <v>7562764</v>
      </c>
      <c r="EN7" s="1498">
        <f>SUM(EB7:EM7)</f>
        <v>62817557</v>
      </c>
      <c r="EO7" s="210">
        <v>7907675</v>
      </c>
      <c r="EP7" s="1497">
        <v>8897441</v>
      </c>
      <c r="EQ7" s="1497">
        <v>11889160</v>
      </c>
      <c r="ER7" s="1497">
        <v>10997183</v>
      </c>
      <c r="ES7" s="1497">
        <v>9640467</v>
      </c>
      <c r="ET7" s="1497">
        <v>5766538</v>
      </c>
      <c r="EU7" s="1497">
        <v>6258532</v>
      </c>
      <c r="EV7" s="1497">
        <v>6145149</v>
      </c>
      <c r="EW7" s="1497">
        <v>7963689</v>
      </c>
      <c r="EX7" s="1497">
        <v>11291665</v>
      </c>
      <c r="EY7" s="1497">
        <v>10090568</v>
      </c>
      <c r="EZ7" s="1497">
        <v>11343905</v>
      </c>
      <c r="FA7" s="1498">
        <f>SUM(EO7:EZ7)</f>
        <v>108191972</v>
      </c>
      <c r="FB7" s="210">
        <v>11966266</v>
      </c>
      <c r="FC7" s="1497">
        <v>10301105</v>
      </c>
      <c r="FD7" s="1497">
        <v>11762440</v>
      </c>
      <c r="FE7" s="1497">
        <v>9389885</v>
      </c>
      <c r="FF7" s="1497">
        <v>10169537</v>
      </c>
      <c r="FG7" s="1497">
        <v>9910150</v>
      </c>
      <c r="FH7" s="1497">
        <v>8141899</v>
      </c>
      <c r="FI7" s="1497">
        <v>8616611</v>
      </c>
      <c r="FJ7" s="1497">
        <v>9332377</v>
      </c>
      <c r="FK7" s="1497">
        <v>7727141</v>
      </c>
      <c r="FL7" s="1497">
        <v>6875273</v>
      </c>
      <c r="FM7" s="1497">
        <v>5551229</v>
      </c>
      <c r="FN7" s="1498">
        <f>SUM(FB7:FM7)</f>
        <v>109743913</v>
      </c>
      <c r="FO7" s="210">
        <v>5876050</v>
      </c>
      <c r="FP7" s="1497">
        <v>4396617</v>
      </c>
      <c r="FQ7" s="1497">
        <v>5380578</v>
      </c>
      <c r="FR7" s="1497">
        <v>5430143</v>
      </c>
      <c r="FS7" s="1497">
        <v>5528593.9999999898</v>
      </c>
      <c r="FT7" s="1497">
        <v>3238306.9999999902</v>
      </c>
      <c r="FU7" s="1497">
        <v>2004629.00000001</v>
      </c>
      <c r="FV7" s="1497">
        <v>2347515</v>
      </c>
      <c r="FW7" s="1497">
        <v>2821977</v>
      </c>
      <c r="FX7" s="1497">
        <v>5616012</v>
      </c>
      <c r="FY7" s="1497">
        <v>5519562</v>
      </c>
      <c r="FZ7" s="1497">
        <v>5342048</v>
      </c>
      <c r="GA7" s="1498">
        <f>SUM(FO7:FZ7)</f>
        <v>53502031.999999985</v>
      </c>
      <c r="GB7" s="210">
        <v>4868315</v>
      </c>
      <c r="GC7" s="1497">
        <v>5589141</v>
      </c>
      <c r="GD7" s="1497">
        <v>6144371</v>
      </c>
      <c r="GE7" s="1497">
        <v>4935901</v>
      </c>
      <c r="GF7" s="1497">
        <v>4834920</v>
      </c>
      <c r="GG7" s="1497">
        <v>3694052</v>
      </c>
      <c r="GH7" s="1497">
        <v>3506248</v>
      </c>
      <c r="GI7" s="1497">
        <v>1824187</v>
      </c>
      <c r="GJ7" s="1497">
        <v>1873752</v>
      </c>
      <c r="GK7" s="1497">
        <v>3040763</v>
      </c>
      <c r="GL7" s="1497">
        <v>4468420</v>
      </c>
      <c r="GM7" s="1497">
        <v>5401431</v>
      </c>
      <c r="GN7" s="1498">
        <f>SUM(GB7:GM7)</f>
        <v>50181501</v>
      </c>
      <c r="GO7" s="210">
        <v>4793671</v>
      </c>
      <c r="GP7" s="1497">
        <v>4726352</v>
      </c>
      <c r="GQ7" s="1497">
        <v>5961954</v>
      </c>
      <c r="GR7" s="1497">
        <v>4842367</v>
      </c>
      <c r="GS7" s="1497">
        <v>4892549</v>
      </c>
      <c r="GT7" s="1497">
        <v>2782037</v>
      </c>
      <c r="GU7" s="1497">
        <v>2754077</v>
      </c>
      <c r="GV7" s="1497">
        <v>1673081</v>
      </c>
      <c r="GW7" s="1497">
        <v>3175637</v>
      </c>
      <c r="GX7" s="1497">
        <v>3373573</v>
      </c>
      <c r="GY7" s="1497">
        <v>3141864</v>
      </c>
      <c r="GZ7" s="1497">
        <v>3227969</v>
      </c>
      <c r="HA7" s="1498">
        <f>SUM(GO7:GZ7)</f>
        <v>45345131</v>
      </c>
      <c r="HB7" s="210">
        <v>3303446</v>
      </c>
      <c r="HC7" s="1497">
        <v>3672241</v>
      </c>
      <c r="HD7" s="1497">
        <v>5967007</v>
      </c>
      <c r="HE7" s="1497">
        <v>5412335</v>
      </c>
      <c r="HF7" s="1497">
        <v>3765164</v>
      </c>
      <c r="HG7" s="1497">
        <v>4389226</v>
      </c>
      <c r="HH7" s="1497">
        <v>2757226</v>
      </c>
      <c r="HI7" s="1497">
        <v>1774226</v>
      </c>
      <c r="HJ7" s="1497">
        <v>3671226</v>
      </c>
      <c r="HK7" s="1497">
        <v>3769226</v>
      </c>
      <c r="HL7" s="1497">
        <v>3560956</v>
      </c>
      <c r="HM7" s="1497">
        <v>5162003</v>
      </c>
      <c r="HN7" s="1498">
        <f>SUM(HB7:HM7)</f>
        <v>47204282</v>
      </c>
      <c r="HO7" s="210">
        <v>3295074</v>
      </c>
      <c r="HP7" s="1497">
        <v>3773873</v>
      </c>
      <c r="HQ7" s="1497">
        <v>6002655</v>
      </c>
      <c r="HR7" s="1497">
        <v>5171721</v>
      </c>
      <c r="HS7" s="1497">
        <v>5035785</v>
      </c>
      <c r="HT7" s="1497">
        <v>3440894</v>
      </c>
      <c r="HU7" s="1497">
        <v>2512133</v>
      </c>
      <c r="HV7" s="1497">
        <v>2402252</v>
      </c>
      <c r="HW7" s="1497">
        <v>1868559</v>
      </c>
      <c r="HX7" s="1497">
        <v>2291873</v>
      </c>
      <c r="HY7" s="1497">
        <v>320861</v>
      </c>
      <c r="HZ7" s="1497">
        <v>334916</v>
      </c>
      <c r="IA7" s="1498">
        <f>SUM(HO7:HZ7)</f>
        <v>36450596</v>
      </c>
      <c r="IB7" s="210">
        <v>3110658</v>
      </c>
      <c r="IC7" s="1497">
        <v>3739846</v>
      </c>
      <c r="ID7" s="1497">
        <v>6104452</v>
      </c>
      <c r="IE7" s="1497">
        <v>5699327</v>
      </c>
      <c r="IF7" s="1497">
        <v>4641215</v>
      </c>
      <c r="IG7" s="1497">
        <v>3182269</v>
      </c>
      <c r="IH7" s="1497">
        <v>1610263</v>
      </c>
      <c r="II7" s="1497">
        <v>1545736</v>
      </c>
      <c r="IJ7" s="1497">
        <v>1677193</v>
      </c>
      <c r="IK7" s="1497">
        <v>1958231</v>
      </c>
      <c r="IL7" s="1497">
        <v>3549710</v>
      </c>
      <c r="IM7" s="1497">
        <v>3670331</v>
      </c>
      <c r="IN7" s="1498">
        <f>SUM(IB7:IM7)</f>
        <v>40489231</v>
      </c>
      <c r="IO7" s="210">
        <v>5150614</v>
      </c>
      <c r="IP7" s="1497">
        <v>5068025</v>
      </c>
      <c r="IQ7" s="1497">
        <v>5697847</v>
      </c>
      <c r="IR7" s="1497">
        <v>3937772</v>
      </c>
      <c r="IS7" s="1497">
        <v>4485813</v>
      </c>
      <c r="IT7" s="1497">
        <v>1989727</v>
      </c>
      <c r="IU7" s="1497">
        <v>1239390</v>
      </c>
      <c r="IV7" s="1497">
        <v>914707</v>
      </c>
      <c r="IW7" s="1497">
        <v>1279082</v>
      </c>
      <c r="IX7" s="1497">
        <v>2179298</v>
      </c>
      <c r="IY7" s="1497">
        <v>4454223</v>
      </c>
      <c r="IZ7" s="1497">
        <v>3655193</v>
      </c>
      <c r="JA7" s="1498">
        <f>SUM(IO7:IZ7)</f>
        <v>40051691</v>
      </c>
      <c r="JB7" s="210">
        <v>4849855</v>
      </c>
      <c r="JC7" s="1497">
        <v>4426885</v>
      </c>
      <c r="JD7" s="1497">
        <v>5392418</v>
      </c>
      <c r="JE7" s="1497">
        <v>4097352</v>
      </c>
      <c r="JF7" s="1497">
        <v>5038628</v>
      </c>
      <c r="JG7" s="1497">
        <v>3667843</v>
      </c>
      <c r="JH7" s="1497">
        <v>2779683</v>
      </c>
      <c r="JI7" s="1497">
        <v>2344398</v>
      </c>
      <c r="JJ7" s="1497">
        <v>2990649</v>
      </c>
      <c r="JK7" s="1497">
        <v>2657226</v>
      </c>
      <c r="JL7" s="1497">
        <v>3150098.6</v>
      </c>
      <c r="JM7" s="1497"/>
      <c r="JN7" s="1498">
        <f>SUM(JB7:JM7)</f>
        <v>41395035.600000001</v>
      </c>
      <c r="JO7"/>
      <c r="JP7" s="1499">
        <f>IFERROR((((JL7/IY7)-1)*100),"")</f>
        <v>-29.278381437121581</v>
      </c>
      <c r="JQ7" s="1499">
        <f>IFERROR((((JS7/JR7)-1)*100),"")</f>
        <v>13.733567443768901</v>
      </c>
      <c r="JR7" s="1500">
        <f>SUM(IO7:IY7)</f>
        <v>36396498</v>
      </c>
      <c r="JS7" s="1500">
        <f>SUM(JB7:JL7)</f>
        <v>41395035.600000001</v>
      </c>
    </row>
    <row r="8" spans="1:280" s="105" customFormat="1" ht="13.9" customHeight="1" x14ac:dyDescent="0.2">
      <c r="A8" s="212" t="s">
        <v>374</v>
      </c>
      <c r="B8" s="196">
        <v>6116061</v>
      </c>
      <c r="C8" s="1501">
        <v>5784058</v>
      </c>
      <c r="D8" s="1501">
        <v>6196933</v>
      </c>
      <c r="E8" s="1501">
        <v>4929274</v>
      </c>
      <c r="F8" s="1501">
        <v>5569702</v>
      </c>
      <c r="G8" s="1501">
        <v>7253787</v>
      </c>
      <c r="H8" s="1501">
        <v>7955202</v>
      </c>
      <c r="I8" s="1501">
        <v>8192187</v>
      </c>
      <c r="J8" s="1501">
        <v>7989829</v>
      </c>
      <c r="K8" s="1501">
        <v>6527431</v>
      </c>
      <c r="L8" s="1501">
        <v>5468351</v>
      </c>
      <c r="M8" s="1501">
        <v>6126805</v>
      </c>
      <c r="N8" s="195">
        <v>78109620</v>
      </c>
      <c r="O8" s="196">
        <v>6146097</v>
      </c>
      <c r="P8" s="1501">
        <v>4780457</v>
      </c>
      <c r="Q8" s="1501">
        <v>4636642</v>
      </c>
      <c r="R8" s="1501">
        <v>4841147</v>
      </c>
      <c r="S8" s="1501">
        <v>7405404</v>
      </c>
      <c r="T8" s="1501">
        <v>7555012</v>
      </c>
      <c r="U8" s="1501">
        <v>7955721</v>
      </c>
      <c r="V8" s="1501">
        <v>8064552</v>
      </c>
      <c r="W8" s="1501">
        <v>7677732</v>
      </c>
      <c r="X8" s="1501">
        <v>6945803</v>
      </c>
      <c r="Y8" s="1501">
        <v>6838445</v>
      </c>
      <c r="Z8" s="1501">
        <v>6840980</v>
      </c>
      <c r="AA8" s="195">
        <f t="shared" ref="AA8:AA15" si="4">SUM(O8:Z8)</f>
        <v>79687992</v>
      </c>
      <c r="AB8" s="196">
        <v>6123679</v>
      </c>
      <c r="AC8" s="1501">
        <v>7375646</v>
      </c>
      <c r="AD8" s="1501">
        <v>6847232</v>
      </c>
      <c r="AE8" s="1501">
        <v>5904821</v>
      </c>
      <c r="AF8" s="1501">
        <v>6834185</v>
      </c>
      <c r="AG8" s="1501">
        <v>8463953</v>
      </c>
      <c r="AH8" s="1501">
        <v>9309759</v>
      </c>
      <c r="AI8" s="1501">
        <v>9252366</v>
      </c>
      <c r="AJ8" s="1501">
        <v>7883292</v>
      </c>
      <c r="AK8" s="1501">
        <v>7672010</v>
      </c>
      <c r="AL8" s="1501">
        <v>6688179</v>
      </c>
      <c r="AM8" s="1501">
        <v>7570097</v>
      </c>
      <c r="AN8" s="195">
        <f t="shared" ref="AN8:AN15" si="5">SUM(AB8:AM8)</f>
        <v>89925219</v>
      </c>
      <c r="AO8" s="196">
        <v>8683435</v>
      </c>
      <c r="AP8" s="1501">
        <v>7077489</v>
      </c>
      <c r="AQ8" s="1501">
        <v>7176849</v>
      </c>
      <c r="AR8" s="1501">
        <v>7537861</v>
      </c>
      <c r="AS8" s="1501">
        <v>9153355</v>
      </c>
      <c r="AT8" s="1501">
        <v>9155437</v>
      </c>
      <c r="AU8" s="1501">
        <v>10707839</v>
      </c>
      <c r="AV8" s="1501">
        <v>10773907</v>
      </c>
      <c r="AW8" s="1501">
        <v>8781429</v>
      </c>
      <c r="AX8" s="1501">
        <v>9143978</v>
      </c>
      <c r="AY8" s="1501">
        <v>8621231</v>
      </c>
      <c r="AZ8" s="1501">
        <v>8837115</v>
      </c>
      <c r="BA8" s="195">
        <f t="shared" ref="BA8:BA14" si="6">SUM(AO8:AZ8)</f>
        <v>105649925</v>
      </c>
      <c r="BB8" s="196">
        <v>7270786</v>
      </c>
      <c r="BC8" s="1501">
        <v>6361115</v>
      </c>
      <c r="BD8" s="1501">
        <v>6994933</v>
      </c>
      <c r="BE8" s="1501">
        <v>6476122</v>
      </c>
      <c r="BF8" s="1501">
        <v>6705289</v>
      </c>
      <c r="BG8" s="1501">
        <v>7443995</v>
      </c>
      <c r="BH8" s="1501">
        <v>8542249</v>
      </c>
      <c r="BI8" s="1501">
        <v>9753837</v>
      </c>
      <c r="BJ8" s="1501">
        <v>9207379</v>
      </c>
      <c r="BK8" s="1501">
        <v>8694070</v>
      </c>
      <c r="BL8" s="1501">
        <v>9213571</v>
      </c>
      <c r="BM8" s="1501">
        <v>10274017</v>
      </c>
      <c r="BN8" s="195">
        <v>96937363</v>
      </c>
      <c r="BO8" s="196">
        <v>10626913</v>
      </c>
      <c r="BP8" s="1501">
        <v>8659773</v>
      </c>
      <c r="BQ8" s="1501">
        <v>9568447</v>
      </c>
      <c r="BR8" s="1501">
        <v>8500229</v>
      </c>
      <c r="BS8" s="1501">
        <v>8490205</v>
      </c>
      <c r="BT8" s="1501">
        <v>9094733</v>
      </c>
      <c r="BU8" s="1501">
        <v>8107040</v>
      </c>
      <c r="BV8" s="1501">
        <v>9267437</v>
      </c>
      <c r="BW8" s="1501">
        <v>8732800</v>
      </c>
      <c r="BX8" s="1501">
        <v>8671974</v>
      </c>
      <c r="BY8" s="1501">
        <v>8391872</v>
      </c>
      <c r="BZ8" s="1501">
        <v>2411667.0000000005</v>
      </c>
      <c r="CA8" s="195">
        <f t="shared" ref="CA8:CA14" si="7">SUM(BO8:BZ8)</f>
        <v>100523090</v>
      </c>
      <c r="CB8" s="196">
        <v>883224</v>
      </c>
      <c r="CC8" s="1501">
        <v>1245154</v>
      </c>
      <c r="CD8" s="1501">
        <v>288794</v>
      </c>
      <c r="CE8" s="1501">
        <v>237352</v>
      </c>
      <c r="CF8" s="1501">
        <v>283183</v>
      </c>
      <c r="CG8" s="1501">
        <v>84110</v>
      </c>
      <c r="CH8" s="1501">
        <v>154385</v>
      </c>
      <c r="CI8" s="1501">
        <v>1522505</v>
      </c>
      <c r="CJ8" s="1501">
        <v>727864</v>
      </c>
      <c r="CK8" s="1501">
        <v>299181</v>
      </c>
      <c r="CL8" s="1501">
        <v>222406</v>
      </c>
      <c r="CM8" s="1501">
        <v>292324</v>
      </c>
      <c r="CN8" s="195">
        <f t="shared" si="0"/>
        <v>6240482</v>
      </c>
      <c r="CO8" s="196">
        <v>183010</v>
      </c>
      <c r="CP8" s="1501">
        <v>735181</v>
      </c>
      <c r="CQ8" s="1501">
        <v>321585</v>
      </c>
      <c r="CR8" s="1501">
        <v>143727</v>
      </c>
      <c r="CS8" s="1501">
        <v>225039</v>
      </c>
      <c r="CT8" s="1501">
        <v>132485</v>
      </c>
      <c r="CU8" s="1501">
        <v>144754</v>
      </c>
      <c r="CV8" s="1501">
        <v>263770</v>
      </c>
      <c r="CW8" s="1501">
        <v>326829</v>
      </c>
      <c r="CX8" s="1501">
        <v>327010</v>
      </c>
      <c r="CY8" s="1501">
        <v>437054</v>
      </c>
      <c r="CZ8" s="1501">
        <v>152585</v>
      </c>
      <c r="DA8" s="195">
        <f t="shared" si="1"/>
        <v>3393029</v>
      </c>
      <c r="DB8" s="196">
        <v>296507</v>
      </c>
      <c r="DC8" s="1501">
        <v>129123</v>
      </c>
      <c r="DD8" s="1501">
        <v>140051</v>
      </c>
      <c r="DE8" s="1501">
        <v>331686</v>
      </c>
      <c r="DF8" s="1501">
        <v>343194</v>
      </c>
      <c r="DG8" s="1501">
        <v>233493</v>
      </c>
      <c r="DH8" s="1501">
        <v>297237</v>
      </c>
      <c r="DI8" s="1501">
        <v>396819</v>
      </c>
      <c r="DJ8" s="1501">
        <v>603553</v>
      </c>
      <c r="DK8" s="1501">
        <v>593604</v>
      </c>
      <c r="DL8" s="1501">
        <v>501594</v>
      </c>
      <c r="DM8" s="1501">
        <v>331005</v>
      </c>
      <c r="DN8" s="195">
        <f t="shared" si="2"/>
        <v>4197866</v>
      </c>
      <c r="DO8" s="196">
        <v>230429</v>
      </c>
      <c r="DP8" s="1501">
        <v>187464.00000000003</v>
      </c>
      <c r="DQ8" s="1501">
        <v>261508</v>
      </c>
      <c r="DR8" s="1501">
        <v>274376</v>
      </c>
      <c r="DS8" s="1501">
        <v>388065.14400000003</v>
      </c>
      <c r="DT8" s="1501">
        <v>434874.57199999993</v>
      </c>
      <c r="DU8" s="1501">
        <v>528546</v>
      </c>
      <c r="DV8" s="1501">
        <v>775353</v>
      </c>
      <c r="DW8" s="1501">
        <v>896849</v>
      </c>
      <c r="DX8" s="1501">
        <v>948672.22999999986</v>
      </c>
      <c r="DY8" s="1501">
        <v>853664</v>
      </c>
      <c r="DZ8" s="1501">
        <v>1071369</v>
      </c>
      <c r="EA8" s="195">
        <f t="shared" si="3"/>
        <v>6851169.9459999995</v>
      </c>
      <c r="EB8" s="196">
        <v>783.30837200000019</v>
      </c>
      <c r="EC8" s="1501">
        <v>783.30837200000019</v>
      </c>
      <c r="ED8" s="1501">
        <v>649.95078868534483</v>
      </c>
      <c r="EE8" s="1501">
        <v>399.80581243428992</v>
      </c>
      <c r="EF8" s="1501">
        <v>380.94780927339201</v>
      </c>
      <c r="EG8" s="1501">
        <v>422.85965214999015</v>
      </c>
      <c r="EH8" s="1501">
        <v>457.80922952267491</v>
      </c>
      <c r="EI8" s="1501">
        <v>867.63937246545993</v>
      </c>
      <c r="EJ8" s="1501">
        <v>1293.7159999999999</v>
      </c>
      <c r="EK8" s="1501">
        <v>1176.2380000000001</v>
      </c>
      <c r="EL8" s="1501">
        <v>601.75742107116844</v>
      </c>
      <c r="EM8" s="1501">
        <v>108.30888571968009</v>
      </c>
      <c r="EN8" s="195">
        <f t="shared" ref="EN8:EN16" si="8">SUM(EB8:EM8)</f>
        <v>7925.6497153219998</v>
      </c>
      <c r="EO8" s="196">
        <v>210.65039506553498</v>
      </c>
      <c r="EP8" s="1501">
        <v>44.848521646997497</v>
      </c>
      <c r="EQ8" s="1501">
        <v>123.52914455305002</v>
      </c>
      <c r="ER8" s="1501">
        <v>147.06593831295999</v>
      </c>
      <c r="ES8" s="1501">
        <v>113.00761001567</v>
      </c>
      <c r="ET8" s="1501">
        <v>105.46734511219</v>
      </c>
      <c r="EU8" s="1501">
        <v>141.87194370234994</v>
      </c>
      <c r="EV8" s="1501">
        <v>220.35495317729004</v>
      </c>
      <c r="EW8" s="1501">
        <v>133.02731651580001</v>
      </c>
      <c r="EX8" s="1501">
        <v>35.62887212231</v>
      </c>
      <c r="EY8" s="1501">
        <v>298.76959772999999</v>
      </c>
      <c r="EZ8" s="1501">
        <v>104.16216416999997</v>
      </c>
      <c r="FA8" s="195">
        <f t="shared" ref="FA8:FA14" si="9">SUM(EO8:EZ8)</f>
        <v>1678.3838021241525</v>
      </c>
      <c r="FB8" s="196">
        <v>26.876517414013996</v>
      </c>
      <c r="FC8" s="1501"/>
      <c r="FD8" s="1501">
        <v>47.3234051610035</v>
      </c>
      <c r="FE8" s="1501">
        <v>14.5538939230105</v>
      </c>
      <c r="FF8" s="1501">
        <v>71.326999999999998</v>
      </c>
      <c r="FG8" s="1501">
        <v>48.025999999999996</v>
      </c>
      <c r="FH8" s="1501">
        <v>67.222999999999999</v>
      </c>
      <c r="FI8" s="1501">
        <v>117.35687773401401</v>
      </c>
      <c r="FJ8" s="1501">
        <v>124.61499999999999</v>
      </c>
      <c r="FK8" s="1501">
        <v>175.24799999999999</v>
      </c>
      <c r="FL8" s="1501">
        <v>182.05500000000001</v>
      </c>
      <c r="FM8" s="1501">
        <v>225.47800000000001</v>
      </c>
      <c r="FN8" s="195">
        <f t="shared" ref="FN8:FN14" si="10">SUM(FB8:FM8)</f>
        <v>1100.0826942320421</v>
      </c>
      <c r="FO8" s="196">
        <v>1.5659999999999998</v>
      </c>
      <c r="FP8" s="1501">
        <v>5.9059999999999997</v>
      </c>
      <c r="FQ8" s="1501"/>
      <c r="FR8" s="1501"/>
      <c r="FS8" s="1501">
        <v>2.633</v>
      </c>
      <c r="FT8" s="1501"/>
      <c r="FU8" s="1501">
        <v>0.79100000000000004</v>
      </c>
      <c r="FV8" s="1501">
        <v>5.2439999999999998</v>
      </c>
      <c r="FW8" s="1501">
        <v>17.129000000000001</v>
      </c>
      <c r="FX8" s="1501">
        <v>9.8170000000000002</v>
      </c>
      <c r="FY8" s="1501"/>
      <c r="FZ8" s="1501">
        <v>27.338999999999999</v>
      </c>
      <c r="GA8" s="195">
        <f t="shared" ref="GA8:GA14" si="11">SUM(FO8:FZ8)</f>
        <v>70.425000000000011</v>
      </c>
      <c r="GB8" s="196"/>
      <c r="GC8" s="1501">
        <v>2.5310000000000001</v>
      </c>
      <c r="GD8" s="1501"/>
      <c r="GE8" s="1501">
        <v>0.77500000000000002</v>
      </c>
      <c r="GF8" s="1501"/>
      <c r="GG8" s="1501"/>
      <c r="GH8" s="1501"/>
      <c r="GI8" s="1501">
        <v>79.265999999999991</v>
      </c>
      <c r="GJ8" s="1501"/>
      <c r="GK8" s="1501">
        <v>40.643999999999998</v>
      </c>
      <c r="GL8" s="1501"/>
      <c r="GM8" s="1501">
        <v>305.05100000000004</v>
      </c>
      <c r="GN8" s="195">
        <f t="shared" ref="GN8:GN15" si="12">SUM(GB8:GM8)</f>
        <v>428.26700000000005</v>
      </c>
      <c r="GO8" s="196">
        <v>29.952000000000002</v>
      </c>
      <c r="GP8" s="1501">
        <v>0.36699999999999999</v>
      </c>
      <c r="GQ8" s="1501">
        <v>4.4290000000000003</v>
      </c>
      <c r="GR8" s="1501"/>
      <c r="GS8" s="1501"/>
      <c r="GT8" s="1501"/>
      <c r="GU8" s="1501"/>
      <c r="GV8" s="1501"/>
      <c r="GW8" s="1501"/>
      <c r="GX8" s="1501"/>
      <c r="GY8" s="1501"/>
      <c r="GZ8" s="1501"/>
      <c r="HA8" s="195">
        <f t="shared" ref="HA8:HA15" si="13">SUM(GO8:GZ8)</f>
        <v>34.748000000000005</v>
      </c>
      <c r="HB8" s="196"/>
      <c r="HC8" s="1501"/>
      <c r="HD8" s="1501"/>
      <c r="HE8" s="1501"/>
      <c r="HF8" s="1501"/>
      <c r="HG8" s="1501"/>
      <c r="HH8" s="1501"/>
      <c r="HI8" s="1501"/>
      <c r="HJ8" s="1501"/>
      <c r="HK8" s="1501"/>
      <c r="HL8" s="1501"/>
      <c r="HM8" s="1501"/>
      <c r="HN8" s="195">
        <f t="shared" ref="HN8:HN15" si="14">SUM(HB8:HM8)</f>
        <v>0</v>
      </c>
      <c r="HO8" s="196"/>
      <c r="HP8" s="1501"/>
      <c r="HQ8" s="1501"/>
      <c r="HR8" s="1501"/>
      <c r="HS8" s="1501"/>
      <c r="HT8" s="1501"/>
      <c r="HU8" s="1501"/>
      <c r="HV8" s="1501"/>
      <c r="HW8" s="1501"/>
      <c r="HX8" s="1501"/>
      <c r="HY8" s="1501"/>
      <c r="HZ8" s="1501"/>
      <c r="IA8" s="195">
        <f t="shared" ref="IA8:IA15" si="15">SUM(HO8:HZ8)</f>
        <v>0</v>
      </c>
      <c r="IB8" s="196"/>
      <c r="IC8" s="1501"/>
      <c r="ID8" s="1501"/>
      <c r="IE8" s="1501"/>
      <c r="IF8" s="1501"/>
      <c r="IG8" s="1501"/>
      <c r="IH8" s="1501"/>
      <c r="II8" s="1501"/>
      <c r="IJ8" s="1501"/>
      <c r="IK8" s="1501">
        <v>17.407</v>
      </c>
      <c r="IL8" s="1501"/>
      <c r="IM8" s="1501"/>
      <c r="IN8" s="195">
        <f t="shared" ref="IN8:IN15" si="16">SUM(IB8:IM8)</f>
        <v>17.407</v>
      </c>
      <c r="IO8" s="196"/>
      <c r="IP8" s="1501"/>
      <c r="IQ8" s="1501"/>
      <c r="IR8" s="1501"/>
      <c r="IS8" s="1501"/>
      <c r="IT8" s="1501"/>
      <c r="IU8" s="1501"/>
      <c r="IV8" s="1501"/>
      <c r="IW8" s="1501"/>
      <c r="IX8" s="1501"/>
      <c r="IY8" s="1501"/>
      <c r="IZ8" s="1501"/>
      <c r="JA8" s="195">
        <f t="shared" ref="JA8:JA15" si="17">SUM(IO8:IZ8)</f>
        <v>0</v>
      </c>
      <c r="JB8" s="196"/>
      <c r="JC8" s="1501">
        <v>7.2080000000000002</v>
      </c>
      <c r="JD8" s="1501"/>
      <c r="JE8" s="1501"/>
      <c r="JF8" s="1501"/>
      <c r="JG8" s="1501"/>
      <c r="JH8" s="1501"/>
      <c r="JI8" s="1501"/>
      <c r="JJ8" s="1501">
        <v>74.994</v>
      </c>
      <c r="JK8" s="1501"/>
      <c r="JL8" s="1501"/>
      <c r="JM8" s="1501"/>
      <c r="JN8" s="195">
        <f t="shared" ref="JN8:JN15" si="18">SUM(JB8:JM8)</f>
        <v>82.201999999999998</v>
      </c>
      <c r="JO8"/>
      <c r="JP8" s="54" t="str">
        <f t="shared" ref="JP8:JP16" si="19">IFERROR((((JL8/IY8)-1)*100),"")</f>
        <v/>
      </c>
      <c r="JQ8" s="64" t="str">
        <f t="shared" ref="JQ8:JQ16" si="20">IFERROR((((JS8/JR8)-1)*100),"")</f>
        <v/>
      </c>
      <c r="JR8" s="20">
        <f t="shared" ref="JR8:JR16" si="21">SUM(IO8:IY8)</f>
        <v>0</v>
      </c>
      <c r="JS8" s="20">
        <f t="shared" ref="JS8:JS16" si="22">SUM(JB8:JL8)</f>
        <v>82.201999999999998</v>
      </c>
    </row>
    <row r="9" spans="1:280" s="105" customFormat="1" ht="13.9" customHeight="1" x14ac:dyDescent="0.2">
      <c r="A9" s="212" t="s">
        <v>375</v>
      </c>
      <c r="B9" s="196"/>
      <c r="C9" s="1501"/>
      <c r="D9" s="1501"/>
      <c r="E9" s="1501"/>
      <c r="F9" s="1501"/>
      <c r="G9" s="1501"/>
      <c r="H9" s="1501"/>
      <c r="I9" s="1501">
        <v>87429</v>
      </c>
      <c r="J9" s="1501">
        <v>56197</v>
      </c>
      <c r="K9" s="1501">
        <v>10173</v>
      </c>
      <c r="L9" s="1501">
        <v>12708</v>
      </c>
      <c r="M9" s="1501">
        <v>447592</v>
      </c>
      <c r="N9" s="7">
        <f t="shared" ref="N9:N14" si="23">SUM(B9:M9)</f>
        <v>614099</v>
      </c>
      <c r="O9" s="196">
        <v>288291</v>
      </c>
      <c r="P9" s="1501">
        <v>137355</v>
      </c>
      <c r="Q9" s="1501">
        <v>110920</v>
      </c>
      <c r="R9" s="1501">
        <v>128440</v>
      </c>
      <c r="S9" s="1501">
        <v>239214</v>
      </c>
      <c r="T9" s="1501">
        <v>292423</v>
      </c>
      <c r="U9" s="1501">
        <v>473093</v>
      </c>
      <c r="V9" s="1501">
        <v>442869</v>
      </c>
      <c r="W9" s="1501">
        <v>562458</v>
      </c>
      <c r="X9" s="1501">
        <v>225118</v>
      </c>
      <c r="Y9" s="1501">
        <v>320853</v>
      </c>
      <c r="Z9" s="1501">
        <v>213028</v>
      </c>
      <c r="AA9" s="7">
        <f t="shared" si="4"/>
        <v>3434062</v>
      </c>
      <c r="AB9" s="196">
        <v>215108</v>
      </c>
      <c r="AC9" s="1501">
        <v>252152</v>
      </c>
      <c r="AD9" s="1501">
        <v>240665</v>
      </c>
      <c r="AE9" s="1501">
        <v>188118</v>
      </c>
      <c r="AF9" s="1501">
        <v>238540</v>
      </c>
      <c r="AG9" s="1501">
        <v>320389</v>
      </c>
      <c r="AH9" s="1501">
        <v>527678</v>
      </c>
      <c r="AI9" s="1501">
        <v>846626</v>
      </c>
      <c r="AJ9" s="1501">
        <v>497172</v>
      </c>
      <c r="AK9" s="1501">
        <v>553026</v>
      </c>
      <c r="AL9" s="1501">
        <v>350194</v>
      </c>
      <c r="AM9" s="1501">
        <v>403015</v>
      </c>
      <c r="AN9" s="7">
        <f t="shared" si="5"/>
        <v>4632683</v>
      </c>
      <c r="AO9" s="196">
        <v>117317</v>
      </c>
      <c r="AP9" s="1501">
        <v>84115</v>
      </c>
      <c r="AQ9" s="1501">
        <v>93811</v>
      </c>
      <c r="AR9" s="1501">
        <v>47305</v>
      </c>
      <c r="AS9" s="1501">
        <v>109837</v>
      </c>
      <c r="AT9" s="1501">
        <v>236041</v>
      </c>
      <c r="AU9" s="1501">
        <v>197434</v>
      </c>
      <c r="AV9" s="1501">
        <v>633534</v>
      </c>
      <c r="AW9" s="1501">
        <v>396777</v>
      </c>
      <c r="AX9" s="1501">
        <v>472898</v>
      </c>
      <c r="AY9" s="1501">
        <v>411787</v>
      </c>
      <c r="AZ9" s="1501">
        <v>427922</v>
      </c>
      <c r="BA9" s="7">
        <f t="shared" si="6"/>
        <v>3228778</v>
      </c>
      <c r="BB9" s="196">
        <v>279685</v>
      </c>
      <c r="BC9" s="1501">
        <v>224558</v>
      </c>
      <c r="BD9" s="1501">
        <v>369108</v>
      </c>
      <c r="BE9" s="1501">
        <v>178979</v>
      </c>
      <c r="BF9" s="1501">
        <v>233240</v>
      </c>
      <c r="BG9" s="1501">
        <v>273671</v>
      </c>
      <c r="BH9" s="1501">
        <v>388183</v>
      </c>
      <c r="BI9" s="1501">
        <v>704711</v>
      </c>
      <c r="BJ9" s="1501">
        <v>579193</v>
      </c>
      <c r="BK9" s="1501">
        <v>689487</v>
      </c>
      <c r="BL9" s="1501">
        <v>675760</v>
      </c>
      <c r="BM9" s="1501">
        <v>735000</v>
      </c>
      <c r="BN9" s="7">
        <f t="shared" ref="BN9:BN14" si="24">SUM(BB9:BM9)</f>
        <v>5331575</v>
      </c>
      <c r="BO9" s="196">
        <v>936292</v>
      </c>
      <c r="BP9" s="1501">
        <v>128006</v>
      </c>
      <c r="BQ9" s="1501">
        <v>627840</v>
      </c>
      <c r="BR9" s="1501">
        <v>1085051</v>
      </c>
      <c r="BS9" s="1501">
        <v>1347461</v>
      </c>
      <c r="BT9" s="1501">
        <v>1837107</v>
      </c>
      <c r="BU9" s="1501">
        <v>2560781</v>
      </c>
      <c r="BV9" s="1501">
        <v>2161020</v>
      </c>
      <c r="BW9" s="1501">
        <v>2513593</v>
      </c>
      <c r="BX9" s="1501">
        <v>2361557</v>
      </c>
      <c r="BY9" s="1501">
        <v>1958028</v>
      </c>
      <c r="BZ9" s="1501">
        <v>218669</v>
      </c>
      <c r="CA9" s="7">
        <f t="shared" si="7"/>
        <v>17735405</v>
      </c>
      <c r="CB9" s="196">
        <v>28501</v>
      </c>
      <c r="CC9" s="1501">
        <v>219198</v>
      </c>
      <c r="CD9" s="1501">
        <v>8439</v>
      </c>
      <c r="CE9" s="1501">
        <v>1200</v>
      </c>
      <c r="CF9" s="1501">
        <v>1346</v>
      </c>
      <c r="CG9" s="1501"/>
      <c r="CH9" s="1501"/>
      <c r="CI9" s="1501">
        <v>255502</v>
      </c>
      <c r="CJ9" s="1501">
        <v>107426</v>
      </c>
      <c r="CK9" s="1501">
        <v>13866</v>
      </c>
      <c r="CL9" s="1501"/>
      <c r="CM9" s="1501">
        <v>14244</v>
      </c>
      <c r="CN9" s="7">
        <f t="shared" si="0"/>
        <v>649722</v>
      </c>
      <c r="CO9" s="196"/>
      <c r="CP9" s="1501">
        <v>98373</v>
      </c>
      <c r="CQ9" s="1501">
        <v>13943</v>
      </c>
      <c r="CR9" s="1501"/>
      <c r="CS9" s="1501"/>
      <c r="CT9" s="1501"/>
      <c r="CU9" s="1501">
        <v>11299</v>
      </c>
      <c r="CV9" s="1501">
        <v>989</v>
      </c>
      <c r="CW9" s="1501">
        <v>31833</v>
      </c>
      <c r="CX9" s="1501">
        <v>972</v>
      </c>
      <c r="CY9" s="1501">
        <v>13143</v>
      </c>
      <c r="CZ9" s="1501"/>
      <c r="DA9" s="7">
        <f t="shared" si="1"/>
        <v>170552</v>
      </c>
      <c r="DB9" s="196">
        <v>17927</v>
      </c>
      <c r="DC9" s="1501">
        <v>3</v>
      </c>
      <c r="DD9" s="1501"/>
      <c r="DE9" s="1501"/>
      <c r="DF9" s="1501">
        <v>10199</v>
      </c>
      <c r="DG9" s="1501"/>
      <c r="DH9" s="1501"/>
      <c r="DI9" s="1501"/>
      <c r="DJ9" s="1501"/>
      <c r="DK9" s="1501"/>
      <c r="DL9" s="1501">
        <v>8456</v>
      </c>
      <c r="DM9" s="1501">
        <v>15815</v>
      </c>
      <c r="DN9" s="7">
        <f t="shared" si="2"/>
        <v>52400</v>
      </c>
      <c r="DO9" s="196">
        <v>3771699</v>
      </c>
      <c r="DP9" s="1501">
        <v>3816605</v>
      </c>
      <c r="DQ9" s="1501">
        <v>5945948</v>
      </c>
      <c r="DR9" s="1501">
        <v>5224482</v>
      </c>
      <c r="DS9" s="1501">
        <v>4782503</v>
      </c>
      <c r="DT9" s="1501">
        <v>3682281.8269999996</v>
      </c>
      <c r="DU9" s="1501">
        <v>2180479.2821910004</v>
      </c>
      <c r="DV9" s="1501">
        <v>2194699</v>
      </c>
      <c r="DW9" s="1501">
        <v>3280454</v>
      </c>
      <c r="DX9" s="1501">
        <v>4427713.1844942495</v>
      </c>
      <c r="DY9" s="1501">
        <v>4786208.3149999995</v>
      </c>
      <c r="DZ9" s="1501">
        <v>4553957</v>
      </c>
      <c r="EA9" s="7">
        <f t="shared" si="3"/>
        <v>48647029.608685248</v>
      </c>
      <c r="EB9" s="196"/>
      <c r="EC9" s="1501">
        <v>11.609549999999999</v>
      </c>
      <c r="ED9" s="1501">
        <v>1.2318750000000001</v>
      </c>
      <c r="EE9" s="1501">
        <v>4.6581299999999999</v>
      </c>
      <c r="EF9" s="1501"/>
      <c r="EG9" s="1501">
        <v>4.4326800000000004</v>
      </c>
      <c r="EH9" s="1501">
        <v>4.1486849999999995</v>
      </c>
      <c r="EI9" s="1501">
        <v>16.779464999999998</v>
      </c>
      <c r="EJ9" s="1501">
        <v>8.2187099999999997</v>
      </c>
      <c r="EK9" s="1501">
        <v>8.516</v>
      </c>
      <c r="EL9" s="1501"/>
      <c r="EM9" s="1501">
        <v>757.49833319700201</v>
      </c>
      <c r="EN9" s="7">
        <f t="shared" si="8"/>
        <v>817.09342819700203</v>
      </c>
      <c r="EO9" s="196">
        <v>1196.2584411407529</v>
      </c>
      <c r="EP9" s="1501">
        <v>1191.8985</v>
      </c>
      <c r="EQ9" s="1501">
        <v>2002.9206560969997</v>
      </c>
      <c r="ER9" s="1501">
        <v>1704.5915</v>
      </c>
      <c r="ES9" s="1501">
        <v>1520.2284999999999</v>
      </c>
      <c r="ET9" s="1501">
        <v>849.35199999999998</v>
      </c>
      <c r="EU9" s="1501">
        <v>1341.7083370057499</v>
      </c>
      <c r="EV9" s="1501">
        <v>1358.46225</v>
      </c>
      <c r="EW9" s="1501">
        <v>1790.0305000000003</v>
      </c>
      <c r="EX9" s="1501">
        <v>1321.6132749777501</v>
      </c>
      <c r="EY9" s="1501">
        <v>1788.5376249999999</v>
      </c>
      <c r="EZ9" s="1501">
        <v>1808.1686250000002</v>
      </c>
      <c r="FA9" s="7">
        <f t="shared" si="9"/>
        <v>17873.770209221257</v>
      </c>
      <c r="FB9" s="196">
        <v>1275.0264999999999</v>
      </c>
      <c r="FC9" s="1501">
        <v>1362.94</v>
      </c>
      <c r="FD9" s="1501">
        <v>1305.904</v>
      </c>
      <c r="FE9" s="1501">
        <v>2159.2030000000004</v>
      </c>
      <c r="FF9" s="1501">
        <v>2097.2420000000002</v>
      </c>
      <c r="FG9" s="1501">
        <v>1900.1970000000001</v>
      </c>
      <c r="FH9" s="1501">
        <v>2065.0610000000001</v>
      </c>
      <c r="FI9" s="1501">
        <v>2998.8747499999999</v>
      </c>
      <c r="FJ9" s="1501">
        <v>1477.6019999999999</v>
      </c>
      <c r="FK9" s="1501">
        <v>624.1</v>
      </c>
      <c r="FL9" s="1501">
        <v>13.777000000000001</v>
      </c>
      <c r="FM9" s="1501"/>
      <c r="FN9" s="7">
        <f t="shared" si="10"/>
        <v>17279.927249999997</v>
      </c>
      <c r="FO9" s="196"/>
      <c r="FP9" s="1501"/>
      <c r="FQ9" s="1501"/>
      <c r="FR9" s="1501"/>
      <c r="FS9" s="1501"/>
      <c r="FT9" s="1501"/>
      <c r="FU9" s="1501"/>
      <c r="FV9" s="1501"/>
      <c r="FW9" s="1501"/>
      <c r="FX9" s="1501"/>
      <c r="FY9" s="1501"/>
      <c r="FZ9" s="1501"/>
      <c r="GA9" s="7">
        <f t="shared" si="11"/>
        <v>0</v>
      </c>
      <c r="GB9" s="196"/>
      <c r="GC9" s="1501"/>
      <c r="GD9" s="1501"/>
      <c r="GE9" s="1501"/>
      <c r="GF9" s="1501"/>
      <c r="GG9" s="1501"/>
      <c r="GH9" s="1501"/>
      <c r="GI9" s="1501"/>
      <c r="GJ9" s="1501"/>
      <c r="GK9" s="1501"/>
      <c r="GL9" s="1501"/>
      <c r="GM9" s="1501"/>
      <c r="GN9" s="7">
        <f t="shared" si="12"/>
        <v>0</v>
      </c>
      <c r="GO9" s="196"/>
      <c r="GP9" s="1501"/>
      <c r="GQ9" s="1501"/>
      <c r="GR9" s="1501"/>
      <c r="GS9" s="1501"/>
      <c r="GT9" s="1501"/>
      <c r="GU9" s="1501"/>
      <c r="GV9" s="1501"/>
      <c r="GW9" s="1501"/>
      <c r="GX9" s="1501"/>
      <c r="GY9" s="1501"/>
      <c r="GZ9" s="1501"/>
      <c r="HA9" s="7">
        <f t="shared" si="13"/>
        <v>0</v>
      </c>
      <c r="HB9" s="196"/>
      <c r="HC9" s="1501"/>
      <c r="HD9" s="1501"/>
      <c r="HE9" s="1501"/>
      <c r="HF9" s="1501"/>
      <c r="HG9" s="1501"/>
      <c r="HH9" s="1501"/>
      <c r="HI9" s="1501"/>
      <c r="HJ9" s="1501"/>
      <c r="HK9" s="1501"/>
      <c r="HL9" s="1501"/>
      <c r="HM9" s="1501"/>
      <c r="HN9" s="7">
        <f t="shared" si="14"/>
        <v>0</v>
      </c>
      <c r="HO9" s="196"/>
      <c r="HP9" s="1501"/>
      <c r="HQ9" s="1501"/>
      <c r="HR9" s="1501"/>
      <c r="HS9" s="1501"/>
      <c r="HT9" s="1501"/>
      <c r="HU9" s="1501"/>
      <c r="HV9" s="1501"/>
      <c r="HW9" s="1501"/>
      <c r="HX9" s="1501"/>
      <c r="HY9" s="1501"/>
      <c r="HZ9" s="1501"/>
      <c r="IA9" s="7">
        <f t="shared" si="15"/>
        <v>0</v>
      </c>
      <c r="IB9" s="196"/>
      <c r="IC9" s="1501"/>
      <c r="ID9" s="1501"/>
      <c r="IE9" s="1501"/>
      <c r="IF9" s="1501"/>
      <c r="IG9" s="1501"/>
      <c r="IH9" s="1501"/>
      <c r="II9" s="1501"/>
      <c r="IJ9" s="1501"/>
      <c r="IK9" s="1501"/>
      <c r="IL9" s="1501"/>
      <c r="IM9" s="1501"/>
      <c r="IN9" s="7">
        <f t="shared" si="16"/>
        <v>0</v>
      </c>
      <c r="IO9" s="196"/>
      <c r="IP9" s="1501"/>
      <c r="IQ9" s="1501"/>
      <c r="IR9" s="1501"/>
      <c r="IS9" s="1501"/>
      <c r="IT9" s="1501"/>
      <c r="IU9" s="1501"/>
      <c r="IV9" s="1501"/>
      <c r="IW9" s="1501"/>
      <c r="IX9" s="1501"/>
      <c r="IY9" s="1501"/>
      <c r="IZ9" s="1501"/>
      <c r="JA9" s="7">
        <f t="shared" si="17"/>
        <v>0</v>
      </c>
      <c r="JB9" s="196"/>
      <c r="JC9" s="1501"/>
      <c r="JD9" s="1501"/>
      <c r="JE9" s="1501"/>
      <c r="JF9" s="1501"/>
      <c r="JG9" s="1501"/>
      <c r="JH9" s="1501"/>
      <c r="JI9" s="1501"/>
      <c r="JJ9" s="1501"/>
      <c r="JK9" s="1501"/>
      <c r="JL9" s="1501"/>
      <c r="JM9" s="1501"/>
      <c r="JN9" s="7">
        <f t="shared" si="18"/>
        <v>0</v>
      </c>
      <c r="JO9"/>
      <c r="JP9" s="54" t="str">
        <f t="shared" si="19"/>
        <v/>
      </c>
      <c r="JQ9" s="64" t="str">
        <f t="shared" si="20"/>
        <v/>
      </c>
      <c r="JR9" s="20">
        <f t="shared" si="21"/>
        <v>0</v>
      </c>
      <c r="JS9" s="20">
        <f t="shared" si="22"/>
        <v>0</v>
      </c>
      <c r="JT9" s="1"/>
    </row>
    <row r="10" spans="1:280" s="105" customFormat="1" ht="13.9" customHeight="1" x14ac:dyDescent="0.2">
      <c r="A10" s="212" t="s">
        <v>376</v>
      </c>
      <c r="B10" s="196">
        <v>7700</v>
      </c>
      <c r="C10" s="1501"/>
      <c r="D10" s="1501">
        <v>3470</v>
      </c>
      <c r="E10" s="1501">
        <v>3470</v>
      </c>
      <c r="F10" s="1501">
        <v>150789</v>
      </c>
      <c r="G10" s="1501">
        <v>39862</v>
      </c>
      <c r="H10" s="1501">
        <v>155937</v>
      </c>
      <c r="I10" s="1501">
        <v>388353</v>
      </c>
      <c r="J10" s="1501">
        <v>573821</v>
      </c>
      <c r="K10" s="1501">
        <v>236497</v>
      </c>
      <c r="L10" s="1501">
        <v>145637</v>
      </c>
      <c r="M10" s="1501">
        <v>512226</v>
      </c>
      <c r="N10" s="7">
        <f t="shared" si="23"/>
        <v>2217762</v>
      </c>
      <c r="O10" s="196">
        <v>150060</v>
      </c>
      <c r="P10" s="1501">
        <v>36044</v>
      </c>
      <c r="Q10" s="1501">
        <v>68237</v>
      </c>
      <c r="R10" s="1501">
        <v>93294</v>
      </c>
      <c r="S10" s="1501">
        <v>166066</v>
      </c>
      <c r="T10" s="1501">
        <v>132278</v>
      </c>
      <c r="U10" s="1501">
        <v>232423</v>
      </c>
      <c r="V10" s="1501">
        <v>193971</v>
      </c>
      <c r="W10" s="1501">
        <v>261942</v>
      </c>
      <c r="X10" s="1501">
        <v>146453</v>
      </c>
      <c r="Y10" s="1501">
        <v>204740</v>
      </c>
      <c r="Z10" s="1501">
        <v>87180</v>
      </c>
      <c r="AA10" s="7">
        <f t="shared" si="4"/>
        <v>1772688</v>
      </c>
      <c r="AB10" s="196">
        <v>53911</v>
      </c>
      <c r="AC10" s="1501">
        <v>162035</v>
      </c>
      <c r="AD10" s="1501">
        <v>89351</v>
      </c>
      <c r="AE10" s="1501">
        <v>72870</v>
      </c>
      <c r="AF10" s="1501">
        <v>133293</v>
      </c>
      <c r="AG10" s="1501">
        <v>164772</v>
      </c>
      <c r="AH10" s="1501">
        <v>207674</v>
      </c>
      <c r="AI10" s="1501">
        <v>582922</v>
      </c>
      <c r="AJ10" s="1501">
        <v>355830</v>
      </c>
      <c r="AK10" s="1501">
        <v>254329</v>
      </c>
      <c r="AL10" s="1501">
        <v>117009</v>
      </c>
      <c r="AM10" s="1501">
        <v>179223</v>
      </c>
      <c r="AN10" s="7">
        <f t="shared" si="5"/>
        <v>2373219</v>
      </c>
      <c r="AO10" s="196">
        <v>67708</v>
      </c>
      <c r="AP10" s="1501">
        <v>24799</v>
      </c>
      <c r="AQ10" s="1501">
        <v>7986</v>
      </c>
      <c r="AR10" s="1501">
        <v>3828</v>
      </c>
      <c r="AS10" s="1501"/>
      <c r="AT10" s="1501">
        <v>25818</v>
      </c>
      <c r="AU10" s="1501"/>
      <c r="AV10" s="1501"/>
      <c r="AW10" s="1501">
        <v>5067</v>
      </c>
      <c r="AX10" s="1501">
        <v>39445</v>
      </c>
      <c r="AY10" s="1501">
        <v>784774</v>
      </c>
      <c r="AZ10" s="1501">
        <v>822778</v>
      </c>
      <c r="BA10" s="7">
        <f t="shared" si="6"/>
        <v>1782203</v>
      </c>
      <c r="BB10" s="196">
        <v>647541</v>
      </c>
      <c r="BC10" s="1501">
        <v>603615</v>
      </c>
      <c r="BD10" s="1501">
        <v>694148</v>
      </c>
      <c r="BE10" s="1501">
        <v>396805</v>
      </c>
      <c r="BF10" s="1501">
        <v>642732</v>
      </c>
      <c r="BG10" s="1501">
        <v>867641</v>
      </c>
      <c r="BH10" s="1501">
        <v>1322094</v>
      </c>
      <c r="BI10" s="1501">
        <v>1560036</v>
      </c>
      <c r="BJ10" s="1501">
        <v>1466420</v>
      </c>
      <c r="BK10" s="1501">
        <v>2131516</v>
      </c>
      <c r="BL10" s="1501">
        <v>2458181</v>
      </c>
      <c r="BM10" s="1501">
        <v>2269669</v>
      </c>
      <c r="BN10" s="7">
        <f t="shared" si="24"/>
        <v>15060398</v>
      </c>
      <c r="BO10" s="196">
        <v>2391380</v>
      </c>
      <c r="BP10" s="1501">
        <v>1798147</v>
      </c>
      <c r="BQ10" s="1501">
        <v>2588693</v>
      </c>
      <c r="BR10" s="1501">
        <v>2527572</v>
      </c>
      <c r="BS10" s="1501">
        <v>1571036</v>
      </c>
      <c r="BT10" s="1501">
        <v>1905969</v>
      </c>
      <c r="BU10" s="1501">
        <v>2687144</v>
      </c>
      <c r="BV10" s="1501">
        <v>3308381</v>
      </c>
      <c r="BW10" s="1501">
        <v>3578075</v>
      </c>
      <c r="BX10" s="1501">
        <v>3111388</v>
      </c>
      <c r="BY10" s="1501">
        <v>2453983</v>
      </c>
      <c r="BZ10" s="1501">
        <v>295910</v>
      </c>
      <c r="CA10" s="7">
        <f t="shared" si="7"/>
        <v>28217678</v>
      </c>
      <c r="CB10" s="196">
        <v>5610</v>
      </c>
      <c r="CC10" s="1501">
        <v>283638</v>
      </c>
      <c r="CD10" s="1501"/>
      <c r="CE10" s="1501"/>
      <c r="CF10" s="1501"/>
      <c r="CG10" s="1501"/>
      <c r="CH10" s="1501"/>
      <c r="CI10" s="1501"/>
      <c r="CJ10" s="1501"/>
      <c r="CK10" s="1501"/>
      <c r="CL10" s="1501"/>
      <c r="CM10" s="1501"/>
      <c r="CN10" s="7">
        <f t="shared" si="0"/>
        <v>289248</v>
      </c>
      <c r="CO10" s="196"/>
      <c r="CP10" s="1501"/>
      <c r="CQ10" s="1501"/>
      <c r="CR10" s="1501"/>
      <c r="CS10" s="1501"/>
      <c r="CT10" s="1501"/>
      <c r="CU10" s="1501"/>
      <c r="CV10" s="1501">
        <v>1505</v>
      </c>
      <c r="CW10" s="1501">
        <v>2930</v>
      </c>
      <c r="CX10" s="1501"/>
      <c r="CY10" s="1501">
        <v>7011</v>
      </c>
      <c r="CZ10" s="1501"/>
      <c r="DA10" s="7">
        <f t="shared" si="1"/>
        <v>11446</v>
      </c>
      <c r="DB10" s="196"/>
      <c r="DC10" s="1501"/>
      <c r="DD10" s="1501"/>
      <c r="DE10" s="1501"/>
      <c r="DF10" s="1501">
        <v>1147</v>
      </c>
      <c r="DG10" s="1501"/>
      <c r="DH10" s="1501"/>
      <c r="DI10" s="1501"/>
      <c r="DJ10" s="1501"/>
      <c r="DK10" s="1501"/>
      <c r="DL10" s="1501">
        <v>625</v>
      </c>
      <c r="DM10" s="1501"/>
      <c r="DN10" s="7">
        <f t="shared" si="2"/>
        <v>1772</v>
      </c>
      <c r="DO10" s="196"/>
      <c r="DP10" s="1501"/>
      <c r="DQ10" s="1501"/>
      <c r="DR10" s="1501"/>
      <c r="DS10" s="1501"/>
      <c r="DT10" s="1501"/>
      <c r="DU10" s="1501"/>
      <c r="DV10" s="1501"/>
      <c r="DW10" s="1501"/>
      <c r="DX10" s="1501">
        <v>449</v>
      </c>
      <c r="DY10" s="1501"/>
      <c r="DZ10" s="1501"/>
      <c r="EA10" s="7">
        <f t="shared" si="3"/>
        <v>449</v>
      </c>
      <c r="EB10" s="196"/>
      <c r="EC10" s="1501"/>
      <c r="ED10" s="1501"/>
      <c r="EE10" s="1501"/>
      <c r="EF10" s="1501"/>
      <c r="EG10" s="1501"/>
      <c r="EH10" s="1501"/>
      <c r="EI10" s="1501"/>
      <c r="EJ10" s="1501"/>
      <c r="EK10" s="1501"/>
      <c r="EL10" s="1501"/>
      <c r="EM10" s="1501">
        <v>955.60859565950091</v>
      </c>
      <c r="EN10" s="7">
        <f t="shared" si="8"/>
        <v>955.60859565950091</v>
      </c>
      <c r="EO10" s="196">
        <v>1376.031572278001</v>
      </c>
      <c r="EP10" s="1501">
        <v>1408.5035</v>
      </c>
      <c r="EQ10" s="1501">
        <v>1881.8284312765002</v>
      </c>
      <c r="ER10" s="1501">
        <v>1761.7495000000001</v>
      </c>
      <c r="ES10" s="1501">
        <v>1518.5195000000003</v>
      </c>
      <c r="ET10" s="1501">
        <v>735.23374999999999</v>
      </c>
      <c r="EU10" s="1501">
        <v>1242.0532499999999</v>
      </c>
      <c r="EV10" s="1501">
        <v>1362.0057499999998</v>
      </c>
      <c r="EW10" s="1501">
        <v>1734.7371874999999</v>
      </c>
      <c r="EX10" s="1501">
        <v>1767.3327070312503</v>
      </c>
      <c r="EY10" s="1501">
        <v>1909.0767499999999</v>
      </c>
      <c r="EZ10" s="1501">
        <v>1939.2918689452497</v>
      </c>
      <c r="FA10" s="7">
        <f t="shared" si="9"/>
        <v>18636.363767030998</v>
      </c>
      <c r="FB10" s="196">
        <v>1869.8593024999998</v>
      </c>
      <c r="FC10" s="1501">
        <v>1528.3400000000001</v>
      </c>
      <c r="FD10" s="1501">
        <v>1714.7384500000001</v>
      </c>
      <c r="FE10" s="1501">
        <v>1608.7760000000001</v>
      </c>
      <c r="FF10" s="1501">
        <v>1605.299</v>
      </c>
      <c r="FG10" s="1501">
        <v>1586.0839999999998</v>
      </c>
      <c r="FH10" s="1501">
        <v>1431.0679999999995</v>
      </c>
      <c r="FI10" s="1501">
        <v>1680.2464249999998</v>
      </c>
      <c r="FJ10" s="1501">
        <v>1537.0520000000001</v>
      </c>
      <c r="FK10" s="1501">
        <v>1244.8210000000001</v>
      </c>
      <c r="FL10" s="1501">
        <v>787.03699999999992</v>
      </c>
      <c r="FM10" s="1501"/>
      <c r="FN10" s="7">
        <f t="shared" si="10"/>
        <v>16593.321177499995</v>
      </c>
      <c r="FO10" s="196"/>
      <c r="FP10" s="1501"/>
      <c r="FQ10" s="1501"/>
      <c r="FR10" s="1501"/>
      <c r="FS10" s="1501"/>
      <c r="FT10" s="1501"/>
      <c r="FU10" s="1501"/>
      <c r="FV10" s="1501"/>
      <c r="FW10" s="1501"/>
      <c r="FX10" s="1501"/>
      <c r="FY10" s="1501"/>
      <c r="FZ10" s="1501"/>
      <c r="GA10" s="7">
        <f t="shared" si="11"/>
        <v>0</v>
      </c>
      <c r="GB10" s="196"/>
      <c r="GC10" s="1501"/>
      <c r="GD10" s="1501"/>
      <c r="GE10" s="1501"/>
      <c r="GF10" s="1501"/>
      <c r="GG10" s="1501"/>
      <c r="GH10" s="1501"/>
      <c r="GI10" s="1501"/>
      <c r="GJ10" s="1501"/>
      <c r="GK10" s="1501"/>
      <c r="GL10" s="1501"/>
      <c r="GM10" s="1501"/>
      <c r="GN10" s="7">
        <f t="shared" si="12"/>
        <v>0</v>
      </c>
      <c r="GO10" s="196"/>
      <c r="GP10" s="1501"/>
      <c r="GQ10" s="1501"/>
      <c r="GR10" s="1501"/>
      <c r="GS10" s="1501"/>
      <c r="GT10" s="1501"/>
      <c r="GU10" s="1501"/>
      <c r="GV10" s="1501"/>
      <c r="GW10" s="1501"/>
      <c r="GX10" s="1501"/>
      <c r="GY10" s="1501"/>
      <c r="GZ10" s="1501"/>
      <c r="HA10" s="7">
        <f t="shared" si="13"/>
        <v>0</v>
      </c>
      <c r="HB10" s="196"/>
      <c r="HC10" s="1501"/>
      <c r="HD10" s="1501"/>
      <c r="HE10" s="1501"/>
      <c r="HF10" s="1501"/>
      <c r="HG10" s="1501"/>
      <c r="HH10" s="1501"/>
      <c r="HI10" s="1501"/>
      <c r="HJ10" s="1501"/>
      <c r="HK10" s="1501"/>
      <c r="HL10" s="1501"/>
      <c r="HM10" s="1501"/>
      <c r="HN10" s="7">
        <f t="shared" si="14"/>
        <v>0</v>
      </c>
      <c r="HO10" s="196"/>
      <c r="HP10" s="1501"/>
      <c r="HQ10" s="1501"/>
      <c r="HR10" s="1501"/>
      <c r="HS10" s="1501"/>
      <c r="HT10" s="1501"/>
      <c r="HU10" s="1501"/>
      <c r="HV10" s="1501"/>
      <c r="HW10" s="1501"/>
      <c r="HX10" s="1501"/>
      <c r="HY10" s="1501"/>
      <c r="HZ10" s="1501"/>
      <c r="IA10" s="7">
        <f t="shared" si="15"/>
        <v>0</v>
      </c>
      <c r="IB10" s="196"/>
      <c r="IC10" s="1501"/>
      <c r="ID10" s="1501"/>
      <c r="IE10" s="1501"/>
      <c r="IF10" s="1501"/>
      <c r="IG10" s="1501"/>
      <c r="IH10" s="1501"/>
      <c r="II10" s="1501"/>
      <c r="IJ10" s="1501"/>
      <c r="IK10" s="1501"/>
      <c r="IL10" s="1501"/>
      <c r="IM10" s="1501"/>
      <c r="IN10" s="7">
        <f t="shared" si="16"/>
        <v>0</v>
      </c>
      <c r="IO10" s="196"/>
      <c r="IP10" s="1501"/>
      <c r="IQ10" s="1501"/>
      <c r="IR10" s="1501"/>
      <c r="IS10" s="1501"/>
      <c r="IT10" s="1501"/>
      <c r="IU10" s="1501"/>
      <c r="IV10" s="1501"/>
      <c r="IW10" s="1501"/>
      <c r="IX10" s="1501"/>
      <c r="IY10" s="1501"/>
      <c r="IZ10" s="1501"/>
      <c r="JA10" s="7">
        <f t="shared" si="17"/>
        <v>0</v>
      </c>
      <c r="JB10" s="196"/>
      <c r="JC10" s="1501"/>
      <c r="JD10" s="1501"/>
      <c r="JE10" s="1501"/>
      <c r="JF10" s="1501"/>
      <c r="JG10" s="1501"/>
      <c r="JH10" s="1501"/>
      <c r="JI10" s="1501"/>
      <c r="JJ10" s="1501"/>
      <c r="JK10" s="1501"/>
      <c r="JL10" s="1501"/>
      <c r="JM10" s="1501"/>
      <c r="JN10" s="7">
        <f t="shared" si="18"/>
        <v>0</v>
      </c>
      <c r="JO10"/>
      <c r="JP10" s="54" t="str">
        <f t="shared" si="19"/>
        <v/>
      </c>
      <c r="JQ10" s="64" t="str">
        <f t="shared" si="20"/>
        <v/>
      </c>
      <c r="JR10" s="20">
        <f t="shared" si="21"/>
        <v>0</v>
      </c>
      <c r="JS10" s="20">
        <f t="shared" si="22"/>
        <v>0</v>
      </c>
    </row>
    <row r="11" spans="1:280" s="105" customFormat="1" ht="13.9" customHeight="1" x14ac:dyDescent="0.2">
      <c r="A11" s="212" t="s">
        <v>377</v>
      </c>
      <c r="B11" s="196"/>
      <c r="C11" s="1501"/>
      <c r="D11" s="1501"/>
      <c r="E11" s="1501"/>
      <c r="F11" s="1501"/>
      <c r="G11" s="1501"/>
      <c r="H11" s="1501"/>
      <c r="I11" s="1501"/>
      <c r="J11" s="1501"/>
      <c r="K11" s="1501"/>
      <c r="L11" s="1501"/>
      <c r="M11" s="1501"/>
      <c r="N11" s="7">
        <f t="shared" si="23"/>
        <v>0</v>
      </c>
      <c r="O11" s="196"/>
      <c r="P11" s="1501"/>
      <c r="Q11" s="1501"/>
      <c r="R11" s="1501"/>
      <c r="S11" s="1501"/>
      <c r="T11" s="1501"/>
      <c r="U11" s="1501"/>
      <c r="V11" s="1501"/>
      <c r="W11" s="1501"/>
      <c r="X11" s="1501"/>
      <c r="Y11" s="1501"/>
      <c r="Z11" s="1501"/>
      <c r="AA11" s="7">
        <f t="shared" si="4"/>
        <v>0</v>
      </c>
      <c r="AB11" s="196"/>
      <c r="AC11" s="1501"/>
      <c r="AD11" s="1501"/>
      <c r="AE11" s="1501"/>
      <c r="AF11" s="1501"/>
      <c r="AG11" s="1501"/>
      <c r="AH11" s="1501"/>
      <c r="AI11" s="1501"/>
      <c r="AJ11" s="1501"/>
      <c r="AK11" s="1501"/>
      <c r="AL11" s="1501"/>
      <c r="AM11" s="1501"/>
      <c r="AN11" s="7">
        <f t="shared" si="5"/>
        <v>0</v>
      </c>
      <c r="AO11" s="196"/>
      <c r="AP11" s="1501"/>
      <c r="AQ11" s="1501"/>
      <c r="AR11" s="1501"/>
      <c r="AS11" s="1501"/>
      <c r="AT11" s="1501"/>
      <c r="AU11" s="1501"/>
      <c r="AV11" s="1501"/>
      <c r="AW11" s="1501"/>
      <c r="AX11" s="1501"/>
      <c r="AY11" s="1501"/>
      <c r="AZ11" s="1501"/>
      <c r="BA11" s="7">
        <f t="shared" si="6"/>
        <v>0</v>
      </c>
      <c r="BB11" s="196"/>
      <c r="BC11" s="1501"/>
      <c r="BD11" s="1501"/>
      <c r="BE11" s="1501"/>
      <c r="BF11" s="1501"/>
      <c r="BG11" s="1501"/>
      <c r="BH11" s="1501"/>
      <c r="BI11" s="1501"/>
      <c r="BJ11" s="1501"/>
      <c r="BK11" s="1501"/>
      <c r="BL11" s="1501"/>
      <c r="BM11" s="1501"/>
      <c r="BN11" s="7">
        <f t="shared" si="24"/>
        <v>0</v>
      </c>
      <c r="BO11" s="196"/>
      <c r="BP11" s="1501"/>
      <c r="BQ11" s="1501"/>
      <c r="BR11" s="1501"/>
      <c r="BS11" s="1501"/>
      <c r="BT11" s="1501"/>
      <c r="BU11" s="1501"/>
      <c r="BV11" s="1501"/>
      <c r="BW11" s="1501"/>
      <c r="BX11" s="1501"/>
      <c r="BY11" s="1501"/>
      <c r="BZ11" s="1501"/>
      <c r="CA11" s="7">
        <f t="shared" si="7"/>
        <v>0</v>
      </c>
      <c r="CB11" s="196"/>
      <c r="CC11" s="1501"/>
      <c r="CD11" s="1501"/>
      <c r="CE11" s="1501"/>
      <c r="CF11" s="1501"/>
      <c r="CG11" s="1501"/>
      <c r="CH11" s="1501"/>
      <c r="CI11" s="1501"/>
      <c r="CJ11" s="1501"/>
      <c r="CK11" s="1501"/>
      <c r="CL11" s="1501"/>
      <c r="CM11" s="1501"/>
      <c r="CN11" s="7">
        <f t="shared" si="0"/>
        <v>0</v>
      </c>
      <c r="CO11" s="196"/>
      <c r="CP11" s="1501"/>
      <c r="CQ11" s="1501"/>
      <c r="CR11" s="1501"/>
      <c r="CS11" s="1501"/>
      <c r="CT11" s="1501"/>
      <c r="CU11" s="1501"/>
      <c r="CV11" s="1501"/>
      <c r="CW11" s="1501"/>
      <c r="CX11" s="1501"/>
      <c r="CY11" s="1501"/>
      <c r="CZ11" s="1501"/>
      <c r="DA11" s="7">
        <f t="shared" si="1"/>
        <v>0</v>
      </c>
      <c r="DB11" s="196"/>
      <c r="DC11" s="1501"/>
      <c r="DD11" s="1501"/>
      <c r="DE11" s="1501"/>
      <c r="DF11" s="1501"/>
      <c r="DG11" s="1501"/>
      <c r="DH11" s="1501"/>
      <c r="DI11" s="1501"/>
      <c r="DJ11" s="1501"/>
      <c r="DK11" s="1501"/>
      <c r="DL11" s="1501"/>
      <c r="DM11" s="1501"/>
      <c r="DN11" s="7">
        <f t="shared" si="2"/>
        <v>0</v>
      </c>
      <c r="DO11" s="196"/>
      <c r="DP11" s="1501"/>
      <c r="DQ11" s="1501"/>
      <c r="DR11" s="1501"/>
      <c r="DS11" s="1501"/>
      <c r="DT11" s="1501"/>
      <c r="DU11" s="1501"/>
      <c r="DV11" s="1501"/>
      <c r="DW11" s="1501"/>
      <c r="DX11" s="1501"/>
      <c r="DY11" s="1501"/>
      <c r="DZ11" s="1501"/>
      <c r="EA11" s="7">
        <f t="shared" si="3"/>
        <v>0</v>
      </c>
      <c r="EB11" s="196"/>
      <c r="EC11" s="1501"/>
      <c r="ED11" s="1501"/>
      <c r="EE11" s="1501"/>
      <c r="EF11" s="1501"/>
      <c r="EG11" s="1501"/>
      <c r="EH11" s="1501"/>
      <c r="EI11" s="1501"/>
      <c r="EJ11" s="1501"/>
      <c r="EK11" s="1501"/>
      <c r="EL11" s="1501"/>
      <c r="EM11" s="1501"/>
      <c r="EN11" s="7">
        <f t="shared" si="8"/>
        <v>0</v>
      </c>
      <c r="EO11" s="196"/>
      <c r="EP11" s="1501"/>
      <c r="EQ11" s="1501"/>
      <c r="ER11" s="1501"/>
      <c r="ES11" s="1501"/>
      <c r="ET11" s="1501"/>
      <c r="EU11" s="1501"/>
      <c r="EV11" s="1501"/>
      <c r="EW11" s="1501"/>
      <c r="EX11" s="1501"/>
      <c r="EY11" s="1501"/>
      <c r="EZ11" s="1501"/>
      <c r="FA11" s="7">
        <f t="shared" si="9"/>
        <v>0</v>
      </c>
      <c r="FB11" s="196"/>
      <c r="FC11" s="1501"/>
      <c r="FD11" s="1501"/>
      <c r="FE11" s="1501"/>
      <c r="FF11" s="1501"/>
      <c r="FG11" s="1501"/>
      <c r="FH11" s="1501"/>
      <c r="FI11" s="1501"/>
      <c r="FJ11" s="1501"/>
      <c r="FK11" s="1501"/>
      <c r="FL11" s="1501"/>
      <c r="FM11" s="1501"/>
      <c r="FN11" s="7">
        <f t="shared" si="10"/>
        <v>0</v>
      </c>
      <c r="FO11" s="196"/>
      <c r="FP11" s="1501"/>
      <c r="FQ11" s="1501"/>
      <c r="FR11" s="1501"/>
      <c r="FS11" s="1501"/>
      <c r="FT11" s="1501"/>
      <c r="FU11" s="1501"/>
      <c r="FV11" s="1501"/>
      <c r="FW11" s="1501"/>
      <c r="FX11" s="1501"/>
      <c r="FY11" s="1501"/>
      <c r="FZ11" s="1501"/>
      <c r="GA11" s="7">
        <f t="shared" si="11"/>
        <v>0</v>
      </c>
      <c r="GB11" s="196"/>
      <c r="GC11" s="1501"/>
      <c r="GD11" s="1501"/>
      <c r="GE11" s="1501"/>
      <c r="GF11" s="1501"/>
      <c r="GG11" s="1501"/>
      <c r="GH11" s="1501"/>
      <c r="GI11" s="1501"/>
      <c r="GJ11" s="1501"/>
      <c r="GK11" s="1501"/>
      <c r="GL11" s="1501"/>
      <c r="GM11" s="1501"/>
      <c r="GN11" s="7">
        <f t="shared" si="12"/>
        <v>0</v>
      </c>
      <c r="GO11" s="196"/>
      <c r="GP11" s="1501"/>
      <c r="GQ11" s="1501"/>
      <c r="GR11" s="1501"/>
      <c r="GS11" s="1501"/>
      <c r="GT11" s="1501"/>
      <c r="GU11" s="1501"/>
      <c r="GV11" s="1501"/>
      <c r="GW11" s="1501"/>
      <c r="GX11" s="1501"/>
      <c r="GY11" s="1501"/>
      <c r="GZ11" s="1501"/>
      <c r="HA11" s="7">
        <f t="shared" si="13"/>
        <v>0</v>
      </c>
      <c r="HB11" s="196"/>
      <c r="HC11" s="1501"/>
      <c r="HD11" s="1501"/>
      <c r="HE11" s="1501"/>
      <c r="HF11" s="1501"/>
      <c r="HG11" s="1501"/>
      <c r="HH11" s="1501"/>
      <c r="HI11" s="1501"/>
      <c r="HJ11" s="1501"/>
      <c r="HK11" s="1501"/>
      <c r="HL11" s="1501"/>
      <c r="HM11" s="1501"/>
      <c r="HN11" s="7">
        <f t="shared" si="14"/>
        <v>0</v>
      </c>
      <c r="HO11" s="196"/>
      <c r="HP11" s="1501"/>
      <c r="HQ11" s="1501"/>
      <c r="HR11" s="1501"/>
      <c r="HS11" s="1501"/>
      <c r="HT11" s="1501"/>
      <c r="HU11" s="1501"/>
      <c r="HV11" s="1501"/>
      <c r="HW11" s="1501"/>
      <c r="HX11" s="1501"/>
      <c r="HY11" s="1501"/>
      <c r="HZ11" s="1501"/>
      <c r="IA11" s="7">
        <f t="shared" si="15"/>
        <v>0</v>
      </c>
      <c r="IB11" s="196"/>
      <c r="IC11" s="1501"/>
      <c r="ID11" s="1501"/>
      <c r="IE11" s="1501"/>
      <c r="IF11" s="1501"/>
      <c r="IG11" s="1501"/>
      <c r="IH11" s="1501"/>
      <c r="II11" s="1501"/>
      <c r="IJ11" s="1501"/>
      <c r="IK11" s="1501"/>
      <c r="IL11" s="1501"/>
      <c r="IM11" s="1501"/>
      <c r="IN11" s="7">
        <f t="shared" si="16"/>
        <v>0</v>
      </c>
      <c r="IO11" s="196"/>
      <c r="IP11" s="1501"/>
      <c r="IQ11" s="1501"/>
      <c r="IR11" s="1501"/>
      <c r="IS11" s="1501"/>
      <c r="IT11" s="1501"/>
      <c r="IU11" s="1501"/>
      <c r="IV11" s="1501"/>
      <c r="IW11" s="1501"/>
      <c r="IX11" s="1501"/>
      <c r="IY11" s="1501"/>
      <c r="IZ11" s="1501"/>
      <c r="JA11" s="7">
        <f t="shared" si="17"/>
        <v>0</v>
      </c>
      <c r="JB11" s="196"/>
      <c r="JC11" s="1501"/>
      <c r="JD11" s="1501"/>
      <c r="JE11" s="1501"/>
      <c r="JF11" s="1501"/>
      <c r="JG11" s="1501"/>
      <c r="JH11" s="1501"/>
      <c r="JI11" s="1501"/>
      <c r="JJ11" s="1501"/>
      <c r="JK11" s="1501"/>
      <c r="JL11" s="1501"/>
      <c r="JM11" s="1501"/>
      <c r="JN11" s="7">
        <f t="shared" si="18"/>
        <v>0</v>
      </c>
      <c r="JO11"/>
      <c r="JP11" s="22" t="str">
        <f t="shared" si="19"/>
        <v/>
      </c>
      <c r="JQ11" s="64" t="str">
        <f t="shared" si="20"/>
        <v/>
      </c>
      <c r="JR11" s="20">
        <f t="shared" si="21"/>
        <v>0</v>
      </c>
      <c r="JS11" s="20">
        <f t="shared" si="22"/>
        <v>0</v>
      </c>
    </row>
    <row r="12" spans="1:280" s="105" customFormat="1" ht="13.9" customHeight="1" x14ac:dyDescent="0.2">
      <c r="A12" s="212" t="s">
        <v>378</v>
      </c>
      <c r="B12" s="196">
        <v>998</v>
      </c>
      <c r="C12" s="1501"/>
      <c r="D12" s="1501">
        <v>676</v>
      </c>
      <c r="E12" s="1501">
        <v>3264</v>
      </c>
      <c r="F12" s="1501">
        <v>26505</v>
      </c>
      <c r="G12" s="1501">
        <v>24709</v>
      </c>
      <c r="H12" s="1501">
        <v>6142</v>
      </c>
      <c r="I12" s="1501">
        <v>89739</v>
      </c>
      <c r="J12" s="1501">
        <v>71006</v>
      </c>
      <c r="K12" s="1501">
        <v>38865</v>
      </c>
      <c r="L12" s="1501">
        <v>37669</v>
      </c>
      <c r="M12" s="1501">
        <v>77757</v>
      </c>
      <c r="N12" s="7">
        <f t="shared" si="23"/>
        <v>377330</v>
      </c>
      <c r="O12" s="196">
        <v>17497</v>
      </c>
      <c r="P12" s="1501">
        <v>4112</v>
      </c>
      <c r="Q12" s="1501">
        <v>3750</v>
      </c>
      <c r="R12" s="1501">
        <v>1302</v>
      </c>
      <c r="S12" s="1501">
        <v>8049</v>
      </c>
      <c r="T12" s="1501">
        <v>9790</v>
      </c>
      <c r="U12" s="1501">
        <v>15382</v>
      </c>
      <c r="V12" s="1501">
        <v>23611</v>
      </c>
      <c r="W12" s="1501"/>
      <c r="X12" s="1501"/>
      <c r="Y12" s="1501"/>
      <c r="Z12" s="1501"/>
      <c r="AA12" s="7">
        <f t="shared" si="4"/>
        <v>83493</v>
      </c>
      <c r="AB12" s="196"/>
      <c r="AC12" s="1501"/>
      <c r="AD12" s="1501"/>
      <c r="AE12" s="1501"/>
      <c r="AF12" s="1501"/>
      <c r="AG12" s="1501"/>
      <c r="AH12" s="1501">
        <v>13353</v>
      </c>
      <c r="AI12" s="1501">
        <v>214024</v>
      </c>
      <c r="AJ12" s="1501">
        <v>185496</v>
      </c>
      <c r="AK12" s="1501">
        <v>151408</v>
      </c>
      <c r="AL12" s="1501">
        <v>96902</v>
      </c>
      <c r="AM12" s="1501">
        <v>64243</v>
      </c>
      <c r="AN12" s="7">
        <f t="shared" si="5"/>
        <v>725426</v>
      </c>
      <c r="AO12" s="196">
        <v>12353</v>
      </c>
      <c r="AP12" s="1501">
        <v>5951</v>
      </c>
      <c r="AQ12" s="1501">
        <v>2391</v>
      </c>
      <c r="AR12" s="1501">
        <v>1529</v>
      </c>
      <c r="AS12" s="1501">
        <v>16785</v>
      </c>
      <c r="AT12" s="1501">
        <v>54985</v>
      </c>
      <c r="AU12" s="1501">
        <v>34541</v>
      </c>
      <c r="AV12" s="1501">
        <v>199473</v>
      </c>
      <c r="AW12" s="1501">
        <v>109690</v>
      </c>
      <c r="AX12" s="1501">
        <v>90893</v>
      </c>
      <c r="AY12" s="1501">
        <v>22991</v>
      </c>
      <c r="AZ12" s="1501">
        <v>75977</v>
      </c>
      <c r="BA12" s="7">
        <f t="shared" si="6"/>
        <v>627559</v>
      </c>
      <c r="BB12" s="196">
        <v>32551</v>
      </c>
      <c r="BC12" s="1501">
        <v>41260</v>
      </c>
      <c r="BD12" s="1501">
        <v>64732</v>
      </c>
      <c r="BE12" s="1501">
        <v>27552</v>
      </c>
      <c r="BF12" s="1501">
        <v>53532</v>
      </c>
      <c r="BG12" s="1501">
        <v>61618</v>
      </c>
      <c r="BH12" s="1501">
        <v>89333</v>
      </c>
      <c r="BI12" s="1501">
        <v>164863</v>
      </c>
      <c r="BJ12" s="1501">
        <v>61804</v>
      </c>
      <c r="BK12" s="1501">
        <v>107722</v>
      </c>
      <c r="BL12" s="1501">
        <v>142812</v>
      </c>
      <c r="BM12" s="1501">
        <v>185493</v>
      </c>
      <c r="BN12" s="7">
        <f t="shared" si="24"/>
        <v>1033272</v>
      </c>
      <c r="BO12" s="196">
        <v>164090</v>
      </c>
      <c r="BP12" s="1501">
        <v>79259</v>
      </c>
      <c r="BQ12" s="1501">
        <v>90258</v>
      </c>
      <c r="BR12" s="1501">
        <v>44394</v>
      </c>
      <c r="BS12" s="1501">
        <v>36442</v>
      </c>
      <c r="BT12" s="1501"/>
      <c r="BU12" s="1501"/>
      <c r="BV12" s="1501"/>
      <c r="BW12" s="1501"/>
      <c r="BX12" s="1501">
        <v>35439</v>
      </c>
      <c r="BY12" s="1501">
        <v>105035</v>
      </c>
      <c r="BZ12" s="1501">
        <v>11881</v>
      </c>
      <c r="CA12" s="7">
        <f t="shared" si="7"/>
        <v>566798</v>
      </c>
      <c r="CB12" s="196">
        <v>302</v>
      </c>
      <c r="CC12" s="1501">
        <v>4332</v>
      </c>
      <c r="CD12" s="1501"/>
      <c r="CE12" s="1501"/>
      <c r="CF12" s="1501"/>
      <c r="CG12" s="1501"/>
      <c r="CH12" s="1501"/>
      <c r="CI12" s="1501">
        <v>40120</v>
      </c>
      <c r="CJ12" s="1501">
        <v>7869</v>
      </c>
      <c r="CK12" s="1501">
        <v>2362</v>
      </c>
      <c r="CL12" s="1501"/>
      <c r="CM12" s="1501"/>
      <c r="CN12" s="7">
        <f t="shared" si="0"/>
        <v>54985</v>
      </c>
      <c r="CO12" s="196"/>
      <c r="CP12" s="1501">
        <v>11712</v>
      </c>
      <c r="CQ12" s="1501"/>
      <c r="CR12" s="1501"/>
      <c r="CS12" s="1501"/>
      <c r="CT12" s="1501"/>
      <c r="CU12" s="1501"/>
      <c r="CV12" s="1501"/>
      <c r="CW12" s="1501"/>
      <c r="CX12" s="1501"/>
      <c r="CY12" s="1501"/>
      <c r="CZ12" s="1501"/>
      <c r="DA12" s="7">
        <f t="shared" si="1"/>
        <v>11712</v>
      </c>
      <c r="DB12" s="196"/>
      <c r="DC12" s="1501"/>
      <c r="DD12" s="1501"/>
      <c r="DE12" s="1501"/>
      <c r="DF12" s="1501"/>
      <c r="DG12" s="1501"/>
      <c r="DH12" s="1501"/>
      <c r="DI12" s="1501"/>
      <c r="DJ12" s="1501"/>
      <c r="DK12" s="1501"/>
      <c r="DL12" s="1501"/>
      <c r="DM12" s="1501"/>
      <c r="DN12" s="7">
        <f t="shared" si="2"/>
        <v>0</v>
      </c>
      <c r="DO12" s="196"/>
      <c r="DP12" s="1501"/>
      <c r="DQ12" s="1501"/>
      <c r="DR12" s="1501"/>
      <c r="DS12" s="1501"/>
      <c r="DT12" s="1501"/>
      <c r="DU12" s="1501"/>
      <c r="DV12" s="1501"/>
      <c r="DW12" s="1501"/>
      <c r="DX12" s="1501"/>
      <c r="DY12" s="1501"/>
      <c r="DZ12" s="1501"/>
      <c r="EA12" s="7">
        <f t="shared" si="3"/>
        <v>0</v>
      </c>
      <c r="EB12" s="196"/>
      <c r="EC12" s="1501"/>
      <c r="ED12" s="1501"/>
      <c r="EE12" s="1501"/>
      <c r="EF12" s="1501"/>
      <c r="EG12" s="1501"/>
      <c r="EH12" s="1501"/>
      <c r="EI12" s="1501"/>
      <c r="EJ12" s="1501"/>
      <c r="EK12" s="1501"/>
      <c r="EL12" s="1501"/>
      <c r="EM12" s="1501"/>
      <c r="EN12" s="7">
        <f t="shared" si="8"/>
        <v>0</v>
      </c>
      <c r="EO12" s="196"/>
      <c r="EP12" s="1501"/>
      <c r="EQ12" s="1501"/>
      <c r="ER12" s="1501"/>
      <c r="ES12" s="1501"/>
      <c r="ET12" s="1501"/>
      <c r="EU12" s="1501"/>
      <c r="EV12" s="1501"/>
      <c r="EW12" s="1501"/>
      <c r="EX12" s="1501"/>
      <c r="EY12" s="1501"/>
      <c r="EZ12" s="1501"/>
      <c r="FA12" s="7">
        <f t="shared" si="9"/>
        <v>0</v>
      </c>
      <c r="FB12" s="196"/>
      <c r="FC12" s="1501"/>
      <c r="FD12" s="1501"/>
      <c r="FE12" s="1501"/>
      <c r="FF12" s="1501"/>
      <c r="FG12" s="1501"/>
      <c r="FH12" s="1501"/>
      <c r="FI12" s="1501"/>
      <c r="FJ12" s="1501"/>
      <c r="FK12" s="1501"/>
      <c r="FL12" s="1501"/>
      <c r="FM12" s="1501"/>
      <c r="FN12" s="7">
        <f t="shared" si="10"/>
        <v>0</v>
      </c>
      <c r="FO12" s="196"/>
      <c r="FP12" s="1501"/>
      <c r="FQ12" s="1501"/>
      <c r="FR12" s="1501"/>
      <c r="FS12" s="1501"/>
      <c r="FT12" s="1501"/>
      <c r="FU12" s="1501"/>
      <c r="FV12" s="1501"/>
      <c r="FW12" s="1501"/>
      <c r="FX12" s="1501"/>
      <c r="FY12" s="1501"/>
      <c r="FZ12" s="1501"/>
      <c r="GA12" s="7">
        <f t="shared" si="11"/>
        <v>0</v>
      </c>
      <c r="GB12" s="196"/>
      <c r="GC12" s="1501"/>
      <c r="GD12" s="1501"/>
      <c r="GE12" s="1501"/>
      <c r="GF12" s="1501"/>
      <c r="GG12" s="1501"/>
      <c r="GH12" s="1501"/>
      <c r="GI12" s="1501"/>
      <c r="GJ12" s="1501"/>
      <c r="GK12" s="1501"/>
      <c r="GL12" s="1501"/>
      <c r="GM12" s="1501"/>
      <c r="GN12" s="7">
        <f t="shared" si="12"/>
        <v>0</v>
      </c>
      <c r="GO12" s="196"/>
      <c r="GP12" s="1501"/>
      <c r="GQ12" s="1501"/>
      <c r="GR12" s="1501"/>
      <c r="GS12" s="1501"/>
      <c r="GT12" s="1501"/>
      <c r="GU12" s="1501"/>
      <c r="GV12" s="1501"/>
      <c r="GW12" s="1501"/>
      <c r="GX12" s="1501"/>
      <c r="GY12" s="1501"/>
      <c r="GZ12" s="1501"/>
      <c r="HA12" s="7">
        <f t="shared" si="13"/>
        <v>0</v>
      </c>
      <c r="HB12" s="196"/>
      <c r="HC12" s="1501"/>
      <c r="HD12" s="1501"/>
      <c r="HE12" s="1501"/>
      <c r="HF12" s="1501"/>
      <c r="HG12" s="1501"/>
      <c r="HH12" s="1501"/>
      <c r="HI12" s="1501"/>
      <c r="HJ12" s="1501"/>
      <c r="HK12" s="1501"/>
      <c r="HL12" s="1501"/>
      <c r="HM12" s="1501"/>
      <c r="HN12" s="7">
        <f t="shared" si="14"/>
        <v>0</v>
      </c>
      <c r="HO12" s="196"/>
      <c r="HP12" s="1501"/>
      <c r="HQ12" s="1501"/>
      <c r="HR12" s="1501"/>
      <c r="HS12" s="1501"/>
      <c r="HT12" s="1501"/>
      <c r="HU12" s="1501"/>
      <c r="HV12" s="1501"/>
      <c r="HW12" s="1501"/>
      <c r="HX12" s="1501"/>
      <c r="HY12" s="1501"/>
      <c r="HZ12" s="1501"/>
      <c r="IA12" s="7">
        <f t="shared" si="15"/>
        <v>0</v>
      </c>
      <c r="IB12" s="196"/>
      <c r="IC12" s="1501"/>
      <c r="ID12" s="1501"/>
      <c r="IE12" s="1501"/>
      <c r="IF12" s="1501"/>
      <c r="IG12" s="1501"/>
      <c r="IH12" s="1501"/>
      <c r="II12" s="1501"/>
      <c r="IJ12" s="1501"/>
      <c r="IK12" s="1501"/>
      <c r="IL12" s="1501"/>
      <c r="IM12" s="1501"/>
      <c r="IN12" s="7">
        <f t="shared" si="16"/>
        <v>0</v>
      </c>
      <c r="IO12" s="196"/>
      <c r="IP12" s="1501"/>
      <c r="IQ12" s="1501"/>
      <c r="IR12" s="1501"/>
      <c r="IS12" s="1501"/>
      <c r="IT12" s="1501"/>
      <c r="IU12" s="1501"/>
      <c r="IV12" s="1501"/>
      <c r="IW12" s="1501"/>
      <c r="IX12" s="1501"/>
      <c r="IY12" s="1501"/>
      <c r="IZ12" s="1501"/>
      <c r="JA12" s="7">
        <f t="shared" si="17"/>
        <v>0</v>
      </c>
      <c r="JB12" s="196"/>
      <c r="JC12" s="1501"/>
      <c r="JD12" s="1501"/>
      <c r="JE12" s="1501"/>
      <c r="JF12" s="1501"/>
      <c r="JG12" s="1501"/>
      <c r="JH12" s="1501"/>
      <c r="JI12" s="1501"/>
      <c r="JJ12" s="1501"/>
      <c r="JK12" s="1501"/>
      <c r="JL12" s="1501"/>
      <c r="JM12" s="1501"/>
      <c r="JN12" s="7">
        <f t="shared" si="18"/>
        <v>0</v>
      </c>
      <c r="JO12"/>
      <c r="JP12" s="22" t="str">
        <f t="shared" si="19"/>
        <v/>
      </c>
      <c r="JQ12" s="64" t="str">
        <f t="shared" si="20"/>
        <v/>
      </c>
      <c r="JR12" s="20">
        <f t="shared" si="21"/>
        <v>0</v>
      </c>
      <c r="JS12" s="20">
        <f t="shared" si="22"/>
        <v>0</v>
      </c>
    </row>
    <row r="13" spans="1:280" s="105" customFormat="1" ht="13.9" customHeight="1" x14ac:dyDescent="0.2">
      <c r="A13" s="212" t="s">
        <v>379</v>
      </c>
      <c r="B13" s="198">
        <v>2900555</v>
      </c>
      <c r="C13" s="1495">
        <v>2596808</v>
      </c>
      <c r="D13" s="1495">
        <v>3314231</v>
      </c>
      <c r="E13" s="1495">
        <v>4173596</v>
      </c>
      <c r="F13" s="1495">
        <v>3683466</v>
      </c>
      <c r="G13" s="1495">
        <v>1993788</v>
      </c>
      <c r="H13" s="1495">
        <v>1400864</v>
      </c>
      <c r="I13" s="1495">
        <v>916291</v>
      </c>
      <c r="J13" s="1495">
        <v>808635</v>
      </c>
      <c r="K13" s="1495">
        <v>2951135</v>
      </c>
      <c r="L13" s="1495">
        <v>3925310</v>
      </c>
      <c r="M13" s="1495">
        <v>2894981</v>
      </c>
      <c r="N13" s="197">
        <f t="shared" si="23"/>
        <v>31559660</v>
      </c>
      <c r="O13" s="198">
        <v>3004210</v>
      </c>
      <c r="P13" s="1495">
        <v>3605292</v>
      </c>
      <c r="Q13" s="1495">
        <v>4551076</v>
      </c>
      <c r="R13" s="1495">
        <v>4036009</v>
      </c>
      <c r="S13" s="1495">
        <v>1725299</v>
      </c>
      <c r="T13" s="1495">
        <v>1641063</v>
      </c>
      <c r="U13" s="1495">
        <v>1305988</v>
      </c>
      <c r="V13" s="1495">
        <v>1515748</v>
      </c>
      <c r="W13" s="1495">
        <v>1650174</v>
      </c>
      <c r="X13" s="1495">
        <v>2969176</v>
      </c>
      <c r="Y13" s="1495">
        <v>2667828</v>
      </c>
      <c r="Z13" s="1495">
        <v>3576422</v>
      </c>
      <c r="AA13" s="197">
        <f t="shared" si="4"/>
        <v>32248285</v>
      </c>
      <c r="AB13" s="198">
        <v>4205003</v>
      </c>
      <c r="AC13" s="1495">
        <v>1942334</v>
      </c>
      <c r="AD13" s="1495">
        <v>3511540</v>
      </c>
      <c r="AE13" s="1495">
        <v>4116212</v>
      </c>
      <c r="AF13" s="1495">
        <v>3514373</v>
      </c>
      <c r="AG13" s="1495">
        <v>1731355</v>
      </c>
      <c r="AH13" s="1495">
        <v>1393226</v>
      </c>
      <c r="AI13" s="1495">
        <v>1146264</v>
      </c>
      <c r="AJ13" s="1495">
        <v>2633094</v>
      </c>
      <c r="AK13" s="1495">
        <v>3601015</v>
      </c>
      <c r="AL13" s="1495">
        <v>4484156</v>
      </c>
      <c r="AM13" s="1495">
        <v>3700949</v>
      </c>
      <c r="AN13" s="197">
        <f t="shared" si="5"/>
        <v>35979521</v>
      </c>
      <c r="AO13" s="198">
        <v>3118819</v>
      </c>
      <c r="AP13" s="1495">
        <v>4195186</v>
      </c>
      <c r="AQ13" s="1495">
        <v>4733966</v>
      </c>
      <c r="AR13" s="1495">
        <v>4496084</v>
      </c>
      <c r="AS13" s="1495">
        <v>3213261</v>
      </c>
      <c r="AT13" s="1495">
        <v>2850334</v>
      </c>
      <c r="AU13" s="1495">
        <v>2094972</v>
      </c>
      <c r="AV13" s="1495">
        <v>1517065</v>
      </c>
      <c r="AW13" s="1495">
        <v>3507933</v>
      </c>
      <c r="AX13" s="1495">
        <v>3253892</v>
      </c>
      <c r="AY13" s="1495">
        <v>2927095</v>
      </c>
      <c r="AZ13" s="1495">
        <v>3193202</v>
      </c>
      <c r="BA13" s="197">
        <f t="shared" si="6"/>
        <v>39101809</v>
      </c>
      <c r="BB13" s="198">
        <v>4467602</v>
      </c>
      <c r="BC13" s="1495">
        <v>4555353</v>
      </c>
      <c r="BD13" s="1495">
        <v>4882912</v>
      </c>
      <c r="BE13" s="1495">
        <v>5519171</v>
      </c>
      <c r="BF13" s="1495">
        <v>5339868</v>
      </c>
      <c r="BG13" s="1495">
        <v>3856421</v>
      </c>
      <c r="BH13" s="1495">
        <v>3428159</v>
      </c>
      <c r="BI13" s="1495">
        <v>2076215</v>
      </c>
      <c r="BJ13" s="1495">
        <v>2932025</v>
      </c>
      <c r="BK13" s="1495">
        <v>3342482</v>
      </c>
      <c r="BL13" s="1495">
        <v>2479794</v>
      </c>
      <c r="BM13" s="1495">
        <v>2075298</v>
      </c>
      <c r="BN13" s="197">
        <f t="shared" si="24"/>
        <v>44955300</v>
      </c>
      <c r="BO13" s="198">
        <v>1035963</v>
      </c>
      <c r="BP13" s="1495">
        <v>2979754</v>
      </c>
      <c r="BQ13" s="1495">
        <v>1860970</v>
      </c>
      <c r="BR13" s="1495">
        <v>2838365</v>
      </c>
      <c r="BS13" s="1495">
        <v>4101677</v>
      </c>
      <c r="BT13" s="1495">
        <v>2385553</v>
      </c>
      <c r="BU13" s="1495">
        <v>2175776</v>
      </c>
      <c r="BV13" s="1495">
        <v>1282703</v>
      </c>
      <c r="BW13" s="1495">
        <v>939277</v>
      </c>
      <c r="BX13" s="1495">
        <v>2322716</v>
      </c>
      <c r="BY13" s="1495">
        <v>3097226</v>
      </c>
      <c r="BZ13" s="1495">
        <v>2466727</v>
      </c>
      <c r="CA13" s="197">
        <f t="shared" si="7"/>
        <v>27486707</v>
      </c>
      <c r="CB13" s="198">
        <v>1551138</v>
      </c>
      <c r="CC13" s="1495">
        <v>1831162</v>
      </c>
      <c r="CD13" s="1495">
        <v>4238680</v>
      </c>
      <c r="CE13" s="1495">
        <v>3282998</v>
      </c>
      <c r="CF13" s="1495">
        <v>2951169</v>
      </c>
      <c r="CG13" s="1495">
        <v>3165536</v>
      </c>
      <c r="CH13" s="1495">
        <v>2350925</v>
      </c>
      <c r="CI13" s="1495">
        <v>1058776</v>
      </c>
      <c r="CJ13" s="1495">
        <v>2063244</v>
      </c>
      <c r="CK13" s="1495">
        <v>2378630</v>
      </c>
      <c r="CL13" s="1495">
        <v>3930790</v>
      </c>
      <c r="CM13" s="1495">
        <v>5268494</v>
      </c>
      <c r="CN13" s="197">
        <f t="shared" si="0"/>
        <v>34071542</v>
      </c>
      <c r="CO13" s="198">
        <v>5766395</v>
      </c>
      <c r="CP13" s="1495">
        <v>4858188</v>
      </c>
      <c r="CQ13" s="1495">
        <v>5826899</v>
      </c>
      <c r="CR13" s="1495">
        <v>5749750</v>
      </c>
      <c r="CS13" s="1495">
        <v>5573150</v>
      </c>
      <c r="CT13" s="1495">
        <v>3605238</v>
      </c>
      <c r="CU13" s="1495">
        <v>1953903</v>
      </c>
      <c r="CV13" s="1495">
        <v>1225333</v>
      </c>
      <c r="CW13" s="1495">
        <v>1748593</v>
      </c>
      <c r="CX13" s="1495">
        <v>3126930</v>
      </c>
      <c r="CY13" s="1495">
        <v>2591417</v>
      </c>
      <c r="CZ13" s="1495">
        <v>3025692</v>
      </c>
      <c r="DA13" s="197">
        <f t="shared" si="1"/>
        <v>45051488</v>
      </c>
      <c r="DB13" s="198">
        <v>5025099</v>
      </c>
      <c r="DC13" s="1495">
        <v>3737484</v>
      </c>
      <c r="DD13" s="1495">
        <v>5941544</v>
      </c>
      <c r="DE13" s="1495">
        <v>4837244</v>
      </c>
      <c r="DF13" s="1495">
        <v>4501832</v>
      </c>
      <c r="DG13" s="1495">
        <v>2710595</v>
      </c>
      <c r="DH13" s="1495">
        <v>2319055</v>
      </c>
      <c r="DI13" s="1495">
        <v>1896472</v>
      </c>
      <c r="DJ13" s="1495">
        <v>2111865</v>
      </c>
      <c r="DK13" s="1495">
        <v>3121682</v>
      </c>
      <c r="DL13" s="1495">
        <v>3200232</v>
      </c>
      <c r="DM13" s="1495">
        <v>3157406</v>
      </c>
      <c r="DN13" s="197">
        <f t="shared" si="2"/>
        <v>42560510</v>
      </c>
      <c r="DO13" s="198"/>
      <c r="DP13" s="1495"/>
      <c r="DQ13" s="1495"/>
      <c r="DR13" s="1495"/>
      <c r="DS13" s="1495"/>
      <c r="DT13" s="1495"/>
      <c r="DU13" s="1495"/>
      <c r="DV13" s="1495"/>
      <c r="DW13" s="1495"/>
      <c r="DX13" s="1495"/>
      <c r="DY13" s="1495"/>
      <c r="DZ13" s="1495"/>
      <c r="EA13" s="197">
        <f t="shared" si="3"/>
        <v>0</v>
      </c>
      <c r="EB13" s="198">
        <v>4342.4226079734999</v>
      </c>
      <c r="EC13" s="1495">
        <v>4280.1015522862508</v>
      </c>
      <c r="ED13" s="1495">
        <v>4910.6359321517466</v>
      </c>
      <c r="EE13" s="1495">
        <v>5508.4823570422514</v>
      </c>
      <c r="EF13" s="1495">
        <v>5991.3917153314997</v>
      </c>
      <c r="EG13" s="1495">
        <v>4555.5429999999997</v>
      </c>
      <c r="EH13" s="1495">
        <v>2815.1828373990011</v>
      </c>
      <c r="EI13" s="1495">
        <v>2142.3674681114999</v>
      </c>
      <c r="EJ13" s="1495">
        <v>1749.2414405367499</v>
      </c>
      <c r="EK13" s="1495">
        <v>3144.1530000000002</v>
      </c>
      <c r="EL13" s="1495">
        <v>3099.7999627345012</v>
      </c>
      <c r="EM13" s="1495">
        <v>5302.6880000000001</v>
      </c>
      <c r="EN13" s="197">
        <f t="shared" si="8"/>
        <v>47842.009873566996</v>
      </c>
      <c r="EO13" s="198">
        <v>3399.4206248869978</v>
      </c>
      <c r="EP13" s="1495">
        <v>4576.1998748792503</v>
      </c>
      <c r="EQ13" s="1495">
        <v>5566.2722615909915</v>
      </c>
      <c r="ER13" s="1495">
        <v>5261.8751249387469</v>
      </c>
      <c r="ES13" s="1495">
        <v>4596.8078886299963</v>
      </c>
      <c r="ET13" s="1495">
        <v>3336.7312969260033</v>
      </c>
      <c r="EU13" s="1495">
        <v>2319.8400618380015</v>
      </c>
      <c r="EV13" s="1495">
        <v>1693.2054472490008</v>
      </c>
      <c r="EW13" s="1495">
        <v>1984.0204543939994</v>
      </c>
      <c r="EX13" s="1495">
        <v>4436.9991539680041</v>
      </c>
      <c r="EY13" s="1495">
        <v>2109.3001111835019</v>
      </c>
      <c r="EZ13" s="1495">
        <v>3670.7303899694953</v>
      </c>
      <c r="FA13" s="197">
        <f t="shared" si="9"/>
        <v>42951.402690453986</v>
      </c>
      <c r="FB13" s="198">
        <v>5568.4840079979977</v>
      </c>
      <c r="FC13" s="1495">
        <v>4370.76</v>
      </c>
      <c r="FD13" s="1495">
        <v>5690.9985641409949</v>
      </c>
      <c r="FE13" s="1495">
        <v>4124.0889999999999</v>
      </c>
      <c r="FF13" s="1495">
        <v>4885.8149999999996</v>
      </c>
      <c r="FG13" s="1495">
        <v>5029.5469999999996</v>
      </c>
      <c r="FH13" s="1495">
        <v>3096.1267818950005</v>
      </c>
      <c r="FI13" s="1495">
        <v>2199.1896890454991</v>
      </c>
      <c r="FJ13" s="1495">
        <v>3124.1869999999999</v>
      </c>
      <c r="FK13" s="1495">
        <v>4015.8119999999999</v>
      </c>
      <c r="FL13" s="1495">
        <v>5053.0649999999996</v>
      </c>
      <c r="FM13" s="1495">
        <v>4966.7839999999997</v>
      </c>
      <c r="FN13" s="197">
        <f t="shared" si="10"/>
        <v>52124.858043079483</v>
      </c>
      <c r="FO13" s="198">
        <v>5456.2579999999998</v>
      </c>
      <c r="FP13" s="1495">
        <v>4023.2550000000001</v>
      </c>
      <c r="FQ13" s="1495">
        <v>4947.3519999999999</v>
      </c>
      <c r="FR13" s="1495">
        <v>5015.9490000000005</v>
      </c>
      <c r="FS13" s="1495">
        <v>5105.3689999999997</v>
      </c>
      <c r="FT13" s="1495">
        <v>2815.297</v>
      </c>
      <c r="FU13" s="1495">
        <v>1581.711</v>
      </c>
      <c r="FV13" s="1495">
        <v>1927.8210000000001</v>
      </c>
      <c r="FW13" s="1495">
        <v>2325.81</v>
      </c>
      <c r="FX13" s="1495">
        <v>5087.6120000000001</v>
      </c>
      <c r="FY13" s="1495">
        <v>4996.93</v>
      </c>
      <c r="FZ13" s="1495">
        <v>4761.183</v>
      </c>
      <c r="GA13" s="197">
        <f t="shared" si="11"/>
        <v>48044.546999999991</v>
      </c>
      <c r="GB13" s="198">
        <v>4540.3150000000005</v>
      </c>
      <c r="GC13" s="1495">
        <v>5257.4759999999997</v>
      </c>
      <c r="GD13" s="1495">
        <v>5753.107</v>
      </c>
      <c r="GE13" s="1495">
        <v>4515.3109999999997</v>
      </c>
      <c r="GF13" s="1495">
        <v>4417.6620000000003</v>
      </c>
      <c r="GG13" s="1495">
        <v>3329.4569999999999</v>
      </c>
      <c r="GH13" s="1495">
        <v>3132.6529999999998</v>
      </c>
      <c r="GI13" s="1495">
        <v>1405.027</v>
      </c>
      <c r="GJ13" s="1495">
        <v>1551.8510000000001</v>
      </c>
      <c r="GK13" s="1495">
        <v>2682.2470000000003</v>
      </c>
      <c r="GL13" s="1495">
        <v>4179.1940000000004</v>
      </c>
      <c r="GM13" s="1495">
        <v>4807.1540000000005</v>
      </c>
      <c r="GN13" s="197">
        <f t="shared" si="12"/>
        <v>45571.454000000012</v>
      </c>
      <c r="GO13" s="198">
        <v>4433.6570000000002</v>
      </c>
      <c r="GP13" s="1495">
        <v>4388.6030000000001</v>
      </c>
      <c r="GQ13" s="1495">
        <v>5559.683</v>
      </c>
      <c r="GR13" s="1495">
        <v>4464.1679999999997</v>
      </c>
      <c r="GS13" s="1495">
        <v>4476.6900000000005</v>
      </c>
      <c r="GT13" s="1495">
        <v>2463.7750000000001</v>
      </c>
      <c r="GU13" s="1495">
        <v>2464.8510000000001</v>
      </c>
      <c r="GV13" s="1495">
        <v>1363.6859999999999</v>
      </c>
      <c r="GW13" s="1495">
        <v>2882.0889999999999</v>
      </c>
      <c r="GX13" s="1495">
        <v>3084.3470000000002</v>
      </c>
      <c r="GY13" s="1495">
        <v>2852.6379999999999</v>
      </c>
      <c r="GZ13" s="1495">
        <v>2938.7429999999995</v>
      </c>
      <c r="HA13" s="197">
        <f t="shared" si="13"/>
        <v>41372.93</v>
      </c>
      <c r="HB13" s="198">
        <v>2984.1360000000004</v>
      </c>
      <c r="HC13" s="1495">
        <v>3341.1640000000002</v>
      </c>
      <c r="HD13" s="1495">
        <v>5661.4719999999998</v>
      </c>
      <c r="HE13" s="1495">
        <v>5039.9629999999997</v>
      </c>
      <c r="HF13" s="1495">
        <v>3475.9380000000001</v>
      </c>
      <c r="HG13" s="1495">
        <v>4084.7640000000001</v>
      </c>
      <c r="HH13" s="1495">
        <v>2435.8510000000001</v>
      </c>
      <c r="HI13" s="1495">
        <v>1484.241</v>
      </c>
      <c r="HJ13" s="1495">
        <v>4834.5429999999997</v>
      </c>
      <c r="HK13" s="1495">
        <v>3460.0439999999999</v>
      </c>
      <c r="HL13" s="1495">
        <v>3203.7289999999998</v>
      </c>
      <c r="HM13" s="1495">
        <v>4774.5590000000002</v>
      </c>
      <c r="HN13" s="197">
        <f t="shared" si="14"/>
        <v>44780.404000000002</v>
      </c>
      <c r="HO13" s="198">
        <v>2907.63</v>
      </c>
      <c r="HP13" s="1495">
        <v>3440.9969999999998</v>
      </c>
      <c r="HQ13" s="1495">
        <v>5600.5349999999999</v>
      </c>
      <c r="HR13" s="1495">
        <v>4858.7550000000001</v>
      </c>
      <c r="HS13" s="1495">
        <v>4703.2839999999997</v>
      </c>
      <c r="HT13" s="1495">
        <v>3060.828</v>
      </c>
      <c r="HU13" s="1495">
        <v>2189.9780000000001</v>
      </c>
      <c r="HV13" s="1495">
        <v>2068.076</v>
      </c>
      <c r="HW13" s="1495">
        <v>1558.732</v>
      </c>
      <c r="HX13" s="1495">
        <v>1979.0530000000001</v>
      </c>
      <c r="HY13" s="1495"/>
      <c r="HZ13" s="1495">
        <v>573.4</v>
      </c>
      <c r="IA13" s="197">
        <f t="shared" si="15"/>
        <v>32941.268000000004</v>
      </c>
      <c r="IB13" s="198">
        <v>2774.5889999999999</v>
      </c>
      <c r="IC13" s="1495">
        <v>3423.232</v>
      </c>
      <c r="ID13" s="1495">
        <v>5651.3419999999996</v>
      </c>
      <c r="IE13" s="1495">
        <v>5289.3890000000001</v>
      </c>
      <c r="IF13" s="1495">
        <v>4232.7860000000001</v>
      </c>
      <c r="IG13" s="1495">
        <v>2826.9140000000002</v>
      </c>
      <c r="IH13" s="1495">
        <v>1302.33</v>
      </c>
      <c r="II13" s="1495">
        <v>1241.4369999999999</v>
      </c>
      <c r="IJ13" s="1495">
        <v>1372.2829999999999</v>
      </c>
      <c r="IK13" s="1495">
        <v>1635.913</v>
      </c>
      <c r="IL13" s="1495">
        <v>3249.3780000000002</v>
      </c>
      <c r="IM13" s="1495">
        <v>3332.8670000000002</v>
      </c>
      <c r="IN13" s="197">
        <f t="shared" si="16"/>
        <v>36332.46</v>
      </c>
      <c r="IO13" s="198">
        <v>4809.1329999999998</v>
      </c>
      <c r="IP13" s="1495">
        <v>4715.3739999999998</v>
      </c>
      <c r="IQ13" s="1495">
        <v>5324.3720000000003</v>
      </c>
      <c r="IR13" s="1495">
        <v>3559.8969999999999</v>
      </c>
      <c r="IS13" s="1495">
        <v>4153.652</v>
      </c>
      <c r="IT13" s="1495">
        <v>1669.9659999999999</v>
      </c>
      <c r="IU13" s="1495">
        <v>933.94</v>
      </c>
      <c r="IV13" s="1495">
        <v>616.77499999999998</v>
      </c>
      <c r="IW13" s="1495">
        <v>989.85599999999999</v>
      </c>
      <c r="IX13" s="1495">
        <v>1890.0719999999999</v>
      </c>
      <c r="IY13" s="1495">
        <v>4164.9970000000003</v>
      </c>
      <c r="IZ13" s="1495">
        <v>3368.9670000000001</v>
      </c>
      <c r="JA13" s="197">
        <f t="shared" si="17"/>
        <v>36197.000999999997</v>
      </c>
      <c r="JB13" s="198">
        <v>4560.6289999999999</v>
      </c>
      <c r="JC13" s="1495">
        <v>4130.451</v>
      </c>
      <c r="JD13" s="1495">
        <v>5103.192</v>
      </c>
      <c r="JE13" s="1495">
        <v>3808.1260000000002</v>
      </c>
      <c r="JF13" s="1495">
        <v>4749.402</v>
      </c>
      <c r="JG13" s="1495">
        <v>3378.6170000000002</v>
      </c>
      <c r="JH13" s="1495">
        <v>2490.4569999999999</v>
      </c>
      <c r="JI13" s="1495">
        <v>2055.172</v>
      </c>
      <c r="JJ13" s="1495">
        <v>2626.4290000000001</v>
      </c>
      <c r="JK13" s="1495">
        <v>4326.33090051</v>
      </c>
      <c r="JL13" s="1495">
        <v>5163.1591523224997</v>
      </c>
      <c r="JM13" s="1495"/>
      <c r="JN13" s="197">
        <f t="shared" si="18"/>
        <v>42391.9650528325</v>
      </c>
      <c r="JO13"/>
      <c r="JP13" s="22">
        <f t="shared" si="19"/>
        <v>23.96549510894004</v>
      </c>
      <c r="JQ13" s="64">
        <f t="shared" si="20"/>
        <v>29.133426183342269</v>
      </c>
      <c r="JR13" s="20">
        <f t="shared" si="21"/>
        <v>32828.034</v>
      </c>
      <c r="JS13" s="20">
        <f t="shared" si="22"/>
        <v>42391.9650528325</v>
      </c>
    </row>
    <row r="14" spans="1:280" s="105" customFormat="1" ht="13.9" customHeight="1" x14ac:dyDescent="0.2">
      <c r="A14" s="212" t="s">
        <v>380</v>
      </c>
      <c r="B14" s="198">
        <v>289226</v>
      </c>
      <c r="C14" s="1495">
        <v>289226</v>
      </c>
      <c r="D14" s="1495">
        <v>289226</v>
      </c>
      <c r="E14" s="1495">
        <v>289226</v>
      </c>
      <c r="F14" s="1495">
        <v>289226</v>
      </c>
      <c r="G14" s="1495">
        <v>289226</v>
      </c>
      <c r="H14" s="1495">
        <v>289226</v>
      </c>
      <c r="I14" s="1495">
        <v>289226</v>
      </c>
      <c r="J14" s="1495">
        <v>289226</v>
      </c>
      <c r="K14" s="1495">
        <v>289226</v>
      </c>
      <c r="L14" s="1495">
        <v>289226</v>
      </c>
      <c r="M14" s="1495">
        <v>289226</v>
      </c>
      <c r="N14" s="197">
        <f t="shared" si="23"/>
        <v>3470712</v>
      </c>
      <c r="O14" s="198">
        <v>289226</v>
      </c>
      <c r="P14" s="1495">
        <v>289226</v>
      </c>
      <c r="Q14" s="1495">
        <v>289226</v>
      </c>
      <c r="R14" s="1495">
        <v>289226</v>
      </c>
      <c r="S14" s="1495">
        <v>289226</v>
      </c>
      <c r="T14" s="1495">
        <v>289226</v>
      </c>
      <c r="U14" s="1495">
        <v>289226</v>
      </c>
      <c r="V14" s="1495">
        <v>289226</v>
      </c>
      <c r="W14" s="1495"/>
      <c r="X14" s="1495"/>
      <c r="Y14" s="1495"/>
      <c r="Z14" s="1495"/>
      <c r="AA14" s="197">
        <f t="shared" si="4"/>
        <v>2313808</v>
      </c>
      <c r="AB14" s="198">
        <v>289226</v>
      </c>
      <c r="AC14" s="1495">
        <v>289226</v>
      </c>
      <c r="AD14" s="1495">
        <v>289226</v>
      </c>
      <c r="AE14" s="1495">
        <v>289226</v>
      </c>
      <c r="AF14" s="1495">
        <v>289226</v>
      </c>
      <c r="AG14" s="1495">
        <v>289226</v>
      </c>
      <c r="AH14" s="1495">
        <v>289226</v>
      </c>
      <c r="AI14" s="1495">
        <v>289226</v>
      </c>
      <c r="AJ14" s="1495">
        <v>289226</v>
      </c>
      <c r="AK14" s="1495">
        <v>289226</v>
      </c>
      <c r="AL14" s="1495">
        <v>289226</v>
      </c>
      <c r="AM14" s="1495">
        <v>399226</v>
      </c>
      <c r="AN14" s="197">
        <f t="shared" si="5"/>
        <v>3580712</v>
      </c>
      <c r="AO14" s="198">
        <v>289226</v>
      </c>
      <c r="AP14" s="1495">
        <v>289226</v>
      </c>
      <c r="AQ14" s="1495">
        <v>289226</v>
      </c>
      <c r="AR14" s="1495">
        <v>289226</v>
      </c>
      <c r="AS14" s="1495">
        <v>289226</v>
      </c>
      <c r="AT14" s="1495">
        <v>289226</v>
      </c>
      <c r="AU14" s="1495">
        <v>289226</v>
      </c>
      <c r="AV14" s="1495">
        <v>289226</v>
      </c>
      <c r="AW14" s="1495">
        <v>289226</v>
      </c>
      <c r="AX14" s="1495">
        <v>289226</v>
      </c>
      <c r="AY14" s="1495">
        <v>289226</v>
      </c>
      <c r="AZ14" s="1495">
        <v>289226</v>
      </c>
      <c r="BA14" s="197">
        <f t="shared" si="6"/>
        <v>3470712</v>
      </c>
      <c r="BB14" s="198">
        <v>289226</v>
      </c>
      <c r="BC14" s="1495">
        <v>289226</v>
      </c>
      <c r="BD14" s="1495">
        <v>289226</v>
      </c>
      <c r="BE14" s="1495">
        <v>289226</v>
      </c>
      <c r="BF14" s="1495">
        <v>289226</v>
      </c>
      <c r="BG14" s="1495">
        <v>289226</v>
      </c>
      <c r="BH14" s="1495">
        <v>289226</v>
      </c>
      <c r="BI14" s="1495">
        <v>289226</v>
      </c>
      <c r="BJ14" s="1495">
        <v>289226</v>
      </c>
      <c r="BK14" s="1495">
        <v>289226</v>
      </c>
      <c r="BL14" s="1495">
        <v>289226</v>
      </c>
      <c r="BM14" s="1495">
        <v>289226</v>
      </c>
      <c r="BN14" s="197">
        <f t="shared" si="24"/>
        <v>3470712</v>
      </c>
      <c r="BO14" s="198">
        <v>289226</v>
      </c>
      <c r="BP14" s="1495">
        <v>289226</v>
      </c>
      <c r="BQ14" s="1495">
        <v>289226</v>
      </c>
      <c r="BR14" s="1495">
        <v>289226</v>
      </c>
      <c r="BS14" s="1495">
        <v>289226</v>
      </c>
      <c r="BT14" s="1495">
        <v>289226</v>
      </c>
      <c r="BU14" s="1495">
        <v>289226</v>
      </c>
      <c r="BV14" s="1495">
        <v>289226</v>
      </c>
      <c r="BW14" s="1495">
        <v>289226</v>
      </c>
      <c r="BX14" s="1495">
        <v>289226</v>
      </c>
      <c r="BY14" s="1495">
        <v>289226</v>
      </c>
      <c r="BZ14" s="1495">
        <v>289226</v>
      </c>
      <c r="CA14" s="197">
        <f t="shared" si="7"/>
        <v>3470712</v>
      </c>
      <c r="CB14" s="198">
        <v>289226</v>
      </c>
      <c r="CC14" s="1495">
        <v>289226</v>
      </c>
      <c r="CD14" s="1495">
        <v>289226</v>
      </c>
      <c r="CE14" s="1495">
        <v>289226</v>
      </c>
      <c r="CF14" s="1495">
        <v>289226</v>
      </c>
      <c r="CG14" s="1495">
        <v>289226</v>
      </c>
      <c r="CH14" s="1495">
        <v>289226</v>
      </c>
      <c r="CI14" s="1495">
        <v>289226</v>
      </c>
      <c r="CJ14" s="1495">
        <v>289226</v>
      </c>
      <c r="CK14" s="1495">
        <v>289226</v>
      </c>
      <c r="CL14" s="1495">
        <v>289226</v>
      </c>
      <c r="CM14" s="1495">
        <v>289226</v>
      </c>
      <c r="CN14" s="197">
        <f t="shared" si="0"/>
        <v>3470712</v>
      </c>
      <c r="CO14" s="198">
        <v>289226</v>
      </c>
      <c r="CP14" s="1495">
        <v>289226</v>
      </c>
      <c r="CQ14" s="1495">
        <v>289226</v>
      </c>
      <c r="CR14" s="1495">
        <v>289226</v>
      </c>
      <c r="CS14" s="1495">
        <v>289226</v>
      </c>
      <c r="CT14" s="1495">
        <v>289226</v>
      </c>
      <c r="CU14" s="1495">
        <v>289226</v>
      </c>
      <c r="CV14" s="1495">
        <v>289226</v>
      </c>
      <c r="CW14" s="1495">
        <v>289226</v>
      </c>
      <c r="CX14" s="1495">
        <v>289226</v>
      </c>
      <c r="CY14" s="1495">
        <v>289226</v>
      </c>
      <c r="CZ14" s="1495">
        <v>289226</v>
      </c>
      <c r="DA14" s="197">
        <f t="shared" si="1"/>
        <v>3470712</v>
      </c>
      <c r="DB14" s="198">
        <v>289226</v>
      </c>
      <c r="DC14" s="1495">
        <v>289226</v>
      </c>
      <c r="DD14" s="1495">
        <v>341206</v>
      </c>
      <c r="DE14" s="1495">
        <v>339256</v>
      </c>
      <c r="DF14" s="1495">
        <v>336836</v>
      </c>
      <c r="DG14" s="1495">
        <v>330014</v>
      </c>
      <c r="DH14" s="1495">
        <v>337906</v>
      </c>
      <c r="DI14" s="1495">
        <v>335906</v>
      </c>
      <c r="DJ14" s="1495">
        <v>335726</v>
      </c>
      <c r="DK14" s="1495">
        <v>337306</v>
      </c>
      <c r="DL14" s="1495">
        <v>337235</v>
      </c>
      <c r="DM14" s="1495">
        <v>1068530.8625825699</v>
      </c>
      <c r="DN14" s="197">
        <f t="shared" si="2"/>
        <v>4678373.8625825699</v>
      </c>
      <c r="DO14" s="198">
        <v>335276</v>
      </c>
      <c r="DP14" s="1495">
        <v>330005.99999999907</v>
      </c>
      <c r="DQ14" s="1495">
        <v>337555.99999999907</v>
      </c>
      <c r="DR14" s="1495">
        <v>336686</v>
      </c>
      <c r="DS14" s="1495">
        <v>341225.85599999875</v>
      </c>
      <c r="DT14" s="1495">
        <v>340029.60100000072</v>
      </c>
      <c r="DU14" s="1495">
        <v>340785.71780900005</v>
      </c>
      <c r="DV14" s="1495">
        <v>342225.99999999907</v>
      </c>
      <c r="DW14" s="1495">
        <v>343108.99999999907</v>
      </c>
      <c r="DX14" s="1495">
        <v>347315.58550575003</v>
      </c>
      <c r="DY14" s="1495">
        <v>341704.68500000052</v>
      </c>
      <c r="DZ14" s="1495">
        <v>341382.28600000124</v>
      </c>
      <c r="EA14" s="197">
        <f>SUM(DO14:DZ14)</f>
        <v>4077302.7313147476</v>
      </c>
      <c r="EB14" s="198">
        <v>169.23202002649941</v>
      </c>
      <c r="EC14" s="1495">
        <v>333.46452571374903</v>
      </c>
      <c r="ED14" s="1495">
        <v>341.93040416290842</v>
      </c>
      <c r="EE14" s="1495">
        <v>341.70570052345829</v>
      </c>
      <c r="EF14" s="1495">
        <v>344.3914753951085</v>
      </c>
      <c r="EG14" s="1495">
        <v>342.00666785000976</v>
      </c>
      <c r="EH14" s="1495">
        <v>344.08824807832389</v>
      </c>
      <c r="EI14" s="1495">
        <v>347.31969442304035</v>
      </c>
      <c r="EJ14" s="1495">
        <v>350.22084946325003</v>
      </c>
      <c r="EK14" s="1495">
        <v>353.90200000000004</v>
      </c>
      <c r="EL14" s="1495">
        <v>1570.2736161943303</v>
      </c>
      <c r="EM14" s="1495">
        <v>438.66018542381698</v>
      </c>
      <c r="EN14" s="197">
        <f t="shared" si="8"/>
        <v>5277.1953872544955</v>
      </c>
      <c r="EO14" s="198">
        <v>1874.5319666287132</v>
      </c>
      <c r="EP14" s="1495">
        <v>1815.3566034737523</v>
      </c>
      <c r="EQ14" s="1495">
        <v>2473.8575064824581</v>
      </c>
      <c r="ER14" s="1495">
        <v>2291.8729367482938</v>
      </c>
      <c r="ES14" s="1495">
        <v>2064.9485013543344</v>
      </c>
      <c r="ET14" s="1495">
        <v>901.69260796180697</v>
      </c>
      <c r="EU14" s="1495">
        <v>1376.4534074538988</v>
      </c>
      <c r="EV14" s="1495">
        <v>1685.3805995737093</v>
      </c>
      <c r="EW14" s="1495">
        <v>2481.6985415902009</v>
      </c>
      <c r="EX14" s="1495">
        <v>3893.8499919006863</v>
      </c>
      <c r="EY14" s="1495">
        <v>4140.6859160864988</v>
      </c>
      <c r="EZ14" s="1495">
        <v>3982.668951915256</v>
      </c>
      <c r="FA14" s="197">
        <f t="shared" si="9"/>
        <v>28982.997531169607</v>
      </c>
      <c r="FB14" s="198">
        <v>3326.0466720879886</v>
      </c>
      <c r="FC14" s="1495">
        <v>3140.0209999999988</v>
      </c>
      <c r="FD14" s="1495">
        <v>2455.8370806980001</v>
      </c>
      <c r="FE14" s="1495">
        <v>3011.1171060769884</v>
      </c>
      <c r="FF14" s="1495">
        <v>1542.5579999999991</v>
      </c>
      <c r="FG14" s="1495">
        <v>3502.4390000000003</v>
      </c>
      <c r="FH14" s="1495">
        <v>5406.8142181049989</v>
      </c>
      <c r="FI14" s="1495">
        <v>4077</v>
      </c>
      <c r="FJ14" s="1495">
        <v>2779.6949999999997</v>
      </c>
      <c r="FK14" s="1495">
        <v>1377.934</v>
      </c>
      <c r="FL14" s="1495">
        <v>550.11300000000006</v>
      </c>
      <c r="FM14" s="1495">
        <v>69.741</v>
      </c>
      <c r="FN14" s="197">
        <f t="shared" si="10"/>
        <v>31239.316076967978</v>
      </c>
      <c r="FO14" s="198">
        <v>128.40199999999999</v>
      </c>
      <c r="FP14" s="1495">
        <v>78.23</v>
      </c>
      <c r="FQ14" s="1495">
        <v>144.07599999999999</v>
      </c>
      <c r="FR14" s="1495">
        <v>124.968</v>
      </c>
      <c r="FS14" s="1495">
        <v>110.246</v>
      </c>
      <c r="FT14" s="1495">
        <v>60.936</v>
      </c>
      <c r="FU14" s="1495">
        <v>51.499000000000002</v>
      </c>
      <c r="FV14" s="1495">
        <v>26.236999999999998</v>
      </c>
      <c r="FW14" s="1495">
        <v>26.184000000000001</v>
      </c>
      <c r="FX14" s="1495">
        <v>26.184000000000001</v>
      </c>
      <c r="FY14" s="1495">
        <v>20.265999999999998</v>
      </c>
      <c r="FZ14" s="1495">
        <v>82.521000000000001</v>
      </c>
      <c r="GA14" s="197">
        <f t="shared" si="11"/>
        <v>879.74899999999991</v>
      </c>
      <c r="GB14" s="198">
        <v>38.774000000000001</v>
      </c>
      <c r="GC14" s="1495">
        <v>39.908000000000001</v>
      </c>
      <c r="GD14" s="1495">
        <v>102.038</v>
      </c>
      <c r="GE14" s="1495">
        <v>130.589</v>
      </c>
      <c r="GF14" s="1495">
        <v>128.03200000000001</v>
      </c>
      <c r="GG14" s="1495">
        <v>75.369</v>
      </c>
      <c r="GH14" s="1495">
        <v>84.369</v>
      </c>
      <c r="GI14" s="1495">
        <v>50.667999999999999</v>
      </c>
      <c r="GJ14" s="1495">
        <v>32.674999999999997</v>
      </c>
      <c r="GK14" s="1495">
        <v>28.646000000000001</v>
      </c>
      <c r="GL14" s="1495"/>
      <c r="GM14" s="1495"/>
      <c r="GN14" s="197">
        <f t="shared" si="12"/>
        <v>711.06799999999998</v>
      </c>
      <c r="GO14" s="198">
        <v>40.835999999999999</v>
      </c>
      <c r="GP14" s="1495">
        <v>48.155999999999999</v>
      </c>
      <c r="GQ14" s="1495">
        <v>108.616</v>
      </c>
      <c r="GR14" s="1495">
        <v>88.972999999999999</v>
      </c>
      <c r="GS14" s="1495">
        <v>126.633</v>
      </c>
      <c r="GT14" s="1495">
        <v>29.036000000000001</v>
      </c>
      <c r="GU14" s="1495"/>
      <c r="GV14" s="1495">
        <v>20.169</v>
      </c>
      <c r="GW14" s="1495">
        <v>4.3220000000000001</v>
      </c>
      <c r="GX14" s="1495"/>
      <c r="GY14" s="1495"/>
      <c r="GZ14" s="1495"/>
      <c r="HA14" s="197">
        <f t="shared" si="13"/>
        <v>466.74099999999999</v>
      </c>
      <c r="HB14" s="198">
        <v>30.084</v>
      </c>
      <c r="HC14" s="1495">
        <v>41.850999999999999</v>
      </c>
      <c r="HD14" s="1495">
        <v>16.309000000000001</v>
      </c>
      <c r="HE14" s="1495">
        <v>83.146000000000001</v>
      </c>
      <c r="HF14" s="1495"/>
      <c r="HG14" s="1495">
        <v>14.31</v>
      </c>
      <c r="HH14" s="1495">
        <v>32.674999999999997</v>
      </c>
      <c r="HI14" s="1495"/>
      <c r="HJ14" s="1495">
        <v>22.04</v>
      </c>
      <c r="HK14" s="1495">
        <v>20.358000000000001</v>
      </c>
      <c r="HL14" s="1495">
        <v>67.997</v>
      </c>
      <c r="HM14" s="1495">
        <v>98.218000000000004</v>
      </c>
      <c r="HN14" s="197">
        <f t="shared" si="14"/>
        <v>426.988</v>
      </c>
      <c r="HO14" s="198">
        <v>98.218000000000004</v>
      </c>
      <c r="HP14" s="1495">
        <v>43.65</v>
      </c>
      <c r="HQ14" s="1495">
        <v>112.89400000000001</v>
      </c>
      <c r="HR14" s="1495">
        <v>23.74</v>
      </c>
      <c r="HS14" s="1495">
        <v>43.274999999999999</v>
      </c>
      <c r="HT14" s="1495">
        <v>90.84</v>
      </c>
      <c r="HU14" s="1495">
        <v>32.929000000000002</v>
      </c>
      <c r="HV14" s="1495">
        <v>44.95</v>
      </c>
      <c r="HW14" s="1495">
        <v>20.600999999999999</v>
      </c>
      <c r="HX14" s="1495">
        <v>23.594000000000001</v>
      </c>
      <c r="HY14" s="1495">
        <v>31.635000000000002</v>
      </c>
      <c r="HZ14" s="1495">
        <v>25.05</v>
      </c>
      <c r="IA14" s="197">
        <f t="shared" si="15"/>
        <v>591.37599999999986</v>
      </c>
      <c r="IB14" s="198">
        <v>46.843000000000004</v>
      </c>
      <c r="IC14" s="1495">
        <v>27.388000000000002</v>
      </c>
      <c r="ID14" s="1495">
        <v>163.88399999999999</v>
      </c>
      <c r="IE14" s="1495">
        <v>120.712</v>
      </c>
      <c r="IF14" s="1495">
        <v>119.203</v>
      </c>
      <c r="IG14" s="1495">
        <v>66.129000000000005</v>
      </c>
      <c r="IH14" s="1495">
        <v>18.707000000000001</v>
      </c>
      <c r="II14" s="1495">
        <v>15.073</v>
      </c>
      <c r="IJ14" s="1495">
        <v>15.683999999999999</v>
      </c>
      <c r="IK14" s="1495">
        <v>15.685</v>
      </c>
      <c r="IL14" s="1495">
        <v>11.106</v>
      </c>
      <c r="IM14" s="1495">
        <v>48.238</v>
      </c>
      <c r="IN14" s="197">
        <f t="shared" si="16"/>
        <v>668.65199999999982</v>
      </c>
      <c r="IO14" s="198">
        <v>52.255000000000003</v>
      </c>
      <c r="IP14" s="1495">
        <v>63.424999999999997</v>
      </c>
      <c r="IQ14" s="1495">
        <v>84.248999999999995</v>
      </c>
      <c r="IR14" s="1495">
        <v>88.649000000000001</v>
      </c>
      <c r="IS14" s="1495">
        <v>42.935000000000002</v>
      </c>
      <c r="IT14" s="1495">
        <v>30.535</v>
      </c>
      <c r="IU14" s="1495">
        <v>16.224</v>
      </c>
      <c r="IV14" s="1495">
        <v>8.7059999999999995</v>
      </c>
      <c r="IW14" s="1495"/>
      <c r="IX14" s="1495"/>
      <c r="IY14" s="1495"/>
      <c r="IZ14" s="1495"/>
      <c r="JA14" s="197">
        <f t="shared" si="17"/>
        <v>386.97800000000001</v>
      </c>
      <c r="JB14" s="198"/>
      <c r="JC14" s="1495"/>
      <c r="JD14" s="1495"/>
      <c r="JE14" s="1495"/>
      <c r="JF14" s="1495"/>
      <c r="JG14" s="1495"/>
      <c r="JH14" s="1495"/>
      <c r="JI14" s="1495"/>
      <c r="JJ14" s="1495"/>
      <c r="JK14" s="1495"/>
      <c r="JL14" s="1495"/>
      <c r="JM14" s="1495"/>
      <c r="JN14" s="197">
        <f t="shared" si="18"/>
        <v>0</v>
      </c>
      <c r="JO14"/>
      <c r="JP14" s="22" t="str">
        <f t="shared" si="19"/>
        <v/>
      </c>
      <c r="JQ14" s="54">
        <f t="shared" si="20"/>
        <v>-100</v>
      </c>
      <c r="JR14" s="20">
        <f t="shared" si="21"/>
        <v>386.97800000000001</v>
      </c>
      <c r="JS14" s="20">
        <f t="shared" si="22"/>
        <v>0</v>
      </c>
    </row>
    <row r="15" spans="1:280" s="203" customFormat="1" ht="13.9" customHeight="1" x14ac:dyDescent="0.2">
      <c r="A15" s="199" t="s">
        <v>267</v>
      </c>
      <c r="B15" s="201">
        <f>SUM(B8:B14)</f>
        <v>9314540</v>
      </c>
      <c r="C15" s="1502">
        <f t="shared" ref="C15:BP15" si="25">SUM(C8:C14)</f>
        <v>8670092</v>
      </c>
      <c r="D15" s="1502">
        <f t="shared" si="25"/>
        <v>9804536</v>
      </c>
      <c r="E15" s="1502">
        <f t="shared" si="25"/>
        <v>9398830</v>
      </c>
      <c r="F15" s="1502">
        <f t="shared" si="25"/>
        <v>9719688</v>
      </c>
      <c r="G15" s="1502">
        <f t="shared" si="25"/>
        <v>9601372</v>
      </c>
      <c r="H15" s="1502">
        <f t="shared" si="25"/>
        <v>9807371</v>
      </c>
      <c r="I15" s="1502">
        <f t="shared" si="25"/>
        <v>9963225</v>
      </c>
      <c r="J15" s="1502">
        <f t="shared" si="25"/>
        <v>9788714</v>
      </c>
      <c r="K15" s="1502">
        <f t="shared" si="25"/>
        <v>10053327</v>
      </c>
      <c r="L15" s="1502">
        <f t="shared" si="25"/>
        <v>9878901</v>
      </c>
      <c r="M15" s="1502">
        <f t="shared" si="25"/>
        <v>10348587</v>
      </c>
      <c r="N15" s="200">
        <f t="shared" si="25"/>
        <v>116349183</v>
      </c>
      <c r="O15" s="201">
        <f t="shared" si="25"/>
        <v>9895381</v>
      </c>
      <c r="P15" s="1502">
        <f t="shared" si="25"/>
        <v>8852486</v>
      </c>
      <c r="Q15" s="1502">
        <f t="shared" si="25"/>
        <v>9659851</v>
      </c>
      <c r="R15" s="1502">
        <f t="shared" si="25"/>
        <v>9389418</v>
      </c>
      <c r="S15" s="1502">
        <f t="shared" si="25"/>
        <v>9833258</v>
      </c>
      <c r="T15" s="1502">
        <f t="shared" si="25"/>
        <v>9919792</v>
      </c>
      <c r="U15" s="1502">
        <f t="shared" si="25"/>
        <v>10271833</v>
      </c>
      <c r="V15" s="1502">
        <f t="shared" si="25"/>
        <v>10529977</v>
      </c>
      <c r="W15" s="1502">
        <f t="shared" si="25"/>
        <v>10152306</v>
      </c>
      <c r="X15" s="1502">
        <f t="shared" si="25"/>
        <v>10286550</v>
      </c>
      <c r="Y15" s="1502">
        <f t="shared" si="25"/>
        <v>10031866</v>
      </c>
      <c r="Z15" s="1502">
        <f t="shared" si="25"/>
        <v>10717610</v>
      </c>
      <c r="AA15" s="200">
        <f t="shared" si="4"/>
        <v>119540328</v>
      </c>
      <c r="AB15" s="201">
        <f t="shared" si="25"/>
        <v>10886927</v>
      </c>
      <c r="AC15" s="1502">
        <f t="shared" si="25"/>
        <v>10021393</v>
      </c>
      <c r="AD15" s="1502">
        <f t="shared" si="25"/>
        <v>10978014</v>
      </c>
      <c r="AE15" s="1502">
        <f t="shared" si="25"/>
        <v>10571247</v>
      </c>
      <c r="AF15" s="1502">
        <f t="shared" si="25"/>
        <v>11009617</v>
      </c>
      <c r="AG15" s="1502">
        <f t="shared" si="25"/>
        <v>10969695</v>
      </c>
      <c r="AH15" s="1502">
        <f t="shared" si="25"/>
        <v>11740916</v>
      </c>
      <c r="AI15" s="1502">
        <f t="shared" si="25"/>
        <v>12331428</v>
      </c>
      <c r="AJ15" s="1502">
        <f t="shared" si="25"/>
        <v>11844110</v>
      </c>
      <c r="AK15" s="1502">
        <f t="shared" si="25"/>
        <v>12521014</v>
      </c>
      <c r="AL15" s="1502">
        <f t="shared" si="25"/>
        <v>12025666</v>
      </c>
      <c r="AM15" s="1502">
        <f t="shared" si="25"/>
        <v>12316753</v>
      </c>
      <c r="AN15" s="200">
        <f t="shared" si="5"/>
        <v>137216780</v>
      </c>
      <c r="AO15" s="201">
        <f t="shared" si="25"/>
        <v>12288858</v>
      </c>
      <c r="AP15" s="1502">
        <f t="shared" si="25"/>
        <v>11676766</v>
      </c>
      <c r="AQ15" s="1502">
        <f t="shared" si="25"/>
        <v>12304229</v>
      </c>
      <c r="AR15" s="1502">
        <f t="shared" si="25"/>
        <v>12375833</v>
      </c>
      <c r="AS15" s="1502">
        <f t="shared" si="25"/>
        <v>12782464</v>
      </c>
      <c r="AT15" s="1502">
        <f t="shared" si="25"/>
        <v>12611841</v>
      </c>
      <c r="AU15" s="1502">
        <f t="shared" si="25"/>
        <v>13324012</v>
      </c>
      <c r="AV15" s="1502">
        <f t="shared" si="25"/>
        <v>13413205</v>
      </c>
      <c r="AW15" s="1502">
        <f t="shared" si="25"/>
        <v>13090122</v>
      </c>
      <c r="AX15" s="1502">
        <f t="shared" si="25"/>
        <v>13290332</v>
      </c>
      <c r="AY15" s="1502">
        <f t="shared" si="25"/>
        <v>13057104</v>
      </c>
      <c r="AZ15" s="1502">
        <f t="shared" si="25"/>
        <v>13646220</v>
      </c>
      <c r="BA15" s="200">
        <f t="shared" si="25"/>
        <v>153860986</v>
      </c>
      <c r="BB15" s="201">
        <f t="shared" si="25"/>
        <v>12987391</v>
      </c>
      <c r="BC15" s="1502">
        <f t="shared" si="25"/>
        <v>12075127</v>
      </c>
      <c r="BD15" s="1502">
        <f t="shared" si="25"/>
        <v>13295059</v>
      </c>
      <c r="BE15" s="1502">
        <f t="shared" si="25"/>
        <v>12887855</v>
      </c>
      <c r="BF15" s="1502">
        <f t="shared" si="25"/>
        <v>13263887</v>
      </c>
      <c r="BG15" s="1502">
        <f t="shared" si="25"/>
        <v>12792572</v>
      </c>
      <c r="BH15" s="1502">
        <f t="shared" si="25"/>
        <v>14059244</v>
      </c>
      <c r="BI15" s="1502">
        <f t="shared" si="25"/>
        <v>14548888</v>
      </c>
      <c r="BJ15" s="1502">
        <f t="shared" si="25"/>
        <v>14536047</v>
      </c>
      <c r="BK15" s="1502">
        <f t="shared" si="25"/>
        <v>15254503</v>
      </c>
      <c r="BL15" s="1502">
        <f t="shared" si="25"/>
        <v>15259344</v>
      </c>
      <c r="BM15" s="1502">
        <f t="shared" si="25"/>
        <v>15828703</v>
      </c>
      <c r="BN15" s="200">
        <f t="shared" si="25"/>
        <v>166788620</v>
      </c>
      <c r="BO15" s="201">
        <f t="shared" si="25"/>
        <v>15443864</v>
      </c>
      <c r="BP15" s="1502">
        <f t="shared" si="25"/>
        <v>13934165</v>
      </c>
      <c r="BQ15" s="1502">
        <f t="shared" ref="BQ15:EB15" si="26">SUM(BQ8:BQ14)</f>
        <v>15025434</v>
      </c>
      <c r="BR15" s="1502">
        <f t="shared" si="26"/>
        <v>15284837</v>
      </c>
      <c r="BS15" s="1502">
        <f t="shared" si="26"/>
        <v>15836047</v>
      </c>
      <c r="BT15" s="1502">
        <f t="shared" si="26"/>
        <v>15512588</v>
      </c>
      <c r="BU15" s="1502">
        <f t="shared" si="26"/>
        <v>15819967</v>
      </c>
      <c r="BV15" s="1502">
        <f t="shared" si="26"/>
        <v>16308767</v>
      </c>
      <c r="BW15" s="1502">
        <f t="shared" si="26"/>
        <v>16052971</v>
      </c>
      <c r="BX15" s="1502">
        <f t="shared" si="26"/>
        <v>16792300</v>
      </c>
      <c r="BY15" s="1502">
        <f t="shared" si="26"/>
        <v>16295370</v>
      </c>
      <c r="BZ15" s="1502">
        <f t="shared" si="26"/>
        <v>5694080</v>
      </c>
      <c r="CA15" s="200">
        <f t="shared" si="26"/>
        <v>178000390</v>
      </c>
      <c r="CB15" s="201">
        <f t="shared" si="26"/>
        <v>2758001</v>
      </c>
      <c r="CC15" s="1502">
        <f t="shared" si="26"/>
        <v>3872710</v>
      </c>
      <c r="CD15" s="1502">
        <f t="shared" si="26"/>
        <v>4825139</v>
      </c>
      <c r="CE15" s="1502">
        <f t="shared" si="26"/>
        <v>3810776</v>
      </c>
      <c r="CF15" s="1502">
        <f t="shared" si="26"/>
        <v>3524924</v>
      </c>
      <c r="CG15" s="1502">
        <f t="shared" si="26"/>
        <v>3538872</v>
      </c>
      <c r="CH15" s="1502">
        <f t="shared" si="26"/>
        <v>2794536</v>
      </c>
      <c r="CI15" s="1502">
        <f t="shared" si="26"/>
        <v>3166129</v>
      </c>
      <c r="CJ15" s="1502">
        <f t="shared" si="26"/>
        <v>3195629</v>
      </c>
      <c r="CK15" s="1502">
        <f t="shared" si="26"/>
        <v>2983265</v>
      </c>
      <c r="CL15" s="1502">
        <f t="shared" si="26"/>
        <v>4442422</v>
      </c>
      <c r="CM15" s="1502">
        <f t="shared" si="26"/>
        <v>5864288</v>
      </c>
      <c r="CN15" s="200">
        <f t="shared" si="26"/>
        <v>44776691</v>
      </c>
      <c r="CO15" s="201">
        <f t="shared" si="26"/>
        <v>6238631</v>
      </c>
      <c r="CP15" s="1502">
        <f t="shared" si="26"/>
        <v>5992680</v>
      </c>
      <c r="CQ15" s="1502">
        <f t="shared" si="26"/>
        <v>6451653</v>
      </c>
      <c r="CR15" s="1502">
        <f t="shared" si="26"/>
        <v>6182703</v>
      </c>
      <c r="CS15" s="1502">
        <f t="shared" si="26"/>
        <v>6087415</v>
      </c>
      <c r="CT15" s="1502">
        <f t="shared" si="26"/>
        <v>4026949</v>
      </c>
      <c r="CU15" s="1502">
        <f t="shared" si="26"/>
        <v>2399182</v>
      </c>
      <c r="CV15" s="1502">
        <f t="shared" si="26"/>
        <v>1780823</v>
      </c>
      <c r="CW15" s="1502">
        <f t="shared" si="26"/>
        <v>2399411</v>
      </c>
      <c r="CX15" s="1502">
        <f t="shared" si="26"/>
        <v>3744138</v>
      </c>
      <c r="CY15" s="1502">
        <f t="shared" si="26"/>
        <v>3337851</v>
      </c>
      <c r="CZ15" s="1502">
        <f t="shared" si="26"/>
        <v>3467503</v>
      </c>
      <c r="DA15" s="200">
        <f t="shared" si="26"/>
        <v>52108939</v>
      </c>
      <c r="DB15" s="201">
        <f t="shared" si="26"/>
        <v>5628759</v>
      </c>
      <c r="DC15" s="1502">
        <f t="shared" si="26"/>
        <v>4155836</v>
      </c>
      <c r="DD15" s="1502">
        <f t="shared" si="26"/>
        <v>6422801</v>
      </c>
      <c r="DE15" s="1502">
        <f t="shared" si="26"/>
        <v>5508186</v>
      </c>
      <c r="DF15" s="1502">
        <f t="shared" si="26"/>
        <v>5193208</v>
      </c>
      <c r="DG15" s="1502">
        <f t="shared" si="26"/>
        <v>3274102</v>
      </c>
      <c r="DH15" s="1502">
        <f t="shared" si="26"/>
        <v>2954198</v>
      </c>
      <c r="DI15" s="1502">
        <f t="shared" si="26"/>
        <v>2629197</v>
      </c>
      <c r="DJ15" s="1502">
        <f t="shared" si="26"/>
        <v>3051144</v>
      </c>
      <c r="DK15" s="1502">
        <f t="shared" si="26"/>
        <v>4052592</v>
      </c>
      <c r="DL15" s="1502">
        <f t="shared" si="26"/>
        <v>4048142</v>
      </c>
      <c r="DM15" s="1502">
        <f t="shared" si="26"/>
        <v>4572756.8625825699</v>
      </c>
      <c r="DN15" s="200">
        <f t="shared" si="26"/>
        <v>51490921.862582572</v>
      </c>
      <c r="DO15" s="201">
        <f t="shared" si="26"/>
        <v>4337404</v>
      </c>
      <c r="DP15" s="1502">
        <f t="shared" si="26"/>
        <v>4334074.9999999991</v>
      </c>
      <c r="DQ15" s="1502">
        <f t="shared" si="26"/>
        <v>6545011.9999999991</v>
      </c>
      <c r="DR15" s="1502">
        <f t="shared" si="26"/>
        <v>5835544</v>
      </c>
      <c r="DS15" s="1502">
        <f t="shared" si="26"/>
        <v>5511793.9999999991</v>
      </c>
      <c r="DT15" s="1502">
        <f t="shared" si="26"/>
        <v>4457186</v>
      </c>
      <c r="DU15" s="1502">
        <f t="shared" si="26"/>
        <v>3049811.0000000005</v>
      </c>
      <c r="DV15" s="1502">
        <f t="shared" si="26"/>
        <v>3312277.9999999991</v>
      </c>
      <c r="DW15" s="1502">
        <f t="shared" si="26"/>
        <v>4520411.9999999991</v>
      </c>
      <c r="DX15" s="1502">
        <f t="shared" si="26"/>
        <v>5724149.9999999991</v>
      </c>
      <c r="DY15" s="1502">
        <f t="shared" si="26"/>
        <v>5981577</v>
      </c>
      <c r="DZ15" s="1502">
        <f t="shared" si="26"/>
        <v>5966708.2860000012</v>
      </c>
      <c r="EA15" s="200">
        <f t="shared" si="3"/>
        <v>59575951.285999998</v>
      </c>
      <c r="EB15" s="201">
        <f t="shared" si="26"/>
        <v>5294.9629999999997</v>
      </c>
      <c r="EC15" s="1502">
        <f t="shared" ref="EC15:EM15" si="27">SUM(EC8:EC14)</f>
        <v>5408.4840000000004</v>
      </c>
      <c r="ED15" s="1502">
        <f t="shared" si="27"/>
        <v>5903.7489999999998</v>
      </c>
      <c r="EE15" s="1502">
        <f t="shared" si="27"/>
        <v>6254.652</v>
      </c>
      <c r="EF15" s="1502">
        <f t="shared" si="27"/>
        <v>6716.7309999999998</v>
      </c>
      <c r="EG15" s="1502">
        <f t="shared" si="27"/>
        <v>5324.8419999999996</v>
      </c>
      <c r="EH15" s="1502">
        <f t="shared" si="27"/>
        <v>3621.2289999999998</v>
      </c>
      <c r="EI15" s="1502">
        <f t="shared" si="27"/>
        <v>3374.1060000000002</v>
      </c>
      <c r="EJ15" s="1502">
        <f t="shared" si="27"/>
        <v>3401.3969999999999</v>
      </c>
      <c r="EK15" s="1502">
        <f t="shared" si="27"/>
        <v>4682.8090000000002</v>
      </c>
      <c r="EL15" s="1502">
        <f t="shared" si="27"/>
        <v>5271.8310000000001</v>
      </c>
      <c r="EM15" s="1502">
        <f t="shared" si="27"/>
        <v>7562.7640000000001</v>
      </c>
      <c r="EN15" s="200">
        <f t="shared" si="8"/>
        <v>62817.556999999993</v>
      </c>
      <c r="EO15" s="201">
        <f t="shared" ref="EO15:HC15" si="28">SUM(EO8:EO14)</f>
        <v>8056.893</v>
      </c>
      <c r="EP15" s="1502">
        <f t="shared" si="28"/>
        <v>9036.8070000000007</v>
      </c>
      <c r="EQ15" s="1502">
        <f t="shared" si="28"/>
        <v>12048.407999999999</v>
      </c>
      <c r="ER15" s="1502">
        <f t="shared" si="28"/>
        <v>11167.155000000001</v>
      </c>
      <c r="ES15" s="1502">
        <f t="shared" si="28"/>
        <v>9813.5120000000006</v>
      </c>
      <c r="ET15" s="1502">
        <f t="shared" si="28"/>
        <v>5928.4769999999999</v>
      </c>
      <c r="EU15" s="1502">
        <f t="shared" si="28"/>
        <v>6421.9269999999997</v>
      </c>
      <c r="EV15" s="1502">
        <f t="shared" si="28"/>
        <v>6319.4089999999997</v>
      </c>
      <c r="EW15" s="1502">
        <f t="shared" si="28"/>
        <v>8123.5140000000001</v>
      </c>
      <c r="EX15" s="1502">
        <f t="shared" si="28"/>
        <v>11455.424000000001</v>
      </c>
      <c r="EY15" s="1502">
        <f t="shared" si="28"/>
        <v>10246.370000000001</v>
      </c>
      <c r="EZ15" s="1502">
        <f t="shared" si="28"/>
        <v>11505.022000000001</v>
      </c>
      <c r="FA15" s="200">
        <f t="shared" si="28"/>
        <v>110122.91799999999</v>
      </c>
      <c r="FB15" s="201">
        <f t="shared" si="28"/>
        <v>12066.293</v>
      </c>
      <c r="FC15" s="1502">
        <f t="shared" si="28"/>
        <v>10402.061</v>
      </c>
      <c r="FD15" s="1502">
        <f t="shared" si="28"/>
        <v>11214.8015</v>
      </c>
      <c r="FE15" s="1502">
        <f t="shared" si="28"/>
        <v>10917.739</v>
      </c>
      <c r="FF15" s="1502">
        <f t="shared" si="28"/>
        <v>10202.241</v>
      </c>
      <c r="FG15" s="1502">
        <f t="shared" si="28"/>
        <v>12066.293</v>
      </c>
      <c r="FH15" s="1502">
        <f t="shared" si="28"/>
        <v>12066.293</v>
      </c>
      <c r="FI15" s="1502">
        <f t="shared" si="28"/>
        <v>11072.667741779513</v>
      </c>
      <c r="FJ15" s="1502">
        <f t="shared" si="28"/>
        <v>9043.1509999999998</v>
      </c>
      <c r="FK15" s="1502">
        <f t="shared" si="28"/>
        <v>7437.915</v>
      </c>
      <c r="FL15" s="1502">
        <f t="shared" si="28"/>
        <v>6586.0469999999996</v>
      </c>
      <c r="FM15" s="1502">
        <f t="shared" si="28"/>
        <v>5262.0029999999997</v>
      </c>
      <c r="FN15" s="200">
        <f t="shared" si="28"/>
        <v>118337.50524177949</v>
      </c>
      <c r="FO15" s="201">
        <f t="shared" si="28"/>
        <v>5586.2259999999997</v>
      </c>
      <c r="FP15" s="1502">
        <f t="shared" si="28"/>
        <v>4107.3909999999996</v>
      </c>
      <c r="FQ15" s="1502">
        <f t="shared" si="28"/>
        <v>5091.4279999999999</v>
      </c>
      <c r="FR15" s="1502">
        <f t="shared" si="28"/>
        <v>5140.9170000000004</v>
      </c>
      <c r="FS15" s="1502">
        <f t="shared" si="28"/>
        <v>5218.2479999999996</v>
      </c>
      <c r="FT15" s="1502">
        <f t="shared" si="28"/>
        <v>2876.2330000000002</v>
      </c>
      <c r="FU15" s="1502">
        <f t="shared" si="28"/>
        <v>1634.001</v>
      </c>
      <c r="FV15" s="1502">
        <f t="shared" si="28"/>
        <v>1959.3020000000001</v>
      </c>
      <c r="FW15" s="1502">
        <f t="shared" si="28"/>
        <v>2369.123</v>
      </c>
      <c r="FX15" s="1502">
        <f t="shared" si="28"/>
        <v>5123.6130000000003</v>
      </c>
      <c r="FY15" s="1502">
        <f t="shared" si="28"/>
        <v>5017.1959999999999</v>
      </c>
      <c r="FZ15" s="1502">
        <f t="shared" si="28"/>
        <v>4871.0429999999997</v>
      </c>
      <c r="GA15" s="200">
        <f t="shared" si="28"/>
        <v>48994.720999999998</v>
      </c>
      <c r="GB15" s="201">
        <f t="shared" si="28"/>
        <v>4579.0890000000009</v>
      </c>
      <c r="GC15" s="1502">
        <f t="shared" si="28"/>
        <v>5299.915</v>
      </c>
      <c r="GD15" s="1502">
        <f t="shared" si="28"/>
        <v>5855.1449999999995</v>
      </c>
      <c r="GE15" s="1502">
        <f t="shared" si="28"/>
        <v>4646.6749999999993</v>
      </c>
      <c r="GF15" s="1502">
        <f t="shared" si="28"/>
        <v>4545.6940000000004</v>
      </c>
      <c r="GG15" s="1502">
        <f t="shared" si="28"/>
        <v>3404.826</v>
      </c>
      <c r="GH15" s="1502">
        <f t="shared" si="28"/>
        <v>3217.0219999999999</v>
      </c>
      <c r="GI15" s="1502">
        <f t="shared" si="28"/>
        <v>1534.961</v>
      </c>
      <c r="GJ15" s="1502">
        <f t="shared" si="28"/>
        <v>1584.5260000000001</v>
      </c>
      <c r="GK15" s="1502">
        <f t="shared" si="28"/>
        <v>2751.5370000000003</v>
      </c>
      <c r="GL15" s="1502">
        <f t="shared" si="28"/>
        <v>4179.1940000000004</v>
      </c>
      <c r="GM15" s="1502">
        <f t="shared" si="28"/>
        <v>5112.2050000000008</v>
      </c>
      <c r="GN15" s="200">
        <f t="shared" si="12"/>
        <v>46710.789000000004</v>
      </c>
      <c r="GO15" s="201">
        <f t="shared" si="28"/>
        <v>4504.4450000000006</v>
      </c>
      <c r="GP15" s="1502">
        <f t="shared" si="28"/>
        <v>4437.1260000000002</v>
      </c>
      <c r="GQ15" s="1502">
        <f t="shared" si="28"/>
        <v>5672.7280000000001</v>
      </c>
      <c r="GR15" s="1502">
        <f t="shared" si="28"/>
        <v>4553.1409999999996</v>
      </c>
      <c r="GS15" s="1502">
        <f t="shared" si="28"/>
        <v>4603.3230000000003</v>
      </c>
      <c r="GT15" s="1502">
        <f t="shared" si="28"/>
        <v>2492.8110000000001</v>
      </c>
      <c r="GU15" s="1502">
        <f t="shared" si="28"/>
        <v>2464.8510000000001</v>
      </c>
      <c r="GV15" s="1502">
        <f t="shared" si="28"/>
        <v>1383.855</v>
      </c>
      <c r="GW15" s="1502">
        <f t="shared" si="28"/>
        <v>2886.4110000000001</v>
      </c>
      <c r="GX15" s="1502">
        <f t="shared" si="28"/>
        <v>3084.3470000000002</v>
      </c>
      <c r="GY15" s="1502">
        <f t="shared" si="28"/>
        <v>2852.6379999999999</v>
      </c>
      <c r="GZ15" s="1502">
        <f t="shared" si="28"/>
        <v>2938.7429999999995</v>
      </c>
      <c r="HA15" s="200">
        <f t="shared" si="13"/>
        <v>41874.419000000002</v>
      </c>
      <c r="HB15" s="201">
        <f t="shared" si="28"/>
        <v>3014.2200000000003</v>
      </c>
      <c r="HC15" s="1502">
        <f t="shared" si="28"/>
        <v>3383.0150000000003</v>
      </c>
      <c r="HD15" s="1502">
        <f t="shared" ref="HD15:HZ15" si="29">SUM(HD8:HD14)</f>
        <v>5677.7809999999999</v>
      </c>
      <c r="HE15" s="1502">
        <f t="shared" si="29"/>
        <v>5123.1089999999995</v>
      </c>
      <c r="HF15" s="1502">
        <f t="shared" si="29"/>
        <v>3475.9380000000001</v>
      </c>
      <c r="HG15" s="1502">
        <f t="shared" si="29"/>
        <v>4099.0740000000005</v>
      </c>
      <c r="HH15" s="1502">
        <f t="shared" si="29"/>
        <v>2468.5260000000003</v>
      </c>
      <c r="HI15" s="1502">
        <f t="shared" si="29"/>
        <v>1484.241</v>
      </c>
      <c r="HJ15" s="1502">
        <f t="shared" si="29"/>
        <v>4856.5829999999996</v>
      </c>
      <c r="HK15" s="1502">
        <f t="shared" si="29"/>
        <v>3480.402</v>
      </c>
      <c r="HL15" s="1502">
        <f t="shared" si="29"/>
        <v>3271.7259999999997</v>
      </c>
      <c r="HM15" s="1502">
        <f t="shared" si="29"/>
        <v>4872.777</v>
      </c>
      <c r="HN15" s="200">
        <f t="shared" si="14"/>
        <v>45207.392000000007</v>
      </c>
      <c r="HO15" s="201">
        <f t="shared" si="29"/>
        <v>3005.848</v>
      </c>
      <c r="HP15" s="1502">
        <f t="shared" si="29"/>
        <v>3484.6469999999999</v>
      </c>
      <c r="HQ15" s="1502">
        <f t="shared" si="29"/>
        <v>5713.4290000000001</v>
      </c>
      <c r="HR15" s="1502">
        <f t="shared" si="29"/>
        <v>4882.4949999999999</v>
      </c>
      <c r="HS15" s="1502">
        <f t="shared" si="29"/>
        <v>4746.5589999999993</v>
      </c>
      <c r="HT15" s="1502">
        <f t="shared" si="29"/>
        <v>3151.6680000000001</v>
      </c>
      <c r="HU15" s="1502">
        <f t="shared" si="29"/>
        <v>2222.9070000000002</v>
      </c>
      <c r="HV15" s="1502">
        <f t="shared" si="29"/>
        <v>2113.0259999999998</v>
      </c>
      <c r="HW15" s="1502">
        <f t="shared" si="29"/>
        <v>1579.3330000000001</v>
      </c>
      <c r="HX15" s="1502">
        <f t="shared" si="29"/>
        <v>2002.6470000000002</v>
      </c>
      <c r="HY15" s="1502">
        <f t="shared" si="29"/>
        <v>31.635000000000002</v>
      </c>
      <c r="HZ15" s="1502">
        <f t="shared" si="29"/>
        <v>598.44999999999993</v>
      </c>
      <c r="IA15" s="200">
        <f t="shared" si="15"/>
        <v>33532.643999999993</v>
      </c>
      <c r="IB15" s="201">
        <f t="shared" ref="IB15:JM15" si="30">SUM(IB8:IB14)</f>
        <v>2821.4319999999998</v>
      </c>
      <c r="IC15" s="1502">
        <f t="shared" si="30"/>
        <v>3450.62</v>
      </c>
      <c r="ID15" s="1502">
        <f t="shared" si="30"/>
        <v>5815.2259999999997</v>
      </c>
      <c r="IE15" s="1502">
        <f t="shared" si="30"/>
        <v>5410.1010000000006</v>
      </c>
      <c r="IF15" s="1502">
        <f t="shared" si="30"/>
        <v>4351.9890000000005</v>
      </c>
      <c r="IG15" s="1502">
        <f t="shared" si="30"/>
        <v>2893.0430000000001</v>
      </c>
      <c r="IH15" s="1502">
        <f t="shared" si="30"/>
        <v>1321.037</v>
      </c>
      <c r="II15" s="1502">
        <f t="shared" si="30"/>
        <v>1256.51</v>
      </c>
      <c r="IJ15" s="1502">
        <f t="shared" si="30"/>
        <v>1387.9669999999999</v>
      </c>
      <c r="IK15" s="1502">
        <f t="shared" si="30"/>
        <v>1669.0049999999999</v>
      </c>
      <c r="IL15" s="1502">
        <f t="shared" si="30"/>
        <v>3260.4840000000004</v>
      </c>
      <c r="IM15" s="1502">
        <f t="shared" si="30"/>
        <v>3381.105</v>
      </c>
      <c r="IN15" s="200">
        <f t="shared" si="16"/>
        <v>37018.519000000008</v>
      </c>
      <c r="IO15" s="201">
        <f t="shared" si="30"/>
        <v>4861.3879999999999</v>
      </c>
      <c r="IP15" s="1502">
        <f t="shared" si="30"/>
        <v>4778.799</v>
      </c>
      <c r="IQ15" s="1502">
        <f t="shared" si="30"/>
        <v>5408.6210000000001</v>
      </c>
      <c r="IR15" s="1502">
        <f t="shared" si="30"/>
        <v>3648.5459999999998</v>
      </c>
      <c r="IS15" s="1502">
        <f t="shared" si="30"/>
        <v>4196.5870000000004</v>
      </c>
      <c r="IT15" s="1502">
        <f t="shared" si="30"/>
        <v>1700.501</v>
      </c>
      <c r="IU15" s="1502">
        <f t="shared" si="30"/>
        <v>950.1640000000001</v>
      </c>
      <c r="IV15" s="1502">
        <f t="shared" si="30"/>
        <v>625.48099999999999</v>
      </c>
      <c r="IW15" s="1502">
        <f t="shared" si="30"/>
        <v>989.85599999999999</v>
      </c>
      <c r="IX15" s="1502">
        <f t="shared" si="30"/>
        <v>1890.0719999999999</v>
      </c>
      <c r="IY15" s="1502">
        <f t="shared" si="30"/>
        <v>4164.9970000000003</v>
      </c>
      <c r="IZ15" s="1502">
        <f t="shared" si="30"/>
        <v>3368.9670000000001</v>
      </c>
      <c r="JA15" s="200">
        <f t="shared" si="17"/>
        <v>36583.978999999999</v>
      </c>
      <c r="JB15" s="201">
        <f t="shared" si="30"/>
        <v>4560.6289999999999</v>
      </c>
      <c r="JC15" s="1502">
        <f t="shared" si="30"/>
        <v>4137.6589999999997</v>
      </c>
      <c r="JD15" s="1502">
        <f t="shared" si="30"/>
        <v>5103.192</v>
      </c>
      <c r="JE15" s="1502">
        <f t="shared" si="30"/>
        <v>3808.1260000000002</v>
      </c>
      <c r="JF15" s="1502">
        <f t="shared" si="30"/>
        <v>4749.402</v>
      </c>
      <c r="JG15" s="1502">
        <f t="shared" si="30"/>
        <v>3378.6170000000002</v>
      </c>
      <c r="JH15" s="1502">
        <f t="shared" si="30"/>
        <v>2490.4569999999999</v>
      </c>
      <c r="JI15" s="1502">
        <f t="shared" si="30"/>
        <v>2055.172</v>
      </c>
      <c r="JJ15" s="1502">
        <f t="shared" si="30"/>
        <v>2701.4230000000002</v>
      </c>
      <c r="JK15" s="1502">
        <f t="shared" si="30"/>
        <v>4326.33090051</v>
      </c>
      <c r="JL15" s="1502">
        <f t="shared" si="30"/>
        <v>5163.1591523224997</v>
      </c>
      <c r="JM15" s="1502">
        <f t="shared" si="30"/>
        <v>0</v>
      </c>
      <c r="JN15" s="200">
        <f t="shared" si="18"/>
        <v>42474.167052832498</v>
      </c>
      <c r="JO15"/>
      <c r="JP15" s="27">
        <f t="shared" si="19"/>
        <v>23.96549510894004</v>
      </c>
      <c r="JQ15" s="1510">
        <f t="shared" si="20"/>
        <v>27.876416401211877</v>
      </c>
      <c r="JR15" s="26">
        <f t="shared" si="21"/>
        <v>33215.012000000002</v>
      </c>
      <c r="JS15" s="26">
        <f t="shared" si="22"/>
        <v>42474.167052832498</v>
      </c>
    </row>
    <row r="16" spans="1:280" s="203" customFormat="1" ht="13.9" customHeight="1" x14ac:dyDescent="0.2">
      <c r="A16" s="1503" t="s">
        <v>218</v>
      </c>
      <c r="B16" s="1504"/>
      <c r="C16" s="1505"/>
      <c r="D16" s="1505"/>
      <c r="E16" s="1505"/>
      <c r="F16" s="1505"/>
      <c r="G16" s="1505"/>
      <c r="H16" s="1505"/>
      <c r="I16" s="1505"/>
      <c r="J16" s="1505"/>
      <c r="K16" s="1505"/>
      <c r="L16" s="1505"/>
      <c r="M16" s="1505"/>
      <c r="N16" s="1506"/>
      <c r="O16" s="1504"/>
      <c r="P16" s="1505"/>
      <c r="Q16" s="1505"/>
      <c r="R16" s="1505"/>
      <c r="S16" s="1505"/>
      <c r="T16" s="1505"/>
      <c r="U16" s="1505"/>
      <c r="V16" s="1505"/>
      <c r="W16" s="1505"/>
      <c r="X16" s="1505"/>
      <c r="Y16" s="1505"/>
      <c r="Z16" s="1505"/>
      <c r="AA16" s="1506">
        <f>SUM(O16:Z16)</f>
        <v>0</v>
      </c>
      <c r="AB16" s="1504"/>
      <c r="AC16" s="1505"/>
      <c r="AD16" s="1505"/>
      <c r="AE16" s="1505"/>
      <c r="AF16" s="1505"/>
      <c r="AG16" s="1505"/>
      <c r="AH16" s="1505"/>
      <c r="AI16" s="1505"/>
      <c r="AJ16" s="1505"/>
      <c r="AK16" s="1505"/>
      <c r="AL16" s="1505"/>
      <c r="AM16" s="1505"/>
      <c r="AN16" s="1506">
        <f>SUM(AB16:AM16)</f>
        <v>0</v>
      </c>
      <c r="AO16" s="1504"/>
      <c r="AP16" s="1505"/>
      <c r="AQ16" s="1505"/>
      <c r="AR16" s="1505"/>
      <c r="AS16" s="1505"/>
      <c r="AT16" s="1505"/>
      <c r="AU16" s="1505"/>
      <c r="AV16" s="1505"/>
      <c r="AW16" s="1505"/>
      <c r="AX16" s="1505"/>
      <c r="AY16" s="1505"/>
      <c r="AZ16" s="1505"/>
      <c r="BA16" s="1506"/>
      <c r="BB16" s="1504"/>
      <c r="BC16" s="1505"/>
      <c r="BD16" s="1505"/>
      <c r="BE16" s="1505"/>
      <c r="BF16" s="1505"/>
      <c r="BG16" s="1505"/>
      <c r="BH16" s="1505"/>
      <c r="BI16" s="1505"/>
      <c r="BJ16" s="1505"/>
      <c r="BK16" s="1505"/>
      <c r="BL16" s="1505"/>
      <c r="BM16" s="1505"/>
      <c r="BN16" s="1506"/>
      <c r="BO16" s="1504"/>
      <c r="BP16" s="1505"/>
      <c r="BQ16" s="1505"/>
      <c r="BR16" s="1505"/>
      <c r="BS16" s="1505"/>
      <c r="BT16" s="1505"/>
      <c r="BU16" s="1505"/>
      <c r="BV16" s="1505"/>
      <c r="BW16" s="1505"/>
      <c r="BX16" s="1505"/>
      <c r="BY16" s="1505"/>
      <c r="BZ16" s="1505">
        <v>12025245</v>
      </c>
      <c r="CA16" s="1506">
        <f>SUM(BO16:BZ16)</f>
        <v>12025245</v>
      </c>
      <c r="CB16" s="1504">
        <v>15790815</v>
      </c>
      <c r="CC16" s="1505">
        <v>12631930</v>
      </c>
      <c r="CD16" s="1505">
        <v>13617905</v>
      </c>
      <c r="CE16" s="1505">
        <v>14404697</v>
      </c>
      <c r="CF16" s="1505">
        <v>15957461</v>
      </c>
      <c r="CG16" s="1505">
        <v>15758001</v>
      </c>
      <c r="CH16" s="1505">
        <v>17428779</v>
      </c>
      <c r="CI16" s="1505">
        <v>17181858</v>
      </c>
      <c r="CJ16" s="1505">
        <v>16461911</v>
      </c>
      <c r="CK16" s="1505">
        <v>18412749</v>
      </c>
      <c r="CL16" s="1505">
        <v>16119917</v>
      </c>
      <c r="CM16" s="1505">
        <v>14800325</v>
      </c>
      <c r="CN16" s="1506">
        <f>SUM(CB16:CM16)</f>
        <v>188566348</v>
      </c>
      <c r="CO16" s="1504">
        <v>14652391</v>
      </c>
      <c r="CP16" s="1505">
        <v>13229246</v>
      </c>
      <c r="CQ16" s="1505">
        <v>14811170</v>
      </c>
      <c r="CR16" s="1505">
        <v>14167742</v>
      </c>
      <c r="CS16" s="1505">
        <v>15866996</v>
      </c>
      <c r="CT16" s="1505">
        <v>17446503</v>
      </c>
      <c r="CU16" s="1505">
        <v>19897160</v>
      </c>
      <c r="CV16" s="1505">
        <v>21693546</v>
      </c>
      <c r="CW16" s="1505">
        <v>20027224</v>
      </c>
      <c r="CX16" s="1505">
        <v>19545004</v>
      </c>
      <c r="CY16" s="1505">
        <v>19640395</v>
      </c>
      <c r="CZ16" s="1505">
        <v>19654567</v>
      </c>
      <c r="DA16" s="1506">
        <f>SUM(CO16:CZ16)</f>
        <v>210631944</v>
      </c>
      <c r="DB16" s="1504">
        <v>16914361</v>
      </c>
      <c r="DC16" s="1505">
        <v>16564227</v>
      </c>
      <c r="DD16" s="1505">
        <v>16393915</v>
      </c>
      <c r="DE16" s="1505">
        <v>19443380</v>
      </c>
      <c r="DF16" s="1505">
        <v>20094320</v>
      </c>
      <c r="DG16" s="1505">
        <v>20587516</v>
      </c>
      <c r="DH16" s="1505">
        <v>22095850</v>
      </c>
      <c r="DI16" s="1505">
        <v>22315544</v>
      </c>
      <c r="DJ16" s="1505">
        <v>22531208</v>
      </c>
      <c r="DK16" s="1505">
        <v>22621780</v>
      </c>
      <c r="DL16" s="1505">
        <v>21569192</v>
      </c>
      <c r="DM16" s="1505">
        <v>21844122</v>
      </c>
      <c r="DN16" s="1506">
        <f t="shared" si="2"/>
        <v>242975415</v>
      </c>
      <c r="DO16" s="1504">
        <v>19214603.70132602</v>
      </c>
      <c r="DP16" s="1505">
        <v>17298318.969767522</v>
      </c>
      <c r="DQ16" s="1505">
        <v>16730195.276886275</v>
      </c>
      <c r="DR16" s="1505">
        <v>16967787.437505025</v>
      </c>
      <c r="DS16" s="1505">
        <v>18826551.424131706</v>
      </c>
      <c r="DT16" s="1505">
        <v>19607182.802015908</v>
      </c>
      <c r="DU16" s="1505">
        <v>22004490.514610481</v>
      </c>
      <c r="DV16" s="1505">
        <v>22201650.579065748</v>
      </c>
      <c r="DW16" s="1505">
        <v>20739303.010607149</v>
      </c>
      <c r="DX16" s="1505">
        <v>19976232.002476819</v>
      </c>
      <c r="DY16" s="1505">
        <v>19853216.400802445</v>
      </c>
      <c r="DZ16" s="1505">
        <v>21003600.200113773</v>
      </c>
      <c r="EA16" s="1506">
        <f>SUM(DO16:DZ16)</f>
        <v>234423132.31930888</v>
      </c>
      <c r="EB16" s="1504"/>
      <c r="EC16" s="1505"/>
      <c r="ED16" s="1505"/>
      <c r="EE16" s="1505"/>
      <c r="EF16" s="1505"/>
      <c r="EG16" s="1505"/>
      <c r="EH16" s="1505"/>
      <c r="EI16" s="1505"/>
      <c r="EJ16" s="1505"/>
      <c r="EK16" s="1505"/>
      <c r="EL16" s="1505"/>
      <c r="EM16" s="1505"/>
      <c r="EN16" s="1506">
        <f t="shared" si="8"/>
        <v>0</v>
      </c>
      <c r="EO16" s="1504"/>
      <c r="EP16" s="1505"/>
      <c r="EQ16" s="1505"/>
      <c r="ER16" s="1505"/>
      <c r="ES16" s="1505"/>
      <c r="ET16" s="1505"/>
      <c r="EU16" s="1505"/>
      <c r="EV16" s="1505"/>
      <c r="EW16" s="1505"/>
      <c r="EX16" s="1505"/>
      <c r="EY16" s="1505"/>
      <c r="EZ16" s="1505"/>
      <c r="FA16" s="1506"/>
      <c r="FB16" s="1504">
        <v>17738.925999999999</v>
      </c>
      <c r="FC16" s="1505">
        <v>17523.474999999999</v>
      </c>
      <c r="FD16" s="1505">
        <v>19345.2</v>
      </c>
      <c r="FE16" s="1505">
        <v>21422.978999999999</v>
      </c>
      <c r="FF16" s="1505">
        <v>21685.190999999999</v>
      </c>
      <c r="FG16" s="1505">
        <v>21010.477999999999</v>
      </c>
      <c r="FH16" s="1505">
        <v>23526.691999999999</v>
      </c>
      <c r="FI16" s="1505">
        <v>25027.794000000002</v>
      </c>
      <c r="FJ16" s="1505">
        <v>22979.816999999999</v>
      </c>
      <c r="FK16" s="1505">
        <v>26394.413</v>
      </c>
      <c r="FL16" s="1505">
        <v>25945.883000000002</v>
      </c>
      <c r="FM16" s="1505">
        <v>27991.399000000001</v>
      </c>
      <c r="FN16" s="1506">
        <f>SUM(FB16:FM16)</f>
        <v>270592.24699999997</v>
      </c>
      <c r="FO16" s="1504">
        <v>25719.133999999998</v>
      </c>
      <c r="FP16" s="1505">
        <v>26133.742999999999</v>
      </c>
      <c r="FQ16" s="1505">
        <v>26974.154999999999</v>
      </c>
      <c r="FR16" s="1505">
        <v>25929.466</v>
      </c>
      <c r="FS16" s="1505">
        <v>27339.662</v>
      </c>
      <c r="FT16" s="1505">
        <v>28851.937999999998</v>
      </c>
      <c r="FU16" s="1505">
        <v>31726.41</v>
      </c>
      <c r="FV16" s="1505">
        <v>31654.286</v>
      </c>
      <c r="FW16" s="1505">
        <v>31466.136999999999</v>
      </c>
      <c r="FX16" s="1505">
        <v>28633.5</v>
      </c>
      <c r="FY16" s="1505">
        <v>29114.673999999999</v>
      </c>
      <c r="FZ16" s="1505">
        <v>29733.563999999998</v>
      </c>
      <c r="GA16" s="1506">
        <f>SUM(FO16:FZ16)</f>
        <v>343276.66899999999</v>
      </c>
      <c r="GB16" s="1504">
        <v>25869.482511103815</v>
      </c>
      <c r="GC16" s="1505">
        <v>22476.769190929583</v>
      </c>
      <c r="GD16" s="1505">
        <v>24597.936980856612</v>
      </c>
      <c r="GE16" s="1505">
        <v>25082.327460693166</v>
      </c>
      <c r="GF16" s="1505">
        <v>26541.658313755615</v>
      </c>
      <c r="GG16" s="1505">
        <v>26434.051102683501</v>
      </c>
      <c r="GH16" s="1505">
        <v>27260.316527776071</v>
      </c>
      <c r="GI16" s="1505">
        <v>29463.820622923176</v>
      </c>
      <c r="GJ16" s="1505">
        <v>28733.509427361154</v>
      </c>
      <c r="GK16" s="1505">
        <v>29071.266606729809</v>
      </c>
      <c r="GL16" s="1505">
        <v>26927.521965259792</v>
      </c>
      <c r="GM16" s="1505">
        <v>27972.353831335768</v>
      </c>
      <c r="GN16" s="1506">
        <f>SUM(GB16:GM16)</f>
        <v>320431.01454140811</v>
      </c>
      <c r="GO16" s="1504">
        <v>29221.313291549701</v>
      </c>
      <c r="GP16" s="1505">
        <v>26910.955460808898</v>
      </c>
      <c r="GQ16" s="1505">
        <v>23115.780108307699</v>
      </c>
      <c r="GR16" s="1505">
        <v>19156.762562513799</v>
      </c>
      <c r="GS16" s="1505">
        <v>21895.946828889799</v>
      </c>
      <c r="GT16" s="1505">
        <v>25570.506421279501</v>
      </c>
      <c r="GU16" s="1505">
        <v>27567.709750763799</v>
      </c>
      <c r="GV16" s="1505">
        <v>29526.061070181899</v>
      </c>
      <c r="GW16" s="1505">
        <v>28126.685966006102</v>
      </c>
      <c r="GX16" s="1505">
        <v>30328.0285239679</v>
      </c>
      <c r="GY16" s="1505">
        <v>30647.4185659262</v>
      </c>
      <c r="GZ16" s="1505">
        <v>31485.617888749901</v>
      </c>
      <c r="HA16" s="1506">
        <f>SUM(GO16:GZ16)</f>
        <v>323552.78643894522</v>
      </c>
      <c r="HB16" s="1504">
        <v>31435.4368230045</v>
      </c>
      <c r="HC16" s="1505">
        <v>28545.6432753392</v>
      </c>
      <c r="HD16" s="1505">
        <v>28008.490522469099</v>
      </c>
      <c r="HE16" s="1505">
        <v>27532.550641238198</v>
      </c>
      <c r="HF16" s="1505">
        <v>31221.246366020001</v>
      </c>
      <c r="HG16" s="1505">
        <v>29264.894</v>
      </c>
      <c r="HH16" s="1505">
        <v>31690.198</v>
      </c>
      <c r="HI16" s="1505">
        <v>33675.811999999998</v>
      </c>
      <c r="HJ16" s="1505">
        <v>31102.699000000001</v>
      </c>
      <c r="HK16" s="1505">
        <v>34040.055999999997</v>
      </c>
      <c r="HL16" s="1505">
        <v>32274.218000000001</v>
      </c>
      <c r="HM16" s="1505">
        <v>31813.200000000001</v>
      </c>
      <c r="HN16" s="1506">
        <f>SUM(HB16:HM16)</f>
        <v>370604.44462807098</v>
      </c>
      <c r="HO16" s="1504">
        <v>34109.703000000001</v>
      </c>
      <c r="HP16" s="1505">
        <v>29003.957999999999</v>
      </c>
      <c r="HQ16" s="1505">
        <v>29781.759999999998</v>
      </c>
      <c r="HR16" s="1505">
        <v>29715.298999999999</v>
      </c>
      <c r="HS16" s="1505">
        <v>30741.675999999999</v>
      </c>
      <c r="HT16" s="1505">
        <v>31440.145</v>
      </c>
      <c r="HU16" s="1505">
        <v>34575.473011110502</v>
      </c>
      <c r="HV16" s="1505">
        <v>34694.373926525601</v>
      </c>
      <c r="HW16" s="1505">
        <v>35740.459947248099</v>
      </c>
      <c r="HX16" s="1505">
        <v>36379.425787719803</v>
      </c>
      <c r="HY16" s="1505">
        <v>37237.446179501101</v>
      </c>
      <c r="HZ16" s="1505">
        <v>37921.4640783949</v>
      </c>
      <c r="IA16" s="1506">
        <f>SUM(HO16:HZ16)</f>
        <v>401341.18393050006</v>
      </c>
      <c r="IB16" s="1504">
        <v>34589.0012147909</v>
      </c>
      <c r="IC16" s="1505">
        <v>31431.0850038549</v>
      </c>
      <c r="ID16" s="1505">
        <v>31716.381690726401</v>
      </c>
      <c r="IE16" s="1505">
        <v>29893.097171977501</v>
      </c>
      <c r="IF16" s="1505">
        <v>33801.731716124501</v>
      </c>
      <c r="IG16" s="1505">
        <v>33995.4490938034</v>
      </c>
      <c r="IH16" s="1505">
        <v>38257.495947058902</v>
      </c>
      <c r="II16" s="1505">
        <v>40101.876956831802</v>
      </c>
      <c r="IJ16" s="1505">
        <v>39445.8264079539</v>
      </c>
      <c r="IK16" s="1505">
        <v>37848.4591083821</v>
      </c>
      <c r="IL16" s="1505">
        <v>35634.919495750801</v>
      </c>
      <c r="IM16" s="1505">
        <v>36934.825161713903</v>
      </c>
      <c r="IN16" s="1506">
        <f>SUM(IB16:IM16)</f>
        <v>423650.14896896901</v>
      </c>
      <c r="IO16" s="1504">
        <v>35803.981</v>
      </c>
      <c r="IP16" s="1505">
        <v>33699.334000000003</v>
      </c>
      <c r="IQ16" s="1505">
        <v>35618.716</v>
      </c>
      <c r="IR16" s="1505">
        <v>37466.271999999997</v>
      </c>
      <c r="IS16" s="1505">
        <v>38394.792000000001</v>
      </c>
      <c r="IT16" s="1505">
        <v>39782.127999999997</v>
      </c>
      <c r="IU16" s="1505">
        <v>42407.178228924502</v>
      </c>
      <c r="IV16" s="1505">
        <v>44511.550127011396</v>
      </c>
      <c r="IW16" s="1505">
        <v>43873.720708632398</v>
      </c>
      <c r="IX16" s="1505">
        <v>44052.475446475197</v>
      </c>
      <c r="IY16" s="1505">
        <v>39172.413999999997</v>
      </c>
      <c r="IZ16" s="1505">
        <v>41611.783000000003</v>
      </c>
      <c r="JA16" s="1506">
        <f>SUM(IO16:IZ16)</f>
        <v>476394.34451104345</v>
      </c>
      <c r="JB16" s="1504">
        <v>39759.303281187924</v>
      </c>
      <c r="JC16" s="1505">
        <v>34704.19878043596</v>
      </c>
      <c r="JD16" s="1505">
        <v>38238.064379168711</v>
      </c>
      <c r="JE16" s="1505">
        <v>39571.823123428701</v>
      </c>
      <c r="JF16" s="1505">
        <v>39722.426657473501</v>
      </c>
      <c r="JG16" s="1505">
        <v>39466.113978407797</v>
      </c>
      <c r="JH16" s="1505">
        <v>42307.720358298</v>
      </c>
      <c r="JI16" s="1505">
        <v>44418.101999999999</v>
      </c>
      <c r="JJ16" s="1505">
        <v>43151.019</v>
      </c>
      <c r="JK16" s="1505">
        <v>43371.895409350298</v>
      </c>
      <c r="JL16" s="1505">
        <v>42072.065465272201</v>
      </c>
      <c r="JM16" s="1505"/>
      <c r="JN16" s="1506">
        <f>SUM(JB16:JM16)</f>
        <v>446782.73243302305</v>
      </c>
      <c r="JO16"/>
      <c r="JP16" s="1510">
        <f t="shared" si="19"/>
        <v>7.4022792296441153</v>
      </c>
      <c r="JQ16" s="95">
        <f t="shared" si="20"/>
        <v>2.7600396115875059</v>
      </c>
      <c r="JR16" s="26">
        <f t="shared" si="21"/>
        <v>434782.56151104346</v>
      </c>
      <c r="JS16" s="26">
        <f t="shared" si="22"/>
        <v>446782.73243302305</v>
      </c>
    </row>
    <row r="17" spans="1:279" ht="13.9" customHeight="1" x14ac:dyDescent="0.2">
      <c r="A17" s="1331" t="s">
        <v>352</v>
      </c>
      <c r="B17" s="1332"/>
      <c r="C17" s="1332"/>
      <c r="D17" s="1332"/>
      <c r="E17" s="1332"/>
      <c r="F17" s="1332"/>
      <c r="G17" s="1332"/>
      <c r="H17" s="1332"/>
      <c r="I17" s="1332"/>
      <c r="J17" s="1332"/>
      <c r="K17" s="1332"/>
      <c r="L17" s="1332"/>
      <c r="M17" s="1332"/>
      <c r="N17" s="1332"/>
      <c r="O17" s="1332"/>
      <c r="P17" s="1332"/>
      <c r="Q17" s="1332"/>
      <c r="R17" s="1332"/>
      <c r="S17" s="1332"/>
      <c r="T17" s="1332"/>
      <c r="U17" s="1332"/>
      <c r="V17" s="1332"/>
      <c r="W17" s="1332"/>
      <c r="X17" s="1332"/>
      <c r="Y17" s="1332"/>
      <c r="Z17" s="1332"/>
      <c r="AA17" s="1332"/>
      <c r="AB17" s="1332"/>
      <c r="AC17" s="1332"/>
      <c r="AD17" s="1332"/>
      <c r="AE17" s="1332"/>
      <c r="AF17" s="1332"/>
      <c r="AG17" s="1332"/>
      <c r="AH17" s="1332"/>
      <c r="AI17" s="1332"/>
      <c r="AJ17" s="1332"/>
      <c r="AK17" s="1332"/>
      <c r="AL17" s="1332"/>
      <c r="AM17" s="1332"/>
      <c r="AN17" s="1332"/>
      <c r="AO17" s="1332"/>
      <c r="AP17" s="1332"/>
      <c r="AQ17" s="1332"/>
      <c r="AR17" s="1332"/>
      <c r="AS17" s="1332"/>
      <c r="AT17" s="1332"/>
      <c r="AU17" s="1332"/>
      <c r="AV17" s="1332"/>
      <c r="AW17" s="1332"/>
      <c r="AX17" s="1332"/>
      <c r="AY17" s="1332"/>
      <c r="AZ17" s="1332"/>
      <c r="BA17" s="1332"/>
      <c r="BB17" s="1332"/>
      <c r="BC17" s="1332"/>
      <c r="BD17" s="1332"/>
      <c r="BE17" s="1332"/>
      <c r="BF17" s="1332"/>
      <c r="BG17" s="1332"/>
      <c r="BH17" s="1332"/>
      <c r="BI17" s="1332"/>
      <c r="BJ17" s="1332"/>
      <c r="BK17" s="1332"/>
      <c r="BL17" s="1332"/>
      <c r="BM17" s="1332"/>
      <c r="BN17" s="1332"/>
      <c r="BO17" s="1332"/>
      <c r="BP17" s="1332"/>
      <c r="BQ17" s="1332"/>
      <c r="BR17" s="1332"/>
      <c r="BS17" s="1332"/>
      <c r="BT17" s="1332"/>
      <c r="BU17" s="1332"/>
      <c r="BV17" s="1332"/>
      <c r="BW17" s="1332"/>
      <c r="BX17" s="1332"/>
      <c r="BY17" s="1332"/>
      <c r="BZ17" s="1332"/>
      <c r="CA17" s="1332"/>
      <c r="CB17" s="1332"/>
      <c r="CC17" s="1332"/>
      <c r="CD17" s="1332"/>
      <c r="CE17" s="1332"/>
      <c r="CF17" s="1332"/>
      <c r="CG17" s="1332"/>
      <c r="CH17" s="1332"/>
      <c r="CI17" s="1332"/>
      <c r="CJ17" s="1332"/>
      <c r="CK17" s="1332"/>
      <c r="CL17" s="1332"/>
      <c r="CM17" s="1332"/>
      <c r="CN17" s="1332"/>
      <c r="CO17" s="1332"/>
      <c r="CP17" s="1332"/>
      <c r="CQ17" s="1332"/>
      <c r="CR17" s="1332"/>
      <c r="CS17" s="1332"/>
      <c r="CT17" s="1332"/>
      <c r="CU17" s="1332"/>
      <c r="CV17" s="1332"/>
      <c r="CW17" s="1332"/>
      <c r="CX17" s="1332"/>
      <c r="CY17" s="1332"/>
      <c r="CZ17" s="1332"/>
      <c r="DA17" s="1332"/>
      <c r="DB17" s="1332"/>
      <c r="DC17" s="1332"/>
      <c r="DD17" s="1332"/>
      <c r="DE17" s="1332"/>
      <c r="DF17" s="1332"/>
      <c r="DG17" s="1332"/>
      <c r="DH17" s="1332"/>
      <c r="DI17" s="1332"/>
      <c r="DJ17" s="1332"/>
      <c r="DK17" s="1332"/>
      <c r="DL17" s="1332"/>
      <c r="DM17" s="1332"/>
      <c r="DN17" s="1332"/>
      <c r="DO17" s="1332"/>
      <c r="DP17" s="1332"/>
      <c r="DQ17" s="1332"/>
      <c r="DR17" s="1332"/>
      <c r="DS17" s="1332"/>
      <c r="DT17" s="1332"/>
      <c r="DU17" s="1332"/>
      <c r="DV17" s="1332"/>
      <c r="DW17" s="1332"/>
      <c r="DX17" s="1332"/>
      <c r="DY17" s="1332"/>
      <c r="DZ17" s="1332"/>
      <c r="EA17" s="1332"/>
      <c r="EB17" s="1332"/>
      <c r="EC17" s="1332"/>
      <c r="ED17" s="1332"/>
      <c r="EE17" s="1332"/>
      <c r="EF17" s="1332"/>
      <c r="EG17" s="1332"/>
      <c r="EH17" s="1332"/>
      <c r="EI17" s="1332"/>
      <c r="EJ17" s="1332"/>
      <c r="EK17" s="1332"/>
      <c r="EL17" s="1332"/>
      <c r="EM17" s="1332"/>
      <c r="EN17" s="1332"/>
      <c r="EO17" s="1332"/>
      <c r="EP17" s="1332"/>
      <c r="EQ17" s="1332"/>
      <c r="ER17" s="1332"/>
      <c r="ES17" s="1332"/>
      <c r="ET17" s="1332"/>
      <c r="EU17" s="1332"/>
      <c r="EV17" s="1332"/>
      <c r="EW17" s="1332"/>
      <c r="EX17" s="1332"/>
      <c r="EY17" s="1332"/>
      <c r="EZ17" s="1332"/>
      <c r="FA17" s="1332"/>
      <c r="FB17" s="1332"/>
      <c r="FC17" s="1332"/>
      <c r="FD17" s="1332"/>
      <c r="FE17" s="1332"/>
      <c r="FF17" s="1332"/>
      <c r="FG17" s="1332"/>
      <c r="FH17" s="1332"/>
      <c r="FI17" s="1332"/>
      <c r="FJ17" s="1332"/>
      <c r="FK17" s="1332"/>
      <c r="FL17" s="1332"/>
      <c r="FM17" s="1332"/>
      <c r="FN17" s="1332"/>
      <c r="FO17" s="1332"/>
      <c r="FP17" s="1332"/>
      <c r="FQ17" s="1332"/>
      <c r="FR17" s="1332"/>
      <c r="FS17" s="1332"/>
      <c r="FT17" s="1332"/>
      <c r="FU17" s="1332"/>
      <c r="FV17" s="1332"/>
      <c r="FW17" s="1332"/>
      <c r="FX17" s="1332"/>
      <c r="FY17" s="1332"/>
      <c r="FZ17" s="1332"/>
      <c r="GA17" s="1332"/>
      <c r="GB17" s="1332"/>
      <c r="GC17" s="1332"/>
      <c r="GD17" s="1332"/>
      <c r="GE17" s="1332"/>
      <c r="GF17" s="1332"/>
      <c r="GG17" s="1332"/>
      <c r="GH17" s="1332"/>
      <c r="GI17" s="1332"/>
      <c r="GJ17" s="1332"/>
      <c r="GK17" s="1332"/>
      <c r="GL17" s="1332"/>
      <c r="GM17" s="1332"/>
      <c r="GN17" s="1332"/>
      <c r="GO17" s="1332"/>
      <c r="GP17" s="1332"/>
      <c r="GQ17" s="1332"/>
      <c r="GR17" s="1332"/>
      <c r="GS17" s="1332"/>
      <c r="GT17" s="1332"/>
      <c r="GU17" s="1332"/>
      <c r="GV17" s="1332"/>
      <c r="GW17" s="1332"/>
      <c r="GX17" s="1332"/>
      <c r="GY17" s="1332"/>
      <c r="GZ17" s="1332"/>
      <c r="HA17" s="1332"/>
      <c r="HB17" s="1332"/>
      <c r="HC17" s="1332"/>
      <c r="HD17" s="1332"/>
      <c r="HE17" s="1332"/>
      <c r="HF17" s="1332"/>
      <c r="HG17" s="1332"/>
      <c r="HH17" s="1332"/>
      <c r="HI17" s="1332"/>
      <c r="HJ17" s="1332"/>
      <c r="HK17" s="1332"/>
      <c r="HL17" s="1332"/>
      <c r="HM17" s="1332"/>
      <c r="HN17" s="1332"/>
      <c r="HO17" s="1332"/>
      <c r="HP17" s="1332"/>
      <c r="HQ17" s="1332"/>
      <c r="HR17" s="1332"/>
      <c r="HS17" s="1332"/>
      <c r="HT17" s="1332"/>
      <c r="HU17" s="1332"/>
      <c r="HV17" s="1332"/>
      <c r="HW17" s="1332"/>
      <c r="HX17" s="1332"/>
      <c r="HY17" s="1332"/>
      <c r="HZ17" s="1332"/>
      <c r="IA17" s="1332"/>
      <c r="IB17" s="1332"/>
      <c r="IC17" s="1332"/>
      <c r="ID17" s="1332"/>
      <c r="IE17" s="1332"/>
      <c r="IF17" s="1332"/>
      <c r="IG17" s="1332"/>
      <c r="IH17" s="1332"/>
      <c r="II17" s="1332"/>
      <c r="IJ17" s="1332"/>
      <c r="IK17" s="1332"/>
      <c r="IL17" s="1332"/>
      <c r="IM17" s="1332"/>
      <c r="IN17" s="1332"/>
      <c r="IO17" s="1332"/>
      <c r="IP17" s="1332"/>
      <c r="IQ17" s="1332"/>
      <c r="IR17" s="1332"/>
      <c r="IS17" s="1332"/>
      <c r="IT17" s="1332"/>
      <c r="IU17" s="1332"/>
      <c r="IV17" s="1332"/>
      <c r="IW17" s="1332"/>
      <c r="IX17" s="1332"/>
      <c r="IY17" s="1332"/>
      <c r="IZ17" s="1332"/>
      <c r="JA17" s="1332"/>
      <c r="JB17" s="1332"/>
      <c r="JC17" s="1332"/>
      <c r="JD17" s="1332"/>
      <c r="JE17" s="1332"/>
      <c r="JF17" s="1332"/>
      <c r="JG17" s="1332"/>
      <c r="JH17" s="1332"/>
      <c r="JI17" s="1332"/>
      <c r="JJ17" s="1332"/>
      <c r="JK17" s="1332"/>
      <c r="JL17" s="1332"/>
      <c r="JM17" s="1332"/>
      <c r="JN17" s="1358"/>
      <c r="JP17" s="1358"/>
      <c r="JQ17" s="1358"/>
      <c r="JR17" s="1358"/>
      <c r="JS17" s="1358"/>
    </row>
    <row r="20" spans="1:279" s="105" customFormat="1" ht="13.9" customHeight="1" x14ac:dyDescent="0.2">
      <c r="A20" s="209" t="s">
        <v>381</v>
      </c>
      <c r="B20" s="39">
        <f>YEAR(B21)</f>
        <v>2005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103" t="s">
        <v>29</v>
      </c>
      <c r="O20" s="39">
        <f>YEAR(O21)</f>
        <v>2006</v>
      </c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103" t="s">
        <v>29</v>
      </c>
      <c r="AB20" s="39">
        <f>YEAR(AB21)</f>
        <v>2007</v>
      </c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103" t="s">
        <v>29</v>
      </c>
      <c r="AO20" s="39">
        <f>YEAR(AO21)</f>
        <v>2008</v>
      </c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103" t="s">
        <v>29</v>
      </c>
      <c r="BB20" s="39">
        <f>YEAR(BB21)</f>
        <v>2009</v>
      </c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103" t="s">
        <v>29</v>
      </c>
      <c r="BO20" s="39">
        <f>YEAR(BO21)</f>
        <v>2010</v>
      </c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103" t="s">
        <v>29</v>
      </c>
      <c r="CB20" s="39">
        <f>YEAR(CB21)</f>
        <v>2011</v>
      </c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103" t="s">
        <v>29</v>
      </c>
      <c r="CO20" s="39">
        <f>YEAR(CO21)</f>
        <v>2012</v>
      </c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103" t="s">
        <v>29</v>
      </c>
      <c r="DB20" s="39">
        <f>YEAR(DB21)</f>
        <v>2013</v>
      </c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103" t="s">
        <v>29</v>
      </c>
      <c r="DO20" s="39">
        <f>YEAR(DO21)</f>
        <v>2014</v>
      </c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103" t="s">
        <v>29</v>
      </c>
      <c r="EB20" s="39">
        <f>YEAR(EB21)</f>
        <v>2015</v>
      </c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103" t="s">
        <v>29</v>
      </c>
      <c r="EO20" s="39">
        <f>YEAR(EO21)</f>
        <v>2016</v>
      </c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103" t="s">
        <v>29</v>
      </c>
      <c r="FB20" s="39">
        <f>YEAR(FB21)</f>
        <v>2017</v>
      </c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40"/>
      <c r="FN20" s="103" t="s">
        <v>29</v>
      </c>
      <c r="FO20" s="39">
        <f>YEAR(FO21)</f>
        <v>2018</v>
      </c>
      <c r="FP20" s="40"/>
      <c r="FQ20" s="40"/>
      <c r="FR20" s="40"/>
      <c r="FS20" s="40"/>
      <c r="FT20" s="40"/>
      <c r="FU20" s="40"/>
      <c r="FV20" s="40"/>
      <c r="FW20" s="40"/>
      <c r="FX20" s="40"/>
      <c r="FY20" s="40"/>
      <c r="FZ20" s="40"/>
      <c r="GA20" s="103" t="s">
        <v>29</v>
      </c>
      <c r="GB20" s="39">
        <f>YEAR(GB21)</f>
        <v>2019</v>
      </c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103" t="s">
        <v>29</v>
      </c>
      <c r="GO20" s="39">
        <f>YEAR(GO21)</f>
        <v>2020</v>
      </c>
      <c r="GP20" s="40"/>
      <c r="GQ20" s="40"/>
      <c r="GR20" s="40"/>
      <c r="GS20" s="40"/>
      <c r="GT20" s="40"/>
      <c r="GU20" s="40"/>
      <c r="GV20" s="40"/>
      <c r="GW20" s="40"/>
      <c r="GX20" s="40"/>
      <c r="GY20" s="40"/>
      <c r="GZ20" s="40"/>
      <c r="HA20" s="103" t="s">
        <v>29</v>
      </c>
      <c r="HB20" s="39">
        <f>YEAR(HB21)</f>
        <v>2021</v>
      </c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103" t="s">
        <v>29</v>
      </c>
      <c r="HO20" s="39">
        <f>YEAR(HO21)</f>
        <v>2022</v>
      </c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103" t="s">
        <v>29</v>
      </c>
      <c r="IB20" s="39">
        <f>YEAR(IB21)</f>
        <v>2023</v>
      </c>
      <c r="IC20" s="40"/>
      <c r="ID20" s="40"/>
      <c r="IE20" s="40"/>
      <c r="IF20" s="40"/>
      <c r="IG20" s="40"/>
      <c r="IH20" s="40"/>
      <c r="II20" s="40"/>
      <c r="IJ20" s="40"/>
      <c r="IK20" s="40"/>
      <c r="IL20" s="40"/>
      <c r="IM20" s="40"/>
      <c r="IN20" s="103" t="s">
        <v>29</v>
      </c>
      <c r="IO20" s="39">
        <f>YEAR(IO21)</f>
        <v>2024</v>
      </c>
      <c r="IP20" s="40"/>
      <c r="IQ20" s="40"/>
      <c r="IR20" s="40"/>
      <c r="IS20" s="40"/>
      <c r="IT20" s="40"/>
      <c r="IU20" s="40"/>
      <c r="IV20" s="40"/>
      <c r="IW20" s="40"/>
      <c r="IX20" s="40"/>
      <c r="IY20" s="40"/>
      <c r="IZ20" s="40"/>
      <c r="JA20" s="103" t="s">
        <v>29</v>
      </c>
      <c r="JB20" s="39">
        <f>YEAR(JB21)</f>
        <v>2025</v>
      </c>
      <c r="JC20" s="40"/>
      <c r="JD20" s="40"/>
      <c r="JE20" s="40"/>
      <c r="JF20" s="40"/>
      <c r="JG20" s="40"/>
      <c r="JH20" s="40"/>
      <c r="JI20" s="40"/>
      <c r="JJ20" s="40"/>
      <c r="JK20" s="40"/>
      <c r="JL20" s="40"/>
      <c r="JM20" s="40"/>
      <c r="JN20" s="103" t="s">
        <v>29</v>
      </c>
      <c r="JO20"/>
      <c r="JP20" s="1683" t="str">
        <f>CONCATENATE("Var.% ",JS20,"/",JS20-1)</f>
        <v>Var.% 2025/2024</v>
      </c>
      <c r="JQ20" s="1684"/>
      <c r="JR20" s="41">
        <f>JS20-1</f>
        <v>2024</v>
      </c>
      <c r="JS20" s="41">
        <f>JN21</f>
        <v>2025</v>
      </c>
    </row>
    <row r="21" spans="1:279" s="105" customFormat="1" ht="13.9" customHeight="1" x14ac:dyDescent="0.2">
      <c r="A21" s="748" t="s">
        <v>352</v>
      </c>
      <c r="B21" s="113">
        <v>38353</v>
      </c>
      <c r="C21" s="114">
        <v>38384</v>
      </c>
      <c r="D21" s="114">
        <v>38412</v>
      </c>
      <c r="E21" s="114">
        <v>38443</v>
      </c>
      <c r="F21" s="114">
        <v>38473</v>
      </c>
      <c r="G21" s="114">
        <v>38504</v>
      </c>
      <c r="H21" s="114">
        <v>38534</v>
      </c>
      <c r="I21" s="114">
        <v>38565</v>
      </c>
      <c r="J21" s="114">
        <v>38596</v>
      </c>
      <c r="K21" s="114">
        <v>38626</v>
      </c>
      <c r="L21" s="114">
        <v>38657</v>
      </c>
      <c r="M21" s="114">
        <v>38687</v>
      </c>
      <c r="N21" s="115">
        <f>YEAR(M21)</f>
        <v>2005</v>
      </c>
      <c r="O21" s="113">
        <v>38718</v>
      </c>
      <c r="P21" s="114">
        <v>38749</v>
      </c>
      <c r="Q21" s="114">
        <v>38777</v>
      </c>
      <c r="R21" s="114">
        <v>38808</v>
      </c>
      <c r="S21" s="114">
        <v>38838</v>
      </c>
      <c r="T21" s="114">
        <v>38869</v>
      </c>
      <c r="U21" s="114">
        <v>38899</v>
      </c>
      <c r="V21" s="114">
        <v>38930</v>
      </c>
      <c r="W21" s="114">
        <v>38961</v>
      </c>
      <c r="X21" s="114">
        <v>38991</v>
      </c>
      <c r="Y21" s="114">
        <v>39022</v>
      </c>
      <c r="Z21" s="114">
        <v>39052</v>
      </c>
      <c r="AA21" s="115">
        <f>YEAR(Z21)</f>
        <v>2006</v>
      </c>
      <c r="AB21" s="113">
        <v>39083</v>
      </c>
      <c r="AC21" s="114">
        <v>39114</v>
      </c>
      <c r="AD21" s="114">
        <v>39142</v>
      </c>
      <c r="AE21" s="114">
        <v>39173</v>
      </c>
      <c r="AF21" s="114">
        <v>39203</v>
      </c>
      <c r="AG21" s="114">
        <v>39234</v>
      </c>
      <c r="AH21" s="114">
        <v>39264</v>
      </c>
      <c r="AI21" s="114">
        <v>39295</v>
      </c>
      <c r="AJ21" s="114">
        <v>39326</v>
      </c>
      <c r="AK21" s="114">
        <v>39356</v>
      </c>
      <c r="AL21" s="114">
        <v>39387</v>
      </c>
      <c r="AM21" s="114">
        <v>39417</v>
      </c>
      <c r="AN21" s="115">
        <f>YEAR(AM21)</f>
        <v>2007</v>
      </c>
      <c r="AO21" s="113">
        <v>39448</v>
      </c>
      <c r="AP21" s="114">
        <v>39479</v>
      </c>
      <c r="AQ21" s="114">
        <v>39508</v>
      </c>
      <c r="AR21" s="114">
        <v>39539</v>
      </c>
      <c r="AS21" s="114">
        <v>39569</v>
      </c>
      <c r="AT21" s="114">
        <v>39600</v>
      </c>
      <c r="AU21" s="114">
        <v>39630</v>
      </c>
      <c r="AV21" s="114">
        <v>39661</v>
      </c>
      <c r="AW21" s="114">
        <v>39692</v>
      </c>
      <c r="AX21" s="114">
        <v>39722</v>
      </c>
      <c r="AY21" s="114">
        <v>39753</v>
      </c>
      <c r="AZ21" s="114">
        <v>39783</v>
      </c>
      <c r="BA21" s="115">
        <f>YEAR(AZ21)</f>
        <v>2008</v>
      </c>
      <c r="BB21" s="113">
        <v>39814</v>
      </c>
      <c r="BC21" s="114">
        <v>39845</v>
      </c>
      <c r="BD21" s="114">
        <v>39873</v>
      </c>
      <c r="BE21" s="114">
        <v>39904</v>
      </c>
      <c r="BF21" s="114">
        <v>39934</v>
      </c>
      <c r="BG21" s="114">
        <v>39965</v>
      </c>
      <c r="BH21" s="114">
        <v>39995</v>
      </c>
      <c r="BI21" s="114">
        <v>40026</v>
      </c>
      <c r="BJ21" s="114">
        <v>40057</v>
      </c>
      <c r="BK21" s="114">
        <v>40087</v>
      </c>
      <c r="BL21" s="114">
        <v>40118</v>
      </c>
      <c r="BM21" s="114">
        <v>40148</v>
      </c>
      <c r="BN21" s="115">
        <f>YEAR(BM21)</f>
        <v>2009</v>
      </c>
      <c r="BO21" s="113">
        <v>40179</v>
      </c>
      <c r="BP21" s="114">
        <v>40210</v>
      </c>
      <c r="BQ21" s="114">
        <v>40238</v>
      </c>
      <c r="BR21" s="114">
        <v>40269</v>
      </c>
      <c r="BS21" s="114">
        <v>40299</v>
      </c>
      <c r="BT21" s="114">
        <v>40330</v>
      </c>
      <c r="BU21" s="114">
        <v>40360</v>
      </c>
      <c r="BV21" s="114">
        <v>40391</v>
      </c>
      <c r="BW21" s="114">
        <v>40422</v>
      </c>
      <c r="BX21" s="114">
        <v>40452</v>
      </c>
      <c r="BY21" s="114">
        <v>40483</v>
      </c>
      <c r="BZ21" s="114">
        <v>40513</v>
      </c>
      <c r="CA21" s="115">
        <f>YEAR(BZ21)</f>
        <v>2010</v>
      </c>
      <c r="CB21" s="113">
        <v>40544</v>
      </c>
      <c r="CC21" s="114">
        <v>40575</v>
      </c>
      <c r="CD21" s="114">
        <v>40603</v>
      </c>
      <c r="CE21" s="114">
        <v>40634</v>
      </c>
      <c r="CF21" s="114">
        <v>40664</v>
      </c>
      <c r="CG21" s="114">
        <v>40695</v>
      </c>
      <c r="CH21" s="114">
        <v>40725</v>
      </c>
      <c r="CI21" s="114">
        <v>40756</v>
      </c>
      <c r="CJ21" s="114">
        <v>40787</v>
      </c>
      <c r="CK21" s="114">
        <v>40817</v>
      </c>
      <c r="CL21" s="114">
        <v>40848</v>
      </c>
      <c r="CM21" s="114">
        <v>40878</v>
      </c>
      <c r="CN21" s="115">
        <f>YEAR(CM21)</f>
        <v>2011</v>
      </c>
      <c r="CO21" s="113">
        <v>40909</v>
      </c>
      <c r="CP21" s="114">
        <v>40940</v>
      </c>
      <c r="CQ21" s="114">
        <v>40969</v>
      </c>
      <c r="CR21" s="114">
        <v>41000</v>
      </c>
      <c r="CS21" s="114">
        <v>41030</v>
      </c>
      <c r="CT21" s="114">
        <v>41061</v>
      </c>
      <c r="CU21" s="114">
        <v>41091</v>
      </c>
      <c r="CV21" s="114">
        <v>41122</v>
      </c>
      <c r="CW21" s="114">
        <v>41153</v>
      </c>
      <c r="CX21" s="114">
        <v>41183</v>
      </c>
      <c r="CY21" s="114">
        <v>41214</v>
      </c>
      <c r="CZ21" s="114">
        <v>41244</v>
      </c>
      <c r="DA21" s="115">
        <f>YEAR(CZ21)</f>
        <v>2012</v>
      </c>
      <c r="DB21" s="113">
        <v>41275</v>
      </c>
      <c r="DC21" s="114">
        <v>41306</v>
      </c>
      <c r="DD21" s="114">
        <v>41334</v>
      </c>
      <c r="DE21" s="114">
        <v>41365</v>
      </c>
      <c r="DF21" s="114">
        <v>41395</v>
      </c>
      <c r="DG21" s="114">
        <v>41426</v>
      </c>
      <c r="DH21" s="114">
        <v>41456</v>
      </c>
      <c r="DI21" s="114">
        <v>41487</v>
      </c>
      <c r="DJ21" s="114">
        <v>41518</v>
      </c>
      <c r="DK21" s="114">
        <v>41548</v>
      </c>
      <c r="DL21" s="114">
        <v>41579</v>
      </c>
      <c r="DM21" s="114">
        <v>41609</v>
      </c>
      <c r="DN21" s="115">
        <f>YEAR(DM21)</f>
        <v>2013</v>
      </c>
      <c r="DO21" s="113">
        <v>41640</v>
      </c>
      <c r="DP21" s="114">
        <v>41671</v>
      </c>
      <c r="DQ21" s="114">
        <v>41699</v>
      </c>
      <c r="DR21" s="114">
        <v>41730</v>
      </c>
      <c r="DS21" s="114">
        <v>41760</v>
      </c>
      <c r="DT21" s="114">
        <v>41791</v>
      </c>
      <c r="DU21" s="114">
        <v>41821</v>
      </c>
      <c r="DV21" s="114">
        <v>41852</v>
      </c>
      <c r="DW21" s="114">
        <v>41883</v>
      </c>
      <c r="DX21" s="114">
        <v>41913</v>
      </c>
      <c r="DY21" s="114">
        <v>41944</v>
      </c>
      <c r="DZ21" s="114">
        <v>41974</v>
      </c>
      <c r="EA21" s="115">
        <f>YEAR(DZ21)</f>
        <v>2014</v>
      </c>
      <c r="EB21" s="113">
        <v>42005</v>
      </c>
      <c r="EC21" s="114">
        <v>42036</v>
      </c>
      <c r="ED21" s="114">
        <v>42064</v>
      </c>
      <c r="EE21" s="114">
        <v>42095</v>
      </c>
      <c r="EF21" s="114">
        <v>42125</v>
      </c>
      <c r="EG21" s="114">
        <v>42156</v>
      </c>
      <c r="EH21" s="114">
        <v>42186</v>
      </c>
      <c r="EI21" s="114">
        <v>42217</v>
      </c>
      <c r="EJ21" s="114">
        <v>42248</v>
      </c>
      <c r="EK21" s="114">
        <v>42278</v>
      </c>
      <c r="EL21" s="114">
        <v>42309</v>
      </c>
      <c r="EM21" s="114">
        <v>42339</v>
      </c>
      <c r="EN21" s="115">
        <f>YEAR(EM21)</f>
        <v>2015</v>
      </c>
      <c r="EO21" s="113">
        <v>42370</v>
      </c>
      <c r="EP21" s="114">
        <v>42401</v>
      </c>
      <c r="EQ21" s="114">
        <v>42430</v>
      </c>
      <c r="ER21" s="114">
        <v>42461</v>
      </c>
      <c r="ES21" s="114">
        <v>42491</v>
      </c>
      <c r="ET21" s="114">
        <v>42522</v>
      </c>
      <c r="EU21" s="114">
        <v>42552</v>
      </c>
      <c r="EV21" s="114">
        <v>42583</v>
      </c>
      <c r="EW21" s="114">
        <v>42614</v>
      </c>
      <c r="EX21" s="114">
        <v>42644</v>
      </c>
      <c r="EY21" s="114">
        <v>42675</v>
      </c>
      <c r="EZ21" s="114">
        <v>42705</v>
      </c>
      <c r="FA21" s="115">
        <f>YEAR(EZ21)</f>
        <v>2016</v>
      </c>
      <c r="FB21" s="113">
        <v>42736</v>
      </c>
      <c r="FC21" s="114">
        <v>42767</v>
      </c>
      <c r="FD21" s="114">
        <v>42795</v>
      </c>
      <c r="FE21" s="114">
        <v>42826</v>
      </c>
      <c r="FF21" s="114">
        <v>42856</v>
      </c>
      <c r="FG21" s="114">
        <v>42887</v>
      </c>
      <c r="FH21" s="114">
        <v>42917</v>
      </c>
      <c r="FI21" s="114">
        <v>42948</v>
      </c>
      <c r="FJ21" s="114">
        <v>42979</v>
      </c>
      <c r="FK21" s="114">
        <v>43009</v>
      </c>
      <c r="FL21" s="114">
        <v>43040</v>
      </c>
      <c r="FM21" s="114">
        <v>43070</v>
      </c>
      <c r="FN21" s="115">
        <f>YEAR(FM21)</f>
        <v>2017</v>
      </c>
      <c r="FO21" s="113">
        <v>43101</v>
      </c>
      <c r="FP21" s="114">
        <v>43132</v>
      </c>
      <c r="FQ21" s="114">
        <v>43160</v>
      </c>
      <c r="FR21" s="114">
        <v>43191</v>
      </c>
      <c r="FS21" s="114">
        <v>43221</v>
      </c>
      <c r="FT21" s="114">
        <v>43252</v>
      </c>
      <c r="FU21" s="114">
        <v>43282</v>
      </c>
      <c r="FV21" s="114">
        <v>43313</v>
      </c>
      <c r="FW21" s="114">
        <v>43344</v>
      </c>
      <c r="FX21" s="114">
        <v>43374</v>
      </c>
      <c r="FY21" s="114">
        <v>43405</v>
      </c>
      <c r="FZ21" s="114">
        <v>43435</v>
      </c>
      <c r="GA21" s="115">
        <f>YEAR(FZ21)</f>
        <v>2018</v>
      </c>
      <c r="GB21" s="113">
        <v>43466</v>
      </c>
      <c r="GC21" s="114">
        <v>43497</v>
      </c>
      <c r="GD21" s="114">
        <v>43525</v>
      </c>
      <c r="GE21" s="114">
        <v>43556</v>
      </c>
      <c r="GF21" s="114">
        <v>43586</v>
      </c>
      <c r="GG21" s="114">
        <v>43617</v>
      </c>
      <c r="GH21" s="114">
        <v>43647</v>
      </c>
      <c r="GI21" s="114">
        <v>43678</v>
      </c>
      <c r="GJ21" s="114">
        <v>43709</v>
      </c>
      <c r="GK21" s="114">
        <v>43739</v>
      </c>
      <c r="GL21" s="114">
        <v>43770</v>
      </c>
      <c r="GM21" s="114">
        <v>43800</v>
      </c>
      <c r="GN21" s="115">
        <f>YEAR(GM21)</f>
        <v>2019</v>
      </c>
      <c r="GO21" s="113">
        <v>43831</v>
      </c>
      <c r="GP21" s="114">
        <v>43862</v>
      </c>
      <c r="GQ21" s="114">
        <v>43891</v>
      </c>
      <c r="GR21" s="114">
        <v>43922</v>
      </c>
      <c r="GS21" s="114">
        <v>43952</v>
      </c>
      <c r="GT21" s="114">
        <v>43983</v>
      </c>
      <c r="GU21" s="114">
        <v>44013</v>
      </c>
      <c r="GV21" s="114">
        <v>44044</v>
      </c>
      <c r="GW21" s="114">
        <v>44075</v>
      </c>
      <c r="GX21" s="114">
        <v>44105</v>
      </c>
      <c r="GY21" s="114">
        <v>44136</v>
      </c>
      <c r="GZ21" s="114">
        <v>44166</v>
      </c>
      <c r="HA21" s="115">
        <f>YEAR(GZ21)</f>
        <v>2020</v>
      </c>
      <c r="HB21" s="113">
        <v>44197</v>
      </c>
      <c r="HC21" s="114">
        <v>44228</v>
      </c>
      <c r="HD21" s="114">
        <v>44256</v>
      </c>
      <c r="HE21" s="114">
        <v>44287</v>
      </c>
      <c r="HF21" s="114">
        <v>44317</v>
      </c>
      <c r="HG21" s="114">
        <v>44348</v>
      </c>
      <c r="HH21" s="114">
        <v>44378</v>
      </c>
      <c r="HI21" s="114">
        <v>44409</v>
      </c>
      <c r="HJ21" s="114">
        <v>44440</v>
      </c>
      <c r="HK21" s="114">
        <v>44470</v>
      </c>
      <c r="HL21" s="114">
        <v>44501</v>
      </c>
      <c r="HM21" s="114">
        <v>44531</v>
      </c>
      <c r="HN21" s="115">
        <f>YEAR(HM21)</f>
        <v>2021</v>
      </c>
      <c r="HO21" s="113">
        <v>44562</v>
      </c>
      <c r="HP21" s="114">
        <v>44593</v>
      </c>
      <c r="HQ21" s="114">
        <v>44621</v>
      </c>
      <c r="HR21" s="114">
        <v>44652</v>
      </c>
      <c r="HS21" s="114">
        <v>44682</v>
      </c>
      <c r="HT21" s="114">
        <v>44713</v>
      </c>
      <c r="HU21" s="114">
        <v>44743</v>
      </c>
      <c r="HV21" s="114">
        <v>44774</v>
      </c>
      <c r="HW21" s="114">
        <v>44805</v>
      </c>
      <c r="HX21" s="114">
        <v>44835</v>
      </c>
      <c r="HY21" s="114">
        <v>44866</v>
      </c>
      <c r="HZ21" s="114">
        <v>44896</v>
      </c>
      <c r="IA21" s="115">
        <f>YEAR(HZ21)</f>
        <v>2022</v>
      </c>
      <c r="IB21" s="113">
        <v>44927</v>
      </c>
      <c r="IC21" s="114">
        <v>44958</v>
      </c>
      <c r="ID21" s="114">
        <v>44986</v>
      </c>
      <c r="IE21" s="114">
        <v>45017</v>
      </c>
      <c r="IF21" s="114">
        <v>45047</v>
      </c>
      <c r="IG21" s="114">
        <v>45078</v>
      </c>
      <c r="IH21" s="114">
        <v>45108</v>
      </c>
      <c r="II21" s="114">
        <v>45139</v>
      </c>
      <c r="IJ21" s="114">
        <v>45170</v>
      </c>
      <c r="IK21" s="114">
        <v>45200</v>
      </c>
      <c r="IL21" s="114">
        <v>45231</v>
      </c>
      <c r="IM21" s="114">
        <v>45261</v>
      </c>
      <c r="IN21" s="115">
        <f>YEAR(IM21)</f>
        <v>2023</v>
      </c>
      <c r="IO21" s="113">
        <v>45292</v>
      </c>
      <c r="IP21" s="114">
        <v>45323</v>
      </c>
      <c r="IQ21" s="114">
        <v>45352</v>
      </c>
      <c r="IR21" s="114">
        <v>45383</v>
      </c>
      <c r="IS21" s="114">
        <v>45413</v>
      </c>
      <c r="IT21" s="114">
        <v>45444</v>
      </c>
      <c r="IU21" s="114">
        <v>45474</v>
      </c>
      <c r="IV21" s="114">
        <v>45505</v>
      </c>
      <c r="IW21" s="114">
        <v>45536</v>
      </c>
      <c r="IX21" s="114">
        <v>45566</v>
      </c>
      <c r="IY21" s="114">
        <v>45597</v>
      </c>
      <c r="IZ21" s="114">
        <v>45627</v>
      </c>
      <c r="JA21" s="115">
        <f>YEAR(IZ21)</f>
        <v>2024</v>
      </c>
      <c r="JB21" s="113">
        <v>45658</v>
      </c>
      <c r="JC21" s="114">
        <v>45689</v>
      </c>
      <c r="JD21" s="114">
        <v>45717</v>
      </c>
      <c r="JE21" s="114">
        <v>45748</v>
      </c>
      <c r="JF21" s="114">
        <v>45778</v>
      </c>
      <c r="JG21" s="114">
        <v>45809</v>
      </c>
      <c r="JH21" s="114">
        <v>45839</v>
      </c>
      <c r="JI21" s="114">
        <v>45870</v>
      </c>
      <c r="JJ21" s="114">
        <v>45901</v>
      </c>
      <c r="JK21" s="114">
        <v>45931</v>
      </c>
      <c r="JL21" s="114">
        <v>45962</v>
      </c>
      <c r="JM21" s="114">
        <v>45992</v>
      </c>
      <c r="JN21" s="115">
        <f>YEAR(JM21)</f>
        <v>2025</v>
      </c>
      <c r="JO21"/>
      <c r="JP21" s="45">
        <f>JP5</f>
        <v>45962</v>
      </c>
      <c r="JQ21" s="46" t="str">
        <f>CONCATENATE("Ene.-",TEXT(JP21,"MMM."))</f>
        <v>Ene.-Nov.</v>
      </c>
      <c r="JR21" s="46" t="str">
        <f>JQ21</f>
        <v>Ene.-Nov.</v>
      </c>
      <c r="JS21" s="46" t="str">
        <f>JQ21</f>
        <v>Ene.-Nov.</v>
      </c>
    </row>
    <row r="22" spans="1:279" s="105" customFormat="1" ht="13.9" customHeight="1" x14ac:dyDescent="0.2">
      <c r="A22" s="209"/>
      <c r="B22" s="1461"/>
      <c r="C22" s="1461"/>
      <c r="D22" s="1461"/>
      <c r="E22" s="1461"/>
      <c r="F22" s="1461"/>
      <c r="G22" s="1461"/>
      <c r="H22" s="1461"/>
      <c r="I22" s="1461"/>
      <c r="J22" s="1461"/>
      <c r="K22" s="1461"/>
      <c r="L22" s="1461"/>
      <c r="M22" s="1461"/>
      <c r="N22" s="1463"/>
      <c r="O22" s="1461"/>
      <c r="P22" s="1461"/>
      <c r="Q22" s="1461"/>
      <c r="R22" s="1461"/>
      <c r="S22" s="1461"/>
      <c r="T22" s="1461"/>
      <c r="U22" s="1461"/>
      <c r="V22" s="1461"/>
      <c r="W22" s="1461"/>
      <c r="X22" s="1461"/>
      <c r="Y22" s="1461"/>
      <c r="Z22" s="1461"/>
      <c r="AA22" s="1463"/>
      <c r="AB22" s="1460"/>
      <c r="AC22" s="1461"/>
      <c r="AD22" s="1461"/>
      <c r="AE22" s="1461"/>
      <c r="AF22" s="1461"/>
      <c r="AG22" s="1461"/>
      <c r="AH22" s="1461"/>
      <c r="AI22" s="1461"/>
      <c r="AJ22" s="1461"/>
      <c r="AK22" s="1461"/>
      <c r="AL22" s="1461"/>
      <c r="AM22" s="1461"/>
      <c r="AN22" s="1463"/>
      <c r="AO22" s="1461"/>
      <c r="AP22" s="1461"/>
      <c r="AQ22" s="1461"/>
      <c r="AR22" s="1461"/>
      <c r="AS22" s="1461"/>
      <c r="AT22" s="1461"/>
      <c r="AU22" s="1461"/>
      <c r="AV22" s="1461"/>
      <c r="AW22" s="1461"/>
      <c r="AX22" s="1461"/>
      <c r="AY22" s="1461"/>
      <c r="AZ22" s="1461"/>
      <c r="BA22" s="1463"/>
      <c r="BB22" s="1461"/>
      <c r="BC22" s="1461"/>
      <c r="BD22" s="1461"/>
      <c r="BE22" s="1461"/>
      <c r="BF22" s="1461"/>
      <c r="BG22" s="1461"/>
      <c r="BH22" s="1461"/>
      <c r="BI22" s="1461"/>
      <c r="BJ22" s="1461"/>
      <c r="BK22" s="1461"/>
      <c r="BL22" s="1461"/>
      <c r="BM22" s="1461"/>
      <c r="BN22" s="1463"/>
      <c r="BO22" s="1461"/>
      <c r="BP22" s="1461"/>
      <c r="BQ22" s="1461"/>
      <c r="BR22" s="1461"/>
      <c r="BS22" s="1461"/>
      <c r="BT22" s="1461"/>
      <c r="BU22" s="1461"/>
      <c r="BV22" s="1461"/>
      <c r="BW22" s="1461"/>
      <c r="BX22" s="1461"/>
      <c r="BY22" s="1461"/>
      <c r="BZ22" s="1461"/>
      <c r="CA22" s="1463"/>
      <c r="CB22" s="1461"/>
      <c r="CC22" s="1461"/>
      <c r="CD22" s="1461"/>
      <c r="CE22" s="1461"/>
      <c r="CF22" s="1461"/>
      <c r="CG22" s="1461"/>
      <c r="CH22" s="1461"/>
      <c r="CI22" s="1461"/>
      <c r="CJ22" s="1461"/>
      <c r="CK22" s="1461"/>
      <c r="CL22" s="1461"/>
      <c r="CM22" s="1461"/>
      <c r="CN22" s="1463"/>
      <c r="CO22" s="1460"/>
      <c r="CP22" s="1461"/>
      <c r="CQ22" s="1461"/>
      <c r="CR22" s="1461"/>
      <c r="CS22" s="1461"/>
      <c r="CT22" s="1461"/>
      <c r="CU22" s="1461"/>
      <c r="CV22" s="1461"/>
      <c r="CW22" s="1461"/>
      <c r="CX22" s="1461"/>
      <c r="CY22" s="1461"/>
      <c r="CZ22" s="1461"/>
      <c r="DA22" s="1463"/>
      <c r="DB22" s="1460"/>
      <c r="DC22" s="1461"/>
      <c r="DD22" s="1461"/>
      <c r="DE22" s="1461"/>
      <c r="DF22" s="1461"/>
      <c r="DG22" s="1461"/>
      <c r="DH22" s="1461"/>
      <c r="DI22" s="1461"/>
      <c r="DJ22" s="1461"/>
      <c r="DK22" s="1461"/>
      <c r="DL22" s="1461"/>
      <c r="DM22" s="1461"/>
      <c r="DN22" s="1463"/>
      <c r="DO22" s="1460"/>
      <c r="DP22" s="1461"/>
      <c r="DQ22" s="1461"/>
      <c r="DR22" s="1461"/>
      <c r="DS22" s="1461"/>
      <c r="DT22" s="1461"/>
      <c r="DU22" s="1461"/>
      <c r="DV22" s="1461"/>
      <c r="DW22" s="1461"/>
      <c r="DX22" s="1461"/>
      <c r="DY22" s="1461"/>
      <c r="DZ22" s="1461"/>
      <c r="EA22" s="1463"/>
      <c r="EB22" s="1461"/>
      <c r="EC22" s="1461"/>
      <c r="ED22" s="1461"/>
      <c r="EE22" s="1461"/>
      <c r="EF22" s="1461"/>
      <c r="EG22" s="1461"/>
      <c r="EH22" s="1461"/>
      <c r="EI22" s="1461"/>
      <c r="EJ22" s="1461"/>
      <c r="EK22" s="1461"/>
      <c r="EL22" s="1461"/>
      <c r="EM22" s="1461"/>
      <c r="EN22" s="1463"/>
      <c r="EO22" s="1461"/>
      <c r="EP22" s="1461"/>
      <c r="EQ22" s="1461"/>
      <c r="ER22" s="1461"/>
      <c r="ES22" s="1461"/>
      <c r="ET22" s="1461"/>
      <c r="EU22" s="1461"/>
      <c r="EV22" s="1461"/>
      <c r="EW22" s="1461"/>
      <c r="EX22" s="1461"/>
      <c r="EY22" s="1461"/>
      <c r="EZ22" s="1461"/>
      <c r="FA22" s="1463"/>
      <c r="FB22" s="1461"/>
      <c r="FC22" s="1461"/>
      <c r="FD22" s="1461"/>
      <c r="FE22" s="1461"/>
      <c r="FF22" s="1461"/>
      <c r="FG22" s="1461"/>
      <c r="FH22" s="1461"/>
      <c r="FI22" s="1461"/>
      <c r="FJ22" s="1461"/>
      <c r="FK22" s="1461"/>
      <c r="FL22" s="1461"/>
      <c r="FM22" s="1461"/>
      <c r="FN22" s="1463"/>
      <c r="FO22" s="1461"/>
      <c r="FP22" s="1461"/>
      <c r="FQ22" s="1461"/>
      <c r="FR22" s="1461"/>
      <c r="FS22" s="1461"/>
      <c r="FT22" s="1461"/>
      <c r="FU22" s="1461"/>
      <c r="FV22" s="1461"/>
      <c r="FW22" s="1461"/>
      <c r="FX22" s="1461"/>
      <c r="FY22" s="1461"/>
      <c r="FZ22" s="1461"/>
      <c r="GA22" s="1463"/>
      <c r="GB22" s="1461"/>
      <c r="GC22" s="1461"/>
      <c r="GD22" s="1461"/>
      <c r="GE22" s="1461"/>
      <c r="GF22" s="1461"/>
      <c r="GG22" s="1461"/>
      <c r="GH22" s="1461"/>
      <c r="GI22" s="1461"/>
      <c r="GJ22" s="1461"/>
      <c r="GK22" s="1461"/>
      <c r="GL22" s="1461"/>
      <c r="GM22" s="1461"/>
      <c r="GN22" s="1463"/>
      <c r="GO22" s="1461"/>
      <c r="GP22" s="1461"/>
      <c r="GQ22" s="1461"/>
      <c r="GR22" s="1461"/>
      <c r="GS22" s="1461"/>
      <c r="GT22" s="1461"/>
      <c r="GU22" s="1461"/>
      <c r="GV22" s="1461"/>
      <c r="GW22" s="1461"/>
      <c r="GX22" s="1461"/>
      <c r="GY22" s="1461"/>
      <c r="GZ22" s="1461"/>
      <c r="HA22" s="1463"/>
      <c r="HB22" s="1460"/>
      <c r="HC22" s="1461"/>
      <c r="HD22" s="1461"/>
      <c r="HE22" s="1461"/>
      <c r="HF22" s="1461"/>
      <c r="HG22" s="1461"/>
      <c r="HH22" s="1461"/>
      <c r="HI22" s="1461"/>
      <c r="HJ22" s="1461"/>
      <c r="HK22" s="1461"/>
      <c r="HL22" s="1461"/>
      <c r="HM22" s="1461"/>
      <c r="HN22" s="1463"/>
      <c r="HO22" s="1461"/>
      <c r="HP22" s="1461"/>
      <c r="HQ22" s="1461"/>
      <c r="HR22" s="1461"/>
      <c r="HS22" s="1461"/>
      <c r="HT22" s="1461"/>
      <c r="HU22" s="1461"/>
      <c r="HV22" s="1461"/>
      <c r="HW22" s="1461"/>
      <c r="HX22" s="1461"/>
      <c r="HY22" s="1461"/>
      <c r="HZ22" s="1461"/>
      <c r="IA22" s="1463"/>
      <c r="IB22" s="1461"/>
      <c r="IC22" s="1461"/>
      <c r="ID22" s="1461"/>
      <c r="IE22" s="1461"/>
      <c r="IF22" s="1461"/>
      <c r="IG22" s="1461"/>
      <c r="IH22" s="1461"/>
      <c r="II22" s="1461"/>
      <c r="IJ22" s="1461"/>
      <c r="IK22" s="1461"/>
      <c r="IL22" s="1461"/>
      <c r="IM22" s="1461"/>
      <c r="IN22" s="1463"/>
      <c r="IO22" s="1461"/>
      <c r="IP22" s="1461"/>
      <c r="IQ22" s="1461"/>
      <c r="IR22" s="1461"/>
      <c r="IS22" s="1461"/>
      <c r="IT22" s="1461"/>
      <c r="IU22" s="1461"/>
      <c r="IV22" s="1461"/>
      <c r="IW22" s="1461"/>
      <c r="IX22" s="1461"/>
      <c r="IY22" s="1461"/>
      <c r="IZ22" s="1461"/>
      <c r="JA22" s="121"/>
      <c r="JB22" s="1460"/>
      <c r="JC22" s="1461"/>
      <c r="JD22" s="1461"/>
      <c r="JE22" s="1461"/>
      <c r="JF22" s="1461"/>
      <c r="JG22" s="1461"/>
      <c r="JH22" s="1461"/>
      <c r="JI22" s="1461"/>
      <c r="JJ22" s="1461"/>
      <c r="JK22" s="1461"/>
      <c r="JL22" s="1461"/>
      <c r="JM22" s="1461"/>
      <c r="JN22" s="1463"/>
      <c r="JO22"/>
      <c r="JP22" s="1509"/>
      <c r="JQ22" s="631"/>
      <c r="JR22" s="631"/>
      <c r="JS22" s="631"/>
    </row>
    <row r="23" spans="1:279" s="105" customFormat="1" ht="13.9" customHeight="1" x14ac:dyDescent="0.2">
      <c r="A23" s="204" t="s">
        <v>159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13">
        <f>SUM(B23:M23)</f>
        <v>0</v>
      </c>
      <c r="O23" s="1502">
        <f>SUM(O24:O25)</f>
        <v>1211082</v>
      </c>
      <c r="P23" s="1502">
        <f t="shared" ref="P23:Z23" si="31">SUM(P24:P25)</f>
        <v>1115969</v>
      </c>
      <c r="Q23" s="1502">
        <f t="shared" si="31"/>
        <v>1230202</v>
      </c>
      <c r="R23" s="1502">
        <f t="shared" si="31"/>
        <v>1248329</v>
      </c>
      <c r="S23" s="1502">
        <f t="shared" si="31"/>
        <v>1331327</v>
      </c>
      <c r="T23" s="1502">
        <f t="shared" si="31"/>
        <v>1276232</v>
      </c>
      <c r="U23" s="1502">
        <f t="shared" si="31"/>
        <v>1299018</v>
      </c>
      <c r="V23" s="1502">
        <f t="shared" si="31"/>
        <v>1266798</v>
      </c>
      <c r="W23" s="1502">
        <f t="shared" si="31"/>
        <v>1138427</v>
      </c>
      <c r="X23" s="1502">
        <f t="shared" si="31"/>
        <v>1235860</v>
      </c>
      <c r="Y23" s="1502">
        <f t="shared" si="31"/>
        <v>1179801</v>
      </c>
      <c r="Z23" s="1502">
        <f t="shared" si="31"/>
        <v>1250629</v>
      </c>
      <c r="AA23" s="13">
        <f>SUM(O23:Z23)</f>
        <v>14783674</v>
      </c>
      <c r="AB23" s="110">
        <f>SUM(AB24:AB25)</f>
        <v>1260194</v>
      </c>
      <c r="AC23" s="10">
        <f t="shared" ref="AC23:AY23" si="32">SUM(AC24:AC25)</f>
        <v>1194336</v>
      </c>
      <c r="AD23" s="10">
        <f t="shared" si="32"/>
        <v>1228655</v>
      </c>
      <c r="AE23" s="10">
        <f t="shared" si="32"/>
        <v>1302439</v>
      </c>
      <c r="AF23" s="10">
        <f t="shared" si="32"/>
        <v>1376477</v>
      </c>
      <c r="AG23" s="10">
        <f t="shared" si="32"/>
        <v>1334429</v>
      </c>
      <c r="AH23" s="10">
        <f t="shared" si="32"/>
        <v>1296705</v>
      </c>
      <c r="AI23" s="10">
        <f t="shared" si="32"/>
        <v>1240513</v>
      </c>
      <c r="AJ23" s="10">
        <f t="shared" si="32"/>
        <v>1229828</v>
      </c>
      <c r="AK23" s="10">
        <f t="shared" si="32"/>
        <v>1287110</v>
      </c>
      <c r="AL23" s="10">
        <f t="shared" si="32"/>
        <v>1298565</v>
      </c>
      <c r="AM23" s="12">
        <f t="shared" si="32"/>
        <v>1390005</v>
      </c>
      <c r="AN23" s="13">
        <f>SUM(AB23:AM23)</f>
        <v>15439256</v>
      </c>
      <c r="AO23" s="10">
        <f t="shared" si="32"/>
        <v>1350753</v>
      </c>
      <c r="AP23" s="10">
        <f t="shared" si="32"/>
        <v>1296042</v>
      </c>
      <c r="AQ23" s="10">
        <f t="shared" si="32"/>
        <v>1385270</v>
      </c>
      <c r="AR23" s="10">
        <f t="shared" si="32"/>
        <v>1294144</v>
      </c>
      <c r="AS23" s="10">
        <f t="shared" si="32"/>
        <v>1360107</v>
      </c>
      <c r="AT23" s="10">
        <f t="shared" si="32"/>
        <v>1327565</v>
      </c>
      <c r="AU23" s="10">
        <f t="shared" si="32"/>
        <v>1374435</v>
      </c>
      <c r="AV23" s="10">
        <f t="shared" si="32"/>
        <v>1335332</v>
      </c>
      <c r="AW23" s="10">
        <f t="shared" si="32"/>
        <v>1331630</v>
      </c>
      <c r="AX23" s="10">
        <f t="shared" si="32"/>
        <v>1370484</v>
      </c>
      <c r="AY23" s="10">
        <f t="shared" si="32"/>
        <v>1337986</v>
      </c>
      <c r="AZ23" s="10">
        <f>SUM(AZ24:AZ25)</f>
        <v>1362736</v>
      </c>
      <c r="BA23" s="13">
        <f>SUM(AO23:AZ23)</f>
        <v>16126484</v>
      </c>
      <c r="BB23" s="10">
        <f t="shared" ref="BB23:BL23" si="33">SUM(BB24:BB25)</f>
        <v>1363051</v>
      </c>
      <c r="BC23" s="10">
        <f t="shared" si="33"/>
        <v>1264793</v>
      </c>
      <c r="BD23" s="10">
        <f t="shared" si="33"/>
        <v>1425078</v>
      </c>
      <c r="BE23" s="10">
        <f t="shared" si="33"/>
        <v>1364080</v>
      </c>
      <c r="BF23" s="10">
        <f t="shared" si="33"/>
        <v>1361455</v>
      </c>
      <c r="BG23" s="10">
        <f t="shared" si="33"/>
        <v>1381863</v>
      </c>
      <c r="BH23" s="10">
        <f t="shared" si="33"/>
        <v>1410516</v>
      </c>
      <c r="BI23" s="10">
        <f t="shared" si="33"/>
        <v>1398305</v>
      </c>
      <c r="BJ23" s="10">
        <f t="shared" si="33"/>
        <v>1376680</v>
      </c>
      <c r="BK23" s="10">
        <f t="shared" si="33"/>
        <v>1414194</v>
      </c>
      <c r="BL23" s="10">
        <f t="shared" si="33"/>
        <v>1369917</v>
      </c>
      <c r="BM23" s="10">
        <f>SUM(BM24:BM25)</f>
        <v>1376420</v>
      </c>
      <c r="BN23" s="13">
        <f>SUM(BB23:BM23)</f>
        <v>16506352</v>
      </c>
      <c r="BO23" s="10">
        <f t="shared" ref="BO23:CJ23" si="34">SUM(BO24:BO25)</f>
        <v>1321347</v>
      </c>
      <c r="BP23" s="10">
        <f t="shared" si="34"/>
        <v>1267033</v>
      </c>
      <c r="BQ23" s="10">
        <f t="shared" si="34"/>
        <v>1353958</v>
      </c>
      <c r="BR23" s="10">
        <f t="shared" si="34"/>
        <v>1317113</v>
      </c>
      <c r="BS23" s="10">
        <f t="shared" si="34"/>
        <v>1419138</v>
      </c>
      <c r="BT23" s="10">
        <f t="shared" si="34"/>
        <v>1369343</v>
      </c>
      <c r="BU23" s="10">
        <f t="shared" si="34"/>
        <v>1387268</v>
      </c>
      <c r="BV23" s="10">
        <f t="shared" si="34"/>
        <v>1292269</v>
      </c>
      <c r="BW23" s="10">
        <f t="shared" si="34"/>
        <v>1262558</v>
      </c>
      <c r="BX23" s="10">
        <f t="shared" si="34"/>
        <v>1256997</v>
      </c>
      <c r="BY23" s="10">
        <f t="shared" si="34"/>
        <v>1369183</v>
      </c>
      <c r="BZ23" s="10">
        <f t="shared" si="34"/>
        <v>1407527</v>
      </c>
      <c r="CA23" s="13">
        <f>SUM(BO23:BZ23)</f>
        <v>16023734</v>
      </c>
      <c r="CB23" s="10">
        <f t="shared" si="34"/>
        <v>1367515</v>
      </c>
      <c r="CC23" s="10">
        <f t="shared" si="34"/>
        <v>1234523</v>
      </c>
      <c r="CD23" s="10">
        <f t="shared" si="34"/>
        <v>1409934</v>
      </c>
      <c r="CE23" s="10">
        <f t="shared" si="34"/>
        <v>1666581</v>
      </c>
      <c r="CF23" s="10">
        <f t="shared" si="34"/>
        <v>1261333</v>
      </c>
      <c r="CG23" s="10">
        <f t="shared" si="34"/>
        <v>1420433</v>
      </c>
      <c r="CH23" s="10">
        <f t="shared" si="34"/>
        <v>1447001</v>
      </c>
      <c r="CI23" s="10">
        <f t="shared" si="34"/>
        <v>1435799</v>
      </c>
      <c r="CJ23" s="10">
        <f t="shared" si="34"/>
        <v>1429261</v>
      </c>
      <c r="CK23" s="10">
        <f>SUM(CK24:CK25)</f>
        <v>1479246</v>
      </c>
      <c r="CL23" s="10">
        <f>SUM(CL24:CL25)</f>
        <v>1465694</v>
      </c>
      <c r="CM23" s="10">
        <f>SUM(CM24:CM25)</f>
        <v>1524776</v>
      </c>
      <c r="CN23" s="13">
        <f>SUM(CB23:CM23)</f>
        <v>17142096</v>
      </c>
      <c r="CO23" s="11">
        <f t="shared" ref="CO23:CV23" si="35">SUM(CO24:CO25)</f>
        <v>1438755</v>
      </c>
      <c r="CP23" s="10">
        <f t="shared" si="35"/>
        <v>1371676</v>
      </c>
      <c r="CQ23" s="10">
        <f t="shared" si="35"/>
        <v>1430732</v>
      </c>
      <c r="CR23" s="10">
        <f t="shared" si="35"/>
        <v>1371451</v>
      </c>
      <c r="CS23" s="10">
        <f t="shared" si="35"/>
        <v>1433736</v>
      </c>
      <c r="CT23" s="10">
        <f t="shared" si="35"/>
        <v>1448366</v>
      </c>
      <c r="CU23" s="10">
        <f t="shared" si="35"/>
        <v>1431264</v>
      </c>
      <c r="CV23" s="10">
        <f t="shared" si="35"/>
        <v>1460235</v>
      </c>
      <c r="CW23" s="10">
        <f>SUM(CW24:CW25)</f>
        <v>1390248</v>
      </c>
      <c r="CX23" s="10">
        <f>SUM(CX24:CX25)</f>
        <v>1376069</v>
      </c>
      <c r="CY23" s="10">
        <f>SUM(CY24:CY25)</f>
        <v>1360152</v>
      </c>
      <c r="CZ23" s="10">
        <f>SUM(CZ24:CZ25)</f>
        <v>1441121</v>
      </c>
      <c r="DA23" s="13">
        <f>SUM(CO23:CZ23)</f>
        <v>16953805</v>
      </c>
      <c r="DB23" s="11">
        <f t="shared" ref="DB23:FO23" si="36">SUM(DB24:DB25)</f>
        <v>1387062</v>
      </c>
      <c r="DC23" s="10">
        <f t="shared" si="36"/>
        <v>1277691</v>
      </c>
      <c r="DD23" s="10">
        <f t="shared" si="36"/>
        <v>1335831</v>
      </c>
      <c r="DE23" s="10">
        <f t="shared" si="36"/>
        <v>1362936</v>
      </c>
      <c r="DF23" s="10">
        <f t="shared" si="36"/>
        <v>1422119</v>
      </c>
      <c r="DG23" s="10">
        <f t="shared" si="36"/>
        <v>1410900</v>
      </c>
      <c r="DH23" s="10">
        <f t="shared" si="36"/>
        <v>1429477</v>
      </c>
      <c r="DI23" s="10">
        <f t="shared" si="36"/>
        <v>1355859</v>
      </c>
      <c r="DJ23" s="10">
        <f t="shared" si="36"/>
        <v>1331361</v>
      </c>
      <c r="DK23" s="10">
        <f t="shared" si="36"/>
        <v>1385750</v>
      </c>
      <c r="DL23" s="10">
        <f t="shared" si="36"/>
        <v>1324428</v>
      </c>
      <c r="DM23" s="10">
        <f t="shared" si="36"/>
        <v>1407452</v>
      </c>
      <c r="DN23" s="13">
        <f>SUM(DB23:DM23)</f>
        <v>16430866</v>
      </c>
      <c r="DO23" s="11">
        <f t="shared" si="36"/>
        <v>1389882</v>
      </c>
      <c r="DP23" s="10">
        <f t="shared" si="36"/>
        <v>1237520</v>
      </c>
      <c r="DQ23" s="10">
        <f t="shared" si="36"/>
        <v>1289499</v>
      </c>
      <c r="DR23" s="10">
        <f t="shared" si="36"/>
        <v>1330891</v>
      </c>
      <c r="DS23" s="10">
        <f t="shared" si="36"/>
        <v>1325442</v>
      </c>
      <c r="DT23" s="10">
        <f t="shared" si="36"/>
        <v>1066444</v>
      </c>
      <c r="DU23" s="10">
        <f t="shared" si="36"/>
        <v>1105113</v>
      </c>
      <c r="DV23" s="10">
        <f t="shared" si="36"/>
        <v>1089116</v>
      </c>
      <c r="DW23" s="10">
        <f t="shared" si="36"/>
        <v>1100667</v>
      </c>
      <c r="DX23" s="10">
        <f t="shared" si="36"/>
        <v>1135362</v>
      </c>
      <c r="DY23" s="10">
        <f t="shared" si="36"/>
        <v>1127790</v>
      </c>
      <c r="DZ23" s="12">
        <f t="shared" si="36"/>
        <v>1139089</v>
      </c>
      <c r="EA23" s="13">
        <f>SUM(DO23:DZ23)</f>
        <v>14336815</v>
      </c>
      <c r="EB23" s="10">
        <f t="shared" si="36"/>
        <v>1086215</v>
      </c>
      <c r="EC23" s="10">
        <f t="shared" si="36"/>
        <v>945341</v>
      </c>
      <c r="ED23" s="10">
        <f t="shared" si="36"/>
        <v>1080099</v>
      </c>
      <c r="EE23" s="10">
        <f t="shared" si="36"/>
        <v>965740</v>
      </c>
      <c r="EF23" s="10">
        <f t="shared" si="36"/>
        <v>1054055</v>
      </c>
      <c r="EG23" s="10">
        <f t="shared" si="36"/>
        <v>1083260</v>
      </c>
      <c r="EH23" s="10">
        <f t="shared" si="36"/>
        <v>1160705</v>
      </c>
      <c r="EI23" s="10">
        <f t="shared" si="36"/>
        <v>0</v>
      </c>
      <c r="EJ23" s="10"/>
      <c r="EK23" s="10"/>
      <c r="EL23" s="10"/>
      <c r="EM23" s="10"/>
      <c r="EN23" s="13">
        <f>SUM(EB23:EM23)</f>
        <v>7375415</v>
      </c>
      <c r="EO23" s="10">
        <f t="shared" si="36"/>
        <v>0</v>
      </c>
      <c r="EP23" s="10">
        <f t="shared" si="36"/>
        <v>0</v>
      </c>
      <c r="EQ23" s="10">
        <f t="shared" si="36"/>
        <v>0</v>
      </c>
      <c r="ER23" s="10">
        <f t="shared" si="36"/>
        <v>0</v>
      </c>
      <c r="ES23" s="10">
        <f t="shared" si="36"/>
        <v>0</v>
      </c>
      <c r="ET23" s="10">
        <f t="shared" si="36"/>
        <v>0</v>
      </c>
      <c r="EU23" s="10">
        <f t="shared" si="36"/>
        <v>0</v>
      </c>
      <c r="EV23" s="10">
        <f t="shared" si="36"/>
        <v>0</v>
      </c>
      <c r="EW23" s="10">
        <f t="shared" si="36"/>
        <v>0</v>
      </c>
      <c r="EX23" s="10">
        <f t="shared" si="36"/>
        <v>0</v>
      </c>
      <c r="EY23" s="10">
        <f t="shared" si="36"/>
        <v>0</v>
      </c>
      <c r="EZ23" s="10">
        <f t="shared" si="36"/>
        <v>0</v>
      </c>
      <c r="FA23" s="13">
        <f>SUM(EO23:EZ23)</f>
        <v>0</v>
      </c>
      <c r="FB23" s="10">
        <f t="shared" si="36"/>
        <v>1193008</v>
      </c>
      <c r="FC23" s="10">
        <f t="shared" si="36"/>
        <v>1012683</v>
      </c>
      <c r="FD23" s="10">
        <f t="shared" si="36"/>
        <v>1209092</v>
      </c>
      <c r="FE23" s="10">
        <f t="shared" si="36"/>
        <v>1120573.6000000001</v>
      </c>
      <c r="FF23" s="10">
        <f t="shared" si="36"/>
        <v>1142640.1000000001</v>
      </c>
      <c r="FG23" s="10">
        <f t="shared" si="36"/>
        <v>1153784.3700000001</v>
      </c>
      <c r="FH23" s="10">
        <f t="shared" si="36"/>
        <v>1210162.8399999999</v>
      </c>
      <c r="FI23" s="10">
        <f t="shared" si="36"/>
        <v>1198971.02</v>
      </c>
      <c r="FJ23" s="10">
        <f t="shared" si="36"/>
        <v>1134811.92</v>
      </c>
      <c r="FK23" s="10">
        <f t="shared" si="36"/>
        <v>1157411.83</v>
      </c>
      <c r="FL23" s="10">
        <f t="shared" si="36"/>
        <v>1098557.7799999998</v>
      </c>
      <c r="FM23" s="10">
        <f t="shared" si="36"/>
        <v>1166330.5</v>
      </c>
      <c r="FN23" s="13">
        <f>SUM(FB23:FM23)</f>
        <v>13798026.959999999</v>
      </c>
      <c r="FO23" s="10">
        <f t="shared" si="36"/>
        <v>1152272.49</v>
      </c>
      <c r="FP23" s="10">
        <f t="shared" ref="FP23:HZ23" si="37">SUM(FP24:FP25)</f>
        <v>1100146.3900000001</v>
      </c>
      <c r="FQ23" s="10">
        <f t="shared" si="37"/>
        <v>1214422.9099999999</v>
      </c>
      <c r="FR23" s="10">
        <f t="shared" si="37"/>
        <v>1147572.96</v>
      </c>
      <c r="FS23" s="10">
        <f t="shared" si="37"/>
        <v>1202305.42</v>
      </c>
      <c r="FT23" s="10">
        <f t="shared" si="37"/>
        <v>0</v>
      </c>
      <c r="FU23" s="10">
        <f t="shared" si="37"/>
        <v>0</v>
      </c>
      <c r="FV23" s="10">
        <f t="shared" si="37"/>
        <v>0</v>
      </c>
      <c r="FW23" s="10">
        <f t="shared" si="37"/>
        <v>0</v>
      </c>
      <c r="FX23" s="10">
        <f t="shared" si="37"/>
        <v>0</v>
      </c>
      <c r="FY23" s="10">
        <f t="shared" si="37"/>
        <v>0</v>
      </c>
      <c r="FZ23" s="10">
        <f t="shared" si="37"/>
        <v>0</v>
      </c>
      <c r="GA23" s="13">
        <f>SUM(FO23:FZ23)</f>
        <v>5816720.1699999999</v>
      </c>
      <c r="GB23" s="10">
        <f t="shared" si="37"/>
        <v>346339</v>
      </c>
      <c r="GC23" s="10">
        <f t="shared" si="37"/>
        <v>294263</v>
      </c>
      <c r="GD23" s="10">
        <f t="shared" si="37"/>
        <v>320706.62</v>
      </c>
      <c r="GE23" s="10">
        <f t="shared" si="37"/>
        <v>311764</v>
      </c>
      <c r="GF23" s="10">
        <f t="shared" si="37"/>
        <v>337296.62</v>
      </c>
      <c r="GG23" s="10">
        <f t="shared" si="37"/>
        <v>319408.09999999998</v>
      </c>
      <c r="GH23" s="10">
        <f t="shared" si="37"/>
        <v>301161</v>
      </c>
      <c r="GI23" s="10">
        <f t="shared" si="37"/>
        <v>298548</v>
      </c>
      <c r="GJ23" s="10">
        <f t="shared" si="37"/>
        <v>265108</v>
      </c>
      <c r="GK23" s="10">
        <f t="shared" si="37"/>
        <v>262819</v>
      </c>
      <c r="GL23" s="10">
        <f t="shared" si="37"/>
        <v>235353</v>
      </c>
      <c r="GM23" s="10">
        <f t="shared" si="37"/>
        <v>282940</v>
      </c>
      <c r="GN23" s="13">
        <f>SUM(GB23:GM23)</f>
        <v>3575706.3400000003</v>
      </c>
      <c r="GO23" s="10">
        <f t="shared" si="37"/>
        <v>280095</v>
      </c>
      <c r="GP23" s="10">
        <f t="shared" si="37"/>
        <v>285003</v>
      </c>
      <c r="GQ23" s="10">
        <f t="shared" si="37"/>
        <v>344889</v>
      </c>
      <c r="GR23" s="10">
        <f t="shared" si="37"/>
        <v>335283</v>
      </c>
      <c r="GS23" s="10">
        <f t="shared" si="37"/>
        <v>339924</v>
      </c>
      <c r="GT23" s="10">
        <f t="shared" si="37"/>
        <v>317400</v>
      </c>
      <c r="GU23" s="10">
        <f t="shared" si="37"/>
        <v>311539</v>
      </c>
      <c r="GV23" s="10">
        <f t="shared" si="37"/>
        <v>257836</v>
      </c>
      <c r="GW23" s="10">
        <f t="shared" si="37"/>
        <v>279906</v>
      </c>
      <c r="GX23" s="10">
        <f t="shared" si="37"/>
        <v>307994</v>
      </c>
      <c r="GY23" s="10">
        <f t="shared" si="37"/>
        <v>285202</v>
      </c>
      <c r="GZ23" s="10">
        <f t="shared" si="37"/>
        <v>292386</v>
      </c>
      <c r="HA23" s="13">
        <f>SUM(GO23:GZ23)</f>
        <v>3637457</v>
      </c>
      <c r="HB23" s="11">
        <f t="shared" si="37"/>
        <v>1701353.9793449275</v>
      </c>
      <c r="HC23" s="10">
        <f t="shared" si="37"/>
        <v>1551471.0973333335</v>
      </c>
      <c r="HD23" s="10">
        <f t="shared" si="37"/>
        <v>1671944.5887814446</v>
      </c>
      <c r="HE23" s="10">
        <f t="shared" si="37"/>
        <v>1631238.8202927148</v>
      </c>
      <c r="HF23" s="10">
        <f t="shared" si="37"/>
        <v>1716238.7768142223</v>
      </c>
      <c r="HG23" s="10">
        <f t="shared" si="37"/>
        <v>1634240.51122</v>
      </c>
      <c r="HH23" s="10">
        <f t="shared" si="37"/>
        <v>1719336.3911053333</v>
      </c>
      <c r="HI23" s="10">
        <f t="shared" si="37"/>
        <v>1682900.5100000002</v>
      </c>
      <c r="HJ23" s="10">
        <f t="shared" si="37"/>
        <v>1612690.8227153334</v>
      </c>
      <c r="HK23" s="10">
        <f t="shared" si="37"/>
        <v>1697758.3467488887</v>
      </c>
      <c r="HL23" s="10">
        <f t="shared" si="37"/>
        <v>1704591.2315666664</v>
      </c>
      <c r="HM23" s="10">
        <f t="shared" si="37"/>
        <v>1682523.1658533332</v>
      </c>
      <c r="HN23" s="13">
        <f>SUM(HB23:HM23)</f>
        <v>20006288.241776198</v>
      </c>
      <c r="HO23" s="10">
        <f t="shared" si="37"/>
        <v>1695159.0999533331</v>
      </c>
      <c r="HP23" s="10">
        <f t="shared" si="37"/>
        <v>1438956.8263788889</v>
      </c>
      <c r="HQ23" s="10">
        <f t="shared" si="37"/>
        <v>1640648.8263539129</v>
      </c>
      <c r="HR23" s="10">
        <f t="shared" si="37"/>
        <v>1599820.5956583573</v>
      </c>
      <c r="HS23" s="10">
        <f t="shared" si="37"/>
        <v>1868938.59</v>
      </c>
      <c r="HT23" s="10">
        <f t="shared" si="37"/>
        <v>1902836.85</v>
      </c>
      <c r="HU23" s="10">
        <f t="shared" si="37"/>
        <v>1851645.1332999999</v>
      </c>
      <c r="HV23" s="10">
        <f t="shared" si="37"/>
        <v>1686461.8603619046</v>
      </c>
      <c r="HW23" s="10">
        <f t="shared" si="37"/>
        <v>1652969.3381428574</v>
      </c>
      <c r="HX23" s="10">
        <f t="shared" si="37"/>
        <v>1708847.534133333</v>
      </c>
      <c r="HY23" s="10">
        <f t="shared" si="37"/>
        <v>1688316.2091999999</v>
      </c>
      <c r="HZ23" s="10">
        <f t="shared" si="37"/>
        <v>1620325.1348000001</v>
      </c>
      <c r="IA23" s="13">
        <f>SUM(HO23:HZ23)</f>
        <v>20354925.998282589</v>
      </c>
      <c r="IB23" s="10">
        <f t="shared" ref="IB23:IZ23" si="38">SUM(IB24:IB25)</f>
        <v>1641180.5376666668</v>
      </c>
      <c r="IC23" s="10">
        <f t="shared" si="38"/>
        <v>1563228.5242666663</v>
      </c>
      <c r="ID23" s="10">
        <f t="shared" si="38"/>
        <v>1609785.0599999998</v>
      </c>
      <c r="IE23" s="10">
        <f t="shared" si="38"/>
        <v>1582874.9499999997</v>
      </c>
      <c r="IF23" s="10">
        <f t="shared" si="38"/>
        <v>1799710.5610666669</v>
      </c>
      <c r="IG23" s="10">
        <f t="shared" si="38"/>
        <v>1804948.2561234611</v>
      </c>
      <c r="IH23" s="10">
        <f t="shared" si="38"/>
        <v>1821068.9115115318</v>
      </c>
      <c r="II23" s="10">
        <f t="shared" si="38"/>
        <v>1777977.0269781987</v>
      </c>
      <c r="IJ23" s="10">
        <f t="shared" si="38"/>
        <v>1642337.6831115307</v>
      </c>
      <c r="IK23" s="10">
        <f t="shared" si="38"/>
        <v>1596868.4030245752</v>
      </c>
      <c r="IL23" s="10">
        <f t="shared" si="38"/>
        <v>1702670.3854245755</v>
      </c>
      <c r="IM23" s="10">
        <f t="shared" si="38"/>
        <v>1772344.9306406931</v>
      </c>
      <c r="IN23" s="13">
        <f>SUM(IB23:IM23)</f>
        <v>20314995.229814567</v>
      </c>
      <c r="IO23" s="10">
        <f t="shared" si="38"/>
        <v>1851421.302269961</v>
      </c>
      <c r="IP23" s="10">
        <f t="shared" si="38"/>
        <v>1702102.4012934221</v>
      </c>
      <c r="IQ23" s="10">
        <f t="shared" si="38"/>
        <v>1884841.5193315172</v>
      </c>
      <c r="IR23" s="10">
        <f t="shared" si="38"/>
        <v>1851683.9637315171</v>
      </c>
      <c r="IS23" s="10">
        <f t="shared" si="38"/>
        <v>1819972.4545315176</v>
      </c>
      <c r="IT23" s="10">
        <f t="shared" si="38"/>
        <v>1776020.0461428571</v>
      </c>
      <c r="IU23" s="10">
        <f t="shared" si="38"/>
        <v>1830261.37</v>
      </c>
      <c r="IV23" s="10">
        <f t="shared" si="38"/>
        <v>1628769.5676000004</v>
      </c>
      <c r="IW23" s="10">
        <f t="shared" si="38"/>
        <v>1434227.2424000001</v>
      </c>
      <c r="IX23" s="10">
        <f t="shared" si="38"/>
        <v>1676011.73</v>
      </c>
      <c r="IY23" s="10">
        <f t="shared" si="38"/>
        <v>1994056.2538000003</v>
      </c>
      <c r="IZ23" s="10">
        <f t="shared" si="38"/>
        <v>1908618.7384000001</v>
      </c>
      <c r="JA23" s="11">
        <f>SUM(IO23:IZ23)</f>
        <v>21357986.589500792</v>
      </c>
      <c r="JB23" s="11">
        <f>SUM(JB24:JB25)</f>
        <v>1952256.1699999997</v>
      </c>
      <c r="JC23" s="10">
        <f>SUM(JC24:JC25)</f>
        <v>1688659.5720000002</v>
      </c>
      <c r="JD23" s="10">
        <f>SUM(JD24:JD25)</f>
        <v>1762151.34</v>
      </c>
      <c r="JE23" s="10">
        <f>SUM(JE24:JE25)</f>
        <v>1813753.5000000002</v>
      </c>
      <c r="JF23" s="10">
        <f>SUM(JF24:JF25)</f>
        <v>1897213.1500000001</v>
      </c>
      <c r="JG23" s="10">
        <f t="shared" ref="JG23:JM23" si="39">SUM(JG24:JG25)</f>
        <v>1839536.67</v>
      </c>
      <c r="JH23" s="10">
        <f t="shared" si="39"/>
        <v>1871466.18</v>
      </c>
      <c r="JI23" s="10">
        <f t="shared" si="39"/>
        <v>1785945.07</v>
      </c>
      <c r="JJ23" s="10">
        <f t="shared" si="39"/>
        <v>1686861.21</v>
      </c>
      <c r="JK23" s="10">
        <f t="shared" si="39"/>
        <v>1877164.1501999998</v>
      </c>
      <c r="JL23" s="10">
        <f t="shared" si="39"/>
        <v>1517045.83</v>
      </c>
      <c r="JM23" s="10">
        <f t="shared" si="39"/>
        <v>0</v>
      </c>
      <c r="JN23" s="13">
        <f>SUM(JB23:JM23)</f>
        <v>19692052.842199996</v>
      </c>
      <c r="JO23"/>
      <c r="JP23" s="1499">
        <f t="shared" ref="JP23:JP25" si="40">IFERROR((((JL23/IY23)-1)*100),"")</f>
        <v>-23.921613188744239</v>
      </c>
      <c r="JQ23" s="1499">
        <f t="shared" ref="JQ23:JQ25" si="41">IFERROR((((JS23/JR23)-1)*100),"")</f>
        <v>1.2477782977685203</v>
      </c>
      <c r="JR23" s="1500">
        <f t="shared" ref="JR23:JR25" si="42">SUM(IO23:IY23)</f>
        <v>19449367.851100791</v>
      </c>
      <c r="JS23" s="1500">
        <f t="shared" ref="JS23:JS25" si="43">SUM(JB23:JL23)</f>
        <v>19692052.842199996</v>
      </c>
    </row>
    <row r="24" spans="1:279" s="105" customFormat="1" ht="13.9" customHeight="1" x14ac:dyDescent="0.2">
      <c r="A24" s="190" t="s">
        <v>157</v>
      </c>
      <c r="N24" s="192">
        <f>SUM(B24:M24)</f>
        <v>0</v>
      </c>
      <c r="O24" s="1495">
        <v>930696</v>
      </c>
      <c r="P24" s="1495">
        <v>876259</v>
      </c>
      <c r="Q24" s="1495">
        <v>964029</v>
      </c>
      <c r="R24" s="1495">
        <v>980421</v>
      </c>
      <c r="S24" s="1495">
        <v>1051470</v>
      </c>
      <c r="T24" s="1495">
        <v>1004302</v>
      </c>
      <c r="U24" s="1495">
        <v>1021246</v>
      </c>
      <c r="V24" s="1495">
        <v>992195</v>
      </c>
      <c r="W24" s="1495">
        <v>869382</v>
      </c>
      <c r="X24" s="1495">
        <v>961801</v>
      </c>
      <c r="Y24" s="1495">
        <v>911884</v>
      </c>
      <c r="Z24" s="1495">
        <v>975461</v>
      </c>
      <c r="AA24" s="192">
        <f>SUM(O24:Z24)</f>
        <v>11539146</v>
      </c>
      <c r="AB24" s="193">
        <v>966385</v>
      </c>
      <c r="AC24" s="16">
        <v>924647</v>
      </c>
      <c r="AD24" s="16">
        <v>943621</v>
      </c>
      <c r="AE24" s="16">
        <v>1015748</v>
      </c>
      <c r="AF24" s="16">
        <v>1063208</v>
      </c>
      <c r="AG24" s="16">
        <v>1034746</v>
      </c>
      <c r="AH24" s="16">
        <v>1024512</v>
      </c>
      <c r="AI24" s="16">
        <v>985174</v>
      </c>
      <c r="AJ24" s="16">
        <v>964485</v>
      </c>
      <c r="AK24" s="16">
        <v>991689</v>
      </c>
      <c r="AL24" s="16">
        <v>989492</v>
      </c>
      <c r="AM24" s="21">
        <v>1072852</v>
      </c>
      <c r="AN24" s="192">
        <f>SUM(AB24:AM24)</f>
        <v>11976559</v>
      </c>
      <c r="AO24" s="16">
        <v>1030920</v>
      </c>
      <c r="AP24" s="16">
        <v>968132</v>
      </c>
      <c r="AQ24" s="16">
        <v>1056646</v>
      </c>
      <c r="AR24" s="16">
        <v>1009524</v>
      </c>
      <c r="AS24" s="16">
        <v>1058356</v>
      </c>
      <c r="AT24" s="16">
        <v>1002982</v>
      </c>
      <c r="AU24" s="16">
        <v>1045467</v>
      </c>
      <c r="AV24" s="16">
        <v>1014765</v>
      </c>
      <c r="AW24" s="16">
        <v>1003558</v>
      </c>
      <c r="AX24" s="16">
        <v>1064605</v>
      </c>
      <c r="AY24" s="16">
        <v>1028203</v>
      </c>
      <c r="AZ24" s="16">
        <v>1032611</v>
      </c>
      <c r="BA24" s="20">
        <f>SUM(AO24:AZ24)</f>
        <v>12315769</v>
      </c>
      <c r="BB24" s="16">
        <v>1030467</v>
      </c>
      <c r="BC24" s="16">
        <v>960437</v>
      </c>
      <c r="BD24" s="16">
        <v>1086212</v>
      </c>
      <c r="BE24" s="16">
        <v>1048083</v>
      </c>
      <c r="BF24" s="16">
        <v>1032284</v>
      </c>
      <c r="BG24" s="16">
        <v>1058487</v>
      </c>
      <c r="BH24" s="16">
        <v>1089047</v>
      </c>
      <c r="BI24" s="16">
        <v>1096985</v>
      </c>
      <c r="BJ24" s="16">
        <v>1087400</v>
      </c>
      <c r="BK24" s="16">
        <v>1103037</v>
      </c>
      <c r="BL24" s="16">
        <v>1071353</v>
      </c>
      <c r="BM24" s="16">
        <v>1091388</v>
      </c>
      <c r="BN24" s="20">
        <f>SUM(BB24:BM24)</f>
        <v>12755180</v>
      </c>
      <c r="BO24" s="16">
        <v>1081788</v>
      </c>
      <c r="BP24" s="16">
        <v>970680</v>
      </c>
      <c r="BQ24" s="16">
        <v>1073315</v>
      </c>
      <c r="BR24" s="16">
        <v>1060880</v>
      </c>
      <c r="BS24" s="16">
        <v>1103431</v>
      </c>
      <c r="BT24" s="16">
        <v>1078178</v>
      </c>
      <c r="BU24" s="16">
        <v>1101364</v>
      </c>
      <c r="BV24" s="16">
        <v>1048197</v>
      </c>
      <c r="BW24" s="16">
        <v>1042342</v>
      </c>
      <c r="BX24" s="16">
        <v>1015317</v>
      </c>
      <c r="BY24" s="16">
        <v>1084685</v>
      </c>
      <c r="BZ24" s="16">
        <v>1122327</v>
      </c>
      <c r="CA24" s="20">
        <f>SUM(BO24:BZ24)</f>
        <v>12782504</v>
      </c>
      <c r="CB24" s="16">
        <v>1087119</v>
      </c>
      <c r="CC24" s="16">
        <v>966019</v>
      </c>
      <c r="CD24" s="16">
        <v>1050128</v>
      </c>
      <c r="CE24" s="16">
        <v>1069631</v>
      </c>
      <c r="CF24" s="16">
        <v>1122846</v>
      </c>
      <c r="CG24" s="16">
        <v>1102715</v>
      </c>
      <c r="CH24" s="16">
        <v>1142741</v>
      </c>
      <c r="CI24" s="16">
        <v>1144733</v>
      </c>
      <c r="CJ24" s="16">
        <v>1097655</v>
      </c>
      <c r="CK24" s="16">
        <v>1110349</v>
      </c>
      <c r="CL24" s="16">
        <v>1057915</v>
      </c>
      <c r="CM24" s="16">
        <v>1113878</v>
      </c>
      <c r="CN24" s="20">
        <f>SUM(CB24:CM24)</f>
        <v>13065729</v>
      </c>
      <c r="CO24" s="19">
        <v>1110971</v>
      </c>
      <c r="CP24" s="16">
        <v>1058383</v>
      </c>
      <c r="CQ24" s="16">
        <v>1101567</v>
      </c>
      <c r="CR24" s="16">
        <v>1030634</v>
      </c>
      <c r="CS24" s="16">
        <v>1116969</v>
      </c>
      <c r="CT24" s="16">
        <v>1151955</v>
      </c>
      <c r="CU24" s="16">
        <v>1137501</v>
      </c>
      <c r="CV24" s="16">
        <v>1147566</v>
      </c>
      <c r="CW24" s="16">
        <v>1097583</v>
      </c>
      <c r="CX24" s="16">
        <v>1100925</v>
      </c>
      <c r="CY24" s="16">
        <v>1088365</v>
      </c>
      <c r="CZ24" s="16">
        <v>1186816</v>
      </c>
      <c r="DA24" s="20">
        <f>SUM(CO24:CZ24)</f>
        <v>13329235</v>
      </c>
      <c r="DB24" s="19">
        <v>1087391</v>
      </c>
      <c r="DC24" s="16">
        <v>996665</v>
      </c>
      <c r="DD24" s="16">
        <v>1077808</v>
      </c>
      <c r="DE24" s="16">
        <v>1072126</v>
      </c>
      <c r="DF24" s="16">
        <v>1118077</v>
      </c>
      <c r="DG24" s="16">
        <v>1114054</v>
      </c>
      <c r="DH24" s="16">
        <v>1117068</v>
      </c>
      <c r="DI24" s="16">
        <v>1087772</v>
      </c>
      <c r="DJ24" s="16">
        <v>1065528</v>
      </c>
      <c r="DK24" s="16">
        <v>1098217</v>
      </c>
      <c r="DL24" s="16">
        <v>1048403</v>
      </c>
      <c r="DM24" s="16">
        <v>1109626</v>
      </c>
      <c r="DN24" s="20">
        <f>SUM(DB24:DM24)</f>
        <v>12992735</v>
      </c>
      <c r="DO24" s="19">
        <v>1097108</v>
      </c>
      <c r="DP24" s="16">
        <v>967863</v>
      </c>
      <c r="DQ24" s="16">
        <v>1041347</v>
      </c>
      <c r="DR24" s="16">
        <v>1027133</v>
      </c>
      <c r="DS24" s="16">
        <v>1005918</v>
      </c>
      <c r="DT24" s="16">
        <v>1066444</v>
      </c>
      <c r="DU24" s="16">
        <v>1105113</v>
      </c>
      <c r="DV24" s="16">
        <v>1089116</v>
      </c>
      <c r="DW24" s="16">
        <v>1100667</v>
      </c>
      <c r="DX24" s="16">
        <v>1135362</v>
      </c>
      <c r="DY24" s="16">
        <v>1127790</v>
      </c>
      <c r="DZ24" s="21">
        <v>1139089</v>
      </c>
      <c r="EA24" s="21">
        <f>SUM(DO24:DZ24)</f>
        <v>12902950</v>
      </c>
      <c r="EB24" s="16">
        <v>1086215</v>
      </c>
      <c r="EC24" s="16">
        <v>945341</v>
      </c>
      <c r="ED24" s="16">
        <v>1080099</v>
      </c>
      <c r="EE24" s="16">
        <v>965740</v>
      </c>
      <c r="EF24" s="16">
        <v>1054055</v>
      </c>
      <c r="EG24" s="16">
        <v>1083260</v>
      </c>
      <c r="EH24" s="16">
        <v>1160705</v>
      </c>
      <c r="EI24" s="16"/>
      <c r="EJ24" s="16"/>
      <c r="EK24" s="16"/>
      <c r="EL24" s="16"/>
      <c r="EM24" s="16"/>
      <c r="EN24" s="192">
        <f>SUM(EB24:EM24)</f>
        <v>7375415</v>
      </c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21"/>
      <c r="FA24" s="192">
        <f>SUM(EO24:EZ24)</f>
        <v>0</v>
      </c>
      <c r="FB24" s="1496">
        <v>1193008</v>
      </c>
      <c r="FC24" s="1496">
        <v>1012683</v>
      </c>
      <c r="FD24" s="1496">
        <v>1209092</v>
      </c>
      <c r="FE24" s="1496">
        <v>1120573.6000000001</v>
      </c>
      <c r="FF24" s="1496">
        <v>1142640.1000000001</v>
      </c>
      <c r="FG24" s="1496">
        <v>1153784.3700000001</v>
      </c>
      <c r="FH24" s="1496">
        <v>1210162.8399999999</v>
      </c>
      <c r="FI24" s="1496">
        <v>1198971.02</v>
      </c>
      <c r="FJ24" s="1496">
        <v>1134811.92</v>
      </c>
      <c r="FK24" s="1496">
        <v>1157411.83</v>
      </c>
      <c r="FL24" s="1496">
        <v>1098557.7799999998</v>
      </c>
      <c r="FM24" s="194">
        <v>1166330.5</v>
      </c>
      <c r="FN24" s="192">
        <f>SUM(FB24:FM24)</f>
        <v>13798026.959999999</v>
      </c>
      <c r="FO24" s="1496">
        <v>1152272.49</v>
      </c>
      <c r="FP24" s="1496">
        <v>1100146.3900000001</v>
      </c>
      <c r="FQ24" s="1496">
        <v>1214422.9099999999</v>
      </c>
      <c r="FR24" s="1496">
        <v>1147572.96</v>
      </c>
      <c r="FS24" s="1496">
        <v>1202305.42</v>
      </c>
      <c r="FT24" s="1496"/>
      <c r="FU24" s="1496"/>
      <c r="FV24" s="1496"/>
      <c r="FW24" s="1496"/>
      <c r="FX24" s="1496"/>
      <c r="FY24" s="1496"/>
      <c r="FZ24" s="194"/>
      <c r="GA24" s="192">
        <f>SUM(FO24:FZ24)</f>
        <v>5816720.1699999999</v>
      </c>
      <c r="GB24" s="1496"/>
      <c r="GC24" s="1496"/>
      <c r="GD24" s="1496"/>
      <c r="GE24" s="1496"/>
      <c r="GF24" s="1496"/>
      <c r="GG24" s="1496"/>
      <c r="GH24" s="1496"/>
      <c r="GI24" s="1496"/>
      <c r="GJ24" s="1496"/>
      <c r="GK24" s="1496"/>
      <c r="GL24" s="1496"/>
      <c r="GM24" s="1496"/>
      <c r="GN24" s="192">
        <f>SUM(GB24:GM24)</f>
        <v>0</v>
      </c>
      <c r="GO24" s="1496"/>
      <c r="GP24" s="1496"/>
      <c r="GQ24" s="1496"/>
      <c r="GR24" s="1496"/>
      <c r="GS24" s="1496"/>
      <c r="GT24" s="1496"/>
      <c r="GU24" s="1496"/>
      <c r="GV24" s="1496"/>
      <c r="GW24" s="1496"/>
      <c r="GX24" s="1496"/>
      <c r="GY24" s="1496"/>
      <c r="GZ24" s="194"/>
      <c r="HA24" s="192">
        <f>SUM(GO24:GZ24)</f>
        <v>0</v>
      </c>
      <c r="HB24" s="193">
        <v>1379723.9393449274</v>
      </c>
      <c r="HC24" s="1496">
        <v>1257522.3073333334</v>
      </c>
      <c r="HD24" s="1496">
        <v>1381098.0087814445</v>
      </c>
      <c r="HE24" s="1496">
        <v>1328282.8202927148</v>
      </c>
      <c r="HF24" s="1496">
        <v>1416737.7768142223</v>
      </c>
      <c r="HG24" s="1496">
        <v>1332610.51122</v>
      </c>
      <c r="HH24" s="1496">
        <v>1427641.3911053333</v>
      </c>
      <c r="HI24" s="1496">
        <v>1406961.5100000002</v>
      </c>
      <c r="HJ24" s="1496">
        <v>1341998.8227153334</v>
      </c>
      <c r="HK24" s="1496">
        <v>1406792.3467488887</v>
      </c>
      <c r="HL24" s="1496">
        <v>1331600.2315666664</v>
      </c>
      <c r="HM24" s="194">
        <v>1360298.6658533332</v>
      </c>
      <c r="HN24" s="192">
        <f>SUM(HB24:HM24)</f>
        <v>16371268.331776196</v>
      </c>
      <c r="HO24" s="1496">
        <v>1397977.5999533331</v>
      </c>
      <c r="HP24" s="1496">
        <v>1181917.8263788889</v>
      </c>
      <c r="HQ24" s="1496">
        <v>1317160.8263539129</v>
      </c>
      <c r="HR24" s="1496">
        <v>1281824.5956583573</v>
      </c>
      <c r="HS24" s="1496">
        <v>1573792.59</v>
      </c>
      <c r="HT24" s="1496">
        <v>1620316.85</v>
      </c>
      <c r="HU24" s="1496">
        <v>1597757.1332999999</v>
      </c>
      <c r="HV24" s="1496">
        <v>1404790.8603619046</v>
      </c>
      <c r="HW24" s="1496">
        <v>1408620.3381428574</v>
      </c>
      <c r="HX24" s="1496">
        <v>1434382.534133333</v>
      </c>
      <c r="HY24" s="1496">
        <v>1390260.2091999999</v>
      </c>
      <c r="HZ24" s="194">
        <v>1373385.1348000001</v>
      </c>
      <c r="IA24" s="192">
        <f>SUM(HO24:HZ24)</f>
        <v>16982186.498282589</v>
      </c>
      <c r="IB24" s="1496">
        <v>1386031.5376666668</v>
      </c>
      <c r="IC24" s="1496">
        <v>1286642.5242666663</v>
      </c>
      <c r="ID24" s="1496">
        <v>1332539.0599999998</v>
      </c>
      <c r="IE24" s="1496">
        <v>1333152.9499999997</v>
      </c>
      <c r="IF24" s="1496">
        <v>1478792.5610666669</v>
      </c>
      <c r="IG24" s="1496">
        <v>1496530.2561234611</v>
      </c>
      <c r="IH24" s="1496">
        <v>1526996.9115115318</v>
      </c>
      <c r="II24" s="1496">
        <v>1496403.0269781987</v>
      </c>
      <c r="IJ24" s="1496">
        <v>1372688.6831115307</v>
      </c>
      <c r="IK24" s="1496">
        <v>1350762.4030245752</v>
      </c>
      <c r="IL24" s="1496">
        <v>1409212.3854245755</v>
      </c>
      <c r="IM24" s="1496">
        <v>1454215.9306406931</v>
      </c>
      <c r="IN24" s="192">
        <f>SUM(IB24:IM24)</f>
        <v>16923968.229814563</v>
      </c>
      <c r="IO24" s="1496">
        <v>1490970.302269961</v>
      </c>
      <c r="IP24" s="1496">
        <v>1371380.4012934221</v>
      </c>
      <c r="IQ24" s="1496">
        <v>1540502.5193315172</v>
      </c>
      <c r="IR24" s="1496">
        <v>1512199.9637315171</v>
      </c>
      <c r="IS24" s="1496">
        <v>1485531.4545315176</v>
      </c>
      <c r="IT24" s="1496">
        <v>1463462.0461428571</v>
      </c>
      <c r="IU24" s="1496">
        <v>1525881.37</v>
      </c>
      <c r="IV24" s="1496">
        <v>1338394.5676000004</v>
      </c>
      <c r="IW24" s="1496">
        <v>1188927.2424000001</v>
      </c>
      <c r="IX24" s="1496">
        <v>1424545.73</v>
      </c>
      <c r="IY24" s="1496">
        <v>1687920.2538000003</v>
      </c>
      <c r="IZ24" s="1496">
        <v>1614813.7384000001</v>
      </c>
      <c r="JA24" s="193">
        <f>SUM(IO24:IZ24)</f>
        <v>17644529.589500792</v>
      </c>
      <c r="JB24" s="193">
        <v>1650291.1699999997</v>
      </c>
      <c r="JC24" s="1496">
        <v>1391644.5720000002</v>
      </c>
      <c r="JD24" s="1496">
        <v>1455115.34</v>
      </c>
      <c r="JE24" s="1496">
        <v>1509796.5000000002</v>
      </c>
      <c r="JF24" s="1496">
        <v>1604032.1500000001</v>
      </c>
      <c r="JG24" s="1496">
        <v>1552580.67</v>
      </c>
      <c r="JH24" s="1496">
        <v>1583151.18</v>
      </c>
      <c r="JI24" s="1496">
        <v>1484773.07</v>
      </c>
      <c r="JJ24" s="1496">
        <v>1416803.21</v>
      </c>
      <c r="JK24" s="1496">
        <v>1570269.1501999998</v>
      </c>
      <c r="JL24" s="1496">
        <v>1517045.83</v>
      </c>
      <c r="JM24" s="1496"/>
      <c r="JN24" s="192">
        <f>SUM(JB24:JM24)</f>
        <v>16735502.8422</v>
      </c>
      <c r="JO24"/>
      <c r="JP24" s="54">
        <f t="shared" si="40"/>
        <v>-10.123370663709508</v>
      </c>
      <c r="JQ24" s="64">
        <f t="shared" si="41"/>
        <v>4.40299127979078</v>
      </c>
      <c r="JR24" s="20">
        <f t="shared" si="42"/>
        <v>16029715.851100793</v>
      </c>
      <c r="JS24" s="20">
        <f t="shared" si="43"/>
        <v>16735502.8422</v>
      </c>
    </row>
    <row r="25" spans="1:279" s="105" customFormat="1" ht="13.9" customHeight="1" x14ac:dyDescent="0.2">
      <c r="A25" s="190" t="s">
        <v>158</v>
      </c>
      <c r="N25" s="20">
        <f>SUM(B25:M25)</f>
        <v>0</v>
      </c>
      <c r="O25" s="1495">
        <v>280386</v>
      </c>
      <c r="P25" s="1495">
        <v>239710</v>
      </c>
      <c r="Q25" s="1495">
        <v>266173</v>
      </c>
      <c r="R25" s="1495">
        <v>267908</v>
      </c>
      <c r="S25" s="1495">
        <v>279857</v>
      </c>
      <c r="T25" s="1495">
        <v>271930</v>
      </c>
      <c r="U25" s="1495">
        <v>277772</v>
      </c>
      <c r="V25" s="1495">
        <v>274603</v>
      </c>
      <c r="W25" s="1495">
        <v>269045</v>
      </c>
      <c r="X25" s="1495">
        <v>274059</v>
      </c>
      <c r="Y25" s="1495">
        <v>267917</v>
      </c>
      <c r="Z25" s="1495">
        <v>275168</v>
      </c>
      <c r="AA25" s="20">
        <f>SUM(O25:Z25)</f>
        <v>3244528</v>
      </c>
      <c r="AB25" s="193">
        <v>293809</v>
      </c>
      <c r="AC25" s="16">
        <v>269689</v>
      </c>
      <c r="AD25" s="16">
        <v>285034</v>
      </c>
      <c r="AE25" s="16">
        <v>286691</v>
      </c>
      <c r="AF25" s="16">
        <v>313269</v>
      </c>
      <c r="AG25" s="16">
        <v>299683</v>
      </c>
      <c r="AH25" s="16">
        <v>272193</v>
      </c>
      <c r="AI25" s="16">
        <v>255339</v>
      </c>
      <c r="AJ25" s="16">
        <v>265343</v>
      </c>
      <c r="AK25" s="16">
        <v>295421</v>
      </c>
      <c r="AL25" s="16">
        <v>309073</v>
      </c>
      <c r="AM25" s="21">
        <v>317153</v>
      </c>
      <c r="AN25" s="20">
        <f>SUM(AB25:AM25)</f>
        <v>3462697</v>
      </c>
      <c r="AO25" s="16">
        <v>319833</v>
      </c>
      <c r="AP25" s="16">
        <v>327910</v>
      </c>
      <c r="AQ25" s="16">
        <v>328624</v>
      </c>
      <c r="AR25" s="16">
        <v>284620</v>
      </c>
      <c r="AS25" s="16">
        <v>301751</v>
      </c>
      <c r="AT25" s="16">
        <v>324583</v>
      </c>
      <c r="AU25" s="16">
        <v>328968</v>
      </c>
      <c r="AV25" s="16">
        <v>320567</v>
      </c>
      <c r="AW25" s="16">
        <v>328072</v>
      </c>
      <c r="AX25" s="16">
        <v>305879</v>
      </c>
      <c r="AY25" s="16">
        <v>309783</v>
      </c>
      <c r="AZ25" s="16">
        <v>330125</v>
      </c>
      <c r="BA25" s="20">
        <f>SUM(AO25:AZ25)</f>
        <v>3810715</v>
      </c>
      <c r="BB25" s="16">
        <v>332584</v>
      </c>
      <c r="BC25" s="16">
        <v>304356</v>
      </c>
      <c r="BD25" s="16">
        <v>338866</v>
      </c>
      <c r="BE25" s="16">
        <v>315997</v>
      </c>
      <c r="BF25" s="16">
        <v>329171</v>
      </c>
      <c r="BG25" s="16">
        <v>323376</v>
      </c>
      <c r="BH25" s="16">
        <v>321469</v>
      </c>
      <c r="BI25" s="16">
        <v>301320</v>
      </c>
      <c r="BJ25" s="16">
        <v>289280</v>
      </c>
      <c r="BK25" s="16">
        <v>311157</v>
      </c>
      <c r="BL25" s="16">
        <v>298564</v>
      </c>
      <c r="BM25" s="16">
        <v>285032</v>
      </c>
      <c r="BN25" s="20">
        <f>SUM(BB25:BM25)</f>
        <v>3751172</v>
      </c>
      <c r="BO25" s="16">
        <v>239559</v>
      </c>
      <c r="BP25" s="16">
        <v>296353</v>
      </c>
      <c r="BQ25" s="16">
        <v>280643</v>
      </c>
      <c r="BR25" s="16">
        <v>256233</v>
      </c>
      <c r="BS25" s="16">
        <v>315707</v>
      </c>
      <c r="BT25" s="16">
        <v>291165</v>
      </c>
      <c r="BU25" s="16">
        <v>285904</v>
      </c>
      <c r="BV25" s="16">
        <v>244072</v>
      </c>
      <c r="BW25" s="16">
        <v>220216</v>
      </c>
      <c r="BX25" s="16">
        <v>241680</v>
      </c>
      <c r="BY25" s="16">
        <v>284498</v>
      </c>
      <c r="BZ25" s="16">
        <v>285200</v>
      </c>
      <c r="CA25" s="20">
        <f>SUM(BO25:BZ25)</f>
        <v>3241230</v>
      </c>
      <c r="CB25" s="16">
        <v>280396</v>
      </c>
      <c r="CC25" s="16">
        <v>268504</v>
      </c>
      <c r="CD25" s="16">
        <v>359806</v>
      </c>
      <c r="CE25" s="16">
        <v>596950</v>
      </c>
      <c r="CF25" s="16">
        <v>138487</v>
      </c>
      <c r="CG25" s="16">
        <v>317718</v>
      </c>
      <c r="CH25" s="16">
        <v>304260</v>
      </c>
      <c r="CI25" s="16">
        <v>291066</v>
      </c>
      <c r="CJ25" s="16">
        <v>331606</v>
      </c>
      <c r="CK25" s="16">
        <v>368897</v>
      </c>
      <c r="CL25" s="16">
        <v>407779</v>
      </c>
      <c r="CM25" s="16">
        <v>410898</v>
      </c>
      <c r="CN25" s="20">
        <f>SUM(CB25:CM25)</f>
        <v>4076367</v>
      </c>
      <c r="CO25" s="19">
        <v>327784</v>
      </c>
      <c r="CP25" s="16">
        <v>313293</v>
      </c>
      <c r="CQ25" s="16">
        <v>329165</v>
      </c>
      <c r="CR25" s="16">
        <v>340817</v>
      </c>
      <c r="CS25" s="16">
        <v>316767</v>
      </c>
      <c r="CT25" s="16">
        <v>296411</v>
      </c>
      <c r="CU25" s="16">
        <v>293763</v>
      </c>
      <c r="CV25" s="16">
        <v>312669</v>
      </c>
      <c r="CW25" s="16">
        <v>292665</v>
      </c>
      <c r="CX25" s="16">
        <v>275144</v>
      </c>
      <c r="CY25" s="16">
        <v>271787</v>
      </c>
      <c r="CZ25" s="16">
        <v>254305</v>
      </c>
      <c r="DA25" s="20">
        <f>SUM(CO25:CZ25)</f>
        <v>3624570</v>
      </c>
      <c r="DB25" s="19">
        <v>299671</v>
      </c>
      <c r="DC25" s="16">
        <v>281026</v>
      </c>
      <c r="DD25" s="16">
        <v>258023</v>
      </c>
      <c r="DE25" s="16">
        <v>290810</v>
      </c>
      <c r="DF25" s="16">
        <v>304042</v>
      </c>
      <c r="DG25" s="16">
        <v>296846</v>
      </c>
      <c r="DH25" s="16">
        <v>312409</v>
      </c>
      <c r="DI25" s="16">
        <v>268087</v>
      </c>
      <c r="DJ25" s="16">
        <v>265833</v>
      </c>
      <c r="DK25" s="16">
        <v>287533</v>
      </c>
      <c r="DL25" s="16">
        <v>276025</v>
      </c>
      <c r="DM25" s="16">
        <v>297826</v>
      </c>
      <c r="DN25" s="20">
        <f>SUM(DB25:DM25)</f>
        <v>3438131</v>
      </c>
      <c r="DO25" s="19">
        <v>292774</v>
      </c>
      <c r="DP25" s="16">
        <v>269657</v>
      </c>
      <c r="DQ25" s="16">
        <v>248152</v>
      </c>
      <c r="DR25" s="16">
        <v>303758</v>
      </c>
      <c r="DS25" s="16">
        <v>319524</v>
      </c>
      <c r="DT25" s="16"/>
      <c r="DU25" s="16"/>
      <c r="DV25" s="16"/>
      <c r="DW25" s="16"/>
      <c r="DX25" s="16"/>
      <c r="DY25" s="16"/>
      <c r="DZ25" s="21"/>
      <c r="EA25" s="21">
        <f>SUM(DO25:DZ25)</f>
        <v>1433865</v>
      </c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20">
        <f>SUM(EB25:EM25)</f>
        <v>0</v>
      </c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21"/>
      <c r="FA25" s="20">
        <f>SUM(EO25:EZ25)</f>
        <v>0</v>
      </c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21"/>
      <c r="FN25" s="20">
        <f>SUM(FB25:FM25)</f>
        <v>0</v>
      </c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21"/>
      <c r="GA25" s="20">
        <f>SUM(FO25:FZ25)</f>
        <v>0</v>
      </c>
      <c r="GB25" s="16">
        <v>346339</v>
      </c>
      <c r="GC25" s="16">
        <v>294263</v>
      </c>
      <c r="GD25" s="16">
        <v>320706.62</v>
      </c>
      <c r="GE25" s="16">
        <v>311764</v>
      </c>
      <c r="GF25" s="16">
        <v>337296.62</v>
      </c>
      <c r="GG25" s="16">
        <v>319408.09999999998</v>
      </c>
      <c r="GH25" s="16">
        <v>301161</v>
      </c>
      <c r="GI25" s="16">
        <v>298548</v>
      </c>
      <c r="GJ25" s="16">
        <v>265108</v>
      </c>
      <c r="GK25" s="16">
        <v>262819</v>
      </c>
      <c r="GL25" s="16">
        <v>235353</v>
      </c>
      <c r="GM25" s="21">
        <v>282940</v>
      </c>
      <c r="GN25" s="20">
        <f>SUM(GB25:GM25)</f>
        <v>3575706.3400000003</v>
      </c>
      <c r="GO25" s="16">
        <v>280095</v>
      </c>
      <c r="GP25" s="16">
        <v>285003</v>
      </c>
      <c r="GQ25" s="16">
        <v>344889</v>
      </c>
      <c r="GR25" s="16">
        <v>335283</v>
      </c>
      <c r="GS25" s="16">
        <v>339924</v>
      </c>
      <c r="GT25" s="16">
        <v>317400</v>
      </c>
      <c r="GU25" s="16">
        <v>311539</v>
      </c>
      <c r="GV25" s="16">
        <v>257836</v>
      </c>
      <c r="GW25" s="16">
        <v>279906</v>
      </c>
      <c r="GX25" s="16">
        <v>307994</v>
      </c>
      <c r="GY25" s="16">
        <v>285202</v>
      </c>
      <c r="GZ25" s="21">
        <v>292386</v>
      </c>
      <c r="HA25" s="20">
        <f>SUM(GO25:GZ25)</f>
        <v>3637457</v>
      </c>
      <c r="HB25" s="16">
        <v>321630.03999999998</v>
      </c>
      <c r="HC25" s="16">
        <v>293948.79000000004</v>
      </c>
      <c r="HD25" s="16">
        <v>290846.58</v>
      </c>
      <c r="HE25" s="16">
        <v>302956</v>
      </c>
      <c r="HF25" s="16">
        <v>299501</v>
      </c>
      <c r="HG25" s="16">
        <v>301630</v>
      </c>
      <c r="HH25" s="16">
        <v>291695</v>
      </c>
      <c r="HI25" s="16">
        <v>275939</v>
      </c>
      <c r="HJ25" s="16">
        <v>270692</v>
      </c>
      <c r="HK25" s="16">
        <v>290966</v>
      </c>
      <c r="HL25" s="16">
        <v>372991</v>
      </c>
      <c r="HM25" s="21">
        <v>322224.5</v>
      </c>
      <c r="HN25" s="20">
        <f>SUM(HB25:HM25)</f>
        <v>3635019.91</v>
      </c>
      <c r="HO25" s="16">
        <v>297181.5</v>
      </c>
      <c r="HP25" s="16">
        <v>257039</v>
      </c>
      <c r="HQ25" s="16">
        <v>323488</v>
      </c>
      <c r="HR25" s="16">
        <v>317996</v>
      </c>
      <c r="HS25" s="16">
        <v>295146</v>
      </c>
      <c r="HT25" s="16">
        <v>282520</v>
      </c>
      <c r="HU25" s="16">
        <v>253888</v>
      </c>
      <c r="HV25" s="16">
        <v>281671</v>
      </c>
      <c r="HW25" s="16">
        <v>244349</v>
      </c>
      <c r="HX25" s="16">
        <v>274465</v>
      </c>
      <c r="HY25" s="16">
        <v>298056</v>
      </c>
      <c r="HZ25" s="21">
        <v>246940</v>
      </c>
      <c r="IA25" s="20">
        <f>SUM(HO25:HZ25)</f>
        <v>3372739.5</v>
      </c>
      <c r="IB25" s="16">
        <v>255149</v>
      </c>
      <c r="IC25" s="16">
        <v>276586</v>
      </c>
      <c r="ID25" s="16">
        <v>277246</v>
      </c>
      <c r="IE25" s="16">
        <v>249722</v>
      </c>
      <c r="IF25" s="16">
        <v>320918</v>
      </c>
      <c r="IG25" s="16">
        <v>308418</v>
      </c>
      <c r="IH25" s="16">
        <v>294072</v>
      </c>
      <c r="II25" s="16">
        <v>281574</v>
      </c>
      <c r="IJ25" s="16">
        <v>269649</v>
      </c>
      <c r="IK25" s="16">
        <v>246106</v>
      </c>
      <c r="IL25" s="16">
        <v>293458</v>
      </c>
      <c r="IM25" s="16">
        <v>318129</v>
      </c>
      <c r="IN25" s="20">
        <f>SUM(IB25:IM25)</f>
        <v>3391027</v>
      </c>
      <c r="IO25" s="16">
        <v>360451</v>
      </c>
      <c r="IP25" s="16">
        <v>330722</v>
      </c>
      <c r="IQ25" s="16">
        <v>344339</v>
      </c>
      <c r="IR25" s="16">
        <v>339484</v>
      </c>
      <c r="IS25" s="16">
        <v>334441</v>
      </c>
      <c r="IT25" s="16">
        <v>312558</v>
      </c>
      <c r="IU25" s="16">
        <v>304380</v>
      </c>
      <c r="IV25" s="16">
        <v>290375</v>
      </c>
      <c r="IW25" s="16">
        <v>245300</v>
      </c>
      <c r="IX25" s="16">
        <v>251466</v>
      </c>
      <c r="IY25" s="16">
        <v>306136</v>
      </c>
      <c r="IZ25" s="16">
        <v>293805</v>
      </c>
      <c r="JA25" s="19">
        <f>SUM(IO25:IZ25)</f>
        <v>3713457</v>
      </c>
      <c r="JB25" s="19">
        <v>301965</v>
      </c>
      <c r="JC25" s="16">
        <v>297015</v>
      </c>
      <c r="JD25" s="16">
        <v>307036</v>
      </c>
      <c r="JE25" s="16">
        <v>303957</v>
      </c>
      <c r="JF25" s="16">
        <v>293181</v>
      </c>
      <c r="JG25" s="16">
        <v>286956</v>
      </c>
      <c r="JH25" s="16">
        <v>288315</v>
      </c>
      <c r="JI25" s="16">
        <v>301172</v>
      </c>
      <c r="JJ25" s="16">
        <v>270058</v>
      </c>
      <c r="JK25" s="16">
        <v>306895</v>
      </c>
      <c r="JL25" s="16"/>
      <c r="JM25" s="16"/>
      <c r="JN25" s="20">
        <f>SUM(JB25:JM25)</f>
        <v>2956550</v>
      </c>
      <c r="JO25"/>
      <c r="JP25" s="54">
        <f t="shared" si="40"/>
        <v>-100</v>
      </c>
      <c r="JQ25" s="64">
        <f t="shared" si="41"/>
        <v>-13.542372147809189</v>
      </c>
      <c r="JR25" s="20">
        <f t="shared" si="42"/>
        <v>3419652</v>
      </c>
      <c r="JS25" s="20">
        <f t="shared" si="43"/>
        <v>2956550</v>
      </c>
    </row>
    <row r="26" spans="1:279" s="105" customFormat="1" ht="13.9" customHeight="1" x14ac:dyDescent="0.2">
      <c r="A26" s="776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84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84"/>
      <c r="AB26" s="1507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  <c r="EN26" s="84"/>
      <c r="EO26" s="84"/>
      <c r="EP26" s="84"/>
      <c r="EQ26" s="84"/>
      <c r="ER26" s="84"/>
      <c r="ES26" s="84"/>
      <c r="ET26" s="84"/>
      <c r="EU26" s="84"/>
      <c r="EV26" s="84"/>
      <c r="EW26" s="84"/>
      <c r="EX26" s="84"/>
      <c r="EY26" s="84"/>
      <c r="EZ26" s="84"/>
      <c r="FA26" s="84"/>
      <c r="FB26" s="84"/>
      <c r="FC26" s="84"/>
      <c r="FD26" s="84"/>
      <c r="FE26" s="84"/>
      <c r="FF26" s="84"/>
      <c r="FG26" s="84"/>
      <c r="FH26" s="84"/>
      <c r="FI26" s="84"/>
      <c r="FJ26" s="84"/>
      <c r="FK26" s="84"/>
      <c r="FL26" s="84"/>
      <c r="FM26" s="84"/>
      <c r="FN26" s="84"/>
      <c r="FO26" s="84"/>
      <c r="FP26" s="84"/>
      <c r="FQ26" s="84"/>
      <c r="FR26" s="84"/>
      <c r="FS26" s="84"/>
      <c r="FT26" s="84"/>
      <c r="FU26" s="84"/>
      <c r="FV26" s="84"/>
      <c r="FW26" s="84"/>
      <c r="FX26" s="84"/>
      <c r="FY26" s="84"/>
      <c r="FZ26" s="84"/>
      <c r="GA26" s="84"/>
      <c r="GB26" s="84"/>
      <c r="GC26" s="84"/>
      <c r="GD26" s="84"/>
      <c r="GE26" s="84"/>
      <c r="GF26" s="84"/>
      <c r="GG26" s="84"/>
      <c r="GH26" s="84"/>
      <c r="GI26" s="84"/>
      <c r="GJ26" s="84"/>
      <c r="GK26" s="84"/>
      <c r="GL26" s="84"/>
      <c r="GM26" s="84"/>
      <c r="GN26" s="84"/>
      <c r="GO26" s="84"/>
      <c r="GP26" s="84"/>
      <c r="GQ26" s="84"/>
      <c r="GR26" s="84"/>
      <c r="GS26" s="84"/>
      <c r="GT26" s="84"/>
      <c r="GU26" s="84"/>
      <c r="GV26" s="84"/>
      <c r="GW26" s="84"/>
      <c r="GX26" s="84"/>
      <c r="GY26" s="84"/>
      <c r="GZ26" s="84"/>
      <c r="HA26" s="84"/>
      <c r="HB26" s="84"/>
      <c r="HC26" s="84"/>
      <c r="HD26" s="84"/>
      <c r="HE26" s="84"/>
      <c r="HF26" s="84"/>
      <c r="HG26" s="84"/>
      <c r="HH26" s="84"/>
      <c r="HI26" s="84"/>
      <c r="HJ26" s="84"/>
      <c r="HK26" s="84"/>
      <c r="HL26" s="84"/>
      <c r="HM26" s="84"/>
      <c r="HN26" s="84"/>
      <c r="HO26" s="84"/>
      <c r="HP26" s="84"/>
      <c r="HQ26" s="84"/>
      <c r="HR26" s="84"/>
      <c r="HS26" s="84"/>
      <c r="HT26" s="84"/>
      <c r="HU26" s="84"/>
      <c r="HV26" s="84"/>
      <c r="HW26" s="84"/>
      <c r="HX26" s="84"/>
      <c r="HY26" s="84"/>
      <c r="HZ26" s="84"/>
      <c r="IA26" s="84"/>
      <c r="IB26" s="84"/>
      <c r="IC26" s="84"/>
      <c r="ID26" s="84"/>
      <c r="IE26" s="84"/>
      <c r="IF26" s="84"/>
      <c r="IG26" s="84"/>
      <c r="IH26" s="84"/>
      <c r="II26" s="84"/>
      <c r="IJ26" s="84"/>
      <c r="IK26" s="84"/>
      <c r="IL26" s="84"/>
      <c r="IM26" s="84"/>
      <c r="IN26" s="84"/>
      <c r="IO26" s="84"/>
      <c r="IP26" s="84"/>
      <c r="IQ26" s="84"/>
      <c r="IR26" s="84"/>
      <c r="IS26" s="84"/>
      <c r="IT26" s="84"/>
      <c r="IU26" s="84"/>
      <c r="IV26" s="84"/>
      <c r="IW26" s="84"/>
      <c r="IX26" s="84"/>
      <c r="IY26" s="84"/>
      <c r="IZ26" s="84"/>
      <c r="JA26" s="84"/>
      <c r="JB26" s="84"/>
      <c r="JC26" s="84"/>
      <c r="JD26" s="84"/>
      <c r="JE26" s="84"/>
      <c r="JF26" s="84"/>
      <c r="JG26" s="84"/>
      <c r="JH26" s="84"/>
      <c r="JI26" s="84"/>
      <c r="JJ26" s="84"/>
      <c r="JK26" s="84"/>
      <c r="JL26" s="84"/>
      <c r="JM26" s="84"/>
      <c r="JN26" s="83"/>
      <c r="JO26"/>
      <c r="JP26" s="59"/>
      <c r="JQ26" s="65"/>
      <c r="JR26" s="83"/>
      <c r="JS26" s="83"/>
    </row>
    <row r="27" spans="1:279" s="105" customFormat="1" ht="13.9" customHeight="1" x14ac:dyDescent="0.2">
      <c r="A27" s="102" t="s">
        <v>382</v>
      </c>
      <c r="JO27"/>
    </row>
    <row r="28" spans="1:279" s="105" customFormat="1" ht="13.9" customHeight="1" x14ac:dyDescent="0.2">
      <c r="A28" s="105" t="s">
        <v>286</v>
      </c>
      <c r="IV28" s="105">
        <f t="shared" ref="IV28:JM28" si="44">IV7/1000</f>
        <v>914.70699999999999</v>
      </c>
      <c r="IW28" s="105">
        <f t="shared" si="44"/>
        <v>1279.0820000000001</v>
      </c>
      <c r="IX28" s="105">
        <f t="shared" si="44"/>
        <v>2179.2979999999998</v>
      </c>
      <c r="IY28" s="105">
        <f t="shared" si="44"/>
        <v>4454.223</v>
      </c>
      <c r="IZ28" s="105">
        <f t="shared" si="44"/>
        <v>3655.1930000000002</v>
      </c>
      <c r="JA28" s="105">
        <f t="shared" si="44"/>
        <v>40051.690999999999</v>
      </c>
      <c r="JB28" s="105">
        <f t="shared" si="44"/>
        <v>4849.8549999999996</v>
      </c>
      <c r="JC28" s="105">
        <f t="shared" si="44"/>
        <v>4426.8850000000002</v>
      </c>
      <c r="JD28" s="105">
        <f t="shared" si="44"/>
        <v>5392.4179999999997</v>
      </c>
      <c r="JE28" s="105">
        <f t="shared" si="44"/>
        <v>4097.3519999999999</v>
      </c>
      <c r="JF28" s="105">
        <f t="shared" si="44"/>
        <v>5038.6279999999997</v>
      </c>
      <c r="JG28" s="105">
        <f t="shared" si="44"/>
        <v>3667.8429999999998</v>
      </c>
      <c r="JH28" s="105">
        <f t="shared" si="44"/>
        <v>2779.683</v>
      </c>
      <c r="JI28" s="105">
        <f t="shared" si="44"/>
        <v>2344.3980000000001</v>
      </c>
      <c r="JJ28" s="105">
        <f t="shared" si="44"/>
        <v>2990.6489999999999</v>
      </c>
      <c r="JK28" s="105">
        <f t="shared" si="44"/>
        <v>2657.2260000000001</v>
      </c>
      <c r="JL28" s="105">
        <f t="shared" si="44"/>
        <v>3150.0986000000003</v>
      </c>
      <c r="JM28" s="105">
        <f t="shared" si="44"/>
        <v>0</v>
      </c>
      <c r="JO28"/>
    </row>
    <row r="29" spans="1:279" s="105" customFormat="1" ht="13.9" customHeight="1" x14ac:dyDescent="0.2">
      <c r="A29" s="1508" t="s">
        <v>268</v>
      </c>
      <c r="GO29" s="207"/>
      <c r="GP29" s="207"/>
      <c r="GQ29" s="207"/>
      <c r="GR29" s="207"/>
      <c r="GS29" s="207"/>
      <c r="GT29" s="207"/>
      <c r="GU29" s="207"/>
      <c r="GV29" s="207"/>
      <c r="GW29" s="207"/>
      <c r="GX29" s="207"/>
      <c r="GY29" s="207"/>
      <c r="GZ29" s="207"/>
      <c r="HA29" s="207"/>
      <c r="HB29" s="207"/>
      <c r="HC29" s="207"/>
      <c r="HD29" s="207"/>
      <c r="HE29" s="207"/>
      <c r="HF29" s="207"/>
      <c r="HG29" s="207"/>
      <c r="HH29" s="207"/>
      <c r="HI29" s="207"/>
      <c r="HJ29" s="207"/>
      <c r="HK29" s="207"/>
      <c r="HL29" s="207"/>
      <c r="HM29" s="207"/>
      <c r="HN29" s="207"/>
      <c r="HO29" s="207"/>
      <c r="HP29" s="207"/>
      <c r="HQ29" s="207"/>
      <c r="HR29" s="207"/>
      <c r="HS29" s="207"/>
      <c r="HT29" s="207"/>
      <c r="HU29" s="207"/>
      <c r="HV29" s="207"/>
      <c r="HW29" s="207"/>
      <c r="HX29" s="207"/>
      <c r="HY29" s="207"/>
      <c r="HZ29" s="207"/>
      <c r="IA29" s="207"/>
      <c r="IB29" s="207"/>
      <c r="IC29" s="207"/>
      <c r="ID29" s="207"/>
      <c r="IE29" s="207"/>
      <c r="IF29" s="207"/>
      <c r="IG29" s="207"/>
      <c r="IH29" s="207"/>
      <c r="II29" s="207"/>
      <c r="IJ29" s="207"/>
      <c r="IK29" s="207"/>
      <c r="IL29" s="207"/>
      <c r="IM29" s="207"/>
      <c r="IN29" s="207"/>
      <c r="IO29" s="207"/>
      <c r="IP29" s="207"/>
      <c r="IQ29" s="207"/>
      <c r="IR29" s="207"/>
      <c r="IS29" s="207"/>
      <c r="IT29" s="207"/>
      <c r="IU29" s="207"/>
      <c r="IV29">
        <f t="shared" ref="IV29:JM29" si="45">IV28-IV15</f>
        <v>289.226</v>
      </c>
      <c r="IW29">
        <f t="shared" si="45"/>
        <v>289.22600000000011</v>
      </c>
      <c r="IX29">
        <f t="shared" si="45"/>
        <v>289.22599999999989</v>
      </c>
      <c r="IY29">
        <f t="shared" si="45"/>
        <v>289.22599999999966</v>
      </c>
      <c r="IZ29">
        <f t="shared" si="45"/>
        <v>286.22600000000011</v>
      </c>
      <c r="JA29">
        <f t="shared" si="45"/>
        <v>3467.7119999999995</v>
      </c>
      <c r="JB29">
        <f t="shared" si="45"/>
        <v>289.22599999999966</v>
      </c>
      <c r="JC29">
        <f t="shared" si="45"/>
        <v>289.22600000000057</v>
      </c>
      <c r="JD29">
        <f t="shared" si="45"/>
        <v>289.22599999999966</v>
      </c>
      <c r="JE29">
        <f t="shared" si="45"/>
        <v>289.22599999999966</v>
      </c>
      <c r="JF29">
        <f t="shared" si="45"/>
        <v>289.22599999999966</v>
      </c>
      <c r="JG29">
        <f t="shared" si="45"/>
        <v>289.22599999999966</v>
      </c>
      <c r="JH29">
        <f t="shared" si="45"/>
        <v>289.22600000000011</v>
      </c>
      <c r="JI29">
        <f t="shared" si="45"/>
        <v>289.22600000000011</v>
      </c>
      <c r="JJ29">
        <f t="shared" si="45"/>
        <v>289.22599999999966</v>
      </c>
      <c r="JK29">
        <f t="shared" si="45"/>
        <v>-1669.1049005099999</v>
      </c>
      <c r="JL29">
        <f t="shared" si="45"/>
        <v>-2013.0605523224995</v>
      </c>
      <c r="JM29">
        <f t="shared" si="45"/>
        <v>0</v>
      </c>
      <c r="JN29" s="207"/>
      <c r="JO29"/>
    </row>
    <row r="30" spans="1:279" s="105" customFormat="1" ht="13.9" customHeight="1" x14ac:dyDescent="0.2">
      <c r="A30" s="105" t="s">
        <v>269</v>
      </c>
      <c r="JO30"/>
    </row>
  </sheetData>
  <mergeCells count="2">
    <mergeCell ref="JP4:JQ4"/>
    <mergeCell ref="JP20:JQ20"/>
  </mergeCells>
  <phoneticPr fontId="3" type="noConversion"/>
  <printOptions horizontalCentered="1" verticalCentered="1"/>
  <pageMargins left="0.19685039370078741" right="0.19685039370078741" top="0.98425196850393704" bottom="0.98425196850393704" header="0" footer="0"/>
  <pageSetup paperSize="9" scale="10" orientation="landscape" r:id="rId1"/>
  <headerFooter alignWithMargins="0"/>
  <colBreaks count="2" manualBreakCount="2">
    <brk id="118" max="26" man="1"/>
    <brk id="261" max="24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AFBD-8185-4FD7-9D08-7E4B18485164}">
  <sheetPr>
    <tabColor rgb="FF002060"/>
  </sheetPr>
  <dimension ref="A1:KK205"/>
  <sheetViews>
    <sheetView showGridLines="0" view="pageBreakPreview" zoomScaleNormal="100" zoomScaleSheetLayoutView="100" workbookViewId="0">
      <pane xSplit="1" topLeftCell="JA1" activePane="topRight" state="frozen"/>
      <selection activeCell="IB59" sqref="IB59:JB59"/>
      <selection pane="topRight" activeCell="JN7" sqref="JN7"/>
    </sheetView>
  </sheetViews>
  <sheetFormatPr baseColWidth="10" defaultColWidth="10.7109375" defaultRowHeight="15" customHeight="1" x14ac:dyDescent="0.2"/>
  <cols>
    <col min="1" max="1" width="34.140625" style="1041" customWidth="1"/>
    <col min="2" max="287" width="10.7109375" style="1041"/>
    <col min="289" max="297" width="10.7109375" style="1041"/>
  </cols>
  <sheetData>
    <row r="1" spans="1:297" ht="15" customHeight="1" x14ac:dyDescent="0.25">
      <c r="A1" s="1417" t="s">
        <v>129</v>
      </c>
      <c r="KK1" s="1041" t="s">
        <v>611</v>
      </c>
    </row>
    <row r="2" spans="1:297" ht="15" customHeight="1" x14ac:dyDescent="0.25">
      <c r="A2" s="1417" t="s">
        <v>651</v>
      </c>
    </row>
    <row r="3" spans="1:297" ht="15" customHeight="1" x14ac:dyDescent="0.25">
      <c r="A3" s="1417" t="s">
        <v>114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7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7"/>
      <c r="BM3" s="86"/>
      <c r="BN3" s="86"/>
      <c r="BO3" s="86"/>
      <c r="BP3" s="86"/>
      <c r="BQ3" s="86"/>
      <c r="BR3" s="86"/>
      <c r="BS3" s="86"/>
      <c r="BT3" s="86"/>
      <c r="BU3" s="86"/>
      <c r="BV3" s="86"/>
      <c r="BW3" s="86"/>
      <c r="BX3" s="86"/>
      <c r="BY3" s="86"/>
      <c r="BZ3" s="86"/>
      <c r="CA3" s="86"/>
      <c r="CB3" s="86"/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  <c r="CU3" s="86"/>
      <c r="CV3" s="86"/>
      <c r="CW3" s="86"/>
      <c r="CX3" s="86"/>
      <c r="CY3" s="86"/>
      <c r="CZ3" s="86"/>
      <c r="DA3" s="86"/>
      <c r="DB3" s="86"/>
      <c r="DC3" s="86"/>
      <c r="DD3" s="86"/>
      <c r="DE3" s="86"/>
      <c r="DF3" s="86"/>
      <c r="DG3" s="86"/>
      <c r="DH3" s="86"/>
      <c r="DI3" s="86"/>
      <c r="DJ3" s="86"/>
      <c r="DK3" s="86"/>
      <c r="DL3" s="86"/>
      <c r="DM3" s="86"/>
      <c r="DN3" s="86"/>
      <c r="DO3" s="86"/>
      <c r="DP3" s="86"/>
      <c r="DQ3" s="86"/>
      <c r="DR3" s="86"/>
      <c r="DS3" s="86"/>
      <c r="DT3" s="86"/>
      <c r="DU3" s="86"/>
      <c r="DV3" s="86"/>
      <c r="DW3" s="86"/>
      <c r="DX3" s="86"/>
      <c r="DY3" s="86"/>
      <c r="DZ3" s="86"/>
      <c r="EA3" s="86"/>
      <c r="EB3" s="86"/>
      <c r="EC3" s="86"/>
      <c r="ED3" s="86"/>
      <c r="EE3" s="86"/>
      <c r="EF3" s="86"/>
      <c r="EG3" s="86"/>
      <c r="EH3" s="86"/>
      <c r="EI3" s="86"/>
      <c r="EJ3" s="86"/>
      <c r="EK3" s="86"/>
      <c r="EL3" s="86"/>
      <c r="EM3" s="86"/>
      <c r="EN3" s="86"/>
      <c r="EO3" s="86"/>
      <c r="EP3" s="86"/>
      <c r="EQ3" s="86"/>
      <c r="ER3" s="86"/>
      <c r="ES3" s="86"/>
      <c r="ET3" s="86"/>
      <c r="EU3" s="86"/>
      <c r="EV3" s="86"/>
      <c r="EW3" s="86"/>
      <c r="EX3" s="86"/>
      <c r="EY3" s="86"/>
      <c r="EZ3" s="86"/>
      <c r="FA3" s="86"/>
      <c r="FB3" s="86"/>
      <c r="FC3" s="86"/>
      <c r="FD3" s="86"/>
      <c r="FE3" s="86"/>
      <c r="FF3" s="86"/>
      <c r="FG3" s="86"/>
      <c r="FH3" s="86"/>
      <c r="FI3" s="86"/>
      <c r="FJ3" s="86"/>
      <c r="FK3" s="86"/>
      <c r="FL3" s="86"/>
      <c r="FM3" s="86"/>
      <c r="FN3" s="86"/>
      <c r="FO3" s="86"/>
      <c r="FP3" s="86"/>
      <c r="FQ3" s="86"/>
      <c r="FR3" s="86"/>
      <c r="FS3" s="86"/>
      <c r="FT3" s="86"/>
      <c r="FU3" s="86"/>
      <c r="FV3" s="86"/>
      <c r="FW3" s="86"/>
      <c r="FX3" s="86"/>
      <c r="FY3" s="86"/>
      <c r="FZ3" s="86"/>
      <c r="GA3" s="86"/>
      <c r="GB3" s="86"/>
      <c r="GC3" s="86"/>
      <c r="GD3" s="86"/>
      <c r="GE3" s="86"/>
      <c r="GF3" s="86"/>
      <c r="GG3" s="86"/>
      <c r="GH3" s="86"/>
      <c r="GI3" s="86"/>
      <c r="GJ3" s="86"/>
      <c r="GK3" s="86"/>
      <c r="GL3" s="86"/>
      <c r="GM3" s="86"/>
      <c r="GN3" s="86"/>
      <c r="GO3" s="86"/>
      <c r="GP3" s="86"/>
      <c r="GQ3" s="86"/>
      <c r="GR3" s="86"/>
      <c r="GS3" s="86"/>
      <c r="GT3" s="86"/>
      <c r="GU3" s="86"/>
      <c r="GV3" s="86"/>
      <c r="GW3" s="86"/>
      <c r="GX3" s="86"/>
      <c r="GY3" s="86"/>
      <c r="GZ3" s="86"/>
      <c r="HA3" s="86"/>
      <c r="HB3" s="86"/>
      <c r="HC3" s="86"/>
      <c r="HD3" s="86"/>
      <c r="HE3" s="86"/>
      <c r="HF3" s="86"/>
      <c r="HG3" s="86"/>
      <c r="HH3" s="86"/>
      <c r="HI3" s="86"/>
      <c r="HJ3" s="86"/>
      <c r="HK3" s="86"/>
      <c r="HL3" s="86"/>
      <c r="HM3" s="86"/>
      <c r="HN3" s="86"/>
    </row>
    <row r="4" spans="1:297" ht="15" customHeight="1" x14ac:dyDescent="0.2">
      <c r="A4" s="1418"/>
      <c r="B4" s="1419">
        <f t="shared" ref="B4:BB4" si="0">YEAR(B5)</f>
        <v>2005</v>
      </c>
      <c r="C4" s="1420"/>
      <c r="D4" s="1420"/>
      <c r="E4" s="1420"/>
      <c r="F4" s="1420"/>
      <c r="G4" s="1420"/>
      <c r="H4" s="1420"/>
      <c r="I4" s="1420"/>
      <c r="J4" s="1420"/>
      <c r="K4" s="1420"/>
      <c r="L4" s="1420"/>
      <c r="M4" s="1420"/>
      <c r="N4" s="1421" t="s">
        <v>29</v>
      </c>
      <c r="O4" s="1419">
        <f t="shared" si="0"/>
        <v>2006</v>
      </c>
      <c r="P4" s="1420"/>
      <c r="Q4" s="1420"/>
      <c r="R4" s="1420"/>
      <c r="S4" s="1420"/>
      <c r="T4" s="1420"/>
      <c r="U4" s="1420"/>
      <c r="V4" s="1420"/>
      <c r="W4" s="1420"/>
      <c r="X4" s="1420"/>
      <c r="Y4" s="1420"/>
      <c r="Z4" s="1420"/>
      <c r="AA4" s="1421" t="s">
        <v>29</v>
      </c>
      <c r="AB4" s="1419">
        <f t="shared" si="0"/>
        <v>2007</v>
      </c>
      <c r="AC4" s="1420"/>
      <c r="AD4" s="1420"/>
      <c r="AE4" s="1420"/>
      <c r="AF4" s="1420"/>
      <c r="AG4" s="1420"/>
      <c r="AH4" s="1420"/>
      <c r="AI4" s="1420"/>
      <c r="AJ4" s="1420"/>
      <c r="AK4" s="1420"/>
      <c r="AL4" s="1420"/>
      <c r="AM4" s="1420"/>
      <c r="AN4" s="1421" t="s">
        <v>29</v>
      </c>
      <c r="AO4" s="1419">
        <f t="shared" si="0"/>
        <v>2008</v>
      </c>
      <c r="AP4" s="1420"/>
      <c r="AQ4" s="1420"/>
      <c r="AR4" s="1420"/>
      <c r="AS4" s="1420"/>
      <c r="AT4" s="1420"/>
      <c r="AU4" s="1420"/>
      <c r="AV4" s="1420"/>
      <c r="AW4" s="1420"/>
      <c r="AX4" s="1420"/>
      <c r="AY4" s="1420"/>
      <c r="AZ4" s="1420"/>
      <c r="BA4" s="1421" t="s">
        <v>29</v>
      </c>
      <c r="BB4" s="1419">
        <f t="shared" si="0"/>
        <v>2009</v>
      </c>
      <c r="BC4" s="1420"/>
      <c r="BD4" s="1420"/>
      <c r="BE4" s="1420"/>
      <c r="BF4" s="1420"/>
      <c r="BG4" s="1420"/>
      <c r="BH4" s="1420"/>
      <c r="BI4" s="1420"/>
      <c r="BJ4" s="1420"/>
      <c r="BK4" s="1420"/>
      <c r="BL4" s="1420"/>
      <c r="BM4" s="1420"/>
      <c r="BN4" s="1421" t="s">
        <v>29</v>
      </c>
      <c r="BO4" s="1419">
        <f t="shared" ref="BO4:DO4" si="1">YEAR(BO5)</f>
        <v>2010</v>
      </c>
      <c r="BP4" s="1420"/>
      <c r="BQ4" s="1420"/>
      <c r="BR4" s="1420"/>
      <c r="BS4" s="1420"/>
      <c r="BT4" s="1420"/>
      <c r="BU4" s="1420"/>
      <c r="BV4" s="1420"/>
      <c r="BW4" s="1420"/>
      <c r="BX4" s="1420"/>
      <c r="BY4" s="1420"/>
      <c r="BZ4" s="1420"/>
      <c r="CA4" s="1421" t="s">
        <v>29</v>
      </c>
      <c r="CB4" s="1419">
        <f t="shared" si="1"/>
        <v>2011</v>
      </c>
      <c r="CC4" s="1420"/>
      <c r="CD4" s="1420"/>
      <c r="CE4" s="1420"/>
      <c r="CF4" s="1420"/>
      <c r="CG4" s="1420"/>
      <c r="CH4" s="1420"/>
      <c r="CI4" s="1420"/>
      <c r="CJ4" s="1420"/>
      <c r="CK4" s="1420"/>
      <c r="CL4" s="1420"/>
      <c r="CM4" s="1420"/>
      <c r="CN4" s="1421" t="s">
        <v>29</v>
      </c>
      <c r="CO4" s="1419">
        <f t="shared" si="1"/>
        <v>2012</v>
      </c>
      <c r="CP4" s="1420"/>
      <c r="CQ4" s="1420"/>
      <c r="CR4" s="1420"/>
      <c r="CS4" s="1420"/>
      <c r="CT4" s="1420"/>
      <c r="CU4" s="1420"/>
      <c r="CV4" s="1420"/>
      <c r="CW4" s="1420"/>
      <c r="CX4" s="1420"/>
      <c r="CY4" s="1420"/>
      <c r="CZ4" s="1420"/>
      <c r="DA4" s="1421" t="s">
        <v>29</v>
      </c>
      <c r="DB4" s="1419">
        <f t="shared" si="1"/>
        <v>2013</v>
      </c>
      <c r="DC4" s="1420"/>
      <c r="DD4" s="1420"/>
      <c r="DE4" s="1420"/>
      <c r="DF4" s="1420"/>
      <c r="DG4" s="1420"/>
      <c r="DH4" s="1420"/>
      <c r="DI4" s="1420"/>
      <c r="DJ4" s="1420"/>
      <c r="DK4" s="1420"/>
      <c r="DL4" s="1420"/>
      <c r="DM4" s="1420"/>
      <c r="DN4" s="1421" t="s">
        <v>29</v>
      </c>
      <c r="DO4" s="1419">
        <f t="shared" si="1"/>
        <v>2014</v>
      </c>
      <c r="DP4" s="1420"/>
      <c r="DQ4" s="1420"/>
      <c r="DR4" s="1420"/>
      <c r="DS4" s="1420"/>
      <c r="DT4" s="1420"/>
      <c r="DU4" s="1420"/>
      <c r="DV4" s="1420"/>
      <c r="DW4" s="1420"/>
      <c r="DX4" s="1420"/>
      <c r="DY4" s="1420"/>
      <c r="DZ4" s="1420"/>
      <c r="EA4" s="1421" t="s">
        <v>29</v>
      </c>
      <c r="EB4" s="1419">
        <f t="shared" ref="EB4:GB4" si="2">YEAR(EB5)</f>
        <v>2015</v>
      </c>
      <c r="EC4" s="1420"/>
      <c r="ED4" s="1420"/>
      <c r="EE4" s="1420"/>
      <c r="EF4" s="1420"/>
      <c r="EG4" s="1420"/>
      <c r="EH4" s="1420"/>
      <c r="EI4" s="1420"/>
      <c r="EJ4" s="1420"/>
      <c r="EK4" s="1420"/>
      <c r="EL4" s="1420"/>
      <c r="EM4" s="1420"/>
      <c r="EN4" s="1421" t="s">
        <v>29</v>
      </c>
      <c r="EO4" s="1419">
        <f t="shared" si="2"/>
        <v>2016</v>
      </c>
      <c r="EP4" s="1420"/>
      <c r="EQ4" s="1420"/>
      <c r="ER4" s="1420"/>
      <c r="ES4" s="1420"/>
      <c r="ET4" s="1420"/>
      <c r="EU4" s="1420"/>
      <c r="EV4" s="1420"/>
      <c r="EW4" s="1420"/>
      <c r="EX4" s="1420"/>
      <c r="EY4" s="1420"/>
      <c r="EZ4" s="1420"/>
      <c r="FA4" s="1421" t="s">
        <v>29</v>
      </c>
      <c r="FB4" s="1419">
        <f t="shared" si="2"/>
        <v>2017</v>
      </c>
      <c r="FC4" s="1420"/>
      <c r="FD4" s="1420"/>
      <c r="FE4" s="1420"/>
      <c r="FF4" s="1420"/>
      <c r="FG4" s="1420"/>
      <c r="FH4" s="1420"/>
      <c r="FI4" s="1420"/>
      <c r="FJ4" s="1420"/>
      <c r="FK4" s="1420"/>
      <c r="FL4" s="1420"/>
      <c r="FM4" s="1420"/>
      <c r="FN4" s="1421" t="s">
        <v>29</v>
      </c>
      <c r="FO4" s="1419">
        <f t="shared" si="2"/>
        <v>2018</v>
      </c>
      <c r="FP4" s="1420"/>
      <c r="FQ4" s="1420"/>
      <c r="FR4" s="1420"/>
      <c r="FS4" s="1420"/>
      <c r="FT4" s="1420"/>
      <c r="FU4" s="1420"/>
      <c r="FV4" s="1420"/>
      <c r="FW4" s="1420"/>
      <c r="FX4" s="1420"/>
      <c r="FY4" s="1420"/>
      <c r="FZ4" s="1420"/>
      <c r="GA4" s="1421" t="s">
        <v>29</v>
      </c>
      <c r="GB4" s="1419">
        <f t="shared" si="2"/>
        <v>2019</v>
      </c>
      <c r="GC4" s="1420"/>
      <c r="GD4" s="1420"/>
      <c r="GE4" s="1420"/>
      <c r="GF4" s="1420"/>
      <c r="GG4" s="1420"/>
      <c r="GH4" s="1420"/>
      <c r="GI4" s="1420"/>
      <c r="GJ4" s="1420"/>
      <c r="GK4" s="1420"/>
      <c r="GL4" s="1420"/>
      <c r="GM4" s="1420"/>
      <c r="GN4" s="1421" t="s">
        <v>29</v>
      </c>
      <c r="GO4" s="1419">
        <f t="shared" ref="GO4:IO4" si="3">YEAR(GO5)</f>
        <v>2020</v>
      </c>
      <c r="GP4" s="1420"/>
      <c r="GQ4" s="1420"/>
      <c r="GR4" s="1420"/>
      <c r="GS4" s="1420"/>
      <c r="GT4" s="1420"/>
      <c r="GU4" s="1420"/>
      <c r="GV4" s="1420"/>
      <c r="GW4" s="1420"/>
      <c r="GX4" s="1420"/>
      <c r="GY4" s="1420"/>
      <c r="GZ4" s="1420"/>
      <c r="HA4" s="1421" t="s">
        <v>29</v>
      </c>
      <c r="HB4" s="1419">
        <f t="shared" si="3"/>
        <v>2021</v>
      </c>
      <c r="HC4" s="1420"/>
      <c r="HD4" s="1420"/>
      <c r="HE4" s="1420"/>
      <c r="HF4" s="1420"/>
      <c r="HG4" s="1420"/>
      <c r="HH4" s="1420"/>
      <c r="HI4" s="1420"/>
      <c r="HJ4" s="1420"/>
      <c r="HK4" s="1420"/>
      <c r="HL4" s="1420"/>
      <c r="HM4" s="1420"/>
      <c r="HN4" s="1421" t="s">
        <v>29</v>
      </c>
      <c r="HO4" s="1419">
        <f t="shared" si="3"/>
        <v>2022</v>
      </c>
      <c r="HP4" s="1420"/>
      <c r="HQ4" s="1420"/>
      <c r="HR4" s="1420"/>
      <c r="HS4" s="1420"/>
      <c r="HT4" s="1420"/>
      <c r="HU4" s="1420"/>
      <c r="HV4" s="1420"/>
      <c r="HW4" s="1420"/>
      <c r="HX4" s="1420"/>
      <c r="HY4" s="1420"/>
      <c r="HZ4" s="1420"/>
      <c r="IA4" s="1421" t="s">
        <v>29</v>
      </c>
      <c r="IB4" s="1419">
        <f t="shared" si="3"/>
        <v>2023</v>
      </c>
      <c r="IC4" s="1420"/>
      <c r="ID4" s="1420"/>
      <c r="IE4" s="1420"/>
      <c r="IF4" s="1420"/>
      <c r="IG4" s="1420"/>
      <c r="IH4" s="1420"/>
      <c r="II4" s="1420"/>
      <c r="IJ4" s="1420"/>
      <c r="IK4" s="1420"/>
      <c r="IL4" s="1420"/>
      <c r="IM4" s="1420"/>
      <c r="IN4" s="1421" t="s">
        <v>29</v>
      </c>
      <c r="IO4" s="1419">
        <f t="shared" si="3"/>
        <v>2024</v>
      </c>
      <c r="IP4" s="1420"/>
      <c r="IQ4" s="1420"/>
      <c r="IR4" s="1420"/>
      <c r="IS4" s="1420"/>
      <c r="IT4" s="1420"/>
      <c r="IU4" s="1420"/>
      <c r="IV4" s="1420"/>
      <c r="IW4" s="1420"/>
      <c r="IX4" s="1420"/>
      <c r="IY4" s="1420"/>
      <c r="IZ4" s="1420"/>
      <c r="JA4" s="1421" t="s">
        <v>29</v>
      </c>
      <c r="JB4" s="1419">
        <f t="shared" ref="JB4" si="4">YEAR(JB5)</f>
        <v>2025</v>
      </c>
      <c r="JC4" s="1420"/>
      <c r="JD4" s="1420"/>
      <c r="JE4" s="1420"/>
      <c r="JF4" s="1420"/>
      <c r="JG4" s="1420"/>
      <c r="JH4" s="1420"/>
      <c r="JI4" s="1420"/>
      <c r="JJ4" s="1420"/>
      <c r="JK4" s="1420"/>
      <c r="JL4" s="1420"/>
      <c r="JM4" s="1420"/>
      <c r="JN4" s="1421" t="s">
        <v>29</v>
      </c>
      <c r="JO4" s="1419">
        <f t="shared" ref="JO4" si="5">YEAR(JO5)</f>
        <v>2026</v>
      </c>
      <c r="JP4" s="1420"/>
      <c r="JQ4" s="1420"/>
      <c r="JR4" s="1420"/>
      <c r="JS4" s="1420"/>
      <c r="JT4" s="1420"/>
      <c r="JU4" s="1420"/>
      <c r="JV4" s="1420"/>
      <c r="JW4" s="1420"/>
      <c r="JX4" s="1420"/>
      <c r="JY4" s="1420"/>
      <c r="JZ4" s="1420"/>
      <c r="KA4" s="1421" t="s">
        <v>29</v>
      </c>
      <c r="KB4" s="1422"/>
      <c r="KC4" s="1687" t="str">
        <f>CONCATENATE("Var.% ",KF4,"/",KF4-1)</f>
        <v>Var.% 2026/2025</v>
      </c>
      <c r="KD4" s="1688"/>
      <c r="KE4" s="1423">
        <f>KF4-1</f>
        <v>2025</v>
      </c>
      <c r="KF4" s="1423">
        <f>YEAR(KC5)</f>
        <v>2026</v>
      </c>
      <c r="KG4" s="1424"/>
      <c r="KH4" s="1425" t="s">
        <v>555</v>
      </c>
      <c r="KI4" s="1426" t="s">
        <v>556</v>
      </c>
      <c r="KJ4" s="1427" t="s">
        <v>557</v>
      </c>
      <c r="KK4" s="1424"/>
    </row>
    <row r="5" spans="1:297" ht="15" customHeight="1" x14ac:dyDescent="0.2">
      <c r="A5" s="1428"/>
      <c r="B5" s="1429">
        <v>38353</v>
      </c>
      <c r="C5" s="1430">
        <v>38384</v>
      </c>
      <c r="D5" s="1430">
        <v>38412</v>
      </c>
      <c r="E5" s="1430">
        <v>38443</v>
      </c>
      <c r="F5" s="1430">
        <v>38473</v>
      </c>
      <c r="G5" s="1430">
        <v>38504</v>
      </c>
      <c r="H5" s="1430">
        <v>38534</v>
      </c>
      <c r="I5" s="1430">
        <v>38565</v>
      </c>
      <c r="J5" s="1430">
        <v>38596</v>
      </c>
      <c r="K5" s="1430">
        <v>38626</v>
      </c>
      <c r="L5" s="1430">
        <v>38657</v>
      </c>
      <c r="M5" s="1430">
        <v>38687</v>
      </c>
      <c r="N5" s="1431">
        <f t="shared" ref="N5" si="6">YEAR(M5)</f>
        <v>2005</v>
      </c>
      <c r="O5" s="1429">
        <v>38718</v>
      </c>
      <c r="P5" s="1430">
        <v>38749</v>
      </c>
      <c r="Q5" s="1430">
        <v>38777</v>
      </c>
      <c r="R5" s="1430">
        <v>38808</v>
      </c>
      <c r="S5" s="1430">
        <v>38838</v>
      </c>
      <c r="T5" s="1430">
        <v>38869</v>
      </c>
      <c r="U5" s="1430">
        <v>38899</v>
      </c>
      <c r="V5" s="1430">
        <v>38930</v>
      </c>
      <c r="W5" s="1430">
        <v>38961</v>
      </c>
      <c r="X5" s="1430">
        <v>38991</v>
      </c>
      <c r="Y5" s="1430">
        <v>39022</v>
      </c>
      <c r="Z5" s="1430">
        <v>39052</v>
      </c>
      <c r="AA5" s="1431">
        <f t="shared" ref="AA5" si="7">YEAR(Z5)</f>
        <v>2006</v>
      </c>
      <c r="AB5" s="1429">
        <v>39083</v>
      </c>
      <c r="AC5" s="1430">
        <v>39114</v>
      </c>
      <c r="AD5" s="1430">
        <v>39142</v>
      </c>
      <c r="AE5" s="1430">
        <v>39173</v>
      </c>
      <c r="AF5" s="1430">
        <v>39203</v>
      </c>
      <c r="AG5" s="1430">
        <v>39234</v>
      </c>
      <c r="AH5" s="1430">
        <v>39264</v>
      </c>
      <c r="AI5" s="1430">
        <v>39295</v>
      </c>
      <c r="AJ5" s="1430">
        <v>39326</v>
      </c>
      <c r="AK5" s="1430">
        <v>39356</v>
      </c>
      <c r="AL5" s="1430">
        <v>39387</v>
      </c>
      <c r="AM5" s="1430">
        <v>39417</v>
      </c>
      <c r="AN5" s="1431">
        <f t="shared" ref="AN5" si="8">YEAR(AM5)</f>
        <v>2007</v>
      </c>
      <c r="AO5" s="1429">
        <v>39448</v>
      </c>
      <c r="AP5" s="1430">
        <v>39479</v>
      </c>
      <c r="AQ5" s="1430">
        <v>39508</v>
      </c>
      <c r="AR5" s="1430">
        <v>39539</v>
      </c>
      <c r="AS5" s="1430">
        <v>39569</v>
      </c>
      <c r="AT5" s="1430">
        <v>39600</v>
      </c>
      <c r="AU5" s="1430">
        <v>39630</v>
      </c>
      <c r="AV5" s="1430">
        <v>39661</v>
      </c>
      <c r="AW5" s="1430">
        <v>39692</v>
      </c>
      <c r="AX5" s="1430">
        <v>39722</v>
      </c>
      <c r="AY5" s="1430">
        <v>39753</v>
      </c>
      <c r="AZ5" s="1430">
        <v>39783</v>
      </c>
      <c r="BA5" s="1431">
        <f t="shared" ref="BA5" si="9">YEAR(AZ5)</f>
        <v>2008</v>
      </c>
      <c r="BB5" s="1429">
        <v>39814</v>
      </c>
      <c r="BC5" s="1430">
        <v>39845</v>
      </c>
      <c r="BD5" s="1430">
        <v>39873</v>
      </c>
      <c r="BE5" s="1430">
        <v>39904</v>
      </c>
      <c r="BF5" s="1430">
        <v>39934</v>
      </c>
      <c r="BG5" s="1430">
        <v>39965</v>
      </c>
      <c r="BH5" s="1430">
        <v>39995</v>
      </c>
      <c r="BI5" s="1430">
        <v>40026</v>
      </c>
      <c r="BJ5" s="1430">
        <v>40057</v>
      </c>
      <c r="BK5" s="1430">
        <v>40087</v>
      </c>
      <c r="BL5" s="1430">
        <v>40118</v>
      </c>
      <c r="BM5" s="1430">
        <v>40148</v>
      </c>
      <c r="BN5" s="1431">
        <f t="shared" ref="BN5" si="10">YEAR(BM5)</f>
        <v>2009</v>
      </c>
      <c r="BO5" s="1429">
        <v>40179</v>
      </c>
      <c r="BP5" s="1430">
        <v>40210</v>
      </c>
      <c r="BQ5" s="1430">
        <v>40238</v>
      </c>
      <c r="BR5" s="1430">
        <v>40269</v>
      </c>
      <c r="BS5" s="1430">
        <v>40299</v>
      </c>
      <c r="BT5" s="1430">
        <v>40330</v>
      </c>
      <c r="BU5" s="1430">
        <v>40360</v>
      </c>
      <c r="BV5" s="1430">
        <v>40391</v>
      </c>
      <c r="BW5" s="1430">
        <v>40422</v>
      </c>
      <c r="BX5" s="1430">
        <v>40452</v>
      </c>
      <c r="BY5" s="1430">
        <v>40483</v>
      </c>
      <c r="BZ5" s="1430">
        <v>40513</v>
      </c>
      <c r="CA5" s="1431">
        <f t="shared" ref="CA5" si="11">YEAR(BZ5)</f>
        <v>2010</v>
      </c>
      <c r="CB5" s="1429">
        <v>40544</v>
      </c>
      <c r="CC5" s="1430">
        <v>40575</v>
      </c>
      <c r="CD5" s="1430">
        <v>40603</v>
      </c>
      <c r="CE5" s="1430">
        <v>40634</v>
      </c>
      <c r="CF5" s="1430">
        <v>40664</v>
      </c>
      <c r="CG5" s="1430">
        <v>40695</v>
      </c>
      <c r="CH5" s="1430">
        <v>40725</v>
      </c>
      <c r="CI5" s="1430">
        <v>40756</v>
      </c>
      <c r="CJ5" s="1430">
        <v>40787</v>
      </c>
      <c r="CK5" s="1430">
        <v>40817</v>
      </c>
      <c r="CL5" s="1430">
        <v>40848</v>
      </c>
      <c r="CM5" s="1430">
        <v>40878</v>
      </c>
      <c r="CN5" s="1431">
        <f t="shared" ref="CN5" si="12">YEAR(CM5)</f>
        <v>2011</v>
      </c>
      <c r="CO5" s="1429">
        <v>40909</v>
      </c>
      <c r="CP5" s="1430">
        <v>40940</v>
      </c>
      <c r="CQ5" s="1430">
        <v>40969</v>
      </c>
      <c r="CR5" s="1430">
        <v>41000</v>
      </c>
      <c r="CS5" s="1430">
        <v>41030</v>
      </c>
      <c r="CT5" s="1430">
        <v>41061</v>
      </c>
      <c r="CU5" s="1430">
        <v>41091</v>
      </c>
      <c r="CV5" s="1430">
        <v>41122</v>
      </c>
      <c r="CW5" s="1430">
        <v>41153</v>
      </c>
      <c r="CX5" s="1430">
        <v>41183</v>
      </c>
      <c r="CY5" s="1430">
        <v>41214</v>
      </c>
      <c r="CZ5" s="1430">
        <v>41244</v>
      </c>
      <c r="DA5" s="1431">
        <f t="shared" ref="DA5" si="13">YEAR(CZ5)</f>
        <v>2012</v>
      </c>
      <c r="DB5" s="1429">
        <v>41275</v>
      </c>
      <c r="DC5" s="1430">
        <v>41306</v>
      </c>
      <c r="DD5" s="1430">
        <v>41334</v>
      </c>
      <c r="DE5" s="1430">
        <v>41365</v>
      </c>
      <c r="DF5" s="1430">
        <v>41395</v>
      </c>
      <c r="DG5" s="1430">
        <v>41426</v>
      </c>
      <c r="DH5" s="1430">
        <v>41456</v>
      </c>
      <c r="DI5" s="1430">
        <v>41487</v>
      </c>
      <c r="DJ5" s="1430">
        <v>41518</v>
      </c>
      <c r="DK5" s="1430">
        <v>41548</v>
      </c>
      <c r="DL5" s="1430">
        <v>41579</v>
      </c>
      <c r="DM5" s="1430">
        <v>41609</v>
      </c>
      <c r="DN5" s="1431">
        <f t="shared" ref="DN5" si="14">YEAR(DM5)</f>
        <v>2013</v>
      </c>
      <c r="DO5" s="1429">
        <v>41640</v>
      </c>
      <c r="DP5" s="1430">
        <v>41671</v>
      </c>
      <c r="DQ5" s="1430">
        <v>41699</v>
      </c>
      <c r="DR5" s="1430">
        <v>41730</v>
      </c>
      <c r="DS5" s="1430">
        <v>41760</v>
      </c>
      <c r="DT5" s="1430">
        <v>41791</v>
      </c>
      <c r="DU5" s="1430">
        <v>41821</v>
      </c>
      <c r="DV5" s="1430">
        <v>41852</v>
      </c>
      <c r="DW5" s="1430">
        <v>41883</v>
      </c>
      <c r="DX5" s="1430">
        <v>41913</v>
      </c>
      <c r="DY5" s="1430">
        <v>41944</v>
      </c>
      <c r="DZ5" s="1430">
        <v>41974</v>
      </c>
      <c r="EA5" s="1431">
        <f t="shared" ref="EA5" si="15">YEAR(DZ5)</f>
        <v>2014</v>
      </c>
      <c r="EB5" s="1429">
        <v>42005</v>
      </c>
      <c r="EC5" s="1430">
        <v>42036</v>
      </c>
      <c r="ED5" s="1430">
        <v>42064</v>
      </c>
      <c r="EE5" s="1430">
        <v>42095</v>
      </c>
      <c r="EF5" s="1430">
        <v>42125</v>
      </c>
      <c r="EG5" s="1430">
        <v>42156</v>
      </c>
      <c r="EH5" s="1430">
        <v>42186</v>
      </c>
      <c r="EI5" s="1430">
        <v>42217</v>
      </c>
      <c r="EJ5" s="1430">
        <v>42248</v>
      </c>
      <c r="EK5" s="1430">
        <v>42278</v>
      </c>
      <c r="EL5" s="1430">
        <v>42309</v>
      </c>
      <c r="EM5" s="1430">
        <v>42339</v>
      </c>
      <c r="EN5" s="1431">
        <f t="shared" ref="EN5" si="16">YEAR(EM5)</f>
        <v>2015</v>
      </c>
      <c r="EO5" s="1429">
        <v>42370</v>
      </c>
      <c r="EP5" s="1430">
        <v>42401</v>
      </c>
      <c r="EQ5" s="1430">
        <v>42430</v>
      </c>
      <c r="ER5" s="1430">
        <v>42461</v>
      </c>
      <c r="ES5" s="1430">
        <v>42491</v>
      </c>
      <c r="ET5" s="1430">
        <v>42522</v>
      </c>
      <c r="EU5" s="1430">
        <v>42552</v>
      </c>
      <c r="EV5" s="1430">
        <v>42583</v>
      </c>
      <c r="EW5" s="1430">
        <v>42614</v>
      </c>
      <c r="EX5" s="1430">
        <v>42644</v>
      </c>
      <c r="EY5" s="1430">
        <v>42675</v>
      </c>
      <c r="EZ5" s="1430">
        <v>42705</v>
      </c>
      <c r="FA5" s="1431">
        <f t="shared" ref="FA5" si="17">YEAR(EZ5)</f>
        <v>2016</v>
      </c>
      <c r="FB5" s="1429">
        <v>42736</v>
      </c>
      <c r="FC5" s="1430">
        <v>42767</v>
      </c>
      <c r="FD5" s="1430">
        <v>42795</v>
      </c>
      <c r="FE5" s="1430">
        <v>42826</v>
      </c>
      <c r="FF5" s="1430">
        <v>42856</v>
      </c>
      <c r="FG5" s="1430">
        <v>42887</v>
      </c>
      <c r="FH5" s="1430">
        <v>42917</v>
      </c>
      <c r="FI5" s="1430">
        <v>42948</v>
      </c>
      <c r="FJ5" s="1430">
        <v>42979</v>
      </c>
      <c r="FK5" s="1430">
        <v>43009</v>
      </c>
      <c r="FL5" s="1430">
        <v>43040</v>
      </c>
      <c r="FM5" s="1430">
        <v>43070</v>
      </c>
      <c r="FN5" s="1431">
        <f t="shared" ref="FN5" si="18">YEAR(FM5)</f>
        <v>2017</v>
      </c>
      <c r="FO5" s="1429">
        <v>43101</v>
      </c>
      <c r="FP5" s="1430">
        <v>43132</v>
      </c>
      <c r="FQ5" s="1430">
        <v>43160</v>
      </c>
      <c r="FR5" s="1430">
        <v>43191</v>
      </c>
      <c r="FS5" s="1430">
        <v>43221</v>
      </c>
      <c r="FT5" s="1430">
        <v>43252</v>
      </c>
      <c r="FU5" s="1430">
        <v>43282</v>
      </c>
      <c r="FV5" s="1430">
        <v>43313</v>
      </c>
      <c r="FW5" s="1430">
        <v>43344</v>
      </c>
      <c r="FX5" s="1430">
        <v>43374</v>
      </c>
      <c r="FY5" s="1430">
        <v>43405</v>
      </c>
      <c r="FZ5" s="1430">
        <v>43435</v>
      </c>
      <c r="GA5" s="1431">
        <f t="shared" ref="GA5" si="19">YEAR(FZ5)</f>
        <v>2018</v>
      </c>
      <c r="GB5" s="1429">
        <v>43466</v>
      </c>
      <c r="GC5" s="1430">
        <v>43497</v>
      </c>
      <c r="GD5" s="1430">
        <v>43525</v>
      </c>
      <c r="GE5" s="1430">
        <v>43556</v>
      </c>
      <c r="GF5" s="1430">
        <v>43586</v>
      </c>
      <c r="GG5" s="1430">
        <v>43617</v>
      </c>
      <c r="GH5" s="1430">
        <v>43647</v>
      </c>
      <c r="GI5" s="1430">
        <v>43678</v>
      </c>
      <c r="GJ5" s="1430">
        <v>43709</v>
      </c>
      <c r="GK5" s="1430">
        <v>43739</v>
      </c>
      <c r="GL5" s="1430">
        <v>43770</v>
      </c>
      <c r="GM5" s="1430">
        <v>43800</v>
      </c>
      <c r="GN5" s="1431">
        <f t="shared" ref="GN5" si="20">YEAR(GM5)</f>
        <v>2019</v>
      </c>
      <c r="GO5" s="1429">
        <v>43831</v>
      </c>
      <c r="GP5" s="1430">
        <v>43862</v>
      </c>
      <c r="GQ5" s="1430">
        <v>43891</v>
      </c>
      <c r="GR5" s="1430">
        <v>43922</v>
      </c>
      <c r="GS5" s="1430">
        <v>43952</v>
      </c>
      <c r="GT5" s="1430">
        <v>43983</v>
      </c>
      <c r="GU5" s="1430">
        <v>44013</v>
      </c>
      <c r="GV5" s="1430">
        <v>44044</v>
      </c>
      <c r="GW5" s="1430">
        <v>44075</v>
      </c>
      <c r="GX5" s="1430">
        <v>44105</v>
      </c>
      <c r="GY5" s="1430">
        <v>44136</v>
      </c>
      <c r="GZ5" s="1430">
        <v>44166</v>
      </c>
      <c r="HA5" s="1431">
        <f t="shared" ref="HA5" si="21">YEAR(GZ5)</f>
        <v>2020</v>
      </c>
      <c r="HB5" s="1429">
        <v>44197</v>
      </c>
      <c r="HC5" s="1430">
        <v>44228</v>
      </c>
      <c r="HD5" s="1430">
        <v>44256</v>
      </c>
      <c r="HE5" s="1430">
        <v>44287</v>
      </c>
      <c r="HF5" s="1430">
        <v>44317</v>
      </c>
      <c r="HG5" s="1430">
        <v>44348</v>
      </c>
      <c r="HH5" s="1430">
        <v>44378</v>
      </c>
      <c r="HI5" s="1430">
        <v>44409</v>
      </c>
      <c r="HJ5" s="1430">
        <v>44440</v>
      </c>
      <c r="HK5" s="1430">
        <v>44470</v>
      </c>
      <c r="HL5" s="1430">
        <v>44501</v>
      </c>
      <c r="HM5" s="1430">
        <v>44531</v>
      </c>
      <c r="HN5" s="1431">
        <f t="shared" ref="HN5" si="22">YEAR(HM5)</f>
        <v>2021</v>
      </c>
      <c r="HO5" s="1429">
        <v>44562</v>
      </c>
      <c r="HP5" s="1430">
        <v>44593</v>
      </c>
      <c r="HQ5" s="1430">
        <v>44621</v>
      </c>
      <c r="HR5" s="1430">
        <v>44652</v>
      </c>
      <c r="HS5" s="1430">
        <v>44682</v>
      </c>
      <c r="HT5" s="1430">
        <v>44713</v>
      </c>
      <c r="HU5" s="1430">
        <v>44743</v>
      </c>
      <c r="HV5" s="1430">
        <v>44774</v>
      </c>
      <c r="HW5" s="1430">
        <v>44805</v>
      </c>
      <c r="HX5" s="1430">
        <v>44835</v>
      </c>
      <c r="HY5" s="1430">
        <v>44866</v>
      </c>
      <c r="HZ5" s="1430">
        <v>44896</v>
      </c>
      <c r="IA5" s="1431">
        <f t="shared" ref="IA5" si="23">YEAR(HZ5)</f>
        <v>2022</v>
      </c>
      <c r="IB5" s="1429">
        <v>44927</v>
      </c>
      <c r="IC5" s="1430">
        <v>44958</v>
      </c>
      <c r="ID5" s="1430">
        <v>44986</v>
      </c>
      <c r="IE5" s="1430">
        <v>45017</v>
      </c>
      <c r="IF5" s="1430">
        <v>45047</v>
      </c>
      <c r="IG5" s="1430">
        <v>45078</v>
      </c>
      <c r="IH5" s="1430">
        <v>45108</v>
      </c>
      <c r="II5" s="1430">
        <v>45139</v>
      </c>
      <c r="IJ5" s="1430">
        <v>45170</v>
      </c>
      <c r="IK5" s="1430">
        <v>45200</v>
      </c>
      <c r="IL5" s="1430">
        <v>45231</v>
      </c>
      <c r="IM5" s="1430">
        <v>45261</v>
      </c>
      <c r="IN5" s="1431">
        <f t="shared" ref="IN5" si="24">YEAR(IM5)</f>
        <v>2023</v>
      </c>
      <c r="IO5" s="1429">
        <v>45292</v>
      </c>
      <c r="IP5" s="1430">
        <v>45323</v>
      </c>
      <c r="IQ5" s="1430">
        <v>45352</v>
      </c>
      <c r="IR5" s="1430">
        <v>45383</v>
      </c>
      <c r="IS5" s="1430">
        <v>45413</v>
      </c>
      <c r="IT5" s="1430">
        <v>45444</v>
      </c>
      <c r="IU5" s="1430">
        <v>45474</v>
      </c>
      <c r="IV5" s="1430">
        <v>45505</v>
      </c>
      <c r="IW5" s="1430">
        <v>45536</v>
      </c>
      <c r="IX5" s="1430">
        <v>45566</v>
      </c>
      <c r="IY5" s="1430">
        <v>45597</v>
      </c>
      <c r="IZ5" s="1430">
        <v>45627</v>
      </c>
      <c r="JA5" s="1431">
        <f t="shared" ref="JA5" si="25">YEAR(IZ5)</f>
        <v>2024</v>
      </c>
      <c r="JB5" s="1429">
        <v>45658</v>
      </c>
      <c r="JC5" s="1430">
        <v>45689</v>
      </c>
      <c r="JD5" s="1430">
        <v>45717</v>
      </c>
      <c r="JE5" s="1430">
        <v>45748</v>
      </c>
      <c r="JF5" s="1430">
        <v>45778</v>
      </c>
      <c r="JG5" s="1430">
        <v>45809</v>
      </c>
      <c r="JH5" s="1430">
        <v>45839</v>
      </c>
      <c r="JI5" s="1430">
        <v>45870</v>
      </c>
      <c r="JJ5" s="1430">
        <v>45901</v>
      </c>
      <c r="JK5" s="1430">
        <v>45931</v>
      </c>
      <c r="JL5" s="1430">
        <v>45962</v>
      </c>
      <c r="JM5" s="1430">
        <v>45992</v>
      </c>
      <c r="JN5" s="1431">
        <f t="shared" ref="JN5" si="26">YEAR(JM5)</f>
        <v>2025</v>
      </c>
      <c r="JO5" s="1429">
        <v>46023</v>
      </c>
      <c r="JP5" s="1430">
        <v>46054</v>
      </c>
      <c r="JQ5" s="1430">
        <v>46082</v>
      </c>
      <c r="JR5" s="1430">
        <v>46113</v>
      </c>
      <c r="JS5" s="1430">
        <v>46143</v>
      </c>
      <c r="JT5" s="1430">
        <v>46174</v>
      </c>
      <c r="JU5" s="1430">
        <v>46204</v>
      </c>
      <c r="JV5" s="1430">
        <v>46235</v>
      </c>
      <c r="JW5" s="1430">
        <v>46266</v>
      </c>
      <c r="JX5" s="1430">
        <v>46296</v>
      </c>
      <c r="JY5" s="1430">
        <v>46327</v>
      </c>
      <c r="JZ5" s="1430">
        <v>46357</v>
      </c>
      <c r="KA5" s="1431">
        <f t="shared" ref="KA5" si="27">YEAR(JZ5)</f>
        <v>2026</v>
      </c>
      <c r="KB5" s="1422"/>
      <c r="KC5" s="1433">
        <f>JQ5</f>
        <v>46082</v>
      </c>
      <c r="KD5" s="1434" t="str">
        <f>CONCATENATE("Ene.-",TEXT(KC5,"MMM."))</f>
        <v>Ene.-Mar.</v>
      </c>
      <c r="KE5" s="1434" t="str">
        <f>KD5</f>
        <v>Ene.-Mar.</v>
      </c>
      <c r="KF5" s="1434" t="str">
        <f>KD5</f>
        <v>Ene.-Mar.</v>
      </c>
      <c r="KG5" s="1424"/>
      <c r="KH5" s="1435" t="s">
        <v>558</v>
      </c>
      <c r="KI5" s="1436" t="s">
        <v>559</v>
      </c>
      <c r="KJ5" s="1437" t="s">
        <v>559</v>
      </c>
      <c r="KK5" s="1424"/>
    </row>
    <row r="6" spans="1:297" ht="15" customHeight="1" x14ac:dyDescent="0.2">
      <c r="A6" s="1635"/>
      <c r="B6" s="1636"/>
      <c r="C6" s="1637"/>
      <c r="D6" s="1637"/>
      <c r="E6" s="1637"/>
      <c r="F6" s="1637"/>
      <c r="G6" s="1637"/>
      <c r="H6" s="1637"/>
      <c r="I6" s="1637"/>
      <c r="J6" s="1637"/>
      <c r="K6" s="1637"/>
      <c r="L6" s="1637"/>
      <c r="M6" s="1638"/>
      <c r="N6" s="1638"/>
      <c r="O6" s="1636"/>
      <c r="P6" s="1637"/>
      <c r="Q6" s="1637"/>
      <c r="R6" s="1637"/>
      <c r="S6" s="1637"/>
      <c r="T6" s="1637"/>
      <c r="U6" s="1637"/>
      <c r="V6" s="1637"/>
      <c r="W6" s="1637"/>
      <c r="X6" s="1637"/>
      <c r="Y6" s="1637"/>
      <c r="Z6" s="1638"/>
      <c r="AA6" s="1638"/>
      <c r="AB6" s="1636"/>
      <c r="AC6" s="1637"/>
      <c r="AD6" s="1637"/>
      <c r="AE6" s="1637"/>
      <c r="AF6" s="1637"/>
      <c r="AG6" s="1637"/>
      <c r="AH6" s="1637"/>
      <c r="AI6" s="1637"/>
      <c r="AJ6" s="1637"/>
      <c r="AK6" s="1637"/>
      <c r="AL6" s="1637"/>
      <c r="AM6" s="1638"/>
      <c r="AN6" s="1638"/>
      <c r="AO6" s="1636"/>
      <c r="AP6" s="1637"/>
      <c r="AQ6" s="1637"/>
      <c r="AR6" s="1637"/>
      <c r="AS6" s="1637"/>
      <c r="AT6" s="1637"/>
      <c r="AU6" s="1637"/>
      <c r="AV6" s="1637"/>
      <c r="AW6" s="1637"/>
      <c r="AX6" s="1637"/>
      <c r="AY6" s="1637"/>
      <c r="AZ6" s="1638"/>
      <c r="BA6" s="1638"/>
      <c r="BB6" s="1636"/>
      <c r="BC6" s="1637"/>
      <c r="BD6" s="1637"/>
      <c r="BE6" s="1637"/>
      <c r="BF6" s="1637"/>
      <c r="BG6" s="1637"/>
      <c r="BH6" s="1637"/>
      <c r="BI6" s="1637"/>
      <c r="BJ6" s="1637"/>
      <c r="BK6" s="1637"/>
      <c r="BL6" s="1637"/>
      <c r="BM6" s="1638"/>
      <c r="BN6" s="1638"/>
      <c r="BO6" s="1636"/>
      <c r="BP6" s="1637"/>
      <c r="BQ6" s="1637"/>
      <c r="BR6" s="1637"/>
      <c r="BS6" s="1637"/>
      <c r="BT6" s="1637"/>
      <c r="BU6" s="1637"/>
      <c r="BV6" s="1637"/>
      <c r="BW6" s="1637"/>
      <c r="BX6" s="1637"/>
      <c r="BY6" s="1637"/>
      <c r="BZ6" s="1638"/>
      <c r="CA6" s="1638"/>
      <c r="CB6" s="1636"/>
      <c r="CC6" s="1637"/>
      <c r="CD6" s="1637"/>
      <c r="CE6" s="1637"/>
      <c r="CF6" s="1637"/>
      <c r="CG6" s="1637"/>
      <c r="CH6" s="1637"/>
      <c r="CI6" s="1637"/>
      <c r="CJ6" s="1637"/>
      <c r="CK6" s="1637"/>
      <c r="CL6" s="1637"/>
      <c r="CM6" s="1638"/>
      <c r="CN6" s="1638"/>
      <c r="CO6" s="1636"/>
      <c r="CP6" s="1637"/>
      <c r="CQ6" s="1637"/>
      <c r="CR6" s="1637"/>
      <c r="CS6" s="1637"/>
      <c r="CT6" s="1637"/>
      <c r="CU6" s="1637"/>
      <c r="CV6" s="1637"/>
      <c r="CW6" s="1637"/>
      <c r="CX6" s="1637"/>
      <c r="CY6" s="1637"/>
      <c r="CZ6" s="1638"/>
      <c r="DA6" s="1638"/>
      <c r="DB6" s="1636"/>
      <c r="DC6" s="1637"/>
      <c r="DD6" s="1637"/>
      <c r="DE6" s="1637"/>
      <c r="DF6" s="1637"/>
      <c r="DG6" s="1637"/>
      <c r="DH6" s="1637"/>
      <c r="DI6" s="1637"/>
      <c r="DJ6" s="1637"/>
      <c r="DK6" s="1637"/>
      <c r="DL6" s="1637"/>
      <c r="DM6" s="1638"/>
      <c r="DN6" s="1638"/>
      <c r="DO6" s="1636"/>
      <c r="DP6" s="1637"/>
      <c r="DQ6" s="1637"/>
      <c r="DR6" s="1637"/>
      <c r="DS6" s="1637"/>
      <c r="DT6" s="1637"/>
      <c r="DU6" s="1637"/>
      <c r="DV6" s="1637"/>
      <c r="DW6" s="1637"/>
      <c r="DX6" s="1637"/>
      <c r="DY6" s="1637"/>
      <c r="DZ6" s="1638"/>
      <c r="EA6" s="1638"/>
      <c r="EB6" s="1636"/>
      <c r="EC6" s="1637"/>
      <c r="ED6" s="1637"/>
      <c r="EE6" s="1637"/>
      <c r="EF6" s="1637"/>
      <c r="EG6" s="1637"/>
      <c r="EH6" s="1637"/>
      <c r="EI6" s="1637"/>
      <c r="EJ6" s="1637"/>
      <c r="EK6" s="1637"/>
      <c r="EL6" s="1637"/>
      <c r="EM6" s="1638"/>
      <c r="EN6" s="1638"/>
      <c r="EO6" s="1636"/>
      <c r="EP6" s="1637"/>
      <c r="EQ6" s="1637"/>
      <c r="ER6" s="1637"/>
      <c r="ES6" s="1637"/>
      <c r="ET6" s="1637"/>
      <c r="EU6" s="1637"/>
      <c r="EV6" s="1637"/>
      <c r="EW6" s="1637"/>
      <c r="EX6" s="1637"/>
      <c r="EY6" s="1637"/>
      <c r="EZ6" s="1638"/>
      <c r="FA6" s="1638"/>
      <c r="FB6" s="1636"/>
      <c r="FC6" s="1637"/>
      <c r="FD6" s="1637"/>
      <c r="FE6" s="1637"/>
      <c r="FF6" s="1637"/>
      <c r="FG6" s="1637"/>
      <c r="FH6" s="1637"/>
      <c r="FI6" s="1637"/>
      <c r="FJ6" s="1637"/>
      <c r="FK6" s="1637"/>
      <c r="FL6" s="1637"/>
      <c r="FM6" s="1638"/>
      <c r="FN6" s="1638"/>
      <c r="FO6" s="1636"/>
      <c r="FP6" s="1637"/>
      <c r="FQ6" s="1637"/>
      <c r="FR6" s="1637"/>
      <c r="FS6" s="1637"/>
      <c r="FT6" s="1637"/>
      <c r="FU6" s="1637"/>
      <c r="FV6" s="1637"/>
      <c r="FW6" s="1637"/>
      <c r="FX6" s="1637"/>
      <c r="FY6" s="1637"/>
      <c r="FZ6" s="1638"/>
      <c r="GA6" s="1638"/>
      <c r="GB6" s="1636"/>
      <c r="GC6" s="1637"/>
      <c r="GD6" s="1637"/>
      <c r="GE6" s="1637"/>
      <c r="GF6" s="1637"/>
      <c r="GG6" s="1637"/>
      <c r="GH6" s="1637"/>
      <c r="GI6" s="1637"/>
      <c r="GJ6" s="1637"/>
      <c r="GK6" s="1637"/>
      <c r="GL6" s="1637"/>
      <c r="GM6" s="1638"/>
      <c r="GN6" s="1638"/>
      <c r="GO6" s="1636"/>
      <c r="GP6" s="1637"/>
      <c r="GQ6" s="1637"/>
      <c r="GR6" s="1637"/>
      <c r="GS6" s="1637"/>
      <c r="GT6" s="1637"/>
      <c r="GU6" s="1637"/>
      <c r="GV6" s="1637"/>
      <c r="GW6" s="1637"/>
      <c r="GX6" s="1637"/>
      <c r="GY6" s="1637"/>
      <c r="GZ6" s="1638"/>
      <c r="HA6" s="1638"/>
      <c r="HB6" s="1636"/>
      <c r="HC6" s="1637"/>
      <c r="HD6" s="1637"/>
      <c r="HE6" s="1637"/>
      <c r="HF6" s="1637"/>
      <c r="HG6" s="1637"/>
      <c r="HH6" s="1637"/>
      <c r="HI6" s="1637"/>
      <c r="HJ6" s="1637"/>
      <c r="HK6" s="1637"/>
      <c r="HL6" s="1637"/>
      <c r="HM6" s="1638"/>
      <c r="HN6" s="1638"/>
      <c r="HO6" s="1636"/>
      <c r="HP6" s="1637"/>
      <c r="HQ6" s="1637"/>
      <c r="HR6" s="1637"/>
      <c r="HS6" s="1637"/>
      <c r="HT6" s="1637"/>
      <c r="HU6" s="1637"/>
      <c r="HV6" s="1637"/>
      <c r="HW6" s="1637"/>
      <c r="HX6" s="1637"/>
      <c r="HY6" s="1637"/>
      <c r="HZ6" s="1638"/>
      <c r="IA6" s="1638"/>
      <c r="IB6" s="1636"/>
      <c r="IC6" s="1637"/>
      <c r="ID6" s="1637"/>
      <c r="IE6" s="1637"/>
      <c r="IF6" s="1637"/>
      <c r="IG6" s="1637"/>
      <c r="IH6" s="1637"/>
      <c r="II6" s="1637"/>
      <c r="IJ6" s="1637"/>
      <c r="IK6" s="1637"/>
      <c r="IL6" s="1637"/>
      <c r="IM6" s="1638"/>
      <c r="IN6" s="1638"/>
      <c r="IO6" s="1636"/>
      <c r="IP6" s="1637"/>
      <c r="IQ6" s="1637"/>
      <c r="IR6" s="1637"/>
      <c r="IS6" s="1637"/>
      <c r="IT6" s="1637"/>
      <c r="IU6" s="1637"/>
      <c r="IV6" s="1637"/>
      <c r="IW6" s="1637"/>
      <c r="IX6" s="1637"/>
      <c r="IY6" s="1637"/>
      <c r="IZ6" s="1638"/>
      <c r="JA6" s="1638"/>
      <c r="JB6" s="1636"/>
      <c r="JC6" s="1637"/>
      <c r="JD6" s="1637"/>
      <c r="JE6" s="1637"/>
      <c r="JF6" s="1637"/>
      <c r="JG6" s="1637"/>
      <c r="JH6" s="1637"/>
      <c r="JI6" s="1637"/>
      <c r="JJ6" s="1637"/>
      <c r="JK6" s="1637"/>
      <c r="JL6" s="1637"/>
      <c r="JM6" s="1638"/>
      <c r="JN6" s="1638"/>
      <c r="JO6" s="1636"/>
      <c r="JP6" s="1637"/>
      <c r="JQ6" s="1637"/>
      <c r="JR6" s="1637"/>
      <c r="JS6" s="1637"/>
      <c r="JT6" s="1637"/>
      <c r="JU6" s="1637"/>
      <c r="JV6" s="1637"/>
      <c r="JW6" s="1637"/>
      <c r="JX6" s="1637"/>
      <c r="JY6" s="1637"/>
      <c r="JZ6" s="1638"/>
      <c r="KA6" s="1638"/>
      <c r="KB6" s="1068"/>
      <c r="KC6" s="1639"/>
      <c r="KD6" s="1396"/>
      <c r="KE6" s="1397"/>
      <c r="KF6" s="1397"/>
      <c r="KG6" s="1068"/>
      <c r="KH6" s="1398"/>
      <c r="KI6" s="1399"/>
      <c r="KJ6" s="1400"/>
    </row>
    <row r="7" spans="1:297" ht="15" customHeight="1" x14ac:dyDescent="0.2">
      <c r="A7" s="1438" t="s">
        <v>115</v>
      </c>
      <c r="B7" s="1439">
        <f t="shared" ref="B7:BM7" si="28">SUM(B9,B12,B36)</f>
        <v>3870</v>
      </c>
      <c r="C7" s="1440">
        <f t="shared" si="28"/>
        <v>903</v>
      </c>
      <c r="D7" s="1440">
        <f t="shared" si="28"/>
        <v>379</v>
      </c>
      <c r="E7" s="1440">
        <f t="shared" si="28"/>
        <v>2383</v>
      </c>
      <c r="F7" s="1440">
        <f t="shared" si="28"/>
        <v>3192</v>
      </c>
      <c r="G7" s="1440">
        <f t="shared" si="28"/>
        <v>4322</v>
      </c>
      <c r="H7" s="1440">
        <f t="shared" si="28"/>
        <v>3878</v>
      </c>
      <c r="I7" s="1440">
        <f t="shared" si="28"/>
        <v>2392</v>
      </c>
      <c r="J7" s="1440">
        <f t="shared" si="28"/>
        <v>3448</v>
      </c>
      <c r="K7" s="1440">
        <f t="shared" si="28"/>
        <v>3005</v>
      </c>
      <c r="L7" s="1440">
        <f t="shared" si="28"/>
        <v>4066</v>
      </c>
      <c r="M7" s="1441">
        <f t="shared" si="28"/>
        <v>3285</v>
      </c>
      <c r="N7" s="1441">
        <f t="shared" ref="N7" si="29">SUM(B7:M7)</f>
        <v>35123</v>
      </c>
      <c r="O7" s="1439">
        <f t="shared" si="28"/>
        <v>5035</v>
      </c>
      <c r="P7" s="1440">
        <f t="shared" si="28"/>
        <v>946</v>
      </c>
      <c r="Q7" s="1440">
        <f t="shared" si="28"/>
        <v>572</v>
      </c>
      <c r="R7" s="1440">
        <f t="shared" si="28"/>
        <v>999</v>
      </c>
      <c r="S7" s="1440">
        <f t="shared" si="28"/>
        <v>2063</v>
      </c>
      <c r="T7" s="1440">
        <f t="shared" si="28"/>
        <v>6164</v>
      </c>
      <c r="U7" s="1440">
        <f t="shared" si="28"/>
        <v>4492</v>
      </c>
      <c r="V7" s="1440">
        <f t="shared" si="28"/>
        <v>7010</v>
      </c>
      <c r="W7" s="1440">
        <f t="shared" si="28"/>
        <v>4823</v>
      </c>
      <c r="X7" s="1440">
        <f t="shared" si="28"/>
        <v>4104</v>
      </c>
      <c r="Y7" s="1440">
        <f t="shared" si="28"/>
        <v>4159</v>
      </c>
      <c r="Z7" s="1441">
        <f t="shared" si="28"/>
        <v>3361</v>
      </c>
      <c r="AA7" s="1441">
        <f t="shared" ref="AA7" si="30">SUM(O7:Z7)</f>
        <v>43728</v>
      </c>
      <c r="AB7" s="1439">
        <f t="shared" si="28"/>
        <v>2443</v>
      </c>
      <c r="AC7" s="1440">
        <f t="shared" si="28"/>
        <v>1949</v>
      </c>
      <c r="AD7" s="1440">
        <f t="shared" si="28"/>
        <v>1785</v>
      </c>
      <c r="AE7" s="1440">
        <f t="shared" si="28"/>
        <v>728</v>
      </c>
      <c r="AF7" s="1440">
        <f t="shared" si="28"/>
        <v>2126</v>
      </c>
      <c r="AG7" s="1440">
        <f t="shared" si="28"/>
        <v>2405</v>
      </c>
      <c r="AH7" s="1440">
        <f t="shared" si="28"/>
        <v>4199</v>
      </c>
      <c r="AI7" s="1440">
        <f t="shared" si="28"/>
        <v>6289</v>
      </c>
      <c r="AJ7" s="1440">
        <f t="shared" si="28"/>
        <v>5211</v>
      </c>
      <c r="AK7" s="1440">
        <f t="shared" si="28"/>
        <v>4447</v>
      </c>
      <c r="AL7" s="1440">
        <f t="shared" si="28"/>
        <v>4656</v>
      </c>
      <c r="AM7" s="1441">
        <f t="shared" si="28"/>
        <v>3156</v>
      </c>
      <c r="AN7" s="1441">
        <f t="shared" ref="AN7" si="31">SUM(AB7:AM7)</f>
        <v>39394</v>
      </c>
      <c r="AO7" s="1439">
        <f t="shared" si="28"/>
        <v>2406</v>
      </c>
      <c r="AP7" s="1440">
        <f t="shared" si="28"/>
        <v>1450</v>
      </c>
      <c r="AQ7" s="1440">
        <f t="shared" si="28"/>
        <v>1319</v>
      </c>
      <c r="AR7" s="1440">
        <f t="shared" si="28"/>
        <v>1279</v>
      </c>
      <c r="AS7" s="1440">
        <f t="shared" si="28"/>
        <v>4352</v>
      </c>
      <c r="AT7" s="1440">
        <f t="shared" si="28"/>
        <v>5636</v>
      </c>
      <c r="AU7" s="1440">
        <f t="shared" si="28"/>
        <v>5167</v>
      </c>
      <c r="AV7" s="1440">
        <f t="shared" si="28"/>
        <v>8879</v>
      </c>
      <c r="AW7" s="1440">
        <f t="shared" si="28"/>
        <v>6066</v>
      </c>
      <c r="AX7" s="1440">
        <f t="shared" si="28"/>
        <v>6990</v>
      </c>
      <c r="AY7" s="1440">
        <f t="shared" si="28"/>
        <v>4994</v>
      </c>
      <c r="AZ7" s="1441">
        <f t="shared" si="28"/>
        <v>3953</v>
      </c>
      <c r="BA7" s="1441">
        <f t="shared" ref="BA7" si="32">SUM(AO7:AZ7)</f>
        <v>52491</v>
      </c>
      <c r="BB7" s="1439">
        <f t="shared" si="28"/>
        <v>2809</v>
      </c>
      <c r="BC7" s="1440">
        <f t="shared" si="28"/>
        <v>1720</v>
      </c>
      <c r="BD7" s="1440">
        <f t="shared" si="28"/>
        <v>1475</v>
      </c>
      <c r="BE7" s="1440">
        <f t="shared" si="28"/>
        <v>2227</v>
      </c>
      <c r="BF7" s="1440">
        <f t="shared" si="28"/>
        <v>2142</v>
      </c>
      <c r="BG7" s="1440">
        <f t="shared" si="28"/>
        <v>5390</v>
      </c>
      <c r="BH7" s="1440">
        <f t="shared" si="28"/>
        <v>6381</v>
      </c>
      <c r="BI7" s="1440">
        <f t="shared" si="28"/>
        <v>5007</v>
      </c>
      <c r="BJ7" s="1440">
        <f t="shared" si="28"/>
        <v>6820</v>
      </c>
      <c r="BK7" s="1440">
        <f t="shared" si="28"/>
        <v>8339</v>
      </c>
      <c r="BL7" s="1440">
        <f t="shared" si="28"/>
        <v>8278</v>
      </c>
      <c r="BM7" s="1441">
        <f t="shared" si="28"/>
        <v>5428</v>
      </c>
      <c r="BN7" s="1441">
        <f t="shared" ref="BN7" si="33">SUM(BB7:BM7)</f>
        <v>56016</v>
      </c>
      <c r="BO7" s="1439">
        <f t="shared" ref="BO7:DZ7" si="34">SUM(BO9,BO12,BO36)</f>
        <v>2389</v>
      </c>
      <c r="BP7" s="1440">
        <f t="shared" si="34"/>
        <v>2255</v>
      </c>
      <c r="BQ7" s="1440">
        <f t="shared" si="34"/>
        <v>1672</v>
      </c>
      <c r="BR7" s="1440">
        <f t="shared" si="34"/>
        <v>2002</v>
      </c>
      <c r="BS7" s="1440">
        <f t="shared" si="34"/>
        <v>5438</v>
      </c>
      <c r="BT7" s="1440">
        <f t="shared" si="34"/>
        <v>6814</v>
      </c>
      <c r="BU7" s="1440">
        <f t="shared" si="34"/>
        <v>10206</v>
      </c>
      <c r="BV7" s="1440">
        <f t="shared" si="34"/>
        <v>8865</v>
      </c>
      <c r="BW7" s="1440">
        <f t="shared" si="34"/>
        <v>6874</v>
      </c>
      <c r="BX7" s="1440">
        <f t="shared" si="34"/>
        <v>9875</v>
      </c>
      <c r="BY7" s="1440">
        <f t="shared" si="34"/>
        <v>8895</v>
      </c>
      <c r="BZ7" s="1441">
        <f t="shared" si="34"/>
        <v>10806</v>
      </c>
      <c r="CA7" s="1441">
        <f t="shared" ref="CA7" si="35">SUM(BO7:BZ7)</f>
        <v>76091</v>
      </c>
      <c r="CB7" s="1439">
        <f t="shared" si="34"/>
        <v>2707</v>
      </c>
      <c r="CC7" s="1440">
        <f t="shared" si="34"/>
        <v>3780</v>
      </c>
      <c r="CD7" s="1440">
        <f t="shared" si="34"/>
        <v>3748</v>
      </c>
      <c r="CE7" s="1440">
        <f t="shared" si="34"/>
        <v>2664</v>
      </c>
      <c r="CF7" s="1440">
        <f t="shared" si="34"/>
        <v>8254</v>
      </c>
      <c r="CG7" s="1440">
        <f t="shared" si="34"/>
        <v>16329</v>
      </c>
      <c r="CH7" s="1440">
        <f t="shared" si="34"/>
        <v>23493</v>
      </c>
      <c r="CI7" s="1440">
        <f t="shared" si="34"/>
        <v>23502</v>
      </c>
      <c r="CJ7" s="1440">
        <f t="shared" si="34"/>
        <v>18019</v>
      </c>
      <c r="CK7" s="1440">
        <f t="shared" si="34"/>
        <v>14240</v>
      </c>
      <c r="CL7" s="1440">
        <f t="shared" si="34"/>
        <v>9765</v>
      </c>
      <c r="CM7" s="1441">
        <f t="shared" si="34"/>
        <v>12425</v>
      </c>
      <c r="CN7" s="1441">
        <f t="shared" ref="CN7" si="36">SUM(CB7:CM7)</f>
        <v>138926</v>
      </c>
      <c r="CO7" s="1439">
        <f t="shared" si="34"/>
        <v>7019</v>
      </c>
      <c r="CP7" s="1440">
        <f t="shared" si="34"/>
        <v>4961</v>
      </c>
      <c r="CQ7" s="1440">
        <f t="shared" si="34"/>
        <v>2689</v>
      </c>
      <c r="CR7" s="1440">
        <f t="shared" si="34"/>
        <v>1763.7</v>
      </c>
      <c r="CS7" s="1440">
        <f t="shared" si="34"/>
        <v>961</v>
      </c>
      <c r="CT7" s="1440">
        <f t="shared" si="34"/>
        <v>928</v>
      </c>
      <c r="CU7" s="1440">
        <f t="shared" si="34"/>
        <v>5608</v>
      </c>
      <c r="CV7" s="1440">
        <f t="shared" si="34"/>
        <v>10068</v>
      </c>
      <c r="CW7" s="1440">
        <f t="shared" si="34"/>
        <v>11817</v>
      </c>
      <c r="CX7" s="1440">
        <f t="shared" si="34"/>
        <v>10941</v>
      </c>
      <c r="CY7" s="1440">
        <f t="shared" si="34"/>
        <v>10169</v>
      </c>
      <c r="CZ7" s="1441">
        <f t="shared" si="34"/>
        <v>4858</v>
      </c>
      <c r="DA7" s="1441">
        <f t="shared" ref="DA7" si="37">SUM(CO7:CZ7)</f>
        <v>71782.7</v>
      </c>
      <c r="DB7" s="1439">
        <f t="shared" si="34"/>
        <v>2898</v>
      </c>
      <c r="DC7" s="1440">
        <f t="shared" si="34"/>
        <v>3023</v>
      </c>
      <c r="DD7" s="1440">
        <f t="shared" si="34"/>
        <v>2584</v>
      </c>
      <c r="DE7" s="1440">
        <f t="shared" si="34"/>
        <v>3114</v>
      </c>
      <c r="DF7" s="1440">
        <f t="shared" si="34"/>
        <v>7283</v>
      </c>
      <c r="DG7" s="1440">
        <f t="shared" si="34"/>
        <v>12166</v>
      </c>
      <c r="DH7" s="1440">
        <f t="shared" si="34"/>
        <v>14370</v>
      </c>
      <c r="DI7" s="1440">
        <f t="shared" si="34"/>
        <v>15268</v>
      </c>
      <c r="DJ7" s="1440">
        <f t="shared" si="34"/>
        <v>7711</v>
      </c>
      <c r="DK7" s="1440">
        <f t="shared" si="34"/>
        <v>9882</v>
      </c>
      <c r="DL7" s="1440">
        <f t="shared" si="34"/>
        <v>9726</v>
      </c>
      <c r="DM7" s="1441">
        <f t="shared" si="34"/>
        <v>9455</v>
      </c>
      <c r="DN7" s="1441">
        <f t="shared" ref="DN7" si="38">SUM(DB7:DM7)</f>
        <v>97480</v>
      </c>
      <c r="DO7" s="1439">
        <f t="shared" si="34"/>
        <v>6112</v>
      </c>
      <c r="DP7" s="1440">
        <f t="shared" si="34"/>
        <v>6323</v>
      </c>
      <c r="DQ7" s="1440">
        <f t="shared" si="34"/>
        <v>6045</v>
      </c>
      <c r="DR7" s="1440">
        <f t="shared" si="34"/>
        <v>5788</v>
      </c>
      <c r="DS7" s="1440">
        <f t="shared" si="34"/>
        <v>10437</v>
      </c>
      <c r="DT7" s="1440">
        <f t="shared" si="34"/>
        <v>13893</v>
      </c>
      <c r="DU7" s="1440">
        <f t="shared" si="34"/>
        <v>22220.3</v>
      </c>
      <c r="DV7" s="1440">
        <f t="shared" si="34"/>
        <v>23568</v>
      </c>
      <c r="DW7" s="1440">
        <f t="shared" si="34"/>
        <v>24769</v>
      </c>
      <c r="DX7" s="1440">
        <f t="shared" si="34"/>
        <v>23980.7</v>
      </c>
      <c r="DY7" s="1440">
        <f t="shared" si="34"/>
        <v>24337</v>
      </c>
      <c r="DZ7" s="1441">
        <f t="shared" si="34"/>
        <v>17658</v>
      </c>
      <c r="EA7" s="1441">
        <f t="shared" ref="EA7" si="39">SUM(DO7:DZ7)</f>
        <v>185131</v>
      </c>
      <c r="EB7" s="1439">
        <f t="shared" ref="EB7:GM7" si="40">SUM(EB9,EB12,EB36)</f>
        <v>13700</v>
      </c>
      <c r="EC7" s="1440">
        <f t="shared" si="40"/>
        <v>3721</v>
      </c>
      <c r="ED7" s="1440">
        <f t="shared" si="40"/>
        <v>5432</v>
      </c>
      <c r="EE7" s="1440">
        <f t="shared" si="40"/>
        <v>5653</v>
      </c>
      <c r="EF7" s="1440">
        <f t="shared" si="40"/>
        <v>14659</v>
      </c>
      <c r="EG7" s="1440">
        <f t="shared" si="40"/>
        <v>19052</v>
      </c>
      <c r="EH7" s="1440">
        <f t="shared" si="40"/>
        <v>22143</v>
      </c>
      <c r="EI7" s="1440">
        <f t="shared" si="40"/>
        <v>16658</v>
      </c>
      <c r="EJ7" s="1440">
        <f t="shared" si="40"/>
        <v>24286</v>
      </c>
      <c r="EK7" s="1440">
        <f t="shared" si="40"/>
        <v>19112</v>
      </c>
      <c r="EL7" s="1440">
        <f t="shared" si="40"/>
        <v>16416.7</v>
      </c>
      <c r="EM7" s="1441">
        <f t="shared" si="40"/>
        <v>15542</v>
      </c>
      <c r="EN7" s="1441">
        <f t="shared" ref="EN7" si="41">SUM(EB7:EM7)</f>
        <v>176374.7</v>
      </c>
      <c r="EO7" s="1439">
        <f t="shared" si="40"/>
        <v>14030</v>
      </c>
      <c r="EP7" s="1440">
        <f t="shared" si="40"/>
        <v>6982</v>
      </c>
      <c r="EQ7" s="1440">
        <f t="shared" si="40"/>
        <v>15005</v>
      </c>
      <c r="ER7" s="1440">
        <f t="shared" si="40"/>
        <v>7452</v>
      </c>
      <c r="ES7" s="1440">
        <f t="shared" si="40"/>
        <v>9393</v>
      </c>
      <c r="ET7" s="1440">
        <f t="shared" si="40"/>
        <v>10527</v>
      </c>
      <c r="EU7" s="1440">
        <f t="shared" si="40"/>
        <v>19953</v>
      </c>
      <c r="EV7" s="1440">
        <f t="shared" si="40"/>
        <v>38513</v>
      </c>
      <c r="EW7" s="1440">
        <f t="shared" si="40"/>
        <v>26458</v>
      </c>
      <c r="EX7" s="1440">
        <f t="shared" si="40"/>
        <v>31108</v>
      </c>
      <c r="EY7" s="1440">
        <f t="shared" si="40"/>
        <v>21959</v>
      </c>
      <c r="EZ7" s="1441">
        <f t="shared" si="40"/>
        <v>16829</v>
      </c>
      <c r="FA7" s="1441">
        <f t="shared" ref="FA7" si="42">SUM(EO7:EZ7)</f>
        <v>218209</v>
      </c>
      <c r="FB7" s="1439">
        <f t="shared" si="40"/>
        <v>12004</v>
      </c>
      <c r="FC7" s="1440">
        <f t="shared" si="40"/>
        <v>9469</v>
      </c>
      <c r="FD7" s="1440">
        <f t="shared" si="40"/>
        <v>9612</v>
      </c>
      <c r="FE7" s="1440">
        <f t="shared" si="40"/>
        <v>5559</v>
      </c>
      <c r="FF7" s="1440">
        <f t="shared" si="40"/>
        <v>10203</v>
      </c>
      <c r="FG7" s="1440">
        <f t="shared" si="40"/>
        <v>14589</v>
      </c>
      <c r="FH7" s="1440">
        <f t="shared" si="40"/>
        <v>22996</v>
      </c>
      <c r="FI7" s="1440">
        <f t="shared" si="40"/>
        <v>31463</v>
      </c>
      <c r="FJ7" s="1440">
        <f t="shared" si="40"/>
        <v>26961</v>
      </c>
      <c r="FK7" s="1440">
        <f t="shared" si="40"/>
        <v>11905</v>
      </c>
      <c r="FL7" s="1440">
        <f t="shared" si="40"/>
        <v>7289</v>
      </c>
      <c r="FM7" s="1441">
        <f t="shared" si="40"/>
        <v>9929</v>
      </c>
      <c r="FN7" s="1441">
        <f t="shared" ref="FN7" si="43">SUM(FB7:FM7)</f>
        <v>171979</v>
      </c>
      <c r="FO7" s="1439">
        <f t="shared" si="40"/>
        <v>6337</v>
      </c>
      <c r="FP7" s="1440">
        <f t="shared" si="40"/>
        <v>4276</v>
      </c>
      <c r="FQ7" s="1440">
        <f t="shared" si="40"/>
        <v>12060</v>
      </c>
      <c r="FR7" s="1440">
        <f t="shared" si="40"/>
        <v>6167</v>
      </c>
      <c r="FS7" s="1440">
        <f t="shared" si="40"/>
        <v>5397</v>
      </c>
      <c r="FT7" s="1440">
        <f t="shared" si="40"/>
        <v>11522</v>
      </c>
      <c r="FU7" s="1440">
        <f t="shared" si="40"/>
        <v>8834</v>
      </c>
      <c r="FV7" s="1440">
        <f t="shared" si="40"/>
        <v>15263</v>
      </c>
      <c r="FW7" s="1440">
        <f t="shared" si="40"/>
        <v>7135</v>
      </c>
      <c r="FX7" s="1440">
        <f t="shared" si="40"/>
        <v>16708</v>
      </c>
      <c r="FY7" s="1440">
        <f t="shared" si="40"/>
        <v>11610</v>
      </c>
      <c r="FZ7" s="1441">
        <f t="shared" si="40"/>
        <v>12334</v>
      </c>
      <c r="GA7" s="1441">
        <f t="shared" ref="GA7" si="44">SUM(FO7:FZ7)</f>
        <v>117643</v>
      </c>
      <c r="GB7" s="1439">
        <f t="shared" si="40"/>
        <v>9401</v>
      </c>
      <c r="GC7" s="1440">
        <f t="shared" si="40"/>
        <v>6104</v>
      </c>
      <c r="GD7" s="1440">
        <f t="shared" si="40"/>
        <v>14322</v>
      </c>
      <c r="GE7" s="1440">
        <f t="shared" si="40"/>
        <v>4844</v>
      </c>
      <c r="GF7" s="1440">
        <f t="shared" si="40"/>
        <v>9189</v>
      </c>
      <c r="GG7" s="1440">
        <f t="shared" si="40"/>
        <v>15482</v>
      </c>
      <c r="GH7" s="1440">
        <f t="shared" si="40"/>
        <v>9723</v>
      </c>
      <c r="GI7" s="1440">
        <f t="shared" si="40"/>
        <v>12436</v>
      </c>
      <c r="GJ7" s="1440">
        <f t="shared" si="40"/>
        <v>10810</v>
      </c>
      <c r="GK7" s="1440">
        <f t="shared" si="40"/>
        <v>13743</v>
      </c>
      <c r="GL7" s="1440">
        <f t="shared" si="40"/>
        <v>17488</v>
      </c>
      <c r="GM7" s="1441">
        <f t="shared" si="40"/>
        <v>16343</v>
      </c>
      <c r="GN7" s="1441">
        <f t="shared" ref="GN7" si="45">SUM(GB7:GM7)</f>
        <v>139885</v>
      </c>
      <c r="GO7" s="1439">
        <f t="shared" ref="GO7:IZ7" si="46">SUM(GO9,GO12,GO36)</f>
        <v>18047</v>
      </c>
      <c r="GP7" s="1440">
        <f t="shared" si="46"/>
        <v>21855</v>
      </c>
      <c r="GQ7" s="1440">
        <f t="shared" si="46"/>
        <v>9626</v>
      </c>
      <c r="GR7" s="1440">
        <f t="shared" si="46"/>
        <v>7806</v>
      </c>
      <c r="GS7" s="1440">
        <f t="shared" si="46"/>
        <v>7721</v>
      </c>
      <c r="GT7" s="1440">
        <f t="shared" si="46"/>
        <v>8375</v>
      </c>
      <c r="GU7" s="1440">
        <f t="shared" si="46"/>
        <v>11310</v>
      </c>
      <c r="GV7" s="1440">
        <f t="shared" si="46"/>
        <v>16915</v>
      </c>
      <c r="GW7" s="1440">
        <f t="shared" si="46"/>
        <v>18660</v>
      </c>
      <c r="GX7" s="1440">
        <f t="shared" si="46"/>
        <v>17817</v>
      </c>
      <c r="GY7" s="1440">
        <f t="shared" si="46"/>
        <v>20649</v>
      </c>
      <c r="GZ7" s="1441">
        <f t="shared" si="46"/>
        <v>11972</v>
      </c>
      <c r="HA7" s="1441">
        <f t="shared" ref="HA7" si="47">SUM(GO7:GZ7)</f>
        <v>170753</v>
      </c>
      <c r="HB7" s="1439">
        <f t="shared" si="46"/>
        <v>18946</v>
      </c>
      <c r="HC7" s="1440">
        <f t="shared" si="46"/>
        <v>10323</v>
      </c>
      <c r="HD7" s="1440">
        <f t="shared" si="46"/>
        <v>8640</v>
      </c>
      <c r="HE7" s="1440">
        <f t="shared" si="46"/>
        <v>8243</v>
      </c>
      <c r="HF7" s="1440">
        <f t="shared" si="46"/>
        <v>10510</v>
      </c>
      <c r="HG7" s="1440">
        <f t="shared" si="46"/>
        <v>11281</v>
      </c>
      <c r="HH7" s="1440">
        <f t="shared" si="46"/>
        <v>13880</v>
      </c>
      <c r="HI7" s="1440">
        <f t="shared" si="46"/>
        <v>12415</v>
      </c>
      <c r="HJ7" s="1440">
        <f t="shared" si="46"/>
        <v>18873</v>
      </c>
      <c r="HK7" s="1440">
        <f t="shared" si="46"/>
        <v>23668</v>
      </c>
      <c r="HL7" s="1440">
        <f t="shared" si="46"/>
        <v>20452</v>
      </c>
      <c r="HM7" s="1441">
        <f t="shared" si="46"/>
        <v>20310</v>
      </c>
      <c r="HN7" s="1441">
        <f t="shared" ref="HN7" si="48">SUM(HB7:HM7)</f>
        <v>177541</v>
      </c>
      <c r="HO7" s="1439">
        <f t="shared" si="46"/>
        <v>13795</v>
      </c>
      <c r="HP7" s="1440">
        <f t="shared" si="46"/>
        <v>10290</v>
      </c>
      <c r="HQ7" s="1440">
        <f t="shared" si="46"/>
        <v>13263</v>
      </c>
      <c r="HR7" s="1440">
        <f t="shared" si="46"/>
        <v>10530</v>
      </c>
      <c r="HS7" s="1440">
        <f t="shared" si="46"/>
        <v>14154</v>
      </c>
      <c r="HT7" s="1440">
        <f t="shared" si="46"/>
        <v>12696</v>
      </c>
      <c r="HU7" s="1440">
        <f t="shared" si="46"/>
        <v>19416</v>
      </c>
      <c r="HV7" s="1440">
        <f t="shared" si="46"/>
        <v>20190</v>
      </c>
      <c r="HW7" s="1440">
        <f t="shared" si="46"/>
        <v>20290</v>
      </c>
      <c r="HX7" s="1440">
        <f t="shared" si="46"/>
        <v>21601</v>
      </c>
      <c r="HY7" s="1440">
        <f t="shared" si="46"/>
        <v>17644</v>
      </c>
      <c r="HZ7" s="1441">
        <f t="shared" si="46"/>
        <v>13536</v>
      </c>
      <c r="IA7" s="1441">
        <f t="shared" ref="IA7" si="49">SUM(HO7:HZ7)</f>
        <v>187405</v>
      </c>
      <c r="IB7" s="1439">
        <f t="shared" si="46"/>
        <v>12367</v>
      </c>
      <c r="IC7" s="1440">
        <f t="shared" si="46"/>
        <v>11702</v>
      </c>
      <c r="ID7" s="1440">
        <f t="shared" si="46"/>
        <v>12358</v>
      </c>
      <c r="IE7" s="1440">
        <f t="shared" si="46"/>
        <v>10478</v>
      </c>
      <c r="IF7" s="1440">
        <f t="shared" si="46"/>
        <v>13090</v>
      </c>
      <c r="IG7" s="1440">
        <f t="shared" si="46"/>
        <v>18981</v>
      </c>
      <c r="IH7" s="1440">
        <f t="shared" si="46"/>
        <v>22351</v>
      </c>
      <c r="II7" s="1440">
        <f t="shared" si="46"/>
        <v>22195</v>
      </c>
      <c r="IJ7" s="1440">
        <f t="shared" si="46"/>
        <v>26758</v>
      </c>
      <c r="IK7" s="1440">
        <f t="shared" si="46"/>
        <v>23223</v>
      </c>
      <c r="IL7" s="1440">
        <f t="shared" si="46"/>
        <v>16793</v>
      </c>
      <c r="IM7" s="1441">
        <f t="shared" si="46"/>
        <v>17336</v>
      </c>
      <c r="IN7" s="1441">
        <f t="shared" ref="IN7" si="50">SUM(IB7:IM7)</f>
        <v>207632</v>
      </c>
      <c r="IO7" s="1439">
        <f t="shared" si="46"/>
        <v>16936</v>
      </c>
      <c r="IP7" s="1440">
        <f t="shared" si="46"/>
        <v>14661</v>
      </c>
      <c r="IQ7" s="1440">
        <f t="shared" si="46"/>
        <v>13664</v>
      </c>
      <c r="IR7" s="1440">
        <f t="shared" si="46"/>
        <v>19931</v>
      </c>
      <c r="IS7" s="1440">
        <f t="shared" si="46"/>
        <v>18859</v>
      </c>
      <c r="IT7" s="1440">
        <f t="shared" si="46"/>
        <v>19634</v>
      </c>
      <c r="IU7" s="1440">
        <f t="shared" si="46"/>
        <v>28718</v>
      </c>
      <c r="IV7" s="1440">
        <f t="shared" si="46"/>
        <v>35426</v>
      </c>
      <c r="IW7" s="1440">
        <f t="shared" si="46"/>
        <v>35798</v>
      </c>
      <c r="IX7" s="1440">
        <f t="shared" si="46"/>
        <v>29212</v>
      </c>
      <c r="IY7" s="1440">
        <f t="shared" si="46"/>
        <v>25119</v>
      </c>
      <c r="IZ7" s="1441">
        <f t="shared" si="46"/>
        <v>35456</v>
      </c>
      <c r="JA7" s="1441">
        <f t="shared" ref="JA7" si="51">SUM(IO7:IZ7)</f>
        <v>293414</v>
      </c>
      <c r="JB7" s="1439">
        <f t="shared" ref="JB7:JM7" si="52">SUM(JB9,JB12,JB36)</f>
        <v>38995</v>
      </c>
      <c r="JC7" s="1440">
        <f t="shared" si="52"/>
        <v>33635</v>
      </c>
      <c r="JD7" s="1440">
        <f t="shared" si="52"/>
        <v>21829</v>
      </c>
      <c r="JE7" s="1440">
        <f t="shared" si="52"/>
        <v>15807</v>
      </c>
      <c r="JF7" s="1440">
        <f t="shared" si="52"/>
        <v>33071</v>
      </c>
      <c r="JG7" s="1440">
        <f t="shared" si="52"/>
        <v>65440</v>
      </c>
      <c r="JH7" s="1440">
        <f t="shared" si="52"/>
        <v>80059</v>
      </c>
      <c r="JI7" s="1440">
        <f t="shared" si="52"/>
        <v>68093</v>
      </c>
      <c r="JJ7" s="1440">
        <f t="shared" si="52"/>
        <v>75313</v>
      </c>
      <c r="JK7" s="1440">
        <f t="shared" si="52"/>
        <v>41879</v>
      </c>
      <c r="JL7" s="1440">
        <f t="shared" si="52"/>
        <v>32451</v>
      </c>
      <c r="JM7" s="1441">
        <f t="shared" si="52"/>
        <v>25697</v>
      </c>
      <c r="JN7" s="1441">
        <f t="shared" ref="JN7" si="53">SUM(JB7:JM7)</f>
        <v>532269</v>
      </c>
      <c r="JO7" s="1439">
        <f t="shared" ref="JO7:JY7" si="54">SUM(JO9,JO12,JO36)</f>
        <v>23520</v>
      </c>
      <c r="JP7" s="1440">
        <f>SUM(JP9,JP12,JP36)</f>
        <v>11305</v>
      </c>
      <c r="JQ7" s="1440">
        <f t="shared" si="54"/>
        <v>14572</v>
      </c>
      <c r="JR7" s="1440">
        <f>SUM(JR9,JR12,JR36)</f>
        <v>19680</v>
      </c>
      <c r="JS7" s="1440">
        <f>SUM(JS9,JS12,JS36)</f>
        <v>20948</v>
      </c>
      <c r="JT7" s="1440">
        <f>SUM(JT9,JT12,JT36)</f>
        <v>41764</v>
      </c>
      <c r="JU7" s="1440">
        <f t="shared" si="54"/>
        <v>39720</v>
      </c>
      <c r="JV7" s="1440">
        <f t="shared" si="54"/>
        <v>36474</v>
      </c>
      <c r="JW7" s="1440">
        <f t="shared" si="54"/>
        <v>0</v>
      </c>
      <c r="JX7" s="1440">
        <f t="shared" si="54"/>
        <v>0</v>
      </c>
      <c r="JY7" s="1440">
        <f t="shared" si="54"/>
        <v>0</v>
      </c>
      <c r="JZ7" s="1441">
        <f>SUM(JZ9,JZ12,JZ36)</f>
        <v>0</v>
      </c>
      <c r="KA7" s="1441">
        <f>SUM(JO7:JZ7)</f>
        <v>207983</v>
      </c>
      <c r="KB7" s="1442"/>
      <c r="KC7" s="1443">
        <f>IFERROR(((
_xlfn.XLOOKUP((DATE(YEAR($KC$5),MONTH($KC$5),1)),$A$5:$KA$5,$A7:$KA7) /
_xlfn.XLOOKUP((DATE(YEAR($KC$5)-1,MONTH($KC$5),1)),$A$5:$KA$5,$A7:$KA7)
)-1)*100,"")</f>
        <v>-33.244766136790503</v>
      </c>
      <c r="KD7" s="1444">
        <f>IFERROR(((KF7/KE7)-1)*100,"")</f>
        <v>-47.705353645496984</v>
      </c>
      <c r="KE7" s="1445">
        <f>SUMIFS($B7:$KA7,$B$5:$KA$5,"&gt;="&amp;DATE(YEAR($KC$5)-1,1,1),$B$5:$KA$5,"&lt;="&amp;DATE(YEAR($KC$5)-1,MONTH($KC$5),1))</f>
        <v>94459</v>
      </c>
      <c r="KF7" s="1445">
        <f>SUMIFS($B7:$KA7,$B$5:$KA$5,"&gt;="&amp;DATE(YEAR($KC$5),1,1),$B$5:$KA$5,"&lt;="&amp;$KC$5)</f>
        <v>49397</v>
      </c>
      <c r="KG7" s="1442"/>
      <c r="KH7" s="1446">
        <f>IFERROR((
_xlfn.XLOOKUP((DATE(YEAR($KC$5),MONTH($KC$5),1)),$A$5:$KA$5,$A7:$KA7) /
_xlfn.XLOOKUP((DATE(YEAR($KC$5)-1,MONTH($KC$5),1)),$A$5:$KA$5,$A7:$KA7)),"")</f>
        <v>0.66755233863209495</v>
      </c>
      <c r="KI7" s="1447">
        <f>IFERROR((
_xlfn.XLOOKUP((DATE(YEAR($KC$5),MONTH($KC$5),1)),$A$5:$KA$5,$A7:$KA7) -
_xlfn.XLOOKUP((DATE(YEAR($KC$5)-1,MONTH($KC$5),1)),$A$5:$KA$5,$A7:$KA7)),"")</f>
        <v>-7257</v>
      </c>
      <c r="KJ7" s="1448">
        <f t="shared" ref="KJ7:KJ36" si="55">KF7-KE7</f>
        <v>-45062</v>
      </c>
      <c r="KK7" s="1449"/>
    </row>
    <row r="8" spans="1:297" ht="15" customHeight="1" x14ac:dyDescent="0.2">
      <c r="A8" s="1635"/>
      <c r="B8" s="1636"/>
      <c r="C8" s="1637"/>
      <c r="D8" s="1637"/>
      <c r="E8" s="1637"/>
      <c r="F8" s="1637"/>
      <c r="G8" s="1637"/>
      <c r="H8" s="1637"/>
      <c r="I8" s="1637"/>
      <c r="J8" s="1637"/>
      <c r="K8" s="1637"/>
      <c r="L8" s="1637"/>
      <c r="M8" s="1638"/>
      <c r="N8" s="1638"/>
      <c r="O8" s="1636"/>
      <c r="P8" s="1637"/>
      <c r="Q8" s="1637"/>
      <c r="R8" s="1637"/>
      <c r="S8" s="1637"/>
      <c r="T8" s="1637"/>
      <c r="U8" s="1637"/>
      <c r="V8" s="1637"/>
      <c r="W8" s="1637"/>
      <c r="X8" s="1637"/>
      <c r="Y8" s="1637"/>
      <c r="Z8" s="1638"/>
      <c r="AA8" s="1638"/>
      <c r="AB8" s="1636"/>
      <c r="AC8" s="1637"/>
      <c r="AD8" s="1637"/>
      <c r="AE8" s="1637"/>
      <c r="AF8" s="1637"/>
      <c r="AG8" s="1637"/>
      <c r="AH8" s="1637"/>
      <c r="AI8" s="1637"/>
      <c r="AJ8" s="1637"/>
      <c r="AK8" s="1637"/>
      <c r="AL8" s="1637"/>
      <c r="AM8" s="1638"/>
      <c r="AN8" s="1638"/>
      <c r="AO8" s="1636"/>
      <c r="AP8" s="1637"/>
      <c r="AQ8" s="1637"/>
      <c r="AR8" s="1637"/>
      <c r="AS8" s="1637"/>
      <c r="AT8" s="1637"/>
      <c r="AU8" s="1637"/>
      <c r="AV8" s="1637"/>
      <c r="AW8" s="1637"/>
      <c r="AX8" s="1637"/>
      <c r="AY8" s="1637"/>
      <c r="AZ8" s="1638"/>
      <c r="BA8" s="1638"/>
      <c r="BB8" s="1636"/>
      <c r="BC8" s="1637"/>
      <c r="BD8" s="1637"/>
      <c r="BE8" s="1637"/>
      <c r="BF8" s="1637"/>
      <c r="BG8" s="1637"/>
      <c r="BH8" s="1637"/>
      <c r="BI8" s="1637"/>
      <c r="BJ8" s="1637"/>
      <c r="BK8" s="1637"/>
      <c r="BL8" s="1637"/>
      <c r="BM8" s="1638"/>
      <c r="BN8" s="1638"/>
      <c r="BO8" s="1636"/>
      <c r="BP8" s="1637"/>
      <c r="BQ8" s="1637"/>
      <c r="BR8" s="1637"/>
      <c r="BS8" s="1637"/>
      <c r="BT8" s="1637"/>
      <c r="BU8" s="1637"/>
      <c r="BV8" s="1637"/>
      <c r="BW8" s="1637"/>
      <c r="BX8" s="1637"/>
      <c r="BY8" s="1637"/>
      <c r="BZ8" s="1638"/>
      <c r="CA8" s="1638"/>
      <c r="CB8" s="1636"/>
      <c r="CC8" s="1637"/>
      <c r="CD8" s="1637"/>
      <c r="CE8" s="1637"/>
      <c r="CF8" s="1637"/>
      <c r="CG8" s="1637"/>
      <c r="CH8" s="1637"/>
      <c r="CI8" s="1637"/>
      <c r="CJ8" s="1637"/>
      <c r="CK8" s="1637"/>
      <c r="CL8" s="1637"/>
      <c r="CM8" s="1638"/>
      <c r="CN8" s="1638"/>
      <c r="CO8" s="1636"/>
      <c r="CP8" s="1637"/>
      <c r="CQ8" s="1637"/>
      <c r="CR8" s="1637"/>
      <c r="CS8" s="1637"/>
      <c r="CT8" s="1637"/>
      <c r="CU8" s="1637"/>
      <c r="CV8" s="1637"/>
      <c r="CW8" s="1637"/>
      <c r="CX8" s="1637"/>
      <c r="CY8" s="1637"/>
      <c r="CZ8" s="1638"/>
      <c r="DA8" s="1638"/>
      <c r="DB8" s="1636"/>
      <c r="DC8" s="1637"/>
      <c r="DD8" s="1637"/>
      <c r="DE8" s="1637"/>
      <c r="DF8" s="1637"/>
      <c r="DG8" s="1637"/>
      <c r="DH8" s="1637"/>
      <c r="DI8" s="1637"/>
      <c r="DJ8" s="1637"/>
      <c r="DK8" s="1637"/>
      <c r="DL8" s="1637"/>
      <c r="DM8" s="1638"/>
      <c r="DN8" s="1638"/>
      <c r="DO8" s="1636"/>
      <c r="DP8" s="1637"/>
      <c r="DQ8" s="1637"/>
      <c r="DR8" s="1637"/>
      <c r="DS8" s="1637"/>
      <c r="DT8" s="1637"/>
      <c r="DU8" s="1637"/>
      <c r="DV8" s="1637"/>
      <c r="DW8" s="1637"/>
      <c r="DX8" s="1637"/>
      <c r="DY8" s="1637"/>
      <c r="DZ8" s="1638"/>
      <c r="EA8" s="1638"/>
      <c r="EB8" s="1636"/>
      <c r="EC8" s="1637"/>
      <c r="ED8" s="1637"/>
      <c r="EE8" s="1637"/>
      <c r="EF8" s="1637"/>
      <c r="EG8" s="1637"/>
      <c r="EH8" s="1637"/>
      <c r="EI8" s="1637"/>
      <c r="EJ8" s="1637"/>
      <c r="EK8" s="1637"/>
      <c r="EL8" s="1637"/>
      <c r="EM8" s="1638"/>
      <c r="EN8" s="1638"/>
      <c r="EO8" s="1636"/>
      <c r="EP8" s="1637"/>
      <c r="EQ8" s="1637"/>
      <c r="ER8" s="1637"/>
      <c r="ES8" s="1637"/>
      <c r="ET8" s="1637"/>
      <c r="EU8" s="1637"/>
      <c r="EV8" s="1637"/>
      <c r="EW8" s="1637"/>
      <c r="EX8" s="1637"/>
      <c r="EY8" s="1637"/>
      <c r="EZ8" s="1638"/>
      <c r="FA8" s="1638"/>
      <c r="FB8" s="1636"/>
      <c r="FC8" s="1637"/>
      <c r="FD8" s="1637"/>
      <c r="FE8" s="1637"/>
      <c r="FF8" s="1637"/>
      <c r="FG8" s="1637"/>
      <c r="FH8" s="1637"/>
      <c r="FI8" s="1637"/>
      <c r="FJ8" s="1637"/>
      <c r="FK8" s="1637"/>
      <c r="FL8" s="1637"/>
      <c r="FM8" s="1638"/>
      <c r="FN8" s="1638"/>
      <c r="FO8" s="1636"/>
      <c r="FP8" s="1637"/>
      <c r="FQ8" s="1637"/>
      <c r="FR8" s="1637"/>
      <c r="FS8" s="1637"/>
      <c r="FT8" s="1637"/>
      <c r="FU8" s="1637"/>
      <c r="FV8" s="1637"/>
      <c r="FW8" s="1637"/>
      <c r="FX8" s="1637"/>
      <c r="FY8" s="1637"/>
      <c r="FZ8" s="1638"/>
      <c r="GA8" s="1638"/>
      <c r="GB8" s="1636"/>
      <c r="GC8" s="1637"/>
      <c r="GD8" s="1637"/>
      <c r="GE8" s="1637"/>
      <c r="GF8" s="1637"/>
      <c r="GG8" s="1637"/>
      <c r="GH8" s="1637"/>
      <c r="GI8" s="1637"/>
      <c r="GJ8" s="1637"/>
      <c r="GK8" s="1637"/>
      <c r="GL8" s="1637"/>
      <c r="GM8" s="1638"/>
      <c r="GN8" s="1638"/>
      <c r="GO8" s="1636"/>
      <c r="GP8" s="1637"/>
      <c r="GQ8" s="1637"/>
      <c r="GR8" s="1637"/>
      <c r="GS8" s="1637"/>
      <c r="GT8" s="1637"/>
      <c r="GU8" s="1637"/>
      <c r="GV8" s="1637"/>
      <c r="GW8" s="1637"/>
      <c r="GX8" s="1637"/>
      <c r="GY8" s="1637"/>
      <c r="GZ8" s="1638"/>
      <c r="HA8" s="1638"/>
      <c r="HB8" s="1636"/>
      <c r="HC8" s="1637"/>
      <c r="HD8" s="1637"/>
      <c r="HE8" s="1637"/>
      <c r="HF8" s="1637"/>
      <c r="HG8" s="1637"/>
      <c r="HH8" s="1637"/>
      <c r="HI8" s="1637"/>
      <c r="HJ8" s="1637"/>
      <c r="HK8" s="1637"/>
      <c r="HL8" s="1637"/>
      <c r="HM8" s="1638"/>
      <c r="HN8" s="1638"/>
      <c r="HO8" s="1636"/>
      <c r="HP8" s="1637"/>
      <c r="HQ8" s="1637"/>
      <c r="HR8" s="1637"/>
      <c r="HS8" s="1637"/>
      <c r="HT8" s="1637"/>
      <c r="HU8" s="1637"/>
      <c r="HV8" s="1637"/>
      <c r="HW8" s="1637"/>
      <c r="HX8" s="1637"/>
      <c r="HY8" s="1637"/>
      <c r="HZ8" s="1638"/>
      <c r="IA8" s="1638"/>
      <c r="IB8" s="1636"/>
      <c r="IC8" s="1637"/>
      <c r="ID8" s="1637"/>
      <c r="IE8" s="1637"/>
      <c r="IF8" s="1637"/>
      <c r="IG8" s="1637"/>
      <c r="IH8" s="1637"/>
      <c r="II8" s="1637"/>
      <c r="IJ8" s="1637"/>
      <c r="IK8" s="1637"/>
      <c r="IL8" s="1637"/>
      <c r="IM8" s="1638"/>
      <c r="IN8" s="1638"/>
      <c r="IO8" s="1636"/>
      <c r="IP8" s="1637"/>
      <c r="IQ8" s="1637"/>
      <c r="IR8" s="1637"/>
      <c r="IS8" s="1637"/>
      <c r="IT8" s="1637"/>
      <c r="IU8" s="1637"/>
      <c r="IV8" s="1637"/>
      <c r="IW8" s="1637"/>
      <c r="IX8" s="1637"/>
      <c r="IY8" s="1637"/>
      <c r="IZ8" s="1638"/>
      <c r="JA8" s="1638"/>
      <c r="JB8" s="1636"/>
      <c r="JC8" s="1637"/>
      <c r="JD8" s="1637"/>
      <c r="JE8" s="1637"/>
      <c r="JF8" s="1637"/>
      <c r="JG8" s="1637"/>
      <c r="JH8" s="1637"/>
      <c r="JI8" s="1637"/>
      <c r="JJ8" s="1637"/>
      <c r="JK8" s="1637"/>
      <c r="JL8" s="1637"/>
      <c r="JM8" s="1638"/>
      <c r="JN8" s="1638"/>
      <c r="JO8" s="1636"/>
      <c r="JP8" s="1637"/>
      <c r="JQ8" s="1637"/>
      <c r="JR8" s="1637"/>
      <c r="JS8" s="1637"/>
      <c r="JT8" s="1637"/>
      <c r="JU8" s="1637"/>
      <c r="JV8" s="1637"/>
      <c r="JW8" s="1637"/>
      <c r="JX8" s="1637"/>
      <c r="JY8" s="1637"/>
      <c r="JZ8" s="1638"/>
      <c r="KA8" s="1638"/>
      <c r="KB8" s="1068"/>
      <c r="KC8" s="1639"/>
      <c r="KD8" s="1396"/>
      <c r="KE8" s="1397"/>
      <c r="KF8" s="1397"/>
      <c r="KG8" s="1068"/>
      <c r="KH8" s="1398"/>
      <c r="KI8" s="1399"/>
      <c r="KJ8" s="1400"/>
    </row>
    <row r="9" spans="1:297" ht="15" customHeight="1" x14ac:dyDescent="0.2">
      <c r="A9" s="76" t="s">
        <v>593</v>
      </c>
      <c r="B9" s="1390">
        <f t="shared" ref="B9:BM9" si="56">SUM(B10:B11)</f>
        <v>3627</v>
      </c>
      <c r="C9" s="1391">
        <f t="shared" si="56"/>
        <v>388</v>
      </c>
      <c r="D9" s="1391">
        <f t="shared" si="56"/>
        <v>71</v>
      </c>
      <c r="E9" s="1391">
        <f t="shared" si="56"/>
        <v>1784</v>
      </c>
      <c r="F9" s="1391">
        <f t="shared" si="56"/>
        <v>2832</v>
      </c>
      <c r="G9" s="1391">
        <f t="shared" si="56"/>
        <v>3920</v>
      </c>
      <c r="H9" s="1391">
        <f t="shared" si="56"/>
        <v>3529</v>
      </c>
      <c r="I9" s="1391">
        <f t="shared" si="56"/>
        <v>1760</v>
      </c>
      <c r="J9" s="1391">
        <f t="shared" si="56"/>
        <v>3208</v>
      </c>
      <c r="K9" s="1391">
        <f t="shared" si="56"/>
        <v>2517</v>
      </c>
      <c r="L9" s="1391">
        <f t="shared" si="56"/>
        <v>3862</v>
      </c>
      <c r="M9" s="1392">
        <f t="shared" si="56"/>
        <v>2542</v>
      </c>
      <c r="N9" s="1392">
        <f t="shared" ref="N9" si="57">SUM(B9:M9)</f>
        <v>30040</v>
      </c>
      <c r="O9" s="1390">
        <f t="shared" si="56"/>
        <v>4349</v>
      </c>
      <c r="P9" s="1391">
        <f t="shared" si="56"/>
        <v>114</v>
      </c>
      <c r="Q9" s="1391">
        <f t="shared" si="56"/>
        <v>67</v>
      </c>
      <c r="R9" s="1391">
        <f t="shared" si="56"/>
        <v>311</v>
      </c>
      <c r="S9" s="1391">
        <f t="shared" si="56"/>
        <v>1356</v>
      </c>
      <c r="T9" s="1391">
        <f t="shared" si="56"/>
        <v>5109</v>
      </c>
      <c r="U9" s="1391">
        <f t="shared" si="56"/>
        <v>3370</v>
      </c>
      <c r="V9" s="1391">
        <f t="shared" si="56"/>
        <v>6214</v>
      </c>
      <c r="W9" s="1391">
        <f t="shared" si="56"/>
        <v>4160</v>
      </c>
      <c r="X9" s="1391">
        <f t="shared" si="56"/>
        <v>3018</v>
      </c>
      <c r="Y9" s="1391">
        <f t="shared" si="56"/>
        <v>3210</v>
      </c>
      <c r="Z9" s="1392">
        <f t="shared" si="56"/>
        <v>2668</v>
      </c>
      <c r="AA9" s="1392">
        <f t="shared" ref="AA9" si="58">SUM(O9:Z9)</f>
        <v>33946</v>
      </c>
      <c r="AB9" s="1390">
        <f t="shared" si="56"/>
        <v>1514</v>
      </c>
      <c r="AC9" s="1391">
        <f t="shared" si="56"/>
        <v>1114</v>
      </c>
      <c r="AD9" s="1391">
        <f t="shared" si="56"/>
        <v>1164</v>
      </c>
      <c r="AE9" s="1391">
        <f t="shared" si="56"/>
        <v>158</v>
      </c>
      <c r="AF9" s="1391">
        <f t="shared" si="56"/>
        <v>1577</v>
      </c>
      <c r="AG9" s="1391">
        <f t="shared" si="56"/>
        <v>1376</v>
      </c>
      <c r="AH9" s="1391">
        <f t="shared" si="56"/>
        <v>3481</v>
      </c>
      <c r="AI9" s="1391">
        <f t="shared" si="56"/>
        <v>4506</v>
      </c>
      <c r="AJ9" s="1391">
        <f t="shared" si="56"/>
        <v>4470</v>
      </c>
      <c r="AK9" s="1391">
        <f t="shared" si="56"/>
        <v>3746</v>
      </c>
      <c r="AL9" s="1391">
        <f t="shared" si="56"/>
        <v>3911</v>
      </c>
      <c r="AM9" s="1392">
        <f t="shared" si="56"/>
        <v>1872</v>
      </c>
      <c r="AN9" s="1392">
        <f t="shared" ref="AN9" si="59">SUM(AB9:AM9)</f>
        <v>28889</v>
      </c>
      <c r="AO9" s="1390">
        <f t="shared" si="56"/>
        <v>1241</v>
      </c>
      <c r="AP9" s="1391">
        <f t="shared" si="56"/>
        <v>491</v>
      </c>
      <c r="AQ9" s="1391">
        <f t="shared" si="56"/>
        <v>14</v>
      </c>
      <c r="AR9" s="1391">
        <f t="shared" si="56"/>
        <v>218</v>
      </c>
      <c r="AS9" s="1391">
        <f t="shared" si="56"/>
        <v>3350</v>
      </c>
      <c r="AT9" s="1391">
        <f t="shared" si="56"/>
        <v>4309</v>
      </c>
      <c r="AU9" s="1391">
        <f t="shared" si="56"/>
        <v>3751</v>
      </c>
      <c r="AV9" s="1391">
        <f t="shared" si="56"/>
        <v>7340</v>
      </c>
      <c r="AW9" s="1391">
        <f t="shared" si="56"/>
        <v>4000</v>
      </c>
      <c r="AX9" s="1391">
        <f t="shared" si="56"/>
        <v>6270</v>
      </c>
      <c r="AY9" s="1391">
        <f t="shared" si="56"/>
        <v>4180</v>
      </c>
      <c r="AZ9" s="1392">
        <f t="shared" si="56"/>
        <v>3311</v>
      </c>
      <c r="BA9" s="1392">
        <f t="shared" ref="BA9" si="60">SUM(AO9:AZ9)</f>
        <v>38475</v>
      </c>
      <c r="BB9" s="1390">
        <f t="shared" si="56"/>
        <v>2301</v>
      </c>
      <c r="BC9" s="1391">
        <f t="shared" si="56"/>
        <v>765</v>
      </c>
      <c r="BD9" s="1391">
        <f t="shared" si="56"/>
        <v>512</v>
      </c>
      <c r="BE9" s="1391">
        <f t="shared" si="56"/>
        <v>1045</v>
      </c>
      <c r="BF9" s="1391">
        <f t="shared" si="56"/>
        <v>1114</v>
      </c>
      <c r="BG9" s="1391">
        <f t="shared" si="56"/>
        <v>4147</v>
      </c>
      <c r="BH9" s="1391">
        <f t="shared" si="56"/>
        <v>5250</v>
      </c>
      <c r="BI9" s="1391">
        <f t="shared" si="56"/>
        <v>3179</v>
      </c>
      <c r="BJ9" s="1391">
        <f t="shared" si="56"/>
        <v>4941</v>
      </c>
      <c r="BK9" s="1391">
        <f t="shared" si="56"/>
        <v>6997</v>
      </c>
      <c r="BL9" s="1391">
        <f t="shared" si="56"/>
        <v>6677</v>
      </c>
      <c r="BM9" s="1392">
        <f t="shared" si="56"/>
        <v>3568</v>
      </c>
      <c r="BN9" s="1392">
        <f t="shared" ref="BN9" si="61">SUM(BB9:BM9)</f>
        <v>40496</v>
      </c>
      <c r="BO9" s="1390">
        <f t="shared" ref="BO9:DZ9" si="62">SUM(BO10:BO11)</f>
        <v>1287</v>
      </c>
      <c r="BP9" s="1391">
        <f t="shared" si="62"/>
        <v>855</v>
      </c>
      <c r="BQ9" s="1391">
        <f t="shared" si="62"/>
        <v>556</v>
      </c>
      <c r="BR9" s="1391">
        <f t="shared" si="62"/>
        <v>668</v>
      </c>
      <c r="BS9" s="1391">
        <f t="shared" si="62"/>
        <v>3922</v>
      </c>
      <c r="BT9" s="1391">
        <f t="shared" si="62"/>
        <v>4759</v>
      </c>
      <c r="BU9" s="1391">
        <f t="shared" si="62"/>
        <v>7889</v>
      </c>
      <c r="BV9" s="1391">
        <f t="shared" si="62"/>
        <v>6779</v>
      </c>
      <c r="BW9" s="1391">
        <f t="shared" si="62"/>
        <v>5733</v>
      </c>
      <c r="BX9" s="1391">
        <f t="shared" si="62"/>
        <v>8332</v>
      </c>
      <c r="BY9" s="1391">
        <f t="shared" si="62"/>
        <v>7209</v>
      </c>
      <c r="BZ9" s="1392">
        <f t="shared" si="62"/>
        <v>8522</v>
      </c>
      <c r="CA9" s="1392">
        <f t="shared" ref="CA9" si="63">SUM(BO9:BZ9)</f>
        <v>56511</v>
      </c>
      <c r="CB9" s="1390">
        <f t="shared" si="62"/>
        <v>907</v>
      </c>
      <c r="CC9" s="1391">
        <f t="shared" si="62"/>
        <v>1678</v>
      </c>
      <c r="CD9" s="1391">
        <f t="shared" si="62"/>
        <v>231</v>
      </c>
      <c r="CE9" s="1391">
        <f t="shared" si="62"/>
        <v>1120</v>
      </c>
      <c r="CF9" s="1391">
        <f t="shared" si="62"/>
        <v>5495</v>
      </c>
      <c r="CG9" s="1391">
        <f t="shared" si="62"/>
        <v>13264</v>
      </c>
      <c r="CH9" s="1391">
        <f t="shared" si="62"/>
        <v>19527</v>
      </c>
      <c r="CI9" s="1391">
        <f t="shared" si="62"/>
        <v>20043</v>
      </c>
      <c r="CJ9" s="1391">
        <f t="shared" si="62"/>
        <v>14089</v>
      </c>
      <c r="CK9" s="1391">
        <f t="shared" si="62"/>
        <v>12685</v>
      </c>
      <c r="CL9" s="1391">
        <f t="shared" si="62"/>
        <v>7676</v>
      </c>
      <c r="CM9" s="1392">
        <f t="shared" si="62"/>
        <v>9873</v>
      </c>
      <c r="CN9" s="1392">
        <f t="shared" ref="CN9" si="64">SUM(CB9:CM9)</f>
        <v>106588</v>
      </c>
      <c r="CO9" s="1390">
        <f t="shared" si="62"/>
        <v>6173</v>
      </c>
      <c r="CP9" s="1391">
        <f t="shared" si="62"/>
        <v>2801</v>
      </c>
      <c r="CQ9" s="1391">
        <f t="shared" si="62"/>
        <v>238</v>
      </c>
      <c r="CR9" s="1391">
        <f t="shared" si="62"/>
        <v>177</v>
      </c>
      <c r="CS9" s="1391">
        <f t="shared" si="62"/>
        <v>137</v>
      </c>
      <c r="CT9" s="1391">
        <f t="shared" si="62"/>
        <v>94</v>
      </c>
      <c r="CU9" s="1391">
        <f t="shared" si="62"/>
        <v>4802</v>
      </c>
      <c r="CV9" s="1391">
        <f t="shared" si="62"/>
        <v>8850</v>
      </c>
      <c r="CW9" s="1391">
        <f t="shared" si="62"/>
        <v>10287</v>
      </c>
      <c r="CX9" s="1391">
        <f t="shared" si="62"/>
        <v>9358</v>
      </c>
      <c r="CY9" s="1391">
        <f t="shared" si="62"/>
        <v>8715</v>
      </c>
      <c r="CZ9" s="1392">
        <f t="shared" si="62"/>
        <v>2905</v>
      </c>
      <c r="DA9" s="1392">
        <f t="shared" ref="DA9" si="65">SUM(CO9:CZ9)</f>
        <v>54537</v>
      </c>
      <c r="DB9" s="1390">
        <f t="shared" si="62"/>
        <v>957</v>
      </c>
      <c r="DC9" s="1391">
        <f t="shared" si="62"/>
        <v>1516</v>
      </c>
      <c r="DD9" s="1391">
        <f t="shared" si="62"/>
        <v>868</v>
      </c>
      <c r="DE9" s="1391">
        <f t="shared" si="62"/>
        <v>1674</v>
      </c>
      <c r="DF9" s="1391">
        <f t="shared" si="62"/>
        <v>3995</v>
      </c>
      <c r="DG9" s="1391">
        <f t="shared" si="62"/>
        <v>6745</v>
      </c>
      <c r="DH9" s="1391">
        <f t="shared" si="62"/>
        <v>6914</v>
      </c>
      <c r="DI9" s="1391">
        <f t="shared" si="62"/>
        <v>8575</v>
      </c>
      <c r="DJ9" s="1391">
        <f t="shared" si="62"/>
        <v>3868</v>
      </c>
      <c r="DK9" s="1391">
        <f t="shared" si="62"/>
        <v>5484</v>
      </c>
      <c r="DL9" s="1391">
        <f t="shared" si="62"/>
        <v>5199</v>
      </c>
      <c r="DM9" s="1392">
        <f t="shared" si="62"/>
        <v>4395</v>
      </c>
      <c r="DN9" s="1392">
        <f t="shared" ref="DN9" si="66">SUM(DB9:DM9)</f>
        <v>50190</v>
      </c>
      <c r="DO9" s="1390">
        <f t="shared" si="62"/>
        <v>2012</v>
      </c>
      <c r="DP9" s="1391">
        <f t="shared" si="62"/>
        <v>819</v>
      </c>
      <c r="DQ9" s="1391">
        <f t="shared" si="62"/>
        <v>1205</v>
      </c>
      <c r="DR9" s="1391">
        <f t="shared" si="62"/>
        <v>921</v>
      </c>
      <c r="DS9" s="1391">
        <f t="shared" si="62"/>
        <v>2533</v>
      </c>
      <c r="DT9" s="1391">
        <f t="shared" si="62"/>
        <v>6279</v>
      </c>
      <c r="DU9" s="1391">
        <f t="shared" si="62"/>
        <v>7416</v>
      </c>
      <c r="DV9" s="1391">
        <f t="shared" si="62"/>
        <v>10638</v>
      </c>
      <c r="DW9" s="1391">
        <f t="shared" si="62"/>
        <v>11847</v>
      </c>
      <c r="DX9" s="1391">
        <f t="shared" si="62"/>
        <v>12296</v>
      </c>
      <c r="DY9" s="1391">
        <f t="shared" si="62"/>
        <v>10106</v>
      </c>
      <c r="DZ9" s="1392">
        <f t="shared" si="62"/>
        <v>5406</v>
      </c>
      <c r="EA9" s="1392">
        <f t="shared" ref="EA9" si="67">SUM(DO9:DZ9)</f>
        <v>71478</v>
      </c>
      <c r="EB9" s="1390">
        <f t="shared" ref="EB9:GM9" si="68">SUM(EB10:EB11)</f>
        <v>1132</v>
      </c>
      <c r="EC9" s="1391">
        <f t="shared" si="68"/>
        <v>598</v>
      </c>
      <c r="ED9" s="1391">
        <f t="shared" si="68"/>
        <v>432</v>
      </c>
      <c r="EE9" s="1391">
        <f t="shared" si="68"/>
        <v>463</v>
      </c>
      <c r="EF9" s="1391">
        <f t="shared" si="68"/>
        <v>2891</v>
      </c>
      <c r="EG9" s="1391">
        <f t="shared" si="68"/>
        <v>3869</v>
      </c>
      <c r="EH9" s="1391">
        <f t="shared" si="68"/>
        <v>2317</v>
      </c>
      <c r="EI9" s="1391">
        <f t="shared" si="68"/>
        <v>4325</v>
      </c>
      <c r="EJ9" s="1391">
        <f t="shared" si="68"/>
        <v>11074</v>
      </c>
      <c r="EK9" s="1391">
        <f t="shared" si="68"/>
        <v>6767</v>
      </c>
      <c r="EL9" s="1391">
        <f t="shared" si="68"/>
        <v>7106</v>
      </c>
      <c r="EM9" s="1392">
        <f t="shared" si="68"/>
        <v>3910</v>
      </c>
      <c r="EN9" s="1392">
        <f t="shared" ref="EN9" si="69">SUM(EB9:EM9)</f>
        <v>44884</v>
      </c>
      <c r="EO9" s="1390">
        <f t="shared" si="68"/>
        <v>1058</v>
      </c>
      <c r="EP9" s="1391">
        <f t="shared" si="68"/>
        <v>1173</v>
      </c>
      <c r="EQ9" s="1391">
        <f t="shared" si="68"/>
        <v>989</v>
      </c>
      <c r="ER9" s="1391">
        <f t="shared" si="68"/>
        <v>407</v>
      </c>
      <c r="ES9" s="1391">
        <f t="shared" si="68"/>
        <v>1316</v>
      </c>
      <c r="ET9" s="1391">
        <f t="shared" si="68"/>
        <v>1937</v>
      </c>
      <c r="EU9" s="1391">
        <f t="shared" si="68"/>
        <v>5357</v>
      </c>
      <c r="EV9" s="1391">
        <f t="shared" si="68"/>
        <v>13037</v>
      </c>
      <c r="EW9" s="1391">
        <f t="shared" si="68"/>
        <v>12232</v>
      </c>
      <c r="EX9" s="1391">
        <f t="shared" si="68"/>
        <v>10974</v>
      </c>
      <c r="EY9" s="1391">
        <f t="shared" si="68"/>
        <v>13889</v>
      </c>
      <c r="EZ9" s="1392">
        <f t="shared" si="68"/>
        <v>9117</v>
      </c>
      <c r="FA9" s="1392">
        <f t="shared" ref="FA9" si="70">SUM(EO9:EZ9)</f>
        <v>71486</v>
      </c>
      <c r="FB9" s="1390">
        <f t="shared" si="68"/>
        <v>5022</v>
      </c>
      <c r="FC9" s="1391">
        <f t="shared" si="68"/>
        <v>5432</v>
      </c>
      <c r="FD9" s="1391">
        <f t="shared" si="68"/>
        <v>2090</v>
      </c>
      <c r="FE9" s="1391">
        <f t="shared" si="68"/>
        <v>429</v>
      </c>
      <c r="FF9" s="1391">
        <f t="shared" si="68"/>
        <v>3673</v>
      </c>
      <c r="FG9" s="1391">
        <f t="shared" si="68"/>
        <v>4766</v>
      </c>
      <c r="FH9" s="1391">
        <f t="shared" si="68"/>
        <v>9875</v>
      </c>
      <c r="FI9" s="1391">
        <f t="shared" si="68"/>
        <v>10412</v>
      </c>
      <c r="FJ9" s="1391">
        <f t="shared" si="68"/>
        <v>9681</v>
      </c>
      <c r="FK9" s="1391">
        <f t="shared" si="68"/>
        <v>5169</v>
      </c>
      <c r="FL9" s="1391">
        <f t="shared" si="68"/>
        <v>1779</v>
      </c>
      <c r="FM9" s="1392">
        <f t="shared" si="68"/>
        <v>3688</v>
      </c>
      <c r="FN9" s="1392">
        <f t="shared" ref="FN9" si="71">SUM(FB9:FM9)</f>
        <v>62016</v>
      </c>
      <c r="FO9" s="1390">
        <f t="shared" si="68"/>
        <v>913</v>
      </c>
      <c r="FP9" s="1391">
        <f t="shared" si="68"/>
        <v>456</v>
      </c>
      <c r="FQ9" s="1391">
        <f t="shared" si="68"/>
        <v>731</v>
      </c>
      <c r="FR9" s="1391">
        <f t="shared" si="68"/>
        <v>682</v>
      </c>
      <c r="FS9" s="1391">
        <f t="shared" si="68"/>
        <v>59</v>
      </c>
      <c r="FT9" s="1391">
        <f t="shared" si="68"/>
        <v>782</v>
      </c>
      <c r="FU9" s="1391">
        <f t="shared" si="68"/>
        <v>2437</v>
      </c>
      <c r="FV9" s="1391">
        <f t="shared" si="68"/>
        <v>1657</v>
      </c>
      <c r="FW9" s="1391">
        <f t="shared" si="68"/>
        <v>1606</v>
      </c>
      <c r="FX9" s="1391">
        <f t="shared" si="68"/>
        <v>2195</v>
      </c>
      <c r="FY9" s="1391">
        <f t="shared" si="68"/>
        <v>2101</v>
      </c>
      <c r="FZ9" s="1392">
        <f t="shared" si="68"/>
        <v>1361</v>
      </c>
      <c r="GA9" s="1392">
        <f t="shared" ref="GA9" si="72">SUM(FO9:FZ9)</f>
        <v>14980</v>
      </c>
      <c r="GB9" s="1390">
        <f t="shared" si="68"/>
        <v>720</v>
      </c>
      <c r="GC9" s="1391">
        <f t="shared" si="68"/>
        <v>1398</v>
      </c>
      <c r="GD9" s="1391">
        <f t="shared" si="68"/>
        <v>870</v>
      </c>
      <c r="GE9" s="1391">
        <f t="shared" si="68"/>
        <v>595</v>
      </c>
      <c r="GF9" s="1391">
        <f t="shared" si="68"/>
        <v>1157</v>
      </c>
      <c r="GG9" s="1391">
        <f t="shared" si="68"/>
        <v>1667</v>
      </c>
      <c r="GH9" s="1391">
        <f t="shared" si="68"/>
        <v>2740</v>
      </c>
      <c r="GI9" s="1391">
        <f t="shared" si="68"/>
        <v>2789</v>
      </c>
      <c r="GJ9" s="1391">
        <f t="shared" si="68"/>
        <v>3622</v>
      </c>
      <c r="GK9" s="1391">
        <f t="shared" si="68"/>
        <v>3120</v>
      </c>
      <c r="GL9" s="1391">
        <f t="shared" si="68"/>
        <v>3962</v>
      </c>
      <c r="GM9" s="1392">
        <f t="shared" si="68"/>
        <v>2626</v>
      </c>
      <c r="GN9" s="1392">
        <f t="shared" ref="GN9" si="73">SUM(GB9:GM9)</f>
        <v>25266</v>
      </c>
      <c r="GO9" s="1390">
        <f t="shared" ref="GO9:IZ9" si="74">SUM(GO10:GO11)</f>
        <v>1614</v>
      </c>
      <c r="GP9" s="1391">
        <f t="shared" si="74"/>
        <v>1187</v>
      </c>
      <c r="GQ9" s="1391">
        <f t="shared" si="74"/>
        <v>467</v>
      </c>
      <c r="GR9" s="1391">
        <f t="shared" si="74"/>
        <v>817</v>
      </c>
      <c r="GS9" s="1391">
        <f t="shared" si="74"/>
        <v>1586</v>
      </c>
      <c r="GT9" s="1391">
        <f t="shared" si="74"/>
        <v>2299</v>
      </c>
      <c r="GU9" s="1391">
        <f t="shared" si="74"/>
        <v>4537</v>
      </c>
      <c r="GV9" s="1391">
        <f t="shared" si="74"/>
        <v>3507</v>
      </c>
      <c r="GW9" s="1391">
        <f t="shared" si="74"/>
        <v>3306</v>
      </c>
      <c r="GX9" s="1391">
        <f t="shared" si="74"/>
        <v>3830</v>
      </c>
      <c r="GY9" s="1391">
        <f t="shared" si="74"/>
        <v>3590</v>
      </c>
      <c r="GZ9" s="1392">
        <f t="shared" si="74"/>
        <v>2353</v>
      </c>
      <c r="HA9" s="1392">
        <f t="shared" ref="HA9" si="75">SUM(GO9:GZ9)</f>
        <v>29093</v>
      </c>
      <c r="HB9" s="1390">
        <f t="shared" si="74"/>
        <v>1541</v>
      </c>
      <c r="HC9" s="1391">
        <f t="shared" si="74"/>
        <v>1604</v>
      </c>
      <c r="HD9" s="1391">
        <f t="shared" si="74"/>
        <v>1794</v>
      </c>
      <c r="HE9" s="1391">
        <f t="shared" si="74"/>
        <v>1172</v>
      </c>
      <c r="HF9" s="1391">
        <f t="shared" si="74"/>
        <v>877</v>
      </c>
      <c r="HG9" s="1391">
        <f t="shared" si="74"/>
        <v>2673</v>
      </c>
      <c r="HH9" s="1391">
        <f t="shared" si="74"/>
        <v>4336</v>
      </c>
      <c r="HI9" s="1391">
        <f t="shared" si="74"/>
        <v>3839</v>
      </c>
      <c r="HJ9" s="1391">
        <f t="shared" si="74"/>
        <v>4567</v>
      </c>
      <c r="HK9" s="1391">
        <f t="shared" si="74"/>
        <v>6552</v>
      </c>
      <c r="HL9" s="1391">
        <f t="shared" si="74"/>
        <v>6452</v>
      </c>
      <c r="HM9" s="1392">
        <f t="shared" si="74"/>
        <v>1375</v>
      </c>
      <c r="HN9" s="1392">
        <f t="shared" ref="HN9" si="76">SUM(HB9:HM9)</f>
        <v>36782</v>
      </c>
      <c r="HO9" s="1390">
        <f t="shared" si="74"/>
        <v>4989</v>
      </c>
      <c r="HP9" s="1391">
        <f t="shared" si="74"/>
        <v>3481</v>
      </c>
      <c r="HQ9" s="1391">
        <f t="shared" si="74"/>
        <v>1279</v>
      </c>
      <c r="HR9" s="1391">
        <f t="shared" si="74"/>
        <v>1927</v>
      </c>
      <c r="HS9" s="1391">
        <f t="shared" si="74"/>
        <v>3317</v>
      </c>
      <c r="HT9" s="1391">
        <f t="shared" si="74"/>
        <v>3141</v>
      </c>
      <c r="HU9" s="1391">
        <f t="shared" si="74"/>
        <v>4878</v>
      </c>
      <c r="HV9" s="1391">
        <f t="shared" si="74"/>
        <v>5463</v>
      </c>
      <c r="HW9" s="1391">
        <f t="shared" si="74"/>
        <v>6548</v>
      </c>
      <c r="HX9" s="1391">
        <f t="shared" si="74"/>
        <v>3705</v>
      </c>
      <c r="HY9" s="1391">
        <f t="shared" si="74"/>
        <v>3514</v>
      </c>
      <c r="HZ9" s="1392">
        <f t="shared" si="74"/>
        <v>1588</v>
      </c>
      <c r="IA9" s="1392">
        <f t="shared" ref="IA9" si="77">SUM(HO9:HZ9)</f>
        <v>43830</v>
      </c>
      <c r="IB9" s="1390">
        <f t="shared" si="74"/>
        <v>1336</v>
      </c>
      <c r="IC9" s="1391">
        <f t="shared" si="74"/>
        <v>478</v>
      </c>
      <c r="ID9" s="1391">
        <f t="shared" si="74"/>
        <v>828</v>
      </c>
      <c r="IE9" s="1391">
        <f t="shared" si="74"/>
        <v>1359</v>
      </c>
      <c r="IF9" s="1391">
        <f t="shared" si="74"/>
        <v>1761</v>
      </c>
      <c r="IG9" s="1391">
        <f t="shared" si="74"/>
        <v>3156</v>
      </c>
      <c r="IH9" s="1391">
        <f t="shared" si="74"/>
        <v>2076</v>
      </c>
      <c r="II9" s="1391">
        <f t="shared" si="74"/>
        <v>2612</v>
      </c>
      <c r="IJ9" s="1391">
        <f t="shared" si="74"/>
        <v>2369</v>
      </c>
      <c r="IK9" s="1391">
        <f t="shared" si="74"/>
        <v>2136</v>
      </c>
      <c r="IL9" s="1391">
        <f t="shared" si="74"/>
        <v>1903</v>
      </c>
      <c r="IM9" s="1392">
        <f t="shared" si="74"/>
        <v>2300</v>
      </c>
      <c r="IN9" s="1392">
        <f t="shared" ref="IN9" si="78">SUM(IB9:IM9)</f>
        <v>22314</v>
      </c>
      <c r="IO9" s="1390">
        <f t="shared" si="74"/>
        <v>1154</v>
      </c>
      <c r="IP9" s="1391">
        <f t="shared" si="74"/>
        <v>909</v>
      </c>
      <c r="IQ9" s="1391">
        <f t="shared" si="74"/>
        <v>445</v>
      </c>
      <c r="IR9" s="1391">
        <f t="shared" si="74"/>
        <v>832</v>
      </c>
      <c r="IS9" s="1391">
        <f t="shared" si="74"/>
        <v>774</v>
      </c>
      <c r="IT9" s="1391">
        <f t="shared" si="74"/>
        <v>2258</v>
      </c>
      <c r="IU9" s="1391">
        <f t="shared" si="74"/>
        <v>3189</v>
      </c>
      <c r="IV9" s="1391">
        <f t="shared" si="74"/>
        <v>2635</v>
      </c>
      <c r="IW9" s="1391">
        <f t="shared" si="74"/>
        <v>3557</v>
      </c>
      <c r="IX9" s="1391">
        <f t="shared" si="74"/>
        <v>4304</v>
      </c>
      <c r="IY9" s="1391">
        <f t="shared" si="74"/>
        <v>2838</v>
      </c>
      <c r="IZ9" s="1392">
        <f t="shared" si="74"/>
        <v>2268</v>
      </c>
      <c r="JA9" s="1392">
        <f t="shared" ref="JA9" si="79">SUM(IO9:IZ9)</f>
        <v>25163</v>
      </c>
      <c r="JB9" s="1390">
        <f t="shared" ref="JB9:JM9" si="80">SUM(JB10:JB11)</f>
        <v>704</v>
      </c>
      <c r="JC9" s="1391">
        <f t="shared" si="80"/>
        <v>753</v>
      </c>
      <c r="JD9" s="1391">
        <f t="shared" si="80"/>
        <v>1951</v>
      </c>
      <c r="JE9" s="1391">
        <f t="shared" si="80"/>
        <v>1414</v>
      </c>
      <c r="JF9" s="1391">
        <f t="shared" si="80"/>
        <v>2015</v>
      </c>
      <c r="JG9" s="1391">
        <f t="shared" si="80"/>
        <v>4406</v>
      </c>
      <c r="JH9" s="1391">
        <f t="shared" si="80"/>
        <v>3611</v>
      </c>
      <c r="JI9" s="1391">
        <f t="shared" si="80"/>
        <v>4975</v>
      </c>
      <c r="JJ9" s="1391">
        <f t="shared" si="80"/>
        <v>7054</v>
      </c>
      <c r="JK9" s="1391">
        <f t="shared" si="80"/>
        <v>4202</v>
      </c>
      <c r="JL9" s="1391">
        <f t="shared" si="80"/>
        <v>7966</v>
      </c>
      <c r="JM9" s="1392">
        <f t="shared" si="80"/>
        <v>7101</v>
      </c>
      <c r="JN9" s="1392">
        <f t="shared" ref="JN9" si="81">SUM(JB9:JM9)</f>
        <v>46152</v>
      </c>
      <c r="JO9" s="1390">
        <f t="shared" ref="JO9:JZ9" si="82">SUM(JO10:JO11)</f>
        <v>1881</v>
      </c>
      <c r="JP9" s="1391">
        <f t="shared" si="82"/>
        <v>980</v>
      </c>
      <c r="JQ9" s="1391">
        <f t="shared" si="82"/>
        <v>367</v>
      </c>
      <c r="JR9" s="1391">
        <f t="shared" si="82"/>
        <v>148</v>
      </c>
      <c r="JS9" s="1391">
        <f t="shared" si="82"/>
        <v>2004</v>
      </c>
      <c r="JT9" s="1391">
        <f t="shared" si="82"/>
        <v>1044</v>
      </c>
      <c r="JU9" s="1391">
        <f t="shared" si="82"/>
        <v>2418</v>
      </c>
      <c r="JV9" s="1391">
        <f t="shared" si="82"/>
        <v>2523</v>
      </c>
      <c r="JW9" s="1391">
        <f t="shared" si="82"/>
        <v>0</v>
      </c>
      <c r="JX9" s="1391">
        <f t="shared" si="82"/>
        <v>0</v>
      </c>
      <c r="JY9" s="1391">
        <f t="shared" si="82"/>
        <v>0</v>
      </c>
      <c r="JZ9" s="1392">
        <f t="shared" si="82"/>
        <v>0</v>
      </c>
      <c r="KA9" s="1392">
        <f>SUM(JO9:JZ9)</f>
        <v>11365</v>
      </c>
      <c r="KB9" s="1401"/>
      <c r="KC9" s="1062">
        <f t="shared" ref="KC9:KC25" si="83">IFERROR(((
_xlfn.XLOOKUP((DATE(YEAR($KC$5),MONTH($KC$5),1)),$A$5:$KA$5,$A9:$KA9) /
_xlfn.XLOOKUP((DATE(YEAR($KC$5)-1,MONTH($KC$5),1)),$A$5:$KA$5,$A9:$KA9)
)-1)*100,"")</f>
        <v>-81.189133777549969</v>
      </c>
      <c r="KD9" s="1063">
        <f t="shared" ref="KD9:KD36" si="84">IFERROR(((KF9/KE9)-1)*100,"")</f>
        <v>-5.2816901408450745</v>
      </c>
      <c r="KE9" s="1402">
        <f t="shared" ref="KE9:KE25" si="85">SUMIFS($B9:$KA9,$B$5:$KA$5,"&gt;="&amp;DATE(YEAR($KC$5)-1,1,1),$B$5:$KA$5,"&lt;="&amp;DATE(YEAR($KC$5)-1,MONTH($KC$5),1))</f>
        <v>3408</v>
      </c>
      <c r="KF9" s="1402">
        <f t="shared" ref="KF9:KF25" si="86">SUMIFS($B9:$KA9,$B$5:$KA$5,"&gt;="&amp;DATE(YEAR($KC$5),1,1),$B$5:$KA$5,"&lt;="&amp;$KC$5)</f>
        <v>3228</v>
      </c>
      <c r="KG9" s="1401"/>
      <c r="KH9" s="1403">
        <f t="shared" ref="KH9:KH25" si="87">IFERROR((
_xlfn.XLOOKUP((DATE(YEAR($KC$5),MONTH($KC$5),1)),$A$5:$KA$5,$A9:$KA9) /
_xlfn.XLOOKUP((DATE(YEAR($KC$5)-1,MONTH($KC$5),1)),$A$5:$KA$5,$A9:$KA9)),"")</f>
        <v>0.18810866222450026</v>
      </c>
      <c r="KI9" s="1404">
        <f t="shared" ref="KI9:KI25" si="88">IFERROR((
_xlfn.XLOOKUP((DATE(YEAR($KC$5),MONTH($KC$5),1)),$A$5:$KA$5,$A9:$KA9) -
_xlfn.XLOOKUP((DATE(YEAR($KC$5)-1,MONTH($KC$5),1)),$A$5:$KA$5,$A9:$KA9)),"")</f>
        <v>-1584</v>
      </c>
      <c r="KJ9" s="1405">
        <f t="shared" si="55"/>
        <v>-180</v>
      </c>
      <c r="KK9" s="1406"/>
    </row>
    <row r="10" spans="1:297" ht="15" customHeight="1" x14ac:dyDescent="0.2">
      <c r="A10" s="1640" t="s">
        <v>602</v>
      </c>
      <c r="B10" s="1636"/>
      <c r="C10" s="1637"/>
      <c r="D10" s="1637">
        <v>54</v>
      </c>
      <c r="E10" s="1637"/>
      <c r="F10" s="1637">
        <v>36</v>
      </c>
      <c r="G10" s="1637"/>
      <c r="H10" s="1637">
        <v>35</v>
      </c>
      <c r="I10" s="1637">
        <v>36</v>
      </c>
      <c r="J10" s="1637"/>
      <c r="K10" s="1637">
        <v>35</v>
      </c>
      <c r="L10" s="1637">
        <v>46</v>
      </c>
      <c r="M10" s="1638">
        <v>34</v>
      </c>
      <c r="N10" s="1638">
        <f t="shared" ref="N10:N36" si="89">SUM(B10:M10)</f>
        <v>276</v>
      </c>
      <c r="O10" s="1636">
        <v>33</v>
      </c>
      <c r="P10" s="1637">
        <v>15</v>
      </c>
      <c r="Q10" s="1637">
        <v>67</v>
      </c>
      <c r="R10" s="1637">
        <v>34</v>
      </c>
      <c r="S10" s="1637">
        <v>34</v>
      </c>
      <c r="T10" s="1637">
        <v>74</v>
      </c>
      <c r="U10" s="1637"/>
      <c r="V10" s="1637">
        <v>41</v>
      </c>
      <c r="W10" s="1637"/>
      <c r="X10" s="1637">
        <v>27</v>
      </c>
      <c r="Y10" s="1637">
        <v>11</v>
      </c>
      <c r="Z10" s="1638">
        <v>27</v>
      </c>
      <c r="AA10" s="1638">
        <f t="shared" ref="AA10:AA36" si="90">+SUM(O10:Z10)</f>
        <v>363</v>
      </c>
      <c r="AB10" s="1636"/>
      <c r="AC10" s="1637"/>
      <c r="AD10" s="1637">
        <v>13</v>
      </c>
      <c r="AE10" s="1637"/>
      <c r="AF10" s="1637">
        <v>50</v>
      </c>
      <c r="AG10" s="1637"/>
      <c r="AH10" s="1637"/>
      <c r="AI10" s="1637"/>
      <c r="AJ10" s="1637"/>
      <c r="AK10" s="1637">
        <v>13</v>
      </c>
      <c r="AL10" s="1637">
        <v>32</v>
      </c>
      <c r="AM10" s="1638">
        <v>14</v>
      </c>
      <c r="AN10" s="1638">
        <f t="shared" ref="AN10:AN36" si="91">+SUM(AB10:AM10)</f>
        <v>122</v>
      </c>
      <c r="AO10" s="1636"/>
      <c r="AP10" s="1637"/>
      <c r="AQ10" s="1637">
        <v>14</v>
      </c>
      <c r="AR10" s="1637"/>
      <c r="AS10" s="1637"/>
      <c r="AT10" s="1637"/>
      <c r="AU10" s="1637"/>
      <c r="AV10" s="1637"/>
      <c r="AW10" s="1637">
        <v>53</v>
      </c>
      <c r="AX10" s="1637"/>
      <c r="AY10" s="1637">
        <v>17</v>
      </c>
      <c r="AZ10" s="1638">
        <v>16</v>
      </c>
      <c r="BA10" s="1638">
        <f t="shared" ref="BA10:BA36" si="92">SUM(AO10:AZ10)</f>
        <v>100</v>
      </c>
      <c r="BB10" s="1636"/>
      <c r="BC10" s="1637">
        <v>33</v>
      </c>
      <c r="BD10" s="1637">
        <v>33</v>
      </c>
      <c r="BE10" s="1637"/>
      <c r="BF10" s="1637"/>
      <c r="BG10" s="1637">
        <v>40</v>
      </c>
      <c r="BH10" s="1637"/>
      <c r="BI10" s="1637"/>
      <c r="BJ10" s="1637"/>
      <c r="BK10" s="1637"/>
      <c r="BL10" s="1637"/>
      <c r="BM10" s="1638">
        <v>19</v>
      </c>
      <c r="BN10" s="1638">
        <f t="shared" ref="BN10:BN36" si="93">SUM(BB10:BM10)</f>
        <v>125</v>
      </c>
      <c r="BO10" s="1636"/>
      <c r="BP10" s="1637">
        <v>12</v>
      </c>
      <c r="BQ10" s="1637">
        <v>17</v>
      </c>
      <c r="BR10" s="1637"/>
      <c r="BS10" s="1637"/>
      <c r="BT10" s="1637"/>
      <c r="BU10" s="1637"/>
      <c r="BV10" s="1637"/>
      <c r="BW10" s="1637"/>
      <c r="BX10" s="1637"/>
      <c r="BY10" s="1637"/>
      <c r="BZ10" s="1638">
        <v>64</v>
      </c>
      <c r="CA10" s="1638">
        <f t="shared" ref="CA10:CA36" si="94">SUM(BO10:BZ10)</f>
        <v>93</v>
      </c>
      <c r="CB10" s="1636"/>
      <c r="CC10" s="1637"/>
      <c r="CD10" s="1637"/>
      <c r="CE10" s="1637"/>
      <c r="CF10" s="1637"/>
      <c r="CG10" s="1637"/>
      <c r="CH10" s="1637"/>
      <c r="CI10" s="1637"/>
      <c r="CJ10" s="1637"/>
      <c r="CK10" s="1637">
        <v>62</v>
      </c>
      <c r="CL10" s="1637"/>
      <c r="CM10" s="1638"/>
      <c r="CN10" s="1638">
        <f t="shared" ref="CN10:CN36" si="95">SUM(CB10:CM10)</f>
        <v>62</v>
      </c>
      <c r="CO10" s="1636">
        <v>61</v>
      </c>
      <c r="CP10" s="1637">
        <v>30</v>
      </c>
      <c r="CQ10" s="1637"/>
      <c r="CR10" s="1637">
        <v>62</v>
      </c>
      <c r="CS10" s="1637">
        <v>62</v>
      </c>
      <c r="CT10" s="1637"/>
      <c r="CU10" s="1637"/>
      <c r="CV10" s="1637"/>
      <c r="CW10" s="1637"/>
      <c r="CX10" s="1637">
        <v>23</v>
      </c>
      <c r="CY10" s="1637">
        <v>42</v>
      </c>
      <c r="CZ10" s="1638"/>
      <c r="DA10" s="1638">
        <f t="shared" ref="DA10:DA36" si="96">SUM(CO10:CZ10)</f>
        <v>280</v>
      </c>
      <c r="DB10" s="1636"/>
      <c r="DC10" s="1637"/>
      <c r="DD10" s="1637"/>
      <c r="DE10" s="1637"/>
      <c r="DF10" s="1637"/>
      <c r="DG10" s="1637"/>
      <c r="DH10" s="1637"/>
      <c r="DI10" s="1637"/>
      <c r="DJ10" s="1637"/>
      <c r="DK10" s="1637"/>
      <c r="DL10" s="1637"/>
      <c r="DM10" s="1638"/>
      <c r="DN10" s="1638">
        <f t="shared" ref="DN10:DN36" si="97">SUM(DB10:DM10)</f>
        <v>0</v>
      </c>
      <c r="DO10" s="1636"/>
      <c r="DP10" s="1637"/>
      <c r="DQ10" s="1637">
        <v>12</v>
      </c>
      <c r="DR10" s="1637"/>
      <c r="DS10" s="1637"/>
      <c r="DT10" s="1637"/>
      <c r="DU10" s="1637"/>
      <c r="DV10" s="1637"/>
      <c r="DW10" s="1637"/>
      <c r="DX10" s="1637"/>
      <c r="DY10" s="1637"/>
      <c r="DZ10" s="1638"/>
      <c r="EA10" s="1638">
        <f t="shared" ref="EA10:EA36" si="98">SUM(DO10:DZ10)</f>
        <v>12</v>
      </c>
      <c r="EB10" s="1636"/>
      <c r="EC10" s="1637"/>
      <c r="ED10" s="1637"/>
      <c r="EE10" s="1637"/>
      <c r="EF10" s="1637"/>
      <c r="EG10" s="1637"/>
      <c r="EH10" s="1637"/>
      <c r="EI10" s="1637"/>
      <c r="EJ10" s="1637"/>
      <c r="EK10" s="1637"/>
      <c r="EL10" s="1637"/>
      <c r="EM10" s="1638"/>
      <c r="EN10" s="1638">
        <f t="shared" ref="EN10:EN36" si="99">SUM(EB10:EM10)</f>
        <v>0</v>
      </c>
      <c r="EO10" s="1636"/>
      <c r="EP10" s="1637"/>
      <c r="EQ10" s="1637"/>
      <c r="ER10" s="1637"/>
      <c r="ES10" s="1637"/>
      <c r="ET10" s="1637"/>
      <c r="EU10" s="1637"/>
      <c r="EV10" s="1637"/>
      <c r="EW10" s="1637"/>
      <c r="EX10" s="1637"/>
      <c r="EY10" s="1637"/>
      <c r="EZ10" s="1638"/>
      <c r="FA10" s="1638">
        <f t="shared" ref="FA10:FA16" si="100">SUM(EO10:EZ10)</f>
        <v>0</v>
      </c>
      <c r="FB10" s="1636"/>
      <c r="FC10" s="1637"/>
      <c r="FD10" s="1637"/>
      <c r="FE10" s="1637"/>
      <c r="FF10" s="1637"/>
      <c r="FG10" s="1637"/>
      <c r="FH10" s="1637"/>
      <c r="FI10" s="1637"/>
      <c r="FJ10" s="1637"/>
      <c r="FK10" s="1637"/>
      <c r="FL10" s="1637"/>
      <c r="FM10" s="1638"/>
      <c r="FN10" s="1638">
        <f t="shared" ref="FN10:FN36" si="101">SUM(FB10:FM10)</f>
        <v>0</v>
      </c>
      <c r="FO10" s="1636"/>
      <c r="FP10" s="1637"/>
      <c r="FQ10" s="1637"/>
      <c r="FR10" s="1637"/>
      <c r="FS10" s="1637"/>
      <c r="FT10" s="1637"/>
      <c r="FU10" s="1637"/>
      <c r="FV10" s="1637"/>
      <c r="FW10" s="1637"/>
      <c r="FX10" s="1637"/>
      <c r="FY10" s="1637"/>
      <c r="FZ10" s="1638"/>
      <c r="GA10" s="1638">
        <f t="shared" ref="GA10:GA20" si="102">SUM(FO10:FZ10)</f>
        <v>0</v>
      </c>
      <c r="GB10" s="1636"/>
      <c r="GC10" s="1637"/>
      <c r="GD10" s="1637"/>
      <c r="GE10" s="1637"/>
      <c r="GF10" s="1637"/>
      <c r="GG10" s="1637"/>
      <c r="GH10" s="1637"/>
      <c r="GI10" s="1637"/>
      <c r="GJ10" s="1637"/>
      <c r="GK10" s="1637"/>
      <c r="GL10" s="1637"/>
      <c r="GM10" s="1638"/>
      <c r="GN10" s="1638">
        <f t="shared" ref="GN10:GN20" si="103">SUM(GB10:GM10)</f>
        <v>0</v>
      </c>
      <c r="GO10" s="1636"/>
      <c r="GP10" s="1637"/>
      <c r="GQ10" s="1637"/>
      <c r="GR10" s="1637"/>
      <c r="GS10" s="1637"/>
      <c r="GT10" s="1637"/>
      <c r="GU10" s="1637"/>
      <c r="GV10" s="1637"/>
      <c r="GW10" s="1637"/>
      <c r="GX10" s="1637"/>
      <c r="GY10" s="1637"/>
      <c r="GZ10" s="1638"/>
      <c r="HA10" s="1638">
        <f t="shared" ref="HA10:HA36" si="104">SUM(GO10:GZ10)</f>
        <v>0</v>
      </c>
      <c r="HB10" s="1636"/>
      <c r="HC10" s="1637"/>
      <c r="HD10" s="1637"/>
      <c r="HE10" s="1637"/>
      <c r="HF10" s="1637"/>
      <c r="HG10" s="1637"/>
      <c r="HH10" s="1637"/>
      <c r="HI10" s="1637"/>
      <c r="HJ10" s="1637"/>
      <c r="HK10" s="1637"/>
      <c r="HL10" s="1637"/>
      <c r="HM10" s="1638"/>
      <c r="HN10" s="1638">
        <f t="shared" ref="HN10:HN36" si="105">SUM(HB10:HM10)</f>
        <v>0</v>
      </c>
      <c r="HO10" s="1636"/>
      <c r="HP10" s="1637"/>
      <c r="HQ10" s="1637"/>
      <c r="HR10" s="1637"/>
      <c r="HS10" s="1637"/>
      <c r="HT10" s="1637"/>
      <c r="HU10" s="1637"/>
      <c r="HV10" s="1637"/>
      <c r="HW10" s="1637"/>
      <c r="HX10" s="1637"/>
      <c r="HY10" s="1637"/>
      <c r="HZ10" s="1638"/>
      <c r="IA10" s="1638">
        <f>SUM(HO10:HZ10)</f>
        <v>0</v>
      </c>
      <c r="IB10" s="1636"/>
      <c r="IC10" s="1637"/>
      <c r="ID10" s="1637"/>
      <c r="IE10" s="1637"/>
      <c r="IF10" s="1637"/>
      <c r="IG10" s="1637"/>
      <c r="IH10" s="1637"/>
      <c r="II10" s="1637"/>
      <c r="IJ10" s="1637"/>
      <c r="IK10" s="1637"/>
      <c r="IL10" s="1637"/>
      <c r="IM10" s="1638"/>
      <c r="IN10" s="1638">
        <f t="shared" ref="IN10:IN36" si="106">SUM(IB10:IM10)</f>
        <v>0</v>
      </c>
      <c r="IO10" s="1636"/>
      <c r="IP10" s="1637"/>
      <c r="IQ10" s="1637"/>
      <c r="IR10" s="1637"/>
      <c r="IS10" s="1637"/>
      <c r="IT10" s="1637"/>
      <c r="IU10" s="1637"/>
      <c r="IV10" s="1637"/>
      <c r="IW10" s="1637"/>
      <c r="IX10" s="1637"/>
      <c r="IY10" s="1637"/>
      <c r="IZ10" s="1638"/>
      <c r="JA10" s="1638">
        <f t="shared" ref="JA10:JA20" si="107">SUM(IO10:IZ10)</f>
        <v>0</v>
      </c>
      <c r="JB10" s="1636"/>
      <c r="JC10" s="1637"/>
      <c r="JD10" s="1637"/>
      <c r="JE10" s="1637"/>
      <c r="JF10" s="1637"/>
      <c r="JG10" s="1637"/>
      <c r="JH10" s="1637"/>
      <c r="JI10" s="1637"/>
      <c r="JJ10" s="1637"/>
      <c r="JK10" s="1637"/>
      <c r="JL10" s="1637"/>
      <c r="JM10" s="1638"/>
      <c r="JN10" s="1638">
        <f t="shared" ref="JN10:JN20" si="108">SUM(JB10:JM10)</f>
        <v>0</v>
      </c>
      <c r="JO10" s="1636"/>
      <c r="JP10" s="1637"/>
      <c r="JQ10" s="1637"/>
      <c r="JR10" s="1637"/>
      <c r="JS10" s="1637"/>
      <c r="JT10" s="1637"/>
      <c r="JU10" s="1637"/>
      <c r="JV10" s="1637"/>
      <c r="JW10" s="1637"/>
      <c r="JX10" s="1637"/>
      <c r="JY10" s="1637"/>
      <c r="JZ10" s="1638"/>
      <c r="KA10" s="1638">
        <f t="shared" ref="KA10:KA36" si="109">SUM(JO10:JZ10)</f>
        <v>0</v>
      </c>
      <c r="KB10" s="1068"/>
      <c r="KC10" s="1641" t="str">
        <f t="shared" si="83"/>
        <v/>
      </c>
      <c r="KD10" s="1642" t="str">
        <f t="shared" si="84"/>
        <v/>
      </c>
      <c r="KE10" s="1643">
        <f t="shared" si="85"/>
        <v>0</v>
      </c>
      <c r="KF10" s="1643">
        <f t="shared" si="86"/>
        <v>0</v>
      </c>
      <c r="KG10" s="1068"/>
      <c r="KH10" s="1644" t="str">
        <f t="shared" si="87"/>
        <v/>
      </c>
      <c r="KI10" s="1068">
        <f t="shared" si="88"/>
        <v>0</v>
      </c>
      <c r="KJ10" s="1570">
        <f t="shared" si="55"/>
        <v>0</v>
      </c>
    </row>
    <row r="11" spans="1:297" ht="15" customHeight="1" x14ac:dyDescent="0.2">
      <c r="A11" s="1640" t="s">
        <v>594</v>
      </c>
      <c r="B11" s="1636">
        <v>3627</v>
      </c>
      <c r="C11" s="1637">
        <v>388</v>
      </c>
      <c r="D11" s="1637">
        <v>17</v>
      </c>
      <c r="E11" s="1637">
        <v>1784</v>
      </c>
      <c r="F11" s="1637">
        <v>2796</v>
      </c>
      <c r="G11" s="1637">
        <v>3920</v>
      </c>
      <c r="H11" s="1637">
        <v>3494</v>
      </c>
      <c r="I11" s="1637">
        <v>1724</v>
      </c>
      <c r="J11" s="1637">
        <v>3208</v>
      </c>
      <c r="K11" s="1637">
        <v>2482</v>
      </c>
      <c r="L11" s="1637">
        <v>3816</v>
      </c>
      <c r="M11" s="1638">
        <v>2508</v>
      </c>
      <c r="N11" s="1638">
        <f t="shared" si="89"/>
        <v>29764</v>
      </c>
      <c r="O11" s="1636">
        <v>4316</v>
      </c>
      <c r="P11" s="1637">
        <v>99</v>
      </c>
      <c r="Q11" s="1637"/>
      <c r="R11" s="1637">
        <v>277</v>
      </c>
      <c r="S11" s="1637">
        <v>1322</v>
      </c>
      <c r="T11" s="1637">
        <v>5035</v>
      </c>
      <c r="U11" s="1637">
        <v>3370</v>
      </c>
      <c r="V11" s="1637">
        <v>6173</v>
      </c>
      <c r="W11" s="1637">
        <v>4160</v>
      </c>
      <c r="X11" s="1637">
        <v>2991</v>
      </c>
      <c r="Y11" s="1637">
        <v>3199</v>
      </c>
      <c r="Z11" s="1638">
        <v>2641</v>
      </c>
      <c r="AA11" s="1638">
        <f t="shared" si="90"/>
        <v>33583</v>
      </c>
      <c r="AB11" s="1636">
        <v>1514</v>
      </c>
      <c r="AC11" s="1637">
        <v>1114</v>
      </c>
      <c r="AD11" s="1637">
        <v>1151</v>
      </c>
      <c r="AE11" s="1637">
        <v>158</v>
      </c>
      <c r="AF11" s="1637">
        <v>1527</v>
      </c>
      <c r="AG11" s="1637">
        <v>1376</v>
      </c>
      <c r="AH11" s="1637">
        <v>3481</v>
      </c>
      <c r="AI11" s="1637">
        <v>4506</v>
      </c>
      <c r="AJ11" s="1637">
        <v>4470</v>
      </c>
      <c r="AK11" s="1637">
        <v>3733</v>
      </c>
      <c r="AL11" s="1637">
        <v>3879</v>
      </c>
      <c r="AM11" s="1638">
        <v>1858</v>
      </c>
      <c r="AN11" s="1638">
        <f t="shared" si="91"/>
        <v>28767</v>
      </c>
      <c r="AO11" s="1636">
        <v>1241</v>
      </c>
      <c r="AP11" s="1637">
        <v>491</v>
      </c>
      <c r="AQ11" s="1637"/>
      <c r="AR11" s="1637">
        <v>218</v>
      </c>
      <c r="AS11" s="1637">
        <v>3350</v>
      </c>
      <c r="AT11" s="1637">
        <v>4309</v>
      </c>
      <c r="AU11" s="1637">
        <v>3751</v>
      </c>
      <c r="AV11" s="1637">
        <v>7340</v>
      </c>
      <c r="AW11" s="1637">
        <v>3947</v>
      </c>
      <c r="AX11" s="1637">
        <v>6270</v>
      </c>
      <c r="AY11" s="1637">
        <v>4163</v>
      </c>
      <c r="AZ11" s="1638">
        <v>3295</v>
      </c>
      <c r="BA11" s="1638">
        <f t="shared" si="92"/>
        <v>38375</v>
      </c>
      <c r="BB11" s="1636">
        <v>2301</v>
      </c>
      <c r="BC11" s="1637">
        <v>732</v>
      </c>
      <c r="BD11" s="1637">
        <v>479</v>
      </c>
      <c r="BE11" s="1637">
        <v>1045</v>
      </c>
      <c r="BF11" s="1637">
        <v>1114</v>
      </c>
      <c r="BG11" s="1637">
        <v>4107</v>
      </c>
      <c r="BH11" s="1637">
        <v>5250</v>
      </c>
      <c r="BI11" s="1637">
        <v>3179</v>
      </c>
      <c r="BJ11" s="1637">
        <v>4941</v>
      </c>
      <c r="BK11" s="1637">
        <v>6997</v>
      </c>
      <c r="BL11" s="1637">
        <v>6677</v>
      </c>
      <c r="BM11" s="1638">
        <v>3549</v>
      </c>
      <c r="BN11" s="1638">
        <f t="shared" si="93"/>
        <v>40371</v>
      </c>
      <c r="BO11" s="1636">
        <v>1287</v>
      </c>
      <c r="BP11" s="1637">
        <v>843</v>
      </c>
      <c r="BQ11" s="1637">
        <v>539</v>
      </c>
      <c r="BR11" s="1637">
        <v>668</v>
      </c>
      <c r="BS11" s="1637">
        <v>3922</v>
      </c>
      <c r="BT11" s="1637">
        <v>4759</v>
      </c>
      <c r="BU11" s="1637">
        <v>7889</v>
      </c>
      <c r="BV11" s="1637">
        <v>6779</v>
      </c>
      <c r="BW11" s="1637">
        <v>5733</v>
      </c>
      <c r="BX11" s="1637">
        <v>8332</v>
      </c>
      <c r="BY11" s="1637">
        <v>7209</v>
      </c>
      <c r="BZ11" s="1638">
        <v>8458</v>
      </c>
      <c r="CA11" s="1638">
        <f t="shared" si="94"/>
        <v>56418</v>
      </c>
      <c r="CB11" s="1636">
        <v>907</v>
      </c>
      <c r="CC11" s="1637">
        <v>1678</v>
      </c>
      <c r="CD11" s="1637">
        <v>231</v>
      </c>
      <c r="CE11" s="1637">
        <v>1120</v>
      </c>
      <c r="CF11" s="1637">
        <v>5495</v>
      </c>
      <c r="CG11" s="1637">
        <v>13264</v>
      </c>
      <c r="CH11" s="1637">
        <v>19527</v>
      </c>
      <c r="CI11" s="1637">
        <v>20043</v>
      </c>
      <c r="CJ11" s="1637">
        <v>14089</v>
      </c>
      <c r="CK11" s="1637">
        <v>12623</v>
      </c>
      <c r="CL11" s="1637">
        <v>7676</v>
      </c>
      <c r="CM11" s="1638">
        <v>9873</v>
      </c>
      <c r="CN11" s="1638">
        <f t="shared" si="95"/>
        <v>106526</v>
      </c>
      <c r="CO11" s="1636">
        <v>6112</v>
      </c>
      <c r="CP11" s="1637">
        <v>2771</v>
      </c>
      <c r="CQ11" s="1637">
        <v>238</v>
      </c>
      <c r="CR11" s="1637">
        <v>115</v>
      </c>
      <c r="CS11" s="1637">
        <v>75</v>
      </c>
      <c r="CT11" s="1637">
        <v>94</v>
      </c>
      <c r="CU11" s="1637">
        <v>4802</v>
      </c>
      <c r="CV11" s="1637">
        <v>8850</v>
      </c>
      <c r="CW11" s="1637">
        <v>10287</v>
      </c>
      <c r="CX11" s="1637">
        <v>9335</v>
      </c>
      <c r="CY11" s="1637">
        <v>8673</v>
      </c>
      <c r="CZ11" s="1638">
        <v>2905</v>
      </c>
      <c r="DA11" s="1638">
        <f t="shared" si="96"/>
        <v>54257</v>
      </c>
      <c r="DB11" s="1636">
        <v>957</v>
      </c>
      <c r="DC11" s="1637">
        <v>1516</v>
      </c>
      <c r="DD11" s="1637">
        <v>868</v>
      </c>
      <c r="DE11" s="1637">
        <v>1674</v>
      </c>
      <c r="DF11" s="1637">
        <v>3995</v>
      </c>
      <c r="DG11" s="1637">
        <v>6745</v>
      </c>
      <c r="DH11" s="1637">
        <v>6914</v>
      </c>
      <c r="DI11" s="1637">
        <v>8575</v>
      </c>
      <c r="DJ11" s="1637">
        <v>3868</v>
      </c>
      <c r="DK11" s="1637">
        <v>5484</v>
      </c>
      <c r="DL11" s="1637">
        <v>5199</v>
      </c>
      <c r="DM11" s="1638">
        <v>4395</v>
      </c>
      <c r="DN11" s="1638">
        <f t="shared" si="97"/>
        <v>50190</v>
      </c>
      <c r="DO11" s="1636">
        <v>2012</v>
      </c>
      <c r="DP11" s="1637">
        <v>819</v>
      </c>
      <c r="DQ11" s="1637">
        <v>1193</v>
      </c>
      <c r="DR11" s="1637">
        <v>921</v>
      </c>
      <c r="DS11" s="1637">
        <v>2533</v>
      </c>
      <c r="DT11" s="1637">
        <v>6279</v>
      </c>
      <c r="DU11" s="1637">
        <v>7416</v>
      </c>
      <c r="DV11" s="1637">
        <v>10638</v>
      </c>
      <c r="DW11" s="1637">
        <v>11847</v>
      </c>
      <c r="DX11" s="1637">
        <v>12296</v>
      </c>
      <c r="DY11" s="1637">
        <v>10106</v>
      </c>
      <c r="DZ11" s="1638">
        <v>5406</v>
      </c>
      <c r="EA11" s="1638">
        <f t="shared" si="98"/>
        <v>71466</v>
      </c>
      <c r="EB11" s="1636">
        <v>1132</v>
      </c>
      <c r="EC11" s="1637">
        <v>598</v>
      </c>
      <c r="ED11" s="1637">
        <v>432</v>
      </c>
      <c r="EE11" s="1637">
        <v>463</v>
      </c>
      <c r="EF11" s="1637">
        <v>2891</v>
      </c>
      <c r="EG11" s="1637">
        <v>3869</v>
      </c>
      <c r="EH11" s="1637">
        <v>2317</v>
      </c>
      <c r="EI11" s="1637">
        <v>4325</v>
      </c>
      <c r="EJ11" s="1637">
        <v>11074</v>
      </c>
      <c r="EK11" s="1637">
        <v>6767</v>
      </c>
      <c r="EL11" s="1637">
        <v>7106</v>
      </c>
      <c r="EM11" s="1638">
        <v>3910</v>
      </c>
      <c r="EN11" s="1638">
        <f t="shared" si="99"/>
        <v>44884</v>
      </c>
      <c r="EO11" s="1636">
        <v>1058</v>
      </c>
      <c r="EP11" s="1637">
        <v>1173</v>
      </c>
      <c r="EQ11" s="1637">
        <v>989</v>
      </c>
      <c r="ER11" s="1637">
        <v>407</v>
      </c>
      <c r="ES11" s="1637">
        <v>1316</v>
      </c>
      <c r="ET11" s="1637">
        <v>1937</v>
      </c>
      <c r="EU11" s="1637">
        <v>5357</v>
      </c>
      <c r="EV11" s="1637">
        <v>13037</v>
      </c>
      <c r="EW11" s="1637">
        <v>12232</v>
      </c>
      <c r="EX11" s="1637">
        <v>10974</v>
      </c>
      <c r="EY11" s="1637">
        <v>13889</v>
      </c>
      <c r="EZ11" s="1638">
        <v>9117</v>
      </c>
      <c r="FA11" s="1638">
        <f t="shared" si="100"/>
        <v>71486</v>
      </c>
      <c r="FB11" s="1636">
        <v>5022</v>
      </c>
      <c r="FC11" s="1637">
        <v>5432</v>
      </c>
      <c r="FD11" s="1637">
        <v>2090</v>
      </c>
      <c r="FE11" s="1637">
        <v>429</v>
      </c>
      <c r="FF11" s="1637">
        <v>3673</v>
      </c>
      <c r="FG11" s="1637">
        <v>4766</v>
      </c>
      <c r="FH11" s="1637">
        <v>9875</v>
      </c>
      <c r="FI11" s="1637">
        <v>10412</v>
      </c>
      <c r="FJ11" s="1637">
        <v>9681</v>
      </c>
      <c r="FK11" s="1637">
        <v>5169</v>
      </c>
      <c r="FL11" s="1637">
        <v>1779</v>
      </c>
      <c r="FM11" s="1638">
        <v>3688</v>
      </c>
      <c r="FN11" s="1638">
        <f t="shared" si="101"/>
        <v>62016</v>
      </c>
      <c r="FO11" s="1636">
        <v>913</v>
      </c>
      <c r="FP11" s="1637">
        <v>456</v>
      </c>
      <c r="FQ11" s="1637">
        <v>731</v>
      </c>
      <c r="FR11" s="1637">
        <v>682</v>
      </c>
      <c r="FS11" s="1637">
        <v>59</v>
      </c>
      <c r="FT11" s="1637">
        <v>782</v>
      </c>
      <c r="FU11" s="1637">
        <v>2437</v>
      </c>
      <c r="FV11" s="1637">
        <v>1657</v>
      </c>
      <c r="FW11" s="1637">
        <v>1606</v>
      </c>
      <c r="FX11" s="1637">
        <v>2195</v>
      </c>
      <c r="FY11" s="1637">
        <v>2101</v>
      </c>
      <c r="FZ11" s="1638">
        <v>1361</v>
      </c>
      <c r="GA11" s="1638">
        <f t="shared" si="102"/>
        <v>14980</v>
      </c>
      <c r="GB11" s="1636">
        <v>720</v>
      </c>
      <c r="GC11" s="1637">
        <v>1398</v>
      </c>
      <c r="GD11" s="1637">
        <v>870</v>
      </c>
      <c r="GE11" s="1637">
        <v>595</v>
      </c>
      <c r="GF11" s="1637">
        <v>1157</v>
      </c>
      <c r="GG11" s="1637">
        <v>1667</v>
      </c>
      <c r="GH11" s="1637">
        <v>2740</v>
      </c>
      <c r="GI11" s="1637">
        <v>2789</v>
      </c>
      <c r="GJ11" s="1637">
        <v>3622</v>
      </c>
      <c r="GK11" s="1637">
        <v>3120</v>
      </c>
      <c r="GL11" s="1637">
        <v>3962</v>
      </c>
      <c r="GM11" s="1638">
        <v>2626</v>
      </c>
      <c r="GN11" s="1638">
        <f t="shared" si="103"/>
        <v>25266</v>
      </c>
      <c r="GO11" s="1636">
        <v>1614</v>
      </c>
      <c r="GP11" s="1637">
        <v>1187</v>
      </c>
      <c r="GQ11" s="1637">
        <v>467</v>
      </c>
      <c r="GR11" s="1637">
        <v>817</v>
      </c>
      <c r="GS11" s="1637">
        <f>1554+32</f>
        <v>1586</v>
      </c>
      <c r="GT11" s="1637">
        <f>2143+156</f>
        <v>2299</v>
      </c>
      <c r="GU11" s="1637">
        <v>4537</v>
      </c>
      <c r="GV11" s="1637">
        <v>3507</v>
      </c>
      <c r="GW11" s="1637">
        <v>3306</v>
      </c>
      <c r="GX11" s="1637">
        <v>3830</v>
      </c>
      <c r="GY11" s="1637">
        <v>3590</v>
      </c>
      <c r="GZ11" s="1638">
        <v>2353</v>
      </c>
      <c r="HA11" s="1638">
        <f t="shared" si="104"/>
        <v>29093</v>
      </c>
      <c r="HB11" s="1636">
        <v>1541</v>
      </c>
      <c r="HC11" s="1637">
        <f>149+1455</f>
        <v>1604</v>
      </c>
      <c r="HD11" s="1637">
        <f>384+1410</f>
        <v>1794</v>
      </c>
      <c r="HE11" s="1637">
        <v>1172</v>
      </c>
      <c r="HF11" s="1637">
        <v>877</v>
      </c>
      <c r="HG11" s="1637">
        <v>2673</v>
      </c>
      <c r="HH11" s="1637">
        <v>4336</v>
      </c>
      <c r="HI11" s="1637">
        <v>3839</v>
      </c>
      <c r="HJ11" s="1637">
        <v>4567</v>
      </c>
      <c r="HK11" s="1637">
        <v>6552</v>
      </c>
      <c r="HL11" s="1637">
        <v>6452</v>
      </c>
      <c r="HM11" s="1638">
        <v>1375</v>
      </c>
      <c r="HN11" s="1638">
        <f t="shared" si="105"/>
        <v>36782</v>
      </c>
      <c r="HO11" s="1636">
        <v>4989</v>
      </c>
      <c r="HP11" s="1637">
        <v>3481</v>
      </c>
      <c r="HQ11" s="1637">
        <v>1279</v>
      </c>
      <c r="HR11" s="1637">
        <v>1927</v>
      </c>
      <c r="HS11" s="1637">
        <v>3317</v>
      </c>
      <c r="HT11" s="1637">
        <v>3141</v>
      </c>
      <c r="HU11" s="1637">
        <v>4878</v>
      </c>
      <c r="HV11" s="1637">
        <v>5463</v>
      </c>
      <c r="HW11" s="1637">
        <v>6548</v>
      </c>
      <c r="HX11" s="1637">
        <v>3705</v>
      </c>
      <c r="HY11" s="1637">
        <v>3514</v>
      </c>
      <c r="HZ11" s="1638">
        <v>1588</v>
      </c>
      <c r="IA11" s="1638">
        <f>SUM(HO11:HZ11)</f>
        <v>43830</v>
      </c>
      <c r="IB11" s="1636">
        <v>1336</v>
      </c>
      <c r="IC11" s="1637">
        <v>478</v>
      </c>
      <c r="ID11" s="1637">
        <v>828</v>
      </c>
      <c r="IE11" s="1637">
        <v>1359</v>
      </c>
      <c r="IF11" s="1637">
        <v>1761</v>
      </c>
      <c r="IG11" s="1637">
        <v>3156</v>
      </c>
      <c r="IH11" s="1637">
        <v>2076</v>
      </c>
      <c r="II11" s="1637">
        <v>2612</v>
      </c>
      <c r="IJ11" s="1637">
        <v>2369</v>
      </c>
      <c r="IK11" s="1637">
        <v>2136</v>
      </c>
      <c r="IL11" s="1637">
        <v>1903</v>
      </c>
      <c r="IM11" s="1638">
        <v>2300</v>
      </c>
      <c r="IN11" s="1638">
        <f t="shared" si="106"/>
        <v>22314</v>
      </c>
      <c r="IO11" s="1636">
        <v>1154</v>
      </c>
      <c r="IP11" s="1637">
        <v>909</v>
      </c>
      <c r="IQ11" s="1637">
        <v>445</v>
      </c>
      <c r="IR11" s="1637">
        <v>832</v>
      </c>
      <c r="IS11" s="1637">
        <v>774</v>
      </c>
      <c r="IT11" s="1637">
        <v>2258</v>
      </c>
      <c r="IU11" s="1637">
        <v>3189</v>
      </c>
      <c r="IV11" s="1637">
        <v>2635</v>
      </c>
      <c r="IW11" s="1637">
        <v>3557</v>
      </c>
      <c r="IX11" s="1637">
        <v>4304</v>
      </c>
      <c r="IY11" s="1637">
        <v>2838</v>
      </c>
      <c r="IZ11" s="1638">
        <v>2268</v>
      </c>
      <c r="JA11" s="1638">
        <v>25163</v>
      </c>
      <c r="JB11" s="1636">
        <v>704</v>
      </c>
      <c r="JC11" s="1637">
        <v>753</v>
      </c>
      <c r="JD11" s="1637">
        <v>1951</v>
      </c>
      <c r="JE11" s="1637">
        <v>1414</v>
      </c>
      <c r="JF11" s="1637">
        <v>2015</v>
      </c>
      <c r="JG11" s="1637">
        <v>4406</v>
      </c>
      <c r="JH11" s="1637">
        <v>3611</v>
      </c>
      <c r="JI11" s="1637">
        <v>4975</v>
      </c>
      <c r="JJ11" s="1637">
        <v>7054</v>
      </c>
      <c r="JK11" s="1637">
        <v>4202</v>
      </c>
      <c r="JL11" s="1637">
        <v>7966</v>
      </c>
      <c r="JM11" s="1638">
        <v>7101</v>
      </c>
      <c r="JN11" s="1638">
        <f t="shared" si="108"/>
        <v>46152</v>
      </c>
      <c r="JO11" s="1636">
        <v>1881</v>
      </c>
      <c r="JP11" s="1637">
        <v>980</v>
      </c>
      <c r="JQ11" s="1637">
        <v>367</v>
      </c>
      <c r="JR11" s="1637">
        <v>148</v>
      </c>
      <c r="JS11" s="1637">
        <v>2004</v>
      </c>
      <c r="JT11" s="1637">
        <v>1044</v>
      </c>
      <c r="JU11" s="1637">
        <v>2418</v>
      </c>
      <c r="JV11" s="1637">
        <v>2523</v>
      </c>
      <c r="JW11" s="1637"/>
      <c r="JX11" s="1637"/>
      <c r="JY11" s="1637"/>
      <c r="JZ11" s="1638"/>
      <c r="KA11" s="1638">
        <f t="shared" si="109"/>
        <v>11365</v>
      </c>
      <c r="KB11" s="1068"/>
      <c r="KC11" s="1641">
        <f t="shared" si="83"/>
        <v>-81.189133777549969</v>
      </c>
      <c r="KD11" s="1642">
        <f t="shared" si="84"/>
        <v>-5.2816901408450745</v>
      </c>
      <c r="KE11" s="1643">
        <f t="shared" si="85"/>
        <v>3408</v>
      </c>
      <c r="KF11" s="1643">
        <f t="shared" si="86"/>
        <v>3228</v>
      </c>
      <c r="KG11" s="1042"/>
      <c r="KH11" s="1644">
        <f t="shared" si="87"/>
        <v>0.18810866222450026</v>
      </c>
      <c r="KI11" s="1068">
        <f t="shared" si="88"/>
        <v>-1584</v>
      </c>
      <c r="KJ11" s="1570">
        <f t="shared" si="55"/>
        <v>-180</v>
      </c>
      <c r="KK11" s="66"/>
    </row>
    <row r="12" spans="1:297" ht="15" customHeight="1" x14ac:dyDescent="0.2">
      <c r="A12" s="1407" t="s">
        <v>595</v>
      </c>
      <c r="B12" s="1390">
        <f t="shared" ref="B12" si="110">SUM(B13,B18,B20,B35)</f>
        <v>243</v>
      </c>
      <c r="C12" s="1391">
        <f t="shared" ref="C12" si="111">SUM(C13,C18,C20,C35)</f>
        <v>515</v>
      </c>
      <c r="D12" s="1391">
        <f t="shared" ref="D12" si="112">SUM(D13,D18,D20,D35)</f>
        <v>308</v>
      </c>
      <c r="E12" s="1391">
        <f t="shared" ref="E12" si="113">SUM(E13,E18,E20,E35)</f>
        <v>599</v>
      </c>
      <c r="F12" s="1391">
        <f t="shared" ref="F12" si="114">SUM(F13,F18,F20,F35)</f>
        <v>360</v>
      </c>
      <c r="G12" s="1391">
        <f t="shared" ref="G12" si="115">SUM(G13,G18,G20,G35)</f>
        <v>402</v>
      </c>
      <c r="H12" s="1391">
        <f t="shared" ref="H12" si="116">SUM(H13,H18,H20,H35)</f>
        <v>349</v>
      </c>
      <c r="I12" s="1391">
        <f t="shared" ref="I12" si="117">SUM(I13,I18,I20,I35)</f>
        <v>632</v>
      </c>
      <c r="J12" s="1391">
        <f t="shared" ref="J12" si="118">SUM(J13,J18,J20,J35)</f>
        <v>240</v>
      </c>
      <c r="K12" s="1391">
        <f t="shared" ref="K12" si="119">SUM(K13,K18,K20,K35)</f>
        <v>488</v>
      </c>
      <c r="L12" s="1391">
        <f t="shared" ref="L12" si="120">SUM(L13,L18,L20,L35)</f>
        <v>204</v>
      </c>
      <c r="M12" s="1392">
        <f t="shared" ref="M12" si="121">SUM(M13,M18,M20,M35)</f>
        <v>743</v>
      </c>
      <c r="N12" s="1392">
        <f t="shared" ref="N12" si="122">SUM(B12:M12)</f>
        <v>5083</v>
      </c>
      <c r="O12" s="1390">
        <f t="shared" ref="O12" si="123">SUM(O13,O18,O20,O35)</f>
        <v>686</v>
      </c>
      <c r="P12" s="1391">
        <f t="shared" ref="P12" si="124">SUM(P13,P18,P20,P35)</f>
        <v>832</v>
      </c>
      <c r="Q12" s="1391">
        <f t="shared" ref="Q12" si="125">SUM(Q13,Q18,Q20,Q35)</f>
        <v>505</v>
      </c>
      <c r="R12" s="1391">
        <f t="shared" ref="R12" si="126">SUM(R13,R18,R20,R35)</f>
        <v>688</v>
      </c>
      <c r="S12" s="1391">
        <f t="shared" ref="S12" si="127">SUM(S13,S18,S20,S35)</f>
        <v>705</v>
      </c>
      <c r="T12" s="1391">
        <f t="shared" ref="T12" si="128">SUM(T13,T18,T20,T35)</f>
        <v>1048</v>
      </c>
      <c r="U12" s="1391">
        <f t="shared" ref="U12" si="129">SUM(U13,U18,U20,U35)</f>
        <v>1120</v>
      </c>
      <c r="V12" s="1391">
        <f t="shared" ref="V12" si="130">SUM(V13,V18,V20,V35)</f>
        <v>793</v>
      </c>
      <c r="W12" s="1391">
        <f t="shared" ref="W12" si="131">SUM(W13,W18,W20,W35)</f>
        <v>663</v>
      </c>
      <c r="X12" s="1391">
        <f t="shared" ref="X12" si="132">SUM(X13,X18,X20,X35)</f>
        <v>1084</v>
      </c>
      <c r="Y12" s="1391">
        <f t="shared" ref="Y12" si="133">SUM(Y13,Y18,Y20,Y35)</f>
        <v>949</v>
      </c>
      <c r="Z12" s="1392">
        <f t="shared" ref="Z12" si="134">SUM(Z13,Z18,Z20,Z35)</f>
        <v>693</v>
      </c>
      <c r="AA12" s="1392">
        <f t="shared" ref="AA12" si="135">SUM(O12:Z12)</f>
        <v>9766</v>
      </c>
      <c r="AB12" s="1390">
        <f t="shared" ref="AB12" si="136">SUM(AB13,AB18,AB20,AB35)</f>
        <v>929</v>
      </c>
      <c r="AC12" s="1391">
        <f t="shared" ref="AC12" si="137">SUM(AC13,AC18,AC20,AC35)</f>
        <v>835</v>
      </c>
      <c r="AD12" s="1391">
        <f t="shared" ref="AD12" si="138">SUM(AD13,AD18,AD20,AD35)</f>
        <v>621</v>
      </c>
      <c r="AE12" s="1391">
        <f t="shared" ref="AE12" si="139">SUM(AE13,AE18,AE20,AE35)</f>
        <v>570</v>
      </c>
      <c r="AF12" s="1391">
        <f t="shared" ref="AF12" si="140">SUM(AF13,AF18,AF20,AF35)</f>
        <v>549</v>
      </c>
      <c r="AG12" s="1391">
        <f t="shared" ref="AG12" si="141">SUM(AG13,AG18,AG20,AG35)</f>
        <v>1029</v>
      </c>
      <c r="AH12" s="1391">
        <f t="shared" ref="AH12" si="142">SUM(AH13,AH18,AH20,AH35)</f>
        <v>718</v>
      </c>
      <c r="AI12" s="1391">
        <f t="shared" ref="AI12" si="143">SUM(AI13,AI18,AI20,AI35)</f>
        <v>1783</v>
      </c>
      <c r="AJ12" s="1391">
        <f t="shared" ref="AJ12" si="144">SUM(AJ13,AJ18,AJ20,AJ35)</f>
        <v>741</v>
      </c>
      <c r="AK12" s="1391">
        <f t="shared" ref="AK12" si="145">SUM(AK13,AK18,AK20,AK35)</f>
        <v>701</v>
      </c>
      <c r="AL12" s="1391">
        <f t="shared" ref="AL12" si="146">SUM(AL13,AL18,AL20,AL35)</f>
        <v>745</v>
      </c>
      <c r="AM12" s="1392">
        <f t="shared" ref="AM12" si="147">SUM(AM13,AM18,AM20,AM35)</f>
        <v>1284</v>
      </c>
      <c r="AN12" s="1392">
        <f t="shared" ref="AN12" si="148">SUM(AB12:AM12)</f>
        <v>10505</v>
      </c>
      <c r="AO12" s="1390">
        <f t="shared" ref="AO12" si="149">SUM(AO13,AO18,AO20,AO35)</f>
        <v>1165</v>
      </c>
      <c r="AP12" s="1391">
        <f t="shared" ref="AP12" si="150">SUM(AP13,AP18,AP20,AP35)</f>
        <v>959</v>
      </c>
      <c r="AQ12" s="1391">
        <f t="shared" ref="AQ12" si="151">SUM(AQ13,AQ18,AQ20,AQ35)</f>
        <v>1305</v>
      </c>
      <c r="AR12" s="1391">
        <f t="shared" ref="AR12" si="152">SUM(AR13,AR18,AR20,AR35)</f>
        <v>1061</v>
      </c>
      <c r="AS12" s="1391">
        <f t="shared" ref="AS12" si="153">SUM(AS13,AS18,AS20,AS35)</f>
        <v>1002</v>
      </c>
      <c r="AT12" s="1391">
        <f t="shared" ref="AT12" si="154">SUM(AT13,AT18,AT20,AT35)</f>
        <v>1327</v>
      </c>
      <c r="AU12" s="1391">
        <f t="shared" ref="AU12" si="155">SUM(AU13,AU18,AU20,AU35)</f>
        <v>1416</v>
      </c>
      <c r="AV12" s="1391">
        <f t="shared" ref="AV12" si="156">SUM(AV13,AV18,AV20,AV35)</f>
        <v>1539</v>
      </c>
      <c r="AW12" s="1391">
        <f t="shared" ref="AW12" si="157">SUM(AW13,AW18,AW20,AW35)</f>
        <v>2066</v>
      </c>
      <c r="AX12" s="1391">
        <f t="shared" ref="AX12" si="158">SUM(AX13,AX18,AX20,AX35)</f>
        <v>720</v>
      </c>
      <c r="AY12" s="1391">
        <f t="shared" ref="AY12" si="159">SUM(AY13,AY18,AY20,AY35)</f>
        <v>814</v>
      </c>
      <c r="AZ12" s="1392">
        <f t="shared" ref="AZ12" si="160">SUM(AZ13,AZ18,AZ20,AZ35)</f>
        <v>642</v>
      </c>
      <c r="BA12" s="1392">
        <f t="shared" si="92"/>
        <v>14016</v>
      </c>
      <c r="BB12" s="1390">
        <f t="shared" ref="BB12" si="161">SUM(BB13,BB18,BB20,BB35)</f>
        <v>485</v>
      </c>
      <c r="BC12" s="1391">
        <f t="shared" ref="BC12" si="162">SUM(BC13,BC18,BC20,BC35)</f>
        <v>955</v>
      </c>
      <c r="BD12" s="1391">
        <f t="shared" ref="BD12" si="163">SUM(BD13,BD18,BD20,BD35)</f>
        <v>963</v>
      </c>
      <c r="BE12" s="1391">
        <f t="shared" ref="BE12" si="164">SUM(BE13,BE18,BE20,BE35)</f>
        <v>1182</v>
      </c>
      <c r="BF12" s="1391">
        <f t="shared" ref="BF12" si="165">SUM(BF13,BF18,BF20,BF35)</f>
        <v>990</v>
      </c>
      <c r="BG12" s="1391">
        <f t="shared" ref="BG12" si="166">SUM(BG13,BG18,BG20,BG35)</f>
        <v>1241</v>
      </c>
      <c r="BH12" s="1391">
        <f t="shared" ref="BH12" si="167">SUM(BH13,BH18,BH20,BH35)</f>
        <v>1131</v>
      </c>
      <c r="BI12" s="1391">
        <f t="shared" ref="BI12" si="168">SUM(BI13,BI18,BI20,BI35)</f>
        <v>1828</v>
      </c>
      <c r="BJ12" s="1391">
        <f t="shared" ref="BJ12" si="169">SUM(BJ13,BJ18,BJ20,BJ35)</f>
        <v>1879</v>
      </c>
      <c r="BK12" s="1391">
        <f t="shared" ref="BK12" si="170">SUM(BK13,BK18,BK20,BK35)</f>
        <v>1320</v>
      </c>
      <c r="BL12" s="1391">
        <f t="shared" ref="BL12" si="171">SUM(BL13,BL18,BL20,BL35)</f>
        <v>1592</v>
      </c>
      <c r="BM12" s="1392">
        <f t="shared" ref="BM12" si="172">SUM(BM13,BM18,BM20,BM35)</f>
        <v>1860</v>
      </c>
      <c r="BN12" s="1392">
        <f t="shared" si="93"/>
        <v>15426</v>
      </c>
      <c r="BO12" s="1390">
        <f t="shared" ref="BO12" si="173">SUM(BO13,BO18,BO20,BO35)</f>
        <v>1066</v>
      </c>
      <c r="BP12" s="1391">
        <f t="shared" ref="BP12" si="174">SUM(BP13,BP18,BP20,BP35)</f>
        <v>1371</v>
      </c>
      <c r="BQ12" s="1391">
        <f t="shared" ref="BQ12" si="175">SUM(BQ13,BQ18,BQ20,BQ35)</f>
        <v>1115</v>
      </c>
      <c r="BR12" s="1391">
        <f t="shared" ref="BR12" si="176">SUM(BR13,BR18,BR20,BR35)</f>
        <v>1329</v>
      </c>
      <c r="BS12" s="1391">
        <f t="shared" ref="BS12" si="177">SUM(BS13,BS18,BS20,BS35)</f>
        <v>1510</v>
      </c>
      <c r="BT12" s="1391">
        <f t="shared" ref="BT12" si="178">SUM(BT13,BT18,BT20,BT35)</f>
        <v>2025</v>
      </c>
      <c r="BU12" s="1391">
        <f t="shared" ref="BU12" si="179">SUM(BU13,BU18,BU20,BU35)</f>
        <v>2296</v>
      </c>
      <c r="BV12" s="1391">
        <f t="shared" ref="BV12" si="180">SUM(BV13,BV18,BV20,BV35)</f>
        <v>2064</v>
      </c>
      <c r="BW12" s="1391">
        <f t="shared" ref="BW12" si="181">SUM(BW13,BW18,BW20,BW35)</f>
        <v>1141</v>
      </c>
      <c r="BX12" s="1391">
        <f t="shared" ref="BX12" si="182">SUM(BX13,BX18,BX20,BX35)</f>
        <v>1536</v>
      </c>
      <c r="BY12" s="1391">
        <f t="shared" ref="BY12" si="183">SUM(BY13,BY18,BY20,BY35)</f>
        <v>1686</v>
      </c>
      <c r="BZ12" s="1392">
        <f t="shared" ref="BZ12" si="184">SUM(BZ13,BZ18,BZ20,BZ35)</f>
        <v>2284</v>
      </c>
      <c r="CA12" s="1392">
        <f t="shared" si="94"/>
        <v>19423</v>
      </c>
      <c r="CB12" s="1390">
        <f t="shared" ref="CB12" si="185">SUM(CB13,CB18,CB20,CB35)</f>
        <v>1766</v>
      </c>
      <c r="CC12" s="1391">
        <f t="shared" ref="CC12" si="186">SUM(CC13,CC18,CC20,CC35)</f>
        <v>2071</v>
      </c>
      <c r="CD12" s="1391">
        <f t="shared" ref="CD12" si="187">SUM(CD13,CD18,CD20,CD35)</f>
        <v>3449</v>
      </c>
      <c r="CE12" s="1391">
        <f t="shared" ref="CE12" si="188">SUM(CE13,CE18,CE20,CE35)</f>
        <v>1534</v>
      </c>
      <c r="CF12" s="1391">
        <f t="shared" ref="CF12" si="189">SUM(CF13,CF18,CF20,CF35)</f>
        <v>2730</v>
      </c>
      <c r="CG12" s="1391">
        <f t="shared" ref="CG12" si="190">SUM(CG13,CG18,CG20,CG35)</f>
        <v>3008</v>
      </c>
      <c r="CH12" s="1391">
        <f t="shared" ref="CH12" si="191">SUM(CH13,CH18,CH20,CH35)</f>
        <v>3872</v>
      </c>
      <c r="CI12" s="1391">
        <f t="shared" ref="CI12" si="192">SUM(CI13,CI18,CI20,CI35)</f>
        <v>3425</v>
      </c>
      <c r="CJ12" s="1391">
        <f t="shared" ref="CJ12" si="193">SUM(CJ13,CJ18,CJ20,CJ35)</f>
        <v>3874</v>
      </c>
      <c r="CK12" s="1391">
        <f t="shared" ref="CK12" si="194">SUM(CK13,CK18,CK20,CK35)</f>
        <v>1486</v>
      </c>
      <c r="CL12" s="1391">
        <f t="shared" ref="CL12" si="195">SUM(CL13,CL18,CL20,CL35)</f>
        <v>2062</v>
      </c>
      <c r="CM12" s="1392">
        <f t="shared" ref="CM12" si="196">SUM(CM13,CM18,CM20,CM35)</f>
        <v>2306</v>
      </c>
      <c r="CN12" s="1392">
        <f t="shared" si="95"/>
        <v>31583</v>
      </c>
      <c r="CO12" s="1390">
        <f t="shared" ref="CO12" si="197">SUM(CO13,CO18,CO20,CO35)</f>
        <v>846</v>
      </c>
      <c r="CP12" s="1391">
        <f t="shared" ref="CP12" si="198">SUM(CP13,CP18,CP20,CP35)</f>
        <v>2156</v>
      </c>
      <c r="CQ12" s="1391">
        <f t="shared" ref="CQ12" si="199">SUM(CQ13,CQ18,CQ20,CQ35)</f>
        <v>2371</v>
      </c>
      <c r="CR12" s="1391">
        <f t="shared" ref="CR12" si="200">SUM(CR13,CR18,CR20,CR35)</f>
        <v>1583.7</v>
      </c>
      <c r="CS12" s="1391">
        <f t="shared" ref="CS12" si="201">SUM(CS13,CS18,CS20,CS35)</f>
        <v>814</v>
      </c>
      <c r="CT12" s="1391">
        <f t="shared" ref="CT12" si="202">SUM(CT13,CT18,CT20,CT35)</f>
        <v>832</v>
      </c>
      <c r="CU12" s="1391">
        <f t="shared" ref="CU12" si="203">SUM(CU13,CU18,CU20,CU35)</f>
        <v>801</v>
      </c>
      <c r="CV12" s="1391">
        <f t="shared" ref="CV12" si="204">SUM(CV13,CV18,CV20,CV35)</f>
        <v>1218</v>
      </c>
      <c r="CW12" s="1391">
        <f t="shared" ref="CW12" si="205">SUM(CW13,CW18,CW20,CW35)</f>
        <v>1510</v>
      </c>
      <c r="CX12" s="1391">
        <f t="shared" ref="CX12" si="206">SUM(CX13,CX18,CX20,CX35)</f>
        <v>1569</v>
      </c>
      <c r="CY12" s="1391">
        <f t="shared" ref="CY12" si="207">SUM(CY13,CY18,CY20,CY35)</f>
        <v>1454</v>
      </c>
      <c r="CZ12" s="1392">
        <f t="shared" ref="CZ12" si="208">SUM(CZ13,CZ18,CZ20,CZ35)</f>
        <v>1952</v>
      </c>
      <c r="DA12" s="1392">
        <f t="shared" si="96"/>
        <v>17106.7</v>
      </c>
      <c r="DB12" s="1390">
        <f t="shared" ref="DB12" si="209">SUM(DB13,DB18,DB20,DB35)</f>
        <v>1912</v>
      </c>
      <c r="DC12" s="1391">
        <f t="shared" ref="DC12" si="210">SUM(DC13,DC18,DC20,DC35)</f>
        <v>1492</v>
      </c>
      <c r="DD12" s="1391">
        <f t="shared" ref="DD12" si="211">SUM(DD13,DD18,DD20,DD35)</f>
        <v>1716</v>
      </c>
      <c r="DE12" s="1391">
        <f t="shared" ref="DE12" si="212">SUM(DE13,DE18,DE20,DE35)</f>
        <v>1423</v>
      </c>
      <c r="DF12" s="1391">
        <f t="shared" ref="DF12" si="213">SUM(DF13,DF18,DF20,DF35)</f>
        <v>3278</v>
      </c>
      <c r="DG12" s="1391">
        <f t="shared" ref="DG12" si="214">SUM(DG13,DG18,DG20,DG35)</f>
        <v>5311</v>
      </c>
      <c r="DH12" s="1391">
        <f t="shared" ref="DH12" si="215">SUM(DH13,DH18,DH20,DH35)</f>
        <v>7432</v>
      </c>
      <c r="DI12" s="1391">
        <f t="shared" ref="DI12" si="216">SUM(DI13,DI18,DI20,DI35)</f>
        <v>6656</v>
      </c>
      <c r="DJ12" s="1391">
        <f t="shared" ref="DJ12" si="217">SUM(DJ13,DJ18,DJ20,DJ35)</f>
        <v>3834</v>
      </c>
      <c r="DK12" s="1391">
        <f t="shared" ref="DK12" si="218">SUM(DK13,DK18,DK20,DK35)</f>
        <v>4386</v>
      </c>
      <c r="DL12" s="1391">
        <f t="shared" ref="DL12" si="219">SUM(DL13,DL18,DL20,DL35)</f>
        <v>4510</v>
      </c>
      <c r="DM12" s="1392">
        <f t="shared" ref="DM12" si="220">SUM(DM13,DM18,DM20,DM35)</f>
        <v>5031</v>
      </c>
      <c r="DN12" s="1392">
        <f t="shared" si="97"/>
        <v>46981</v>
      </c>
      <c r="DO12" s="1390">
        <f t="shared" ref="DO12" si="221">SUM(DO13,DO18,DO20,DO35)</f>
        <v>3985</v>
      </c>
      <c r="DP12" s="1391">
        <f t="shared" ref="DP12" si="222">SUM(DP13,DP18,DP20,DP35)</f>
        <v>5411</v>
      </c>
      <c r="DQ12" s="1391">
        <f t="shared" ref="DQ12" si="223">SUM(DQ13,DQ18,DQ20,DQ35)</f>
        <v>4825</v>
      </c>
      <c r="DR12" s="1391">
        <f t="shared" ref="DR12" si="224">SUM(DR13,DR18,DR20,DR35)</f>
        <v>4743</v>
      </c>
      <c r="DS12" s="1391">
        <f t="shared" ref="DS12" si="225">SUM(DS13,DS18,DS20,DS35)</f>
        <v>7530</v>
      </c>
      <c r="DT12" s="1391">
        <f t="shared" ref="DT12" si="226">SUM(DT13,DT18,DT20,DT35)</f>
        <v>7302</v>
      </c>
      <c r="DU12" s="1391">
        <f t="shared" ref="DU12" si="227">SUM(DU13,DU18,DU20,DU35)</f>
        <v>14478.3</v>
      </c>
      <c r="DV12" s="1391">
        <f t="shared" ref="DV12" si="228">SUM(DV13,DV18,DV20,DV35)</f>
        <v>12583</v>
      </c>
      <c r="DW12" s="1391">
        <f t="shared" ref="DW12" si="229">SUM(DW13,DW18,DW20,DW35)</f>
        <v>12832</v>
      </c>
      <c r="DX12" s="1391">
        <f t="shared" ref="DX12" si="230">SUM(DX13,DX18,DX20,DX35)</f>
        <v>11677</v>
      </c>
      <c r="DY12" s="1391">
        <f t="shared" ref="DY12" si="231">SUM(DY13,DY18,DY20,DY35)</f>
        <v>14176</v>
      </c>
      <c r="DZ12" s="1392">
        <f t="shared" ref="DZ12" si="232">SUM(DZ13,DZ18,DZ20,DZ35)</f>
        <v>12143</v>
      </c>
      <c r="EA12" s="1392">
        <f t="shared" si="98"/>
        <v>111685.3</v>
      </c>
      <c r="EB12" s="1390">
        <f t="shared" ref="EB12" si="233">SUM(EB13,EB18,EB20,EB35)</f>
        <v>12546</v>
      </c>
      <c r="EC12" s="1391">
        <f t="shared" ref="EC12" si="234">SUM(EC13,EC18,EC20,EC35)</f>
        <v>3069</v>
      </c>
      <c r="ED12" s="1391">
        <f t="shared" ref="ED12" si="235">SUM(ED13,ED18,ED20,ED35)</f>
        <v>4909</v>
      </c>
      <c r="EE12" s="1391">
        <f t="shared" ref="EE12" si="236">SUM(EE13,EE18,EE20,EE35)</f>
        <v>5188</v>
      </c>
      <c r="EF12" s="1391">
        <f t="shared" ref="EF12" si="237">SUM(EF13,EF18,EF20,EF35)</f>
        <v>11538</v>
      </c>
      <c r="EG12" s="1391">
        <f t="shared" ref="EG12" si="238">SUM(EG13,EG18,EG20,EG35)</f>
        <v>14937</v>
      </c>
      <c r="EH12" s="1391">
        <f t="shared" ref="EH12" si="239">SUM(EH13,EH18,EH20,EH35)</f>
        <v>19027</v>
      </c>
      <c r="EI12" s="1391">
        <f t="shared" ref="EI12" si="240">SUM(EI13,EI18,EI20,EI35)</f>
        <v>12216</v>
      </c>
      <c r="EJ12" s="1391">
        <f t="shared" ref="EJ12" si="241">SUM(EJ13,EJ18,EJ20,EJ35)</f>
        <v>12876</v>
      </c>
      <c r="EK12" s="1391">
        <f t="shared" ref="EK12" si="242">SUM(EK13,EK18,EK20,EK35)</f>
        <v>12169</v>
      </c>
      <c r="EL12" s="1391">
        <f t="shared" ref="EL12" si="243">SUM(EL13,EL18,EL20,EL35)</f>
        <v>8974.7000000000007</v>
      </c>
      <c r="EM12" s="1392">
        <f t="shared" ref="EM12" si="244">SUM(EM13,EM18,EM20,EM35)</f>
        <v>11526</v>
      </c>
      <c r="EN12" s="1392">
        <f t="shared" si="99"/>
        <v>128975.7</v>
      </c>
      <c r="EO12" s="1390">
        <f t="shared" ref="EO12" si="245">SUM(EO13,EO18,EO20,EO35)</f>
        <v>12889</v>
      </c>
      <c r="EP12" s="1391">
        <f t="shared" ref="EP12" si="246">SUM(EP13,EP18,EP20,EP35)</f>
        <v>5598</v>
      </c>
      <c r="EQ12" s="1391">
        <f t="shared" ref="EQ12" si="247">SUM(EQ13,EQ18,EQ20,EQ35)</f>
        <v>13846</v>
      </c>
      <c r="ER12" s="1391">
        <f t="shared" ref="ER12" si="248">SUM(ER13,ER18,ER20,ER35)</f>
        <v>6915</v>
      </c>
      <c r="ES12" s="1391">
        <f t="shared" ref="ES12" si="249">SUM(ES13,ES18,ES20,ES35)</f>
        <v>7890</v>
      </c>
      <c r="ET12" s="1391">
        <f t="shared" ref="ET12" si="250">SUM(ET13,ET18,ET20,ET35)</f>
        <v>8396</v>
      </c>
      <c r="EU12" s="1391">
        <f t="shared" ref="EU12" si="251">SUM(EU13,EU18,EU20,EU35)</f>
        <v>14502</v>
      </c>
      <c r="EV12" s="1391">
        <f t="shared" ref="EV12" si="252">SUM(EV13,EV18,EV20,EV35)</f>
        <v>25316</v>
      </c>
      <c r="EW12" s="1391">
        <f t="shared" ref="EW12" si="253">SUM(EW13,EW18,EW20,EW35)</f>
        <v>14039</v>
      </c>
      <c r="EX12" s="1391">
        <f t="shared" ref="EX12" si="254">SUM(EX13,EX18,EX20,EX35)</f>
        <v>19985</v>
      </c>
      <c r="EY12" s="1391">
        <f t="shared" ref="EY12" si="255">SUM(EY13,EY18,EY20,EY35)</f>
        <v>7951</v>
      </c>
      <c r="EZ12" s="1392">
        <f t="shared" ref="EZ12" si="256">SUM(EZ13,EZ18,EZ20,EZ35)</f>
        <v>7572</v>
      </c>
      <c r="FA12" s="1392">
        <f t="shared" si="100"/>
        <v>144899</v>
      </c>
      <c r="FB12" s="1390">
        <f t="shared" ref="FB12" si="257">SUM(FB13,FB18,FB20,FB35)</f>
        <v>6816</v>
      </c>
      <c r="FC12" s="1391">
        <f t="shared" ref="FC12" si="258">SUM(FC13,FC18,FC20,FC35)</f>
        <v>3797</v>
      </c>
      <c r="FD12" s="1391">
        <f t="shared" ref="FD12" si="259">SUM(FD13,FD18,FD20,FD35)</f>
        <v>7125</v>
      </c>
      <c r="FE12" s="1391">
        <f t="shared" ref="FE12" si="260">SUM(FE13,FE18,FE20,FE35)</f>
        <v>4698</v>
      </c>
      <c r="FF12" s="1391">
        <f t="shared" ref="FF12" si="261">SUM(FF13,FF18,FF20,FF35)</f>
        <v>6171</v>
      </c>
      <c r="FG12" s="1391">
        <f t="shared" ref="FG12" si="262">SUM(FG13,FG18,FG20,FG35)</f>
        <v>9590</v>
      </c>
      <c r="FH12" s="1391">
        <f t="shared" ref="FH12" si="263">SUM(FH13,FH18,FH20,FH35)</f>
        <v>8953</v>
      </c>
      <c r="FI12" s="1391">
        <f t="shared" ref="FI12" si="264">SUM(FI13,FI18,FI20,FI35)</f>
        <v>16275</v>
      </c>
      <c r="FJ12" s="1391">
        <f t="shared" ref="FJ12" si="265">SUM(FJ13,FJ18,FJ20,FJ35)</f>
        <v>14752</v>
      </c>
      <c r="FK12" s="1391">
        <f t="shared" ref="FK12" si="266">SUM(FK13,FK18,FK20,FK35)</f>
        <v>5492</v>
      </c>
      <c r="FL12" s="1391">
        <f t="shared" ref="FL12" si="267">SUM(FL13,FL18,FL20,FL35)</f>
        <v>5379</v>
      </c>
      <c r="FM12" s="1392">
        <f t="shared" ref="FM12" si="268">SUM(FM13,FM18,FM20,FM35)</f>
        <v>6088</v>
      </c>
      <c r="FN12" s="1392">
        <f t="shared" si="101"/>
        <v>95136</v>
      </c>
      <c r="FO12" s="1390">
        <f t="shared" ref="FO12" si="269">SUM(FO13,FO18,FO20,FO35)</f>
        <v>5107</v>
      </c>
      <c r="FP12" s="1391">
        <f t="shared" ref="FP12" si="270">SUM(FP13,FP18,FP20,FP35)</f>
        <v>3622</v>
      </c>
      <c r="FQ12" s="1391">
        <f t="shared" ref="FQ12" si="271">SUM(FQ13,FQ18,FQ20,FQ35)</f>
        <v>11105</v>
      </c>
      <c r="FR12" s="1391">
        <f t="shared" ref="FR12" si="272">SUM(FR13,FR18,FR20,FR35)</f>
        <v>5339</v>
      </c>
      <c r="FS12" s="1391">
        <f t="shared" ref="FS12" si="273">SUM(FS13,FS18,FS20,FS35)</f>
        <v>5196</v>
      </c>
      <c r="FT12" s="1391">
        <f t="shared" ref="FT12" si="274">SUM(FT13,FT18,FT20,FT35)</f>
        <v>10583</v>
      </c>
      <c r="FU12" s="1391">
        <f t="shared" ref="FU12" si="275">SUM(FU13,FU18,FU20,FU35)</f>
        <v>6139</v>
      </c>
      <c r="FV12" s="1391">
        <f t="shared" ref="FV12" si="276">SUM(FV13,FV18,FV20,FV35)</f>
        <v>13356</v>
      </c>
      <c r="FW12" s="1391">
        <f t="shared" ref="FW12" si="277">SUM(FW13,FW18,FW20,FW35)</f>
        <v>5227</v>
      </c>
      <c r="FX12" s="1391">
        <f t="shared" ref="FX12" si="278">SUM(FX13,FX18,FX20,FX35)</f>
        <v>14138</v>
      </c>
      <c r="FY12" s="1391">
        <f t="shared" ref="FY12" si="279">SUM(FY13,FY18,FY20,FY35)</f>
        <v>9437</v>
      </c>
      <c r="FZ12" s="1392">
        <f t="shared" ref="FZ12" si="280">SUM(FZ13,FZ18,FZ20,FZ35)</f>
        <v>10852</v>
      </c>
      <c r="GA12" s="1392">
        <f t="shared" si="102"/>
        <v>100101</v>
      </c>
      <c r="GB12" s="1390">
        <f t="shared" ref="GB12" si="281">SUM(GB13,GB18,GB20,GB35)</f>
        <v>8639</v>
      </c>
      <c r="GC12" s="1391">
        <f t="shared" ref="GC12" si="282">SUM(GC13,GC18,GC20,GC35)</f>
        <v>4662</v>
      </c>
      <c r="GD12" s="1391">
        <f t="shared" ref="GD12" si="283">SUM(GD13,GD18,GD20,GD35)</f>
        <v>13330</v>
      </c>
      <c r="GE12" s="1391">
        <f t="shared" ref="GE12" si="284">SUM(GE13,GE18,GE20,GE35)</f>
        <v>4089</v>
      </c>
      <c r="GF12" s="1391">
        <f t="shared" ref="GF12" si="285">SUM(GF13,GF18,GF20,GF35)</f>
        <v>7987</v>
      </c>
      <c r="GG12" s="1391">
        <f t="shared" ref="GG12" si="286">SUM(GG13,GG18,GG20,GG35)</f>
        <v>13534</v>
      </c>
      <c r="GH12" s="1391">
        <f t="shared" ref="GH12" si="287">SUM(GH13,GH18,GH20,GH35)</f>
        <v>6787</v>
      </c>
      <c r="GI12" s="1391">
        <f t="shared" ref="GI12" si="288">SUM(GI13,GI18,GI20,GI35)</f>
        <v>9191</v>
      </c>
      <c r="GJ12" s="1391">
        <f t="shared" ref="GJ12" si="289">SUM(GJ13,GJ18,GJ20,GJ35)</f>
        <v>7182</v>
      </c>
      <c r="GK12" s="1391">
        <f t="shared" ref="GK12" si="290">SUM(GK13,GK18,GK20,GK35)</f>
        <v>10603</v>
      </c>
      <c r="GL12" s="1391">
        <f t="shared" ref="GL12" si="291">SUM(GL13,GL18,GL20,GL35)</f>
        <v>13430</v>
      </c>
      <c r="GM12" s="1392">
        <f t="shared" ref="GM12" si="292">SUM(GM13,GM18,GM20,GM35)</f>
        <v>13442</v>
      </c>
      <c r="GN12" s="1392">
        <f t="shared" si="103"/>
        <v>112876</v>
      </c>
      <c r="GO12" s="1390">
        <f t="shared" ref="GO12" si="293">SUM(GO13,GO18,GO20,GO35)</f>
        <v>16410</v>
      </c>
      <c r="GP12" s="1391">
        <f t="shared" ref="GP12" si="294">SUM(GP13,GP18,GP20,GP35)</f>
        <v>20654</v>
      </c>
      <c r="GQ12" s="1391">
        <f t="shared" ref="GQ12" si="295">SUM(GQ13,GQ18,GQ20,GQ35)</f>
        <v>9154</v>
      </c>
      <c r="GR12" s="1391">
        <f t="shared" ref="GR12" si="296">SUM(GR13,GR18,GR20,GR35)</f>
        <v>6989</v>
      </c>
      <c r="GS12" s="1391">
        <f t="shared" ref="GS12" si="297">SUM(GS13,GS18,GS20,GS35)</f>
        <v>6130</v>
      </c>
      <c r="GT12" s="1391">
        <f t="shared" ref="GT12" si="298">SUM(GT13,GT18,GT20,GT35)</f>
        <v>6076</v>
      </c>
      <c r="GU12" s="1391">
        <f t="shared" ref="GU12" si="299">SUM(GU13,GU18,GU20,GU35)</f>
        <v>6768</v>
      </c>
      <c r="GV12" s="1391">
        <f t="shared" ref="GV12" si="300">SUM(GV13,GV18,GV20,GV35)</f>
        <v>13408</v>
      </c>
      <c r="GW12" s="1391">
        <f t="shared" ref="GW12" si="301">SUM(GW13,GW18,GW20,GW35)</f>
        <v>15211</v>
      </c>
      <c r="GX12" s="1391">
        <f t="shared" ref="GX12" si="302">SUM(GX13,GX18,GX20,GX35)</f>
        <v>13455</v>
      </c>
      <c r="GY12" s="1391">
        <f t="shared" ref="GY12" si="303">SUM(GY13,GY18,GY20,GY35)</f>
        <v>16744</v>
      </c>
      <c r="GZ12" s="1392">
        <f t="shared" ref="GZ12" si="304">SUM(GZ13,GZ18,GZ20,GZ35)</f>
        <v>8592</v>
      </c>
      <c r="HA12" s="1392">
        <f t="shared" si="104"/>
        <v>139591</v>
      </c>
      <c r="HB12" s="1390">
        <f t="shared" ref="HB12" si="305">SUM(HB13,HB18,HB20,HB35)</f>
        <v>17243</v>
      </c>
      <c r="HC12" s="1391">
        <f t="shared" ref="HC12" si="306">SUM(HC13,HC18,HC20,HC35)</f>
        <v>8706</v>
      </c>
      <c r="HD12" s="1391">
        <f t="shared" ref="HD12" si="307">SUM(HD13,HD18,HD20,HD35)</f>
        <v>6729</v>
      </c>
      <c r="HE12" s="1391">
        <f t="shared" ref="HE12" si="308">SUM(HE13,HE18,HE20,HE35)</f>
        <v>6914</v>
      </c>
      <c r="HF12" s="1391">
        <f t="shared" ref="HF12" si="309">SUM(HF13,HF18,HF20,HF35)</f>
        <v>9595</v>
      </c>
      <c r="HG12" s="1391">
        <f t="shared" ref="HG12" si="310">SUM(HG13,HG18,HG20,HG35)</f>
        <v>8512</v>
      </c>
      <c r="HH12" s="1391">
        <f t="shared" ref="HH12" si="311">SUM(HH13,HH18,HH20,HH35)</f>
        <v>9454</v>
      </c>
      <c r="HI12" s="1391">
        <f t="shared" ref="HI12" si="312">SUM(HI13,HI18,HI20,HI35)</f>
        <v>8330</v>
      </c>
      <c r="HJ12" s="1391">
        <f t="shared" ref="HJ12" si="313">SUM(HJ13,HJ18,HJ20,HJ35)</f>
        <v>13979</v>
      </c>
      <c r="HK12" s="1391">
        <f t="shared" ref="HK12" si="314">SUM(HK13,HK18,HK20,HK35)</f>
        <v>17031</v>
      </c>
      <c r="HL12" s="1391">
        <f t="shared" ref="HL12" si="315">SUM(HL13,HL18,HL20,HL35)</f>
        <v>13959</v>
      </c>
      <c r="HM12" s="1392">
        <f t="shared" ref="HM12" si="316">SUM(HM13,HM18,HM20,HM35)</f>
        <v>18902</v>
      </c>
      <c r="HN12" s="1392">
        <f t="shared" si="105"/>
        <v>139354</v>
      </c>
      <c r="HO12" s="1390">
        <f t="shared" ref="HO12" si="317">SUM(HO13,HO18,HO20,HO35)</f>
        <v>8340</v>
      </c>
      <c r="HP12" s="1391">
        <f t="shared" ref="HP12" si="318">SUM(HP13,HP18,HP20,HP35)</f>
        <v>6586</v>
      </c>
      <c r="HQ12" s="1391">
        <f t="shared" ref="HQ12" si="319">SUM(HQ13,HQ18,HQ20,HQ35)</f>
        <v>11591</v>
      </c>
      <c r="HR12" s="1391">
        <f t="shared" ref="HR12" si="320">SUM(HR13,HR18,HR20,HR35)</f>
        <v>8556</v>
      </c>
      <c r="HS12" s="1391">
        <f t="shared" ref="HS12" si="321">SUM(HS13,HS18,HS20,HS35)</f>
        <v>10707</v>
      </c>
      <c r="HT12" s="1391">
        <f t="shared" ref="HT12" si="322">SUM(HT13,HT18,HT20,HT35)</f>
        <v>9248</v>
      </c>
      <c r="HU12" s="1391">
        <f t="shared" ref="HU12" si="323">SUM(HU13,HU18,HU20,HU35)</f>
        <v>13614</v>
      </c>
      <c r="HV12" s="1391">
        <f t="shared" ref="HV12" si="324">SUM(HV13,HV18,HV20,HV35)</f>
        <v>14664</v>
      </c>
      <c r="HW12" s="1391">
        <f t="shared" ref="HW12" si="325">SUM(HW13,HW18,HW20,HW35)</f>
        <v>13667</v>
      </c>
      <c r="HX12" s="1391">
        <f t="shared" ref="HX12" si="326">SUM(HX13,HX18,HX20,HX35)</f>
        <v>17687</v>
      </c>
      <c r="HY12" s="1391">
        <f t="shared" ref="HY12" si="327">SUM(HY13,HY18,HY20,HY35)</f>
        <v>13686</v>
      </c>
      <c r="HZ12" s="1392">
        <f t="shared" ref="HZ12" si="328">SUM(HZ13,HZ18,HZ20,HZ35)</f>
        <v>11452</v>
      </c>
      <c r="IA12" s="1392">
        <f t="shared" ref="IA12" si="329">SUM(HO12:HZ12)</f>
        <v>139798</v>
      </c>
      <c r="IB12" s="1390">
        <f t="shared" ref="IB12" si="330">SUM(IB13,IB18,IB20,IB35)</f>
        <v>10871</v>
      </c>
      <c r="IC12" s="1391">
        <f t="shared" ref="IC12" si="331">SUM(IC13,IC18,IC20,IC35)</f>
        <v>11078</v>
      </c>
      <c r="ID12" s="1391">
        <f t="shared" ref="ID12" si="332">SUM(ID13,ID18,ID20,ID35)</f>
        <v>11326</v>
      </c>
      <c r="IE12" s="1391">
        <f t="shared" ref="IE12" si="333">SUM(IE13,IE18,IE20,IE35)</f>
        <v>9104</v>
      </c>
      <c r="IF12" s="1391">
        <f t="shared" ref="IF12" si="334">SUM(IF13,IF18,IF20,IF35)</f>
        <v>11303</v>
      </c>
      <c r="IG12" s="1391">
        <f t="shared" ref="IG12" si="335">SUM(IG13,IG18,IG20,IG35)</f>
        <v>15770</v>
      </c>
      <c r="IH12" s="1391">
        <f t="shared" ref="IH12" si="336">SUM(IH13,IH18,IH20,IH35)</f>
        <v>20252</v>
      </c>
      <c r="II12" s="1391">
        <f t="shared" ref="II12" si="337">SUM(II13,II18,II20,II35)</f>
        <v>19430</v>
      </c>
      <c r="IJ12" s="1391">
        <f t="shared" ref="IJ12" si="338">SUM(IJ13,IJ18,IJ20,IJ35)</f>
        <v>23863</v>
      </c>
      <c r="IK12" s="1391">
        <f t="shared" ref="IK12" si="339">SUM(IK13,IK18,IK20,IK35)</f>
        <v>20788</v>
      </c>
      <c r="IL12" s="1391">
        <f t="shared" ref="IL12" si="340">SUM(IL13,IL18,IL20,IL35)</f>
        <v>14426</v>
      </c>
      <c r="IM12" s="1392">
        <f t="shared" ref="IM12" si="341">SUM(IM13,IM18,IM20,IM35)</f>
        <v>14456</v>
      </c>
      <c r="IN12" s="1392">
        <f t="shared" si="106"/>
        <v>182667</v>
      </c>
      <c r="IO12" s="1390">
        <f t="shared" ref="IO12" si="342">SUM(IO13,IO18,IO20,IO35)</f>
        <v>15782</v>
      </c>
      <c r="IP12" s="1391">
        <f t="shared" ref="IP12" si="343">SUM(IP13,IP18,IP20,IP35)</f>
        <v>13676</v>
      </c>
      <c r="IQ12" s="1391">
        <f t="shared" ref="IQ12" si="344">SUM(IQ13,IQ18,IQ20,IQ35)</f>
        <v>13209</v>
      </c>
      <c r="IR12" s="1391">
        <f t="shared" ref="IR12" si="345">SUM(IR13,IR18,IR20,IR35)</f>
        <v>19042</v>
      </c>
      <c r="IS12" s="1391">
        <f t="shared" ref="IS12" si="346">SUM(IS13,IS18,IS20,IS35)</f>
        <v>18085</v>
      </c>
      <c r="IT12" s="1391">
        <f t="shared" ref="IT12" si="347">SUM(IT13,IT18,IT20,IT35)</f>
        <v>17374</v>
      </c>
      <c r="IU12" s="1391">
        <f t="shared" ref="IU12" si="348">SUM(IU13,IU18,IU20,IU35)</f>
        <v>25529</v>
      </c>
      <c r="IV12" s="1391">
        <f t="shared" ref="IV12" si="349">SUM(IV13,IV18,IV20,IV35)</f>
        <v>32756</v>
      </c>
      <c r="IW12" s="1391">
        <f t="shared" ref="IW12" si="350">SUM(IW13,IW18,IW20,IW35)</f>
        <v>32195</v>
      </c>
      <c r="IX12" s="1391">
        <f t="shared" ref="IX12" si="351">SUM(IX13,IX18,IX20,IX35)</f>
        <v>24901</v>
      </c>
      <c r="IY12" s="1391">
        <f t="shared" ref="IY12" si="352">SUM(IY13,IY18,IY20,IY35)</f>
        <v>22040</v>
      </c>
      <c r="IZ12" s="1392">
        <f t="shared" ref="IZ12" si="353">SUM(IZ13,IZ18,IZ20,IZ35)</f>
        <v>33188</v>
      </c>
      <c r="JA12" s="1392">
        <f t="shared" ref="JA12" si="354">SUM(IO12:IZ12)</f>
        <v>267777</v>
      </c>
      <c r="JB12" s="1390">
        <f t="shared" ref="JB12" si="355">SUM(JB13,JB18,JB20,JB35)</f>
        <v>38291</v>
      </c>
      <c r="JC12" s="1391">
        <f t="shared" ref="JC12" si="356">SUM(JC13,JC18,JC20,JC35)</f>
        <v>32882</v>
      </c>
      <c r="JD12" s="1391">
        <f t="shared" ref="JD12" si="357">SUM(JD13,JD18,JD20,JD35)</f>
        <v>19838</v>
      </c>
      <c r="JE12" s="1391">
        <f t="shared" ref="JE12" si="358">SUM(JE13,JE18,JE20,JE35)</f>
        <v>14393</v>
      </c>
      <c r="JF12" s="1391">
        <f t="shared" ref="JF12" si="359">SUM(JF13,JF18,JF20,JF35)</f>
        <v>31055</v>
      </c>
      <c r="JG12" s="1391">
        <f t="shared" ref="JG12" si="360">SUM(JG13,JG18,JG20,JG35)</f>
        <v>61034</v>
      </c>
      <c r="JH12" s="1391">
        <f t="shared" ref="JH12" si="361">SUM(JH13,JH18,JH20,JH35)</f>
        <v>76448</v>
      </c>
      <c r="JI12" s="1391">
        <f t="shared" ref="JI12" si="362">SUM(JI13,JI18,JI20,JI35)</f>
        <v>63118</v>
      </c>
      <c r="JJ12" s="1391">
        <f t="shared" ref="JJ12" si="363">SUM(JJ13,JJ18,JJ20,JJ35)</f>
        <v>68259</v>
      </c>
      <c r="JK12" s="1391">
        <f t="shared" ref="JK12" si="364">SUM(JK13,JK18,JK20,JK35)</f>
        <v>37677</v>
      </c>
      <c r="JL12" s="1391">
        <f t="shared" ref="JL12" si="365">SUM(JL13,JL18,JL20,JL35)</f>
        <v>23639</v>
      </c>
      <c r="JM12" s="1392">
        <f t="shared" ref="JM12" si="366">SUM(JM13,JM18,JM20,JM35)</f>
        <v>18551</v>
      </c>
      <c r="JN12" s="1392">
        <f t="shared" si="108"/>
        <v>485185</v>
      </c>
      <c r="JO12" s="1390">
        <f>SUM(JO13,JO18,JO20,JO35)</f>
        <v>21635</v>
      </c>
      <c r="JP12" s="1391">
        <f t="shared" ref="JP12:JZ12" si="367">SUM(JP13,JP18,JP20,JP35)</f>
        <v>10303</v>
      </c>
      <c r="JQ12" s="1391">
        <f t="shared" si="367"/>
        <v>14112</v>
      </c>
      <c r="JR12" s="1391">
        <f t="shared" si="367"/>
        <v>19469</v>
      </c>
      <c r="JS12" s="1391">
        <f t="shared" si="367"/>
        <v>18891</v>
      </c>
      <c r="JT12" s="1391">
        <f t="shared" si="367"/>
        <v>40672</v>
      </c>
      <c r="JU12" s="1391">
        <f t="shared" si="367"/>
        <v>37275</v>
      </c>
      <c r="JV12" s="1391">
        <f t="shared" si="367"/>
        <v>33913</v>
      </c>
      <c r="JW12" s="1391">
        <f t="shared" si="367"/>
        <v>0</v>
      </c>
      <c r="JX12" s="1391">
        <f t="shared" si="367"/>
        <v>0</v>
      </c>
      <c r="JY12" s="1391">
        <f t="shared" si="367"/>
        <v>0</v>
      </c>
      <c r="JZ12" s="1392">
        <f t="shared" si="367"/>
        <v>0</v>
      </c>
      <c r="KA12" s="1392">
        <f t="shared" si="109"/>
        <v>196270</v>
      </c>
      <c r="KB12" s="1401"/>
      <c r="KC12" s="1064">
        <f t="shared" si="83"/>
        <v>-28.863796753705007</v>
      </c>
      <c r="KD12" s="1063">
        <f t="shared" si="84"/>
        <v>-49.40172067112767</v>
      </c>
      <c r="KE12" s="1402">
        <f t="shared" si="85"/>
        <v>91011</v>
      </c>
      <c r="KF12" s="1402">
        <f t="shared" si="86"/>
        <v>46050</v>
      </c>
      <c r="KG12" s="1401"/>
      <c r="KH12" s="1403">
        <f t="shared" si="87"/>
        <v>0.71136203246294993</v>
      </c>
      <c r="KI12" s="1404">
        <f t="shared" si="88"/>
        <v>-5726</v>
      </c>
      <c r="KJ12" s="1405">
        <f t="shared" si="55"/>
        <v>-44961</v>
      </c>
      <c r="KK12" s="1406"/>
    </row>
    <row r="13" spans="1:297" ht="15" customHeight="1" x14ac:dyDescent="0.2">
      <c r="A13" s="1408" t="s">
        <v>596</v>
      </c>
      <c r="B13" s="1393">
        <f t="shared" ref="B13:BM13" si="368">SUM(B14:B17)</f>
        <v>109</v>
      </c>
      <c r="C13" s="1394">
        <f t="shared" si="368"/>
        <v>156</v>
      </c>
      <c r="D13" s="1394">
        <f t="shared" si="368"/>
        <v>163</v>
      </c>
      <c r="E13" s="1394">
        <f t="shared" si="368"/>
        <v>305</v>
      </c>
      <c r="F13" s="1394">
        <f t="shared" si="368"/>
        <v>226</v>
      </c>
      <c r="G13" s="1394">
        <f t="shared" si="368"/>
        <v>196</v>
      </c>
      <c r="H13" s="1394">
        <f t="shared" si="368"/>
        <v>113</v>
      </c>
      <c r="I13" s="1394">
        <f t="shared" si="368"/>
        <v>404</v>
      </c>
      <c r="J13" s="1394">
        <f t="shared" si="368"/>
        <v>105</v>
      </c>
      <c r="K13" s="1394">
        <f t="shared" si="368"/>
        <v>192</v>
      </c>
      <c r="L13" s="1394">
        <f t="shared" si="368"/>
        <v>45</v>
      </c>
      <c r="M13" s="1395">
        <f t="shared" si="368"/>
        <v>475</v>
      </c>
      <c r="N13" s="1395">
        <f t="shared" si="368"/>
        <v>2489</v>
      </c>
      <c r="O13" s="1393">
        <f t="shared" si="368"/>
        <v>550</v>
      </c>
      <c r="P13" s="1394">
        <f t="shared" si="368"/>
        <v>668</v>
      </c>
      <c r="Q13" s="1394">
        <f t="shared" si="368"/>
        <v>400</v>
      </c>
      <c r="R13" s="1394">
        <f t="shared" si="368"/>
        <v>467</v>
      </c>
      <c r="S13" s="1394">
        <f t="shared" si="368"/>
        <v>398</v>
      </c>
      <c r="T13" s="1394">
        <f t="shared" si="368"/>
        <v>834</v>
      </c>
      <c r="U13" s="1394">
        <f t="shared" si="368"/>
        <v>779</v>
      </c>
      <c r="V13" s="1394">
        <f t="shared" si="368"/>
        <v>561</v>
      </c>
      <c r="W13" s="1394">
        <f t="shared" si="368"/>
        <v>464</v>
      </c>
      <c r="X13" s="1394">
        <f t="shared" si="368"/>
        <v>836</v>
      </c>
      <c r="Y13" s="1394">
        <f t="shared" si="368"/>
        <v>698</v>
      </c>
      <c r="Z13" s="1395">
        <f t="shared" si="368"/>
        <v>459</v>
      </c>
      <c r="AA13" s="1395">
        <f t="shared" si="368"/>
        <v>7114</v>
      </c>
      <c r="AB13" s="1393">
        <f t="shared" si="368"/>
        <v>630</v>
      </c>
      <c r="AC13" s="1394">
        <f t="shared" si="368"/>
        <v>654</v>
      </c>
      <c r="AD13" s="1394">
        <f t="shared" si="368"/>
        <v>467</v>
      </c>
      <c r="AE13" s="1394">
        <f t="shared" si="368"/>
        <v>361</v>
      </c>
      <c r="AF13" s="1394">
        <f t="shared" si="368"/>
        <v>391</v>
      </c>
      <c r="AG13" s="1394">
        <f t="shared" si="368"/>
        <v>455</v>
      </c>
      <c r="AH13" s="1394">
        <f t="shared" si="368"/>
        <v>570</v>
      </c>
      <c r="AI13" s="1394">
        <f t="shared" si="368"/>
        <v>522</v>
      </c>
      <c r="AJ13" s="1394">
        <f t="shared" si="368"/>
        <v>333</v>
      </c>
      <c r="AK13" s="1394">
        <f t="shared" si="368"/>
        <v>539</v>
      </c>
      <c r="AL13" s="1394">
        <f t="shared" si="368"/>
        <v>424</v>
      </c>
      <c r="AM13" s="1395">
        <f t="shared" si="368"/>
        <v>493</v>
      </c>
      <c r="AN13" s="1395">
        <f t="shared" si="368"/>
        <v>5839</v>
      </c>
      <c r="AO13" s="1393">
        <f t="shared" si="368"/>
        <v>464</v>
      </c>
      <c r="AP13" s="1394">
        <f t="shared" si="368"/>
        <v>331</v>
      </c>
      <c r="AQ13" s="1394">
        <f t="shared" si="368"/>
        <v>470</v>
      </c>
      <c r="AR13" s="1394">
        <f t="shared" si="368"/>
        <v>477</v>
      </c>
      <c r="AS13" s="1394">
        <f t="shared" si="368"/>
        <v>538</v>
      </c>
      <c r="AT13" s="1394">
        <f t="shared" si="368"/>
        <v>415</v>
      </c>
      <c r="AU13" s="1394">
        <f t="shared" si="368"/>
        <v>421</v>
      </c>
      <c r="AV13" s="1394">
        <f t="shared" si="368"/>
        <v>591</v>
      </c>
      <c r="AW13" s="1394">
        <f t="shared" si="368"/>
        <v>566</v>
      </c>
      <c r="AX13" s="1394">
        <f t="shared" si="368"/>
        <v>443</v>
      </c>
      <c r="AY13" s="1394">
        <f t="shared" si="368"/>
        <v>281</v>
      </c>
      <c r="AZ13" s="1395">
        <f t="shared" si="368"/>
        <v>456</v>
      </c>
      <c r="BA13" s="1395">
        <f t="shared" si="368"/>
        <v>5453</v>
      </c>
      <c r="BB13" s="1393">
        <f t="shared" si="368"/>
        <v>168</v>
      </c>
      <c r="BC13" s="1394">
        <f t="shared" si="368"/>
        <v>150</v>
      </c>
      <c r="BD13" s="1394">
        <f t="shared" si="368"/>
        <v>564</v>
      </c>
      <c r="BE13" s="1394">
        <f t="shared" si="368"/>
        <v>537</v>
      </c>
      <c r="BF13" s="1394">
        <f t="shared" si="368"/>
        <v>394</v>
      </c>
      <c r="BG13" s="1394">
        <f t="shared" si="368"/>
        <v>479</v>
      </c>
      <c r="BH13" s="1394">
        <f t="shared" si="368"/>
        <v>497</v>
      </c>
      <c r="BI13" s="1394">
        <f t="shared" si="368"/>
        <v>453</v>
      </c>
      <c r="BJ13" s="1394">
        <f t="shared" si="368"/>
        <v>604</v>
      </c>
      <c r="BK13" s="1394">
        <f t="shared" si="368"/>
        <v>672</v>
      </c>
      <c r="BL13" s="1394">
        <f t="shared" si="368"/>
        <v>783</v>
      </c>
      <c r="BM13" s="1395">
        <f t="shared" si="368"/>
        <v>789</v>
      </c>
      <c r="BN13" s="1395">
        <f t="shared" ref="BN13:DY13" si="369">SUM(BN14:BN17)</f>
        <v>6090</v>
      </c>
      <c r="BO13" s="1393">
        <f t="shared" si="369"/>
        <v>374</v>
      </c>
      <c r="BP13" s="1394">
        <f t="shared" si="369"/>
        <v>379</v>
      </c>
      <c r="BQ13" s="1394">
        <f t="shared" si="369"/>
        <v>345</v>
      </c>
      <c r="BR13" s="1394">
        <f t="shared" si="369"/>
        <v>569</v>
      </c>
      <c r="BS13" s="1394">
        <f t="shared" si="369"/>
        <v>553</v>
      </c>
      <c r="BT13" s="1394">
        <f t="shared" si="369"/>
        <v>331</v>
      </c>
      <c r="BU13" s="1394">
        <f t="shared" si="369"/>
        <v>528</v>
      </c>
      <c r="BV13" s="1394">
        <f t="shared" si="369"/>
        <v>383</v>
      </c>
      <c r="BW13" s="1394">
        <f t="shared" si="369"/>
        <v>456</v>
      </c>
      <c r="BX13" s="1394">
        <f t="shared" si="369"/>
        <v>634</v>
      </c>
      <c r="BY13" s="1394">
        <f t="shared" si="369"/>
        <v>257</v>
      </c>
      <c r="BZ13" s="1395">
        <f t="shared" si="369"/>
        <v>162</v>
      </c>
      <c r="CA13" s="1395">
        <f t="shared" si="369"/>
        <v>4971</v>
      </c>
      <c r="CB13" s="1393">
        <f t="shared" si="369"/>
        <v>451</v>
      </c>
      <c r="CC13" s="1394">
        <f t="shared" si="369"/>
        <v>182</v>
      </c>
      <c r="CD13" s="1394">
        <f t="shared" si="369"/>
        <v>464</v>
      </c>
      <c r="CE13" s="1394">
        <f t="shared" si="369"/>
        <v>174</v>
      </c>
      <c r="CF13" s="1394">
        <f t="shared" si="369"/>
        <v>349</v>
      </c>
      <c r="CG13" s="1394">
        <f t="shared" si="369"/>
        <v>190</v>
      </c>
      <c r="CH13" s="1394">
        <f t="shared" si="369"/>
        <v>359</v>
      </c>
      <c r="CI13" s="1394">
        <f t="shared" si="369"/>
        <v>222</v>
      </c>
      <c r="CJ13" s="1394">
        <f t="shared" si="369"/>
        <v>311</v>
      </c>
      <c r="CK13" s="1394">
        <f t="shared" si="369"/>
        <v>89</v>
      </c>
      <c r="CL13" s="1394">
        <f t="shared" si="369"/>
        <v>229</v>
      </c>
      <c r="CM13" s="1395">
        <f t="shared" si="369"/>
        <v>209</v>
      </c>
      <c r="CN13" s="1395">
        <f t="shared" si="369"/>
        <v>3229</v>
      </c>
      <c r="CO13" s="1393">
        <f t="shared" si="369"/>
        <v>327</v>
      </c>
      <c r="CP13" s="1394">
        <f t="shared" si="369"/>
        <v>358</v>
      </c>
      <c r="CQ13" s="1394">
        <f t="shared" si="369"/>
        <v>225</v>
      </c>
      <c r="CR13" s="1394">
        <f t="shared" si="369"/>
        <v>77.7</v>
      </c>
      <c r="CS13" s="1394">
        <f t="shared" si="369"/>
        <v>0</v>
      </c>
      <c r="CT13" s="1394">
        <f t="shared" si="369"/>
        <v>0</v>
      </c>
      <c r="CU13" s="1394">
        <f t="shared" si="369"/>
        <v>0</v>
      </c>
      <c r="CV13" s="1394">
        <f t="shared" si="369"/>
        <v>0</v>
      </c>
      <c r="CW13" s="1394">
        <f t="shared" si="369"/>
        <v>0</v>
      </c>
      <c r="CX13" s="1394">
        <f t="shared" si="369"/>
        <v>0</v>
      </c>
      <c r="CY13" s="1394">
        <f t="shared" si="369"/>
        <v>0</v>
      </c>
      <c r="CZ13" s="1395">
        <f t="shared" si="369"/>
        <v>57</v>
      </c>
      <c r="DA13" s="1395">
        <f t="shared" si="369"/>
        <v>1044.7</v>
      </c>
      <c r="DB13" s="1393">
        <f t="shared" si="369"/>
        <v>0</v>
      </c>
      <c r="DC13" s="1394">
        <f t="shared" si="369"/>
        <v>66</v>
      </c>
      <c r="DD13" s="1394">
        <f t="shared" si="369"/>
        <v>65</v>
      </c>
      <c r="DE13" s="1394">
        <f t="shared" si="369"/>
        <v>160</v>
      </c>
      <c r="DF13" s="1394">
        <f t="shared" si="369"/>
        <v>71</v>
      </c>
      <c r="DG13" s="1394">
        <f t="shared" si="369"/>
        <v>51</v>
      </c>
      <c r="DH13" s="1394">
        <f t="shared" si="369"/>
        <v>249</v>
      </c>
      <c r="DI13" s="1394">
        <f t="shared" si="369"/>
        <v>77</v>
      </c>
      <c r="DJ13" s="1394">
        <f t="shared" si="369"/>
        <v>40</v>
      </c>
      <c r="DK13" s="1394">
        <f t="shared" si="369"/>
        <v>0</v>
      </c>
      <c r="DL13" s="1394">
        <f t="shared" si="369"/>
        <v>408</v>
      </c>
      <c r="DM13" s="1395">
        <f t="shared" si="369"/>
        <v>295</v>
      </c>
      <c r="DN13" s="1395">
        <f t="shared" si="369"/>
        <v>1482</v>
      </c>
      <c r="DO13" s="1393">
        <f t="shared" si="369"/>
        <v>21</v>
      </c>
      <c r="DP13" s="1394">
        <f t="shared" si="369"/>
        <v>62</v>
      </c>
      <c r="DQ13" s="1394">
        <f t="shared" si="369"/>
        <v>63</v>
      </c>
      <c r="DR13" s="1394">
        <f t="shared" si="369"/>
        <v>70</v>
      </c>
      <c r="DS13" s="1394">
        <f t="shared" si="369"/>
        <v>0</v>
      </c>
      <c r="DT13" s="1394">
        <f t="shared" si="369"/>
        <v>0</v>
      </c>
      <c r="DU13" s="1394">
        <f t="shared" si="369"/>
        <v>0</v>
      </c>
      <c r="DV13" s="1394">
        <f t="shared" si="369"/>
        <v>0</v>
      </c>
      <c r="DW13" s="1394">
        <f t="shared" si="369"/>
        <v>0</v>
      </c>
      <c r="DX13" s="1394">
        <f t="shared" si="369"/>
        <v>61</v>
      </c>
      <c r="DY13" s="1394">
        <f t="shared" si="369"/>
        <v>0</v>
      </c>
      <c r="DZ13" s="1395">
        <f t="shared" ref="DZ13:GK13" si="370">SUM(DZ14:DZ17)</f>
        <v>0</v>
      </c>
      <c r="EA13" s="1395">
        <f t="shared" si="370"/>
        <v>277</v>
      </c>
      <c r="EB13" s="1393">
        <f t="shared" si="370"/>
        <v>0</v>
      </c>
      <c r="EC13" s="1394">
        <f t="shared" si="370"/>
        <v>81</v>
      </c>
      <c r="ED13" s="1394">
        <f t="shared" si="370"/>
        <v>0</v>
      </c>
      <c r="EE13" s="1394">
        <f t="shared" si="370"/>
        <v>0</v>
      </c>
      <c r="EF13" s="1394">
        <f t="shared" si="370"/>
        <v>0</v>
      </c>
      <c r="EG13" s="1394">
        <f t="shared" si="370"/>
        <v>43</v>
      </c>
      <c r="EH13" s="1394">
        <f t="shared" si="370"/>
        <v>0</v>
      </c>
      <c r="EI13" s="1394">
        <f t="shared" si="370"/>
        <v>0</v>
      </c>
      <c r="EJ13" s="1394">
        <f t="shared" si="370"/>
        <v>0</v>
      </c>
      <c r="EK13" s="1394">
        <f t="shared" si="370"/>
        <v>0</v>
      </c>
      <c r="EL13" s="1394">
        <f t="shared" si="370"/>
        <v>0</v>
      </c>
      <c r="EM13" s="1395">
        <f t="shared" si="370"/>
        <v>267</v>
      </c>
      <c r="EN13" s="1395">
        <f t="shared" si="370"/>
        <v>391</v>
      </c>
      <c r="EO13" s="1393">
        <f t="shared" si="370"/>
        <v>0</v>
      </c>
      <c r="EP13" s="1394">
        <f t="shared" si="370"/>
        <v>242</v>
      </c>
      <c r="EQ13" s="1394">
        <f t="shared" si="370"/>
        <v>203</v>
      </c>
      <c r="ER13" s="1394">
        <f t="shared" si="370"/>
        <v>338</v>
      </c>
      <c r="ES13" s="1394">
        <f t="shared" si="370"/>
        <v>172</v>
      </c>
      <c r="ET13" s="1394">
        <f t="shared" si="370"/>
        <v>230</v>
      </c>
      <c r="EU13" s="1394">
        <f t="shared" si="370"/>
        <v>211</v>
      </c>
      <c r="EV13" s="1394">
        <f t="shared" si="370"/>
        <v>236</v>
      </c>
      <c r="EW13" s="1394">
        <f t="shared" si="370"/>
        <v>284</v>
      </c>
      <c r="EX13" s="1394">
        <f t="shared" si="370"/>
        <v>281</v>
      </c>
      <c r="EY13" s="1394">
        <f t="shared" si="370"/>
        <v>169</v>
      </c>
      <c r="EZ13" s="1395">
        <f t="shared" si="370"/>
        <v>158</v>
      </c>
      <c r="FA13" s="1395">
        <f t="shared" si="370"/>
        <v>2524</v>
      </c>
      <c r="FB13" s="1393">
        <f t="shared" si="370"/>
        <v>204</v>
      </c>
      <c r="FC13" s="1394">
        <f t="shared" si="370"/>
        <v>208</v>
      </c>
      <c r="FD13" s="1394">
        <f t="shared" si="370"/>
        <v>193</v>
      </c>
      <c r="FE13" s="1394">
        <f t="shared" si="370"/>
        <v>68</v>
      </c>
      <c r="FF13" s="1394">
        <f t="shared" si="370"/>
        <v>171</v>
      </c>
      <c r="FG13" s="1394">
        <f t="shared" si="370"/>
        <v>121</v>
      </c>
      <c r="FH13" s="1394">
        <f t="shared" si="370"/>
        <v>177</v>
      </c>
      <c r="FI13" s="1394">
        <f t="shared" si="370"/>
        <v>280</v>
      </c>
      <c r="FJ13" s="1394">
        <f t="shared" si="370"/>
        <v>2</v>
      </c>
      <c r="FK13" s="1394">
        <f t="shared" si="370"/>
        <v>0</v>
      </c>
      <c r="FL13" s="1394">
        <f t="shared" si="370"/>
        <v>30</v>
      </c>
      <c r="FM13" s="1395">
        <f t="shared" si="370"/>
        <v>178</v>
      </c>
      <c r="FN13" s="1395">
        <f t="shared" si="370"/>
        <v>1632</v>
      </c>
      <c r="FO13" s="1393">
        <f t="shared" si="370"/>
        <v>0</v>
      </c>
      <c r="FP13" s="1394">
        <f t="shared" si="370"/>
        <v>0</v>
      </c>
      <c r="FQ13" s="1394">
        <f t="shared" si="370"/>
        <v>20</v>
      </c>
      <c r="FR13" s="1394">
        <f t="shared" si="370"/>
        <v>0</v>
      </c>
      <c r="FS13" s="1394">
        <f t="shared" si="370"/>
        <v>0</v>
      </c>
      <c r="FT13" s="1394">
        <f t="shared" si="370"/>
        <v>0</v>
      </c>
      <c r="FU13" s="1394">
        <f t="shared" si="370"/>
        <v>14</v>
      </c>
      <c r="FV13" s="1394">
        <f t="shared" si="370"/>
        <v>0</v>
      </c>
      <c r="FW13" s="1394">
        <f t="shared" si="370"/>
        <v>14</v>
      </c>
      <c r="FX13" s="1394">
        <f t="shared" si="370"/>
        <v>0</v>
      </c>
      <c r="FY13" s="1394">
        <f t="shared" si="370"/>
        <v>0</v>
      </c>
      <c r="FZ13" s="1395">
        <f t="shared" si="370"/>
        <v>14</v>
      </c>
      <c r="GA13" s="1395">
        <f t="shared" si="370"/>
        <v>62</v>
      </c>
      <c r="GB13" s="1393">
        <f t="shared" si="370"/>
        <v>0</v>
      </c>
      <c r="GC13" s="1394">
        <f t="shared" si="370"/>
        <v>0</v>
      </c>
      <c r="GD13" s="1394">
        <f t="shared" si="370"/>
        <v>0</v>
      </c>
      <c r="GE13" s="1394">
        <f t="shared" si="370"/>
        <v>0</v>
      </c>
      <c r="GF13" s="1394">
        <f t="shared" si="370"/>
        <v>1</v>
      </c>
      <c r="GG13" s="1394">
        <f t="shared" si="370"/>
        <v>20</v>
      </c>
      <c r="GH13" s="1394">
        <f t="shared" si="370"/>
        <v>0</v>
      </c>
      <c r="GI13" s="1394">
        <f t="shared" si="370"/>
        <v>22</v>
      </c>
      <c r="GJ13" s="1394">
        <f t="shared" si="370"/>
        <v>0</v>
      </c>
      <c r="GK13" s="1394">
        <f t="shared" si="370"/>
        <v>0</v>
      </c>
      <c r="GL13" s="1394">
        <f t="shared" ref="GL13:IW13" si="371">SUM(GL14:GL17)</f>
        <v>0</v>
      </c>
      <c r="GM13" s="1395">
        <f t="shared" si="371"/>
        <v>24</v>
      </c>
      <c r="GN13" s="1395">
        <f t="shared" si="371"/>
        <v>67</v>
      </c>
      <c r="GO13" s="1393">
        <f t="shared" si="371"/>
        <v>0</v>
      </c>
      <c r="GP13" s="1394">
        <f t="shared" si="371"/>
        <v>31</v>
      </c>
      <c r="GQ13" s="1394">
        <f t="shared" si="371"/>
        <v>0</v>
      </c>
      <c r="GR13" s="1394">
        <f t="shared" si="371"/>
        <v>0</v>
      </c>
      <c r="GS13" s="1394">
        <f t="shared" si="371"/>
        <v>0</v>
      </c>
      <c r="GT13" s="1394">
        <f t="shared" si="371"/>
        <v>0</v>
      </c>
      <c r="GU13" s="1394">
        <f t="shared" si="371"/>
        <v>0</v>
      </c>
      <c r="GV13" s="1394">
        <f t="shared" si="371"/>
        <v>5</v>
      </c>
      <c r="GW13" s="1394">
        <f t="shared" si="371"/>
        <v>13</v>
      </c>
      <c r="GX13" s="1394">
        <f t="shared" si="371"/>
        <v>42</v>
      </c>
      <c r="GY13" s="1394">
        <f t="shared" si="371"/>
        <v>66</v>
      </c>
      <c r="GZ13" s="1395">
        <f t="shared" si="371"/>
        <v>137</v>
      </c>
      <c r="HA13" s="1395">
        <f t="shared" si="371"/>
        <v>294</v>
      </c>
      <c r="HB13" s="1393">
        <f t="shared" si="371"/>
        <v>89</v>
      </c>
      <c r="HC13" s="1394">
        <f t="shared" si="371"/>
        <v>139</v>
      </c>
      <c r="HD13" s="1394">
        <f t="shared" si="371"/>
        <v>149</v>
      </c>
      <c r="HE13" s="1394">
        <f t="shared" si="371"/>
        <v>133</v>
      </c>
      <c r="HF13" s="1394">
        <f t="shared" si="371"/>
        <v>167</v>
      </c>
      <c r="HG13" s="1394">
        <f t="shared" si="371"/>
        <v>134</v>
      </c>
      <c r="HH13" s="1394">
        <f t="shared" si="371"/>
        <v>101</v>
      </c>
      <c r="HI13" s="1394">
        <f t="shared" si="371"/>
        <v>135</v>
      </c>
      <c r="HJ13" s="1394">
        <f t="shared" si="371"/>
        <v>58</v>
      </c>
      <c r="HK13" s="1394">
        <f t="shared" si="371"/>
        <v>55</v>
      </c>
      <c r="HL13" s="1394">
        <f t="shared" si="371"/>
        <v>73</v>
      </c>
      <c r="HM13" s="1395">
        <f t="shared" si="371"/>
        <v>18</v>
      </c>
      <c r="HN13" s="1395">
        <f t="shared" si="371"/>
        <v>1251</v>
      </c>
      <c r="HO13" s="1393">
        <f t="shared" si="371"/>
        <v>20</v>
      </c>
      <c r="HP13" s="1394">
        <f t="shared" si="371"/>
        <v>7</v>
      </c>
      <c r="HQ13" s="1394">
        <f t="shared" si="371"/>
        <v>11</v>
      </c>
      <c r="HR13" s="1394">
        <f t="shared" si="371"/>
        <v>32</v>
      </c>
      <c r="HS13" s="1394">
        <f t="shared" si="371"/>
        <v>62</v>
      </c>
      <c r="HT13" s="1394">
        <f t="shared" si="371"/>
        <v>52</v>
      </c>
      <c r="HU13" s="1394">
        <f t="shared" si="371"/>
        <v>39</v>
      </c>
      <c r="HV13" s="1394">
        <f t="shared" si="371"/>
        <v>28</v>
      </c>
      <c r="HW13" s="1394">
        <f t="shared" si="371"/>
        <v>40</v>
      </c>
      <c r="HX13" s="1394">
        <f t="shared" si="371"/>
        <v>46</v>
      </c>
      <c r="HY13" s="1394">
        <f t="shared" si="371"/>
        <v>41</v>
      </c>
      <c r="HZ13" s="1395">
        <f t="shared" si="371"/>
        <v>95</v>
      </c>
      <c r="IA13" s="1395">
        <f t="shared" si="371"/>
        <v>473</v>
      </c>
      <c r="IB13" s="1393">
        <f t="shared" si="371"/>
        <v>282</v>
      </c>
      <c r="IC13" s="1394">
        <f t="shared" si="371"/>
        <v>260</v>
      </c>
      <c r="ID13" s="1394">
        <f t="shared" si="371"/>
        <v>431</v>
      </c>
      <c r="IE13" s="1394">
        <f t="shared" si="371"/>
        <v>271</v>
      </c>
      <c r="IF13" s="1394">
        <f t="shared" si="371"/>
        <v>429</v>
      </c>
      <c r="IG13" s="1394">
        <f t="shared" si="371"/>
        <v>378</v>
      </c>
      <c r="IH13" s="1394">
        <f t="shared" si="371"/>
        <v>399</v>
      </c>
      <c r="II13" s="1394">
        <f t="shared" si="371"/>
        <v>565</v>
      </c>
      <c r="IJ13" s="1394">
        <f t="shared" si="371"/>
        <v>362</v>
      </c>
      <c r="IK13" s="1394">
        <f t="shared" si="371"/>
        <v>460</v>
      </c>
      <c r="IL13" s="1394">
        <f t="shared" si="371"/>
        <v>376</v>
      </c>
      <c r="IM13" s="1395">
        <f t="shared" si="371"/>
        <v>0</v>
      </c>
      <c r="IN13" s="1395">
        <f t="shared" si="371"/>
        <v>4213</v>
      </c>
      <c r="IO13" s="1393">
        <f t="shared" si="371"/>
        <v>0</v>
      </c>
      <c r="IP13" s="1394">
        <f t="shared" si="371"/>
        <v>0</v>
      </c>
      <c r="IQ13" s="1394">
        <f t="shared" si="371"/>
        <v>0</v>
      </c>
      <c r="IR13" s="1391">
        <f t="shared" si="371"/>
        <v>0</v>
      </c>
      <c r="IS13" s="1394">
        <f t="shared" si="371"/>
        <v>0</v>
      </c>
      <c r="IT13" s="1394">
        <f t="shared" si="371"/>
        <v>0</v>
      </c>
      <c r="IU13" s="1394">
        <f t="shared" si="371"/>
        <v>0</v>
      </c>
      <c r="IV13" s="1394">
        <f t="shared" si="371"/>
        <v>0</v>
      </c>
      <c r="IW13" s="1394">
        <f t="shared" si="371"/>
        <v>0</v>
      </c>
      <c r="IX13" s="1394">
        <f t="shared" ref="IX13:IZ13" si="372">SUM(IX14:IX17)</f>
        <v>0</v>
      </c>
      <c r="IY13" s="1394">
        <f t="shared" si="372"/>
        <v>0</v>
      </c>
      <c r="IZ13" s="1395">
        <f t="shared" si="372"/>
        <v>0</v>
      </c>
      <c r="JA13" s="1395">
        <f t="shared" si="107"/>
        <v>0</v>
      </c>
      <c r="JB13" s="1393">
        <f t="shared" ref="JB13:JM13" si="373">SUM(JB14:JB17)</f>
        <v>0</v>
      </c>
      <c r="JC13" s="1394">
        <f t="shared" si="373"/>
        <v>0</v>
      </c>
      <c r="JD13" s="1394">
        <f t="shared" si="373"/>
        <v>0</v>
      </c>
      <c r="JE13" s="1391">
        <f t="shared" si="373"/>
        <v>0</v>
      </c>
      <c r="JF13" s="1394">
        <f t="shared" si="373"/>
        <v>0</v>
      </c>
      <c r="JG13" s="1394">
        <f t="shared" si="373"/>
        <v>0</v>
      </c>
      <c r="JH13" s="1394">
        <f t="shared" si="373"/>
        <v>0</v>
      </c>
      <c r="JI13" s="1394">
        <f t="shared" si="373"/>
        <v>0</v>
      </c>
      <c r="JJ13" s="1394">
        <f t="shared" si="373"/>
        <v>0</v>
      </c>
      <c r="JK13" s="1394">
        <f t="shared" si="373"/>
        <v>0</v>
      </c>
      <c r="JL13" s="1394">
        <f t="shared" si="373"/>
        <v>0</v>
      </c>
      <c r="JM13" s="1395">
        <f t="shared" si="373"/>
        <v>0</v>
      </c>
      <c r="JN13" s="1395">
        <f t="shared" si="108"/>
        <v>0</v>
      </c>
      <c r="JO13" s="1393">
        <f t="shared" ref="JO13:JZ13" si="374">SUM(JO14:JO17)</f>
        <v>0</v>
      </c>
      <c r="JP13" s="1394">
        <f t="shared" si="374"/>
        <v>0</v>
      </c>
      <c r="JQ13" s="1394">
        <f t="shared" si="374"/>
        <v>0</v>
      </c>
      <c r="JR13" s="1391">
        <f t="shared" si="374"/>
        <v>0</v>
      </c>
      <c r="JS13" s="1394">
        <f t="shared" si="374"/>
        <v>0</v>
      </c>
      <c r="JT13" s="1394">
        <f t="shared" si="374"/>
        <v>0</v>
      </c>
      <c r="JU13" s="1394">
        <f t="shared" si="374"/>
        <v>0</v>
      </c>
      <c r="JV13" s="1394">
        <f t="shared" si="374"/>
        <v>0</v>
      </c>
      <c r="JW13" s="1394">
        <f t="shared" si="374"/>
        <v>0</v>
      </c>
      <c r="JX13" s="1394">
        <f t="shared" si="374"/>
        <v>0</v>
      </c>
      <c r="JY13" s="1394">
        <f t="shared" si="374"/>
        <v>0</v>
      </c>
      <c r="JZ13" s="1395">
        <f t="shared" si="374"/>
        <v>0</v>
      </c>
      <c r="KA13" s="1395">
        <f t="shared" si="109"/>
        <v>0</v>
      </c>
      <c r="KB13" s="1068"/>
      <c r="KC13" s="1065" t="str">
        <f t="shared" si="83"/>
        <v/>
      </c>
      <c r="KD13" s="1066" t="str">
        <f t="shared" si="84"/>
        <v/>
      </c>
      <c r="KE13" s="1409">
        <f t="shared" si="85"/>
        <v>0</v>
      </c>
      <c r="KF13" s="1409">
        <f t="shared" si="86"/>
        <v>0</v>
      </c>
      <c r="KG13" s="1068"/>
      <c r="KH13" s="1644" t="str">
        <f t="shared" si="87"/>
        <v/>
      </c>
      <c r="KI13" s="1068">
        <f t="shared" si="88"/>
        <v>0</v>
      </c>
      <c r="KJ13" s="1570">
        <f t="shared" si="55"/>
        <v>0</v>
      </c>
    </row>
    <row r="14" spans="1:297" ht="15" customHeight="1" x14ac:dyDescent="0.2">
      <c r="A14" s="1640" t="s">
        <v>97</v>
      </c>
      <c r="B14" s="1636">
        <v>36</v>
      </c>
      <c r="C14" s="1637">
        <v>106</v>
      </c>
      <c r="D14" s="1637">
        <v>73</v>
      </c>
      <c r="E14" s="1637">
        <v>19</v>
      </c>
      <c r="F14" s="1637">
        <v>105</v>
      </c>
      <c r="G14" s="1637">
        <v>18</v>
      </c>
      <c r="H14" s="1637"/>
      <c r="I14" s="1637">
        <v>167</v>
      </c>
      <c r="J14" s="1637">
        <v>13</v>
      </c>
      <c r="K14" s="1637">
        <v>25</v>
      </c>
      <c r="L14" s="1637">
        <v>18</v>
      </c>
      <c r="M14" s="1638">
        <v>185</v>
      </c>
      <c r="N14" s="1638">
        <f t="shared" si="89"/>
        <v>765</v>
      </c>
      <c r="O14" s="1636">
        <v>179</v>
      </c>
      <c r="P14" s="1637">
        <v>435</v>
      </c>
      <c r="Q14" s="1637">
        <v>56</v>
      </c>
      <c r="R14" s="1637">
        <v>95</v>
      </c>
      <c r="S14" s="1637">
        <v>202</v>
      </c>
      <c r="T14" s="1637">
        <v>576</v>
      </c>
      <c r="U14" s="1637">
        <v>374</v>
      </c>
      <c r="V14" s="1637">
        <v>224</v>
      </c>
      <c r="W14" s="1637">
        <v>206</v>
      </c>
      <c r="X14" s="1637">
        <v>258</v>
      </c>
      <c r="Y14" s="1637">
        <v>338</v>
      </c>
      <c r="Z14" s="1638">
        <v>128</v>
      </c>
      <c r="AA14" s="1638">
        <f t="shared" si="90"/>
        <v>3071</v>
      </c>
      <c r="AB14" s="1636">
        <v>310</v>
      </c>
      <c r="AC14" s="1637">
        <v>211</v>
      </c>
      <c r="AD14" s="1637">
        <v>206</v>
      </c>
      <c r="AE14" s="1637">
        <v>194</v>
      </c>
      <c r="AF14" s="1637">
        <v>82</v>
      </c>
      <c r="AG14" s="1637">
        <v>206</v>
      </c>
      <c r="AH14" s="1637">
        <v>342</v>
      </c>
      <c r="AI14" s="1637">
        <v>244</v>
      </c>
      <c r="AJ14" s="1637">
        <v>178</v>
      </c>
      <c r="AK14" s="1637">
        <v>291</v>
      </c>
      <c r="AL14" s="1637">
        <v>214</v>
      </c>
      <c r="AM14" s="1638">
        <v>268</v>
      </c>
      <c r="AN14" s="1638">
        <f t="shared" si="91"/>
        <v>2746</v>
      </c>
      <c r="AO14" s="1636">
        <v>196</v>
      </c>
      <c r="AP14" s="1637">
        <v>119</v>
      </c>
      <c r="AQ14" s="1637">
        <v>322</v>
      </c>
      <c r="AR14" s="1637">
        <v>251</v>
      </c>
      <c r="AS14" s="1637">
        <v>113</v>
      </c>
      <c r="AT14" s="1637">
        <v>316</v>
      </c>
      <c r="AU14" s="1637">
        <v>198</v>
      </c>
      <c r="AV14" s="1637">
        <v>348</v>
      </c>
      <c r="AW14" s="1637">
        <v>278</v>
      </c>
      <c r="AX14" s="1637">
        <v>211</v>
      </c>
      <c r="AY14" s="1637">
        <v>109</v>
      </c>
      <c r="AZ14" s="1638">
        <v>323</v>
      </c>
      <c r="BA14" s="1638">
        <f t="shared" si="92"/>
        <v>2784</v>
      </c>
      <c r="BB14" s="1636">
        <v>155</v>
      </c>
      <c r="BC14" s="1637">
        <v>103</v>
      </c>
      <c r="BD14" s="1637">
        <v>67</v>
      </c>
      <c r="BE14" s="1637">
        <v>51</v>
      </c>
      <c r="BF14" s="1637">
        <v>36</v>
      </c>
      <c r="BG14" s="1637">
        <v>107</v>
      </c>
      <c r="BH14" s="1637">
        <v>327</v>
      </c>
      <c r="BI14" s="1637">
        <v>36</v>
      </c>
      <c r="BJ14" s="1637">
        <v>73</v>
      </c>
      <c r="BK14" s="1637">
        <v>109</v>
      </c>
      <c r="BL14" s="1637">
        <v>29</v>
      </c>
      <c r="BM14" s="1638">
        <v>48</v>
      </c>
      <c r="BN14" s="1638">
        <f t="shared" si="93"/>
        <v>1141</v>
      </c>
      <c r="BO14" s="1636">
        <v>89</v>
      </c>
      <c r="BP14" s="1637">
        <v>71</v>
      </c>
      <c r="BQ14" s="1637">
        <v>54</v>
      </c>
      <c r="BR14" s="1637">
        <v>45</v>
      </c>
      <c r="BS14" s="1637">
        <v>40</v>
      </c>
      <c r="BT14" s="1637">
        <v>84</v>
      </c>
      <c r="BU14" s="1637">
        <v>36</v>
      </c>
      <c r="BV14" s="1637">
        <v>42</v>
      </c>
      <c r="BW14" s="1637">
        <v>31</v>
      </c>
      <c r="BX14" s="1637">
        <v>63</v>
      </c>
      <c r="BY14" s="1637">
        <v>69</v>
      </c>
      <c r="BZ14" s="1638">
        <v>32</v>
      </c>
      <c r="CA14" s="1638">
        <f t="shared" si="94"/>
        <v>656</v>
      </c>
      <c r="CB14" s="1636">
        <v>42</v>
      </c>
      <c r="CC14" s="1637">
        <v>36</v>
      </c>
      <c r="CD14" s="1637">
        <v>57</v>
      </c>
      <c r="CE14" s="1637">
        <v>48</v>
      </c>
      <c r="CF14" s="1637">
        <v>40</v>
      </c>
      <c r="CG14" s="1637">
        <v>13</v>
      </c>
      <c r="CH14" s="1637">
        <v>46</v>
      </c>
      <c r="CI14" s="1637">
        <v>81</v>
      </c>
      <c r="CJ14" s="1637">
        <v>44</v>
      </c>
      <c r="CK14" s="1637">
        <v>66</v>
      </c>
      <c r="CL14" s="1637">
        <v>58</v>
      </c>
      <c r="CM14" s="1638"/>
      <c r="CN14" s="1638">
        <f t="shared" si="95"/>
        <v>531</v>
      </c>
      <c r="CO14" s="1636"/>
      <c r="CP14" s="1637">
        <v>55</v>
      </c>
      <c r="CQ14" s="1637">
        <v>48</v>
      </c>
      <c r="CR14" s="1637">
        <v>22.3</v>
      </c>
      <c r="CS14" s="1637"/>
      <c r="CT14" s="1637"/>
      <c r="CU14" s="1637"/>
      <c r="CV14" s="1637"/>
      <c r="CW14" s="1637"/>
      <c r="CX14" s="1637"/>
      <c r="CY14" s="1637"/>
      <c r="CZ14" s="1638">
        <v>57</v>
      </c>
      <c r="DA14" s="1638">
        <f t="shared" si="96"/>
        <v>182.3</v>
      </c>
      <c r="DB14" s="1636"/>
      <c r="DC14" s="1637">
        <v>35</v>
      </c>
      <c r="DD14" s="1637">
        <v>9</v>
      </c>
      <c r="DE14" s="1637">
        <v>53</v>
      </c>
      <c r="DF14" s="1637">
        <v>16</v>
      </c>
      <c r="DG14" s="1637">
        <v>30</v>
      </c>
      <c r="DH14" s="1637">
        <v>14</v>
      </c>
      <c r="DI14" s="1637">
        <v>77</v>
      </c>
      <c r="DJ14" s="1637">
        <v>40</v>
      </c>
      <c r="DK14" s="1637"/>
      <c r="DL14" s="1637">
        <v>55</v>
      </c>
      <c r="DM14" s="1638">
        <v>46</v>
      </c>
      <c r="DN14" s="1638">
        <f t="shared" si="97"/>
        <v>375</v>
      </c>
      <c r="DO14" s="1636"/>
      <c r="DP14" s="1637">
        <v>15</v>
      </c>
      <c r="DQ14" s="1637">
        <v>16</v>
      </c>
      <c r="DR14" s="1637">
        <v>34</v>
      </c>
      <c r="DS14" s="1637"/>
      <c r="DT14" s="1637"/>
      <c r="DU14" s="1637"/>
      <c r="DV14" s="1637"/>
      <c r="DW14" s="1637"/>
      <c r="DX14" s="1637">
        <v>61</v>
      </c>
      <c r="DY14" s="1637"/>
      <c r="DZ14" s="1638"/>
      <c r="EA14" s="1638">
        <f t="shared" si="98"/>
        <v>126</v>
      </c>
      <c r="EB14" s="1636"/>
      <c r="EC14" s="1637">
        <v>81</v>
      </c>
      <c r="ED14" s="1637"/>
      <c r="EE14" s="1637"/>
      <c r="EF14" s="1637"/>
      <c r="EG14" s="1637">
        <v>43</v>
      </c>
      <c r="EH14" s="1637"/>
      <c r="EI14" s="1637"/>
      <c r="EJ14" s="1637"/>
      <c r="EK14" s="1637"/>
      <c r="EL14" s="1637"/>
      <c r="EM14" s="1638"/>
      <c r="EN14" s="1638">
        <f t="shared" si="99"/>
        <v>124</v>
      </c>
      <c r="EO14" s="1636"/>
      <c r="EP14" s="1637">
        <v>43</v>
      </c>
      <c r="EQ14" s="1637"/>
      <c r="ER14" s="1637"/>
      <c r="ES14" s="1637"/>
      <c r="ET14" s="1637"/>
      <c r="EU14" s="1637">
        <v>42</v>
      </c>
      <c r="EV14" s="1637"/>
      <c r="EW14" s="1637"/>
      <c r="EX14" s="1637"/>
      <c r="EY14" s="1637"/>
      <c r="EZ14" s="1638"/>
      <c r="FA14" s="1638">
        <f t="shared" si="100"/>
        <v>85</v>
      </c>
      <c r="FB14" s="1636"/>
      <c r="FC14" s="1637"/>
      <c r="FD14" s="1637"/>
      <c r="FE14" s="1637">
        <v>68</v>
      </c>
      <c r="FF14" s="1637"/>
      <c r="FG14" s="1637"/>
      <c r="FH14" s="1637"/>
      <c r="FI14" s="1637"/>
      <c r="FJ14" s="1637"/>
      <c r="FK14" s="1637"/>
      <c r="FL14" s="1637">
        <v>30</v>
      </c>
      <c r="FM14" s="1638">
        <v>74</v>
      </c>
      <c r="FN14" s="1638">
        <f t="shared" si="101"/>
        <v>172</v>
      </c>
      <c r="FO14" s="1636"/>
      <c r="FP14" s="1637"/>
      <c r="FQ14" s="1637"/>
      <c r="FR14" s="1637"/>
      <c r="FS14" s="1637"/>
      <c r="FT14" s="1637"/>
      <c r="FU14" s="1637"/>
      <c r="FV14" s="1637"/>
      <c r="FW14" s="1637"/>
      <c r="FX14" s="1637"/>
      <c r="FY14" s="1637"/>
      <c r="FZ14" s="1638"/>
      <c r="GA14" s="1638">
        <f t="shared" si="102"/>
        <v>0</v>
      </c>
      <c r="GB14" s="1636"/>
      <c r="GC14" s="1637"/>
      <c r="GD14" s="1637"/>
      <c r="GE14" s="1637"/>
      <c r="GF14" s="1637">
        <v>1</v>
      </c>
      <c r="GG14" s="1637">
        <v>20</v>
      </c>
      <c r="GH14" s="1637"/>
      <c r="GI14" s="1637">
        <v>22</v>
      </c>
      <c r="GJ14" s="1637"/>
      <c r="GK14" s="1637"/>
      <c r="GL14" s="1637"/>
      <c r="GM14" s="1638">
        <v>24</v>
      </c>
      <c r="GN14" s="1638">
        <f t="shared" si="103"/>
        <v>67</v>
      </c>
      <c r="GO14" s="1636"/>
      <c r="GP14" s="1637">
        <v>31</v>
      </c>
      <c r="GQ14" s="1637"/>
      <c r="GR14" s="1637"/>
      <c r="GS14" s="1637"/>
      <c r="GT14" s="1637"/>
      <c r="GU14" s="1637"/>
      <c r="GV14" s="1637">
        <v>5</v>
      </c>
      <c r="GW14" s="1637">
        <v>13</v>
      </c>
      <c r="GX14" s="1637">
        <v>42</v>
      </c>
      <c r="GY14" s="1637">
        <v>66</v>
      </c>
      <c r="GZ14" s="1638">
        <v>137</v>
      </c>
      <c r="HA14" s="1638">
        <f t="shared" si="104"/>
        <v>294</v>
      </c>
      <c r="HB14" s="1636">
        <v>89</v>
      </c>
      <c r="HC14" s="1637">
        <v>139</v>
      </c>
      <c r="HD14" s="1637">
        <v>149</v>
      </c>
      <c r="HE14" s="1637">
        <v>133</v>
      </c>
      <c r="HF14" s="1637">
        <v>167</v>
      </c>
      <c r="HG14" s="1637">
        <v>134</v>
      </c>
      <c r="HH14" s="1637">
        <v>101</v>
      </c>
      <c r="HI14" s="1637">
        <v>135</v>
      </c>
      <c r="HJ14" s="1637">
        <v>58</v>
      </c>
      <c r="HK14" s="1637">
        <v>55</v>
      </c>
      <c r="HL14" s="1637">
        <v>73</v>
      </c>
      <c r="HM14" s="1638">
        <v>18</v>
      </c>
      <c r="HN14" s="1638">
        <f t="shared" si="105"/>
        <v>1251</v>
      </c>
      <c r="HO14" s="1636">
        <v>20</v>
      </c>
      <c r="HP14" s="1637">
        <v>7</v>
      </c>
      <c r="HQ14" s="1637">
        <v>11</v>
      </c>
      <c r="HR14" s="1637">
        <v>32</v>
      </c>
      <c r="HS14" s="1637">
        <v>62</v>
      </c>
      <c r="HT14" s="1637">
        <v>52</v>
      </c>
      <c r="HU14" s="1637">
        <v>39</v>
      </c>
      <c r="HV14" s="1637">
        <v>28</v>
      </c>
      <c r="HW14" s="1637">
        <v>40</v>
      </c>
      <c r="HX14" s="1637">
        <v>46</v>
      </c>
      <c r="HY14" s="1637">
        <v>41</v>
      </c>
      <c r="HZ14" s="1638">
        <v>95</v>
      </c>
      <c r="IA14" s="1638">
        <f t="shared" ref="IA14:IA19" si="375">SUM(HO14:HZ14)</f>
        <v>473</v>
      </c>
      <c r="IB14" s="1636">
        <v>282</v>
      </c>
      <c r="IC14" s="1637">
        <v>260</v>
      </c>
      <c r="ID14" s="1637">
        <v>431</v>
      </c>
      <c r="IE14" s="1637">
        <v>271</v>
      </c>
      <c r="IF14" s="1637">
        <v>429</v>
      </c>
      <c r="IG14" s="1637">
        <v>378</v>
      </c>
      <c r="IH14" s="1637">
        <v>399</v>
      </c>
      <c r="II14" s="1637">
        <v>565</v>
      </c>
      <c r="IJ14" s="1637">
        <v>362</v>
      </c>
      <c r="IK14" s="1637">
        <v>460</v>
      </c>
      <c r="IL14" s="1637">
        <v>376</v>
      </c>
      <c r="IM14" s="1638"/>
      <c r="IN14" s="1638">
        <f t="shared" si="106"/>
        <v>4213</v>
      </c>
      <c r="IO14" s="1636"/>
      <c r="IP14" s="1637"/>
      <c r="IQ14" s="1637"/>
      <c r="IR14" s="1637"/>
      <c r="IS14" s="1637"/>
      <c r="IT14" s="1637"/>
      <c r="IU14" s="1637"/>
      <c r="IV14" s="1637"/>
      <c r="IW14" s="1637"/>
      <c r="IX14" s="1637"/>
      <c r="IY14" s="1637"/>
      <c r="IZ14" s="1638"/>
      <c r="JA14" s="1638">
        <f t="shared" si="107"/>
        <v>0</v>
      </c>
      <c r="JB14" s="1636"/>
      <c r="JC14" s="1637"/>
      <c r="JD14" s="1637"/>
      <c r="JE14" s="1637"/>
      <c r="JF14" s="1637"/>
      <c r="JG14" s="1637"/>
      <c r="JH14" s="1637"/>
      <c r="JI14" s="1637"/>
      <c r="JJ14" s="1637"/>
      <c r="JK14" s="1637"/>
      <c r="JL14" s="1637"/>
      <c r="JM14" s="1638"/>
      <c r="JN14" s="1638">
        <f t="shared" si="108"/>
        <v>0</v>
      </c>
      <c r="JO14" s="1636"/>
      <c r="JP14" s="1637"/>
      <c r="JQ14" s="1637"/>
      <c r="JR14" s="1637"/>
      <c r="JS14" s="1637"/>
      <c r="JT14" s="1637"/>
      <c r="JU14" s="1637"/>
      <c r="JV14" s="1637"/>
      <c r="JW14" s="1637"/>
      <c r="JX14" s="1637"/>
      <c r="JY14" s="1637"/>
      <c r="JZ14" s="1638"/>
      <c r="KA14" s="1638">
        <f t="shared" si="109"/>
        <v>0</v>
      </c>
      <c r="KB14" s="1068"/>
      <c r="KC14" s="1641" t="str">
        <f t="shared" si="83"/>
        <v/>
      </c>
      <c r="KD14" s="1642" t="str">
        <f t="shared" si="84"/>
        <v/>
      </c>
      <c r="KE14" s="1643">
        <f t="shared" si="85"/>
        <v>0</v>
      </c>
      <c r="KF14" s="1643">
        <f t="shared" si="86"/>
        <v>0</v>
      </c>
      <c r="KG14" s="1042"/>
      <c r="KH14" s="1644" t="str">
        <f t="shared" si="87"/>
        <v/>
      </c>
      <c r="KI14" s="1068">
        <f t="shared" si="88"/>
        <v>0</v>
      </c>
      <c r="KJ14" s="1570">
        <f t="shared" si="55"/>
        <v>0</v>
      </c>
      <c r="KK14" s="66"/>
    </row>
    <row r="15" spans="1:297" ht="15" customHeight="1" x14ac:dyDescent="0.2">
      <c r="A15" s="1640" t="s">
        <v>193</v>
      </c>
      <c r="B15" s="1636">
        <v>41</v>
      </c>
      <c r="C15" s="1637">
        <v>27</v>
      </c>
      <c r="D15" s="1637">
        <v>90</v>
      </c>
      <c r="E15" s="1637">
        <v>231</v>
      </c>
      <c r="F15" s="1637">
        <v>31</v>
      </c>
      <c r="G15" s="1637">
        <v>92</v>
      </c>
      <c r="H15" s="1637"/>
      <c r="I15" s="1637">
        <v>102</v>
      </c>
      <c r="J15" s="1637">
        <v>92</v>
      </c>
      <c r="K15" s="1637">
        <v>123</v>
      </c>
      <c r="L15" s="1637">
        <v>25</v>
      </c>
      <c r="M15" s="1638">
        <v>212</v>
      </c>
      <c r="N15" s="1638">
        <f t="shared" si="89"/>
        <v>1066</v>
      </c>
      <c r="O15" s="1636">
        <v>229</v>
      </c>
      <c r="P15" s="1637">
        <v>176</v>
      </c>
      <c r="Q15" s="1637">
        <v>214</v>
      </c>
      <c r="R15" s="1637">
        <v>268</v>
      </c>
      <c r="S15" s="1637">
        <v>120</v>
      </c>
      <c r="T15" s="1637">
        <v>227</v>
      </c>
      <c r="U15" s="1637">
        <v>306</v>
      </c>
      <c r="V15" s="1637">
        <v>271</v>
      </c>
      <c r="W15" s="1637">
        <v>201</v>
      </c>
      <c r="X15" s="1637">
        <v>512</v>
      </c>
      <c r="Y15" s="1637">
        <v>336</v>
      </c>
      <c r="Z15" s="1638">
        <v>331</v>
      </c>
      <c r="AA15" s="1638">
        <f t="shared" si="90"/>
        <v>3191</v>
      </c>
      <c r="AB15" s="1636">
        <v>310</v>
      </c>
      <c r="AC15" s="1637">
        <v>390</v>
      </c>
      <c r="AD15" s="1637">
        <v>206</v>
      </c>
      <c r="AE15" s="1637">
        <v>94</v>
      </c>
      <c r="AF15" s="1637">
        <v>265</v>
      </c>
      <c r="AG15" s="1637">
        <v>160</v>
      </c>
      <c r="AH15" s="1637">
        <v>178</v>
      </c>
      <c r="AI15" s="1637">
        <v>171</v>
      </c>
      <c r="AJ15" s="1637">
        <v>130</v>
      </c>
      <c r="AK15" s="1637">
        <v>150</v>
      </c>
      <c r="AL15" s="1637">
        <v>147</v>
      </c>
      <c r="AM15" s="1638">
        <v>150</v>
      </c>
      <c r="AN15" s="1638">
        <f t="shared" si="91"/>
        <v>2351</v>
      </c>
      <c r="AO15" s="1636">
        <v>224</v>
      </c>
      <c r="AP15" s="1637">
        <v>149</v>
      </c>
      <c r="AQ15" s="1637">
        <v>98</v>
      </c>
      <c r="AR15" s="1637">
        <v>207</v>
      </c>
      <c r="AS15" s="1637">
        <v>364</v>
      </c>
      <c r="AT15" s="1637">
        <v>71</v>
      </c>
      <c r="AU15" s="1637">
        <v>141</v>
      </c>
      <c r="AV15" s="1637">
        <v>203</v>
      </c>
      <c r="AW15" s="1637">
        <v>240</v>
      </c>
      <c r="AX15" s="1637">
        <v>217</v>
      </c>
      <c r="AY15" s="1637">
        <v>172</v>
      </c>
      <c r="AZ15" s="1638">
        <v>131</v>
      </c>
      <c r="BA15" s="1638">
        <f t="shared" si="92"/>
        <v>2217</v>
      </c>
      <c r="BB15" s="1636">
        <v>13</v>
      </c>
      <c r="BC15" s="1637">
        <v>5</v>
      </c>
      <c r="BD15" s="1637">
        <v>468</v>
      </c>
      <c r="BE15" s="1637">
        <v>438</v>
      </c>
      <c r="BF15" s="1637">
        <v>326</v>
      </c>
      <c r="BG15" s="1637">
        <v>359</v>
      </c>
      <c r="BH15" s="1637">
        <v>170</v>
      </c>
      <c r="BI15" s="1637">
        <v>397</v>
      </c>
      <c r="BJ15" s="1637">
        <v>520</v>
      </c>
      <c r="BK15" s="1637">
        <v>551</v>
      </c>
      <c r="BL15" s="1637">
        <v>701</v>
      </c>
      <c r="BM15" s="1638">
        <v>691</v>
      </c>
      <c r="BN15" s="1638">
        <f t="shared" si="93"/>
        <v>4639</v>
      </c>
      <c r="BO15" s="1636">
        <v>237</v>
      </c>
      <c r="BP15" s="1637">
        <v>252</v>
      </c>
      <c r="BQ15" s="1637">
        <v>166</v>
      </c>
      <c r="BR15" s="1637">
        <v>472</v>
      </c>
      <c r="BS15" s="1637">
        <v>492</v>
      </c>
      <c r="BT15" s="1637">
        <v>247</v>
      </c>
      <c r="BU15" s="1637">
        <v>484</v>
      </c>
      <c r="BV15" s="1637">
        <v>341</v>
      </c>
      <c r="BW15" s="1637">
        <v>392</v>
      </c>
      <c r="BX15" s="1637">
        <v>571</v>
      </c>
      <c r="BY15" s="1637">
        <v>162</v>
      </c>
      <c r="BZ15" s="1638">
        <v>114</v>
      </c>
      <c r="CA15" s="1638">
        <f t="shared" si="94"/>
        <v>3930</v>
      </c>
      <c r="CB15" s="1636">
        <v>409</v>
      </c>
      <c r="CC15" s="1637">
        <v>122</v>
      </c>
      <c r="CD15" s="1637">
        <v>255</v>
      </c>
      <c r="CE15" s="1637">
        <v>112</v>
      </c>
      <c r="CF15" s="1637">
        <v>309</v>
      </c>
      <c r="CG15" s="1637">
        <v>177</v>
      </c>
      <c r="CH15" s="1637">
        <v>313</v>
      </c>
      <c r="CI15" s="1637">
        <v>141</v>
      </c>
      <c r="CJ15" s="1637">
        <v>267</v>
      </c>
      <c r="CK15" s="1637">
        <v>20</v>
      </c>
      <c r="CL15" s="1637">
        <v>171</v>
      </c>
      <c r="CM15" s="1638">
        <v>209</v>
      </c>
      <c r="CN15" s="1638">
        <f t="shared" si="95"/>
        <v>2505</v>
      </c>
      <c r="CO15" s="1636">
        <v>259</v>
      </c>
      <c r="CP15" s="1637">
        <v>268</v>
      </c>
      <c r="CQ15" s="1637">
        <v>144</v>
      </c>
      <c r="CR15" s="1637">
        <v>55.4</v>
      </c>
      <c r="CS15" s="1637"/>
      <c r="CT15" s="1637"/>
      <c r="CU15" s="1637"/>
      <c r="CV15" s="1637"/>
      <c r="CW15" s="1637"/>
      <c r="CX15" s="1637"/>
      <c r="CY15" s="1637"/>
      <c r="CZ15" s="1638"/>
      <c r="DA15" s="1638">
        <f t="shared" si="96"/>
        <v>726.4</v>
      </c>
      <c r="DB15" s="1636"/>
      <c r="DC15" s="1637">
        <v>23</v>
      </c>
      <c r="DD15" s="1637">
        <v>22</v>
      </c>
      <c r="DE15" s="1637"/>
      <c r="DF15" s="1637">
        <v>36</v>
      </c>
      <c r="DG15" s="1637">
        <v>8</v>
      </c>
      <c r="DH15" s="1637"/>
      <c r="DI15" s="1637"/>
      <c r="DJ15" s="1637"/>
      <c r="DK15" s="1637"/>
      <c r="DL15" s="1637">
        <v>56</v>
      </c>
      <c r="DM15" s="1638">
        <v>19</v>
      </c>
      <c r="DN15" s="1638">
        <f t="shared" si="97"/>
        <v>164</v>
      </c>
      <c r="DO15" s="1636">
        <v>13</v>
      </c>
      <c r="DP15" s="1637">
        <v>47</v>
      </c>
      <c r="DQ15" s="1637">
        <v>24</v>
      </c>
      <c r="DR15" s="1637">
        <v>25</v>
      </c>
      <c r="DS15" s="1637"/>
      <c r="DT15" s="1637"/>
      <c r="DU15" s="1637"/>
      <c r="DV15" s="1637"/>
      <c r="DW15" s="1637"/>
      <c r="DX15" s="1637"/>
      <c r="DY15" s="1637"/>
      <c r="DZ15" s="1638"/>
      <c r="EA15" s="1638">
        <f t="shared" si="98"/>
        <v>109</v>
      </c>
      <c r="EB15" s="1636"/>
      <c r="EC15" s="1637"/>
      <c r="ED15" s="1637"/>
      <c r="EE15" s="1637"/>
      <c r="EF15" s="1637"/>
      <c r="EG15" s="1637"/>
      <c r="EH15" s="1637"/>
      <c r="EI15" s="1637"/>
      <c r="EJ15" s="1637"/>
      <c r="EK15" s="1637"/>
      <c r="EL15" s="1637"/>
      <c r="EM15" s="1638"/>
      <c r="EN15" s="1638">
        <f t="shared" si="99"/>
        <v>0</v>
      </c>
      <c r="EO15" s="1636"/>
      <c r="EP15" s="1637"/>
      <c r="EQ15" s="1637"/>
      <c r="ER15" s="1637"/>
      <c r="ES15" s="1637"/>
      <c r="ET15" s="1637"/>
      <c r="EU15" s="1637"/>
      <c r="EV15" s="1637"/>
      <c r="EW15" s="1637"/>
      <c r="EX15" s="1637"/>
      <c r="EY15" s="1637"/>
      <c r="EZ15" s="1638"/>
      <c r="FA15" s="1638">
        <f t="shared" si="100"/>
        <v>0</v>
      </c>
      <c r="FB15" s="1636"/>
      <c r="FC15" s="1637"/>
      <c r="FD15" s="1637"/>
      <c r="FE15" s="1637"/>
      <c r="FF15" s="1637"/>
      <c r="FG15" s="1637"/>
      <c r="FH15" s="1637">
        <v>177</v>
      </c>
      <c r="FI15" s="1637">
        <v>280</v>
      </c>
      <c r="FJ15" s="1637"/>
      <c r="FK15" s="1637"/>
      <c r="FL15" s="1637"/>
      <c r="FM15" s="1638">
        <v>84</v>
      </c>
      <c r="FN15" s="1638">
        <f t="shared" si="101"/>
        <v>541</v>
      </c>
      <c r="FO15" s="1636"/>
      <c r="FP15" s="1637"/>
      <c r="FQ15" s="1637"/>
      <c r="FR15" s="1637"/>
      <c r="FS15" s="1637"/>
      <c r="FT15" s="1637"/>
      <c r="FU15" s="1637"/>
      <c r="FV15" s="1637"/>
      <c r="FW15" s="1637"/>
      <c r="FX15" s="1637"/>
      <c r="FY15" s="1637"/>
      <c r="FZ15" s="1638"/>
      <c r="GA15" s="1638">
        <f t="shared" si="102"/>
        <v>0</v>
      </c>
      <c r="GB15" s="1636"/>
      <c r="GC15" s="1637"/>
      <c r="GD15" s="1637"/>
      <c r="GE15" s="1637"/>
      <c r="GF15" s="1637"/>
      <c r="GG15" s="1637"/>
      <c r="GH15" s="1637"/>
      <c r="GI15" s="1637"/>
      <c r="GJ15" s="1637"/>
      <c r="GK15" s="1637"/>
      <c r="GL15" s="1637"/>
      <c r="GM15" s="1638"/>
      <c r="GN15" s="1638">
        <f t="shared" si="103"/>
        <v>0</v>
      </c>
      <c r="GO15" s="1636"/>
      <c r="GP15" s="1637"/>
      <c r="GQ15" s="1637"/>
      <c r="GR15" s="1637"/>
      <c r="GS15" s="1637"/>
      <c r="GT15" s="1637"/>
      <c r="GU15" s="1637"/>
      <c r="GV15" s="1637"/>
      <c r="GW15" s="1637"/>
      <c r="GX15" s="1637"/>
      <c r="GY15" s="1637"/>
      <c r="GZ15" s="1638"/>
      <c r="HA15" s="1638">
        <f t="shared" si="104"/>
        <v>0</v>
      </c>
      <c r="HB15" s="1636"/>
      <c r="HC15" s="1637"/>
      <c r="HD15" s="1637"/>
      <c r="HE15" s="1637"/>
      <c r="HF15" s="1637"/>
      <c r="HG15" s="1637"/>
      <c r="HH15" s="1637"/>
      <c r="HI15" s="1637"/>
      <c r="HJ15" s="1637"/>
      <c r="HK15" s="1637"/>
      <c r="HL15" s="1637"/>
      <c r="HM15" s="1638"/>
      <c r="HN15" s="1638">
        <f t="shared" si="105"/>
        <v>0</v>
      </c>
      <c r="HO15" s="1636"/>
      <c r="HP15" s="1637"/>
      <c r="HQ15" s="1637"/>
      <c r="HR15" s="1637"/>
      <c r="HS15" s="1637"/>
      <c r="HT15" s="1637"/>
      <c r="HU15" s="1637"/>
      <c r="HV15" s="1637"/>
      <c r="HW15" s="1637"/>
      <c r="HX15" s="1637"/>
      <c r="HY15" s="1637"/>
      <c r="HZ15" s="1638"/>
      <c r="IA15" s="1638">
        <f t="shared" si="375"/>
        <v>0</v>
      </c>
      <c r="IB15" s="1636"/>
      <c r="IC15" s="1637"/>
      <c r="ID15" s="1637"/>
      <c r="IE15" s="1637"/>
      <c r="IF15" s="1637"/>
      <c r="IG15" s="1637"/>
      <c r="IH15" s="1637"/>
      <c r="II15" s="1637"/>
      <c r="IJ15" s="1637"/>
      <c r="IK15" s="1637"/>
      <c r="IL15" s="1637"/>
      <c r="IM15" s="1638"/>
      <c r="IN15" s="1638">
        <f t="shared" si="106"/>
        <v>0</v>
      </c>
      <c r="IO15" s="1636"/>
      <c r="IP15" s="1637"/>
      <c r="IQ15" s="1637"/>
      <c r="IR15" s="1637"/>
      <c r="IS15" s="1637"/>
      <c r="IT15" s="1637"/>
      <c r="IU15" s="1637"/>
      <c r="IV15" s="1637"/>
      <c r="IW15" s="1637"/>
      <c r="IX15" s="1637"/>
      <c r="IY15" s="1637"/>
      <c r="IZ15" s="1638"/>
      <c r="JA15" s="1638">
        <f t="shared" si="107"/>
        <v>0</v>
      </c>
      <c r="JB15" s="1636"/>
      <c r="JC15" s="1637"/>
      <c r="JD15" s="1637"/>
      <c r="JE15" s="1637"/>
      <c r="JF15" s="1637"/>
      <c r="JG15" s="1637"/>
      <c r="JH15" s="1637"/>
      <c r="JI15" s="1637"/>
      <c r="JJ15" s="1637"/>
      <c r="JK15" s="1637"/>
      <c r="JL15" s="1637"/>
      <c r="JM15" s="1638"/>
      <c r="JN15" s="1638">
        <f t="shared" si="108"/>
        <v>0</v>
      </c>
      <c r="JO15" s="1636"/>
      <c r="JP15" s="1637"/>
      <c r="JQ15" s="1637"/>
      <c r="JR15" s="1637"/>
      <c r="JS15" s="1637"/>
      <c r="JT15" s="1637"/>
      <c r="JU15" s="1637"/>
      <c r="JV15" s="1637"/>
      <c r="JW15" s="1637"/>
      <c r="JX15" s="1637"/>
      <c r="JY15" s="1637"/>
      <c r="JZ15" s="1638"/>
      <c r="KA15" s="1638">
        <f t="shared" si="109"/>
        <v>0</v>
      </c>
      <c r="KB15" s="1068"/>
      <c r="KC15" s="1641" t="str">
        <f t="shared" si="83"/>
        <v/>
      </c>
      <c r="KD15" s="1642" t="str">
        <f t="shared" si="84"/>
        <v/>
      </c>
      <c r="KE15" s="1643">
        <f t="shared" si="85"/>
        <v>0</v>
      </c>
      <c r="KF15" s="1643">
        <f t="shared" si="86"/>
        <v>0</v>
      </c>
      <c r="KG15" s="1042"/>
      <c r="KH15" s="1644" t="str">
        <f t="shared" si="87"/>
        <v/>
      </c>
      <c r="KI15" s="1068">
        <f t="shared" si="88"/>
        <v>0</v>
      </c>
      <c r="KJ15" s="1570">
        <f t="shared" si="55"/>
        <v>0</v>
      </c>
      <c r="KK15" s="66"/>
    </row>
    <row r="16" spans="1:297" ht="15" customHeight="1" x14ac:dyDescent="0.2">
      <c r="A16" s="1640" t="s">
        <v>544</v>
      </c>
      <c r="B16" s="1636">
        <v>32</v>
      </c>
      <c r="C16" s="1637">
        <v>23</v>
      </c>
      <c r="D16" s="1637"/>
      <c r="E16" s="1637">
        <v>55</v>
      </c>
      <c r="F16" s="1637">
        <v>54</v>
      </c>
      <c r="G16" s="1637">
        <v>68</v>
      </c>
      <c r="H16" s="1637">
        <v>45</v>
      </c>
      <c r="I16" s="1637">
        <v>22</v>
      </c>
      <c r="J16" s="1637"/>
      <c r="K16" s="1637">
        <v>26</v>
      </c>
      <c r="L16" s="1637">
        <v>2</v>
      </c>
      <c r="M16" s="1638">
        <v>78</v>
      </c>
      <c r="N16" s="1638">
        <f t="shared" si="89"/>
        <v>405</v>
      </c>
      <c r="O16" s="1636">
        <v>64</v>
      </c>
      <c r="P16" s="1637">
        <v>57</v>
      </c>
      <c r="Q16" s="1637">
        <v>130</v>
      </c>
      <c r="R16" s="1637">
        <v>104</v>
      </c>
      <c r="S16" s="1637">
        <v>58</v>
      </c>
      <c r="T16" s="1637">
        <v>12</v>
      </c>
      <c r="U16" s="1637">
        <v>99</v>
      </c>
      <c r="V16" s="1637">
        <v>66</v>
      </c>
      <c r="W16" s="1637">
        <v>57</v>
      </c>
      <c r="X16" s="1637"/>
      <c r="Y16" s="1637">
        <v>24</v>
      </c>
      <c r="Z16" s="1638"/>
      <c r="AA16" s="1638">
        <f t="shared" si="90"/>
        <v>671</v>
      </c>
      <c r="AB16" s="1636">
        <v>10</v>
      </c>
      <c r="AC16" s="1637">
        <v>53</v>
      </c>
      <c r="AD16" s="1637">
        <v>55</v>
      </c>
      <c r="AE16" s="1637">
        <v>73</v>
      </c>
      <c r="AF16" s="1637">
        <v>44</v>
      </c>
      <c r="AG16" s="1637">
        <v>89</v>
      </c>
      <c r="AH16" s="1637">
        <v>50</v>
      </c>
      <c r="AI16" s="1637">
        <v>87</v>
      </c>
      <c r="AJ16" s="1637">
        <v>25</v>
      </c>
      <c r="AK16" s="1637"/>
      <c r="AL16" s="1637">
        <v>20</v>
      </c>
      <c r="AM16" s="1638"/>
      <c r="AN16" s="1638">
        <f t="shared" si="91"/>
        <v>506</v>
      </c>
      <c r="AO16" s="1636">
        <v>44</v>
      </c>
      <c r="AP16" s="1637">
        <v>63</v>
      </c>
      <c r="AQ16" s="1637">
        <v>45</v>
      </c>
      <c r="AR16" s="1637"/>
      <c r="AS16" s="1637">
        <v>61</v>
      </c>
      <c r="AT16" s="1637">
        <v>28</v>
      </c>
      <c r="AU16" s="1637">
        <v>82</v>
      </c>
      <c r="AV16" s="1637">
        <v>40</v>
      </c>
      <c r="AW16" s="1637">
        <v>43</v>
      </c>
      <c r="AX16" s="1637">
        <v>2</v>
      </c>
      <c r="AY16" s="1637"/>
      <c r="AZ16" s="1638"/>
      <c r="BA16" s="1638">
        <f t="shared" si="92"/>
        <v>408</v>
      </c>
      <c r="BB16" s="1636"/>
      <c r="BC16" s="1637">
        <v>37</v>
      </c>
      <c r="BD16" s="1637">
        <v>26</v>
      </c>
      <c r="BE16" s="1637">
        <v>38</v>
      </c>
      <c r="BF16" s="1637">
        <v>32</v>
      </c>
      <c r="BG16" s="1637">
        <v>13</v>
      </c>
      <c r="BH16" s="1637"/>
      <c r="BI16" s="1637">
        <v>20</v>
      </c>
      <c r="BJ16" s="1637"/>
      <c r="BK16" s="1637">
        <v>12</v>
      </c>
      <c r="BL16" s="1637">
        <v>53</v>
      </c>
      <c r="BM16" s="1638">
        <v>49</v>
      </c>
      <c r="BN16" s="1638">
        <f t="shared" si="93"/>
        <v>280</v>
      </c>
      <c r="BO16" s="1636">
        <v>48</v>
      </c>
      <c r="BP16" s="1637">
        <v>56</v>
      </c>
      <c r="BQ16" s="1637">
        <v>125</v>
      </c>
      <c r="BR16" s="1637">
        <v>52</v>
      </c>
      <c r="BS16" s="1637">
        <v>21</v>
      </c>
      <c r="BT16" s="1637"/>
      <c r="BU16" s="1637"/>
      <c r="BV16" s="1637"/>
      <c r="BW16" s="1637">
        <v>33</v>
      </c>
      <c r="BX16" s="1637"/>
      <c r="BY16" s="1637">
        <v>1</v>
      </c>
      <c r="BZ16" s="1638"/>
      <c r="CA16" s="1638">
        <f t="shared" si="94"/>
        <v>336</v>
      </c>
      <c r="CB16" s="1636"/>
      <c r="CC16" s="1637"/>
      <c r="CD16" s="1637"/>
      <c r="CE16" s="1637"/>
      <c r="CF16" s="1637"/>
      <c r="CG16" s="1637"/>
      <c r="CH16" s="1637"/>
      <c r="CI16" s="1637"/>
      <c r="CJ16" s="1637"/>
      <c r="CK16" s="1637"/>
      <c r="CL16" s="1637"/>
      <c r="CM16" s="1638"/>
      <c r="CN16" s="1638">
        <f t="shared" si="95"/>
        <v>0</v>
      </c>
      <c r="CO16" s="1636"/>
      <c r="CP16" s="1637"/>
      <c r="CQ16" s="1637"/>
      <c r="CR16" s="1637"/>
      <c r="CS16" s="1637"/>
      <c r="CT16" s="1637"/>
      <c r="CU16" s="1637"/>
      <c r="CV16" s="1637"/>
      <c r="CW16" s="1637"/>
      <c r="CX16" s="1637"/>
      <c r="CY16" s="1637"/>
      <c r="CZ16" s="1638"/>
      <c r="DA16" s="1638">
        <f t="shared" si="96"/>
        <v>0</v>
      </c>
      <c r="DB16" s="1636"/>
      <c r="DC16" s="1637"/>
      <c r="DD16" s="1637"/>
      <c r="DE16" s="1637">
        <v>33</v>
      </c>
      <c r="DF16" s="1637"/>
      <c r="DG16" s="1637"/>
      <c r="DH16" s="1637">
        <v>138</v>
      </c>
      <c r="DI16" s="1637"/>
      <c r="DJ16" s="1637"/>
      <c r="DK16" s="1637"/>
      <c r="DL16" s="1637">
        <v>21</v>
      </c>
      <c r="DM16" s="1638"/>
      <c r="DN16" s="1638">
        <f t="shared" si="97"/>
        <v>192</v>
      </c>
      <c r="DO16" s="1636"/>
      <c r="DP16" s="1637"/>
      <c r="DQ16" s="1637"/>
      <c r="DR16" s="1637"/>
      <c r="DS16" s="1637"/>
      <c r="DT16" s="1637"/>
      <c r="DU16" s="1637"/>
      <c r="DV16" s="1637"/>
      <c r="DW16" s="1637"/>
      <c r="DX16" s="1637"/>
      <c r="DY16" s="1637"/>
      <c r="DZ16" s="1638"/>
      <c r="EA16" s="1638">
        <f t="shared" si="98"/>
        <v>0</v>
      </c>
      <c r="EB16" s="1636"/>
      <c r="EC16" s="1637"/>
      <c r="ED16" s="1637"/>
      <c r="EE16" s="1637"/>
      <c r="EF16" s="1637"/>
      <c r="EG16" s="1637"/>
      <c r="EH16" s="1637"/>
      <c r="EI16" s="1637"/>
      <c r="EJ16" s="1637"/>
      <c r="EK16" s="1637"/>
      <c r="EL16" s="1637"/>
      <c r="EM16" s="1638">
        <v>235</v>
      </c>
      <c r="EN16" s="1638">
        <f t="shared" si="99"/>
        <v>235</v>
      </c>
      <c r="EO16" s="1636"/>
      <c r="EP16" s="1637">
        <v>153</v>
      </c>
      <c r="EQ16" s="1637">
        <v>203</v>
      </c>
      <c r="ER16" s="1637">
        <v>338</v>
      </c>
      <c r="ES16" s="1637">
        <v>172</v>
      </c>
      <c r="ET16" s="1637">
        <v>207</v>
      </c>
      <c r="EU16" s="1637">
        <v>169</v>
      </c>
      <c r="EV16" s="1637">
        <v>236</v>
      </c>
      <c r="EW16" s="1637">
        <v>284</v>
      </c>
      <c r="EX16" s="1637">
        <v>281</v>
      </c>
      <c r="EY16" s="1637">
        <v>169</v>
      </c>
      <c r="EZ16" s="1638">
        <v>158</v>
      </c>
      <c r="FA16" s="1638">
        <f t="shared" si="100"/>
        <v>2370</v>
      </c>
      <c r="FB16" s="1636">
        <v>204</v>
      </c>
      <c r="FC16" s="1637">
        <v>208</v>
      </c>
      <c r="FD16" s="1637">
        <v>193</v>
      </c>
      <c r="FE16" s="1637"/>
      <c r="FF16" s="1637">
        <v>171</v>
      </c>
      <c r="FG16" s="1637">
        <v>121</v>
      </c>
      <c r="FH16" s="1637"/>
      <c r="FI16" s="1637"/>
      <c r="FJ16" s="1637"/>
      <c r="FK16" s="1637"/>
      <c r="FL16" s="1637"/>
      <c r="FM16" s="1638"/>
      <c r="FN16" s="1638">
        <f t="shared" si="101"/>
        <v>897</v>
      </c>
      <c r="FO16" s="1636"/>
      <c r="FP16" s="1637"/>
      <c r="FQ16" s="1637"/>
      <c r="FR16" s="1637"/>
      <c r="FS16" s="1637"/>
      <c r="FT16" s="1637"/>
      <c r="FU16" s="1637"/>
      <c r="FV16" s="1637"/>
      <c r="FW16" s="1637"/>
      <c r="FX16" s="1637"/>
      <c r="FY16" s="1637"/>
      <c r="FZ16" s="1638"/>
      <c r="GA16" s="1638">
        <f t="shared" si="102"/>
        <v>0</v>
      </c>
      <c r="GB16" s="1636"/>
      <c r="GC16" s="1637"/>
      <c r="GD16" s="1637"/>
      <c r="GE16" s="1637"/>
      <c r="GF16" s="1637"/>
      <c r="GG16" s="1637"/>
      <c r="GH16" s="1637"/>
      <c r="GI16" s="1637"/>
      <c r="GJ16" s="1637"/>
      <c r="GK16" s="1637"/>
      <c r="GL16" s="1637"/>
      <c r="GM16" s="1638"/>
      <c r="GN16" s="1638">
        <f t="shared" si="103"/>
        <v>0</v>
      </c>
      <c r="GO16" s="1636"/>
      <c r="GP16" s="1637"/>
      <c r="GQ16" s="1637"/>
      <c r="GR16" s="1637"/>
      <c r="GS16" s="1637"/>
      <c r="GT16" s="1637"/>
      <c r="GU16" s="1637"/>
      <c r="GV16" s="1637"/>
      <c r="GW16" s="1637"/>
      <c r="GX16" s="1637"/>
      <c r="GY16" s="1637"/>
      <c r="GZ16" s="1638"/>
      <c r="HA16" s="1638">
        <f t="shared" si="104"/>
        <v>0</v>
      </c>
      <c r="HB16" s="1636"/>
      <c r="HC16" s="1637"/>
      <c r="HD16" s="1637"/>
      <c r="HE16" s="1637"/>
      <c r="HF16" s="1637"/>
      <c r="HG16" s="1637"/>
      <c r="HH16" s="1637"/>
      <c r="HI16" s="1637"/>
      <c r="HJ16" s="1637"/>
      <c r="HK16" s="1637"/>
      <c r="HL16" s="1637"/>
      <c r="HM16" s="1638"/>
      <c r="HN16" s="1638">
        <f t="shared" si="105"/>
        <v>0</v>
      </c>
      <c r="HO16" s="1636"/>
      <c r="HP16" s="1637"/>
      <c r="HQ16" s="1637"/>
      <c r="HR16" s="1637"/>
      <c r="HS16" s="1637"/>
      <c r="HT16" s="1637"/>
      <c r="HU16" s="1637"/>
      <c r="HV16" s="1637"/>
      <c r="HW16" s="1637"/>
      <c r="HX16" s="1637"/>
      <c r="HY16" s="1637"/>
      <c r="HZ16" s="1638"/>
      <c r="IA16" s="1638">
        <f t="shared" si="375"/>
        <v>0</v>
      </c>
      <c r="IB16" s="1636"/>
      <c r="IC16" s="1637"/>
      <c r="ID16" s="1637"/>
      <c r="IE16" s="1637"/>
      <c r="IF16" s="1637"/>
      <c r="IG16" s="1637"/>
      <c r="IH16" s="1637"/>
      <c r="II16" s="1637"/>
      <c r="IJ16" s="1637"/>
      <c r="IK16" s="1637"/>
      <c r="IL16" s="1637"/>
      <c r="IM16" s="1638"/>
      <c r="IN16" s="1638">
        <f t="shared" si="106"/>
        <v>0</v>
      </c>
      <c r="IO16" s="1636"/>
      <c r="IP16" s="1637"/>
      <c r="IQ16" s="1637"/>
      <c r="IR16" s="1637"/>
      <c r="IS16" s="1637"/>
      <c r="IT16" s="1637"/>
      <c r="IU16" s="1637"/>
      <c r="IV16" s="1637"/>
      <c r="IW16" s="1637"/>
      <c r="IX16" s="1637"/>
      <c r="IY16" s="1637"/>
      <c r="IZ16" s="1638"/>
      <c r="JA16" s="1638">
        <f t="shared" si="107"/>
        <v>0</v>
      </c>
      <c r="JB16" s="1636"/>
      <c r="JC16" s="1637"/>
      <c r="JD16" s="1637"/>
      <c r="JE16" s="1637"/>
      <c r="JF16" s="1637"/>
      <c r="JG16" s="1637"/>
      <c r="JH16" s="1637"/>
      <c r="JI16" s="1637"/>
      <c r="JJ16" s="1637"/>
      <c r="JK16" s="1637"/>
      <c r="JL16" s="1637"/>
      <c r="JM16" s="1638"/>
      <c r="JN16" s="1638">
        <f t="shared" si="108"/>
        <v>0</v>
      </c>
      <c r="JO16" s="1636"/>
      <c r="JP16" s="1637"/>
      <c r="JQ16" s="1637"/>
      <c r="JR16" s="1637"/>
      <c r="JS16" s="1637"/>
      <c r="JT16" s="1637"/>
      <c r="JU16" s="1637"/>
      <c r="JV16" s="1637"/>
      <c r="JW16" s="1637"/>
      <c r="JX16" s="1637"/>
      <c r="JY16" s="1637"/>
      <c r="JZ16" s="1638"/>
      <c r="KA16" s="1638">
        <f t="shared" si="109"/>
        <v>0</v>
      </c>
      <c r="KB16" s="1068"/>
      <c r="KC16" s="1641" t="str">
        <f t="shared" si="83"/>
        <v/>
      </c>
      <c r="KD16" s="1642" t="str">
        <f t="shared" si="84"/>
        <v/>
      </c>
      <c r="KE16" s="1643">
        <f t="shared" si="85"/>
        <v>0</v>
      </c>
      <c r="KF16" s="1643">
        <f t="shared" si="86"/>
        <v>0</v>
      </c>
      <c r="KG16" s="1068"/>
      <c r="KH16" s="1644" t="str">
        <f t="shared" si="87"/>
        <v/>
      </c>
      <c r="KI16" s="1068">
        <f t="shared" si="88"/>
        <v>0</v>
      </c>
      <c r="KJ16" s="1570">
        <f t="shared" si="55"/>
        <v>0</v>
      </c>
    </row>
    <row r="17" spans="1:297" ht="15" customHeight="1" x14ac:dyDescent="0.2">
      <c r="A17" s="1640" t="s">
        <v>117</v>
      </c>
      <c r="B17" s="1636"/>
      <c r="C17" s="1637"/>
      <c r="D17" s="1637"/>
      <c r="E17" s="1637"/>
      <c r="F17" s="1637">
        <v>36</v>
      </c>
      <c r="G17" s="1637">
        <v>18</v>
      </c>
      <c r="H17" s="1637">
        <v>68</v>
      </c>
      <c r="I17" s="1637">
        <v>113</v>
      </c>
      <c r="J17" s="1637"/>
      <c r="K17" s="1637">
        <v>18</v>
      </c>
      <c r="L17" s="1637"/>
      <c r="M17" s="1638"/>
      <c r="N17" s="1638">
        <f t="shared" si="89"/>
        <v>253</v>
      </c>
      <c r="O17" s="1636">
        <v>78</v>
      </c>
      <c r="P17" s="1637"/>
      <c r="Q17" s="1637"/>
      <c r="R17" s="1637"/>
      <c r="S17" s="1637">
        <v>18</v>
      </c>
      <c r="T17" s="1637">
        <v>19</v>
      </c>
      <c r="U17" s="1637"/>
      <c r="V17" s="1637"/>
      <c r="W17" s="1637"/>
      <c r="X17" s="1637">
        <v>66</v>
      </c>
      <c r="Y17" s="1637"/>
      <c r="Z17" s="1638"/>
      <c r="AA17" s="1638">
        <f t="shared" si="90"/>
        <v>181</v>
      </c>
      <c r="AB17" s="1636"/>
      <c r="AC17" s="1637"/>
      <c r="AD17" s="1637"/>
      <c r="AE17" s="1637"/>
      <c r="AF17" s="1637"/>
      <c r="AG17" s="1637"/>
      <c r="AH17" s="1637"/>
      <c r="AI17" s="1637">
        <v>20</v>
      </c>
      <c r="AJ17" s="1637"/>
      <c r="AK17" s="1637">
        <v>98</v>
      </c>
      <c r="AL17" s="1637">
        <v>43</v>
      </c>
      <c r="AM17" s="1638">
        <v>75</v>
      </c>
      <c r="AN17" s="1638">
        <f t="shared" si="91"/>
        <v>236</v>
      </c>
      <c r="AO17" s="1636"/>
      <c r="AP17" s="1637"/>
      <c r="AQ17" s="1637">
        <v>5</v>
      </c>
      <c r="AR17" s="1637">
        <v>19</v>
      </c>
      <c r="AS17" s="1637"/>
      <c r="AT17" s="1637"/>
      <c r="AU17" s="1637"/>
      <c r="AV17" s="1637"/>
      <c r="AW17" s="1637">
        <v>5</v>
      </c>
      <c r="AX17" s="1637">
        <v>13</v>
      </c>
      <c r="AY17" s="1637"/>
      <c r="AZ17" s="1638">
        <v>2</v>
      </c>
      <c r="BA17" s="1638">
        <f t="shared" si="92"/>
        <v>44</v>
      </c>
      <c r="BB17" s="1636"/>
      <c r="BC17" s="1637">
        <v>5</v>
      </c>
      <c r="BD17" s="1637">
        <v>3</v>
      </c>
      <c r="BE17" s="1637">
        <v>10</v>
      </c>
      <c r="BF17" s="1637"/>
      <c r="BG17" s="1637"/>
      <c r="BH17" s="1637"/>
      <c r="BI17" s="1637"/>
      <c r="BJ17" s="1637">
        <v>11</v>
      </c>
      <c r="BK17" s="1637"/>
      <c r="BL17" s="1637"/>
      <c r="BM17" s="1638">
        <v>1</v>
      </c>
      <c r="BN17" s="1638">
        <f t="shared" si="93"/>
        <v>30</v>
      </c>
      <c r="BO17" s="1636"/>
      <c r="BP17" s="1637"/>
      <c r="BQ17" s="1637"/>
      <c r="BR17" s="1637"/>
      <c r="BS17" s="1637"/>
      <c r="BT17" s="1637"/>
      <c r="BU17" s="1637">
        <v>8</v>
      </c>
      <c r="BV17" s="1637"/>
      <c r="BW17" s="1637"/>
      <c r="BX17" s="1637"/>
      <c r="BY17" s="1637">
        <v>25</v>
      </c>
      <c r="BZ17" s="1638">
        <v>16</v>
      </c>
      <c r="CA17" s="1638">
        <f t="shared" si="94"/>
        <v>49</v>
      </c>
      <c r="CB17" s="1636"/>
      <c r="CC17" s="1637">
        <v>24</v>
      </c>
      <c r="CD17" s="1637">
        <v>152</v>
      </c>
      <c r="CE17" s="1637">
        <v>14</v>
      </c>
      <c r="CF17" s="1637"/>
      <c r="CG17" s="1637"/>
      <c r="CH17" s="1637"/>
      <c r="CI17" s="1637"/>
      <c r="CJ17" s="1637"/>
      <c r="CK17" s="1637">
        <v>3</v>
      </c>
      <c r="CL17" s="1637"/>
      <c r="CM17" s="1638"/>
      <c r="CN17" s="1638">
        <f t="shared" si="95"/>
        <v>193</v>
      </c>
      <c r="CO17" s="1636">
        <v>68</v>
      </c>
      <c r="CP17" s="1637">
        <v>35</v>
      </c>
      <c r="CQ17" s="1637">
        <v>33</v>
      </c>
      <c r="CR17" s="1637"/>
      <c r="CS17" s="1637"/>
      <c r="CT17" s="1637"/>
      <c r="CU17" s="1637"/>
      <c r="CV17" s="1637"/>
      <c r="CW17" s="1637"/>
      <c r="CX17" s="1637"/>
      <c r="CY17" s="1637"/>
      <c r="CZ17" s="1638"/>
      <c r="DA17" s="1638">
        <f t="shared" si="96"/>
        <v>136</v>
      </c>
      <c r="DB17" s="1636"/>
      <c r="DC17" s="1637">
        <v>8</v>
      </c>
      <c r="DD17" s="1637">
        <v>34</v>
      </c>
      <c r="DE17" s="1637">
        <v>74</v>
      </c>
      <c r="DF17" s="1637">
        <v>19</v>
      </c>
      <c r="DG17" s="1637">
        <v>13</v>
      </c>
      <c r="DH17" s="1637">
        <v>97</v>
      </c>
      <c r="DI17" s="1637"/>
      <c r="DJ17" s="1637"/>
      <c r="DK17" s="1637"/>
      <c r="DL17" s="1637">
        <v>276</v>
      </c>
      <c r="DM17" s="1638">
        <v>230</v>
      </c>
      <c r="DN17" s="1638">
        <f t="shared" si="97"/>
        <v>751</v>
      </c>
      <c r="DO17" s="1636">
        <v>8</v>
      </c>
      <c r="DP17" s="1637"/>
      <c r="DQ17" s="1637">
        <v>23</v>
      </c>
      <c r="DR17" s="1637">
        <v>11</v>
      </c>
      <c r="DS17" s="1637"/>
      <c r="DT17" s="1637"/>
      <c r="DU17" s="1637"/>
      <c r="DV17" s="1637"/>
      <c r="DW17" s="1637"/>
      <c r="DX17" s="1637"/>
      <c r="DY17" s="1637"/>
      <c r="DZ17" s="1638"/>
      <c r="EA17" s="1638">
        <f t="shared" si="98"/>
        <v>42</v>
      </c>
      <c r="EB17" s="1636"/>
      <c r="EC17" s="1637"/>
      <c r="ED17" s="1637"/>
      <c r="EE17" s="1637"/>
      <c r="EF17" s="1637"/>
      <c r="EG17" s="1637"/>
      <c r="EH17" s="1637"/>
      <c r="EI17" s="1637"/>
      <c r="EJ17" s="1637"/>
      <c r="EK17" s="1637"/>
      <c r="EL17" s="1637"/>
      <c r="EM17" s="1638">
        <v>32</v>
      </c>
      <c r="EN17" s="1638">
        <f t="shared" si="99"/>
        <v>32</v>
      </c>
      <c r="EO17" s="1636"/>
      <c r="EP17" s="1637">
        <v>46</v>
      </c>
      <c r="EQ17" s="1637"/>
      <c r="ER17" s="1637"/>
      <c r="ES17" s="1637"/>
      <c r="ET17" s="1637">
        <v>23</v>
      </c>
      <c r="EU17" s="1637"/>
      <c r="EV17" s="1637"/>
      <c r="EW17" s="1637"/>
      <c r="EX17" s="1637"/>
      <c r="EY17" s="1637"/>
      <c r="EZ17" s="1638"/>
      <c r="FA17" s="1638">
        <f t="shared" ref="FA17:FA19" si="376">SUM(EO17:EZ17)</f>
        <v>69</v>
      </c>
      <c r="FB17" s="1636"/>
      <c r="FC17" s="1637"/>
      <c r="FD17" s="1637"/>
      <c r="FE17" s="1637"/>
      <c r="FF17" s="1637"/>
      <c r="FG17" s="1637"/>
      <c r="FH17" s="1637"/>
      <c r="FI17" s="1637"/>
      <c r="FJ17" s="1637">
        <v>2</v>
      </c>
      <c r="FK17" s="1637"/>
      <c r="FL17" s="1637"/>
      <c r="FM17" s="1638">
        <v>20</v>
      </c>
      <c r="FN17" s="1638">
        <f t="shared" si="101"/>
        <v>22</v>
      </c>
      <c r="FO17" s="1636"/>
      <c r="FP17" s="1637"/>
      <c r="FQ17" s="1637">
        <v>20</v>
      </c>
      <c r="FR17" s="1637"/>
      <c r="FS17" s="1637"/>
      <c r="FT17" s="1637"/>
      <c r="FU17" s="1637">
        <v>14</v>
      </c>
      <c r="FV17" s="1637"/>
      <c r="FW17" s="1637">
        <v>14</v>
      </c>
      <c r="FX17" s="1637"/>
      <c r="FY17" s="1637"/>
      <c r="FZ17" s="1638">
        <v>14</v>
      </c>
      <c r="GA17" s="1638">
        <f t="shared" si="102"/>
        <v>62</v>
      </c>
      <c r="GB17" s="1636"/>
      <c r="GC17" s="1637"/>
      <c r="GD17" s="1637"/>
      <c r="GE17" s="1637"/>
      <c r="GF17" s="1637"/>
      <c r="GG17" s="1637"/>
      <c r="GH17" s="1637"/>
      <c r="GI17" s="1637"/>
      <c r="GJ17" s="1637"/>
      <c r="GK17" s="1637"/>
      <c r="GL17" s="1637"/>
      <c r="GM17" s="1638"/>
      <c r="GN17" s="1638">
        <f t="shared" si="103"/>
        <v>0</v>
      </c>
      <c r="GO17" s="1636"/>
      <c r="GP17" s="1637"/>
      <c r="GQ17" s="1637"/>
      <c r="GR17" s="1637"/>
      <c r="GS17" s="1637"/>
      <c r="GT17" s="1637"/>
      <c r="GU17" s="1637"/>
      <c r="GV17" s="1637"/>
      <c r="GW17" s="1637"/>
      <c r="GX17" s="1637"/>
      <c r="GY17" s="1637"/>
      <c r="GZ17" s="1638"/>
      <c r="HA17" s="1638">
        <f t="shared" si="104"/>
        <v>0</v>
      </c>
      <c r="HB17" s="1636"/>
      <c r="HC17" s="1637"/>
      <c r="HD17" s="1637"/>
      <c r="HE17" s="1637"/>
      <c r="HF17" s="1637"/>
      <c r="HG17" s="1637"/>
      <c r="HH17" s="1637"/>
      <c r="HI17" s="1637"/>
      <c r="HJ17" s="1637"/>
      <c r="HK17" s="1637"/>
      <c r="HL17" s="1637"/>
      <c r="HM17" s="1638"/>
      <c r="HN17" s="1638">
        <f t="shared" si="105"/>
        <v>0</v>
      </c>
      <c r="HO17" s="1636"/>
      <c r="HP17" s="1637"/>
      <c r="HQ17" s="1637"/>
      <c r="HR17" s="1637"/>
      <c r="HS17" s="1637"/>
      <c r="HT17" s="1637"/>
      <c r="HU17" s="1637"/>
      <c r="HV17" s="1637"/>
      <c r="HW17" s="1637"/>
      <c r="HX17" s="1637"/>
      <c r="HY17" s="1637"/>
      <c r="HZ17" s="1638"/>
      <c r="IA17" s="1638">
        <f t="shared" si="375"/>
        <v>0</v>
      </c>
      <c r="IB17" s="1636"/>
      <c r="IC17" s="1637"/>
      <c r="ID17" s="1637"/>
      <c r="IE17" s="1637"/>
      <c r="IF17" s="1637"/>
      <c r="IG17" s="1637"/>
      <c r="IH17" s="1637"/>
      <c r="II17" s="1637"/>
      <c r="IJ17" s="1637"/>
      <c r="IK17" s="1637"/>
      <c r="IL17" s="1637"/>
      <c r="IM17" s="1638"/>
      <c r="IN17" s="1638">
        <f t="shared" si="106"/>
        <v>0</v>
      </c>
      <c r="IO17" s="1636"/>
      <c r="IP17" s="1637"/>
      <c r="IQ17" s="1637"/>
      <c r="IR17" s="1637"/>
      <c r="IS17" s="1637"/>
      <c r="IT17" s="1637"/>
      <c r="IU17" s="1637"/>
      <c r="IV17" s="1637"/>
      <c r="IW17" s="1637"/>
      <c r="IX17" s="1637"/>
      <c r="IY17" s="1637"/>
      <c r="IZ17" s="1638"/>
      <c r="JA17" s="1638">
        <f t="shared" si="107"/>
        <v>0</v>
      </c>
      <c r="JB17" s="1636"/>
      <c r="JC17" s="1637"/>
      <c r="JD17" s="1637"/>
      <c r="JE17" s="1637"/>
      <c r="JF17" s="1637"/>
      <c r="JG17" s="1637"/>
      <c r="JH17" s="1637"/>
      <c r="JI17" s="1637"/>
      <c r="JJ17" s="1637"/>
      <c r="JK17" s="1637"/>
      <c r="JL17" s="1637"/>
      <c r="JM17" s="1638"/>
      <c r="JN17" s="1638">
        <f t="shared" si="108"/>
        <v>0</v>
      </c>
      <c r="JO17" s="1636"/>
      <c r="JP17" s="1637"/>
      <c r="JQ17" s="1637"/>
      <c r="JR17" s="1637"/>
      <c r="JS17" s="1637"/>
      <c r="JT17" s="1637"/>
      <c r="JU17" s="1637"/>
      <c r="JV17" s="1637"/>
      <c r="JW17" s="1637"/>
      <c r="JX17" s="1637"/>
      <c r="JY17" s="1637"/>
      <c r="JZ17" s="1638"/>
      <c r="KA17" s="1638">
        <f t="shared" si="109"/>
        <v>0</v>
      </c>
      <c r="KB17" s="1068"/>
      <c r="KC17" s="1641" t="str">
        <f t="shared" si="83"/>
        <v/>
      </c>
      <c r="KD17" s="1642" t="str">
        <f t="shared" si="84"/>
        <v/>
      </c>
      <c r="KE17" s="1643">
        <f t="shared" si="85"/>
        <v>0</v>
      </c>
      <c r="KF17" s="1643">
        <f t="shared" si="86"/>
        <v>0</v>
      </c>
      <c r="KG17" s="1068"/>
      <c r="KH17" s="1644" t="str">
        <f t="shared" si="87"/>
        <v/>
      </c>
      <c r="KI17" s="1068">
        <f t="shared" si="88"/>
        <v>0</v>
      </c>
      <c r="KJ17" s="1570">
        <f t="shared" si="55"/>
        <v>0</v>
      </c>
    </row>
    <row r="18" spans="1:297" ht="15" customHeight="1" x14ac:dyDescent="0.2">
      <c r="A18" s="1408" t="s">
        <v>285</v>
      </c>
      <c r="B18" s="1393">
        <f t="shared" ref="B18:BM18" si="377">SUM(B19)</f>
        <v>0</v>
      </c>
      <c r="C18" s="1394">
        <f t="shared" si="377"/>
        <v>0</v>
      </c>
      <c r="D18" s="1394">
        <f t="shared" si="377"/>
        <v>0</v>
      </c>
      <c r="E18" s="1394">
        <f t="shared" si="377"/>
        <v>0</v>
      </c>
      <c r="F18" s="1394">
        <f t="shared" si="377"/>
        <v>0</v>
      </c>
      <c r="G18" s="1394">
        <f t="shared" si="377"/>
        <v>0</v>
      </c>
      <c r="H18" s="1394">
        <f t="shared" si="377"/>
        <v>0</v>
      </c>
      <c r="I18" s="1394">
        <f t="shared" si="377"/>
        <v>0</v>
      </c>
      <c r="J18" s="1394">
        <f t="shared" si="377"/>
        <v>0</v>
      </c>
      <c r="K18" s="1394">
        <f t="shared" si="377"/>
        <v>0</v>
      </c>
      <c r="L18" s="1394">
        <f t="shared" si="377"/>
        <v>0</v>
      </c>
      <c r="M18" s="1395">
        <f t="shared" si="377"/>
        <v>0</v>
      </c>
      <c r="N18" s="1395">
        <f t="shared" si="377"/>
        <v>0</v>
      </c>
      <c r="O18" s="1393">
        <f t="shared" si="377"/>
        <v>0</v>
      </c>
      <c r="P18" s="1394">
        <f t="shared" si="377"/>
        <v>0</v>
      </c>
      <c r="Q18" s="1394">
        <f t="shared" si="377"/>
        <v>0</v>
      </c>
      <c r="R18" s="1394">
        <f t="shared" si="377"/>
        <v>0</v>
      </c>
      <c r="S18" s="1394">
        <f t="shared" si="377"/>
        <v>0</v>
      </c>
      <c r="T18" s="1394">
        <f t="shared" si="377"/>
        <v>0</v>
      </c>
      <c r="U18" s="1394">
        <f t="shared" si="377"/>
        <v>0</v>
      </c>
      <c r="V18" s="1394">
        <f t="shared" si="377"/>
        <v>0</v>
      </c>
      <c r="W18" s="1394">
        <f t="shared" si="377"/>
        <v>0</v>
      </c>
      <c r="X18" s="1394">
        <f t="shared" si="377"/>
        <v>0</v>
      </c>
      <c r="Y18" s="1394">
        <f t="shared" si="377"/>
        <v>0</v>
      </c>
      <c r="Z18" s="1395">
        <f t="shared" si="377"/>
        <v>0</v>
      </c>
      <c r="AA18" s="1395">
        <f t="shared" si="377"/>
        <v>0</v>
      </c>
      <c r="AB18" s="1393">
        <f t="shared" si="377"/>
        <v>0</v>
      </c>
      <c r="AC18" s="1394">
        <f t="shared" si="377"/>
        <v>0</v>
      </c>
      <c r="AD18" s="1394">
        <f t="shared" si="377"/>
        <v>0</v>
      </c>
      <c r="AE18" s="1394">
        <f t="shared" si="377"/>
        <v>0</v>
      </c>
      <c r="AF18" s="1394">
        <f t="shared" si="377"/>
        <v>0</v>
      </c>
      <c r="AG18" s="1394">
        <f t="shared" si="377"/>
        <v>0</v>
      </c>
      <c r="AH18" s="1394">
        <f t="shared" si="377"/>
        <v>0</v>
      </c>
      <c r="AI18" s="1394">
        <f t="shared" si="377"/>
        <v>0</v>
      </c>
      <c r="AJ18" s="1394">
        <f t="shared" si="377"/>
        <v>0</v>
      </c>
      <c r="AK18" s="1394">
        <f t="shared" si="377"/>
        <v>0</v>
      </c>
      <c r="AL18" s="1394">
        <f t="shared" si="377"/>
        <v>0</v>
      </c>
      <c r="AM18" s="1395">
        <f t="shared" si="377"/>
        <v>0</v>
      </c>
      <c r="AN18" s="1395">
        <f t="shared" si="377"/>
        <v>0</v>
      </c>
      <c r="AO18" s="1393">
        <f t="shared" si="377"/>
        <v>0</v>
      </c>
      <c r="AP18" s="1394">
        <f t="shared" si="377"/>
        <v>0</v>
      </c>
      <c r="AQ18" s="1394">
        <f t="shared" si="377"/>
        <v>0</v>
      </c>
      <c r="AR18" s="1394">
        <f t="shared" si="377"/>
        <v>0</v>
      </c>
      <c r="AS18" s="1394">
        <f t="shared" si="377"/>
        <v>0</v>
      </c>
      <c r="AT18" s="1394">
        <f t="shared" si="377"/>
        <v>0</v>
      </c>
      <c r="AU18" s="1394">
        <f t="shared" si="377"/>
        <v>0</v>
      </c>
      <c r="AV18" s="1394">
        <f t="shared" si="377"/>
        <v>0</v>
      </c>
      <c r="AW18" s="1394">
        <f t="shared" si="377"/>
        <v>0</v>
      </c>
      <c r="AX18" s="1394">
        <f t="shared" si="377"/>
        <v>0</v>
      </c>
      <c r="AY18" s="1394">
        <f t="shared" si="377"/>
        <v>0</v>
      </c>
      <c r="AZ18" s="1395">
        <f t="shared" si="377"/>
        <v>0</v>
      </c>
      <c r="BA18" s="1395">
        <f t="shared" si="377"/>
        <v>0</v>
      </c>
      <c r="BB18" s="1393">
        <f t="shared" si="377"/>
        <v>0</v>
      </c>
      <c r="BC18" s="1394">
        <f t="shared" si="377"/>
        <v>0</v>
      </c>
      <c r="BD18" s="1394">
        <f t="shared" si="377"/>
        <v>0</v>
      </c>
      <c r="BE18" s="1394">
        <f t="shared" si="377"/>
        <v>0</v>
      </c>
      <c r="BF18" s="1394">
        <f t="shared" si="377"/>
        <v>0</v>
      </c>
      <c r="BG18" s="1394">
        <f t="shared" si="377"/>
        <v>0</v>
      </c>
      <c r="BH18" s="1394">
        <f t="shared" si="377"/>
        <v>0</v>
      </c>
      <c r="BI18" s="1394">
        <f t="shared" si="377"/>
        <v>0</v>
      </c>
      <c r="BJ18" s="1394">
        <f t="shared" si="377"/>
        <v>0</v>
      </c>
      <c r="BK18" s="1394">
        <f t="shared" si="377"/>
        <v>0</v>
      </c>
      <c r="BL18" s="1394">
        <f t="shared" si="377"/>
        <v>0</v>
      </c>
      <c r="BM18" s="1395">
        <f t="shared" si="377"/>
        <v>0</v>
      </c>
      <c r="BN18" s="1395">
        <f t="shared" ref="BN18:DY18" si="378">SUM(BN19)</f>
        <v>0</v>
      </c>
      <c r="BO18" s="1393">
        <f t="shared" si="378"/>
        <v>0</v>
      </c>
      <c r="BP18" s="1394">
        <f t="shared" si="378"/>
        <v>0</v>
      </c>
      <c r="BQ18" s="1394">
        <f t="shared" si="378"/>
        <v>0</v>
      </c>
      <c r="BR18" s="1394">
        <f t="shared" si="378"/>
        <v>0</v>
      </c>
      <c r="BS18" s="1394">
        <f t="shared" si="378"/>
        <v>0</v>
      </c>
      <c r="BT18" s="1394">
        <f t="shared" si="378"/>
        <v>0</v>
      </c>
      <c r="BU18" s="1394">
        <f t="shared" si="378"/>
        <v>0</v>
      </c>
      <c r="BV18" s="1394">
        <f t="shared" si="378"/>
        <v>0</v>
      </c>
      <c r="BW18" s="1394">
        <f t="shared" si="378"/>
        <v>0</v>
      </c>
      <c r="BX18" s="1394">
        <f t="shared" si="378"/>
        <v>0</v>
      </c>
      <c r="BY18" s="1394">
        <f t="shared" si="378"/>
        <v>0</v>
      </c>
      <c r="BZ18" s="1395">
        <f t="shared" si="378"/>
        <v>0</v>
      </c>
      <c r="CA18" s="1395">
        <f t="shared" si="378"/>
        <v>0</v>
      </c>
      <c r="CB18" s="1393">
        <f t="shared" si="378"/>
        <v>0</v>
      </c>
      <c r="CC18" s="1394">
        <f t="shared" si="378"/>
        <v>0</v>
      </c>
      <c r="CD18" s="1394">
        <f t="shared" si="378"/>
        <v>0</v>
      </c>
      <c r="CE18" s="1394">
        <f t="shared" si="378"/>
        <v>0</v>
      </c>
      <c r="CF18" s="1394">
        <f t="shared" si="378"/>
        <v>0</v>
      </c>
      <c r="CG18" s="1394">
        <f t="shared" si="378"/>
        <v>0</v>
      </c>
      <c r="CH18" s="1394">
        <f t="shared" si="378"/>
        <v>0</v>
      </c>
      <c r="CI18" s="1394">
        <f t="shared" si="378"/>
        <v>0</v>
      </c>
      <c r="CJ18" s="1394">
        <f t="shared" si="378"/>
        <v>0</v>
      </c>
      <c r="CK18" s="1394">
        <f t="shared" si="378"/>
        <v>0</v>
      </c>
      <c r="CL18" s="1394">
        <f t="shared" si="378"/>
        <v>0</v>
      </c>
      <c r="CM18" s="1395">
        <f t="shared" si="378"/>
        <v>0</v>
      </c>
      <c r="CN18" s="1395">
        <f t="shared" si="378"/>
        <v>0</v>
      </c>
      <c r="CO18" s="1393">
        <f t="shared" si="378"/>
        <v>0</v>
      </c>
      <c r="CP18" s="1394">
        <f t="shared" si="378"/>
        <v>0</v>
      </c>
      <c r="CQ18" s="1394">
        <f t="shared" si="378"/>
        <v>0</v>
      </c>
      <c r="CR18" s="1394">
        <f t="shared" si="378"/>
        <v>252</v>
      </c>
      <c r="CS18" s="1394">
        <f t="shared" si="378"/>
        <v>0</v>
      </c>
      <c r="CT18" s="1394">
        <f t="shared" si="378"/>
        <v>0</v>
      </c>
      <c r="CU18" s="1394">
        <f t="shared" si="378"/>
        <v>2</v>
      </c>
      <c r="CV18" s="1394">
        <f t="shared" si="378"/>
        <v>253</v>
      </c>
      <c r="CW18" s="1394">
        <f t="shared" si="378"/>
        <v>0</v>
      </c>
      <c r="CX18" s="1394">
        <f t="shared" si="378"/>
        <v>482</v>
      </c>
      <c r="CY18" s="1394">
        <f t="shared" si="378"/>
        <v>239</v>
      </c>
      <c r="CZ18" s="1395">
        <f t="shared" si="378"/>
        <v>239</v>
      </c>
      <c r="DA18" s="1395">
        <f t="shared" si="378"/>
        <v>1467</v>
      </c>
      <c r="DB18" s="1393">
        <f t="shared" si="378"/>
        <v>0</v>
      </c>
      <c r="DC18" s="1394">
        <f t="shared" si="378"/>
        <v>0</v>
      </c>
      <c r="DD18" s="1394">
        <f t="shared" si="378"/>
        <v>0</v>
      </c>
      <c r="DE18" s="1394">
        <f t="shared" si="378"/>
        <v>0</v>
      </c>
      <c r="DF18" s="1394">
        <f t="shared" si="378"/>
        <v>245</v>
      </c>
      <c r="DG18" s="1394">
        <f t="shared" si="378"/>
        <v>5</v>
      </c>
      <c r="DH18" s="1394">
        <f t="shared" si="378"/>
        <v>497</v>
      </c>
      <c r="DI18" s="1394">
        <f t="shared" si="378"/>
        <v>486</v>
      </c>
      <c r="DJ18" s="1394">
        <f t="shared" si="378"/>
        <v>0</v>
      </c>
      <c r="DK18" s="1394">
        <f t="shared" si="378"/>
        <v>0</v>
      </c>
      <c r="DL18" s="1394">
        <f t="shared" si="378"/>
        <v>235</v>
      </c>
      <c r="DM18" s="1395">
        <f t="shared" si="378"/>
        <v>8</v>
      </c>
      <c r="DN18" s="1395">
        <f t="shared" si="378"/>
        <v>1476</v>
      </c>
      <c r="DO18" s="1393">
        <f t="shared" si="378"/>
        <v>0</v>
      </c>
      <c r="DP18" s="1394">
        <f t="shared" si="378"/>
        <v>0</v>
      </c>
      <c r="DQ18" s="1394">
        <f t="shared" si="378"/>
        <v>0</v>
      </c>
      <c r="DR18" s="1394">
        <f t="shared" si="378"/>
        <v>0</v>
      </c>
      <c r="DS18" s="1394">
        <f t="shared" si="378"/>
        <v>82</v>
      </c>
      <c r="DT18" s="1394">
        <f t="shared" si="378"/>
        <v>0</v>
      </c>
      <c r="DU18" s="1394">
        <f t="shared" si="378"/>
        <v>0</v>
      </c>
      <c r="DV18" s="1394">
        <f t="shared" si="378"/>
        <v>0</v>
      </c>
      <c r="DW18" s="1394">
        <f t="shared" si="378"/>
        <v>3</v>
      </c>
      <c r="DX18" s="1394">
        <f t="shared" si="378"/>
        <v>0</v>
      </c>
      <c r="DY18" s="1394">
        <f t="shared" si="378"/>
        <v>0</v>
      </c>
      <c r="DZ18" s="1395">
        <f t="shared" ref="DZ18:GK18" si="379">SUM(DZ19)</f>
        <v>0</v>
      </c>
      <c r="EA18" s="1395">
        <f t="shared" si="379"/>
        <v>85</v>
      </c>
      <c r="EB18" s="1393">
        <f t="shared" si="379"/>
        <v>0</v>
      </c>
      <c r="EC18" s="1394">
        <f t="shared" si="379"/>
        <v>0</v>
      </c>
      <c r="ED18" s="1394">
        <f t="shared" si="379"/>
        <v>0</v>
      </c>
      <c r="EE18" s="1394">
        <f t="shared" si="379"/>
        <v>0</v>
      </c>
      <c r="EF18" s="1394">
        <f t="shared" si="379"/>
        <v>0</v>
      </c>
      <c r="EG18" s="1394">
        <f t="shared" si="379"/>
        <v>0</v>
      </c>
      <c r="EH18" s="1394">
        <f t="shared" si="379"/>
        <v>0</v>
      </c>
      <c r="EI18" s="1394">
        <f t="shared" si="379"/>
        <v>0</v>
      </c>
      <c r="EJ18" s="1394">
        <f t="shared" si="379"/>
        <v>0</v>
      </c>
      <c r="EK18" s="1394">
        <f t="shared" si="379"/>
        <v>0</v>
      </c>
      <c r="EL18" s="1394">
        <f t="shared" si="379"/>
        <v>0</v>
      </c>
      <c r="EM18" s="1395">
        <f t="shared" si="379"/>
        <v>0</v>
      </c>
      <c r="EN18" s="1395">
        <f t="shared" si="379"/>
        <v>0</v>
      </c>
      <c r="EO18" s="1393">
        <f t="shared" si="379"/>
        <v>0</v>
      </c>
      <c r="EP18" s="1394">
        <f t="shared" si="379"/>
        <v>0</v>
      </c>
      <c r="EQ18" s="1394">
        <f t="shared" si="379"/>
        <v>0</v>
      </c>
      <c r="ER18" s="1394">
        <f t="shared" si="379"/>
        <v>0</v>
      </c>
      <c r="ES18" s="1394">
        <f t="shared" si="379"/>
        <v>0</v>
      </c>
      <c r="ET18" s="1394">
        <f t="shared" si="379"/>
        <v>0</v>
      </c>
      <c r="EU18" s="1394">
        <f t="shared" si="379"/>
        <v>0</v>
      </c>
      <c r="EV18" s="1394">
        <f t="shared" si="379"/>
        <v>0</v>
      </c>
      <c r="EW18" s="1394">
        <f t="shared" si="379"/>
        <v>0</v>
      </c>
      <c r="EX18" s="1394">
        <f t="shared" si="379"/>
        <v>0</v>
      </c>
      <c r="EY18" s="1394">
        <f t="shared" si="379"/>
        <v>0</v>
      </c>
      <c r="EZ18" s="1395">
        <f t="shared" si="379"/>
        <v>0</v>
      </c>
      <c r="FA18" s="1395">
        <f t="shared" si="379"/>
        <v>0</v>
      </c>
      <c r="FB18" s="1393">
        <f t="shared" si="379"/>
        <v>0</v>
      </c>
      <c r="FC18" s="1394">
        <f t="shared" si="379"/>
        <v>0</v>
      </c>
      <c r="FD18" s="1394">
        <f t="shared" si="379"/>
        <v>0</v>
      </c>
      <c r="FE18" s="1394">
        <f t="shared" si="379"/>
        <v>0</v>
      </c>
      <c r="FF18" s="1394">
        <f t="shared" si="379"/>
        <v>0</v>
      </c>
      <c r="FG18" s="1394">
        <f t="shared" si="379"/>
        <v>0</v>
      </c>
      <c r="FH18" s="1394">
        <f t="shared" si="379"/>
        <v>209</v>
      </c>
      <c r="FI18" s="1394">
        <f t="shared" si="379"/>
        <v>0</v>
      </c>
      <c r="FJ18" s="1394">
        <f t="shared" si="379"/>
        <v>133</v>
      </c>
      <c r="FK18" s="1394">
        <f t="shared" si="379"/>
        <v>0</v>
      </c>
      <c r="FL18" s="1394">
        <f t="shared" si="379"/>
        <v>0</v>
      </c>
      <c r="FM18" s="1395">
        <f t="shared" si="379"/>
        <v>0</v>
      </c>
      <c r="FN18" s="1395">
        <f t="shared" si="379"/>
        <v>342</v>
      </c>
      <c r="FO18" s="1393">
        <f t="shared" si="379"/>
        <v>0</v>
      </c>
      <c r="FP18" s="1394">
        <f t="shared" si="379"/>
        <v>0</v>
      </c>
      <c r="FQ18" s="1394">
        <f t="shared" si="379"/>
        <v>0</v>
      </c>
      <c r="FR18" s="1394">
        <f t="shared" si="379"/>
        <v>0</v>
      </c>
      <c r="FS18" s="1394">
        <f t="shared" si="379"/>
        <v>0</v>
      </c>
      <c r="FT18" s="1394">
        <f t="shared" si="379"/>
        <v>0</v>
      </c>
      <c r="FU18" s="1394">
        <f t="shared" si="379"/>
        <v>0</v>
      </c>
      <c r="FV18" s="1394">
        <f t="shared" si="379"/>
        <v>0</v>
      </c>
      <c r="FW18" s="1394">
        <f t="shared" si="379"/>
        <v>0</v>
      </c>
      <c r="FX18" s="1394">
        <f t="shared" si="379"/>
        <v>0</v>
      </c>
      <c r="FY18" s="1394">
        <f t="shared" si="379"/>
        <v>0</v>
      </c>
      <c r="FZ18" s="1395">
        <f t="shared" si="379"/>
        <v>0</v>
      </c>
      <c r="GA18" s="1395">
        <f t="shared" si="379"/>
        <v>0</v>
      </c>
      <c r="GB18" s="1393">
        <f t="shared" si="379"/>
        <v>0</v>
      </c>
      <c r="GC18" s="1394">
        <f t="shared" si="379"/>
        <v>0</v>
      </c>
      <c r="GD18" s="1394">
        <f t="shared" si="379"/>
        <v>0</v>
      </c>
      <c r="GE18" s="1394">
        <f t="shared" si="379"/>
        <v>0</v>
      </c>
      <c r="GF18" s="1394">
        <f t="shared" si="379"/>
        <v>0</v>
      </c>
      <c r="GG18" s="1394">
        <f t="shared" si="379"/>
        <v>0</v>
      </c>
      <c r="GH18" s="1394">
        <f t="shared" si="379"/>
        <v>0</v>
      </c>
      <c r="GI18" s="1394">
        <f t="shared" si="379"/>
        <v>0</v>
      </c>
      <c r="GJ18" s="1394">
        <f t="shared" si="379"/>
        <v>0</v>
      </c>
      <c r="GK18" s="1394">
        <f t="shared" si="379"/>
        <v>0</v>
      </c>
      <c r="GL18" s="1394">
        <f t="shared" ref="GL18:IW18" si="380">SUM(GL19)</f>
        <v>0</v>
      </c>
      <c r="GM18" s="1395">
        <f t="shared" si="380"/>
        <v>0</v>
      </c>
      <c r="GN18" s="1395">
        <f t="shared" si="380"/>
        <v>0</v>
      </c>
      <c r="GO18" s="1393">
        <f t="shared" si="380"/>
        <v>0</v>
      </c>
      <c r="GP18" s="1394">
        <f t="shared" si="380"/>
        <v>0</v>
      </c>
      <c r="GQ18" s="1394">
        <f t="shared" si="380"/>
        <v>0</v>
      </c>
      <c r="GR18" s="1394">
        <f t="shared" si="380"/>
        <v>0</v>
      </c>
      <c r="GS18" s="1394">
        <f t="shared" si="380"/>
        <v>0</v>
      </c>
      <c r="GT18" s="1394">
        <f t="shared" si="380"/>
        <v>0</v>
      </c>
      <c r="GU18" s="1394">
        <f t="shared" si="380"/>
        <v>0</v>
      </c>
      <c r="GV18" s="1394">
        <f t="shared" si="380"/>
        <v>0</v>
      </c>
      <c r="GW18" s="1394">
        <f t="shared" si="380"/>
        <v>0</v>
      </c>
      <c r="GX18" s="1394">
        <f t="shared" si="380"/>
        <v>0</v>
      </c>
      <c r="GY18" s="1394">
        <f t="shared" si="380"/>
        <v>0</v>
      </c>
      <c r="GZ18" s="1395">
        <f t="shared" si="380"/>
        <v>0</v>
      </c>
      <c r="HA18" s="1395">
        <f t="shared" si="380"/>
        <v>0</v>
      </c>
      <c r="HB18" s="1393">
        <f t="shared" si="380"/>
        <v>0</v>
      </c>
      <c r="HC18" s="1394">
        <f t="shared" si="380"/>
        <v>0</v>
      </c>
      <c r="HD18" s="1394">
        <f t="shared" si="380"/>
        <v>0</v>
      </c>
      <c r="HE18" s="1394">
        <f t="shared" si="380"/>
        <v>0</v>
      </c>
      <c r="HF18" s="1394">
        <f t="shared" si="380"/>
        <v>0</v>
      </c>
      <c r="HG18" s="1394">
        <f t="shared" si="380"/>
        <v>0</v>
      </c>
      <c r="HH18" s="1394">
        <f t="shared" si="380"/>
        <v>0</v>
      </c>
      <c r="HI18" s="1394">
        <f t="shared" si="380"/>
        <v>0</v>
      </c>
      <c r="HJ18" s="1394">
        <f t="shared" si="380"/>
        <v>0</v>
      </c>
      <c r="HK18" s="1394">
        <f t="shared" si="380"/>
        <v>0</v>
      </c>
      <c r="HL18" s="1394">
        <f t="shared" si="380"/>
        <v>0</v>
      </c>
      <c r="HM18" s="1395">
        <f t="shared" si="380"/>
        <v>0</v>
      </c>
      <c r="HN18" s="1395">
        <f t="shared" si="380"/>
        <v>0</v>
      </c>
      <c r="HO18" s="1393">
        <f t="shared" si="380"/>
        <v>0</v>
      </c>
      <c r="HP18" s="1394">
        <f t="shared" si="380"/>
        <v>0</v>
      </c>
      <c r="HQ18" s="1394">
        <f t="shared" si="380"/>
        <v>0</v>
      </c>
      <c r="HR18" s="1394">
        <f t="shared" si="380"/>
        <v>0</v>
      </c>
      <c r="HS18" s="1394">
        <f t="shared" si="380"/>
        <v>0</v>
      </c>
      <c r="HT18" s="1394">
        <f t="shared" si="380"/>
        <v>0</v>
      </c>
      <c r="HU18" s="1394">
        <f t="shared" si="380"/>
        <v>0</v>
      </c>
      <c r="HV18" s="1394">
        <f t="shared" si="380"/>
        <v>0</v>
      </c>
      <c r="HW18" s="1394">
        <f t="shared" si="380"/>
        <v>0</v>
      </c>
      <c r="HX18" s="1394">
        <f t="shared" si="380"/>
        <v>10</v>
      </c>
      <c r="HY18" s="1394">
        <f t="shared" si="380"/>
        <v>0</v>
      </c>
      <c r="HZ18" s="1395">
        <f t="shared" si="380"/>
        <v>0</v>
      </c>
      <c r="IA18" s="1395">
        <f t="shared" si="380"/>
        <v>10</v>
      </c>
      <c r="IB18" s="1393">
        <f t="shared" si="380"/>
        <v>0</v>
      </c>
      <c r="IC18" s="1394">
        <f t="shared" si="380"/>
        <v>0</v>
      </c>
      <c r="ID18" s="1394">
        <f t="shared" si="380"/>
        <v>0</v>
      </c>
      <c r="IE18" s="1394">
        <f t="shared" si="380"/>
        <v>0</v>
      </c>
      <c r="IF18" s="1394">
        <f t="shared" si="380"/>
        <v>0</v>
      </c>
      <c r="IG18" s="1394">
        <f t="shared" si="380"/>
        <v>0</v>
      </c>
      <c r="IH18" s="1394">
        <f t="shared" si="380"/>
        <v>0</v>
      </c>
      <c r="II18" s="1394">
        <f t="shared" si="380"/>
        <v>0</v>
      </c>
      <c r="IJ18" s="1394">
        <f t="shared" si="380"/>
        <v>0</v>
      </c>
      <c r="IK18" s="1394">
        <f t="shared" si="380"/>
        <v>0</v>
      </c>
      <c r="IL18" s="1394">
        <f t="shared" si="380"/>
        <v>0</v>
      </c>
      <c r="IM18" s="1395">
        <f t="shared" si="380"/>
        <v>0</v>
      </c>
      <c r="IN18" s="1395">
        <f t="shared" si="380"/>
        <v>0</v>
      </c>
      <c r="IO18" s="1393">
        <f t="shared" si="380"/>
        <v>0</v>
      </c>
      <c r="IP18" s="1394">
        <f t="shared" si="380"/>
        <v>0</v>
      </c>
      <c r="IQ18" s="1394">
        <f t="shared" si="380"/>
        <v>0</v>
      </c>
      <c r="IR18" s="1394">
        <f t="shared" si="380"/>
        <v>0</v>
      </c>
      <c r="IS18" s="1394">
        <f t="shared" si="380"/>
        <v>0</v>
      </c>
      <c r="IT18" s="1394">
        <f t="shared" si="380"/>
        <v>0</v>
      </c>
      <c r="IU18" s="1394">
        <f t="shared" si="380"/>
        <v>0</v>
      </c>
      <c r="IV18" s="1394">
        <f t="shared" si="380"/>
        <v>0</v>
      </c>
      <c r="IW18" s="1394">
        <f t="shared" si="380"/>
        <v>0</v>
      </c>
      <c r="IX18" s="1394">
        <f t="shared" ref="IX18:JZ18" si="381">SUM(IX19)</f>
        <v>0</v>
      </c>
      <c r="IY18" s="1394">
        <f t="shared" si="381"/>
        <v>0</v>
      </c>
      <c r="IZ18" s="1395">
        <f t="shared" si="381"/>
        <v>0</v>
      </c>
      <c r="JA18" s="1395">
        <f t="shared" si="107"/>
        <v>0</v>
      </c>
      <c r="JB18" s="1393">
        <f t="shared" si="381"/>
        <v>0</v>
      </c>
      <c r="JC18" s="1394">
        <f t="shared" si="381"/>
        <v>0</v>
      </c>
      <c r="JD18" s="1394">
        <f t="shared" si="381"/>
        <v>0</v>
      </c>
      <c r="JE18" s="1394">
        <f t="shared" si="381"/>
        <v>0</v>
      </c>
      <c r="JF18" s="1394">
        <f t="shared" si="381"/>
        <v>0</v>
      </c>
      <c r="JG18" s="1394">
        <f t="shared" si="381"/>
        <v>0</v>
      </c>
      <c r="JH18" s="1394">
        <f t="shared" si="381"/>
        <v>0</v>
      </c>
      <c r="JI18" s="1394">
        <f t="shared" si="381"/>
        <v>0</v>
      </c>
      <c r="JJ18" s="1394">
        <f t="shared" si="381"/>
        <v>0</v>
      </c>
      <c r="JK18" s="1394">
        <f t="shared" si="381"/>
        <v>0</v>
      </c>
      <c r="JL18" s="1394">
        <f t="shared" si="381"/>
        <v>0</v>
      </c>
      <c r="JM18" s="1395">
        <f t="shared" si="381"/>
        <v>0</v>
      </c>
      <c r="JN18" s="1395">
        <f t="shared" si="108"/>
        <v>0</v>
      </c>
      <c r="JO18" s="1393">
        <f t="shared" si="381"/>
        <v>0</v>
      </c>
      <c r="JP18" s="1394">
        <f t="shared" si="381"/>
        <v>0</v>
      </c>
      <c r="JQ18" s="1394">
        <f t="shared" si="381"/>
        <v>0</v>
      </c>
      <c r="JR18" s="1394">
        <f t="shared" si="381"/>
        <v>0</v>
      </c>
      <c r="JS18" s="1394">
        <f t="shared" si="381"/>
        <v>0</v>
      </c>
      <c r="JT18" s="1394">
        <f t="shared" si="381"/>
        <v>0</v>
      </c>
      <c r="JU18" s="1394">
        <f t="shared" si="381"/>
        <v>0</v>
      </c>
      <c r="JV18" s="1394">
        <f t="shared" si="381"/>
        <v>0</v>
      </c>
      <c r="JW18" s="1394">
        <f t="shared" si="381"/>
        <v>0</v>
      </c>
      <c r="JX18" s="1394">
        <f t="shared" si="381"/>
        <v>0</v>
      </c>
      <c r="JY18" s="1394">
        <f t="shared" si="381"/>
        <v>0</v>
      </c>
      <c r="JZ18" s="1395">
        <f t="shared" si="381"/>
        <v>0</v>
      </c>
      <c r="KA18" s="1395">
        <f t="shared" si="109"/>
        <v>0</v>
      </c>
      <c r="KB18" s="1068"/>
      <c r="KC18" s="1065" t="str">
        <f t="shared" si="83"/>
        <v/>
      </c>
      <c r="KD18" s="1066" t="str">
        <f t="shared" si="84"/>
        <v/>
      </c>
      <c r="KE18" s="1409">
        <f t="shared" si="85"/>
        <v>0</v>
      </c>
      <c r="KF18" s="1409">
        <f t="shared" si="86"/>
        <v>0</v>
      </c>
      <c r="KG18" s="1068"/>
      <c r="KH18" s="1644" t="str">
        <f t="shared" si="87"/>
        <v/>
      </c>
      <c r="KI18" s="1068">
        <f t="shared" si="88"/>
        <v>0</v>
      </c>
      <c r="KJ18" s="1048">
        <f t="shared" si="55"/>
        <v>0</v>
      </c>
    </row>
    <row r="19" spans="1:297" ht="15" customHeight="1" x14ac:dyDescent="0.2">
      <c r="A19" s="1640" t="s">
        <v>226</v>
      </c>
      <c r="B19" s="1636"/>
      <c r="C19" s="1637"/>
      <c r="D19" s="1637"/>
      <c r="E19" s="1637"/>
      <c r="F19" s="1637"/>
      <c r="G19" s="1637"/>
      <c r="H19" s="1637"/>
      <c r="I19" s="1637"/>
      <c r="J19" s="1637"/>
      <c r="K19" s="1637"/>
      <c r="L19" s="1637"/>
      <c r="M19" s="1638"/>
      <c r="N19" s="1638">
        <f t="shared" si="89"/>
        <v>0</v>
      </c>
      <c r="O19" s="1636"/>
      <c r="P19" s="1637"/>
      <c r="Q19" s="1637"/>
      <c r="R19" s="1637"/>
      <c r="S19" s="1637"/>
      <c r="T19" s="1637"/>
      <c r="U19" s="1637"/>
      <c r="V19" s="1637"/>
      <c r="W19" s="1637"/>
      <c r="X19" s="1637"/>
      <c r="Y19" s="1637"/>
      <c r="Z19" s="1638"/>
      <c r="AA19" s="1638">
        <f t="shared" si="90"/>
        <v>0</v>
      </c>
      <c r="AB19" s="1636"/>
      <c r="AC19" s="1637"/>
      <c r="AD19" s="1637"/>
      <c r="AE19" s="1637"/>
      <c r="AF19" s="1637"/>
      <c r="AG19" s="1637"/>
      <c r="AH19" s="1637"/>
      <c r="AI19" s="1637"/>
      <c r="AJ19" s="1637"/>
      <c r="AK19" s="1637"/>
      <c r="AL19" s="1637"/>
      <c r="AM19" s="1638"/>
      <c r="AN19" s="1638">
        <f t="shared" si="91"/>
        <v>0</v>
      </c>
      <c r="AO19" s="1636"/>
      <c r="AP19" s="1637"/>
      <c r="AQ19" s="1637"/>
      <c r="AR19" s="1637"/>
      <c r="AS19" s="1637"/>
      <c r="AT19" s="1637"/>
      <c r="AU19" s="1637"/>
      <c r="AV19" s="1637"/>
      <c r="AW19" s="1637"/>
      <c r="AX19" s="1637"/>
      <c r="AY19" s="1637"/>
      <c r="AZ19" s="1638"/>
      <c r="BA19" s="1638">
        <f t="shared" si="92"/>
        <v>0</v>
      </c>
      <c r="BB19" s="1636"/>
      <c r="BC19" s="1637"/>
      <c r="BD19" s="1637"/>
      <c r="BE19" s="1637"/>
      <c r="BF19" s="1637"/>
      <c r="BG19" s="1637"/>
      <c r="BH19" s="1637"/>
      <c r="BI19" s="1637"/>
      <c r="BJ19" s="1637"/>
      <c r="BK19" s="1637"/>
      <c r="BL19" s="1637"/>
      <c r="BM19" s="1638"/>
      <c r="BN19" s="1638">
        <f t="shared" si="93"/>
        <v>0</v>
      </c>
      <c r="BO19" s="1636"/>
      <c r="BP19" s="1637"/>
      <c r="BQ19" s="1637"/>
      <c r="BR19" s="1637"/>
      <c r="BS19" s="1637"/>
      <c r="BT19" s="1637"/>
      <c r="BU19" s="1637"/>
      <c r="BV19" s="1637"/>
      <c r="BW19" s="1637"/>
      <c r="BX19" s="1637"/>
      <c r="BY19" s="1637"/>
      <c r="BZ19" s="1638"/>
      <c r="CA19" s="1638">
        <f t="shared" si="94"/>
        <v>0</v>
      </c>
      <c r="CB19" s="1636"/>
      <c r="CC19" s="1637"/>
      <c r="CD19" s="1637"/>
      <c r="CE19" s="1637"/>
      <c r="CF19" s="1637"/>
      <c r="CG19" s="1637"/>
      <c r="CH19" s="1637"/>
      <c r="CI19" s="1637"/>
      <c r="CJ19" s="1637"/>
      <c r="CK19" s="1637"/>
      <c r="CL19" s="1637"/>
      <c r="CM19" s="1638"/>
      <c r="CN19" s="1638">
        <f t="shared" si="95"/>
        <v>0</v>
      </c>
      <c r="CO19" s="1636"/>
      <c r="CP19" s="1637"/>
      <c r="CQ19" s="1637"/>
      <c r="CR19" s="1637">
        <v>252</v>
      </c>
      <c r="CS19" s="1637"/>
      <c r="CT19" s="1637"/>
      <c r="CU19" s="1637">
        <v>2</v>
      </c>
      <c r="CV19" s="1637">
        <v>253</v>
      </c>
      <c r="CW19" s="1637"/>
      <c r="CX19" s="1637">
        <v>482</v>
      </c>
      <c r="CY19" s="1637">
        <v>239</v>
      </c>
      <c r="CZ19" s="1638">
        <v>239</v>
      </c>
      <c r="DA19" s="1638">
        <f t="shared" si="96"/>
        <v>1467</v>
      </c>
      <c r="DB19" s="1636"/>
      <c r="DC19" s="1637"/>
      <c r="DD19" s="1637"/>
      <c r="DE19" s="1637"/>
      <c r="DF19" s="1637">
        <v>245</v>
      </c>
      <c r="DG19" s="1637">
        <v>5</v>
      </c>
      <c r="DH19" s="1637">
        <v>497</v>
      </c>
      <c r="DI19" s="1637">
        <v>486</v>
      </c>
      <c r="DJ19" s="1637"/>
      <c r="DK19" s="1637"/>
      <c r="DL19" s="1637">
        <v>235</v>
      </c>
      <c r="DM19" s="1638">
        <v>8</v>
      </c>
      <c r="DN19" s="1638">
        <f t="shared" si="97"/>
        <v>1476</v>
      </c>
      <c r="DO19" s="1636"/>
      <c r="DP19" s="1637"/>
      <c r="DQ19" s="1637"/>
      <c r="DR19" s="1637"/>
      <c r="DS19" s="1637">
        <v>82</v>
      </c>
      <c r="DT19" s="1637"/>
      <c r="DU19" s="1637"/>
      <c r="DV19" s="1637"/>
      <c r="DW19" s="1637">
        <v>3</v>
      </c>
      <c r="DX19" s="1637"/>
      <c r="DY19" s="1637"/>
      <c r="DZ19" s="1638"/>
      <c r="EA19" s="1638">
        <f t="shared" si="98"/>
        <v>85</v>
      </c>
      <c r="EB19" s="1636"/>
      <c r="EC19" s="1637"/>
      <c r="ED19" s="1637"/>
      <c r="EE19" s="1637"/>
      <c r="EF19" s="1637"/>
      <c r="EG19" s="1637"/>
      <c r="EH19" s="1637"/>
      <c r="EI19" s="1637"/>
      <c r="EJ19" s="1637"/>
      <c r="EK19" s="1637"/>
      <c r="EL19" s="1637"/>
      <c r="EM19" s="1638"/>
      <c r="EN19" s="1638">
        <f t="shared" si="99"/>
        <v>0</v>
      </c>
      <c r="EO19" s="1636"/>
      <c r="EP19" s="1637"/>
      <c r="EQ19" s="1637"/>
      <c r="ER19" s="1637"/>
      <c r="ES19" s="1637"/>
      <c r="ET19" s="1637"/>
      <c r="EU19" s="1637"/>
      <c r="EV19" s="1637"/>
      <c r="EW19" s="1637"/>
      <c r="EX19" s="1637"/>
      <c r="EY19" s="1637"/>
      <c r="EZ19" s="1638"/>
      <c r="FA19" s="1638">
        <f t="shared" si="376"/>
        <v>0</v>
      </c>
      <c r="FB19" s="1636"/>
      <c r="FC19" s="1637"/>
      <c r="FD19" s="1637"/>
      <c r="FE19" s="1637"/>
      <c r="FF19" s="1637"/>
      <c r="FG19" s="1637"/>
      <c r="FH19" s="1637">
        <v>209</v>
      </c>
      <c r="FI19" s="1637"/>
      <c r="FJ19" s="1637">
        <v>133</v>
      </c>
      <c r="FK19" s="1637"/>
      <c r="FL19" s="1637"/>
      <c r="FM19" s="1638"/>
      <c r="FN19" s="1638">
        <f t="shared" si="101"/>
        <v>342</v>
      </c>
      <c r="FO19" s="1636"/>
      <c r="FP19" s="1637"/>
      <c r="FQ19" s="1637"/>
      <c r="FR19" s="1637"/>
      <c r="FS19" s="1637"/>
      <c r="FT19" s="1637"/>
      <c r="FU19" s="1637"/>
      <c r="FV19" s="1637"/>
      <c r="FW19" s="1637"/>
      <c r="FX19" s="1637"/>
      <c r="FY19" s="1637"/>
      <c r="FZ19" s="1638"/>
      <c r="GA19" s="1638">
        <f t="shared" si="102"/>
        <v>0</v>
      </c>
      <c r="GB19" s="1636"/>
      <c r="GC19" s="1637"/>
      <c r="GD19" s="1637"/>
      <c r="GE19" s="1637"/>
      <c r="GF19" s="1637"/>
      <c r="GG19" s="1637"/>
      <c r="GH19" s="1637"/>
      <c r="GI19" s="1637"/>
      <c r="GJ19" s="1637"/>
      <c r="GK19" s="1637"/>
      <c r="GL19" s="1637"/>
      <c r="GM19" s="1638"/>
      <c r="GN19" s="1638">
        <f t="shared" si="103"/>
        <v>0</v>
      </c>
      <c r="GO19" s="1636"/>
      <c r="GP19" s="1637"/>
      <c r="GQ19" s="1637"/>
      <c r="GR19" s="1637"/>
      <c r="GS19" s="1637"/>
      <c r="GT19" s="1637"/>
      <c r="GU19" s="1637"/>
      <c r="GV19" s="1637"/>
      <c r="GW19" s="1637"/>
      <c r="GX19" s="1637"/>
      <c r="GY19" s="1637"/>
      <c r="GZ19" s="1638"/>
      <c r="HA19" s="1638">
        <f t="shared" si="104"/>
        <v>0</v>
      </c>
      <c r="HB19" s="1636"/>
      <c r="HC19" s="1637"/>
      <c r="HD19" s="1637"/>
      <c r="HE19" s="1637"/>
      <c r="HF19" s="1637"/>
      <c r="HG19" s="1637"/>
      <c r="HH19" s="1637"/>
      <c r="HI19" s="1637"/>
      <c r="HJ19" s="1637"/>
      <c r="HK19" s="1637"/>
      <c r="HL19" s="1637"/>
      <c r="HM19" s="1638"/>
      <c r="HN19" s="1638">
        <f t="shared" si="105"/>
        <v>0</v>
      </c>
      <c r="HO19" s="1636"/>
      <c r="HP19" s="1637"/>
      <c r="HQ19" s="1637"/>
      <c r="HR19" s="1637"/>
      <c r="HS19" s="1637"/>
      <c r="HT19" s="1637"/>
      <c r="HU19" s="1637"/>
      <c r="HV19" s="1637"/>
      <c r="HW19" s="1637"/>
      <c r="HX19" s="1637">
        <v>10</v>
      </c>
      <c r="HY19" s="1637"/>
      <c r="HZ19" s="1638"/>
      <c r="IA19" s="1638">
        <f t="shared" si="375"/>
        <v>10</v>
      </c>
      <c r="IB19" s="1636"/>
      <c r="IC19" s="1637"/>
      <c r="ID19" s="1637"/>
      <c r="IE19" s="1637"/>
      <c r="IF19" s="1637"/>
      <c r="IG19" s="1637"/>
      <c r="IH19" s="1637"/>
      <c r="II19" s="1637"/>
      <c r="IJ19" s="1637"/>
      <c r="IK19" s="1637"/>
      <c r="IL19" s="1637"/>
      <c r="IM19" s="1638"/>
      <c r="IN19" s="1638">
        <f t="shared" si="106"/>
        <v>0</v>
      </c>
      <c r="IO19" s="1636"/>
      <c r="IP19" s="1637"/>
      <c r="IQ19" s="1637"/>
      <c r="IR19" s="1637"/>
      <c r="IS19" s="1637"/>
      <c r="IT19" s="1637"/>
      <c r="IU19" s="1637"/>
      <c r="IV19" s="1637"/>
      <c r="IW19" s="1637"/>
      <c r="IX19" s="1637"/>
      <c r="IY19" s="1637"/>
      <c r="IZ19" s="1638"/>
      <c r="JA19" s="1638">
        <f t="shared" si="107"/>
        <v>0</v>
      </c>
      <c r="JB19" s="1636"/>
      <c r="JC19" s="1637"/>
      <c r="JD19" s="1637"/>
      <c r="JE19" s="1637"/>
      <c r="JF19" s="1637"/>
      <c r="JG19" s="1637"/>
      <c r="JH19" s="1637"/>
      <c r="JI19" s="1637"/>
      <c r="JJ19" s="1637"/>
      <c r="JK19" s="1637"/>
      <c r="JL19" s="1637"/>
      <c r="JM19" s="1638"/>
      <c r="JN19" s="1638">
        <f t="shared" si="108"/>
        <v>0</v>
      </c>
      <c r="JO19" s="1636"/>
      <c r="JP19" s="1637"/>
      <c r="JQ19" s="1637"/>
      <c r="JR19" s="1637"/>
      <c r="JS19" s="1637"/>
      <c r="JT19" s="1637"/>
      <c r="JU19" s="1637"/>
      <c r="JV19" s="1637"/>
      <c r="JW19" s="1637"/>
      <c r="JX19" s="1637"/>
      <c r="JY19" s="1637"/>
      <c r="JZ19" s="1638"/>
      <c r="KA19" s="1638">
        <f t="shared" si="109"/>
        <v>0</v>
      </c>
      <c r="KB19" s="1068"/>
      <c r="KC19" s="1641" t="str">
        <f t="shared" si="83"/>
        <v/>
      </c>
      <c r="KD19" s="1642" t="str">
        <f t="shared" si="84"/>
        <v/>
      </c>
      <c r="KE19" s="1643">
        <f t="shared" si="85"/>
        <v>0</v>
      </c>
      <c r="KF19" s="1643">
        <f t="shared" si="86"/>
        <v>0</v>
      </c>
      <c r="KG19" s="1068"/>
      <c r="KH19" s="1644" t="str">
        <f t="shared" si="87"/>
        <v/>
      </c>
      <c r="KI19" s="1068">
        <f t="shared" si="88"/>
        <v>0</v>
      </c>
      <c r="KJ19" s="1570">
        <f t="shared" si="55"/>
        <v>0</v>
      </c>
    </row>
    <row r="20" spans="1:297" ht="15" customHeight="1" x14ac:dyDescent="0.2">
      <c r="A20" s="1408" t="s">
        <v>648</v>
      </c>
      <c r="B20" s="1393">
        <f t="shared" ref="B20" si="382">SUM(B21:B34)</f>
        <v>131</v>
      </c>
      <c r="C20" s="1394">
        <f t="shared" ref="C20" si="383">SUM(C21:C34)</f>
        <v>335</v>
      </c>
      <c r="D20" s="1394">
        <f t="shared" ref="D20" si="384">SUM(D21:D34)</f>
        <v>142</v>
      </c>
      <c r="E20" s="1394">
        <f t="shared" ref="E20" si="385">SUM(E21:E34)</f>
        <v>260</v>
      </c>
      <c r="F20" s="1394">
        <f t="shared" ref="F20" si="386">SUM(F21:F34)</f>
        <v>122</v>
      </c>
      <c r="G20" s="1394">
        <f t="shared" ref="G20" si="387">SUM(G21:G34)</f>
        <v>205</v>
      </c>
      <c r="H20" s="1394">
        <f t="shared" ref="H20" si="388">SUM(H21:H34)</f>
        <v>233</v>
      </c>
      <c r="I20" s="1394">
        <f t="shared" ref="I20" si="389">SUM(I21:I34)</f>
        <v>221</v>
      </c>
      <c r="J20" s="1394">
        <f t="shared" ref="J20" si="390">SUM(J21:J34)</f>
        <v>133</v>
      </c>
      <c r="K20" s="1394">
        <f t="shared" ref="K20" si="391">SUM(K21:K34)</f>
        <v>280</v>
      </c>
      <c r="L20" s="1394">
        <f t="shared" ref="L20" si="392">SUM(L21:L34)</f>
        <v>153</v>
      </c>
      <c r="M20" s="1395">
        <f t="shared" ref="M20" si="393">SUM(M21:M34)</f>
        <v>265</v>
      </c>
      <c r="N20" s="1395">
        <f t="shared" ref="N20" si="394">SUM(B20:M20)</f>
        <v>2480</v>
      </c>
      <c r="O20" s="1393">
        <f t="shared" ref="O20" si="395">SUM(O21:O34)</f>
        <v>136</v>
      </c>
      <c r="P20" s="1394">
        <f t="shared" ref="P20" si="396">SUM(P21:P34)</f>
        <v>157</v>
      </c>
      <c r="Q20" s="1394">
        <f t="shared" ref="Q20" si="397">SUM(Q21:Q34)</f>
        <v>103</v>
      </c>
      <c r="R20" s="1394">
        <f t="shared" ref="R20" si="398">SUM(R21:R34)</f>
        <v>220</v>
      </c>
      <c r="S20" s="1394">
        <f t="shared" ref="S20" si="399">SUM(S21:S34)</f>
        <v>304</v>
      </c>
      <c r="T20" s="1394">
        <f t="shared" ref="T20" si="400">SUM(T21:T34)</f>
        <v>211</v>
      </c>
      <c r="U20" s="1394">
        <f t="shared" ref="U20" si="401">SUM(U21:U34)</f>
        <v>336</v>
      </c>
      <c r="V20" s="1394">
        <f t="shared" ref="V20" si="402">SUM(V21:V34)</f>
        <v>225</v>
      </c>
      <c r="W20" s="1394">
        <f t="shared" ref="W20" si="403">SUM(W21:W34)</f>
        <v>198</v>
      </c>
      <c r="X20" s="1394">
        <f t="shared" ref="X20" si="404">SUM(X21:X34)</f>
        <v>245</v>
      </c>
      <c r="Y20" s="1394">
        <f t="shared" ref="Y20" si="405">SUM(Y21:Y34)</f>
        <v>250</v>
      </c>
      <c r="Z20" s="1395">
        <f t="shared" ref="Z20" si="406">SUM(Z21:Z34)</f>
        <v>232</v>
      </c>
      <c r="AA20" s="1395">
        <f t="shared" ref="AA20" si="407">SUM(O20:Z20)</f>
        <v>2617</v>
      </c>
      <c r="AB20" s="1393">
        <f t="shared" ref="AB20" si="408">SUM(AB21:AB34)</f>
        <v>297</v>
      </c>
      <c r="AC20" s="1394">
        <f t="shared" ref="AC20" si="409">SUM(AC21:AC34)</f>
        <v>180</v>
      </c>
      <c r="AD20" s="1394">
        <f t="shared" ref="AD20" si="410">SUM(AD21:AD34)</f>
        <v>147</v>
      </c>
      <c r="AE20" s="1394">
        <f t="shared" ref="AE20" si="411">SUM(AE21:AE34)</f>
        <v>208</v>
      </c>
      <c r="AF20" s="1394">
        <f t="shared" ref="AF20" si="412">SUM(AF21:AF34)</f>
        <v>158</v>
      </c>
      <c r="AG20" s="1394">
        <f t="shared" ref="AG20" si="413">SUM(AG21:AG34)</f>
        <v>574</v>
      </c>
      <c r="AH20" s="1394">
        <f t="shared" ref="AH20" si="414">SUM(AH21:AH34)</f>
        <v>140</v>
      </c>
      <c r="AI20" s="1394">
        <f t="shared" ref="AI20" si="415">SUM(AI21:AI34)</f>
        <v>1261</v>
      </c>
      <c r="AJ20" s="1394">
        <f t="shared" ref="AJ20" si="416">SUM(AJ21:AJ34)</f>
        <v>408</v>
      </c>
      <c r="AK20" s="1394">
        <f t="shared" ref="AK20" si="417">SUM(AK21:AK34)</f>
        <v>162</v>
      </c>
      <c r="AL20" s="1394">
        <f t="shared" ref="AL20" si="418">SUM(AL21:AL34)</f>
        <v>320</v>
      </c>
      <c r="AM20" s="1395">
        <f t="shared" ref="AM20" si="419">SUM(AM21:AM34)</f>
        <v>774</v>
      </c>
      <c r="AN20" s="1395">
        <f t="shared" ref="AN20" si="420">SUM(AB20:AM20)</f>
        <v>4629</v>
      </c>
      <c r="AO20" s="1393">
        <f t="shared" ref="AO20" si="421">SUM(AO21:AO34)</f>
        <v>700</v>
      </c>
      <c r="AP20" s="1394">
        <f t="shared" ref="AP20" si="422">SUM(AP21:AP34)</f>
        <v>628</v>
      </c>
      <c r="AQ20" s="1394">
        <f t="shared" ref="AQ20" si="423">SUM(AQ21:AQ34)</f>
        <v>835</v>
      </c>
      <c r="AR20" s="1394">
        <f t="shared" ref="AR20" si="424">SUM(AR21:AR34)</f>
        <v>584</v>
      </c>
      <c r="AS20" s="1394">
        <f t="shared" ref="AS20" si="425">SUM(AS21:AS34)</f>
        <v>462</v>
      </c>
      <c r="AT20" s="1394">
        <f t="shared" ref="AT20" si="426">SUM(AT21:AT34)</f>
        <v>912</v>
      </c>
      <c r="AU20" s="1394">
        <f t="shared" ref="AU20" si="427">SUM(AU21:AU34)</f>
        <v>929</v>
      </c>
      <c r="AV20" s="1394">
        <f t="shared" ref="AV20" si="428">SUM(AV21:AV34)</f>
        <v>945</v>
      </c>
      <c r="AW20" s="1394">
        <f t="shared" ref="AW20" si="429">SUM(AW21:AW34)</f>
        <v>1463</v>
      </c>
      <c r="AX20" s="1394">
        <f t="shared" ref="AX20" si="430">SUM(AX21:AX34)</f>
        <v>209</v>
      </c>
      <c r="AY20" s="1394">
        <f t="shared" ref="AY20" si="431">SUM(AY21:AY34)</f>
        <v>512</v>
      </c>
      <c r="AZ20" s="1395">
        <f t="shared" ref="AZ20" si="432">SUM(AZ21:AZ34)</f>
        <v>186</v>
      </c>
      <c r="BA20" s="1395">
        <f t="shared" si="92"/>
        <v>8365</v>
      </c>
      <c r="BB20" s="1393">
        <f t="shared" ref="BB20" si="433">SUM(BB21:BB34)</f>
        <v>309</v>
      </c>
      <c r="BC20" s="1394">
        <f t="shared" ref="BC20" si="434">SUM(BC21:BC34)</f>
        <v>802</v>
      </c>
      <c r="BD20" s="1394">
        <f t="shared" ref="BD20" si="435">SUM(BD21:BD34)</f>
        <v>375</v>
      </c>
      <c r="BE20" s="1394">
        <f t="shared" ref="BE20" si="436">SUM(BE21:BE34)</f>
        <v>597</v>
      </c>
      <c r="BF20" s="1394">
        <f t="shared" ref="BF20" si="437">SUM(BF21:BF34)</f>
        <v>560</v>
      </c>
      <c r="BG20" s="1394">
        <f t="shared" ref="BG20" si="438">SUM(BG21:BG34)</f>
        <v>762</v>
      </c>
      <c r="BH20" s="1394">
        <f t="shared" ref="BH20" si="439">SUM(BH21:BH34)</f>
        <v>634</v>
      </c>
      <c r="BI20" s="1394">
        <f t="shared" ref="BI20" si="440">SUM(BI21:BI34)</f>
        <v>1375</v>
      </c>
      <c r="BJ20" s="1394">
        <f t="shared" ref="BJ20" si="441">SUM(BJ21:BJ34)</f>
        <v>1275</v>
      </c>
      <c r="BK20" s="1394">
        <f t="shared" ref="BK20" si="442">SUM(BK21:BK34)</f>
        <v>648</v>
      </c>
      <c r="BL20" s="1394">
        <f t="shared" ref="BL20" si="443">SUM(BL21:BL34)</f>
        <v>809</v>
      </c>
      <c r="BM20" s="1395">
        <f t="shared" ref="BM20" si="444">SUM(BM21:BM34)</f>
        <v>1071</v>
      </c>
      <c r="BN20" s="1395">
        <f t="shared" si="93"/>
        <v>9217</v>
      </c>
      <c r="BO20" s="1393">
        <f t="shared" ref="BO20" si="445">SUM(BO21:BO34)</f>
        <v>690</v>
      </c>
      <c r="BP20" s="1394">
        <f t="shared" ref="BP20" si="446">SUM(BP21:BP34)</f>
        <v>992</v>
      </c>
      <c r="BQ20" s="1394">
        <f t="shared" ref="BQ20" si="447">SUM(BQ21:BQ34)</f>
        <v>714</v>
      </c>
      <c r="BR20" s="1394">
        <f t="shared" ref="BR20" si="448">SUM(BR21:BR34)</f>
        <v>760</v>
      </c>
      <c r="BS20" s="1394">
        <f t="shared" ref="BS20" si="449">SUM(BS21:BS34)</f>
        <v>941</v>
      </c>
      <c r="BT20" s="1394">
        <f t="shared" ref="BT20" si="450">SUM(BT21:BT34)</f>
        <v>1694</v>
      </c>
      <c r="BU20" s="1394">
        <f t="shared" ref="BU20" si="451">SUM(BU21:BU34)</f>
        <v>1728</v>
      </c>
      <c r="BV20" s="1394">
        <f t="shared" ref="BV20" si="452">SUM(BV21:BV34)</f>
        <v>1681</v>
      </c>
      <c r="BW20" s="1394">
        <f t="shared" ref="BW20" si="453">SUM(BW21:BW34)</f>
        <v>665</v>
      </c>
      <c r="BX20" s="1394">
        <f t="shared" ref="BX20" si="454">SUM(BX21:BX34)</f>
        <v>902</v>
      </c>
      <c r="BY20" s="1394">
        <f t="shared" ref="BY20" si="455">SUM(BY21:BY34)</f>
        <v>1411</v>
      </c>
      <c r="BZ20" s="1395">
        <f t="shared" ref="BZ20" si="456">SUM(BZ21:BZ34)</f>
        <v>2079</v>
      </c>
      <c r="CA20" s="1395">
        <f t="shared" si="94"/>
        <v>14257</v>
      </c>
      <c r="CB20" s="1393">
        <f t="shared" ref="CB20" si="457">SUM(CB21:CB34)</f>
        <v>1315</v>
      </c>
      <c r="CC20" s="1394">
        <f t="shared" ref="CC20" si="458">SUM(CC21:CC34)</f>
        <v>1889</v>
      </c>
      <c r="CD20" s="1394">
        <f t="shared" ref="CD20" si="459">SUM(CD21:CD34)</f>
        <v>2921</v>
      </c>
      <c r="CE20" s="1394">
        <f t="shared" ref="CE20" si="460">SUM(CE21:CE34)</f>
        <v>1310</v>
      </c>
      <c r="CF20" s="1394">
        <f t="shared" ref="CF20" si="461">SUM(CF21:CF34)</f>
        <v>2381</v>
      </c>
      <c r="CG20" s="1394">
        <f t="shared" ref="CG20" si="462">SUM(CG21:CG34)</f>
        <v>2818</v>
      </c>
      <c r="CH20" s="1394">
        <f t="shared" ref="CH20" si="463">SUM(CH21:CH34)</f>
        <v>3513</v>
      </c>
      <c r="CI20" s="1394">
        <f t="shared" ref="CI20" si="464">SUM(CI21:CI34)</f>
        <v>3203</v>
      </c>
      <c r="CJ20" s="1394">
        <f t="shared" ref="CJ20" si="465">SUM(CJ21:CJ34)</f>
        <v>3519</v>
      </c>
      <c r="CK20" s="1394">
        <f t="shared" ref="CK20" si="466">SUM(CK21:CK34)</f>
        <v>1322</v>
      </c>
      <c r="CL20" s="1394">
        <f t="shared" ref="CL20" si="467">SUM(CL21:CL34)</f>
        <v>1820</v>
      </c>
      <c r="CM20" s="1395">
        <f t="shared" ref="CM20" si="468">SUM(CM21:CM34)</f>
        <v>2097</v>
      </c>
      <c r="CN20" s="1395">
        <f t="shared" si="95"/>
        <v>28108</v>
      </c>
      <c r="CO20" s="1393">
        <f t="shared" ref="CO20" si="469">SUM(CO21:CO34)</f>
        <v>519</v>
      </c>
      <c r="CP20" s="1394">
        <f t="shared" ref="CP20" si="470">SUM(CP21:CP34)</f>
        <v>1798</v>
      </c>
      <c r="CQ20" s="1394">
        <f t="shared" ref="CQ20" si="471">SUM(CQ21:CQ34)</f>
        <v>1936</v>
      </c>
      <c r="CR20" s="1394">
        <f t="shared" ref="CR20" si="472">SUM(CR21:CR34)</f>
        <v>1156</v>
      </c>
      <c r="CS20" s="1394">
        <f t="shared" ref="CS20" si="473">SUM(CS21:CS34)</f>
        <v>810</v>
      </c>
      <c r="CT20" s="1394">
        <f t="shared" ref="CT20" si="474">SUM(CT21:CT34)</f>
        <v>832</v>
      </c>
      <c r="CU20" s="1394">
        <f t="shared" ref="CU20" si="475">SUM(CU21:CU34)</f>
        <v>799</v>
      </c>
      <c r="CV20" s="1394">
        <f t="shared" ref="CV20" si="476">SUM(CV21:CV34)</f>
        <v>882</v>
      </c>
      <c r="CW20" s="1394">
        <f t="shared" ref="CW20" si="477">SUM(CW21:CW34)</f>
        <v>1401</v>
      </c>
      <c r="CX20" s="1394">
        <f t="shared" ref="CX20" si="478">SUM(CX21:CX34)</f>
        <v>1087</v>
      </c>
      <c r="CY20" s="1394">
        <f t="shared" ref="CY20" si="479">SUM(CY21:CY34)</f>
        <v>1215</v>
      </c>
      <c r="CZ20" s="1395">
        <f t="shared" ref="CZ20" si="480">SUM(CZ21:CZ34)</f>
        <v>1656</v>
      </c>
      <c r="DA20" s="1395">
        <f t="shared" si="96"/>
        <v>14091</v>
      </c>
      <c r="DB20" s="1393">
        <f t="shared" ref="DB20" si="481">SUM(DB21:DB34)</f>
        <v>1912</v>
      </c>
      <c r="DC20" s="1394">
        <f t="shared" ref="DC20" si="482">SUM(DC21:DC34)</f>
        <v>1426</v>
      </c>
      <c r="DD20" s="1394">
        <f t="shared" ref="DD20" si="483">SUM(DD21:DD34)</f>
        <v>1511</v>
      </c>
      <c r="DE20" s="1394">
        <f t="shared" ref="DE20" si="484">SUM(DE21:DE34)</f>
        <v>1123</v>
      </c>
      <c r="DF20" s="1394">
        <f t="shared" ref="DF20" si="485">SUM(DF21:DF34)</f>
        <v>2878</v>
      </c>
      <c r="DG20" s="1394">
        <f t="shared" ref="DG20" si="486">SUM(DG21:DG34)</f>
        <v>5166</v>
      </c>
      <c r="DH20" s="1394">
        <f t="shared" ref="DH20" si="487">SUM(DH21:DH34)</f>
        <v>6475</v>
      </c>
      <c r="DI20" s="1394">
        <f t="shared" ref="DI20" si="488">SUM(DI21:DI34)</f>
        <v>6093</v>
      </c>
      <c r="DJ20" s="1394">
        <f t="shared" ref="DJ20" si="489">SUM(DJ21:DJ34)</f>
        <v>3725</v>
      </c>
      <c r="DK20" s="1394">
        <f t="shared" ref="DK20" si="490">SUM(DK21:DK34)</f>
        <v>4386</v>
      </c>
      <c r="DL20" s="1394">
        <f t="shared" ref="DL20" si="491">SUM(DL21:DL34)</f>
        <v>3867</v>
      </c>
      <c r="DM20" s="1395">
        <f t="shared" ref="DM20" si="492">SUM(DM21:DM34)</f>
        <v>4355</v>
      </c>
      <c r="DN20" s="1395">
        <f t="shared" si="97"/>
        <v>42917</v>
      </c>
      <c r="DO20" s="1393">
        <f t="shared" ref="DO20" si="493">SUM(DO21:DO34)</f>
        <v>3900</v>
      </c>
      <c r="DP20" s="1394">
        <f t="shared" ref="DP20" si="494">SUM(DP21:DP34)</f>
        <v>5349</v>
      </c>
      <c r="DQ20" s="1394">
        <f t="shared" ref="DQ20" si="495">SUM(DQ21:DQ34)</f>
        <v>4762</v>
      </c>
      <c r="DR20" s="1394">
        <f t="shared" ref="DR20" si="496">SUM(DR21:DR34)</f>
        <v>4424</v>
      </c>
      <c r="DS20" s="1394">
        <f t="shared" ref="DS20" si="497">SUM(DS21:DS34)</f>
        <v>7298</v>
      </c>
      <c r="DT20" s="1394">
        <f t="shared" ref="DT20" si="498">SUM(DT21:DT34)</f>
        <v>7302</v>
      </c>
      <c r="DU20" s="1394">
        <f t="shared" ref="DU20" si="499">SUM(DU21:DU34)</f>
        <v>14179.3</v>
      </c>
      <c r="DV20" s="1394">
        <f t="shared" ref="DV20" si="500">SUM(DV21:DV34)</f>
        <v>12264</v>
      </c>
      <c r="DW20" s="1394">
        <f t="shared" ref="DW20" si="501">SUM(DW21:DW34)</f>
        <v>12829</v>
      </c>
      <c r="DX20" s="1394">
        <f t="shared" ref="DX20" si="502">SUM(DX21:DX34)</f>
        <v>10556</v>
      </c>
      <c r="DY20" s="1394">
        <f t="shared" ref="DY20" si="503">SUM(DY21:DY34)</f>
        <v>11041</v>
      </c>
      <c r="DZ20" s="1395">
        <f t="shared" ref="DZ20" si="504">SUM(DZ21:DZ34)</f>
        <v>10880</v>
      </c>
      <c r="EA20" s="1395">
        <f t="shared" si="98"/>
        <v>104784.3</v>
      </c>
      <c r="EB20" s="1393">
        <f t="shared" ref="EB20" si="505">SUM(EB21:EB34)</f>
        <v>11134</v>
      </c>
      <c r="EC20" s="1394">
        <f t="shared" ref="EC20" si="506">SUM(EC21:EC34)</f>
        <v>2988</v>
      </c>
      <c r="ED20" s="1394">
        <f t="shared" ref="ED20" si="507">SUM(ED21:ED34)</f>
        <v>4322</v>
      </c>
      <c r="EE20" s="1394">
        <f t="shared" ref="EE20" si="508">SUM(EE21:EE34)</f>
        <v>4968</v>
      </c>
      <c r="EF20" s="1394">
        <f t="shared" ref="EF20" si="509">SUM(EF21:EF34)</f>
        <v>9507</v>
      </c>
      <c r="EG20" s="1394">
        <f t="shared" ref="EG20" si="510">SUM(EG21:EG34)</f>
        <v>13554</v>
      </c>
      <c r="EH20" s="1394">
        <f t="shared" ref="EH20" si="511">SUM(EH21:EH34)</f>
        <v>16553</v>
      </c>
      <c r="EI20" s="1394">
        <f t="shared" ref="EI20" si="512">SUM(EI21:EI34)</f>
        <v>12212</v>
      </c>
      <c r="EJ20" s="1394">
        <f t="shared" ref="EJ20" si="513">SUM(EJ21:EJ34)</f>
        <v>12876</v>
      </c>
      <c r="EK20" s="1394">
        <f t="shared" ref="EK20" si="514">SUM(EK21:EK34)</f>
        <v>12169</v>
      </c>
      <c r="EL20" s="1394">
        <f t="shared" ref="EL20" si="515">SUM(EL21:EL34)</f>
        <v>7690.7</v>
      </c>
      <c r="EM20" s="1395">
        <f t="shared" ref="EM20" si="516">SUM(EM21:EM34)</f>
        <v>9990</v>
      </c>
      <c r="EN20" s="1395">
        <f t="shared" si="99"/>
        <v>117963.7</v>
      </c>
      <c r="EO20" s="1393">
        <f t="shared" ref="EO20" si="517">SUM(EO21:EO34)</f>
        <v>9273</v>
      </c>
      <c r="EP20" s="1394">
        <f t="shared" ref="EP20" si="518">SUM(EP21:EP34)</f>
        <v>5356</v>
      </c>
      <c r="EQ20" s="1394">
        <f t="shared" ref="EQ20" si="519">SUM(EQ21:EQ34)</f>
        <v>9875</v>
      </c>
      <c r="ER20" s="1394">
        <f t="shared" ref="ER20" si="520">SUM(ER21:ER34)</f>
        <v>6577</v>
      </c>
      <c r="ES20" s="1394">
        <f t="shared" ref="ES20" si="521">SUM(ES21:ES34)</f>
        <v>7557</v>
      </c>
      <c r="ET20" s="1394">
        <f t="shared" ref="ET20" si="522">SUM(ET21:ET34)</f>
        <v>8148</v>
      </c>
      <c r="EU20" s="1394">
        <f t="shared" ref="EU20" si="523">SUM(EU21:EU34)</f>
        <v>14226</v>
      </c>
      <c r="EV20" s="1394">
        <f t="shared" ref="EV20" si="524">SUM(EV21:EV34)</f>
        <v>21316</v>
      </c>
      <c r="EW20" s="1394">
        <f t="shared" ref="EW20" si="525">SUM(EW21:EW34)</f>
        <v>13703</v>
      </c>
      <c r="EX20" s="1394">
        <f t="shared" ref="EX20" si="526">SUM(EX21:EX34)</f>
        <v>15338</v>
      </c>
      <c r="EY20" s="1394">
        <f t="shared" ref="EY20" si="527">SUM(EY21:EY34)</f>
        <v>7768</v>
      </c>
      <c r="EZ20" s="1395">
        <f t="shared" ref="EZ20" si="528">SUM(EZ21:EZ34)</f>
        <v>7037</v>
      </c>
      <c r="FA20" s="1395">
        <f t="shared" ref="FA20" si="529">SUM(EO20:EZ20)</f>
        <v>126174</v>
      </c>
      <c r="FB20" s="1393">
        <f t="shared" ref="FB20" si="530">SUM(FB21:FB34)</f>
        <v>6611</v>
      </c>
      <c r="FC20" s="1394">
        <f t="shared" ref="FC20" si="531">SUM(FC21:FC34)</f>
        <v>3502</v>
      </c>
      <c r="FD20" s="1394">
        <f t="shared" ref="FD20" si="532">SUM(FD21:FD34)</f>
        <v>6853</v>
      </c>
      <c r="FE20" s="1394">
        <f t="shared" ref="FE20" si="533">SUM(FE21:FE34)</f>
        <v>4630</v>
      </c>
      <c r="FF20" s="1394">
        <f t="shared" ref="FF20" si="534">SUM(FF21:FF34)</f>
        <v>6000</v>
      </c>
      <c r="FG20" s="1394">
        <f t="shared" ref="FG20" si="535">SUM(FG21:FG34)</f>
        <v>9469</v>
      </c>
      <c r="FH20" s="1394">
        <f t="shared" ref="FH20" si="536">SUM(FH21:FH34)</f>
        <v>8453</v>
      </c>
      <c r="FI20" s="1394">
        <f t="shared" ref="FI20" si="537">SUM(FI21:FI34)</f>
        <v>15995</v>
      </c>
      <c r="FJ20" s="1394">
        <f t="shared" ref="FJ20" si="538">SUM(FJ21:FJ34)</f>
        <v>14617</v>
      </c>
      <c r="FK20" s="1394">
        <f t="shared" ref="FK20" si="539">SUM(FK21:FK34)</f>
        <v>5492</v>
      </c>
      <c r="FL20" s="1394">
        <f t="shared" ref="FL20" si="540">SUM(FL21:FL34)</f>
        <v>5336</v>
      </c>
      <c r="FM20" s="1395">
        <f t="shared" ref="FM20" si="541">SUM(FM21:FM34)</f>
        <v>5865</v>
      </c>
      <c r="FN20" s="1395">
        <f t="shared" si="101"/>
        <v>92823</v>
      </c>
      <c r="FO20" s="1393">
        <f t="shared" ref="FO20" si="542">SUM(FO21:FO34)</f>
        <v>5103</v>
      </c>
      <c r="FP20" s="1394">
        <f t="shared" ref="FP20" si="543">SUM(FP21:FP34)</f>
        <v>3622</v>
      </c>
      <c r="FQ20" s="1394">
        <f t="shared" ref="FQ20" si="544">SUM(FQ21:FQ34)</f>
        <v>7416</v>
      </c>
      <c r="FR20" s="1394">
        <f t="shared" ref="FR20" si="545">SUM(FR21:FR34)</f>
        <v>5275</v>
      </c>
      <c r="FS20" s="1394">
        <f t="shared" ref="FS20" si="546">SUM(FS21:FS34)</f>
        <v>5196</v>
      </c>
      <c r="FT20" s="1394">
        <f t="shared" ref="FT20" si="547">SUM(FT21:FT34)</f>
        <v>7932</v>
      </c>
      <c r="FU20" s="1394">
        <f t="shared" ref="FU20" si="548">SUM(FU21:FU34)</f>
        <v>6125</v>
      </c>
      <c r="FV20" s="1394">
        <f t="shared" ref="FV20" si="549">SUM(FV21:FV34)</f>
        <v>9488</v>
      </c>
      <c r="FW20" s="1394">
        <f t="shared" ref="FW20" si="550">SUM(FW21:FW34)</f>
        <v>5213</v>
      </c>
      <c r="FX20" s="1394">
        <f t="shared" ref="FX20" si="551">SUM(FX21:FX34)</f>
        <v>9817</v>
      </c>
      <c r="FY20" s="1394">
        <f t="shared" ref="FY20" si="552">SUM(FY21:FY34)</f>
        <v>7457</v>
      </c>
      <c r="FZ20" s="1395">
        <f t="shared" ref="FZ20" si="553">SUM(FZ21:FZ34)</f>
        <v>8098</v>
      </c>
      <c r="GA20" s="1395">
        <f t="shared" si="102"/>
        <v>80742</v>
      </c>
      <c r="GB20" s="1393">
        <f t="shared" ref="GB20" si="554">SUM(GB21:GB34)</f>
        <v>6112</v>
      </c>
      <c r="GC20" s="1394">
        <f t="shared" ref="GC20" si="555">SUM(GC21:GC34)</f>
        <v>3785</v>
      </c>
      <c r="GD20" s="1394">
        <f t="shared" ref="GD20" si="556">SUM(GD21:GD34)</f>
        <v>9138</v>
      </c>
      <c r="GE20" s="1394">
        <f t="shared" ref="GE20" si="557">SUM(GE21:GE34)</f>
        <v>4044</v>
      </c>
      <c r="GF20" s="1394">
        <f t="shared" ref="GF20" si="558">SUM(GF21:GF34)</f>
        <v>6130</v>
      </c>
      <c r="GG20" s="1394">
        <f t="shared" ref="GG20" si="559">SUM(GG21:GG34)</f>
        <v>8877</v>
      </c>
      <c r="GH20" s="1394">
        <f t="shared" ref="GH20" si="560">SUM(GH21:GH34)</f>
        <v>5218</v>
      </c>
      <c r="GI20" s="1394">
        <f t="shared" ref="GI20" si="561">SUM(GI21:GI34)</f>
        <v>6779</v>
      </c>
      <c r="GJ20" s="1394">
        <f t="shared" ref="GJ20" si="562">SUM(GJ21:GJ34)</f>
        <v>5747</v>
      </c>
      <c r="GK20" s="1394">
        <f t="shared" ref="GK20" si="563">SUM(GK21:GK34)</f>
        <v>7964</v>
      </c>
      <c r="GL20" s="1394">
        <f t="shared" ref="GL20" si="564">SUM(GL21:GL34)</f>
        <v>10195</v>
      </c>
      <c r="GM20" s="1395">
        <f t="shared" ref="GM20" si="565">SUM(GM21:GM34)</f>
        <v>8849</v>
      </c>
      <c r="GN20" s="1395">
        <f t="shared" si="103"/>
        <v>82838</v>
      </c>
      <c r="GO20" s="1393">
        <f t="shared" ref="GO20" si="566">SUM(GO21:GO34)</f>
        <v>9049</v>
      </c>
      <c r="GP20" s="1394">
        <f t="shared" ref="GP20" si="567">SUM(GP21:GP34)</f>
        <v>8597</v>
      </c>
      <c r="GQ20" s="1394">
        <f t="shared" ref="GQ20" si="568">SUM(GQ21:GQ34)</f>
        <v>4785</v>
      </c>
      <c r="GR20" s="1394">
        <f t="shared" ref="GR20" si="569">SUM(GR21:GR34)</f>
        <v>6364</v>
      </c>
      <c r="GS20" s="1394">
        <f t="shared" ref="GS20" si="570">SUM(GS21:GS34)</f>
        <v>5919</v>
      </c>
      <c r="GT20" s="1394">
        <f t="shared" ref="GT20" si="571">SUM(GT21:GT34)</f>
        <v>4259</v>
      </c>
      <c r="GU20" s="1394">
        <f t="shared" ref="GU20" si="572">SUM(GU21:GU34)</f>
        <v>6607</v>
      </c>
      <c r="GV20" s="1394">
        <f t="shared" ref="GV20" si="573">SUM(GV21:GV34)</f>
        <v>9588</v>
      </c>
      <c r="GW20" s="1394">
        <f t="shared" ref="GW20" si="574">SUM(GW21:GW34)</f>
        <v>11127</v>
      </c>
      <c r="GX20" s="1394">
        <f t="shared" ref="GX20" si="575">SUM(GX21:GX34)</f>
        <v>10385</v>
      </c>
      <c r="GY20" s="1394">
        <f t="shared" ref="GY20" si="576">SUM(GY21:GY34)</f>
        <v>12992</v>
      </c>
      <c r="GZ20" s="1395">
        <f t="shared" ref="GZ20" si="577">SUM(GZ21:GZ34)</f>
        <v>8443</v>
      </c>
      <c r="HA20" s="1395">
        <f t="shared" si="104"/>
        <v>98115</v>
      </c>
      <c r="HB20" s="1393">
        <f t="shared" ref="HB20" si="578">SUM(HB21:HB34)</f>
        <v>13195</v>
      </c>
      <c r="HC20" s="1394">
        <f t="shared" ref="HC20" si="579">SUM(HC21:HC34)</f>
        <v>8454</v>
      </c>
      <c r="HD20" s="1394">
        <f t="shared" ref="HD20" si="580">SUM(HD21:HD34)</f>
        <v>6545</v>
      </c>
      <c r="HE20" s="1394">
        <f t="shared" ref="HE20" si="581">SUM(HE21:HE34)</f>
        <v>6769</v>
      </c>
      <c r="HF20" s="1394">
        <f t="shared" ref="HF20" si="582">SUM(HF21:HF34)</f>
        <v>9358</v>
      </c>
      <c r="HG20" s="1394">
        <f t="shared" ref="HG20" si="583">SUM(HG21:HG34)</f>
        <v>8219</v>
      </c>
      <c r="HH20" s="1394">
        <f t="shared" ref="HH20" si="584">SUM(HH21:HH34)</f>
        <v>9222</v>
      </c>
      <c r="HI20" s="1394">
        <f t="shared" ref="HI20" si="585">SUM(HI21:HI34)</f>
        <v>7288</v>
      </c>
      <c r="HJ20" s="1394">
        <f t="shared" ref="HJ20" si="586">SUM(HJ21:HJ34)</f>
        <v>12153</v>
      </c>
      <c r="HK20" s="1394">
        <f t="shared" ref="HK20" si="587">SUM(HK21:HK34)</f>
        <v>7500</v>
      </c>
      <c r="HL20" s="1394">
        <f t="shared" ref="HL20" si="588">SUM(HL21:HL34)</f>
        <v>7185</v>
      </c>
      <c r="HM20" s="1395">
        <f t="shared" ref="HM20" si="589">SUM(HM21:HM34)</f>
        <v>16462</v>
      </c>
      <c r="HN20" s="1395">
        <f t="shared" si="105"/>
        <v>112350</v>
      </c>
      <c r="HO20" s="1393">
        <f t="shared" ref="HO20" si="590">SUM(HO21:HO34)</f>
        <v>8298</v>
      </c>
      <c r="HP20" s="1394">
        <f t="shared" ref="HP20" si="591">SUM(HP21:HP34)</f>
        <v>6560</v>
      </c>
      <c r="HQ20" s="1394">
        <f t="shared" ref="HQ20" si="592">SUM(HQ21:HQ34)</f>
        <v>11534</v>
      </c>
      <c r="HR20" s="1394">
        <f t="shared" ref="HR20" si="593">SUM(HR21:HR34)</f>
        <v>8424</v>
      </c>
      <c r="HS20" s="1394">
        <f t="shared" ref="HS20" si="594">SUM(HS21:HS34)</f>
        <v>10576</v>
      </c>
      <c r="HT20" s="1394">
        <f t="shared" ref="HT20" si="595">SUM(HT21:HT34)</f>
        <v>9150</v>
      </c>
      <c r="HU20" s="1394">
        <f t="shared" ref="HU20" si="596">SUM(HU21:HU34)</f>
        <v>13470</v>
      </c>
      <c r="HV20" s="1394">
        <f t="shared" ref="HV20" si="597">SUM(HV21:HV34)</f>
        <v>14341</v>
      </c>
      <c r="HW20" s="1394">
        <f t="shared" ref="HW20" si="598">SUM(HW21:HW34)</f>
        <v>12128</v>
      </c>
      <c r="HX20" s="1394">
        <f t="shared" ref="HX20" si="599">SUM(HX21:HX34)</f>
        <v>13325</v>
      </c>
      <c r="HY20" s="1394">
        <f t="shared" ref="HY20" si="600">SUM(HY21:HY34)</f>
        <v>12145</v>
      </c>
      <c r="HZ20" s="1395">
        <f t="shared" ref="HZ20" si="601">SUM(HZ21:HZ34)</f>
        <v>11210</v>
      </c>
      <c r="IA20" s="1395">
        <f t="shared" ref="IA20" si="602">SUM(HO20:HZ20)</f>
        <v>131161</v>
      </c>
      <c r="IB20" s="1393">
        <f t="shared" ref="IB20" si="603">SUM(IB21:IB34)</f>
        <v>10573</v>
      </c>
      <c r="IC20" s="1394">
        <f t="shared" ref="IC20" si="604">SUM(IC21:IC34)</f>
        <v>10686</v>
      </c>
      <c r="ID20" s="1394">
        <f t="shared" ref="ID20" si="605">SUM(ID21:ID34)</f>
        <v>10702</v>
      </c>
      <c r="IE20" s="1394">
        <f t="shared" ref="IE20" si="606">SUM(IE21:IE34)</f>
        <v>8729</v>
      </c>
      <c r="IF20" s="1394">
        <f t="shared" ref="IF20" si="607">SUM(IF21:IF34)</f>
        <v>10730</v>
      </c>
      <c r="IG20" s="1394">
        <f t="shared" ref="IG20" si="608">SUM(IG21:IG34)</f>
        <v>14894</v>
      </c>
      <c r="IH20" s="1394">
        <f t="shared" ref="IH20" si="609">SUM(IH21:IH34)</f>
        <v>19391</v>
      </c>
      <c r="II20" s="1394">
        <f t="shared" ref="II20" si="610">SUM(II21:II34)</f>
        <v>18697</v>
      </c>
      <c r="IJ20" s="1394">
        <f t="shared" ref="IJ20" si="611">SUM(IJ21:IJ34)</f>
        <v>22598</v>
      </c>
      <c r="IK20" s="1394">
        <f t="shared" ref="IK20" si="612">SUM(IK21:IK34)</f>
        <v>19434</v>
      </c>
      <c r="IL20" s="1394">
        <f t="shared" ref="IL20" si="613">SUM(IL21:IL34)</f>
        <v>13986</v>
      </c>
      <c r="IM20" s="1395">
        <f t="shared" ref="IM20" si="614">SUM(IM21:IM34)</f>
        <v>14214</v>
      </c>
      <c r="IN20" s="1395">
        <f t="shared" si="106"/>
        <v>174634</v>
      </c>
      <c r="IO20" s="1393">
        <f t="shared" ref="IO20" si="615">SUM(IO21:IO34)</f>
        <v>15025</v>
      </c>
      <c r="IP20" s="1394">
        <f t="shared" ref="IP20" si="616">SUM(IP21:IP34)</f>
        <v>13181</v>
      </c>
      <c r="IQ20" s="1394">
        <f t="shared" ref="IQ20" si="617">SUM(IQ21:IQ34)</f>
        <v>12732</v>
      </c>
      <c r="IR20" s="1394">
        <f t="shared" ref="IR20" si="618">SUM(IR21:IR34)</f>
        <v>18591</v>
      </c>
      <c r="IS20" s="1394">
        <f t="shared" ref="IS20" si="619">SUM(IS21:IS34)</f>
        <v>17132</v>
      </c>
      <c r="IT20" s="1394">
        <f t="shared" ref="IT20" si="620">SUM(IT21:IT34)</f>
        <v>15521</v>
      </c>
      <c r="IU20" s="1394">
        <f t="shared" ref="IU20" si="621">SUM(IU21:IU34)</f>
        <v>24496</v>
      </c>
      <c r="IV20" s="1394">
        <f t="shared" ref="IV20" si="622">SUM(IV21:IV34)</f>
        <v>31675</v>
      </c>
      <c r="IW20" s="1394">
        <f t="shared" ref="IW20" si="623">SUM(IW21:IW34)</f>
        <v>31650</v>
      </c>
      <c r="IX20" s="1394">
        <f t="shared" ref="IX20" si="624">SUM(IX21:IX34)</f>
        <v>23350</v>
      </c>
      <c r="IY20" s="1394">
        <f t="shared" ref="IY20" si="625">SUM(IY21:IY34)</f>
        <v>20976</v>
      </c>
      <c r="IZ20" s="1395">
        <f t="shared" ref="IZ20" si="626">SUM(IZ21:IZ34)</f>
        <v>32759</v>
      </c>
      <c r="JA20" s="1395">
        <f t="shared" si="107"/>
        <v>257088</v>
      </c>
      <c r="JB20" s="1393">
        <f t="shared" ref="JB20" si="627">SUM(JB21:JB34)</f>
        <v>37448</v>
      </c>
      <c r="JC20" s="1394">
        <f t="shared" ref="JC20" si="628">SUM(JC21:JC34)</f>
        <v>32306</v>
      </c>
      <c r="JD20" s="1394">
        <f t="shared" ref="JD20" si="629">SUM(JD21:JD34)</f>
        <v>19389</v>
      </c>
      <c r="JE20" s="1394">
        <f t="shared" ref="JE20" si="630">SUM(JE21:JE34)</f>
        <v>13914</v>
      </c>
      <c r="JF20" s="1394">
        <f t="shared" ref="JF20" si="631">SUM(JF21:JF34)</f>
        <v>30868</v>
      </c>
      <c r="JG20" s="1394">
        <f t="shared" ref="JG20" si="632">SUM(JG21:JG34)</f>
        <v>60848</v>
      </c>
      <c r="JH20" s="1394">
        <f t="shared" ref="JH20" si="633">SUM(JH21:JH34)</f>
        <v>75866</v>
      </c>
      <c r="JI20" s="1394">
        <f t="shared" ref="JI20" si="634">SUM(JI21:JI34)</f>
        <v>62580</v>
      </c>
      <c r="JJ20" s="1394">
        <f t="shared" ref="JJ20" si="635">SUM(JJ21:JJ34)</f>
        <v>67939</v>
      </c>
      <c r="JK20" s="1394">
        <f t="shared" ref="JK20" si="636">SUM(JK21:JK34)</f>
        <v>36982</v>
      </c>
      <c r="JL20" s="1394">
        <f t="shared" ref="JL20" si="637">SUM(JL21:JL34)</f>
        <v>23177</v>
      </c>
      <c r="JM20" s="1395">
        <f t="shared" ref="JM20" si="638">SUM(JM21:JM34)</f>
        <v>18445</v>
      </c>
      <c r="JN20" s="1395">
        <f t="shared" si="108"/>
        <v>479762</v>
      </c>
      <c r="JO20" s="1393">
        <f>SUM(JO21:JO34)</f>
        <v>21396</v>
      </c>
      <c r="JP20" s="1394">
        <f t="shared" ref="JP20:JZ20" si="639">SUM(JP21:JP34)</f>
        <v>10000</v>
      </c>
      <c r="JQ20" s="1394">
        <f t="shared" si="639"/>
        <v>13789</v>
      </c>
      <c r="JR20" s="1394">
        <f t="shared" si="639"/>
        <v>18812</v>
      </c>
      <c r="JS20" s="1394">
        <f t="shared" si="639"/>
        <v>18139</v>
      </c>
      <c r="JT20" s="1394">
        <f t="shared" si="639"/>
        <v>40239</v>
      </c>
      <c r="JU20" s="1394">
        <f t="shared" si="639"/>
        <v>36260</v>
      </c>
      <c r="JV20" s="1394">
        <f t="shared" si="639"/>
        <v>33257</v>
      </c>
      <c r="JW20" s="1394">
        <f t="shared" si="639"/>
        <v>0</v>
      </c>
      <c r="JX20" s="1394">
        <f t="shared" si="639"/>
        <v>0</v>
      </c>
      <c r="JY20" s="1394">
        <f t="shared" si="639"/>
        <v>0</v>
      </c>
      <c r="JZ20" s="1395">
        <f t="shared" si="639"/>
        <v>0</v>
      </c>
      <c r="KA20" s="1395">
        <f t="shared" si="109"/>
        <v>191892</v>
      </c>
      <c r="KB20" s="1068"/>
      <c r="KC20" s="1410">
        <f t="shared" si="83"/>
        <v>-28.882355975037388</v>
      </c>
      <c r="KD20" s="1066">
        <f t="shared" si="84"/>
        <v>-49.311779949070598</v>
      </c>
      <c r="KE20" s="1409">
        <f t="shared" si="85"/>
        <v>89143</v>
      </c>
      <c r="KF20" s="1409">
        <f t="shared" si="86"/>
        <v>45185</v>
      </c>
      <c r="KG20" s="1068"/>
      <c r="KH20" s="1047">
        <f t="shared" si="87"/>
        <v>0.71117644024962612</v>
      </c>
      <c r="KI20" s="1042">
        <f t="shared" si="88"/>
        <v>-5600</v>
      </c>
      <c r="KJ20" s="1048">
        <f t="shared" si="55"/>
        <v>-43958</v>
      </c>
    </row>
    <row r="21" spans="1:297" ht="15" customHeight="1" x14ac:dyDescent="0.2">
      <c r="A21" s="1067" t="s">
        <v>343</v>
      </c>
      <c r="B21" s="1636"/>
      <c r="C21" s="1637"/>
      <c r="D21" s="1637"/>
      <c r="E21" s="1637"/>
      <c r="F21" s="1637"/>
      <c r="G21" s="1637"/>
      <c r="H21" s="1637"/>
      <c r="I21" s="1637"/>
      <c r="J21" s="1637"/>
      <c r="K21" s="1637"/>
      <c r="L21" s="1637"/>
      <c r="M21" s="1638"/>
      <c r="N21" s="1638"/>
      <c r="O21" s="1636"/>
      <c r="P21" s="1637"/>
      <c r="Q21" s="1637"/>
      <c r="R21" s="1637"/>
      <c r="S21" s="1637"/>
      <c r="T21" s="1637"/>
      <c r="U21" s="1637"/>
      <c r="V21" s="1637"/>
      <c r="W21" s="1637"/>
      <c r="X21" s="1637"/>
      <c r="Y21" s="1637"/>
      <c r="Z21" s="1638"/>
      <c r="AA21" s="1638"/>
      <c r="AB21" s="1636"/>
      <c r="AC21" s="1637"/>
      <c r="AD21" s="1637"/>
      <c r="AE21" s="1637"/>
      <c r="AF21" s="1637"/>
      <c r="AG21" s="1637"/>
      <c r="AH21" s="1637"/>
      <c r="AI21" s="1637"/>
      <c r="AJ21" s="1637"/>
      <c r="AK21" s="1637"/>
      <c r="AL21" s="1637"/>
      <c r="AM21" s="1638"/>
      <c r="AN21" s="1638"/>
      <c r="AO21" s="1636"/>
      <c r="AP21" s="1637"/>
      <c r="AQ21" s="1637"/>
      <c r="AR21" s="1637"/>
      <c r="AS21" s="1637"/>
      <c r="AT21" s="1637"/>
      <c r="AU21" s="1637"/>
      <c r="AV21" s="1637"/>
      <c r="AW21" s="1637"/>
      <c r="AX21" s="1637"/>
      <c r="AY21" s="1637"/>
      <c r="AZ21" s="1638"/>
      <c r="BA21" s="1638">
        <f>SUM(AO21:AZ21)</f>
        <v>0</v>
      </c>
      <c r="BB21" s="1636"/>
      <c r="BC21" s="1637"/>
      <c r="BD21" s="1637"/>
      <c r="BE21" s="1637"/>
      <c r="BF21" s="1637"/>
      <c r="BG21" s="1637"/>
      <c r="BH21" s="1637"/>
      <c r="BI21" s="1637"/>
      <c r="BJ21" s="1637"/>
      <c r="BK21" s="1637"/>
      <c r="BL21" s="1637"/>
      <c r="BM21" s="1638"/>
      <c r="BN21" s="1638">
        <f>SUM(BB21:BM21)</f>
        <v>0</v>
      </c>
      <c r="BO21" s="1636"/>
      <c r="BP21" s="1637"/>
      <c r="BQ21" s="1637">
        <v>22</v>
      </c>
      <c r="BR21" s="1637"/>
      <c r="BS21" s="1637"/>
      <c r="BT21" s="1637"/>
      <c r="BU21" s="1637"/>
      <c r="BV21" s="1637"/>
      <c r="BW21" s="1637"/>
      <c r="BX21" s="1637"/>
      <c r="BY21" s="1637"/>
      <c r="BZ21" s="1638"/>
      <c r="CA21" s="1638">
        <f>SUM(BO21:BZ21)</f>
        <v>22</v>
      </c>
      <c r="CB21" s="1636"/>
      <c r="CC21" s="1637"/>
      <c r="CD21" s="1637"/>
      <c r="CE21" s="1637"/>
      <c r="CF21" s="1637"/>
      <c r="CG21" s="1637"/>
      <c r="CH21" s="1637"/>
      <c r="CI21" s="1637"/>
      <c r="CJ21" s="1637"/>
      <c r="CK21" s="1637"/>
      <c r="CL21" s="1637"/>
      <c r="CM21" s="1638"/>
      <c r="CN21" s="1638">
        <f>SUM(CB21:CM21)</f>
        <v>0</v>
      </c>
      <c r="CO21" s="1636"/>
      <c r="CP21" s="1637"/>
      <c r="CQ21" s="1637"/>
      <c r="CR21" s="1637"/>
      <c r="CS21" s="1637"/>
      <c r="CT21" s="1637"/>
      <c r="CU21" s="1637"/>
      <c r="CV21" s="1637"/>
      <c r="CW21" s="1637"/>
      <c r="CX21" s="1637"/>
      <c r="CY21" s="1637"/>
      <c r="CZ21" s="1638"/>
      <c r="DA21" s="1638">
        <f>SUM(CO21:CZ21)</f>
        <v>0</v>
      </c>
      <c r="DB21" s="1636"/>
      <c r="DC21" s="1637"/>
      <c r="DD21" s="1637"/>
      <c r="DE21" s="1637"/>
      <c r="DF21" s="1637"/>
      <c r="DG21" s="1637"/>
      <c r="DH21" s="1637"/>
      <c r="DI21" s="1637"/>
      <c r="DJ21" s="1637"/>
      <c r="DK21" s="1637"/>
      <c r="DL21" s="1637"/>
      <c r="DM21" s="1638"/>
      <c r="DN21" s="1638">
        <f>SUM(DB21:DM21)</f>
        <v>0</v>
      </c>
      <c r="DO21" s="1636"/>
      <c r="DP21" s="1637"/>
      <c r="DQ21" s="1637"/>
      <c r="DR21" s="1637"/>
      <c r="DS21" s="1637"/>
      <c r="DT21" s="1637"/>
      <c r="DU21" s="1637">
        <v>291</v>
      </c>
      <c r="DV21" s="1637">
        <v>288</v>
      </c>
      <c r="DW21" s="1637"/>
      <c r="DX21" s="1637">
        <v>1060</v>
      </c>
      <c r="DY21" s="1637">
        <v>3135</v>
      </c>
      <c r="DZ21" s="1638">
        <v>1263</v>
      </c>
      <c r="EA21" s="1638">
        <f>SUM(DO21:DZ21)</f>
        <v>6037</v>
      </c>
      <c r="EB21" s="1636">
        <v>1412</v>
      </c>
      <c r="EC21" s="1637"/>
      <c r="ED21" s="1637"/>
      <c r="EE21" s="1637">
        <v>220</v>
      </c>
      <c r="EF21" s="1637">
        <v>735</v>
      </c>
      <c r="EG21" s="1637"/>
      <c r="EH21" s="1637"/>
      <c r="EI21" s="1637"/>
      <c r="EJ21" s="1637"/>
      <c r="EK21" s="1637"/>
      <c r="EL21" s="1637">
        <v>1284</v>
      </c>
      <c r="EM21" s="1638">
        <v>1269</v>
      </c>
      <c r="EN21" s="1638">
        <f>SUM(EB21:EM21)</f>
        <v>4920</v>
      </c>
      <c r="EO21" s="1636">
        <v>3616</v>
      </c>
      <c r="EP21" s="1637"/>
      <c r="EQ21" s="1637"/>
      <c r="ER21" s="1637"/>
      <c r="ES21" s="1637"/>
      <c r="ET21" s="1637"/>
      <c r="EU21" s="1637"/>
      <c r="EV21" s="1637">
        <v>3698</v>
      </c>
      <c r="EW21" s="1637"/>
      <c r="EX21" s="1637">
        <v>4204</v>
      </c>
      <c r="EY21" s="1637"/>
      <c r="EZ21" s="1638"/>
      <c r="FA21" s="1638">
        <f>SUM(EO21:EZ21)</f>
        <v>11518</v>
      </c>
      <c r="FB21" s="1636"/>
      <c r="FC21" s="1637"/>
      <c r="FD21" s="1637"/>
      <c r="FE21" s="1637"/>
      <c r="FF21" s="1637"/>
      <c r="FG21" s="1637"/>
      <c r="FH21" s="1637"/>
      <c r="FI21" s="1637"/>
      <c r="FJ21" s="1637"/>
      <c r="FK21" s="1637"/>
      <c r="FL21" s="1637"/>
      <c r="FM21" s="1638"/>
      <c r="FN21" s="1638">
        <f>SUM(FB21:FM21)</f>
        <v>0</v>
      </c>
      <c r="FO21" s="1636"/>
      <c r="FP21" s="1637"/>
      <c r="FQ21" s="1637"/>
      <c r="FR21" s="1637"/>
      <c r="FS21" s="1637"/>
      <c r="FT21" s="1637">
        <v>2651</v>
      </c>
      <c r="FU21" s="1637"/>
      <c r="FV21" s="1637">
        <v>3868</v>
      </c>
      <c r="FW21" s="1637"/>
      <c r="FX21" s="1637">
        <v>4213</v>
      </c>
      <c r="FY21" s="1637">
        <v>1980</v>
      </c>
      <c r="FZ21" s="1638">
        <v>2740</v>
      </c>
      <c r="GA21" s="1638">
        <f>SUM(FO21:FZ21)</f>
        <v>15452</v>
      </c>
      <c r="GB21" s="1636">
        <v>2326</v>
      </c>
      <c r="GC21" s="1637"/>
      <c r="GD21" s="1637">
        <v>4023</v>
      </c>
      <c r="GE21" s="1637"/>
      <c r="GF21" s="1637">
        <v>1481</v>
      </c>
      <c r="GG21" s="1637">
        <v>3151</v>
      </c>
      <c r="GH21" s="1637"/>
      <c r="GI21" s="1637">
        <v>1769</v>
      </c>
      <c r="GJ21" s="1637">
        <v>1395</v>
      </c>
      <c r="GK21" s="1637">
        <v>2614</v>
      </c>
      <c r="GL21" s="1637">
        <v>3211</v>
      </c>
      <c r="GM21" s="1638">
        <v>2768</v>
      </c>
      <c r="GN21" s="1638">
        <f>SUM(GB21:GM21)</f>
        <v>22738</v>
      </c>
      <c r="GO21" s="1636">
        <v>4340</v>
      </c>
      <c r="GP21" s="1637">
        <v>3220</v>
      </c>
      <c r="GQ21" s="1637"/>
      <c r="GR21" s="1637"/>
      <c r="GS21" s="1637"/>
      <c r="GT21" s="1637"/>
      <c r="GU21" s="1637"/>
      <c r="GV21" s="1637">
        <v>3713</v>
      </c>
      <c r="GW21" s="1637">
        <v>4059</v>
      </c>
      <c r="GX21" s="1637">
        <v>3000</v>
      </c>
      <c r="GY21" s="1637">
        <v>3561</v>
      </c>
      <c r="GZ21" s="1638"/>
      <c r="HA21" s="1638">
        <f>SUM(GO21:GZ21)</f>
        <v>21893</v>
      </c>
      <c r="HB21" s="1636">
        <v>3935</v>
      </c>
      <c r="HC21" s="1637"/>
      <c r="HD21" s="1637"/>
      <c r="HE21" s="1637"/>
      <c r="HF21" s="1637"/>
      <c r="HG21" s="1637"/>
      <c r="HH21" s="1637"/>
      <c r="HI21" s="1637"/>
      <c r="HJ21" s="1637"/>
      <c r="HK21" s="1637"/>
      <c r="HL21" s="1637">
        <v>340</v>
      </c>
      <c r="HM21" s="1638"/>
      <c r="HN21" s="1638">
        <f>SUM(HB21:HM21)</f>
        <v>4275</v>
      </c>
      <c r="HO21" s="1636">
        <v>323</v>
      </c>
      <c r="HP21" s="1637"/>
      <c r="HQ21" s="1637"/>
      <c r="HR21" s="1637">
        <v>177</v>
      </c>
      <c r="HS21" s="1637"/>
      <c r="HT21" s="1637"/>
      <c r="HU21" s="1637">
        <v>323</v>
      </c>
      <c r="HV21" s="1637">
        <v>496</v>
      </c>
      <c r="HW21" s="1637">
        <v>195</v>
      </c>
      <c r="HX21" s="1637">
        <v>706</v>
      </c>
      <c r="HY21" s="1637">
        <v>1131</v>
      </c>
      <c r="HZ21" s="1638">
        <v>2297</v>
      </c>
      <c r="IA21" s="1638">
        <f>SUM(HO21:HZ21)</f>
        <v>5648</v>
      </c>
      <c r="IB21" s="1636">
        <v>1362</v>
      </c>
      <c r="IC21" s="1637">
        <v>1016</v>
      </c>
      <c r="ID21" s="1637"/>
      <c r="IE21" s="1637">
        <v>1849</v>
      </c>
      <c r="IF21" s="1637">
        <v>606</v>
      </c>
      <c r="IG21" s="1637">
        <v>2385</v>
      </c>
      <c r="IH21" s="1637">
        <v>592</v>
      </c>
      <c r="II21" s="1637">
        <v>332</v>
      </c>
      <c r="IJ21" s="1637">
        <v>459</v>
      </c>
      <c r="IK21" s="1637">
        <v>100</v>
      </c>
      <c r="IL21" s="1637">
        <v>317</v>
      </c>
      <c r="IM21" s="1638">
        <v>336</v>
      </c>
      <c r="IN21" s="1638">
        <f>SUM(IB21:IM21)</f>
        <v>9354</v>
      </c>
      <c r="IO21" s="1636">
        <v>274</v>
      </c>
      <c r="IP21" s="1637"/>
      <c r="IQ21" s="1637"/>
      <c r="IR21" s="1637"/>
      <c r="IS21" s="1637"/>
      <c r="IT21" s="1637"/>
      <c r="IU21" s="1637"/>
      <c r="IV21" s="1637"/>
      <c r="IW21" s="1637"/>
      <c r="IX21" s="1637"/>
      <c r="IY21" s="1637"/>
      <c r="IZ21" s="1638"/>
      <c r="JA21" s="1638">
        <v>274</v>
      </c>
      <c r="JB21" s="1636"/>
      <c r="JC21" s="1637"/>
      <c r="JD21" s="1637">
        <v>74</v>
      </c>
      <c r="JE21" s="1637"/>
      <c r="JF21" s="1637"/>
      <c r="JG21" s="1637"/>
      <c r="JH21" s="1637"/>
      <c r="JI21" s="1637"/>
      <c r="JJ21" s="1637"/>
      <c r="JK21" s="1637"/>
      <c r="JL21" s="1637"/>
      <c r="JM21" s="1638"/>
      <c r="JN21" s="1638">
        <f t="shared" ref="JN21:JN34" si="640">SUM(JB21:JM21)</f>
        <v>74</v>
      </c>
      <c r="JO21" s="1636"/>
      <c r="JP21" s="1637"/>
      <c r="JQ21" s="1637"/>
      <c r="JR21" s="1637"/>
      <c r="JS21" s="1637">
        <v>61</v>
      </c>
      <c r="JT21" s="1637"/>
      <c r="JU21" s="1637"/>
      <c r="JV21" s="1637"/>
      <c r="JW21" s="1637"/>
      <c r="JX21" s="1637"/>
      <c r="JY21" s="1637"/>
      <c r="JZ21" s="1638"/>
      <c r="KA21" s="1638">
        <f t="shared" ref="KA21:KA34" si="641">SUM(JO21:JZ21)</f>
        <v>61</v>
      </c>
      <c r="KB21" s="1068"/>
      <c r="KC21" s="1645">
        <f t="shared" si="83"/>
        <v>-100</v>
      </c>
      <c r="KD21" s="1642">
        <f>IFERROR(((KF21/KE21)-1)*100,"")</f>
        <v>-100</v>
      </c>
      <c r="KE21" s="1643">
        <f t="shared" si="85"/>
        <v>74</v>
      </c>
      <c r="KF21" s="1643">
        <f t="shared" si="86"/>
        <v>0</v>
      </c>
      <c r="KG21" s="1068"/>
      <c r="KH21" s="1644">
        <f t="shared" si="87"/>
        <v>0</v>
      </c>
      <c r="KI21" s="1068">
        <f t="shared" si="88"/>
        <v>-74</v>
      </c>
      <c r="KJ21" s="1570">
        <f>KF21-KE21</f>
        <v>-74</v>
      </c>
    </row>
    <row r="22" spans="1:297" ht="15" customHeight="1" x14ac:dyDescent="0.2">
      <c r="A22" s="1067" t="s">
        <v>344</v>
      </c>
      <c r="B22" s="1636"/>
      <c r="C22" s="1637"/>
      <c r="D22" s="1637"/>
      <c r="E22" s="1637"/>
      <c r="F22" s="1637"/>
      <c r="G22" s="1637"/>
      <c r="H22" s="1637"/>
      <c r="I22" s="1637"/>
      <c r="J22" s="1637"/>
      <c r="K22" s="1637"/>
      <c r="L22" s="1637"/>
      <c r="M22" s="1638"/>
      <c r="N22" s="1638"/>
      <c r="O22" s="1636"/>
      <c r="P22" s="1637"/>
      <c r="Q22" s="1637"/>
      <c r="R22" s="1637"/>
      <c r="S22" s="1637"/>
      <c r="T22" s="1637"/>
      <c r="U22" s="1637"/>
      <c r="V22" s="1637"/>
      <c r="W22" s="1637"/>
      <c r="X22" s="1637"/>
      <c r="Y22" s="1637"/>
      <c r="Z22" s="1638"/>
      <c r="AA22" s="1638"/>
      <c r="AB22" s="1636"/>
      <c r="AC22" s="1637"/>
      <c r="AD22" s="1637"/>
      <c r="AE22" s="1637"/>
      <c r="AF22" s="1637"/>
      <c r="AG22" s="1637"/>
      <c r="AH22" s="1637"/>
      <c r="AI22" s="1637"/>
      <c r="AJ22" s="1637"/>
      <c r="AK22" s="1637"/>
      <c r="AL22" s="1637"/>
      <c r="AM22" s="1638"/>
      <c r="AN22" s="1638"/>
      <c r="AO22" s="1636"/>
      <c r="AP22" s="1637"/>
      <c r="AQ22" s="1637"/>
      <c r="AR22" s="1637"/>
      <c r="AS22" s="1637"/>
      <c r="AT22" s="1637"/>
      <c r="AU22" s="1637"/>
      <c r="AV22" s="1637"/>
      <c r="AW22" s="1637"/>
      <c r="AX22" s="1637"/>
      <c r="AY22" s="1637"/>
      <c r="AZ22" s="1638"/>
      <c r="BA22" s="1638">
        <f>SUM(AO22:AZ22)</f>
        <v>0</v>
      </c>
      <c r="BB22" s="1636"/>
      <c r="BC22" s="1637"/>
      <c r="BD22" s="1637"/>
      <c r="BE22" s="1637"/>
      <c r="BF22" s="1637"/>
      <c r="BG22" s="1637"/>
      <c r="BH22" s="1637"/>
      <c r="BI22" s="1637"/>
      <c r="BJ22" s="1637"/>
      <c r="BK22" s="1637"/>
      <c r="BL22" s="1637"/>
      <c r="BM22" s="1638"/>
      <c r="BN22" s="1638">
        <f>SUM(BB22:BM22)</f>
        <v>0</v>
      </c>
      <c r="BO22" s="1636"/>
      <c r="BP22" s="1637"/>
      <c r="BQ22" s="1637"/>
      <c r="BR22" s="1637"/>
      <c r="BS22" s="1637"/>
      <c r="BT22" s="1637"/>
      <c r="BU22" s="1637"/>
      <c r="BV22" s="1637"/>
      <c r="BW22" s="1637"/>
      <c r="BX22" s="1637"/>
      <c r="BY22" s="1637"/>
      <c r="BZ22" s="1638"/>
      <c r="CA22" s="1638">
        <f>SUM(BO22:BZ22)</f>
        <v>0</v>
      </c>
      <c r="CB22" s="1636"/>
      <c r="CC22" s="1637">
        <v>423</v>
      </c>
      <c r="CD22" s="1637">
        <v>510</v>
      </c>
      <c r="CE22" s="1637"/>
      <c r="CF22" s="1637">
        <v>256</v>
      </c>
      <c r="CG22" s="1637"/>
      <c r="CH22" s="1637"/>
      <c r="CI22" s="1637"/>
      <c r="CJ22" s="1637"/>
      <c r="CK22" s="1637"/>
      <c r="CL22" s="1637"/>
      <c r="CM22" s="1638"/>
      <c r="CN22" s="1638">
        <f>SUM(CB22:CM22)</f>
        <v>1189</v>
      </c>
      <c r="CO22" s="1636"/>
      <c r="CP22" s="1637"/>
      <c r="CQ22" s="1637"/>
      <c r="CR22" s="1637"/>
      <c r="CS22" s="1637"/>
      <c r="CT22" s="1637"/>
      <c r="CU22" s="1637"/>
      <c r="CV22" s="1637"/>
      <c r="CW22" s="1637"/>
      <c r="CX22" s="1637"/>
      <c r="CY22" s="1637"/>
      <c r="CZ22" s="1638"/>
      <c r="DA22" s="1638">
        <f>SUM(CO22:CZ22)</f>
        <v>0</v>
      </c>
      <c r="DB22" s="1636"/>
      <c r="DC22" s="1637"/>
      <c r="DD22" s="1637"/>
      <c r="DE22" s="1637"/>
      <c r="DF22" s="1637"/>
      <c r="DG22" s="1637"/>
      <c r="DH22" s="1637"/>
      <c r="DI22" s="1637"/>
      <c r="DJ22" s="1637"/>
      <c r="DK22" s="1637"/>
      <c r="DL22" s="1637"/>
      <c r="DM22" s="1638"/>
      <c r="DN22" s="1638">
        <f>SUM(DB22:DM22)</f>
        <v>0</v>
      </c>
      <c r="DO22" s="1636"/>
      <c r="DP22" s="1637"/>
      <c r="DQ22" s="1637"/>
      <c r="DR22" s="1637"/>
      <c r="DS22" s="1637"/>
      <c r="DT22" s="1637"/>
      <c r="DU22" s="1637"/>
      <c r="DV22" s="1637"/>
      <c r="DW22" s="1637"/>
      <c r="DX22" s="1637"/>
      <c r="DY22" s="1637"/>
      <c r="DZ22" s="1638"/>
      <c r="EA22" s="1638">
        <f>SUM(DO22:DZ22)</f>
        <v>0</v>
      </c>
      <c r="EB22" s="1636"/>
      <c r="EC22" s="1637"/>
      <c r="ED22" s="1637">
        <v>228</v>
      </c>
      <c r="EE22" s="1637"/>
      <c r="EF22" s="1637">
        <v>2031</v>
      </c>
      <c r="EG22" s="1637">
        <v>1340</v>
      </c>
      <c r="EH22" s="1637">
        <v>2474</v>
      </c>
      <c r="EI22" s="1637"/>
      <c r="EJ22" s="1637"/>
      <c r="EK22" s="1637"/>
      <c r="EL22" s="1637"/>
      <c r="EM22" s="1638"/>
      <c r="EN22" s="1638">
        <f>SUM(EB22:EM22)</f>
        <v>6073</v>
      </c>
      <c r="EO22" s="1636"/>
      <c r="EP22" s="1637"/>
      <c r="EQ22" s="1637">
        <v>3768</v>
      </c>
      <c r="ER22" s="1637"/>
      <c r="ES22" s="1637"/>
      <c r="ET22" s="1637"/>
      <c r="EU22" s="1637"/>
      <c r="EV22" s="1637"/>
      <c r="EW22" s="1637"/>
      <c r="EX22" s="1637"/>
      <c r="EY22" s="1637"/>
      <c r="EZ22" s="1638"/>
      <c r="FA22" s="1638">
        <f>SUM(EO22:EZ22)</f>
        <v>3768</v>
      </c>
      <c r="FB22" s="1636"/>
      <c r="FC22" s="1637"/>
      <c r="FD22" s="1637"/>
      <c r="FE22" s="1637"/>
      <c r="FF22" s="1637"/>
      <c r="FG22" s="1637"/>
      <c r="FH22" s="1637"/>
      <c r="FI22" s="1637"/>
      <c r="FJ22" s="1637"/>
      <c r="FK22" s="1637"/>
      <c r="FL22" s="1637"/>
      <c r="FM22" s="1638"/>
      <c r="FN22" s="1638">
        <f>SUM(FB22:FM22)</f>
        <v>0</v>
      </c>
      <c r="FO22" s="1636"/>
      <c r="FP22" s="1637"/>
      <c r="FQ22" s="1637">
        <v>3669</v>
      </c>
      <c r="FR22" s="1637"/>
      <c r="FS22" s="1637"/>
      <c r="FT22" s="1637"/>
      <c r="FU22" s="1637"/>
      <c r="FV22" s="1637"/>
      <c r="FW22" s="1637"/>
      <c r="FX22" s="1637"/>
      <c r="FY22" s="1637"/>
      <c r="FZ22" s="1638"/>
      <c r="GA22" s="1638">
        <f>SUM(FO22:FZ22)</f>
        <v>3669</v>
      </c>
      <c r="GB22" s="1636"/>
      <c r="GC22" s="1637"/>
      <c r="GD22" s="1637"/>
      <c r="GE22" s="1637"/>
      <c r="GF22" s="1637"/>
      <c r="GG22" s="1637"/>
      <c r="GH22" s="1637"/>
      <c r="GI22" s="1637">
        <v>354</v>
      </c>
      <c r="GJ22" s="1637"/>
      <c r="GK22" s="1637"/>
      <c r="GL22" s="1637"/>
      <c r="GM22" s="1638"/>
      <c r="GN22" s="1638">
        <f>SUM(GB22:GM22)</f>
        <v>354</v>
      </c>
      <c r="GO22" s="1636"/>
      <c r="GP22" s="1637"/>
      <c r="GQ22" s="1637"/>
      <c r="GR22" s="1637"/>
      <c r="GS22" s="1637"/>
      <c r="GT22" s="1637"/>
      <c r="GU22" s="1637"/>
      <c r="GV22" s="1637"/>
      <c r="GW22" s="1637"/>
      <c r="GX22" s="1637"/>
      <c r="GY22" s="1637"/>
      <c r="GZ22" s="1638"/>
      <c r="HA22" s="1638">
        <f>SUM(GO22:GZ22)</f>
        <v>0</v>
      </c>
      <c r="HB22" s="1636"/>
      <c r="HC22" s="1637"/>
      <c r="HD22" s="1637"/>
      <c r="HE22" s="1637"/>
      <c r="HF22" s="1637">
        <v>257</v>
      </c>
      <c r="HG22" s="1637">
        <v>159</v>
      </c>
      <c r="HH22" s="1637"/>
      <c r="HI22" s="1637"/>
      <c r="HJ22" s="1637"/>
      <c r="HK22" s="1637"/>
      <c r="HL22" s="1637"/>
      <c r="HM22" s="1638">
        <v>169</v>
      </c>
      <c r="HN22" s="1638">
        <f>SUM(HB22:HM22)</f>
        <v>585</v>
      </c>
      <c r="HO22" s="1636"/>
      <c r="HP22" s="1637"/>
      <c r="HQ22" s="1637"/>
      <c r="HR22" s="1637"/>
      <c r="HS22" s="1637">
        <v>498</v>
      </c>
      <c r="HT22" s="1637">
        <v>276</v>
      </c>
      <c r="HU22" s="1637">
        <v>337</v>
      </c>
      <c r="HV22" s="1637">
        <v>715</v>
      </c>
      <c r="HW22" s="1637">
        <v>112</v>
      </c>
      <c r="HX22" s="1637">
        <v>248</v>
      </c>
      <c r="HY22" s="1637">
        <v>302</v>
      </c>
      <c r="HZ22" s="1638">
        <v>986</v>
      </c>
      <c r="IA22" s="1638">
        <f>SUM(HO22:HZ22)</f>
        <v>3474</v>
      </c>
      <c r="IB22" s="1636">
        <v>676</v>
      </c>
      <c r="IC22" s="1637">
        <v>76</v>
      </c>
      <c r="ID22" s="1637"/>
      <c r="IE22" s="1637"/>
      <c r="IF22" s="1637"/>
      <c r="IG22" s="1637">
        <v>269</v>
      </c>
      <c r="IH22" s="1637"/>
      <c r="II22" s="1637"/>
      <c r="IJ22" s="1637"/>
      <c r="IK22" s="1637"/>
      <c r="IL22" s="1637"/>
      <c r="IM22" s="1638"/>
      <c r="IN22" s="1638">
        <f>SUM(IB22:IM22)</f>
        <v>1021</v>
      </c>
      <c r="IO22" s="1636"/>
      <c r="IP22" s="1637">
        <v>417</v>
      </c>
      <c r="IQ22" s="1637"/>
      <c r="IR22" s="1637"/>
      <c r="IS22" s="1637"/>
      <c r="IT22" s="1637"/>
      <c r="IU22" s="1637"/>
      <c r="IV22" s="1637"/>
      <c r="IW22" s="1637"/>
      <c r="IX22" s="1637"/>
      <c r="IY22" s="1637"/>
      <c r="IZ22" s="1638"/>
      <c r="JA22" s="1638">
        <v>417</v>
      </c>
      <c r="JB22" s="1636"/>
      <c r="JC22" s="1637"/>
      <c r="JD22" s="1637"/>
      <c r="JE22" s="1637"/>
      <c r="JF22" s="1637"/>
      <c r="JG22" s="1637"/>
      <c r="JH22" s="1637"/>
      <c r="JI22" s="1637"/>
      <c r="JJ22" s="1637"/>
      <c r="JK22" s="1637"/>
      <c r="JL22" s="1637"/>
      <c r="JM22" s="1638"/>
      <c r="JN22" s="1638">
        <f t="shared" si="640"/>
        <v>0</v>
      </c>
      <c r="JO22" s="1636"/>
      <c r="JP22" s="1637"/>
      <c r="JQ22" s="1637"/>
      <c r="JR22" s="1637"/>
      <c r="JS22" s="1637"/>
      <c r="JT22" s="1637"/>
      <c r="JU22" s="1637"/>
      <c r="JV22" s="1637"/>
      <c r="JW22" s="1637"/>
      <c r="JX22" s="1637"/>
      <c r="JY22" s="1637"/>
      <c r="JZ22" s="1638"/>
      <c r="KA22" s="1638">
        <f t="shared" si="641"/>
        <v>0</v>
      </c>
      <c r="KB22" s="1068"/>
      <c r="KC22" s="1645" t="str">
        <f t="shared" si="83"/>
        <v/>
      </c>
      <c r="KD22" s="1642" t="str">
        <f>IFERROR(((KF22/KE22)-1)*100,"")</f>
        <v/>
      </c>
      <c r="KE22" s="1643">
        <f t="shared" si="85"/>
        <v>0</v>
      </c>
      <c r="KF22" s="1643">
        <f t="shared" si="86"/>
        <v>0</v>
      </c>
      <c r="KG22" s="1042"/>
      <c r="KH22" s="1644" t="str">
        <f t="shared" si="87"/>
        <v/>
      </c>
      <c r="KI22" s="1068">
        <f t="shared" si="88"/>
        <v>0</v>
      </c>
      <c r="KJ22" s="1570">
        <f>KF22-KE22</f>
        <v>0</v>
      </c>
      <c r="KK22" s="66"/>
    </row>
    <row r="23" spans="1:297" ht="15" customHeight="1" x14ac:dyDescent="0.2">
      <c r="A23" s="1067" t="s">
        <v>345</v>
      </c>
      <c r="B23" s="1636"/>
      <c r="C23" s="1637"/>
      <c r="D23" s="1637"/>
      <c r="E23" s="1637"/>
      <c r="F23" s="1637"/>
      <c r="G23" s="1637"/>
      <c r="H23" s="1637"/>
      <c r="I23" s="1637"/>
      <c r="J23" s="1637"/>
      <c r="K23" s="1637"/>
      <c r="L23" s="1637"/>
      <c r="M23" s="1638"/>
      <c r="N23" s="1638"/>
      <c r="O23" s="1636"/>
      <c r="P23" s="1637"/>
      <c r="Q23" s="1637"/>
      <c r="R23" s="1637"/>
      <c r="S23" s="1637"/>
      <c r="T23" s="1637"/>
      <c r="U23" s="1637"/>
      <c r="V23" s="1637"/>
      <c r="W23" s="1637"/>
      <c r="X23" s="1637"/>
      <c r="Y23" s="1637"/>
      <c r="Z23" s="1638"/>
      <c r="AA23" s="1638"/>
      <c r="AB23" s="1636"/>
      <c r="AC23" s="1637"/>
      <c r="AD23" s="1637"/>
      <c r="AE23" s="1637"/>
      <c r="AF23" s="1637"/>
      <c r="AG23" s="1637"/>
      <c r="AH23" s="1637"/>
      <c r="AI23" s="1637"/>
      <c r="AJ23" s="1637"/>
      <c r="AK23" s="1637"/>
      <c r="AL23" s="1637"/>
      <c r="AM23" s="1638"/>
      <c r="AN23" s="1638"/>
      <c r="AO23" s="1636"/>
      <c r="AP23" s="1637"/>
      <c r="AQ23" s="1637"/>
      <c r="AR23" s="1637"/>
      <c r="AS23" s="1637"/>
      <c r="AT23" s="1637">
        <v>89</v>
      </c>
      <c r="AU23" s="1637"/>
      <c r="AV23" s="1637"/>
      <c r="AW23" s="1637"/>
      <c r="AX23" s="1637"/>
      <c r="AY23" s="1637"/>
      <c r="AZ23" s="1638"/>
      <c r="BA23" s="1638">
        <f>SUM(AO23:AZ23)</f>
        <v>89</v>
      </c>
      <c r="BB23" s="1636"/>
      <c r="BC23" s="1637"/>
      <c r="BD23" s="1637"/>
      <c r="BE23" s="1637"/>
      <c r="BF23" s="1637"/>
      <c r="BG23" s="1637"/>
      <c r="BH23" s="1637"/>
      <c r="BI23" s="1637"/>
      <c r="BJ23" s="1637">
        <v>20</v>
      </c>
      <c r="BK23" s="1637">
        <v>20</v>
      </c>
      <c r="BL23" s="1637"/>
      <c r="BM23" s="1638"/>
      <c r="BN23" s="1638">
        <f>SUM(BB23:BM23)</f>
        <v>40</v>
      </c>
      <c r="BO23" s="1636"/>
      <c r="BP23" s="1637"/>
      <c r="BQ23" s="1637"/>
      <c r="BR23" s="1637"/>
      <c r="BS23" s="1637"/>
      <c r="BT23" s="1637"/>
      <c r="BU23" s="1637"/>
      <c r="BV23" s="1637"/>
      <c r="BW23" s="1637"/>
      <c r="BX23" s="1637"/>
      <c r="BY23" s="1637"/>
      <c r="BZ23" s="1638"/>
      <c r="CA23" s="1638">
        <f>SUM(BO23:BZ23)</f>
        <v>0</v>
      </c>
      <c r="CB23" s="1636"/>
      <c r="CC23" s="1637"/>
      <c r="CD23" s="1637"/>
      <c r="CE23" s="1637"/>
      <c r="CF23" s="1637"/>
      <c r="CG23" s="1637"/>
      <c r="CH23" s="1637"/>
      <c r="CI23" s="1637"/>
      <c r="CJ23" s="1637"/>
      <c r="CK23" s="1637"/>
      <c r="CL23" s="1637"/>
      <c r="CM23" s="1638"/>
      <c r="CN23" s="1638">
        <f>SUM(CB23:CM23)</f>
        <v>0</v>
      </c>
      <c r="CO23" s="1636"/>
      <c r="CP23" s="1637"/>
      <c r="CQ23" s="1637"/>
      <c r="CR23" s="1637"/>
      <c r="CS23" s="1637"/>
      <c r="CT23" s="1637"/>
      <c r="CU23" s="1637"/>
      <c r="CV23" s="1637"/>
      <c r="CW23" s="1637"/>
      <c r="CX23" s="1637">
        <v>3</v>
      </c>
      <c r="CY23" s="1637">
        <v>140</v>
      </c>
      <c r="CZ23" s="1638">
        <v>110</v>
      </c>
      <c r="DA23" s="1638">
        <f>SUM(CO23:CZ23)</f>
        <v>253</v>
      </c>
      <c r="DB23" s="1636"/>
      <c r="DC23" s="1637"/>
      <c r="DD23" s="1637"/>
      <c r="DE23" s="1637"/>
      <c r="DF23" s="1637"/>
      <c r="DG23" s="1637"/>
      <c r="DH23" s="1637"/>
      <c r="DI23" s="1637"/>
      <c r="DJ23" s="1637">
        <v>31</v>
      </c>
      <c r="DK23" s="1637">
        <v>122</v>
      </c>
      <c r="DL23" s="1637">
        <v>628</v>
      </c>
      <c r="DM23" s="1638">
        <v>222</v>
      </c>
      <c r="DN23" s="1638">
        <f>SUM(DB23:DM23)</f>
        <v>1003</v>
      </c>
      <c r="DO23" s="1636">
        <v>166</v>
      </c>
      <c r="DP23" s="1637">
        <v>107</v>
      </c>
      <c r="DQ23" s="1637">
        <v>273</v>
      </c>
      <c r="DR23" s="1637">
        <v>237</v>
      </c>
      <c r="DS23" s="1637">
        <v>392</v>
      </c>
      <c r="DT23" s="1637">
        <v>177</v>
      </c>
      <c r="DU23" s="1637">
        <v>265</v>
      </c>
      <c r="DV23" s="1637">
        <v>534</v>
      </c>
      <c r="DW23" s="1637">
        <v>783</v>
      </c>
      <c r="DX23" s="1637">
        <v>658</v>
      </c>
      <c r="DY23" s="1637">
        <v>793</v>
      </c>
      <c r="DZ23" s="1638">
        <v>808</v>
      </c>
      <c r="EA23" s="1638">
        <f>SUM(DO23:DZ23)</f>
        <v>5193</v>
      </c>
      <c r="EB23" s="1636">
        <v>653</v>
      </c>
      <c r="EC23" s="1637">
        <v>370</v>
      </c>
      <c r="ED23" s="1637">
        <v>245</v>
      </c>
      <c r="EE23" s="1637">
        <v>496</v>
      </c>
      <c r="EF23" s="1637"/>
      <c r="EG23" s="1637">
        <v>853</v>
      </c>
      <c r="EH23" s="1637">
        <v>906</v>
      </c>
      <c r="EI23" s="1637">
        <v>1254</v>
      </c>
      <c r="EJ23" s="1637">
        <v>922</v>
      </c>
      <c r="EK23" s="1637">
        <v>995</v>
      </c>
      <c r="EL23" s="1637">
        <v>651</v>
      </c>
      <c r="EM23" s="1638">
        <v>315</v>
      </c>
      <c r="EN23" s="1638">
        <f>SUM(EB23:EM23)</f>
        <v>7660</v>
      </c>
      <c r="EO23" s="1636">
        <v>275</v>
      </c>
      <c r="EP23" s="1637">
        <v>313</v>
      </c>
      <c r="EQ23" s="1637"/>
      <c r="ER23" s="1637">
        <v>354</v>
      </c>
      <c r="ES23" s="1637">
        <v>135</v>
      </c>
      <c r="ET23" s="1637">
        <v>333</v>
      </c>
      <c r="EU23" s="1637">
        <v>233</v>
      </c>
      <c r="EV23" s="1637">
        <v>609</v>
      </c>
      <c r="EW23" s="1637">
        <v>412</v>
      </c>
      <c r="EX23" s="1637">
        <v>245</v>
      </c>
      <c r="EY23" s="1637">
        <v>400</v>
      </c>
      <c r="EZ23" s="1638">
        <v>394</v>
      </c>
      <c r="FA23" s="1638">
        <f>SUM(EO23:EZ23)</f>
        <v>3703</v>
      </c>
      <c r="FB23" s="1636">
        <v>958</v>
      </c>
      <c r="FC23" s="1637">
        <v>175</v>
      </c>
      <c r="FD23" s="1637">
        <v>1052</v>
      </c>
      <c r="FE23" s="1637">
        <v>700</v>
      </c>
      <c r="FF23" s="1637">
        <v>943</v>
      </c>
      <c r="FG23" s="1637">
        <v>890</v>
      </c>
      <c r="FH23" s="1637">
        <v>175</v>
      </c>
      <c r="FI23" s="1637">
        <v>1209</v>
      </c>
      <c r="FJ23" s="1637">
        <v>1314</v>
      </c>
      <c r="FK23" s="1637">
        <v>820</v>
      </c>
      <c r="FL23" s="1637">
        <v>1129</v>
      </c>
      <c r="FM23" s="1638">
        <v>990</v>
      </c>
      <c r="FN23" s="1638">
        <f>SUM(FB23:FM23)</f>
        <v>10355</v>
      </c>
      <c r="FO23" s="1636">
        <v>750</v>
      </c>
      <c r="FP23" s="1637">
        <v>402</v>
      </c>
      <c r="FQ23" s="1637">
        <v>401</v>
      </c>
      <c r="FR23" s="1637">
        <v>835</v>
      </c>
      <c r="FS23" s="1637">
        <v>759</v>
      </c>
      <c r="FT23" s="1637">
        <v>977</v>
      </c>
      <c r="FU23" s="1637">
        <v>868</v>
      </c>
      <c r="FV23" s="1637">
        <v>826</v>
      </c>
      <c r="FW23" s="1637">
        <v>704</v>
      </c>
      <c r="FX23" s="1637">
        <v>892</v>
      </c>
      <c r="FY23" s="1637">
        <v>1153</v>
      </c>
      <c r="FZ23" s="1638">
        <v>941</v>
      </c>
      <c r="GA23" s="1638">
        <f>SUM(FO23:FZ23)</f>
        <v>9508</v>
      </c>
      <c r="GB23" s="1636">
        <v>360</v>
      </c>
      <c r="GC23" s="1637">
        <v>306</v>
      </c>
      <c r="GD23" s="1637">
        <v>1149</v>
      </c>
      <c r="GE23" s="1637">
        <v>287</v>
      </c>
      <c r="GF23" s="1637">
        <v>1177</v>
      </c>
      <c r="GG23" s="1637">
        <v>978</v>
      </c>
      <c r="GH23" s="1637">
        <v>151</v>
      </c>
      <c r="GI23" s="1637">
        <v>273</v>
      </c>
      <c r="GJ23" s="1637">
        <v>346</v>
      </c>
      <c r="GK23" s="1637">
        <v>804</v>
      </c>
      <c r="GL23" s="1637">
        <v>1077</v>
      </c>
      <c r="GM23" s="1638">
        <v>1094</v>
      </c>
      <c r="GN23" s="1638">
        <f>SUM(GB23:GM23)</f>
        <v>8002</v>
      </c>
      <c r="GO23" s="1636">
        <v>920</v>
      </c>
      <c r="GP23" s="1637">
        <v>731</v>
      </c>
      <c r="GQ23" s="1637">
        <v>1048</v>
      </c>
      <c r="GR23" s="1637">
        <v>1162</v>
      </c>
      <c r="GS23" s="1637">
        <v>537</v>
      </c>
      <c r="GT23" s="1637">
        <v>475</v>
      </c>
      <c r="GU23" s="1637">
        <v>428</v>
      </c>
      <c r="GV23" s="1637">
        <v>882</v>
      </c>
      <c r="GW23" s="1637">
        <v>810</v>
      </c>
      <c r="GX23" s="1637">
        <v>1732</v>
      </c>
      <c r="GY23" s="1637">
        <v>2393</v>
      </c>
      <c r="GZ23" s="1638">
        <v>1409</v>
      </c>
      <c r="HA23" s="1638">
        <f>SUM(GO23:GZ23)</f>
        <v>12527</v>
      </c>
      <c r="HB23" s="1636">
        <v>1946</v>
      </c>
      <c r="HC23" s="1637">
        <v>907</v>
      </c>
      <c r="HD23" s="1637">
        <v>1453</v>
      </c>
      <c r="HE23" s="1637">
        <v>925</v>
      </c>
      <c r="HF23" s="1637">
        <v>1282</v>
      </c>
      <c r="HG23" s="1637">
        <v>1745</v>
      </c>
      <c r="HH23" s="1637">
        <v>1944</v>
      </c>
      <c r="HI23" s="1637">
        <v>1061</v>
      </c>
      <c r="HJ23" s="1637">
        <v>2418</v>
      </c>
      <c r="HK23" s="1637">
        <v>2927</v>
      </c>
      <c r="HL23" s="1637">
        <v>3487</v>
      </c>
      <c r="HM23" s="1638">
        <v>4140</v>
      </c>
      <c r="HN23" s="1638">
        <f>SUM(HB23:HM23)</f>
        <v>24235</v>
      </c>
      <c r="HO23" s="1636">
        <v>3250</v>
      </c>
      <c r="HP23" s="1637">
        <v>1942</v>
      </c>
      <c r="HQ23" s="1637">
        <v>3641</v>
      </c>
      <c r="HR23" s="1637">
        <v>1089</v>
      </c>
      <c r="HS23" s="1637">
        <v>1639</v>
      </c>
      <c r="HT23" s="1637">
        <v>1772</v>
      </c>
      <c r="HU23" s="1637">
        <v>2611</v>
      </c>
      <c r="HV23" s="1637">
        <v>1262</v>
      </c>
      <c r="HW23" s="1637">
        <v>1667</v>
      </c>
      <c r="HX23" s="1637">
        <v>3179</v>
      </c>
      <c r="HY23" s="1637">
        <v>2022</v>
      </c>
      <c r="HZ23" s="1638">
        <v>2664</v>
      </c>
      <c r="IA23" s="1638">
        <f>SUM(HO23:HZ23)</f>
        <v>26738</v>
      </c>
      <c r="IB23" s="1636">
        <v>2512</v>
      </c>
      <c r="IC23" s="1637">
        <v>1978</v>
      </c>
      <c r="ID23" s="1637">
        <v>2533</v>
      </c>
      <c r="IE23" s="1637">
        <v>1996</v>
      </c>
      <c r="IF23" s="1637">
        <v>1630</v>
      </c>
      <c r="IG23" s="1637">
        <v>2385</v>
      </c>
      <c r="IH23" s="1637">
        <v>2140</v>
      </c>
      <c r="II23" s="1637">
        <v>2575</v>
      </c>
      <c r="IJ23" s="1637">
        <v>2451</v>
      </c>
      <c r="IK23" s="1637">
        <v>2581</v>
      </c>
      <c r="IL23" s="1637">
        <v>2920</v>
      </c>
      <c r="IM23" s="1638">
        <v>1694</v>
      </c>
      <c r="IN23" s="1638">
        <f>SUM(IB23:IM23)</f>
        <v>27395</v>
      </c>
      <c r="IO23" s="1636">
        <v>2143</v>
      </c>
      <c r="IP23" s="1637">
        <v>2826</v>
      </c>
      <c r="IQ23" s="1637">
        <v>3295</v>
      </c>
      <c r="IR23" s="1637">
        <v>2736</v>
      </c>
      <c r="IS23" s="1637">
        <v>4232</v>
      </c>
      <c r="IT23" s="1637">
        <v>4035</v>
      </c>
      <c r="IU23" s="1637">
        <v>2874</v>
      </c>
      <c r="IV23" s="1637">
        <v>4935</v>
      </c>
      <c r="IW23" s="1637">
        <v>4076</v>
      </c>
      <c r="IX23" s="1637">
        <v>4684</v>
      </c>
      <c r="IY23" s="1637">
        <v>4307</v>
      </c>
      <c r="IZ23" s="1638">
        <v>3959</v>
      </c>
      <c r="JA23" s="1638">
        <v>44102</v>
      </c>
      <c r="JB23" s="1636">
        <v>3753</v>
      </c>
      <c r="JC23" s="1637">
        <v>2728</v>
      </c>
      <c r="JD23" s="1637">
        <v>4476</v>
      </c>
      <c r="JE23" s="1637">
        <v>3269</v>
      </c>
      <c r="JF23" s="1637">
        <v>2691</v>
      </c>
      <c r="JG23" s="1637">
        <v>2058</v>
      </c>
      <c r="JH23" s="1637">
        <v>2341</v>
      </c>
      <c r="JI23" s="1637">
        <v>1863</v>
      </c>
      <c r="JJ23" s="1637">
        <v>2639</v>
      </c>
      <c r="JK23" s="1637">
        <v>3231</v>
      </c>
      <c r="JL23" s="1637">
        <v>1430</v>
      </c>
      <c r="JM23" s="1638">
        <v>2193</v>
      </c>
      <c r="JN23" s="1638">
        <f t="shared" si="640"/>
        <v>32672</v>
      </c>
      <c r="JO23" s="1636">
        <v>1980</v>
      </c>
      <c r="JP23" s="1637">
        <v>1144</v>
      </c>
      <c r="JQ23" s="1637">
        <v>969</v>
      </c>
      <c r="JR23" s="1637">
        <v>1903</v>
      </c>
      <c r="JS23" s="1637">
        <v>1985</v>
      </c>
      <c r="JT23" s="1637">
        <v>1895</v>
      </c>
      <c r="JU23" s="1637">
        <v>2381</v>
      </c>
      <c r="JV23" s="1637">
        <v>1771</v>
      </c>
      <c r="JW23" s="1637"/>
      <c r="JX23" s="1637"/>
      <c r="JY23" s="1637"/>
      <c r="JZ23" s="1638"/>
      <c r="KA23" s="1638">
        <f t="shared" si="641"/>
        <v>14028</v>
      </c>
      <c r="KB23" s="1068"/>
      <c r="KC23" s="1645">
        <f t="shared" si="83"/>
        <v>-78.351206434316353</v>
      </c>
      <c r="KD23" s="1642">
        <f>IFERROR(((KF23/KE23)-1)*100,"")</f>
        <v>-62.644884548690328</v>
      </c>
      <c r="KE23" s="1643">
        <f t="shared" si="85"/>
        <v>10957</v>
      </c>
      <c r="KF23" s="1643">
        <f t="shared" si="86"/>
        <v>4093</v>
      </c>
      <c r="KG23" s="1068"/>
      <c r="KH23" s="1644">
        <f t="shared" si="87"/>
        <v>0.21648793565683647</v>
      </c>
      <c r="KI23" s="1068">
        <f t="shared" si="88"/>
        <v>-3507</v>
      </c>
      <c r="KJ23" s="1570">
        <f>KF23-KE23</f>
        <v>-6864</v>
      </c>
    </row>
    <row r="24" spans="1:297" ht="15" customHeight="1" x14ac:dyDescent="0.2">
      <c r="A24" s="1067" t="s">
        <v>346</v>
      </c>
      <c r="B24" s="1636"/>
      <c r="C24" s="1637"/>
      <c r="D24" s="1637"/>
      <c r="E24" s="1637"/>
      <c r="F24" s="1637"/>
      <c r="G24" s="1637"/>
      <c r="H24" s="1637"/>
      <c r="I24" s="1637"/>
      <c r="J24" s="1637"/>
      <c r="K24" s="1637"/>
      <c r="L24" s="1637"/>
      <c r="M24" s="1638"/>
      <c r="N24" s="1638"/>
      <c r="O24" s="1636"/>
      <c r="P24" s="1637"/>
      <c r="Q24" s="1637"/>
      <c r="R24" s="1637"/>
      <c r="S24" s="1637"/>
      <c r="T24" s="1637"/>
      <c r="U24" s="1637"/>
      <c r="V24" s="1637"/>
      <c r="W24" s="1637"/>
      <c r="X24" s="1637"/>
      <c r="Y24" s="1637"/>
      <c r="Z24" s="1638"/>
      <c r="AA24" s="1638"/>
      <c r="AB24" s="1636"/>
      <c r="AC24" s="1637"/>
      <c r="AD24" s="1637"/>
      <c r="AE24" s="1637"/>
      <c r="AF24" s="1637"/>
      <c r="AG24" s="1637"/>
      <c r="AH24" s="1637"/>
      <c r="AI24" s="1637"/>
      <c r="AJ24" s="1637"/>
      <c r="AK24" s="1637"/>
      <c r="AL24" s="1637"/>
      <c r="AM24" s="1638"/>
      <c r="AN24" s="1638"/>
      <c r="AO24" s="1636"/>
      <c r="AP24" s="1637"/>
      <c r="AQ24" s="1637"/>
      <c r="AR24" s="1637"/>
      <c r="AS24" s="1637"/>
      <c r="AT24" s="1637"/>
      <c r="AU24" s="1637"/>
      <c r="AV24" s="1637"/>
      <c r="AW24" s="1637"/>
      <c r="AX24" s="1637"/>
      <c r="AY24" s="1637"/>
      <c r="AZ24" s="1638"/>
      <c r="BA24" s="1638">
        <f>SUM(AO24:AZ24)</f>
        <v>0</v>
      </c>
      <c r="BB24" s="1636"/>
      <c r="BC24" s="1637"/>
      <c r="BD24" s="1637"/>
      <c r="BE24" s="1637"/>
      <c r="BF24" s="1637"/>
      <c r="BG24" s="1637"/>
      <c r="BH24" s="1637"/>
      <c r="BI24" s="1637"/>
      <c r="BJ24" s="1637"/>
      <c r="BK24" s="1637"/>
      <c r="BL24" s="1637"/>
      <c r="BM24" s="1638"/>
      <c r="BN24" s="1638">
        <f>SUM(BB24:BM24)</f>
        <v>0</v>
      </c>
      <c r="BO24" s="1636"/>
      <c r="BP24" s="1637"/>
      <c r="BQ24" s="1637"/>
      <c r="BR24" s="1637"/>
      <c r="BS24" s="1637"/>
      <c r="BT24" s="1637"/>
      <c r="BU24" s="1637"/>
      <c r="BV24" s="1637"/>
      <c r="BW24" s="1637"/>
      <c r="BX24" s="1637"/>
      <c r="BY24" s="1637"/>
      <c r="BZ24" s="1638"/>
      <c r="CA24" s="1638">
        <f>SUM(BO24:BZ24)</f>
        <v>0</v>
      </c>
      <c r="CB24" s="1636"/>
      <c r="CC24" s="1637">
        <v>50</v>
      </c>
      <c r="CD24" s="1637">
        <v>190</v>
      </c>
      <c r="CE24" s="1637"/>
      <c r="CF24" s="1637">
        <v>169</v>
      </c>
      <c r="CG24" s="1637"/>
      <c r="CH24" s="1637">
        <v>175</v>
      </c>
      <c r="CI24" s="1637">
        <v>126</v>
      </c>
      <c r="CJ24" s="1637"/>
      <c r="CK24" s="1637"/>
      <c r="CL24" s="1637"/>
      <c r="CM24" s="1638"/>
      <c r="CN24" s="1638">
        <f>SUM(CB24:CM24)</f>
        <v>710</v>
      </c>
      <c r="CO24" s="1636"/>
      <c r="CP24" s="1637">
        <v>33</v>
      </c>
      <c r="CQ24" s="1637">
        <v>129</v>
      </c>
      <c r="CR24" s="1637">
        <v>128</v>
      </c>
      <c r="CS24" s="1637">
        <v>64</v>
      </c>
      <c r="CT24" s="1637"/>
      <c r="CU24" s="1637">
        <v>60</v>
      </c>
      <c r="CV24" s="1637"/>
      <c r="CW24" s="1637"/>
      <c r="CX24" s="1637">
        <v>11</v>
      </c>
      <c r="CY24" s="1637">
        <v>142</v>
      </c>
      <c r="CZ24" s="1638">
        <v>127</v>
      </c>
      <c r="DA24" s="1638">
        <f>SUM(CO24:CZ24)</f>
        <v>694</v>
      </c>
      <c r="DB24" s="1636"/>
      <c r="DC24" s="1637"/>
      <c r="DD24" s="1637"/>
      <c r="DE24" s="1637"/>
      <c r="DF24" s="1637"/>
      <c r="DG24" s="1637"/>
      <c r="DH24" s="1637"/>
      <c r="DI24" s="1637"/>
      <c r="DJ24" s="1637"/>
      <c r="DK24" s="1637"/>
      <c r="DL24" s="1637"/>
      <c r="DM24" s="1638"/>
      <c r="DN24" s="1638">
        <f>SUM(DB24:DM24)</f>
        <v>0</v>
      </c>
      <c r="DO24" s="1636"/>
      <c r="DP24" s="1637"/>
      <c r="DQ24" s="1637"/>
      <c r="DR24" s="1637"/>
      <c r="DS24" s="1637">
        <v>189</v>
      </c>
      <c r="DT24" s="1637"/>
      <c r="DU24" s="1637">
        <v>169</v>
      </c>
      <c r="DV24" s="1637"/>
      <c r="DW24" s="1637"/>
      <c r="DX24" s="1637">
        <v>345</v>
      </c>
      <c r="DY24" s="1637">
        <v>362</v>
      </c>
      <c r="DZ24" s="1638">
        <v>196</v>
      </c>
      <c r="EA24" s="1638">
        <f>SUM(DO24:DZ24)</f>
        <v>1261</v>
      </c>
      <c r="EB24" s="1636">
        <v>447</v>
      </c>
      <c r="EC24" s="1637"/>
      <c r="ED24" s="1637"/>
      <c r="EE24" s="1637"/>
      <c r="EF24" s="1637"/>
      <c r="EG24" s="1637"/>
      <c r="EH24" s="1637"/>
      <c r="EI24" s="1637"/>
      <c r="EJ24" s="1637"/>
      <c r="EK24" s="1637"/>
      <c r="EL24" s="1637"/>
      <c r="EM24" s="1638"/>
      <c r="EN24" s="1638">
        <f>SUM(EB24:EM24)</f>
        <v>447</v>
      </c>
      <c r="EO24" s="1636"/>
      <c r="EP24" s="1637">
        <v>398</v>
      </c>
      <c r="EQ24" s="1637">
        <v>605</v>
      </c>
      <c r="ER24" s="1637">
        <v>438</v>
      </c>
      <c r="ES24" s="1637">
        <v>209</v>
      </c>
      <c r="ET24" s="1637">
        <v>157</v>
      </c>
      <c r="EU24" s="1637">
        <v>312</v>
      </c>
      <c r="EV24" s="1637"/>
      <c r="EW24" s="1637">
        <v>192</v>
      </c>
      <c r="EX24" s="1637">
        <v>187</v>
      </c>
      <c r="EY24" s="1637"/>
      <c r="EZ24" s="1638">
        <v>588</v>
      </c>
      <c r="FA24" s="1638">
        <f>SUM(EO24:EZ24)</f>
        <v>3086</v>
      </c>
      <c r="FB24" s="1636">
        <v>360</v>
      </c>
      <c r="FC24" s="1637"/>
      <c r="FD24" s="1637">
        <v>442</v>
      </c>
      <c r="FE24" s="1637"/>
      <c r="FF24" s="1637"/>
      <c r="FG24" s="1637"/>
      <c r="FH24" s="1637"/>
      <c r="FI24" s="1637"/>
      <c r="FJ24" s="1637"/>
      <c r="FK24" s="1637">
        <v>479</v>
      </c>
      <c r="FL24" s="1637"/>
      <c r="FM24" s="1638">
        <v>137</v>
      </c>
      <c r="FN24" s="1638">
        <f>SUM(FB24:FM24)</f>
        <v>1418</v>
      </c>
      <c r="FO24" s="1636">
        <v>782</v>
      </c>
      <c r="FP24" s="1637">
        <v>309</v>
      </c>
      <c r="FQ24" s="1637">
        <v>553</v>
      </c>
      <c r="FR24" s="1637">
        <v>244</v>
      </c>
      <c r="FS24" s="1637">
        <v>525</v>
      </c>
      <c r="FT24" s="1637">
        <v>145</v>
      </c>
      <c r="FU24" s="1637">
        <v>387</v>
      </c>
      <c r="FV24" s="1637">
        <v>437</v>
      </c>
      <c r="FW24" s="1637">
        <v>283</v>
      </c>
      <c r="FX24" s="1637">
        <v>190</v>
      </c>
      <c r="FY24" s="1637">
        <v>161</v>
      </c>
      <c r="FZ24" s="1638">
        <v>308</v>
      </c>
      <c r="GA24" s="1638">
        <f>SUM(FO24:FZ24)</f>
        <v>4324</v>
      </c>
      <c r="GB24" s="1636">
        <v>276</v>
      </c>
      <c r="GC24" s="1637">
        <v>335</v>
      </c>
      <c r="GD24" s="1637"/>
      <c r="GE24" s="1637">
        <v>333</v>
      </c>
      <c r="GF24" s="1637">
        <v>87</v>
      </c>
      <c r="GG24" s="1637">
        <v>209</v>
      </c>
      <c r="GH24" s="1637">
        <v>231</v>
      </c>
      <c r="GI24" s="1637"/>
      <c r="GJ24" s="1637">
        <v>385</v>
      </c>
      <c r="GK24" s="1637">
        <v>155</v>
      </c>
      <c r="GL24" s="1637">
        <v>773</v>
      </c>
      <c r="GM24" s="1638">
        <v>403</v>
      </c>
      <c r="GN24" s="1638">
        <f>SUM(GB24:GM24)</f>
        <v>3187</v>
      </c>
      <c r="GO24" s="1636">
        <v>287</v>
      </c>
      <c r="GP24" s="1637">
        <v>123</v>
      </c>
      <c r="GQ24" s="1637">
        <v>234</v>
      </c>
      <c r="GR24" s="1637">
        <v>849</v>
      </c>
      <c r="GS24" s="1637">
        <v>72</v>
      </c>
      <c r="GT24" s="1637">
        <v>368</v>
      </c>
      <c r="GU24" s="1637">
        <v>655</v>
      </c>
      <c r="GV24" s="1637">
        <v>142</v>
      </c>
      <c r="GW24" s="1637">
        <v>757</v>
      </c>
      <c r="GX24" s="1637">
        <v>310</v>
      </c>
      <c r="GY24" s="1637">
        <v>906</v>
      </c>
      <c r="GZ24" s="1638">
        <v>552</v>
      </c>
      <c r="HA24" s="1638">
        <f>SUM(GO24:GZ24)</f>
        <v>5255</v>
      </c>
      <c r="HB24" s="1636">
        <v>371</v>
      </c>
      <c r="HC24" s="1637">
        <v>190</v>
      </c>
      <c r="HD24" s="1637">
        <v>140</v>
      </c>
      <c r="HE24" s="1637">
        <v>58</v>
      </c>
      <c r="HF24" s="1637">
        <v>433</v>
      </c>
      <c r="HG24" s="1637">
        <v>291</v>
      </c>
      <c r="HH24" s="1637">
        <v>241</v>
      </c>
      <c r="HI24" s="1637">
        <v>276</v>
      </c>
      <c r="HJ24" s="1637">
        <v>250</v>
      </c>
      <c r="HK24" s="1637">
        <v>599</v>
      </c>
      <c r="HL24" s="1637"/>
      <c r="HM24" s="1638">
        <v>1103</v>
      </c>
      <c r="HN24" s="1638">
        <f>SUM(HB24:HM24)</f>
        <v>3952</v>
      </c>
      <c r="HO24" s="1636">
        <v>1345</v>
      </c>
      <c r="HP24" s="1637">
        <v>66</v>
      </c>
      <c r="HQ24" s="1637">
        <v>579</v>
      </c>
      <c r="HR24" s="1637">
        <v>818</v>
      </c>
      <c r="HS24" s="1637">
        <v>1037</v>
      </c>
      <c r="HT24" s="1637">
        <v>372</v>
      </c>
      <c r="HU24" s="1637">
        <v>473</v>
      </c>
      <c r="HV24" s="1637">
        <v>1896</v>
      </c>
      <c r="HW24" s="1637">
        <v>563</v>
      </c>
      <c r="HX24" s="1637">
        <v>929</v>
      </c>
      <c r="HY24" s="1637">
        <v>742</v>
      </c>
      <c r="HZ24" s="1638">
        <v>634</v>
      </c>
      <c r="IA24" s="1638">
        <f>SUM(HO24:HZ24)</f>
        <v>9454</v>
      </c>
      <c r="IB24" s="1636">
        <v>428</v>
      </c>
      <c r="IC24" s="1637">
        <v>356</v>
      </c>
      <c r="ID24" s="1637">
        <v>466</v>
      </c>
      <c r="IE24" s="1637">
        <v>989</v>
      </c>
      <c r="IF24" s="1637">
        <v>1026</v>
      </c>
      <c r="IG24" s="1637">
        <v>608</v>
      </c>
      <c r="IH24" s="1637">
        <v>712</v>
      </c>
      <c r="II24" s="1637">
        <v>667</v>
      </c>
      <c r="IJ24" s="1637">
        <v>811</v>
      </c>
      <c r="IK24" s="1637">
        <v>917</v>
      </c>
      <c r="IL24" s="1637">
        <v>422</v>
      </c>
      <c r="IM24" s="1638">
        <v>783</v>
      </c>
      <c r="IN24" s="1638">
        <f>SUM(IB24:IM24)</f>
        <v>8185</v>
      </c>
      <c r="IO24" s="1636">
        <v>463</v>
      </c>
      <c r="IP24" s="1637">
        <v>438</v>
      </c>
      <c r="IQ24" s="1637">
        <v>921</v>
      </c>
      <c r="IR24" s="1637">
        <v>257</v>
      </c>
      <c r="IS24" s="1637">
        <v>1077</v>
      </c>
      <c r="IT24" s="1637">
        <v>444</v>
      </c>
      <c r="IU24" s="1637">
        <v>435</v>
      </c>
      <c r="IV24" s="1637">
        <v>539</v>
      </c>
      <c r="IW24" s="1637">
        <v>626</v>
      </c>
      <c r="IX24" s="1637">
        <v>1083</v>
      </c>
      <c r="IY24" s="1637">
        <v>340</v>
      </c>
      <c r="IZ24" s="1638">
        <v>682</v>
      </c>
      <c r="JA24" s="1638">
        <v>7305</v>
      </c>
      <c r="JB24" s="1636">
        <v>1471</v>
      </c>
      <c r="JC24" s="1637">
        <v>995</v>
      </c>
      <c r="JD24" s="1637">
        <v>1258</v>
      </c>
      <c r="JE24" s="1637">
        <v>927</v>
      </c>
      <c r="JF24" s="1637">
        <v>716</v>
      </c>
      <c r="JG24" s="1637">
        <v>363</v>
      </c>
      <c r="JH24" s="1637">
        <v>888</v>
      </c>
      <c r="JI24" s="1637">
        <v>1947</v>
      </c>
      <c r="JJ24" s="1637">
        <v>668</v>
      </c>
      <c r="JK24" s="1637">
        <v>1720</v>
      </c>
      <c r="JL24" s="1637">
        <v>847</v>
      </c>
      <c r="JM24" s="1638">
        <v>1603</v>
      </c>
      <c r="JN24" s="1638">
        <f t="shared" si="640"/>
        <v>13403</v>
      </c>
      <c r="JO24" s="1636">
        <v>541</v>
      </c>
      <c r="JP24" s="1637">
        <v>886</v>
      </c>
      <c r="JQ24" s="1637">
        <v>1547</v>
      </c>
      <c r="JR24" s="1637">
        <v>1002</v>
      </c>
      <c r="JS24" s="1637">
        <v>960</v>
      </c>
      <c r="JT24" s="1637">
        <v>1432</v>
      </c>
      <c r="JU24" s="1637">
        <v>1226</v>
      </c>
      <c r="JV24" s="1637">
        <v>249</v>
      </c>
      <c r="JW24" s="1637"/>
      <c r="JX24" s="1637"/>
      <c r="JY24" s="1637"/>
      <c r="JZ24" s="1638"/>
      <c r="KA24" s="1638">
        <f t="shared" si="641"/>
        <v>7843</v>
      </c>
      <c r="KB24" s="1068"/>
      <c r="KC24" s="1645">
        <f t="shared" si="83"/>
        <v>22.972972972972983</v>
      </c>
      <c r="KD24" s="1642">
        <f>IFERROR(((KF24/KE24)-1)*100,"")</f>
        <v>-20.139634801288942</v>
      </c>
      <c r="KE24" s="1643">
        <f t="shared" si="85"/>
        <v>3724</v>
      </c>
      <c r="KF24" s="1643">
        <f t="shared" si="86"/>
        <v>2974</v>
      </c>
      <c r="KG24" s="1068"/>
      <c r="KH24" s="1644">
        <f t="shared" si="87"/>
        <v>1.2297297297297298</v>
      </c>
      <c r="KI24" s="1068">
        <f t="shared" si="88"/>
        <v>289</v>
      </c>
      <c r="KJ24" s="1570">
        <f>KF24-KE24</f>
        <v>-750</v>
      </c>
    </row>
    <row r="25" spans="1:297" ht="15" customHeight="1" x14ac:dyDescent="0.2">
      <c r="A25" s="1067" t="s">
        <v>195</v>
      </c>
      <c r="B25" s="1636"/>
      <c r="C25" s="1637"/>
      <c r="D25" s="1637">
        <v>3</v>
      </c>
      <c r="E25" s="1637"/>
      <c r="F25" s="1637">
        <v>5</v>
      </c>
      <c r="G25" s="1637">
        <v>3</v>
      </c>
      <c r="H25" s="1637"/>
      <c r="I25" s="1637"/>
      <c r="J25" s="1637"/>
      <c r="K25" s="1637">
        <v>9</v>
      </c>
      <c r="L25" s="1637"/>
      <c r="M25" s="1638">
        <v>3</v>
      </c>
      <c r="N25" s="1638">
        <f>SUM(B25:M25)</f>
        <v>23</v>
      </c>
      <c r="O25" s="1636"/>
      <c r="P25" s="1637"/>
      <c r="Q25" s="1637">
        <v>11</v>
      </c>
      <c r="R25" s="1637">
        <v>3</v>
      </c>
      <c r="S25" s="1637"/>
      <c r="T25" s="1637">
        <v>11</v>
      </c>
      <c r="U25" s="1637">
        <v>8</v>
      </c>
      <c r="V25" s="1637"/>
      <c r="W25" s="1637"/>
      <c r="X25" s="1637">
        <v>5</v>
      </c>
      <c r="Y25" s="1637">
        <v>8</v>
      </c>
      <c r="Z25" s="1638">
        <v>3</v>
      </c>
      <c r="AA25" s="1638">
        <f>+SUM(O25:Z25)</f>
        <v>49</v>
      </c>
      <c r="AB25" s="1636"/>
      <c r="AC25" s="1637"/>
      <c r="AD25" s="1637">
        <v>6</v>
      </c>
      <c r="AE25" s="1637">
        <v>23</v>
      </c>
      <c r="AF25" s="1637">
        <v>7</v>
      </c>
      <c r="AG25" s="1637">
        <v>2</v>
      </c>
      <c r="AH25" s="1637">
        <v>10</v>
      </c>
      <c r="AI25" s="1637">
        <v>3</v>
      </c>
      <c r="AJ25" s="1637">
        <v>2</v>
      </c>
      <c r="AK25" s="1637">
        <v>22</v>
      </c>
      <c r="AL25" s="1637">
        <v>5</v>
      </c>
      <c r="AM25" s="1638">
        <v>10</v>
      </c>
      <c r="AN25" s="1638">
        <f>+SUM(AB25:AM25)</f>
        <v>90</v>
      </c>
      <c r="AO25" s="1636">
        <v>68</v>
      </c>
      <c r="AP25" s="1637"/>
      <c r="AQ25" s="1637"/>
      <c r="AR25" s="1637">
        <v>1</v>
      </c>
      <c r="AS25" s="1637">
        <v>57</v>
      </c>
      <c r="AT25" s="1637">
        <v>13</v>
      </c>
      <c r="AU25" s="1637">
        <v>11</v>
      </c>
      <c r="AV25" s="1637">
        <v>28</v>
      </c>
      <c r="AW25" s="1637">
        <v>57</v>
      </c>
      <c r="AX25" s="1637">
        <v>35</v>
      </c>
      <c r="AY25" s="1637"/>
      <c r="AZ25" s="1638"/>
      <c r="BA25" s="1638">
        <f>SUM(AO25:AZ25)</f>
        <v>270</v>
      </c>
      <c r="BB25" s="1636">
        <v>33</v>
      </c>
      <c r="BC25" s="1637"/>
      <c r="BD25" s="1637">
        <v>6</v>
      </c>
      <c r="BE25" s="1637">
        <v>36</v>
      </c>
      <c r="BF25" s="1637"/>
      <c r="BG25" s="1637"/>
      <c r="BH25" s="1637">
        <v>32</v>
      </c>
      <c r="BI25" s="1637">
        <v>69</v>
      </c>
      <c r="BJ25" s="1637">
        <v>75</v>
      </c>
      <c r="BK25" s="1637">
        <v>26</v>
      </c>
      <c r="BL25" s="1637">
        <v>16</v>
      </c>
      <c r="BM25" s="1638">
        <v>32</v>
      </c>
      <c r="BN25" s="1638">
        <f>SUM(BB25:BM25)</f>
        <v>325</v>
      </c>
      <c r="BO25" s="1636">
        <v>43</v>
      </c>
      <c r="BP25" s="1637">
        <v>20</v>
      </c>
      <c r="BQ25" s="1637">
        <v>39</v>
      </c>
      <c r="BR25" s="1637">
        <v>33</v>
      </c>
      <c r="BS25" s="1637">
        <v>13</v>
      </c>
      <c r="BT25" s="1637">
        <v>42</v>
      </c>
      <c r="BU25" s="1637">
        <v>9</v>
      </c>
      <c r="BV25" s="1637">
        <v>73</v>
      </c>
      <c r="BW25" s="1637">
        <v>83</v>
      </c>
      <c r="BX25" s="1637">
        <v>2</v>
      </c>
      <c r="BY25" s="1637">
        <v>13</v>
      </c>
      <c r="BZ25" s="1638">
        <v>3</v>
      </c>
      <c r="CA25" s="1638">
        <f>SUM(BO25:BZ25)</f>
        <v>373</v>
      </c>
      <c r="CB25" s="1636">
        <v>82</v>
      </c>
      <c r="CC25" s="1637">
        <v>475</v>
      </c>
      <c r="CD25" s="1637">
        <v>712</v>
      </c>
      <c r="CE25" s="1637">
        <v>10</v>
      </c>
      <c r="CF25" s="1637">
        <v>503</v>
      </c>
      <c r="CG25" s="1637">
        <v>45</v>
      </c>
      <c r="CH25" s="1637">
        <v>229</v>
      </c>
      <c r="CI25" s="1637">
        <v>126</v>
      </c>
      <c r="CJ25" s="1637">
        <v>39</v>
      </c>
      <c r="CK25" s="1637">
        <v>15</v>
      </c>
      <c r="CL25" s="1637">
        <v>57</v>
      </c>
      <c r="CM25" s="1638">
        <v>5</v>
      </c>
      <c r="CN25" s="1638">
        <f>SUM(CB25:CM25)</f>
        <v>2298</v>
      </c>
      <c r="CO25" s="1636">
        <v>4</v>
      </c>
      <c r="CP25" s="1637">
        <v>42</v>
      </c>
      <c r="CQ25" s="1637">
        <v>164</v>
      </c>
      <c r="CR25" s="1637">
        <v>165</v>
      </c>
      <c r="CS25" s="1637">
        <v>109</v>
      </c>
      <c r="CT25" s="1637">
        <v>16</v>
      </c>
      <c r="CU25" s="1637">
        <v>145</v>
      </c>
      <c r="CV25" s="1637"/>
      <c r="CW25" s="1637">
        <v>95</v>
      </c>
      <c r="CX25" s="1637">
        <v>134</v>
      </c>
      <c r="CY25" s="1637">
        <v>372</v>
      </c>
      <c r="CZ25" s="1638">
        <v>291</v>
      </c>
      <c r="DA25" s="1638">
        <f>SUM(CO25:CZ25)</f>
        <v>1537</v>
      </c>
      <c r="DB25" s="1636">
        <v>17</v>
      </c>
      <c r="DC25" s="1637">
        <v>2</v>
      </c>
      <c r="DD25" s="1637">
        <v>6</v>
      </c>
      <c r="DE25" s="1637">
        <v>90</v>
      </c>
      <c r="DF25" s="1637">
        <v>86</v>
      </c>
      <c r="DG25" s="1637">
        <v>113</v>
      </c>
      <c r="DH25" s="1637">
        <v>141</v>
      </c>
      <c r="DI25" s="1637">
        <v>132</v>
      </c>
      <c r="DJ25" s="1637">
        <v>103</v>
      </c>
      <c r="DK25" s="1637">
        <v>122</v>
      </c>
      <c r="DL25" s="1637">
        <v>691</v>
      </c>
      <c r="DM25" s="1638">
        <v>285</v>
      </c>
      <c r="DN25" s="1638">
        <f>SUM(DB25:DM25)</f>
        <v>1788</v>
      </c>
      <c r="DO25" s="1636">
        <v>176</v>
      </c>
      <c r="DP25" s="1637">
        <v>121</v>
      </c>
      <c r="DQ25" s="1637">
        <v>475</v>
      </c>
      <c r="DR25" s="1637">
        <v>325</v>
      </c>
      <c r="DS25" s="1637">
        <v>634</v>
      </c>
      <c r="DT25" s="1637">
        <v>274</v>
      </c>
      <c r="DU25" s="1637">
        <v>498</v>
      </c>
      <c r="DV25" s="1637">
        <v>638</v>
      </c>
      <c r="DW25" s="1637">
        <v>831</v>
      </c>
      <c r="DX25" s="1637">
        <v>1096</v>
      </c>
      <c r="DY25" s="1637">
        <v>1376</v>
      </c>
      <c r="DZ25" s="1638">
        <v>1017</v>
      </c>
      <c r="EA25" s="1638">
        <f>SUM(DO25:DZ25)</f>
        <v>7461</v>
      </c>
      <c r="EB25" s="1636">
        <v>1265</v>
      </c>
      <c r="EC25" s="1637">
        <v>380</v>
      </c>
      <c r="ED25" s="1637">
        <v>328</v>
      </c>
      <c r="EE25" s="1637">
        <v>561</v>
      </c>
      <c r="EF25" s="1637">
        <v>854</v>
      </c>
      <c r="EG25" s="1637">
        <v>879</v>
      </c>
      <c r="EH25" s="1637">
        <v>926</v>
      </c>
      <c r="EI25" s="1637">
        <v>1334</v>
      </c>
      <c r="EJ25" s="1637">
        <v>925</v>
      </c>
      <c r="EK25" s="1637">
        <v>1153</v>
      </c>
      <c r="EL25" s="1637">
        <v>664</v>
      </c>
      <c r="EM25" s="1638">
        <v>388</v>
      </c>
      <c r="EN25" s="1638">
        <f>SUM(EB25:EM25)</f>
        <v>9657</v>
      </c>
      <c r="EO25" s="1636">
        <v>293</v>
      </c>
      <c r="EP25" s="1637">
        <v>735</v>
      </c>
      <c r="EQ25" s="1637">
        <v>679</v>
      </c>
      <c r="ER25" s="1637">
        <v>817</v>
      </c>
      <c r="ES25" s="1637">
        <v>445</v>
      </c>
      <c r="ET25" s="1637">
        <f>502+10</f>
        <v>512</v>
      </c>
      <c r="EU25" s="1637">
        <f>551+40</f>
        <v>591</v>
      </c>
      <c r="EV25" s="1637">
        <f>609+106+2</f>
        <v>717</v>
      </c>
      <c r="EW25" s="1637">
        <v>760</v>
      </c>
      <c r="EX25" s="1637">
        <v>690</v>
      </c>
      <c r="EY25" s="1637">
        <v>483</v>
      </c>
      <c r="EZ25" s="1638">
        <v>628</v>
      </c>
      <c r="FA25" s="1638">
        <f>SUM(EO25:EZ25)</f>
        <v>7350</v>
      </c>
      <c r="FB25" s="1636">
        <v>1457</v>
      </c>
      <c r="FC25" s="1637">
        <v>228</v>
      </c>
      <c r="FD25" s="1637">
        <v>1665</v>
      </c>
      <c r="FE25" s="1637">
        <v>766</v>
      </c>
      <c r="FF25" s="1637">
        <f>943+224</f>
        <v>1167</v>
      </c>
      <c r="FG25" s="1637">
        <f>890+103</f>
        <v>993</v>
      </c>
      <c r="FH25" s="1637">
        <f>175+36</f>
        <v>211</v>
      </c>
      <c r="FI25" s="1637">
        <f>1209+112</f>
        <v>1321</v>
      </c>
      <c r="FJ25" s="1637">
        <f>1314+115</f>
        <v>1429</v>
      </c>
      <c r="FK25" s="1637">
        <f>1298+19</f>
        <v>1317</v>
      </c>
      <c r="FL25" s="1637">
        <f>1129+57</f>
        <v>1186</v>
      </c>
      <c r="FM25" s="1638">
        <v>1154</v>
      </c>
      <c r="FN25" s="1638">
        <f>SUM(FB25:FM25)</f>
        <v>12894</v>
      </c>
      <c r="FO25" s="1636">
        <f>1532+4</f>
        <v>1536</v>
      </c>
      <c r="FP25" s="1637">
        <f>43+760</f>
        <v>803</v>
      </c>
      <c r="FQ25" s="1637">
        <f>28+1097</f>
        <v>1125</v>
      </c>
      <c r="FR25" s="1637">
        <f>16+1621</f>
        <v>1637</v>
      </c>
      <c r="FS25" s="1637">
        <v>1399</v>
      </c>
      <c r="FT25" s="1637">
        <v>2105</v>
      </c>
      <c r="FU25" s="1637">
        <f>25+1347</f>
        <v>1372</v>
      </c>
      <c r="FV25" s="1637">
        <f>59+2343</f>
        <v>2402</v>
      </c>
      <c r="FW25" s="1637">
        <f>28+1153</f>
        <v>1181</v>
      </c>
      <c r="FX25" s="1637">
        <f>55+1555</f>
        <v>1610</v>
      </c>
      <c r="FY25" s="1637">
        <f>14+1445</f>
        <v>1459</v>
      </c>
      <c r="FZ25" s="1638">
        <v>1531</v>
      </c>
      <c r="GA25" s="1638">
        <f>SUM(FO25:FZ25)</f>
        <v>18160</v>
      </c>
      <c r="GB25" s="1636">
        <v>898</v>
      </c>
      <c r="GC25" s="1637">
        <f>641+14</f>
        <v>655</v>
      </c>
      <c r="GD25" s="1637">
        <f>1149+116</f>
        <v>1265</v>
      </c>
      <c r="GE25" s="1637">
        <f>149+730</f>
        <v>879</v>
      </c>
      <c r="GF25" s="1637">
        <f>1434+15</f>
        <v>1449</v>
      </c>
      <c r="GG25" s="1637">
        <f>1365+9</f>
        <v>1374</v>
      </c>
      <c r="GH25" s="1637">
        <v>443</v>
      </c>
      <c r="GI25" s="1637">
        <v>333</v>
      </c>
      <c r="GJ25" s="1637">
        <v>1238</v>
      </c>
      <c r="GK25" s="1637">
        <v>1190</v>
      </c>
      <c r="GL25" s="1637">
        <v>2006</v>
      </c>
      <c r="GM25" s="1638">
        <f>1654+44</f>
        <v>1698</v>
      </c>
      <c r="GN25" s="1638">
        <f>SUM(GB25:GM25)</f>
        <v>13428</v>
      </c>
      <c r="GO25" s="1636">
        <f>1569+83</f>
        <v>1652</v>
      </c>
      <c r="GP25" s="1637">
        <f>1312+167</f>
        <v>1479</v>
      </c>
      <c r="GQ25" s="1637">
        <f>1699+46</f>
        <v>1745</v>
      </c>
      <c r="GR25" s="1637">
        <v>2711</v>
      </c>
      <c r="GS25" s="1637">
        <v>1310</v>
      </c>
      <c r="GT25" s="1637">
        <f>490+421</f>
        <v>911</v>
      </c>
      <c r="GU25" s="1637">
        <v>1406</v>
      </c>
      <c r="GV25" s="1637">
        <v>1242</v>
      </c>
      <c r="GW25" s="1637">
        <v>1900</v>
      </c>
      <c r="GX25" s="1637">
        <v>2248</v>
      </c>
      <c r="GY25" s="1637">
        <v>3505</v>
      </c>
      <c r="GZ25" s="1638">
        <v>2123</v>
      </c>
      <c r="HA25" s="1638">
        <f>SUM(GO25:GZ25)</f>
        <v>22232</v>
      </c>
      <c r="HB25" s="1636">
        <v>2603</v>
      </c>
      <c r="HC25" s="1637">
        <f>2021+18+2</f>
        <v>2041</v>
      </c>
      <c r="HD25" s="1637">
        <v>1669</v>
      </c>
      <c r="HE25" s="1637">
        <v>1160</v>
      </c>
      <c r="HF25" s="1637">
        <v>2411</v>
      </c>
      <c r="HG25" s="1637">
        <v>2555</v>
      </c>
      <c r="HH25" s="1637">
        <v>2258</v>
      </c>
      <c r="HI25" s="1637">
        <v>1338</v>
      </c>
      <c r="HJ25" s="1637">
        <v>1400</v>
      </c>
      <c r="HK25" s="1637">
        <v>1940</v>
      </c>
      <c r="HL25" s="1637">
        <v>2021</v>
      </c>
      <c r="HM25" s="1638">
        <v>4754</v>
      </c>
      <c r="HN25" s="1638">
        <f>SUM(HB25:HM25)</f>
        <v>26150</v>
      </c>
      <c r="HO25" s="1636">
        <v>84</v>
      </c>
      <c r="HP25" s="1637">
        <v>108</v>
      </c>
      <c r="HQ25" s="1637"/>
      <c r="HR25" s="1637">
        <v>146</v>
      </c>
      <c r="HS25" s="1637">
        <v>7</v>
      </c>
      <c r="HT25" s="1637">
        <v>88</v>
      </c>
      <c r="HU25" s="1637">
        <v>106</v>
      </c>
      <c r="HV25" s="1637">
        <v>50</v>
      </c>
      <c r="HW25" s="1637">
        <v>110</v>
      </c>
      <c r="HX25" s="1637">
        <v>94</v>
      </c>
      <c r="HY25" s="1637">
        <v>137</v>
      </c>
      <c r="HZ25" s="1638">
        <v>26</v>
      </c>
      <c r="IA25" s="1638">
        <f>SUM(HO25:HZ25)</f>
        <v>956</v>
      </c>
      <c r="IB25" s="1636">
        <v>59</v>
      </c>
      <c r="IC25" s="1637">
        <v>90</v>
      </c>
      <c r="ID25" s="1637">
        <v>56</v>
      </c>
      <c r="IE25" s="1637">
        <v>40</v>
      </c>
      <c r="IF25" s="1637"/>
      <c r="IG25" s="1637">
        <v>88</v>
      </c>
      <c r="IH25" s="1637">
        <v>162</v>
      </c>
      <c r="II25" s="1637">
        <v>55</v>
      </c>
      <c r="IJ25" s="1637">
        <v>13</v>
      </c>
      <c r="IK25" s="1637">
        <v>124</v>
      </c>
      <c r="IL25" s="1637"/>
      <c r="IM25" s="1638">
        <v>45</v>
      </c>
      <c r="IN25" s="1638">
        <f>SUM(IB25:IM25)</f>
        <v>732</v>
      </c>
      <c r="IO25" s="1636">
        <v>12</v>
      </c>
      <c r="IP25" s="1637">
        <v>5</v>
      </c>
      <c r="IQ25" s="1637">
        <v>40</v>
      </c>
      <c r="IR25" s="1637">
        <v>18</v>
      </c>
      <c r="IS25" s="1637">
        <v>37</v>
      </c>
      <c r="IT25" s="1637">
        <v>0</v>
      </c>
      <c r="IU25" s="1637">
        <v>46</v>
      </c>
      <c r="IV25" s="1637">
        <v>0</v>
      </c>
      <c r="IW25" s="1637">
        <v>16</v>
      </c>
      <c r="IX25" s="1637">
        <v>53</v>
      </c>
      <c r="IY25" s="1637">
        <v>51</v>
      </c>
      <c r="IZ25" s="1638">
        <v>53</v>
      </c>
      <c r="JA25" s="1638">
        <v>331</v>
      </c>
      <c r="JB25" s="1636">
        <v>0</v>
      </c>
      <c r="JC25" s="1637">
        <v>0</v>
      </c>
      <c r="JD25" s="1637">
        <v>0</v>
      </c>
      <c r="JE25" s="1637">
        <v>13</v>
      </c>
      <c r="JF25" s="1637">
        <v>0</v>
      </c>
      <c r="JG25" s="1637">
        <v>112</v>
      </c>
      <c r="JH25" s="1637">
        <v>26</v>
      </c>
      <c r="JI25" s="1637">
        <v>23</v>
      </c>
      <c r="JJ25" s="1637">
        <v>48</v>
      </c>
      <c r="JK25" s="1637">
        <v>13</v>
      </c>
      <c r="JL25" s="1637">
        <v>27</v>
      </c>
      <c r="JM25" s="1638">
        <v>76</v>
      </c>
      <c r="JN25" s="1638">
        <f t="shared" si="640"/>
        <v>338</v>
      </c>
      <c r="JO25" s="1636"/>
      <c r="JP25" s="1637"/>
      <c r="JQ25" s="1637">
        <v>41</v>
      </c>
      <c r="JR25" s="1637">
        <v>17</v>
      </c>
      <c r="JS25" s="1637">
        <v>226</v>
      </c>
      <c r="JT25" s="1637">
        <v>149</v>
      </c>
      <c r="JU25" s="1637">
        <v>371</v>
      </c>
      <c r="JV25" s="1637">
        <v>540</v>
      </c>
      <c r="JW25" s="1637"/>
      <c r="JX25" s="1637"/>
      <c r="JY25" s="1637"/>
      <c r="JZ25" s="1638"/>
      <c r="KA25" s="1638">
        <f t="shared" si="641"/>
        <v>1344</v>
      </c>
      <c r="KB25" s="1068"/>
      <c r="KC25" s="1645" t="str">
        <f t="shared" si="83"/>
        <v/>
      </c>
      <c r="KD25" s="1642" t="str">
        <f>IFERROR(((KF25/KE25)-1)*100,"")</f>
        <v/>
      </c>
      <c r="KE25" s="1643">
        <f t="shared" si="85"/>
        <v>0</v>
      </c>
      <c r="KF25" s="1643">
        <f t="shared" si="86"/>
        <v>41</v>
      </c>
      <c r="KG25" s="1068"/>
      <c r="KH25" s="1644" t="str">
        <f t="shared" si="87"/>
        <v/>
      </c>
      <c r="KI25" s="1068">
        <f t="shared" si="88"/>
        <v>41</v>
      </c>
      <c r="KJ25" s="1570">
        <f>KF25-KE25</f>
        <v>41</v>
      </c>
    </row>
    <row r="26" spans="1:297" ht="15" customHeight="1" x14ac:dyDescent="0.2">
      <c r="A26" s="1067" t="s">
        <v>597</v>
      </c>
      <c r="B26" s="1636"/>
      <c r="C26" s="1637"/>
      <c r="D26" s="1637"/>
      <c r="E26" s="1637"/>
      <c r="F26" s="1637"/>
      <c r="G26" s="1637"/>
      <c r="H26" s="1637"/>
      <c r="I26" s="1637"/>
      <c r="J26" s="1637"/>
      <c r="K26" s="1637"/>
      <c r="L26" s="1637"/>
      <c r="M26" s="1638"/>
      <c r="N26" s="1638"/>
      <c r="O26" s="1636"/>
      <c r="P26" s="1637"/>
      <c r="Q26" s="1637"/>
      <c r="R26" s="1637"/>
      <c r="S26" s="1637"/>
      <c r="T26" s="1637"/>
      <c r="U26" s="1637"/>
      <c r="V26" s="1637"/>
      <c r="W26" s="1637"/>
      <c r="X26" s="1637"/>
      <c r="Y26" s="1637"/>
      <c r="Z26" s="1638"/>
      <c r="AA26" s="1638"/>
      <c r="AB26" s="1636"/>
      <c r="AC26" s="1637"/>
      <c r="AD26" s="1637"/>
      <c r="AE26" s="1637"/>
      <c r="AF26" s="1637"/>
      <c r="AG26" s="1637"/>
      <c r="AH26" s="1637"/>
      <c r="AI26" s="1637"/>
      <c r="AJ26" s="1637"/>
      <c r="AK26" s="1637"/>
      <c r="AL26" s="1637"/>
      <c r="AM26" s="1638"/>
      <c r="AN26" s="1638"/>
      <c r="AO26" s="1636"/>
      <c r="AP26" s="1637"/>
      <c r="AQ26" s="1637"/>
      <c r="AR26" s="1637"/>
      <c r="AS26" s="1637"/>
      <c r="AT26" s="1637"/>
      <c r="AU26" s="1637"/>
      <c r="AV26" s="1637"/>
      <c r="AW26" s="1637"/>
      <c r="AX26" s="1637"/>
      <c r="AY26" s="1637"/>
      <c r="AZ26" s="1638"/>
      <c r="BA26" s="1638"/>
      <c r="BB26" s="1636"/>
      <c r="BC26" s="1637"/>
      <c r="BD26" s="1637"/>
      <c r="BE26" s="1637"/>
      <c r="BF26" s="1637"/>
      <c r="BG26" s="1637"/>
      <c r="BH26" s="1637"/>
      <c r="BI26" s="1637"/>
      <c r="BJ26" s="1637"/>
      <c r="BK26" s="1637"/>
      <c r="BL26" s="1637"/>
      <c r="BM26" s="1638"/>
      <c r="BN26" s="1638"/>
      <c r="BO26" s="1636"/>
      <c r="BP26" s="1637"/>
      <c r="BQ26" s="1637"/>
      <c r="BR26" s="1637"/>
      <c r="BS26" s="1637"/>
      <c r="BT26" s="1637"/>
      <c r="BU26" s="1637"/>
      <c r="BV26" s="1637"/>
      <c r="BW26" s="1637"/>
      <c r="BX26" s="1637"/>
      <c r="BY26" s="1637"/>
      <c r="BZ26" s="1638"/>
      <c r="CA26" s="1638"/>
      <c r="CB26" s="1636"/>
      <c r="CC26" s="1637"/>
      <c r="CD26" s="1637"/>
      <c r="CE26" s="1637"/>
      <c r="CF26" s="1637"/>
      <c r="CG26" s="1637"/>
      <c r="CH26" s="1637"/>
      <c r="CI26" s="1637"/>
      <c r="CJ26" s="1637"/>
      <c r="CK26" s="1637"/>
      <c r="CL26" s="1637"/>
      <c r="CM26" s="1638"/>
      <c r="CN26" s="1638"/>
      <c r="CO26" s="1636"/>
      <c r="CP26" s="1637"/>
      <c r="CQ26" s="1637"/>
      <c r="CR26" s="1637"/>
      <c r="CS26" s="1637"/>
      <c r="CT26" s="1637"/>
      <c r="CU26" s="1637"/>
      <c r="CV26" s="1637"/>
      <c r="CW26" s="1637"/>
      <c r="CX26" s="1637"/>
      <c r="CY26" s="1637"/>
      <c r="CZ26" s="1638"/>
      <c r="DA26" s="1638"/>
      <c r="DB26" s="1636"/>
      <c r="DC26" s="1637"/>
      <c r="DD26" s="1637"/>
      <c r="DE26" s="1637"/>
      <c r="DF26" s="1637"/>
      <c r="DG26" s="1637"/>
      <c r="DH26" s="1637"/>
      <c r="DI26" s="1637"/>
      <c r="DJ26" s="1637"/>
      <c r="DK26" s="1637"/>
      <c r="DL26" s="1637"/>
      <c r="DM26" s="1638"/>
      <c r="DN26" s="1638"/>
      <c r="DO26" s="1636"/>
      <c r="DP26" s="1637"/>
      <c r="DQ26" s="1637"/>
      <c r="DR26" s="1637"/>
      <c r="DS26" s="1637"/>
      <c r="DT26" s="1637"/>
      <c r="DU26" s="1637"/>
      <c r="DV26" s="1637"/>
      <c r="DW26" s="1637"/>
      <c r="DX26" s="1637"/>
      <c r="DY26" s="1637"/>
      <c r="DZ26" s="1638"/>
      <c r="EA26" s="1638"/>
      <c r="EB26" s="1636"/>
      <c r="EC26" s="1637"/>
      <c r="ED26" s="1637"/>
      <c r="EE26" s="1637"/>
      <c r="EF26" s="1637"/>
      <c r="EG26" s="1637"/>
      <c r="EH26" s="1637"/>
      <c r="EI26" s="1637"/>
      <c r="EJ26" s="1637"/>
      <c r="EK26" s="1637"/>
      <c r="EL26" s="1637"/>
      <c r="EM26" s="1638"/>
      <c r="EN26" s="1638"/>
      <c r="EO26" s="1636"/>
      <c r="EP26" s="1637"/>
      <c r="EQ26" s="1637"/>
      <c r="ER26" s="1637"/>
      <c r="ES26" s="1637"/>
      <c r="ET26" s="1637"/>
      <c r="EU26" s="1637"/>
      <c r="EV26" s="1637"/>
      <c r="EW26" s="1637"/>
      <c r="EX26" s="1637"/>
      <c r="EY26" s="1637"/>
      <c r="EZ26" s="1638"/>
      <c r="FA26" s="1638"/>
      <c r="FB26" s="1636"/>
      <c r="FC26" s="1637"/>
      <c r="FD26" s="1637"/>
      <c r="FE26" s="1637"/>
      <c r="FF26" s="1637"/>
      <c r="FG26" s="1637"/>
      <c r="FH26" s="1637"/>
      <c r="FI26" s="1637"/>
      <c r="FJ26" s="1637"/>
      <c r="FK26" s="1637"/>
      <c r="FL26" s="1637"/>
      <c r="FM26" s="1638"/>
      <c r="FN26" s="1638"/>
      <c r="FO26" s="1636"/>
      <c r="FP26" s="1637"/>
      <c r="FQ26" s="1637"/>
      <c r="FR26" s="1637"/>
      <c r="FS26" s="1637"/>
      <c r="FT26" s="1637"/>
      <c r="FU26" s="1637"/>
      <c r="FV26" s="1637"/>
      <c r="FW26" s="1637"/>
      <c r="FX26" s="1637"/>
      <c r="FY26" s="1637"/>
      <c r="FZ26" s="1638"/>
      <c r="GA26" s="1638"/>
      <c r="GB26" s="1636"/>
      <c r="GC26" s="1637"/>
      <c r="GD26" s="1637"/>
      <c r="GE26" s="1637"/>
      <c r="GF26" s="1637"/>
      <c r="GG26" s="1637"/>
      <c r="GH26" s="1637"/>
      <c r="GI26" s="1637"/>
      <c r="GJ26" s="1637"/>
      <c r="GK26" s="1637"/>
      <c r="GL26" s="1637"/>
      <c r="GM26" s="1638"/>
      <c r="GN26" s="1638"/>
      <c r="GO26" s="1636"/>
      <c r="GP26" s="1637"/>
      <c r="GQ26" s="1637"/>
      <c r="GR26" s="1637"/>
      <c r="GS26" s="1637"/>
      <c r="GT26" s="1637"/>
      <c r="GU26" s="1637"/>
      <c r="GV26" s="1637"/>
      <c r="GW26" s="1637"/>
      <c r="GX26" s="1637"/>
      <c r="GY26" s="1637"/>
      <c r="GZ26" s="1638"/>
      <c r="HA26" s="1638"/>
      <c r="HB26" s="1636"/>
      <c r="HC26" s="1637"/>
      <c r="HD26" s="1637"/>
      <c r="HE26" s="1637"/>
      <c r="HF26" s="1637"/>
      <c r="HG26" s="1637"/>
      <c r="HH26" s="1637"/>
      <c r="HI26" s="1637"/>
      <c r="HJ26" s="1637"/>
      <c r="HK26" s="1637"/>
      <c r="HL26" s="1637"/>
      <c r="HM26" s="1638"/>
      <c r="HN26" s="1638"/>
      <c r="HO26" s="1636"/>
      <c r="HP26" s="1637"/>
      <c r="HQ26" s="1637"/>
      <c r="HR26" s="1637"/>
      <c r="HS26" s="1637"/>
      <c r="HT26" s="1637"/>
      <c r="HU26" s="1637"/>
      <c r="HV26" s="1637"/>
      <c r="HW26" s="1637"/>
      <c r="HX26" s="1637"/>
      <c r="HY26" s="1637"/>
      <c r="HZ26" s="1638"/>
      <c r="IA26" s="1638"/>
      <c r="IB26" s="1636"/>
      <c r="IC26" s="1637"/>
      <c r="ID26" s="1637"/>
      <c r="IE26" s="1637"/>
      <c r="IF26" s="1637"/>
      <c r="IG26" s="1637"/>
      <c r="IH26" s="1637"/>
      <c r="II26" s="1637"/>
      <c r="IJ26" s="1637"/>
      <c r="IK26" s="1637"/>
      <c r="IL26" s="1637"/>
      <c r="IM26" s="1638"/>
      <c r="IN26" s="1638"/>
      <c r="IO26" s="1636">
        <v>1</v>
      </c>
      <c r="IP26" s="1637">
        <v>0</v>
      </c>
      <c r="IQ26" s="1637">
        <v>10</v>
      </c>
      <c r="IR26" s="1637">
        <v>120</v>
      </c>
      <c r="IS26" s="1637">
        <v>0</v>
      </c>
      <c r="IT26" s="1637">
        <v>0</v>
      </c>
      <c r="IU26" s="1637">
        <v>207</v>
      </c>
      <c r="IV26" s="1637">
        <v>0</v>
      </c>
      <c r="IW26" s="1637">
        <v>183</v>
      </c>
      <c r="IX26" s="1637">
        <v>127</v>
      </c>
      <c r="IY26" s="1637">
        <v>243</v>
      </c>
      <c r="IZ26" s="1638">
        <v>0</v>
      </c>
      <c r="JA26" s="1638">
        <v>891</v>
      </c>
      <c r="JB26" s="1636">
        <v>0</v>
      </c>
      <c r="JC26" s="1637">
        <v>4</v>
      </c>
      <c r="JD26" s="1637">
        <v>0</v>
      </c>
      <c r="JE26" s="1637">
        <v>2</v>
      </c>
      <c r="JF26" s="1637">
        <v>2</v>
      </c>
      <c r="JG26" s="1637">
        <v>43</v>
      </c>
      <c r="JH26" s="1637">
        <v>0</v>
      </c>
      <c r="JI26" s="1637">
        <v>2</v>
      </c>
      <c r="JJ26" s="1637">
        <v>21</v>
      </c>
      <c r="JK26" s="1637">
        <v>0</v>
      </c>
      <c r="JL26" s="1637">
        <v>37</v>
      </c>
      <c r="JM26" s="1638">
        <v>9</v>
      </c>
      <c r="JN26" s="1638">
        <f t="shared" si="640"/>
        <v>120</v>
      </c>
      <c r="JO26" s="1636">
        <v>4</v>
      </c>
      <c r="JP26" s="1637"/>
      <c r="JQ26" s="1637"/>
      <c r="JR26" s="1637">
        <v>158</v>
      </c>
      <c r="JS26" s="1637">
        <v>131</v>
      </c>
      <c r="JT26" s="1041">
        <v>178</v>
      </c>
      <c r="JU26" s="1637">
        <v>83</v>
      </c>
      <c r="JV26" s="1637">
        <v>196</v>
      </c>
      <c r="JW26" s="1637"/>
      <c r="JX26" s="1637"/>
      <c r="JY26" s="1637"/>
      <c r="JZ26" s="1638"/>
      <c r="KA26" s="1638">
        <f t="shared" si="641"/>
        <v>750</v>
      </c>
      <c r="KB26" s="1068"/>
      <c r="KC26" s="1645"/>
      <c r="KD26" s="1642"/>
      <c r="KE26" s="1643"/>
      <c r="KF26" s="1643"/>
      <c r="KG26" s="1068"/>
      <c r="KH26" s="1644"/>
      <c r="KI26" s="1068"/>
      <c r="KJ26" s="1570"/>
    </row>
    <row r="27" spans="1:297" ht="15" customHeight="1" x14ac:dyDescent="0.2">
      <c r="A27" s="1067" t="s">
        <v>192</v>
      </c>
      <c r="B27" s="1636"/>
      <c r="C27" s="1637">
        <v>63</v>
      </c>
      <c r="D27" s="1637"/>
      <c r="E27" s="1637">
        <v>31</v>
      </c>
      <c r="F27" s="1637">
        <v>32</v>
      </c>
      <c r="G27" s="1637"/>
      <c r="H27" s="1637">
        <v>63</v>
      </c>
      <c r="I27" s="1637">
        <v>63</v>
      </c>
      <c r="J27" s="1637">
        <v>28</v>
      </c>
      <c r="K27" s="1637">
        <v>56</v>
      </c>
      <c r="L27" s="1637"/>
      <c r="M27" s="1638">
        <v>81</v>
      </c>
      <c r="N27" s="1638">
        <f>SUM(B27:M27)</f>
        <v>417</v>
      </c>
      <c r="O27" s="1636">
        <v>31</v>
      </c>
      <c r="P27" s="1637">
        <v>31</v>
      </c>
      <c r="Q27" s="1637"/>
      <c r="R27" s="1637">
        <v>55</v>
      </c>
      <c r="S27" s="1637">
        <v>94</v>
      </c>
      <c r="T27" s="1637">
        <v>122</v>
      </c>
      <c r="U27" s="1637">
        <v>158</v>
      </c>
      <c r="V27" s="1637">
        <v>154</v>
      </c>
      <c r="W27" s="1637"/>
      <c r="X27" s="1637">
        <v>154</v>
      </c>
      <c r="Y27" s="1637"/>
      <c r="Z27" s="1638">
        <v>70</v>
      </c>
      <c r="AA27" s="1638">
        <f>+SUM(O27:Z27)</f>
        <v>869</v>
      </c>
      <c r="AB27" s="1636">
        <v>175</v>
      </c>
      <c r="AC27" s="1637">
        <v>77</v>
      </c>
      <c r="AD27" s="1637"/>
      <c r="AE27" s="1637">
        <v>43</v>
      </c>
      <c r="AF27" s="1637">
        <v>44</v>
      </c>
      <c r="AG27" s="1637">
        <v>302</v>
      </c>
      <c r="AH27" s="1637"/>
      <c r="AI27" s="1637">
        <v>774</v>
      </c>
      <c r="AJ27" s="1637">
        <v>192</v>
      </c>
      <c r="AK27" s="1637"/>
      <c r="AL27" s="1637">
        <v>142</v>
      </c>
      <c r="AM27" s="1638">
        <v>490</v>
      </c>
      <c r="AN27" s="1638">
        <f>+SUM(AB27:AM27)</f>
        <v>2239</v>
      </c>
      <c r="AO27" s="1636">
        <v>91</v>
      </c>
      <c r="AP27" s="1637">
        <v>410</v>
      </c>
      <c r="AQ27" s="1637">
        <v>559</v>
      </c>
      <c r="AR27" s="1637"/>
      <c r="AS27" s="1637">
        <v>203</v>
      </c>
      <c r="AT27" s="1637">
        <v>505</v>
      </c>
      <c r="AU27" s="1637">
        <v>706</v>
      </c>
      <c r="AV27" s="1637">
        <v>717</v>
      </c>
      <c r="AW27" s="1637">
        <v>859</v>
      </c>
      <c r="AX27" s="1637"/>
      <c r="AY27" s="1637">
        <v>33</v>
      </c>
      <c r="AZ27" s="1638">
        <v>82</v>
      </c>
      <c r="BA27" s="1638">
        <f>SUM(AO27:AZ27)</f>
        <v>4165</v>
      </c>
      <c r="BB27" s="1636"/>
      <c r="BC27" s="1637">
        <v>588</v>
      </c>
      <c r="BD27" s="1637">
        <v>176</v>
      </c>
      <c r="BE27" s="1637">
        <v>241</v>
      </c>
      <c r="BF27" s="1637">
        <v>241</v>
      </c>
      <c r="BG27" s="1637">
        <v>551</v>
      </c>
      <c r="BH27" s="1637">
        <v>465</v>
      </c>
      <c r="BI27" s="1637">
        <v>925</v>
      </c>
      <c r="BJ27" s="1637">
        <v>715</v>
      </c>
      <c r="BK27" s="1637">
        <v>196</v>
      </c>
      <c r="BL27" s="1637">
        <v>476</v>
      </c>
      <c r="BM27" s="1638">
        <v>649</v>
      </c>
      <c r="BN27" s="1638">
        <f>SUM(BB27:BM27)</f>
        <v>5223</v>
      </c>
      <c r="BO27" s="1636">
        <v>482</v>
      </c>
      <c r="BP27" s="1637">
        <v>603</v>
      </c>
      <c r="BQ27" s="1637">
        <v>188</v>
      </c>
      <c r="BR27" s="1637">
        <v>351</v>
      </c>
      <c r="BS27" s="1637">
        <v>652</v>
      </c>
      <c r="BT27" s="1637">
        <v>1331</v>
      </c>
      <c r="BU27" s="1637">
        <v>1380</v>
      </c>
      <c r="BV27" s="1637">
        <v>1053</v>
      </c>
      <c r="BW27" s="1637">
        <v>491</v>
      </c>
      <c r="BX27" s="1637">
        <v>401</v>
      </c>
      <c r="BY27" s="1637">
        <v>1041</v>
      </c>
      <c r="BZ27" s="1638">
        <v>1308</v>
      </c>
      <c r="CA27" s="1638">
        <f>SUM(BO27:BZ27)</f>
        <v>9281</v>
      </c>
      <c r="CB27" s="1636">
        <v>997</v>
      </c>
      <c r="CC27" s="1637">
        <v>350</v>
      </c>
      <c r="CD27" s="1637">
        <v>796</v>
      </c>
      <c r="CE27" s="1637">
        <v>1061</v>
      </c>
      <c r="CF27" s="1637">
        <v>971</v>
      </c>
      <c r="CG27" s="1637">
        <v>2094</v>
      </c>
      <c r="CH27" s="1637">
        <v>2827</v>
      </c>
      <c r="CI27" s="1637">
        <v>2571</v>
      </c>
      <c r="CJ27" s="1637">
        <v>2993</v>
      </c>
      <c r="CK27" s="1637">
        <v>915</v>
      </c>
      <c r="CL27" s="1637">
        <v>1367</v>
      </c>
      <c r="CM27" s="1638">
        <v>821</v>
      </c>
      <c r="CN27" s="1638">
        <f>SUM(CB27:CM27)</f>
        <v>17763</v>
      </c>
      <c r="CO27" s="1636">
        <v>249</v>
      </c>
      <c r="CP27" s="1637">
        <v>1391</v>
      </c>
      <c r="CQ27" s="1637">
        <v>281</v>
      </c>
      <c r="CR27" s="1637">
        <v>520</v>
      </c>
      <c r="CS27" s="1637">
        <v>340</v>
      </c>
      <c r="CT27" s="1637">
        <v>537</v>
      </c>
      <c r="CU27" s="1637">
        <v>129</v>
      </c>
      <c r="CV27" s="1637">
        <v>657</v>
      </c>
      <c r="CW27" s="1637">
        <v>425</v>
      </c>
      <c r="CX27" s="1637">
        <v>187</v>
      </c>
      <c r="CY27" s="1637">
        <v>75</v>
      </c>
      <c r="CZ27" s="1638">
        <v>332</v>
      </c>
      <c r="DA27" s="1638">
        <f>SUM(CO27:CZ27)</f>
        <v>5123</v>
      </c>
      <c r="DB27" s="1636">
        <v>1573</v>
      </c>
      <c r="DC27" s="1637">
        <v>989</v>
      </c>
      <c r="DD27" s="1637">
        <v>868</v>
      </c>
      <c r="DE27" s="1637">
        <v>372</v>
      </c>
      <c r="DF27" s="1637">
        <v>2400</v>
      </c>
      <c r="DG27" s="1637">
        <v>4230</v>
      </c>
      <c r="DH27" s="1637">
        <v>5980</v>
      </c>
      <c r="DI27" s="1637">
        <v>5198</v>
      </c>
      <c r="DJ27" s="1637">
        <v>2734</v>
      </c>
      <c r="DK27" s="1637">
        <v>3425</v>
      </c>
      <c r="DL27" s="1637">
        <v>1989</v>
      </c>
      <c r="DM27" s="1638">
        <v>3590</v>
      </c>
      <c r="DN27" s="1638">
        <f>SUM(DB27:DM27)</f>
        <v>33348</v>
      </c>
      <c r="DO27" s="1636">
        <v>3134</v>
      </c>
      <c r="DP27" s="1637">
        <v>4627</v>
      </c>
      <c r="DQ27" s="1637">
        <v>3289</v>
      </c>
      <c r="DR27" s="1637">
        <v>2943</v>
      </c>
      <c r="DS27" s="1637">
        <v>5070</v>
      </c>
      <c r="DT27" s="1637">
        <v>6263</v>
      </c>
      <c r="DU27" s="1637">
        <v>12809</v>
      </c>
      <c r="DV27" s="1637">
        <v>10221</v>
      </c>
      <c r="DW27" s="1637">
        <v>10161</v>
      </c>
      <c r="DX27" s="1637">
        <v>6466</v>
      </c>
      <c r="DY27" s="1637">
        <v>4566</v>
      </c>
      <c r="DZ27" s="1638">
        <v>6874</v>
      </c>
      <c r="EA27" s="1638">
        <f>SUM(DO27:DZ27)</f>
        <v>76423</v>
      </c>
      <c r="EB27" s="1636">
        <v>6474</v>
      </c>
      <c r="EC27" s="1637">
        <v>1798</v>
      </c>
      <c r="ED27" s="1637">
        <v>2292</v>
      </c>
      <c r="EE27" s="1637">
        <v>2965</v>
      </c>
      <c r="EF27" s="1637">
        <v>5371</v>
      </c>
      <c r="EG27" s="1637">
        <v>9883</v>
      </c>
      <c r="EH27" s="1637">
        <v>11572</v>
      </c>
      <c r="EI27" s="1637">
        <v>8799</v>
      </c>
      <c r="EJ27" s="1637">
        <v>10399</v>
      </c>
      <c r="EK27" s="1637">
        <v>8680</v>
      </c>
      <c r="EL27" s="1637">
        <v>3873.4</v>
      </c>
      <c r="EM27" s="1638">
        <v>6538</v>
      </c>
      <c r="EN27" s="1638">
        <f>SUM(EB27:EM27)</f>
        <v>78644.399999999994</v>
      </c>
      <c r="EO27" s="1636">
        <v>4407</v>
      </c>
      <c r="EP27" s="1637">
        <v>3607</v>
      </c>
      <c r="EQ27" s="1637">
        <v>3288</v>
      </c>
      <c r="ER27" s="1637">
        <v>4075</v>
      </c>
      <c r="ES27" s="1637">
        <v>5234</v>
      </c>
      <c r="ET27" s="1637">
        <v>6330</v>
      </c>
      <c r="EU27" s="1637">
        <v>12420</v>
      </c>
      <c r="EV27" s="1637">
        <v>15616</v>
      </c>
      <c r="EW27" s="1637">
        <v>11167</v>
      </c>
      <c r="EX27" s="1637">
        <v>8392</v>
      </c>
      <c r="EY27" s="1637">
        <v>6027</v>
      </c>
      <c r="EZ27" s="1638">
        <v>4771</v>
      </c>
      <c r="FA27" s="1638">
        <f>SUM(EO27:EZ27)</f>
        <v>85334</v>
      </c>
      <c r="FB27" s="1636">
        <v>2782</v>
      </c>
      <c r="FC27" s="1637">
        <v>1982</v>
      </c>
      <c r="FD27" s="1637">
        <v>2766</v>
      </c>
      <c r="FE27" s="1637">
        <v>1849</v>
      </c>
      <c r="FF27" s="1637">
        <v>1621</v>
      </c>
      <c r="FG27" s="1637">
        <v>6317</v>
      </c>
      <c r="FH27" s="1637">
        <v>6816</v>
      </c>
      <c r="FI27" s="1637">
        <v>11282</v>
      </c>
      <c r="FJ27" s="1637">
        <v>10697</v>
      </c>
      <c r="FK27" s="1637">
        <v>1532</v>
      </c>
      <c r="FL27" s="1637">
        <v>1982</v>
      </c>
      <c r="FM27" s="1638">
        <v>2455</v>
      </c>
      <c r="FN27" s="1638">
        <f>SUM(FB27:FM27)</f>
        <v>52081</v>
      </c>
      <c r="FO27" s="1636">
        <v>1211</v>
      </c>
      <c r="FP27" s="1637">
        <v>1459</v>
      </c>
      <c r="FQ27" s="1637">
        <v>937</v>
      </c>
      <c r="FR27" s="1637">
        <v>1339</v>
      </c>
      <c r="FS27" s="1637">
        <v>1575</v>
      </c>
      <c r="FT27" s="1637">
        <v>1376</v>
      </c>
      <c r="FU27" s="1637">
        <v>2513</v>
      </c>
      <c r="FV27" s="1637">
        <v>1461</v>
      </c>
      <c r="FW27" s="1637">
        <v>1894</v>
      </c>
      <c r="FX27" s="1637">
        <v>1336</v>
      </c>
      <c r="FY27" s="1637">
        <v>1632</v>
      </c>
      <c r="FZ27" s="1638">
        <v>1814</v>
      </c>
      <c r="GA27" s="1638">
        <f>SUM(FO27:FZ27)</f>
        <v>18547</v>
      </c>
      <c r="GB27" s="1636">
        <v>1288</v>
      </c>
      <c r="GC27" s="1637">
        <v>1895</v>
      </c>
      <c r="GD27" s="1637">
        <v>1387</v>
      </c>
      <c r="GE27" s="1637">
        <v>1206</v>
      </c>
      <c r="GF27" s="1637">
        <v>558</v>
      </c>
      <c r="GG27" s="1637">
        <v>2119</v>
      </c>
      <c r="GH27" s="1637">
        <v>3173</v>
      </c>
      <c r="GI27" s="1637">
        <v>2676</v>
      </c>
      <c r="GJ27" s="1637">
        <v>841</v>
      </c>
      <c r="GK27" s="1637">
        <v>2282</v>
      </c>
      <c r="GL27" s="1637">
        <v>1626</v>
      </c>
      <c r="GM27" s="1638">
        <v>1408</v>
      </c>
      <c r="GN27" s="1638">
        <f>SUM(GB27:GM27)</f>
        <v>20459</v>
      </c>
      <c r="GO27" s="1636">
        <v>1314</v>
      </c>
      <c r="GP27" s="1637">
        <v>1353</v>
      </c>
      <c r="GQ27" s="1637">
        <v>582</v>
      </c>
      <c r="GR27" s="1637">
        <v>690</v>
      </c>
      <c r="GS27" s="1637">
        <v>2171</v>
      </c>
      <c r="GT27" s="1637">
        <v>1705</v>
      </c>
      <c r="GU27" s="1637">
        <v>2910</v>
      </c>
      <c r="GV27" s="1637">
        <v>2673</v>
      </c>
      <c r="GW27" s="1637">
        <v>2782</v>
      </c>
      <c r="GX27" s="1637">
        <v>2047</v>
      </c>
      <c r="GY27" s="1637">
        <v>1627</v>
      </c>
      <c r="GZ27" s="1638">
        <v>2837</v>
      </c>
      <c r="HA27" s="1638">
        <f>SUM(GO27:GZ27)</f>
        <v>22691</v>
      </c>
      <c r="HB27" s="1636">
        <v>3211</v>
      </c>
      <c r="HC27" s="1637">
        <v>3650</v>
      </c>
      <c r="HD27" s="1637">
        <v>2046</v>
      </c>
      <c r="HE27" s="1637">
        <v>2314</v>
      </c>
      <c r="HF27" s="1637">
        <v>2672</v>
      </c>
      <c r="HG27" s="1637">
        <v>2060</v>
      </c>
      <c r="HH27" s="1637">
        <v>3381</v>
      </c>
      <c r="HI27" s="1637">
        <v>2383</v>
      </c>
      <c r="HJ27" s="1637">
        <v>6465</v>
      </c>
      <c r="HK27" s="1637">
        <v>1082</v>
      </c>
      <c r="HL27" s="1637">
        <v>673</v>
      </c>
      <c r="HM27" s="1638">
        <v>3911</v>
      </c>
      <c r="HN27" s="1638">
        <f>SUM(HB27:HM27)</f>
        <v>33848</v>
      </c>
      <c r="HO27" s="1636">
        <v>1610</v>
      </c>
      <c r="HP27" s="1637">
        <v>2760</v>
      </c>
      <c r="HQ27" s="1637">
        <v>4604</v>
      </c>
      <c r="HR27" s="1637">
        <v>3757</v>
      </c>
      <c r="HS27" s="1637">
        <v>4667</v>
      </c>
      <c r="HT27" s="1637">
        <v>2980</v>
      </c>
      <c r="HU27" s="1637">
        <v>6330</v>
      </c>
      <c r="HV27" s="1637">
        <v>6963</v>
      </c>
      <c r="HW27" s="1637">
        <v>6530</v>
      </c>
      <c r="HX27" s="1637">
        <v>6229</v>
      </c>
      <c r="HY27" s="1637">
        <v>5833</v>
      </c>
      <c r="HZ27" s="1638">
        <v>2254</v>
      </c>
      <c r="IA27" s="1638">
        <f>SUM(HO27:HZ27)</f>
        <v>54517</v>
      </c>
      <c r="IB27" s="1636">
        <v>3678</v>
      </c>
      <c r="IC27" s="1637">
        <v>5748</v>
      </c>
      <c r="ID27" s="1637">
        <v>4558</v>
      </c>
      <c r="IE27" s="1637">
        <v>1627</v>
      </c>
      <c r="IF27" s="1637">
        <v>4800</v>
      </c>
      <c r="IG27" s="1637">
        <v>7077</v>
      </c>
      <c r="IH27" s="1637">
        <v>11664</v>
      </c>
      <c r="II27" s="1637">
        <v>13313</v>
      </c>
      <c r="IJ27" s="1637">
        <v>13685</v>
      </c>
      <c r="IK27" s="1637">
        <v>11085</v>
      </c>
      <c r="IL27" s="1637">
        <v>8270</v>
      </c>
      <c r="IM27" s="1638">
        <v>7102</v>
      </c>
      <c r="IN27" s="1638">
        <f>SUM(IB27:IM27)</f>
        <v>92607</v>
      </c>
      <c r="IO27" s="1636">
        <v>7224</v>
      </c>
      <c r="IP27" s="1637">
        <v>7617</v>
      </c>
      <c r="IQ27" s="1637">
        <v>6788</v>
      </c>
      <c r="IR27" s="1637">
        <v>9587</v>
      </c>
      <c r="IS27" s="1637">
        <v>8171</v>
      </c>
      <c r="IT27" s="1637">
        <v>7888</v>
      </c>
      <c r="IU27" s="1637">
        <v>17555</v>
      </c>
      <c r="IV27" s="1637">
        <v>23758</v>
      </c>
      <c r="IW27" s="1637">
        <v>23329</v>
      </c>
      <c r="IX27" s="1637">
        <v>15290</v>
      </c>
      <c r="IY27" s="1637">
        <v>12894</v>
      </c>
      <c r="IZ27" s="1638">
        <v>25889</v>
      </c>
      <c r="JA27" s="1638">
        <v>165990</v>
      </c>
      <c r="JB27" s="1636">
        <v>30597</v>
      </c>
      <c r="JC27" s="1637">
        <v>24351</v>
      </c>
      <c r="JD27" s="1637">
        <v>10106</v>
      </c>
      <c r="JE27" s="1637">
        <v>7611</v>
      </c>
      <c r="JF27" s="1637">
        <v>24374</v>
      </c>
      <c r="JG27" s="1637">
        <v>54904</v>
      </c>
      <c r="JH27" s="1637">
        <v>70559</v>
      </c>
      <c r="JI27" s="1637">
        <v>55726</v>
      </c>
      <c r="JJ27" s="1637">
        <v>61807</v>
      </c>
      <c r="JK27" s="1637">
        <v>26173</v>
      </c>
      <c r="JL27" s="1637">
        <v>18087</v>
      </c>
      <c r="JM27" s="1638">
        <v>11042</v>
      </c>
      <c r="JN27" s="1638">
        <f t="shared" si="640"/>
        <v>395337</v>
      </c>
      <c r="JO27" s="1636">
        <v>16765</v>
      </c>
      <c r="JP27" s="1637">
        <v>5892</v>
      </c>
      <c r="JQ27" s="1637">
        <v>5817</v>
      </c>
      <c r="JR27" s="1637">
        <v>12613</v>
      </c>
      <c r="JS27" s="1637">
        <v>11678</v>
      </c>
      <c r="JT27" s="1637">
        <v>33231</v>
      </c>
      <c r="JU27" s="1637">
        <v>30033</v>
      </c>
      <c r="JV27" s="1637">
        <v>28631</v>
      </c>
      <c r="JW27" s="1637"/>
      <c r="JX27" s="1637"/>
      <c r="JY27" s="1637"/>
      <c r="JZ27" s="1638"/>
      <c r="KA27" s="1638">
        <f t="shared" si="641"/>
        <v>144660</v>
      </c>
      <c r="KB27" s="1068"/>
      <c r="KC27" s="1645">
        <f>IFERROR(((
_xlfn.XLOOKUP((DATE(YEAR($KC$5),MONTH($KC$5),1)),$A$5:$KA$5,$A27:$KA27) /
_xlfn.XLOOKUP((DATE(YEAR($KC$5)-1,MONTH($KC$5),1)),$A$5:$KA$5,$A27:$KA27)
)-1)*100,"")</f>
        <v>-42.44013457352068</v>
      </c>
      <c r="KD27" s="1642">
        <f>IFERROR(((KF27/KE27)-1)*100,"")</f>
        <v>-56.230208749654132</v>
      </c>
      <c r="KE27" s="1643">
        <f>SUMIFS($B27:$KA27,$B$5:$KA$5,"&gt;="&amp;DATE(YEAR($KC$5)-1,1,1),$B$5:$KA$5,"&lt;="&amp;DATE(YEAR($KC$5)-1,MONTH($KC$5),1))</f>
        <v>65054</v>
      </c>
      <c r="KF27" s="1643">
        <f>SUMIFS($B27:$KA27,$B$5:$KA$5,"&gt;="&amp;DATE(YEAR($KC$5),1,1),$B$5:$KA$5,"&lt;="&amp;$KC$5)</f>
        <v>28474</v>
      </c>
      <c r="KG27" s="1068"/>
      <c r="KH27" s="1644">
        <f>IFERROR((
_xlfn.XLOOKUP((DATE(YEAR($KC$5),MONTH($KC$5),1)),$A$5:$KA$5,$A27:$KA27) /
_xlfn.XLOOKUP((DATE(YEAR($KC$5)-1,MONTH($KC$5),1)),$A$5:$KA$5,$A27:$KA27)),"")</f>
        <v>0.57559865426479317</v>
      </c>
      <c r="KI27" s="1068">
        <f>IFERROR((
_xlfn.XLOOKUP((DATE(YEAR($KC$5),MONTH($KC$5),1)),$A$5:$KA$5,$A27:$KA27) -
_xlfn.XLOOKUP((DATE(YEAR($KC$5)-1,MONTH($KC$5),1)),$A$5:$KA$5,$A27:$KA27)),"")</f>
        <v>-4289</v>
      </c>
      <c r="KJ27" s="1570">
        <f>KF27-KE27</f>
        <v>-36580</v>
      </c>
    </row>
    <row r="28" spans="1:297" ht="15" customHeight="1" x14ac:dyDescent="0.2">
      <c r="A28" s="1067" t="s">
        <v>178</v>
      </c>
      <c r="B28" s="1636"/>
      <c r="C28" s="1637"/>
      <c r="D28" s="1637"/>
      <c r="E28" s="1637"/>
      <c r="F28" s="1637"/>
      <c r="G28" s="1637"/>
      <c r="H28" s="1637"/>
      <c r="I28" s="1637"/>
      <c r="J28" s="1637"/>
      <c r="K28" s="1637"/>
      <c r="L28" s="1637"/>
      <c r="M28" s="1638"/>
      <c r="N28" s="1638">
        <f>SUM(B28:M28)</f>
        <v>0</v>
      </c>
      <c r="O28" s="1636"/>
      <c r="P28" s="1637"/>
      <c r="Q28" s="1637"/>
      <c r="R28" s="1637"/>
      <c r="S28" s="1637"/>
      <c r="T28" s="1637"/>
      <c r="U28" s="1637"/>
      <c r="V28" s="1637"/>
      <c r="W28" s="1637"/>
      <c r="X28" s="1637"/>
      <c r="Y28" s="1637"/>
      <c r="Z28" s="1638"/>
      <c r="AA28" s="1638">
        <f>+SUM(O28:Z28)</f>
        <v>0</v>
      </c>
      <c r="AB28" s="1636"/>
      <c r="AC28" s="1637"/>
      <c r="AD28" s="1637"/>
      <c r="AE28" s="1637"/>
      <c r="AF28" s="1637"/>
      <c r="AG28" s="1637"/>
      <c r="AH28" s="1637"/>
      <c r="AI28" s="1637"/>
      <c r="AJ28" s="1637"/>
      <c r="AK28" s="1637"/>
      <c r="AL28" s="1637"/>
      <c r="AM28" s="1638"/>
      <c r="AN28" s="1638">
        <f>+SUM(AB28:AM28)</f>
        <v>0</v>
      </c>
      <c r="AO28" s="1636"/>
      <c r="AP28" s="1637"/>
      <c r="AQ28" s="1637"/>
      <c r="AR28" s="1637"/>
      <c r="AS28" s="1637">
        <v>1</v>
      </c>
      <c r="AT28" s="1637"/>
      <c r="AU28" s="1637"/>
      <c r="AV28" s="1637">
        <v>2</v>
      </c>
      <c r="AW28" s="1637"/>
      <c r="AX28" s="1637"/>
      <c r="AY28" s="1637"/>
      <c r="AZ28" s="1638"/>
      <c r="BA28" s="1638">
        <f>SUM(AO28:AZ28)</f>
        <v>3</v>
      </c>
      <c r="BB28" s="1636"/>
      <c r="BC28" s="1637"/>
      <c r="BD28" s="1637"/>
      <c r="BE28" s="1637">
        <v>2</v>
      </c>
      <c r="BF28" s="1637"/>
      <c r="BG28" s="1637"/>
      <c r="BH28" s="1637">
        <v>1</v>
      </c>
      <c r="BI28" s="1637"/>
      <c r="BJ28" s="1637"/>
      <c r="BK28" s="1637">
        <v>3</v>
      </c>
      <c r="BL28" s="1637"/>
      <c r="BM28" s="1638"/>
      <c r="BN28" s="1638">
        <f>SUM(BB28:BM28)</f>
        <v>6</v>
      </c>
      <c r="BO28" s="1636">
        <v>4</v>
      </c>
      <c r="BP28" s="1637"/>
      <c r="BQ28" s="1637"/>
      <c r="BR28" s="1637"/>
      <c r="BS28" s="1637">
        <v>4</v>
      </c>
      <c r="BT28" s="1637"/>
      <c r="BU28" s="1637"/>
      <c r="BV28" s="1637"/>
      <c r="BW28" s="1637"/>
      <c r="BX28" s="1637">
        <v>3</v>
      </c>
      <c r="BY28" s="1637"/>
      <c r="BZ28" s="1638"/>
      <c r="CA28" s="1638">
        <f>SUM(BO28:BZ28)</f>
        <v>11</v>
      </c>
      <c r="CB28" s="1636"/>
      <c r="CC28" s="1637">
        <v>2</v>
      </c>
      <c r="CD28" s="1637"/>
      <c r="CE28" s="1637"/>
      <c r="CF28" s="1637"/>
      <c r="CG28" s="1637"/>
      <c r="CH28" s="1637"/>
      <c r="CI28" s="1637"/>
      <c r="CJ28" s="1637">
        <v>10</v>
      </c>
      <c r="CK28" s="1637">
        <v>7</v>
      </c>
      <c r="CL28" s="1637">
        <v>22</v>
      </c>
      <c r="CM28" s="1638">
        <v>1</v>
      </c>
      <c r="CN28" s="1638">
        <f>SUM(CB28:CM28)</f>
        <v>42</v>
      </c>
      <c r="CO28" s="1636"/>
      <c r="CP28" s="1637"/>
      <c r="CQ28" s="1637">
        <v>3</v>
      </c>
      <c r="CR28" s="1637"/>
      <c r="CS28" s="1637"/>
      <c r="CT28" s="1637"/>
      <c r="CU28" s="1637"/>
      <c r="CV28" s="1637"/>
      <c r="CW28" s="1637">
        <v>4</v>
      </c>
      <c r="CX28" s="1637">
        <v>3</v>
      </c>
      <c r="CY28" s="1637">
        <v>4</v>
      </c>
      <c r="CZ28" s="1638">
        <v>4</v>
      </c>
      <c r="DA28" s="1638">
        <f>SUM(CO28:CZ28)</f>
        <v>18</v>
      </c>
      <c r="DB28" s="1636">
        <v>3</v>
      </c>
      <c r="DC28" s="1637"/>
      <c r="DD28" s="1637"/>
      <c r="DE28" s="1637"/>
      <c r="DF28" s="1637">
        <v>2</v>
      </c>
      <c r="DG28" s="1637"/>
      <c r="DH28" s="1637">
        <v>2</v>
      </c>
      <c r="DI28" s="1637"/>
      <c r="DJ28" s="1637">
        <v>3</v>
      </c>
      <c r="DK28" s="1637"/>
      <c r="DL28" s="1637">
        <v>2</v>
      </c>
      <c r="DM28" s="1638"/>
      <c r="DN28" s="1638">
        <f>SUM(DB28:DM28)</f>
        <v>12</v>
      </c>
      <c r="DO28" s="1636">
        <v>4</v>
      </c>
      <c r="DP28" s="1637">
        <v>2</v>
      </c>
      <c r="DQ28" s="1637"/>
      <c r="DR28" s="1637"/>
      <c r="DS28" s="1637"/>
      <c r="DT28" s="1637"/>
      <c r="DU28" s="1637">
        <v>0.3</v>
      </c>
      <c r="DV28" s="1637"/>
      <c r="DW28" s="1637"/>
      <c r="DX28" s="1637">
        <v>4</v>
      </c>
      <c r="DY28" s="1637">
        <v>15</v>
      </c>
      <c r="DZ28" s="1638"/>
      <c r="EA28" s="1638">
        <f>SUM(DO28:DZ28)</f>
        <v>25.3</v>
      </c>
      <c r="EB28" s="1636"/>
      <c r="EC28" s="1637">
        <v>2</v>
      </c>
      <c r="ED28" s="1637"/>
      <c r="EE28" s="1637"/>
      <c r="EF28" s="1637"/>
      <c r="EG28" s="1637">
        <v>3</v>
      </c>
      <c r="EH28" s="1637"/>
      <c r="EI28" s="1637"/>
      <c r="EJ28" s="1637"/>
      <c r="EK28" s="1637"/>
      <c r="EL28" s="1637"/>
      <c r="EM28" s="1638">
        <v>4</v>
      </c>
      <c r="EN28" s="1638">
        <f>SUM(EB28:EM28)</f>
        <v>9</v>
      </c>
      <c r="EO28" s="1636"/>
      <c r="EP28" s="1637"/>
      <c r="EQ28" s="1637"/>
      <c r="ER28" s="1637"/>
      <c r="ES28" s="1637"/>
      <c r="ET28" s="1637">
        <v>10</v>
      </c>
      <c r="EU28" s="1637"/>
      <c r="EV28" s="1637"/>
      <c r="EW28" s="1637"/>
      <c r="EX28" s="1637"/>
      <c r="EY28" s="1637">
        <v>3</v>
      </c>
      <c r="EZ28" s="1638">
        <v>1</v>
      </c>
      <c r="FA28" s="1638">
        <f>SUM(EO28:EZ28)</f>
        <v>14</v>
      </c>
      <c r="FB28" s="1636">
        <v>1</v>
      </c>
      <c r="FC28" s="1637"/>
      <c r="FD28" s="1637"/>
      <c r="FE28" s="1637"/>
      <c r="FF28" s="1637"/>
      <c r="FG28" s="1637">
        <v>4</v>
      </c>
      <c r="FH28" s="1637"/>
      <c r="FI28" s="1637"/>
      <c r="FJ28" s="1637"/>
      <c r="FK28" s="1637"/>
      <c r="FL28" s="1637"/>
      <c r="FM28" s="1638"/>
      <c r="FN28" s="1638">
        <f>SUM(FB28:FM28)</f>
        <v>5</v>
      </c>
      <c r="FO28" s="1636"/>
      <c r="FP28" s="1637"/>
      <c r="FQ28" s="1637"/>
      <c r="FR28" s="1637"/>
      <c r="FS28" s="1637"/>
      <c r="FT28" s="1637">
        <v>1</v>
      </c>
      <c r="FU28" s="1637"/>
      <c r="FV28" s="1637"/>
      <c r="FW28" s="1637"/>
      <c r="FX28" s="1637">
        <v>5</v>
      </c>
      <c r="FY28" s="1637"/>
      <c r="FZ28" s="1638"/>
      <c r="GA28" s="1638">
        <f>SUM(FO28:FZ28)</f>
        <v>6</v>
      </c>
      <c r="GB28" s="1636">
        <v>3</v>
      </c>
      <c r="GC28" s="1637"/>
      <c r="GD28" s="1637"/>
      <c r="GE28" s="1637"/>
      <c r="GF28" s="1637"/>
      <c r="GG28" s="1637">
        <v>10</v>
      </c>
      <c r="GH28" s="1637"/>
      <c r="GI28" s="1637"/>
      <c r="GJ28" s="1637"/>
      <c r="GK28" s="1637">
        <v>3</v>
      </c>
      <c r="GL28" s="1637"/>
      <c r="GM28" s="1638">
        <v>23</v>
      </c>
      <c r="GN28" s="1638">
        <f>SUM(GB28:GM28)</f>
        <v>39</v>
      </c>
      <c r="GO28" s="1636"/>
      <c r="GP28" s="1637"/>
      <c r="GQ28" s="1637"/>
      <c r="GR28" s="1637"/>
      <c r="GS28" s="1637"/>
      <c r="GT28" s="1637"/>
      <c r="GU28" s="1637"/>
      <c r="GV28" s="1637"/>
      <c r="GW28" s="1637"/>
      <c r="GX28" s="1637"/>
      <c r="GY28" s="1637">
        <v>40</v>
      </c>
      <c r="GZ28" s="1638"/>
      <c r="HA28" s="1638">
        <f>SUM(GO28:GZ28)</f>
        <v>40</v>
      </c>
      <c r="HB28" s="1636"/>
      <c r="HC28" s="1637"/>
      <c r="HD28" s="1637"/>
      <c r="HE28" s="1637"/>
      <c r="HF28" s="1637"/>
      <c r="HG28" s="1637"/>
      <c r="HH28" s="1637"/>
      <c r="HI28" s="1637"/>
      <c r="HJ28" s="1637">
        <v>2</v>
      </c>
      <c r="HK28" s="1637">
        <v>1</v>
      </c>
      <c r="HL28" s="1637">
        <v>27</v>
      </c>
      <c r="HM28" s="1638">
        <v>68</v>
      </c>
      <c r="HN28" s="1638">
        <f>SUM(HB28:HM28)</f>
        <v>98</v>
      </c>
      <c r="HO28" s="1636"/>
      <c r="HP28" s="1637"/>
      <c r="HQ28" s="1637"/>
      <c r="HR28" s="1637"/>
      <c r="HS28" s="1637"/>
      <c r="HT28" s="1637"/>
      <c r="HU28" s="1637"/>
      <c r="HV28" s="1637"/>
      <c r="HW28" s="1637">
        <v>12</v>
      </c>
      <c r="HX28" s="1637">
        <v>26</v>
      </c>
      <c r="HY28" s="1637">
        <v>44</v>
      </c>
      <c r="HZ28" s="1638"/>
      <c r="IA28" s="1638">
        <f>SUM(HO28:HZ28)</f>
        <v>82</v>
      </c>
      <c r="IB28" s="1636"/>
      <c r="IC28" s="1637">
        <v>3</v>
      </c>
      <c r="ID28" s="1637">
        <v>4</v>
      </c>
      <c r="IE28" s="1637"/>
      <c r="IF28" s="1637">
        <v>1</v>
      </c>
      <c r="IG28" s="1637"/>
      <c r="IH28" s="1637"/>
      <c r="II28" s="1637">
        <v>72</v>
      </c>
      <c r="IJ28" s="1637">
        <v>6</v>
      </c>
      <c r="IK28" s="1637">
        <v>5</v>
      </c>
      <c r="IL28" s="1637">
        <v>1</v>
      </c>
      <c r="IM28" s="1638">
        <v>36</v>
      </c>
      <c r="IN28" s="1638">
        <f>SUM(IB28:IM28)</f>
        <v>128</v>
      </c>
      <c r="IO28" s="1636">
        <v>0</v>
      </c>
      <c r="IP28" s="1637"/>
      <c r="IQ28" s="1637">
        <v>43</v>
      </c>
      <c r="IR28" s="1637">
        <v>6</v>
      </c>
      <c r="IS28" s="1637"/>
      <c r="IT28" s="1637"/>
      <c r="IU28" s="1637"/>
      <c r="IV28" s="1637"/>
      <c r="IW28" s="1637">
        <v>5</v>
      </c>
      <c r="IX28" s="1637">
        <v>3</v>
      </c>
      <c r="IY28" s="1637">
        <v>26</v>
      </c>
      <c r="IZ28" s="1638"/>
      <c r="JA28" s="1638">
        <v>83</v>
      </c>
      <c r="JB28" s="1636"/>
      <c r="JC28" s="1637"/>
      <c r="JD28" s="1637"/>
      <c r="JE28" s="1637"/>
      <c r="JF28" s="1637"/>
      <c r="JG28" s="1637">
        <v>16</v>
      </c>
      <c r="JH28" s="1637"/>
      <c r="JI28" s="1637"/>
      <c r="JJ28" s="1637">
        <v>8</v>
      </c>
      <c r="JK28" s="1637">
        <v>0</v>
      </c>
      <c r="JL28" s="1637">
        <v>5</v>
      </c>
      <c r="JM28" s="1638">
        <v>6</v>
      </c>
      <c r="JN28" s="1638">
        <f t="shared" si="640"/>
        <v>35</v>
      </c>
      <c r="JO28" s="1636"/>
      <c r="JP28" s="1637">
        <v>28</v>
      </c>
      <c r="JQ28" s="1637">
        <v>46</v>
      </c>
      <c r="JR28" s="1637"/>
      <c r="JS28" s="1637"/>
      <c r="JT28" s="1637"/>
      <c r="JU28" s="1637"/>
      <c r="JV28" s="1637">
        <v>36</v>
      </c>
      <c r="JW28" s="1637"/>
      <c r="JX28" s="1637"/>
      <c r="JY28" s="1637"/>
      <c r="JZ28" s="1638"/>
      <c r="KA28" s="1638">
        <f t="shared" si="641"/>
        <v>110</v>
      </c>
      <c r="KB28" s="1068"/>
      <c r="KC28" s="1645" t="str">
        <f>IFERROR(((
_xlfn.XLOOKUP((DATE(YEAR($KC$5),MONTH($KC$5),1)),$A$5:$KA$5,$A28:$KA28) /
_xlfn.XLOOKUP((DATE(YEAR($KC$5)-1,MONTH($KC$5),1)),$A$5:$KA$5,$A28:$KA28)
)-1)*100,"")</f>
        <v/>
      </c>
      <c r="KD28" s="1642" t="str">
        <f>IFERROR(((KF28/KE28)-1)*100,"")</f>
        <v/>
      </c>
      <c r="KE28" s="1643">
        <f>SUMIFS($B28:$KA28,$B$5:$KA$5,"&gt;="&amp;DATE(YEAR($KC$5)-1,1,1),$B$5:$KA$5,"&lt;="&amp;DATE(YEAR($KC$5)-1,MONTH($KC$5),1))</f>
        <v>0</v>
      </c>
      <c r="KF28" s="1643">
        <f>SUMIFS($B28:$KA28,$B$5:$KA$5,"&gt;="&amp;DATE(YEAR($KC$5),1,1),$B$5:$KA$5,"&lt;="&amp;$KC$5)</f>
        <v>74</v>
      </c>
      <c r="KG28" s="1068"/>
      <c r="KH28" s="1644" t="str">
        <f>IFERROR((
_xlfn.XLOOKUP((DATE(YEAR($KC$5),MONTH($KC$5),1)),$A$5:$KA$5,$A28:$KA28) /
_xlfn.XLOOKUP((DATE(YEAR($KC$5)-1,MONTH($KC$5),1)),$A$5:$KA$5,$A28:$KA28)),"")</f>
        <v/>
      </c>
      <c r="KI28" s="1068">
        <f>IFERROR((
_xlfn.XLOOKUP((DATE(YEAR($KC$5),MONTH($KC$5),1)),$A$5:$KA$5,$A28:$KA28) -
_xlfn.XLOOKUP((DATE(YEAR($KC$5)-1,MONTH($KC$5),1)),$A$5:$KA$5,$A28:$KA28)),"")</f>
        <v>46</v>
      </c>
      <c r="KJ28" s="1570">
        <f>KF28-KE28</f>
        <v>74</v>
      </c>
    </row>
    <row r="29" spans="1:297" ht="15" customHeight="1" x14ac:dyDescent="0.2">
      <c r="A29" s="1067" t="s">
        <v>194</v>
      </c>
      <c r="B29" s="1636">
        <v>56</v>
      </c>
      <c r="C29" s="1637">
        <v>63</v>
      </c>
      <c r="D29" s="1637">
        <v>57</v>
      </c>
      <c r="E29" s="1637">
        <v>61</v>
      </c>
      <c r="F29" s="1637">
        <v>54</v>
      </c>
      <c r="G29" s="1637">
        <v>64</v>
      </c>
      <c r="H29" s="1637">
        <v>31</v>
      </c>
      <c r="I29" s="1637">
        <v>70</v>
      </c>
      <c r="J29" s="1637">
        <v>63</v>
      </c>
      <c r="K29" s="1637">
        <v>31</v>
      </c>
      <c r="L29" s="1637">
        <v>79</v>
      </c>
      <c r="M29" s="1638">
        <v>64</v>
      </c>
      <c r="N29" s="1638">
        <f>SUM(B29:M29)</f>
        <v>693</v>
      </c>
      <c r="O29" s="1636">
        <v>45</v>
      </c>
      <c r="P29" s="1637">
        <v>59</v>
      </c>
      <c r="Q29" s="1637">
        <v>31</v>
      </c>
      <c r="R29" s="1637">
        <v>97</v>
      </c>
      <c r="S29" s="1637">
        <v>77</v>
      </c>
      <c r="T29" s="1637">
        <v>60</v>
      </c>
      <c r="U29" s="1637">
        <v>101</v>
      </c>
      <c r="V29" s="1637">
        <v>71</v>
      </c>
      <c r="W29" s="1637">
        <v>65</v>
      </c>
      <c r="X29" s="1637">
        <v>41</v>
      </c>
      <c r="Y29" s="1637">
        <v>98</v>
      </c>
      <c r="Z29" s="1638">
        <v>73</v>
      </c>
      <c r="AA29" s="1638">
        <f>+SUM(O29:Z29)</f>
        <v>818</v>
      </c>
      <c r="AB29" s="1636">
        <v>74</v>
      </c>
      <c r="AC29" s="1637">
        <v>50</v>
      </c>
      <c r="AD29" s="1637">
        <v>74</v>
      </c>
      <c r="AE29" s="1637">
        <v>68</v>
      </c>
      <c r="AF29" s="1637">
        <v>35</v>
      </c>
      <c r="AG29" s="1637">
        <v>113</v>
      </c>
      <c r="AH29" s="1637">
        <v>76</v>
      </c>
      <c r="AI29" s="1637">
        <v>136</v>
      </c>
      <c r="AJ29" s="1637">
        <v>150</v>
      </c>
      <c r="AK29" s="1637">
        <v>105</v>
      </c>
      <c r="AL29" s="1637">
        <v>39</v>
      </c>
      <c r="AM29" s="1638">
        <v>119</v>
      </c>
      <c r="AN29" s="1638">
        <f>+SUM(AB29:AM29)</f>
        <v>1039</v>
      </c>
      <c r="AO29" s="1636">
        <v>82</v>
      </c>
      <c r="AP29" s="1637">
        <v>82</v>
      </c>
      <c r="AQ29" s="1637">
        <v>108</v>
      </c>
      <c r="AR29" s="1637">
        <v>128</v>
      </c>
      <c r="AS29" s="1637">
        <v>88</v>
      </c>
      <c r="AT29" s="1637">
        <v>216</v>
      </c>
      <c r="AU29" s="1637">
        <v>87</v>
      </c>
      <c r="AV29" s="1637">
        <v>88</v>
      </c>
      <c r="AW29" s="1637">
        <v>130</v>
      </c>
      <c r="AX29" s="1637">
        <v>86</v>
      </c>
      <c r="AY29" s="1637">
        <v>253</v>
      </c>
      <c r="AZ29" s="1638">
        <v>81</v>
      </c>
      <c r="BA29" s="1638">
        <f>SUM(AO29:AZ29)</f>
        <v>1429</v>
      </c>
      <c r="BB29" s="1636">
        <v>125</v>
      </c>
      <c r="BC29" s="1637">
        <v>167</v>
      </c>
      <c r="BD29" s="1637">
        <v>127</v>
      </c>
      <c r="BE29" s="1637">
        <v>73</v>
      </c>
      <c r="BF29" s="1637">
        <v>30</v>
      </c>
      <c r="BG29" s="1637">
        <v>139</v>
      </c>
      <c r="BH29" s="1637">
        <v>136</v>
      </c>
      <c r="BI29" s="1637">
        <v>138</v>
      </c>
      <c r="BJ29" s="1637">
        <v>250</v>
      </c>
      <c r="BK29" s="1637">
        <v>185</v>
      </c>
      <c r="BL29" s="1637">
        <v>313</v>
      </c>
      <c r="BM29" s="1638">
        <v>244</v>
      </c>
      <c r="BN29" s="1638">
        <f>SUM(BB29:BM29)</f>
        <v>1927</v>
      </c>
      <c r="BO29" s="1636">
        <v>161</v>
      </c>
      <c r="BP29" s="1637">
        <v>213</v>
      </c>
      <c r="BQ29" s="1637">
        <v>232</v>
      </c>
      <c r="BR29" s="1637">
        <v>215</v>
      </c>
      <c r="BS29" s="1637">
        <v>200</v>
      </c>
      <c r="BT29" s="1637">
        <v>238</v>
      </c>
      <c r="BU29" s="1637">
        <v>280</v>
      </c>
      <c r="BV29" s="1637">
        <v>319</v>
      </c>
      <c r="BW29" s="1637">
        <v>39</v>
      </c>
      <c r="BX29" s="1637">
        <v>260</v>
      </c>
      <c r="BY29" s="1637">
        <v>136</v>
      </c>
      <c r="BZ29" s="1638">
        <v>348</v>
      </c>
      <c r="CA29" s="1638">
        <f>SUM(BO29:BZ29)</f>
        <v>2641</v>
      </c>
      <c r="CB29" s="1636">
        <v>110</v>
      </c>
      <c r="CC29" s="1637">
        <v>222</v>
      </c>
      <c r="CD29" s="1637">
        <v>267</v>
      </c>
      <c r="CE29" s="1637">
        <v>216</v>
      </c>
      <c r="CF29" s="1637">
        <v>140</v>
      </c>
      <c r="CG29" s="1637">
        <v>316</v>
      </c>
      <c r="CH29" s="1637">
        <v>254</v>
      </c>
      <c r="CI29" s="1637">
        <v>270</v>
      </c>
      <c r="CJ29" s="1637">
        <v>268</v>
      </c>
      <c r="CK29" s="1637">
        <v>111</v>
      </c>
      <c r="CL29" s="1637">
        <v>188</v>
      </c>
      <c r="CM29" s="1638">
        <v>373</v>
      </c>
      <c r="CN29" s="1638">
        <f>SUM(CB29:CM29)</f>
        <v>2735</v>
      </c>
      <c r="CO29" s="1636">
        <v>192</v>
      </c>
      <c r="CP29" s="1637">
        <v>176</v>
      </c>
      <c r="CQ29" s="1637">
        <v>419</v>
      </c>
      <c r="CR29" s="1637">
        <v>163</v>
      </c>
      <c r="CS29" s="1637">
        <v>286</v>
      </c>
      <c r="CT29" s="1637">
        <v>254</v>
      </c>
      <c r="CU29" s="1637">
        <v>391</v>
      </c>
      <c r="CV29" s="1637">
        <v>225</v>
      </c>
      <c r="CW29" s="1637">
        <v>294</v>
      </c>
      <c r="CX29" s="1637">
        <v>238</v>
      </c>
      <c r="CY29" s="1637">
        <v>209</v>
      </c>
      <c r="CZ29" s="1638">
        <v>250</v>
      </c>
      <c r="DA29" s="1638">
        <f>SUM(CO29:CZ29)</f>
        <v>3097</v>
      </c>
      <c r="DB29" s="1636">
        <v>158</v>
      </c>
      <c r="DC29" s="1637">
        <v>178</v>
      </c>
      <c r="DD29" s="1637">
        <v>355</v>
      </c>
      <c r="DE29" s="1637">
        <v>239</v>
      </c>
      <c r="DF29" s="1637">
        <v>125</v>
      </c>
      <c r="DG29" s="1637">
        <v>269</v>
      </c>
      <c r="DH29" s="1637">
        <v>137</v>
      </c>
      <c r="DI29" s="1637">
        <v>408</v>
      </c>
      <c r="DJ29" s="1637">
        <v>80</v>
      </c>
      <c r="DK29" s="1637">
        <v>112</v>
      </c>
      <c r="DL29" s="1637">
        <v>186</v>
      </c>
      <c r="DM29" s="1638">
        <v>258</v>
      </c>
      <c r="DN29" s="1638">
        <f>SUM(DB29:DM29)</f>
        <v>2505</v>
      </c>
      <c r="DO29" s="1636">
        <v>191</v>
      </c>
      <c r="DP29" s="1637">
        <v>45</v>
      </c>
      <c r="DQ29" s="1637">
        <v>139</v>
      </c>
      <c r="DR29" s="1637">
        <v>101</v>
      </c>
      <c r="DS29" s="1637">
        <v>142</v>
      </c>
      <c r="DT29" s="1637">
        <v>130</v>
      </c>
      <c r="DU29" s="1637">
        <v>45</v>
      </c>
      <c r="DV29" s="1637">
        <v>224</v>
      </c>
      <c r="DW29" s="1637">
        <v>333</v>
      </c>
      <c r="DX29" s="1637">
        <v>329</v>
      </c>
      <c r="DY29" s="1637">
        <v>326</v>
      </c>
      <c r="DZ29" s="1638">
        <v>85</v>
      </c>
      <c r="EA29" s="1638">
        <f>SUM(DO29:DZ29)</f>
        <v>2090</v>
      </c>
      <c r="EB29" s="1636">
        <v>159</v>
      </c>
      <c r="EC29" s="1637">
        <v>178</v>
      </c>
      <c r="ED29" s="1637">
        <v>380</v>
      </c>
      <c r="EE29" s="1637">
        <v>191</v>
      </c>
      <c r="EF29" s="1637">
        <v>204</v>
      </c>
      <c r="EG29" s="1637">
        <v>213</v>
      </c>
      <c r="EH29" s="1637">
        <v>305</v>
      </c>
      <c r="EI29" s="1637">
        <v>221</v>
      </c>
      <c r="EJ29" s="1637">
        <v>219</v>
      </c>
      <c r="EK29" s="1637">
        <v>171</v>
      </c>
      <c r="EL29" s="1637">
        <v>158.30000000000001</v>
      </c>
      <c r="EM29" s="1638">
        <v>119</v>
      </c>
      <c r="EN29" s="1638">
        <f>SUM(EB29:EM29)</f>
        <v>2518.3000000000002</v>
      </c>
      <c r="EO29" s="1636">
        <v>154</v>
      </c>
      <c r="EP29" s="1637">
        <v>196</v>
      </c>
      <c r="EQ29" s="1637">
        <v>313</v>
      </c>
      <c r="ER29" s="1637">
        <v>78</v>
      </c>
      <c r="ES29" s="1637">
        <v>311</v>
      </c>
      <c r="ET29" s="1637">
        <v>330</v>
      </c>
      <c r="EU29" s="1637">
        <v>128</v>
      </c>
      <c r="EV29" s="1637">
        <v>211</v>
      </c>
      <c r="EW29" s="1637">
        <v>143</v>
      </c>
      <c r="EX29" s="1637">
        <v>266</v>
      </c>
      <c r="EY29" s="1637">
        <v>120</v>
      </c>
      <c r="EZ29" s="1638">
        <v>118</v>
      </c>
      <c r="FA29" s="1638">
        <f>SUM(EO29:EZ29)</f>
        <v>2368</v>
      </c>
      <c r="FB29" s="1636">
        <v>117</v>
      </c>
      <c r="FC29" s="1637">
        <v>189</v>
      </c>
      <c r="FD29" s="1637">
        <v>244</v>
      </c>
      <c r="FE29" s="1637">
        <v>292</v>
      </c>
      <c r="FF29" s="1637">
        <v>208</v>
      </c>
      <c r="FG29" s="1637">
        <v>277</v>
      </c>
      <c r="FH29" s="1637">
        <v>331</v>
      </c>
      <c r="FI29" s="1637">
        <v>379</v>
      </c>
      <c r="FJ29" s="1637">
        <v>344</v>
      </c>
      <c r="FK29" s="1637">
        <v>193</v>
      </c>
      <c r="FL29" s="1637">
        <v>397</v>
      </c>
      <c r="FM29" s="1638">
        <v>424</v>
      </c>
      <c r="FN29" s="1638">
        <f>SUM(FB29:FM29)</f>
        <v>3395</v>
      </c>
      <c r="FO29" s="1636">
        <v>209</v>
      </c>
      <c r="FP29" s="1637">
        <v>177</v>
      </c>
      <c r="FQ29" s="1637">
        <v>207</v>
      </c>
      <c r="FR29" s="1637">
        <v>235</v>
      </c>
      <c r="FS29" s="1637">
        <v>212</v>
      </c>
      <c r="FT29" s="1637">
        <v>363</v>
      </c>
      <c r="FU29" s="1637">
        <v>468</v>
      </c>
      <c r="FV29" s="1637">
        <v>179</v>
      </c>
      <c r="FW29" s="1637">
        <v>449</v>
      </c>
      <c r="FX29" s="1637">
        <v>509</v>
      </c>
      <c r="FY29" s="1637">
        <v>367</v>
      </c>
      <c r="FZ29" s="1638">
        <v>491</v>
      </c>
      <c r="GA29" s="1638">
        <f>SUM(FO29:FZ29)</f>
        <v>3866</v>
      </c>
      <c r="GB29" s="1636">
        <v>647</v>
      </c>
      <c r="GC29" s="1637">
        <v>550</v>
      </c>
      <c r="GD29" s="1637">
        <v>913</v>
      </c>
      <c r="GE29" s="1637">
        <v>986</v>
      </c>
      <c r="GF29" s="1637">
        <v>568</v>
      </c>
      <c r="GG29" s="1637">
        <v>690</v>
      </c>
      <c r="GH29" s="1637">
        <v>668</v>
      </c>
      <c r="GI29" s="1637">
        <v>748</v>
      </c>
      <c r="GJ29" s="1637">
        <v>573</v>
      </c>
      <c r="GK29" s="1637">
        <v>601</v>
      </c>
      <c r="GL29" s="1637">
        <v>692</v>
      </c>
      <c r="GM29" s="1638">
        <v>960</v>
      </c>
      <c r="GN29" s="1638">
        <f>SUM(GB29:GM29)</f>
        <v>8596</v>
      </c>
      <c r="GO29" s="1636">
        <v>260</v>
      </c>
      <c r="GP29" s="1637">
        <v>1012</v>
      </c>
      <c r="GQ29" s="1637">
        <v>652</v>
      </c>
      <c r="GR29" s="1637">
        <v>766</v>
      </c>
      <c r="GS29" s="1637">
        <v>580</v>
      </c>
      <c r="GT29" s="1637">
        <v>673</v>
      </c>
      <c r="GU29" s="1637">
        <v>931</v>
      </c>
      <c r="GV29" s="1637">
        <v>670</v>
      </c>
      <c r="GW29" s="1637">
        <v>626</v>
      </c>
      <c r="GX29" s="1637">
        <v>607</v>
      </c>
      <c r="GY29" s="1637">
        <v>571</v>
      </c>
      <c r="GZ29" s="1638">
        <v>850</v>
      </c>
      <c r="HA29" s="1638">
        <f>SUM(GO29:GZ29)</f>
        <v>8198</v>
      </c>
      <c r="HB29" s="1636">
        <v>547</v>
      </c>
      <c r="HC29" s="1637">
        <v>739</v>
      </c>
      <c r="HD29" s="1637">
        <v>734</v>
      </c>
      <c r="HE29" s="1637">
        <v>1120</v>
      </c>
      <c r="HF29" s="1637">
        <v>980</v>
      </c>
      <c r="HG29" s="1637">
        <v>586</v>
      </c>
      <c r="HH29" s="1637">
        <v>900</v>
      </c>
      <c r="HI29" s="1637">
        <v>861</v>
      </c>
      <c r="HJ29" s="1637">
        <v>712</v>
      </c>
      <c r="HK29" s="1637">
        <v>696</v>
      </c>
      <c r="HL29" s="1637">
        <v>538</v>
      </c>
      <c r="HM29" s="1638">
        <v>1066</v>
      </c>
      <c r="HN29" s="1638">
        <f>SUM(HB29:HM29)</f>
        <v>9479</v>
      </c>
      <c r="HO29" s="1636">
        <v>478</v>
      </c>
      <c r="HP29" s="1637">
        <v>1070</v>
      </c>
      <c r="HQ29" s="1637">
        <v>926</v>
      </c>
      <c r="HR29" s="1637">
        <v>1185</v>
      </c>
      <c r="HS29" s="1637">
        <v>1184</v>
      </c>
      <c r="HT29" s="1637">
        <v>1284</v>
      </c>
      <c r="HU29" s="1637">
        <v>782</v>
      </c>
      <c r="HV29" s="1637">
        <v>898</v>
      </c>
      <c r="HW29" s="1637">
        <v>1037</v>
      </c>
      <c r="HX29" s="1637">
        <v>661</v>
      </c>
      <c r="HY29" s="1637">
        <v>742</v>
      </c>
      <c r="HZ29" s="1638">
        <v>908</v>
      </c>
      <c r="IA29" s="1638">
        <f>SUM(HO29:HZ29)</f>
        <v>11155</v>
      </c>
      <c r="IB29" s="1636">
        <v>709</v>
      </c>
      <c r="IC29" s="1637">
        <v>911</v>
      </c>
      <c r="ID29" s="1637">
        <v>1021</v>
      </c>
      <c r="IE29" s="1637">
        <v>1218</v>
      </c>
      <c r="IF29" s="1637">
        <v>1177</v>
      </c>
      <c r="IG29" s="1637">
        <v>1298</v>
      </c>
      <c r="IH29" s="1637">
        <v>1177</v>
      </c>
      <c r="II29" s="1637">
        <v>798</v>
      </c>
      <c r="IJ29" s="1637">
        <v>863</v>
      </c>
      <c r="IK29" s="1637">
        <v>1439</v>
      </c>
      <c r="IL29" s="1637">
        <v>1227</v>
      </c>
      <c r="IM29" s="1638">
        <v>876</v>
      </c>
      <c r="IN29" s="1638">
        <f>SUM(IB29:IM29)</f>
        <v>12714</v>
      </c>
      <c r="IO29" s="1636">
        <v>1223</v>
      </c>
      <c r="IP29" s="1637">
        <v>924</v>
      </c>
      <c r="IQ29" s="1637">
        <v>935</v>
      </c>
      <c r="IR29" s="1637">
        <v>1174</v>
      </c>
      <c r="IS29" s="1637">
        <v>1127</v>
      </c>
      <c r="IT29" s="1637">
        <v>964</v>
      </c>
      <c r="IU29" s="1637">
        <v>975</v>
      </c>
      <c r="IV29" s="1637">
        <v>1077</v>
      </c>
      <c r="IW29" s="1637">
        <v>1062</v>
      </c>
      <c r="IX29" s="1637">
        <v>882</v>
      </c>
      <c r="IY29" s="1637">
        <v>968</v>
      </c>
      <c r="IZ29" s="1638">
        <v>1091</v>
      </c>
      <c r="JA29" s="1638">
        <v>12402</v>
      </c>
      <c r="JB29" s="1636">
        <v>783</v>
      </c>
      <c r="JC29" s="1637">
        <v>1240</v>
      </c>
      <c r="JD29" s="1637">
        <v>1527</v>
      </c>
      <c r="JE29" s="1637">
        <v>1275</v>
      </c>
      <c r="JF29" s="1637">
        <v>1415</v>
      </c>
      <c r="JG29" s="1637">
        <v>1310</v>
      </c>
      <c r="JH29" s="1637">
        <v>983</v>
      </c>
      <c r="JI29" s="1637">
        <v>1331</v>
      </c>
      <c r="JJ29" s="1637">
        <v>449</v>
      </c>
      <c r="JK29" s="1637">
        <v>1008</v>
      </c>
      <c r="JL29" s="1637">
        <v>1055</v>
      </c>
      <c r="JM29" s="1638">
        <v>1286</v>
      </c>
      <c r="JN29" s="1638">
        <f t="shared" si="640"/>
        <v>13662</v>
      </c>
      <c r="JO29" s="1636">
        <v>793</v>
      </c>
      <c r="JP29" s="1637">
        <v>716</v>
      </c>
      <c r="JQ29" s="1637">
        <v>1167</v>
      </c>
      <c r="JR29" s="1637">
        <v>1380</v>
      </c>
      <c r="JS29" s="1637">
        <v>911</v>
      </c>
      <c r="JT29" s="1637">
        <v>1200</v>
      </c>
      <c r="JU29" s="1637">
        <v>812</v>
      </c>
      <c r="JV29" s="1637">
        <v>758</v>
      </c>
      <c r="JW29" s="1637"/>
      <c r="JX29" s="1637"/>
      <c r="JY29" s="1637"/>
      <c r="JZ29" s="1638"/>
      <c r="KA29" s="1638">
        <f t="shared" si="641"/>
        <v>7737</v>
      </c>
      <c r="KB29" s="1068"/>
      <c r="KC29" s="1645">
        <f>IFERROR(((
_xlfn.XLOOKUP((DATE(YEAR($KC$5),MONTH($KC$5),1)),$A$5:$KA$5,$A29:$KA29) /
_xlfn.XLOOKUP((DATE(YEAR($KC$5)-1,MONTH($KC$5),1)),$A$5:$KA$5,$A29:$KA29)
)-1)*100,"")</f>
        <v>-23.575638506876228</v>
      </c>
      <c r="KD29" s="1642">
        <f>IFERROR(((KF29/KE29)-1)*100,"")</f>
        <v>-24.619718309859152</v>
      </c>
      <c r="KE29" s="1643">
        <f>SUMIFS($B29:$KA29,$B$5:$KA$5,"&gt;="&amp;DATE(YEAR($KC$5)-1,1,1),$B$5:$KA$5,"&lt;="&amp;DATE(YEAR($KC$5)-1,MONTH($KC$5),1))</f>
        <v>3550</v>
      </c>
      <c r="KF29" s="1643">
        <f>SUMIFS($B29:$KA29,$B$5:$KA$5,"&gt;="&amp;DATE(YEAR($KC$5),1,1),$B$5:$KA$5,"&lt;="&amp;$KC$5)</f>
        <v>2676</v>
      </c>
      <c r="KG29" s="1068"/>
      <c r="KH29" s="1644">
        <f>IFERROR((
_xlfn.XLOOKUP((DATE(YEAR($KC$5),MONTH($KC$5),1)),$A$5:$KA$5,$A29:$KA29) /
_xlfn.XLOOKUP((DATE(YEAR($KC$5)-1,MONTH($KC$5),1)),$A$5:$KA$5,$A29:$KA29)),"")</f>
        <v>0.76424361493123771</v>
      </c>
      <c r="KI29" s="1068">
        <f>IFERROR((
_xlfn.XLOOKUP((DATE(YEAR($KC$5),MONTH($KC$5),1)),$A$5:$KA$5,$A29:$KA29) -
_xlfn.XLOOKUP((DATE(YEAR($KC$5)-1,MONTH($KC$5),1)),$A$5:$KA$5,$A29:$KA29)),"")</f>
        <v>-360</v>
      </c>
      <c r="KJ29" s="1570">
        <f>KF29-KE29</f>
        <v>-874</v>
      </c>
    </row>
    <row r="30" spans="1:297" ht="15" customHeight="1" x14ac:dyDescent="0.2">
      <c r="A30" s="1067" t="s">
        <v>347</v>
      </c>
      <c r="B30" s="1636"/>
      <c r="C30" s="1637"/>
      <c r="D30" s="1637"/>
      <c r="E30" s="1637"/>
      <c r="F30" s="1637"/>
      <c r="G30" s="1637"/>
      <c r="H30" s="1637"/>
      <c r="I30" s="1637"/>
      <c r="J30" s="1637"/>
      <c r="K30" s="1637"/>
      <c r="L30" s="1637"/>
      <c r="M30" s="1638"/>
      <c r="N30" s="1638"/>
      <c r="O30" s="1636"/>
      <c r="P30" s="1637"/>
      <c r="Q30" s="1637"/>
      <c r="R30" s="1637"/>
      <c r="S30" s="1637"/>
      <c r="T30" s="1637"/>
      <c r="U30" s="1637"/>
      <c r="V30" s="1637"/>
      <c r="W30" s="1637"/>
      <c r="X30" s="1637"/>
      <c r="Y30" s="1637"/>
      <c r="Z30" s="1638"/>
      <c r="AA30" s="1638"/>
      <c r="AB30" s="1636"/>
      <c r="AC30" s="1637"/>
      <c r="AD30" s="1637"/>
      <c r="AE30" s="1637"/>
      <c r="AF30" s="1637"/>
      <c r="AG30" s="1637"/>
      <c r="AH30" s="1637"/>
      <c r="AI30" s="1637"/>
      <c r="AJ30" s="1637"/>
      <c r="AK30" s="1637"/>
      <c r="AL30" s="1637"/>
      <c r="AM30" s="1638"/>
      <c r="AN30" s="1638"/>
      <c r="AO30" s="1636"/>
      <c r="AP30" s="1637"/>
      <c r="AQ30" s="1637"/>
      <c r="AR30" s="1637"/>
      <c r="AS30" s="1637"/>
      <c r="AT30" s="1637"/>
      <c r="AU30" s="1637"/>
      <c r="AV30" s="1637"/>
      <c r="AW30" s="1637"/>
      <c r="AX30" s="1637"/>
      <c r="AY30" s="1637"/>
      <c r="AZ30" s="1638"/>
      <c r="BA30" s="1638">
        <f>SUM(AO30:AZ30)</f>
        <v>0</v>
      </c>
      <c r="BB30" s="1636"/>
      <c r="BC30" s="1637"/>
      <c r="BD30" s="1637"/>
      <c r="BE30" s="1637"/>
      <c r="BF30" s="1637"/>
      <c r="BG30" s="1637"/>
      <c r="BH30" s="1637"/>
      <c r="BI30" s="1637"/>
      <c r="BJ30" s="1637"/>
      <c r="BK30" s="1637"/>
      <c r="BL30" s="1637"/>
      <c r="BM30" s="1638"/>
      <c r="BN30" s="1638">
        <f>SUM(BB30:BM30)</f>
        <v>0</v>
      </c>
      <c r="BO30" s="1636"/>
      <c r="BP30" s="1637"/>
      <c r="BQ30" s="1637"/>
      <c r="BR30" s="1637"/>
      <c r="BS30" s="1637"/>
      <c r="BT30" s="1637"/>
      <c r="BU30" s="1637"/>
      <c r="BV30" s="1637"/>
      <c r="BW30" s="1637"/>
      <c r="BX30" s="1637"/>
      <c r="BY30" s="1637"/>
      <c r="BZ30" s="1638"/>
      <c r="CA30" s="1638">
        <f>SUM(BO30:BZ30)</f>
        <v>0</v>
      </c>
      <c r="CB30" s="1636"/>
      <c r="CC30" s="1637"/>
      <c r="CD30" s="1637"/>
      <c r="CE30" s="1637"/>
      <c r="CF30" s="1637"/>
      <c r="CG30" s="1637"/>
      <c r="CH30" s="1637"/>
      <c r="CI30" s="1637"/>
      <c r="CJ30" s="1637"/>
      <c r="CK30" s="1637"/>
      <c r="CL30" s="1637"/>
      <c r="CM30" s="1638"/>
      <c r="CN30" s="1638">
        <f>SUM(CB30:CM30)</f>
        <v>0</v>
      </c>
      <c r="CO30" s="1636"/>
      <c r="CP30" s="1637"/>
      <c r="CQ30" s="1637"/>
      <c r="CR30" s="1637"/>
      <c r="CS30" s="1637"/>
      <c r="CT30" s="1637"/>
      <c r="CU30" s="1637"/>
      <c r="CV30" s="1637"/>
      <c r="CW30" s="1637"/>
      <c r="CX30" s="1637"/>
      <c r="CY30" s="1637"/>
      <c r="CZ30" s="1638"/>
      <c r="DA30" s="1638">
        <f>SUM(CO30:CZ30)</f>
        <v>0</v>
      </c>
      <c r="DB30" s="1636"/>
      <c r="DC30" s="1637"/>
      <c r="DD30" s="1637"/>
      <c r="DE30" s="1637"/>
      <c r="DF30" s="1637"/>
      <c r="DG30" s="1637"/>
      <c r="DH30" s="1637"/>
      <c r="DI30" s="1637"/>
      <c r="DJ30" s="1637"/>
      <c r="DK30" s="1637"/>
      <c r="DL30" s="1637"/>
      <c r="DM30" s="1638"/>
      <c r="DN30" s="1638">
        <f>SUM(DB30:DM30)</f>
        <v>0</v>
      </c>
      <c r="DO30" s="1636"/>
      <c r="DP30" s="1637"/>
      <c r="DQ30" s="1637"/>
      <c r="DR30" s="1637"/>
      <c r="DS30" s="1637"/>
      <c r="DT30" s="1637"/>
      <c r="DU30" s="1637"/>
      <c r="DV30" s="1637"/>
      <c r="DW30" s="1637"/>
      <c r="DX30" s="1637"/>
      <c r="DY30" s="1637"/>
      <c r="DZ30" s="1638"/>
      <c r="EA30" s="1638">
        <f>SUM(DO30:DZ30)</f>
        <v>0</v>
      </c>
      <c r="EB30" s="1636"/>
      <c r="EC30" s="1637"/>
      <c r="ED30" s="1637"/>
      <c r="EE30" s="1637"/>
      <c r="EF30" s="1637"/>
      <c r="EG30" s="1637"/>
      <c r="EH30" s="1637"/>
      <c r="EI30" s="1637"/>
      <c r="EJ30" s="1637"/>
      <c r="EK30" s="1637"/>
      <c r="EL30" s="1637"/>
      <c r="EM30" s="1638"/>
      <c r="EN30" s="1638">
        <f>SUM(EB30:EM30)</f>
        <v>0</v>
      </c>
      <c r="EO30" s="1636"/>
      <c r="EP30" s="1637"/>
      <c r="EQ30" s="1637"/>
      <c r="ER30" s="1637"/>
      <c r="ES30" s="1637"/>
      <c r="ET30" s="1637"/>
      <c r="EU30" s="1637"/>
      <c r="EV30" s="1637"/>
      <c r="EW30" s="1637"/>
      <c r="EX30" s="1637"/>
      <c r="EY30" s="1637"/>
      <c r="EZ30" s="1638"/>
      <c r="FA30" s="1638">
        <f>SUM(EO30:EZ30)</f>
        <v>0</v>
      </c>
      <c r="FB30" s="1636"/>
      <c r="FC30" s="1637"/>
      <c r="FD30" s="1637"/>
      <c r="FE30" s="1637"/>
      <c r="FF30" s="1637"/>
      <c r="FG30" s="1637"/>
      <c r="FH30" s="1637"/>
      <c r="FI30" s="1637"/>
      <c r="FJ30" s="1637"/>
      <c r="FK30" s="1637"/>
      <c r="FL30" s="1637"/>
      <c r="FM30" s="1638"/>
      <c r="FN30" s="1638">
        <f>SUM(FB30:FM30)</f>
        <v>0</v>
      </c>
      <c r="FO30" s="1636"/>
      <c r="FP30" s="1637"/>
      <c r="FQ30" s="1637"/>
      <c r="FR30" s="1637"/>
      <c r="FS30" s="1637"/>
      <c r="FT30" s="1637"/>
      <c r="FU30" s="1637"/>
      <c r="FV30" s="1637"/>
      <c r="FW30" s="1637"/>
      <c r="FX30" s="1637"/>
      <c r="FY30" s="1637"/>
      <c r="FZ30" s="1638"/>
      <c r="GA30" s="1638">
        <f>SUM(FO30:FZ30)</f>
        <v>0</v>
      </c>
      <c r="GB30" s="1636"/>
      <c r="GC30" s="1637"/>
      <c r="GD30" s="1637"/>
      <c r="GE30" s="1637"/>
      <c r="GF30" s="1637"/>
      <c r="GG30" s="1637"/>
      <c r="GH30" s="1637"/>
      <c r="GI30" s="1637"/>
      <c r="GJ30" s="1637"/>
      <c r="GK30" s="1637"/>
      <c r="GL30" s="1637"/>
      <c r="GM30" s="1638"/>
      <c r="GN30" s="1638">
        <f>SUM(GB30:GM30)</f>
        <v>0</v>
      </c>
      <c r="GO30" s="1636"/>
      <c r="GP30" s="1637"/>
      <c r="GQ30" s="1637"/>
      <c r="GR30" s="1637"/>
      <c r="GS30" s="1637"/>
      <c r="GT30" s="1637"/>
      <c r="GU30" s="1637"/>
      <c r="GV30" s="1637"/>
      <c r="GW30" s="1637"/>
      <c r="GX30" s="1637"/>
      <c r="GY30" s="1637"/>
      <c r="GZ30" s="1638"/>
      <c r="HA30" s="1638">
        <f>SUM(GO30:GZ30)</f>
        <v>0</v>
      </c>
      <c r="HB30" s="1636"/>
      <c r="HC30" s="1637"/>
      <c r="HD30" s="1637"/>
      <c r="HE30" s="1637"/>
      <c r="HF30" s="1637"/>
      <c r="HG30" s="1637"/>
      <c r="HH30" s="1637"/>
      <c r="HI30" s="1637"/>
      <c r="HJ30" s="1637"/>
      <c r="HK30" s="1637"/>
      <c r="HL30" s="1637"/>
      <c r="HM30" s="1638"/>
      <c r="HN30" s="1638">
        <f>SUM(HB30:HM30)</f>
        <v>0</v>
      </c>
      <c r="HO30" s="1636">
        <v>782</v>
      </c>
      <c r="HP30" s="1637">
        <v>219</v>
      </c>
      <c r="HQ30" s="1637">
        <v>415</v>
      </c>
      <c r="HR30" s="1637">
        <v>386</v>
      </c>
      <c r="HS30" s="1637">
        <v>446</v>
      </c>
      <c r="HT30" s="1637">
        <v>620</v>
      </c>
      <c r="HU30" s="1637">
        <v>1268</v>
      </c>
      <c r="HV30" s="1637">
        <v>829</v>
      </c>
      <c r="HW30" s="1637">
        <v>940</v>
      </c>
      <c r="HX30" s="1637">
        <v>408</v>
      </c>
      <c r="HY30" s="1637">
        <v>345</v>
      </c>
      <c r="HZ30" s="1638">
        <v>229</v>
      </c>
      <c r="IA30" s="1638">
        <f>SUM(HO30:HZ30)</f>
        <v>6887</v>
      </c>
      <c r="IB30" s="1636">
        <v>842</v>
      </c>
      <c r="IC30" s="1637">
        <v>164</v>
      </c>
      <c r="ID30" s="1637">
        <v>878</v>
      </c>
      <c r="IE30" s="1637">
        <v>546</v>
      </c>
      <c r="IF30" s="1637">
        <v>316</v>
      </c>
      <c r="IG30" s="1637">
        <v>373</v>
      </c>
      <c r="IH30" s="1637">
        <v>2729</v>
      </c>
      <c r="II30" s="1637">
        <v>289</v>
      </c>
      <c r="IJ30" s="1637">
        <v>3182</v>
      </c>
      <c r="IK30" s="1637">
        <v>2221</v>
      </c>
      <c r="IL30" s="1637">
        <v>123</v>
      </c>
      <c r="IM30" s="1638">
        <v>2743</v>
      </c>
      <c r="IN30" s="1638">
        <f>SUM(IB30:IM30)</f>
        <v>14406</v>
      </c>
      <c r="IO30" s="1636">
        <v>3218</v>
      </c>
      <c r="IP30" s="1637">
        <v>183</v>
      </c>
      <c r="IQ30" s="1637">
        <v>332</v>
      </c>
      <c r="IR30" s="1637">
        <v>4196</v>
      </c>
      <c r="IS30" s="1637">
        <v>1628</v>
      </c>
      <c r="IT30" s="1637">
        <v>1030</v>
      </c>
      <c r="IU30" s="1637">
        <v>765</v>
      </c>
      <c r="IV30" s="1637">
        <v>511</v>
      </c>
      <c r="IW30" s="1637">
        <v>948</v>
      </c>
      <c r="IX30" s="1637">
        <v>737</v>
      </c>
      <c r="IY30" s="1637">
        <v>1036</v>
      </c>
      <c r="IZ30" s="1638">
        <v>230</v>
      </c>
      <c r="JA30" s="1638">
        <v>14814</v>
      </c>
      <c r="JB30" s="1636">
        <v>554</v>
      </c>
      <c r="JC30" s="1637">
        <v>1705</v>
      </c>
      <c r="JD30" s="1637">
        <v>1014</v>
      </c>
      <c r="JE30" s="1637">
        <v>400</v>
      </c>
      <c r="JF30" s="1637">
        <v>606</v>
      </c>
      <c r="JG30" s="1637">
        <v>1321</v>
      </c>
      <c r="JH30" s="1637">
        <v>420</v>
      </c>
      <c r="JI30" s="1637">
        <v>398</v>
      </c>
      <c r="JJ30" s="1637">
        <v>973</v>
      </c>
      <c r="JK30" s="1637">
        <v>3965</v>
      </c>
      <c r="JL30" s="1637">
        <v>779</v>
      </c>
      <c r="JM30" s="1638">
        <v>1128</v>
      </c>
      <c r="JN30" s="1638">
        <f t="shared" si="640"/>
        <v>13263</v>
      </c>
      <c r="JO30" s="1636">
        <v>674</v>
      </c>
      <c r="JP30" s="1637">
        <v>524</v>
      </c>
      <c r="JQ30" s="1637">
        <v>3540</v>
      </c>
      <c r="JR30" s="1637">
        <v>632</v>
      </c>
      <c r="JS30" s="1637">
        <v>1584</v>
      </c>
      <c r="JT30" s="1637">
        <v>1666</v>
      </c>
      <c r="JU30" s="1637">
        <v>1110</v>
      </c>
      <c r="JV30" s="1637">
        <v>963</v>
      </c>
      <c r="JW30" s="1637"/>
      <c r="JX30" s="1637"/>
      <c r="JY30" s="1637"/>
      <c r="JZ30" s="1638"/>
      <c r="KA30" s="1638">
        <f t="shared" si="641"/>
        <v>10693</v>
      </c>
      <c r="KB30" s="1068"/>
      <c r="KC30" s="1645">
        <f>IFERROR(((
_xlfn.XLOOKUP((DATE(YEAR($KC$5),MONTH($KC$5),1)),$A$5:$KA$5,$A30:$KA30) /
_xlfn.XLOOKUP((DATE(YEAR($KC$5)-1,MONTH($KC$5),1)),$A$5:$KA$5,$A30:$KA30)
)-1)*100,"")</f>
        <v>249.11242603550298</v>
      </c>
      <c r="KD30" s="1642">
        <f>IFERROR(((KF30/KE30)-1)*100,"")</f>
        <v>44.76015887564926</v>
      </c>
      <c r="KE30" s="1643">
        <f>SUMIFS($B30:$KA30,$B$5:$KA$5,"&gt;="&amp;DATE(YEAR($KC$5)-1,1,1),$B$5:$KA$5,"&lt;="&amp;DATE(YEAR($KC$5)-1,MONTH($KC$5),1))</f>
        <v>3273</v>
      </c>
      <c r="KF30" s="1643">
        <f>SUMIFS($B30:$KA30,$B$5:$KA$5,"&gt;="&amp;DATE(YEAR($KC$5),1,1),$B$5:$KA$5,"&lt;="&amp;$KC$5)</f>
        <v>4738</v>
      </c>
      <c r="KG30" s="1068"/>
      <c r="KH30" s="1644">
        <f>IFERROR((
_xlfn.XLOOKUP((DATE(YEAR($KC$5),MONTH($KC$5),1)),$A$5:$KA$5,$A30:$KA30) /
_xlfn.XLOOKUP((DATE(YEAR($KC$5)-1,MONTH($KC$5),1)),$A$5:$KA$5,$A30:$KA30)),"")</f>
        <v>3.4911242603550297</v>
      </c>
      <c r="KI30" s="1068">
        <f>IFERROR((
_xlfn.XLOOKUP((DATE(YEAR($KC$5),MONTH($KC$5),1)),$A$5:$KA$5,$A30:$KA30) -
_xlfn.XLOOKUP((DATE(YEAR($KC$5)-1,MONTH($KC$5),1)),$A$5:$KA$5,$A30:$KA30)),"")</f>
        <v>2526</v>
      </c>
      <c r="KJ30" s="1570">
        <f>KF30-KE30</f>
        <v>1465</v>
      </c>
    </row>
    <row r="31" spans="1:297" ht="15" customHeight="1" x14ac:dyDescent="0.2">
      <c r="A31" s="1067" t="s">
        <v>598</v>
      </c>
      <c r="B31" s="1636">
        <v>41</v>
      </c>
      <c r="C31" s="1637">
        <v>28</v>
      </c>
      <c r="D31" s="1637">
        <v>14</v>
      </c>
      <c r="E31" s="1637"/>
      <c r="F31" s="1637">
        <v>14</v>
      </c>
      <c r="G31" s="1637"/>
      <c r="H31" s="1637">
        <v>14</v>
      </c>
      <c r="I31" s="1637">
        <v>28</v>
      </c>
      <c r="J31" s="1637">
        <v>24</v>
      </c>
      <c r="K31" s="1637">
        <v>28</v>
      </c>
      <c r="L31" s="1637"/>
      <c r="M31" s="1638">
        <v>28</v>
      </c>
      <c r="N31" s="1638">
        <f>SUM(B31:M31)</f>
        <v>219</v>
      </c>
      <c r="O31" s="1636"/>
      <c r="P31" s="1637">
        <v>28</v>
      </c>
      <c r="Q31" s="1637">
        <v>14</v>
      </c>
      <c r="R31" s="1637">
        <v>41</v>
      </c>
      <c r="S31" s="1637">
        <v>28</v>
      </c>
      <c r="T31" s="1637"/>
      <c r="U31" s="1637">
        <v>14</v>
      </c>
      <c r="V31" s="1637"/>
      <c r="W31" s="1637">
        <v>14</v>
      </c>
      <c r="X31" s="1637"/>
      <c r="Y31" s="1637">
        <v>41</v>
      </c>
      <c r="Z31" s="1638">
        <v>29</v>
      </c>
      <c r="AA31" s="1638">
        <f>+SUM(O31:Z31)</f>
        <v>209</v>
      </c>
      <c r="AB31" s="1636">
        <v>33</v>
      </c>
      <c r="AC31" s="1637">
        <v>53</v>
      </c>
      <c r="AD31" s="1637">
        <v>52</v>
      </c>
      <c r="AE31" s="1637">
        <v>36</v>
      </c>
      <c r="AF31" s="1637">
        <v>72</v>
      </c>
      <c r="AG31" s="1637">
        <v>84</v>
      </c>
      <c r="AH31" s="1637">
        <v>36</v>
      </c>
      <c r="AI31" s="1637">
        <v>89</v>
      </c>
      <c r="AJ31" s="1637">
        <v>37</v>
      </c>
      <c r="AK31" s="1637">
        <v>35</v>
      </c>
      <c r="AL31" s="1637">
        <v>51</v>
      </c>
      <c r="AM31" s="1638">
        <v>155</v>
      </c>
      <c r="AN31" s="1638">
        <f>+SUM(AB31:AM31)</f>
        <v>733</v>
      </c>
      <c r="AO31" s="1636">
        <v>158</v>
      </c>
      <c r="AP31" s="1637">
        <v>136</v>
      </c>
      <c r="AQ31" s="1637">
        <v>168</v>
      </c>
      <c r="AR31" s="1637">
        <v>198</v>
      </c>
      <c r="AS31" s="1637">
        <v>113</v>
      </c>
      <c r="AT31" s="1637">
        <v>89</v>
      </c>
      <c r="AU31" s="1637">
        <v>119</v>
      </c>
      <c r="AV31" s="1637">
        <v>90</v>
      </c>
      <c r="AW31" s="1637">
        <v>154</v>
      </c>
      <c r="AX31" s="1637">
        <v>85</v>
      </c>
      <c r="AY31" s="1637">
        <v>100</v>
      </c>
      <c r="AZ31" s="1638">
        <v>23</v>
      </c>
      <c r="BA31" s="1638">
        <f>SUM(AO31:AZ31)</f>
        <v>1433</v>
      </c>
      <c r="BB31" s="1636">
        <v>25</v>
      </c>
      <c r="BC31" s="1637">
        <v>47</v>
      </c>
      <c r="BD31" s="1637">
        <v>66</v>
      </c>
      <c r="BE31" s="1637">
        <v>38</v>
      </c>
      <c r="BF31" s="1637">
        <v>5</v>
      </c>
      <c r="BG31" s="1637">
        <v>64</v>
      </c>
      <c r="BH31" s="1637"/>
      <c r="BI31" s="1637">
        <v>21</v>
      </c>
      <c r="BJ31" s="1637">
        <v>104</v>
      </c>
      <c r="BK31" s="1637">
        <v>42</v>
      </c>
      <c r="BL31" s="1637"/>
      <c r="BM31" s="1638">
        <v>21</v>
      </c>
      <c r="BN31" s="1638">
        <f>SUM(BB31:BM31)</f>
        <v>433</v>
      </c>
      <c r="BO31" s="1636"/>
      <c r="BP31" s="1637"/>
      <c r="BQ31" s="1637">
        <v>129</v>
      </c>
      <c r="BR31" s="1637"/>
      <c r="BS31" s="1637">
        <v>69</v>
      </c>
      <c r="BT31" s="1637">
        <v>24</v>
      </c>
      <c r="BU31" s="1637"/>
      <c r="BV31" s="1637">
        <v>93</v>
      </c>
      <c r="BW31" s="1637">
        <v>47</v>
      </c>
      <c r="BX31" s="1637"/>
      <c r="BY31" s="1637">
        <v>56</v>
      </c>
      <c r="BZ31" s="1638">
        <v>207</v>
      </c>
      <c r="CA31" s="1638">
        <f>SUM(BO31:BZ31)</f>
        <v>625</v>
      </c>
      <c r="CB31" s="1636"/>
      <c r="CC31" s="1637"/>
      <c r="CD31" s="1637">
        <v>87</v>
      </c>
      <c r="CE31" s="1637"/>
      <c r="CF31" s="1637"/>
      <c r="CG31" s="1637">
        <v>64</v>
      </c>
      <c r="CH31" s="1637">
        <v>28</v>
      </c>
      <c r="CI31" s="1637">
        <v>110</v>
      </c>
      <c r="CJ31" s="1637">
        <v>209</v>
      </c>
      <c r="CK31" s="1637">
        <v>257</v>
      </c>
      <c r="CL31" s="1637">
        <v>40</v>
      </c>
      <c r="CM31" s="1638">
        <v>281</v>
      </c>
      <c r="CN31" s="1638">
        <f>SUM(CB31:CM31)</f>
        <v>1076</v>
      </c>
      <c r="CO31" s="1636">
        <v>64</v>
      </c>
      <c r="CP31" s="1637"/>
      <c r="CQ31" s="1637">
        <v>301</v>
      </c>
      <c r="CR31" s="1637">
        <v>170</v>
      </c>
      <c r="CS31" s="1637"/>
      <c r="CT31" s="1637"/>
      <c r="CU31" s="1637"/>
      <c r="CV31" s="1637"/>
      <c r="CW31" s="1637"/>
      <c r="CX31" s="1637"/>
      <c r="CY31" s="1637"/>
      <c r="CZ31" s="1638"/>
      <c r="DA31" s="1638">
        <f>SUM(CO31:CZ31)</f>
        <v>535</v>
      </c>
      <c r="DB31" s="1636">
        <v>54</v>
      </c>
      <c r="DC31" s="1637">
        <v>232</v>
      </c>
      <c r="DD31" s="1637">
        <v>282</v>
      </c>
      <c r="DE31" s="1637">
        <v>406</v>
      </c>
      <c r="DF31" s="1637">
        <v>265</v>
      </c>
      <c r="DG31" s="1637">
        <v>360</v>
      </c>
      <c r="DH31" s="1637">
        <v>202</v>
      </c>
      <c r="DI31" s="1637">
        <v>355</v>
      </c>
      <c r="DJ31" s="1637">
        <v>187</v>
      </c>
      <c r="DK31" s="1637">
        <v>395</v>
      </c>
      <c r="DL31" s="1637">
        <v>61</v>
      </c>
      <c r="DM31" s="1638"/>
      <c r="DN31" s="1638">
        <f>SUM(DB31:DM31)</f>
        <v>2799</v>
      </c>
      <c r="DO31" s="1636">
        <v>30</v>
      </c>
      <c r="DP31" s="1637">
        <v>424</v>
      </c>
      <c r="DQ31" s="1637">
        <v>466</v>
      </c>
      <c r="DR31" s="1637">
        <v>393</v>
      </c>
      <c r="DS31" s="1637">
        <v>493</v>
      </c>
      <c r="DT31" s="1637">
        <v>331</v>
      </c>
      <c r="DU31" s="1637"/>
      <c r="DV31" s="1637">
        <v>61</v>
      </c>
      <c r="DW31" s="1637">
        <v>526</v>
      </c>
      <c r="DX31" s="1637">
        <v>48</v>
      </c>
      <c r="DY31" s="1637">
        <v>326</v>
      </c>
      <c r="DZ31" s="1638">
        <v>326</v>
      </c>
      <c r="EA31" s="1638">
        <f>SUM(DO31:DZ31)</f>
        <v>3424</v>
      </c>
      <c r="EB31" s="1636">
        <v>262</v>
      </c>
      <c r="EC31" s="1637">
        <v>235</v>
      </c>
      <c r="ED31" s="1637">
        <v>417</v>
      </c>
      <c r="EE31" s="1637">
        <v>371</v>
      </c>
      <c r="EF31" s="1637">
        <v>242</v>
      </c>
      <c r="EG31" s="1637">
        <v>320</v>
      </c>
      <c r="EH31" s="1637">
        <v>339</v>
      </c>
      <c r="EI31" s="1637">
        <v>282</v>
      </c>
      <c r="EJ31" s="1637">
        <v>260</v>
      </c>
      <c r="EK31" s="1637">
        <v>768</v>
      </c>
      <c r="EL31" s="1637">
        <v>466</v>
      </c>
      <c r="EM31" s="1638">
        <v>854</v>
      </c>
      <c r="EN31" s="1638">
        <f>SUM(EB31:EM31)</f>
        <v>4816</v>
      </c>
      <c r="EO31" s="1636">
        <v>490</v>
      </c>
      <c r="EP31" s="1637">
        <v>98</v>
      </c>
      <c r="EQ31" s="1637">
        <v>637</v>
      </c>
      <c r="ER31" s="1637">
        <v>428</v>
      </c>
      <c r="ES31" s="1637">
        <v>670</v>
      </c>
      <c r="ET31" s="1637">
        <v>471</v>
      </c>
      <c r="EU31" s="1637">
        <v>498</v>
      </c>
      <c r="EV31" s="1637">
        <v>454</v>
      </c>
      <c r="EW31" s="1637">
        <v>500</v>
      </c>
      <c r="EX31" s="1637">
        <v>757</v>
      </c>
      <c r="EY31" s="1637">
        <v>587</v>
      </c>
      <c r="EZ31" s="1638">
        <v>454</v>
      </c>
      <c r="FA31" s="1638">
        <f>SUM(EO31:EZ31)</f>
        <v>6044</v>
      </c>
      <c r="FB31" s="1636">
        <v>793</v>
      </c>
      <c r="FC31" s="1637">
        <v>815</v>
      </c>
      <c r="FD31" s="1637">
        <v>684</v>
      </c>
      <c r="FE31" s="1637">
        <v>871</v>
      </c>
      <c r="FF31" s="1637">
        <v>913</v>
      </c>
      <c r="FG31" s="1637">
        <v>946</v>
      </c>
      <c r="FH31" s="1637">
        <v>877</v>
      </c>
      <c r="FI31" s="1637">
        <v>830</v>
      </c>
      <c r="FJ31" s="1637">
        <v>759</v>
      </c>
      <c r="FK31" s="1637">
        <v>400</v>
      </c>
      <c r="FL31" s="1637">
        <v>248</v>
      </c>
      <c r="FM31" s="1638">
        <v>625</v>
      </c>
      <c r="FN31" s="1638">
        <f>SUM(FB31:FM31)</f>
        <v>8761</v>
      </c>
      <c r="FO31" s="1636">
        <v>435</v>
      </c>
      <c r="FP31" s="1637">
        <v>414</v>
      </c>
      <c r="FQ31" s="1637">
        <v>517</v>
      </c>
      <c r="FR31" s="1637">
        <v>494</v>
      </c>
      <c r="FS31" s="1637">
        <v>436</v>
      </c>
      <c r="FT31" s="1637">
        <v>155</v>
      </c>
      <c r="FU31" s="1637">
        <v>467</v>
      </c>
      <c r="FV31" s="1637">
        <v>261</v>
      </c>
      <c r="FW31" s="1637">
        <v>358</v>
      </c>
      <c r="FX31" s="1637">
        <v>409</v>
      </c>
      <c r="FY31" s="1637">
        <v>183</v>
      </c>
      <c r="FZ31" s="1638">
        <v>114</v>
      </c>
      <c r="GA31" s="1638">
        <f>SUM(FO31:FZ31)</f>
        <v>4243</v>
      </c>
      <c r="GB31" s="1636"/>
      <c r="GC31" s="1637">
        <v>17</v>
      </c>
      <c r="GD31" s="1637">
        <v>299</v>
      </c>
      <c r="GE31" s="1637">
        <v>240</v>
      </c>
      <c r="GF31" s="1637">
        <v>406</v>
      </c>
      <c r="GG31" s="1637">
        <v>320</v>
      </c>
      <c r="GH31" s="1637">
        <v>114</v>
      </c>
      <c r="GI31" s="1637">
        <v>280</v>
      </c>
      <c r="GJ31" s="1637">
        <v>480</v>
      </c>
      <c r="GK31" s="1637">
        <v>81</v>
      </c>
      <c r="GL31" s="1637">
        <v>504</v>
      </c>
      <c r="GM31" s="1638">
        <v>186</v>
      </c>
      <c r="GN31" s="1638">
        <f>SUM(GB31:GM31)</f>
        <v>2927</v>
      </c>
      <c r="GO31" s="1636">
        <v>276</v>
      </c>
      <c r="GP31" s="1637">
        <v>679</v>
      </c>
      <c r="GQ31" s="1637">
        <v>524</v>
      </c>
      <c r="GR31" s="1637">
        <v>176</v>
      </c>
      <c r="GS31" s="1637">
        <v>532</v>
      </c>
      <c r="GT31" s="1637">
        <f>80+47</f>
        <v>127</v>
      </c>
      <c r="GU31" s="1637">
        <v>223</v>
      </c>
      <c r="GV31" s="1637">
        <v>227</v>
      </c>
      <c r="GW31" s="1637"/>
      <c r="GX31" s="1637">
        <v>117</v>
      </c>
      <c r="GY31" s="1637">
        <v>164</v>
      </c>
      <c r="GZ31" s="1638">
        <v>238</v>
      </c>
      <c r="HA31" s="1638">
        <f>SUM(GO31:GZ31)</f>
        <v>3283</v>
      </c>
      <c r="HB31" s="1636">
        <v>344</v>
      </c>
      <c r="HC31" s="1637">
        <v>857</v>
      </c>
      <c r="HD31" s="1637">
        <v>493</v>
      </c>
      <c r="HE31" s="1637">
        <v>1016</v>
      </c>
      <c r="HF31" s="1637">
        <v>796</v>
      </c>
      <c r="HG31" s="1637">
        <v>624</v>
      </c>
      <c r="HH31" s="1637">
        <v>465</v>
      </c>
      <c r="HI31" s="1637">
        <v>958</v>
      </c>
      <c r="HJ31" s="1637">
        <v>525</v>
      </c>
      <c r="HK31" s="1637"/>
      <c r="HL31" s="1637"/>
      <c r="HM31" s="1638">
        <v>1097</v>
      </c>
      <c r="HN31" s="1638">
        <f>SUM(HB31:HM31)</f>
        <v>7175</v>
      </c>
      <c r="HO31" s="1636">
        <v>404</v>
      </c>
      <c r="HP31" s="1637">
        <v>337</v>
      </c>
      <c r="HQ31" s="1637">
        <v>906</v>
      </c>
      <c r="HR31" s="1637">
        <v>825</v>
      </c>
      <c r="HS31" s="1637">
        <v>1056</v>
      </c>
      <c r="HT31" s="1637">
        <v>1076</v>
      </c>
      <c r="HU31" s="1637">
        <v>993</v>
      </c>
      <c r="HV31" s="1637">
        <v>859</v>
      </c>
      <c r="HW31" s="1637">
        <v>633</v>
      </c>
      <c r="HX31" s="1637">
        <v>402</v>
      </c>
      <c r="HY31" s="1637">
        <v>641</v>
      </c>
      <c r="HZ31" s="1638">
        <v>1053</v>
      </c>
      <c r="IA31" s="1638">
        <f>SUM(HO31:HZ31)</f>
        <v>9185</v>
      </c>
      <c r="IB31" s="1636">
        <v>218</v>
      </c>
      <c r="IC31" s="1637">
        <v>297</v>
      </c>
      <c r="ID31" s="1637">
        <v>780</v>
      </c>
      <c r="IE31" s="1637">
        <v>456</v>
      </c>
      <c r="IF31" s="1637">
        <v>550</v>
      </c>
      <c r="IG31" s="1637">
        <v>391</v>
      </c>
      <c r="IH31" s="1637">
        <v>163</v>
      </c>
      <c r="II31" s="1637">
        <v>209</v>
      </c>
      <c r="IJ31" s="1637">
        <v>576</v>
      </c>
      <c r="IK31" s="1637">
        <v>638</v>
      </c>
      <c r="IL31" s="1637">
        <v>535</v>
      </c>
      <c r="IM31" s="1638">
        <v>120</v>
      </c>
      <c r="IN31" s="1638">
        <f>SUM(IB31:IM31)</f>
        <v>4933</v>
      </c>
      <c r="IO31" s="1636">
        <v>383</v>
      </c>
      <c r="IP31" s="1637">
        <v>754</v>
      </c>
      <c r="IQ31" s="1637">
        <v>314</v>
      </c>
      <c r="IR31" s="1637">
        <v>478</v>
      </c>
      <c r="IS31" s="1637">
        <v>817</v>
      </c>
      <c r="IT31" s="1637">
        <v>565</v>
      </c>
      <c r="IU31" s="1637">
        <v>872</v>
      </c>
      <c r="IV31" s="1637">
        <v>687</v>
      </c>
      <c r="IW31" s="1637">
        <v>973</v>
      </c>
      <c r="IX31" s="1637">
        <v>454</v>
      </c>
      <c r="IY31" s="1637">
        <v>1006</v>
      </c>
      <c r="IZ31" s="1638">
        <v>439</v>
      </c>
      <c r="JA31" s="1638">
        <v>7742</v>
      </c>
      <c r="JB31" s="1636">
        <v>284</v>
      </c>
      <c r="JC31" s="1637">
        <v>1209</v>
      </c>
      <c r="JD31" s="1637">
        <v>926</v>
      </c>
      <c r="JE31" s="1637">
        <v>391</v>
      </c>
      <c r="JF31" s="1637">
        <v>525</v>
      </c>
      <c r="JG31" s="1637">
        <v>704</v>
      </c>
      <c r="JH31" s="1637">
        <v>649</v>
      </c>
      <c r="JI31" s="1637">
        <v>1063</v>
      </c>
      <c r="JJ31" s="1637">
        <v>775</v>
      </c>
      <c r="JK31" s="1637">
        <v>830</v>
      </c>
      <c r="JL31" s="1637">
        <v>606</v>
      </c>
      <c r="JM31" s="1638">
        <v>713</v>
      </c>
      <c r="JN31" s="1638">
        <f t="shared" si="640"/>
        <v>8675</v>
      </c>
      <c r="JO31" s="1636">
        <v>498</v>
      </c>
      <c r="JP31" s="1637">
        <v>430</v>
      </c>
      <c r="JQ31" s="1637">
        <v>634</v>
      </c>
      <c r="JR31" s="1637">
        <v>588</v>
      </c>
      <c r="JS31" s="1637">
        <v>359</v>
      </c>
      <c r="JT31" s="1637">
        <v>86</v>
      </c>
      <c r="JU31" s="1637">
        <v>87</v>
      </c>
      <c r="JV31" s="1637"/>
      <c r="JW31" s="1637"/>
      <c r="JX31" s="1637"/>
      <c r="JY31" s="1637"/>
      <c r="JZ31" s="1638"/>
      <c r="KA31" s="1638">
        <f t="shared" si="641"/>
        <v>2682</v>
      </c>
      <c r="KB31" s="1068"/>
      <c r="KC31" s="1645">
        <f>IFERROR(((
_xlfn.XLOOKUP((DATE(YEAR($KC$5),MONTH($KC$5),1)),$A$5:$KA$5,$A31:$KA31) /
_xlfn.XLOOKUP((DATE(YEAR($KC$5)-1,MONTH($KC$5),1)),$A$5:$KA$5,$A31:$KA31)
)-1)*100,"")</f>
        <v>-31.533477321814253</v>
      </c>
      <c r="KD31" s="1642">
        <f>IFERROR(((KF31/KE31)-1)*100,"")</f>
        <v>-35.427862753203797</v>
      </c>
      <c r="KE31" s="1643">
        <f>SUMIFS($B31:$KA31,$B$5:$KA$5,"&gt;="&amp;DATE(YEAR($KC$5)-1,1,1),$B$5:$KA$5,"&lt;="&amp;DATE(YEAR($KC$5)-1,MONTH($KC$5),1))</f>
        <v>2419</v>
      </c>
      <c r="KF31" s="1643">
        <f>SUMIFS($B31:$KA31,$B$5:$KA$5,"&gt;="&amp;DATE(YEAR($KC$5),1,1),$B$5:$KA$5,"&lt;="&amp;$KC$5)</f>
        <v>1562</v>
      </c>
      <c r="KG31" s="1068"/>
      <c r="KH31" s="1644">
        <f>IFERROR((
_xlfn.XLOOKUP((DATE(YEAR($KC$5),MONTH($KC$5),1)),$A$5:$KA$5,$A31:$KA31) /
_xlfn.XLOOKUP((DATE(YEAR($KC$5)-1,MONTH($KC$5),1)),$A$5:$KA$5,$A31:$KA31)),"")</f>
        <v>0.68466522678185748</v>
      </c>
      <c r="KI31" s="1068">
        <f>IFERROR((
_xlfn.XLOOKUP((DATE(YEAR($KC$5),MONTH($KC$5),1)),$A$5:$KA$5,$A31:$KA31) -
_xlfn.XLOOKUP((DATE(YEAR($KC$5)-1,MONTH($KC$5),1)),$A$5:$KA$5,$A31:$KA31)),"")</f>
        <v>-292</v>
      </c>
      <c r="KJ31" s="1570">
        <f>KF31-KE31</f>
        <v>-857</v>
      </c>
    </row>
    <row r="32" spans="1:297" ht="15" customHeight="1" x14ac:dyDescent="0.2">
      <c r="A32" s="1067" t="s">
        <v>599</v>
      </c>
      <c r="B32" s="1636"/>
      <c r="C32" s="1637"/>
      <c r="D32" s="1637"/>
      <c r="E32" s="1637"/>
      <c r="F32" s="1637"/>
      <c r="G32" s="1637"/>
      <c r="H32" s="1637"/>
      <c r="I32" s="1637"/>
      <c r="J32" s="1637"/>
      <c r="K32" s="1637"/>
      <c r="L32" s="1637"/>
      <c r="M32" s="1638"/>
      <c r="N32" s="1638"/>
      <c r="O32" s="1636"/>
      <c r="P32" s="1637"/>
      <c r="Q32" s="1637"/>
      <c r="R32" s="1637"/>
      <c r="S32" s="1637"/>
      <c r="T32" s="1637"/>
      <c r="U32" s="1637"/>
      <c r="V32" s="1637"/>
      <c r="W32" s="1637"/>
      <c r="X32" s="1637"/>
      <c r="Y32" s="1637"/>
      <c r="Z32" s="1638"/>
      <c r="AA32" s="1638"/>
      <c r="AB32" s="1636"/>
      <c r="AC32" s="1637"/>
      <c r="AD32" s="1637"/>
      <c r="AE32" s="1637"/>
      <c r="AF32" s="1637"/>
      <c r="AG32" s="1637"/>
      <c r="AH32" s="1637"/>
      <c r="AI32" s="1637"/>
      <c r="AJ32" s="1637"/>
      <c r="AK32" s="1637"/>
      <c r="AL32" s="1637"/>
      <c r="AM32" s="1638"/>
      <c r="AN32" s="1638"/>
      <c r="AO32" s="1636"/>
      <c r="AP32" s="1637"/>
      <c r="AQ32" s="1637"/>
      <c r="AR32" s="1637"/>
      <c r="AS32" s="1637"/>
      <c r="AT32" s="1637"/>
      <c r="AU32" s="1637"/>
      <c r="AV32" s="1637"/>
      <c r="AW32" s="1637"/>
      <c r="AX32" s="1637"/>
      <c r="AY32" s="1637"/>
      <c r="AZ32" s="1638"/>
      <c r="BA32" s="1638"/>
      <c r="BB32" s="1636"/>
      <c r="BC32" s="1637"/>
      <c r="BD32" s="1637"/>
      <c r="BE32" s="1637"/>
      <c r="BF32" s="1637"/>
      <c r="BG32" s="1637"/>
      <c r="BH32" s="1637"/>
      <c r="BI32" s="1637"/>
      <c r="BJ32" s="1637"/>
      <c r="BK32" s="1637"/>
      <c r="BL32" s="1637"/>
      <c r="BM32" s="1638"/>
      <c r="BN32" s="1638"/>
      <c r="BO32" s="1636"/>
      <c r="BP32" s="1637"/>
      <c r="BQ32" s="1637"/>
      <c r="BR32" s="1637"/>
      <c r="BS32" s="1637"/>
      <c r="BT32" s="1637"/>
      <c r="BU32" s="1637"/>
      <c r="BV32" s="1637"/>
      <c r="BW32" s="1637"/>
      <c r="BX32" s="1637"/>
      <c r="BY32" s="1637"/>
      <c r="BZ32" s="1638"/>
      <c r="CA32" s="1638"/>
      <c r="CB32" s="1636"/>
      <c r="CC32" s="1637"/>
      <c r="CD32" s="1637"/>
      <c r="CE32" s="1637"/>
      <c r="CF32" s="1637"/>
      <c r="CG32" s="1637"/>
      <c r="CH32" s="1637"/>
      <c r="CI32" s="1637"/>
      <c r="CJ32" s="1637"/>
      <c r="CK32" s="1637"/>
      <c r="CL32" s="1637"/>
      <c r="CM32" s="1638"/>
      <c r="CN32" s="1638"/>
      <c r="CO32" s="1636"/>
      <c r="CP32" s="1637"/>
      <c r="CQ32" s="1637"/>
      <c r="CR32" s="1637"/>
      <c r="CS32" s="1637"/>
      <c r="CT32" s="1637"/>
      <c r="CU32" s="1637"/>
      <c r="CV32" s="1637"/>
      <c r="CW32" s="1637"/>
      <c r="CX32" s="1637"/>
      <c r="CY32" s="1637"/>
      <c r="CZ32" s="1638"/>
      <c r="DA32" s="1638"/>
      <c r="DB32" s="1636"/>
      <c r="DC32" s="1637"/>
      <c r="DD32" s="1637"/>
      <c r="DE32" s="1637"/>
      <c r="DF32" s="1637"/>
      <c r="DG32" s="1637"/>
      <c r="DH32" s="1637"/>
      <c r="DI32" s="1637"/>
      <c r="DJ32" s="1637"/>
      <c r="DK32" s="1637"/>
      <c r="DL32" s="1637"/>
      <c r="DM32" s="1638"/>
      <c r="DN32" s="1638"/>
      <c r="DO32" s="1636"/>
      <c r="DP32" s="1637"/>
      <c r="DQ32" s="1637"/>
      <c r="DR32" s="1637"/>
      <c r="DS32" s="1637"/>
      <c r="DT32" s="1637"/>
      <c r="DU32" s="1637"/>
      <c r="DV32" s="1637"/>
      <c r="DW32" s="1637"/>
      <c r="DX32" s="1637"/>
      <c r="DY32" s="1637"/>
      <c r="DZ32" s="1638"/>
      <c r="EA32" s="1638"/>
      <c r="EB32" s="1636"/>
      <c r="EC32" s="1637"/>
      <c r="ED32" s="1637"/>
      <c r="EE32" s="1637"/>
      <c r="EF32" s="1637"/>
      <c r="EG32" s="1637"/>
      <c r="EH32" s="1637"/>
      <c r="EI32" s="1637"/>
      <c r="EJ32" s="1637"/>
      <c r="EK32" s="1637"/>
      <c r="EL32" s="1637"/>
      <c r="EM32" s="1638"/>
      <c r="EN32" s="1638"/>
      <c r="EO32" s="1636"/>
      <c r="EP32" s="1637"/>
      <c r="EQ32" s="1637"/>
      <c r="ER32" s="1637"/>
      <c r="ES32" s="1637"/>
      <c r="ET32" s="1637"/>
      <c r="EU32" s="1637"/>
      <c r="EV32" s="1637"/>
      <c r="EW32" s="1637"/>
      <c r="EX32" s="1637"/>
      <c r="EY32" s="1637"/>
      <c r="EZ32" s="1638"/>
      <c r="FA32" s="1638"/>
      <c r="FB32" s="1636"/>
      <c r="FC32" s="1637"/>
      <c r="FD32" s="1637"/>
      <c r="FE32" s="1637"/>
      <c r="FF32" s="1637"/>
      <c r="FG32" s="1637"/>
      <c r="FH32" s="1637"/>
      <c r="FI32" s="1637"/>
      <c r="FJ32" s="1637"/>
      <c r="FK32" s="1637"/>
      <c r="FL32" s="1637"/>
      <c r="FM32" s="1638"/>
      <c r="FN32" s="1638"/>
      <c r="FO32" s="1636"/>
      <c r="FP32" s="1637"/>
      <c r="FQ32" s="1637"/>
      <c r="FR32" s="1637"/>
      <c r="FS32" s="1637"/>
      <c r="FT32" s="1637"/>
      <c r="FU32" s="1637"/>
      <c r="FV32" s="1637"/>
      <c r="FW32" s="1637"/>
      <c r="FX32" s="1637"/>
      <c r="FY32" s="1637"/>
      <c r="FZ32" s="1638"/>
      <c r="GA32" s="1638"/>
      <c r="GB32" s="1636"/>
      <c r="GC32" s="1637"/>
      <c r="GD32" s="1637"/>
      <c r="GE32" s="1637"/>
      <c r="GF32" s="1637"/>
      <c r="GG32" s="1637"/>
      <c r="GH32" s="1637"/>
      <c r="GI32" s="1637"/>
      <c r="GJ32" s="1637"/>
      <c r="GK32" s="1637"/>
      <c r="GL32" s="1637"/>
      <c r="GM32" s="1638"/>
      <c r="GN32" s="1638"/>
      <c r="GO32" s="1636"/>
      <c r="GP32" s="1637"/>
      <c r="GQ32" s="1637"/>
      <c r="GR32" s="1637"/>
      <c r="GS32" s="1637"/>
      <c r="GT32" s="1637"/>
      <c r="GU32" s="1637"/>
      <c r="GV32" s="1637"/>
      <c r="GW32" s="1637"/>
      <c r="GX32" s="1637"/>
      <c r="GY32" s="1637"/>
      <c r="GZ32" s="1638"/>
      <c r="HA32" s="1638"/>
      <c r="HB32" s="1636"/>
      <c r="HC32" s="1637"/>
      <c r="HD32" s="1637"/>
      <c r="HE32" s="1637"/>
      <c r="HF32" s="1637"/>
      <c r="HG32" s="1637"/>
      <c r="HH32" s="1637"/>
      <c r="HI32" s="1637"/>
      <c r="HJ32" s="1637"/>
      <c r="HK32" s="1637"/>
      <c r="HL32" s="1637"/>
      <c r="HM32" s="1638"/>
      <c r="HN32" s="1638"/>
      <c r="HO32" s="1636"/>
      <c r="HP32" s="1637"/>
      <c r="HQ32" s="1637"/>
      <c r="HR32" s="1637"/>
      <c r="HS32" s="1637"/>
      <c r="HT32" s="1637"/>
      <c r="HU32" s="1637"/>
      <c r="HV32" s="1637"/>
      <c r="HW32" s="1637"/>
      <c r="HX32" s="1637"/>
      <c r="HY32" s="1637"/>
      <c r="HZ32" s="1638"/>
      <c r="IA32" s="1638"/>
      <c r="IB32" s="1636"/>
      <c r="IC32" s="1637"/>
      <c r="ID32" s="1637"/>
      <c r="IE32" s="1637"/>
      <c r="IF32" s="1637"/>
      <c r="IG32" s="1637"/>
      <c r="IH32" s="1637"/>
      <c r="II32" s="1637"/>
      <c r="IJ32" s="1637"/>
      <c r="IK32" s="1637"/>
      <c r="IL32" s="1637"/>
      <c r="IM32" s="1638"/>
      <c r="IN32" s="1638"/>
      <c r="IO32" s="1636"/>
      <c r="IP32" s="1637"/>
      <c r="IQ32" s="1637"/>
      <c r="IR32" s="1637"/>
      <c r="IS32" s="1637"/>
      <c r="IT32" s="1637"/>
      <c r="IU32" s="1637"/>
      <c r="IV32" s="1637"/>
      <c r="IW32" s="1637"/>
      <c r="IX32" s="1637"/>
      <c r="IY32" s="1637"/>
      <c r="IZ32" s="1638"/>
      <c r="JA32" s="1638"/>
      <c r="JB32" s="1636"/>
      <c r="JC32" s="1637"/>
      <c r="JD32" s="1637"/>
      <c r="JE32" s="1637"/>
      <c r="JF32" s="1637"/>
      <c r="JG32" s="1637"/>
      <c r="JH32" s="1637"/>
      <c r="JI32" s="1637"/>
      <c r="JJ32" s="1637">
        <v>45</v>
      </c>
      <c r="JK32" s="1637"/>
      <c r="JL32" s="1637"/>
      <c r="JM32" s="1638"/>
      <c r="JN32" s="1638">
        <f t="shared" si="640"/>
        <v>45</v>
      </c>
      <c r="JO32" s="1636"/>
      <c r="JP32" s="1637"/>
      <c r="JQ32" s="1637"/>
      <c r="JR32" s="1637"/>
      <c r="JS32" s="1637"/>
      <c r="JT32" s="1637"/>
      <c r="JU32" s="1637"/>
      <c r="JV32" s="1637"/>
      <c r="JW32" s="1637"/>
      <c r="JX32" s="1637"/>
      <c r="JY32" s="1637"/>
      <c r="JZ32" s="1638"/>
      <c r="KA32" s="1638">
        <f t="shared" si="641"/>
        <v>0</v>
      </c>
      <c r="KB32" s="1068"/>
      <c r="KC32" s="1645"/>
      <c r="KD32" s="1642"/>
      <c r="KE32" s="1643"/>
      <c r="KF32" s="1643"/>
      <c r="KG32" s="1068"/>
      <c r="KH32" s="1644"/>
      <c r="KI32" s="1068"/>
      <c r="KJ32" s="1570"/>
    </row>
    <row r="33" spans="1:297" ht="15" customHeight="1" x14ac:dyDescent="0.2">
      <c r="A33" s="1067" t="s">
        <v>560</v>
      </c>
      <c r="B33" s="1636"/>
      <c r="C33" s="1637"/>
      <c r="D33" s="1637"/>
      <c r="E33" s="1637"/>
      <c r="F33" s="1637"/>
      <c r="G33" s="1637"/>
      <c r="H33" s="1637">
        <v>30</v>
      </c>
      <c r="I33" s="1637"/>
      <c r="J33" s="1637"/>
      <c r="K33" s="1637">
        <v>5</v>
      </c>
      <c r="L33" s="1637"/>
      <c r="M33" s="1638">
        <v>29</v>
      </c>
      <c r="N33" s="1638">
        <f>SUM(B33:M33)</f>
        <v>64</v>
      </c>
      <c r="O33" s="1636"/>
      <c r="P33" s="1637"/>
      <c r="Q33" s="1637"/>
      <c r="R33" s="1637">
        <v>10</v>
      </c>
      <c r="S33" s="1637"/>
      <c r="T33" s="1637">
        <v>18</v>
      </c>
      <c r="U33" s="1637"/>
      <c r="V33" s="1637"/>
      <c r="W33" s="1637"/>
      <c r="X33" s="1637"/>
      <c r="Y33" s="1637">
        <v>35</v>
      </c>
      <c r="Z33" s="1638"/>
      <c r="AA33" s="1638">
        <f>+SUM(O33:Z33)</f>
        <v>63</v>
      </c>
      <c r="AB33" s="1636">
        <v>14</v>
      </c>
      <c r="AC33" s="1637"/>
      <c r="AD33" s="1637">
        <v>15</v>
      </c>
      <c r="AE33" s="1637"/>
      <c r="AF33" s="1637"/>
      <c r="AG33" s="1637">
        <v>12</v>
      </c>
      <c r="AH33" s="1637">
        <v>18</v>
      </c>
      <c r="AI33" s="1637"/>
      <c r="AJ33" s="1637">
        <v>15</v>
      </c>
      <c r="AK33" s="1637"/>
      <c r="AL33" s="1637">
        <v>21</v>
      </c>
      <c r="AM33" s="1638"/>
      <c r="AN33" s="1638">
        <f>+SUM(AB33:AM33)</f>
        <v>95</v>
      </c>
      <c r="AO33" s="1636"/>
      <c r="AP33" s="1637"/>
      <c r="AQ33" s="1637"/>
      <c r="AR33" s="1637"/>
      <c r="AS33" s="1637"/>
      <c r="AT33" s="1637"/>
      <c r="AU33" s="1637">
        <v>6</v>
      </c>
      <c r="AV33" s="1637">
        <v>20</v>
      </c>
      <c r="AW33" s="1637"/>
      <c r="AX33" s="1637">
        <v>3</v>
      </c>
      <c r="AY33" s="1637">
        <v>33</v>
      </c>
      <c r="AZ33" s="1638"/>
      <c r="BA33" s="1638">
        <f>SUM(AO33:AZ33)</f>
        <v>62</v>
      </c>
      <c r="BB33" s="1636">
        <v>8</v>
      </c>
      <c r="BC33" s="1637"/>
      <c r="BD33" s="1637"/>
      <c r="BE33" s="1637">
        <v>32</v>
      </c>
      <c r="BF33" s="1637"/>
      <c r="BG33" s="1637">
        <v>8</v>
      </c>
      <c r="BH33" s="1637"/>
      <c r="BI33" s="1637"/>
      <c r="BJ33" s="1637">
        <v>2</v>
      </c>
      <c r="BK33" s="1637"/>
      <c r="BL33" s="1637">
        <v>4</v>
      </c>
      <c r="BM33" s="1638">
        <v>14</v>
      </c>
      <c r="BN33" s="1638">
        <f>SUM(BB33:BM33)</f>
        <v>68</v>
      </c>
      <c r="BO33" s="1636"/>
      <c r="BP33" s="1637">
        <v>8</v>
      </c>
      <c r="BQ33" s="1637"/>
      <c r="BR33" s="1637">
        <v>9</v>
      </c>
      <c r="BS33" s="1637">
        <v>3</v>
      </c>
      <c r="BT33" s="1637"/>
      <c r="BU33" s="1637">
        <v>13</v>
      </c>
      <c r="BV33" s="1637"/>
      <c r="BW33" s="1637">
        <v>5</v>
      </c>
      <c r="BX33" s="1637">
        <v>14</v>
      </c>
      <c r="BY33" s="1637"/>
      <c r="BZ33" s="1638"/>
      <c r="CA33" s="1638">
        <f>SUM(BO33:BZ33)</f>
        <v>52</v>
      </c>
      <c r="CB33" s="1636"/>
      <c r="CC33" s="1637">
        <v>17</v>
      </c>
      <c r="CD33" s="1637"/>
      <c r="CE33" s="1637">
        <v>23</v>
      </c>
      <c r="CF33" s="1637">
        <v>214</v>
      </c>
      <c r="CG33" s="1637">
        <v>15</v>
      </c>
      <c r="CH33" s="1637"/>
      <c r="CI33" s="1637"/>
      <c r="CJ33" s="1637"/>
      <c r="CK33" s="1637">
        <v>17</v>
      </c>
      <c r="CL33" s="1637"/>
      <c r="CM33" s="1638"/>
      <c r="CN33" s="1638">
        <f>SUM(CB33:CM33)</f>
        <v>286</v>
      </c>
      <c r="CO33" s="1636">
        <v>10</v>
      </c>
      <c r="CP33" s="1637"/>
      <c r="CQ33" s="1637">
        <v>150</v>
      </c>
      <c r="CR33" s="1637">
        <v>10</v>
      </c>
      <c r="CS33" s="1637">
        <v>11</v>
      </c>
      <c r="CT33" s="1637">
        <v>25</v>
      </c>
      <c r="CU33" s="1637"/>
      <c r="CV33" s="1637"/>
      <c r="CW33" s="1637">
        <v>12</v>
      </c>
      <c r="CX33" s="1637">
        <v>8</v>
      </c>
      <c r="CY33" s="1637">
        <v>14</v>
      </c>
      <c r="CZ33" s="1638"/>
      <c r="DA33" s="1638">
        <f>SUM(CO33:CZ33)</f>
        <v>240</v>
      </c>
      <c r="DB33" s="1636">
        <v>15</v>
      </c>
      <c r="DC33" s="1637">
        <v>25</v>
      </c>
      <c r="DD33" s="1637"/>
      <c r="DE33" s="1637">
        <v>16</v>
      </c>
      <c r="DF33" s="1637"/>
      <c r="DG33" s="1637"/>
      <c r="DH33" s="1637">
        <v>13</v>
      </c>
      <c r="DI33" s="1637"/>
      <c r="DJ33" s="1637">
        <v>86</v>
      </c>
      <c r="DK33" s="1637"/>
      <c r="DL33" s="1637">
        <v>21</v>
      </c>
      <c r="DM33" s="1638"/>
      <c r="DN33" s="1638">
        <f>SUM(DB33:DM33)</f>
        <v>176</v>
      </c>
      <c r="DO33" s="1636"/>
      <c r="DP33" s="1637">
        <v>23</v>
      </c>
      <c r="DQ33" s="1637">
        <v>19</v>
      </c>
      <c r="DR33" s="1637">
        <v>5</v>
      </c>
      <c r="DS33" s="1637">
        <v>18</v>
      </c>
      <c r="DT33" s="1637"/>
      <c r="DU33" s="1637">
        <v>12</v>
      </c>
      <c r="DV33" s="1637"/>
      <c r="DW33" s="1637">
        <v>20</v>
      </c>
      <c r="DX33" s="1637"/>
      <c r="DY33" s="1637">
        <v>25</v>
      </c>
      <c r="DZ33" s="1638">
        <v>33</v>
      </c>
      <c r="EA33" s="1638">
        <f>SUM(DO33:DZ33)</f>
        <v>155</v>
      </c>
      <c r="EB33" s="1636">
        <v>22</v>
      </c>
      <c r="EC33" s="1637">
        <v>25</v>
      </c>
      <c r="ED33" s="1637">
        <v>7</v>
      </c>
      <c r="EE33" s="1637">
        <v>36</v>
      </c>
      <c r="EF33" s="1637">
        <v>36</v>
      </c>
      <c r="EG33" s="1637"/>
      <c r="EH33" s="1637">
        <v>31</v>
      </c>
      <c r="EI33" s="1637">
        <v>7</v>
      </c>
      <c r="EJ33" s="1637">
        <v>27</v>
      </c>
      <c r="EK33" s="1637">
        <v>2</v>
      </c>
      <c r="EL33" s="1637">
        <v>39</v>
      </c>
      <c r="EM33" s="1638">
        <v>7</v>
      </c>
      <c r="EN33" s="1638">
        <f>SUM(EB33:EM33)</f>
        <v>239</v>
      </c>
      <c r="EO33" s="1636">
        <v>38</v>
      </c>
      <c r="EP33" s="1637">
        <v>5</v>
      </c>
      <c r="EQ33" s="1637"/>
      <c r="ER33" s="1637">
        <v>34</v>
      </c>
      <c r="ES33" s="1637">
        <v>35</v>
      </c>
      <c r="ET33" s="1637">
        <v>5</v>
      </c>
      <c r="EU33" s="1637">
        <v>27</v>
      </c>
      <c r="EV33" s="1637"/>
      <c r="EW33" s="1637">
        <v>33</v>
      </c>
      <c r="EX33" s="1637"/>
      <c r="EY33" s="1637">
        <v>77</v>
      </c>
      <c r="EZ33" s="1638"/>
      <c r="FA33" s="1638">
        <f>SUM(EO33:EZ33)</f>
        <v>254</v>
      </c>
      <c r="FB33" s="1636"/>
      <c r="FC33" s="1637">
        <v>41</v>
      </c>
      <c r="FD33" s="1637"/>
      <c r="FE33" s="1637">
        <v>50</v>
      </c>
      <c r="FF33" s="1637"/>
      <c r="FG33" s="1637">
        <v>36</v>
      </c>
      <c r="FH33" s="1637">
        <v>43</v>
      </c>
      <c r="FI33" s="1637"/>
      <c r="FJ33" s="1637">
        <v>34</v>
      </c>
      <c r="FK33" s="1637"/>
      <c r="FL33" s="1637">
        <v>38</v>
      </c>
      <c r="FM33" s="1638"/>
      <c r="FN33" s="1638">
        <f>SUM(FB33:FM33)</f>
        <v>242</v>
      </c>
      <c r="FO33" s="1636"/>
      <c r="FP33" s="1637"/>
      <c r="FQ33" s="1637"/>
      <c r="FR33" s="1637"/>
      <c r="FS33" s="1637"/>
      <c r="FT33" s="1637">
        <v>34</v>
      </c>
      <c r="FU33" s="1637"/>
      <c r="FV33" s="1637">
        <v>54</v>
      </c>
      <c r="FW33" s="1637"/>
      <c r="FX33" s="1637">
        <v>54</v>
      </c>
      <c r="FY33" s="1637"/>
      <c r="FZ33" s="1638">
        <v>29</v>
      </c>
      <c r="GA33" s="1638">
        <f>SUM(FO33:FZ33)</f>
        <v>171</v>
      </c>
      <c r="GB33" s="1636"/>
      <c r="GC33" s="1637">
        <v>27</v>
      </c>
      <c r="GD33" s="1637">
        <v>28</v>
      </c>
      <c r="GE33" s="1637">
        <v>24</v>
      </c>
      <c r="GF33" s="1637">
        <v>20</v>
      </c>
      <c r="GG33" s="1637">
        <v>26</v>
      </c>
      <c r="GH33" s="1637"/>
      <c r="GI33" s="1637">
        <v>31</v>
      </c>
      <c r="GJ33" s="1637"/>
      <c r="GK33" s="1637">
        <v>32</v>
      </c>
      <c r="GL33" s="1637">
        <v>68</v>
      </c>
      <c r="GM33" s="1638"/>
      <c r="GN33" s="1638">
        <f>SUM(GB33:GM33)</f>
        <v>256</v>
      </c>
      <c r="GO33" s="1636"/>
      <c r="GP33" s="1637"/>
      <c r="GQ33" s="1637"/>
      <c r="GR33" s="1637"/>
      <c r="GS33" s="1637"/>
      <c r="GT33" s="1637"/>
      <c r="GU33" s="1637">
        <v>54</v>
      </c>
      <c r="GV33" s="1637">
        <v>39</v>
      </c>
      <c r="GW33" s="1637">
        <f>34+10</f>
        <v>44</v>
      </c>
      <c r="GX33" s="1637">
        <v>15</v>
      </c>
      <c r="GY33" s="1637">
        <v>51</v>
      </c>
      <c r="GZ33" s="1638">
        <v>200</v>
      </c>
      <c r="HA33" s="1638">
        <f>SUM(GO33:GZ33)</f>
        <v>403</v>
      </c>
      <c r="HB33" s="1636"/>
      <c r="HC33" s="1637">
        <v>70</v>
      </c>
      <c r="HD33" s="1637">
        <v>10</v>
      </c>
      <c r="HE33" s="1637">
        <v>28</v>
      </c>
      <c r="HF33" s="1637">
        <v>57</v>
      </c>
      <c r="HG33" s="1637">
        <v>22</v>
      </c>
      <c r="HH33" s="1637">
        <v>33</v>
      </c>
      <c r="HI33" s="1637"/>
      <c r="HJ33" s="1637">
        <v>73</v>
      </c>
      <c r="HK33" s="1637">
        <v>33</v>
      </c>
      <c r="HL33" s="1637"/>
      <c r="HM33" s="1638">
        <v>124</v>
      </c>
      <c r="HN33" s="1638">
        <f>SUM(HB33:HM33)</f>
        <v>450</v>
      </c>
      <c r="HO33" s="1636">
        <v>22</v>
      </c>
      <c r="HP33" s="1637">
        <v>58</v>
      </c>
      <c r="HQ33" s="1637">
        <v>52</v>
      </c>
      <c r="HR33" s="1637">
        <v>41</v>
      </c>
      <c r="HS33" s="1637">
        <v>42</v>
      </c>
      <c r="HT33" s="1637">
        <v>49</v>
      </c>
      <c r="HU33" s="1637">
        <v>78</v>
      </c>
      <c r="HV33" s="1637">
        <v>65</v>
      </c>
      <c r="HW33" s="1637">
        <v>21</v>
      </c>
      <c r="HX33" s="1637">
        <v>32</v>
      </c>
      <c r="HY33" s="1637">
        <v>132</v>
      </c>
      <c r="HZ33" s="1638">
        <v>85</v>
      </c>
      <c r="IA33" s="1638">
        <f>SUM(HO33:HZ33)</f>
        <v>677</v>
      </c>
      <c r="IB33" s="1636"/>
      <c r="IC33" s="1637">
        <v>47</v>
      </c>
      <c r="ID33" s="1637">
        <v>24</v>
      </c>
      <c r="IE33" s="1637">
        <v>8</v>
      </c>
      <c r="IF33" s="1637">
        <v>94</v>
      </c>
      <c r="IG33" s="1637">
        <v>20</v>
      </c>
      <c r="IH33" s="1637">
        <v>52</v>
      </c>
      <c r="II33" s="1637"/>
      <c r="IJ33" s="1637">
        <v>87</v>
      </c>
      <c r="IK33" s="1637">
        <v>16</v>
      </c>
      <c r="IL33" s="1637">
        <v>23</v>
      </c>
      <c r="IM33" s="1638">
        <v>68</v>
      </c>
      <c r="IN33" s="1638">
        <f>SUM(IB33:IM33)</f>
        <v>439</v>
      </c>
      <c r="IO33" s="1636"/>
      <c r="IP33" s="1637"/>
      <c r="IQ33" s="1637">
        <v>34</v>
      </c>
      <c r="IR33" s="1637"/>
      <c r="IS33" s="1637"/>
      <c r="IT33" s="1637"/>
      <c r="IU33" s="1637"/>
      <c r="IV33" s="1637"/>
      <c r="IW33" s="1637"/>
      <c r="IX33" s="1637"/>
      <c r="IY33" s="1637"/>
      <c r="IZ33" s="1638"/>
      <c r="JA33" s="1638">
        <v>34</v>
      </c>
      <c r="JB33" s="1636"/>
      <c r="JC33" s="1637">
        <v>72</v>
      </c>
      <c r="JD33" s="1637">
        <v>8</v>
      </c>
      <c r="JE33" s="1637">
        <v>19</v>
      </c>
      <c r="JF33" s="1637">
        <v>75</v>
      </c>
      <c r="JG33" s="1637">
        <v>0</v>
      </c>
      <c r="JH33" s="1637"/>
      <c r="JI33" s="1637">
        <v>94</v>
      </c>
      <c r="JJ33" s="1646">
        <v>12</v>
      </c>
      <c r="JK33" s="1637">
        <v>42</v>
      </c>
      <c r="JL33" s="1637">
        <v>69</v>
      </c>
      <c r="JM33" s="1638">
        <v>16</v>
      </c>
      <c r="JN33" s="1638">
        <f t="shared" si="640"/>
        <v>407</v>
      </c>
      <c r="JO33" s="1636">
        <v>17</v>
      </c>
      <c r="JP33" s="1637"/>
      <c r="JQ33" s="1637">
        <v>28</v>
      </c>
      <c r="JR33" s="1637">
        <v>26</v>
      </c>
      <c r="JS33" s="1637">
        <v>33</v>
      </c>
      <c r="JT33" s="1637">
        <v>32</v>
      </c>
      <c r="JU33" s="1637">
        <v>38</v>
      </c>
      <c r="JV33" s="1637">
        <v>0</v>
      </c>
      <c r="JW33" s="1646"/>
      <c r="JX33" s="1637"/>
      <c r="JY33" s="1637"/>
      <c r="JZ33" s="1638"/>
      <c r="KA33" s="1638">
        <f t="shared" si="641"/>
        <v>174</v>
      </c>
      <c r="KB33" s="1068"/>
      <c r="KC33" s="1645">
        <f>IFERROR(((
_xlfn.XLOOKUP((DATE(YEAR($KC$5),MONTH($KC$5),1)),$A$5:$KA$5,$A33:$KA33) /
_xlfn.XLOOKUP((DATE(YEAR($KC$5)-1,MONTH($KC$5),1)),$A$5:$KA$5,$A33:$KA33)
)-1)*100,"")</f>
        <v>250</v>
      </c>
      <c r="KD33" s="1642">
        <f>IFERROR(((KF33/KE33)-1)*100,"")</f>
        <v>-43.75</v>
      </c>
      <c r="KE33" s="1643">
        <f>SUMIFS($B33:$KA33,$B$5:$KA$5,"&gt;="&amp;DATE(YEAR($KC$5)-1,1,1),$B$5:$KA$5,"&lt;="&amp;DATE(YEAR($KC$5)-1,MONTH($KC$5),1))</f>
        <v>80</v>
      </c>
      <c r="KF33" s="1643">
        <f>SUMIFS($B33:$KA33,$B$5:$KA$5,"&gt;="&amp;DATE(YEAR($KC$5),1,1),$B$5:$KA$5,"&lt;="&amp;$KC$5)</f>
        <v>45</v>
      </c>
      <c r="KG33" s="1068"/>
      <c r="KH33" s="1644">
        <f>IFERROR((
_xlfn.XLOOKUP((DATE(YEAR($KC$5),MONTH($KC$5),1)),$A$5:$KA$5,$A33:$KA33) /
_xlfn.XLOOKUP((DATE(YEAR($KC$5)-1,MONTH($KC$5),1)),$A$5:$KA$5,$A33:$KA33)),"")</f>
        <v>3.5</v>
      </c>
      <c r="KI33" s="1068">
        <f>IFERROR((
_xlfn.XLOOKUP((DATE(YEAR($KC$5),MONTH($KC$5),1)),$A$5:$KA$5,$A33:$KA33) -
_xlfn.XLOOKUP((DATE(YEAR($KC$5)-1,MONTH($KC$5),1)),$A$5:$KA$5,$A33:$KA33)),"")</f>
        <v>20</v>
      </c>
      <c r="KJ33" s="1570">
        <f>KF33-KE33</f>
        <v>-35</v>
      </c>
    </row>
    <row r="34" spans="1:297" ht="15" customHeight="1" x14ac:dyDescent="0.2">
      <c r="A34" s="1067" t="s">
        <v>191</v>
      </c>
      <c r="B34" s="1636">
        <v>34</v>
      </c>
      <c r="C34" s="1637">
        <v>181</v>
      </c>
      <c r="D34" s="1637">
        <v>68</v>
      </c>
      <c r="E34" s="1637">
        <v>168</v>
      </c>
      <c r="F34" s="1637">
        <v>17</v>
      </c>
      <c r="G34" s="1637">
        <v>138</v>
      </c>
      <c r="H34" s="1637">
        <v>95</v>
      </c>
      <c r="I34" s="1637">
        <v>60</v>
      </c>
      <c r="J34" s="1637">
        <v>18</v>
      </c>
      <c r="K34" s="1637">
        <v>151</v>
      </c>
      <c r="L34" s="1637">
        <v>74</v>
      </c>
      <c r="M34" s="1638">
        <v>60</v>
      </c>
      <c r="N34" s="1638">
        <f>SUM(B34:M34)</f>
        <v>1064</v>
      </c>
      <c r="O34" s="1636">
        <v>60</v>
      </c>
      <c r="P34" s="1637">
        <v>39</v>
      </c>
      <c r="Q34" s="1637">
        <v>47</v>
      </c>
      <c r="R34" s="1637">
        <v>14</v>
      </c>
      <c r="S34" s="1637">
        <v>105</v>
      </c>
      <c r="T34" s="1637"/>
      <c r="U34" s="1637">
        <v>55</v>
      </c>
      <c r="V34" s="1637"/>
      <c r="W34" s="1637">
        <v>119</v>
      </c>
      <c r="X34" s="1637">
        <v>45</v>
      </c>
      <c r="Y34" s="1637">
        <v>68</v>
      </c>
      <c r="Z34" s="1638">
        <v>57</v>
      </c>
      <c r="AA34" s="1638">
        <f>+SUM(O34:Z34)</f>
        <v>609</v>
      </c>
      <c r="AB34" s="1636">
        <v>1</v>
      </c>
      <c r="AC34" s="1637"/>
      <c r="AD34" s="1637"/>
      <c r="AE34" s="1637">
        <v>38</v>
      </c>
      <c r="AF34" s="1637"/>
      <c r="AG34" s="1637">
        <v>61</v>
      </c>
      <c r="AH34" s="1637"/>
      <c r="AI34" s="1637">
        <v>259</v>
      </c>
      <c r="AJ34" s="1637">
        <v>12</v>
      </c>
      <c r="AK34" s="1637"/>
      <c r="AL34" s="1637">
        <v>62</v>
      </c>
      <c r="AM34" s="1638"/>
      <c r="AN34" s="1638">
        <f>+SUM(AB34:AM34)</f>
        <v>433</v>
      </c>
      <c r="AO34" s="1636">
        <v>301</v>
      </c>
      <c r="AP34" s="1637"/>
      <c r="AQ34" s="1637"/>
      <c r="AR34" s="1637">
        <v>257</v>
      </c>
      <c r="AS34" s="1637"/>
      <c r="AT34" s="1637"/>
      <c r="AU34" s="1637"/>
      <c r="AV34" s="1637"/>
      <c r="AW34" s="1637">
        <v>263</v>
      </c>
      <c r="AX34" s="1637"/>
      <c r="AY34" s="1637">
        <v>93</v>
      </c>
      <c r="AZ34" s="1638"/>
      <c r="BA34" s="1638">
        <f>SUM(AO34:AZ34)</f>
        <v>914</v>
      </c>
      <c r="BB34" s="1636">
        <v>118</v>
      </c>
      <c r="BC34" s="1637"/>
      <c r="BD34" s="1637"/>
      <c r="BE34" s="1637">
        <v>175</v>
      </c>
      <c r="BF34" s="1637">
        <v>284</v>
      </c>
      <c r="BG34" s="1637"/>
      <c r="BH34" s="1637"/>
      <c r="BI34" s="1637">
        <v>222</v>
      </c>
      <c r="BJ34" s="1637">
        <v>109</v>
      </c>
      <c r="BK34" s="1637">
        <v>176</v>
      </c>
      <c r="BL34" s="1637"/>
      <c r="BM34" s="1638">
        <v>111</v>
      </c>
      <c r="BN34" s="1638">
        <f>SUM(BB34:BM34)</f>
        <v>1195</v>
      </c>
      <c r="BO34" s="1636"/>
      <c r="BP34" s="1637">
        <v>148</v>
      </c>
      <c r="BQ34" s="1637">
        <v>104</v>
      </c>
      <c r="BR34" s="1637">
        <v>152</v>
      </c>
      <c r="BS34" s="1637"/>
      <c r="BT34" s="1637">
        <v>59</v>
      </c>
      <c r="BU34" s="1637">
        <v>46</v>
      </c>
      <c r="BV34" s="1637">
        <v>143</v>
      </c>
      <c r="BW34" s="1637"/>
      <c r="BX34" s="1637">
        <v>222</v>
      </c>
      <c r="BY34" s="1637">
        <v>165</v>
      </c>
      <c r="BZ34" s="1638">
        <v>213</v>
      </c>
      <c r="CA34" s="1638">
        <f>SUM(BO34:BZ34)</f>
        <v>1252</v>
      </c>
      <c r="CB34" s="1636">
        <v>126</v>
      </c>
      <c r="CC34" s="1637">
        <v>350</v>
      </c>
      <c r="CD34" s="1637">
        <v>359</v>
      </c>
      <c r="CE34" s="1637"/>
      <c r="CF34" s="1637">
        <v>128</v>
      </c>
      <c r="CG34" s="1637">
        <v>284</v>
      </c>
      <c r="CH34" s="1637"/>
      <c r="CI34" s="1637"/>
      <c r="CJ34" s="1637"/>
      <c r="CK34" s="1637"/>
      <c r="CL34" s="1637">
        <v>146</v>
      </c>
      <c r="CM34" s="1638">
        <v>616</v>
      </c>
      <c r="CN34" s="1638">
        <f>SUM(CB34:CM34)</f>
        <v>2009</v>
      </c>
      <c r="CO34" s="1636"/>
      <c r="CP34" s="1637">
        <v>156</v>
      </c>
      <c r="CQ34" s="1637">
        <v>489</v>
      </c>
      <c r="CR34" s="1637"/>
      <c r="CS34" s="1637"/>
      <c r="CT34" s="1637"/>
      <c r="CU34" s="1637">
        <v>74</v>
      </c>
      <c r="CV34" s="1637"/>
      <c r="CW34" s="1637">
        <v>571</v>
      </c>
      <c r="CX34" s="1637">
        <v>503</v>
      </c>
      <c r="CY34" s="1637">
        <v>259</v>
      </c>
      <c r="CZ34" s="1638">
        <v>542</v>
      </c>
      <c r="DA34" s="1638">
        <f>SUM(CO34:CZ34)</f>
        <v>2594</v>
      </c>
      <c r="DB34" s="1636">
        <v>92</v>
      </c>
      <c r="DC34" s="1637"/>
      <c r="DD34" s="1637"/>
      <c r="DE34" s="1637"/>
      <c r="DF34" s="1637"/>
      <c r="DG34" s="1637">
        <v>194</v>
      </c>
      <c r="DH34" s="1637"/>
      <c r="DI34" s="1637"/>
      <c r="DJ34" s="1637">
        <v>501</v>
      </c>
      <c r="DK34" s="1637">
        <v>210</v>
      </c>
      <c r="DL34" s="1637">
        <v>289</v>
      </c>
      <c r="DM34" s="1638"/>
      <c r="DN34" s="1638">
        <f>SUM(DB34:DM34)</f>
        <v>1286</v>
      </c>
      <c r="DO34" s="1636">
        <v>199</v>
      </c>
      <c r="DP34" s="1637"/>
      <c r="DQ34" s="1637">
        <v>101</v>
      </c>
      <c r="DR34" s="1637">
        <v>420</v>
      </c>
      <c r="DS34" s="1637">
        <v>360</v>
      </c>
      <c r="DT34" s="1637">
        <v>127</v>
      </c>
      <c r="DU34" s="1637">
        <v>90</v>
      </c>
      <c r="DV34" s="1637">
        <v>298</v>
      </c>
      <c r="DW34" s="1637">
        <v>175</v>
      </c>
      <c r="DX34" s="1637">
        <v>550</v>
      </c>
      <c r="DY34" s="1637">
        <v>117</v>
      </c>
      <c r="DZ34" s="1638">
        <v>278</v>
      </c>
      <c r="EA34" s="1638">
        <f>SUM(DO34:DZ34)</f>
        <v>2715</v>
      </c>
      <c r="EB34" s="1636">
        <v>440</v>
      </c>
      <c r="EC34" s="1637"/>
      <c r="ED34" s="1637">
        <v>425</v>
      </c>
      <c r="EE34" s="1637">
        <v>128</v>
      </c>
      <c r="EF34" s="1637">
        <v>34</v>
      </c>
      <c r="EG34" s="1637">
        <v>63</v>
      </c>
      <c r="EH34" s="1637"/>
      <c r="EI34" s="1637">
        <v>315</v>
      </c>
      <c r="EJ34" s="1637">
        <v>124</v>
      </c>
      <c r="EK34" s="1637">
        <v>400</v>
      </c>
      <c r="EL34" s="1637">
        <v>555</v>
      </c>
      <c r="EM34" s="1638">
        <v>496</v>
      </c>
      <c r="EN34" s="1638">
        <f>SUM(EB34:EM34)</f>
        <v>2980</v>
      </c>
      <c r="EO34" s="1636"/>
      <c r="EP34" s="1637">
        <v>4</v>
      </c>
      <c r="EQ34" s="1637">
        <v>585</v>
      </c>
      <c r="ER34" s="1637">
        <v>353</v>
      </c>
      <c r="ES34" s="1637">
        <v>518</v>
      </c>
      <c r="ET34" s="1637"/>
      <c r="EU34" s="1637">
        <v>17</v>
      </c>
      <c r="EV34" s="1637">
        <v>11</v>
      </c>
      <c r="EW34" s="1637">
        <v>496</v>
      </c>
      <c r="EX34" s="1637">
        <v>597</v>
      </c>
      <c r="EY34" s="1637">
        <v>71</v>
      </c>
      <c r="EZ34" s="1638">
        <v>83</v>
      </c>
      <c r="FA34" s="1638">
        <f>SUM(EO34:EZ34)</f>
        <v>2735</v>
      </c>
      <c r="FB34" s="1636">
        <v>143</v>
      </c>
      <c r="FC34" s="1637">
        <v>72</v>
      </c>
      <c r="FD34" s="1637"/>
      <c r="FE34" s="1637">
        <v>102</v>
      </c>
      <c r="FF34" s="1637">
        <v>1148</v>
      </c>
      <c r="FG34" s="1637">
        <v>6</v>
      </c>
      <c r="FH34" s="1637"/>
      <c r="FI34" s="1637">
        <v>974</v>
      </c>
      <c r="FJ34" s="1637">
        <v>40</v>
      </c>
      <c r="FK34" s="1637">
        <v>751</v>
      </c>
      <c r="FL34" s="1637">
        <v>356</v>
      </c>
      <c r="FM34" s="1638">
        <v>80</v>
      </c>
      <c r="FN34" s="1638">
        <f>SUM(FB34:FM34)</f>
        <v>3672</v>
      </c>
      <c r="FO34" s="1636">
        <v>180</v>
      </c>
      <c r="FP34" s="1637">
        <v>58</v>
      </c>
      <c r="FQ34" s="1637">
        <v>7</v>
      </c>
      <c r="FR34" s="1637">
        <v>491</v>
      </c>
      <c r="FS34" s="1637">
        <v>290</v>
      </c>
      <c r="FT34" s="1637">
        <v>125</v>
      </c>
      <c r="FU34" s="1637">
        <v>50</v>
      </c>
      <c r="FV34" s="1637"/>
      <c r="FW34" s="1637">
        <v>344</v>
      </c>
      <c r="FX34" s="1637">
        <v>599</v>
      </c>
      <c r="FY34" s="1637">
        <v>522</v>
      </c>
      <c r="FZ34" s="1638">
        <v>130</v>
      </c>
      <c r="GA34" s="1638">
        <f>SUM(FO34:FZ34)</f>
        <v>2796</v>
      </c>
      <c r="GB34" s="1636">
        <v>314</v>
      </c>
      <c r="GC34" s="1637"/>
      <c r="GD34" s="1637">
        <v>74</v>
      </c>
      <c r="GE34" s="1637">
        <v>89</v>
      </c>
      <c r="GF34" s="1637">
        <v>384</v>
      </c>
      <c r="GG34" s="1637"/>
      <c r="GH34" s="1637">
        <v>438</v>
      </c>
      <c r="GI34" s="1637">
        <v>315</v>
      </c>
      <c r="GJ34" s="1637">
        <v>489</v>
      </c>
      <c r="GK34" s="1637">
        <v>202</v>
      </c>
      <c r="GL34" s="1637">
        <v>238</v>
      </c>
      <c r="GM34" s="1638">
        <v>309</v>
      </c>
      <c r="GN34" s="1638">
        <f>SUM(GB34:GM34)</f>
        <v>2852</v>
      </c>
      <c r="GO34" s="1636"/>
      <c r="GP34" s="1637"/>
      <c r="GQ34" s="1637"/>
      <c r="GR34" s="1637">
        <v>10</v>
      </c>
      <c r="GS34" s="1637">
        <v>717</v>
      </c>
      <c r="GT34" s="1637"/>
      <c r="GU34" s="1637"/>
      <c r="GV34" s="1637"/>
      <c r="GW34" s="1637">
        <v>149</v>
      </c>
      <c r="GX34" s="1637">
        <v>309</v>
      </c>
      <c r="GY34" s="1637">
        <v>174</v>
      </c>
      <c r="GZ34" s="1638">
        <v>234</v>
      </c>
      <c r="HA34" s="1638">
        <f>SUM(GO34:GZ34)</f>
        <v>1593</v>
      </c>
      <c r="HB34" s="1636">
        <v>238</v>
      </c>
      <c r="HC34" s="1637"/>
      <c r="HD34" s="1637"/>
      <c r="HE34" s="1637">
        <v>148</v>
      </c>
      <c r="HF34" s="1637">
        <v>470</v>
      </c>
      <c r="HG34" s="1637">
        <v>177</v>
      </c>
      <c r="HH34" s="1637"/>
      <c r="HI34" s="1637">
        <v>411</v>
      </c>
      <c r="HJ34" s="1637">
        <v>308</v>
      </c>
      <c r="HK34" s="1637">
        <v>222</v>
      </c>
      <c r="HL34" s="1637">
        <v>99</v>
      </c>
      <c r="HM34" s="1638">
        <v>30</v>
      </c>
      <c r="HN34" s="1638">
        <f>SUM(HB34:HM34)</f>
        <v>2103</v>
      </c>
      <c r="HO34" s="1636"/>
      <c r="HP34" s="1637"/>
      <c r="HQ34" s="1637">
        <v>411</v>
      </c>
      <c r="HR34" s="1637"/>
      <c r="HS34" s="1637"/>
      <c r="HT34" s="1637">
        <v>633</v>
      </c>
      <c r="HU34" s="1637">
        <v>169</v>
      </c>
      <c r="HV34" s="1637">
        <v>308</v>
      </c>
      <c r="HW34" s="1637">
        <v>308</v>
      </c>
      <c r="HX34" s="1637">
        <v>411</v>
      </c>
      <c r="HY34" s="1637">
        <v>74</v>
      </c>
      <c r="HZ34" s="1638">
        <v>74</v>
      </c>
      <c r="IA34" s="1638">
        <f>SUM(HO34:HZ34)</f>
        <v>2388</v>
      </c>
      <c r="IB34" s="1636">
        <v>89</v>
      </c>
      <c r="IC34" s="1637"/>
      <c r="ID34" s="1637">
        <v>382</v>
      </c>
      <c r="IE34" s="1637"/>
      <c r="IF34" s="1637">
        <v>530</v>
      </c>
      <c r="IG34" s="1637"/>
      <c r="IH34" s="1637"/>
      <c r="II34" s="1637">
        <v>387</v>
      </c>
      <c r="IJ34" s="1637">
        <v>465</v>
      </c>
      <c r="IK34" s="1637">
        <v>308</v>
      </c>
      <c r="IL34" s="1637">
        <v>148</v>
      </c>
      <c r="IM34" s="1638">
        <v>411</v>
      </c>
      <c r="IN34" s="1638">
        <f>SUM(IB34:IM34)</f>
        <v>2720</v>
      </c>
      <c r="IO34" s="1636">
        <v>84</v>
      </c>
      <c r="IP34" s="1637">
        <v>17</v>
      </c>
      <c r="IQ34" s="1637">
        <v>20</v>
      </c>
      <c r="IR34" s="1637">
        <v>19</v>
      </c>
      <c r="IS34" s="1637">
        <v>43</v>
      </c>
      <c r="IT34" s="1637">
        <v>595</v>
      </c>
      <c r="IU34" s="1637">
        <v>767</v>
      </c>
      <c r="IV34" s="1637">
        <v>168</v>
      </c>
      <c r="IW34" s="1637">
        <v>432</v>
      </c>
      <c r="IX34" s="1637">
        <v>37</v>
      </c>
      <c r="IY34" s="1637">
        <v>105</v>
      </c>
      <c r="IZ34" s="1638">
        <v>416</v>
      </c>
      <c r="JA34" s="1638">
        <v>2703</v>
      </c>
      <c r="JB34" s="1636">
        <v>6</v>
      </c>
      <c r="JC34" s="1637">
        <v>2</v>
      </c>
      <c r="JD34" s="1637"/>
      <c r="JE34" s="1637">
        <v>7</v>
      </c>
      <c r="JF34" s="1637">
        <v>464</v>
      </c>
      <c r="JG34" s="1637">
        <v>17</v>
      </c>
      <c r="JH34" s="1637"/>
      <c r="JI34" s="1637">
        <v>133</v>
      </c>
      <c r="JJ34" s="1637">
        <v>494</v>
      </c>
      <c r="JK34" s="1637"/>
      <c r="JL34" s="1637">
        <v>235</v>
      </c>
      <c r="JM34" s="1638">
        <v>373</v>
      </c>
      <c r="JN34" s="1638">
        <f t="shared" si="640"/>
        <v>1731</v>
      </c>
      <c r="JO34" s="1636">
        <v>124</v>
      </c>
      <c r="JP34" s="1637">
        <v>380</v>
      </c>
      <c r="JQ34" s="1637"/>
      <c r="JR34" s="1637">
        <v>493</v>
      </c>
      <c r="JS34" s="1637">
        <v>211</v>
      </c>
      <c r="JT34" s="1637">
        <v>370</v>
      </c>
      <c r="JU34" s="1637">
        <v>119</v>
      </c>
      <c r="JV34" s="1637">
        <v>113</v>
      </c>
      <c r="JW34" s="1637"/>
      <c r="JX34" s="1637"/>
      <c r="JY34" s="1637"/>
      <c r="JZ34" s="1638"/>
      <c r="KA34" s="1638">
        <f t="shared" si="641"/>
        <v>1810</v>
      </c>
      <c r="KB34" s="1068"/>
      <c r="KC34" s="1645" t="str">
        <f>IFERROR(((
_xlfn.XLOOKUP((DATE(YEAR($KC$5),MONTH($KC$5),1)),$A$5:$KA$5,$A34:$KA34) /
_xlfn.XLOOKUP((DATE(YEAR($KC$5)-1,MONTH($KC$5),1)),$A$5:$KA$5,$A34:$KA34)
)-1)*100,"")</f>
        <v/>
      </c>
      <c r="KD34" s="1641">
        <f>IFERROR(((KF34/KE34)-1)*100,"")</f>
        <v>6200</v>
      </c>
      <c r="KE34" s="1643">
        <f>SUMIFS($B34:$KA34,$B$5:$KA$5,"&gt;="&amp;DATE(YEAR($KC$5)-1,1,1),$B$5:$KA$5,"&lt;="&amp;DATE(YEAR($KC$5)-1,MONTH($KC$5),1))</f>
        <v>8</v>
      </c>
      <c r="KF34" s="1643">
        <f>SUMIFS($B34:$KA34,$B$5:$KA$5,"&gt;="&amp;DATE(YEAR($KC$5),1,1),$B$5:$KA$5,"&lt;="&amp;$KC$5)</f>
        <v>504</v>
      </c>
      <c r="KG34" s="1068"/>
      <c r="KH34" s="1644" t="str">
        <f>IFERROR((
_xlfn.XLOOKUP((DATE(YEAR($KC$5),MONTH($KC$5),1)),$A$5:$KA$5,$A34:$KA34) /
_xlfn.XLOOKUP((DATE(YEAR($KC$5)-1,MONTH($KC$5),1)),$A$5:$KA$5,$A34:$KA34)),"")</f>
        <v/>
      </c>
      <c r="KI34" s="1068">
        <f>IFERROR((
_xlfn.XLOOKUP((DATE(YEAR($KC$5),MONTH($KC$5),1)),$A$5:$KA$5,$A34:$KA34) -
_xlfn.XLOOKUP((DATE(YEAR($KC$5)-1,MONTH($KC$5),1)),$A$5:$KA$5,$A34:$KA34)),"")</f>
        <v>0</v>
      </c>
      <c r="KJ34" s="1570">
        <f>KF34-KE34</f>
        <v>496</v>
      </c>
    </row>
    <row r="35" spans="1:297" ht="15" customHeight="1" x14ac:dyDescent="0.2">
      <c r="A35" s="1411" t="s">
        <v>649</v>
      </c>
      <c r="B35" s="1393">
        <v>3</v>
      </c>
      <c r="C35" s="1394">
        <v>24</v>
      </c>
      <c r="D35" s="1394">
        <v>3</v>
      </c>
      <c r="E35" s="1394">
        <v>34</v>
      </c>
      <c r="F35" s="1394">
        <v>12</v>
      </c>
      <c r="G35" s="1394">
        <v>1</v>
      </c>
      <c r="H35" s="1394">
        <v>3</v>
      </c>
      <c r="I35" s="1394">
        <v>7</v>
      </c>
      <c r="J35" s="1394">
        <v>2</v>
      </c>
      <c r="K35" s="1394">
        <v>16</v>
      </c>
      <c r="L35" s="1394">
        <v>6</v>
      </c>
      <c r="M35" s="1395">
        <v>3</v>
      </c>
      <c r="N35" s="1395">
        <v>114</v>
      </c>
      <c r="O35" s="1393">
        <v>0</v>
      </c>
      <c r="P35" s="1394">
        <v>7</v>
      </c>
      <c r="Q35" s="1394">
        <v>2</v>
      </c>
      <c r="R35" s="1394">
        <v>1</v>
      </c>
      <c r="S35" s="1394">
        <v>3</v>
      </c>
      <c r="T35" s="1394">
        <v>3</v>
      </c>
      <c r="U35" s="1394">
        <v>5</v>
      </c>
      <c r="V35" s="1394">
        <v>7</v>
      </c>
      <c r="W35" s="1394">
        <v>1</v>
      </c>
      <c r="X35" s="1394">
        <v>3</v>
      </c>
      <c r="Y35" s="1394">
        <v>1</v>
      </c>
      <c r="Z35" s="1395">
        <v>2</v>
      </c>
      <c r="AA35" s="1395">
        <v>35</v>
      </c>
      <c r="AB35" s="1393">
        <v>2</v>
      </c>
      <c r="AC35" s="1394">
        <v>1</v>
      </c>
      <c r="AD35" s="1394">
        <v>7</v>
      </c>
      <c r="AE35" s="1394">
        <v>1</v>
      </c>
      <c r="AF35" s="1394">
        <v>0</v>
      </c>
      <c r="AG35" s="1394">
        <v>0</v>
      </c>
      <c r="AH35" s="1394">
        <v>8</v>
      </c>
      <c r="AI35" s="1394">
        <v>0</v>
      </c>
      <c r="AJ35" s="1394">
        <v>0</v>
      </c>
      <c r="AK35" s="1394">
        <v>0</v>
      </c>
      <c r="AL35" s="1394">
        <v>1</v>
      </c>
      <c r="AM35" s="1395">
        <v>17</v>
      </c>
      <c r="AN35" s="1395">
        <v>37</v>
      </c>
      <c r="AO35" s="1393">
        <v>1</v>
      </c>
      <c r="AP35" s="1394">
        <v>0</v>
      </c>
      <c r="AQ35" s="1394">
        <v>0</v>
      </c>
      <c r="AR35" s="1394">
        <v>0</v>
      </c>
      <c r="AS35" s="1394">
        <v>2</v>
      </c>
      <c r="AT35" s="1394">
        <v>0</v>
      </c>
      <c r="AU35" s="1394">
        <v>66</v>
      </c>
      <c r="AV35" s="1394">
        <v>3</v>
      </c>
      <c r="AW35" s="1394">
        <v>37</v>
      </c>
      <c r="AX35" s="1394">
        <v>68</v>
      </c>
      <c r="AY35" s="1394">
        <v>21</v>
      </c>
      <c r="AZ35" s="1395">
        <v>0</v>
      </c>
      <c r="BA35" s="1395">
        <v>198</v>
      </c>
      <c r="BB35" s="1393">
        <v>8</v>
      </c>
      <c r="BC35" s="1394">
        <v>3</v>
      </c>
      <c r="BD35" s="1394">
        <v>24</v>
      </c>
      <c r="BE35" s="1394">
        <v>48</v>
      </c>
      <c r="BF35" s="1394">
        <v>36</v>
      </c>
      <c r="BG35" s="1394">
        <v>0</v>
      </c>
      <c r="BH35" s="1394">
        <v>0</v>
      </c>
      <c r="BI35" s="1394">
        <v>0</v>
      </c>
      <c r="BJ35" s="1394">
        <v>0</v>
      </c>
      <c r="BK35" s="1394">
        <v>0</v>
      </c>
      <c r="BL35" s="1394">
        <v>0</v>
      </c>
      <c r="BM35" s="1395">
        <v>0</v>
      </c>
      <c r="BN35" s="1395">
        <v>119</v>
      </c>
      <c r="BO35" s="1393">
        <v>2</v>
      </c>
      <c r="BP35" s="1394">
        <v>0</v>
      </c>
      <c r="BQ35" s="1394">
        <v>56</v>
      </c>
      <c r="BR35" s="1394">
        <v>0</v>
      </c>
      <c r="BS35" s="1394">
        <v>16</v>
      </c>
      <c r="BT35" s="1394">
        <v>0</v>
      </c>
      <c r="BU35" s="1394">
        <v>40</v>
      </c>
      <c r="BV35" s="1394">
        <v>0</v>
      </c>
      <c r="BW35" s="1394">
        <v>20</v>
      </c>
      <c r="BX35" s="1394">
        <v>0</v>
      </c>
      <c r="BY35" s="1394">
        <v>18</v>
      </c>
      <c r="BZ35" s="1395">
        <v>43</v>
      </c>
      <c r="CA35" s="1395">
        <v>195</v>
      </c>
      <c r="CB35" s="1393">
        <v>0</v>
      </c>
      <c r="CC35" s="1394">
        <v>0</v>
      </c>
      <c r="CD35" s="1394">
        <v>64</v>
      </c>
      <c r="CE35" s="1394">
        <v>50</v>
      </c>
      <c r="CF35" s="1394">
        <v>0</v>
      </c>
      <c r="CG35" s="1394">
        <v>0</v>
      </c>
      <c r="CH35" s="1394">
        <v>0</v>
      </c>
      <c r="CI35" s="1394">
        <v>0</v>
      </c>
      <c r="CJ35" s="1394">
        <v>44</v>
      </c>
      <c r="CK35" s="1394">
        <v>75</v>
      </c>
      <c r="CL35" s="1394">
        <v>13</v>
      </c>
      <c r="CM35" s="1395">
        <v>0</v>
      </c>
      <c r="CN35" s="1395">
        <v>246</v>
      </c>
      <c r="CO35" s="1393">
        <v>0</v>
      </c>
      <c r="CP35" s="1394">
        <v>0</v>
      </c>
      <c r="CQ35" s="1394">
        <v>210</v>
      </c>
      <c r="CR35" s="1394">
        <v>98</v>
      </c>
      <c r="CS35" s="1394">
        <v>4</v>
      </c>
      <c r="CT35" s="1394">
        <v>0</v>
      </c>
      <c r="CU35" s="1394">
        <v>0</v>
      </c>
      <c r="CV35" s="1394">
        <v>83</v>
      </c>
      <c r="CW35" s="1394">
        <v>109</v>
      </c>
      <c r="CX35" s="1394">
        <v>0</v>
      </c>
      <c r="CY35" s="1394">
        <v>0</v>
      </c>
      <c r="CZ35" s="1395">
        <v>0</v>
      </c>
      <c r="DA35" s="1395">
        <v>504</v>
      </c>
      <c r="DB35" s="1393">
        <v>0</v>
      </c>
      <c r="DC35" s="1394">
        <v>0</v>
      </c>
      <c r="DD35" s="1394">
        <v>140</v>
      </c>
      <c r="DE35" s="1394">
        <v>140</v>
      </c>
      <c r="DF35" s="1394">
        <v>84</v>
      </c>
      <c r="DG35" s="1394">
        <v>89</v>
      </c>
      <c r="DH35" s="1394">
        <v>211</v>
      </c>
      <c r="DI35" s="1394">
        <v>0</v>
      </c>
      <c r="DJ35" s="1394">
        <v>69</v>
      </c>
      <c r="DK35" s="1394">
        <v>0</v>
      </c>
      <c r="DL35" s="1394">
        <v>0</v>
      </c>
      <c r="DM35" s="1395">
        <v>373</v>
      </c>
      <c r="DN35" s="1395">
        <v>1106</v>
      </c>
      <c r="DO35" s="1393">
        <v>64</v>
      </c>
      <c r="DP35" s="1394">
        <v>0</v>
      </c>
      <c r="DQ35" s="1394">
        <v>0</v>
      </c>
      <c r="DR35" s="1394">
        <v>249</v>
      </c>
      <c r="DS35" s="1394">
        <v>150</v>
      </c>
      <c r="DT35" s="1394">
        <v>0</v>
      </c>
      <c r="DU35" s="1394">
        <v>299</v>
      </c>
      <c r="DV35" s="1394">
        <v>319</v>
      </c>
      <c r="DW35" s="1394">
        <v>0</v>
      </c>
      <c r="DX35" s="1394">
        <v>1060</v>
      </c>
      <c r="DY35" s="1394">
        <v>3135</v>
      </c>
      <c r="DZ35" s="1395">
        <v>1263</v>
      </c>
      <c r="EA35" s="1395">
        <v>6539</v>
      </c>
      <c r="EB35" s="1393">
        <v>1412</v>
      </c>
      <c r="EC35" s="1394">
        <v>0</v>
      </c>
      <c r="ED35" s="1394">
        <v>587</v>
      </c>
      <c r="EE35" s="1394">
        <v>220</v>
      </c>
      <c r="EF35" s="1394">
        <v>2031</v>
      </c>
      <c r="EG35" s="1394">
        <v>1340</v>
      </c>
      <c r="EH35" s="1394">
        <v>2474</v>
      </c>
      <c r="EI35" s="1394">
        <v>4</v>
      </c>
      <c r="EJ35" s="1394">
        <v>0</v>
      </c>
      <c r="EK35" s="1394">
        <v>0</v>
      </c>
      <c r="EL35" s="1394">
        <v>1284</v>
      </c>
      <c r="EM35" s="1395">
        <v>1269</v>
      </c>
      <c r="EN35" s="1395">
        <v>10621</v>
      </c>
      <c r="EO35" s="1393">
        <v>3616</v>
      </c>
      <c r="EP35" s="1394">
        <v>0</v>
      </c>
      <c r="EQ35" s="1394">
        <v>3768</v>
      </c>
      <c r="ER35" s="1394">
        <v>0</v>
      </c>
      <c r="ES35" s="1394">
        <v>161</v>
      </c>
      <c r="ET35" s="1394">
        <v>18</v>
      </c>
      <c r="EU35" s="1394">
        <v>65</v>
      </c>
      <c r="EV35" s="1394">
        <v>3764</v>
      </c>
      <c r="EW35" s="1394">
        <v>52</v>
      </c>
      <c r="EX35" s="1394">
        <v>4366</v>
      </c>
      <c r="EY35" s="1394">
        <v>14</v>
      </c>
      <c r="EZ35" s="1395">
        <v>377</v>
      </c>
      <c r="FA35" s="1395">
        <v>16201</v>
      </c>
      <c r="FB35" s="1393">
        <v>1</v>
      </c>
      <c r="FC35" s="1394">
        <v>87</v>
      </c>
      <c r="FD35" s="1394">
        <v>79</v>
      </c>
      <c r="FE35" s="1394">
        <v>0</v>
      </c>
      <c r="FF35" s="1394">
        <v>0</v>
      </c>
      <c r="FG35" s="1394">
        <v>0</v>
      </c>
      <c r="FH35" s="1394">
        <v>114</v>
      </c>
      <c r="FI35" s="1394">
        <v>0</v>
      </c>
      <c r="FJ35" s="1394">
        <v>0</v>
      </c>
      <c r="FK35" s="1394">
        <v>0</v>
      </c>
      <c r="FL35" s="1394">
        <v>13</v>
      </c>
      <c r="FM35" s="1395">
        <v>45</v>
      </c>
      <c r="FN35" s="1395">
        <v>339</v>
      </c>
      <c r="FO35" s="1393">
        <v>4</v>
      </c>
      <c r="FP35" s="1394">
        <v>0</v>
      </c>
      <c r="FQ35" s="1394">
        <v>3669</v>
      </c>
      <c r="FR35" s="1394">
        <v>64</v>
      </c>
      <c r="FS35" s="1394">
        <v>0</v>
      </c>
      <c r="FT35" s="1394">
        <v>2651</v>
      </c>
      <c r="FU35" s="1394">
        <v>0</v>
      </c>
      <c r="FV35" s="1394">
        <v>3868</v>
      </c>
      <c r="FW35" s="1394">
        <v>0</v>
      </c>
      <c r="FX35" s="1394">
        <v>4321</v>
      </c>
      <c r="FY35" s="1394">
        <v>1980</v>
      </c>
      <c r="FZ35" s="1395">
        <v>2740</v>
      </c>
      <c r="GA35" s="1395">
        <v>19297</v>
      </c>
      <c r="GB35" s="1393">
        <v>2527</v>
      </c>
      <c r="GC35" s="1394">
        <v>877</v>
      </c>
      <c r="GD35" s="1394">
        <v>4192</v>
      </c>
      <c r="GE35" s="1394">
        <v>45</v>
      </c>
      <c r="GF35" s="1394">
        <v>1856</v>
      </c>
      <c r="GG35" s="1394">
        <v>4637</v>
      </c>
      <c r="GH35" s="1394">
        <v>1569</v>
      </c>
      <c r="GI35" s="1394">
        <v>2390</v>
      </c>
      <c r="GJ35" s="1394">
        <v>1435</v>
      </c>
      <c r="GK35" s="1394">
        <v>2639</v>
      </c>
      <c r="GL35" s="1394">
        <v>3235</v>
      </c>
      <c r="GM35" s="1395">
        <v>4569</v>
      </c>
      <c r="GN35" s="1395">
        <v>29971</v>
      </c>
      <c r="GO35" s="1393">
        <v>7361</v>
      </c>
      <c r="GP35" s="1394">
        <v>12026</v>
      </c>
      <c r="GQ35" s="1394">
        <v>4369</v>
      </c>
      <c r="GR35" s="1394">
        <v>625</v>
      </c>
      <c r="GS35" s="1394">
        <v>211</v>
      </c>
      <c r="GT35" s="1394">
        <v>1817</v>
      </c>
      <c r="GU35" s="1394">
        <v>161</v>
      </c>
      <c r="GV35" s="1394">
        <v>3815</v>
      </c>
      <c r="GW35" s="1394">
        <v>4071</v>
      </c>
      <c r="GX35" s="1394">
        <v>3028</v>
      </c>
      <c r="GY35" s="1394">
        <v>3686</v>
      </c>
      <c r="GZ35" s="1395">
        <v>12</v>
      </c>
      <c r="HA35" s="1395">
        <v>41182</v>
      </c>
      <c r="HB35" s="1393">
        <v>3959</v>
      </c>
      <c r="HC35" s="1394">
        <v>113</v>
      </c>
      <c r="HD35" s="1394">
        <v>35</v>
      </c>
      <c r="HE35" s="1394">
        <v>12</v>
      </c>
      <c r="HF35" s="1394">
        <v>70</v>
      </c>
      <c r="HG35" s="1394">
        <v>159</v>
      </c>
      <c r="HH35" s="1394">
        <v>131</v>
      </c>
      <c r="HI35" s="1394">
        <v>907</v>
      </c>
      <c r="HJ35" s="1394">
        <v>1768</v>
      </c>
      <c r="HK35" s="1394">
        <v>9476</v>
      </c>
      <c r="HL35" s="1394">
        <v>6701</v>
      </c>
      <c r="HM35" s="1395">
        <v>2422</v>
      </c>
      <c r="HN35" s="1395">
        <v>25753</v>
      </c>
      <c r="HO35" s="1393">
        <v>22</v>
      </c>
      <c r="HP35" s="1394">
        <v>19</v>
      </c>
      <c r="HQ35" s="1394">
        <v>46</v>
      </c>
      <c r="HR35" s="1394">
        <v>100</v>
      </c>
      <c r="HS35" s="1394">
        <v>69</v>
      </c>
      <c r="HT35" s="1394">
        <v>46</v>
      </c>
      <c r="HU35" s="1394">
        <v>105</v>
      </c>
      <c r="HV35" s="1394">
        <v>295</v>
      </c>
      <c r="HW35" s="1394">
        <v>1499</v>
      </c>
      <c r="HX35" s="1394">
        <v>4306</v>
      </c>
      <c r="HY35" s="1394">
        <v>1500</v>
      </c>
      <c r="HZ35" s="1395">
        <v>147</v>
      </c>
      <c r="IA35" s="1395">
        <v>8154</v>
      </c>
      <c r="IB35" s="1393">
        <v>16</v>
      </c>
      <c r="IC35" s="1394">
        <v>132</v>
      </c>
      <c r="ID35" s="1394">
        <v>193</v>
      </c>
      <c r="IE35" s="1394">
        <v>104</v>
      </c>
      <c r="IF35" s="1394">
        <v>144</v>
      </c>
      <c r="IG35" s="1394">
        <v>498</v>
      </c>
      <c r="IH35" s="1394">
        <v>462</v>
      </c>
      <c r="II35" s="1394">
        <v>168</v>
      </c>
      <c r="IJ35" s="1394">
        <v>903</v>
      </c>
      <c r="IK35" s="1394">
        <v>894</v>
      </c>
      <c r="IL35" s="1394">
        <v>64</v>
      </c>
      <c r="IM35" s="1395">
        <v>242</v>
      </c>
      <c r="IN35" s="1395">
        <f t="shared" si="106"/>
        <v>3820</v>
      </c>
      <c r="IO35" s="1393">
        <v>757</v>
      </c>
      <c r="IP35" s="1394">
        <v>495</v>
      </c>
      <c r="IQ35" s="1394">
        <v>477</v>
      </c>
      <c r="IR35" s="1394">
        <v>451</v>
      </c>
      <c r="IS35" s="1394">
        <v>953</v>
      </c>
      <c r="IT35" s="1394">
        <v>1853</v>
      </c>
      <c r="IU35" s="1394">
        <v>1033</v>
      </c>
      <c r="IV35" s="1394">
        <v>1081</v>
      </c>
      <c r="IW35" s="1394">
        <v>545</v>
      </c>
      <c r="IX35" s="1394">
        <v>1551</v>
      </c>
      <c r="IY35" s="1394">
        <v>1064</v>
      </c>
      <c r="IZ35" s="1395">
        <v>429</v>
      </c>
      <c r="JA35" s="1395">
        <v>10682</v>
      </c>
      <c r="JB35" s="1393">
        <v>843</v>
      </c>
      <c r="JC35" s="1394">
        <v>576</v>
      </c>
      <c r="JD35" s="1394">
        <v>449</v>
      </c>
      <c r="JE35" s="1394">
        <v>479</v>
      </c>
      <c r="JF35" s="1394">
        <v>187</v>
      </c>
      <c r="JG35" s="1394">
        <v>186</v>
      </c>
      <c r="JH35" s="1394">
        <v>582</v>
      </c>
      <c r="JI35" s="1394">
        <v>538</v>
      </c>
      <c r="JJ35" s="1394">
        <v>320</v>
      </c>
      <c r="JK35" s="1394">
        <v>695</v>
      </c>
      <c r="JL35" s="1394">
        <v>462</v>
      </c>
      <c r="JM35" s="1395">
        <v>106</v>
      </c>
      <c r="JN35" s="1395">
        <v>5416</v>
      </c>
      <c r="JO35" s="1393">
        <v>239</v>
      </c>
      <c r="JP35" s="1394">
        <v>303</v>
      </c>
      <c r="JQ35" s="1394">
        <v>323</v>
      </c>
      <c r="JR35" s="1394">
        <v>657</v>
      </c>
      <c r="JS35" s="1394">
        <v>752</v>
      </c>
      <c r="JT35" s="1394">
        <v>433</v>
      </c>
      <c r="JU35" s="1394">
        <v>1015</v>
      </c>
      <c r="JV35" s="1394">
        <v>656</v>
      </c>
      <c r="JW35" s="1394"/>
      <c r="JX35" s="1394"/>
      <c r="JY35" s="1394"/>
      <c r="JZ35" s="1395"/>
      <c r="KA35" s="1395">
        <f t="shared" si="109"/>
        <v>4378</v>
      </c>
      <c r="KB35" s="1042"/>
      <c r="KC35" s="1410">
        <f>IFERROR(((
_xlfn.XLOOKUP((DATE(YEAR($KC$5),MONTH($KC$5),1)),$A$5:$KA$5,$A35:$KA35) /
_xlfn.XLOOKUP((DATE(YEAR($KC$5)-1,MONTH($KC$5),1)),$A$5:$KA$5,$A35:$KA35)
)-1)*100,"")</f>
        <v>-28.06236080178174</v>
      </c>
      <c r="KD35" s="1066">
        <f t="shared" si="84"/>
        <v>-53.693790149892926</v>
      </c>
      <c r="KE35" s="1409">
        <f>SUMIFS($B35:$KA35,$B$5:$KA$5,"&gt;="&amp;DATE(YEAR($KC$5)-1,1,1),$B$5:$KA$5,"&lt;="&amp;DATE(YEAR($KC$5)-1,MONTH($KC$5),1))</f>
        <v>1868</v>
      </c>
      <c r="KF35" s="1409">
        <f>SUMIFS($B35:$KA35,$B$5:$KA$5,"&gt;="&amp;DATE(YEAR($KC$5),1,1),$B$5:$KA$5,"&lt;="&amp;$KC$5)</f>
        <v>865</v>
      </c>
      <c r="KG35" s="1042"/>
      <c r="KH35" s="1047">
        <f>IFERROR((
_xlfn.XLOOKUP((DATE(YEAR($KC$5),MONTH($KC$5),1)),$A$5:$KA$5,$A35:$KA35) /
_xlfn.XLOOKUP((DATE(YEAR($KC$5)-1,MONTH($KC$5),1)),$A$5:$KA$5,$A35:$KA35)),"")</f>
        <v>0.71937639198218262</v>
      </c>
      <c r="KI35" s="1042">
        <f>IFERROR((
_xlfn.XLOOKUP((DATE(YEAR($KC$5),MONTH($KC$5),1)),$A$5:$KA$5,$A35:$KA35) -
_xlfn.XLOOKUP((DATE(YEAR($KC$5)-1,MONTH($KC$5),1)),$A$5:$KA$5,$A35:$KA35)),"")</f>
        <v>-126</v>
      </c>
      <c r="KJ35" s="1048">
        <f t="shared" si="55"/>
        <v>-1003</v>
      </c>
      <c r="KK35" s="66"/>
    </row>
    <row r="36" spans="1:297" ht="15" customHeight="1" x14ac:dyDescent="0.2">
      <c r="A36" s="1412" t="s">
        <v>650</v>
      </c>
      <c r="B36" s="1390"/>
      <c r="C36" s="1391"/>
      <c r="D36" s="1391"/>
      <c r="E36" s="1391"/>
      <c r="F36" s="1391"/>
      <c r="G36" s="1391"/>
      <c r="H36" s="1391"/>
      <c r="I36" s="1391"/>
      <c r="J36" s="1391"/>
      <c r="K36" s="1391"/>
      <c r="L36" s="1391"/>
      <c r="M36" s="1392"/>
      <c r="N36" s="1392">
        <f t="shared" si="89"/>
        <v>0</v>
      </c>
      <c r="O36" s="1390"/>
      <c r="P36" s="1391"/>
      <c r="Q36" s="1391"/>
      <c r="R36" s="1391"/>
      <c r="S36" s="1391">
        <v>2</v>
      </c>
      <c r="T36" s="1391">
        <v>7</v>
      </c>
      <c r="U36" s="1391">
        <v>2</v>
      </c>
      <c r="V36" s="1391">
        <v>3</v>
      </c>
      <c r="W36" s="1391"/>
      <c r="X36" s="1391">
        <v>2</v>
      </c>
      <c r="Y36" s="1391"/>
      <c r="Z36" s="1392"/>
      <c r="AA36" s="1392">
        <f t="shared" si="90"/>
        <v>16</v>
      </c>
      <c r="AB36" s="1390"/>
      <c r="AC36" s="1391"/>
      <c r="AD36" s="1391"/>
      <c r="AE36" s="1391"/>
      <c r="AF36" s="1391"/>
      <c r="AG36" s="1391"/>
      <c r="AH36" s="1391"/>
      <c r="AI36" s="1391"/>
      <c r="AJ36" s="1391"/>
      <c r="AK36" s="1391"/>
      <c r="AL36" s="1391"/>
      <c r="AM36" s="1392"/>
      <c r="AN36" s="1392">
        <f t="shared" si="91"/>
        <v>0</v>
      </c>
      <c r="AO36" s="1390"/>
      <c r="AP36" s="1391"/>
      <c r="AQ36" s="1391"/>
      <c r="AR36" s="1391"/>
      <c r="AS36" s="1391"/>
      <c r="AT36" s="1391"/>
      <c r="AU36" s="1391"/>
      <c r="AV36" s="1391"/>
      <c r="AW36" s="1391"/>
      <c r="AX36" s="1391"/>
      <c r="AY36" s="1391"/>
      <c r="AZ36" s="1392"/>
      <c r="BA36" s="1392">
        <f t="shared" si="92"/>
        <v>0</v>
      </c>
      <c r="BB36" s="1390">
        <v>23</v>
      </c>
      <c r="BC36" s="1391"/>
      <c r="BD36" s="1391"/>
      <c r="BE36" s="1391"/>
      <c r="BF36" s="1391">
        <v>38</v>
      </c>
      <c r="BG36" s="1391">
        <v>2</v>
      </c>
      <c r="BH36" s="1391"/>
      <c r="BI36" s="1391"/>
      <c r="BJ36" s="1391"/>
      <c r="BK36" s="1391">
        <v>22</v>
      </c>
      <c r="BL36" s="1391">
        <v>9</v>
      </c>
      <c r="BM36" s="1392"/>
      <c r="BN36" s="1392">
        <f t="shared" si="93"/>
        <v>94</v>
      </c>
      <c r="BO36" s="1390">
        <v>36</v>
      </c>
      <c r="BP36" s="1391">
        <v>29</v>
      </c>
      <c r="BQ36" s="1391">
        <v>1</v>
      </c>
      <c r="BR36" s="1391">
        <v>5</v>
      </c>
      <c r="BS36" s="1391">
        <v>6</v>
      </c>
      <c r="BT36" s="1391">
        <v>30</v>
      </c>
      <c r="BU36" s="1391">
        <v>21</v>
      </c>
      <c r="BV36" s="1391">
        <v>22</v>
      </c>
      <c r="BW36" s="1391"/>
      <c r="BX36" s="1391">
        <v>7</v>
      </c>
      <c r="BY36" s="1391"/>
      <c r="BZ36" s="1392"/>
      <c r="CA36" s="1392">
        <f t="shared" si="94"/>
        <v>157</v>
      </c>
      <c r="CB36" s="1390">
        <v>34</v>
      </c>
      <c r="CC36" s="1391">
        <v>31</v>
      </c>
      <c r="CD36" s="1391">
        <v>68</v>
      </c>
      <c r="CE36" s="1391">
        <v>10</v>
      </c>
      <c r="CF36" s="1391">
        <v>29</v>
      </c>
      <c r="CG36" s="1391">
        <v>57</v>
      </c>
      <c r="CH36" s="1391">
        <v>94</v>
      </c>
      <c r="CI36" s="1391">
        <v>34</v>
      </c>
      <c r="CJ36" s="1391">
        <v>56</v>
      </c>
      <c r="CK36" s="1391">
        <v>69</v>
      </c>
      <c r="CL36" s="1391">
        <v>27</v>
      </c>
      <c r="CM36" s="1392">
        <v>246</v>
      </c>
      <c r="CN36" s="1392">
        <f t="shared" si="95"/>
        <v>755</v>
      </c>
      <c r="CO36" s="1390"/>
      <c r="CP36" s="1391">
        <v>4</v>
      </c>
      <c r="CQ36" s="1391">
        <v>80</v>
      </c>
      <c r="CR36" s="1391">
        <v>3</v>
      </c>
      <c r="CS36" s="1391">
        <v>10</v>
      </c>
      <c r="CT36" s="1391">
        <v>2</v>
      </c>
      <c r="CU36" s="1391">
        <v>5</v>
      </c>
      <c r="CV36" s="1391"/>
      <c r="CW36" s="1391">
        <v>20</v>
      </c>
      <c r="CX36" s="1391">
        <v>14</v>
      </c>
      <c r="CY36" s="1391"/>
      <c r="CZ36" s="1392">
        <v>1</v>
      </c>
      <c r="DA36" s="1392">
        <f t="shared" si="96"/>
        <v>139</v>
      </c>
      <c r="DB36" s="1390">
        <v>29</v>
      </c>
      <c r="DC36" s="1391">
        <v>15</v>
      </c>
      <c r="DD36" s="1391"/>
      <c r="DE36" s="1391">
        <v>17</v>
      </c>
      <c r="DF36" s="1391">
        <v>10</v>
      </c>
      <c r="DG36" s="1391">
        <v>110</v>
      </c>
      <c r="DH36" s="1391">
        <v>24</v>
      </c>
      <c r="DI36" s="1391">
        <v>37</v>
      </c>
      <c r="DJ36" s="1391">
        <v>9</v>
      </c>
      <c r="DK36" s="1391">
        <v>12</v>
      </c>
      <c r="DL36" s="1391">
        <v>17</v>
      </c>
      <c r="DM36" s="1392">
        <v>29</v>
      </c>
      <c r="DN36" s="1392">
        <f t="shared" si="97"/>
        <v>309</v>
      </c>
      <c r="DO36" s="1390">
        <f>67+48</f>
        <v>115</v>
      </c>
      <c r="DP36" s="1391">
        <v>93</v>
      </c>
      <c r="DQ36" s="1391">
        <v>15</v>
      </c>
      <c r="DR36" s="1391">
        <v>124</v>
      </c>
      <c r="DS36" s="1391">
        <v>374</v>
      </c>
      <c r="DT36" s="1391">
        <v>312</v>
      </c>
      <c r="DU36" s="1391">
        <v>326</v>
      </c>
      <c r="DV36" s="1391">
        <v>347</v>
      </c>
      <c r="DW36" s="1391">
        <v>90</v>
      </c>
      <c r="DX36" s="1391">
        <v>7.7</v>
      </c>
      <c r="DY36" s="1391">
        <v>55</v>
      </c>
      <c r="DZ36" s="1392">
        <v>109</v>
      </c>
      <c r="EA36" s="1392">
        <f t="shared" si="98"/>
        <v>1967.7</v>
      </c>
      <c r="EB36" s="1390">
        <v>22</v>
      </c>
      <c r="EC36" s="1391">
        <v>54</v>
      </c>
      <c r="ED36" s="1391">
        <v>91</v>
      </c>
      <c r="EE36" s="1391">
        <v>2</v>
      </c>
      <c r="EF36" s="1391">
        <v>230</v>
      </c>
      <c r="EG36" s="1391">
        <v>246</v>
      </c>
      <c r="EH36" s="1391">
        <v>799</v>
      </c>
      <c r="EI36" s="1391">
        <v>117</v>
      </c>
      <c r="EJ36" s="1391">
        <v>336</v>
      </c>
      <c r="EK36" s="1391">
        <v>176</v>
      </c>
      <c r="EL36" s="1391">
        <v>336</v>
      </c>
      <c r="EM36" s="1392">
        <v>106</v>
      </c>
      <c r="EN36" s="1392">
        <f t="shared" si="99"/>
        <v>2515</v>
      </c>
      <c r="EO36" s="1390">
        <v>83</v>
      </c>
      <c r="EP36" s="1391">
        <v>211</v>
      </c>
      <c r="EQ36" s="1391">
        <v>170</v>
      </c>
      <c r="ER36" s="1391">
        <v>130</v>
      </c>
      <c r="ES36" s="1391">
        <v>187</v>
      </c>
      <c r="ET36" s="1391">
        <v>194</v>
      </c>
      <c r="EU36" s="1391">
        <v>94</v>
      </c>
      <c r="EV36" s="1391">
        <v>160</v>
      </c>
      <c r="EW36" s="1391">
        <v>187</v>
      </c>
      <c r="EX36" s="1391">
        <v>149</v>
      </c>
      <c r="EY36" s="1391">
        <v>119</v>
      </c>
      <c r="EZ36" s="1392">
        <v>140</v>
      </c>
      <c r="FA36" s="1392">
        <f t="shared" ref="FA36" si="642">SUM(EO36:EZ36)</f>
        <v>1824</v>
      </c>
      <c r="FB36" s="1390">
        <v>166</v>
      </c>
      <c r="FC36" s="1391">
        <v>240</v>
      </c>
      <c r="FD36" s="1391">
        <v>397</v>
      </c>
      <c r="FE36" s="1391">
        <v>432</v>
      </c>
      <c r="FF36" s="1391">
        <v>359</v>
      </c>
      <c r="FG36" s="1391">
        <v>233</v>
      </c>
      <c r="FH36" s="1391">
        <v>4168</v>
      </c>
      <c r="FI36" s="1391">
        <v>4776</v>
      </c>
      <c r="FJ36" s="1391">
        <v>2528</v>
      </c>
      <c r="FK36" s="1391">
        <v>1244</v>
      </c>
      <c r="FL36" s="1391">
        <v>131</v>
      </c>
      <c r="FM36" s="1392">
        <v>153</v>
      </c>
      <c r="FN36" s="1392">
        <f t="shared" si="101"/>
        <v>14827</v>
      </c>
      <c r="FO36" s="1390">
        <v>317</v>
      </c>
      <c r="FP36" s="1391">
        <v>198</v>
      </c>
      <c r="FQ36" s="1391">
        <v>224</v>
      </c>
      <c r="FR36" s="1391">
        <v>146</v>
      </c>
      <c r="FS36" s="1391">
        <v>142</v>
      </c>
      <c r="FT36" s="1391">
        <v>157</v>
      </c>
      <c r="FU36" s="1391">
        <v>258</v>
      </c>
      <c r="FV36" s="1391">
        <v>250</v>
      </c>
      <c r="FW36" s="1391">
        <v>302</v>
      </c>
      <c r="FX36" s="1391">
        <v>375</v>
      </c>
      <c r="FY36" s="1391">
        <v>72</v>
      </c>
      <c r="FZ36" s="1392">
        <v>121</v>
      </c>
      <c r="GA36" s="1392">
        <f t="shared" ref="GA36" si="643">SUM(FO36:FZ36)</f>
        <v>2562</v>
      </c>
      <c r="GB36" s="1390">
        <v>42</v>
      </c>
      <c r="GC36" s="1391">
        <v>44</v>
      </c>
      <c r="GD36" s="1391">
        <v>122</v>
      </c>
      <c r="GE36" s="1391">
        <v>160</v>
      </c>
      <c r="GF36" s="1391">
        <v>45</v>
      </c>
      <c r="GG36" s="1391">
        <v>281</v>
      </c>
      <c r="GH36" s="1391">
        <v>196</v>
      </c>
      <c r="GI36" s="1391">
        <v>456</v>
      </c>
      <c r="GJ36" s="1391">
        <v>6</v>
      </c>
      <c r="GK36" s="1391">
        <v>20</v>
      </c>
      <c r="GL36" s="1391">
        <v>96</v>
      </c>
      <c r="GM36" s="1392">
        <v>275</v>
      </c>
      <c r="GN36" s="1392">
        <f t="shared" ref="GN36" si="644">SUM(GB36:GM36)</f>
        <v>1743</v>
      </c>
      <c r="GO36" s="1390">
        <v>23</v>
      </c>
      <c r="GP36" s="1391">
        <v>14</v>
      </c>
      <c r="GQ36" s="1391">
        <v>5</v>
      </c>
      <c r="GR36" s="1391"/>
      <c r="GS36" s="1391">
        <v>5</v>
      </c>
      <c r="GT36" s="1391"/>
      <c r="GU36" s="1391">
        <v>5</v>
      </c>
      <c r="GV36" s="1391"/>
      <c r="GW36" s="1391">
        <v>143</v>
      </c>
      <c r="GX36" s="1391">
        <v>532</v>
      </c>
      <c r="GY36" s="1391">
        <v>315</v>
      </c>
      <c r="GZ36" s="1392">
        <v>1027</v>
      </c>
      <c r="HA36" s="1392">
        <f t="shared" si="104"/>
        <v>2069</v>
      </c>
      <c r="HB36" s="1390">
        <f>7+2+143+10</f>
        <v>162</v>
      </c>
      <c r="HC36" s="1391">
        <v>13</v>
      </c>
      <c r="HD36" s="1391">
        <f>1+89+2+6+4+15</f>
        <v>117</v>
      </c>
      <c r="HE36" s="1391">
        <v>157</v>
      </c>
      <c r="HF36" s="1391">
        <v>38</v>
      </c>
      <c r="HG36" s="1391">
        <v>96</v>
      </c>
      <c r="HH36" s="1391">
        <v>90</v>
      </c>
      <c r="HI36" s="1391">
        <v>246</v>
      </c>
      <c r="HJ36" s="1391">
        <v>327</v>
      </c>
      <c r="HK36" s="1391">
        <v>85</v>
      </c>
      <c r="HL36" s="1391">
        <v>41</v>
      </c>
      <c r="HM36" s="1392">
        <v>33</v>
      </c>
      <c r="HN36" s="1392">
        <f t="shared" si="105"/>
        <v>1405</v>
      </c>
      <c r="HO36" s="1390">
        <v>466</v>
      </c>
      <c r="HP36" s="1391">
        <v>223</v>
      </c>
      <c r="HQ36" s="1391">
        <v>393</v>
      </c>
      <c r="HR36" s="1391">
        <v>47</v>
      </c>
      <c r="HS36" s="1391">
        <v>130</v>
      </c>
      <c r="HT36" s="1391">
        <v>307</v>
      </c>
      <c r="HU36" s="1391">
        <v>924</v>
      </c>
      <c r="HV36" s="1391">
        <v>63</v>
      </c>
      <c r="HW36" s="1391">
        <v>75</v>
      </c>
      <c r="HX36" s="1391">
        <v>209</v>
      </c>
      <c r="HY36" s="1391">
        <v>444</v>
      </c>
      <c r="HZ36" s="1392">
        <v>496</v>
      </c>
      <c r="IA36" s="1392">
        <f t="shared" ref="IA36" si="645">SUM(HO36:HZ36)</f>
        <v>3777</v>
      </c>
      <c r="IB36" s="1390">
        <v>160</v>
      </c>
      <c r="IC36" s="1391">
        <v>146</v>
      </c>
      <c r="ID36" s="1391">
        <v>204</v>
      </c>
      <c r="IE36" s="1391">
        <v>15</v>
      </c>
      <c r="IF36" s="1391">
        <v>26</v>
      </c>
      <c r="IG36" s="1391">
        <v>55</v>
      </c>
      <c r="IH36" s="1391">
        <v>23</v>
      </c>
      <c r="II36" s="1391">
        <v>153</v>
      </c>
      <c r="IJ36" s="1391">
        <v>526</v>
      </c>
      <c r="IK36" s="1391">
        <v>299</v>
      </c>
      <c r="IL36" s="1391">
        <v>464</v>
      </c>
      <c r="IM36" s="1392">
        <v>580</v>
      </c>
      <c r="IN36" s="1392">
        <f t="shared" si="106"/>
        <v>2651</v>
      </c>
      <c r="IO36" s="1390">
        <v>0</v>
      </c>
      <c r="IP36" s="1391">
        <v>76</v>
      </c>
      <c r="IQ36" s="1391">
        <v>10</v>
      </c>
      <c r="IR36" s="1391">
        <v>57</v>
      </c>
      <c r="IS36" s="1391"/>
      <c r="IT36" s="1391">
        <v>2</v>
      </c>
      <c r="IU36" s="1391"/>
      <c r="IV36" s="1391">
        <v>35</v>
      </c>
      <c r="IW36" s="1391">
        <v>46</v>
      </c>
      <c r="IX36" s="1391">
        <v>7</v>
      </c>
      <c r="IY36" s="1391">
        <v>241</v>
      </c>
      <c r="IZ36" s="1392"/>
      <c r="JA36" s="1392">
        <v>474</v>
      </c>
      <c r="JB36" s="1390"/>
      <c r="JC36" s="1391"/>
      <c r="JD36" s="1391">
        <v>40</v>
      </c>
      <c r="JE36" s="1391">
        <v>0</v>
      </c>
      <c r="JF36" s="1391">
        <v>1</v>
      </c>
      <c r="JG36" s="1391"/>
      <c r="JH36" s="1391"/>
      <c r="JI36" s="1391">
        <v>0</v>
      </c>
      <c r="JJ36" s="1391"/>
      <c r="JK36" s="1391"/>
      <c r="JL36" s="1391">
        <v>846</v>
      </c>
      <c r="JM36" s="1392">
        <v>45</v>
      </c>
      <c r="JN36" s="1392">
        <v>932</v>
      </c>
      <c r="JO36" s="1390">
        <v>4</v>
      </c>
      <c r="JP36" s="1391">
        <v>22</v>
      </c>
      <c r="JQ36" s="1391">
        <v>93</v>
      </c>
      <c r="JR36" s="1391">
        <v>63</v>
      </c>
      <c r="JS36" s="1391">
        <v>53</v>
      </c>
      <c r="JT36" s="1391">
        <v>48</v>
      </c>
      <c r="JU36" s="1391">
        <v>27</v>
      </c>
      <c r="JV36" s="1391">
        <v>38</v>
      </c>
      <c r="JW36" s="1391"/>
      <c r="JX36" s="1391"/>
      <c r="JY36" s="1391"/>
      <c r="JZ36" s="1392"/>
      <c r="KA36" s="1392">
        <f t="shared" si="109"/>
        <v>348</v>
      </c>
      <c r="KB36" s="1401"/>
      <c r="KC36" s="1062">
        <f>IFERROR(((
_xlfn.XLOOKUP((DATE(YEAR($KC$5),MONTH($KC$5),1)),$A$5:$KA$5,$A36:$KA36) /
_xlfn.XLOOKUP((DATE(YEAR($KC$5)-1,MONTH($KC$5),1)),$A$5:$KA$5,$A36:$KA36)
)-1)*100,"")</f>
        <v>132.50000000000003</v>
      </c>
      <c r="KD36" s="1063">
        <f t="shared" si="84"/>
        <v>197.5</v>
      </c>
      <c r="KE36" s="1402">
        <f>SUMIFS($B36:$KA36,$B$5:$KA$5,"&gt;="&amp;DATE(YEAR($KC$5)-1,1,1),$B$5:$KA$5,"&lt;="&amp;DATE(YEAR($KC$5)-1,MONTH($KC$5),1))</f>
        <v>40</v>
      </c>
      <c r="KF36" s="1402">
        <f>SUMIFS($B36:$KA36,$B$5:$KA$5,"&gt;="&amp;DATE(YEAR($KC$5),1,1),$B$5:$KA$5,"&lt;="&amp;$KC$5)</f>
        <v>119</v>
      </c>
      <c r="KG36" s="1401"/>
      <c r="KH36" s="1403">
        <f>IFERROR((
_xlfn.XLOOKUP((DATE(YEAR($KC$5),MONTH($KC$5),1)),$A$5:$KA$5,$A36:$KA36) /
_xlfn.XLOOKUP((DATE(YEAR($KC$5)-1,MONTH($KC$5),1)),$A$5:$KA$5,$A36:$KA36)),"")</f>
        <v>2.3250000000000002</v>
      </c>
      <c r="KI36" s="1404">
        <f>IFERROR((
_xlfn.XLOOKUP((DATE(YEAR($KC$5),MONTH($KC$5),1)),$A$5:$KA$5,$A36:$KA36) -
_xlfn.XLOOKUP((DATE(YEAR($KC$5)-1,MONTH($KC$5),1)),$A$5:$KA$5,$A36:$KA36)),"")</f>
        <v>53</v>
      </c>
      <c r="KJ36" s="1405">
        <f t="shared" si="55"/>
        <v>79</v>
      </c>
      <c r="KK36" s="1406"/>
    </row>
    <row r="37" spans="1:297" ht="15" customHeight="1" x14ac:dyDescent="0.2">
      <c r="A37" s="1049"/>
      <c r="B37" s="1413"/>
      <c r="C37" s="1414"/>
      <c r="D37" s="1414"/>
      <c r="E37" s="1414"/>
      <c r="F37" s="1414"/>
      <c r="G37" s="1414"/>
      <c r="H37" s="1414"/>
      <c r="I37" s="1414"/>
      <c r="J37" s="1414"/>
      <c r="K37" s="1414"/>
      <c r="L37" s="1414"/>
      <c r="M37" s="1415"/>
      <c r="N37" s="1415"/>
      <c r="O37" s="1413"/>
      <c r="P37" s="1414"/>
      <c r="Q37" s="1414"/>
      <c r="R37" s="1414"/>
      <c r="S37" s="1414"/>
      <c r="T37" s="1414"/>
      <c r="U37" s="1414"/>
      <c r="V37" s="1414"/>
      <c r="W37" s="1414"/>
      <c r="X37" s="1414"/>
      <c r="Y37" s="1414"/>
      <c r="Z37" s="1415"/>
      <c r="AA37" s="1415"/>
      <c r="AB37" s="1413"/>
      <c r="AC37" s="1414"/>
      <c r="AD37" s="1414"/>
      <c r="AE37" s="1414"/>
      <c r="AF37" s="1414"/>
      <c r="AG37" s="1414"/>
      <c r="AH37" s="1414"/>
      <c r="AI37" s="1414"/>
      <c r="AJ37" s="1414"/>
      <c r="AK37" s="1414"/>
      <c r="AL37" s="1414"/>
      <c r="AM37" s="1415"/>
      <c r="AN37" s="1415"/>
      <c r="AO37" s="1413"/>
      <c r="AP37" s="1414"/>
      <c r="AQ37" s="1414"/>
      <c r="AR37" s="1414"/>
      <c r="AS37" s="1414"/>
      <c r="AT37" s="1414"/>
      <c r="AU37" s="1414"/>
      <c r="AV37" s="1414"/>
      <c r="AW37" s="1414"/>
      <c r="AX37" s="1414"/>
      <c r="AY37" s="1414"/>
      <c r="AZ37" s="1415"/>
      <c r="BA37" s="1415"/>
      <c r="BB37" s="1413"/>
      <c r="BC37" s="1414"/>
      <c r="BD37" s="1414"/>
      <c r="BE37" s="1414"/>
      <c r="BF37" s="1414"/>
      <c r="BG37" s="1414"/>
      <c r="BH37" s="1414"/>
      <c r="BI37" s="1414"/>
      <c r="BJ37" s="1414"/>
      <c r="BK37" s="1414"/>
      <c r="BL37" s="1414"/>
      <c r="BM37" s="1415"/>
      <c r="BN37" s="1415"/>
      <c r="BO37" s="1413"/>
      <c r="BP37" s="1414"/>
      <c r="BQ37" s="1414"/>
      <c r="BR37" s="1414"/>
      <c r="BS37" s="1414"/>
      <c r="BT37" s="1414"/>
      <c r="BU37" s="1414"/>
      <c r="BV37" s="1414"/>
      <c r="BW37" s="1414"/>
      <c r="BX37" s="1414"/>
      <c r="BY37" s="1414"/>
      <c r="BZ37" s="1415"/>
      <c r="CA37" s="1415"/>
      <c r="CB37" s="1413"/>
      <c r="CC37" s="1414"/>
      <c r="CD37" s="1414"/>
      <c r="CE37" s="1414"/>
      <c r="CF37" s="1414"/>
      <c r="CG37" s="1414"/>
      <c r="CH37" s="1414"/>
      <c r="CI37" s="1414"/>
      <c r="CJ37" s="1414"/>
      <c r="CK37" s="1414"/>
      <c r="CL37" s="1414"/>
      <c r="CM37" s="1415"/>
      <c r="CN37" s="1415"/>
      <c r="CO37" s="1413"/>
      <c r="CP37" s="1414"/>
      <c r="CQ37" s="1414"/>
      <c r="CR37" s="1414"/>
      <c r="CS37" s="1414"/>
      <c r="CT37" s="1414"/>
      <c r="CU37" s="1414"/>
      <c r="CV37" s="1414"/>
      <c r="CW37" s="1414"/>
      <c r="CX37" s="1414"/>
      <c r="CY37" s="1414"/>
      <c r="CZ37" s="1415"/>
      <c r="DA37" s="1415"/>
      <c r="DB37" s="1413"/>
      <c r="DC37" s="1414"/>
      <c r="DD37" s="1414"/>
      <c r="DE37" s="1414"/>
      <c r="DF37" s="1414"/>
      <c r="DG37" s="1414"/>
      <c r="DH37" s="1414"/>
      <c r="DI37" s="1414"/>
      <c r="DJ37" s="1414"/>
      <c r="DK37" s="1414"/>
      <c r="DL37" s="1414"/>
      <c r="DM37" s="1415"/>
      <c r="DN37" s="1415"/>
      <c r="DO37" s="1413"/>
      <c r="DP37" s="1414"/>
      <c r="DQ37" s="1414"/>
      <c r="DR37" s="1414"/>
      <c r="DS37" s="1414"/>
      <c r="DT37" s="1414"/>
      <c r="DU37" s="1414"/>
      <c r="DV37" s="1414"/>
      <c r="DW37" s="1414"/>
      <c r="DX37" s="1414"/>
      <c r="DY37" s="1414"/>
      <c r="DZ37" s="1415"/>
      <c r="EA37" s="1415"/>
      <c r="EB37" s="1413"/>
      <c r="EC37" s="1414"/>
      <c r="ED37" s="1414"/>
      <c r="EE37" s="1414"/>
      <c r="EF37" s="1414"/>
      <c r="EG37" s="1414"/>
      <c r="EH37" s="1414"/>
      <c r="EI37" s="1414"/>
      <c r="EJ37" s="1414"/>
      <c r="EK37" s="1414"/>
      <c r="EL37" s="1414"/>
      <c r="EM37" s="1415"/>
      <c r="EN37" s="1415"/>
      <c r="EO37" s="1413"/>
      <c r="EP37" s="1414"/>
      <c r="EQ37" s="1414"/>
      <c r="ER37" s="1414"/>
      <c r="ES37" s="1414"/>
      <c r="ET37" s="1414"/>
      <c r="EU37" s="1414"/>
      <c r="EV37" s="1414"/>
      <c r="EW37" s="1414"/>
      <c r="EX37" s="1414"/>
      <c r="EY37" s="1414"/>
      <c r="EZ37" s="1415"/>
      <c r="FA37" s="1415"/>
      <c r="FB37" s="1413"/>
      <c r="FC37" s="1414"/>
      <c r="FD37" s="1414"/>
      <c r="FE37" s="1414"/>
      <c r="FF37" s="1414"/>
      <c r="FG37" s="1414"/>
      <c r="FH37" s="1414"/>
      <c r="FI37" s="1414"/>
      <c r="FJ37" s="1414"/>
      <c r="FK37" s="1414"/>
      <c r="FL37" s="1414"/>
      <c r="FM37" s="1415"/>
      <c r="FN37" s="1415"/>
      <c r="FO37" s="1413"/>
      <c r="FP37" s="1414"/>
      <c r="FQ37" s="1414"/>
      <c r="FR37" s="1414"/>
      <c r="FS37" s="1414"/>
      <c r="FT37" s="1414"/>
      <c r="FU37" s="1414"/>
      <c r="FV37" s="1414"/>
      <c r="FW37" s="1414"/>
      <c r="FX37" s="1414"/>
      <c r="FY37" s="1414"/>
      <c r="FZ37" s="1415"/>
      <c r="GA37" s="1415"/>
      <c r="GB37" s="1413"/>
      <c r="GC37" s="1414"/>
      <c r="GD37" s="1414"/>
      <c r="GE37" s="1414"/>
      <c r="GF37" s="1414"/>
      <c r="GG37" s="1414"/>
      <c r="GH37" s="1414"/>
      <c r="GI37" s="1414"/>
      <c r="GJ37" s="1414"/>
      <c r="GK37" s="1414"/>
      <c r="GL37" s="1414"/>
      <c r="GM37" s="1415"/>
      <c r="GN37" s="1415"/>
      <c r="GO37" s="1413"/>
      <c r="GP37" s="1414"/>
      <c r="GQ37" s="1414"/>
      <c r="GR37" s="1414"/>
      <c r="GS37" s="1414"/>
      <c r="GT37" s="1414"/>
      <c r="GU37" s="1414"/>
      <c r="GV37" s="1414"/>
      <c r="GW37" s="1414"/>
      <c r="GX37" s="1414"/>
      <c r="GY37" s="1414"/>
      <c r="GZ37" s="1415"/>
      <c r="HA37" s="1415"/>
      <c r="HB37" s="1413"/>
      <c r="HC37" s="1414"/>
      <c r="HD37" s="1414"/>
      <c r="HE37" s="1414"/>
      <c r="HF37" s="1414"/>
      <c r="HG37" s="1414"/>
      <c r="HH37" s="1414"/>
      <c r="HI37" s="1414"/>
      <c r="HJ37" s="1414"/>
      <c r="HK37" s="1414"/>
      <c r="HL37" s="1414"/>
      <c r="HM37" s="1415"/>
      <c r="HN37" s="1415"/>
      <c r="HO37" s="1413"/>
      <c r="HP37" s="1414"/>
      <c r="HQ37" s="1414"/>
      <c r="HR37" s="1414"/>
      <c r="HS37" s="1414"/>
      <c r="HT37" s="1414"/>
      <c r="HU37" s="1414"/>
      <c r="HV37" s="1414"/>
      <c r="HW37" s="1414"/>
      <c r="HX37" s="1414"/>
      <c r="HY37" s="1414"/>
      <c r="HZ37" s="1415"/>
      <c r="IA37" s="1415"/>
      <c r="IB37" s="1413"/>
      <c r="IC37" s="1414"/>
      <c r="ID37" s="1414"/>
      <c r="IE37" s="1414"/>
      <c r="IF37" s="1414"/>
      <c r="IG37" s="1414"/>
      <c r="IH37" s="1414"/>
      <c r="II37" s="1414"/>
      <c r="IJ37" s="1414"/>
      <c r="IK37" s="1414"/>
      <c r="IL37" s="1414"/>
      <c r="IM37" s="1415"/>
      <c r="IN37" s="1415"/>
      <c r="IO37" s="1413"/>
      <c r="IP37" s="1414"/>
      <c r="IQ37" s="1414"/>
      <c r="IR37" s="1414"/>
      <c r="IS37" s="1414"/>
      <c r="IT37" s="1414"/>
      <c r="IU37" s="1414"/>
      <c r="IV37" s="1414"/>
      <c r="IW37" s="1414"/>
      <c r="IX37" s="1414"/>
      <c r="IY37" s="1414"/>
      <c r="IZ37" s="1415"/>
      <c r="JA37" s="1415"/>
      <c r="JB37" s="1413"/>
      <c r="JC37" s="1414"/>
      <c r="JD37" s="1414"/>
      <c r="JE37" s="1414"/>
      <c r="JF37" s="1414"/>
      <c r="JG37" s="1414"/>
      <c r="JH37" s="1414"/>
      <c r="JI37" s="1414"/>
      <c r="JJ37" s="1414"/>
      <c r="JK37" s="1414"/>
      <c r="JL37" s="1414"/>
      <c r="JM37" s="1415"/>
      <c r="JN37" s="1415"/>
      <c r="JO37" s="1413"/>
      <c r="JP37" s="1414"/>
      <c r="JQ37" s="1414"/>
      <c r="JR37" s="1414"/>
      <c r="JS37" s="1414"/>
      <c r="JT37" s="1414"/>
      <c r="JU37" s="1414"/>
      <c r="JV37" s="1414"/>
      <c r="JW37" s="1414"/>
      <c r="JX37" s="1414"/>
      <c r="JY37" s="1414"/>
      <c r="JZ37" s="1415"/>
      <c r="KA37" s="1415"/>
      <c r="KB37" s="1042"/>
      <c r="KC37" s="1069"/>
      <c r="KD37" s="1070"/>
      <c r="KE37" s="1416"/>
      <c r="KF37" s="1416"/>
      <c r="KG37" s="1042"/>
      <c r="KH37" s="1050"/>
      <c r="KI37" s="1051"/>
      <c r="KJ37" s="1052"/>
      <c r="KK37" s="66"/>
    </row>
    <row r="38" spans="1:297" ht="15" customHeight="1" x14ac:dyDescent="0.2">
      <c r="A38" s="1616" t="s">
        <v>118</v>
      </c>
      <c r="B38" s="1617"/>
      <c r="C38" s="1617"/>
      <c r="D38" s="1617"/>
      <c r="E38" s="1617"/>
      <c r="F38" s="1617"/>
      <c r="G38" s="1617"/>
      <c r="H38" s="1617"/>
      <c r="I38" s="1617"/>
      <c r="J38" s="1617"/>
      <c r="K38" s="1617"/>
      <c r="L38" s="1617"/>
      <c r="M38" s="1617"/>
      <c r="N38" s="1617"/>
      <c r="O38" s="1617"/>
      <c r="P38" s="1617"/>
      <c r="Q38" s="1617"/>
      <c r="R38" s="1617"/>
      <c r="S38" s="1617"/>
      <c r="T38" s="1617"/>
      <c r="U38" s="1617"/>
      <c r="V38" s="1617"/>
      <c r="W38" s="1617"/>
      <c r="X38" s="1617"/>
      <c r="Y38" s="1617"/>
      <c r="Z38" s="1617"/>
      <c r="AA38" s="1617"/>
      <c r="AB38" s="1617"/>
      <c r="AC38" s="1617"/>
      <c r="AD38" s="1617"/>
      <c r="AE38" s="1617"/>
      <c r="AF38" s="1617"/>
      <c r="AG38" s="1617"/>
      <c r="AH38" s="1617"/>
      <c r="AI38" s="1617"/>
      <c r="AJ38" s="1617"/>
      <c r="AK38" s="1617"/>
      <c r="AL38" s="1617"/>
      <c r="AM38" s="1617"/>
      <c r="AN38" s="1617"/>
      <c r="AO38" s="1617"/>
      <c r="AP38" s="1617"/>
      <c r="AQ38" s="1617"/>
      <c r="AR38" s="1617"/>
      <c r="AS38" s="1617"/>
      <c r="AT38" s="1617"/>
      <c r="AU38" s="1617"/>
      <c r="AV38" s="1617"/>
      <c r="AW38" s="1617"/>
      <c r="AX38" s="1617"/>
      <c r="AY38" s="1617"/>
      <c r="AZ38" s="1617"/>
      <c r="BA38" s="1617"/>
      <c r="BB38" s="1617"/>
      <c r="BC38" s="1617"/>
      <c r="BD38" s="1617"/>
      <c r="BE38" s="1617"/>
      <c r="BF38" s="1617"/>
      <c r="BG38" s="1617"/>
      <c r="BH38" s="1617"/>
      <c r="BI38" s="1617"/>
      <c r="BJ38" s="1617"/>
      <c r="BK38" s="1617"/>
      <c r="BL38" s="1617"/>
      <c r="BM38" s="1617"/>
      <c r="BN38" s="1617"/>
      <c r="BO38" s="1617"/>
      <c r="BP38" s="1617"/>
      <c r="BQ38" s="1617"/>
      <c r="BR38" s="1617"/>
      <c r="BS38" s="1617"/>
      <c r="BT38" s="1617"/>
      <c r="BU38" s="1617"/>
      <c r="BV38" s="1617"/>
      <c r="BW38" s="1617"/>
      <c r="BX38" s="1617"/>
      <c r="BY38" s="1617"/>
      <c r="BZ38" s="1617"/>
      <c r="CA38" s="1617"/>
      <c r="CB38" s="1617"/>
      <c r="CC38" s="1617"/>
      <c r="CD38" s="1617"/>
      <c r="CE38" s="1617"/>
      <c r="CF38" s="1617"/>
      <c r="CG38" s="1617"/>
      <c r="CH38" s="1617"/>
      <c r="CI38" s="1617"/>
      <c r="CJ38" s="1617"/>
      <c r="CK38" s="1617"/>
      <c r="CL38" s="1617"/>
      <c r="CM38" s="1617"/>
      <c r="CN38" s="1617"/>
      <c r="CO38" s="1617"/>
      <c r="CP38" s="1617"/>
      <c r="CQ38" s="1617"/>
      <c r="CR38" s="1617"/>
      <c r="CS38" s="1617"/>
      <c r="CT38" s="1617"/>
      <c r="CU38" s="1617"/>
      <c r="CV38" s="1617"/>
      <c r="CW38" s="1617"/>
      <c r="CX38" s="1617"/>
      <c r="CY38" s="1617"/>
      <c r="CZ38" s="1617"/>
      <c r="DA38" s="1617"/>
      <c r="DB38" s="1617"/>
      <c r="DC38" s="1617"/>
      <c r="DD38" s="1617"/>
      <c r="DE38" s="1617"/>
      <c r="DF38" s="1617"/>
      <c r="DG38" s="1617"/>
      <c r="DH38" s="1617"/>
      <c r="DI38" s="1617"/>
      <c r="DJ38" s="1617"/>
      <c r="DK38" s="1617"/>
      <c r="DL38" s="1617"/>
      <c r="DM38" s="1617"/>
      <c r="DN38" s="1617"/>
      <c r="DO38" s="1617"/>
      <c r="DP38" s="1617"/>
      <c r="DQ38" s="1617"/>
      <c r="DR38" s="1617"/>
      <c r="DS38" s="1617"/>
      <c r="DT38" s="1617"/>
      <c r="DU38" s="1617"/>
      <c r="DV38" s="1617"/>
      <c r="DW38" s="1617"/>
      <c r="DX38" s="1617"/>
      <c r="DY38" s="1617"/>
      <c r="DZ38" s="1617"/>
      <c r="EA38" s="1617"/>
      <c r="EB38" s="1617"/>
      <c r="EC38" s="1617"/>
      <c r="ED38" s="1617"/>
      <c r="EE38" s="1617"/>
      <c r="EF38" s="1617"/>
      <c r="EG38" s="1617"/>
      <c r="EH38" s="1617"/>
      <c r="EI38" s="1617"/>
      <c r="EJ38" s="1617"/>
      <c r="EK38" s="1617"/>
      <c r="EL38" s="1617"/>
      <c r="EM38" s="1617"/>
      <c r="EN38" s="1617"/>
      <c r="EO38" s="1617"/>
      <c r="EP38" s="1617"/>
      <c r="EQ38" s="1617"/>
      <c r="ER38" s="1617"/>
      <c r="ES38" s="1617"/>
      <c r="ET38" s="1617"/>
      <c r="EU38" s="1617"/>
      <c r="EV38" s="1617"/>
      <c r="EW38" s="1617"/>
      <c r="EX38" s="1617"/>
      <c r="EY38" s="1617"/>
      <c r="EZ38" s="1617"/>
      <c r="FA38" s="1617"/>
      <c r="FB38" s="1617"/>
      <c r="FC38" s="1617"/>
      <c r="FD38" s="1617"/>
      <c r="FE38" s="1617"/>
      <c r="FF38" s="1617"/>
      <c r="FG38" s="1617"/>
      <c r="FH38" s="1617"/>
      <c r="FI38" s="1617"/>
      <c r="FJ38" s="1617"/>
      <c r="FK38" s="1617"/>
      <c r="FL38" s="1617"/>
      <c r="FM38" s="1617"/>
      <c r="FN38" s="1617"/>
      <c r="FO38" s="1617"/>
      <c r="FP38" s="1617"/>
      <c r="FQ38" s="1617"/>
      <c r="FR38" s="1617"/>
      <c r="FS38" s="1617"/>
      <c r="FT38" s="1617"/>
      <c r="FU38" s="1617"/>
      <c r="FV38" s="1617"/>
      <c r="FW38" s="1617"/>
      <c r="FX38" s="1617"/>
      <c r="FY38" s="1617"/>
      <c r="FZ38" s="1617"/>
      <c r="GA38" s="1617"/>
      <c r="GB38" s="1617"/>
      <c r="GC38" s="1617"/>
      <c r="GD38" s="1617"/>
      <c r="GE38" s="1617"/>
      <c r="GF38" s="1617"/>
      <c r="GG38" s="1617"/>
      <c r="GH38" s="1617"/>
      <c r="GI38" s="1617"/>
      <c r="GJ38" s="1617"/>
      <c r="GK38" s="1617"/>
      <c r="GL38" s="1617"/>
      <c r="GM38" s="1617"/>
      <c r="GN38" s="1617"/>
      <c r="GO38" s="1617"/>
      <c r="GP38" s="1617"/>
      <c r="GQ38" s="1617"/>
      <c r="GR38" s="1617"/>
      <c r="GS38" s="1617"/>
      <c r="GT38" s="1617"/>
      <c r="GU38" s="1617"/>
      <c r="GV38" s="1617"/>
      <c r="GW38" s="1617"/>
      <c r="GX38" s="1617"/>
      <c r="GY38" s="1617"/>
      <c r="GZ38" s="1617"/>
      <c r="HA38" s="1617"/>
      <c r="HB38" s="1617"/>
      <c r="HC38" s="1617"/>
      <c r="HD38" s="1617"/>
      <c r="HE38" s="1617"/>
      <c r="HF38" s="1617"/>
      <c r="HG38" s="1617"/>
      <c r="HH38" s="1617"/>
      <c r="HI38" s="1617"/>
      <c r="HJ38" s="1617"/>
      <c r="HK38" s="1617"/>
      <c r="HL38" s="1617"/>
      <c r="HM38" s="1617"/>
      <c r="HN38" s="1617"/>
      <c r="HO38" s="1617"/>
      <c r="HP38" s="1617"/>
      <c r="HQ38" s="1617"/>
      <c r="HR38" s="1617"/>
      <c r="HS38" s="1617"/>
      <c r="HT38" s="1617"/>
      <c r="HU38" s="1617"/>
      <c r="HV38" s="1617"/>
      <c r="HW38" s="1617"/>
      <c r="HX38" s="1617"/>
      <c r="HY38" s="1617"/>
      <c r="HZ38" s="1617"/>
      <c r="IA38" s="1617"/>
      <c r="IB38" s="1617"/>
      <c r="IC38" s="1617"/>
      <c r="ID38" s="1617"/>
      <c r="IE38" s="1617"/>
      <c r="IF38" s="1617"/>
      <c r="IG38" s="1617"/>
      <c r="IH38" s="1617"/>
      <c r="II38" s="1617"/>
      <c r="IJ38" s="1617"/>
      <c r="IK38" s="1617"/>
      <c r="IL38" s="1617"/>
      <c r="IM38" s="1617"/>
      <c r="IN38" s="1617"/>
      <c r="IO38" s="1617"/>
      <c r="IP38" s="1617"/>
      <c r="IQ38" s="1617"/>
      <c r="IR38" s="1617"/>
      <c r="IS38" s="1617"/>
      <c r="IT38" s="1617"/>
      <c r="IU38" s="1617"/>
      <c r="IV38" s="1617"/>
      <c r="IW38" s="1617"/>
      <c r="IX38" s="1617"/>
      <c r="IY38" s="1617"/>
      <c r="IZ38" s="1617"/>
      <c r="JA38" s="1617"/>
      <c r="JB38" s="1617"/>
      <c r="JC38" s="1617"/>
      <c r="JD38" s="1617"/>
      <c r="JE38" s="1617"/>
      <c r="JF38" s="1617"/>
      <c r="JG38" s="1617"/>
      <c r="JH38" s="1617"/>
      <c r="JI38" s="1617"/>
      <c r="JJ38" s="1617"/>
      <c r="JK38" s="1617"/>
      <c r="JL38" s="1617"/>
      <c r="JM38" s="1617"/>
      <c r="JN38" s="1618"/>
      <c r="JO38" s="1617"/>
      <c r="JP38" s="1617"/>
      <c r="JQ38" s="1617"/>
      <c r="JR38" s="1617"/>
      <c r="JS38" s="1617"/>
      <c r="JT38" s="1617"/>
      <c r="JU38" s="1617"/>
      <c r="JV38" s="1617"/>
      <c r="JW38" s="1617"/>
      <c r="JX38" s="1617"/>
      <c r="JY38" s="1617"/>
      <c r="JZ38" s="1617"/>
      <c r="KA38" s="1618"/>
      <c r="KB38" s="1617"/>
      <c r="KC38" s="1618"/>
      <c r="KD38" s="1618"/>
      <c r="KE38" s="1618"/>
      <c r="KF38" s="1618"/>
      <c r="KG38" s="1618"/>
      <c r="KH38" s="1618"/>
      <c r="KI38" s="1618"/>
      <c r="KJ38" s="1618"/>
      <c r="KK38" s="1618"/>
    </row>
    <row r="39" spans="1:297" ht="15" customHeight="1" x14ac:dyDescent="0.2">
      <c r="A39" s="1618" t="s">
        <v>101</v>
      </c>
      <c r="B39" s="1616"/>
      <c r="C39" s="1616"/>
      <c r="D39" s="1616"/>
      <c r="E39" s="1616"/>
      <c r="F39" s="1616"/>
      <c r="G39" s="1616"/>
      <c r="H39" s="1616"/>
      <c r="I39" s="1616"/>
      <c r="J39" s="1616"/>
      <c r="K39" s="1616"/>
      <c r="L39" s="1616"/>
      <c r="M39" s="1616"/>
      <c r="N39" s="1616"/>
      <c r="O39" s="1616"/>
      <c r="P39" s="1616"/>
      <c r="Q39" s="1616"/>
      <c r="R39" s="1616"/>
      <c r="S39" s="1616"/>
      <c r="T39" s="1616"/>
      <c r="U39" s="1616"/>
      <c r="V39" s="1616"/>
      <c r="W39" s="1616"/>
      <c r="X39" s="1616"/>
      <c r="Y39" s="1616"/>
      <c r="Z39" s="1616"/>
      <c r="AA39" s="1616"/>
      <c r="AB39" s="1619"/>
      <c r="AC39" s="1619"/>
      <c r="AD39" s="1619"/>
      <c r="AE39" s="1619"/>
      <c r="AF39" s="1619"/>
      <c r="AG39" s="1619"/>
      <c r="AH39" s="1619"/>
      <c r="AI39" s="1619"/>
      <c r="AJ39" s="1619"/>
      <c r="AK39" s="1619"/>
      <c r="AL39" s="1619"/>
      <c r="AM39" s="1619"/>
      <c r="AN39" s="1620"/>
      <c r="AO39" s="1619"/>
      <c r="AP39" s="1619"/>
      <c r="AQ39" s="1619"/>
      <c r="AR39" s="1619"/>
      <c r="AS39" s="1619"/>
      <c r="AT39" s="1619"/>
      <c r="AU39" s="1619"/>
      <c r="AV39" s="1619"/>
      <c r="AW39" s="1619"/>
      <c r="AX39" s="1619"/>
      <c r="AY39" s="1619"/>
      <c r="AZ39" s="1619"/>
      <c r="BA39" s="1620"/>
      <c r="BB39" s="1619"/>
      <c r="BC39" s="1619"/>
      <c r="BD39" s="1619"/>
      <c r="BE39" s="1619"/>
      <c r="BF39" s="1619"/>
      <c r="BG39" s="1619"/>
      <c r="BH39" s="1619"/>
      <c r="BI39" s="1619"/>
      <c r="BJ39" s="1619"/>
      <c r="BK39" s="1619"/>
      <c r="BL39" s="1619"/>
      <c r="BM39" s="1619"/>
      <c r="BN39" s="1620"/>
      <c r="BO39" s="1619"/>
      <c r="BP39" s="1619"/>
      <c r="BQ39" s="1619"/>
      <c r="BR39" s="1619"/>
      <c r="BS39" s="1619"/>
      <c r="BT39" s="1619"/>
      <c r="BU39" s="1619"/>
      <c r="BV39" s="1619"/>
      <c r="BW39" s="1619"/>
      <c r="BX39" s="1619"/>
      <c r="BY39" s="1619"/>
      <c r="BZ39" s="1619"/>
      <c r="CA39" s="1620"/>
      <c r="CB39" s="1619"/>
      <c r="CC39" s="1619"/>
      <c r="CD39" s="1619"/>
      <c r="CE39" s="1619"/>
      <c r="CF39" s="1619"/>
      <c r="CG39" s="1619"/>
      <c r="CH39" s="1619"/>
      <c r="CI39" s="1619"/>
      <c r="CJ39" s="1619"/>
      <c r="CK39" s="1619"/>
      <c r="CL39" s="1619"/>
      <c r="CM39" s="1619"/>
      <c r="CN39" s="1620"/>
      <c r="CO39" s="1619"/>
      <c r="CP39" s="1619"/>
      <c r="CQ39" s="1619"/>
      <c r="CR39" s="1619"/>
      <c r="CS39" s="1619"/>
      <c r="CT39" s="1619"/>
      <c r="CU39" s="1619"/>
      <c r="CV39" s="1619"/>
      <c r="CW39" s="1619"/>
      <c r="CX39" s="1619"/>
      <c r="CY39" s="1619"/>
      <c r="CZ39" s="1619"/>
      <c r="DA39" s="1620"/>
      <c r="DB39" s="1619"/>
      <c r="DC39" s="1619"/>
      <c r="DD39" s="1619"/>
      <c r="DE39" s="1619"/>
      <c r="DF39" s="1619"/>
      <c r="DG39" s="1619"/>
      <c r="DH39" s="1619"/>
      <c r="DI39" s="1619"/>
      <c r="DJ39" s="1619"/>
      <c r="DK39" s="1619"/>
      <c r="DL39" s="1619"/>
      <c r="DM39" s="1619"/>
      <c r="DN39" s="1620"/>
      <c r="DO39" s="1619"/>
      <c r="DP39" s="1619"/>
      <c r="DQ39" s="1619"/>
      <c r="DR39" s="1619"/>
      <c r="DS39" s="1619"/>
      <c r="DT39" s="1619"/>
      <c r="DU39" s="1619"/>
      <c r="DV39" s="1619"/>
      <c r="DW39" s="1619"/>
      <c r="DX39" s="1619"/>
      <c r="DY39" s="1619"/>
      <c r="DZ39" s="1619"/>
      <c r="EA39" s="1620"/>
      <c r="EB39" s="1618"/>
      <c r="EC39" s="1618"/>
      <c r="ED39" s="1618"/>
      <c r="EE39" s="1618"/>
      <c r="EF39" s="1618"/>
      <c r="EG39" s="1618"/>
      <c r="EH39" s="1618"/>
      <c r="EI39" s="1618"/>
      <c r="EJ39" s="1618"/>
      <c r="EK39" s="1618"/>
      <c r="EL39" s="1618"/>
      <c r="EM39" s="1618"/>
      <c r="EN39" s="1618"/>
      <c r="EO39" s="1618"/>
      <c r="EP39" s="1618"/>
      <c r="EQ39" s="1618"/>
      <c r="ER39" s="1618"/>
      <c r="ES39" s="1618"/>
      <c r="ET39" s="1618"/>
      <c r="EU39" s="1618"/>
      <c r="EV39" s="1618"/>
      <c r="EW39" s="1618"/>
      <c r="EX39" s="1618"/>
      <c r="EY39" s="1618"/>
      <c r="EZ39" s="1618"/>
      <c r="FA39" s="1618"/>
      <c r="FB39" s="1618"/>
      <c r="FC39" s="1618"/>
      <c r="FD39" s="1618"/>
      <c r="FE39" s="1618"/>
      <c r="FF39" s="1618"/>
      <c r="FG39" s="1618"/>
      <c r="FH39" s="1618"/>
      <c r="FI39" s="1618"/>
      <c r="FJ39" s="1618"/>
      <c r="FK39" s="1618"/>
      <c r="FL39" s="1618"/>
      <c r="FM39" s="1618"/>
      <c r="FN39" s="1618"/>
      <c r="FO39" s="1618"/>
      <c r="FP39" s="1618"/>
      <c r="FQ39" s="1618"/>
      <c r="FR39" s="1618"/>
      <c r="FS39" s="1618"/>
      <c r="FT39" s="1618"/>
      <c r="FU39" s="1618"/>
      <c r="FV39" s="1618"/>
      <c r="FW39" s="1618"/>
      <c r="FX39" s="1618"/>
      <c r="FY39" s="1618"/>
      <c r="FZ39" s="1618"/>
      <c r="GA39" s="1618"/>
      <c r="GB39" s="1618"/>
      <c r="GC39" s="1618"/>
      <c r="GD39" s="1618"/>
      <c r="GE39" s="1618"/>
      <c r="GF39" s="1618"/>
      <c r="GG39" s="1618"/>
      <c r="GH39" s="1618"/>
      <c r="GI39" s="1618"/>
      <c r="GJ39" s="1618"/>
      <c r="GK39" s="1618"/>
      <c r="GL39" s="1618"/>
      <c r="GM39" s="1618"/>
      <c r="GN39" s="1618"/>
      <c r="GO39" s="1618"/>
      <c r="GP39" s="1618"/>
      <c r="GQ39" s="1618"/>
      <c r="GR39" s="1618"/>
      <c r="GS39" s="1618"/>
      <c r="GT39" s="1618"/>
      <c r="GU39" s="1618"/>
      <c r="GV39" s="1618"/>
      <c r="GW39" s="1618"/>
      <c r="GX39" s="1618"/>
      <c r="GY39" s="1618"/>
      <c r="GZ39" s="1618"/>
      <c r="HA39" s="1618"/>
      <c r="HB39" s="1618"/>
      <c r="HC39" s="1618"/>
      <c r="HD39" s="1618"/>
      <c r="HE39" s="1618"/>
      <c r="HF39" s="1618"/>
      <c r="HG39" s="1618"/>
      <c r="HH39" s="1618"/>
      <c r="HI39" s="1618"/>
      <c r="HJ39" s="1618"/>
      <c r="HK39" s="1618"/>
      <c r="HL39" s="1618"/>
      <c r="HM39" s="1621"/>
      <c r="HN39" s="1621"/>
      <c r="HO39" s="1622"/>
      <c r="HP39" s="1622"/>
      <c r="HQ39" s="1622"/>
      <c r="HR39" s="1622"/>
      <c r="HS39" s="1622"/>
      <c r="HT39" s="1622"/>
      <c r="HU39" s="1622"/>
      <c r="HV39" s="1622"/>
      <c r="HW39" s="1622"/>
      <c r="HX39" s="1622"/>
      <c r="HY39" s="1618"/>
      <c r="HZ39" s="1618"/>
      <c r="IA39" s="1618"/>
      <c r="IB39" s="1618"/>
      <c r="IC39" s="1618"/>
      <c r="ID39" s="1618"/>
      <c r="IE39" s="1618"/>
      <c r="IF39" s="1618"/>
      <c r="IG39" s="1618"/>
      <c r="IH39" s="1618"/>
      <c r="II39" s="1618"/>
      <c r="IJ39" s="1618"/>
      <c r="IK39" s="1618"/>
      <c r="IL39" s="1618"/>
      <c r="IM39" s="1618"/>
      <c r="IN39" s="1618"/>
      <c r="IO39" s="1618">
        <v>16936</v>
      </c>
      <c r="IP39" s="1618">
        <v>14661</v>
      </c>
      <c r="IQ39" s="1618">
        <v>13664</v>
      </c>
      <c r="IR39" s="1618">
        <v>19931</v>
      </c>
      <c r="IS39" s="1618">
        <v>18859</v>
      </c>
      <c r="IT39" s="1618">
        <v>19634</v>
      </c>
      <c r="IU39" s="1618">
        <v>28718</v>
      </c>
      <c r="IV39" s="1618">
        <v>35426</v>
      </c>
      <c r="IW39" s="1618">
        <v>35798</v>
      </c>
      <c r="IX39" s="1618">
        <v>29212</v>
      </c>
      <c r="IY39" s="1618">
        <v>25119</v>
      </c>
      <c r="IZ39" s="1618">
        <v>35456</v>
      </c>
      <c r="JA39" s="1618">
        <v>293414</v>
      </c>
      <c r="JB39" s="1618">
        <v>38995</v>
      </c>
      <c r="JC39" s="1618">
        <v>33635</v>
      </c>
      <c r="JD39" s="1618">
        <v>21829</v>
      </c>
      <c r="JE39" s="1618">
        <v>15807</v>
      </c>
      <c r="JF39" s="1618">
        <v>33071</v>
      </c>
      <c r="JG39" s="1618">
        <v>65440</v>
      </c>
      <c r="JH39" s="1618">
        <v>80059</v>
      </c>
      <c r="JI39" s="1618">
        <v>68093</v>
      </c>
      <c r="JJ39" s="1618">
        <v>75313</v>
      </c>
      <c r="JK39" s="1618">
        <v>41879</v>
      </c>
      <c r="JL39" s="1618">
        <v>32451</v>
      </c>
      <c r="JM39" s="1618">
        <v>25697</v>
      </c>
      <c r="JN39" s="1618">
        <v>532269</v>
      </c>
      <c r="JO39" s="1618">
        <v>23520</v>
      </c>
      <c r="JP39" s="1618">
        <v>11305</v>
      </c>
      <c r="JQ39" s="1618">
        <v>14572</v>
      </c>
      <c r="JR39" s="1618">
        <v>19680</v>
      </c>
      <c r="JS39" s="1618">
        <v>20948</v>
      </c>
      <c r="JT39" s="1618">
        <v>41764</v>
      </c>
      <c r="JU39" s="1618">
        <v>39720</v>
      </c>
      <c r="JV39" s="1618">
        <v>36474</v>
      </c>
      <c r="JW39" s="1618"/>
      <c r="JX39" s="1618"/>
      <c r="JY39" s="1618"/>
      <c r="JZ39" s="1618"/>
      <c r="KA39" s="1618">
        <v>49327</v>
      </c>
      <c r="KB39" s="1617"/>
      <c r="KC39" s="1623" t="s">
        <v>538</v>
      </c>
      <c r="KD39" s="1624"/>
      <c r="KE39" s="1624"/>
      <c r="KF39" s="1625"/>
      <c r="KG39" s="1618"/>
      <c r="KH39" s="1623" t="s">
        <v>538</v>
      </c>
      <c r="KI39" s="1626"/>
      <c r="KJ39" s="1627"/>
      <c r="KK39" s="1618"/>
    </row>
    <row r="40" spans="1:297" ht="15" customHeight="1" x14ac:dyDescent="0.2">
      <c r="A40" s="1618" t="s">
        <v>600</v>
      </c>
      <c r="B40" s="1628"/>
      <c r="C40" s="1628"/>
      <c r="D40" s="1628"/>
      <c r="E40" s="1628"/>
      <c r="F40" s="1628"/>
      <c r="G40" s="1628"/>
      <c r="H40" s="1628"/>
      <c r="I40" s="1628"/>
      <c r="J40" s="1628"/>
      <c r="K40" s="1628"/>
      <c r="L40" s="1628"/>
      <c r="M40" s="1628"/>
      <c r="N40" s="1628"/>
      <c r="O40" s="1628"/>
      <c r="P40" s="1628"/>
      <c r="Q40" s="1628"/>
      <c r="R40" s="1628"/>
      <c r="S40" s="1628"/>
      <c r="T40" s="1628"/>
      <c r="U40" s="1628"/>
      <c r="V40" s="1629"/>
      <c r="W40" s="1618"/>
      <c r="X40" s="1618"/>
      <c r="Y40" s="1618"/>
      <c r="Z40" s="1618"/>
      <c r="AA40" s="1618"/>
      <c r="AB40" s="1630"/>
      <c r="AC40" s="1630"/>
      <c r="AD40" s="1631"/>
      <c r="AE40" s="1630"/>
      <c r="AF40" s="1630"/>
      <c r="AG40" s="1631"/>
      <c r="AH40" s="1630"/>
      <c r="AI40" s="1630"/>
      <c r="AJ40" s="1631"/>
      <c r="AK40" s="1630"/>
      <c r="AL40" s="1630"/>
      <c r="AM40" s="1631"/>
      <c r="AN40" s="1630"/>
      <c r="AO40" s="1630"/>
      <c r="AP40" s="1630"/>
      <c r="AQ40" s="1631"/>
      <c r="AR40" s="1630"/>
      <c r="AS40" s="1630"/>
      <c r="AT40" s="1631"/>
      <c r="AU40" s="1630"/>
      <c r="AV40" s="1630"/>
      <c r="AW40" s="1631"/>
      <c r="AX40" s="1630"/>
      <c r="AY40" s="1630"/>
      <c r="AZ40" s="1631"/>
      <c r="BA40" s="1630"/>
      <c r="BB40" s="1630"/>
      <c r="BC40" s="1630"/>
      <c r="BD40" s="1631"/>
      <c r="BE40" s="1630"/>
      <c r="BF40" s="1630"/>
      <c r="BG40" s="1631"/>
      <c r="BH40" s="1630"/>
      <c r="BI40" s="1630"/>
      <c r="BJ40" s="1631"/>
      <c r="BK40" s="1630"/>
      <c r="BL40" s="1630"/>
      <c r="BM40" s="1631"/>
      <c r="BN40" s="1630"/>
      <c r="BO40" s="1630"/>
      <c r="BP40" s="1630"/>
      <c r="BQ40" s="1631"/>
      <c r="BR40" s="1630"/>
      <c r="BS40" s="1630"/>
      <c r="BT40" s="1631"/>
      <c r="BU40" s="1630"/>
      <c r="BV40" s="1630"/>
      <c r="BW40" s="1631"/>
      <c r="BX40" s="1630"/>
      <c r="BY40" s="1630"/>
      <c r="BZ40" s="1631"/>
      <c r="CA40" s="1630"/>
      <c r="CB40" s="1630"/>
      <c r="CC40" s="1630"/>
      <c r="CD40" s="1631"/>
      <c r="CE40" s="1630"/>
      <c r="CF40" s="1630"/>
      <c r="CG40" s="1631"/>
      <c r="CH40" s="1630"/>
      <c r="CI40" s="1630"/>
      <c r="CJ40" s="1631"/>
      <c r="CK40" s="1630"/>
      <c r="CL40" s="1630"/>
      <c r="CM40" s="1631"/>
      <c r="CN40" s="1630"/>
      <c r="CO40" s="1630"/>
      <c r="CP40" s="1630"/>
      <c r="CQ40" s="1631"/>
      <c r="CR40" s="1630"/>
      <c r="CS40" s="1630"/>
      <c r="CT40" s="1631"/>
      <c r="CU40" s="1630"/>
      <c r="CV40" s="1630"/>
      <c r="CW40" s="1631"/>
      <c r="CX40" s="1630"/>
      <c r="CY40" s="1630"/>
      <c r="CZ40" s="1631"/>
      <c r="DA40" s="1630"/>
      <c r="DB40" s="1630"/>
      <c r="DC40" s="1630"/>
      <c r="DD40" s="1631"/>
      <c r="DE40" s="1630"/>
      <c r="DF40" s="1630"/>
      <c r="DG40" s="1631"/>
      <c r="DH40" s="1630"/>
      <c r="DI40" s="1630"/>
      <c r="DJ40" s="1631"/>
      <c r="DK40" s="1630"/>
      <c r="DL40" s="1630"/>
      <c r="DM40" s="1631"/>
      <c r="DN40" s="1630"/>
      <c r="DO40" s="1630"/>
      <c r="DP40" s="1630"/>
      <c r="DQ40" s="1631"/>
      <c r="DR40" s="1630"/>
      <c r="DS40" s="1630"/>
      <c r="DT40" s="1631"/>
      <c r="DU40" s="1630"/>
      <c r="DV40" s="1630"/>
      <c r="DW40" s="1631"/>
      <c r="DX40" s="1630"/>
      <c r="DY40" s="1630"/>
      <c r="DZ40" s="1631"/>
      <c r="EA40" s="1630"/>
      <c r="EB40" s="1618"/>
      <c r="EC40" s="1618"/>
      <c r="ED40" s="1618"/>
      <c r="EE40" s="1618"/>
      <c r="EF40" s="1618"/>
      <c r="EG40" s="1618"/>
      <c r="EH40" s="1618"/>
      <c r="EI40" s="1618"/>
      <c r="EJ40" s="1618"/>
      <c r="EK40" s="1618"/>
      <c r="EL40" s="1618"/>
      <c r="EM40" s="1618"/>
      <c r="EN40" s="1618"/>
      <c r="EO40" s="1618"/>
      <c r="EP40" s="1618"/>
      <c r="EQ40" s="1618"/>
      <c r="ER40" s="1618"/>
      <c r="ES40" s="1618"/>
      <c r="ET40" s="1618"/>
      <c r="EU40" s="1618"/>
      <c r="EV40" s="1618"/>
      <c r="EW40" s="1618"/>
      <c r="EX40" s="1618"/>
      <c r="EY40" s="1618"/>
      <c r="EZ40" s="1618"/>
      <c r="FA40" s="1618"/>
      <c r="FB40" s="1618"/>
      <c r="FC40" s="1618"/>
      <c r="FD40" s="1618"/>
      <c r="FE40" s="1618"/>
      <c r="FF40" s="1618"/>
      <c r="FG40" s="1618"/>
      <c r="FH40" s="1618"/>
      <c r="FI40" s="1618"/>
      <c r="FJ40" s="1618"/>
      <c r="FK40" s="1618"/>
      <c r="FL40" s="1618"/>
      <c r="FM40" s="1618"/>
      <c r="FN40" s="1618"/>
      <c r="FO40" s="1618"/>
      <c r="FP40" s="1618"/>
      <c r="FQ40" s="1618"/>
      <c r="FR40" s="1618"/>
      <c r="FS40" s="1618"/>
      <c r="FT40" s="1618"/>
      <c r="FU40" s="1618"/>
      <c r="FV40" s="1618"/>
      <c r="FW40" s="1618"/>
      <c r="FX40" s="1618"/>
      <c r="FY40" s="1618"/>
      <c r="FZ40" s="1618"/>
      <c r="GA40" s="1618"/>
      <c r="GB40" s="1618"/>
      <c r="GC40" s="1618"/>
      <c r="GD40" s="1618"/>
      <c r="GE40" s="1618"/>
      <c r="GF40" s="1618"/>
      <c r="GG40" s="1618"/>
      <c r="GH40" s="1618"/>
      <c r="GI40" s="1618"/>
      <c r="GJ40" s="1618"/>
      <c r="GK40" s="1618"/>
      <c r="GL40" s="1618"/>
      <c r="GM40" s="1618"/>
      <c r="GN40" s="1618"/>
      <c r="GO40" s="1618"/>
      <c r="GP40" s="1618"/>
      <c r="GQ40" s="1618"/>
      <c r="GR40" s="1618"/>
      <c r="GS40" s="1618"/>
      <c r="GT40" s="1618"/>
      <c r="GU40" s="1618"/>
      <c r="GV40" s="1618"/>
      <c r="GW40" s="1618"/>
      <c r="GX40" s="1618"/>
      <c r="GY40" s="1618"/>
      <c r="GZ40" s="1618"/>
      <c r="HA40" s="1618"/>
      <c r="HB40" s="1618"/>
      <c r="HC40" s="1618"/>
      <c r="HD40" s="1618"/>
      <c r="HE40" s="1618"/>
      <c r="HF40" s="1618"/>
      <c r="HG40" s="1618"/>
      <c r="HH40" s="1618"/>
      <c r="HI40" s="1618"/>
      <c r="HJ40" s="1618"/>
      <c r="HK40" s="1618"/>
      <c r="HL40" s="1618"/>
      <c r="HM40" s="1618"/>
      <c r="HN40" s="1618"/>
      <c r="HO40" s="1618"/>
      <c r="HP40" s="1618"/>
      <c r="HQ40" s="1618"/>
      <c r="HR40" s="1618"/>
      <c r="HS40" s="1618"/>
      <c r="HT40" s="1618"/>
      <c r="HU40" s="1618"/>
      <c r="HV40" s="1618"/>
      <c r="HW40" s="1618"/>
      <c r="HX40" s="1618"/>
      <c r="HY40" s="1618"/>
      <c r="HZ40" s="1618"/>
      <c r="IA40" s="1618"/>
      <c r="IB40" s="1618"/>
      <c r="IC40" s="1618"/>
      <c r="ID40" s="1618"/>
      <c r="IE40" s="1618"/>
      <c r="IF40" s="1618"/>
      <c r="IG40" s="1618"/>
      <c r="IH40" s="1618"/>
      <c r="II40" s="1618"/>
      <c r="IJ40" s="1618"/>
      <c r="IK40" s="1618"/>
      <c r="IL40" s="1618"/>
      <c r="IM40" s="1618"/>
      <c r="IN40" s="1618"/>
      <c r="IO40" s="1618">
        <f t="shared" ref="IO40:KA40" si="646">IO7-IO39</f>
        <v>0</v>
      </c>
      <c r="IP40" s="1618">
        <f t="shared" si="646"/>
        <v>0</v>
      </c>
      <c r="IQ40" s="1618">
        <f t="shared" si="646"/>
        <v>0</v>
      </c>
      <c r="IR40" s="1618">
        <f t="shared" si="646"/>
        <v>0</v>
      </c>
      <c r="IS40" s="1618">
        <f t="shared" si="646"/>
        <v>0</v>
      </c>
      <c r="IT40" s="1618">
        <f t="shared" si="646"/>
        <v>0</v>
      </c>
      <c r="IU40" s="1618">
        <f t="shared" si="646"/>
        <v>0</v>
      </c>
      <c r="IV40" s="1618">
        <f t="shared" si="646"/>
        <v>0</v>
      </c>
      <c r="IW40" s="1618">
        <f t="shared" si="646"/>
        <v>0</v>
      </c>
      <c r="IX40" s="1618">
        <f t="shared" si="646"/>
        <v>0</v>
      </c>
      <c r="IY40" s="1618">
        <f t="shared" si="646"/>
        <v>0</v>
      </c>
      <c r="IZ40" s="1618">
        <f t="shared" si="646"/>
        <v>0</v>
      </c>
      <c r="JA40" s="1618">
        <f t="shared" si="646"/>
        <v>0</v>
      </c>
      <c r="JB40" s="1618">
        <f t="shared" si="646"/>
        <v>0</v>
      </c>
      <c r="JC40" s="1618">
        <f t="shared" si="646"/>
        <v>0</v>
      </c>
      <c r="JD40" s="1618">
        <f t="shared" si="646"/>
        <v>0</v>
      </c>
      <c r="JE40" s="1618">
        <f t="shared" si="646"/>
        <v>0</v>
      </c>
      <c r="JF40" s="1618">
        <f t="shared" si="646"/>
        <v>0</v>
      </c>
      <c r="JG40" s="1618">
        <f t="shared" si="646"/>
        <v>0</v>
      </c>
      <c r="JH40" s="1618">
        <f t="shared" si="646"/>
        <v>0</v>
      </c>
      <c r="JI40" s="1618">
        <f t="shared" si="646"/>
        <v>0</v>
      </c>
      <c r="JJ40" s="1618">
        <f t="shared" si="646"/>
        <v>0</v>
      </c>
      <c r="JK40" s="1618">
        <f t="shared" si="646"/>
        <v>0</v>
      </c>
      <c r="JL40" s="1618">
        <f t="shared" si="646"/>
        <v>0</v>
      </c>
      <c r="JM40" s="1618">
        <f t="shared" si="646"/>
        <v>0</v>
      </c>
      <c r="JN40" s="1618">
        <f t="shared" si="646"/>
        <v>0</v>
      </c>
      <c r="JO40" s="1618">
        <f t="shared" si="646"/>
        <v>0</v>
      </c>
      <c r="JP40" s="1618">
        <f t="shared" si="646"/>
        <v>0</v>
      </c>
      <c r="JQ40" s="1618">
        <f t="shared" si="646"/>
        <v>0</v>
      </c>
      <c r="JR40" s="1618">
        <f>JR7-JR39</f>
        <v>0</v>
      </c>
      <c r="JS40" s="1618">
        <f t="shared" si="646"/>
        <v>0</v>
      </c>
      <c r="JT40" s="1618">
        <f t="shared" si="646"/>
        <v>0</v>
      </c>
      <c r="JU40" s="1618">
        <f t="shared" si="646"/>
        <v>0</v>
      </c>
      <c r="JV40" s="1618">
        <f t="shared" si="646"/>
        <v>0</v>
      </c>
      <c r="JW40" s="1618">
        <f t="shared" si="646"/>
        <v>0</v>
      </c>
      <c r="JX40" s="1618">
        <f t="shared" si="646"/>
        <v>0</v>
      </c>
      <c r="JY40" s="1618">
        <f t="shared" si="646"/>
        <v>0</v>
      </c>
      <c r="JZ40" s="1618">
        <f t="shared" si="646"/>
        <v>0</v>
      </c>
      <c r="KA40" s="1618">
        <f t="shared" si="646"/>
        <v>158656</v>
      </c>
      <c r="KB40" s="1618"/>
      <c r="KC40" s="1632" t="str">
        <f>IFERROR(((
_xlfn.XLOOKUP((DATE(YEAR($KC$5),MONTH($KC$5),1)),$A$5:$KA$5,$A44:$KA44) /
_xlfn.XLOOKUP((DATE(YEAR($KC$5)-1,MONTH($KC$5),1)),$A$5:$KA$5,$A44:$KA44)
)-1)*100,"")</f>
        <v/>
      </c>
      <c r="KD40" s="1633" t="str">
        <f>IFERROR(((KF40/KE40)-1)*100,"")</f>
        <v/>
      </c>
      <c r="KE40" s="1633">
        <f>SUMIFS($B44:$KA44,$B$5:$KA$5,"&gt;="&amp;DATE(YEAR($KC$5)-1,1,1),$B$5:$KA$5,"&lt;="&amp;DATE(YEAR($KC$5)-1,MONTH($KC$5),1))</f>
        <v>0</v>
      </c>
      <c r="KF40" s="1634">
        <f>SUMIFS($B44:$KA44,$B$5:$KA$5,"&gt;="&amp;DATE(YEAR($KC$5),1,1),$B$5:$KA$5,"&lt;="&amp;$KC$5)</f>
        <v>0</v>
      </c>
      <c r="KG40" s="1618"/>
      <c r="KH40" s="1632" t="str">
        <f>IFERROR((
_xlfn.XLOOKUP((DATE(YEAR($KC$5),MONTH($KC$5),1)),$A$5:$KA$5,$A44:$KA44) /
_xlfn.XLOOKUP((DATE(YEAR($KC$5)-1,MONTH($KC$5),1)),$A$5:$KA$5,$A44:$KA44)),"")</f>
        <v/>
      </c>
      <c r="KI40" s="1633">
        <f>IFERROR((
_xlfn.XLOOKUP((DATE(YEAR($KC$5),MONTH($KC$5),1)),$A$5:$KA$5,$A44:$KA44) -
_xlfn.XLOOKUP((DATE(YEAR($KC$5)-1,MONTH($KC$5),1)),$A$5:$KA$5,$A44:$KA44)),"")</f>
        <v>0</v>
      </c>
      <c r="KJ40" s="1634">
        <f t="shared" ref="KJ40" si="647">KF40-KE40</f>
        <v>0</v>
      </c>
      <c r="KK40" s="1618"/>
    </row>
    <row r="41" spans="1:297" ht="15" customHeight="1" x14ac:dyDescent="0.2">
      <c r="A41" s="1618" t="s">
        <v>601</v>
      </c>
      <c r="B41" s="1629"/>
      <c r="C41" s="1629"/>
      <c r="D41" s="1629"/>
      <c r="E41" s="1629"/>
      <c r="F41" s="1629"/>
      <c r="G41" s="1629"/>
      <c r="H41" s="1629"/>
      <c r="I41" s="1629"/>
      <c r="J41" s="1629"/>
      <c r="K41" s="1629"/>
      <c r="L41" s="1629"/>
      <c r="M41" s="1629"/>
      <c r="N41" s="1629"/>
      <c r="O41" s="1629"/>
      <c r="P41" s="1629"/>
      <c r="Q41" s="1629"/>
      <c r="R41" s="1629"/>
      <c r="S41" s="1629"/>
      <c r="T41" s="1629"/>
      <c r="U41" s="1629"/>
      <c r="V41" s="1629"/>
      <c r="W41" s="1618"/>
      <c r="X41" s="1618"/>
      <c r="Y41" s="1618"/>
      <c r="Z41" s="1618"/>
      <c r="AA41" s="1618"/>
      <c r="AB41" s="1618"/>
      <c r="AC41" s="1618"/>
      <c r="AD41" s="1618"/>
      <c r="AE41" s="1618"/>
      <c r="AF41" s="1618"/>
      <c r="AG41" s="1618"/>
      <c r="AH41" s="1618"/>
      <c r="AI41" s="1618"/>
      <c r="AJ41" s="1618"/>
      <c r="AK41" s="1618"/>
      <c r="AL41" s="1618"/>
      <c r="AM41" s="1618"/>
      <c r="AN41" s="1618"/>
      <c r="AO41" s="1618"/>
      <c r="AP41" s="1618"/>
      <c r="AQ41" s="1618"/>
      <c r="AR41" s="1618"/>
      <c r="AS41" s="1618"/>
      <c r="AT41" s="1618"/>
      <c r="AU41" s="1618"/>
      <c r="AV41" s="1618"/>
      <c r="AW41" s="1618"/>
      <c r="AX41" s="1618"/>
      <c r="AY41" s="1618"/>
      <c r="AZ41" s="1618"/>
      <c r="BA41" s="1618"/>
      <c r="BB41" s="1618"/>
      <c r="BC41" s="1618"/>
      <c r="BD41" s="1618"/>
      <c r="BE41" s="1618"/>
      <c r="BF41" s="1618"/>
      <c r="BG41" s="1618"/>
      <c r="BH41" s="1618"/>
      <c r="BI41" s="1618"/>
      <c r="BJ41" s="1618"/>
      <c r="BK41" s="1618"/>
      <c r="BL41" s="1618"/>
      <c r="BM41" s="1618"/>
      <c r="BN41" s="1618"/>
      <c r="BO41" s="1618"/>
      <c r="BP41" s="1618"/>
      <c r="BQ41" s="1618"/>
      <c r="BR41" s="1618"/>
      <c r="BS41" s="1618"/>
      <c r="BT41" s="1618"/>
      <c r="BU41" s="1618"/>
      <c r="BV41" s="1618"/>
      <c r="BW41" s="1618"/>
      <c r="BX41" s="1618"/>
      <c r="BY41" s="1618"/>
      <c r="BZ41" s="1618"/>
      <c r="CA41" s="1618"/>
      <c r="CB41" s="1618"/>
      <c r="CC41" s="1618"/>
      <c r="CD41" s="1618"/>
      <c r="CE41" s="1618"/>
      <c r="CF41" s="1618"/>
      <c r="CG41" s="1618"/>
      <c r="CH41" s="1618"/>
      <c r="CI41" s="1618"/>
      <c r="CJ41" s="1618"/>
      <c r="CK41" s="1618"/>
      <c r="CL41" s="1618"/>
      <c r="CM41" s="1618"/>
      <c r="CN41" s="1618"/>
      <c r="CO41" s="1618"/>
      <c r="CP41" s="1618"/>
      <c r="CQ41" s="1618"/>
      <c r="CR41" s="1618"/>
      <c r="CS41" s="1618"/>
      <c r="CT41" s="1618"/>
      <c r="CU41" s="1618"/>
      <c r="CV41" s="1618"/>
      <c r="CW41" s="1618"/>
      <c r="CX41" s="1618"/>
      <c r="CY41" s="1618"/>
      <c r="CZ41" s="1618"/>
      <c r="DA41" s="1618"/>
      <c r="DB41" s="1618"/>
      <c r="DC41" s="1618"/>
      <c r="DD41" s="1618"/>
      <c r="DE41" s="1618"/>
      <c r="DF41" s="1618"/>
      <c r="DG41" s="1618"/>
      <c r="DH41" s="1618"/>
      <c r="DI41" s="1618"/>
      <c r="DJ41" s="1618"/>
      <c r="DK41" s="1618"/>
      <c r="DL41" s="1618"/>
      <c r="DM41" s="1618"/>
      <c r="DN41" s="1618"/>
      <c r="DO41" s="1618"/>
      <c r="DP41" s="1618"/>
      <c r="DQ41" s="1618"/>
      <c r="DR41" s="1618"/>
      <c r="DS41" s="1618"/>
      <c r="DT41" s="1618"/>
      <c r="DU41" s="1618"/>
      <c r="DV41" s="1618"/>
      <c r="DW41" s="1618"/>
      <c r="DX41" s="1618"/>
      <c r="DY41" s="1618"/>
      <c r="DZ41" s="1618"/>
      <c r="EA41" s="1618"/>
      <c r="EB41" s="1618"/>
      <c r="EC41" s="1618"/>
      <c r="ED41" s="1618"/>
      <c r="EE41" s="1618"/>
      <c r="EF41" s="1618"/>
      <c r="EG41" s="1618"/>
      <c r="EH41" s="1618"/>
      <c r="EI41" s="1618"/>
      <c r="EJ41" s="1618"/>
      <c r="EK41" s="1618"/>
      <c r="EL41" s="1618"/>
      <c r="EM41" s="1618"/>
      <c r="EN41" s="1618"/>
      <c r="EO41" s="1618"/>
      <c r="EP41" s="1618"/>
      <c r="EQ41" s="1618"/>
      <c r="ER41" s="1618"/>
      <c r="ES41" s="1618"/>
      <c r="ET41" s="1618"/>
      <c r="EU41" s="1618"/>
      <c r="EV41" s="1618"/>
      <c r="EW41" s="1618"/>
      <c r="EX41" s="1618"/>
      <c r="EY41" s="1618"/>
      <c r="EZ41" s="1618"/>
      <c r="FA41" s="1618"/>
      <c r="FB41" s="1618"/>
      <c r="FC41" s="1618"/>
      <c r="FD41" s="1618"/>
      <c r="FE41" s="1618"/>
      <c r="FF41" s="1618"/>
      <c r="FG41" s="1618"/>
      <c r="FH41" s="1618"/>
      <c r="FI41" s="1618"/>
      <c r="FJ41" s="1618"/>
      <c r="FK41" s="1618"/>
      <c r="FL41" s="1618"/>
      <c r="FM41" s="1618"/>
      <c r="FN41" s="1618"/>
      <c r="FO41" s="1618"/>
      <c r="FP41" s="1618"/>
      <c r="FQ41" s="1618"/>
      <c r="FR41" s="1618"/>
      <c r="FS41" s="1618"/>
      <c r="FT41" s="1618"/>
      <c r="FU41" s="1618"/>
      <c r="FV41" s="1618"/>
      <c r="FW41" s="1618"/>
      <c r="FX41" s="1618"/>
      <c r="FY41" s="1618"/>
      <c r="FZ41" s="1618"/>
      <c r="GA41" s="1618"/>
      <c r="GB41" s="1618"/>
      <c r="GC41" s="1618"/>
      <c r="GD41" s="1618"/>
      <c r="GE41" s="1618"/>
      <c r="GF41" s="1618"/>
      <c r="GG41" s="1618"/>
      <c r="GH41" s="1618"/>
      <c r="GI41" s="1618"/>
      <c r="GJ41" s="1618"/>
      <c r="GK41" s="1618"/>
      <c r="GL41" s="1618"/>
      <c r="GM41" s="1618"/>
      <c r="GN41" s="1618"/>
      <c r="GO41" s="1618"/>
      <c r="GP41" s="1618"/>
      <c r="GQ41" s="1618"/>
      <c r="GR41" s="1618"/>
      <c r="GS41" s="1618"/>
      <c r="GT41" s="1618"/>
      <c r="GU41" s="1618"/>
      <c r="GV41" s="1618"/>
      <c r="GW41" s="1618"/>
      <c r="GX41" s="1618"/>
      <c r="GY41" s="1618"/>
      <c r="GZ41" s="1618"/>
      <c r="HA41" s="1618"/>
      <c r="HB41" s="1618"/>
      <c r="HC41" s="1618"/>
      <c r="HD41" s="1618"/>
      <c r="HE41" s="1618"/>
      <c r="HF41" s="1618"/>
      <c r="HG41" s="1618"/>
      <c r="HH41" s="1618"/>
      <c r="HI41" s="1618"/>
      <c r="HJ41" s="1618"/>
      <c r="HK41" s="1618"/>
      <c r="HL41" s="1618"/>
      <c r="HM41" s="1618"/>
      <c r="HN41" s="1618"/>
      <c r="HO41" s="1618"/>
      <c r="HP41" s="1618"/>
      <c r="HQ41" s="1618"/>
      <c r="HR41" s="1618"/>
      <c r="HS41" s="1618"/>
      <c r="HT41" s="1618"/>
      <c r="HU41" s="1618"/>
      <c r="HV41" s="1618"/>
      <c r="HW41" s="1618"/>
      <c r="HX41" s="1618"/>
      <c r="HY41" s="1618"/>
      <c r="HZ41" s="1618"/>
      <c r="IA41" s="1618"/>
      <c r="IB41" s="1618"/>
      <c r="IC41" s="1618"/>
      <c r="ID41" s="1618"/>
      <c r="IE41" s="1618"/>
      <c r="IF41" s="1618"/>
      <c r="IG41" s="1618"/>
      <c r="IH41" s="1618"/>
      <c r="II41" s="1618"/>
      <c r="IJ41" s="1618"/>
      <c r="IK41" s="1618"/>
      <c r="IL41" s="1618"/>
      <c r="IM41" s="1618"/>
      <c r="IN41" s="1618"/>
      <c r="IO41" s="1618"/>
      <c r="IP41" s="1618"/>
      <c r="IQ41" s="1618"/>
      <c r="IR41" s="1618"/>
      <c r="IS41" s="1618"/>
      <c r="IT41" s="1618"/>
      <c r="IU41" s="1618"/>
      <c r="IV41" s="1618"/>
      <c r="IW41" s="1618"/>
      <c r="IX41" s="1618"/>
      <c r="IY41" s="1618"/>
      <c r="IZ41" s="1618"/>
      <c r="JA41" s="1618"/>
      <c r="JB41" s="1618"/>
      <c r="JC41" s="1618"/>
      <c r="JD41" s="1618"/>
      <c r="JE41" s="1618"/>
      <c r="JF41" s="1618"/>
      <c r="JG41" s="1618"/>
      <c r="JH41" s="1618"/>
      <c r="JI41" s="1618"/>
      <c r="JJ41" s="1618"/>
      <c r="JK41" s="1618"/>
      <c r="JL41" s="1618"/>
      <c r="JM41" s="1618"/>
      <c r="JN41" s="1618"/>
      <c r="JO41" s="1618"/>
      <c r="JP41" s="1618"/>
      <c r="JQ41" s="1618"/>
      <c r="JR41" s="1618"/>
      <c r="JS41" s="1618"/>
      <c r="JT41" s="1618"/>
      <c r="JU41" s="1618"/>
      <c r="JV41" s="1618"/>
      <c r="JW41" s="1618"/>
      <c r="JX41" s="1618"/>
      <c r="JY41" s="1618"/>
      <c r="JZ41" s="1618"/>
      <c r="KA41" s="1618"/>
      <c r="KB41" s="1617"/>
      <c r="KC41" s="1618"/>
      <c r="KD41" s="1618"/>
      <c r="KE41" s="1618"/>
      <c r="KF41" s="1618"/>
      <c r="KG41" s="1618"/>
      <c r="KH41" s="1618"/>
      <c r="KI41" s="1618"/>
      <c r="KJ41" s="1618"/>
      <c r="KK41" s="1618"/>
    </row>
    <row r="42" spans="1:297" ht="15" customHeight="1" x14ac:dyDescent="0.2">
      <c r="A42" s="1618"/>
      <c r="B42" s="1628"/>
      <c r="C42" s="1628"/>
      <c r="D42" s="1628"/>
      <c r="E42" s="1628"/>
      <c r="F42" s="1628"/>
      <c r="G42" s="1628"/>
      <c r="H42" s="1628"/>
      <c r="I42" s="1628"/>
      <c r="J42" s="1628"/>
      <c r="K42" s="1628"/>
      <c r="L42" s="1628"/>
      <c r="M42" s="1628"/>
      <c r="N42" s="1628"/>
      <c r="O42" s="1628"/>
      <c r="P42" s="1628"/>
      <c r="Q42" s="1628"/>
      <c r="R42" s="1628"/>
      <c r="S42" s="1628"/>
      <c r="T42" s="1628"/>
      <c r="U42" s="1628"/>
      <c r="V42" s="1629"/>
      <c r="W42" s="1618"/>
      <c r="X42" s="1618"/>
      <c r="Y42" s="1618"/>
      <c r="Z42" s="1618"/>
      <c r="AA42" s="1618"/>
      <c r="AB42" s="1618"/>
      <c r="AC42" s="1618"/>
      <c r="AD42" s="1618"/>
      <c r="AE42" s="1618"/>
      <c r="AF42" s="1618"/>
      <c r="AG42" s="1618"/>
      <c r="AH42" s="1618"/>
      <c r="AI42" s="1618"/>
      <c r="AJ42" s="1618"/>
      <c r="AK42" s="1618"/>
      <c r="AL42" s="1618"/>
      <c r="AM42" s="1618"/>
      <c r="AN42" s="1618"/>
      <c r="AO42" s="1618"/>
      <c r="AP42" s="1618"/>
      <c r="AQ42" s="1618"/>
      <c r="AR42" s="1618"/>
      <c r="AS42" s="1618"/>
      <c r="AT42" s="1618"/>
      <c r="AU42" s="1618"/>
      <c r="AV42" s="1618"/>
      <c r="AW42" s="1618"/>
      <c r="AX42" s="1618"/>
      <c r="AY42" s="1618"/>
      <c r="AZ42" s="1618"/>
      <c r="BA42" s="1618"/>
      <c r="BB42" s="1618"/>
      <c r="BC42" s="1618"/>
      <c r="BD42" s="1618"/>
      <c r="BE42" s="1618"/>
      <c r="BF42" s="1618"/>
      <c r="BG42" s="1618"/>
      <c r="BH42" s="1618"/>
      <c r="BI42" s="1618"/>
      <c r="BJ42" s="1618"/>
      <c r="BK42" s="1618"/>
      <c r="BL42" s="1618"/>
      <c r="BM42" s="1618"/>
      <c r="BN42" s="1618"/>
      <c r="BO42" s="1618"/>
      <c r="BP42" s="1618"/>
      <c r="BQ42" s="1618"/>
      <c r="BR42" s="1618"/>
      <c r="BS42" s="1618"/>
      <c r="BT42" s="1618"/>
      <c r="BU42" s="1618"/>
      <c r="BV42" s="1618"/>
      <c r="BW42" s="1618"/>
      <c r="BX42" s="1618"/>
      <c r="BY42" s="1618"/>
      <c r="BZ42" s="1618"/>
      <c r="CA42" s="1618"/>
      <c r="CB42" s="1618"/>
      <c r="CC42" s="1618"/>
      <c r="CD42" s="1618"/>
      <c r="CE42" s="1618"/>
      <c r="CF42" s="1618"/>
      <c r="CG42" s="1618"/>
      <c r="CH42" s="1618"/>
      <c r="CI42" s="1618"/>
      <c r="CJ42" s="1618"/>
      <c r="CK42" s="1618"/>
      <c r="CL42" s="1618"/>
      <c r="CM42" s="1618"/>
      <c r="CN42" s="1618"/>
      <c r="CO42" s="1618"/>
      <c r="CP42" s="1618"/>
      <c r="CQ42" s="1618"/>
      <c r="CR42" s="1618"/>
      <c r="CS42" s="1618"/>
      <c r="CT42" s="1618"/>
      <c r="CU42" s="1618"/>
      <c r="CV42" s="1618"/>
      <c r="CW42" s="1618"/>
      <c r="CX42" s="1618"/>
      <c r="CY42" s="1618"/>
      <c r="CZ42" s="1618"/>
      <c r="DA42" s="1618"/>
      <c r="DB42" s="1618"/>
      <c r="DC42" s="1618"/>
      <c r="DD42" s="1618"/>
      <c r="DE42" s="1618"/>
      <c r="DF42" s="1618"/>
      <c r="DG42" s="1618"/>
      <c r="DH42" s="1618"/>
      <c r="DI42" s="1618"/>
      <c r="DJ42" s="1618"/>
      <c r="DK42" s="1618"/>
      <c r="DL42" s="1618"/>
      <c r="DM42" s="1618"/>
      <c r="DN42" s="1618"/>
      <c r="DO42" s="1618"/>
      <c r="DP42" s="1618"/>
      <c r="DQ42" s="1618"/>
      <c r="DR42" s="1618"/>
      <c r="DS42" s="1618"/>
      <c r="DT42" s="1618"/>
      <c r="DU42" s="1618"/>
      <c r="DV42" s="1618"/>
      <c r="DW42" s="1618"/>
      <c r="DX42" s="1618"/>
      <c r="DY42" s="1618"/>
      <c r="DZ42" s="1618"/>
      <c r="EA42" s="1618"/>
      <c r="EB42" s="1619">
        <v>42005</v>
      </c>
      <c r="EC42" s="1619">
        <v>42036</v>
      </c>
      <c r="ED42" s="1619">
        <v>42064</v>
      </c>
      <c r="EE42" s="1619">
        <v>42095</v>
      </c>
      <c r="EF42" s="1619">
        <v>42125</v>
      </c>
      <c r="EG42" s="1619">
        <v>42156</v>
      </c>
      <c r="EH42" s="1619">
        <v>42186</v>
      </c>
      <c r="EI42" s="1619">
        <v>42217</v>
      </c>
      <c r="EJ42" s="1619">
        <v>42248</v>
      </c>
      <c r="EK42" s="1619">
        <v>42278</v>
      </c>
      <c r="EL42" s="1619">
        <v>42309</v>
      </c>
      <c r="EM42" s="1619">
        <v>42339</v>
      </c>
      <c r="EN42" s="1620">
        <f t="shared" ref="EN42" si="648">YEAR(EM42)</f>
        <v>2015</v>
      </c>
      <c r="EO42" s="1619">
        <v>42370</v>
      </c>
      <c r="EP42" s="1619">
        <v>42401</v>
      </c>
      <c r="EQ42" s="1619">
        <v>42430</v>
      </c>
      <c r="ER42" s="1619">
        <v>42461</v>
      </c>
      <c r="ES42" s="1619">
        <v>42491</v>
      </c>
      <c r="ET42" s="1619">
        <v>42522</v>
      </c>
      <c r="EU42" s="1619">
        <v>42552</v>
      </c>
      <c r="EV42" s="1619">
        <v>42583</v>
      </c>
      <c r="EW42" s="1619">
        <v>42614</v>
      </c>
      <c r="EX42" s="1619">
        <v>42644</v>
      </c>
      <c r="EY42" s="1619">
        <v>42675</v>
      </c>
      <c r="EZ42" s="1619">
        <v>42705</v>
      </c>
      <c r="FA42" s="1620">
        <f t="shared" ref="FA42" si="649">YEAR(EZ42)</f>
        <v>2016</v>
      </c>
      <c r="FB42" s="1619">
        <v>42736</v>
      </c>
      <c r="FC42" s="1619">
        <v>42767</v>
      </c>
      <c r="FD42" s="1619">
        <v>42795</v>
      </c>
      <c r="FE42" s="1619">
        <v>42826</v>
      </c>
      <c r="FF42" s="1619">
        <v>42856</v>
      </c>
      <c r="FG42" s="1619">
        <v>42887</v>
      </c>
      <c r="FH42" s="1619">
        <v>42917</v>
      </c>
      <c r="FI42" s="1619">
        <v>42948</v>
      </c>
      <c r="FJ42" s="1619">
        <v>42979</v>
      </c>
      <c r="FK42" s="1619">
        <v>43009</v>
      </c>
      <c r="FL42" s="1619">
        <v>43040</v>
      </c>
      <c r="FM42" s="1619">
        <v>43070</v>
      </c>
      <c r="FN42" s="1620">
        <f t="shared" ref="FN42" si="650">YEAR(FM42)</f>
        <v>2017</v>
      </c>
      <c r="FO42" s="1619">
        <v>43101</v>
      </c>
      <c r="FP42" s="1619">
        <v>43132</v>
      </c>
      <c r="FQ42" s="1619">
        <v>43160</v>
      </c>
      <c r="FR42" s="1619">
        <v>43191</v>
      </c>
      <c r="FS42" s="1619">
        <v>43221</v>
      </c>
      <c r="FT42" s="1619">
        <v>43252</v>
      </c>
      <c r="FU42" s="1619">
        <v>43282</v>
      </c>
      <c r="FV42" s="1619">
        <v>43313</v>
      </c>
      <c r="FW42" s="1619">
        <v>43344</v>
      </c>
      <c r="FX42" s="1619">
        <v>43374</v>
      </c>
      <c r="FY42" s="1619">
        <v>43405</v>
      </c>
      <c r="FZ42" s="1619">
        <v>43435</v>
      </c>
      <c r="GA42" s="1620">
        <f t="shared" ref="GA42" si="651">YEAR(FZ42)</f>
        <v>2018</v>
      </c>
      <c r="GB42" s="1619">
        <v>43466</v>
      </c>
      <c r="GC42" s="1619">
        <v>43497</v>
      </c>
      <c r="GD42" s="1619">
        <v>43525</v>
      </c>
      <c r="GE42" s="1619">
        <v>43556</v>
      </c>
      <c r="GF42" s="1619">
        <v>43586</v>
      </c>
      <c r="GG42" s="1619">
        <v>43617</v>
      </c>
      <c r="GH42" s="1619">
        <v>43647</v>
      </c>
      <c r="GI42" s="1619">
        <v>43678</v>
      </c>
      <c r="GJ42" s="1619">
        <v>43709</v>
      </c>
      <c r="GK42" s="1619">
        <v>43739</v>
      </c>
      <c r="GL42" s="1619">
        <v>43770</v>
      </c>
      <c r="GM42" s="1619">
        <v>43800</v>
      </c>
      <c r="GN42" s="1620">
        <f t="shared" ref="GN42" si="652">YEAR(GM42)</f>
        <v>2019</v>
      </c>
      <c r="GO42" s="1619">
        <v>43831</v>
      </c>
      <c r="GP42" s="1619">
        <v>43862</v>
      </c>
      <c r="GQ42" s="1619">
        <v>43891</v>
      </c>
      <c r="GR42" s="1619">
        <v>43922</v>
      </c>
      <c r="GS42" s="1619">
        <v>43952</v>
      </c>
      <c r="GT42" s="1619">
        <v>43983</v>
      </c>
      <c r="GU42" s="1619">
        <v>44013</v>
      </c>
      <c r="GV42" s="1619">
        <v>44044</v>
      </c>
      <c r="GW42" s="1619">
        <v>44075</v>
      </c>
      <c r="GX42" s="1619">
        <v>44105</v>
      </c>
      <c r="GY42" s="1619">
        <v>44136</v>
      </c>
      <c r="GZ42" s="1619">
        <v>44166</v>
      </c>
      <c r="HA42" s="1620">
        <f t="shared" ref="HA42" si="653">YEAR(GZ42)</f>
        <v>2020</v>
      </c>
      <c r="HB42" s="1619">
        <v>44197</v>
      </c>
      <c r="HC42" s="1619">
        <v>44228</v>
      </c>
      <c r="HD42" s="1619">
        <v>44256</v>
      </c>
      <c r="HE42" s="1619">
        <v>44287</v>
      </c>
      <c r="HF42" s="1619">
        <v>44317</v>
      </c>
      <c r="HG42" s="1619">
        <v>44348</v>
      </c>
      <c r="HH42" s="1619">
        <v>44378</v>
      </c>
      <c r="HI42" s="1619">
        <v>44409</v>
      </c>
      <c r="HJ42" s="1619">
        <v>44440</v>
      </c>
      <c r="HK42" s="1619">
        <v>44470</v>
      </c>
      <c r="HL42" s="1619">
        <v>44501</v>
      </c>
      <c r="HM42" s="1619">
        <v>44531</v>
      </c>
      <c r="HN42" s="1620">
        <f t="shared" ref="HN42" si="654">YEAR(HM42)</f>
        <v>2021</v>
      </c>
      <c r="HO42" s="1619">
        <v>44562</v>
      </c>
      <c r="HP42" s="1619">
        <v>44593</v>
      </c>
      <c r="HQ42" s="1619">
        <v>44621</v>
      </c>
      <c r="HR42" s="1619">
        <v>44652</v>
      </c>
      <c r="HS42" s="1619">
        <v>44682</v>
      </c>
      <c r="HT42" s="1619">
        <v>44713</v>
      </c>
      <c r="HU42" s="1619">
        <v>44743</v>
      </c>
      <c r="HV42" s="1619">
        <v>44774</v>
      </c>
      <c r="HW42" s="1619">
        <v>44805</v>
      </c>
      <c r="HX42" s="1619">
        <v>44835</v>
      </c>
      <c r="HY42" s="1619">
        <v>44866</v>
      </c>
      <c r="HZ42" s="1619">
        <v>44896</v>
      </c>
      <c r="IA42" s="1620">
        <f t="shared" ref="IA42" si="655">YEAR(HZ42)</f>
        <v>2022</v>
      </c>
      <c r="IB42" s="1619">
        <v>44927</v>
      </c>
      <c r="IC42" s="1619">
        <v>44958</v>
      </c>
      <c r="ID42" s="1619">
        <v>44986</v>
      </c>
      <c r="IE42" s="1619">
        <v>45017</v>
      </c>
      <c r="IF42" s="1619">
        <v>45047</v>
      </c>
      <c r="IG42" s="1619">
        <v>45078</v>
      </c>
      <c r="IH42" s="1619">
        <v>45108</v>
      </c>
      <c r="II42" s="1619">
        <v>45139</v>
      </c>
      <c r="IJ42" s="1619">
        <v>45170</v>
      </c>
      <c r="IK42" s="1619">
        <v>45200</v>
      </c>
      <c r="IL42" s="1619">
        <v>45231</v>
      </c>
      <c r="IM42" s="1619">
        <v>45261</v>
      </c>
      <c r="IN42" s="1620">
        <f t="shared" ref="IN42" si="656">YEAR(IM42)</f>
        <v>2023</v>
      </c>
      <c r="IO42" s="1619">
        <v>45292</v>
      </c>
      <c r="IP42" s="1619">
        <v>45323</v>
      </c>
      <c r="IQ42" s="1619">
        <v>45352</v>
      </c>
      <c r="IR42" s="1619">
        <v>45383</v>
      </c>
      <c r="IS42" s="1619">
        <v>45413</v>
      </c>
      <c r="IT42" s="1619">
        <v>45444</v>
      </c>
      <c r="IU42" s="1619">
        <v>45474</v>
      </c>
      <c r="IV42" s="1619">
        <v>45505</v>
      </c>
      <c r="IW42" s="1619">
        <v>45536</v>
      </c>
      <c r="IX42" s="1619">
        <v>45566</v>
      </c>
      <c r="IY42" s="1619">
        <v>45597</v>
      </c>
      <c r="IZ42" s="1619">
        <v>45627</v>
      </c>
      <c r="JA42" s="1620">
        <f t="shared" ref="JA42" si="657">YEAR(IZ42)</f>
        <v>2024</v>
      </c>
      <c r="JB42" s="1619">
        <v>45658</v>
      </c>
      <c r="JC42" s="1619">
        <v>45689</v>
      </c>
      <c r="JD42" s="1619">
        <v>45717</v>
      </c>
      <c r="JE42" s="1619">
        <v>45748</v>
      </c>
      <c r="JF42" s="1619">
        <v>45778</v>
      </c>
      <c r="JG42" s="1619">
        <v>45809</v>
      </c>
      <c r="JH42" s="1619">
        <v>45839</v>
      </c>
      <c r="JI42" s="1619">
        <v>45870</v>
      </c>
      <c r="JJ42" s="1619">
        <v>45901</v>
      </c>
      <c r="JK42" s="1619">
        <v>45931</v>
      </c>
      <c r="JL42" s="1619">
        <v>45962</v>
      </c>
      <c r="JM42" s="1619">
        <v>45992</v>
      </c>
      <c r="JN42" s="1620">
        <f t="shared" ref="JN42" si="658">YEAR(JM42)</f>
        <v>2025</v>
      </c>
      <c r="JO42" s="1619">
        <v>46023</v>
      </c>
      <c r="JP42" s="1619">
        <v>46054</v>
      </c>
      <c r="JQ42" s="1619">
        <v>46082</v>
      </c>
      <c r="JR42" s="1619">
        <v>46113</v>
      </c>
      <c r="JS42" s="1619">
        <v>46143</v>
      </c>
      <c r="JT42" s="1619">
        <v>46174</v>
      </c>
      <c r="JU42" s="1619">
        <v>46204</v>
      </c>
      <c r="JV42" s="1619">
        <v>46235</v>
      </c>
      <c r="JW42" s="1619">
        <v>46266</v>
      </c>
      <c r="JX42" s="1619">
        <v>46296</v>
      </c>
      <c r="JY42" s="1619">
        <v>46327</v>
      </c>
      <c r="JZ42" s="1619">
        <v>46357</v>
      </c>
      <c r="KA42" s="1620">
        <f t="shared" ref="KA42" si="659">YEAR(JZ42)</f>
        <v>2026</v>
      </c>
      <c r="KB42" s="1617"/>
      <c r="KC42" s="1619"/>
      <c r="KD42" s="1630"/>
      <c r="KE42" s="1618"/>
      <c r="KF42" s="1618"/>
      <c r="KG42" s="1618"/>
      <c r="KH42" s="1618"/>
      <c r="KI42" s="1618"/>
      <c r="KJ42" s="1618"/>
      <c r="KK42" s="1618"/>
    </row>
    <row r="43" spans="1:297" ht="15" customHeight="1" x14ac:dyDescent="0.2">
      <c r="A43" s="1618"/>
      <c r="B43" s="1629"/>
      <c r="C43" s="1629"/>
      <c r="D43" s="1629"/>
      <c r="E43" s="1629"/>
      <c r="F43" s="1629"/>
      <c r="G43" s="1629"/>
      <c r="H43" s="1629"/>
      <c r="I43" s="1629"/>
      <c r="J43" s="1629"/>
      <c r="K43" s="1629"/>
      <c r="L43" s="1629"/>
      <c r="M43" s="1629"/>
      <c r="N43" s="1629"/>
      <c r="O43" s="1629"/>
      <c r="P43" s="1629"/>
      <c r="Q43" s="1629"/>
      <c r="R43" s="1629"/>
      <c r="S43" s="1629"/>
      <c r="T43" s="1629"/>
      <c r="U43" s="1629"/>
      <c r="V43" s="1629"/>
      <c r="W43" s="1618"/>
      <c r="X43" s="1618"/>
      <c r="Y43" s="1618"/>
      <c r="Z43" s="1618"/>
      <c r="AA43" s="1618"/>
      <c r="AB43" s="1618"/>
      <c r="AC43" s="1618"/>
      <c r="AD43" s="1618"/>
      <c r="AE43" s="1618"/>
      <c r="AF43" s="1618"/>
      <c r="AG43" s="1618"/>
      <c r="AH43" s="1618"/>
      <c r="AI43" s="1618"/>
      <c r="AJ43" s="1618"/>
      <c r="AK43" s="1618"/>
      <c r="AL43" s="1618"/>
      <c r="AM43" s="1618"/>
      <c r="AN43" s="1618"/>
      <c r="AO43" s="1618"/>
      <c r="AP43" s="1618"/>
      <c r="AQ43" s="1618"/>
      <c r="AR43" s="1618"/>
      <c r="AS43" s="1618"/>
      <c r="AT43" s="1618"/>
      <c r="AU43" s="1618"/>
      <c r="AV43" s="1618"/>
      <c r="AW43" s="1618"/>
      <c r="AX43" s="1618"/>
      <c r="AY43" s="1618"/>
      <c r="AZ43" s="1618"/>
      <c r="BA43" s="1618"/>
      <c r="BB43" s="1618"/>
      <c r="BC43" s="1618"/>
      <c r="BD43" s="1618"/>
      <c r="BE43" s="1618"/>
      <c r="BF43" s="1618"/>
      <c r="BG43" s="1618"/>
      <c r="BH43" s="1618"/>
      <c r="BI43" s="1618"/>
      <c r="BJ43" s="1618"/>
      <c r="BK43" s="1618"/>
      <c r="BL43" s="1618"/>
      <c r="BM43" s="1618"/>
      <c r="BN43" s="1618"/>
      <c r="BO43" s="1618"/>
      <c r="BP43" s="1618"/>
      <c r="BQ43" s="1618"/>
      <c r="BR43" s="1618"/>
      <c r="BS43" s="1618"/>
      <c r="BT43" s="1618"/>
      <c r="BU43" s="1618"/>
      <c r="BV43" s="1618"/>
      <c r="BW43" s="1618"/>
      <c r="BX43" s="1618"/>
      <c r="BY43" s="1618"/>
      <c r="BZ43" s="1618"/>
      <c r="CA43" s="1618"/>
      <c r="CB43" s="1618"/>
      <c r="CC43" s="1618"/>
      <c r="CD43" s="1618"/>
      <c r="CE43" s="1618"/>
      <c r="CF43" s="1618"/>
      <c r="CG43" s="1618"/>
      <c r="CH43" s="1618"/>
      <c r="CI43" s="1618"/>
      <c r="CJ43" s="1618"/>
      <c r="CK43" s="1618"/>
      <c r="CL43" s="1618"/>
      <c r="CM43" s="1618"/>
      <c r="CN43" s="1618"/>
      <c r="CO43" s="1618"/>
      <c r="CP43" s="1618"/>
      <c r="CQ43" s="1618"/>
      <c r="CR43" s="1618"/>
      <c r="CS43" s="1618"/>
      <c r="CT43" s="1618"/>
      <c r="CU43" s="1618"/>
      <c r="CV43" s="1618"/>
      <c r="CW43" s="1618"/>
      <c r="CX43" s="1618"/>
      <c r="CY43" s="1618"/>
      <c r="CZ43" s="1618"/>
      <c r="DA43" s="1618"/>
      <c r="DB43" s="1618"/>
      <c r="DC43" s="1618"/>
      <c r="DD43" s="1618"/>
      <c r="DE43" s="1618"/>
      <c r="DF43" s="1618"/>
      <c r="DG43" s="1618"/>
      <c r="DH43" s="1618"/>
      <c r="DI43" s="1618"/>
      <c r="DJ43" s="1618"/>
      <c r="DK43" s="1618"/>
      <c r="DL43" s="1618"/>
      <c r="DM43" s="1618"/>
      <c r="DN43" s="1618"/>
      <c r="DO43" s="1618"/>
      <c r="DP43" s="1618"/>
      <c r="DQ43" s="1618"/>
      <c r="DR43" s="1618"/>
      <c r="DS43" s="1618"/>
      <c r="DT43" s="1618"/>
      <c r="DU43" s="1618"/>
      <c r="DV43" s="1618"/>
      <c r="DW43" s="1618"/>
      <c r="DX43" s="1618"/>
      <c r="DY43" s="1618"/>
      <c r="DZ43" s="1618"/>
      <c r="EA43" s="1618"/>
      <c r="EB43" s="1630" t="s">
        <v>561</v>
      </c>
      <c r="EC43" s="1630" t="s">
        <v>561</v>
      </c>
      <c r="ED43" s="1631">
        <f>IFERROR(
((SUM(EB7:ED7) / SUM(DO7:DQ7))-1)
*100,"")</f>
        <v>23.663419913419915</v>
      </c>
      <c r="EE43" s="1630" t="s">
        <v>561</v>
      </c>
      <c r="EF43" s="1630" t="s">
        <v>561</v>
      </c>
      <c r="EG43" s="1631">
        <f>IFERROR(
((SUM(EB7:EG7) / SUM(DO7:DT7))-1)
*100,"")</f>
        <v>28.023786987118804</v>
      </c>
      <c r="EH43" s="1630" t="s">
        <v>561</v>
      </c>
      <c r="EI43" s="1630" t="s">
        <v>561</v>
      </c>
      <c r="EJ43" s="1631">
        <f>IFERROR(
((SUM(EB7:EJ7) / SUM(DO7:DW7))-1)
*100,"")</f>
        <v>5.1602404592997475</v>
      </c>
      <c r="EK43" s="1630" t="s">
        <v>561</v>
      </c>
      <c r="EL43" s="1630" t="s">
        <v>561</v>
      </c>
      <c r="EM43" s="1631">
        <f>IFERROR(
((SUM(EB7:EM7) / SUM(DO7:DZ7))-1)
*100,"")</f>
        <v>-4.7297859353646832</v>
      </c>
      <c r="EN43" s="1630" t="s">
        <v>561</v>
      </c>
      <c r="EO43" s="1630" t="s">
        <v>561</v>
      </c>
      <c r="EP43" s="1630" t="s">
        <v>561</v>
      </c>
      <c r="EQ43" s="1631">
        <f>IFERROR(
((SUM(EO7:EQ7) / SUM(EB7:ED7))-1)
*100,"")</f>
        <v>57.602940532971594</v>
      </c>
      <c r="ER43" s="1630" t="s">
        <v>561</v>
      </c>
      <c r="ES43" s="1630" t="s">
        <v>561</v>
      </c>
      <c r="ET43" s="1631">
        <f>IFERROR(
((SUM(EO7:ET7) / SUM(EB7:EG7))-1)
*100,"")</f>
        <v>1.8837295272996046</v>
      </c>
      <c r="EU43" s="1630" t="s">
        <v>561</v>
      </c>
      <c r="EV43" s="1630" t="s">
        <v>561</v>
      </c>
      <c r="EW43" s="1631">
        <f>IFERROR(
((SUM(EO7:EW7) / SUM(EB7:EJ7))-1)
*100,"")</f>
        <v>18.362542297133366</v>
      </c>
      <c r="EX43" s="1630" t="s">
        <v>561</v>
      </c>
      <c r="EY43" s="1630" t="s">
        <v>561</v>
      </c>
      <c r="EZ43" s="1631">
        <f>IFERROR(
((SUM(EO7:EZ7) / SUM(EB7:EM7))-1)
*100,"")</f>
        <v>23.718991442650218</v>
      </c>
      <c r="FA43" s="1630" t="s">
        <v>561</v>
      </c>
      <c r="FB43" s="1630" t="s">
        <v>561</v>
      </c>
      <c r="FC43" s="1630" t="s">
        <v>561</v>
      </c>
      <c r="FD43" s="1631">
        <f>IFERROR(
((SUM(FB7:FD7) / SUM(EO7:EQ7))-1)
*100,"")</f>
        <v>-13.693533609129027</v>
      </c>
      <c r="FE43" s="1630" t="s">
        <v>561</v>
      </c>
      <c r="FF43" s="1630" t="s">
        <v>561</v>
      </c>
      <c r="FG43" s="1631">
        <f>IFERROR(
((SUM(FB7:FG7) / SUM(EO7:ET7))-1)
*100,"")</f>
        <v>-3.0809761946078984</v>
      </c>
      <c r="FH43" s="1630" t="s">
        <v>561</v>
      </c>
      <c r="FI43" s="1630" t="s">
        <v>561</v>
      </c>
      <c r="FJ43" s="1631">
        <f>IFERROR(
((SUM(FB7:FJ7) / SUM(EO7:EW7))-1)
*100,"")</f>
        <v>-3.6793807690492453</v>
      </c>
      <c r="FK43" s="1630" t="s">
        <v>561</v>
      </c>
      <c r="FL43" s="1630" t="s">
        <v>561</v>
      </c>
      <c r="FM43" s="1631">
        <f>IFERROR(
((SUM(FB7:FM7) / SUM(EO7:EZ7))-1)
*100,"")</f>
        <v>-21.186110563725602</v>
      </c>
      <c r="FN43" s="1630" t="s">
        <v>561</v>
      </c>
      <c r="FO43" s="1630" t="s">
        <v>561</v>
      </c>
      <c r="FP43" s="1630" t="s">
        <v>561</v>
      </c>
      <c r="FQ43" s="1631">
        <f>IFERROR(
((SUM(FO7:FQ7) / SUM(FB7:FD7))-1)
*100,"")</f>
        <v>-27.061283577288076</v>
      </c>
      <c r="FR43" s="1630" t="s">
        <v>561</v>
      </c>
      <c r="FS43" s="1630" t="s">
        <v>561</v>
      </c>
      <c r="FT43" s="1631">
        <f>IFERROR(
((SUM(FO7:FT7) / SUM(FB7:FG7))-1)
*100,"")</f>
        <v>-25.517611823686437</v>
      </c>
      <c r="FU43" s="1630" t="s">
        <v>561</v>
      </c>
      <c r="FV43" s="1630" t="s">
        <v>561</v>
      </c>
      <c r="FW43" s="1631">
        <f>IFERROR(
((SUM(FO7:FW7) / SUM(FB7:FJ7))-1)
*100,"")</f>
        <v>-46.10586884695077</v>
      </c>
      <c r="FX43" s="1630" t="s">
        <v>561</v>
      </c>
      <c r="FY43" s="1630" t="s">
        <v>561</v>
      </c>
      <c r="FZ43" s="1631">
        <f>IFERROR(
((SUM(FO7:FZ7) / SUM(FB7:FM7))-1)
*100,"")</f>
        <v>-31.594555149175186</v>
      </c>
      <c r="GA43" s="1630" t="s">
        <v>561</v>
      </c>
      <c r="GB43" s="1630" t="s">
        <v>561</v>
      </c>
      <c r="GC43" s="1630" t="s">
        <v>561</v>
      </c>
      <c r="GD43" s="1631">
        <f>IFERROR(
((SUM(GB7:GD7) / SUM(FO7:FQ7))-1)
*100,"")</f>
        <v>31.552948440876815</v>
      </c>
      <c r="GE43" s="1630" t="s">
        <v>561</v>
      </c>
      <c r="GF43" s="1630" t="s">
        <v>561</v>
      </c>
      <c r="GG43" s="1631">
        <f>IFERROR(
((SUM(GB7:GG7) / SUM(FO7:FT7))-1)
*100,"")</f>
        <v>29.683778054590348</v>
      </c>
      <c r="GH43" s="1630" t="s">
        <v>561</v>
      </c>
      <c r="GI43" s="1630" t="s">
        <v>561</v>
      </c>
      <c r="GJ43" s="1631">
        <f>IFERROR(
((SUM(GB7:GJ7) / SUM(FO7:FW7))-1)
*100,"")</f>
        <v>19.898429686586748</v>
      </c>
      <c r="GK43" s="1630" t="s">
        <v>561</v>
      </c>
      <c r="GL43" s="1630" t="s">
        <v>561</v>
      </c>
      <c r="GM43" s="1631">
        <f>IFERROR(
((SUM(GB7:GM7) / SUM(FO7:FZ7))-1)
*100,"")</f>
        <v>18.906352269153292</v>
      </c>
      <c r="GN43" s="1630" t="s">
        <v>561</v>
      </c>
      <c r="GO43" s="1630" t="s">
        <v>561</v>
      </c>
      <c r="GP43" s="1630" t="s">
        <v>561</v>
      </c>
      <c r="GQ43" s="1631">
        <f>IFERROR(
((SUM(GO7:GQ7) / SUM(GB7:GD7))-1)
*100,"")</f>
        <v>66.050893485767944</v>
      </c>
      <c r="GR43" s="1630" t="s">
        <v>561</v>
      </c>
      <c r="GS43" s="1630" t="s">
        <v>561</v>
      </c>
      <c r="GT43" s="1631">
        <f>IFERROR(
((SUM(GO7:GT7) / SUM(GB7:GG7))-1)
*100,"")</f>
        <v>23.740352532776111</v>
      </c>
      <c r="GU43" s="1630" t="s">
        <v>561</v>
      </c>
      <c r="GV43" s="1630" t="s">
        <v>561</v>
      </c>
      <c r="GW43" s="1631">
        <f>IFERROR(
((SUM(GO7:GW7) / SUM(GB7:GJ7))-1)
*100,"")</f>
        <v>30.336579605897462</v>
      </c>
      <c r="GX43" s="1630" t="s">
        <v>561</v>
      </c>
      <c r="GY43" s="1630" t="s">
        <v>561</v>
      </c>
      <c r="GZ43" s="1631">
        <f>IFERROR(
((SUM(GO7:GZ7) / SUM(GB7:GM7))-1)
*100,"")</f>
        <v>22.066697644493694</v>
      </c>
      <c r="HA43" s="1630" t="s">
        <v>561</v>
      </c>
      <c r="HB43" s="1630" t="s">
        <v>561</v>
      </c>
      <c r="HC43" s="1630" t="s">
        <v>561</v>
      </c>
      <c r="HD43" s="1631">
        <f>IFERROR(
((SUM(HB7:HD7) / SUM(GO7:GQ7))-1)
*100,"")</f>
        <v>-23.459457276691975</v>
      </c>
      <c r="HE43" s="1630" t="s">
        <v>561</v>
      </c>
      <c r="HF43" s="1630" t="s">
        <v>561</v>
      </c>
      <c r="HG43" s="1631">
        <f>IFERROR(
((SUM(HB7:HG7) / SUM(GO7:GT7))-1)
*100,"")</f>
        <v>-7.4724227155113727</v>
      </c>
      <c r="HH43" s="1630" t="s">
        <v>561</v>
      </c>
      <c r="HI43" s="1630" t="s">
        <v>561</v>
      </c>
      <c r="HJ43" s="1631">
        <f>IFERROR(
((SUM(HB7:HJ7) / SUM(GO7:GW7))-1)
*100,"")</f>
        <v>-5.9876158417487391</v>
      </c>
      <c r="HK43" s="1630" t="s">
        <v>561</v>
      </c>
      <c r="HL43" s="1630" t="s">
        <v>561</v>
      </c>
      <c r="HM43" s="1631">
        <f>IFERROR(
((SUM(HB7:HM7) / SUM(GO7:GZ7))-1)
*100,"")</f>
        <v>3.9753327906391078</v>
      </c>
      <c r="HN43" s="1630" t="s">
        <v>561</v>
      </c>
      <c r="HO43" s="1630" t="s">
        <v>561</v>
      </c>
      <c r="HP43" s="1630" t="s">
        <v>561</v>
      </c>
      <c r="HQ43" s="1631">
        <f>IFERROR(
((SUM(HO7:HQ7) / SUM(HB7:HD7))-1)
*100,"")</f>
        <v>-1.4798596639320483</v>
      </c>
      <c r="HR43" s="1630" t="s">
        <v>561</v>
      </c>
      <c r="HS43" s="1630" t="s">
        <v>561</v>
      </c>
      <c r="HT43" s="1631">
        <f>IFERROR(
((SUM(HO7:HT7) / SUM(HB7:HG7))-1)
*100,"")</f>
        <v>9.9863120556937357</v>
      </c>
      <c r="HU43" s="1630" t="s">
        <v>561</v>
      </c>
      <c r="HV43" s="1630" t="s">
        <v>561</v>
      </c>
      <c r="HW43" s="1631">
        <f>IFERROR(
((SUM(HO7:HW7) / SUM(HB7:HJ7))-1)
*100,"")</f>
        <v>19.019370353016065</v>
      </c>
      <c r="HX43" s="1630" t="s">
        <v>561</v>
      </c>
      <c r="HY43" s="1630" t="s">
        <v>561</v>
      </c>
      <c r="HZ43" s="1631">
        <f>IFERROR(
((SUM(HO7:HZ7) / SUM(HB7:HM7))-1)
*100,"")</f>
        <v>5.5558997639981733</v>
      </c>
      <c r="IA43" s="1630" t="s">
        <v>561</v>
      </c>
      <c r="IB43" s="1630" t="s">
        <v>561</v>
      </c>
      <c r="IC43" s="1630" t="s">
        <v>561</v>
      </c>
      <c r="ID43" s="1631">
        <f>IFERROR(
((SUM(IB7:ID7) / SUM(HO7:HQ7))-1)
*100,"")</f>
        <v>-2.4659955017671598</v>
      </c>
      <c r="IE43" s="1630" t="s">
        <v>561</v>
      </c>
      <c r="IF43" s="1630" t="s">
        <v>561</v>
      </c>
      <c r="IG43" s="1631">
        <f>IFERROR(
((SUM(IB7:IG7) / SUM(HO7:HT7))-1)
*100,"")</f>
        <v>5.6846162081147567</v>
      </c>
      <c r="IH43" s="1630" t="s">
        <v>561</v>
      </c>
      <c r="II43" s="1630" t="s">
        <v>561</v>
      </c>
      <c r="IJ43" s="1631">
        <f>IFERROR(
((SUM(IB7:IJ7) / SUM(HO7:HW7))-1)
*100,"")</f>
        <v>11.629427145234139</v>
      </c>
      <c r="IK43" s="1630" t="s">
        <v>561</v>
      </c>
      <c r="IL43" s="1630" t="s">
        <v>561</v>
      </c>
      <c r="IM43" s="1631">
        <f>IFERROR(
((SUM(IB7:IM7) / SUM(HO7:HZ7))-1)
*100,"")</f>
        <v>10.793201888957071</v>
      </c>
      <c r="IN43" s="1630" t="s">
        <v>561</v>
      </c>
      <c r="IO43" s="1630" t="s">
        <v>561</v>
      </c>
      <c r="IP43" s="1630" t="s">
        <v>561</v>
      </c>
      <c r="IQ43" s="1631">
        <f>IFERROR(
((SUM(IO7:IQ7) / SUM(IB7:ID7))-1)
*100,"")</f>
        <v>24.251242210448297</v>
      </c>
      <c r="IR43" s="1630" t="s">
        <v>561</v>
      </c>
      <c r="IS43" s="1630" t="s">
        <v>561</v>
      </c>
      <c r="IT43" s="1631">
        <f>IFERROR(
((SUM(IO7:IT7) / SUM(IB7:IG7))-1)
*100,"")</f>
        <v>31.286720016207447</v>
      </c>
      <c r="IU43" s="1630" t="s">
        <v>561</v>
      </c>
      <c r="IV43" s="1630" t="s">
        <v>561</v>
      </c>
      <c r="IW43" s="1631">
        <f>IFERROR(
((SUM(IO7:IW7) / SUM(IB7:IJ7))-1)
*100,"")</f>
        <v>35.49840298110194</v>
      </c>
      <c r="IX43" s="1630" t="s">
        <v>561</v>
      </c>
      <c r="IY43" s="1630" t="s">
        <v>561</v>
      </c>
      <c r="IZ43" s="1631">
        <f>IFERROR(
((SUM(IO7:IZ7) / SUM(IB7:IM7))-1)
*100,"")</f>
        <v>41.314440933960086</v>
      </c>
      <c r="JA43" s="1630" t="s">
        <v>561</v>
      </c>
      <c r="JB43" s="1630" t="s">
        <v>561</v>
      </c>
      <c r="JC43" s="1630" t="s">
        <v>561</v>
      </c>
      <c r="JD43" s="1631">
        <f>IFERROR(
((SUM(JB7:JD7) / SUM(IO7:IQ7))-1)
*100,"")</f>
        <v>108.69843794878591</v>
      </c>
      <c r="JE43" s="1630" t="s">
        <v>561</v>
      </c>
      <c r="JF43" s="1630" t="s">
        <v>561</v>
      </c>
      <c r="JG43" s="1631">
        <f>IFERROR(
((SUM(JB7:JG7) / SUM(IO7:IT7))-1)
*100,"")</f>
        <v>101.35699474369484</v>
      </c>
      <c r="JH43" s="1630" t="s">
        <v>561</v>
      </c>
      <c r="JI43" s="1630" t="s">
        <v>561</v>
      </c>
      <c r="JJ43" s="1631">
        <f>IFERROR(
((SUM(JB7:JJ7) / SUM(IO7:IW7))-1)
*100,"")</f>
        <v>112.27145712503743</v>
      </c>
      <c r="JK43" s="1630" t="s">
        <v>561</v>
      </c>
      <c r="JL43" s="1630" t="s">
        <v>561</v>
      </c>
      <c r="JM43" s="1631">
        <f>IFERROR(
((SUM(JB7:JM7) / SUM(IO7:IZ7))-1)
*100,"")</f>
        <v>81.40545440912841</v>
      </c>
      <c r="JN43" s="1630" t="s">
        <v>561</v>
      </c>
      <c r="JO43" s="1630" t="s">
        <v>561</v>
      </c>
      <c r="JP43" s="1630" t="s">
        <v>561</v>
      </c>
      <c r="JQ43" s="1631">
        <f>IFERROR(
((SUM(JO7:JQ7) / SUM(JB7:JD7))-1)
*100,"")</f>
        <v>-47.705353645496984</v>
      </c>
      <c r="JR43" s="1630" t="s">
        <v>561</v>
      </c>
      <c r="JS43" s="1630" t="s">
        <v>561</v>
      </c>
      <c r="JT43" s="1631">
        <f>IFERROR(
((SUM(JO7:JT7) / SUM(JB7:JG7))-1)
*100,"")</f>
        <v>-36.875709489072072</v>
      </c>
      <c r="JU43" s="1630" t="s">
        <v>561</v>
      </c>
      <c r="JV43" s="1630" t="s">
        <v>561</v>
      </c>
      <c r="JW43" s="1631">
        <f>IFERROR(
((SUM(JO7:JW7) / SUM(JB7:JJ7))-1)
*100,"")</f>
        <v>-51.882741612337533</v>
      </c>
      <c r="JX43" s="1630" t="s">
        <v>561</v>
      </c>
      <c r="JY43" s="1630" t="s">
        <v>561</v>
      </c>
      <c r="JZ43" s="1631">
        <f>IFERROR(
((SUM(JO7:JZ7) / SUM(JB7:JM7))-1)
*100,"")</f>
        <v>-60.925208869951099</v>
      </c>
      <c r="KA43" s="1630" t="s">
        <v>561</v>
      </c>
      <c r="KB43" s="1617"/>
      <c r="KC43" s="1619"/>
      <c r="KD43" s="1630"/>
      <c r="KE43" s="1618"/>
      <c r="KF43" s="1618"/>
      <c r="KG43" s="1618"/>
      <c r="KH43" s="1618"/>
      <c r="KI43" s="1618"/>
      <c r="KJ43" s="1618"/>
      <c r="KK43" s="1618"/>
    </row>
    <row r="44" spans="1:297" ht="15" customHeight="1" x14ac:dyDescent="0.2">
      <c r="A44" s="1041" t="s">
        <v>611</v>
      </c>
      <c r="V44" s="1647"/>
    </row>
    <row r="45" spans="1:297" ht="15" customHeigh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C45"/>
      <c r="KD45"/>
      <c r="KE45"/>
      <c r="KF45"/>
      <c r="KG45"/>
      <c r="KH45"/>
      <c r="KI45"/>
      <c r="KJ45"/>
      <c r="KK45"/>
    </row>
    <row r="46" spans="1:297" ht="15" customHeight="1" x14ac:dyDescent="0.2">
      <c r="JN46" s="1680">
        <f>((JN9-JA9)/JA9)*100</f>
        <v>83.412152763978852</v>
      </c>
    </row>
    <row r="47" spans="1:297" ht="15" customHeight="1" x14ac:dyDescent="0.2">
      <c r="JN47" s="1680"/>
    </row>
    <row r="48" spans="1:297" ht="15" customHeight="1" x14ac:dyDescent="0.2">
      <c r="KC48" s="1648"/>
      <c r="KD48" s="1649"/>
    </row>
    <row r="49" spans="1:290" ht="15" customHeight="1" x14ac:dyDescent="0.2">
      <c r="JN49" s="1680">
        <f>((JN12-JA12)/JA12)*100</f>
        <v>81.189945364986542</v>
      </c>
      <c r="KC49" s="1648"/>
      <c r="KD49" s="1650"/>
    </row>
    <row r="50" spans="1:290" ht="15" customHeight="1" x14ac:dyDescent="0.2">
      <c r="A50" s="1648"/>
      <c r="B50" s="1650"/>
      <c r="KC50" s="1648"/>
      <c r="KD50" s="1650"/>
    </row>
    <row r="51" spans="1:290" ht="15" customHeight="1" x14ac:dyDescent="0.2">
      <c r="A51" s="1648"/>
      <c r="B51" s="1650"/>
      <c r="KC51" s="1648"/>
      <c r="KD51" s="1649"/>
    </row>
    <row r="52" spans="1:290" ht="15" customHeight="1" x14ac:dyDescent="0.2">
      <c r="A52" s="1648"/>
      <c r="B52" s="1649"/>
      <c r="KC52" s="1648"/>
      <c r="KD52" s="1650"/>
    </row>
    <row r="53" spans="1:290" ht="15" customHeight="1" x14ac:dyDescent="0.2">
      <c r="A53" s="1648"/>
      <c r="B53" s="1650"/>
      <c r="KC53" s="1648"/>
      <c r="KD53" s="1650"/>
    </row>
    <row r="54" spans="1:290" ht="15" customHeight="1" x14ac:dyDescent="0.2">
      <c r="A54" s="1648"/>
      <c r="B54" s="1650"/>
      <c r="KC54" s="1648"/>
      <c r="KD54" s="1649"/>
    </row>
    <row r="55" spans="1:290" ht="15" customHeight="1" x14ac:dyDescent="0.2">
      <c r="A55" s="1648"/>
      <c r="B55" s="1649"/>
      <c r="KC55" s="1648"/>
      <c r="KD55" s="1650"/>
    </row>
    <row r="56" spans="1:290" ht="15" customHeight="1" x14ac:dyDescent="0.2">
      <c r="A56" s="1648"/>
      <c r="B56" s="1650"/>
      <c r="KC56" s="1648"/>
      <c r="KD56" s="1650"/>
    </row>
    <row r="57" spans="1:290" ht="15" customHeight="1" x14ac:dyDescent="0.2">
      <c r="A57" s="1648"/>
      <c r="B57" s="1650"/>
      <c r="KC57" s="1648"/>
      <c r="KD57" s="1649"/>
    </row>
    <row r="58" spans="1:290" ht="15" customHeight="1" x14ac:dyDescent="0.2">
      <c r="A58" s="1648"/>
      <c r="B58" s="1649"/>
      <c r="KC58" s="1651"/>
      <c r="KD58" s="1650"/>
    </row>
    <row r="59" spans="1:290" ht="15" customHeight="1" x14ac:dyDescent="0.2">
      <c r="A59" s="1648"/>
      <c r="B59" s="1650"/>
      <c r="KC59" s="1648"/>
      <c r="KD59" s="1650"/>
    </row>
    <row r="60" spans="1:290" ht="15" customHeight="1" x14ac:dyDescent="0.2">
      <c r="A60" s="1648"/>
      <c r="B60" s="1650"/>
      <c r="KC60" s="1648"/>
      <c r="KD60" s="1650"/>
    </row>
    <row r="61" spans="1:290" ht="15" customHeight="1" x14ac:dyDescent="0.2">
      <c r="A61" s="1648"/>
      <c r="B61" s="1649"/>
      <c r="KC61" s="1648"/>
      <c r="KD61" s="1649"/>
    </row>
    <row r="62" spans="1:290" ht="15" customHeight="1" x14ac:dyDescent="0.2">
      <c r="A62" s="1651"/>
      <c r="B62" s="1650"/>
      <c r="KC62" s="1648"/>
      <c r="KD62" s="1650"/>
    </row>
    <row r="63" spans="1:290" ht="15" customHeight="1" x14ac:dyDescent="0.2">
      <c r="A63" s="1648"/>
      <c r="B63" s="1650"/>
      <c r="KC63" s="1648"/>
      <c r="KD63" s="1650"/>
    </row>
    <row r="64" spans="1:290" ht="15" customHeight="1" x14ac:dyDescent="0.2">
      <c r="A64" s="1648"/>
      <c r="B64" s="1650"/>
      <c r="KC64" s="1648"/>
      <c r="KD64" s="1649"/>
    </row>
    <row r="65" spans="1:290" ht="15" customHeight="1" x14ac:dyDescent="0.2">
      <c r="A65" s="1648"/>
      <c r="B65" s="1649"/>
      <c r="KC65" s="1648"/>
      <c r="KD65" s="1650"/>
    </row>
    <row r="66" spans="1:290" ht="15" customHeight="1" x14ac:dyDescent="0.2">
      <c r="A66" s="1648"/>
      <c r="B66" s="1650"/>
      <c r="KC66" s="1648"/>
      <c r="KD66" s="1650"/>
    </row>
    <row r="67" spans="1:290" ht="15" customHeight="1" x14ac:dyDescent="0.2">
      <c r="A67" s="1648"/>
      <c r="B67" s="1650"/>
      <c r="KC67" s="1648"/>
      <c r="KD67" s="1649"/>
    </row>
    <row r="68" spans="1:290" ht="15" customHeight="1" x14ac:dyDescent="0.2">
      <c r="A68" s="1648"/>
      <c r="B68" s="1649"/>
      <c r="KC68" s="1648"/>
      <c r="KD68" s="1650"/>
    </row>
    <row r="69" spans="1:290" ht="15" customHeight="1" x14ac:dyDescent="0.2">
      <c r="A69" s="1648"/>
      <c r="B69" s="1650"/>
      <c r="KC69" s="1648"/>
      <c r="KD69" s="1650"/>
    </row>
    <row r="70" spans="1:290" ht="15" customHeight="1" x14ac:dyDescent="0.2">
      <c r="A70" s="1648"/>
      <c r="B70" s="1650"/>
      <c r="KC70" s="1648"/>
      <c r="KD70" s="1649"/>
    </row>
    <row r="71" spans="1:290" ht="15" customHeight="1" x14ac:dyDescent="0.2">
      <c r="A71" s="1648"/>
      <c r="B71" s="1649"/>
      <c r="KC71" s="1651"/>
      <c r="KD71" s="1650"/>
    </row>
    <row r="72" spans="1:290" ht="15" customHeight="1" x14ac:dyDescent="0.2">
      <c r="A72" s="1648"/>
      <c r="B72" s="1650"/>
      <c r="KC72" s="1648"/>
      <c r="KD72" s="1650"/>
    </row>
    <row r="73" spans="1:290" ht="15" customHeight="1" x14ac:dyDescent="0.2">
      <c r="A73" s="1648"/>
      <c r="B73" s="1650"/>
      <c r="KC73" s="1648"/>
      <c r="KD73" s="1650"/>
    </row>
    <row r="74" spans="1:290" ht="15" customHeight="1" x14ac:dyDescent="0.2">
      <c r="A74" s="1648"/>
      <c r="B74" s="1649"/>
      <c r="KC74" s="1648"/>
      <c r="KD74" s="1649"/>
    </row>
    <row r="75" spans="1:290" ht="15" customHeight="1" x14ac:dyDescent="0.2">
      <c r="A75" s="1651"/>
      <c r="B75" s="1650"/>
      <c r="KC75" s="1648"/>
      <c r="KD75" s="1650"/>
    </row>
    <row r="76" spans="1:290" ht="15" customHeight="1" x14ac:dyDescent="0.2">
      <c r="A76" s="1648"/>
      <c r="B76" s="1650"/>
      <c r="KC76" s="1648"/>
      <c r="KD76" s="1650"/>
    </row>
    <row r="77" spans="1:290" ht="15" customHeight="1" x14ac:dyDescent="0.2">
      <c r="A77" s="1648"/>
      <c r="B77" s="1650"/>
      <c r="KC77" s="1648"/>
      <c r="KD77" s="1649"/>
    </row>
    <row r="78" spans="1:290" ht="15" customHeight="1" x14ac:dyDescent="0.2">
      <c r="A78" s="1648"/>
      <c r="B78" s="1649"/>
      <c r="KC78" s="1648"/>
      <c r="KD78" s="1650"/>
    </row>
    <row r="79" spans="1:290" ht="15" customHeight="1" x14ac:dyDescent="0.2">
      <c r="A79" s="1648"/>
      <c r="B79" s="1650"/>
      <c r="KC79" s="1648"/>
      <c r="KD79" s="1650"/>
    </row>
    <row r="80" spans="1:290" ht="15" customHeight="1" x14ac:dyDescent="0.2">
      <c r="A80" s="1648"/>
      <c r="B80" s="1650"/>
      <c r="KC80" s="1648"/>
      <c r="KD80" s="1649"/>
    </row>
    <row r="81" spans="1:290" ht="15" customHeight="1" x14ac:dyDescent="0.2">
      <c r="A81" s="1648"/>
      <c r="B81" s="1649"/>
      <c r="KC81" s="1648"/>
      <c r="KD81" s="1650"/>
    </row>
    <row r="82" spans="1:290" ht="15" customHeight="1" x14ac:dyDescent="0.2">
      <c r="A82" s="1648"/>
      <c r="B82" s="1650"/>
      <c r="KC82" s="1648"/>
      <c r="KD82" s="1650"/>
    </row>
    <row r="83" spans="1:290" ht="15" customHeight="1" x14ac:dyDescent="0.2">
      <c r="A83" s="1648"/>
      <c r="B83" s="1650"/>
      <c r="KC83" s="1648"/>
      <c r="KD83" s="1649"/>
    </row>
    <row r="84" spans="1:290" ht="15" customHeight="1" x14ac:dyDescent="0.2">
      <c r="A84" s="1648"/>
      <c r="B84" s="1649"/>
      <c r="KC84" s="1651"/>
      <c r="KD84" s="1650"/>
    </row>
    <row r="85" spans="1:290" ht="15" customHeight="1" x14ac:dyDescent="0.2">
      <c r="A85" s="1648"/>
      <c r="B85" s="1650"/>
      <c r="KC85" s="1648"/>
      <c r="KD85" s="1650"/>
    </row>
    <row r="86" spans="1:290" ht="15" customHeight="1" x14ac:dyDescent="0.2">
      <c r="A86" s="1648"/>
      <c r="B86" s="1650"/>
      <c r="KC86" s="1648"/>
      <c r="KD86" s="1650"/>
    </row>
    <row r="87" spans="1:290" ht="15" customHeight="1" x14ac:dyDescent="0.2">
      <c r="A87" s="1648"/>
      <c r="B87" s="1649"/>
      <c r="KC87" s="1648"/>
      <c r="KD87" s="1649"/>
    </row>
    <row r="88" spans="1:290" ht="15" customHeight="1" x14ac:dyDescent="0.2">
      <c r="A88" s="1651"/>
      <c r="B88" s="1650"/>
      <c r="KC88" s="1648"/>
      <c r="KD88" s="1650"/>
    </row>
    <row r="89" spans="1:290" ht="15" customHeight="1" x14ac:dyDescent="0.2">
      <c r="A89" s="1648"/>
      <c r="B89" s="1650"/>
      <c r="KC89" s="1648"/>
      <c r="KD89" s="1650"/>
    </row>
    <row r="90" spans="1:290" ht="15" customHeight="1" x14ac:dyDescent="0.2">
      <c r="A90" s="1648"/>
      <c r="B90" s="1650"/>
      <c r="KC90" s="1648"/>
      <c r="KD90" s="1649"/>
    </row>
    <row r="91" spans="1:290" ht="15" customHeight="1" x14ac:dyDescent="0.2">
      <c r="A91" s="1648"/>
      <c r="B91" s="1649"/>
      <c r="KC91" s="1648"/>
      <c r="KD91" s="1650"/>
    </row>
    <row r="92" spans="1:290" ht="15" customHeight="1" x14ac:dyDescent="0.2">
      <c r="A92" s="1648"/>
      <c r="B92" s="1650"/>
      <c r="KC92" s="1648"/>
      <c r="KD92" s="1650"/>
    </row>
    <row r="93" spans="1:290" ht="15" customHeight="1" x14ac:dyDescent="0.2">
      <c r="A93" s="1648"/>
      <c r="B93" s="1650"/>
      <c r="KC93" s="1648"/>
      <c r="KD93" s="1649"/>
    </row>
    <row r="94" spans="1:290" ht="15" customHeight="1" x14ac:dyDescent="0.2">
      <c r="A94" s="1648"/>
      <c r="B94" s="1649"/>
      <c r="KC94" s="1648"/>
      <c r="KD94" s="1650"/>
    </row>
    <row r="95" spans="1:290" ht="15" customHeight="1" x14ac:dyDescent="0.2">
      <c r="A95" s="1648"/>
      <c r="B95" s="1650"/>
      <c r="KC95" s="1648"/>
      <c r="KD95" s="1650"/>
    </row>
    <row r="96" spans="1:290" ht="15" customHeight="1" x14ac:dyDescent="0.2">
      <c r="A96" s="1648"/>
      <c r="B96" s="1650"/>
      <c r="KC96" s="1648"/>
      <c r="KD96" s="1649"/>
    </row>
    <row r="97" spans="1:290" ht="15" customHeight="1" x14ac:dyDescent="0.2">
      <c r="A97" s="1648"/>
      <c r="B97" s="1649"/>
      <c r="KC97" s="1651"/>
      <c r="KD97" s="1650"/>
    </row>
    <row r="98" spans="1:290" ht="15" customHeight="1" x14ac:dyDescent="0.2">
      <c r="A98" s="1648"/>
      <c r="B98" s="1650"/>
      <c r="KC98" s="1648"/>
      <c r="KD98" s="1650"/>
    </row>
    <row r="99" spans="1:290" ht="15" customHeight="1" x14ac:dyDescent="0.2">
      <c r="A99" s="1648"/>
      <c r="B99" s="1650"/>
      <c r="KC99" s="1648"/>
      <c r="KD99" s="1650"/>
    </row>
    <row r="100" spans="1:290" ht="15" customHeight="1" x14ac:dyDescent="0.2">
      <c r="A100" s="1648"/>
      <c r="B100" s="1649"/>
      <c r="KC100" s="1648"/>
      <c r="KD100" s="1649"/>
    </row>
    <row r="101" spans="1:290" ht="15" customHeight="1" x14ac:dyDescent="0.2">
      <c r="A101" s="1651"/>
      <c r="B101" s="1650"/>
      <c r="KC101" s="1648"/>
      <c r="KD101" s="1650"/>
    </row>
    <row r="102" spans="1:290" ht="15" customHeight="1" x14ac:dyDescent="0.2">
      <c r="A102" s="1648"/>
      <c r="B102" s="1650"/>
      <c r="KC102" s="1648"/>
      <c r="KD102" s="1650"/>
    </row>
    <row r="103" spans="1:290" ht="15" customHeight="1" x14ac:dyDescent="0.2">
      <c r="A103" s="1648"/>
      <c r="B103" s="1650"/>
      <c r="KC103" s="1648"/>
      <c r="KD103" s="1649"/>
    </row>
    <row r="104" spans="1:290" ht="15" customHeight="1" x14ac:dyDescent="0.2">
      <c r="A104" s="1648"/>
      <c r="B104" s="1649"/>
      <c r="KC104" s="1648"/>
      <c r="KD104" s="1650"/>
    </row>
    <row r="105" spans="1:290" ht="15" customHeight="1" x14ac:dyDescent="0.2">
      <c r="A105" s="1648"/>
      <c r="B105" s="1650"/>
      <c r="KC105" s="1648"/>
      <c r="KD105" s="1650"/>
    </row>
    <row r="106" spans="1:290" ht="15" customHeight="1" x14ac:dyDescent="0.2">
      <c r="A106" s="1648"/>
      <c r="B106" s="1650"/>
      <c r="KC106" s="1648"/>
      <c r="KD106" s="1649"/>
    </row>
    <row r="107" spans="1:290" ht="15" customHeight="1" x14ac:dyDescent="0.2">
      <c r="A107" s="1648"/>
      <c r="B107" s="1649"/>
      <c r="KC107" s="1648"/>
      <c r="KD107" s="1650"/>
    </row>
    <row r="108" spans="1:290" ht="15" customHeight="1" x14ac:dyDescent="0.2">
      <c r="A108" s="1648"/>
      <c r="B108" s="1650"/>
      <c r="KC108" s="1648"/>
      <c r="KD108" s="1650"/>
    </row>
    <row r="109" spans="1:290" ht="15" customHeight="1" x14ac:dyDescent="0.2">
      <c r="A109" s="1648"/>
      <c r="B109" s="1650"/>
      <c r="KC109" s="1648"/>
      <c r="KD109" s="1649"/>
    </row>
    <row r="110" spans="1:290" ht="15" customHeight="1" x14ac:dyDescent="0.2">
      <c r="A110" s="1648"/>
      <c r="B110" s="1649"/>
      <c r="KC110" s="1651"/>
      <c r="KD110" s="1650"/>
    </row>
    <row r="111" spans="1:290" ht="15" customHeight="1" x14ac:dyDescent="0.2">
      <c r="A111" s="1648"/>
      <c r="B111" s="1650"/>
      <c r="KC111" s="1648"/>
      <c r="KD111" s="1650"/>
    </row>
    <row r="112" spans="1:290" ht="15" customHeight="1" x14ac:dyDescent="0.2">
      <c r="A112" s="1648"/>
      <c r="B112" s="1650"/>
      <c r="KC112" s="1648"/>
      <c r="KD112" s="1650"/>
    </row>
    <row r="113" spans="1:290" ht="15" customHeight="1" x14ac:dyDescent="0.2">
      <c r="A113" s="1648"/>
      <c r="B113" s="1649"/>
      <c r="KC113" s="1648"/>
      <c r="KD113" s="1649"/>
    </row>
    <row r="114" spans="1:290" ht="15" customHeight="1" x14ac:dyDescent="0.2">
      <c r="A114" s="1651"/>
      <c r="B114" s="1650"/>
      <c r="KC114" s="1648"/>
      <c r="KD114" s="1650"/>
    </row>
    <row r="115" spans="1:290" ht="15" customHeight="1" x14ac:dyDescent="0.2">
      <c r="A115" s="1648"/>
      <c r="B115" s="1650"/>
      <c r="KC115" s="1648"/>
      <c r="KD115" s="1650"/>
    </row>
    <row r="116" spans="1:290" ht="15" customHeight="1" x14ac:dyDescent="0.2">
      <c r="A116" s="1648"/>
      <c r="B116" s="1650"/>
      <c r="KC116" s="1648"/>
      <c r="KD116" s="1649"/>
    </row>
    <row r="117" spans="1:290" ht="15" customHeight="1" x14ac:dyDescent="0.2">
      <c r="A117" s="1648"/>
      <c r="B117" s="1649"/>
      <c r="KC117" s="1648"/>
      <c r="KD117" s="1650"/>
    </row>
    <row r="118" spans="1:290" ht="15" customHeight="1" x14ac:dyDescent="0.2">
      <c r="A118" s="1648"/>
      <c r="B118" s="1650"/>
      <c r="KC118" s="1648"/>
      <c r="KD118" s="1650"/>
    </row>
    <row r="119" spans="1:290" ht="15" customHeight="1" x14ac:dyDescent="0.2">
      <c r="A119" s="1648"/>
      <c r="B119" s="1650"/>
      <c r="KC119" s="1648"/>
      <c r="KD119" s="1649"/>
    </row>
    <row r="120" spans="1:290" ht="15" customHeight="1" x14ac:dyDescent="0.2">
      <c r="A120" s="1648"/>
      <c r="B120" s="1649"/>
      <c r="KC120" s="1648"/>
      <c r="KD120" s="1650"/>
    </row>
    <row r="121" spans="1:290" ht="15" customHeight="1" x14ac:dyDescent="0.2">
      <c r="A121" s="1648"/>
      <c r="B121" s="1650"/>
      <c r="KC121" s="1648"/>
      <c r="KD121" s="1650"/>
    </row>
    <row r="122" spans="1:290" ht="15" customHeight="1" x14ac:dyDescent="0.2">
      <c r="A122" s="1648"/>
      <c r="B122" s="1650"/>
      <c r="KC122" s="1648"/>
      <c r="KD122" s="1649"/>
    </row>
    <row r="123" spans="1:290" ht="15" customHeight="1" x14ac:dyDescent="0.2">
      <c r="A123" s="1648"/>
      <c r="B123" s="1649"/>
      <c r="KC123" s="1651"/>
      <c r="KD123" s="1650"/>
    </row>
    <row r="124" spans="1:290" ht="15" customHeight="1" x14ac:dyDescent="0.2">
      <c r="A124" s="1648"/>
      <c r="B124" s="1650"/>
      <c r="KC124" s="1648"/>
      <c r="KD124" s="1650"/>
    </row>
    <row r="125" spans="1:290" ht="15" customHeight="1" x14ac:dyDescent="0.2">
      <c r="A125" s="1648"/>
      <c r="B125" s="1650"/>
      <c r="KC125" s="1648"/>
      <c r="KD125" s="1650"/>
    </row>
    <row r="126" spans="1:290" ht="15" customHeight="1" x14ac:dyDescent="0.2">
      <c r="A126" s="1648"/>
      <c r="B126" s="1649"/>
      <c r="KC126" s="1648"/>
      <c r="KD126" s="1649"/>
    </row>
    <row r="127" spans="1:290" ht="15" customHeight="1" x14ac:dyDescent="0.2">
      <c r="A127" s="1651"/>
      <c r="B127" s="1650"/>
      <c r="KC127" s="1648"/>
      <c r="KD127" s="1650"/>
    </row>
    <row r="128" spans="1:290" ht="15" customHeight="1" x14ac:dyDescent="0.2">
      <c r="A128" s="1648"/>
      <c r="B128" s="1650"/>
      <c r="KC128" s="1648"/>
      <c r="KD128" s="1650"/>
    </row>
    <row r="129" spans="1:290" ht="15" customHeight="1" x14ac:dyDescent="0.2">
      <c r="A129" s="1648"/>
      <c r="B129" s="1650"/>
      <c r="KC129" s="1648"/>
      <c r="KD129" s="1649"/>
    </row>
    <row r="130" spans="1:290" ht="15" customHeight="1" x14ac:dyDescent="0.2">
      <c r="A130" s="1648"/>
      <c r="B130" s="1649"/>
      <c r="KC130" s="1648"/>
      <c r="KD130" s="1650"/>
    </row>
    <row r="131" spans="1:290" ht="15" customHeight="1" x14ac:dyDescent="0.2">
      <c r="A131" s="1648"/>
      <c r="B131" s="1650"/>
      <c r="KC131" s="1648"/>
      <c r="KD131" s="1650"/>
    </row>
    <row r="132" spans="1:290" ht="15" customHeight="1" x14ac:dyDescent="0.2">
      <c r="A132" s="1648"/>
      <c r="B132" s="1650"/>
      <c r="KC132" s="1648"/>
      <c r="KD132" s="1649"/>
    </row>
    <row r="133" spans="1:290" ht="15" customHeight="1" x14ac:dyDescent="0.2">
      <c r="A133" s="1648"/>
      <c r="B133" s="1649"/>
      <c r="KC133" s="1648"/>
      <c r="KD133" s="1650"/>
    </row>
    <row r="134" spans="1:290" ht="15" customHeight="1" x14ac:dyDescent="0.2">
      <c r="A134" s="1648"/>
      <c r="B134" s="1650"/>
      <c r="KC134" s="1648"/>
      <c r="KD134" s="1650"/>
    </row>
    <row r="135" spans="1:290" ht="15" customHeight="1" x14ac:dyDescent="0.2">
      <c r="A135" s="1648"/>
      <c r="B135" s="1650"/>
      <c r="KC135" s="1648"/>
      <c r="KD135" s="1649"/>
    </row>
    <row r="136" spans="1:290" ht="15" customHeight="1" x14ac:dyDescent="0.2">
      <c r="A136" s="1648"/>
      <c r="B136" s="1649"/>
      <c r="KC136" s="1651"/>
      <c r="KD136" s="1650"/>
    </row>
    <row r="137" spans="1:290" ht="15" customHeight="1" x14ac:dyDescent="0.2">
      <c r="A137" s="1648"/>
      <c r="B137" s="1650"/>
      <c r="KC137" s="1648"/>
      <c r="KD137" s="1650"/>
    </row>
    <row r="138" spans="1:290" ht="15" customHeight="1" x14ac:dyDescent="0.2">
      <c r="A138" s="1648"/>
      <c r="B138" s="1650"/>
      <c r="KC138" s="1648"/>
      <c r="KD138" s="1650"/>
    </row>
    <row r="139" spans="1:290" ht="15" customHeight="1" x14ac:dyDescent="0.2">
      <c r="A139" s="1648"/>
      <c r="B139" s="1649"/>
      <c r="KC139" s="1648"/>
      <c r="KD139" s="1649"/>
    </row>
    <row r="140" spans="1:290" ht="15" customHeight="1" x14ac:dyDescent="0.2">
      <c r="A140" s="1651"/>
      <c r="B140" s="1650"/>
      <c r="KC140" s="1648"/>
      <c r="KD140" s="1650"/>
    </row>
    <row r="141" spans="1:290" ht="15" customHeight="1" x14ac:dyDescent="0.2">
      <c r="A141" s="1648"/>
      <c r="B141" s="1650"/>
      <c r="KC141" s="1648"/>
      <c r="KD141" s="1650"/>
    </row>
    <row r="142" spans="1:290" ht="15" customHeight="1" x14ac:dyDescent="0.2">
      <c r="A142" s="1648"/>
      <c r="B142" s="1650"/>
      <c r="KC142" s="1648"/>
      <c r="KD142" s="1649"/>
    </row>
    <row r="143" spans="1:290" ht="15" customHeight="1" x14ac:dyDescent="0.2">
      <c r="A143" s="1648"/>
      <c r="B143" s="1649"/>
      <c r="KC143" s="1648"/>
      <c r="KD143" s="1650"/>
    </row>
    <row r="144" spans="1:290" ht="15" customHeight="1" x14ac:dyDescent="0.2">
      <c r="A144" s="1648"/>
      <c r="B144" s="1650"/>
      <c r="KC144" s="1648"/>
      <c r="KD144" s="1650"/>
    </row>
    <row r="145" spans="1:290" ht="15" customHeight="1" x14ac:dyDescent="0.2">
      <c r="A145" s="1648"/>
      <c r="B145" s="1650"/>
      <c r="KC145" s="1648"/>
      <c r="KD145" s="1649"/>
    </row>
    <row r="146" spans="1:290" ht="15" customHeight="1" x14ac:dyDescent="0.2">
      <c r="A146" s="1648"/>
      <c r="B146" s="1649"/>
      <c r="KC146" s="1648"/>
      <c r="KD146" s="1650"/>
    </row>
    <row r="147" spans="1:290" ht="15" customHeight="1" x14ac:dyDescent="0.2">
      <c r="A147" s="1648"/>
      <c r="B147" s="1650"/>
      <c r="KC147" s="1648"/>
      <c r="KD147" s="1650"/>
    </row>
    <row r="148" spans="1:290" ht="15" customHeight="1" x14ac:dyDescent="0.2">
      <c r="A148" s="1648"/>
      <c r="B148" s="1650"/>
      <c r="KC148" s="1648"/>
      <c r="KD148" s="1649"/>
    </row>
    <row r="149" spans="1:290" ht="15" customHeight="1" x14ac:dyDescent="0.2">
      <c r="A149" s="1648"/>
      <c r="B149" s="1649"/>
      <c r="KC149" s="1651"/>
      <c r="KD149" s="1650"/>
    </row>
    <row r="150" spans="1:290" ht="15" customHeight="1" x14ac:dyDescent="0.2">
      <c r="A150" s="1648"/>
      <c r="B150" s="1650"/>
      <c r="KC150" s="1648"/>
      <c r="KD150" s="1650"/>
    </row>
    <row r="151" spans="1:290" ht="15" customHeight="1" x14ac:dyDescent="0.2">
      <c r="A151" s="1648"/>
      <c r="B151" s="1650"/>
      <c r="KC151" s="1648"/>
      <c r="KD151" s="1650"/>
    </row>
    <row r="152" spans="1:290" ht="15" customHeight="1" x14ac:dyDescent="0.2">
      <c r="A152" s="1648"/>
      <c r="B152" s="1649"/>
      <c r="KC152" s="1648"/>
      <c r="KD152" s="1649"/>
    </row>
    <row r="153" spans="1:290" ht="15" customHeight="1" x14ac:dyDescent="0.2">
      <c r="A153" s="1651"/>
      <c r="B153" s="1650"/>
      <c r="KC153" s="1648"/>
      <c r="KD153" s="1650"/>
    </row>
    <row r="154" spans="1:290" ht="15" customHeight="1" x14ac:dyDescent="0.2">
      <c r="A154" s="1648"/>
      <c r="B154" s="1650"/>
      <c r="KC154" s="1648"/>
      <c r="KD154" s="1650"/>
    </row>
    <row r="155" spans="1:290" ht="15" customHeight="1" x14ac:dyDescent="0.2">
      <c r="A155" s="1648"/>
      <c r="B155" s="1650"/>
      <c r="KC155" s="1648"/>
      <c r="KD155" s="1649"/>
    </row>
    <row r="156" spans="1:290" ht="15" customHeight="1" x14ac:dyDescent="0.2">
      <c r="A156" s="1648"/>
      <c r="B156" s="1649"/>
      <c r="KC156" s="1648"/>
      <c r="KD156" s="1650"/>
    </row>
    <row r="157" spans="1:290" ht="15" customHeight="1" x14ac:dyDescent="0.2">
      <c r="A157" s="1648"/>
      <c r="B157" s="1650"/>
      <c r="KC157" s="1648"/>
      <c r="KD157" s="1650"/>
    </row>
    <row r="158" spans="1:290" ht="15" customHeight="1" x14ac:dyDescent="0.2">
      <c r="A158" s="1648"/>
      <c r="B158" s="1650"/>
      <c r="KC158" s="1648"/>
      <c r="KD158" s="1649"/>
    </row>
    <row r="159" spans="1:290" ht="15" customHeight="1" x14ac:dyDescent="0.2">
      <c r="A159" s="1648"/>
      <c r="B159" s="1649"/>
      <c r="KC159" s="1648"/>
      <c r="KD159" s="1650"/>
    </row>
    <row r="160" spans="1:290" ht="15" customHeight="1" x14ac:dyDescent="0.2">
      <c r="A160" s="1648"/>
      <c r="B160" s="1650"/>
      <c r="KC160" s="1648"/>
      <c r="KD160" s="1650"/>
    </row>
    <row r="161" spans="1:290" ht="15" customHeight="1" x14ac:dyDescent="0.2">
      <c r="A161" s="1648"/>
      <c r="B161" s="1650"/>
      <c r="KC161" s="1648"/>
      <c r="KD161" s="1649"/>
    </row>
    <row r="162" spans="1:290" ht="15" customHeight="1" x14ac:dyDescent="0.2">
      <c r="A162" s="1648"/>
      <c r="B162" s="1649"/>
      <c r="KC162" s="1651"/>
      <c r="KD162" s="1650"/>
    </row>
    <row r="163" spans="1:290" ht="15" customHeight="1" x14ac:dyDescent="0.2">
      <c r="A163" s="1648"/>
      <c r="B163" s="1650"/>
      <c r="KC163" s="1648"/>
      <c r="KD163" s="1650"/>
    </row>
    <row r="164" spans="1:290" ht="15" customHeight="1" x14ac:dyDescent="0.2">
      <c r="A164" s="1648"/>
      <c r="B164" s="1650"/>
      <c r="KC164" s="1648"/>
      <c r="KD164" s="1650"/>
    </row>
    <row r="165" spans="1:290" ht="15" customHeight="1" x14ac:dyDescent="0.2">
      <c r="A165" s="1648"/>
      <c r="B165" s="1649"/>
      <c r="KC165" s="1648"/>
      <c r="KD165" s="1649"/>
    </row>
    <row r="166" spans="1:290" ht="15" customHeight="1" x14ac:dyDescent="0.2">
      <c r="A166" s="1651"/>
      <c r="B166" s="1650"/>
      <c r="KC166" s="1648"/>
      <c r="KD166" s="1650"/>
    </row>
    <row r="167" spans="1:290" ht="15" customHeight="1" x14ac:dyDescent="0.2">
      <c r="A167" s="1648"/>
      <c r="B167" s="1650"/>
      <c r="KC167" s="1648"/>
      <c r="KD167" s="1650"/>
    </row>
    <row r="168" spans="1:290" ht="15" customHeight="1" x14ac:dyDescent="0.2">
      <c r="A168" s="1648"/>
      <c r="B168" s="1650"/>
      <c r="KC168" s="1648"/>
      <c r="KD168" s="1649"/>
    </row>
    <row r="169" spans="1:290" ht="15" customHeight="1" x14ac:dyDescent="0.2">
      <c r="A169" s="1648"/>
      <c r="B169" s="1649"/>
      <c r="KC169" s="1648"/>
      <c r="KD169" s="1650"/>
    </row>
    <row r="170" spans="1:290" ht="15" customHeight="1" x14ac:dyDescent="0.2">
      <c r="A170" s="1648"/>
      <c r="B170" s="1650"/>
      <c r="KC170" s="1648"/>
      <c r="KD170" s="1650"/>
    </row>
    <row r="171" spans="1:290" ht="15" customHeight="1" x14ac:dyDescent="0.2">
      <c r="A171" s="1648"/>
      <c r="B171" s="1650"/>
      <c r="KC171" s="1648"/>
      <c r="KD171" s="1649"/>
    </row>
    <row r="172" spans="1:290" ht="15" customHeight="1" x14ac:dyDescent="0.2">
      <c r="A172" s="1648"/>
      <c r="B172" s="1649"/>
      <c r="KC172" s="1648"/>
      <c r="KD172" s="1650"/>
    </row>
    <row r="173" spans="1:290" ht="15" customHeight="1" x14ac:dyDescent="0.2">
      <c r="A173" s="1648"/>
      <c r="B173" s="1650"/>
      <c r="KC173" s="1648"/>
      <c r="KD173" s="1650"/>
    </row>
    <row r="174" spans="1:290" ht="15" customHeight="1" x14ac:dyDescent="0.2">
      <c r="A174" s="1648"/>
      <c r="B174" s="1650"/>
      <c r="KC174" s="1648"/>
      <c r="KD174" s="1649"/>
    </row>
    <row r="175" spans="1:290" ht="15" customHeight="1" x14ac:dyDescent="0.2">
      <c r="A175" s="1648"/>
      <c r="B175" s="1649"/>
      <c r="KC175" s="1651"/>
      <c r="KD175" s="1650"/>
    </row>
    <row r="176" spans="1:290" ht="15" customHeight="1" x14ac:dyDescent="0.2">
      <c r="A176" s="1648"/>
      <c r="B176" s="1650"/>
      <c r="KC176" s="1648"/>
      <c r="KD176" s="1650"/>
    </row>
    <row r="177" spans="1:290" ht="15" customHeight="1" x14ac:dyDescent="0.2">
      <c r="A177" s="1648"/>
      <c r="B177" s="1650"/>
      <c r="KC177" s="1648"/>
      <c r="KD177" s="1650"/>
    </row>
    <row r="178" spans="1:290" ht="15" customHeight="1" x14ac:dyDescent="0.2">
      <c r="A178" s="1648"/>
      <c r="B178" s="1649"/>
      <c r="KC178" s="1648"/>
      <c r="KD178" s="1649"/>
    </row>
    <row r="179" spans="1:290" ht="15" customHeight="1" x14ac:dyDescent="0.2">
      <c r="A179" s="1651"/>
      <c r="B179" s="1650"/>
      <c r="KC179" s="1648"/>
      <c r="KD179" s="1650"/>
    </row>
    <row r="180" spans="1:290" ht="15" customHeight="1" x14ac:dyDescent="0.2">
      <c r="A180" s="1648"/>
      <c r="B180" s="1650"/>
      <c r="KC180" s="1648"/>
      <c r="KD180" s="1650"/>
    </row>
    <row r="181" spans="1:290" ht="15" customHeight="1" x14ac:dyDescent="0.2">
      <c r="A181" s="1648"/>
      <c r="B181" s="1650"/>
      <c r="KC181" s="1648"/>
      <c r="KD181" s="1649"/>
    </row>
    <row r="182" spans="1:290" ht="15" customHeight="1" x14ac:dyDescent="0.2">
      <c r="A182" s="1648"/>
      <c r="B182" s="1649"/>
      <c r="KC182" s="1648"/>
      <c r="KD182" s="1650"/>
    </row>
    <row r="183" spans="1:290" ht="15" customHeight="1" x14ac:dyDescent="0.2">
      <c r="A183" s="1648"/>
      <c r="B183" s="1650"/>
      <c r="KC183" s="1648"/>
      <c r="KD183" s="1650"/>
    </row>
    <row r="184" spans="1:290" ht="15" customHeight="1" x14ac:dyDescent="0.2">
      <c r="A184" s="1648"/>
      <c r="B184" s="1650"/>
      <c r="KC184" s="1648"/>
      <c r="KD184" s="1649"/>
    </row>
    <row r="185" spans="1:290" ht="15" customHeight="1" x14ac:dyDescent="0.2">
      <c r="A185" s="1648"/>
      <c r="B185" s="1649"/>
      <c r="KC185" s="1648"/>
      <c r="KD185" s="1650"/>
    </row>
    <row r="186" spans="1:290" ht="15" customHeight="1" x14ac:dyDescent="0.2">
      <c r="A186" s="1648"/>
      <c r="B186" s="1650"/>
      <c r="KC186" s="1648"/>
      <c r="KD186" s="1650"/>
    </row>
    <row r="187" spans="1:290" ht="15" customHeight="1" x14ac:dyDescent="0.2">
      <c r="A187" s="1648"/>
      <c r="B187" s="1650"/>
      <c r="KC187" s="1648"/>
      <c r="KD187" s="1649"/>
    </row>
    <row r="188" spans="1:290" ht="15" customHeight="1" x14ac:dyDescent="0.2">
      <c r="A188" s="1648"/>
      <c r="B188" s="1649"/>
      <c r="KC188" s="1651"/>
      <c r="KD188" s="1650"/>
    </row>
    <row r="189" spans="1:290" ht="15" customHeight="1" x14ac:dyDescent="0.2">
      <c r="A189" s="1648"/>
      <c r="B189" s="1650"/>
      <c r="KC189" s="1648"/>
      <c r="KD189" s="1650"/>
    </row>
    <row r="190" spans="1:290" ht="15" customHeight="1" x14ac:dyDescent="0.2">
      <c r="A190" s="1648"/>
      <c r="B190" s="1650"/>
      <c r="KC190" s="1648"/>
      <c r="KD190" s="1650"/>
    </row>
    <row r="191" spans="1:290" ht="15" customHeight="1" x14ac:dyDescent="0.2">
      <c r="A191" s="1648"/>
      <c r="B191" s="1649"/>
      <c r="KC191" s="1648"/>
      <c r="KD191" s="1649"/>
    </row>
    <row r="192" spans="1:290" ht="15" customHeight="1" x14ac:dyDescent="0.2">
      <c r="A192" s="1651"/>
      <c r="B192" s="1650"/>
      <c r="KC192" s="1648"/>
      <c r="KD192" s="1650"/>
    </row>
    <row r="193" spans="1:290" ht="15" customHeight="1" x14ac:dyDescent="0.2">
      <c r="A193" s="1648"/>
      <c r="B193" s="1650"/>
      <c r="KC193" s="1648"/>
      <c r="KD193" s="1650"/>
    </row>
    <row r="194" spans="1:290" ht="15" customHeight="1" x14ac:dyDescent="0.2">
      <c r="A194" s="1648"/>
      <c r="B194" s="1650"/>
      <c r="KC194" s="1648"/>
      <c r="KD194" s="1649"/>
    </row>
    <row r="195" spans="1:290" ht="15" customHeight="1" x14ac:dyDescent="0.2">
      <c r="A195" s="1648"/>
      <c r="B195" s="1649"/>
      <c r="KC195" s="1648"/>
      <c r="KD195" s="1650"/>
    </row>
    <row r="196" spans="1:290" ht="15" customHeight="1" x14ac:dyDescent="0.2">
      <c r="A196" s="1648"/>
      <c r="B196" s="1650"/>
      <c r="KC196" s="1648"/>
      <c r="KD196" s="1650"/>
    </row>
    <row r="197" spans="1:290" ht="15" customHeight="1" x14ac:dyDescent="0.2">
      <c r="A197" s="1648"/>
      <c r="B197" s="1650"/>
      <c r="KC197" s="1648"/>
      <c r="KD197" s="1649"/>
    </row>
    <row r="198" spans="1:290" ht="15" customHeight="1" x14ac:dyDescent="0.2">
      <c r="A198" s="1648"/>
      <c r="B198" s="1649"/>
      <c r="KC198" s="1648"/>
      <c r="KD198" s="1650"/>
    </row>
    <row r="199" spans="1:290" ht="15" customHeight="1" x14ac:dyDescent="0.2">
      <c r="A199" s="1648"/>
      <c r="B199" s="1650"/>
      <c r="KC199" s="1648"/>
      <c r="KD199" s="1650"/>
    </row>
    <row r="200" spans="1:290" ht="15" customHeight="1" x14ac:dyDescent="0.2">
      <c r="A200" s="1648"/>
      <c r="B200" s="1650"/>
      <c r="KC200" s="1648"/>
      <c r="KD200" s="1649"/>
    </row>
    <row r="201" spans="1:290" ht="15" customHeight="1" x14ac:dyDescent="0.2">
      <c r="A201" s="1648"/>
      <c r="B201" s="1649"/>
      <c r="KC201" s="1651"/>
      <c r="KD201" s="1650"/>
    </row>
    <row r="202" spans="1:290" ht="15" customHeight="1" x14ac:dyDescent="0.2">
      <c r="A202" s="1648"/>
      <c r="B202" s="1650"/>
    </row>
    <row r="203" spans="1:290" ht="15" customHeight="1" x14ac:dyDescent="0.2">
      <c r="A203" s="1648"/>
      <c r="B203" s="1650"/>
    </row>
    <row r="204" spans="1:290" ht="15" customHeight="1" x14ac:dyDescent="0.2">
      <c r="A204" s="1648"/>
      <c r="B204" s="1649"/>
    </row>
    <row r="205" spans="1:290" ht="15" customHeight="1" x14ac:dyDescent="0.2">
      <c r="A205" s="1651"/>
      <c r="B205" s="1650"/>
    </row>
  </sheetData>
  <mergeCells count="1">
    <mergeCell ref="KC4:KD4"/>
  </mergeCells>
  <conditionalFormatting sqref="A1:A44 A46:A1048576">
    <cfRule type="duplicateValues" dxfId="0" priority="1"/>
  </conditionalFormatting>
  <printOptions horizontalCentered="1" verticalCentered="1"/>
  <pageMargins left="3.937007874015748E-2" right="0" top="1.0629921259842521" bottom="0.98425196850393704" header="0" footer="0"/>
  <pageSetup paperSize="9" scale="10" orientation="landscape" horizontalDpi="4294967293" r:id="rId1"/>
  <headerFooter alignWithMargins="0"/>
  <colBreaks count="1" manualBreakCount="1">
    <brk id="235" max="39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003D-5E7F-456B-A1D5-11A563228D77}">
  <sheetPr>
    <tabColor theme="7" tint="0.59999389629810485"/>
  </sheetPr>
  <dimension ref="A1:KU45"/>
  <sheetViews>
    <sheetView showGridLines="0" view="pageBreakPreview" zoomScale="80" zoomScaleNormal="90" zoomScaleSheetLayoutView="80" workbookViewId="0">
      <pane xSplit="1" topLeftCell="JO1" activePane="topRight" state="frozen"/>
      <selection activeCell="IB59" sqref="IB59:JB59"/>
      <selection pane="topRight" activeCell="KI7" sqref="KI7"/>
    </sheetView>
  </sheetViews>
  <sheetFormatPr baseColWidth="10" defaultColWidth="9.7109375" defaultRowHeight="13.9" customHeight="1" x14ac:dyDescent="0.2"/>
  <cols>
    <col min="1" max="1" width="36.7109375" style="1" customWidth="1"/>
    <col min="2" max="286" width="9.7109375" style="1"/>
    <col min="287" max="287" width="11.140625" style="1" bestFit="1" customWidth="1"/>
    <col min="288" max="288" width="8.85546875" customWidth="1"/>
    <col min="289" max="289" width="8.7109375" customWidth="1"/>
    <col min="290" max="290" width="9.140625" customWidth="1"/>
    <col min="291" max="291" width="8.42578125" customWidth="1"/>
    <col min="292" max="292" width="9.28515625" customWidth="1"/>
    <col min="293" max="293" width="8.85546875" customWidth="1"/>
    <col min="294" max="294" width="9.5703125" customWidth="1"/>
    <col min="295" max="295" width="10" customWidth="1"/>
    <col min="296" max="296" width="9.42578125" customWidth="1"/>
    <col min="297" max="297" width="8.5703125" customWidth="1"/>
    <col min="298" max="298" width="9.85546875" customWidth="1"/>
    <col min="299" max="299" width="9.5703125" customWidth="1"/>
    <col min="300" max="300" width="10.28515625" customWidth="1"/>
    <col min="301" max="301" width="3.85546875" customWidth="1"/>
    <col min="302" max="302" width="8" style="1" customWidth="1"/>
    <col min="303" max="303" width="11.7109375" style="1" customWidth="1"/>
    <col min="304" max="304" width="11.5703125" style="1" bestFit="1" customWidth="1"/>
    <col min="305" max="305" width="11.85546875" style="1" bestFit="1" customWidth="1"/>
    <col min="306" max="306" width="9.7109375" style="1"/>
    <col min="307" max="307" width="8.7109375" style="1" customWidth="1"/>
    <col min="308" max="16384" width="9.7109375" style="1"/>
  </cols>
  <sheetData>
    <row r="1" spans="1:306" ht="13.9" customHeight="1" x14ac:dyDescent="0.2">
      <c r="A1" s="213" t="s">
        <v>289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  <c r="AX1" s="213"/>
      <c r="AY1" s="213"/>
      <c r="AZ1" s="213"/>
      <c r="BA1" s="213"/>
      <c r="BB1" s="213"/>
      <c r="BC1" s="213"/>
      <c r="BD1" s="213"/>
      <c r="BE1" s="213"/>
      <c r="BF1" s="213"/>
      <c r="BG1" s="213"/>
      <c r="BH1" s="213"/>
      <c r="BI1" s="213"/>
      <c r="BJ1" s="213"/>
      <c r="BK1" s="213"/>
      <c r="BL1" s="213"/>
      <c r="BM1" s="213"/>
      <c r="BN1" s="213"/>
      <c r="BO1" s="213"/>
      <c r="BP1" s="213"/>
      <c r="BQ1" s="213"/>
      <c r="BR1" s="213"/>
      <c r="BS1" s="213"/>
      <c r="BT1" s="213"/>
      <c r="BU1" s="213"/>
      <c r="BV1" s="213"/>
      <c r="BW1" s="213"/>
      <c r="BX1" s="213"/>
      <c r="BY1" s="213"/>
      <c r="BZ1" s="213"/>
      <c r="CA1" s="213"/>
      <c r="CB1" s="213"/>
      <c r="CC1" s="213"/>
      <c r="CD1" s="213"/>
      <c r="CE1" s="213"/>
      <c r="CF1" s="213"/>
      <c r="CG1" s="213"/>
      <c r="CH1" s="213"/>
      <c r="CI1" s="213"/>
      <c r="CJ1" s="213"/>
      <c r="CK1" s="213"/>
      <c r="CL1" s="213"/>
      <c r="CM1" s="213"/>
      <c r="CN1" s="213"/>
      <c r="CO1" s="213"/>
      <c r="CP1" s="213"/>
      <c r="CQ1" s="213"/>
      <c r="CR1" s="213"/>
      <c r="CS1" s="213"/>
      <c r="CT1" s="213"/>
      <c r="CU1" s="213"/>
      <c r="CV1" s="213"/>
      <c r="CW1" s="213"/>
      <c r="CX1" s="213"/>
      <c r="CY1" s="213"/>
      <c r="CZ1" s="213"/>
      <c r="DA1" s="213"/>
      <c r="DB1" s="213"/>
      <c r="DC1" s="213"/>
      <c r="DD1" s="213"/>
      <c r="DE1" s="213"/>
      <c r="DF1" s="213"/>
      <c r="DG1" s="213"/>
      <c r="DH1" s="213"/>
      <c r="DI1" s="213"/>
      <c r="DJ1" s="213"/>
      <c r="DK1" s="213"/>
      <c r="DL1" s="213"/>
      <c r="DM1" s="213"/>
      <c r="DN1" s="213"/>
      <c r="DO1" s="213"/>
      <c r="DP1" s="213"/>
      <c r="DQ1" s="213"/>
      <c r="DR1" s="213"/>
      <c r="DS1" s="213"/>
      <c r="DT1" s="213"/>
      <c r="DU1" s="213"/>
      <c r="DV1" s="213"/>
      <c r="DW1" s="213"/>
      <c r="DX1" s="213"/>
      <c r="DY1" s="213"/>
      <c r="DZ1" s="213"/>
      <c r="EA1" s="213"/>
      <c r="EB1" s="213"/>
      <c r="EC1" s="213"/>
      <c r="ED1" s="213"/>
      <c r="EE1" s="213"/>
      <c r="EF1" s="213"/>
      <c r="EG1" s="213"/>
      <c r="EH1" s="213"/>
      <c r="EI1" s="213"/>
      <c r="EJ1" s="213"/>
      <c r="EK1" s="213"/>
      <c r="EL1" s="213"/>
      <c r="EM1" s="213"/>
      <c r="EN1" s="213"/>
      <c r="EO1" s="213"/>
      <c r="EP1" s="213"/>
      <c r="EQ1" s="213"/>
      <c r="ER1" s="213"/>
      <c r="ES1" s="213"/>
      <c r="ET1" s="213"/>
      <c r="EU1" s="213"/>
      <c r="EV1" s="213"/>
      <c r="EW1" s="213"/>
      <c r="EX1" s="213"/>
      <c r="EY1" s="213"/>
      <c r="EZ1" s="213"/>
      <c r="FA1" s="213"/>
      <c r="FB1" s="213"/>
      <c r="FC1" s="213"/>
      <c r="FD1" s="213"/>
      <c r="FE1" s="213"/>
      <c r="FF1" s="213"/>
      <c r="FG1" s="213"/>
      <c r="FH1" s="213"/>
      <c r="FI1" s="213"/>
      <c r="FJ1" s="213"/>
      <c r="FK1" s="213"/>
      <c r="FL1" s="213"/>
      <c r="FM1" s="213"/>
      <c r="FN1" s="213"/>
      <c r="FO1" s="213"/>
      <c r="FP1" s="213"/>
      <c r="FQ1" s="213"/>
      <c r="FR1" s="213"/>
      <c r="FS1" s="213"/>
      <c r="FT1" s="213"/>
      <c r="FU1" s="213"/>
      <c r="FV1" s="213"/>
      <c r="FW1" s="213"/>
      <c r="FX1" s="213"/>
      <c r="FY1" s="213"/>
      <c r="FZ1" s="213"/>
      <c r="GA1" s="213"/>
      <c r="GB1" s="213"/>
      <c r="GC1" s="213"/>
      <c r="GD1" s="213"/>
      <c r="GE1" s="213"/>
      <c r="GF1" s="213"/>
      <c r="GG1" s="213"/>
      <c r="GH1" s="213"/>
      <c r="GI1" s="213"/>
      <c r="GJ1" s="213"/>
      <c r="GK1" s="213"/>
      <c r="GL1" s="213"/>
      <c r="GM1" s="213"/>
      <c r="GN1" s="213"/>
      <c r="GO1" s="213"/>
      <c r="GP1" s="213"/>
      <c r="GQ1" s="213"/>
      <c r="GR1" s="213"/>
      <c r="GS1" s="213"/>
      <c r="GT1" s="213"/>
      <c r="GU1" s="213"/>
      <c r="GV1" s="213"/>
      <c r="GW1" s="213"/>
      <c r="GX1" s="213"/>
      <c r="GY1" s="213"/>
      <c r="GZ1" s="213"/>
      <c r="HA1" s="213"/>
      <c r="HB1" s="213"/>
      <c r="HC1" s="213"/>
      <c r="HD1" s="213"/>
      <c r="HE1" s="213"/>
      <c r="HF1" s="213"/>
      <c r="HG1" s="213"/>
      <c r="HH1" s="213"/>
      <c r="HI1" s="213"/>
      <c r="HJ1" s="213"/>
    </row>
    <row r="2" spans="1:306" ht="13.9" customHeight="1" x14ac:dyDescent="0.2">
      <c r="A2" s="213" t="s">
        <v>445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3"/>
      <c r="AT2" s="213"/>
      <c r="AU2" s="213"/>
      <c r="AV2" s="213"/>
      <c r="AW2" s="213"/>
      <c r="AX2" s="213"/>
      <c r="AY2" s="213"/>
      <c r="AZ2" s="213"/>
      <c r="BA2" s="213"/>
      <c r="BB2" s="213"/>
      <c r="BC2" s="213"/>
      <c r="BD2" s="213"/>
      <c r="BE2" s="213"/>
      <c r="BF2" s="213"/>
      <c r="BG2" s="213"/>
      <c r="BH2" s="213"/>
      <c r="BI2" s="213"/>
      <c r="BJ2" s="213"/>
      <c r="BK2" s="213"/>
      <c r="BL2" s="213"/>
      <c r="BM2" s="213"/>
      <c r="BN2" s="213"/>
      <c r="BO2" s="213"/>
      <c r="BP2" s="213"/>
      <c r="BQ2" s="213"/>
      <c r="BR2" s="213"/>
      <c r="BS2" s="213"/>
      <c r="BT2" s="213"/>
      <c r="BU2" s="213"/>
      <c r="BV2" s="213"/>
      <c r="BW2" s="213"/>
      <c r="BX2" s="213"/>
      <c r="BY2" s="213"/>
      <c r="BZ2" s="213"/>
      <c r="CA2" s="213"/>
      <c r="CB2" s="213"/>
      <c r="CC2" s="213"/>
      <c r="CD2" s="213"/>
      <c r="CE2" s="213"/>
      <c r="CF2" s="213"/>
      <c r="CG2" s="213"/>
      <c r="CH2" s="213"/>
      <c r="CI2" s="213"/>
      <c r="CJ2" s="213"/>
      <c r="CK2" s="213"/>
      <c r="CL2" s="213"/>
      <c r="CM2" s="213"/>
      <c r="CN2" s="213"/>
      <c r="CO2" s="213"/>
      <c r="CP2" s="213"/>
      <c r="CQ2" s="213"/>
      <c r="CR2" s="213"/>
      <c r="CS2" s="213"/>
      <c r="CT2" s="213"/>
      <c r="CU2" s="213"/>
      <c r="CV2" s="213"/>
      <c r="CW2" s="213"/>
      <c r="CX2" s="213"/>
      <c r="CY2" s="213"/>
      <c r="CZ2" s="213"/>
      <c r="DA2" s="213"/>
      <c r="DB2" s="213"/>
      <c r="DC2" s="213"/>
      <c r="DD2" s="213"/>
      <c r="DE2" s="213"/>
      <c r="DF2" s="213"/>
      <c r="DG2" s="213"/>
      <c r="DH2" s="213"/>
      <c r="DI2" s="213"/>
      <c r="DJ2" s="213"/>
      <c r="DK2" s="213"/>
      <c r="DL2" s="213"/>
      <c r="DM2" s="213"/>
      <c r="DN2" s="213"/>
      <c r="DO2" s="213"/>
      <c r="DP2" s="213"/>
      <c r="DQ2" s="213"/>
      <c r="DR2" s="213"/>
      <c r="DS2" s="213"/>
      <c r="DT2" s="213"/>
      <c r="DU2" s="213"/>
      <c r="DV2" s="213"/>
      <c r="DW2" s="213"/>
      <c r="DX2" s="213"/>
      <c r="DY2" s="213"/>
      <c r="DZ2" s="213"/>
      <c r="EA2" s="213"/>
      <c r="EB2" s="213"/>
      <c r="EC2" s="213"/>
      <c r="ED2" s="213"/>
      <c r="EE2" s="213"/>
      <c r="EF2" s="213"/>
      <c r="EG2" s="213"/>
      <c r="EH2" s="213"/>
      <c r="EI2" s="213"/>
      <c r="EJ2" s="213"/>
      <c r="EK2" s="213"/>
      <c r="EL2" s="213"/>
      <c r="EM2" s="213"/>
      <c r="EN2" s="213"/>
      <c r="EO2" s="213"/>
      <c r="EP2" s="213"/>
      <c r="EQ2" s="213"/>
      <c r="ER2" s="213"/>
      <c r="ES2" s="213"/>
      <c r="ET2" s="213"/>
      <c r="EU2" s="213"/>
      <c r="EV2" s="213"/>
      <c r="EW2" s="213"/>
      <c r="EX2" s="213"/>
      <c r="EY2" s="213"/>
      <c r="EZ2" s="213"/>
      <c r="FA2" s="213"/>
      <c r="FB2" s="213"/>
      <c r="FC2" s="213"/>
      <c r="FD2" s="213"/>
      <c r="FE2" s="213"/>
      <c r="FF2" s="213"/>
      <c r="FG2" s="213"/>
      <c r="FH2" s="213"/>
      <c r="FI2" s="213"/>
      <c r="FJ2" s="213"/>
      <c r="FK2" s="213"/>
      <c r="FL2" s="213"/>
      <c r="FM2" s="213"/>
      <c r="FN2" s="213"/>
      <c r="FO2" s="213"/>
      <c r="FP2" s="213"/>
      <c r="FQ2" s="213"/>
      <c r="FR2" s="213"/>
      <c r="FS2" s="213"/>
      <c r="FT2" s="213"/>
      <c r="FU2" s="213"/>
      <c r="FV2" s="213"/>
      <c r="FW2" s="213"/>
      <c r="FX2" s="213"/>
      <c r="FY2" s="213"/>
      <c r="FZ2" s="213"/>
      <c r="GA2" s="213"/>
      <c r="GB2" s="213"/>
      <c r="GC2" s="213"/>
      <c r="GD2" s="213"/>
      <c r="GE2" s="213"/>
      <c r="GF2" s="213"/>
      <c r="GG2" s="213"/>
      <c r="GH2" s="213"/>
      <c r="GI2" s="213"/>
      <c r="GJ2" s="213"/>
      <c r="GK2" s="213"/>
      <c r="GL2" s="213"/>
      <c r="GM2" s="213"/>
      <c r="GN2" s="213"/>
      <c r="GO2" s="213"/>
      <c r="GP2" s="213"/>
      <c r="GQ2" s="213"/>
      <c r="GR2" s="213"/>
      <c r="GS2" s="213"/>
      <c r="GT2" s="213"/>
      <c r="GU2" s="213"/>
      <c r="GV2" s="213"/>
      <c r="GW2" s="213"/>
      <c r="GX2" s="213"/>
      <c r="GY2" s="213"/>
      <c r="GZ2" s="213"/>
      <c r="HA2" s="213"/>
      <c r="HB2" s="213"/>
      <c r="HC2" s="213"/>
      <c r="HD2" s="213"/>
      <c r="HE2" s="213"/>
      <c r="HF2" s="213"/>
      <c r="HG2" s="213"/>
      <c r="HH2" s="213"/>
      <c r="HI2" s="213"/>
      <c r="HJ2" s="213"/>
    </row>
    <row r="3" spans="1:306" ht="13.9" customHeight="1" x14ac:dyDescent="0.2">
      <c r="A3" s="213" t="s">
        <v>383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4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3"/>
      <c r="AT3" s="213"/>
      <c r="AU3" s="213"/>
      <c r="AV3" s="213"/>
      <c r="AW3" s="213"/>
      <c r="AX3" s="213"/>
      <c r="AY3" s="213"/>
      <c r="AZ3" s="213"/>
      <c r="BA3" s="213"/>
      <c r="BB3" s="213"/>
      <c r="BC3" s="213"/>
      <c r="BD3" s="213"/>
      <c r="BE3" s="213"/>
      <c r="BF3" s="213"/>
      <c r="BG3" s="213"/>
      <c r="BH3" s="213"/>
      <c r="BI3" s="213"/>
      <c r="BJ3" s="213"/>
      <c r="BK3" s="213"/>
      <c r="BL3" s="213"/>
      <c r="BM3" s="213"/>
      <c r="BN3" s="213"/>
      <c r="BO3" s="213"/>
      <c r="BP3" s="213"/>
      <c r="BQ3" s="213"/>
      <c r="BR3" s="213"/>
      <c r="BS3" s="213"/>
      <c r="BT3" s="213"/>
      <c r="BU3" s="213"/>
      <c r="BV3" s="213"/>
      <c r="BW3" s="213"/>
      <c r="BX3" s="213"/>
      <c r="BY3" s="213"/>
      <c r="BZ3" s="213"/>
      <c r="CA3" s="213"/>
      <c r="CB3" s="214"/>
      <c r="CC3" s="214"/>
      <c r="CD3" s="214"/>
      <c r="CE3" s="214"/>
      <c r="CF3" s="213"/>
      <c r="CG3" s="213"/>
      <c r="CH3" s="213"/>
      <c r="CI3" s="214"/>
      <c r="CJ3" s="213"/>
      <c r="CK3" s="213"/>
      <c r="CL3" s="213"/>
      <c r="CM3" s="213"/>
      <c r="CN3" s="213"/>
      <c r="CO3" s="213"/>
      <c r="CP3" s="213"/>
      <c r="CQ3" s="213"/>
      <c r="CR3" s="213"/>
      <c r="CS3" s="213"/>
      <c r="CT3" s="213"/>
      <c r="CU3" s="213"/>
      <c r="CV3" s="213"/>
      <c r="CW3" s="213"/>
      <c r="CX3" s="213"/>
      <c r="CY3" s="213"/>
      <c r="CZ3" s="213"/>
      <c r="DA3" s="213"/>
      <c r="DB3" s="213"/>
      <c r="DC3" s="213"/>
      <c r="DD3" s="213"/>
      <c r="DE3" s="213"/>
      <c r="DF3" s="213"/>
      <c r="DG3" s="213"/>
      <c r="DH3" s="213"/>
      <c r="DI3" s="213"/>
      <c r="DJ3" s="213"/>
      <c r="DK3" s="213"/>
      <c r="DL3" s="213"/>
      <c r="DM3" s="213"/>
      <c r="DN3" s="213"/>
      <c r="DO3" s="213"/>
      <c r="DP3" s="213"/>
      <c r="DQ3" s="213"/>
      <c r="DR3" s="213"/>
      <c r="DS3" s="213"/>
      <c r="DT3" s="213"/>
      <c r="DU3" s="213"/>
      <c r="DV3" s="213"/>
      <c r="DW3" s="213"/>
      <c r="DX3" s="213"/>
      <c r="DY3" s="213"/>
      <c r="DZ3" s="213"/>
      <c r="EA3" s="213"/>
      <c r="EB3" s="213"/>
      <c r="EC3" s="213"/>
      <c r="ED3" s="213"/>
      <c r="EE3" s="213"/>
      <c r="EF3" s="213"/>
      <c r="EG3" s="213"/>
      <c r="EH3" s="213"/>
      <c r="EI3" s="213"/>
      <c r="EJ3" s="213"/>
      <c r="EK3" s="213"/>
      <c r="EL3" s="213"/>
      <c r="EM3" s="213"/>
      <c r="EN3" s="213"/>
      <c r="EO3" s="213"/>
      <c r="EP3" s="213"/>
      <c r="EQ3" s="213"/>
      <c r="ER3" s="213"/>
      <c r="ES3" s="213"/>
      <c r="ET3" s="213"/>
      <c r="EU3" s="213"/>
      <c r="EV3" s="213"/>
      <c r="EW3" s="213"/>
      <c r="EX3" s="213"/>
      <c r="EY3" s="213"/>
      <c r="EZ3" s="213"/>
      <c r="FA3" s="213"/>
      <c r="FB3" s="213"/>
      <c r="FC3" s="213"/>
      <c r="FD3" s="213"/>
      <c r="FE3" s="213"/>
      <c r="FF3" s="213"/>
      <c r="FG3" s="213"/>
      <c r="FH3" s="213"/>
      <c r="FI3" s="213"/>
      <c r="FJ3" s="213"/>
      <c r="FK3" s="213"/>
      <c r="FL3" s="213"/>
      <c r="FM3" s="213"/>
      <c r="FN3" s="213"/>
      <c r="FO3" s="213"/>
      <c r="FP3" s="213"/>
      <c r="FQ3" s="213"/>
      <c r="FR3" s="213"/>
      <c r="FS3" s="213"/>
      <c r="FT3" s="213"/>
      <c r="FU3" s="213"/>
      <c r="FV3" s="213"/>
      <c r="FW3" s="213"/>
      <c r="FX3" s="213"/>
      <c r="FY3" s="213"/>
      <c r="FZ3" s="213"/>
      <c r="GA3" s="213"/>
      <c r="GB3" s="213"/>
      <c r="GC3" s="213"/>
      <c r="GD3" s="213"/>
      <c r="GE3" s="213"/>
      <c r="GF3" s="213"/>
      <c r="GG3" s="213"/>
      <c r="GH3" s="213"/>
      <c r="GI3" s="213"/>
      <c r="GJ3" s="213"/>
      <c r="GK3" s="213"/>
      <c r="GL3" s="213"/>
      <c r="GM3" s="213"/>
      <c r="GN3" s="213"/>
      <c r="GO3" s="213"/>
      <c r="GP3" s="213"/>
      <c r="GQ3" s="213"/>
      <c r="GR3" s="213"/>
      <c r="GS3" s="213"/>
      <c r="GT3" s="213"/>
      <c r="GU3" s="213"/>
      <c r="GV3" s="213"/>
      <c r="GW3" s="213"/>
      <c r="GX3" s="213"/>
      <c r="GY3" s="213"/>
      <c r="GZ3" s="213"/>
      <c r="HA3" s="213"/>
      <c r="HB3" s="274"/>
      <c r="HC3" s="274"/>
      <c r="HD3" s="274"/>
      <c r="HE3" s="274"/>
      <c r="HF3" s="274"/>
      <c r="HG3" s="274"/>
      <c r="HH3" s="274"/>
      <c r="HI3" s="274"/>
      <c r="HJ3" s="274"/>
      <c r="HK3" s="213"/>
      <c r="HL3" s="2"/>
      <c r="HM3" s="189"/>
    </row>
    <row r="4" spans="1:306" ht="13.9" customHeight="1" x14ac:dyDescent="0.2">
      <c r="A4" s="6" t="s">
        <v>352</v>
      </c>
      <c r="B4" s="39">
        <f>YEAR(B5)</f>
        <v>2004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103" t="s">
        <v>29</v>
      </c>
      <c r="O4" s="39">
        <f>YEAR(O5)</f>
        <v>2005</v>
      </c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03" t="s">
        <v>29</v>
      </c>
      <c r="AB4" s="39">
        <f>YEAR(AB5)</f>
        <v>2006</v>
      </c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103" t="s">
        <v>29</v>
      </c>
      <c r="AO4" s="39">
        <f>YEAR(AO5)</f>
        <v>2007</v>
      </c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103" t="s">
        <v>29</v>
      </c>
      <c r="BB4" s="39">
        <f>YEAR(BB5)</f>
        <v>2008</v>
      </c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103" t="s">
        <v>29</v>
      </c>
      <c r="BO4" s="39">
        <f>YEAR(BO5)</f>
        <v>2009</v>
      </c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103" t="s">
        <v>29</v>
      </c>
      <c r="CB4" s="39">
        <f>YEAR(CB5)</f>
        <v>2010</v>
      </c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103" t="s">
        <v>29</v>
      </c>
      <c r="CO4" s="39">
        <f>YEAR(CO5)</f>
        <v>2011</v>
      </c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103" t="s">
        <v>29</v>
      </c>
      <c r="DB4" s="39">
        <f>YEAR(DB5)</f>
        <v>2012</v>
      </c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103" t="s">
        <v>29</v>
      </c>
      <c r="DO4" s="39">
        <f>YEAR(DO5)</f>
        <v>2013</v>
      </c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103" t="s">
        <v>29</v>
      </c>
      <c r="EB4" s="39">
        <f>YEAR(EB5)</f>
        <v>2014</v>
      </c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103" t="s">
        <v>29</v>
      </c>
      <c r="EO4" s="39">
        <f>YEAR(EO5)</f>
        <v>2015</v>
      </c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103" t="s">
        <v>29</v>
      </c>
      <c r="FB4" s="39">
        <f>YEAR(FB5)</f>
        <v>2016</v>
      </c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103" t="s">
        <v>29</v>
      </c>
      <c r="FO4" s="39">
        <f>YEAR(FO5)</f>
        <v>2017</v>
      </c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103" t="s">
        <v>29</v>
      </c>
      <c r="GB4" s="39">
        <f>YEAR(GB5)</f>
        <v>2018</v>
      </c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103" t="s">
        <v>29</v>
      </c>
      <c r="GO4" s="39">
        <f>YEAR(GO5)</f>
        <v>2019</v>
      </c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103" t="s">
        <v>29</v>
      </c>
      <c r="HB4" s="39">
        <f>YEAR(HB5)</f>
        <v>2020</v>
      </c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103" t="s">
        <v>29</v>
      </c>
      <c r="HO4" s="39">
        <f>YEAR(HO5)</f>
        <v>2021</v>
      </c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103" t="s">
        <v>29</v>
      </c>
      <c r="IB4" s="39">
        <f>YEAR(IB5)</f>
        <v>2022</v>
      </c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103" t="s">
        <v>29</v>
      </c>
      <c r="IO4" s="39">
        <f>YEAR(IO5)</f>
        <v>2023</v>
      </c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103" t="s">
        <v>29</v>
      </c>
      <c r="JB4" s="39">
        <f>YEAR(JB5)</f>
        <v>2024</v>
      </c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103" t="s">
        <v>29</v>
      </c>
      <c r="JO4" s="39">
        <f>YEAR(JO5)</f>
        <v>2025</v>
      </c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103" t="s">
        <v>29</v>
      </c>
      <c r="KB4" s="1689">
        <v>2026</v>
      </c>
      <c r="KC4" s="1690"/>
      <c r="KD4" s="1690"/>
      <c r="KE4" s="1690"/>
      <c r="KF4" s="1690"/>
      <c r="KG4" s="1690"/>
      <c r="KH4" s="1690"/>
      <c r="KI4" s="1690"/>
      <c r="KJ4" s="1690"/>
      <c r="KK4" s="1690"/>
      <c r="KL4" s="1690"/>
      <c r="KM4" s="1691"/>
      <c r="KN4" s="1320" t="s">
        <v>29</v>
      </c>
      <c r="KP4" s="1683" t="str">
        <f>CONCATENATE("Var.% ",KS4,"/",KS4-1)</f>
        <v>Var.% 2026/2025</v>
      </c>
      <c r="KQ4" s="1684"/>
      <c r="KR4" s="41">
        <f>KS4-1</f>
        <v>2025</v>
      </c>
      <c r="KS4" s="41">
        <f>KN5</f>
        <v>2026</v>
      </c>
      <c r="KT4" s="223"/>
    </row>
    <row r="5" spans="1:306" ht="13.9" customHeight="1" x14ac:dyDescent="0.2">
      <c r="A5" s="37" t="s">
        <v>352</v>
      </c>
      <c r="B5" s="68">
        <v>37987</v>
      </c>
      <c r="C5" s="69">
        <v>38018</v>
      </c>
      <c r="D5" s="69">
        <v>38047</v>
      </c>
      <c r="E5" s="69">
        <v>38078</v>
      </c>
      <c r="F5" s="69">
        <v>38108</v>
      </c>
      <c r="G5" s="69">
        <v>38139</v>
      </c>
      <c r="H5" s="69">
        <v>38169</v>
      </c>
      <c r="I5" s="69">
        <v>38200</v>
      </c>
      <c r="J5" s="69">
        <v>38231</v>
      </c>
      <c r="K5" s="69">
        <v>38261</v>
      </c>
      <c r="L5" s="69">
        <v>38292</v>
      </c>
      <c r="M5" s="69">
        <v>38322</v>
      </c>
      <c r="N5" s="70">
        <f>YEAR(M5)</f>
        <v>2004</v>
      </c>
      <c r="O5" s="68">
        <v>38353</v>
      </c>
      <c r="P5" s="69">
        <v>38384</v>
      </c>
      <c r="Q5" s="69">
        <v>38412</v>
      </c>
      <c r="R5" s="69">
        <v>38443</v>
      </c>
      <c r="S5" s="69">
        <v>38473</v>
      </c>
      <c r="T5" s="69">
        <v>38504</v>
      </c>
      <c r="U5" s="69">
        <v>38534</v>
      </c>
      <c r="V5" s="69">
        <v>38565</v>
      </c>
      <c r="W5" s="69">
        <v>38596</v>
      </c>
      <c r="X5" s="69">
        <v>38626</v>
      </c>
      <c r="Y5" s="69">
        <v>38657</v>
      </c>
      <c r="Z5" s="69">
        <v>38687</v>
      </c>
      <c r="AA5" s="70">
        <f>YEAR(Z5)</f>
        <v>2005</v>
      </c>
      <c r="AB5" s="68">
        <v>38718</v>
      </c>
      <c r="AC5" s="69">
        <v>38749</v>
      </c>
      <c r="AD5" s="69">
        <v>38777</v>
      </c>
      <c r="AE5" s="69">
        <v>38808</v>
      </c>
      <c r="AF5" s="69">
        <v>38838</v>
      </c>
      <c r="AG5" s="69">
        <v>38869</v>
      </c>
      <c r="AH5" s="69">
        <v>38899</v>
      </c>
      <c r="AI5" s="69">
        <v>38930</v>
      </c>
      <c r="AJ5" s="69">
        <v>38961</v>
      </c>
      <c r="AK5" s="69">
        <v>38991</v>
      </c>
      <c r="AL5" s="69">
        <v>39022</v>
      </c>
      <c r="AM5" s="69">
        <v>39052</v>
      </c>
      <c r="AN5" s="70">
        <f>YEAR(AM5)</f>
        <v>2006</v>
      </c>
      <c r="AO5" s="68">
        <v>39083</v>
      </c>
      <c r="AP5" s="69">
        <v>39114</v>
      </c>
      <c r="AQ5" s="69">
        <v>39142</v>
      </c>
      <c r="AR5" s="69">
        <v>39173</v>
      </c>
      <c r="AS5" s="69">
        <v>39203</v>
      </c>
      <c r="AT5" s="69">
        <v>39234</v>
      </c>
      <c r="AU5" s="69">
        <v>39264</v>
      </c>
      <c r="AV5" s="69">
        <v>39295</v>
      </c>
      <c r="AW5" s="69">
        <v>39326</v>
      </c>
      <c r="AX5" s="69">
        <v>39356</v>
      </c>
      <c r="AY5" s="69">
        <v>39387</v>
      </c>
      <c r="AZ5" s="69">
        <v>39417</v>
      </c>
      <c r="BA5" s="70">
        <f>YEAR(AZ5)</f>
        <v>2007</v>
      </c>
      <c r="BB5" s="68">
        <v>39448</v>
      </c>
      <c r="BC5" s="69">
        <v>39479</v>
      </c>
      <c r="BD5" s="69">
        <v>39508</v>
      </c>
      <c r="BE5" s="69">
        <v>39539</v>
      </c>
      <c r="BF5" s="69">
        <v>39569</v>
      </c>
      <c r="BG5" s="69">
        <v>39600</v>
      </c>
      <c r="BH5" s="69">
        <v>39630</v>
      </c>
      <c r="BI5" s="69">
        <v>39661</v>
      </c>
      <c r="BJ5" s="69">
        <v>39692</v>
      </c>
      <c r="BK5" s="69">
        <v>39722</v>
      </c>
      <c r="BL5" s="69">
        <v>39753</v>
      </c>
      <c r="BM5" s="69">
        <v>39783</v>
      </c>
      <c r="BN5" s="70">
        <f>YEAR(BM5)</f>
        <v>2008</v>
      </c>
      <c r="BO5" s="68">
        <v>39814</v>
      </c>
      <c r="BP5" s="69">
        <v>39845</v>
      </c>
      <c r="BQ5" s="69">
        <v>39873</v>
      </c>
      <c r="BR5" s="69">
        <v>39904</v>
      </c>
      <c r="BS5" s="69">
        <v>39934</v>
      </c>
      <c r="BT5" s="69">
        <v>39965</v>
      </c>
      <c r="BU5" s="69">
        <v>39995</v>
      </c>
      <c r="BV5" s="69">
        <v>40026</v>
      </c>
      <c r="BW5" s="69">
        <v>40057</v>
      </c>
      <c r="BX5" s="69">
        <v>40087</v>
      </c>
      <c r="BY5" s="69">
        <v>40118</v>
      </c>
      <c r="BZ5" s="69">
        <v>40148</v>
      </c>
      <c r="CA5" s="70">
        <f>YEAR(BZ5)</f>
        <v>2009</v>
      </c>
      <c r="CB5" s="68">
        <v>40179</v>
      </c>
      <c r="CC5" s="69">
        <v>40210</v>
      </c>
      <c r="CD5" s="69">
        <v>40238</v>
      </c>
      <c r="CE5" s="69">
        <v>40269</v>
      </c>
      <c r="CF5" s="69">
        <v>40299</v>
      </c>
      <c r="CG5" s="69">
        <v>40330</v>
      </c>
      <c r="CH5" s="69">
        <v>40360</v>
      </c>
      <c r="CI5" s="69">
        <v>40391</v>
      </c>
      <c r="CJ5" s="69">
        <v>40422</v>
      </c>
      <c r="CK5" s="69">
        <v>40452</v>
      </c>
      <c r="CL5" s="69">
        <v>40483</v>
      </c>
      <c r="CM5" s="69">
        <v>40513</v>
      </c>
      <c r="CN5" s="70">
        <f>YEAR(CM5)</f>
        <v>2010</v>
      </c>
      <c r="CO5" s="68">
        <v>40544</v>
      </c>
      <c r="CP5" s="69">
        <v>40575</v>
      </c>
      <c r="CQ5" s="69">
        <v>40603</v>
      </c>
      <c r="CR5" s="69">
        <v>40634</v>
      </c>
      <c r="CS5" s="69">
        <v>40664</v>
      </c>
      <c r="CT5" s="69">
        <v>40695</v>
      </c>
      <c r="CU5" s="69">
        <v>40725</v>
      </c>
      <c r="CV5" s="69">
        <v>40756</v>
      </c>
      <c r="CW5" s="69">
        <v>40787</v>
      </c>
      <c r="CX5" s="69">
        <v>40817</v>
      </c>
      <c r="CY5" s="69">
        <v>40848</v>
      </c>
      <c r="CZ5" s="69">
        <v>40878</v>
      </c>
      <c r="DA5" s="70">
        <f>YEAR(CZ5)</f>
        <v>2011</v>
      </c>
      <c r="DB5" s="68">
        <v>40909</v>
      </c>
      <c r="DC5" s="69">
        <v>40940</v>
      </c>
      <c r="DD5" s="69">
        <v>40969</v>
      </c>
      <c r="DE5" s="69">
        <v>41000</v>
      </c>
      <c r="DF5" s="69">
        <v>41030</v>
      </c>
      <c r="DG5" s="69">
        <v>41061</v>
      </c>
      <c r="DH5" s="69">
        <v>41091</v>
      </c>
      <c r="DI5" s="69">
        <v>41122</v>
      </c>
      <c r="DJ5" s="69">
        <v>41153</v>
      </c>
      <c r="DK5" s="69">
        <v>41183</v>
      </c>
      <c r="DL5" s="69">
        <v>41214</v>
      </c>
      <c r="DM5" s="69">
        <v>41244</v>
      </c>
      <c r="DN5" s="70">
        <f>YEAR(DM5)</f>
        <v>2012</v>
      </c>
      <c r="DO5" s="68">
        <v>41275</v>
      </c>
      <c r="DP5" s="69">
        <v>41306</v>
      </c>
      <c r="DQ5" s="69">
        <v>41334</v>
      </c>
      <c r="DR5" s="69">
        <v>41365</v>
      </c>
      <c r="DS5" s="69">
        <v>41395</v>
      </c>
      <c r="DT5" s="69">
        <v>41426</v>
      </c>
      <c r="DU5" s="69">
        <v>41456</v>
      </c>
      <c r="DV5" s="69">
        <v>41487</v>
      </c>
      <c r="DW5" s="69">
        <v>41518</v>
      </c>
      <c r="DX5" s="69">
        <v>41548</v>
      </c>
      <c r="DY5" s="69">
        <v>41579</v>
      </c>
      <c r="DZ5" s="69">
        <v>41609</v>
      </c>
      <c r="EA5" s="70">
        <f>YEAR(DZ5)</f>
        <v>2013</v>
      </c>
      <c r="EB5" s="68">
        <v>41640</v>
      </c>
      <c r="EC5" s="69">
        <v>41671</v>
      </c>
      <c r="ED5" s="69">
        <v>41699</v>
      </c>
      <c r="EE5" s="69">
        <v>41730</v>
      </c>
      <c r="EF5" s="69">
        <v>41760</v>
      </c>
      <c r="EG5" s="69">
        <v>41791</v>
      </c>
      <c r="EH5" s="69">
        <v>41821</v>
      </c>
      <c r="EI5" s="69">
        <v>41852</v>
      </c>
      <c r="EJ5" s="69">
        <v>41883</v>
      </c>
      <c r="EK5" s="69">
        <v>41913</v>
      </c>
      <c r="EL5" s="69">
        <v>41944</v>
      </c>
      <c r="EM5" s="69">
        <v>41974</v>
      </c>
      <c r="EN5" s="70">
        <f>YEAR(EM5)</f>
        <v>2014</v>
      </c>
      <c r="EO5" s="68">
        <v>42005</v>
      </c>
      <c r="EP5" s="69">
        <v>42036</v>
      </c>
      <c r="EQ5" s="69">
        <v>42064</v>
      </c>
      <c r="ER5" s="69">
        <v>42095</v>
      </c>
      <c r="ES5" s="69">
        <v>42125</v>
      </c>
      <c r="ET5" s="69">
        <v>42156</v>
      </c>
      <c r="EU5" s="69">
        <v>42186</v>
      </c>
      <c r="EV5" s="69">
        <v>42217</v>
      </c>
      <c r="EW5" s="69">
        <v>42248</v>
      </c>
      <c r="EX5" s="69">
        <v>42278</v>
      </c>
      <c r="EY5" s="69">
        <v>42309</v>
      </c>
      <c r="EZ5" s="69">
        <v>42339</v>
      </c>
      <c r="FA5" s="70">
        <f>YEAR(EZ5)</f>
        <v>2015</v>
      </c>
      <c r="FB5" s="68">
        <v>42370</v>
      </c>
      <c r="FC5" s="69">
        <v>42401</v>
      </c>
      <c r="FD5" s="69">
        <v>42430</v>
      </c>
      <c r="FE5" s="69">
        <v>42461</v>
      </c>
      <c r="FF5" s="69">
        <v>42491</v>
      </c>
      <c r="FG5" s="69">
        <v>42522</v>
      </c>
      <c r="FH5" s="69">
        <v>42552</v>
      </c>
      <c r="FI5" s="69">
        <v>42583</v>
      </c>
      <c r="FJ5" s="69">
        <v>42614</v>
      </c>
      <c r="FK5" s="69">
        <v>42644</v>
      </c>
      <c r="FL5" s="69">
        <v>42675</v>
      </c>
      <c r="FM5" s="69">
        <v>42705</v>
      </c>
      <c r="FN5" s="70">
        <f>YEAR(FM5)</f>
        <v>2016</v>
      </c>
      <c r="FO5" s="68">
        <v>42736</v>
      </c>
      <c r="FP5" s="69">
        <v>42767</v>
      </c>
      <c r="FQ5" s="69">
        <v>42795</v>
      </c>
      <c r="FR5" s="69">
        <v>42826</v>
      </c>
      <c r="FS5" s="69">
        <v>42856</v>
      </c>
      <c r="FT5" s="69">
        <v>42887</v>
      </c>
      <c r="FU5" s="69">
        <v>42917</v>
      </c>
      <c r="FV5" s="69">
        <v>42948</v>
      </c>
      <c r="FW5" s="69">
        <v>42979</v>
      </c>
      <c r="FX5" s="69">
        <v>43009</v>
      </c>
      <c r="FY5" s="69">
        <v>43040</v>
      </c>
      <c r="FZ5" s="69">
        <v>43070</v>
      </c>
      <c r="GA5" s="70">
        <f>YEAR(FZ5)</f>
        <v>2017</v>
      </c>
      <c r="GB5" s="68">
        <v>43101</v>
      </c>
      <c r="GC5" s="69">
        <v>43132</v>
      </c>
      <c r="GD5" s="69">
        <v>43160</v>
      </c>
      <c r="GE5" s="69">
        <v>43191</v>
      </c>
      <c r="GF5" s="69">
        <v>43221</v>
      </c>
      <c r="GG5" s="69">
        <v>43252</v>
      </c>
      <c r="GH5" s="69">
        <v>43282</v>
      </c>
      <c r="GI5" s="69">
        <v>43313</v>
      </c>
      <c r="GJ5" s="69">
        <v>43344</v>
      </c>
      <c r="GK5" s="69">
        <v>43374</v>
      </c>
      <c r="GL5" s="69">
        <v>43405</v>
      </c>
      <c r="GM5" s="69">
        <v>43435</v>
      </c>
      <c r="GN5" s="70">
        <f>YEAR(GM5)</f>
        <v>2018</v>
      </c>
      <c r="GO5" s="68">
        <v>43466</v>
      </c>
      <c r="GP5" s="69">
        <v>43497</v>
      </c>
      <c r="GQ5" s="69">
        <v>43525</v>
      </c>
      <c r="GR5" s="69">
        <v>43556</v>
      </c>
      <c r="GS5" s="69">
        <v>43586</v>
      </c>
      <c r="GT5" s="69">
        <v>43617</v>
      </c>
      <c r="GU5" s="69">
        <v>43647</v>
      </c>
      <c r="GV5" s="69">
        <v>43678</v>
      </c>
      <c r="GW5" s="69">
        <v>43709</v>
      </c>
      <c r="GX5" s="69">
        <v>43739</v>
      </c>
      <c r="GY5" s="69">
        <v>43770</v>
      </c>
      <c r="GZ5" s="69">
        <v>43800</v>
      </c>
      <c r="HA5" s="70">
        <f>YEAR(GZ5)</f>
        <v>2019</v>
      </c>
      <c r="HB5" s="68">
        <v>43831</v>
      </c>
      <c r="HC5" s="69">
        <v>43862</v>
      </c>
      <c r="HD5" s="69">
        <v>43891</v>
      </c>
      <c r="HE5" s="69">
        <v>43922</v>
      </c>
      <c r="HF5" s="69">
        <v>43952</v>
      </c>
      <c r="HG5" s="69">
        <v>43983</v>
      </c>
      <c r="HH5" s="69">
        <v>44013</v>
      </c>
      <c r="HI5" s="69">
        <v>44044</v>
      </c>
      <c r="HJ5" s="69">
        <v>44075</v>
      </c>
      <c r="HK5" s="69">
        <v>44105</v>
      </c>
      <c r="HL5" s="69">
        <v>44136</v>
      </c>
      <c r="HM5" s="69">
        <v>44166</v>
      </c>
      <c r="HN5" s="70">
        <f>YEAR(HM5)</f>
        <v>2020</v>
      </c>
      <c r="HO5" s="68">
        <v>44197</v>
      </c>
      <c r="HP5" s="69">
        <v>44228</v>
      </c>
      <c r="HQ5" s="69">
        <v>44256</v>
      </c>
      <c r="HR5" s="69">
        <v>44287</v>
      </c>
      <c r="HS5" s="69">
        <v>44317</v>
      </c>
      <c r="HT5" s="69">
        <v>44348</v>
      </c>
      <c r="HU5" s="69">
        <v>44378</v>
      </c>
      <c r="HV5" s="69">
        <v>44409</v>
      </c>
      <c r="HW5" s="69">
        <v>44440</v>
      </c>
      <c r="HX5" s="69">
        <v>44470</v>
      </c>
      <c r="HY5" s="69">
        <v>44501</v>
      </c>
      <c r="HZ5" s="69">
        <v>44531</v>
      </c>
      <c r="IA5" s="70">
        <f>YEAR(HZ5)</f>
        <v>2021</v>
      </c>
      <c r="IB5" s="68">
        <v>44562</v>
      </c>
      <c r="IC5" s="69">
        <v>44593</v>
      </c>
      <c r="ID5" s="69">
        <v>44621</v>
      </c>
      <c r="IE5" s="69">
        <v>44652</v>
      </c>
      <c r="IF5" s="69">
        <v>44682</v>
      </c>
      <c r="IG5" s="69">
        <v>44713</v>
      </c>
      <c r="IH5" s="69">
        <v>44743</v>
      </c>
      <c r="II5" s="69">
        <v>44774</v>
      </c>
      <c r="IJ5" s="69">
        <v>44805</v>
      </c>
      <c r="IK5" s="69">
        <v>44835</v>
      </c>
      <c r="IL5" s="69">
        <v>44866</v>
      </c>
      <c r="IM5" s="69">
        <v>44896</v>
      </c>
      <c r="IN5" s="70">
        <f>YEAR(IM5)</f>
        <v>2022</v>
      </c>
      <c r="IO5" s="68">
        <v>44927</v>
      </c>
      <c r="IP5" s="69">
        <v>44958</v>
      </c>
      <c r="IQ5" s="69">
        <v>44986</v>
      </c>
      <c r="IR5" s="69">
        <v>45017</v>
      </c>
      <c r="IS5" s="69">
        <v>45047</v>
      </c>
      <c r="IT5" s="69">
        <v>45078</v>
      </c>
      <c r="IU5" s="69">
        <v>45108</v>
      </c>
      <c r="IV5" s="69">
        <v>45139</v>
      </c>
      <c r="IW5" s="69">
        <v>45170</v>
      </c>
      <c r="IX5" s="69">
        <v>45200</v>
      </c>
      <c r="IY5" s="69">
        <v>45231</v>
      </c>
      <c r="IZ5" s="69">
        <v>45261</v>
      </c>
      <c r="JA5" s="70">
        <f>YEAR(IZ5)</f>
        <v>2023</v>
      </c>
      <c r="JB5" s="68">
        <v>45292</v>
      </c>
      <c r="JC5" s="69">
        <v>45323</v>
      </c>
      <c r="JD5" s="69">
        <v>45352</v>
      </c>
      <c r="JE5" s="69">
        <v>45383</v>
      </c>
      <c r="JF5" s="69">
        <v>45413</v>
      </c>
      <c r="JG5" s="69">
        <v>45444</v>
      </c>
      <c r="JH5" s="69">
        <v>45474</v>
      </c>
      <c r="JI5" s="69">
        <v>45505</v>
      </c>
      <c r="JJ5" s="69">
        <v>45536</v>
      </c>
      <c r="JK5" s="69">
        <v>45566</v>
      </c>
      <c r="JL5" s="69">
        <v>45597</v>
      </c>
      <c r="JM5" s="69">
        <v>45627</v>
      </c>
      <c r="JN5" s="70">
        <f>YEAR(JM5)</f>
        <v>2024</v>
      </c>
      <c r="JO5" s="68">
        <v>45658</v>
      </c>
      <c r="JP5" s="69">
        <v>45689</v>
      </c>
      <c r="JQ5" s="69">
        <v>45717</v>
      </c>
      <c r="JR5" s="69">
        <v>45748</v>
      </c>
      <c r="JS5" s="69">
        <v>45778</v>
      </c>
      <c r="JT5" s="69">
        <v>45809</v>
      </c>
      <c r="JU5" s="69">
        <v>45839</v>
      </c>
      <c r="JV5" s="69">
        <v>45870</v>
      </c>
      <c r="JW5" s="69">
        <v>45901</v>
      </c>
      <c r="JX5" s="69">
        <v>45931</v>
      </c>
      <c r="JY5" s="69">
        <v>45962</v>
      </c>
      <c r="JZ5" s="69">
        <v>45992</v>
      </c>
      <c r="KA5" s="70">
        <f>YEAR(JZ5)</f>
        <v>2025</v>
      </c>
      <c r="KB5" s="1321" t="s">
        <v>0</v>
      </c>
      <c r="KC5" s="1322" t="s">
        <v>1</v>
      </c>
      <c r="KD5" s="1322" t="s">
        <v>2</v>
      </c>
      <c r="KE5" s="1322" t="s">
        <v>3</v>
      </c>
      <c r="KF5" s="1322" t="s">
        <v>4</v>
      </c>
      <c r="KG5" s="1322" t="s">
        <v>5</v>
      </c>
      <c r="KH5" s="1322" t="s">
        <v>6</v>
      </c>
      <c r="KI5" s="1322" t="s">
        <v>7</v>
      </c>
      <c r="KJ5" s="1322" t="s">
        <v>8</v>
      </c>
      <c r="KK5" s="1322" t="s">
        <v>9</v>
      </c>
      <c r="KL5" s="1322" t="s">
        <v>10</v>
      </c>
      <c r="KM5" s="1322" t="s">
        <v>11</v>
      </c>
      <c r="KN5" s="1323">
        <v>2026</v>
      </c>
      <c r="KP5" s="42" t="str">
        <f>KI5</f>
        <v>Ago.</v>
      </c>
      <c r="KQ5" s="43" t="str">
        <f>CONCATENATE("Ene.-",TEXT(KP5,"MMM."))</f>
        <v>Ene.-Ago.</v>
      </c>
      <c r="KR5" s="43" t="str">
        <f>KQ5</f>
        <v>Ene.-Ago.</v>
      </c>
      <c r="KS5" s="43" t="str">
        <f>KQ5</f>
        <v>Ene.-Ago.</v>
      </c>
      <c r="KT5" s="82"/>
    </row>
    <row r="6" spans="1:306" ht="13.9" customHeight="1" x14ac:dyDescent="0.2">
      <c r="A6" s="8" t="s">
        <v>352</v>
      </c>
      <c r="B6" s="111"/>
      <c r="C6" s="5"/>
      <c r="D6" s="5"/>
      <c r="E6" s="5"/>
      <c r="F6" s="5"/>
      <c r="G6" s="5"/>
      <c r="H6" s="5"/>
      <c r="I6" s="5"/>
      <c r="J6" s="5"/>
      <c r="K6" s="5"/>
      <c r="L6" s="5"/>
      <c r="M6" s="228"/>
      <c r="N6" s="296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297"/>
      <c r="AB6" s="111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297"/>
      <c r="AO6" s="111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298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215"/>
      <c r="BO6" s="111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21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299"/>
      <c r="CO6" s="111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299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299"/>
      <c r="DO6" s="111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299"/>
      <c r="EB6" s="300"/>
      <c r="EC6" s="224"/>
      <c r="ED6" s="224"/>
      <c r="EE6" s="224"/>
      <c r="EF6" s="224"/>
      <c r="EG6" s="224"/>
      <c r="EH6" s="224"/>
      <c r="EI6" s="224"/>
      <c r="EJ6" s="224"/>
      <c r="EK6" s="224"/>
      <c r="EL6" s="224"/>
      <c r="EM6" s="224"/>
      <c r="EN6" s="299"/>
      <c r="EO6" s="224"/>
      <c r="EP6" s="224"/>
      <c r="EQ6" s="224"/>
      <c r="ER6" s="224"/>
      <c r="ES6" s="224"/>
      <c r="ET6" s="224"/>
      <c r="EU6" s="224"/>
      <c r="EV6" s="224"/>
      <c r="EW6" s="224"/>
      <c r="EX6" s="224"/>
      <c r="EY6" s="224"/>
      <c r="EZ6" s="224"/>
      <c r="FA6" s="299"/>
      <c r="FB6" s="300"/>
      <c r="FC6" s="224"/>
      <c r="FD6" s="224"/>
      <c r="FE6" s="224"/>
      <c r="FF6" s="224"/>
      <c r="FG6" s="224"/>
      <c r="FH6" s="224"/>
      <c r="FI6" s="224"/>
      <c r="FJ6" s="224"/>
      <c r="FK6" s="224"/>
      <c r="FL6" s="224"/>
      <c r="FM6" s="224"/>
      <c r="FN6" s="301"/>
      <c r="FO6" s="300"/>
      <c r="FP6" s="224"/>
      <c r="FQ6" s="224"/>
      <c r="FR6" s="224"/>
      <c r="FS6" s="224"/>
      <c r="FT6" s="224"/>
      <c r="FU6" s="224"/>
      <c r="FV6" s="224"/>
      <c r="FW6" s="224"/>
      <c r="FX6" s="224"/>
      <c r="FY6" s="224"/>
      <c r="FZ6" s="224"/>
      <c r="GA6" s="301"/>
      <c r="GB6" s="300"/>
      <c r="GC6" s="224"/>
      <c r="GD6" s="224"/>
      <c r="GE6" s="224"/>
      <c r="GF6" s="224"/>
      <c r="GG6" s="224"/>
      <c r="GH6" s="224"/>
      <c r="GI6" s="224"/>
      <c r="GJ6" s="224"/>
      <c r="GK6" s="224"/>
      <c r="GL6" s="224"/>
      <c r="GM6" s="225"/>
      <c r="GN6" s="302"/>
      <c r="GO6" s="224"/>
      <c r="GP6" s="224"/>
      <c r="GQ6" s="224"/>
      <c r="GR6" s="224"/>
      <c r="GS6" s="224"/>
      <c r="GT6" s="224"/>
      <c r="GU6" s="224"/>
      <c r="GV6" s="224"/>
      <c r="GW6" s="224"/>
      <c r="GX6" s="224"/>
      <c r="GY6" s="224"/>
      <c r="GZ6" s="224"/>
      <c r="HA6" s="226"/>
      <c r="HB6" s="300"/>
      <c r="HC6" s="224"/>
      <c r="HD6" s="224"/>
      <c r="HE6" s="224"/>
      <c r="HF6" s="224"/>
      <c r="HG6" s="224"/>
      <c r="HH6" s="224"/>
      <c r="HI6" s="224"/>
      <c r="HJ6" s="224"/>
      <c r="HK6" s="224"/>
      <c r="HL6" s="224"/>
      <c r="HM6" s="224"/>
      <c r="HN6" s="226"/>
      <c r="HO6" s="300"/>
      <c r="HP6" s="224"/>
      <c r="HQ6" s="224"/>
      <c r="HR6" s="224"/>
      <c r="HS6" s="224"/>
      <c r="HT6" s="224"/>
      <c r="HU6" s="224"/>
      <c r="HV6" s="224"/>
      <c r="HW6" s="224"/>
      <c r="HX6" s="224"/>
      <c r="HY6" s="224"/>
      <c r="HZ6" s="225"/>
      <c r="IA6" s="225"/>
      <c r="IB6" s="224"/>
      <c r="IC6" s="224"/>
      <c r="ID6" s="224"/>
      <c r="IE6" s="224"/>
      <c r="IF6" s="224"/>
      <c r="IG6" s="224"/>
      <c r="IH6" s="224"/>
      <c r="II6" s="224"/>
      <c r="IJ6" s="224"/>
      <c r="IK6" s="224"/>
      <c r="IL6" s="227"/>
      <c r="IM6" s="303"/>
      <c r="IN6" s="226"/>
      <c r="IO6" s="304"/>
      <c r="IP6" s="305"/>
      <c r="IQ6" s="305"/>
      <c r="IR6" s="305"/>
      <c r="IS6" s="305"/>
      <c r="IT6" s="305"/>
      <c r="IU6" s="305"/>
      <c r="IV6" s="305"/>
      <c r="IW6" s="305"/>
      <c r="IX6" s="305"/>
      <c r="IY6" s="305"/>
      <c r="IZ6" s="306"/>
      <c r="JA6" s="306"/>
      <c r="JB6" s="305"/>
      <c r="JC6" s="305"/>
      <c r="JD6" s="305"/>
      <c r="JE6" s="305"/>
      <c r="JF6" s="305"/>
      <c r="JG6" s="305"/>
      <c r="JH6" s="305"/>
      <c r="JI6" s="305"/>
      <c r="JJ6" s="305"/>
      <c r="JK6" s="305"/>
      <c r="JL6" s="305"/>
      <c r="JM6" s="306"/>
      <c r="JN6" s="306"/>
      <c r="JO6" s="113"/>
      <c r="JP6" s="114"/>
      <c r="JQ6" s="114"/>
      <c r="JR6" s="114"/>
      <c r="JS6" s="114"/>
      <c r="JT6" s="114"/>
      <c r="JU6" s="114"/>
      <c r="JV6" s="114"/>
      <c r="JW6" s="114"/>
      <c r="JX6" s="114"/>
      <c r="JY6" s="114"/>
      <c r="JZ6" s="114"/>
      <c r="KA6" s="115"/>
      <c r="KB6" s="1324"/>
      <c r="KN6" s="1325"/>
      <c r="KP6" s="45"/>
      <c r="KQ6" s="46"/>
      <c r="KR6" s="46"/>
      <c r="KS6" s="46"/>
      <c r="KT6" s="82"/>
    </row>
    <row r="7" spans="1:306" ht="13.9" customHeight="1" x14ac:dyDescent="0.2">
      <c r="A7" s="216" t="s">
        <v>290</v>
      </c>
      <c r="B7" s="51">
        <f t="shared" ref="B7:M7" si="0">+B8+B19</f>
        <v>6957</v>
      </c>
      <c r="C7" s="29">
        <f t="shared" si="0"/>
        <v>5919</v>
      </c>
      <c r="D7" s="29">
        <f t="shared" si="0"/>
        <v>8304</v>
      </c>
      <c r="E7" s="29">
        <f t="shared" si="0"/>
        <v>6402</v>
      </c>
      <c r="F7" s="29">
        <f t="shared" si="0"/>
        <v>5659</v>
      </c>
      <c r="G7" s="29">
        <f t="shared" si="0"/>
        <v>5317</v>
      </c>
      <c r="H7" s="29">
        <f t="shared" si="0"/>
        <v>6341</v>
      </c>
      <c r="I7" s="29">
        <f t="shared" si="0"/>
        <v>5598</v>
      </c>
      <c r="J7" s="29">
        <f t="shared" si="0"/>
        <v>5942</v>
      </c>
      <c r="K7" s="29">
        <f t="shared" si="0"/>
        <v>5068</v>
      </c>
      <c r="L7" s="29">
        <f t="shared" si="0"/>
        <v>5905</v>
      </c>
      <c r="M7" s="15">
        <f t="shared" si="0"/>
        <v>6088</v>
      </c>
      <c r="N7" s="231">
        <f>SUM(B7:M7)</f>
        <v>73500</v>
      </c>
      <c r="O7" s="29">
        <f t="shared" ref="O7:Z7" si="1">+O8+O19</f>
        <v>4515.1000000000004</v>
      </c>
      <c r="P7" s="29">
        <f t="shared" si="1"/>
        <v>3688.1</v>
      </c>
      <c r="Q7" s="29">
        <f t="shared" si="1"/>
        <v>4425.1000000000004</v>
      </c>
      <c r="R7" s="29">
        <f t="shared" si="1"/>
        <v>4969.1000000000004</v>
      </c>
      <c r="S7" s="18">
        <f t="shared" si="1"/>
        <v>3679.1</v>
      </c>
      <c r="T7" s="18">
        <f t="shared" si="1"/>
        <v>3722.2</v>
      </c>
      <c r="U7" s="18">
        <f t="shared" si="1"/>
        <v>3590.1</v>
      </c>
      <c r="V7" s="18">
        <f t="shared" si="1"/>
        <v>3721.1</v>
      </c>
      <c r="W7" s="18">
        <f t="shared" si="1"/>
        <v>3495.1</v>
      </c>
      <c r="X7" s="18">
        <f t="shared" si="1"/>
        <v>3254.1</v>
      </c>
      <c r="Y7" s="18">
        <f t="shared" si="1"/>
        <v>3273.1</v>
      </c>
      <c r="Z7" s="18">
        <f t="shared" si="1"/>
        <v>3550.1</v>
      </c>
      <c r="AA7" s="231">
        <f>SUM(O7:Z7)</f>
        <v>45882.299999999996</v>
      </c>
      <c r="AB7" s="17">
        <f t="shared" ref="AB7:AM7" si="2">+AB8+AB19</f>
        <v>4122</v>
      </c>
      <c r="AC7" s="18">
        <f t="shared" si="2"/>
        <v>3576</v>
      </c>
      <c r="AD7" s="18">
        <f t="shared" si="2"/>
        <v>4015</v>
      </c>
      <c r="AE7" s="229">
        <f t="shared" si="2"/>
        <v>3932</v>
      </c>
      <c r="AF7" s="229">
        <f t="shared" si="2"/>
        <v>3285</v>
      </c>
      <c r="AG7" s="229">
        <f t="shared" si="2"/>
        <v>3919</v>
      </c>
      <c r="AH7" s="229">
        <f t="shared" si="2"/>
        <v>3693</v>
      </c>
      <c r="AI7" s="229">
        <f t="shared" si="2"/>
        <v>4032</v>
      </c>
      <c r="AJ7" s="229">
        <f t="shared" si="2"/>
        <v>4227</v>
      </c>
      <c r="AK7" s="229">
        <f t="shared" si="2"/>
        <v>4078</v>
      </c>
      <c r="AL7" s="229">
        <f t="shared" si="2"/>
        <v>3946</v>
      </c>
      <c r="AM7" s="229">
        <f t="shared" si="2"/>
        <v>3262</v>
      </c>
      <c r="AN7" s="231">
        <f>SUM(AB7:AM7)</f>
        <v>46087</v>
      </c>
      <c r="AO7" s="230">
        <f t="shared" ref="AO7:AZ7" si="3">+AO8+AO19</f>
        <v>3856</v>
      </c>
      <c r="AP7" s="229">
        <f t="shared" si="3"/>
        <v>3504</v>
      </c>
      <c r="AQ7" s="229">
        <f t="shared" si="3"/>
        <v>3882</v>
      </c>
      <c r="AR7" s="229">
        <f t="shared" si="3"/>
        <v>4466</v>
      </c>
      <c r="AS7" s="229">
        <f t="shared" si="3"/>
        <v>3379</v>
      </c>
      <c r="AT7" s="229">
        <f t="shared" si="3"/>
        <v>3831</v>
      </c>
      <c r="AU7" s="229">
        <f t="shared" si="3"/>
        <v>3235</v>
      </c>
      <c r="AV7" s="229">
        <f t="shared" si="3"/>
        <v>3724</v>
      </c>
      <c r="AW7" s="229">
        <f t="shared" si="3"/>
        <v>4053</v>
      </c>
      <c r="AX7" s="229">
        <f t="shared" si="3"/>
        <v>4200</v>
      </c>
      <c r="AY7" s="229">
        <f t="shared" si="3"/>
        <v>4487</v>
      </c>
      <c r="AZ7" s="229">
        <f t="shared" si="3"/>
        <v>4340</v>
      </c>
      <c r="BA7" s="231">
        <f>SUM(AO7:AZ7)</f>
        <v>46957</v>
      </c>
      <c r="BB7" s="229">
        <f t="shared" ref="BB7:BM7" si="4">+BB8+BB19</f>
        <v>5571</v>
      </c>
      <c r="BC7" s="229">
        <f t="shared" si="4"/>
        <v>4692</v>
      </c>
      <c r="BD7" s="229">
        <f t="shared" si="4"/>
        <v>5346</v>
      </c>
      <c r="BE7" s="229">
        <f t="shared" si="4"/>
        <v>11198</v>
      </c>
      <c r="BF7" s="229">
        <f t="shared" si="4"/>
        <v>5735</v>
      </c>
      <c r="BG7" s="229">
        <f t="shared" si="4"/>
        <v>5824</v>
      </c>
      <c r="BH7" s="229">
        <f t="shared" si="4"/>
        <v>6279</v>
      </c>
      <c r="BI7" s="229">
        <f t="shared" si="4"/>
        <v>6535</v>
      </c>
      <c r="BJ7" s="229">
        <f t="shared" si="4"/>
        <v>6701</v>
      </c>
      <c r="BK7" s="229">
        <f t="shared" si="4"/>
        <v>6598</v>
      </c>
      <c r="BL7" s="229">
        <f t="shared" si="4"/>
        <v>6560</v>
      </c>
      <c r="BM7" s="229">
        <f t="shared" si="4"/>
        <v>6549</v>
      </c>
      <c r="BN7" s="231">
        <f>SUM(BB7:BM7)</f>
        <v>77588</v>
      </c>
      <c r="BO7" s="230">
        <f t="shared" ref="BO7:BZ7" si="5">+BO8+BO19</f>
        <v>6906</v>
      </c>
      <c r="BP7" s="229">
        <f t="shared" si="5"/>
        <v>6629</v>
      </c>
      <c r="BQ7" s="229">
        <f t="shared" si="5"/>
        <v>8328</v>
      </c>
      <c r="BR7" s="229">
        <f t="shared" si="5"/>
        <v>10585</v>
      </c>
      <c r="BS7" s="229">
        <f t="shared" si="5"/>
        <v>6010</v>
      </c>
      <c r="BT7" s="229">
        <f t="shared" si="5"/>
        <v>6172</v>
      </c>
      <c r="BU7" s="229">
        <f t="shared" si="5"/>
        <v>6522</v>
      </c>
      <c r="BV7" s="229">
        <f t="shared" si="5"/>
        <v>7677</v>
      </c>
      <c r="BW7" s="229">
        <f t="shared" si="5"/>
        <v>6617</v>
      </c>
      <c r="BX7" s="229">
        <f t="shared" si="5"/>
        <v>6967</v>
      </c>
      <c r="BY7" s="229">
        <f t="shared" si="5"/>
        <v>8461</v>
      </c>
      <c r="BZ7" s="229">
        <f t="shared" si="5"/>
        <v>8191</v>
      </c>
      <c r="CA7" s="231">
        <f>SUM(BO7:BZ7)</f>
        <v>89065</v>
      </c>
      <c r="CB7" s="229">
        <f t="shared" ref="CB7:CM7" si="6">+CB8+CB19</f>
        <v>7742</v>
      </c>
      <c r="CC7" s="229">
        <f t="shared" si="6"/>
        <v>7090</v>
      </c>
      <c r="CD7" s="229">
        <f t="shared" si="6"/>
        <v>8225</v>
      </c>
      <c r="CE7" s="229">
        <f t="shared" si="6"/>
        <v>9962</v>
      </c>
      <c r="CF7" s="229">
        <f t="shared" si="6"/>
        <v>6759</v>
      </c>
      <c r="CG7" s="229">
        <f t="shared" si="6"/>
        <v>7869</v>
      </c>
      <c r="CH7" s="229">
        <f t="shared" si="6"/>
        <v>7551</v>
      </c>
      <c r="CI7" s="229">
        <f t="shared" si="6"/>
        <v>8489</v>
      </c>
      <c r="CJ7" s="229">
        <f t="shared" si="6"/>
        <v>8812</v>
      </c>
      <c r="CK7" s="229">
        <f t="shared" si="6"/>
        <v>7348</v>
      </c>
      <c r="CL7" s="229">
        <f t="shared" si="6"/>
        <v>7300</v>
      </c>
      <c r="CM7" s="229">
        <f t="shared" si="6"/>
        <v>7348</v>
      </c>
      <c r="CN7" s="231">
        <f>SUM(CB7:CM7)</f>
        <v>94495</v>
      </c>
      <c r="CO7" s="230">
        <f t="shared" ref="CO7:CZ7" si="7">+CO8+CO19</f>
        <v>9167</v>
      </c>
      <c r="CP7" s="229">
        <f t="shared" si="7"/>
        <v>7500</v>
      </c>
      <c r="CQ7" s="229">
        <f t="shared" si="7"/>
        <v>9406</v>
      </c>
      <c r="CR7" s="229">
        <f t="shared" si="7"/>
        <v>11396</v>
      </c>
      <c r="CS7" s="229">
        <f t="shared" si="7"/>
        <v>8415</v>
      </c>
      <c r="CT7" s="229">
        <f t="shared" si="7"/>
        <v>8461</v>
      </c>
      <c r="CU7" s="229">
        <f t="shared" si="7"/>
        <v>8870</v>
      </c>
      <c r="CV7" s="229">
        <f t="shared" si="7"/>
        <v>8922</v>
      </c>
      <c r="CW7" s="229">
        <f t="shared" si="7"/>
        <v>10375</v>
      </c>
      <c r="CX7" s="229">
        <f t="shared" si="7"/>
        <v>10740</v>
      </c>
      <c r="CY7" s="229">
        <f t="shared" si="7"/>
        <v>10064</v>
      </c>
      <c r="CZ7" s="229">
        <f t="shared" si="7"/>
        <v>11187</v>
      </c>
      <c r="DA7" s="231">
        <f>SUM(CO7:CZ7)</f>
        <v>114503</v>
      </c>
      <c r="DB7" s="229">
        <f t="shared" ref="DB7:DM7" si="8">+DB8+DB19</f>
        <v>11986</v>
      </c>
      <c r="DC7" s="229">
        <f t="shared" si="8"/>
        <v>10585</v>
      </c>
      <c r="DD7" s="229">
        <f t="shared" si="8"/>
        <v>11714</v>
      </c>
      <c r="DE7" s="229">
        <f t="shared" si="8"/>
        <v>14458</v>
      </c>
      <c r="DF7" s="229">
        <f t="shared" si="8"/>
        <v>11139</v>
      </c>
      <c r="DG7" s="229">
        <f t="shared" si="8"/>
        <v>9934</v>
      </c>
      <c r="DH7" s="229">
        <f t="shared" si="8"/>
        <v>11223</v>
      </c>
      <c r="DI7" s="229">
        <f t="shared" si="8"/>
        <v>11470</v>
      </c>
      <c r="DJ7" s="229">
        <f t="shared" si="8"/>
        <v>12532</v>
      </c>
      <c r="DK7" s="229">
        <f t="shared" si="8"/>
        <v>12001</v>
      </c>
      <c r="DL7" s="229">
        <f t="shared" si="8"/>
        <v>19993</v>
      </c>
      <c r="DM7" s="229">
        <f t="shared" si="8"/>
        <v>14322</v>
      </c>
      <c r="DN7" s="231">
        <f>SUM(DB7:DM7)</f>
        <v>151357</v>
      </c>
      <c r="DO7" s="230">
        <f t="shared" ref="DO7:DZ7" si="9">+DO8+DO19</f>
        <v>15218.5</v>
      </c>
      <c r="DP7" s="229">
        <f t="shared" si="9"/>
        <v>12666.2</v>
      </c>
      <c r="DQ7" s="229">
        <f t="shared" si="9"/>
        <v>16328.200000000003</v>
      </c>
      <c r="DR7" s="229">
        <f t="shared" si="9"/>
        <v>15434.3</v>
      </c>
      <c r="DS7" s="229">
        <f t="shared" si="9"/>
        <v>11728.570000000002</v>
      </c>
      <c r="DT7" s="229">
        <f t="shared" si="9"/>
        <v>12554.199999999999</v>
      </c>
      <c r="DU7" s="229">
        <f t="shared" si="9"/>
        <v>12011.5</v>
      </c>
      <c r="DV7" s="229">
        <f t="shared" si="9"/>
        <v>11900.699999999999</v>
      </c>
      <c r="DW7" s="229">
        <f t="shared" si="9"/>
        <v>12620.8</v>
      </c>
      <c r="DX7" s="229">
        <f t="shared" si="9"/>
        <v>13019.4</v>
      </c>
      <c r="DY7" s="229">
        <f t="shared" si="9"/>
        <v>17469.299999999996</v>
      </c>
      <c r="DZ7" s="229">
        <f t="shared" si="9"/>
        <v>16699</v>
      </c>
      <c r="EA7" s="231">
        <f>SUM(DO7:DZ7)</f>
        <v>167650.66999999998</v>
      </c>
      <c r="EB7" s="230">
        <f t="shared" ref="EB7:EM7" si="10">+EB8+EB19</f>
        <v>15441.6</v>
      </c>
      <c r="EC7" s="229">
        <f t="shared" si="10"/>
        <v>13358.4</v>
      </c>
      <c r="ED7" s="229">
        <f t="shared" si="10"/>
        <v>15681.300000000001</v>
      </c>
      <c r="EE7" s="229">
        <f t="shared" si="10"/>
        <v>21629.200000000004</v>
      </c>
      <c r="EF7" s="229">
        <f t="shared" si="10"/>
        <v>14062.5</v>
      </c>
      <c r="EG7" s="229">
        <f t="shared" si="10"/>
        <v>14596.599999999999</v>
      </c>
      <c r="EH7" s="229">
        <f t="shared" si="10"/>
        <v>14451.600000000002</v>
      </c>
      <c r="EI7" s="229">
        <f t="shared" si="10"/>
        <v>16109.7</v>
      </c>
      <c r="EJ7" s="229">
        <f t="shared" si="10"/>
        <v>13246.000000000002</v>
      </c>
      <c r="EK7" s="229">
        <f t="shared" si="10"/>
        <v>16874.8</v>
      </c>
      <c r="EL7" s="229">
        <f t="shared" si="10"/>
        <v>14699.2076</v>
      </c>
      <c r="EM7" s="229">
        <f t="shared" si="10"/>
        <v>14904.090939999998</v>
      </c>
      <c r="EN7" s="231">
        <f>SUM(EB7:EM7)</f>
        <v>185054.99854</v>
      </c>
      <c r="EO7" s="229">
        <f t="shared" ref="EO7:EZ7" si="11">+EO8+EO19</f>
        <v>16107.664120000001</v>
      </c>
      <c r="EP7" s="229">
        <f t="shared" si="11"/>
        <v>15851.555</v>
      </c>
      <c r="EQ7" s="229">
        <f t="shared" si="11"/>
        <v>15898.055</v>
      </c>
      <c r="ER7" s="229">
        <f t="shared" si="11"/>
        <v>19039</v>
      </c>
      <c r="ES7" s="229">
        <f t="shared" si="11"/>
        <v>12312.8</v>
      </c>
      <c r="ET7" s="229">
        <f t="shared" si="11"/>
        <v>12775</v>
      </c>
      <c r="EU7" s="229">
        <f t="shared" si="11"/>
        <v>14048.6</v>
      </c>
      <c r="EV7" s="229">
        <f t="shared" si="11"/>
        <v>14290.699999999999</v>
      </c>
      <c r="EW7" s="229">
        <f t="shared" si="11"/>
        <v>14255</v>
      </c>
      <c r="EX7" s="229">
        <f t="shared" si="11"/>
        <v>16522.099999999999</v>
      </c>
      <c r="EY7" s="229">
        <f t="shared" si="11"/>
        <v>14676.100000000002</v>
      </c>
      <c r="EZ7" s="229">
        <f t="shared" si="11"/>
        <v>20901.300000000003</v>
      </c>
      <c r="FA7" s="231">
        <f>SUM(EO7:EZ7)</f>
        <v>186677.87411999999</v>
      </c>
      <c r="FB7" s="230">
        <f t="shared" ref="FB7:FM7" si="12">+FB8+FB19</f>
        <v>16643</v>
      </c>
      <c r="FC7" s="229">
        <f t="shared" si="12"/>
        <v>14626.399999999998</v>
      </c>
      <c r="FD7" s="229">
        <f t="shared" si="12"/>
        <v>21552.499999999996</v>
      </c>
      <c r="FE7" s="229">
        <f t="shared" si="12"/>
        <v>21784.3</v>
      </c>
      <c r="FF7" s="229">
        <f t="shared" si="12"/>
        <v>15197.900000000001</v>
      </c>
      <c r="FG7" s="229">
        <f t="shared" si="12"/>
        <v>13641</v>
      </c>
      <c r="FH7" s="229">
        <f t="shared" si="12"/>
        <v>14170.2</v>
      </c>
      <c r="FI7" s="229">
        <f t="shared" si="12"/>
        <v>15844.199999999999</v>
      </c>
      <c r="FJ7" s="229">
        <f t="shared" si="12"/>
        <v>15918.799999999997</v>
      </c>
      <c r="FK7" s="229">
        <f t="shared" si="12"/>
        <v>16174.5</v>
      </c>
      <c r="FL7" s="229">
        <f t="shared" si="12"/>
        <v>18348.5</v>
      </c>
      <c r="FM7" s="229">
        <f t="shared" si="12"/>
        <v>16586.5</v>
      </c>
      <c r="FN7" s="231">
        <f>SUM(FB7:FM7)</f>
        <v>200487.8</v>
      </c>
      <c r="FO7" s="230">
        <f t="shared" ref="FO7:FZ7" si="13">+FO8+FO19</f>
        <v>20173.599999999999</v>
      </c>
      <c r="FP7" s="229">
        <f t="shared" si="13"/>
        <v>15017.900000000001</v>
      </c>
      <c r="FQ7" s="229">
        <f t="shared" si="13"/>
        <v>18870.899999999998</v>
      </c>
      <c r="FR7" s="229">
        <f t="shared" si="13"/>
        <v>20211.5</v>
      </c>
      <c r="FS7" s="229">
        <f t="shared" si="13"/>
        <v>15899</v>
      </c>
      <c r="FT7" s="229">
        <f t="shared" si="13"/>
        <v>14914.699999999997</v>
      </c>
      <c r="FU7" s="229">
        <f t="shared" si="13"/>
        <v>15591.999999999998</v>
      </c>
      <c r="FV7" s="229">
        <f t="shared" si="13"/>
        <v>17840.400000000001</v>
      </c>
      <c r="FW7" s="229">
        <f t="shared" si="13"/>
        <v>20276.2</v>
      </c>
      <c r="FX7" s="229">
        <f t="shared" si="13"/>
        <v>18789.3</v>
      </c>
      <c r="FY7" s="229">
        <f t="shared" si="13"/>
        <v>18588.5</v>
      </c>
      <c r="FZ7" s="229">
        <f t="shared" si="13"/>
        <v>19384.3</v>
      </c>
      <c r="GA7" s="231">
        <f>SUM(FO7:FZ7)</f>
        <v>215558.3</v>
      </c>
      <c r="GB7" s="230">
        <f t="shared" ref="GB7:GM7" si="14">+GB8+GB19</f>
        <v>20697</v>
      </c>
      <c r="GC7" s="229">
        <f t="shared" si="14"/>
        <v>17523</v>
      </c>
      <c r="GD7" s="229">
        <f t="shared" si="14"/>
        <v>18041.2</v>
      </c>
      <c r="GE7" s="229">
        <f t="shared" si="14"/>
        <v>23237.199999999997</v>
      </c>
      <c r="GF7" s="229">
        <f t="shared" si="14"/>
        <v>18006.600000000002</v>
      </c>
      <c r="GG7" s="229">
        <f t="shared" si="14"/>
        <v>15828.5</v>
      </c>
      <c r="GH7" s="229">
        <f t="shared" si="14"/>
        <v>17197.400000000001</v>
      </c>
      <c r="GI7" s="229">
        <f t="shared" si="14"/>
        <v>18305.7</v>
      </c>
      <c r="GJ7" s="229">
        <f t="shared" si="14"/>
        <v>19235.700000000004</v>
      </c>
      <c r="GK7" s="229">
        <f t="shared" si="14"/>
        <v>20934.2</v>
      </c>
      <c r="GL7" s="229">
        <f t="shared" si="14"/>
        <v>20444.300000000003</v>
      </c>
      <c r="GM7" s="217">
        <f t="shared" si="14"/>
        <v>21437.3</v>
      </c>
      <c r="GN7" s="217">
        <f>SUM(GB7:GM7)</f>
        <v>230888.10000000003</v>
      </c>
      <c r="GO7" s="229">
        <f t="shared" ref="GO7:GZ7" si="15">+GO8+GO19</f>
        <v>21460.099999999995</v>
      </c>
      <c r="GP7" s="229">
        <f t="shared" si="15"/>
        <v>19396.523999999998</v>
      </c>
      <c r="GQ7" s="229">
        <f t="shared" si="15"/>
        <v>20303.2</v>
      </c>
      <c r="GR7" s="229">
        <f t="shared" si="15"/>
        <v>23394.400000000001</v>
      </c>
      <c r="GS7" s="229">
        <f t="shared" si="15"/>
        <v>15922.2</v>
      </c>
      <c r="GT7" s="229">
        <f t="shared" si="15"/>
        <v>15817.3</v>
      </c>
      <c r="GU7" s="229">
        <f t="shared" si="15"/>
        <v>17746.8</v>
      </c>
      <c r="GV7" s="229">
        <f t="shared" si="15"/>
        <v>17922</v>
      </c>
      <c r="GW7" s="229">
        <f t="shared" si="15"/>
        <v>22093.8</v>
      </c>
      <c r="GX7" s="229">
        <f t="shared" si="15"/>
        <v>21981</v>
      </c>
      <c r="GY7" s="229">
        <f t="shared" si="15"/>
        <v>21735.300000000003</v>
      </c>
      <c r="GZ7" s="229">
        <f t="shared" si="15"/>
        <v>21979.8</v>
      </c>
      <c r="HA7" s="231">
        <f>SUM(GO7:GZ7)</f>
        <v>239752.42399999994</v>
      </c>
      <c r="HB7" s="230">
        <f t="shared" ref="HB7:HM7" si="16">+HB8+HB19</f>
        <v>24181</v>
      </c>
      <c r="HC7" s="229">
        <f t="shared" si="16"/>
        <v>23460.000000000004</v>
      </c>
      <c r="HD7" s="229">
        <f t="shared" si="16"/>
        <v>16461.800000000003</v>
      </c>
      <c r="HE7" s="229">
        <f t="shared" si="16"/>
        <v>12450.3</v>
      </c>
      <c r="HF7" s="229">
        <f t="shared" si="16"/>
        <v>13750.999999999998</v>
      </c>
      <c r="HG7" s="229">
        <f t="shared" si="16"/>
        <v>12089.7</v>
      </c>
      <c r="HH7" s="229">
        <f t="shared" si="16"/>
        <v>18442.5</v>
      </c>
      <c r="HI7" s="229">
        <f t="shared" si="16"/>
        <v>18374.8</v>
      </c>
      <c r="HJ7" s="229">
        <f t="shared" si="16"/>
        <v>21860.900000000005</v>
      </c>
      <c r="HK7" s="229">
        <f t="shared" si="16"/>
        <v>23716.899999999998</v>
      </c>
      <c r="HL7" s="229">
        <f t="shared" si="16"/>
        <v>23980.600000000002</v>
      </c>
      <c r="HM7" s="229">
        <f t="shared" si="16"/>
        <v>24846.999999999996</v>
      </c>
      <c r="HN7" s="231">
        <f>SUM(HB7:HM7)</f>
        <v>233616.5</v>
      </c>
      <c r="HO7" s="230">
        <f t="shared" ref="HO7:HZ7" si="17">+HO8+HO19</f>
        <v>27477.599999999995</v>
      </c>
      <c r="HP7" s="229">
        <f t="shared" si="17"/>
        <v>27701.7</v>
      </c>
      <c r="HQ7" s="229">
        <f t="shared" si="17"/>
        <v>29143.1</v>
      </c>
      <c r="HR7" s="229">
        <f t="shared" si="17"/>
        <v>32564.699999999997</v>
      </c>
      <c r="HS7" s="229">
        <f t="shared" si="17"/>
        <v>24900.5</v>
      </c>
      <c r="HT7" s="229">
        <f t="shared" si="17"/>
        <v>26654.554940000005</v>
      </c>
      <c r="HU7" s="229">
        <f t="shared" si="17"/>
        <v>27322.46947</v>
      </c>
      <c r="HV7" s="229">
        <f t="shared" si="17"/>
        <v>27356.690339999994</v>
      </c>
      <c r="HW7" s="229">
        <f t="shared" si="17"/>
        <v>29287.068989999996</v>
      </c>
      <c r="HX7" s="229">
        <f t="shared" si="17"/>
        <v>29981.469449999997</v>
      </c>
      <c r="HY7" s="229">
        <f t="shared" si="17"/>
        <v>31801.631700000002</v>
      </c>
      <c r="HZ7" s="217">
        <f t="shared" si="17"/>
        <v>33224.873630000002</v>
      </c>
      <c r="IA7" s="217">
        <f>SUM(HO7:HZ7)</f>
        <v>347416.35852000001</v>
      </c>
      <c r="IB7" s="230">
        <f t="shared" ref="IB7:IM7" si="18">+IB8+IB19</f>
        <v>30372.979719999996</v>
      </c>
      <c r="IC7" s="229">
        <f t="shared" si="18"/>
        <v>29060.691909999994</v>
      </c>
      <c r="ID7" s="229">
        <f t="shared" si="18"/>
        <v>36205.390619999991</v>
      </c>
      <c r="IE7" s="229">
        <f t="shared" si="18"/>
        <v>40554.535149999996</v>
      </c>
      <c r="IF7" s="229">
        <f t="shared" si="18"/>
        <v>29485.445979999993</v>
      </c>
      <c r="IG7" s="229">
        <f t="shared" si="18"/>
        <v>28842.550149999995</v>
      </c>
      <c r="IH7" s="229">
        <f t="shared" si="18"/>
        <v>31618.904659999997</v>
      </c>
      <c r="II7" s="229">
        <f t="shared" si="18"/>
        <v>31172.612469999996</v>
      </c>
      <c r="IJ7" s="229">
        <f t="shared" si="18"/>
        <v>35117.903959999996</v>
      </c>
      <c r="IK7" s="229">
        <f t="shared" si="18"/>
        <v>33713.213169999995</v>
      </c>
      <c r="IL7" s="232">
        <f t="shared" si="18"/>
        <v>38563.437029999994</v>
      </c>
      <c r="IM7" s="232">
        <f t="shared" si="18"/>
        <v>35425.296579999987</v>
      </c>
      <c r="IN7" s="231">
        <f>SUM(IB7:IM7)</f>
        <v>400132.96139999985</v>
      </c>
      <c r="IO7" s="230">
        <f t="shared" ref="IO7:IW7" si="19">+IO8+IO19</f>
        <v>32639.887189999994</v>
      </c>
      <c r="IP7" s="229">
        <f t="shared" si="19"/>
        <v>28676.440539999996</v>
      </c>
      <c r="IQ7" s="229">
        <f t="shared" si="19"/>
        <v>33964.061419999991</v>
      </c>
      <c r="IR7" s="229">
        <f t="shared" si="19"/>
        <v>38472.674249999989</v>
      </c>
      <c r="IS7" s="229">
        <f t="shared" si="19"/>
        <v>29496.008480000004</v>
      </c>
      <c r="IT7" s="229">
        <f t="shared" si="19"/>
        <v>26426.934439999994</v>
      </c>
      <c r="IU7" s="229">
        <f t="shared" si="19"/>
        <v>27328.156539999993</v>
      </c>
      <c r="IV7" s="229">
        <f t="shared" si="19"/>
        <v>30550.247419999992</v>
      </c>
      <c r="IW7" s="229">
        <f t="shared" si="19"/>
        <v>32526.42854999999</v>
      </c>
      <c r="IX7" s="229">
        <v>33861.862379999999</v>
      </c>
      <c r="IY7" s="229">
        <v>32247.047679999996</v>
      </c>
      <c r="IZ7" s="217">
        <v>33441.312229999996</v>
      </c>
      <c r="JA7" s="217">
        <f>SUM(IO7:IZ7)</f>
        <v>379631.06111999991</v>
      </c>
      <c r="JB7" s="229">
        <v>36817.531020000002</v>
      </c>
      <c r="JC7" s="229">
        <v>32643.901839999999</v>
      </c>
      <c r="JD7" s="229">
        <v>32644.321619999999</v>
      </c>
      <c r="JE7" s="229">
        <v>45991.313129999995</v>
      </c>
      <c r="JF7" s="229">
        <v>31105.330549999995</v>
      </c>
      <c r="JG7" s="229">
        <v>30974.199719999997</v>
      </c>
      <c r="JH7" s="229">
        <v>36051.230929999998</v>
      </c>
      <c r="JI7" s="229">
        <v>36521.274639999996</v>
      </c>
      <c r="JJ7" s="229">
        <v>38508.073669999998</v>
      </c>
      <c r="JK7" s="229">
        <v>37121.259109999985</v>
      </c>
      <c r="JL7" s="229">
        <v>40066.66283999999</v>
      </c>
      <c r="JM7" s="217">
        <v>49587.152440000005</v>
      </c>
      <c r="JN7" s="217">
        <f>SUM(JB7:JM7)</f>
        <v>448032.25150999997</v>
      </c>
      <c r="JO7" s="230">
        <v>43997.157669999993</v>
      </c>
      <c r="JP7" s="229">
        <v>38096.947929999995</v>
      </c>
      <c r="JQ7" s="229">
        <v>40626.901119999995</v>
      </c>
      <c r="JR7" s="229">
        <v>54883.952269999994</v>
      </c>
      <c r="JS7" s="229">
        <v>37231.248749999999</v>
      </c>
      <c r="JT7" s="229">
        <v>36669.419339999986</v>
      </c>
      <c r="JU7" s="229">
        <v>39102.980530000001</v>
      </c>
      <c r="JV7" s="229">
        <v>39839.689299999998</v>
      </c>
      <c r="JW7" s="229">
        <v>44048.78443</v>
      </c>
      <c r="JX7" s="229">
        <v>43460.864789999992</v>
      </c>
      <c r="JY7" s="229">
        <v>44002.951579999994</v>
      </c>
      <c r="JZ7" s="229">
        <v>44491.816220000001</v>
      </c>
      <c r="KA7" s="231">
        <f>SUM(JO7:JZ7)</f>
        <v>506452.71392999991</v>
      </c>
      <c r="KB7" s="1600">
        <v>45312.748119999997</v>
      </c>
      <c r="KC7" s="1601">
        <v>40437.930270000004</v>
      </c>
      <c r="KD7" s="130">
        <v>43057.809219999988</v>
      </c>
      <c r="KE7" s="130">
        <v>54449.070069999994</v>
      </c>
      <c r="KF7" s="130">
        <v>42274.543639999989</v>
      </c>
      <c r="KG7" s="130">
        <v>43449.161220000002</v>
      </c>
      <c r="KH7" s="130">
        <v>43679.954869999994</v>
      </c>
      <c r="KI7" s="130">
        <v>48005.50991999999</v>
      </c>
      <c r="KJ7" s="130"/>
      <c r="KK7" s="130"/>
      <c r="KL7" s="130"/>
      <c r="KM7" s="130"/>
      <c r="KN7" s="1327">
        <f>SUM(KB7:KM7)</f>
        <v>360666.72732999997</v>
      </c>
      <c r="KP7" s="14">
        <f>IFERROR((((KI7/JV7)-1)*100),"")</f>
        <v>20.496697548291355</v>
      </c>
      <c r="KQ7" s="1662">
        <f>IFERROR((((KS7/KR7)-1)*100),"")</f>
        <v>9.1446773073338825</v>
      </c>
      <c r="KR7" s="50">
        <f>SUM(JO7:JV7)</f>
        <v>330448.29690999992</v>
      </c>
      <c r="KS7" s="50">
        <f>SUM(KB7:KM7)</f>
        <v>360666.72732999997</v>
      </c>
      <c r="KT7" s="29"/>
    </row>
    <row r="8" spans="1:306" s="35" customFormat="1" ht="13.9" customHeight="1" x14ac:dyDescent="0.2">
      <c r="A8" s="219" t="s">
        <v>291</v>
      </c>
      <c r="B8" s="220">
        <f t="shared" ref="B8:Z8" si="20">B9+B13+B14+B17+B18</f>
        <v>6865</v>
      </c>
      <c r="C8" s="221">
        <f t="shared" si="20"/>
        <v>5834</v>
      </c>
      <c r="D8" s="221">
        <f t="shared" si="20"/>
        <v>8172</v>
      </c>
      <c r="E8" s="221">
        <f t="shared" si="20"/>
        <v>6288</v>
      </c>
      <c r="F8" s="221">
        <f t="shared" si="20"/>
        <v>5567</v>
      </c>
      <c r="G8" s="221">
        <f t="shared" si="20"/>
        <v>5216</v>
      </c>
      <c r="H8" s="221">
        <f t="shared" si="20"/>
        <v>6103</v>
      </c>
      <c r="I8" s="221">
        <f t="shared" si="20"/>
        <v>5459</v>
      </c>
      <c r="J8" s="221">
        <f t="shared" si="20"/>
        <v>5850</v>
      </c>
      <c r="K8" s="221">
        <f t="shared" si="20"/>
        <v>4995</v>
      </c>
      <c r="L8" s="221">
        <f t="shared" si="20"/>
        <v>5172</v>
      </c>
      <c r="M8" s="28">
        <f t="shared" si="20"/>
        <v>5596</v>
      </c>
      <c r="N8" s="285">
        <f t="shared" ref="N8:N19" si="21">SUM(B8:M8)</f>
        <v>71117</v>
      </c>
      <c r="O8" s="220">
        <f t="shared" si="20"/>
        <v>4445.1000000000004</v>
      </c>
      <c r="P8" s="221">
        <f t="shared" si="20"/>
        <v>3625.1</v>
      </c>
      <c r="Q8" s="221">
        <f t="shared" si="20"/>
        <v>4369.1000000000004</v>
      </c>
      <c r="R8" s="221">
        <f t="shared" si="20"/>
        <v>4871.1000000000004</v>
      </c>
      <c r="S8" s="282">
        <f t="shared" si="20"/>
        <v>3586.1</v>
      </c>
      <c r="T8" s="282">
        <f t="shared" si="20"/>
        <v>3616.2</v>
      </c>
      <c r="U8" s="282">
        <f t="shared" si="20"/>
        <v>3504.1</v>
      </c>
      <c r="V8" s="282">
        <f t="shared" si="20"/>
        <v>3612.1</v>
      </c>
      <c r="W8" s="282">
        <f t="shared" si="20"/>
        <v>3388.1</v>
      </c>
      <c r="X8" s="282">
        <f t="shared" si="20"/>
        <v>3064.1</v>
      </c>
      <c r="Y8" s="282">
        <f t="shared" si="20"/>
        <v>3191.1</v>
      </c>
      <c r="Z8" s="282">
        <f t="shared" si="20"/>
        <v>3462.1</v>
      </c>
      <c r="AA8" s="285">
        <f t="shared" ref="AA8:AA19" si="22">SUM(O8:Z8)</f>
        <v>44734.299999999996</v>
      </c>
      <c r="AB8" s="283">
        <f t="shared" ref="AB8:AM8" si="23">AB9+AB13+AB14+AB17+AB18</f>
        <v>4054</v>
      </c>
      <c r="AC8" s="282">
        <f t="shared" si="23"/>
        <v>3509</v>
      </c>
      <c r="AD8" s="282">
        <f t="shared" si="23"/>
        <v>3910</v>
      </c>
      <c r="AE8" s="271">
        <f t="shared" si="23"/>
        <v>3848</v>
      </c>
      <c r="AF8" s="271">
        <f t="shared" si="23"/>
        <v>3203</v>
      </c>
      <c r="AG8" s="271">
        <f t="shared" si="23"/>
        <v>3830</v>
      </c>
      <c r="AH8" s="271">
        <f t="shared" si="23"/>
        <v>3570</v>
      </c>
      <c r="AI8" s="271">
        <f t="shared" si="23"/>
        <v>3940</v>
      </c>
      <c r="AJ8" s="271">
        <f t="shared" si="23"/>
        <v>4157</v>
      </c>
      <c r="AK8" s="271">
        <f t="shared" si="23"/>
        <v>3992</v>
      </c>
      <c r="AL8" s="271">
        <f t="shared" si="23"/>
        <v>3824</v>
      </c>
      <c r="AM8" s="271">
        <f t="shared" si="23"/>
        <v>3198</v>
      </c>
      <c r="AN8" s="285">
        <f t="shared" ref="AN8:AN19" si="24">SUM(AB8:AM8)</f>
        <v>45035</v>
      </c>
      <c r="AO8" s="284">
        <f t="shared" ref="AO8:AZ8" si="25">AO9+AO13+AO14+AO17+AO18</f>
        <v>3791</v>
      </c>
      <c r="AP8" s="271">
        <f t="shared" si="25"/>
        <v>3417</v>
      </c>
      <c r="AQ8" s="271">
        <f t="shared" si="25"/>
        <v>3797</v>
      </c>
      <c r="AR8" s="271">
        <f t="shared" si="25"/>
        <v>4347</v>
      </c>
      <c r="AS8" s="271">
        <f t="shared" si="25"/>
        <v>3282</v>
      </c>
      <c r="AT8" s="271">
        <f t="shared" si="25"/>
        <v>3735</v>
      </c>
      <c r="AU8" s="271">
        <f t="shared" si="25"/>
        <v>3123</v>
      </c>
      <c r="AV8" s="271">
        <f t="shared" si="25"/>
        <v>3585</v>
      </c>
      <c r="AW8" s="271">
        <f t="shared" si="25"/>
        <v>3959</v>
      </c>
      <c r="AX8" s="271">
        <f t="shared" si="25"/>
        <v>4031</v>
      </c>
      <c r="AY8" s="271">
        <f t="shared" si="25"/>
        <v>4381</v>
      </c>
      <c r="AZ8" s="271">
        <f t="shared" si="25"/>
        <v>4161</v>
      </c>
      <c r="BA8" s="285">
        <f t="shared" ref="BA8:BA19" si="26">SUM(AO8:AZ8)</f>
        <v>45609</v>
      </c>
      <c r="BB8" s="271">
        <f t="shared" ref="BB8:BM8" si="27">BB9+BB13+BB14+BB17+BB18</f>
        <v>5472</v>
      </c>
      <c r="BC8" s="271">
        <f t="shared" si="27"/>
        <v>4614</v>
      </c>
      <c r="BD8" s="271">
        <f t="shared" si="27"/>
        <v>5249</v>
      </c>
      <c r="BE8" s="271">
        <f t="shared" si="27"/>
        <v>11096</v>
      </c>
      <c r="BF8" s="271">
        <f t="shared" si="27"/>
        <v>5553</v>
      </c>
      <c r="BG8" s="271">
        <f t="shared" si="27"/>
        <v>5746</v>
      </c>
      <c r="BH8" s="271">
        <f t="shared" si="27"/>
        <v>6164</v>
      </c>
      <c r="BI8" s="271">
        <f t="shared" si="27"/>
        <v>6444</v>
      </c>
      <c r="BJ8" s="271">
        <f t="shared" si="27"/>
        <v>6584</v>
      </c>
      <c r="BK8" s="271">
        <f t="shared" si="27"/>
        <v>6531</v>
      </c>
      <c r="BL8" s="271">
        <f t="shared" si="27"/>
        <v>6440</v>
      </c>
      <c r="BM8" s="271">
        <f t="shared" si="27"/>
        <v>6410</v>
      </c>
      <c r="BN8" s="285">
        <f t="shared" ref="BN8:BN18" si="28">SUM(BB8:BM8)</f>
        <v>76303</v>
      </c>
      <c r="BO8" s="284">
        <f t="shared" ref="BO8:BZ8" si="29">BO9+BO13+BO14+BO17+BO18</f>
        <v>6670</v>
      </c>
      <c r="BP8" s="271">
        <f t="shared" si="29"/>
        <v>6333</v>
      </c>
      <c r="BQ8" s="271">
        <f t="shared" si="29"/>
        <v>8171</v>
      </c>
      <c r="BR8" s="271">
        <f t="shared" si="29"/>
        <v>9798</v>
      </c>
      <c r="BS8" s="271">
        <f t="shared" si="29"/>
        <v>5914</v>
      </c>
      <c r="BT8" s="271">
        <f t="shared" si="29"/>
        <v>6054</v>
      </c>
      <c r="BU8" s="271">
        <f t="shared" si="29"/>
        <v>6397</v>
      </c>
      <c r="BV8" s="271">
        <f t="shared" si="29"/>
        <v>6918</v>
      </c>
      <c r="BW8" s="271">
        <f t="shared" si="29"/>
        <v>6533</v>
      </c>
      <c r="BX8" s="271">
        <f t="shared" si="29"/>
        <v>6791</v>
      </c>
      <c r="BY8" s="271">
        <f t="shared" si="29"/>
        <v>8381</v>
      </c>
      <c r="BZ8" s="271">
        <f t="shared" si="29"/>
        <v>7802</v>
      </c>
      <c r="CA8" s="285">
        <f t="shared" ref="CA8:CA18" si="30">SUM(BO8:BZ8)</f>
        <v>85762</v>
      </c>
      <c r="CB8" s="271">
        <f t="shared" ref="CB8:CM8" si="31">CB9+CB13+CB14+CB17+CB18</f>
        <v>7678</v>
      </c>
      <c r="CC8" s="271">
        <f t="shared" si="31"/>
        <v>7034</v>
      </c>
      <c r="CD8" s="271">
        <f t="shared" si="31"/>
        <v>7635</v>
      </c>
      <c r="CE8" s="271">
        <f t="shared" si="31"/>
        <v>9742</v>
      </c>
      <c r="CF8" s="271">
        <f t="shared" si="31"/>
        <v>6664</v>
      </c>
      <c r="CG8" s="271">
        <f t="shared" si="31"/>
        <v>7216</v>
      </c>
      <c r="CH8" s="271">
        <f t="shared" si="31"/>
        <v>7344</v>
      </c>
      <c r="CI8" s="271">
        <f t="shared" si="31"/>
        <v>8345</v>
      </c>
      <c r="CJ8" s="271">
        <f t="shared" si="31"/>
        <v>8476</v>
      </c>
      <c r="CK8" s="271">
        <f t="shared" si="31"/>
        <v>7236</v>
      </c>
      <c r="CL8" s="271">
        <f t="shared" si="31"/>
        <v>7179</v>
      </c>
      <c r="CM8" s="271">
        <f t="shared" si="31"/>
        <v>7025</v>
      </c>
      <c r="CN8" s="285">
        <f t="shared" ref="CN8:CN18" si="32">SUM(CB8:CM8)</f>
        <v>91574</v>
      </c>
      <c r="CO8" s="284">
        <f t="shared" ref="CO8:CZ8" si="33">CO9+CO13+CO14+CO17+CO18</f>
        <v>9042</v>
      </c>
      <c r="CP8" s="271">
        <f t="shared" si="33"/>
        <v>7308</v>
      </c>
      <c r="CQ8" s="271">
        <f t="shared" si="33"/>
        <v>9203</v>
      </c>
      <c r="CR8" s="271">
        <f t="shared" si="33"/>
        <v>11026</v>
      </c>
      <c r="CS8" s="271">
        <f t="shared" si="33"/>
        <v>7768</v>
      </c>
      <c r="CT8" s="271">
        <f t="shared" si="33"/>
        <v>8161</v>
      </c>
      <c r="CU8" s="271">
        <f t="shared" si="33"/>
        <v>8709</v>
      </c>
      <c r="CV8" s="271">
        <f t="shared" si="33"/>
        <v>8410</v>
      </c>
      <c r="CW8" s="271">
        <f t="shared" si="33"/>
        <v>10115</v>
      </c>
      <c r="CX8" s="271">
        <f t="shared" si="33"/>
        <v>9569</v>
      </c>
      <c r="CY8" s="271">
        <f t="shared" si="33"/>
        <v>9873</v>
      </c>
      <c r="CZ8" s="271">
        <f t="shared" si="33"/>
        <v>10581</v>
      </c>
      <c r="DA8" s="285">
        <f t="shared" ref="DA8:DA18" si="34">SUM(CO8:CZ8)</f>
        <v>109765</v>
      </c>
      <c r="DB8" s="271">
        <f t="shared" ref="DB8:DM8" si="35">DB9+DB13+DB14+DB17+DB18</f>
        <v>11299</v>
      </c>
      <c r="DC8" s="271">
        <f t="shared" si="35"/>
        <v>10253</v>
      </c>
      <c r="DD8" s="271">
        <f t="shared" si="35"/>
        <v>11313</v>
      </c>
      <c r="DE8" s="271">
        <f t="shared" si="35"/>
        <v>14104</v>
      </c>
      <c r="DF8" s="271">
        <f t="shared" si="35"/>
        <v>9883</v>
      </c>
      <c r="DG8" s="271">
        <f t="shared" si="35"/>
        <v>9665</v>
      </c>
      <c r="DH8" s="271">
        <f t="shared" si="35"/>
        <v>10822</v>
      </c>
      <c r="DI8" s="271">
        <f t="shared" si="35"/>
        <v>10556</v>
      </c>
      <c r="DJ8" s="271">
        <f t="shared" si="35"/>
        <v>11638</v>
      </c>
      <c r="DK8" s="271">
        <f t="shared" si="35"/>
        <v>11588</v>
      </c>
      <c r="DL8" s="271">
        <f t="shared" si="35"/>
        <v>15138</v>
      </c>
      <c r="DM8" s="271">
        <f t="shared" si="35"/>
        <v>14069</v>
      </c>
      <c r="DN8" s="285">
        <f t="shared" ref="DN8:DN18" si="36">SUM(DB8:DM8)</f>
        <v>140328</v>
      </c>
      <c r="DO8" s="284">
        <f t="shared" ref="DO8:DZ8" si="37">DO9+DO13+DO14+DO17+DO18</f>
        <v>14439.7</v>
      </c>
      <c r="DP8" s="271">
        <f t="shared" si="37"/>
        <v>12368.300000000001</v>
      </c>
      <c r="DQ8" s="271">
        <f t="shared" si="37"/>
        <v>13525.200000000003</v>
      </c>
      <c r="DR8" s="271">
        <f t="shared" si="37"/>
        <v>14922.8</v>
      </c>
      <c r="DS8" s="271">
        <f t="shared" si="37"/>
        <v>10882.580000000002</v>
      </c>
      <c r="DT8" s="271">
        <f t="shared" si="37"/>
        <v>11042.8</v>
      </c>
      <c r="DU8" s="271">
        <f t="shared" si="37"/>
        <v>10947.6</v>
      </c>
      <c r="DV8" s="271">
        <f t="shared" si="37"/>
        <v>11220.199999999999</v>
      </c>
      <c r="DW8" s="271">
        <f t="shared" si="37"/>
        <v>12345</v>
      </c>
      <c r="DX8" s="271">
        <f t="shared" si="37"/>
        <v>12122</v>
      </c>
      <c r="DY8" s="271">
        <f t="shared" si="37"/>
        <v>16824.699999999997</v>
      </c>
      <c r="DZ8" s="271">
        <f t="shared" si="37"/>
        <v>14668.900000000001</v>
      </c>
      <c r="EA8" s="285">
        <f t="shared" ref="EA8:EA18" si="38">SUM(DO8:DZ8)</f>
        <v>155309.78</v>
      </c>
      <c r="EB8" s="284">
        <f t="shared" ref="EB8:EM8" si="39">EB9+EB13+EB14+EB17+EB18</f>
        <v>14845.7</v>
      </c>
      <c r="EC8" s="271">
        <f t="shared" si="39"/>
        <v>13191.1</v>
      </c>
      <c r="ED8" s="271">
        <f t="shared" si="39"/>
        <v>15434.7</v>
      </c>
      <c r="EE8" s="271">
        <f t="shared" si="39"/>
        <v>20997.700000000004</v>
      </c>
      <c r="EF8" s="271">
        <f t="shared" si="39"/>
        <v>13551.9</v>
      </c>
      <c r="EG8" s="271">
        <f t="shared" si="39"/>
        <v>13252.3</v>
      </c>
      <c r="EH8" s="271">
        <f t="shared" si="39"/>
        <v>13904.700000000003</v>
      </c>
      <c r="EI8" s="271">
        <f t="shared" si="39"/>
        <v>15788.5</v>
      </c>
      <c r="EJ8" s="271">
        <f t="shared" si="39"/>
        <v>12668.800000000001</v>
      </c>
      <c r="EK8" s="271">
        <f t="shared" si="39"/>
        <v>16137.8</v>
      </c>
      <c r="EL8" s="271">
        <f t="shared" si="39"/>
        <v>14092.303399999999</v>
      </c>
      <c r="EM8" s="271">
        <f t="shared" si="39"/>
        <v>13959.834449999998</v>
      </c>
      <c r="EN8" s="285">
        <f t="shared" ref="EN8:EN18" si="40">SUM(EB8:EM8)</f>
        <v>177825.33784999998</v>
      </c>
      <c r="EO8" s="271">
        <f t="shared" ref="EO8:EZ8" si="41">EO9+EO13+EO14+EO17+EO18</f>
        <v>15829.868380000002</v>
      </c>
      <c r="EP8" s="271">
        <f t="shared" si="41"/>
        <v>14826.555</v>
      </c>
      <c r="EQ8" s="271">
        <f t="shared" si="41"/>
        <v>15423.055</v>
      </c>
      <c r="ER8" s="271">
        <f t="shared" si="41"/>
        <v>18508</v>
      </c>
      <c r="ES8" s="271">
        <f t="shared" si="41"/>
        <v>11950.8</v>
      </c>
      <c r="ET8" s="271">
        <f t="shared" si="41"/>
        <v>11744</v>
      </c>
      <c r="EU8" s="271">
        <f t="shared" si="41"/>
        <v>13649.6</v>
      </c>
      <c r="EV8" s="271">
        <f t="shared" si="41"/>
        <v>13681.3</v>
      </c>
      <c r="EW8" s="271">
        <f t="shared" si="41"/>
        <v>13860</v>
      </c>
      <c r="EX8" s="271">
        <f t="shared" si="41"/>
        <v>14459.1</v>
      </c>
      <c r="EY8" s="271">
        <f t="shared" si="41"/>
        <v>14339.000000000002</v>
      </c>
      <c r="EZ8" s="271">
        <f t="shared" si="41"/>
        <v>18419.000000000004</v>
      </c>
      <c r="FA8" s="285">
        <f t="shared" ref="FA8:FA18" si="42">SUM(EO8:EZ8)</f>
        <v>176690.27838</v>
      </c>
      <c r="FB8" s="284">
        <f t="shared" ref="FB8:FJ8" si="43">FB9+FB13+FB14+FB17+FB18</f>
        <v>16387</v>
      </c>
      <c r="FC8" s="271">
        <f t="shared" si="43"/>
        <v>14264.499999999998</v>
      </c>
      <c r="FD8" s="271">
        <f t="shared" si="43"/>
        <v>20661.199999999997</v>
      </c>
      <c r="FE8" s="271">
        <f t="shared" si="43"/>
        <v>21096.1</v>
      </c>
      <c r="FF8" s="271">
        <f t="shared" si="43"/>
        <v>14729.7</v>
      </c>
      <c r="FG8" s="271">
        <f t="shared" si="43"/>
        <v>13237</v>
      </c>
      <c r="FH8" s="271">
        <f t="shared" si="43"/>
        <v>13752</v>
      </c>
      <c r="FI8" s="271">
        <f t="shared" si="43"/>
        <v>15512.699999999999</v>
      </c>
      <c r="FJ8" s="271">
        <f t="shared" si="43"/>
        <v>15021.399999999998</v>
      </c>
      <c r="FK8" s="271">
        <f>FK9+FK13+FK14+FK17+FK18</f>
        <v>15892.3</v>
      </c>
      <c r="FL8" s="271">
        <f>FL9+FL13+FL14+FL17+FL18</f>
        <v>17843.3</v>
      </c>
      <c r="FM8" s="271">
        <f>FM9+FM13+FM14+FM17+FM18</f>
        <v>16039.900000000001</v>
      </c>
      <c r="FN8" s="285">
        <f t="shared" ref="FN8:FN18" si="44">SUM(FB8:FM8)</f>
        <v>194437.09999999995</v>
      </c>
      <c r="FO8" s="284">
        <f t="shared" ref="FO8:FZ8" si="45">FO9+FO13+FO14+FO17+FO18</f>
        <v>19733</v>
      </c>
      <c r="FP8" s="271">
        <f t="shared" si="45"/>
        <v>14729.000000000002</v>
      </c>
      <c r="FQ8" s="271">
        <f t="shared" si="45"/>
        <v>18636.199999999997</v>
      </c>
      <c r="FR8" s="271">
        <f t="shared" si="45"/>
        <v>19822</v>
      </c>
      <c r="FS8" s="271">
        <f t="shared" si="45"/>
        <v>15396.2</v>
      </c>
      <c r="FT8" s="271">
        <f t="shared" si="45"/>
        <v>14527.599999999997</v>
      </c>
      <c r="FU8" s="271">
        <f t="shared" si="45"/>
        <v>15111.599999999999</v>
      </c>
      <c r="FV8" s="271">
        <f t="shared" si="45"/>
        <v>17302.5</v>
      </c>
      <c r="FW8" s="271">
        <f t="shared" si="45"/>
        <v>18041.8</v>
      </c>
      <c r="FX8" s="271">
        <f t="shared" si="45"/>
        <v>17970.8</v>
      </c>
      <c r="FY8" s="271">
        <f t="shared" si="45"/>
        <v>18243.8</v>
      </c>
      <c r="FZ8" s="271">
        <f t="shared" si="45"/>
        <v>18424.599999999999</v>
      </c>
      <c r="GA8" s="285">
        <f t="shared" ref="GA8:GA18" si="46">SUM(FO8:FZ8)</f>
        <v>207939.09999999995</v>
      </c>
      <c r="GB8" s="284">
        <f t="shared" ref="GB8:GM8" si="47">GB9+GB13+GB14+GB17+GB18</f>
        <v>20517</v>
      </c>
      <c r="GC8" s="271">
        <f t="shared" si="47"/>
        <v>17324</v>
      </c>
      <c r="GD8" s="271">
        <f t="shared" si="47"/>
        <v>17090.100000000002</v>
      </c>
      <c r="GE8" s="271">
        <f t="shared" si="47"/>
        <v>22895.699999999997</v>
      </c>
      <c r="GF8" s="271">
        <f t="shared" si="47"/>
        <v>17227.900000000001</v>
      </c>
      <c r="GG8" s="271">
        <f t="shared" si="47"/>
        <v>15340.4</v>
      </c>
      <c r="GH8" s="271">
        <f t="shared" si="47"/>
        <v>16089.4</v>
      </c>
      <c r="GI8" s="271">
        <f t="shared" si="47"/>
        <v>17813.3</v>
      </c>
      <c r="GJ8" s="271">
        <f t="shared" si="47"/>
        <v>18976.300000000003</v>
      </c>
      <c r="GK8" s="271">
        <f t="shared" si="47"/>
        <v>20265.2</v>
      </c>
      <c r="GL8" s="271">
        <f t="shared" si="47"/>
        <v>19895.900000000001</v>
      </c>
      <c r="GM8" s="286">
        <f t="shared" si="47"/>
        <v>20857.099999999999</v>
      </c>
      <c r="GN8" s="286">
        <f t="shared" ref="GN8:GN18" si="48">SUM(GB8:GM8)</f>
        <v>224292.3</v>
      </c>
      <c r="GO8" s="271">
        <f>GO9+GO13+GO14+GO17+GO18</f>
        <v>21140.299999999996</v>
      </c>
      <c r="GP8" s="271">
        <f>GP9+GP13+GP14+GP17+GP18</f>
        <v>19003.664919999999</v>
      </c>
      <c r="GQ8" s="271">
        <f>GQ9+GQ13+GQ14+GQ17+GQ18</f>
        <v>19930.100000000002</v>
      </c>
      <c r="GR8" s="271">
        <f>GR9+GR13+GR14+GR17+GR18</f>
        <v>23114.400000000001</v>
      </c>
      <c r="GS8" s="271">
        <f>GS9+GS13+GS14+GS17+GS18</f>
        <v>15588.5</v>
      </c>
      <c r="GT8" s="271">
        <f t="shared" ref="GT8:GZ8" si="49">GT9+GT13+GT14+GT17+GT18</f>
        <v>15550</v>
      </c>
      <c r="GU8" s="271">
        <f t="shared" si="49"/>
        <v>17031.3</v>
      </c>
      <c r="GV8" s="271">
        <f t="shared" si="49"/>
        <v>17261.900000000001</v>
      </c>
      <c r="GW8" s="271">
        <f t="shared" si="49"/>
        <v>21593.7</v>
      </c>
      <c r="GX8" s="271">
        <f t="shared" si="49"/>
        <v>21230.9</v>
      </c>
      <c r="GY8" s="271">
        <f t="shared" si="49"/>
        <v>20264.300000000003</v>
      </c>
      <c r="GZ8" s="271">
        <f t="shared" si="49"/>
        <v>21499</v>
      </c>
      <c r="HA8" s="285">
        <f t="shared" ref="HA8:HA19" si="50">SUM(GO8:GZ8)</f>
        <v>233208.06491999998</v>
      </c>
      <c r="HB8" s="284">
        <f t="shared" ref="HB8:HM8" si="51">HB9+HB13+HB14+HB17+HB18</f>
        <v>23434.9</v>
      </c>
      <c r="HC8" s="271">
        <f t="shared" si="51"/>
        <v>23006.100000000002</v>
      </c>
      <c r="HD8" s="271">
        <f t="shared" si="51"/>
        <v>16125.300000000003</v>
      </c>
      <c r="HE8" s="271">
        <f t="shared" si="51"/>
        <v>12418.8</v>
      </c>
      <c r="HF8" s="271">
        <f t="shared" si="51"/>
        <v>13697.699999999999</v>
      </c>
      <c r="HG8" s="271">
        <f t="shared" si="51"/>
        <v>12050.1</v>
      </c>
      <c r="HH8" s="271">
        <f t="shared" si="51"/>
        <v>18243.7</v>
      </c>
      <c r="HI8" s="271">
        <f t="shared" si="51"/>
        <v>17549.8</v>
      </c>
      <c r="HJ8" s="271">
        <f t="shared" si="51"/>
        <v>21319.000000000004</v>
      </c>
      <c r="HK8" s="271">
        <f t="shared" si="51"/>
        <v>22673.8</v>
      </c>
      <c r="HL8" s="271">
        <f t="shared" si="51"/>
        <v>23600.800000000003</v>
      </c>
      <c r="HM8" s="271">
        <f t="shared" si="51"/>
        <v>24323.399999999998</v>
      </c>
      <c r="HN8" s="285">
        <f t="shared" ref="HN8:HN18" si="52">SUM(HB8:HM8)</f>
        <v>228443.4</v>
      </c>
      <c r="HO8" s="284">
        <f t="shared" ref="HO8:II8" si="53">HO9+HO13+HO14+HO17+HO18</f>
        <v>27050.499999999996</v>
      </c>
      <c r="HP8" s="271">
        <f t="shared" si="53"/>
        <v>26770.2</v>
      </c>
      <c r="HQ8" s="271">
        <f t="shared" si="53"/>
        <v>28569.699999999997</v>
      </c>
      <c r="HR8" s="271">
        <f t="shared" si="53"/>
        <v>32282.899999999998</v>
      </c>
      <c r="HS8" s="271">
        <f t="shared" si="53"/>
        <v>24303.200000000001</v>
      </c>
      <c r="HT8" s="271">
        <f t="shared" si="53"/>
        <v>25994.569770000006</v>
      </c>
      <c r="HU8" s="271">
        <f t="shared" si="53"/>
        <v>26930.008259999999</v>
      </c>
      <c r="HV8" s="271">
        <f t="shared" si="53"/>
        <v>26620.230889999995</v>
      </c>
      <c r="HW8" s="271">
        <f t="shared" si="53"/>
        <v>27973.367809999996</v>
      </c>
      <c r="HX8" s="271">
        <f t="shared" si="53"/>
        <v>29464.324759999996</v>
      </c>
      <c r="HY8" s="271">
        <f t="shared" si="53"/>
        <v>30942.465910000003</v>
      </c>
      <c r="HZ8" s="286">
        <f t="shared" si="53"/>
        <v>32572.39028</v>
      </c>
      <c r="IA8" s="286">
        <f t="shared" ref="IA8:IA19" si="54">SUM(HO8:HZ8)</f>
        <v>339473.85768000002</v>
      </c>
      <c r="IB8" s="284">
        <f t="shared" si="53"/>
        <v>29929.824819999994</v>
      </c>
      <c r="IC8" s="271">
        <f t="shared" si="53"/>
        <v>28373.483739999992</v>
      </c>
      <c r="ID8" s="271">
        <f t="shared" si="53"/>
        <v>35679.002919999992</v>
      </c>
      <c r="IE8" s="271">
        <f t="shared" si="53"/>
        <v>40049.379279999994</v>
      </c>
      <c r="IF8" s="271">
        <f t="shared" si="53"/>
        <v>28562.106369999994</v>
      </c>
      <c r="IG8" s="271">
        <f t="shared" si="53"/>
        <v>28203.891309999995</v>
      </c>
      <c r="IH8" s="271">
        <f t="shared" si="53"/>
        <v>31096.444329999995</v>
      </c>
      <c r="II8" s="271">
        <f t="shared" si="53"/>
        <v>30740.954879999998</v>
      </c>
      <c r="IJ8" s="271">
        <f>IJ9+IJ13+IJ14+IJ17+IJ18</f>
        <v>34195.058109999998</v>
      </c>
      <c r="IK8" s="271">
        <f>IK9+IK13+IK14+IK17+IK18</f>
        <v>33079.026049999993</v>
      </c>
      <c r="IL8" s="287">
        <f>IL9+IL13+IL14+IL17+IL18</f>
        <v>37897.343219999995</v>
      </c>
      <c r="IM8" s="287">
        <f>IM9+IM13+IM14+IM17+IM18</f>
        <v>34913.722519999988</v>
      </c>
      <c r="IN8" s="285">
        <f>SUM(IB8:IM8)</f>
        <v>392720.23754999996</v>
      </c>
      <c r="IO8" s="284">
        <f t="shared" ref="IO8:IV8" si="55">IO9+IO13+IO14+IO17+IO18</f>
        <v>32025.822329999995</v>
      </c>
      <c r="IP8" s="271">
        <f t="shared" si="55"/>
        <v>28140.242169999994</v>
      </c>
      <c r="IQ8" s="271">
        <f t="shared" si="55"/>
        <v>33361.915689999994</v>
      </c>
      <c r="IR8" s="271">
        <f t="shared" si="55"/>
        <v>37980.354499999987</v>
      </c>
      <c r="IS8" s="271">
        <f t="shared" si="55"/>
        <v>28864.152870000005</v>
      </c>
      <c r="IT8" s="271">
        <f t="shared" si="55"/>
        <v>26012.752969999994</v>
      </c>
      <c r="IU8" s="271">
        <f t="shared" si="55"/>
        <v>26927.594489999992</v>
      </c>
      <c r="IV8" s="271">
        <f t="shared" si="55"/>
        <v>30053.187259999992</v>
      </c>
      <c r="IW8" s="271">
        <v>31278.074219999991</v>
      </c>
      <c r="IX8" s="271">
        <v>33333.838839999997</v>
      </c>
      <c r="IY8" s="271">
        <v>31863.566819999996</v>
      </c>
      <c r="IZ8" s="286">
        <v>32877.398309999997</v>
      </c>
      <c r="JA8" s="286">
        <f t="shared" ref="JA8:JA19" si="56">SUM(IO8:IZ8)</f>
        <v>372718.90046999999</v>
      </c>
      <c r="JB8" s="271">
        <v>36116.517530000005</v>
      </c>
      <c r="JC8" s="271">
        <v>31277.94009</v>
      </c>
      <c r="JD8" s="271">
        <v>31590.54437</v>
      </c>
      <c r="JE8" s="271">
        <v>45336.903489999997</v>
      </c>
      <c r="JF8" s="271">
        <v>29905.246859999996</v>
      </c>
      <c r="JG8" s="271">
        <v>30647.380199999996</v>
      </c>
      <c r="JH8" s="271">
        <v>35143.620239999997</v>
      </c>
      <c r="JI8" s="271">
        <v>35883.290599999993</v>
      </c>
      <c r="JJ8" s="271">
        <v>37863.573909999999</v>
      </c>
      <c r="JK8" s="271">
        <v>36315.815349999983</v>
      </c>
      <c r="JL8" s="271">
        <v>38499.626779999991</v>
      </c>
      <c r="JM8" s="286">
        <v>48032.863920000003</v>
      </c>
      <c r="JN8" s="286">
        <f t="shared" ref="JN8:JN19" si="57">SUM(JB8:JM8)</f>
        <v>436613.32333999989</v>
      </c>
      <c r="JO8" s="284">
        <v>42668.674119999996</v>
      </c>
      <c r="JP8" s="271">
        <v>37302.804699999993</v>
      </c>
      <c r="JQ8" s="271">
        <v>39552.139999999992</v>
      </c>
      <c r="JR8" s="271">
        <v>53651.823049999992</v>
      </c>
      <c r="JS8" s="271">
        <v>36247.858619999999</v>
      </c>
      <c r="JT8" s="271">
        <v>35640.556329999985</v>
      </c>
      <c r="JU8" s="271">
        <v>37822.694609999999</v>
      </c>
      <c r="JV8" s="271">
        <v>39275.571599999996</v>
      </c>
      <c r="JW8" s="271">
        <v>43167.358110000001</v>
      </c>
      <c r="JX8" s="271">
        <v>42252.935939999988</v>
      </c>
      <c r="JY8" s="271">
        <v>42755.476119999992</v>
      </c>
      <c r="JZ8" s="271">
        <v>43183.278749999998</v>
      </c>
      <c r="KA8" s="285">
        <f t="shared" ref="KA8:KA18" si="58">SUM(JO8:JZ8)</f>
        <v>493521.17195000005</v>
      </c>
      <c r="KB8" s="1602">
        <v>43765.952749999997</v>
      </c>
      <c r="KC8" s="1603">
        <v>39377.395400000001</v>
      </c>
      <c r="KD8" s="129">
        <v>41762.865129999991</v>
      </c>
      <c r="KE8" s="129">
        <v>53208.102219999993</v>
      </c>
      <c r="KF8" s="129">
        <v>41403.026279999991</v>
      </c>
      <c r="KG8" s="129">
        <v>42052.84648</v>
      </c>
      <c r="KH8" s="129">
        <v>42617.826669999995</v>
      </c>
      <c r="KI8" s="129">
        <v>46861.830699999991</v>
      </c>
      <c r="KJ8" s="71"/>
      <c r="KK8" s="71"/>
      <c r="KL8" s="71"/>
      <c r="KM8" s="71"/>
      <c r="KN8" s="1329">
        <f t="shared" ref="KN8:KN19" si="59">SUM(KB8:KM8)</f>
        <v>351049.84563</v>
      </c>
      <c r="KO8" s="71"/>
      <c r="KP8" s="27">
        <f t="shared" ref="KP8:KP19" si="60">IFERROR((((KI8/JV8)-1)*100),"")</f>
        <v>19.315464526555726</v>
      </c>
      <c r="KQ8" s="1663">
        <f t="shared" ref="KQ8:KQ19" si="61">IFERROR((((KS8/KR8)-1)*100),"")</f>
        <v>8.9668277351493408</v>
      </c>
      <c r="KR8" s="222">
        <f t="shared" ref="KR8:KR19" si="62">SUM(JO8:JV8)</f>
        <v>322162.12303000002</v>
      </c>
      <c r="KS8" s="222">
        <f t="shared" ref="KS8:KS19" si="63">SUM(KB8:KM8)</f>
        <v>351049.84563</v>
      </c>
      <c r="KT8" s="221"/>
    </row>
    <row r="9" spans="1:306" ht="13.9" customHeight="1" x14ac:dyDescent="0.2">
      <c r="A9" s="238" t="s">
        <v>446</v>
      </c>
      <c r="B9" s="52">
        <v>4866</v>
      </c>
      <c r="C9" s="24">
        <v>4277</v>
      </c>
      <c r="D9" s="24">
        <v>7292</v>
      </c>
      <c r="E9" s="24">
        <v>4548</v>
      </c>
      <c r="F9" s="24">
        <v>3844</v>
      </c>
      <c r="G9" s="24">
        <v>3725</v>
      </c>
      <c r="H9" s="24">
        <v>4319</v>
      </c>
      <c r="I9" s="24">
        <v>4641</v>
      </c>
      <c r="J9" s="24">
        <v>4604</v>
      </c>
      <c r="K9" s="24">
        <v>4435</v>
      </c>
      <c r="L9" s="24">
        <v>3853</v>
      </c>
      <c r="M9" s="23">
        <v>4153</v>
      </c>
      <c r="N9" s="242">
        <f t="shared" si="21"/>
        <v>54557</v>
      </c>
      <c r="O9" s="24">
        <f t="shared" ref="O9:Z9" si="64">SUM(O10:O12)</f>
        <v>2635</v>
      </c>
      <c r="P9" s="24">
        <f t="shared" si="64"/>
        <v>2418</v>
      </c>
      <c r="Q9" s="24">
        <f t="shared" si="64"/>
        <v>3270</v>
      </c>
      <c r="R9" s="24">
        <f t="shared" si="64"/>
        <v>3376</v>
      </c>
      <c r="S9" s="60">
        <f t="shared" si="64"/>
        <v>2183</v>
      </c>
      <c r="T9" s="60">
        <f t="shared" si="64"/>
        <v>2104</v>
      </c>
      <c r="U9" s="60">
        <f t="shared" si="64"/>
        <v>2324</v>
      </c>
      <c r="V9" s="60">
        <f t="shared" si="64"/>
        <v>2354</v>
      </c>
      <c r="W9" s="60">
        <f t="shared" si="64"/>
        <v>2126</v>
      </c>
      <c r="X9" s="60">
        <f t="shared" si="64"/>
        <v>2099</v>
      </c>
      <c r="Y9" s="60">
        <f t="shared" si="64"/>
        <v>1949</v>
      </c>
      <c r="Z9" s="60">
        <f t="shared" si="64"/>
        <v>2052</v>
      </c>
      <c r="AA9" s="242">
        <f t="shared" si="22"/>
        <v>28890</v>
      </c>
      <c r="AB9" s="239">
        <f t="shared" ref="AB9:AM9" si="65">SUM(AB10:AB12)</f>
        <v>2970</v>
      </c>
      <c r="AC9" s="60">
        <f t="shared" si="65"/>
        <v>2411</v>
      </c>
      <c r="AD9" s="60">
        <f t="shared" si="65"/>
        <v>2731</v>
      </c>
      <c r="AE9" s="240">
        <f t="shared" si="65"/>
        <v>2166</v>
      </c>
      <c r="AF9" s="240">
        <f t="shared" si="65"/>
        <v>1813</v>
      </c>
      <c r="AG9" s="240">
        <f t="shared" si="65"/>
        <v>1951</v>
      </c>
      <c r="AH9" s="240">
        <f t="shared" si="65"/>
        <v>1950</v>
      </c>
      <c r="AI9" s="240">
        <f t="shared" si="65"/>
        <v>2098</v>
      </c>
      <c r="AJ9" s="240">
        <f t="shared" si="65"/>
        <v>2253</v>
      </c>
      <c r="AK9" s="240">
        <f t="shared" si="65"/>
        <v>2184</v>
      </c>
      <c r="AL9" s="240">
        <f t="shared" si="65"/>
        <v>2346</v>
      </c>
      <c r="AM9" s="240">
        <f t="shared" si="65"/>
        <v>2040</v>
      </c>
      <c r="AN9" s="242">
        <f t="shared" si="24"/>
        <v>26913</v>
      </c>
      <c r="AO9" s="241">
        <f t="shared" ref="AO9:AZ9" si="66">SUM(AO10:AO12)</f>
        <v>2460</v>
      </c>
      <c r="AP9" s="240">
        <f t="shared" si="66"/>
        <v>2125</v>
      </c>
      <c r="AQ9" s="240">
        <f t="shared" si="66"/>
        <v>2502</v>
      </c>
      <c r="AR9" s="240">
        <f t="shared" si="66"/>
        <v>2944</v>
      </c>
      <c r="AS9" s="240">
        <f t="shared" si="66"/>
        <v>1955</v>
      </c>
      <c r="AT9" s="240">
        <f t="shared" si="66"/>
        <v>2066</v>
      </c>
      <c r="AU9" s="240">
        <f t="shared" si="66"/>
        <v>2183</v>
      </c>
      <c r="AV9" s="240">
        <f t="shared" si="66"/>
        <v>2421</v>
      </c>
      <c r="AW9" s="240">
        <f t="shared" si="66"/>
        <v>2301</v>
      </c>
      <c r="AX9" s="240">
        <f t="shared" si="66"/>
        <v>2454</v>
      </c>
      <c r="AY9" s="240">
        <f t="shared" si="66"/>
        <v>2465</v>
      </c>
      <c r="AZ9" s="240">
        <f t="shared" si="66"/>
        <v>2617</v>
      </c>
      <c r="BA9" s="242">
        <f t="shared" si="26"/>
        <v>28493</v>
      </c>
      <c r="BB9" s="240">
        <f t="shared" ref="BB9:BM9" si="67">SUM(BB10:BB12)</f>
        <v>3172</v>
      </c>
      <c r="BC9" s="240">
        <f t="shared" si="67"/>
        <v>2849</v>
      </c>
      <c r="BD9" s="240">
        <f t="shared" si="67"/>
        <v>3525</v>
      </c>
      <c r="BE9" s="240">
        <f t="shared" si="67"/>
        <v>8426</v>
      </c>
      <c r="BF9" s="240">
        <f t="shared" si="67"/>
        <v>3318</v>
      </c>
      <c r="BG9" s="240">
        <f t="shared" si="67"/>
        <v>3333</v>
      </c>
      <c r="BH9" s="240">
        <f t="shared" si="67"/>
        <v>3505</v>
      </c>
      <c r="BI9" s="240">
        <f t="shared" si="67"/>
        <v>3725</v>
      </c>
      <c r="BJ9" s="240">
        <f t="shared" si="67"/>
        <v>3814</v>
      </c>
      <c r="BK9" s="240">
        <f t="shared" si="67"/>
        <v>3740</v>
      </c>
      <c r="BL9" s="240">
        <f t="shared" si="67"/>
        <v>3572</v>
      </c>
      <c r="BM9" s="240">
        <f t="shared" si="67"/>
        <v>3568</v>
      </c>
      <c r="BN9" s="242">
        <f t="shared" si="28"/>
        <v>46547</v>
      </c>
      <c r="BO9" s="240">
        <f t="shared" ref="BO9:BZ9" si="68">SUM(BO10:BO12)</f>
        <v>4430</v>
      </c>
      <c r="BP9" s="240">
        <f t="shared" si="68"/>
        <v>3465</v>
      </c>
      <c r="BQ9" s="240">
        <f t="shared" si="68"/>
        <v>5960</v>
      </c>
      <c r="BR9" s="240">
        <f t="shared" si="68"/>
        <v>6887</v>
      </c>
      <c r="BS9" s="240">
        <f t="shared" si="68"/>
        <v>3391</v>
      </c>
      <c r="BT9" s="240">
        <f t="shared" si="68"/>
        <v>3396</v>
      </c>
      <c r="BU9" s="240">
        <f t="shared" si="68"/>
        <v>3811</v>
      </c>
      <c r="BV9" s="240">
        <f t="shared" si="68"/>
        <v>4097</v>
      </c>
      <c r="BW9" s="240">
        <f t="shared" si="68"/>
        <v>4076</v>
      </c>
      <c r="BX9" s="240">
        <f t="shared" si="68"/>
        <v>4187</v>
      </c>
      <c r="BY9" s="240">
        <f t="shared" si="68"/>
        <v>4663</v>
      </c>
      <c r="BZ9" s="240">
        <f t="shared" si="68"/>
        <v>5142</v>
      </c>
      <c r="CA9" s="242">
        <f t="shared" si="30"/>
        <v>53505</v>
      </c>
      <c r="CB9" s="240">
        <f>SUM(CB10:CB12)</f>
        <v>5215</v>
      </c>
      <c r="CC9" s="240">
        <f>SUM(CC10:CC12)</f>
        <v>4358</v>
      </c>
      <c r="CD9" s="240">
        <f>SUM(CD10:CD12)</f>
        <v>4968</v>
      </c>
      <c r="CE9" s="240">
        <f>SUM(CE10:CE12)</f>
        <v>6333</v>
      </c>
      <c r="CF9" s="240">
        <f>SUM(CF10:CF12)</f>
        <v>4093</v>
      </c>
      <c r="CG9" s="240">
        <v>4390</v>
      </c>
      <c r="CH9" s="240">
        <f t="shared" ref="CH9:CM9" si="69">SUM(CH10:CH12)</f>
        <v>4433</v>
      </c>
      <c r="CI9" s="240">
        <f t="shared" si="69"/>
        <v>4973</v>
      </c>
      <c r="CJ9" s="240">
        <f t="shared" si="69"/>
        <v>5351</v>
      </c>
      <c r="CK9" s="240">
        <f t="shared" si="69"/>
        <v>4667</v>
      </c>
      <c r="CL9" s="240">
        <f t="shared" si="69"/>
        <v>4818</v>
      </c>
      <c r="CM9" s="240">
        <f t="shared" si="69"/>
        <v>4955</v>
      </c>
      <c r="CN9" s="242">
        <f t="shared" si="32"/>
        <v>58554</v>
      </c>
      <c r="CO9" s="241">
        <f t="shared" ref="CO9:CZ9" si="70">SUM(CO10:CO12)</f>
        <v>6463</v>
      </c>
      <c r="CP9" s="240">
        <f t="shared" si="70"/>
        <v>4006</v>
      </c>
      <c r="CQ9" s="240">
        <f t="shared" si="70"/>
        <v>5648</v>
      </c>
      <c r="CR9" s="240">
        <f t="shared" si="70"/>
        <v>7659</v>
      </c>
      <c r="CS9" s="240">
        <f t="shared" si="70"/>
        <v>4932</v>
      </c>
      <c r="CT9" s="240">
        <f t="shared" si="70"/>
        <v>5068</v>
      </c>
      <c r="CU9" s="240">
        <f t="shared" si="70"/>
        <v>5296</v>
      </c>
      <c r="CV9" s="240">
        <f t="shared" si="70"/>
        <v>5208</v>
      </c>
      <c r="CW9" s="240">
        <f t="shared" si="70"/>
        <v>6341</v>
      </c>
      <c r="CX9" s="240">
        <f t="shared" si="70"/>
        <v>6063</v>
      </c>
      <c r="CY9" s="240">
        <f t="shared" si="70"/>
        <v>6256</v>
      </c>
      <c r="CZ9" s="240">
        <f t="shared" si="70"/>
        <v>6771</v>
      </c>
      <c r="DA9" s="242">
        <f t="shared" si="34"/>
        <v>69711</v>
      </c>
      <c r="DB9" s="240">
        <f t="shared" ref="DB9:DM9" si="71">SUM(DB10:DB12)</f>
        <v>8145</v>
      </c>
      <c r="DC9" s="240">
        <f t="shared" si="71"/>
        <v>6645</v>
      </c>
      <c r="DD9" s="240">
        <f t="shared" si="71"/>
        <v>7621</v>
      </c>
      <c r="DE9" s="240">
        <f t="shared" si="71"/>
        <v>8364</v>
      </c>
      <c r="DF9" s="240">
        <f t="shared" si="71"/>
        <v>5488</v>
      </c>
      <c r="DG9" s="240">
        <f t="shared" si="71"/>
        <v>5523</v>
      </c>
      <c r="DH9" s="240">
        <f t="shared" si="71"/>
        <v>5701</v>
      </c>
      <c r="DI9" s="240">
        <f t="shared" si="71"/>
        <v>5677</v>
      </c>
      <c r="DJ9" s="240">
        <f t="shared" si="71"/>
        <v>6406</v>
      </c>
      <c r="DK9" s="240">
        <f t="shared" si="71"/>
        <v>7263</v>
      </c>
      <c r="DL9" s="240">
        <f t="shared" si="71"/>
        <v>7788</v>
      </c>
      <c r="DM9" s="240">
        <f t="shared" si="71"/>
        <v>7764</v>
      </c>
      <c r="DN9" s="242">
        <f t="shared" si="36"/>
        <v>82385</v>
      </c>
      <c r="DO9" s="241">
        <f t="shared" ref="DO9:DZ9" si="72">SUM(DO10:DO12)</f>
        <v>9695.2000000000007</v>
      </c>
      <c r="DP9" s="240">
        <f t="shared" si="72"/>
        <v>7321</v>
      </c>
      <c r="DQ9" s="240">
        <f t="shared" si="72"/>
        <v>8705.9</v>
      </c>
      <c r="DR9" s="240">
        <f t="shared" si="72"/>
        <v>8396.5999999999985</v>
      </c>
      <c r="DS9" s="240">
        <f t="shared" si="72"/>
        <v>6063.78</v>
      </c>
      <c r="DT9" s="240">
        <f t="shared" si="72"/>
        <v>5644.5</v>
      </c>
      <c r="DU9" s="240">
        <f t="shared" si="72"/>
        <v>6306.4000000000005</v>
      </c>
      <c r="DV9" s="240">
        <f t="shared" si="72"/>
        <v>6371.4</v>
      </c>
      <c r="DW9" s="240">
        <f t="shared" si="72"/>
        <v>6317.8</v>
      </c>
      <c r="DX9" s="240">
        <f t="shared" si="72"/>
        <v>6630.9999999999991</v>
      </c>
      <c r="DY9" s="240">
        <f t="shared" si="72"/>
        <v>11182</v>
      </c>
      <c r="DZ9" s="240">
        <f t="shared" si="72"/>
        <v>8535.9</v>
      </c>
      <c r="EA9" s="242">
        <f t="shared" si="38"/>
        <v>91171.48</v>
      </c>
      <c r="EB9" s="241">
        <f t="shared" ref="EB9:EM9" si="73">SUM(EB10:EB12)</f>
        <v>9261</v>
      </c>
      <c r="EC9" s="240">
        <f t="shared" si="73"/>
        <v>7687.5</v>
      </c>
      <c r="ED9" s="240">
        <f t="shared" si="73"/>
        <v>11110</v>
      </c>
      <c r="EE9" s="240">
        <f t="shared" si="73"/>
        <v>14157.400000000001</v>
      </c>
      <c r="EF9" s="240">
        <f t="shared" si="73"/>
        <v>8135.3</v>
      </c>
      <c r="EG9" s="240">
        <f t="shared" si="73"/>
        <v>7808.6</v>
      </c>
      <c r="EH9" s="240">
        <f t="shared" si="73"/>
        <v>7978.9000000000015</v>
      </c>
      <c r="EI9" s="240">
        <f t="shared" si="73"/>
        <v>10390.1</v>
      </c>
      <c r="EJ9" s="240">
        <f t="shared" si="73"/>
        <v>8572.3000000000011</v>
      </c>
      <c r="EK9" s="240">
        <f t="shared" si="73"/>
        <v>9986.6</v>
      </c>
      <c r="EL9" s="240">
        <f t="shared" si="73"/>
        <v>9781.944129999998</v>
      </c>
      <c r="EM9" s="240">
        <f t="shared" si="73"/>
        <v>9587.7086099999997</v>
      </c>
      <c r="EN9" s="242">
        <f t="shared" si="40"/>
        <v>114457.35274000003</v>
      </c>
      <c r="EO9" s="240">
        <f>SUM(EO10:EO12)</f>
        <v>12986.34613</v>
      </c>
      <c r="EP9" s="240">
        <f>SUM(EP10:EP12)</f>
        <v>9531.6</v>
      </c>
      <c r="EQ9" s="240">
        <v>10740</v>
      </c>
      <c r="ER9" s="240">
        <f t="shared" ref="ER9:EZ9" si="74">SUM(ER10:ER12)</f>
        <v>10856</v>
      </c>
      <c r="ES9" s="240">
        <f t="shared" si="74"/>
        <v>7751.4</v>
      </c>
      <c r="ET9" s="240">
        <f t="shared" si="74"/>
        <v>7648</v>
      </c>
      <c r="EU9" s="240">
        <f t="shared" si="74"/>
        <v>7938.6</v>
      </c>
      <c r="EV9" s="240">
        <f t="shared" si="74"/>
        <v>8860</v>
      </c>
      <c r="EW9" s="240">
        <f t="shared" si="74"/>
        <v>8903</v>
      </c>
      <c r="EX9" s="240">
        <f t="shared" si="74"/>
        <v>9314.1</v>
      </c>
      <c r="EY9" s="240">
        <f t="shared" si="74"/>
        <v>9732.8000000000011</v>
      </c>
      <c r="EZ9" s="240">
        <f t="shared" si="74"/>
        <v>11324.000000000002</v>
      </c>
      <c r="FA9" s="242">
        <f t="shared" si="42"/>
        <v>115585.84613000001</v>
      </c>
      <c r="FB9" s="241">
        <f t="shared" ref="FB9:FJ9" si="75">SUM(FB10:FB12)</f>
        <v>12411</v>
      </c>
      <c r="FC9" s="240">
        <f t="shared" si="75"/>
        <v>10353</v>
      </c>
      <c r="FD9" s="240">
        <f t="shared" si="75"/>
        <v>15861.999999999998</v>
      </c>
      <c r="FE9" s="240">
        <f t="shared" si="75"/>
        <v>14646.2</v>
      </c>
      <c r="FF9" s="240">
        <f t="shared" si="75"/>
        <v>9152</v>
      </c>
      <c r="FG9" s="240">
        <f t="shared" si="75"/>
        <v>8672.5</v>
      </c>
      <c r="FH9" s="240">
        <f t="shared" si="75"/>
        <v>9084.6</v>
      </c>
      <c r="FI9" s="240">
        <f t="shared" si="75"/>
        <v>10540.199999999999</v>
      </c>
      <c r="FJ9" s="240">
        <f t="shared" si="75"/>
        <v>10792.3</v>
      </c>
      <c r="FK9" s="240">
        <f>SUM(FK10:FK12)</f>
        <v>9835.7999999999993</v>
      </c>
      <c r="FL9" s="240">
        <f>SUM(FL10:FL12)</f>
        <v>10538.9</v>
      </c>
      <c r="FM9" s="240">
        <f>SUM(FM10:FM12)</f>
        <v>10745.6</v>
      </c>
      <c r="FN9" s="242">
        <f t="shared" si="44"/>
        <v>132634.1</v>
      </c>
      <c r="FO9" s="241">
        <f t="shared" ref="FO9:FZ9" si="76">SUM(FO10:FO12)</f>
        <v>13810.4</v>
      </c>
      <c r="FP9" s="240">
        <f t="shared" si="76"/>
        <v>10005.700000000001</v>
      </c>
      <c r="FQ9" s="240">
        <f t="shared" si="76"/>
        <v>14574.2</v>
      </c>
      <c r="FR9" s="240">
        <f t="shared" si="76"/>
        <v>12815.199999999999</v>
      </c>
      <c r="FS9" s="240">
        <f t="shared" si="76"/>
        <v>8967.9</v>
      </c>
      <c r="FT9" s="240">
        <f t="shared" si="76"/>
        <v>9154.3999999999978</v>
      </c>
      <c r="FU9" s="240">
        <f t="shared" si="76"/>
        <v>9112.5999999999985</v>
      </c>
      <c r="FV9" s="240">
        <f t="shared" si="76"/>
        <v>10532.400000000001</v>
      </c>
      <c r="FW9" s="240">
        <f t="shared" si="76"/>
        <v>9991</v>
      </c>
      <c r="FX9" s="240">
        <f t="shared" si="76"/>
        <v>11027.7</v>
      </c>
      <c r="FY9" s="240">
        <f t="shared" si="76"/>
        <v>10506.4</v>
      </c>
      <c r="FZ9" s="240">
        <f t="shared" si="76"/>
        <v>11117.3</v>
      </c>
      <c r="GA9" s="242">
        <f t="shared" si="46"/>
        <v>131615.19999999998</v>
      </c>
      <c r="GB9" s="241">
        <f t="shared" ref="GB9:GM9" si="77">SUM(GB10:GB12)</f>
        <v>14233</v>
      </c>
      <c r="GC9" s="240">
        <f t="shared" si="77"/>
        <v>11043</v>
      </c>
      <c r="GD9" s="240">
        <f t="shared" si="77"/>
        <v>12706</v>
      </c>
      <c r="GE9" s="240">
        <f t="shared" si="77"/>
        <v>14358.3</v>
      </c>
      <c r="GF9" s="240">
        <f t="shared" si="77"/>
        <v>10369</v>
      </c>
      <c r="GG9" s="240">
        <f t="shared" si="77"/>
        <v>8717</v>
      </c>
      <c r="GH9" s="240">
        <f t="shared" si="77"/>
        <v>9759.5</v>
      </c>
      <c r="GI9" s="240">
        <f t="shared" si="77"/>
        <v>10580.7</v>
      </c>
      <c r="GJ9" s="240">
        <f t="shared" si="77"/>
        <v>11003.800000000001</v>
      </c>
      <c r="GK9" s="240">
        <f t="shared" si="77"/>
        <v>11568.699999999999</v>
      </c>
      <c r="GL9" s="240">
        <f t="shared" si="77"/>
        <v>11640.099999999999</v>
      </c>
      <c r="GM9" s="218">
        <f t="shared" si="77"/>
        <v>11943.8</v>
      </c>
      <c r="GN9" s="218">
        <f t="shared" si="48"/>
        <v>137922.9</v>
      </c>
      <c r="GO9" s="240">
        <f t="shared" ref="GO9:GZ9" si="78">SUM(GO10:GO12)</f>
        <v>13145.099999999999</v>
      </c>
      <c r="GP9" s="240">
        <f t="shared" si="78"/>
        <v>11467.354719999999</v>
      </c>
      <c r="GQ9" s="240">
        <f t="shared" si="78"/>
        <v>14303.000000000002</v>
      </c>
      <c r="GR9" s="240">
        <f t="shared" si="78"/>
        <v>14362</v>
      </c>
      <c r="GS9" s="240">
        <f t="shared" si="78"/>
        <v>8544.4</v>
      </c>
      <c r="GT9" s="240">
        <f t="shared" si="78"/>
        <v>8902.1999999999989</v>
      </c>
      <c r="GU9" s="240">
        <f t="shared" si="78"/>
        <v>10202.199999999999</v>
      </c>
      <c r="GV9" s="240">
        <f t="shared" si="78"/>
        <v>10086.6</v>
      </c>
      <c r="GW9" s="240">
        <f t="shared" si="78"/>
        <v>12584</v>
      </c>
      <c r="GX9" s="240">
        <f t="shared" si="78"/>
        <v>12081.500000000002</v>
      </c>
      <c r="GY9" s="240">
        <f t="shared" si="78"/>
        <v>12335.800000000001</v>
      </c>
      <c r="GZ9" s="240">
        <f t="shared" si="78"/>
        <v>13509.5</v>
      </c>
      <c r="HA9" s="242">
        <f t="shared" si="50"/>
        <v>141523.65471999999</v>
      </c>
      <c r="HB9" s="241">
        <f t="shared" ref="HB9:HM9" si="79">SUM(HB10:HB12)</f>
        <v>14929.199999999999</v>
      </c>
      <c r="HC9" s="240">
        <f t="shared" si="79"/>
        <v>14484.5</v>
      </c>
      <c r="HD9" s="240">
        <f t="shared" si="79"/>
        <v>10109.400000000001</v>
      </c>
      <c r="HE9" s="240">
        <f t="shared" si="79"/>
        <v>6337.9000000000005</v>
      </c>
      <c r="HF9" s="240">
        <f t="shared" si="79"/>
        <v>5628.9</v>
      </c>
      <c r="HG9" s="240">
        <f t="shared" si="79"/>
        <v>6000.6</v>
      </c>
      <c r="HH9" s="240">
        <f t="shared" si="79"/>
        <v>10299.200000000001</v>
      </c>
      <c r="HI9" s="240">
        <f t="shared" si="79"/>
        <v>10089.799999999999</v>
      </c>
      <c r="HJ9" s="240">
        <f t="shared" si="79"/>
        <v>12118.1</v>
      </c>
      <c r="HK9" s="240">
        <f t="shared" si="79"/>
        <v>13538.2</v>
      </c>
      <c r="HL9" s="240">
        <f t="shared" si="79"/>
        <v>14797.600000000002</v>
      </c>
      <c r="HM9" s="240">
        <f t="shared" si="79"/>
        <v>15783.099999999999</v>
      </c>
      <c r="HN9" s="242">
        <f t="shared" si="52"/>
        <v>134116.5</v>
      </c>
      <c r="HO9" s="241">
        <f t="shared" ref="HO9:IM9" si="80">SUM(HO10:HO12)</f>
        <v>19086.799999999996</v>
      </c>
      <c r="HP9" s="240">
        <f t="shared" si="80"/>
        <v>16926.3</v>
      </c>
      <c r="HQ9" s="240">
        <f t="shared" si="80"/>
        <v>20364.099999999999</v>
      </c>
      <c r="HR9" s="240">
        <f t="shared" si="80"/>
        <v>20064.099999999999</v>
      </c>
      <c r="HS9" s="240">
        <f t="shared" si="80"/>
        <v>14986.8</v>
      </c>
      <c r="HT9" s="240">
        <f t="shared" si="80"/>
        <v>14957.466650000002</v>
      </c>
      <c r="HU9" s="240">
        <f t="shared" si="80"/>
        <v>15422.966289999998</v>
      </c>
      <c r="HV9" s="240">
        <f t="shared" si="80"/>
        <v>16003.736509999999</v>
      </c>
      <c r="HW9" s="240">
        <f t="shared" si="80"/>
        <v>17098.590979999997</v>
      </c>
      <c r="HX9" s="240">
        <f t="shared" si="80"/>
        <v>17709.87948</v>
      </c>
      <c r="HY9" s="240">
        <f t="shared" si="80"/>
        <v>18370.685430000001</v>
      </c>
      <c r="HZ9" s="218">
        <f t="shared" si="80"/>
        <v>20632.935519999999</v>
      </c>
      <c r="IA9" s="218">
        <f t="shared" si="54"/>
        <v>211624.36086000002</v>
      </c>
      <c r="IB9" s="240">
        <f t="shared" si="80"/>
        <v>20177.772149999997</v>
      </c>
      <c r="IC9" s="240">
        <f t="shared" si="80"/>
        <v>19367.095029999997</v>
      </c>
      <c r="ID9" s="240">
        <f t="shared" si="80"/>
        <v>24643.829549999995</v>
      </c>
      <c r="IE9" s="240">
        <f t="shared" si="80"/>
        <v>24609.064879999998</v>
      </c>
      <c r="IF9" s="240">
        <f t="shared" si="80"/>
        <v>16420.423129999996</v>
      </c>
      <c r="IG9" s="240">
        <f t="shared" si="80"/>
        <v>15066.4476</v>
      </c>
      <c r="IH9" s="240">
        <f t="shared" si="80"/>
        <v>17575.813309999998</v>
      </c>
      <c r="II9" s="240">
        <f t="shared" si="80"/>
        <v>19448.193219999997</v>
      </c>
      <c r="IJ9" s="240">
        <f t="shared" si="80"/>
        <v>19838.270289999997</v>
      </c>
      <c r="IK9" s="240">
        <f t="shared" si="80"/>
        <v>19730.466739999996</v>
      </c>
      <c r="IL9" s="89">
        <f t="shared" si="80"/>
        <v>20977.428939999998</v>
      </c>
      <c r="IM9" s="89">
        <f t="shared" si="80"/>
        <v>20688.454019999997</v>
      </c>
      <c r="IN9" s="242">
        <f t="shared" ref="IN9:IN18" si="81">SUM(IB9:IM9)</f>
        <v>238543.25885999994</v>
      </c>
      <c r="IO9" s="241">
        <f>SUM(IO10:IO12)</f>
        <v>21395.081149999998</v>
      </c>
      <c r="IP9" s="240">
        <f>SUM(IP10:IP12)</f>
        <v>17758.005439999997</v>
      </c>
      <c r="IQ9" s="240">
        <f>SUM(IQ10:IQ12)</f>
        <v>22662.693639999998</v>
      </c>
      <c r="IR9" s="240">
        <f>SUM(IR10:IR12)</f>
        <v>24205.368099999992</v>
      </c>
      <c r="IS9" s="240">
        <v>15548.741160000003</v>
      </c>
      <c r="IT9" s="240">
        <v>14545.849509999998</v>
      </c>
      <c r="IU9" s="240">
        <v>16582.376899999996</v>
      </c>
      <c r="IV9" s="240">
        <v>18454.004719999997</v>
      </c>
      <c r="IW9" s="240">
        <v>19012.812299999994</v>
      </c>
      <c r="IX9" s="240">
        <v>20000.374810000001</v>
      </c>
      <c r="IY9" s="240">
        <v>19168.845719999998</v>
      </c>
      <c r="IZ9" s="218">
        <v>20355.727589999999</v>
      </c>
      <c r="JA9" s="218">
        <f t="shared" si="56"/>
        <v>229689.88103999998</v>
      </c>
      <c r="JB9" s="240">
        <v>25090.464649999998</v>
      </c>
      <c r="JC9" s="240">
        <v>20646.192770000001</v>
      </c>
      <c r="JD9" s="240">
        <v>22456.40612</v>
      </c>
      <c r="JE9" s="240">
        <v>32709.980329999999</v>
      </c>
      <c r="JF9" s="240">
        <v>19379.639989999996</v>
      </c>
      <c r="JG9" s="240">
        <v>19446.260469999997</v>
      </c>
      <c r="JH9" s="240">
        <v>21367.472009999998</v>
      </c>
      <c r="JI9" s="240">
        <v>23191.100929999997</v>
      </c>
      <c r="JJ9" s="240">
        <v>24541.548039999998</v>
      </c>
      <c r="JK9" s="240">
        <v>22903.074189999992</v>
      </c>
      <c r="JL9" s="240">
        <v>22366.543889999997</v>
      </c>
      <c r="JM9" s="218">
        <v>26626.335729999999</v>
      </c>
      <c r="JN9" s="218">
        <f t="shared" si="57"/>
        <v>280725.01911999995</v>
      </c>
      <c r="JO9" s="241">
        <v>28730.15236</v>
      </c>
      <c r="JP9" s="240">
        <v>23464.316959999996</v>
      </c>
      <c r="JQ9" s="240">
        <v>26971.512099999993</v>
      </c>
      <c r="JR9" s="240">
        <v>36554.758889999997</v>
      </c>
      <c r="JS9" s="240">
        <v>20234.875829999997</v>
      </c>
      <c r="JT9" s="240">
        <v>22637.971729999994</v>
      </c>
      <c r="JU9" s="240">
        <v>25103.245819999996</v>
      </c>
      <c r="JV9" s="240">
        <v>25514.321819999997</v>
      </c>
      <c r="JW9" s="240">
        <v>29225.78443</v>
      </c>
      <c r="JX9" s="240">
        <v>29118.423759999994</v>
      </c>
      <c r="JY9" s="240">
        <v>29205.685509999996</v>
      </c>
      <c r="JZ9" s="240">
        <v>30203.259240000007</v>
      </c>
      <c r="KA9" s="242">
        <f t="shared" si="58"/>
        <v>326964.30844999995</v>
      </c>
      <c r="KB9" s="1604">
        <v>32917.632039999997</v>
      </c>
      <c r="KC9" s="1605">
        <v>27845.950419999997</v>
      </c>
      <c r="KD9">
        <v>30801.828309999994</v>
      </c>
      <c r="KE9">
        <v>36283.736660000002</v>
      </c>
      <c r="KF9">
        <v>27121.393999999993</v>
      </c>
      <c r="KG9">
        <v>29009.399689999995</v>
      </c>
      <c r="KH9">
        <v>28937.135039999994</v>
      </c>
      <c r="KI9">
        <v>31766.646379999998</v>
      </c>
      <c r="KN9" s="1330">
        <f t="shared" si="59"/>
        <v>244683.72253999996</v>
      </c>
      <c r="KP9" s="22">
        <f t="shared" si="60"/>
        <v>24.505156766890714</v>
      </c>
      <c r="KQ9" s="858">
        <f t="shared" si="61"/>
        <v>16.955389851715829</v>
      </c>
      <c r="KR9" s="53">
        <f t="shared" si="62"/>
        <v>209211.15551000001</v>
      </c>
      <c r="KS9" s="53">
        <f t="shared" si="63"/>
        <v>244683.72253999996</v>
      </c>
      <c r="KT9" s="24"/>
    </row>
    <row r="10" spans="1:306" ht="13.9" customHeight="1" x14ac:dyDescent="0.2">
      <c r="A10" s="238" t="s">
        <v>447</v>
      </c>
      <c r="B10" s="52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3"/>
      <c r="N10" s="7">
        <f t="shared" si="21"/>
        <v>0</v>
      </c>
      <c r="O10" s="24">
        <v>577</v>
      </c>
      <c r="P10" s="24">
        <v>386</v>
      </c>
      <c r="Q10" s="24">
        <v>538</v>
      </c>
      <c r="R10" s="24">
        <v>543</v>
      </c>
      <c r="S10" s="60">
        <v>529</v>
      </c>
      <c r="T10" s="60">
        <v>477</v>
      </c>
      <c r="U10" s="60">
        <v>482</v>
      </c>
      <c r="V10" s="60">
        <v>511</v>
      </c>
      <c r="W10" s="60">
        <v>467</v>
      </c>
      <c r="X10" s="60">
        <v>434</v>
      </c>
      <c r="Y10" s="60">
        <v>457</v>
      </c>
      <c r="Z10" s="60">
        <v>505</v>
      </c>
      <c r="AA10" s="7">
        <f t="shared" si="22"/>
        <v>5906</v>
      </c>
      <c r="AB10" s="239">
        <v>1018</v>
      </c>
      <c r="AC10" s="60">
        <v>468</v>
      </c>
      <c r="AD10" s="60">
        <v>516</v>
      </c>
      <c r="AE10" s="240">
        <v>543</v>
      </c>
      <c r="AF10" s="240">
        <v>584</v>
      </c>
      <c r="AG10" s="240">
        <v>558</v>
      </c>
      <c r="AH10" s="240">
        <v>591</v>
      </c>
      <c r="AI10" s="240">
        <v>521</v>
      </c>
      <c r="AJ10" s="240">
        <v>548</v>
      </c>
      <c r="AK10" s="240">
        <v>539</v>
      </c>
      <c r="AL10" s="240">
        <v>525</v>
      </c>
      <c r="AM10" s="240">
        <v>529</v>
      </c>
      <c r="AN10" s="7">
        <f t="shared" si="24"/>
        <v>6940</v>
      </c>
      <c r="AO10" s="241">
        <v>704</v>
      </c>
      <c r="AP10" s="240">
        <v>514</v>
      </c>
      <c r="AQ10" s="240">
        <v>531</v>
      </c>
      <c r="AR10" s="240">
        <v>578</v>
      </c>
      <c r="AS10" s="240">
        <v>559</v>
      </c>
      <c r="AT10" s="240">
        <v>608</v>
      </c>
      <c r="AU10" s="240">
        <v>557</v>
      </c>
      <c r="AV10" s="240">
        <v>571</v>
      </c>
      <c r="AW10" s="240">
        <v>581</v>
      </c>
      <c r="AX10" s="240">
        <v>600</v>
      </c>
      <c r="AY10" s="240">
        <v>566</v>
      </c>
      <c r="AZ10" s="240">
        <v>599</v>
      </c>
      <c r="BA10" s="7">
        <f t="shared" si="26"/>
        <v>6968</v>
      </c>
      <c r="BB10" s="240">
        <v>725</v>
      </c>
      <c r="BC10" s="240">
        <v>598</v>
      </c>
      <c r="BD10" s="240">
        <v>628</v>
      </c>
      <c r="BE10" s="240">
        <v>904</v>
      </c>
      <c r="BF10" s="240">
        <v>905</v>
      </c>
      <c r="BG10" s="240">
        <v>700</v>
      </c>
      <c r="BH10" s="240">
        <v>737</v>
      </c>
      <c r="BI10" s="240">
        <v>714</v>
      </c>
      <c r="BJ10" s="240">
        <v>670</v>
      </c>
      <c r="BK10" s="240">
        <v>737</v>
      </c>
      <c r="BL10" s="240">
        <v>678</v>
      </c>
      <c r="BM10" s="240">
        <v>706</v>
      </c>
      <c r="BN10" s="242">
        <f t="shared" si="28"/>
        <v>8702</v>
      </c>
      <c r="BO10" s="241">
        <v>886</v>
      </c>
      <c r="BP10" s="240">
        <v>584</v>
      </c>
      <c r="BQ10" s="240">
        <v>676</v>
      </c>
      <c r="BR10" s="240">
        <v>1340</v>
      </c>
      <c r="BS10" s="240">
        <v>778</v>
      </c>
      <c r="BT10" s="240">
        <v>649</v>
      </c>
      <c r="BU10" s="240">
        <v>757</v>
      </c>
      <c r="BV10" s="240">
        <v>782</v>
      </c>
      <c r="BW10" s="240">
        <v>719</v>
      </c>
      <c r="BX10" s="240">
        <v>873</v>
      </c>
      <c r="BY10" s="240">
        <v>813</v>
      </c>
      <c r="BZ10" s="240">
        <v>1185</v>
      </c>
      <c r="CA10" s="242">
        <f t="shared" si="30"/>
        <v>10042</v>
      </c>
      <c r="CB10" s="240">
        <v>993</v>
      </c>
      <c r="CC10" s="240">
        <v>700</v>
      </c>
      <c r="CD10" s="240">
        <v>756</v>
      </c>
      <c r="CE10" s="240">
        <v>1241</v>
      </c>
      <c r="CF10" s="240">
        <v>842</v>
      </c>
      <c r="CG10" s="240">
        <v>897</v>
      </c>
      <c r="CH10" s="240">
        <v>834</v>
      </c>
      <c r="CI10" s="240">
        <v>1164</v>
      </c>
      <c r="CJ10" s="240">
        <v>919</v>
      </c>
      <c r="CK10" s="240">
        <v>811</v>
      </c>
      <c r="CL10" s="240">
        <v>923</v>
      </c>
      <c r="CM10" s="240">
        <v>942</v>
      </c>
      <c r="CN10" s="242">
        <f t="shared" si="32"/>
        <v>11022</v>
      </c>
      <c r="CO10" s="241">
        <v>1382</v>
      </c>
      <c r="CP10" s="240">
        <v>901</v>
      </c>
      <c r="CQ10" s="240">
        <v>1043</v>
      </c>
      <c r="CR10" s="240">
        <v>1741</v>
      </c>
      <c r="CS10" s="240">
        <v>1053</v>
      </c>
      <c r="CT10" s="240">
        <v>1073</v>
      </c>
      <c r="CU10" s="240">
        <v>1081</v>
      </c>
      <c r="CV10" s="240">
        <v>1068</v>
      </c>
      <c r="CW10" s="240">
        <v>1202</v>
      </c>
      <c r="CX10" s="240">
        <v>1050</v>
      </c>
      <c r="CY10" s="240">
        <v>1192</v>
      </c>
      <c r="CZ10" s="240">
        <v>1392</v>
      </c>
      <c r="DA10" s="242">
        <f t="shared" si="34"/>
        <v>14178</v>
      </c>
      <c r="DB10" s="240">
        <v>2326</v>
      </c>
      <c r="DC10" s="240">
        <v>1043</v>
      </c>
      <c r="DD10" s="240">
        <v>1461</v>
      </c>
      <c r="DE10" s="240">
        <v>2158</v>
      </c>
      <c r="DF10" s="240">
        <v>1316</v>
      </c>
      <c r="DG10" s="240">
        <v>1332</v>
      </c>
      <c r="DH10" s="240">
        <v>1401</v>
      </c>
      <c r="DI10" s="240">
        <v>1240</v>
      </c>
      <c r="DJ10" s="240">
        <v>1231</v>
      </c>
      <c r="DK10" s="240">
        <v>1394</v>
      </c>
      <c r="DL10" s="240">
        <v>1521</v>
      </c>
      <c r="DM10" s="240">
        <v>1688</v>
      </c>
      <c r="DN10" s="242">
        <f t="shared" si="36"/>
        <v>18111</v>
      </c>
      <c r="DO10" s="241">
        <v>2190.1999999999998</v>
      </c>
      <c r="DP10" s="240">
        <v>1358.6000000000001</v>
      </c>
      <c r="DQ10" s="240">
        <v>1688.2</v>
      </c>
      <c r="DR10" s="240">
        <v>2847.1</v>
      </c>
      <c r="DS10" s="240">
        <v>1667.2</v>
      </c>
      <c r="DT10" s="240">
        <v>1487.9</v>
      </c>
      <c r="DU10" s="240">
        <v>1659.8000000000002</v>
      </c>
      <c r="DV10" s="240">
        <v>1589.7</v>
      </c>
      <c r="DW10" s="240">
        <v>1652.6</v>
      </c>
      <c r="DX10" s="240">
        <v>1770.2</v>
      </c>
      <c r="DY10" s="1">
        <v>1984.6999999999998</v>
      </c>
      <c r="DZ10" s="1">
        <v>2366.6</v>
      </c>
      <c r="EA10" s="242">
        <f t="shared" si="38"/>
        <v>22262.799999999999</v>
      </c>
      <c r="EB10" s="49">
        <v>2185.1</v>
      </c>
      <c r="EC10" s="1">
        <v>1714.3</v>
      </c>
      <c r="ED10" s="1">
        <v>1890.9</v>
      </c>
      <c r="EE10" s="1">
        <v>3648.2</v>
      </c>
      <c r="EF10" s="1">
        <v>2001.1</v>
      </c>
      <c r="EG10" s="1">
        <v>1714.6</v>
      </c>
      <c r="EH10" s="1">
        <v>1970</v>
      </c>
      <c r="EI10" s="1">
        <v>3786.3</v>
      </c>
      <c r="EJ10" s="1">
        <v>2080.1000000000004</v>
      </c>
      <c r="EK10" s="1">
        <v>2300.5</v>
      </c>
      <c r="EL10" s="1">
        <v>2395.2118700000005</v>
      </c>
      <c r="EM10" s="1">
        <v>2308.1890200000003</v>
      </c>
      <c r="EN10" s="8">
        <f t="shared" si="40"/>
        <v>27994.500889999999</v>
      </c>
      <c r="EO10" s="1">
        <v>3741.7546000000002</v>
      </c>
      <c r="EP10" s="1">
        <v>1812</v>
      </c>
      <c r="EQ10" s="1">
        <v>2039</v>
      </c>
      <c r="ER10" s="1">
        <v>3348</v>
      </c>
      <c r="ES10" s="1">
        <v>2026</v>
      </c>
      <c r="ET10" s="1">
        <v>1943</v>
      </c>
      <c r="EU10" s="1">
        <v>2035</v>
      </c>
      <c r="EV10" s="1">
        <v>2222</v>
      </c>
      <c r="EW10" s="1">
        <v>2071</v>
      </c>
      <c r="EX10" s="1">
        <v>2072.5</v>
      </c>
      <c r="EY10" s="1">
        <v>2027.6</v>
      </c>
      <c r="EZ10" s="1">
        <v>2340.6999999999998</v>
      </c>
      <c r="FA10" s="8">
        <f t="shared" si="42"/>
        <v>27678.554599999999</v>
      </c>
      <c r="FB10" s="111">
        <v>3069</v>
      </c>
      <c r="FC10" s="5">
        <v>2113</v>
      </c>
      <c r="FD10" s="5">
        <v>2373.9</v>
      </c>
      <c r="FE10" s="5">
        <v>4433.2</v>
      </c>
      <c r="FF10" s="5">
        <v>2140.1999999999998</v>
      </c>
      <c r="FG10" s="5">
        <v>2063.1999999999998</v>
      </c>
      <c r="FH10" s="5">
        <v>2158.4</v>
      </c>
      <c r="FI10" s="5">
        <v>2444.6</v>
      </c>
      <c r="FJ10" s="5">
        <v>2272.9</v>
      </c>
      <c r="FK10" s="5">
        <v>2275.1999999999998</v>
      </c>
      <c r="FL10" s="5">
        <v>2675.6</v>
      </c>
      <c r="FM10" s="5">
        <v>2573.6</v>
      </c>
      <c r="FN10" s="7">
        <f t="shared" si="44"/>
        <v>30592.799999999999</v>
      </c>
      <c r="FO10" s="111">
        <v>3141.9</v>
      </c>
      <c r="FP10" s="5">
        <v>2343.5</v>
      </c>
      <c r="FQ10" s="5">
        <v>3033.9</v>
      </c>
      <c r="FR10" s="5">
        <v>4525.3999999999996</v>
      </c>
      <c r="FS10" s="5">
        <v>2471.8999999999996</v>
      </c>
      <c r="FT10" s="5">
        <v>2586.8999999999996</v>
      </c>
      <c r="FU10" s="5">
        <v>2326</v>
      </c>
      <c r="FV10" s="5">
        <v>2891.3</v>
      </c>
      <c r="FW10" s="5">
        <v>2500.1999999999998</v>
      </c>
      <c r="FX10" s="5">
        <v>2844.6</v>
      </c>
      <c r="FY10" s="5">
        <v>2549.6999999999998</v>
      </c>
      <c r="FZ10" s="5">
        <v>3370.2999999999997</v>
      </c>
      <c r="GA10" s="7">
        <f t="shared" si="46"/>
        <v>34585.599999999999</v>
      </c>
      <c r="GB10" s="111">
        <v>3772</v>
      </c>
      <c r="GC10" s="5">
        <v>2549</v>
      </c>
      <c r="GD10" s="5">
        <v>2808.6000000000004</v>
      </c>
      <c r="GE10" s="5">
        <v>5006.5</v>
      </c>
      <c r="GF10" s="5">
        <v>3538.5</v>
      </c>
      <c r="GG10" s="5">
        <v>2344.6999999999998</v>
      </c>
      <c r="GH10" s="5">
        <v>3118.3</v>
      </c>
      <c r="GI10" s="5">
        <v>3297.4</v>
      </c>
      <c r="GJ10" s="5">
        <v>2925.4</v>
      </c>
      <c r="GK10" s="5">
        <v>3194.6</v>
      </c>
      <c r="GL10" s="5">
        <v>3020.8999999999996</v>
      </c>
      <c r="GM10" s="228">
        <v>3378.6000000000004</v>
      </c>
      <c r="GN10" s="228">
        <f t="shared" si="48"/>
        <v>38954.5</v>
      </c>
      <c r="GO10" s="5">
        <v>3595.6</v>
      </c>
      <c r="GP10" s="5">
        <v>2896.9803400000001</v>
      </c>
      <c r="GQ10" s="5">
        <v>3250.3</v>
      </c>
      <c r="GR10" s="5">
        <v>5420</v>
      </c>
      <c r="GS10" s="5">
        <v>3677.8</v>
      </c>
      <c r="GT10" s="5">
        <v>2676.8999999999996</v>
      </c>
      <c r="GU10" s="5">
        <v>3223.2</v>
      </c>
      <c r="GV10" s="5">
        <v>3219.7</v>
      </c>
      <c r="GW10" s="5">
        <v>3552.3</v>
      </c>
      <c r="GX10" s="5">
        <v>3763.2000000000003</v>
      </c>
      <c r="GY10" s="5">
        <v>3391.0999999999995</v>
      </c>
      <c r="GZ10" s="5">
        <v>4114.6000000000004</v>
      </c>
      <c r="HA10" s="242">
        <f t="shared" si="50"/>
        <v>42781.680339999999</v>
      </c>
      <c r="HB10" s="111">
        <v>3728</v>
      </c>
      <c r="HC10" s="5">
        <v>4361.8</v>
      </c>
      <c r="HD10" s="5">
        <v>2782.6</v>
      </c>
      <c r="HE10" s="5">
        <v>3887.5</v>
      </c>
      <c r="HF10" s="5">
        <v>3360.4</v>
      </c>
      <c r="HG10" s="5">
        <v>2266.4</v>
      </c>
      <c r="HH10" s="5">
        <v>3152.6</v>
      </c>
      <c r="HI10" s="5">
        <v>3033.4</v>
      </c>
      <c r="HJ10" s="5">
        <v>3812.6</v>
      </c>
      <c r="HK10" s="5">
        <v>3724.8999999999996</v>
      </c>
      <c r="HL10" s="5">
        <v>3909.7</v>
      </c>
      <c r="HM10" s="5">
        <v>4695.7999999999993</v>
      </c>
      <c r="HN10" s="7">
        <f t="shared" si="52"/>
        <v>42715.7</v>
      </c>
      <c r="HO10" s="111">
        <v>5261.4</v>
      </c>
      <c r="HP10" s="5">
        <v>3678.1</v>
      </c>
      <c r="HQ10" s="5">
        <v>4850.8</v>
      </c>
      <c r="HR10" s="5">
        <v>5640.9</v>
      </c>
      <c r="HS10" s="5">
        <v>4172.3</v>
      </c>
      <c r="HT10" s="5">
        <v>4150.9096200000004</v>
      </c>
      <c r="HU10" s="5">
        <v>4662.60023</v>
      </c>
      <c r="HV10" s="5">
        <v>4535.4080800000011</v>
      </c>
      <c r="HW10" s="5">
        <v>4878.1048600000013</v>
      </c>
      <c r="HX10" s="5">
        <v>4933.4599600000001</v>
      </c>
      <c r="HY10" s="5">
        <v>5124.5382000000009</v>
      </c>
      <c r="HZ10" s="228">
        <v>6333.2252800000006</v>
      </c>
      <c r="IA10" s="228">
        <f t="shared" si="54"/>
        <v>58221.746229999997</v>
      </c>
      <c r="IB10" s="111">
        <v>4935.2347399999999</v>
      </c>
      <c r="IC10" s="5">
        <v>4994.4375500000006</v>
      </c>
      <c r="ID10" s="5">
        <v>4493.8126900000007</v>
      </c>
      <c r="IE10" s="5">
        <v>6917.4605999999976</v>
      </c>
      <c r="IF10" s="5">
        <v>4995.7680699999983</v>
      </c>
      <c r="IG10" s="5">
        <v>4713.5401899999997</v>
      </c>
      <c r="IH10" s="5">
        <v>4236.8471900000004</v>
      </c>
      <c r="II10" s="5">
        <v>4916.2393500000007</v>
      </c>
      <c r="IJ10" s="5">
        <v>4977.85401</v>
      </c>
      <c r="IK10" s="5">
        <v>4864.4176299999981</v>
      </c>
      <c r="IL10" s="79">
        <v>4871.1768999999995</v>
      </c>
      <c r="IM10" s="79">
        <v>5794.0562599999985</v>
      </c>
      <c r="IN10" s="7">
        <f t="shared" si="81"/>
        <v>60710.845179999997</v>
      </c>
      <c r="IO10" s="111">
        <v>5240.979949999999</v>
      </c>
      <c r="IP10" s="5">
        <v>3897.1845999999996</v>
      </c>
      <c r="IQ10" s="5">
        <v>5033.7657200000003</v>
      </c>
      <c r="IR10" s="5">
        <v>8342.2775699999984</v>
      </c>
      <c r="IS10" s="5">
        <v>4628.6670100000001</v>
      </c>
      <c r="IT10" s="5">
        <v>4830.2215199999991</v>
      </c>
      <c r="IU10" s="5">
        <v>4107.8158000000003</v>
      </c>
      <c r="IV10" s="5">
        <v>5158.1759700000002</v>
      </c>
      <c r="IW10" s="5">
        <v>4793.0399300000008</v>
      </c>
      <c r="IX10" s="5">
        <v>4889.0709700000007</v>
      </c>
      <c r="IY10" s="5">
        <v>5643.3884200000002</v>
      </c>
      <c r="IZ10" s="228">
        <v>6057.2334200000005</v>
      </c>
      <c r="JA10" s="228">
        <f t="shared" si="56"/>
        <v>62621.820879999999</v>
      </c>
      <c r="JB10" s="5">
        <v>7710.0230800000018</v>
      </c>
      <c r="JC10" s="5">
        <v>5491.0247500000005</v>
      </c>
      <c r="JD10" s="5">
        <v>5468.570490000001</v>
      </c>
      <c r="JE10" s="5">
        <v>9573.0959900000016</v>
      </c>
      <c r="JF10" s="5">
        <v>5769.9569800000008</v>
      </c>
      <c r="JG10" s="5">
        <v>5595.4911700000002</v>
      </c>
      <c r="JH10" s="5">
        <v>6062.8543200000004</v>
      </c>
      <c r="JI10" s="5">
        <v>5967.3009299999994</v>
      </c>
      <c r="JJ10" s="5">
        <v>6663.3489499999996</v>
      </c>
      <c r="JK10" s="5">
        <v>5905.1556</v>
      </c>
      <c r="JL10" s="5">
        <v>5805.2953899999993</v>
      </c>
      <c r="JM10" s="228">
        <v>7288.49935</v>
      </c>
      <c r="JN10" s="228">
        <f t="shared" si="57"/>
        <v>77300.616999999998</v>
      </c>
      <c r="JO10" s="111">
        <v>6949.0846400000009</v>
      </c>
      <c r="JP10" s="5">
        <v>6234.0601400000014</v>
      </c>
      <c r="JQ10" s="5">
        <v>5493.6666500000001</v>
      </c>
      <c r="JR10" s="5">
        <v>8565.9006599999993</v>
      </c>
      <c r="JS10" s="5">
        <v>6060.5223500000011</v>
      </c>
      <c r="JT10" s="5">
        <v>6378.7817200000009</v>
      </c>
      <c r="JU10" s="5">
        <v>6102.9783400000015</v>
      </c>
      <c r="JV10" s="5">
        <v>6287.3945400000021</v>
      </c>
      <c r="JW10" s="5">
        <v>6583.0855200000024</v>
      </c>
      <c r="JX10" s="5">
        <v>7486.4023000000025</v>
      </c>
      <c r="JY10" s="5">
        <v>6854.0850400000018</v>
      </c>
      <c r="JZ10" s="5">
        <v>8794.6858500000017</v>
      </c>
      <c r="KA10" s="7">
        <f t="shared" si="58"/>
        <v>81790.647750000004</v>
      </c>
      <c r="KB10" s="1604">
        <v>9246.5701999999983</v>
      </c>
      <c r="KC10" s="1605">
        <v>6806.8508700000002</v>
      </c>
      <c r="KD10">
        <v>7364.2091500000006</v>
      </c>
      <c r="KE10">
        <v>10751.879449999999</v>
      </c>
      <c r="KF10">
        <v>7128.8315500000008</v>
      </c>
      <c r="KG10">
        <v>7957.0757899999999</v>
      </c>
      <c r="KH10">
        <v>7776.3903000000009</v>
      </c>
      <c r="KI10">
        <v>7910.5647599999993</v>
      </c>
      <c r="KN10" s="1330">
        <f t="shared" si="59"/>
        <v>64942.372070000005</v>
      </c>
      <c r="KP10" s="22">
        <f t="shared" si="60"/>
        <v>25.816261563887743</v>
      </c>
      <c r="KQ10" s="858">
        <f t="shared" si="61"/>
        <v>24.71556090909095</v>
      </c>
      <c r="KR10" s="53">
        <f t="shared" si="62"/>
        <v>52072.389040000002</v>
      </c>
      <c r="KS10" s="53">
        <f t="shared" si="63"/>
        <v>64942.372070000005</v>
      </c>
      <c r="KT10" s="24"/>
    </row>
    <row r="11" spans="1:306" ht="13.9" customHeight="1" x14ac:dyDescent="0.2">
      <c r="A11" s="238" t="s">
        <v>448</v>
      </c>
      <c r="B11" s="52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3"/>
      <c r="N11" s="7">
        <f t="shared" si="21"/>
        <v>0</v>
      </c>
      <c r="O11" s="24">
        <v>1993</v>
      </c>
      <c r="P11" s="24">
        <v>1932</v>
      </c>
      <c r="Q11" s="24">
        <v>1733</v>
      </c>
      <c r="R11" s="24">
        <v>1641</v>
      </c>
      <c r="S11" s="60">
        <v>1512</v>
      </c>
      <c r="T11" s="60">
        <v>1437</v>
      </c>
      <c r="U11" s="60">
        <v>1656</v>
      </c>
      <c r="V11" s="60">
        <v>1727</v>
      </c>
      <c r="W11" s="60">
        <v>1540</v>
      </c>
      <c r="X11" s="60">
        <v>1517</v>
      </c>
      <c r="Y11" s="60">
        <v>1455</v>
      </c>
      <c r="Z11" s="60">
        <v>1463</v>
      </c>
      <c r="AA11" s="7">
        <f t="shared" si="22"/>
        <v>19606</v>
      </c>
      <c r="AB11" s="239">
        <v>1833</v>
      </c>
      <c r="AC11" s="60">
        <v>1789</v>
      </c>
      <c r="AD11" s="60">
        <v>1695</v>
      </c>
      <c r="AE11" s="240">
        <v>1130</v>
      </c>
      <c r="AF11" s="240">
        <v>1139</v>
      </c>
      <c r="AG11" s="240">
        <v>1270</v>
      </c>
      <c r="AH11" s="240">
        <v>1317</v>
      </c>
      <c r="AI11" s="240">
        <v>1503</v>
      </c>
      <c r="AJ11" s="240">
        <v>1621</v>
      </c>
      <c r="AK11" s="240">
        <v>1563</v>
      </c>
      <c r="AL11" s="240">
        <v>1516</v>
      </c>
      <c r="AM11" s="240">
        <v>1489</v>
      </c>
      <c r="AN11" s="7">
        <f t="shared" si="24"/>
        <v>17865</v>
      </c>
      <c r="AO11" s="241">
        <v>1737</v>
      </c>
      <c r="AP11" s="240">
        <v>1581</v>
      </c>
      <c r="AQ11" s="240">
        <v>1667</v>
      </c>
      <c r="AR11" s="240">
        <v>1255</v>
      </c>
      <c r="AS11" s="240">
        <v>1197</v>
      </c>
      <c r="AT11" s="240">
        <v>1360</v>
      </c>
      <c r="AU11" s="240">
        <v>1513</v>
      </c>
      <c r="AV11" s="240">
        <v>1724</v>
      </c>
      <c r="AW11" s="240">
        <v>1674</v>
      </c>
      <c r="AX11" s="240">
        <v>1805</v>
      </c>
      <c r="AY11" s="240">
        <v>1849</v>
      </c>
      <c r="AZ11" s="240">
        <v>1898</v>
      </c>
      <c r="BA11" s="7">
        <f t="shared" si="26"/>
        <v>19260</v>
      </c>
      <c r="BB11" s="240">
        <v>2435</v>
      </c>
      <c r="BC11" s="240">
        <v>2181</v>
      </c>
      <c r="BD11" s="240">
        <v>2307</v>
      </c>
      <c r="BE11" s="240">
        <v>2220</v>
      </c>
      <c r="BF11" s="240">
        <v>2293</v>
      </c>
      <c r="BG11" s="240">
        <v>2544</v>
      </c>
      <c r="BH11" s="240">
        <v>2701</v>
      </c>
      <c r="BI11" s="240">
        <v>2935</v>
      </c>
      <c r="BJ11" s="240">
        <v>3089</v>
      </c>
      <c r="BK11" s="240">
        <v>2938</v>
      </c>
      <c r="BL11" s="240">
        <v>2856</v>
      </c>
      <c r="BM11" s="240">
        <v>2814</v>
      </c>
      <c r="BN11" s="242">
        <f t="shared" si="28"/>
        <v>31313</v>
      </c>
      <c r="BO11" s="241">
        <v>3516</v>
      </c>
      <c r="BP11" s="240">
        <v>2820</v>
      </c>
      <c r="BQ11" s="240">
        <v>2802</v>
      </c>
      <c r="BR11" s="240">
        <v>2563</v>
      </c>
      <c r="BS11" s="240">
        <v>2437</v>
      </c>
      <c r="BT11" s="240">
        <v>2642</v>
      </c>
      <c r="BU11" s="240">
        <v>2960</v>
      </c>
      <c r="BV11" s="240">
        <v>3076</v>
      </c>
      <c r="BW11" s="240">
        <v>3236</v>
      </c>
      <c r="BX11" s="240">
        <v>3160</v>
      </c>
      <c r="BY11" s="240">
        <v>3735</v>
      </c>
      <c r="BZ11" s="240">
        <v>3695</v>
      </c>
      <c r="CA11" s="242">
        <f t="shared" si="30"/>
        <v>36642</v>
      </c>
      <c r="CB11" s="240">
        <v>4180</v>
      </c>
      <c r="CC11" s="240">
        <v>3604</v>
      </c>
      <c r="CD11" s="240">
        <v>3495</v>
      </c>
      <c r="CE11" s="240">
        <v>3039</v>
      </c>
      <c r="CF11" s="240">
        <v>3056</v>
      </c>
      <c r="CG11" s="240">
        <v>3330</v>
      </c>
      <c r="CH11" s="240">
        <v>3537</v>
      </c>
      <c r="CI11" s="240">
        <v>3757</v>
      </c>
      <c r="CJ11" s="240">
        <v>4176</v>
      </c>
      <c r="CK11" s="240">
        <v>3768</v>
      </c>
      <c r="CL11" s="240">
        <v>3836</v>
      </c>
      <c r="CM11" s="240">
        <v>3897</v>
      </c>
      <c r="CN11" s="242">
        <f t="shared" si="32"/>
        <v>43675</v>
      </c>
      <c r="CO11" s="241">
        <v>4407</v>
      </c>
      <c r="CP11" s="240">
        <v>3071</v>
      </c>
      <c r="CQ11" s="240">
        <v>3979</v>
      </c>
      <c r="CR11" s="240">
        <v>3272</v>
      </c>
      <c r="CS11" s="240">
        <v>3627</v>
      </c>
      <c r="CT11" s="240">
        <v>3934</v>
      </c>
      <c r="CU11" s="240">
        <v>4155</v>
      </c>
      <c r="CV11" s="240">
        <v>4068</v>
      </c>
      <c r="CW11" s="240">
        <v>5090</v>
      </c>
      <c r="CX11" s="240">
        <v>4925</v>
      </c>
      <c r="CY11" s="240">
        <v>4976</v>
      </c>
      <c r="CZ11" s="240">
        <v>5277</v>
      </c>
      <c r="DA11" s="242">
        <f t="shared" si="34"/>
        <v>50781</v>
      </c>
      <c r="DB11" s="240">
        <v>5323</v>
      </c>
      <c r="DC11" s="240">
        <v>4970</v>
      </c>
      <c r="DD11" s="240">
        <v>5053</v>
      </c>
      <c r="DE11" s="240">
        <v>3632</v>
      </c>
      <c r="DF11" s="240">
        <v>3777</v>
      </c>
      <c r="DG11" s="240">
        <v>3888</v>
      </c>
      <c r="DH11" s="240">
        <v>4090</v>
      </c>
      <c r="DI11" s="240">
        <v>4301</v>
      </c>
      <c r="DJ11" s="240">
        <v>5043</v>
      </c>
      <c r="DK11" s="240">
        <v>5378</v>
      </c>
      <c r="DL11" s="240">
        <v>6137</v>
      </c>
      <c r="DM11" s="240">
        <v>5892</v>
      </c>
      <c r="DN11" s="242">
        <f t="shared" si="36"/>
        <v>57484</v>
      </c>
      <c r="DO11" s="241">
        <v>7048.3</v>
      </c>
      <c r="DP11" s="240">
        <v>5907.2999999999993</v>
      </c>
      <c r="DQ11" s="240">
        <v>6141.4</v>
      </c>
      <c r="DR11" s="240">
        <v>3229.3</v>
      </c>
      <c r="DS11" s="240">
        <v>3598.49</v>
      </c>
      <c r="DT11" s="240">
        <v>3787.2999999999997</v>
      </c>
      <c r="DU11" s="240">
        <v>4258.2000000000007</v>
      </c>
      <c r="DV11" s="240">
        <v>4565.5999999999995</v>
      </c>
      <c r="DW11" s="240">
        <v>4527.3999999999996</v>
      </c>
      <c r="DX11" s="240">
        <v>4616.2999999999993</v>
      </c>
      <c r="DY11" s="1">
        <v>5582</v>
      </c>
      <c r="DZ11" s="1">
        <v>5748.7</v>
      </c>
      <c r="EA11" s="242">
        <f t="shared" si="38"/>
        <v>59010.289999999994</v>
      </c>
      <c r="EB11" s="49">
        <v>6884.6000000000013</v>
      </c>
      <c r="EC11" s="1">
        <v>5862.3</v>
      </c>
      <c r="ED11" s="1">
        <v>5857.2</v>
      </c>
      <c r="EE11" s="1">
        <v>4221.8</v>
      </c>
      <c r="EF11" s="1">
        <v>4978</v>
      </c>
      <c r="EG11" s="1">
        <v>5447.4</v>
      </c>
      <c r="EH11" s="1">
        <v>5692.3000000000011</v>
      </c>
      <c r="EI11" s="1">
        <v>6184.3</v>
      </c>
      <c r="EJ11" s="1">
        <v>6262.5999999999995</v>
      </c>
      <c r="EK11" s="1">
        <v>7327.9999999999991</v>
      </c>
      <c r="EL11" s="1">
        <v>6980.2012199999981</v>
      </c>
      <c r="EM11" s="1">
        <v>7115.0426499999994</v>
      </c>
      <c r="EN11" s="8">
        <f t="shared" si="40"/>
        <v>72813.743870000006</v>
      </c>
      <c r="EO11" s="1">
        <v>9009.3195199999991</v>
      </c>
      <c r="EP11" s="1">
        <v>7512.1</v>
      </c>
      <c r="EQ11" s="1">
        <v>7129</v>
      </c>
      <c r="ER11" s="1">
        <v>4643</v>
      </c>
      <c r="ES11" s="1">
        <v>4988</v>
      </c>
      <c r="ET11" s="1">
        <v>5164</v>
      </c>
      <c r="EU11" s="1">
        <v>5611.3</v>
      </c>
      <c r="EV11" s="1">
        <v>6306</v>
      </c>
      <c r="EW11" s="1">
        <v>6674</v>
      </c>
      <c r="EX11" s="1">
        <v>7011</v>
      </c>
      <c r="EY11" s="1">
        <v>7563.6</v>
      </c>
      <c r="EZ11" s="1">
        <v>8310.2000000000007</v>
      </c>
      <c r="FA11" s="8">
        <f t="shared" si="42"/>
        <v>79921.519520000002</v>
      </c>
      <c r="FB11" s="111">
        <v>9014</v>
      </c>
      <c r="FC11" s="5">
        <v>7868.9</v>
      </c>
      <c r="FD11" s="5">
        <v>8243.5999999999985</v>
      </c>
      <c r="FE11" s="5">
        <v>6062.3</v>
      </c>
      <c r="FF11" s="5">
        <v>6400.7</v>
      </c>
      <c r="FG11" s="5">
        <v>6434.6</v>
      </c>
      <c r="FH11" s="5">
        <v>6792.0999999999995</v>
      </c>
      <c r="FI11" s="5">
        <v>7965.7</v>
      </c>
      <c r="FJ11" s="5">
        <v>8464.2999999999993</v>
      </c>
      <c r="FK11" s="5">
        <v>7537.3</v>
      </c>
      <c r="FL11" s="5">
        <v>7836.0000000000009</v>
      </c>
      <c r="FM11" s="5">
        <v>8115.9</v>
      </c>
      <c r="FN11" s="7">
        <f t="shared" si="44"/>
        <v>90735.4</v>
      </c>
      <c r="FO11" s="111">
        <v>10583.9</v>
      </c>
      <c r="FP11" s="5">
        <v>7524.7</v>
      </c>
      <c r="FQ11" s="5">
        <v>8224.6</v>
      </c>
      <c r="FR11" s="5">
        <v>6097.2999999999993</v>
      </c>
      <c r="FS11" s="5">
        <v>6042.7000000000007</v>
      </c>
      <c r="FT11" s="5">
        <v>6203.7</v>
      </c>
      <c r="FU11" s="5">
        <v>6588.8</v>
      </c>
      <c r="FV11" s="5">
        <v>7182.4</v>
      </c>
      <c r="FW11" s="5">
        <v>7368.1</v>
      </c>
      <c r="FX11" s="5">
        <v>8008.6</v>
      </c>
      <c r="FY11" s="5">
        <v>7906.4999999999991</v>
      </c>
      <c r="FZ11" s="5">
        <v>7672</v>
      </c>
      <c r="GA11" s="7">
        <f t="shared" si="46"/>
        <v>89403.3</v>
      </c>
      <c r="GB11" s="111">
        <v>10134</v>
      </c>
      <c r="GC11" s="5">
        <v>8411</v>
      </c>
      <c r="GD11" s="5">
        <v>7397.9</v>
      </c>
      <c r="GE11" s="5">
        <v>4864</v>
      </c>
      <c r="GF11" s="5">
        <v>5750.4</v>
      </c>
      <c r="GG11" s="5">
        <v>5844.6</v>
      </c>
      <c r="GH11" s="5">
        <v>6447.4</v>
      </c>
      <c r="GI11" s="5">
        <v>6923.8000000000011</v>
      </c>
      <c r="GJ11" s="5">
        <v>7785.8</v>
      </c>
      <c r="GK11" s="5">
        <v>8048.7999999999993</v>
      </c>
      <c r="GL11" s="5">
        <v>8504.1999999999989</v>
      </c>
      <c r="GM11" s="228">
        <v>8316.2999999999993</v>
      </c>
      <c r="GN11" s="228">
        <f t="shared" si="48"/>
        <v>88428.200000000012</v>
      </c>
      <c r="GO11" s="5">
        <v>9476.5999999999985</v>
      </c>
      <c r="GP11" s="5">
        <v>8486.5672799999993</v>
      </c>
      <c r="GQ11" s="5">
        <v>8042.6</v>
      </c>
      <c r="GR11" s="5">
        <v>4710</v>
      </c>
      <c r="GS11" s="5">
        <v>4190.2</v>
      </c>
      <c r="GT11" s="5">
        <v>5534</v>
      </c>
      <c r="GU11" s="5">
        <v>6387.9</v>
      </c>
      <c r="GV11" s="5">
        <v>6486.7999999999993</v>
      </c>
      <c r="GW11" s="5">
        <v>8315.2000000000007</v>
      </c>
      <c r="GX11" s="5">
        <v>7846.1</v>
      </c>
      <c r="GY11" s="5">
        <v>8587.1</v>
      </c>
      <c r="GZ11" s="5">
        <v>9105.2999999999993</v>
      </c>
      <c r="HA11" s="242">
        <f t="shared" si="50"/>
        <v>87168.367280000006</v>
      </c>
      <c r="HB11" s="111">
        <v>11044.9</v>
      </c>
      <c r="HC11" s="5">
        <v>9965.7000000000007</v>
      </c>
      <c r="HD11" s="5">
        <v>6503.6</v>
      </c>
      <c r="HE11" s="5">
        <v>1849.3</v>
      </c>
      <c r="HF11" s="5">
        <v>1710.3</v>
      </c>
      <c r="HG11" s="5">
        <v>2403.6</v>
      </c>
      <c r="HH11" s="5">
        <v>4780.1000000000004</v>
      </c>
      <c r="HI11" s="5">
        <v>5990.5</v>
      </c>
      <c r="HJ11" s="5">
        <v>7564.3</v>
      </c>
      <c r="HK11" s="5">
        <v>9459.2000000000007</v>
      </c>
      <c r="HL11" s="5">
        <v>10480.700000000001</v>
      </c>
      <c r="HM11" s="5">
        <v>10677.5</v>
      </c>
      <c r="HN11" s="7">
        <f t="shared" si="52"/>
        <v>82429.7</v>
      </c>
      <c r="HO11" s="111">
        <v>13572.3</v>
      </c>
      <c r="HP11" s="5">
        <v>12343.8</v>
      </c>
      <c r="HQ11" s="5">
        <v>11617.399999999998</v>
      </c>
      <c r="HR11" s="5">
        <v>7765.3</v>
      </c>
      <c r="HS11" s="5">
        <v>8545.7999999999993</v>
      </c>
      <c r="HT11" s="5">
        <v>9790.3369400000011</v>
      </c>
      <c r="HU11" s="5">
        <v>10431.748889999999</v>
      </c>
      <c r="HV11" s="5">
        <v>11234.967289999997</v>
      </c>
      <c r="HW11" s="5">
        <v>11955.383959999997</v>
      </c>
      <c r="HX11" s="5">
        <v>12385.22957</v>
      </c>
      <c r="HY11" s="5">
        <v>12776.278109999999</v>
      </c>
      <c r="HZ11" s="228">
        <v>13652.245119999996</v>
      </c>
      <c r="IA11" s="228">
        <f t="shared" si="54"/>
        <v>136070.78988</v>
      </c>
      <c r="IB11" s="111">
        <v>15056.899279999996</v>
      </c>
      <c r="IC11" s="5">
        <v>13524.509589999998</v>
      </c>
      <c r="ID11" s="5">
        <v>12524.180509999998</v>
      </c>
      <c r="IE11" s="5">
        <v>10060.874390000001</v>
      </c>
      <c r="IF11" s="5">
        <v>9625.7862599999989</v>
      </c>
      <c r="IG11" s="5">
        <v>9683.6207099999992</v>
      </c>
      <c r="IH11" s="5">
        <v>12926.12854</v>
      </c>
      <c r="II11" s="5">
        <v>14014.506809999997</v>
      </c>
      <c r="IJ11" s="5">
        <v>14678.863149999997</v>
      </c>
      <c r="IK11" s="5">
        <v>14743.640109999998</v>
      </c>
      <c r="IL11" s="79">
        <v>15862.789159999998</v>
      </c>
      <c r="IM11" s="79">
        <v>14625.343809999997</v>
      </c>
      <c r="IN11" s="7">
        <f t="shared" si="81"/>
        <v>157327.14231999996</v>
      </c>
      <c r="IO11" s="111">
        <v>15854.896159999997</v>
      </c>
      <c r="IP11" s="5">
        <v>13581.531799999997</v>
      </c>
      <c r="IQ11" s="5">
        <v>13710.501009999998</v>
      </c>
      <c r="IR11" s="5">
        <v>8068.6190399999978</v>
      </c>
      <c r="IS11" s="5">
        <v>9276.5636000000013</v>
      </c>
      <c r="IT11" s="5">
        <v>9243.8021799999988</v>
      </c>
      <c r="IU11" s="5">
        <v>10243.000739999996</v>
      </c>
      <c r="IV11" s="5">
        <v>12262.153869999996</v>
      </c>
      <c r="IW11" s="5">
        <v>13723.664189999996</v>
      </c>
      <c r="IX11" s="5">
        <v>14442.315859999999</v>
      </c>
      <c r="IY11" s="5">
        <v>12936.161559999997</v>
      </c>
      <c r="IZ11" s="228">
        <v>12934.932019999998</v>
      </c>
      <c r="JA11" s="228">
        <f t="shared" si="56"/>
        <v>146278.14202999999</v>
      </c>
      <c r="JB11" s="5">
        <v>16558.435299999994</v>
      </c>
      <c r="JC11" s="5">
        <v>14356.037279999999</v>
      </c>
      <c r="JD11" s="5">
        <v>12974.336499999998</v>
      </c>
      <c r="JE11" s="5">
        <v>11819.453239999997</v>
      </c>
      <c r="JF11" s="5">
        <v>11337.495879999999</v>
      </c>
      <c r="JG11" s="5">
        <v>11103.571559999998</v>
      </c>
      <c r="JH11" s="5">
        <v>13550.524169999999</v>
      </c>
      <c r="JI11" s="5">
        <v>16176.814989999995</v>
      </c>
      <c r="JJ11" s="5">
        <v>17120.803899999999</v>
      </c>
      <c r="JK11" s="5">
        <v>16585.442639999994</v>
      </c>
      <c r="JL11" s="5">
        <v>15971.495479999996</v>
      </c>
      <c r="JM11" s="228">
        <v>17802.072189999999</v>
      </c>
      <c r="JN11" s="228">
        <f t="shared" si="57"/>
        <v>175356.48312999998</v>
      </c>
      <c r="JO11" s="111">
        <v>20912.337509999998</v>
      </c>
      <c r="JP11" s="5">
        <v>16338.701689999994</v>
      </c>
      <c r="JQ11" s="5">
        <v>15783.441229999995</v>
      </c>
      <c r="JR11" s="5">
        <v>13443.089989999995</v>
      </c>
      <c r="JS11" s="5">
        <v>12091.337639999998</v>
      </c>
      <c r="JT11" s="5">
        <v>13280.940649999997</v>
      </c>
      <c r="JU11" s="5">
        <v>15982.868489999997</v>
      </c>
      <c r="JV11" s="5">
        <v>18409.080709999995</v>
      </c>
      <c r="JW11" s="5">
        <v>21115.445090000001</v>
      </c>
      <c r="JX11" s="5">
        <v>21039.825369999991</v>
      </c>
      <c r="JY11" s="5">
        <v>20958.360199999996</v>
      </c>
      <c r="JZ11" s="5">
        <v>20516.451250000006</v>
      </c>
      <c r="KA11" s="7">
        <f t="shared" si="58"/>
        <v>209871.87982</v>
      </c>
      <c r="KB11" s="1604">
        <v>23263.208030000002</v>
      </c>
      <c r="KC11" s="1605">
        <v>19275.324779999995</v>
      </c>
      <c r="KD11">
        <v>18549.735079999991</v>
      </c>
      <c r="KE11">
        <v>15908.005949999999</v>
      </c>
      <c r="KF11">
        <v>15229.909549999995</v>
      </c>
      <c r="KG11">
        <v>17339.248959999997</v>
      </c>
      <c r="KH11">
        <v>18972.229479999995</v>
      </c>
      <c r="KI11">
        <v>20513.717089999998</v>
      </c>
      <c r="KN11" s="1330">
        <f t="shared" si="59"/>
        <v>149051.37891999996</v>
      </c>
      <c r="KP11" s="22">
        <f t="shared" si="60"/>
        <v>11.432599015423639</v>
      </c>
      <c r="KQ11" s="858">
        <f t="shared" si="61"/>
        <v>18.068168695015995</v>
      </c>
      <c r="KR11" s="53">
        <f t="shared" si="62"/>
        <v>126241.79790999998</v>
      </c>
      <c r="KS11" s="53">
        <f t="shared" si="63"/>
        <v>149051.37891999996</v>
      </c>
      <c r="KT11" s="24"/>
    </row>
    <row r="12" spans="1:306" ht="13.9" customHeight="1" x14ac:dyDescent="0.2">
      <c r="A12" s="238" t="s">
        <v>449</v>
      </c>
      <c r="B12" s="52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3"/>
      <c r="N12" s="234">
        <f t="shared" si="21"/>
        <v>0</v>
      </c>
      <c r="O12" s="24">
        <v>65</v>
      </c>
      <c r="P12" s="24">
        <v>100</v>
      </c>
      <c r="Q12" s="24">
        <v>999</v>
      </c>
      <c r="R12" s="24">
        <v>1192</v>
      </c>
      <c r="S12" s="60">
        <v>142</v>
      </c>
      <c r="T12" s="60">
        <v>190</v>
      </c>
      <c r="U12" s="60">
        <v>186</v>
      </c>
      <c r="V12" s="60">
        <v>116</v>
      </c>
      <c r="W12" s="60">
        <v>119</v>
      </c>
      <c r="X12" s="60">
        <v>148</v>
      </c>
      <c r="Y12" s="60">
        <v>37</v>
      </c>
      <c r="Z12" s="60">
        <v>84</v>
      </c>
      <c r="AA12" s="234">
        <f t="shared" si="22"/>
        <v>3378</v>
      </c>
      <c r="AB12" s="239">
        <v>119</v>
      </c>
      <c r="AC12" s="60">
        <v>154</v>
      </c>
      <c r="AD12" s="60">
        <v>520</v>
      </c>
      <c r="AE12" s="240">
        <v>493</v>
      </c>
      <c r="AF12" s="240">
        <v>90</v>
      </c>
      <c r="AG12" s="240">
        <v>123</v>
      </c>
      <c r="AH12" s="240">
        <v>42</v>
      </c>
      <c r="AI12" s="240">
        <v>74</v>
      </c>
      <c r="AJ12" s="240">
        <v>84</v>
      </c>
      <c r="AK12" s="240">
        <v>82</v>
      </c>
      <c r="AL12" s="240">
        <v>305</v>
      </c>
      <c r="AM12" s="240">
        <v>22</v>
      </c>
      <c r="AN12" s="234">
        <f t="shared" si="24"/>
        <v>2108</v>
      </c>
      <c r="AO12" s="241">
        <v>19</v>
      </c>
      <c r="AP12" s="240">
        <v>30</v>
      </c>
      <c r="AQ12" s="240">
        <v>304</v>
      </c>
      <c r="AR12" s="240">
        <v>1111</v>
      </c>
      <c r="AS12" s="240">
        <v>199</v>
      </c>
      <c r="AT12" s="240">
        <v>98</v>
      </c>
      <c r="AU12" s="240">
        <v>113</v>
      </c>
      <c r="AV12" s="240">
        <v>126</v>
      </c>
      <c r="AW12" s="240">
        <v>46</v>
      </c>
      <c r="AX12" s="240">
        <v>49</v>
      </c>
      <c r="AY12" s="240">
        <v>50</v>
      </c>
      <c r="AZ12" s="240">
        <v>120</v>
      </c>
      <c r="BA12" s="234">
        <f t="shared" si="26"/>
        <v>2265</v>
      </c>
      <c r="BB12" s="240">
        <v>12</v>
      </c>
      <c r="BC12" s="240">
        <v>70</v>
      </c>
      <c r="BD12" s="240">
        <v>590</v>
      </c>
      <c r="BE12" s="240">
        <v>5302</v>
      </c>
      <c r="BF12" s="240">
        <v>120</v>
      </c>
      <c r="BG12" s="240">
        <v>89</v>
      </c>
      <c r="BH12" s="240">
        <v>67</v>
      </c>
      <c r="BI12" s="240">
        <v>76</v>
      </c>
      <c r="BJ12" s="240">
        <v>55</v>
      </c>
      <c r="BK12" s="240">
        <v>65</v>
      </c>
      <c r="BL12" s="240">
        <v>38</v>
      </c>
      <c r="BM12" s="240">
        <v>48</v>
      </c>
      <c r="BN12" s="242">
        <f t="shared" si="28"/>
        <v>6532</v>
      </c>
      <c r="BO12" s="241">
        <v>28</v>
      </c>
      <c r="BP12" s="240">
        <v>61</v>
      </c>
      <c r="BQ12" s="240">
        <v>2482</v>
      </c>
      <c r="BR12" s="240">
        <v>2984</v>
      </c>
      <c r="BS12" s="240">
        <v>176</v>
      </c>
      <c r="BT12" s="240">
        <v>105</v>
      </c>
      <c r="BU12" s="240">
        <v>94</v>
      </c>
      <c r="BV12" s="240">
        <v>239</v>
      </c>
      <c r="BW12" s="240">
        <v>121</v>
      </c>
      <c r="BX12" s="240">
        <v>154</v>
      </c>
      <c r="BY12" s="240">
        <v>115</v>
      </c>
      <c r="BZ12" s="240">
        <v>262</v>
      </c>
      <c r="CA12" s="242">
        <f t="shared" si="30"/>
        <v>6821</v>
      </c>
      <c r="CB12" s="240">
        <v>42</v>
      </c>
      <c r="CC12" s="240">
        <v>54</v>
      </c>
      <c r="CD12" s="240">
        <v>717</v>
      </c>
      <c r="CE12" s="240">
        <v>2053</v>
      </c>
      <c r="CF12" s="240">
        <v>195</v>
      </c>
      <c r="CG12" s="240">
        <v>163</v>
      </c>
      <c r="CH12" s="240">
        <v>62</v>
      </c>
      <c r="CI12" s="240">
        <v>52</v>
      </c>
      <c r="CJ12" s="240">
        <v>256</v>
      </c>
      <c r="CK12" s="240">
        <v>88</v>
      </c>
      <c r="CL12" s="240">
        <v>59</v>
      </c>
      <c r="CM12" s="240">
        <v>116</v>
      </c>
      <c r="CN12" s="242">
        <f t="shared" si="32"/>
        <v>3857</v>
      </c>
      <c r="CO12" s="241">
        <v>674</v>
      </c>
      <c r="CP12" s="240">
        <v>34</v>
      </c>
      <c r="CQ12" s="240">
        <v>626</v>
      </c>
      <c r="CR12" s="240">
        <v>2646</v>
      </c>
      <c r="CS12" s="240">
        <v>252</v>
      </c>
      <c r="CT12" s="240">
        <v>61</v>
      </c>
      <c r="CU12" s="240">
        <v>60</v>
      </c>
      <c r="CV12" s="240">
        <v>72</v>
      </c>
      <c r="CW12" s="240">
        <v>49</v>
      </c>
      <c r="CX12" s="240">
        <v>88</v>
      </c>
      <c r="CY12" s="240">
        <v>88</v>
      </c>
      <c r="CZ12" s="240">
        <v>102</v>
      </c>
      <c r="DA12" s="242">
        <f t="shared" si="34"/>
        <v>4752</v>
      </c>
      <c r="DB12" s="240">
        <v>496</v>
      </c>
      <c r="DC12" s="240">
        <v>632</v>
      </c>
      <c r="DD12" s="240">
        <v>1107</v>
      </c>
      <c r="DE12" s="240">
        <v>2574</v>
      </c>
      <c r="DF12" s="240">
        <v>395</v>
      </c>
      <c r="DG12" s="240">
        <v>303</v>
      </c>
      <c r="DH12" s="240">
        <v>210</v>
      </c>
      <c r="DI12" s="240">
        <v>136</v>
      </c>
      <c r="DJ12" s="240">
        <v>132</v>
      </c>
      <c r="DK12" s="240">
        <v>491</v>
      </c>
      <c r="DL12" s="240">
        <v>130</v>
      </c>
      <c r="DM12" s="240">
        <v>184</v>
      </c>
      <c r="DN12" s="242">
        <f t="shared" si="36"/>
        <v>6790</v>
      </c>
      <c r="DO12" s="241">
        <v>456.7</v>
      </c>
      <c r="DP12" s="240">
        <v>55.099999999999994</v>
      </c>
      <c r="DQ12" s="240">
        <v>876.30000000000007</v>
      </c>
      <c r="DR12" s="240">
        <v>2320.1999999999998</v>
      </c>
      <c r="DS12" s="240">
        <v>798.09</v>
      </c>
      <c r="DT12" s="240">
        <v>369.3</v>
      </c>
      <c r="DU12" s="240">
        <v>388.40000000000003</v>
      </c>
      <c r="DV12" s="240">
        <v>216.1</v>
      </c>
      <c r="DW12" s="240">
        <v>137.79999999999998</v>
      </c>
      <c r="DX12" s="240">
        <v>244.5</v>
      </c>
      <c r="DY12" s="1">
        <v>3615.2999999999997</v>
      </c>
      <c r="DZ12" s="1">
        <v>420.6</v>
      </c>
      <c r="EA12" s="242">
        <f t="shared" si="38"/>
        <v>9898.39</v>
      </c>
      <c r="EB12" s="49">
        <v>191.29999999999998</v>
      </c>
      <c r="EC12" s="1">
        <v>110.9</v>
      </c>
      <c r="ED12" s="1">
        <v>3361.9</v>
      </c>
      <c r="EE12" s="1">
        <v>6287.4000000000005</v>
      </c>
      <c r="EF12" s="1">
        <v>1156.2</v>
      </c>
      <c r="EG12" s="1">
        <v>646.59999999999991</v>
      </c>
      <c r="EH12" s="1">
        <v>316.59999999999997</v>
      </c>
      <c r="EI12" s="1">
        <v>419.5</v>
      </c>
      <c r="EJ12" s="1">
        <v>229.6</v>
      </c>
      <c r="EK12" s="1">
        <v>358.09999999999997</v>
      </c>
      <c r="EL12" s="1">
        <v>406.53103999999996</v>
      </c>
      <c r="EM12" s="1">
        <v>164.47693999999998</v>
      </c>
      <c r="EN12" s="8">
        <f t="shared" si="40"/>
        <v>13649.107980000002</v>
      </c>
      <c r="EO12" s="1">
        <v>235.27200999999999</v>
      </c>
      <c r="EP12" s="1">
        <v>207.5</v>
      </c>
      <c r="EQ12" s="1">
        <v>1572</v>
      </c>
      <c r="ER12" s="1">
        <v>2865</v>
      </c>
      <c r="ES12" s="1">
        <v>737.4</v>
      </c>
      <c r="ET12" s="1">
        <v>541</v>
      </c>
      <c r="EU12" s="1">
        <v>292.3</v>
      </c>
      <c r="EV12" s="1">
        <v>332</v>
      </c>
      <c r="EW12" s="1">
        <v>158</v>
      </c>
      <c r="EX12" s="1">
        <v>230.6</v>
      </c>
      <c r="EY12" s="1">
        <v>141.6</v>
      </c>
      <c r="EZ12" s="1">
        <v>673.1</v>
      </c>
      <c r="FA12" s="8">
        <f t="shared" si="42"/>
        <v>7985.7720100000015</v>
      </c>
      <c r="FB12" s="111">
        <v>328</v>
      </c>
      <c r="FC12" s="5">
        <v>371.1</v>
      </c>
      <c r="FD12" s="5">
        <v>5244.5</v>
      </c>
      <c r="FE12" s="5">
        <v>4150.7</v>
      </c>
      <c r="FF12" s="5">
        <v>611.1</v>
      </c>
      <c r="FG12" s="5">
        <v>174.70000000000002</v>
      </c>
      <c r="FH12" s="5">
        <v>134.1</v>
      </c>
      <c r="FI12" s="5">
        <v>129.9</v>
      </c>
      <c r="FJ12" s="5">
        <v>55.099999999999994</v>
      </c>
      <c r="FK12" s="5">
        <v>23.3</v>
      </c>
      <c r="FL12" s="5">
        <v>27.3</v>
      </c>
      <c r="FM12" s="5">
        <v>56.1</v>
      </c>
      <c r="FN12" s="7">
        <f t="shared" si="44"/>
        <v>11305.9</v>
      </c>
      <c r="FO12" s="111">
        <v>84.600000000000009</v>
      </c>
      <c r="FP12" s="5">
        <v>137.5</v>
      </c>
      <c r="FQ12" s="5">
        <v>3315.7000000000003</v>
      </c>
      <c r="FR12" s="5">
        <v>2192.5</v>
      </c>
      <c r="FS12" s="5">
        <v>453.3</v>
      </c>
      <c r="FT12" s="5">
        <v>363.79999999999995</v>
      </c>
      <c r="FU12" s="5">
        <v>197.8</v>
      </c>
      <c r="FV12" s="5">
        <v>458.7</v>
      </c>
      <c r="FW12" s="5">
        <v>122.69999999999999</v>
      </c>
      <c r="FX12" s="5">
        <v>174.5</v>
      </c>
      <c r="FY12" s="5">
        <v>50.199999999999996</v>
      </c>
      <c r="FZ12" s="5">
        <v>75</v>
      </c>
      <c r="GA12" s="7">
        <f t="shared" si="46"/>
        <v>7626.3</v>
      </c>
      <c r="GB12" s="111">
        <v>327</v>
      </c>
      <c r="GC12" s="5">
        <v>83</v>
      </c>
      <c r="GD12" s="5">
        <v>2499.5</v>
      </c>
      <c r="GE12" s="5">
        <v>4487.8</v>
      </c>
      <c r="GF12" s="5">
        <v>1080.0999999999999</v>
      </c>
      <c r="GG12" s="5">
        <v>527.69999999999993</v>
      </c>
      <c r="GH12" s="5">
        <v>193.8</v>
      </c>
      <c r="GI12" s="5">
        <v>359.5</v>
      </c>
      <c r="GJ12" s="5">
        <v>292.59999999999997</v>
      </c>
      <c r="GK12" s="5">
        <v>325.3</v>
      </c>
      <c r="GL12" s="5">
        <v>115</v>
      </c>
      <c r="GM12" s="228">
        <v>248.89999999999998</v>
      </c>
      <c r="GN12" s="228">
        <f t="shared" si="48"/>
        <v>10540.199999999999</v>
      </c>
      <c r="GO12" s="5">
        <v>72.900000000000006</v>
      </c>
      <c r="GP12" s="5">
        <v>83.807100000000005</v>
      </c>
      <c r="GQ12" s="5">
        <v>3010.1</v>
      </c>
      <c r="GR12" s="5">
        <v>4232</v>
      </c>
      <c r="GS12" s="5">
        <v>676.4</v>
      </c>
      <c r="GT12" s="5">
        <v>691.3</v>
      </c>
      <c r="GU12" s="5">
        <v>591.1</v>
      </c>
      <c r="GV12" s="5">
        <v>380.09999999999997</v>
      </c>
      <c r="GW12" s="5">
        <v>716.5</v>
      </c>
      <c r="GX12" s="5">
        <v>472.2</v>
      </c>
      <c r="GY12" s="5">
        <v>357.59999999999997</v>
      </c>
      <c r="GZ12" s="5">
        <v>289.60000000000002</v>
      </c>
      <c r="HA12" s="242">
        <f t="shared" si="50"/>
        <v>11573.607100000001</v>
      </c>
      <c r="HB12" s="111">
        <v>156.30000000000001</v>
      </c>
      <c r="HC12" s="5">
        <v>157</v>
      </c>
      <c r="HD12" s="5">
        <v>823.2</v>
      </c>
      <c r="HE12" s="5">
        <v>601.1</v>
      </c>
      <c r="HF12" s="5">
        <v>558.20000000000005</v>
      </c>
      <c r="HG12" s="5">
        <v>1330.6</v>
      </c>
      <c r="HH12" s="5">
        <v>2366.5</v>
      </c>
      <c r="HI12" s="5">
        <v>1065.9000000000001</v>
      </c>
      <c r="HJ12" s="5">
        <v>741.2</v>
      </c>
      <c r="HK12" s="5">
        <v>354.1</v>
      </c>
      <c r="HL12" s="233">
        <v>407.2</v>
      </c>
      <c r="HM12" s="233">
        <v>409.8</v>
      </c>
      <c r="HN12" s="234">
        <f t="shared" si="52"/>
        <v>8971.0999999999985</v>
      </c>
      <c r="HO12" s="235">
        <v>253.10000000000002</v>
      </c>
      <c r="HP12" s="233">
        <v>904.4</v>
      </c>
      <c r="HQ12" s="233">
        <v>3895.8999999999996</v>
      </c>
      <c r="HR12" s="233">
        <v>6657.9</v>
      </c>
      <c r="HS12" s="233">
        <v>2268.6999999999998</v>
      </c>
      <c r="HT12" s="233">
        <v>1016.2200900000003</v>
      </c>
      <c r="HU12" s="233">
        <v>328.61717000000004</v>
      </c>
      <c r="HV12" s="233">
        <v>233.36113999999998</v>
      </c>
      <c r="HW12" s="233">
        <v>265.10216000000003</v>
      </c>
      <c r="HX12" s="233">
        <v>391.18995000000007</v>
      </c>
      <c r="HY12" s="233">
        <v>469.86912000000001</v>
      </c>
      <c r="HZ12" s="236">
        <v>647.46512000000007</v>
      </c>
      <c r="IA12" s="236">
        <f t="shared" si="54"/>
        <v>17331.824750000003</v>
      </c>
      <c r="IB12" s="235">
        <v>185.63812999999999</v>
      </c>
      <c r="IC12" s="233">
        <v>848.14788999999996</v>
      </c>
      <c r="ID12" s="233">
        <v>7625.8363499999987</v>
      </c>
      <c r="IE12" s="233">
        <v>7630.7298899999978</v>
      </c>
      <c r="IF12" s="233">
        <v>1798.8687999999997</v>
      </c>
      <c r="IG12" s="233">
        <v>669.2867</v>
      </c>
      <c r="IH12" s="233">
        <v>412.83758000000006</v>
      </c>
      <c r="II12" s="233">
        <v>517.44705999999996</v>
      </c>
      <c r="IJ12" s="233">
        <v>181.55312999999995</v>
      </c>
      <c r="IK12" s="233">
        <v>122.40899999999999</v>
      </c>
      <c r="IL12" s="237">
        <v>243.46288000000001</v>
      </c>
      <c r="IM12" s="237">
        <v>269.05394999999999</v>
      </c>
      <c r="IN12" s="234">
        <f t="shared" si="81"/>
        <v>20505.271359999995</v>
      </c>
      <c r="IO12" s="235">
        <v>299.20504</v>
      </c>
      <c r="IP12" s="233">
        <v>279.28904</v>
      </c>
      <c r="IQ12" s="233">
        <v>3918.4269099999988</v>
      </c>
      <c r="IR12" s="233">
        <v>7794.4714899999963</v>
      </c>
      <c r="IS12" s="233">
        <v>1643.5105500000004</v>
      </c>
      <c r="IT12" s="233">
        <v>471.82581000000005</v>
      </c>
      <c r="IU12" s="233">
        <v>2231.5603600000004</v>
      </c>
      <c r="IV12" s="233">
        <v>1033.67488</v>
      </c>
      <c r="IW12" s="233">
        <v>496.10818000000006</v>
      </c>
      <c r="IX12" s="233">
        <v>668.98797999999999</v>
      </c>
      <c r="IY12" s="233">
        <v>589.29574000000002</v>
      </c>
      <c r="IZ12" s="236">
        <v>1363.56215</v>
      </c>
      <c r="JA12" s="236">
        <f t="shared" si="56"/>
        <v>20789.918129999998</v>
      </c>
      <c r="JB12" s="233">
        <v>822.00627000000009</v>
      </c>
      <c r="JC12" s="233">
        <v>799.13074000000006</v>
      </c>
      <c r="JD12" s="233">
        <v>4013.4991300000006</v>
      </c>
      <c r="JE12" s="233">
        <v>11317.431100000002</v>
      </c>
      <c r="JF12" s="233">
        <v>2272.1871300000003</v>
      </c>
      <c r="JG12" s="233">
        <v>2747.1977400000005</v>
      </c>
      <c r="JH12" s="233">
        <v>1754.0935200000001</v>
      </c>
      <c r="JI12" s="233">
        <v>1046.9850099999999</v>
      </c>
      <c r="JJ12" s="233">
        <v>757.39519000000007</v>
      </c>
      <c r="JK12" s="233">
        <v>412.47595000000007</v>
      </c>
      <c r="JL12" s="233">
        <v>589.75302000000022</v>
      </c>
      <c r="JM12" s="236">
        <v>1535.7641900000001</v>
      </c>
      <c r="JN12" s="236">
        <f t="shared" si="57"/>
        <v>28067.918990000002</v>
      </c>
      <c r="JO12" s="235">
        <v>868.73021000000017</v>
      </c>
      <c r="JP12" s="233">
        <v>891.55512999999996</v>
      </c>
      <c r="JQ12" s="233">
        <v>5694.4042199999976</v>
      </c>
      <c r="JR12" s="233">
        <v>14545.768240000001</v>
      </c>
      <c r="JS12" s="233">
        <v>2083.0158400000009</v>
      </c>
      <c r="JT12" s="233">
        <v>2978.2493599999989</v>
      </c>
      <c r="JU12" s="233">
        <v>3017.3989899999974</v>
      </c>
      <c r="JV12" s="233">
        <v>817.84657000000004</v>
      </c>
      <c r="JW12" s="233">
        <v>1527.2538199999999</v>
      </c>
      <c r="JX12" s="233">
        <v>592.19609000000003</v>
      </c>
      <c r="JY12" s="233">
        <v>1393.2402699999998</v>
      </c>
      <c r="JZ12" s="233">
        <v>892.12214000000006</v>
      </c>
      <c r="KA12" s="234">
        <f t="shared" si="58"/>
        <v>35301.780879999998</v>
      </c>
      <c r="KB12" s="1604">
        <v>407.85380999999995</v>
      </c>
      <c r="KC12" s="1605">
        <v>1763.77477</v>
      </c>
      <c r="KD12">
        <v>4887.8840799999998</v>
      </c>
      <c r="KE12">
        <v>9623.8512600000013</v>
      </c>
      <c r="KF12">
        <v>4762.6528999999991</v>
      </c>
      <c r="KG12">
        <v>3713.07494</v>
      </c>
      <c r="KH12">
        <v>2188.5152600000006</v>
      </c>
      <c r="KI12">
        <v>3342.3645299999998</v>
      </c>
      <c r="KN12" s="1330">
        <f t="shared" si="59"/>
        <v>30689.971550000002</v>
      </c>
      <c r="KP12" s="22">
        <f t="shared" si="60"/>
        <v>308.67867551244973</v>
      </c>
      <c r="KQ12" s="858">
        <f t="shared" si="61"/>
        <v>-0.6699589624723834</v>
      </c>
      <c r="KR12" s="53">
        <f t="shared" si="62"/>
        <v>30896.968559999998</v>
      </c>
      <c r="KS12" s="53">
        <f t="shared" si="63"/>
        <v>30689.971550000002</v>
      </c>
      <c r="KT12" s="24"/>
    </row>
    <row r="13" spans="1:306" ht="13.9" customHeight="1" x14ac:dyDescent="0.2">
      <c r="A13" s="238" t="s">
        <v>450</v>
      </c>
      <c r="B13" s="52">
        <v>1579</v>
      </c>
      <c r="C13" s="24">
        <v>1123</v>
      </c>
      <c r="D13" s="24">
        <v>482</v>
      </c>
      <c r="E13" s="24">
        <v>1314</v>
      </c>
      <c r="F13" s="24">
        <v>1246</v>
      </c>
      <c r="G13" s="24">
        <v>1155</v>
      </c>
      <c r="H13" s="24">
        <v>1445</v>
      </c>
      <c r="I13" s="24">
        <v>443</v>
      </c>
      <c r="J13" s="24">
        <v>806</v>
      </c>
      <c r="K13" s="24">
        <v>220</v>
      </c>
      <c r="L13" s="24">
        <v>767</v>
      </c>
      <c r="M13" s="23">
        <v>1096</v>
      </c>
      <c r="N13" s="7">
        <f t="shared" si="21"/>
        <v>11676</v>
      </c>
      <c r="O13" s="24">
        <v>31</v>
      </c>
      <c r="P13" s="24">
        <v>2</v>
      </c>
      <c r="Q13" s="24">
        <v>8</v>
      </c>
      <c r="R13" s="24">
        <v>4</v>
      </c>
      <c r="S13" s="60">
        <v>11</v>
      </c>
      <c r="T13" s="60">
        <v>28</v>
      </c>
      <c r="U13" s="60">
        <v>5</v>
      </c>
      <c r="V13" s="60">
        <v>8</v>
      </c>
      <c r="W13" s="60">
        <v>3</v>
      </c>
      <c r="X13" s="60">
        <v>11</v>
      </c>
      <c r="Y13" s="60">
        <v>3</v>
      </c>
      <c r="Z13" s="60">
        <v>59</v>
      </c>
      <c r="AA13" s="7">
        <f t="shared" si="22"/>
        <v>173</v>
      </c>
      <c r="AB13" s="239">
        <v>3</v>
      </c>
      <c r="AC13" s="60">
        <v>4</v>
      </c>
      <c r="AD13" s="60">
        <v>7</v>
      </c>
      <c r="AE13" s="240">
        <v>49</v>
      </c>
      <c r="AF13" s="240">
        <v>11</v>
      </c>
      <c r="AG13" s="240">
        <v>38</v>
      </c>
      <c r="AH13" s="240">
        <v>7</v>
      </c>
      <c r="AI13" s="240">
        <v>7</v>
      </c>
      <c r="AJ13" s="240">
        <v>3</v>
      </c>
      <c r="AK13" s="240">
        <v>6</v>
      </c>
      <c r="AL13" s="240">
        <v>0</v>
      </c>
      <c r="AM13" s="240">
        <v>2</v>
      </c>
      <c r="AN13" s="7">
        <f t="shared" si="24"/>
        <v>137</v>
      </c>
      <c r="AO13" s="241">
        <v>1</v>
      </c>
      <c r="AP13" s="240">
        <v>4</v>
      </c>
      <c r="AQ13" s="240">
        <v>1</v>
      </c>
      <c r="AR13" s="240">
        <v>0</v>
      </c>
      <c r="AS13" s="240">
        <v>1</v>
      </c>
      <c r="AT13" s="240">
        <v>4</v>
      </c>
      <c r="AU13" s="240">
        <v>2</v>
      </c>
      <c r="AV13" s="240">
        <v>1</v>
      </c>
      <c r="AW13" s="240">
        <v>1</v>
      </c>
      <c r="AX13" s="240">
        <v>1</v>
      </c>
      <c r="AY13" s="240">
        <v>1</v>
      </c>
      <c r="AZ13" s="240">
        <v>0</v>
      </c>
      <c r="BA13" s="7">
        <f t="shared" si="26"/>
        <v>17</v>
      </c>
      <c r="BB13" s="240">
        <v>0</v>
      </c>
      <c r="BC13" s="240">
        <v>1</v>
      </c>
      <c r="BD13" s="240">
        <v>1</v>
      </c>
      <c r="BE13" s="240">
        <v>0</v>
      </c>
      <c r="BF13" s="240">
        <v>0</v>
      </c>
      <c r="BG13" s="240">
        <v>1</v>
      </c>
      <c r="BH13" s="240">
        <v>1</v>
      </c>
      <c r="BI13" s="240">
        <v>1</v>
      </c>
      <c r="BJ13" s="240">
        <v>1</v>
      </c>
      <c r="BK13" s="240">
        <v>1</v>
      </c>
      <c r="BL13" s="240">
        <v>2</v>
      </c>
      <c r="BM13" s="240">
        <v>2</v>
      </c>
      <c r="BN13" s="242">
        <f t="shared" si="28"/>
        <v>11</v>
      </c>
      <c r="BO13" s="241">
        <v>3</v>
      </c>
      <c r="BP13" s="240">
        <v>1</v>
      </c>
      <c r="BQ13" s="240">
        <v>1</v>
      </c>
      <c r="BR13" s="240">
        <v>0</v>
      </c>
      <c r="BS13" s="240">
        <v>1</v>
      </c>
      <c r="BT13" s="240">
        <v>1</v>
      </c>
      <c r="BU13" s="240">
        <v>8</v>
      </c>
      <c r="BV13" s="240">
        <v>5</v>
      </c>
      <c r="BW13" s="240">
        <v>5</v>
      </c>
      <c r="BX13" s="240">
        <v>1</v>
      </c>
      <c r="BY13" s="240">
        <v>1</v>
      </c>
      <c r="BZ13" s="240">
        <v>1</v>
      </c>
      <c r="CA13" s="242">
        <f t="shared" si="30"/>
        <v>28</v>
      </c>
      <c r="CB13" s="240">
        <v>1</v>
      </c>
      <c r="CC13" s="240">
        <v>3</v>
      </c>
      <c r="CD13" s="240">
        <v>1</v>
      </c>
      <c r="CE13" s="240">
        <v>2</v>
      </c>
      <c r="CF13" s="240">
        <v>1</v>
      </c>
      <c r="CG13" s="240">
        <v>0</v>
      </c>
      <c r="CH13" s="240">
        <v>2</v>
      </c>
      <c r="CI13" s="240">
        <v>0</v>
      </c>
      <c r="CJ13" s="240">
        <v>1</v>
      </c>
      <c r="CK13" s="240">
        <v>1</v>
      </c>
      <c r="CL13" s="240">
        <v>1</v>
      </c>
      <c r="CM13" s="240">
        <v>1</v>
      </c>
      <c r="CN13" s="242">
        <f t="shared" si="32"/>
        <v>14</v>
      </c>
      <c r="CO13" s="241">
        <v>1</v>
      </c>
      <c r="CP13" s="240">
        <v>0</v>
      </c>
      <c r="CQ13" s="240">
        <v>0</v>
      </c>
      <c r="CR13" s="240">
        <v>1</v>
      </c>
      <c r="CS13" s="240">
        <v>1</v>
      </c>
      <c r="CT13" s="240">
        <v>0</v>
      </c>
      <c r="CU13" s="240">
        <v>0</v>
      </c>
      <c r="CV13" s="240">
        <v>1</v>
      </c>
      <c r="CW13" s="240">
        <v>1</v>
      </c>
      <c r="CX13" s="240">
        <v>0</v>
      </c>
      <c r="CY13" s="240">
        <v>0</v>
      </c>
      <c r="CZ13" s="240">
        <v>1</v>
      </c>
      <c r="DA13" s="242">
        <f t="shared" si="34"/>
        <v>6</v>
      </c>
      <c r="DB13" s="240">
        <v>0</v>
      </c>
      <c r="DC13" s="240">
        <v>0</v>
      </c>
      <c r="DD13" s="240">
        <v>0</v>
      </c>
      <c r="DE13" s="240">
        <v>0</v>
      </c>
      <c r="DF13" s="240">
        <v>1</v>
      </c>
      <c r="DG13" s="240">
        <v>0</v>
      </c>
      <c r="DH13" s="240">
        <v>1</v>
      </c>
      <c r="DI13" s="240">
        <v>0</v>
      </c>
      <c r="DJ13" s="240">
        <v>3</v>
      </c>
      <c r="DK13" s="240">
        <v>0</v>
      </c>
      <c r="DL13" s="240">
        <v>0</v>
      </c>
      <c r="DM13" s="240">
        <v>0</v>
      </c>
      <c r="DN13" s="242">
        <f t="shared" si="36"/>
        <v>5</v>
      </c>
      <c r="DO13" s="241">
        <v>0.9</v>
      </c>
      <c r="DP13" s="240">
        <v>0.3</v>
      </c>
      <c r="DQ13" s="240">
        <v>0.2</v>
      </c>
      <c r="DR13" s="240">
        <v>0.3</v>
      </c>
      <c r="DS13" s="240">
        <v>0.27</v>
      </c>
      <c r="DT13" s="240">
        <v>1.6</v>
      </c>
      <c r="DU13" s="240">
        <v>0.4</v>
      </c>
      <c r="DV13" s="240">
        <v>4.7</v>
      </c>
      <c r="DW13" s="240">
        <v>0.1</v>
      </c>
      <c r="DX13" s="240">
        <v>0.2</v>
      </c>
      <c r="DY13" s="1">
        <v>0.8</v>
      </c>
      <c r="DZ13" s="1">
        <v>0.7</v>
      </c>
      <c r="EA13" s="242">
        <f t="shared" si="38"/>
        <v>10.469999999999999</v>
      </c>
      <c r="EB13" s="49">
        <v>0.2</v>
      </c>
      <c r="EC13" s="1">
        <v>1.1000000000000001</v>
      </c>
      <c r="ED13" s="1">
        <v>0</v>
      </c>
      <c r="EE13" s="1">
        <v>0</v>
      </c>
      <c r="EF13" s="1">
        <v>0.2</v>
      </c>
      <c r="EG13" s="1">
        <v>1.5</v>
      </c>
      <c r="EH13" s="1">
        <v>1.1000000000000001</v>
      </c>
      <c r="EI13" s="1">
        <v>0.4</v>
      </c>
      <c r="EJ13" s="1">
        <v>0.1</v>
      </c>
      <c r="EK13" s="1">
        <v>0.3</v>
      </c>
      <c r="EL13" s="1">
        <v>0.45302000000000003</v>
      </c>
      <c r="EM13" s="1">
        <v>6.3019999999999993E-2</v>
      </c>
      <c r="EN13" s="8">
        <f t="shared" si="40"/>
        <v>5.4160399999999997</v>
      </c>
      <c r="EO13" s="1">
        <v>5.5E-2</v>
      </c>
      <c r="EP13" s="1">
        <v>5.5E-2</v>
      </c>
      <c r="EQ13" s="1">
        <v>5.5E-2</v>
      </c>
      <c r="ER13" s="1">
        <v>3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0.6</v>
      </c>
      <c r="FA13" s="8">
        <f t="shared" si="42"/>
        <v>3.7650000000000001</v>
      </c>
      <c r="FB13" s="111">
        <v>0</v>
      </c>
      <c r="FC13" s="5">
        <v>33.1</v>
      </c>
      <c r="FD13" s="5">
        <v>17.899999999999999</v>
      </c>
      <c r="FE13" s="5">
        <v>0.8</v>
      </c>
      <c r="FF13" s="5">
        <v>8</v>
      </c>
      <c r="FG13" s="5">
        <v>0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  <c r="FM13" s="5">
        <v>0</v>
      </c>
      <c r="FN13" s="7">
        <f t="shared" si="44"/>
        <v>59.8</v>
      </c>
      <c r="FO13" s="111">
        <v>0</v>
      </c>
      <c r="FP13" s="5">
        <v>0</v>
      </c>
      <c r="FQ13" s="5">
        <v>0</v>
      </c>
      <c r="FR13" s="5">
        <v>0</v>
      </c>
      <c r="FS13" s="5">
        <v>0</v>
      </c>
      <c r="FT13" s="5">
        <v>0</v>
      </c>
      <c r="FU13" s="5">
        <v>0</v>
      </c>
      <c r="FV13" s="5">
        <v>0</v>
      </c>
      <c r="FW13" s="5">
        <v>13.6</v>
      </c>
      <c r="FX13" s="5">
        <v>0</v>
      </c>
      <c r="FY13" s="5">
        <v>0</v>
      </c>
      <c r="FZ13" s="5">
        <v>0</v>
      </c>
      <c r="GA13" s="7">
        <f t="shared" si="46"/>
        <v>13.6</v>
      </c>
      <c r="GB13" s="111">
        <v>1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228">
        <v>0</v>
      </c>
      <c r="GN13" s="228">
        <f t="shared" si="48"/>
        <v>1</v>
      </c>
      <c r="GO13" s="5">
        <v>12.6</v>
      </c>
      <c r="GP13" s="5">
        <v>0</v>
      </c>
      <c r="GQ13" s="5">
        <v>16.600000000000001</v>
      </c>
      <c r="GR13" s="5">
        <v>0</v>
      </c>
      <c r="GS13" s="5">
        <v>0</v>
      </c>
      <c r="GT13" s="5">
        <v>0</v>
      </c>
      <c r="GU13" s="5">
        <v>0</v>
      </c>
      <c r="GV13" s="5">
        <v>0</v>
      </c>
      <c r="GW13" s="5">
        <v>0</v>
      </c>
      <c r="GX13" s="5">
        <v>0</v>
      </c>
      <c r="GY13" s="5">
        <v>0</v>
      </c>
      <c r="GZ13" s="5">
        <v>0</v>
      </c>
      <c r="HA13" s="242">
        <f t="shared" si="50"/>
        <v>29.200000000000003</v>
      </c>
      <c r="HB13" s="111">
        <v>0</v>
      </c>
      <c r="HC13" s="5">
        <v>0</v>
      </c>
      <c r="HD13" s="5">
        <v>0</v>
      </c>
      <c r="HE13" s="5">
        <v>0</v>
      </c>
      <c r="HF13" s="5">
        <v>0</v>
      </c>
      <c r="HG13" s="5">
        <v>0</v>
      </c>
      <c r="HH13" s="5">
        <v>0</v>
      </c>
      <c r="HI13" s="5">
        <v>0</v>
      </c>
      <c r="HJ13" s="5">
        <v>5.7</v>
      </c>
      <c r="HK13" s="5">
        <v>0</v>
      </c>
      <c r="HL13" s="5">
        <v>0</v>
      </c>
      <c r="HM13" s="5">
        <v>0</v>
      </c>
      <c r="HN13" s="7">
        <f t="shared" si="52"/>
        <v>5.7</v>
      </c>
      <c r="HO13" s="111">
        <v>0</v>
      </c>
      <c r="HP13" s="5">
        <v>16.2</v>
      </c>
      <c r="HQ13" s="5">
        <v>0</v>
      </c>
      <c r="HR13" s="5">
        <v>0</v>
      </c>
      <c r="HS13" s="5">
        <v>0</v>
      </c>
      <c r="HT13" s="5">
        <v>0</v>
      </c>
      <c r="HU13" s="5">
        <v>0.26500999999999997</v>
      </c>
      <c r="HV13" s="5">
        <v>0</v>
      </c>
      <c r="HW13" s="5">
        <v>0</v>
      </c>
      <c r="HX13" s="5">
        <v>0</v>
      </c>
      <c r="HY13" s="5">
        <v>0</v>
      </c>
      <c r="HZ13" s="228">
        <v>0</v>
      </c>
      <c r="IA13" s="228">
        <f t="shared" si="54"/>
        <v>16.465009999999999</v>
      </c>
      <c r="IB13" s="111">
        <v>12.45501</v>
      </c>
      <c r="IC13" s="5">
        <v>54.084989999999991</v>
      </c>
      <c r="ID13" s="5">
        <v>0</v>
      </c>
      <c r="IE13" s="5">
        <v>0</v>
      </c>
      <c r="IF13" s="5">
        <v>0.97899999999999987</v>
      </c>
      <c r="IG13" s="5">
        <v>57.227989999999991</v>
      </c>
      <c r="IH13" s="5">
        <v>0</v>
      </c>
      <c r="II13" s="5">
        <v>0</v>
      </c>
      <c r="IJ13" s="5">
        <v>0</v>
      </c>
      <c r="IK13" s="5">
        <v>6.4810000000000006E-2</v>
      </c>
      <c r="IL13" s="79">
        <v>0.10596999999999999</v>
      </c>
      <c r="IM13" s="79">
        <v>1.524E-2</v>
      </c>
      <c r="IN13" s="7">
        <f t="shared" si="81"/>
        <v>124.93300999999998</v>
      </c>
      <c r="IO13" s="111">
        <v>0</v>
      </c>
      <c r="IP13" s="5">
        <v>0</v>
      </c>
      <c r="IQ13" s="5">
        <v>0.188</v>
      </c>
      <c r="IR13" s="5">
        <v>0</v>
      </c>
      <c r="IS13" s="5">
        <v>0</v>
      </c>
      <c r="IT13" s="5">
        <v>0</v>
      </c>
      <c r="IU13" s="5">
        <v>0</v>
      </c>
      <c r="IV13" s="5">
        <v>0.30737999999999993</v>
      </c>
      <c r="IW13" s="5">
        <v>0.41405999999999998</v>
      </c>
      <c r="IX13" s="5">
        <v>0</v>
      </c>
      <c r="IY13" s="5">
        <v>0</v>
      </c>
      <c r="IZ13" s="228">
        <v>0</v>
      </c>
      <c r="JA13" s="228">
        <f t="shared" si="56"/>
        <v>0.90943999999999992</v>
      </c>
      <c r="JB13" s="5">
        <v>0</v>
      </c>
      <c r="JC13" s="5">
        <v>0</v>
      </c>
      <c r="JD13" s="5">
        <v>0</v>
      </c>
      <c r="JE13" s="5">
        <v>0</v>
      </c>
      <c r="JF13" s="5">
        <v>0</v>
      </c>
      <c r="JG13" s="5">
        <v>1.7210199999999998</v>
      </c>
      <c r="JH13" s="5">
        <v>0</v>
      </c>
      <c r="JI13" s="5">
        <v>0</v>
      </c>
      <c r="JJ13" s="5">
        <v>0</v>
      </c>
      <c r="JK13" s="5">
        <v>0</v>
      </c>
      <c r="JL13" s="5">
        <v>0</v>
      </c>
      <c r="JM13" s="228">
        <v>0</v>
      </c>
      <c r="JN13" s="228">
        <f t="shared" si="57"/>
        <v>1.7210199999999998</v>
      </c>
      <c r="JO13" s="111">
        <v>0</v>
      </c>
      <c r="JP13" s="5">
        <v>1.7000000000000001E-2</v>
      </c>
      <c r="JQ13" s="5">
        <v>5.2999999999999999E-2</v>
      </c>
      <c r="JR13" s="5">
        <v>0</v>
      </c>
      <c r="JS13" s="5">
        <v>0</v>
      </c>
      <c r="JT13" s="5">
        <v>0</v>
      </c>
      <c r="JU13" s="5">
        <v>0.30601</v>
      </c>
      <c r="JV13" s="5">
        <v>6.0099999999999997E-3</v>
      </c>
      <c r="JW13" s="5">
        <v>6.0000000000000001E-3</v>
      </c>
      <c r="JX13" s="5">
        <v>0</v>
      </c>
      <c r="JY13" s="5">
        <v>0</v>
      </c>
      <c r="JZ13" s="5">
        <v>0</v>
      </c>
      <c r="KA13" s="7">
        <f>SUM(JO13:JZ13)</f>
        <v>0.38802000000000003</v>
      </c>
      <c r="KB13" s="1604">
        <v>571.43401000000017</v>
      </c>
      <c r="KC13" s="1605">
        <v>255.84702999999999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9.8000000000000004E-2</v>
      </c>
      <c r="KN13" s="1330">
        <f t="shared" si="59"/>
        <v>827.37904000000015</v>
      </c>
      <c r="KP13" s="22">
        <f t="shared" si="60"/>
        <v>1530.6156405990016</v>
      </c>
      <c r="KQ13" s="858">
        <f>IFERROR((((KS13/KR13)-1)*100),"")</f>
        <v>216480.03245903359</v>
      </c>
      <c r="KR13" s="53">
        <f t="shared" si="62"/>
        <v>0.38202000000000003</v>
      </c>
      <c r="KS13" s="53">
        <f>SUM(KB13:KM13)</f>
        <v>827.37904000000015</v>
      </c>
      <c r="KT13" s="24"/>
    </row>
    <row r="14" spans="1:306" ht="13.9" customHeight="1" x14ac:dyDescent="0.2">
      <c r="A14" s="238" t="s">
        <v>451</v>
      </c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5"/>
      <c r="N14" s="242">
        <f t="shared" si="21"/>
        <v>0</v>
      </c>
      <c r="O14" s="24">
        <f t="shared" ref="O14:Z14" si="82">SUM(O15:O16)</f>
        <v>1549</v>
      </c>
      <c r="P14" s="24">
        <f t="shared" si="82"/>
        <v>964</v>
      </c>
      <c r="Q14" s="24">
        <f t="shared" si="82"/>
        <v>824</v>
      </c>
      <c r="R14" s="24">
        <f t="shared" si="82"/>
        <v>1084</v>
      </c>
      <c r="S14" s="60">
        <f t="shared" si="82"/>
        <v>958</v>
      </c>
      <c r="T14" s="60">
        <f t="shared" si="82"/>
        <v>980</v>
      </c>
      <c r="U14" s="60">
        <f t="shared" si="82"/>
        <v>788</v>
      </c>
      <c r="V14" s="60">
        <f t="shared" si="82"/>
        <v>857</v>
      </c>
      <c r="W14" s="60">
        <f t="shared" si="82"/>
        <v>836</v>
      </c>
      <c r="X14" s="60">
        <f t="shared" si="82"/>
        <v>572</v>
      </c>
      <c r="Y14" s="60">
        <f t="shared" si="82"/>
        <v>833</v>
      </c>
      <c r="Z14" s="60">
        <f t="shared" si="82"/>
        <v>929</v>
      </c>
      <c r="AA14" s="242">
        <f t="shared" si="22"/>
        <v>11174</v>
      </c>
      <c r="AB14" s="239">
        <f t="shared" ref="AB14:AM14" si="83">SUM(AB15:AB16)</f>
        <v>797</v>
      </c>
      <c r="AC14" s="60">
        <f t="shared" si="83"/>
        <v>861</v>
      </c>
      <c r="AD14" s="60">
        <f t="shared" si="83"/>
        <v>875</v>
      </c>
      <c r="AE14" s="240">
        <f t="shared" si="83"/>
        <v>1078</v>
      </c>
      <c r="AF14" s="240">
        <f t="shared" si="83"/>
        <v>908</v>
      </c>
      <c r="AG14" s="240">
        <f t="shared" si="83"/>
        <v>1437</v>
      </c>
      <c r="AH14" s="240">
        <f t="shared" si="83"/>
        <v>1173</v>
      </c>
      <c r="AI14" s="240">
        <f t="shared" si="83"/>
        <v>1384</v>
      </c>
      <c r="AJ14" s="240">
        <f t="shared" si="83"/>
        <v>1443</v>
      </c>
      <c r="AK14" s="240">
        <f t="shared" si="83"/>
        <v>1330</v>
      </c>
      <c r="AL14" s="240">
        <f t="shared" si="83"/>
        <v>1028</v>
      </c>
      <c r="AM14" s="240">
        <f t="shared" si="83"/>
        <v>718</v>
      </c>
      <c r="AN14" s="242">
        <f t="shared" si="24"/>
        <v>13032</v>
      </c>
      <c r="AO14" s="241">
        <f t="shared" ref="AO14:AZ14" si="84">SUM(AO15:AO16)</f>
        <v>1009</v>
      </c>
      <c r="AP14" s="240">
        <f t="shared" si="84"/>
        <v>1045</v>
      </c>
      <c r="AQ14" s="240">
        <f t="shared" si="84"/>
        <v>1026</v>
      </c>
      <c r="AR14" s="240">
        <f t="shared" si="84"/>
        <v>797</v>
      </c>
      <c r="AS14" s="240">
        <f t="shared" si="84"/>
        <v>848</v>
      </c>
      <c r="AT14" s="240">
        <f t="shared" si="84"/>
        <v>1218</v>
      </c>
      <c r="AU14" s="240">
        <f t="shared" si="84"/>
        <v>431</v>
      </c>
      <c r="AV14" s="240">
        <f t="shared" si="84"/>
        <v>589</v>
      </c>
      <c r="AW14" s="240">
        <f t="shared" si="84"/>
        <v>1077</v>
      </c>
      <c r="AX14" s="240">
        <f t="shared" si="84"/>
        <v>988</v>
      </c>
      <c r="AY14" s="240">
        <f t="shared" si="84"/>
        <v>1348</v>
      </c>
      <c r="AZ14" s="240">
        <f t="shared" si="84"/>
        <v>964</v>
      </c>
      <c r="BA14" s="242">
        <f t="shared" si="26"/>
        <v>11340</v>
      </c>
      <c r="BB14" s="240">
        <f>SUM(BB15:BB16)</f>
        <v>1930</v>
      </c>
      <c r="BC14" s="240">
        <v>1418</v>
      </c>
      <c r="BD14" s="240">
        <f t="shared" ref="BD14:BM14" si="85">SUM(BD15:BD16)</f>
        <v>1425</v>
      </c>
      <c r="BE14" s="240">
        <f t="shared" si="85"/>
        <v>1639</v>
      </c>
      <c r="BF14" s="240">
        <f t="shared" si="85"/>
        <v>1752</v>
      </c>
      <c r="BG14" s="240">
        <f t="shared" si="85"/>
        <v>1975</v>
      </c>
      <c r="BH14" s="240">
        <f t="shared" si="85"/>
        <v>2054</v>
      </c>
      <c r="BI14" s="240">
        <f t="shared" si="85"/>
        <v>2231</v>
      </c>
      <c r="BJ14" s="240">
        <f t="shared" si="85"/>
        <v>2247</v>
      </c>
      <c r="BK14" s="240">
        <f t="shared" si="85"/>
        <v>2239</v>
      </c>
      <c r="BL14" s="240">
        <f t="shared" si="85"/>
        <v>2340</v>
      </c>
      <c r="BM14" s="240">
        <f t="shared" si="85"/>
        <v>2205</v>
      </c>
      <c r="BN14" s="242">
        <f t="shared" si="28"/>
        <v>23455</v>
      </c>
      <c r="BO14" s="240">
        <f t="shared" ref="BO14:BZ14" si="86">SUM(BO15:BO16)</f>
        <v>1752</v>
      </c>
      <c r="BP14" s="240">
        <f t="shared" si="86"/>
        <v>2338</v>
      </c>
      <c r="BQ14" s="240">
        <f t="shared" si="86"/>
        <v>1613</v>
      </c>
      <c r="BR14" s="240">
        <f t="shared" si="86"/>
        <v>1631</v>
      </c>
      <c r="BS14" s="240">
        <f t="shared" si="86"/>
        <v>1820</v>
      </c>
      <c r="BT14" s="240">
        <f t="shared" si="86"/>
        <v>2048</v>
      </c>
      <c r="BU14" s="240">
        <f t="shared" si="86"/>
        <v>1861</v>
      </c>
      <c r="BV14" s="240">
        <f t="shared" si="86"/>
        <v>2059</v>
      </c>
      <c r="BW14" s="240">
        <f t="shared" si="86"/>
        <v>1683</v>
      </c>
      <c r="BX14" s="240">
        <f t="shared" si="86"/>
        <v>1752</v>
      </c>
      <c r="BY14" s="240">
        <f t="shared" si="86"/>
        <v>2970</v>
      </c>
      <c r="BZ14" s="240">
        <f t="shared" si="86"/>
        <v>1890</v>
      </c>
      <c r="CA14" s="242">
        <f t="shared" si="30"/>
        <v>23417</v>
      </c>
      <c r="CB14" s="240">
        <f t="shared" ref="CB14:CM14" si="87">SUM(CB15:CB16)</f>
        <v>1933</v>
      </c>
      <c r="CC14" s="240">
        <f t="shared" si="87"/>
        <v>2101</v>
      </c>
      <c r="CD14" s="240">
        <f t="shared" si="87"/>
        <v>2091</v>
      </c>
      <c r="CE14" s="240">
        <f t="shared" si="87"/>
        <v>2105</v>
      </c>
      <c r="CF14" s="240">
        <f t="shared" si="87"/>
        <v>1823</v>
      </c>
      <c r="CG14" s="240">
        <f t="shared" si="87"/>
        <v>2119</v>
      </c>
      <c r="CH14" s="240">
        <f t="shared" si="87"/>
        <v>2142</v>
      </c>
      <c r="CI14" s="240">
        <f t="shared" si="87"/>
        <v>2647</v>
      </c>
      <c r="CJ14" s="240">
        <f t="shared" si="87"/>
        <v>2363</v>
      </c>
      <c r="CK14" s="240">
        <f t="shared" si="87"/>
        <v>1826</v>
      </c>
      <c r="CL14" s="240">
        <f t="shared" si="87"/>
        <v>1599</v>
      </c>
      <c r="CM14" s="240">
        <f t="shared" si="87"/>
        <v>1282</v>
      </c>
      <c r="CN14" s="242">
        <f t="shared" si="32"/>
        <v>24031</v>
      </c>
      <c r="CO14" s="241">
        <f t="shared" ref="CO14:CZ14" si="88">SUM(CO15:CO16)</f>
        <v>2068</v>
      </c>
      <c r="CP14" s="240">
        <f t="shared" si="88"/>
        <v>2806</v>
      </c>
      <c r="CQ14" s="240">
        <f t="shared" si="88"/>
        <v>2983</v>
      </c>
      <c r="CR14" s="240">
        <f t="shared" si="88"/>
        <v>1965</v>
      </c>
      <c r="CS14" s="240">
        <f t="shared" si="88"/>
        <v>2091</v>
      </c>
      <c r="CT14" s="240">
        <f t="shared" si="88"/>
        <v>2418</v>
      </c>
      <c r="CU14" s="240">
        <f t="shared" si="88"/>
        <v>2659</v>
      </c>
      <c r="CV14" s="240">
        <f t="shared" si="88"/>
        <v>2399</v>
      </c>
      <c r="CW14" s="240">
        <f t="shared" si="88"/>
        <v>2947</v>
      </c>
      <c r="CX14" s="240">
        <f t="shared" si="88"/>
        <v>2706</v>
      </c>
      <c r="CY14" s="240">
        <f t="shared" si="88"/>
        <v>2763</v>
      </c>
      <c r="CZ14" s="240">
        <f t="shared" si="88"/>
        <v>3002</v>
      </c>
      <c r="DA14" s="242">
        <f t="shared" si="34"/>
        <v>30807</v>
      </c>
      <c r="DB14" s="240">
        <f t="shared" ref="DB14:DM14" si="89">SUM(DB15:DB16)</f>
        <v>2545</v>
      </c>
      <c r="DC14" s="240">
        <f t="shared" si="89"/>
        <v>3003</v>
      </c>
      <c r="DD14" s="240">
        <f t="shared" si="89"/>
        <v>2965</v>
      </c>
      <c r="DE14" s="240">
        <f t="shared" si="89"/>
        <v>3578</v>
      </c>
      <c r="DF14" s="240">
        <f t="shared" si="89"/>
        <v>3301</v>
      </c>
      <c r="DG14" s="240">
        <f t="shared" si="89"/>
        <v>3192</v>
      </c>
      <c r="DH14" s="240">
        <f t="shared" si="89"/>
        <v>4046</v>
      </c>
      <c r="DI14" s="240">
        <f t="shared" si="89"/>
        <v>3816</v>
      </c>
      <c r="DJ14" s="240">
        <f t="shared" si="89"/>
        <v>4072</v>
      </c>
      <c r="DK14" s="240">
        <f t="shared" si="89"/>
        <v>3155</v>
      </c>
      <c r="DL14" s="240">
        <f t="shared" si="89"/>
        <v>6113</v>
      </c>
      <c r="DM14" s="240">
        <f t="shared" si="89"/>
        <v>5267</v>
      </c>
      <c r="DN14" s="242">
        <f t="shared" si="36"/>
        <v>45053</v>
      </c>
      <c r="DO14" s="241">
        <f t="shared" ref="DO14:DZ14" si="90">SUM(DO15:DO16)</f>
        <v>3742.1</v>
      </c>
      <c r="DP14" s="240">
        <f t="shared" si="90"/>
        <v>4317.1000000000004</v>
      </c>
      <c r="DQ14" s="240">
        <f t="shared" si="90"/>
        <v>4036.8</v>
      </c>
      <c r="DR14" s="240">
        <f t="shared" si="90"/>
        <v>3591.7</v>
      </c>
      <c r="DS14" s="240">
        <f t="shared" si="90"/>
        <v>3476.4100000000003</v>
      </c>
      <c r="DT14" s="240">
        <f t="shared" si="90"/>
        <v>4251.5</v>
      </c>
      <c r="DU14" s="240">
        <f t="shared" si="90"/>
        <v>3241.2999999999997</v>
      </c>
      <c r="DV14" s="240">
        <f t="shared" si="90"/>
        <v>3430.7</v>
      </c>
      <c r="DW14" s="240">
        <f t="shared" si="90"/>
        <v>4511.2</v>
      </c>
      <c r="DX14" s="240">
        <f t="shared" si="90"/>
        <v>3967.8</v>
      </c>
      <c r="DY14" s="240">
        <f t="shared" si="90"/>
        <v>4218.8</v>
      </c>
      <c r="DZ14" s="240">
        <f t="shared" si="90"/>
        <v>4721.3</v>
      </c>
      <c r="EA14" s="242">
        <f t="shared" si="38"/>
        <v>47506.710000000006</v>
      </c>
      <c r="EB14" s="241">
        <f t="shared" ref="EB14:EM14" si="91">SUM(EB15:EB16)</f>
        <v>4548.5999999999995</v>
      </c>
      <c r="EC14" s="240">
        <f t="shared" si="91"/>
        <v>4538.5</v>
      </c>
      <c r="ED14" s="240">
        <f t="shared" si="91"/>
        <v>3419.5</v>
      </c>
      <c r="EE14" s="240">
        <f t="shared" si="91"/>
        <v>3968.9</v>
      </c>
      <c r="EF14" s="240">
        <f t="shared" si="91"/>
        <v>3931.5</v>
      </c>
      <c r="EG14" s="240">
        <f t="shared" si="91"/>
        <v>4070.9</v>
      </c>
      <c r="EH14" s="240">
        <f t="shared" si="91"/>
        <v>4256.6000000000004</v>
      </c>
      <c r="EI14" s="240">
        <f t="shared" si="91"/>
        <v>3988.5</v>
      </c>
      <c r="EJ14" s="240">
        <f t="shared" si="91"/>
        <v>2787.7</v>
      </c>
      <c r="EK14" s="240">
        <f t="shared" si="91"/>
        <v>4703</v>
      </c>
      <c r="EL14" s="240">
        <f t="shared" si="91"/>
        <v>2815.4878499999991</v>
      </c>
      <c r="EM14" s="240">
        <f t="shared" si="91"/>
        <v>3005.171379999998</v>
      </c>
      <c r="EN14" s="242">
        <f t="shared" si="40"/>
        <v>46034.359229999995</v>
      </c>
      <c r="EO14" s="240">
        <f t="shared" ref="EO14:EZ14" si="92">SUM(EO15:EO16)</f>
        <v>2024.4033499999998</v>
      </c>
      <c r="EP14" s="240">
        <f t="shared" si="92"/>
        <v>4427.2</v>
      </c>
      <c r="EQ14" s="240">
        <f t="shared" si="92"/>
        <v>3872</v>
      </c>
      <c r="ER14" s="240">
        <f t="shared" si="92"/>
        <v>4978</v>
      </c>
      <c r="ES14" s="240">
        <f t="shared" si="92"/>
        <v>2920.2</v>
      </c>
      <c r="ET14" s="240">
        <f t="shared" si="92"/>
        <v>2737</v>
      </c>
      <c r="EU14" s="240">
        <f t="shared" si="92"/>
        <v>4092</v>
      </c>
      <c r="EV14" s="240">
        <f t="shared" si="92"/>
        <v>3437</v>
      </c>
      <c r="EW14" s="240">
        <f t="shared" si="92"/>
        <v>3416.5</v>
      </c>
      <c r="EX14" s="240">
        <f t="shared" si="92"/>
        <v>3737</v>
      </c>
      <c r="EY14" s="240">
        <f t="shared" si="92"/>
        <v>3188.1</v>
      </c>
      <c r="EZ14" s="240">
        <f t="shared" si="92"/>
        <v>5494.7</v>
      </c>
      <c r="FA14" s="242">
        <f t="shared" si="42"/>
        <v>44324.103349999998</v>
      </c>
      <c r="FB14" s="241">
        <f t="shared" ref="FB14:FJ14" si="93">SUM(FB15:FB16)</f>
        <v>3054</v>
      </c>
      <c r="FC14" s="240">
        <f t="shared" si="93"/>
        <v>3046.7</v>
      </c>
      <c r="FD14" s="240">
        <f t="shared" si="93"/>
        <v>3851.6</v>
      </c>
      <c r="FE14" s="240">
        <f t="shared" si="93"/>
        <v>3342.7</v>
      </c>
      <c r="FF14" s="240">
        <f t="shared" si="93"/>
        <v>3846.5</v>
      </c>
      <c r="FG14" s="240">
        <f t="shared" si="93"/>
        <v>3038.3999999999996</v>
      </c>
      <c r="FH14" s="240">
        <f t="shared" si="93"/>
        <v>2922.9</v>
      </c>
      <c r="FI14" s="240">
        <f t="shared" si="93"/>
        <v>3154.9</v>
      </c>
      <c r="FJ14" s="240">
        <f t="shared" si="93"/>
        <v>2517.2999999999997</v>
      </c>
      <c r="FK14" s="240">
        <f>SUM(FK15:FK16)</f>
        <v>4441</v>
      </c>
      <c r="FL14" s="240">
        <f>SUM(FL15:FL16)</f>
        <v>5608</v>
      </c>
      <c r="FM14" s="240">
        <f>SUM(FM15:FM16)</f>
        <v>3663.1</v>
      </c>
      <c r="FN14" s="242">
        <f t="shared" si="44"/>
        <v>42487.1</v>
      </c>
      <c r="FO14" s="241">
        <f t="shared" ref="FO14:FZ14" si="94">SUM(FO15:FO16)</f>
        <v>4988.2</v>
      </c>
      <c r="FP14" s="240">
        <f t="shared" si="94"/>
        <v>4020.7</v>
      </c>
      <c r="FQ14" s="240">
        <f t="shared" si="94"/>
        <v>3257.6</v>
      </c>
      <c r="FR14" s="240">
        <f t="shared" si="94"/>
        <v>4720.8</v>
      </c>
      <c r="FS14" s="240">
        <f t="shared" si="94"/>
        <v>4259.0999999999995</v>
      </c>
      <c r="FT14" s="240">
        <f t="shared" si="94"/>
        <v>3701.9</v>
      </c>
      <c r="FU14" s="240">
        <f t="shared" si="94"/>
        <v>3918</v>
      </c>
      <c r="FV14" s="240">
        <f t="shared" si="94"/>
        <v>4652.6000000000004</v>
      </c>
      <c r="FW14" s="240">
        <f t="shared" si="94"/>
        <v>5932.7</v>
      </c>
      <c r="FX14" s="240">
        <f t="shared" si="94"/>
        <v>4853.8999999999996</v>
      </c>
      <c r="FY14" s="240">
        <f t="shared" si="94"/>
        <v>5875.1</v>
      </c>
      <c r="FZ14" s="240">
        <f t="shared" si="94"/>
        <v>5196.3</v>
      </c>
      <c r="GA14" s="242">
        <f t="shared" si="46"/>
        <v>55376.9</v>
      </c>
      <c r="GB14" s="241">
        <f t="shared" ref="GB14:GM14" si="95">SUM(GB15:GB16)</f>
        <v>5185</v>
      </c>
      <c r="GC14" s="240">
        <f t="shared" si="95"/>
        <v>5265</v>
      </c>
      <c r="GD14" s="240">
        <f t="shared" si="95"/>
        <v>3371.1</v>
      </c>
      <c r="GE14" s="240">
        <f t="shared" si="95"/>
        <v>4913.7</v>
      </c>
      <c r="GF14" s="240">
        <f t="shared" si="95"/>
        <v>4598.2</v>
      </c>
      <c r="GG14" s="240">
        <f t="shared" si="95"/>
        <v>4504.3999999999996</v>
      </c>
      <c r="GH14" s="240">
        <f t="shared" si="95"/>
        <v>4093</v>
      </c>
      <c r="GI14" s="240">
        <f t="shared" si="95"/>
        <v>5090</v>
      </c>
      <c r="GJ14" s="240">
        <f t="shared" si="95"/>
        <v>5548.9000000000005</v>
      </c>
      <c r="GK14" s="240">
        <f t="shared" si="95"/>
        <v>6395.9000000000005</v>
      </c>
      <c r="GL14" s="240">
        <f t="shared" si="95"/>
        <v>5903.2</v>
      </c>
      <c r="GM14" s="218">
        <f t="shared" si="95"/>
        <v>6728.9</v>
      </c>
      <c r="GN14" s="218">
        <f t="shared" si="48"/>
        <v>61597.3</v>
      </c>
      <c r="GO14" s="240">
        <f>SUM(GO15:GO16)</f>
        <v>6707.7</v>
      </c>
      <c r="GP14" s="240">
        <f>SUM(GP15:GP16)</f>
        <v>6568.8537500000002</v>
      </c>
      <c r="GQ14" s="240">
        <f>SUM(GQ15:GQ16)</f>
        <v>4665.6000000000004</v>
      </c>
      <c r="GR14" s="240">
        <f>SUM(GR15:GR16)</f>
        <v>5339.4</v>
      </c>
      <c r="GS14" s="240">
        <f>SUM(GS15:GS16)</f>
        <v>4706.2</v>
      </c>
      <c r="GT14" s="240">
        <f t="shared" ref="GT14:GZ14" si="96">SUM(GT15:GT16)</f>
        <v>4479.8</v>
      </c>
      <c r="GU14" s="240">
        <f t="shared" si="96"/>
        <v>4152.8</v>
      </c>
      <c r="GV14" s="240">
        <f t="shared" si="96"/>
        <v>4890.5</v>
      </c>
      <c r="GW14" s="240">
        <f t="shared" si="96"/>
        <v>6582</v>
      </c>
      <c r="GX14" s="240">
        <f t="shared" si="96"/>
        <v>6172.0999999999995</v>
      </c>
      <c r="GY14" s="240">
        <f t="shared" si="96"/>
        <v>5422.0999999999995</v>
      </c>
      <c r="GZ14" s="240">
        <f t="shared" si="96"/>
        <v>5414.5</v>
      </c>
      <c r="HA14" s="242">
        <f t="shared" si="50"/>
        <v>65101.553749999999</v>
      </c>
      <c r="HB14" s="241">
        <f t="shared" ref="HB14:HM14" si="97">SUM(HB15:HB16)</f>
        <v>7189.3</v>
      </c>
      <c r="HC14" s="240">
        <f t="shared" si="97"/>
        <v>7507.2</v>
      </c>
      <c r="HD14" s="240">
        <f t="shared" si="97"/>
        <v>5257.1</v>
      </c>
      <c r="HE14" s="240">
        <f t="shared" si="97"/>
        <v>4375.6000000000004</v>
      </c>
      <c r="HF14" s="240">
        <f t="shared" si="97"/>
        <v>6795.4</v>
      </c>
      <c r="HG14" s="240">
        <f t="shared" si="97"/>
        <v>4604.0999999999995</v>
      </c>
      <c r="HH14" s="240">
        <f t="shared" si="97"/>
        <v>5951.8</v>
      </c>
      <c r="HI14" s="240">
        <f t="shared" si="97"/>
        <v>5122.3999999999996</v>
      </c>
      <c r="HJ14" s="240">
        <f t="shared" si="97"/>
        <v>6897.8</v>
      </c>
      <c r="HK14" s="240">
        <f t="shared" si="97"/>
        <v>6704.8</v>
      </c>
      <c r="HL14" s="240">
        <f t="shared" si="97"/>
        <v>6648.2000000000007</v>
      </c>
      <c r="HM14" s="240">
        <f t="shared" si="97"/>
        <v>6041.2</v>
      </c>
      <c r="HN14" s="242">
        <f t="shared" si="52"/>
        <v>73094.900000000009</v>
      </c>
      <c r="HO14" s="241">
        <f t="shared" ref="HO14:II14" si="98">SUM(HO15:HO16)</f>
        <v>6821.5</v>
      </c>
      <c r="HP14" s="240">
        <f t="shared" si="98"/>
        <v>7361.3</v>
      </c>
      <c r="HQ14" s="240">
        <f t="shared" si="98"/>
        <v>6694.0999999999995</v>
      </c>
      <c r="HR14" s="240">
        <f t="shared" si="98"/>
        <v>7127.3</v>
      </c>
      <c r="HS14" s="240">
        <f t="shared" si="98"/>
        <v>6574.6</v>
      </c>
      <c r="HT14" s="240">
        <f t="shared" si="98"/>
        <v>8267.9266499999994</v>
      </c>
      <c r="HU14" s="240">
        <f t="shared" si="98"/>
        <v>8669.8627599999963</v>
      </c>
      <c r="HV14" s="240">
        <f t="shared" si="98"/>
        <v>7493.0833699999985</v>
      </c>
      <c r="HW14" s="240">
        <f t="shared" si="98"/>
        <v>7579.527049999997</v>
      </c>
      <c r="HX14" s="240">
        <f t="shared" si="98"/>
        <v>8809.2722899999972</v>
      </c>
      <c r="HY14" s="240">
        <f t="shared" si="98"/>
        <v>9115.3667799999985</v>
      </c>
      <c r="HZ14" s="218">
        <f t="shared" si="98"/>
        <v>8777.7138799999993</v>
      </c>
      <c r="IA14" s="218">
        <f t="shared" si="54"/>
        <v>93291.552779999984</v>
      </c>
      <c r="IB14" s="240">
        <f t="shared" si="98"/>
        <v>8309.6837199999973</v>
      </c>
      <c r="IC14" s="240">
        <f t="shared" si="98"/>
        <v>7373.7039399999976</v>
      </c>
      <c r="ID14" s="240">
        <f t="shared" si="98"/>
        <v>9342.1849899999979</v>
      </c>
      <c r="IE14" s="240">
        <f t="shared" si="98"/>
        <v>9832.7944999999963</v>
      </c>
      <c r="IF14" s="240">
        <f t="shared" si="98"/>
        <v>8242.3370499999983</v>
      </c>
      <c r="IG14" s="240">
        <f t="shared" si="98"/>
        <v>9459.2395799999977</v>
      </c>
      <c r="IH14" s="240">
        <f t="shared" si="98"/>
        <v>9859.9472799999967</v>
      </c>
      <c r="II14" s="240">
        <f t="shared" si="98"/>
        <v>7794.6883799999987</v>
      </c>
      <c r="IJ14" s="240">
        <f>SUM(IJ15:IJ16)</f>
        <v>10894.388589999997</v>
      </c>
      <c r="IK14" s="240">
        <f>SUM(IK15:IK16)</f>
        <v>10011.741739999994</v>
      </c>
      <c r="IL14" s="89">
        <f>SUM(IL15:IL16)</f>
        <v>11747.072539999997</v>
      </c>
      <c r="IM14" s="89">
        <f>SUM(IM15:IM16)</f>
        <v>10781.867569999995</v>
      </c>
      <c r="IN14" s="242">
        <f t="shared" si="81"/>
        <v>113649.64987999995</v>
      </c>
      <c r="IO14" s="241">
        <f>SUM(IO15:IO16)</f>
        <v>8272.0754899999956</v>
      </c>
      <c r="IP14" s="240">
        <f>SUM(IP15:IP16)</f>
        <v>8818.8647399999954</v>
      </c>
      <c r="IQ14" s="240">
        <f>SUM(IQ15:IQ16)</f>
        <v>8871.8893099999968</v>
      </c>
      <c r="IR14" s="240">
        <f>SUM(IR15:IR16)</f>
        <v>8330.8697699999975</v>
      </c>
      <c r="IS14" s="240">
        <v>8975.9246500000008</v>
      </c>
      <c r="IT14" s="240">
        <v>8122.2210099999966</v>
      </c>
      <c r="IU14" s="240">
        <v>6606.2122699999973</v>
      </c>
      <c r="IV14" s="240">
        <v>7388.6317399999971</v>
      </c>
      <c r="IW14" s="240">
        <v>8318.2624999999971</v>
      </c>
      <c r="IX14" s="240">
        <v>9525.767869999996</v>
      </c>
      <c r="IY14" s="240">
        <v>8551.9507099999973</v>
      </c>
      <c r="IZ14" s="218">
        <v>9189.7878599999967</v>
      </c>
      <c r="JA14" s="218">
        <f t="shared" si="56"/>
        <v>100972.45791999997</v>
      </c>
      <c r="JB14" s="240">
        <v>8683.9901699999991</v>
      </c>
      <c r="JC14" s="240">
        <v>8832.3687099999988</v>
      </c>
      <c r="JD14" s="240">
        <v>7385.8546000000006</v>
      </c>
      <c r="JE14" s="240">
        <v>6432.2045799999987</v>
      </c>
      <c r="JF14" s="240">
        <v>7020.3212800000001</v>
      </c>
      <c r="JG14" s="240">
        <v>7658.0038199999972</v>
      </c>
      <c r="JH14" s="240">
        <v>9745.8187199999993</v>
      </c>
      <c r="JI14" s="240">
        <v>8639.7649699999984</v>
      </c>
      <c r="JJ14" s="240">
        <v>9144.8324699999976</v>
      </c>
      <c r="JK14" s="240">
        <v>9080.2033799999936</v>
      </c>
      <c r="JL14" s="240">
        <v>9836.7469499999988</v>
      </c>
      <c r="JM14" s="218">
        <v>10589.11284</v>
      </c>
      <c r="JN14" s="218">
        <f t="shared" si="57"/>
        <v>103049.22248999999</v>
      </c>
      <c r="JO14" s="241">
        <v>9874.4990899999975</v>
      </c>
      <c r="JP14" s="240">
        <v>8935.9311099999977</v>
      </c>
      <c r="JQ14" s="240">
        <v>8622.6579399999955</v>
      </c>
      <c r="JR14" s="240">
        <v>9331.7700999999979</v>
      </c>
      <c r="JS14" s="240">
        <v>11538.998999999996</v>
      </c>
      <c r="JT14" s="240">
        <v>8805.2733799999951</v>
      </c>
      <c r="JU14" s="240">
        <v>7730.2004499999966</v>
      </c>
      <c r="JV14" s="240">
        <v>8888.2076799999977</v>
      </c>
      <c r="JW14" s="240">
        <v>8975.6849099999963</v>
      </c>
      <c r="JX14" s="240">
        <v>8013.7754899999973</v>
      </c>
      <c r="JY14" s="240">
        <v>8804.1928100000005</v>
      </c>
      <c r="JZ14" s="240">
        <v>7854.0382599999966</v>
      </c>
      <c r="KA14" s="242">
        <f t="shared" si="58"/>
        <v>107375.23021999997</v>
      </c>
      <c r="KB14" s="1604">
        <v>7383.4956999999995</v>
      </c>
      <c r="KC14" s="1605">
        <v>8581.8130999999976</v>
      </c>
      <c r="KD14">
        <v>8387.8087399999949</v>
      </c>
      <c r="KE14">
        <v>9120.8900899999953</v>
      </c>
      <c r="KF14">
        <v>9581.4895399999987</v>
      </c>
      <c r="KG14">
        <v>8168.9848199999997</v>
      </c>
      <c r="KH14">
        <v>8382.2053399999968</v>
      </c>
      <c r="KI14">
        <v>9977.3956299999954</v>
      </c>
      <c r="KN14" s="1330">
        <f t="shared" si="59"/>
        <v>69584.082959999985</v>
      </c>
      <c r="KP14" s="22">
        <f t="shared" si="60"/>
        <v>12.254303558307477</v>
      </c>
      <c r="KQ14" s="858">
        <f t="shared" si="61"/>
        <v>-5.6199567492004388</v>
      </c>
      <c r="KR14" s="53">
        <f t="shared" si="62"/>
        <v>73727.538749999978</v>
      </c>
      <c r="KS14" s="53">
        <f t="shared" si="63"/>
        <v>69584.082959999985</v>
      </c>
      <c r="KT14" s="24"/>
    </row>
    <row r="15" spans="1:306" ht="13.9" customHeight="1" x14ac:dyDescent="0.2">
      <c r="A15" s="238" t="s">
        <v>452</v>
      </c>
      <c r="B15" s="52">
        <v>1253</v>
      </c>
      <c r="C15" s="24">
        <v>698</v>
      </c>
      <c r="D15" s="24">
        <v>1140</v>
      </c>
      <c r="E15" s="24">
        <v>838</v>
      </c>
      <c r="F15" s="24">
        <v>418</v>
      </c>
      <c r="G15" s="24">
        <v>584</v>
      </c>
      <c r="H15" s="24">
        <v>1271</v>
      </c>
      <c r="I15" s="24">
        <v>1814</v>
      </c>
      <c r="J15" s="24">
        <v>1170</v>
      </c>
      <c r="K15" s="24">
        <v>1111</v>
      </c>
      <c r="L15" s="24">
        <v>1507</v>
      </c>
      <c r="M15" s="23">
        <v>777</v>
      </c>
      <c r="N15" s="7">
        <f t="shared" si="21"/>
        <v>12581</v>
      </c>
      <c r="O15" s="24">
        <v>1460</v>
      </c>
      <c r="P15" s="24">
        <v>962</v>
      </c>
      <c r="Q15" s="24">
        <v>808</v>
      </c>
      <c r="R15" s="24">
        <v>1084</v>
      </c>
      <c r="S15" s="60">
        <v>930</v>
      </c>
      <c r="T15" s="60">
        <v>911</v>
      </c>
      <c r="U15" s="60">
        <v>779</v>
      </c>
      <c r="V15" s="60">
        <v>827</v>
      </c>
      <c r="W15" s="60">
        <v>835</v>
      </c>
      <c r="X15" s="60">
        <v>566</v>
      </c>
      <c r="Y15" s="60">
        <v>829</v>
      </c>
      <c r="Z15" s="60">
        <v>927</v>
      </c>
      <c r="AA15" s="7">
        <f t="shared" si="22"/>
        <v>10918</v>
      </c>
      <c r="AB15" s="239">
        <v>733</v>
      </c>
      <c r="AC15" s="60">
        <v>856</v>
      </c>
      <c r="AD15" s="60">
        <v>713</v>
      </c>
      <c r="AE15" s="240">
        <v>918</v>
      </c>
      <c r="AF15" s="240">
        <v>896</v>
      </c>
      <c r="AG15" s="240">
        <v>1325</v>
      </c>
      <c r="AH15" s="240">
        <v>1168</v>
      </c>
      <c r="AI15" s="240">
        <v>1373</v>
      </c>
      <c r="AJ15" s="240">
        <v>1440</v>
      </c>
      <c r="AK15" s="240">
        <v>1259</v>
      </c>
      <c r="AL15" s="240">
        <v>1012</v>
      </c>
      <c r="AM15" s="240">
        <v>693</v>
      </c>
      <c r="AN15" s="7">
        <f t="shared" si="24"/>
        <v>12386</v>
      </c>
      <c r="AO15" s="241">
        <v>988</v>
      </c>
      <c r="AP15" s="240">
        <v>1022</v>
      </c>
      <c r="AQ15" s="240">
        <v>910</v>
      </c>
      <c r="AR15" s="240">
        <v>794</v>
      </c>
      <c r="AS15" s="240">
        <v>817</v>
      </c>
      <c r="AT15" s="240">
        <v>1204</v>
      </c>
      <c r="AU15" s="240">
        <v>422</v>
      </c>
      <c r="AV15" s="240">
        <v>588</v>
      </c>
      <c r="AW15" s="240">
        <v>1076</v>
      </c>
      <c r="AX15" s="240">
        <v>972</v>
      </c>
      <c r="AY15" s="240">
        <v>1345</v>
      </c>
      <c r="AZ15" s="240">
        <v>963</v>
      </c>
      <c r="BA15" s="7">
        <f t="shared" si="26"/>
        <v>11101</v>
      </c>
      <c r="BB15" s="240">
        <v>1928</v>
      </c>
      <c r="BC15" s="240">
        <v>1396</v>
      </c>
      <c r="BD15" s="240">
        <v>1371</v>
      </c>
      <c r="BE15" s="240">
        <v>1611</v>
      </c>
      <c r="BF15" s="240">
        <v>1676</v>
      </c>
      <c r="BG15" s="240">
        <v>1919</v>
      </c>
      <c r="BH15" s="240">
        <v>2004</v>
      </c>
      <c r="BI15" s="240">
        <v>2185</v>
      </c>
      <c r="BJ15" s="240">
        <v>2193</v>
      </c>
      <c r="BK15" s="240">
        <v>2205</v>
      </c>
      <c r="BL15" s="240">
        <v>2302</v>
      </c>
      <c r="BM15" s="240">
        <v>2133</v>
      </c>
      <c r="BN15" s="242">
        <f t="shared" si="28"/>
        <v>22923</v>
      </c>
      <c r="BO15" s="241">
        <v>1718</v>
      </c>
      <c r="BP15" s="240">
        <v>2256</v>
      </c>
      <c r="BQ15" s="240">
        <v>1580</v>
      </c>
      <c r="BR15" s="240">
        <v>1593</v>
      </c>
      <c r="BS15" s="240">
        <v>1763</v>
      </c>
      <c r="BT15" s="240">
        <v>2015</v>
      </c>
      <c r="BU15" s="240">
        <v>1809</v>
      </c>
      <c r="BV15" s="240">
        <v>1938</v>
      </c>
      <c r="BW15" s="240">
        <v>1645</v>
      </c>
      <c r="BX15" s="240">
        <v>1625</v>
      </c>
      <c r="BY15" s="240">
        <v>2897</v>
      </c>
      <c r="BZ15" s="240">
        <v>1880</v>
      </c>
      <c r="CA15" s="242">
        <f t="shared" si="30"/>
        <v>22719</v>
      </c>
      <c r="CB15" s="240">
        <v>1771</v>
      </c>
      <c r="CC15" s="240">
        <v>2027</v>
      </c>
      <c r="CD15" s="240">
        <v>1904</v>
      </c>
      <c r="CE15" s="240">
        <v>2075</v>
      </c>
      <c r="CF15" s="240">
        <v>1756</v>
      </c>
      <c r="CG15" s="240">
        <v>1996</v>
      </c>
      <c r="CH15" s="240">
        <v>2098</v>
      </c>
      <c r="CI15" s="240">
        <v>2620</v>
      </c>
      <c r="CJ15" s="240">
        <v>2328</v>
      </c>
      <c r="CK15" s="240">
        <v>1720</v>
      </c>
      <c r="CL15" s="240">
        <v>1586</v>
      </c>
      <c r="CM15" s="240">
        <v>1263</v>
      </c>
      <c r="CN15" s="242">
        <f t="shared" si="32"/>
        <v>23144</v>
      </c>
      <c r="CO15" s="241">
        <v>2026</v>
      </c>
      <c r="CP15" s="240">
        <v>2730</v>
      </c>
      <c r="CQ15" s="240">
        <v>2750</v>
      </c>
      <c r="CR15" s="240">
        <v>1842</v>
      </c>
      <c r="CS15" s="240">
        <v>2056</v>
      </c>
      <c r="CT15" s="240">
        <v>2382</v>
      </c>
      <c r="CU15" s="240">
        <v>2645</v>
      </c>
      <c r="CV15" s="240">
        <v>2306</v>
      </c>
      <c r="CW15" s="240">
        <v>2934</v>
      </c>
      <c r="CX15" s="240">
        <v>2702</v>
      </c>
      <c r="CY15" s="240">
        <v>2747</v>
      </c>
      <c r="CZ15" s="240">
        <v>3001</v>
      </c>
      <c r="DA15" s="242">
        <f t="shared" si="34"/>
        <v>30121</v>
      </c>
      <c r="DB15" s="240">
        <v>2537</v>
      </c>
      <c r="DC15" s="240">
        <v>2997</v>
      </c>
      <c r="DD15" s="240">
        <v>2952</v>
      </c>
      <c r="DE15" s="240">
        <v>3558</v>
      </c>
      <c r="DF15" s="240">
        <v>3198</v>
      </c>
      <c r="DG15" s="240">
        <v>3177</v>
      </c>
      <c r="DH15" s="240">
        <v>4042</v>
      </c>
      <c r="DI15" s="240">
        <v>3794</v>
      </c>
      <c r="DJ15" s="240">
        <v>4070</v>
      </c>
      <c r="DK15" s="240">
        <v>3153</v>
      </c>
      <c r="DL15" s="240">
        <v>6105</v>
      </c>
      <c r="DM15" s="240">
        <v>5182</v>
      </c>
      <c r="DN15" s="242">
        <f t="shared" si="36"/>
        <v>44765</v>
      </c>
      <c r="DO15" s="241">
        <v>3740.5</v>
      </c>
      <c r="DP15" s="240">
        <v>4306.8</v>
      </c>
      <c r="DQ15" s="240">
        <v>4019.3</v>
      </c>
      <c r="DR15" s="240">
        <v>3559.5</v>
      </c>
      <c r="DS15" s="240">
        <v>3473.15</v>
      </c>
      <c r="DT15" s="240">
        <v>4234.1000000000004</v>
      </c>
      <c r="DU15" s="240">
        <v>3238.6</v>
      </c>
      <c r="DV15" s="240">
        <v>3313.6</v>
      </c>
      <c r="DW15" s="240">
        <v>4484.3999999999996</v>
      </c>
      <c r="DX15" s="240">
        <v>3966</v>
      </c>
      <c r="DY15" s="1">
        <v>4167.6000000000004</v>
      </c>
      <c r="DZ15" s="1">
        <v>4711.1000000000004</v>
      </c>
      <c r="EA15" s="242">
        <f t="shared" si="38"/>
        <v>47214.649999999994</v>
      </c>
      <c r="EB15" s="49">
        <v>4548.2</v>
      </c>
      <c r="EC15" s="1">
        <v>4403.2</v>
      </c>
      <c r="ED15" s="1">
        <v>3418.1</v>
      </c>
      <c r="EE15" s="1">
        <v>3968.5</v>
      </c>
      <c r="EF15" s="1">
        <v>3924.4</v>
      </c>
      <c r="EG15" s="1">
        <v>4023.9</v>
      </c>
      <c r="EH15" s="1">
        <v>4240.6000000000004</v>
      </c>
      <c r="EI15" s="1">
        <v>3926.7</v>
      </c>
      <c r="EJ15" s="1">
        <v>2742.7</v>
      </c>
      <c r="EK15" s="1">
        <v>4701.8999999999996</v>
      </c>
      <c r="EL15" s="1">
        <v>2770.0348499999991</v>
      </c>
      <c r="EM15" s="1">
        <v>3004.4693999999981</v>
      </c>
      <c r="EN15" s="8">
        <f t="shared" si="40"/>
        <v>45672.704249999995</v>
      </c>
      <c r="EO15" s="1">
        <v>2024.3983599999999</v>
      </c>
      <c r="EP15" s="1">
        <v>4307.2</v>
      </c>
      <c r="EQ15" s="1">
        <v>3857</v>
      </c>
      <c r="ER15" s="1">
        <v>4937</v>
      </c>
      <c r="ES15" s="1">
        <v>2908</v>
      </c>
      <c r="ET15" s="1">
        <v>2702</v>
      </c>
      <c r="EU15" s="1">
        <v>4088</v>
      </c>
      <c r="EV15" s="1">
        <v>3343</v>
      </c>
      <c r="EW15" s="1">
        <v>3400</v>
      </c>
      <c r="EX15" s="1">
        <v>3723</v>
      </c>
      <c r="EY15" s="1">
        <v>2969</v>
      </c>
      <c r="EZ15" s="1">
        <v>5454</v>
      </c>
      <c r="FA15" s="8">
        <f t="shared" si="42"/>
        <v>43712.598360000004</v>
      </c>
      <c r="FB15" s="111">
        <v>3051</v>
      </c>
      <c r="FC15" s="5">
        <v>3046.7</v>
      </c>
      <c r="FD15" s="5">
        <v>3851.6</v>
      </c>
      <c r="FE15" s="5">
        <v>3285</v>
      </c>
      <c r="FF15" s="5">
        <v>3810.2</v>
      </c>
      <c r="FG15" s="5">
        <v>2992.2</v>
      </c>
      <c r="FH15" s="5">
        <v>2913.1</v>
      </c>
      <c r="FI15" s="5">
        <v>3100.8</v>
      </c>
      <c r="FJ15" s="5">
        <v>2368.1999999999998</v>
      </c>
      <c r="FK15" s="5">
        <v>4431</v>
      </c>
      <c r="FL15" s="5">
        <v>5567.5</v>
      </c>
      <c r="FM15" s="5">
        <v>3636.6</v>
      </c>
      <c r="FN15" s="7">
        <f t="shared" si="44"/>
        <v>42053.9</v>
      </c>
      <c r="FO15" s="111">
        <v>4956</v>
      </c>
      <c r="FP15" s="5">
        <v>3795.1</v>
      </c>
      <c r="FQ15" s="5">
        <v>3257.1</v>
      </c>
      <c r="FR15" s="5">
        <v>4720.8</v>
      </c>
      <c r="FS15" s="5">
        <v>4253.2</v>
      </c>
      <c r="FT15" s="5">
        <v>3638.1</v>
      </c>
      <c r="FU15" s="5">
        <v>3909.5</v>
      </c>
      <c r="FV15" s="5">
        <v>4624.1000000000004</v>
      </c>
      <c r="FW15" s="5">
        <v>5877.5</v>
      </c>
      <c r="FX15" s="5">
        <v>4848.5</v>
      </c>
      <c r="FY15" s="5">
        <v>5867.3</v>
      </c>
      <c r="FZ15" s="5">
        <v>5184.3</v>
      </c>
      <c r="GA15" s="7">
        <f t="shared" si="46"/>
        <v>54931.500000000007</v>
      </c>
      <c r="GB15" s="111">
        <v>5175</v>
      </c>
      <c r="GC15" s="5">
        <v>5189</v>
      </c>
      <c r="GD15" s="5">
        <v>3345.9</v>
      </c>
      <c r="GE15" s="5">
        <v>4783.8999999999996</v>
      </c>
      <c r="GF15" s="5">
        <v>4461.8999999999996</v>
      </c>
      <c r="GG15" s="5">
        <v>4499.8999999999996</v>
      </c>
      <c r="GH15" s="5">
        <v>4077.1</v>
      </c>
      <c r="GI15" s="5">
        <v>5017.2</v>
      </c>
      <c r="GJ15" s="5">
        <v>5526.6</v>
      </c>
      <c r="GK15" s="5">
        <v>6392.6</v>
      </c>
      <c r="GL15" s="5">
        <v>5899.9</v>
      </c>
      <c r="GM15" s="228">
        <v>6693.2</v>
      </c>
      <c r="GN15" s="228">
        <f t="shared" si="48"/>
        <v>61062.19999999999</v>
      </c>
      <c r="GO15" s="5">
        <v>6707.7</v>
      </c>
      <c r="GP15" s="5">
        <v>6568.8537500000002</v>
      </c>
      <c r="GQ15" s="5">
        <v>4665.6000000000004</v>
      </c>
      <c r="GR15" s="5">
        <v>5283</v>
      </c>
      <c r="GS15" s="5">
        <v>4638.7</v>
      </c>
      <c r="GT15" s="5">
        <v>4448.2</v>
      </c>
      <c r="GU15" s="5">
        <v>4130.2</v>
      </c>
      <c r="GV15" s="5">
        <v>4840.1000000000004</v>
      </c>
      <c r="GW15" s="5">
        <v>6185.7</v>
      </c>
      <c r="GX15" s="5">
        <v>6166.2</v>
      </c>
      <c r="GY15" s="5">
        <v>5405.7</v>
      </c>
      <c r="GZ15" s="5">
        <v>5234.8999999999996</v>
      </c>
      <c r="HA15" s="242">
        <f t="shared" si="50"/>
        <v>64274.853749999987</v>
      </c>
      <c r="HB15" s="111">
        <v>7054.5</v>
      </c>
      <c r="HC15" s="5">
        <v>7498.7</v>
      </c>
      <c r="HD15" s="5">
        <v>5253.1</v>
      </c>
      <c r="HE15" s="5">
        <v>4375.6000000000004</v>
      </c>
      <c r="HF15" s="5">
        <v>6795</v>
      </c>
      <c r="HG15" s="5">
        <v>4603.7</v>
      </c>
      <c r="HH15" s="5">
        <v>5921.7</v>
      </c>
      <c r="HI15" s="5">
        <v>5086.8999999999996</v>
      </c>
      <c r="HJ15" s="5">
        <v>6829.3</v>
      </c>
      <c r="HK15" s="5">
        <v>6704</v>
      </c>
      <c r="HL15" s="5">
        <v>6605.6</v>
      </c>
      <c r="HM15" s="5">
        <v>6012.8</v>
      </c>
      <c r="HN15" s="7">
        <f t="shared" si="52"/>
        <v>72740.900000000009</v>
      </c>
      <c r="HO15" s="111">
        <v>6819.7</v>
      </c>
      <c r="HP15" s="5">
        <v>7346</v>
      </c>
      <c r="HQ15" s="5">
        <v>6682.9</v>
      </c>
      <c r="HR15" s="5">
        <v>7111.6</v>
      </c>
      <c r="HS15" s="5">
        <v>6574.5</v>
      </c>
      <c r="HT15" s="5">
        <v>8267.8266499999991</v>
      </c>
      <c r="HU15" s="5">
        <v>8666.0187499999956</v>
      </c>
      <c r="HV15" s="5">
        <v>7480.6913799999984</v>
      </c>
      <c r="HW15" s="5">
        <v>7579.527049999997</v>
      </c>
      <c r="HX15" s="5">
        <v>8801.6563799999967</v>
      </c>
      <c r="HY15" s="5">
        <v>8877.254109999998</v>
      </c>
      <c r="HZ15" s="228">
        <v>8777.7138799999993</v>
      </c>
      <c r="IA15" s="228">
        <f t="shared" si="54"/>
        <v>92985.388199999972</v>
      </c>
      <c r="IB15" s="111">
        <v>8309.6837199999973</v>
      </c>
      <c r="IC15" s="5">
        <v>7373.7039399999976</v>
      </c>
      <c r="ID15" s="5">
        <v>9277.9829899999986</v>
      </c>
      <c r="IE15" s="5">
        <v>9737.9394499999962</v>
      </c>
      <c r="IF15" s="5">
        <v>8063.2059999999983</v>
      </c>
      <c r="IG15" s="5">
        <v>9371.2175599999973</v>
      </c>
      <c r="IH15" s="5">
        <v>9845.3042799999967</v>
      </c>
      <c r="II15" s="5">
        <v>7657.1993899999989</v>
      </c>
      <c r="IJ15" s="5">
        <v>10849.873559999996</v>
      </c>
      <c r="IK15" s="5">
        <v>10011.257729999994</v>
      </c>
      <c r="IL15" s="79">
        <v>11693.235509999997</v>
      </c>
      <c r="IM15" s="79">
        <v>10765.805579999995</v>
      </c>
      <c r="IN15" s="7">
        <f t="shared" si="81"/>
        <v>112956.40970999996</v>
      </c>
      <c r="IO15" s="111">
        <v>8255.910479999995</v>
      </c>
      <c r="IP15" s="5">
        <v>8814.4227399999963</v>
      </c>
      <c r="IQ15" s="5">
        <v>8816.8022399999973</v>
      </c>
      <c r="IR15" s="5">
        <v>8330.8697699999975</v>
      </c>
      <c r="IS15" s="5">
        <v>8884.5066400000014</v>
      </c>
      <c r="IT15" s="5">
        <v>8028.9529799999964</v>
      </c>
      <c r="IU15" s="5">
        <v>6606.2122699999973</v>
      </c>
      <c r="IV15" s="5">
        <v>7376.4707199999975</v>
      </c>
      <c r="IW15" s="5">
        <v>8317.7394999999979</v>
      </c>
      <c r="IX15" s="5">
        <v>9416.6988599999968</v>
      </c>
      <c r="IY15" s="5">
        <v>8518.4206899999972</v>
      </c>
      <c r="IZ15" s="228">
        <v>9042.6296599999969</v>
      </c>
      <c r="JA15" s="228">
        <f t="shared" si="56"/>
        <v>100409.63654999995</v>
      </c>
      <c r="JB15" s="5">
        <v>8557.1931299999997</v>
      </c>
      <c r="JC15" s="5">
        <v>8755.6186999999991</v>
      </c>
      <c r="JD15" s="5">
        <v>7275.9705800000002</v>
      </c>
      <c r="JE15" s="5">
        <v>6334.4665699999987</v>
      </c>
      <c r="JF15" s="5">
        <v>7004.33626</v>
      </c>
      <c r="JG15" s="5">
        <v>7627.2598299999972</v>
      </c>
      <c r="JH15" s="5">
        <v>9718.1837299999988</v>
      </c>
      <c r="JI15" s="5">
        <v>8629.965949999998</v>
      </c>
      <c r="JJ15" s="5">
        <v>9138.0724799999971</v>
      </c>
      <c r="JK15" s="5">
        <v>9067.8273599999939</v>
      </c>
      <c r="JL15" s="5">
        <v>9828.7779299999984</v>
      </c>
      <c r="JM15" s="228">
        <v>10541.7788</v>
      </c>
      <c r="JN15" s="228">
        <f t="shared" si="57"/>
        <v>102479.45131999998</v>
      </c>
      <c r="JO15" s="111">
        <v>9853.7790299999979</v>
      </c>
      <c r="JP15" s="5">
        <v>8927.7950699999983</v>
      </c>
      <c r="JQ15" s="5">
        <v>8591.6359299999949</v>
      </c>
      <c r="JR15" s="5">
        <v>9205.2990999999984</v>
      </c>
      <c r="JS15" s="5">
        <v>11405.424939999995</v>
      </c>
      <c r="JT15" s="5">
        <v>8738.7443799999946</v>
      </c>
      <c r="JU15" s="5">
        <v>7621.4044399999966</v>
      </c>
      <c r="JV15" s="5">
        <v>8788.4626899999985</v>
      </c>
      <c r="JW15" s="5">
        <v>8901.4978699999956</v>
      </c>
      <c r="JX15" s="5">
        <v>7942.3274699999974</v>
      </c>
      <c r="JY15" s="5">
        <v>8591.7227999999996</v>
      </c>
      <c r="JZ15" s="5">
        <v>7843.2492499999962</v>
      </c>
      <c r="KA15" s="7">
        <f>SUM(JO15:JZ15)</f>
        <v>106411.34296999997</v>
      </c>
      <c r="KB15" s="1604">
        <v>7383.4956999999995</v>
      </c>
      <c r="KC15" s="1605">
        <v>8581.8130999999976</v>
      </c>
      <c r="KD15">
        <v>8216.431719999995</v>
      </c>
      <c r="KE15">
        <v>8758.3260099999952</v>
      </c>
      <c r="KF15">
        <v>9570.7185499999978</v>
      </c>
      <c r="KG15">
        <v>8110.0567699999992</v>
      </c>
      <c r="KH15">
        <v>8318.6303099999968</v>
      </c>
      <c r="KI15">
        <v>9838.1896099999958</v>
      </c>
      <c r="KN15" s="1330">
        <f t="shared" si="59"/>
        <v>68777.661769999977</v>
      </c>
      <c r="KP15" s="22">
        <f t="shared" si="60"/>
        <v>11.944374767551036</v>
      </c>
      <c r="KQ15" s="858">
        <f t="shared" si="61"/>
        <v>-5.954782204642628</v>
      </c>
      <c r="KR15" s="53">
        <f t="shared" si="62"/>
        <v>73132.545579999976</v>
      </c>
      <c r="KS15" s="53">
        <f t="shared" si="63"/>
        <v>68777.661769999977</v>
      </c>
      <c r="KT15" s="24"/>
    </row>
    <row r="16" spans="1:306" ht="13.9" customHeight="1" x14ac:dyDescent="0.2">
      <c r="A16" s="238" t="s">
        <v>453</v>
      </c>
      <c r="B16" s="52">
        <v>1108</v>
      </c>
      <c r="C16" s="24">
        <v>924</v>
      </c>
      <c r="D16" s="24">
        <v>341</v>
      </c>
      <c r="E16" s="24">
        <v>805</v>
      </c>
      <c r="F16" s="24">
        <v>1308</v>
      </c>
      <c r="G16" s="24">
        <v>757</v>
      </c>
      <c r="H16" s="24">
        <v>1131</v>
      </c>
      <c r="I16" s="24">
        <v>479</v>
      </c>
      <c r="J16" s="24">
        <v>906</v>
      </c>
      <c r="K16" s="24">
        <v>436</v>
      </c>
      <c r="L16" s="24">
        <v>1908</v>
      </c>
      <c r="M16" s="23">
        <v>387</v>
      </c>
      <c r="N16" s="253">
        <f t="shared" si="21"/>
        <v>10490</v>
      </c>
      <c r="O16" s="24">
        <v>89</v>
      </c>
      <c r="P16" s="24">
        <v>2</v>
      </c>
      <c r="Q16" s="24">
        <v>16</v>
      </c>
      <c r="R16" s="24">
        <v>0</v>
      </c>
      <c r="S16" s="60">
        <v>28</v>
      </c>
      <c r="T16" s="60">
        <v>69</v>
      </c>
      <c r="U16" s="60">
        <v>9</v>
      </c>
      <c r="V16" s="60">
        <v>30</v>
      </c>
      <c r="W16" s="60">
        <v>1</v>
      </c>
      <c r="X16" s="60">
        <v>6</v>
      </c>
      <c r="Y16" s="60">
        <v>4</v>
      </c>
      <c r="Z16" s="60">
        <v>2</v>
      </c>
      <c r="AA16" s="253">
        <f t="shared" si="22"/>
        <v>256</v>
      </c>
      <c r="AB16" s="239">
        <v>64</v>
      </c>
      <c r="AC16" s="60">
        <v>5</v>
      </c>
      <c r="AD16" s="60">
        <v>162</v>
      </c>
      <c r="AE16" s="240">
        <v>160</v>
      </c>
      <c r="AF16" s="240">
        <v>12</v>
      </c>
      <c r="AG16" s="240">
        <v>112</v>
      </c>
      <c r="AH16" s="240">
        <v>5</v>
      </c>
      <c r="AI16" s="240">
        <v>11</v>
      </c>
      <c r="AJ16" s="240">
        <v>3</v>
      </c>
      <c r="AK16" s="240">
        <v>71</v>
      </c>
      <c r="AL16" s="240">
        <v>16</v>
      </c>
      <c r="AM16" s="240">
        <v>25</v>
      </c>
      <c r="AN16" s="253">
        <f t="shared" si="24"/>
        <v>646</v>
      </c>
      <c r="AO16" s="241">
        <v>21</v>
      </c>
      <c r="AP16" s="240">
        <v>23</v>
      </c>
      <c r="AQ16" s="240">
        <v>116</v>
      </c>
      <c r="AR16" s="240">
        <v>3</v>
      </c>
      <c r="AS16" s="240">
        <v>31</v>
      </c>
      <c r="AT16" s="240">
        <v>14</v>
      </c>
      <c r="AU16" s="240">
        <v>9</v>
      </c>
      <c r="AV16" s="240">
        <v>1</v>
      </c>
      <c r="AW16" s="240">
        <v>1</v>
      </c>
      <c r="AX16" s="240">
        <v>16</v>
      </c>
      <c r="AY16" s="240">
        <v>3</v>
      </c>
      <c r="AZ16" s="240">
        <v>1</v>
      </c>
      <c r="BA16" s="253">
        <f t="shared" si="26"/>
        <v>239</v>
      </c>
      <c r="BB16" s="240">
        <v>2</v>
      </c>
      <c r="BC16" s="240">
        <v>23</v>
      </c>
      <c r="BD16" s="240">
        <v>54</v>
      </c>
      <c r="BE16" s="240">
        <v>28</v>
      </c>
      <c r="BF16" s="240">
        <v>76</v>
      </c>
      <c r="BG16" s="240">
        <v>56</v>
      </c>
      <c r="BH16" s="240">
        <v>50</v>
      </c>
      <c r="BI16" s="240">
        <v>46</v>
      </c>
      <c r="BJ16" s="240">
        <v>54</v>
      </c>
      <c r="BK16" s="240">
        <v>34</v>
      </c>
      <c r="BL16" s="240">
        <v>38</v>
      </c>
      <c r="BM16" s="240">
        <v>72</v>
      </c>
      <c r="BN16" s="242">
        <f t="shared" si="28"/>
        <v>533</v>
      </c>
      <c r="BO16" s="241">
        <v>34</v>
      </c>
      <c r="BP16" s="240">
        <v>82</v>
      </c>
      <c r="BQ16" s="240">
        <v>33</v>
      </c>
      <c r="BR16" s="240">
        <v>38</v>
      </c>
      <c r="BS16" s="240">
        <v>57</v>
      </c>
      <c r="BT16" s="240">
        <v>33</v>
      </c>
      <c r="BU16" s="240">
        <v>52</v>
      </c>
      <c r="BV16" s="240">
        <v>121</v>
      </c>
      <c r="BW16" s="240">
        <v>38</v>
      </c>
      <c r="BX16" s="240">
        <v>127</v>
      </c>
      <c r="BY16" s="240">
        <v>73</v>
      </c>
      <c r="BZ16" s="240">
        <v>10</v>
      </c>
      <c r="CA16" s="242">
        <f t="shared" si="30"/>
        <v>698</v>
      </c>
      <c r="CB16" s="240">
        <v>162</v>
      </c>
      <c r="CC16" s="240">
        <v>74</v>
      </c>
      <c r="CD16" s="240">
        <v>187</v>
      </c>
      <c r="CE16" s="240">
        <v>30</v>
      </c>
      <c r="CF16" s="240">
        <v>67</v>
      </c>
      <c r="CG16" s="240">
        <v>123</v>
      </c>
      <c r="CH16" s="240">
        <v>44</v>
      </c>
      <c r="CI16" s="240">
        <v>27</v>
      </c>
      <c r="CJ16" s="240">
        <v>35</v>
      </c>
      <c r="CK16" s="240">
        <v>106</v>
      </c>
      <c r="CL16" s="240">
        <v>13</v>
      </c>
      <c r="CM16" s="240">
        <v>19</v>
      </c>
      <c r="CN16" s="242">
        <f t="shared" si="32"/>
        <v>887</v>
      </c>
      <c r="CO16" s="241">
        <v>42</v>
      </c>
      <c r="CP16" s="240">
        <v>76</v>
      </c>
      <c r="CQ16" s="240">
        <v>233</v>
      </c>
      <c r="CR16" s="240">
        <v>123</v>
      </c>
      <c r="CS16" s="240">
        <v>35</v>
      </c>
      <c r="CT16" s="240">
        <v>36</v>
      </c>
      <c r="CU16" s="240">
        <v>14</v>
      </c>
      <c r="CV16" s="240">
        <v>93</v>
      </c>
      <c r="CW16" s="240">
        <v>13</v>
      </c>
      <c r="CX16" s="240">
        <v>4</v>
      </c>
      <c r="CY16" s="240">
        <v>16</v>
      </c>
      <c r="CZ16" s="240">
        <v>1</v>
      </c>
      <c r="DA16" s="242">
        <f t="shared" si="34"/>
        <v>686</v>
      </c>
      <c r="DB16" s="240">
        <v>8</v>
      </c>
      <c r="DC16" s="240">
        <v>6</v>
      </c>
      <c r="DD16" s="240">
        <v>13</v>
      </c>
      <c r="DE16" s="240">
        <v>20</v>
      </c>
      <c r="DF16" s="240">
        <v>103</v>
      </c>
      <c r="DG16" s="240">
        <v>15</v>
      </c>
      <c r="DH16" s="240">
        <v>4</v>
      </c>
      <c r="DI16" s="240">
        <v>22</v>
      </c>
      <c r="DJ16" s="240">
        <v>2</v>
      </c>
      <c r="DK16" s="240">
        <v>2</v>
      </c>
      <c r="DL16" s="240">
        <v>8</v>
      </c>
      <c r="DM16" s="240">
        <v>85</v>
      </c>
      <c r="DN16" s="242">
        <f t="shared" si="36"/>
        <v>288</v>
      </c>
      <c r="DO16" s="241">
        <v>1.6</v>
      </c>
      <c r="DP16" s="240">
        <v>10.3</v>
      </c>
      <c r="DQ16" s="240">
        <v>17.5</v>
      </c>
      <c r="DR16" s="240">
        <v>32.200000000000003</v>
      </c>
      <c r="DS16" s="240">
        <v>3.26</v>
      </c>
      <c r="DT16" s="240">
        <v>17.399999999999999</v>
      </c>
      <c r="DU16" s="240">
        <v>2.7</v>
      </c>
      <c r="DV16" s="240">
        <v>117.1</v>
      </c>
      <c r="DW16" s="240">
        <v>26.8</v>
      </c>
      <c r="DX16" s="240">
        <v>1.8</v>
      </c>
      <c r="DY16" s="1">
        <v>51.2</v>
      </c>
      <c r="DZ16" s="1">
        <v>10.199999999999999</v>
      </c>
      <c r="EA16" s="242">
        <f t="shared" si="38"/>
        <v>292.06</v>
      </c>
      <c r="EB16" s="49">
        <v>0.4</v>
      </c>
      <c r="EC16" s="1">
        <v>135.30000000000001</v>
      </c>
      <c r="ED16" s="1">
        <v>1.4</v>
      </c>
      <c r="EE16" s="1">
        <v>0.4</v>
      </c>
      <c r="EF16" s="1">
        <v>7.1</v>
      </c>
      <c r="EG16" s="1">
        <v>47</v>
      </c>
      <c r="EH16" s="1">
        <v>16</v>
      </c>
      <c r="EI16" s="1">
        <v>61.8</v>
      </c>
      <c r="EJ16" s="1">
        <v>45</v>
      </c>
      <c r="EK16" s="1">
        <v>1.1000000000000001</v>
      </c>
      <c r="EL16" s="1">
        <v>45.45300000000001</v>
      </c>
      <c r="EM16" s="1">
        <v>0.70198000000000016</v>
      </c>
      <c r="EN16" s="8">
        <f t="shared" si="40"/>
        <v>361.65498000000008</v>
      </c>
      <c r="EO16" s="1">
        <v>4.9900000000000005E-3</v>
      </c>
      <c r="EP16" s="1">
        <v>120</v>
      </c>
      <c r="EQ16" s="1">
        <v>15</v>
      </c>
      <c r="ER16" s="1">
        <v>41</v>
      </c>
      <c r="ES16" s="1">
        <v>12.2</v>
      </c>
      <c r="ET16" s="1">
        <v>35</v>
      </c>
      <c r="EU16" s="1">
        <v>4</v>
      </c>
      <c r="EV16" s="1">
        <v>94</v>
      </c>
      <c r="EW16" s="1">
        <v>16.5</v>
      </c>
      <c r="EX16" s="1">
        <v>14</v>
      </c>
      <c r="EY16" s="1">
        <v>219.1</v>
      </c>
      <c r="EZ16" s="1">
        <v>40.700000000000003</v>
      </c>
      <c r="FA16" s="8">
        <f t="shared" si="42"/>
        <v>611.50499000000002</v>
      </c>
      <c r="FB16" s="111">
        <v>3</v>
      </c>
      <c r="FC16" s="5">
        <v>0</v>
      </c>
      <c r="FD16" s="5">
        <v>0</v>
      </c>
      <c r="FE16" s="5">
        <v>57.7</v>
      </c>
      <c r="FF16" s="5">
        <v>36.299999999999997</v>
      </c>
      <c r="FG16" s="5">
        <v>46.2</v>
      </c>
      <c r="FH16" s="5">
        <v>9.8000000000000007</v>
      </c>
      <c r="FI16" s="24">
        <v>54.1</v>
      </c>
      <c r="FJ16" s="24">
        <v>149.1</v>
      </c>
      <c r="FK16" s="24">
        <v>10</v>
      </c>
      <c r="FL16" s="24">
        <v>40.5</v>
      </c>
      <c r="FM16" s="24">
        <v>26.5</v>
      </c>
      <c r="FN16" s="53">
        <f t="shared" si="44"/>
        <v>433.2</v>
      </c>
      <c r="FO16" s="52">
        <v>32.200000000000003</v>
      </c>
      <c r="FP16" s="24">
        <v>225.6</v>
      </c>
      <c r="FQ16" s="24">
        <v>0.5</v>
      </c>
      <c r="FR16" s="24">
        <v>0</v>
      </c>
      <c r="FS16" s="24">
        <v>5.9</v>
      </c>
      <c r="FT16" s="24">
        <v>63.8</v>
      </c>
      <c r="FU16" s="24">
        <v>8.5</v>
      </c>
      <c r="FV16" s="24">
        <v>28.5</v>
      </c>
      <c r="FW16" s="24">
        <v>55.2</v>
      </c>
      <c r="FX16" s="24">
        <v>5.4</v>
      </c>
      <c r="FY16" s="24">
        <v>7.8</v>
      </c>
      <c r="FZ16" s="24">
        <v>12</v>
      </c>
      <c r="GA16" s="53">
        <f t="shared" si="46"/>
        <v>445.4</v>
      </c>
      <c r="GB16" s="52">
        <v>10</v>
      </c>
      <c r="GC16" s="24">
        <v>76</v>
      </c>
      <c r="GD16" s="24">
        <v>25.2</v>
      </c>
      <c r="GE16" s="24">
        <v>129.80000000000001</v>
      </c>
      <c r="GF16" s="24">
        <v>136.30000000000001</v>
      </c>
      <c r="GG16" s="24">
        <v>4.5</v>
      </c>
      <c r="GH16" s="24">
        <v>15.9</v>
      </c>
      <c r="GI16" s="24">
        <v>72.8</v>
      </c>
      <c r="GJ16" s="24">
        <v>22.3</v>
      </c>
      <c r="GK16" s="24">
        <v>3.3</v>
      </c>
      <c r="GL16" s="24">
        <v>3.3</v>
      </c>
      <c r="GM16" s="23">
        <v>35.700000000000003</v>
      </c>
      <c r="GN16" s="23">
        <f t="shared" si="48"/>
        <v>535.1</v>
      </c>
      <c r="GO16" s="24">
        <v>0</v>
      </c>
      <c r="GP16" s="24">
        <v>0</v>
      </c>
      <c r="GQ16" s="24">
        <v>0</v>
      </c>
      <c r="GR16" s="24">
        <v>56.4</v>
      </c>
      <c r="GS16" s="24">
        <v>67.5</v>
      </c>
      <c r="GT16" s="24">
        <v>31.6</v>
      </c>
      <c r="GU16" s="24">
        <v>22.6</v>
      </c>
      <c r="GV16" s="24">
        <v>50.4</v>
      </c>
      <c r="GW16" s="24">
        <v>396.3</v>
      </c>
      <c r="GX16" s="24">
        <v>5.9</v>
      </c>
      <c r="GY16" s="24">
        <v>16.399999999999999</v>
      </c>
      <c r="GZ16" s="24">
        <v>179.6</v>
      </c>
      <c r="HA16" s="242">
        <f t="shared" si="50"/>
        <v>826.69999999999993</v>
      </c>
      <c r="HB16" s="52">
        <v>134.80000000000001</v>
      </c>
      <c r="HC16" s="24">
        <v>8.5</v>
      </c>
      <c r="HD16" s="24">
        <v>4</v>
      </c>
      <c r="HE16" s="24">
        <v>0</v>
      </c>
      <c r="HF16" s="24">
        <v>0.4</v>
      </c>
      <c r="HG16" s="24">
        <v>0.4</v>
      </c>
      <c r="HH16" s="24">
        <v>30.1</v>
      </c>
      <c r="HI16" s="24">
        <v>35.5</v>
      </c>
      <c r="HJ16" s="24">
        <v>68.5</v>
      </c>
      <c r="HK16" s="24">
        <v>0.8</v>
      </c>
      <c r="HL16" s="246">
        <v>42.6</v>
      </c>
      <c r="HM16" s="246">
        <v>28.4</v>
      </c>
      <c r="HN16" s="247">
        <f t="shared" si="52"/>
        <v>354.00000000000006</v>
      </c>
      <c r="HO16" s="248">
        <v>1.8</v>
      </c>
      <c r="HP16" s="246">
        <v>15.3</v>
      </c>
      <c r="HQ16" s="246">
        <v>11.2</v>
      </c>
      <c r="HR16" s="246">
        <v>15.7</v>
      </c>
      <c r="HS16" s="249">
        <v>0.1</v>
      </c>
      <c r="HT16" s="249">
        <v>0.1</v>
      </c>
      <c r="HU16" s="249">
        <v>3.8440100000000004</v>
      </c>
      <c r="HV16" s="249">
        <v>12.391990000000002</v>
      </c>
      <c r="HW16" s="249">
        <v>0</v>
      </c>
      <c r="HX16" s="249">
        <v>7.6159099999999995</v>
      </c>
      <c r="HY16" s="249">
        <v>238.11267000000001</v>
      </c>
      <c r="HZ16" s="250">
        <v>0</v>
      </c>
      <c r="IA16" s="250">
        <f t="shared" si="54"/>
        <v>306.16458</v>
      </c>
      <c r="IB16" s="251">
        <v>0</v>
      </c>
      <c r="IC16" s="249">
        <v>0</v>
      </c>
      <c r="ID16" s="249">
        <v>64.201999999999998</v>
      </c>
      <c r="IE16" s="249">
        <v>94.855050000000006</v>
      </c>
      <c r="IF16" s="249">
        <v>179.13104999999999</v>
      </c>
      <c r="IG16" s="249">
        <v>88.022019999999998</v>
      </c>
      <c r="IH16" s="249">
        <v>14.643000000000001</v>
      </c>
      <c r="II16" s="249">
        <v>137.48899000000003</v>
      </c>
      <c r="IJ16" s="249">
        <v>44.51503000000001</v>
      </c>
      <c r="IK16" s="249">
        <v>0.48401</v>
      </c>
      <c r="IL16" s="252">
        <v>53.837029999999992</v>
      </c>
      <c r="IM16" s="252">
        <v>16.061990000000002</v>
      </c>
      <c r="IN16" s="253">
        <f t="shared" si="81"/>
        <v>693.24017000000015</v>
      </c>
      <c r="IO16" s="251">
        <v>16.165010000000002</v>
      </c>
      <c r="IP16" s="249">
        <v>4.4420000000000011</v>
      </c>
      <c r="IQ16" s="249">
        <v>55.087069999999997</v>
      </c>
      <c r="IR16" s="249">
        <v>0</v>
      </c>
      <c r="IS16" s="249">
        <v>91.41801000000001</v>
      </c>
      <c r="IT16" s="249">
        <v>93.268029999999996</v>
      </c>
      <c r="IU16" s="249">
        <v>0</v>
      </c>
      <c r="IV16" s="249">
        <v>12.161020000000001</v>
      </c>
      <c r="IW16" s="249">
        <v>0.52299999999999991</v>
      </c>
      <c r="IX16" s="249">
        <v>109.06900999999998</v>
      </c>
      <c r="IY16" s="249">
        <v>33.530019999999993</v>
      </c>
      <c r="IZ16" s="250">
        <v>147.15820000000005</v>
      </c>
      <c r="JA16" s="250">
        <f t="shared" si="56"/>
        <v>562.82137000000012</v>
      </c>
      <c r="JB16" s="249">
        <v>126.79704</v>
      </c>
      <c r="JC16" s="249">
        <v>76.750010000000003</v>
      </c>
      <c r="JD16" s="249">
        <v>109.88402000000001</v>
      </c>
      <c r="JE16" s="249">
        <v>97.738009999999989</v>
      </c>
      <c r="JF16" s="249">
        <v>15.98502</v>
      </c>
      <c r="JG16" s="249">
        <v>30.743989999999997</v>
      </c>
      <c r="JH16" s="249">
        <v>27.634990000000002</v>
      </c>
      <c r="JI16" s="249">
        <v>9.7990200000000005</v>
      </c>
      <c r="JJ16" s="249">
        <v>6.7599900000000002</v>
      </c>
      <c r="JK16" s="249">
        <v>12.37602</v>
      </c>
      <c r="JL16" s="249">
        <v>7.9690200000000013</v>
      </c>
      <c r="JM16" s="250">
        <v>47.334040000000002</v>
      </c>
      <c r="JN16" s="250">
        <f t="shared" si="57"/>
        <v>569.77116999999998</v>
      </c>
      <c r="JO16" s="251">
        <v>20.72006</v>
      </c>
      <c r="JP16" s="249">
        <v>8.1360399999999995</v>
      </c>
      <c r="JQ16" s="249">
        <v>31.022010000000005</v>
      </c>
      <c r="JR16" s="249">
        <v>126.47099999999999</v>
      </c>
      <c r="JS16" s="249">
        <v>133.57406</v>
      </c>
      <c r="JT16" s="249">
        <v>66.528999999999996</v>
      </c>
      <c r="JU16" s="249">
        <v>108.79600999999998</v>
      </c>
      <c r="JV16" s="249">
        <v>99.744989999999987</v>
      </c>
      <c r="JW16" s="249">
        <v>74.18704000000001</v>
      </c>
      <c r="JX16" s="249">
        <v>71.44802</v>
      </c>
      <c r="JY16" s="249">
        <v>212.47001</v>
      </c>
      <c r="JZ16" s="249">
        <v>10.789010000000005</v>
      </c>
      <c r="KA16" s="253">
        <f t="shared" si="58"/>
        <v>963.88724999999999</v>
      </c>
      <c r="KB16" s="1604">
        <v>0</v>
      </c>
      <c r="KC16" s="1605">
        <v>0</v>
      </c>
      <c r="KD16">
        <v>171.37701999999999</v>
      </c>
      <c r="KE16">
        <v>362.56408000000005</v>
      </c>
      <c r="KF16">
        <v>10.770989999999999</v>
      </c>
      <c r="KG16">
        <v>58.928049999999999</v>
      </c>
      <c r="KH16">
        <v>63.575030000000005</v>
      </c>
      <c r="KI16">
        <v>139.20602000000002</v>
      </c>
      <c r="KN16" s="1330">
        <f t="shared" si="59"/>
        <v>806.42119000000002</v>
      </c>
      <c r="KP16" s="22">
        <f t="shared" si="60"/>
        <v>39.561916844144292</v>
      </c>
      <c r="KQ16" s="858">
        <f t="shared" si="61"/>
        <v>35.534528908962116</v>
      </c>
      <c r="KR16" s="53">
        <f t="shared" si="62"/>
        <v>594.99316999999996</v>
      </c>
      <c r="KS16" s="53">
        <f t="shared" si="63"/>
        <v>806.42119000000002</v>
      </c>
      <c r="KT16" s="24"/>
    </row>
    <row r="17" spans="1:307" ht="13.9" customHeight="1" x14ac:dyDescent="0.2">
      <c r="A17" s="238" t="s">
        <v>454</v>
      </c>
      <c r="B17" s="52">
        <v>139</v>
      </c>
      <c r="C17" s="24">
        <v>116</v>
      </c>
      <c r="D17" s="24">
        <v>44</v>
      </c>
      <c r="E17" s="24">
        <v>101</v>
      </c>
      <c r="F17" s="24">
        <v>164</v>
      </c>
      <c r="G17" s="24">
        <v>95</v>
      </c>
      <c r="H17" s="24">
        <v>142</v>
      </c>
      <c r="I17" s="24">
        <v>60</v>
      </c>
      <c r="J17" s="24">
        <v>114</v>
      </c>
      <c r="K17" s="24">
        <v>55</v>
      </c>
      <c r="L17" s="24">
        <v>241</v>
      </c>
      <c r="M17" s="23">
        <v>48</v>
      </c>
      <c r="N17" s="234">
        <f t="shared" si="21"/>
        <v>1319</v>
      </c>
      <c r="O17" s="47">
        <v>0.1</v>
      </c>
      <c r="P17" s="47">
        <v>0.1</v>
      </c>
      <c r="Q17" s="47">
        <v>0.1</v>
      </c>
      <c r="R17" s="47">
        <v>0.1</v>
      </c>
      <c r="S17" s="47">
        <v>0.1</v>
      </c>
      <c r="T17" s="47">
        <v>0.2</v>
      </c>
      <c r="U17" s="47">
        <v>0.1</v>
      </c>
      <c r="V17" s="47">
        <v>0.1</v>
      </c>
      <c r="W17" s="47">
        <v>0.1</v>
      </c>
      <c r="X17" s="47">
        <v>0.1</v>
      </c>
      <c r="Y17" s="47">
        <v>0.1</v>
      </c>
      <c r="Z17" s="47">
        <v>0.1</v>
      </c>
      <c r="AA17" s="234">
        <f t="shared" si="22"/>
        <v>1.3</v>
      </c>
      <c r="AB17" s="239">
        <v>0</v>
      </c>
      <c r="AC17" s="60">
        <v>0</v>
      </c>
      <c r="AD17" s="60">
        <v>1</v>
      </c>
      <c r="AE17" s="240">
        <v>0</v>
      </c>
      <c r="AF17" s="240">
        <v>0</v>
      </c>
      <c r="AG17" s="240">
        <v>0</v>
      </c>
      <c r="AH17" s="240">
        <v>0</v>
      </c>
      <c r="AI17" s="240">
        <v>0</v>
      </c>
      <c r="AJ17" s="240">
        <v>0</v>
      </c>
      <c r="AK17" s="240">
        <v>0</v>
      </c>
      <c r="AL17" s="240">
        <v>0</v>
      </c>
      <c r="AM17" s="240">
        <v>0</v>
      </c>
      <c r="AN17" s="234">
        <f t="shared" si="24"/>
        <v>1</v>
      </c>
      <c r="AO17" s="241">
        <v>0</v>
      </c>
      <c r="AP17" s="240">
        <v>0</v>
      </c>
      <c r="AQ17" s="240">
        <v>0</v>
      </c>
      <c r="AR17" s="240">
        <v>0</v>
      </c>
      <c r="AS17" s="240">
        <v>0</v>
      </c>
      <c r="AT17" s="240">
        <v>0</v>
      </c>
      <c r="AU17" s="240">
        <v>0</v>
      </c>
      <c r="AV17" s="240">
        <v>0</v>
      </c>
      <c r="AW17" s="240">
        <v>0</v>
      </c>
      <c r="AX17" s="240">
        <v>0</v>
      </c>
      <c r="AY17" s="240">
        <v>0</v>
      </c>
      <c r="AZ17" s="240">
        <v>0</v>
      </c>
      <c r="BA17" s="234">
        <f t="shared" si="26"/>
        <v>0</v>
      </c>
      <c r="BB17" s="240">
        <v>0</v>
      </c>
      <c r="BC17" s="240">
        <v>0</v>
      </c>
      <c r="BD17" s="240">
        <v>1</v>
      </c>
      <c r="BE17" s="240">
        <v>0</v>
      </c>
      <c r="BF17" s="240">
        <v>0</v>
      </c>
      <c r="BG17" s="240">
        <v>0</v>
      </c>
      <c r="BH17" s="240">
        <v>0</v>
      </c>
      <c r="BI17" s="240">
        <v>0</v>
      </c>
      <c r="BJ17" s="240">
        <v>0</v>
      </c>
      <c r="BK17" s="240">
        <v>0</v>
      </c>
      <c r="BL17" s="240">
        <v>0</v>
      </c>
      <c r="BM17" s="240">
        <v>0</v>
      </c>
      <c r="BN17" s="242">
        <f t="shared" si="28"/>
        <v>1</v>
      </c>
      <c r="BO17" s="241">
        <v>0</v>
      </c>
      <c r="BP17" s="240">
        <v>39</v>
      </c>
      <c r="BQ17" s="240">
        <v>12</v>
      </c>
      <c r="BR17" s="240">
        <v>0</v>
      </c>
      <c r="BS17" s="240">
        <v>0</v>
      </c>
      <c r="BT17" s="240">
        <v>0</v>
      </c>
      <c r="BU17" s="240">
        <v>0</v>
      </c>
      <c r="BV17" s="240">
        <v>0</v>
      </c>
      <c r="BW17" s="240">
        <v>0</v>
      </c>
      <c r="BX17" s="240">
        <v>0</v>
      </c>
      <c r="BY17" s="240">
        <v>0</v>
      </c>
      <c r="BZ17" s="240">
        <v>0</v>
      </c>
      <c r="CA17" s="242">
        <f t="shared" si="30"/>
        <v>51</v>
      </c>
      <c r="CB17" s="240">
        <v>0</v>
      </c>
      <c r="CC17" s="240">
        <v>0</v>
      </c>
      <c r="CD17" s="240">
        <v>0</v>
      </c>
      <c r="CE17" s="240">
        <v>0</v>
      </c>
      <c r="CF17" s="240">
        <v>0</v>
      </c>
      <c r="CG17" s="240">
        <v>0</v>
      </c>
      <c r="CH17" s="240">
        <v>0</v>
      </c>
      <c r="CI17" s="240">
        <v>0</v>
      </c>
      <c r="CJ17" s="240">
        <v>0</v>
      </c>
      <c r="CK17" s="240">
        <v>0</v>
      </c>
      <c r="CL17" s="240">
        <v>0</v>
      </c>
      <c r="CM17" s="240">
        <v>0</v>
      </c>
      <c r="CN17" s="242">
        <f t="shared" si="32"/>
        <v>0</v>
      </c>
      <c r="CO17" s="241">
        <v>0</v>
      </c>
      <c r="CP17" s="240">
        <v>0</v>
      </c>
      <c r="CQ17" s="240">
        <v>0</v>
      </c>
      <c r="CR17" s="240">
        <v>3</v>
      </c>
      <c r="CS17" s="240">
        <v>0</v>
      </c>
      <c r="CT17" s="240">
        <v>0</v>
      </c>
      <c r="CU17" s="240">
        <v>0</v>
      </c>
      <c r="CV17" s="240">
        <v>0</v>
      </c>
      <c r="CW17" s="240">
        <v>0</v>
      </c>
      <c r="CX17" s="240">
        <v>0</v>
      </c>
      <c r="CY17" s="240">
        <v>0</v>
      </c>
      <c r="CZ17" s="240">
        <v>0</v>
      </c>
      <c r="DA17" s="242">
        <f t="shared" si="34"/>
        <v>3</v>
      </c>
      <c r="DB17" s="240">
        <v>0</v>
      </c>
      <c r="DC17" s="240">
        <v>0</v>
      </c>
      <c r="DD17" s="240">
        <v>0</v>
      </c>
      <c r="DE17" s="240">
        <v>0</v>
      </c>
      <c r="DF17" s="240">
        <v>0</v>
      </c>
      <c r="DG17" s="240">
        <v>0</v>
      </c>
      <c r="DH17" s="240">
        <v>1</v>
      </c>
      <c r="DI17" s="240">
        <v>0</v>
      </c>
      <c r="DJ17" s="240">
        <v>0</v>
      </c>
      <c r="DK17" s="240">
        <v>0</v>
      </c>
      <c r="DL17" s="240">
        <v>0</v>
      </c>
      <c r="DM17" s="240">
        <v>0</v>
      </c>
      <c r="DN17" s="242">
        <f t="shared" si="36"/>
        <v>1</v>
      </c>
      <c r="DO17" s="241">
        <v>0</v>
      </c>
      <c r="DP17" s="240">
        <v>0</v>
      </c>
      <c r="DQ17" s="240">
        <v>6.7</v>
      </c>
      <c r="DR17" s="240">
        <v>0</v>
      </c>
      <c r="DS17" s="240">
        <v>0</v>
      </c>
      <c r="DT17" s="240">
        <v>0.4</v>
      </c>
      <c r="DU17" s="240">
        <v>0</v>
      </c>
      <c r="DV17" s="240">
        <v>0</v>
      </c>
      <c r="DW17" s="240">
        <v>0</v>
      </c>
      <c r="DX17" s="240">
        <v>0.1</v>
      </c>
      <c r="DY17" s="1">
        <v>0.4</v>
      </c>
      <c r="DZ17" s="1">
        <v>0.5</v>
      </c>
      <c r="EA17" s="242">
        <f t="shared" si="38"/>
        <v>8.1000000000000014</v>
      </c>
      <c r="EB17" s="49">
        <v>0.7</v>
      </c>
      <c r="EC17" s="1">
        <v>7.1</v>
      </c>
      <c r="ED17" s="1">
        <v>14.5</v>
      </c>
      <c r="EE17" s="1">
        <v>12</v>
      </c>
      <c r="EF17" s="1">
        <v>8.4</v>
      </c>
      <c r="EG17" s="1">
        <v>7.9</v>
      </c>
      <c r="EH17" s="1">
        <v>10.5</v>
      </c>
      <c r="EI17" s="1">
        <v>5</v>
      </c>
      <c r="EJ17" s="1">
        <v>8.4</v>
      </c>
      <c r="EK17" s="1">
        <v>9.4</v>
      </c>
      <c r="EL17" s="1">
        <v>13.946999999999999</v>
      </c>
      <c r="EM17" s="1">
        <v>9.1279900000000005</v>
      </c>
      <c r="EN17" s="8">
        <f t="shared" si="40"/>
        <v>106.97499000000001</v>
      </c>
      <c r="EO17" s="1">
        <v>7.0119899999999999</v>
      </c>
      <c r="EP17" s="1">
        <v>7.1</v>
      </c>
      <c r="EQ17" s="1">
        <v>4</v>
      </c>
      <c r="ER17" s="1">
        <v>5</v>
      </c>
      <c r="ES17" s="1">
        <v>5.2</v>
      </c>
      <c r="ET17" s="1">
        <v>4</v>
      </c>
      <c r="EU17" s="1">
        <v>4</v>
      </c>
      <c r="EV17" s="1">
        <v>6.3</v>
      </c>
      <c r="EW17" s="1">
        <v>6.5</v>
      </c>
      <c r="EX17" s="1">
        <v>3</v>
      </c>
      <c r="EY17" s="1">
        <v>4.5</v>
      </c>
      <c r="EZ17" s="1">
        <v>3.9</v>
      </c>
      <c r="FA17" s="8">
        <f t="shared" si="42"/>
        <v>60.51198999999999</v>
      </c>
      <c r="FB17" s="111">
        <v>6</v>
      </c>
      <c r="FC17" s="5">
        <v>3.8</v>
      </c>
      <c r="FD17" s="5">
        <v>4.9000000000000004</v>
      </c>
      <c r="FE17" s="5">
        <v>5.8</v>
      </c>
      <c r="FF17" s="5">
        <v>3</v>
      </c>
      <c r="FG17" s="5">
        <v>3</v>
      </c>
      <c r="FH17" s="5">
        <v>7.5</v>
      </c>
      <c r="FI17" s="5">
        <v>6</v>
      </c>
      <c r="FJ17" s="5">
        <v>6.3</v>
      </c>
      <c r="FK17" s="5">
        <v>3.9</v>
      </c>
      <c r="FL17" s="5">
        <v>5</v>
      </c>
      <c r="FM17" s="5">
        <v>3.6</v>
      </c>
      <c r="FN17" s="7">
        <f t="shared" si="44"/>
        <v>58.8</v>
      </c>
      <c r="FO17" s="111">
        <v>6.4</v>
      </c>
      <c r="FP17" s="5">
        <v>3</v>
      </c>
      <c r="FQ17" s="5">
        <v>3.8</v>
      </c>
      <c r="FR17" s="5">
        <v>2.1</v>
      </c>
      <c r="FS17" s="5">
        <v>2.9</v>
      </c>
      <c r="FT17" s="5">
        <v>4.8</v>
      </c>
      <c r="FU17" s="5">
        <v>4.7</v>
      </c>
      <c r="FV17" s="5">
        <v>5.4</v>
      </c>
      <c r="FW17" s="5">
        <v>4.0999999999999996</v>
      </c>
      <c r="FX17" s="5">
        <v>4</v>
      </c>
      <c r="FY17" s="5">
        <v>4.5999999999999996</v>
      </c>
      <c r="FZ17" s="5">
        <v>3</v>
      </c>
      <c r="GA17" s="7">
        <f t="shared" si="46"/>
        <v>48.800000000000004</v>
      </c>
      <c r="GB17" s="111">
        <v>5</v>
      </c>
      <c r="GC17" s="5">
        <v>3</v>
      </c>
      <c r="GD17" s="5">
        <v>3.1</v>
      </c>
      <c r="GE17" s="5">
        <v>3.8</v>
      </c>
      <c r="GF17" s="5">
        <v>3.3</v>
      </c>
      <c r="GG17" s="5">
        <v>14.1</v>
      </c>
      <c r="GH17" s="5">
        <v>3.9</v>
      </c>
      <c r="GI17" s="5">
        <v>4.3</v>
      </c>
      <c r="GJ17" s="5">
        <v>53.7</v>
      </c>
      <c r="GK17" s="5">
        <v>4.9000000000000004</v>
      </c>
      <c r="GL17" s="5">
        <v>3.9</v>
      </c>
      <c r="GM17" s="228">
        <v>19.2</v>
      </c>
      <c r="GN17" s="228">
        <f t="shared" si="48"/>
        <v>122.2</v>
      </c>
      <c r="GO17" s="5">
        <v>14.8</v>
      </c>
      <c r="GP17" s="5">
        <v>61.323020000000007</v>
      </c>
      <c r="GQ17" s="5">
        <v>21.1</v>
      </c>
      <c r="GR17" s="5">
        <v>23</v>
      </c>
      <c r="GS17" s="5">
        <v>42.2</v>
      </c>
      <c r="GT17" s="5">
        <v>20.3</v>
      </c>
      <c r="GU17" s="5">
        <v>19.399999999999999</v>
      </c>
      <c r="GV17" s="5">
        <v>21.1</v>
      </c>
      <c r="GW17" s="5">
        <v>18.399999999999999</v>
      </c>
      <c r="GX17" s="5">
        <v>80.8</v>
      </c>
      <c r="GY17" s="5">
        <v>59.5</v>
      </c>
      <c r="GZ17" s="5">
        <v>36.200000000000003</v>
      </c>
      <c r="HA17" s="242">
        <f t="shared" si="50"/>
        <v>418.12302</v>
      </c>
      <c r="HB17" s="111">
        <v>23.2</v>
      </c>
      <c r="HC17" s="5">
        <v>20.7</v>
      </c>
      <c r="HD17" s="5">
        <v>15.2</v>
      </c>
      <c r="HE17" s="5">
        <v>0.3</v>
      </c>
      <c r="HF17" s="5">
        <v>0.1</v>
      </c>
      <c r="HG17" s="5">
        <v>46.6</v>
      </c>
      <c r="HH17" s="5">
        <v>10</v>
      </c>
      <c r="HI17" s="5">
        <v>42.5</v>
      </c>
      <c r="HJ17" s="5">
        <v>9.9</v>
      </c>
      <c r="HK17" s="5">
        <v>59.6</v>
      </c>
      <c r="HL17" s="233">
        <v>19.3</v>
      </c>
      <c r="HM17" s="233">
        <v>10</v>
      </c>
      <c r="HN17" s="234">
        <f t="shared" si="52"/>
        <v>257.39999999999998</v>
      </c>
      <c r="HO17" s="235">
        <v>18.5</v>
      </c>
      <c r="HP17" s="233">
        <v>34</v>
      </c>
      <c r="HQ17" s="233">
        <v>11.2</v>
      </c>
      <c r="HR17" s="233">
        <v>12.7</v>
      </c>
      <c r="HS17" s="233">
        <v>11.3</v>
      </c>
      <c r="HT17" s="233">
        <v>13.277010000000001</v>
      </c>
      <c r="HU17" s="233">
        <v>19.058010000000003</v>
      </c>
      <c r="HV17" s="233">
        <v>13.296989999999999</v>
      </c>
      <c r="HW17" s="233">
        <v>95.54301000000001</v>
      </c>
      <c r="HX17" s="233">
        <v>12.723990000000001</v>
      </c>
      <c r="HY17" s="233">
        <v>18.998999999999999</v>
      </c>
      <c r="HZ17" s="236">
        <v>14.02299</v>
      </c>
      <c r="IA17" s="236">
        <f t="shared" si="54"/>
        <v>274.62100000000004</v>
      </c>
      <c r="IB17" s="235">
        <v>16.623999999999999</v>
      </c>
      <c r="IC17" s="233">
        <v>17.820979999999999</v>
      </c>
      <c r="ID17" s="233">
        <v>12.02801</v>
      </c>
      <c r="IE17" s="233">
        <v>133.37798999999998</v>
      </c>
      <c r="IF17" s="233">
        <v>17.124030000000001</v>
      </c>
      <c r="IG17" s="233">
        <v>22.006030000000003</v>
      </c>
      <c r="IH17" s="233">
        <v>14.25698</v>
      </c>
      <c r="II17" s="233">
        <v>25.345999999999997</v>
      </c>
      <c r="IJ17" s="233">
        <v>31.280999999999999</v>
      </c>
      <c r="IK17" s="233">
        <v>21.558990000000001</v>
      </c>
      <c r="IL17" s="237">
        <v>26.988000000000003</v>
      </c>
      <c r="IM17" s="237">
        <v>72.44</v>
      </c>
      <c r="IN17" s="234">
        <f t="shared" si="81"/>
        <v>410.85201000000001</v>
      </c>
      <c r="IO17" s="235">
        <v>52.925950000000007</v>
      </c>
      <c r="IP17" s="233">
        <v>17.718990000000005</v>
      </c>
      <c r="IQ17" s="233">
        <v>15.621969999999999</v>
      </c>
      <c r="IR17" s="233">
        <v>70.837990000000005</v>
      </c>
      <c r="IS17" s="233">
        <v>67.124960000000002</v>
      </c>
      <c r="IT17" s="233">
        <v>20.471980000000002</v>
      </c>
      <c r="IU17" s="233">
        <v>27.67896</v>
      </c>
      <c r="IV17" s="233">
        <v>81.590999999999994</v>
      </c>
      <c r="IW17" s="233">
        <v>37.283979999999993</v>
      </c>
      <c r="IX17" s="233">
        <v>25.416989999999998</v>
      </c>
      <c r="IY17" s="233">
        <v>20.684989999999999</v>
      </c>
      <c r="IZ17" s="236">
        <v>21.659000000000002</v>
      </c>
      <c r="JA17" s="236">
        <f t="shared" si="56"/>
        <v>459.01675999999998</v>
      </c>
      <c r="JB17" s="233">
        <v>26.08501</v>
      </c>
      <c r="JC17" s="233">
        <v>24.463009999999997</v>
      </c>
      <c r="JD17" s="233">
        <v>51.16299999999999</v>
      </c>
      <c r="JE17" s="233">
        <v>61.936990000000009</v>
      </c>
      <c r="JF17" s="233">
        <v>27.638000000000002</v>
      </c>
      <c r="JG17" s="233">
        <v>58.271039999999999</v>
      </c>
      <c r="JH17" s="233">
        <v>36.319990000000004</v>
      </c>
      <c r="JI17" s="233">
        <v>52.404000000000003</v>
      </c>
      <c r="JJ17" s="233">
        <v>110.65999000000001</v>
      </c>
      <c r="JK17" s="233">
        <v>51.586019999999998</v>
      </c>
      <c r="JL17" s="233">
        <v>54.473009999999995</v>
      </c>
      <c r="JM17" s="236">
        <v>76.725009999999997</v>
      </c>
      <c r="JN17" s="236">
        <f t="shared" si="57"/>
        <v>631.72507000000007</v>
      </c>
      <c r="JO17" s="235">
        <v>107.86602000000001</v>
      </c>
      <c r="JP17" s="233">
        <v>39.994990000000001</v>
      </c>
      <c r="JQ17" s="233">
        <v>65.774050000000003</v>
      </c>
      <c r="JR17" s="233">
        <v>65.183009999999996</v>
      </c>
      <c r="JS17" s="233">
        <v>59.811</v>
      </c>
      <c r="JT17" s="233">
        <v>53.971989999999998</v>
      </c>
      <c r="JU17" s="233">
        <v>114.49798999999999</v>
      </c>
      <c r="JV17" s="233">
        <v>85.308040000000005</v>
      </c>
      <c r="JW17" s="233">
        <v>106.54498999999998</v>
      </c>
      <c r="JX17" s="233">
        <v>103.90200999999999</v>
      </c>
      <c r="JY17" s="233">
        <v>78.401990000000012</v>
      </c>
      <c r="JZ17" s="233">
        <v>55.1</v>
      </c>
      <c r="KA17" s="234">
        <f t="shared" si="58"/>
        <v>936.35608000000013</v>
      </c>
      <c r="KB17" s="1604">
        <v>56.90699</v>
      </c>
      <c r="KC17" s="1605">
        <v>139.03201000000001</v>
      </c>
      <c r="KD17">
        <v>53.606999999999999</v>
      </c>
      <c r="KE17">
        <v>43.939009999999996</v>
      </c>
      <c r="KF17">
        <v>98.634</v>
      </c>
      <c r="KG17">
        <v>101.40402</v>
      </c>
      <c r="KH17">
        <v>109.83399</v>
      </c>
      <c r="KI17">
        <v>33.523009999999992</v>
      </c>
      <c r="KN17" s="1330">
        <f t="shared" si="59"/>
        <v>636.88003000000003</v>
      </c>
      <c r="KP17" s="22">
        <f t="shared" si="60"/>
        <v>-60.70357495026262</v>
      </c>
      <c r="KQ17" s="858">
        <f t="shared" si="61"/>
        <v>7.5071586330946793</v>
      </c>
      <c r="KR17" s="53">
        <f t="shared" si="62"/>
        <v>592.40709000000004</v>
      </c>
      <c r="KS17" s="53">
        <f t="shared" si="63"/>
        <v>636.88003000000003</v>
      </c>
      <c r="KT17" s="24"/>
    </row>
    <row r="18" spans="1:307" ht="13.9" customHeight="1" x14ac:dyDescent="0.2">
      <c r="A18" s="238" t="s">
        <v>455</v>
      </c>
      <c r="B18" s="52">
        <v>281</v>
      </c>
      <c r="C18" s="24">
        <v>318</v>
      </c>
      <c r="D18" s="24">
        <v>354</v>
      </c>
      <c r="E18" s="24">
        <v>325</v>
      </c>
      <c r="F18" s="24">
        <v>313</v>
      </c>
      <c r="G18" s="24">
        <v>241</v>
      </c>
      <c r="H18" s="24">
        <v>197</v>
      </c>
      <c r="I18" s="24">
        <v>315</v>
      </c>
      <c r="J18" s="24">
        <v>326</v>
      </c>
      <c r="K18" s="24">
        <v>285</v>
      </c>
      <c r="L18" s="24">
        <v>311</v>
      </c>
      <c r="M18" s="23">
        <v>299</v>
      </c>
      <c r="N18" s="7">
        <f t="shared" si="21"/>
        <v>3565</v>
      </c>
      <c r="O18" s="24">
        <v>230</v>
      </c>
      <c r="P18" s="24">
        <v>241</v>
      </c>
      <c r="Q18" s="24">
        <v>267</v>
      </c>
      <c r="R18" s="24">
        <v>407</v>
      </c>
      <c r="S18" s="60">
        <v>434</v>
      </c>
      <c r="T18" s="60">
        <v>504</v>
      </c>
      <c r="U18" s="60">
        <v>387</v>
      </c>
      <c r="V18" s="60">
        <v>393</v>
      </c>
      <c r="W18" s="60">
        <v>423</v>
      </c>
      <c r="X18" s="60">
        <v>382</v>
      </c>
      <c r="Y18" s="60">
        <v>406</v>
      </c>
      <c r="Z18" s="60">
        <v>422</v>
      </c>
      <c r="AA18" s="7">
        <f t="shared" si="22"/>
        <v>4496</v>
      </c>
      <c r="AB18" s="239">
        <v>284</v>
      </c>
      <c r="AC18" s="60">
        <v>233</v>
      </c>
      <c r="AD18" s="60">
        <v>296</v>
      </c>
      <c r="AE18" s="240">
        <v>555</v>
      </c>
      <c r="AF18" s="240">
        <v>471</v>
      </c>
      <c r="AG18" s="240">
        <v>404</v>
      </c>
      <c r="AH18" s="240">
        <v>440</v>
      </c>
      <c r="AI18" s="240">
        <v>451</v>
      </c>
      <c r="AJ18" s="240">
        <v>458</v>
      </c>
      <c r="AK18" s="240">
        <v>472</v>
      </c>
      <c r="AL18" s="240">
        <v>450</v>
      </c>
      <c r="AM18" s="240">
        <v>438</v>
      </c>
      <c r="AN18" s="7">
        <f t="shared" si="24"/>
        <v>4952</v>
      </c>
      <c r="AO18" s="241">
        <v>321</v>
      </c>
      <c r="AP18" s="240">
        <v>243</v>
      </c>
      <c r="AQ18" s="240">
        <v>268</v>
      </c>
      <c r="AR18" s="240">
        <v>606</v>
      </c>
      <c r="AS18" s="240">
        <v>478</v>
      </c>
      <c r="AT18" s="240">
        <v>447</v>
      </c>
      <c r="AU18" s="240">
        <v>507</v>
      </c>
      <c r="AV18" s="240">
        <v>574</v>
      </c>
      <c r="AW18" s="240">
        <v>580</v>
      </c>
      <c r="AX18" s="240">
        <v>588</v>
      </c>
      <c r="AY18" s="240">
        <v>567</v>
      </c>
      <c r="AZ18" s="240">
        <v>580</v>
      </c>
      <c r="BA18" s="7">
        <f t="shared" si="26"/>
        <v>5759</v>
      </c>
      <c r="BB18" s="240">
        <v>370</v>
      </c>
      <c r="BC18" s="240">
        <v>346</v>
      </c>
      <c r="BD18" s="240">
        <v>297</v>
      </c>
      <c r="BE18" s="240">
        <v>1031</v>
      </c>
      <c r="BF18" s="240">
        <f>498-(4+2+9)</f>
        <v>483</v>
      </c>
      <c r="BG18" s="240">
        <v>437</v>
      </c>
      <c r="BH18" s="240">
        <v>604</v>
      </c>
      <c r="BI18" s="240">
        <v>487</v>
      </c>
      <c r="BJ18" s="240">
        <v>522</v>
      </c>
      <c r="BK18" s="240">
        <v>551</v>
      </c>
      <c r="BL18" s="240">
        <v>526</v>
      </c>
      <c r="BM18" s="240">
        <v>635</v>
      </c>
      <c r="BN18" s="242">
        <f t="shared" si="28"/>
        <v>6289</v>
      </c>
      <c r="BO18" s="241">
        <v>485</v>
      </c>
      <c r="BP18" s="240">
        <v>490</v>
      </c>
      <c r="BQ18" s="240">
        <v>585</v>
      </c>
      <c r="BR18" s="240">
        <v>1280</v>
      </c>
      <c r="BS18" s="240">
        <v>702</v>
      </c>
      <c r="BT18" s="240">
        <v>609</v>
      </c>
      <c r="BU18" s="240">
        <v>717</v>
      </c>
      <c r="BV18" s="240">
        <v>757</v>
      </c>
      <c r="BW18" s="240">
        <v>769</v>
      </c>
      <c r="BX18" s="240">
        <v>851</v>
      </c>
      <c r="BY18" s="240">
        <v>747</v>
      </c>
      <c r="BZ18" s="240">
        <v>769</v>
      </c>
      <c r="CA18" s="242">
        <f t="shared" si="30"/>
        <v>8761</v>
      </c>
      <c r="CB18" s="240">
        <v>529</v>
      </c>
      <c r="CC18" s="240">
        <v>572</v>
      </c>
      <c r="CD18" s="240">
        <v>575</v>
      </c>
      <c r="CE18" s="240">
        <v>1302</v>
      </c>
      <c r="CF18" s="240">
        <v>747</v>
      </c>
      <c r="CG18" s="240">
        <v>707</v>
      </c>
      <c r="CH18" s="240">
        <v>767</v>
      </c>
      <c r="CI18" s="240">
        <v>725</v>
      </c>
      <c r="CJ18" s="240">
        <v>761</v>
      </c>
      <c r="CK18" s="240">
        <v>742</v>
      </c>
      <c r="CL18" s="240">
        <v>761</v>
      </c>
      <c r="CM18" s="240">
        <v>787</v>
      </c>
      <c r="CN18" s="242">
        <f t="shared" si="32"/>
        <v>8975</v>
      </c>
      <c r="CO18" s="241">
        <v>510</v>
      </c>
      <c r="CP18" s="240">
        <v>496</v>
      </c>
      <c r="CQ18" s="240">
        <v>572</v>
      </c>
      <c r="CR18" s="240">
        <v>1398</v>
      </c>
      <c r="CS18" s="240">
        <v>744</v>
      </c>
      <c r="CT18" s="240">
        <v>675</v>
      </c>
      <c r="CU18" s="240">
        <v>754</v>
      </c>
      <c r="CV18" s="240">
        <v>802</v>
      </c>
      <c r="CW18" s="240">
        <v>826</v>
      </c>
      <c r="CX18" s="240">
        <v>800</v>
      </c>
      <c r="CY18" s="240">
        <v>854</v>
      </c>
      <c r="CZ18" s="240">
        <v>807</v>
      </c>
      <c r="DA18" s="242">
        <f t="shared" si="34"/>
        <v>9238</v>
      </c>
      <c r="DB18" s="240">
        <v>609</v>
      </c>
      <c r="DC18" s="240">
        <v>605</v>
      </c>
      <c r="DD18" s="240">
        <v>727</v>
      </c>
      <c r="DE18" s="240">
        <v>2162</v>
      </c>
      <c r="DF18" s="240">
        <v>1093</v>
      </c>
      <c r="DG18" s="240">
        <v>950</v>
      </c>
      <c r="DH18" s="240">
        <v>1073</v>
      </c>
      <c r="DI18" s="240">
        <v>1063</v>
      </c>
      <c r="DJ18" s="240">
        <v>1157</v>
      </c>
      <c r="DK18" s="240">
        <v>1170</v>
      </c>
      <c r="DL18" s="240">
        <v>1237</v>
      </c>
      <c r="DM18" s="240">
        <v>1038</v>
      </c>
      <c r="DN18" s="242">
        <f t="shared" si="36"/>
        <v>12884</v>
      </c>
      <c r="DO18" s="241">
        <v>1001.5</v>
      </c>
      <c r="DP18" s="240">
        <v>729.9</v>
      </c>
      <c r="DQ18" s="240">
        <v>775.59999999999991</v>
      </c>
      <c r="DR18" s="240">
        <v>2934.2000000000003</v>
      </c>
      <c r="DS18" s="240">
        <v>1342.1200000000001</v>
      </c>
      <c r="DT18" s="240">
        <v>1144.8000000000002</v>
      </c>
      <c r="DU18" s="240">
        <v>1399.5</v>
      </c>
      <c r="DV18" s="240">
        <v>1413.4</v>
      </c>
      <c r="DW18" s="240">
        <v>1515.9</v>
      </c>
      <c r="DX18" s="240">
        <v>1522.8999999999999</v>
      </c>
      <c r="DY18" s="1">
        <v>1422.7</v>
      </c>
      <c r="DZ18" s="1">
        <v>1410.5000000000002</v>
      </c>
      <c r="EA18" s="242">
        <f t="shared" si="38"/>
        <v>16613.02</v>
      </c>
      <c r="EB18" s="49">
        <v>1035.2</v>
      </c>
      <c r="EC18" s="1">
        <v>956.9</v>
      </c>
      <c r="ED18" s="1">
        <v>890.7</v>
      </c>
      <c r="EE18" s="1">
        <v>2859.4</v>
      </c>
      <c r="EF18" s="1">
        <v>1476.5</v>
      </c>
      <c r="EG18" s="1">
        <v>1363.4</v>
      </c>
      <c r="EH18" s="1">
        <v>1657.6000000000001</v>
      </c>
      <c r="EI18" s="1">
        <v>1404.5</v>
      </c>
      <c r="EJ18" s="1">
        <v>1300.3</v>
      </c>
      <c r="EK18" s="1">
        <v>1438.5</v>
      </c>
      <c r="EL18" s="1">
        <v>1480.4714000000001</v>
      </c>
      <c r="EM18" s="1">
        <v>1357.7634500000004</v>
      </c>
      <c r="EN18" s="8">
        <f t="shared" si="40"/>
        <v>17221.234850000001</v>
      </c>
      <c r="EO18" s="1">
        <v>812.05191000000013</v>
      </c>
      <c r="EP18" s="1">
        <v>860.6</v>
      </c>
      <c r="EQ18" s="1">
        <v>807</v>
      </c>
      <c r="ER18" s="1">
        <v>2666</v>
      </c>
      <c r="ES18" s="1">
        <v>1274</v>
      </c>
      <c r="ET18" s="1">
        <v>1355</v>
      </c>
      <c r="EU18" s="1">
        <v>1615</v>
      </c>
      <c r="EV18" s="1">
        <v>1378</v>
      </c>
      <c r="EW18" s="1">
        <v>1534</v>
      </c>
      <c r="EX18" s="1">
        <v>1405</v>
      </c>
      <c r="EY18" s="1">
        <v>1413.6</v>
      </c>
      <c r="EZ18" s="1">
        <v>1595.8</v>
      </c>
      <c r="FA18" s="8">
        <f t="shared" si="42"/>
        <v>16716.051910000002</v>
      </c>
      <c r="FB18" s="111">
        <v>916</v>
      </c>
      <c r="FC18" s="5">
        <v>827.9</v>
      </c>
      <c r="FD18" s="5">
        <v>924.80000000000007</v>
      </c>
      <c r="FE18" s="5">
        <v>3100.6</v>
      </c>
      <c r="FF18" s="5">
        <v>1720.2000000000003</v>
      </c>
      <c r="FG18" s="5">
        <v>1523.1000000000004</v>
      </c>
      <c r="FH18" s="5">
        <v>1736.9999999999998</v>
      </c>
      <c r="FI18" s="5">
        <v>1811.6000000000001</v>
      </c>
      <c r="FJ18" s="5">
        <v>1705.4999999999998</v>
      </c>
      <c r="FK18" s="5">
        <v>1611.6</v>
      </c>
      <c r="FL18" s="5">
        <v>1691.4</v>
      </c>
      <c r="FM18" s="5">
        <v>1627.6</v>
      </c>
      <c r="FN18" s="7">
        <f t="shared" si="44"/>
        <v>19197.3</v>
      </c>
      <c r="FO18" s="111">
        <v>928.00000000000011</v>
      </c>
      <c r="FP18" s="5">
        <v>699.59999999999991</v>
      </c>
      <c r="FQ18" s="5">
        <v>800.6</v>
      </c>
      <c r="FR18" s="5">
        <v>2283.9</v>
      </c>
      <c r="FS18" s="5">
        <v>2166.3000000000002</v>
      </c>
      <c r="FT18" s="5">
        <v>1666.5</v>
      </c>
      <c r="FU18" s="5">
        <v>2076.3000000000002</v>
      </c>
      <c r="FV18" s="5">
        <v>2112.1</v>
      </c>
      <c r="FW18" s="5">
        <v>2100.4</v>
      </c>
      <c r="FX18" s="5">
        <v>2085.2000000000003</v>
      </c>
      <c r="FY18" s="5">
        <v>1857.7</v>
      </c>
      <c r="FZ18" s="5">
        <v>2108</v>
      </c>
      <c r="GA18" s="7">
        <f t="shared" si="46"/>
        <v>20884.600000000002</v>
      </c>
      <c r="GB18" s="111">
        <v>1093</v>
      </c>
      <c r="GC18" s="5">
        <v>1013</v>
      </c>
      <c r="GD18" s="5">
        <v>1009.9</v>
      </c>
      <c r="GE18" s="5">
        <v>3619.8999999999996</v>
      </c>
      <c r="GF18" s="5">
        <v>2257.4</v>
      </c>
      <c r="GG18" s="5">
        <v>2104.9</v>
      </c>
      <c r="GH18" s="5">
        <v>2233</v>
      </c>
      <c r="GI18" s="5">
        <v>2138.3000000000002</v>
      </c>
      <c r="GJ18" s="5">
        <v>2369.9</v>
      </c>
      <c r="GK18" s="5">
        <v>2295.6999999999998</v>
      </c>
      <c r="GL18" s="5">
        <v>2348.6999999999998</v>
      </c>
      <c r="GM18" s="228">
        <v>2165.2000000000003</v>
      </c>
      <c r="GN18" s="228">
        <f t="shared" si="48"/>
        <v>24648.9</v>
      </c>
      <c r="GO18" s="5">
        <v>1260.0999999999999</v>
      </c>
      <c r="GP18" s="5">
        <v>906.13342999999998</v>
      </c>
      <c r="GQ18" s="5">
        <v>923.80000000000007</v>
      </c>
      <c r="GR18" s="5">
        <v>3390</v>
      </c>
      <c r="GS18" s="5">
        <v>2295.6999999999998</v>
      </c>
      <c r="GT18" s="5">
        <v>2147.6999999999998</v>
      </c>
      <c r="GU18" s="5">
        <v>2656.8999999999996</v>
      </c>
      <c r="GV18" s="5">
        <v>2263.6999999999998</v>
      </c>
      <c r="GW18" s="5">
        <v>2409.2999999999997</v>
      </c>
      <c r="GX18" s="5">
        <v>2896.5</v>
      </c>
      <c r="GY18" s="5">
        <v>2446.9</v>
      </c>
      <c r="GZ18" s="5">
        <v>2538.8000000000002</v>
      </c>
      <c r="HA18" s="242">
        <f t="shared" si="50"/>
        <v>26135.533429999999</v>
      </c>
      <c r="HB18" s="111">
        <v>1293.2</v>
      </c>
      <c r="HC18" s="5">
        <v>993.7</v>
      </c>
      <c r="HD18" s="5">
        <v>743.6</v>
      </c>
      <c r="HE18" s="5">
        <v>1705</v>
      </c>
      <c r="HF18" s="5">
        <v>1273.3</v>
      </c>
      <c r="HG18" s="5">
        <v>1398.8</v>
      </c>
      <c r="HH18" s="5">
        <v>1982.7</v>
      </c>
      <c r="HI18" s="5">
        <v>2295.1</v>
      </c>
      <c r="HJ18" s="5">
        <v>2287.5</v>
      </c>
      <c r="HK18" s="5">
        <v>2371.2000000000003</v>
      </c>
      <c r="HL18" s="5">
        <v>2135.6999999999998</v>
      </c>
      <c r="HM18" s="5">
        <v>2489.1</v>
      </c>
      <c r="HN18" s="7">
        <f t="shared" si="52"/>
        <v>20968.900000000001</v>
      </c>
      <c r="HO18" s="111">
        <v>1123.6999999999998</v>
      </c>
      <c r="HP18" s="5">
        <v>2432.4</v>
      </c>
      <c r="HQ18" s="5">
        <v>1500.3</v>
      </c>
      <c r="HR18" s="5">
        <v>5078.8</v>
      </c>
      <c r="HS18" s="5">
        <v>2730.5</v>
      </c>
      <c r="HT18" s="5">
        <v>2755.8994600000005</v>
      </c>
      <c r="HU18" s="5">
        <v>2817.8561900000009</v>
      </c>
      <c r="HV18" s="5">
        <v>3110.11402</v>
      </c>
      <c r="HW18" s="5">
        <v>3199.7067700000002</v>
      </c>
      <c r="HX18" s="5">
        <v>2932.4490000000005</v>
      </c>
      <c r="HY18" s="5">
        <v>3437.4147000000007</v>
      </c>
      <c r="HZ18" s="228">
        <v>3147.7178900000008</v>
      </c>
      <c r="IA18" s="228">
        <f t="shared" si="54"/>
        <v>34266.85803000001</v>
      </c>
      <c r="IB18" s="111">
        <v>1413.2899400000003</v>
      </c>
      <c r="IC18" s="5">
        <v>1560.7788000000003</v>
      </c>
      <c r="ID18" s="5">
        <v>1680.9603700000002</v>
      </c>
      <c r="IE18" s="5">
        <v>5474.1419099999994</v>
      </c>
      <c r="IF18" s="5">
        <v>3881.2431600000004</v>
      </c>
      <c r="IG18" s="5">
        <v>3598.9701099999993</v>
      </c>
      <c r="IH18" s="5">
        <v>3646.4267600000007</v>
      </c>
      <c r="II18" s="5">
        <v>3472.7272800000001</v>
      </c>
      <c r="IJ18" s="5">
        <v>3431.1182300000009</v>
      </c>
      <c r="IK18" s="5">
        <v>3315.1937699999999</v>
      </c>
      <c r="IL18" s="79">
        <v>5145.7477699999981</v>
      </c>
      <c r="IM18" s="79">
        <v>3370.94569</v>
      </c>
      <c r="IN18" s="7">
        <f t="shared" si="81"/>
        <v>39991.543790000003</v>
      </c>
      <c r="IO18" s="111">
        <v>2305.73974</v>
      </c>
      <c r="IP18" s="5">
        <v>1545.6530000000007</v>
      </c>
      <c r="IQ18" s="5">
        <v>1811.52277</v>
      </c>
      <c r="IR18" s="5">
        <v>5373.2786399999995</v>
      </c>
      <c r="IS18" s="5">
        <v>4272.3621000000003</v>
      </c>
      <c r="IT18" s="5">
        <v>3324.2104700000004</v>
      </c>
      <c r="IU18" s="5">
        <v>3711.32636</v>
      </c>
      <c r="IV18" s="5">
        <v>4128.6524200000003</v>
      </c>
      <c r="IW18" s="5">
        <v>3909.3013799999999</v>
      </c>
      <c r="IX18" s="5">
        <v>3782.2791700000002</v>
      </c>
      <c r="IY18" s="5">
        <v>4122.0854000000008</v>
      </c>
      <c r="IZ18" s="228">
        <v>3310.2238600000001</v>
      </c>
      <c r="JA18" s="228">
        <f t="shared" si="56"/>
        <v>41596.635309999998</v>
      </c>
      <c r="JB18" s="5">
        <v>2315.9776999999999</v>
      </c>
      <c r="JC18" s="5">
        <v>1774.9156000000003</v>
      </c>
      <c r="JD18" s="5">
        <v>1697.1206499999998</v>
      </c>
      <c r="JE18" s="5">
        <v>6132.7815899999978</v>
      </c>
      <c r="JF18" s="5">
        <v>3477.6475900000005</v>
      </c>
      <c r="JG18" s="5">
        <v>3483.1238500000013</v>
      </c>
      <c r="JH18" s="5">
        <v>3994.0095200000001</v>
      </c>
      <c r="JI18" s="5">
        <v>4000.0207</v>
      </c>
      <c r="JJ18" s="5">
        <v>4066.5334100000005</v>
      </c>
      <c r="JK18" s="5">
        <v>4280.951759999999</v>
      </c>
      <c r="JL18" s="5">
        <v>6241.8629299999993</v>
      </c>
      <c r="JM18" s="228">
        <v>10740.690340000001</v>
      </c>
      <c r="JN18" s="228">
        <f t="shared" si="57"/>
        <v>52205.635639999993</v>
      </c>
      <c r="JO18" s="111">
        <v>3956.1566500000004</v>
      </c>
      <c r="JP18" s="5">
        <v>4862.5446399999992</v>
      </c>
      <c r="JQ18" s="5">
        <v>3892.1429100000009</v>
      </c>
      <c r="JR18" s="5">
        <v>7700.1110499999977</v>
      </c>
      <c r="JS18" s="5">
        <v>4414.1727900000005</v>
      </c>
      <c r="JT18" s="5">
        <v>4143.3392299999996</v>
      </c>
      <c r="JU18" s="5">
        <v>4874.4443400000009</v>
      </c>
      <c r="JV18" s="5">
        <v>4787.7280500000006</v>
      </c>
      <c r="JW18" s="5">
        <v>4859.3377800000007</v>
      </c>
      <c r="JX18" s="5">
        <v>5016.8346800000008</v>
      </c>
      <c r="JY18" s="5">
        <v>4667.1958100000002</v>
      </c>
      <c r="JZ18" s="5">
        <v>5070.8812499999995</v>
      </c>
      <c r="KA18" s="7">
        <f t="shared" si="58"/>
        <v>58244.889179999998</v>
      </c>
      <c r="KB18" s="1604">
        <v>2836.4840100000001</v>
      </c>
      <c r="KC18" s="1605">
        <v>2554.7528399999997</v>
      </c>
      <c r="KD18">
        <v>2519.6210800000003</v>
      </c>
      <c r="KE18">
        <v>7759.5364599999975</v>
      </c>
      <c r="KF18">
        <v>4601.5087399999993</v>
      </c>
      <c r="KG18">
        <v>4773.0579500000003</v>
      </c>
      <c r="KH18">
        <v>5188.6522999999997</v>
      </c>
      <c r="KI18">
        <v>5084.1676799999996</v>
      </c>
      <c r="KN18" s="1330">
        <f t="shared" si="59"/>
        <v>35317.781060000001</v>
      </c>
      <c r="KP18" s="22">
        <f t="shared" si="60"/>
        <v>6.191655559885012</v>
      </c>
      <c r="KQ18" s="858">
        <f t="shared" si="61"/>
        <v>-8.5757280468495285</v>
      </c>
      <c r="KR18" s="53">
        <f t="shared" si="62"/>
        <v>38630.639660000001</v>
      </c>
      <c r="KS18" s="53">
        <f t="shared" si="63"/>
        <v>35317.781060000001</v>
      </c>
      <c r="KT18" s="24"/>
    </row>
    <row r="19" spans="1:307" s="35" customFormat="1" ht="13.9" customHeight="1" x14ac:dyDescent="0.2">
      <c r="A19" s="219" t="s">
        <v>292</v>
      </c>
      <c r="B19" s="220">
        <v>92</v>
      </c>
      <c r="C19" s="221">
        <v>85</v>
      </c>
      <c r="D19" s="221">
        <v>132</v>
      </c>
      <c r="E19" s="221">
        <v>114</v>
      </c>
      <c r="F19" s="221">
        <v>92</v>
      </c>
      <c r="G19" s="221">
        <v>101</v>
      </c>
      <c r="H19" s="221">
        <v>238</v>
      </c>
      <c r="I19" s="221">
        <v>139</v>
      </c>
      <c r="J19" s="221">
        <v>92</v>
      </c>
      <c r="K19" s="221">
        <v>73</v>
      </c>
      <c r="L19" s="221">
        <v>733</v>
      </c>
      <c r="M19" s="28">
        <v>492</v>
      </c>
      <c r="N19" s="292">
        <f t="shared" si="21"/>
        <v>2383</v>
      </c>
      <c r="O19" s="221">
        <v>70</v>
      </c>
      <c r="P19" s="221">
        <v>63</v>
      </c>
      <c r="Q19" s="221">
        <v>56</v>
      </c>
      <c r="R19" s="221">
        <v>98</v>
      </c>
      <c r="S19" s="282">
        <v>93</v>
      </c>
      <c r="T19" s="282">
        <v>106</v>
      </c>
      <c r="U19" s="282">
        <v>86</v>
      </c>
      <c r="V19" s="282">
        <v>109</v>
      </c>
      <c r="W19" s="282">
        <v>107</v>
      </c>
      <c r="X19" s="282">
        <v>190</v>
      </c>
      <c r="Y19" s="282">
        <v>82</v>
      </c>
      <c r="Z19" s="282">
        <v>88</v>
      </c>
      <c r="AA19" s="292">
        <f t="shared" si="22"/>
        <v>1148</v>
      </c>
      <c r="AB19" s="283">
        <v>68</v>
      </c>
      <c r="AC19" s="282">
        <v>67</v>
      </c>
      <c r="AD19" s="282">
        <v>105</v>
      </c>
      <c r="AE19" s="271">
        <v>84</v>
      </c>
      <c r="AF19" s="271">
        <v>82</v>
      </c>
      <c r="AG19" s="271">
        <v>89</v>
      </c>
      <c r="AH19" s="271">
        <v>123</v>
      </c>
      <c r="AI19" s="271">
        <v>92</v>
      </c>
      <c r="AJ19" s="271">
        <v>70</v>
      </c>
      <c r="AK19" s="271">
        <v>86</v>
      </c>
      <c r="AL19" s="271">
        <v>122</v>
      </c>
      <c r="AM19" s="271">
        <v>64</v>
      </c>
      <c r="AN19" s="292">
        <f t="shared" si="24"/>
        <v>1052</v>
      </c>
      <c r="AO19" s="284">
        <v>65</v>
      </c>
      <c r="AP19" s="271">
        <v>87</v>
      </c>
      <c r="AQ19" s="271">
        <v>85</v>
      </c>
      <c r="AR19" s="271">
        <v>119</v>
      </c>
      <c r="AS19" s="271">
        <v>97</v>
      </c>
      <c r="AT19" s="271">
        <v>96</v>
      </c>
      <c r="AU19" s="271">
        <v>112</v>
      </c>
      <c r="AV19" s="271">
        <v>139</v>
      </c>
      <c r="AW19" s="271">
        <v>94</v>
      </c>
      <c r="AX19" s="271">
        <v>169</v>
      </c>
      <c r="AY19" s="271">
        <v>106</v>
      </c>
      <c r="AZ19" s="271">
        <v>179</v>
      </c>
      <c r="BA19" s="292">
        <f t="shared" si="26"/>
        <v>1348</v>
      </c>
      <c r="BB19" s="271">
        <v>99</v>
      </c>
      <c r="BC19" s="271">
        <v>78</v>
      </c>
      <c r="BD19" s="271">
        <v>97</v>
      </c>
      <c r="BE19" s="271">
        <v>102</v>
      </c>
      <c r="BF19" s="271">
        <v>182</v>
      </c>
      <c r="BG19" s="271">
        <v>78</v>
      </c>
      <c r="BH19" s="271">
        <v>115</v>
      </c>
      <c r="BI19" s="271">
        <v>91</v>
      </c>
      <c r="BJ19" s="271">
        <v>117</v>
      </c>
      <c r="BK19" s="271">
        <v>67</v>
      </c>
      <c r="BL19" s="271">
        <v>120</v>
      </c>
      <c r="BM19" s="271">
        <v>139</v>
      </c>
      <c r="BN19" s="285">
        <f>SUM(BB19:BM19)</f>
        <v>1285</v>
      </c>
      <c r="BO19" s="284">
        <v>236</v>
      </c>
      <c r="BP19" s="271">
        <v>296</v>
      </c>
      <c r="BQ19" s="271">
        <v>157</v>
      </c>
      <c r="BR19" s="271">
        <v>787</v>
      </c>
      <c r="BS19" s="271">
        <v>96</v>
      </c>
      <c r="BT19" s="271">
        <v>118</v>
      </c>
      <c r="BU19" s="271">
        <v>125</v>
      </c>
      <c r="BV19" s="271">
        <v>759</v>
      </c>
      <c r="BW19" s="271">
        <v>84</v>
      </c>
      <c r="BX19" s="271">
        <v>176</v>
      </c>
      <c r="BY19" s="271">
        <v>80</v>
      </c>
      <c r="BZ19" s="271">
        <v>389</v>
      </c>
      <c r="CA19" s="285">
        <f>SUM(BO19:BZ19)</f>
        <v>3303</v>
      </c>
      <c r="CB19" s="271">
        <v>64</v>
      </c>
      <c r="CC19" s="271">
        <v>56</v>
      </c>
      <c r="CD19" s="271">
        <v>590</v>
      </c>
      <c r="CE19" s="271">
        <v>220</v>
      </c>
      <c r="CF19" s="271">
        <v>95</v>
      </c>
      <c r="CG19" s="271">
        <v>653</v>
      </c>
      <c r="CH19" s="271">
        <v>207</v>
      </c>
      <c r="CI19" s="271">
        <v>144</v>
      </c>
      <c r="CJ19" s="271">
        <v>336</v>
      </c>
      <c r="CK19" s="271">
        <v>112</v>
      </c>
      <c r="CL19" s="271">
        <v>121</v>
      </c>
      <c r="CM19" s="271">
        <v>323</v>
      </c>
      <c r="CN19" s="285">
        <f>SUM(CB19:CM19)</f>
        <v>2921</v>
      </c>
      <c r="CO19" s="284">
        <v>125</v>
      </c>
      <c r="CP19" s="271">
        <v>192</v>
      </c>
      <c r="CQ19" s="271">
        <v>203</v>
      </c>
      <c r="CR19" s="271">
        <v>370</v>
      </c>
      <c r="CS19" s="271">
        <v>647</v>
      </c>
      <c r="CT19" s="271">
        <v>300</v>
      </c>
      <c r="CU19" s="271">
        <v>161</v>
      </c>
      <c r="CV19" s="271">
        <v>512</v>
      </c>
      <c r="CW19" s="271">
        <v>260</v>
      </c>
      <c r="CX19" s="271">
        <v>1171</v>
      </c>
      <c r="CY19" s="271">
        <v>191</v>
      </c>
      <c r="CZ19" s="271">
        <v>606</v>
      </c>
      <c r="DA19" s="285">
        <f>SUM(CO19:CZ19)</f>
        <v>4738</v>
      </c>
      <c r="DB19" s="271">
        <v>687</v>
      </c>
      <c r="DC19" s="271">
        <v>332</v>
      </c>
      <c r="DD19" s="271">
        <v>401</v>
      </c>
      <c r="DE19" s="271">
        <v>354</v>
      </c>
      <c r="DF19" s="271">
        <v>1256</v>
      </c>
      <c r="DG19" s="271">
        <v>269</v>
      </c>
      <c r="DH19" s="271">
        <v>401</v>
      </c>
      <c r="DI19" s="271">
        <v>914</v>
      </c>
      <c r="DJ19" s="271">
        <v>894</v>
      </c>
      <c r="DK19" s="271">
        <v>413</v>
      </c>
      <c r="DL19" s="271">
        <v>4855</v>
      </c>
      <c r="DM19" s="271">
        <v>253</v>
      </c>
      <c r="DN19" s="285">
        <f>SUM(DB19:DM19)</f>
        <v>11029</v>
      </c>
      <c r="DO19" s="284">
        <v>778.8</v>
      </c>
      <c r="DP19" s="271">
        <v>297.89999999999998</v>
      </c>
      <c r="DQ19" s="271">
        <v>2803</v>
      </c>
      <c r="DR19" s="271">
        <v>511.5</v>
      </c>
      <c r="DS19" s="271">
        <v>845.99</v>
      </c>
      <c r="DT19" s="271">
        <v>1511.3999999999999</v>
      </c>
      <c r="DU19" s="271">
        <v>1063.8999999999999</v>
      </c>
      <c r="DV19" s="271">
        <v>680.5</v>
      </c>
      <c r="DW19" s="271">
        <v>275.8</v>
      </c>
      <c r="DX19" s="271">
        <v>897.40000000000009</v>
      </c>
      <c r="DY19" s="35">
        <v>644.59999999999991</v>
      </c>
      <c r="DZ19" s="35">
        <v>2030.1</v>
      </c>
      <c r="EA19" s="285">
        <f>SUM(DO19:DZ19)</f>
        <v>12340.889999999998</v>
      </c>
      <c r="EB19" s="61">
        <v>595.90000000000009</v>
      </c>
      <c r="EC19" s="35">
        <v>167.3</v>
      </c>
      <c r="ED19" s="35">
        <v>246.60000000000002</v>
      </c>
      <c r="EE19" s="35">
        <v>631.5</v>
      </c>
      <c r="EF19" s="35">
        <v>510.6</v>
      </c>
      <c r="EG19" s="35">
        <v>1344.2999999999997</v>
      </c>
      <c r="EH19" s="35">
        <v>546.9</v>
      </c>
      <c r="EI19" s="35">
        <v>321.2</v>
      </c>
      <c r="EJ19" s="35">
        <v>577.20000000000005</v>
      </c>
      <c r="EK19" s="35">
        <v>737</v>
      </c>
      <c r="EL19" s="35">
        <v>606.90420000000017</v>
      </c>
      <c r="EM19" s="35">
        <v>944.2564900000001</v>
      </c>
      <c r="EN19" s="30">
        <f>SUM(EB19:EM19)</f>
        <v>7229.6606899999997</v>
      </c>
      <c r="EO19" s="104">
        <v>277.79574000000002</v>
      </c>
      <c r="EP19" s="35">
        <v>1025</v>
      </c>
      <c r="EQ19" s="35">
        <v>475</v>
      </c>
      <c r="ER19" s="35">
        <v>531</v>
      </c>
      <c r="ES19" s="35">
        <v>362</v>
      </c>
      <c r="ET19" s="35">
        <v>1031</v>
      </c>
      <c r="EU19" s="35">
        <v>399</v>
      </c>
      <c r="EV19" s="35">
        <v>609.4</v>
      </c>
      <c r="EW19" s="35">
        <v>395</v>
      </c>
      <c r="EX19" s="35">
        <v>2063</v>
      </c>
      <c r="EY19" s="35">
        <v>337.1</v>
      </c>
      <c r="EZ19" s="35">
        <v>2482.2999999999997</v>
      </c>
      <c r="FA19" s="30">
        <f>SUM(EO19:EZ19)</f>
        <v>9987.5957399999988</v>
      </c>
      <c r="FB19" s="288">
        <v>256</v>
      </c>
      <c r="FC19" s="31">
        <v>361.9</v>
      </c>
      <c r="FD19" s="31">
        <v>891.30000000000007</v>
      </c>
      <c r="FE19" s="31">
        <v>688.2</v>
      </c>
      <c r="FF19" s="31">
        <v>468.2</v>
      </c>
      <c r="FG19" s="31">
        <v>404</v>
      </c>
      <c r="FH19" s="31">
        <v>418.2</v>
      </c>
      <c r="FI19" s="31">
        <v>331.5</v>
      </c>
      <c r="FJ19" s="31">
        <v>897.4</v>
      </c>
      <c r="FK19" s="31">
        <v>282.2</v>
      </c>
      <c r="FL19" s="31">
        <v>505.2</v>
      </c>
      <c r="FM19" s="31">
        <v>546.6</v>
      </c>
      <c r="FN19" s="289">
        <f>SUM(FB19:FM19)</f>
        <v>6050.7</v>
      </c>
      <c r="FO19" s="288">
        <v>440.6</v>
      </c>
      <c r="FP19" s="31">
        <v>288.89999999999998</v>
      </c>
      <c r="FQ19" s="31">
        <v>234.7</v>
      </c>
      <c r="FR19" s="31">
        <v>389.5</v>
      </c>
      <c r="FS19" s="31">
        <v>502.79999999999995</v>
      </c>
      <c r="FT19" s="31">
        <v>387.1</v>
      </c>
      <c r="FU19" s="31">
        <v>480.4</v>
      </c>
      <c r="FV19" s="31">
        <v>537.9</v>
      </c>
      <c r="FW19" s="31">
        <v>2234.4</v>
      </c>
      <c r="FX19" s="31">
        <v>818.5</v>
      </c>
      <c r="FY19" s="31">
        <v>344.70000000000005</v>
      </c>
      <c r="FZ19" s="31">
        <v>959.7</v>
      </c>
      <c r="GA19" s="289">
        <f>SUM(FO19:FZ19)</f>
        <v>7619.2</v>
      </c>
      <c r="GB19" s="288">
        <v>180</v>
      </c>
      <c r="GC19" s="31">
        <v>199</v>
      </c>
      <c r="GD19" s="31">
        <v>951.09999999999991</v>
      </c>
      <c r="GE19" s="31">
        <v>341.5</v>
      </c>
      <c r="GF19" s="31">
        <v>778.7</v>
      </c>
      <c r="GG19" s="31">
        <v>488.1</v>
      </c>
      <c r="GH19" s="31">
        <v>1108</v>
      </c>
      <c r="GI19" s="31">
        <v>492.4</v>
      </c>
      <c r="GJ19" s="31">
        <v>259.39999999999998</v>
      </c>
      <c r="GK19" s="31">
        <v>669</v>
      </c>
      <c r="GL19" s="31">
        <v>548.4</v>
      </c>
      <c r="GM19" s="290">
        <v>580.20000000000005</v>
      </c>
      <c r="GN19" s="290">
        <f>SUM(GB19:GM19)</f>
        <v>6595.7999999999993</v>
      </c>
      <c r="GO19" s="31">
        <v>319.8</v>
      </c>
      <c r="GP19" s="31">
        <v>392.85908000000006</v>
      </c>
      <c r="GQ19" s="31">
        <v>373.1</v>
      </c>
      <c r="GR19" s="31">
        <v>280</v>
      </c>
      <c r="GS19" s="31">
        <v>333.7</v>
      </c>
      <c r="GT19" s="31">
        <v>267.3</v>
      </c>
      <c r="GU19" s="31">
        <v>715.5</v>
      </c>
      <c r="GV19" s="31">
        <v>660.1</v>
      </c>
      <c r="GW19" s="31">
        <v>500.1</v>
      </c>
      <c r="GX19" s="31">
        <v>750.09999999999991</v>
      </c>
      <c r="GY19" s="31">
        <v>1471</v>
      </c>
      <c r="GZ19" s="31">
        <v>480.79999999999995</v>
      </c>
      <c r="HA19" s="285">
        <f t="shared" si="50"/>
        <v>6544.3590800000002</v>
      </c>
      <c r="HB19" s="288">
        <v>746.1</v>
      </c>
      <c r="HC19" s="31">
        <v>453.9</v>
      </c>
      <c r="HD19" s="31">
        <v>336.5</v>
      </c>
      <c r="HE19" s="31">
        <v>31.5</v>
      </c>
      <c r="HF19" s="31">
        <v>53.3</v>
      </c>
      <c r="HG19" s="31">
        <v>39.6</v>
      </c>
      <c r="HH19" s="31">
        <v>198.8</v>
      </c>
      <c r="HI19" s="31">
        <v>825</v>
      </c>
      <c r="HJ19" s="31">
        <v>541.9</v>
      </c>
      <c r="HK19" s="31">
        <v>1043.0999999999999</v>
      </c>
      <c r="HL19" s="291">
        <v>379.8</v>
      </c>
      <c r="HM19" s="291">
        <v>523.6</v>
      </c>
      <c r="HN19" s="292">
        <f>SUM(HB19:HM19)</f>
        <v>5173.1000000000004</v>
      </c>
      <c r="HO19" s="293">
        <v>427.1</v>
      </c>
      <c r="HP19" s="291">
        <v>931.5</v>
      </c>
      <c r="HQ19" s="291">
        <v>573.40000000000009</v>
      </c>
      <c r="HR19" s="291">
        <v>281.8</v>
      </c>
      <c r="HS19" s="291">
        <v>597.29999999999995</v>
      </c>
      <c r="HT19" s="291">
        <v>659.98516999999993</v>
      </c>
      <c r="HU19" s="291">
        <v>392.46120999999999</v>
      </c>
      <c r="HV19" s="291">
        <v>736.45944999999995</v>
      </c>
      <c r="HW19" s="291">
        <v>1313.7011799999998</v>
      </c>
      <c r="HX19" s="291">
        <v>517.14468999999985</v>
      </c>
      <c r="HY19" s="291">
        <v>859.16579000000024</v>
      </c>
      <c r="HZ19" s="294">
        <v>652.48334999999997</v>
      </c>
      <c r="IA19" s="294">
        <f t="shared" si="54"/>
        <v>7942.5008400000006</v>
      </c>
      <c r="IB19" s="293">
        <v>443.15490000000011</v>
      </c>
      <c r="IC19" s="291">
        <v>687.20817</v>
      </c>
      <c r="ID19" s="291">
        <v>526.3877</v>
      </c>
      <c r="IE19" s="291">
        <v>505.15586999999994</v>
      </c>
      <c r="IF19" s="291">
        <v>923.33961000000022</v>
      </c>
      <c r="IG19" s="291">
        <v>638.65884000000005</v>
      </c>
      <c r="IH19" s="291">
        <v>522.46033000000011</v>
      </c>
      <c r="II19" s="291">
        <v>431.65759000000003</v>
      </c>
      <c r="IJ19" s="291">
        <v>922.84584999999993</v>
      </c>
      <c r="IK19" s="291">
        <v>634.18712000000005</v>
      </c>
      <c r="IL19" s="295">
        <v>666.09381000000008</v>
      </c>
      <c r="IM19" s="295">
        <v>511.57406000000003</v>
      </c>
      <c r="IN19" s="292">
        <f>SUM(IB19:IM19)</f>
        <v>7412.7238499999994</v>
      </c>
      <c r="IO19" s="293">
        <v>614.06486000000007</v>
      </c>
      <c r="IP19" s="291">
        <v>536.19837000000007</v>
      </c>
      <c r="IQ19" s="291">
        <v>602.14573000000007</v>
      </c>
      <c r="IR19" s="291">
        <v>492.31975000000011</v>
      </c>
      <c r="IS19" s="291">
        <v>631.85561000000007</v>
      </c>
      <c r="IT19" s="291">
        <v>414.18147000000005</v>
      </c>
      <c r="IU19" s="291">
        <v>400.56205000000011</v>
      </c>
      <c r="IV19" s="291">
        <v>497.06015999999988</v>
      </c>
      <c r="IW19" s="291">
        <v>1248.3543300000001</v>
      </c>
      <c r="IX19" s="291">
        <v>528.02353999999991</v>
      </c>
      <c r="IY19" s="291">
        <v>383.48085999999995</v>
      </c>
      <c r="IZ19" s="294">
        <v>563.91392000000008</v>
      </c>
      <c r="JA19" s="294">
        <f t="shared" si="56"/>
        <v>6912.1606499999998</v>
      </c>
      <c r="JB19" s="291">
        <v>701.01349000000005</v>
      </c>
      <c r="JC19" s="291">
        <v>1365.9617500000004</v>
      </c>
      <c r="JD19" s="291">
        <v>1053.7772500000003</v>
      </c>
      <c r="JE19" s="291">
        <v>654.40964000000008</v>
      </c>
      <c r="JF19" s="291">
        <v>1200.0836900000002</v>
      </c>
      <c r="JG19" s="291">
        <v>326.81952000000001</v>
      </c>
      <c r="JH19" s="291">
        <v>907.6106900000002</v>
      </c>
      <c r="JI19" s="291">
        <v>637.98404000000005</v>
      </c>
      <c r="JJ19" s="291">
        <v>644.49976000000015</v>
      </c>
      <c r="JK19" s="291">
        <v>805.44376000000011</v>
      </c>
      <c r="JL19" s="291">
        <v>1567.0360600000004</v>
      </c>
      <c r="JM19" s="294">
        <v>1554.2885200000001</v>
      </c>
      <c r="JN19" s="294">
        <f t="shared" si="57"/>
        <v>11418.928170000003</v>
      </c>
      <c r="JO19" s="293">
        <v>1328.4835499999999</v>
      </c>
      <c r="JP19" s="291">
        <v>794.14323000000013</v>
      </c>
      <c r="JQ19" s="291">
        <v>1074.7611200000001</v>
      </c>
      <c r="JR19" s="291">
        <v>1232.12922</v>
      </c>
      <c r="JS19" s="291">
        <v>983.39013</v>
      </c>
      <c r="JT19" s="291">
        <v>1028.86301</v>
      </c>
      <c r="JU19" s="291">
        <v>1280.28592</v>
      </c>
      <c r="JV19" s="291">
        <v>564.11770000000001</v>
      </c>
      <c r="JW19" s="291">
        <v>881.42632000000003</v>
      </c>
      <c r="JX19" s="291">
        <v>1207.9288500000002</v>
      </c>
      <c r="JY19" s="291">
        <v>1247.4754600000001</v>
      </c>
      <c r="JZ19" s="291">
        <v>1308.5374699999998</v>
      </c>
      <c r="KA19" s="292">
        <f>SUM(JO19:JZ19)</f>
        <v>12931.54198</v>
      </c>
      <c r="KB19" s="1328">
        <v>1546.7953700000003</v>
      </c>
      <c r="KC19" s="129">
        <v>1060.5348700000004</v>
      </c>
      <c r="KD19" s="129">
        <v>1294.9440900000002</v>
      </c>
      <c r="KE19" s="129">
        <v>1240.9678500000002</v>
      </c>
      <c r="KF19" s="129">
        <v>871.51736000000028</v>
      </c>
      <c r="KG19" s="129">
        <v>1396.3147399999998</v>
      </c>
      <c r="KH19" s="129">
        <v>1062.1281999999999</v>
      </c>
      <c r="KI19" s="129">
        <v>1143.6792200000002</v>
      </c>
      <c r="KJ19" s="71"/>
      <c r="KK19" s="71"/>
      <c r="KL19" s="71"/>
      <c r="KM19" s="71"/>
      <c r="KN19" s="1329">
        <f t="shared" si="59"/>
        <v>9616.8816999999999</v>
      </c>
      <c r="KO19" s="71"/>
      <c r="KP19" s="27">
        <f t="shared" si="60"/>
        <v>102.73769463358447</v>
      </c>
      <c r="KQ19" s="1663">
        <f t="shared" si="61"/>
        <v>16.059376007204907</v>
      </c>
      <c r="KR19" s="222">
        <f t="shared" si="62"/>
        <v>8286.1738800000003</v>
      </c>
      <c r="KS19" s="222">
        <f t="shared" si="63"/>
        <v>9616.8816999999999</v>
      </c>
      <c r="KT19" s="221"/>
    </row>
    <row r="20" spans="1:307" ht="13.9" customHeight="1" x14ac:dyDescent="0.2">
      <c r="A20" s="254" t="s">
        <v>352</v>
      </c>
      <c r="B20" s="255"/>
      <c r="C20" s="256"/>
      <c r="D20" s="256"/>
      <c r="E20" s="256"/>
      <c r="F20" s="256"/>
      <c r="G20" s="256"/>
      <c r="H20" s="256"/>
      <c r="I20" s="256"/>
      <c r="J20" s="256"/>
      <c r="K20" s="256"/>
      <c r="L20" s="256"/>
      <c r="M20" s="33"/>
      <c r="N20" s="33"/>
      <c r="O20" s="256"/>
      <c r="P20" s="256"/>
      <c r="Q20" s="256"/>
      <c r="R20" s="256"/>
      <c r="S20" s="257"/>
      <c r="T20" s="257"/>
      <c r="U20" s="257"/>
      <c r="V20" s="257"/>
      <c r="W20" s="257"/>
      <c r="X20" s="257"/>
      <c r="Y20" s="257"/>
      <c r="Z20" s="257"/>
      <c r="AA20" s="255"/>
      <c r="AB20" s="255"/>
      <c r="AC20" s="256"/>
      <c r="AD20" s="256"/>
      <c r="AE20" s="258"/>
      <c r="AF20" s="258"/>
      <c r="AG20" s="258"/>
      <c r="AH20" s="258"/>
      <c r="AI20" s="258"/>
      <c r="AJ20" s="258"/>
      <c r="AK20" s="258"/>
      <c r="AL20" s="258"/>
      <c r="AM20" s="258"/>
      <c r="AN20" s="255"/>
      <c r="AO20" s="259"/>
      <c r="AP20" s="258"/>
      <c r="AQ20" s="258"/>
      <c r="AR20" s="258"/>
      <c r="AS20" s="258"/>
      <c r="AT20" s="258"/>
      <c r="AU20" s="258"/>
      <c r="AV20" s="258"/>
      <c r="AW20" s="258"/>
      <c r="AX20" s="258"/>
      <c r="AY20" s="258"/>
      <c r="AZ20" s="258"/>
      <c r="BA20" s="260"/>
      <c r="BB20" s="258"/>
      <c r="BC20" s="258"/>
      <c r="BD20" s="258"/>
      <c r="BE20" s="258"/>
      <c r="BF20" s="258"/>
      <c r="BG20" s="258"/>
      <c r="BH20" s="258"/>
      <c r="BI20" s="258"/>
      <c r="BJ20" s="258"/>
      <c r="BK20" s="258"/>
      <c r="BL20" s="258"/>
      <c r="BM20" s="258"/>
      <c r="BN20" s="260"/>
      <c r="BO20" s="259"/>
      <c r="BP20" s="258"/>
      <c r="BQ20" s="258"/>
      <c r="BR20" s="258"/>
      <c r="BS20" s="258"/>
      <c r="BT20" s="258"/>
      <c r="BU20" s="258"/>
      <c r="BV20" s="258"/>
      <c r="BW20" s="258"/>
      <c r="BX20" s="258"/>
      <c r="BY20" s="258"/>
      <c r="BZ20" s="258"/>
      <c r="CA20" s="260"/>
      <c r="CB20" s="258"/>
      <c r="CC20" s="258"/>
      <c r="CD20" s="258"/>
      <c r="CE20" s="258"/>
      <c r="CF20" s="258"/>
      <c r="CG20" s="258"/>
      <c r="CH20" s="258"/>
      <c r="CI20" s="258"/>
      <c r="CJ20" s="258"/>
      <c r="CK20" s="258"/>
      <c r="CL20" s="258"/>
      <c r="CM20" s="258"/>
      <c r="CN20" s="260"/>
      <c r="CO20" s="259"/>
      <c r="CP20" s="258"/>
      <c r="CQ20" s="258"/>
      <c r="CR20" s="258"/>
      <c r="CS20" s="258"/>
      <c r="CT20" s="258"/>
      <c r="CU20" s="258"/>
      <c r="CV20" s="258"/>
      <c r="CW20" s="258"/>
      <c r="CX20" s="258"/>
      <c r="CY20" s="258"/>
      <c r="CZ20" s="258"/>
      <c r="DA20" s="260"/>
      <c r="DB20" s="258"/>
      <c r="DC20" s="258"/>
      <c r="DD20" s="258"/>
      <c r="DE20" s="258"/>
      <c r="DF20" s="258"/>
      <c r="DG20" s="258"/>
      <c r="DH20" s="258"/>
      <c r="DI20" s="258"/>
      <c r="DJ20" s="258"/>
      <c r="DK20" s="258"/>
      <c r="DL20" s="258"/>
      <c r="DM20" s="258"/>
      <c r="DN20" s="260"/>
      <c r="DO20" s="259"/>
      <c r="DP20" s="258"/>
      <c r="DQ20" s="258"/>
      <c r="DR20" s="258"/>
      <c r="DS20" s="258"/>
      <c r="DT20" s="258"/>
      <c r="DU20" s="258"/>
      <c r="DV20" s="258"/>
      <c r="DW20" s="258"/>
      <c r="DX20" s="258"/>
      <c r="DY20" s="258"/>
      <c r="DZ20" s="258"/>
      <c r="EA20" s="260"/>
      <c r="EB20" s="259"/>
      <c r="EC20" s="258"/>
      <c r="ED20" s="258"/>
      <c r="EE20" s="258"/>
      <c r="EF20" s="258"/>
      <c r="EG20" s="258"/>
      <c r="EH20" s="258"/>
      <c r="EI20" s="258"/>
      <c r="EJ20" s="258"/>
      <c r="EK20" s="258"/>
      <c r="EL20" s="258"/>
      <c r="EM20" s="258"/>
      <c r="EN20" s="260"/>
      <c r="EO20" s="258"/>
      <c r="EP20" s="258"/>
      <c r="EQ20" s="258"/>
      <c r="ER20" s="258"/>
      <c r="ES20" s="258"/>
      <c r="ET20" s="258"/>
      <c r="EU20" s="258"/>
      <c r="EV20" s="258"/>
      <c r="EW20" s="258"/>
      <c r="EX20" s="258"/>
      <c r="EY20" s="258"/>
      <c r="EZ20" s="258"/>
      <c r="FA20" s="260"/>
      <c r="FB20" s="259"/>
      <c r="FC20" s="258"/>
      <c r="FD20" s="258"/>
      <c r="FE20" s="258"/>
      <c r="FF20" s="258"/>
      <c r="FG20" s="258"/>
      <c r="FH20" s="258"/>
      <c r="FI20" s="258"/>
      <c r="FJ20" s="258"/>
      <c r="FK20" s="258"/>
      <c r="FL20" s="258"/>
      <c r="FM20" s="258"/>
      <c r="FN20" s="260"/>
      <c r="FO20" s="259"/>
      <c r="FP20" s="258"/>
      <c r="FQ20" s="258"/>
      <c r="FR20" s="258"/>
      <c r="FS20" s="258"/>
      <c r="FT20" s="258"/>
      <c r="FU20" s="258"/>
      <c r="FV20" s="258"/>
      <c r="FW20" s="258"/>
      <c r="FX20" s="258"/>
      <c r="FY20" s="258"/>
      <c r="FZ20" s="258"/>
      <c r="GA20" s="260"/>
      <c r="GB20" s="259"/>
      <c r="GC20" s="258"/>
      <c r="GD20" s="258"/>
      <c r="GE20" s="258"/>
      <c r="GF20" s="258"/>
      <c r="GG20" s="258"/>
      <c r="GH20" s="258"/>
      <c r="GI20" s="258"/>
      <c r="GJ20" s="258"/>
      <c r="GK20" s="258"/>
      <c r="GL20" s="258"/>
      <c r="GM20" s="261"/>
      <c r="GN20" s="261"/>
      <c r="GO20" s="258"/>
      <c r="GP20" s="258"/>
      <c r="GQ20" s="258"/>
      <c r="GR20" s="258"/>
      <c r="GS20" s="258"/>
      <c r="GT20" s="258"/>
      <c r="GU20" s="258"/>
      <c r="GV20" s="258"/>
      <c r="GW20" s="258"/>
      <c r="GX20" s="258"/>
      <c r="GY20" s="258"/>
      <c r="GZ20" s="258"/>
      <c r="HA20" s="260"/>
      <c r="HB20" s="259"/>
      <c r="HC20" s="258"/>
      <c r="HD20" s="258"/>
      <c r="HE20" s="258"/>
      <c r="HF20" s="258"/>
      <c r="HG20" s="258"/>
      <c r="HH20" s="258"/>
      <c r="HI20" s="258"/>
      <c r="HJ20" s="258"/>
      <c r="HK20" s="258"/>
      <c r="HL20" s="258"/>
      <c r="HM20" s="258"/>
      <c r="HN20" s="260"/>
      <c r="HO20" s="259"/>
      <c r="HP20" s="258"/>
      <c r="HQ20" s="258"/>
      <c r="HR20" s="258"/>
      <c r="HS20" s="258"/>
      <c r="HT20" s="258"/>
      <c r="HU20" s="258"/>
      <c r="HV20" s="258"/>
      <c r="HW20" s="258"/>
      <c r="HX20" s="258"/>
      <c r="HY20" s="258"/>
      <c r="HZ20" s="261"/>
      <c r="IA20" s="261"/>
      <c r="IB20" s="258"/>
      <c r="IC20" s="258"/>
      <c r="ID20" s="258"/>
      <c r="IE20" s="258"/>
      <c r="IF20" s="258"/>
      <c r="IG20" s="258"/>
      <c r="IH20" s="258"/>
      <c r="II20" s="258"/>
      <c r="IJ20" s="258"/>
      <c r="IK20" s="258"/>
      <c r="IL20" s="262"/>
      <c r="IM20" s="263"/>
      <c r="IN20" s="261"/>
      <c r="IO20" s="262"/>
      <c r="IP20" s="262"/>
      <c r="IQ20" s="262"/>
      <c r="IR20" s="262"/>
      <c r="IS20" s="262"/>
      <c r="IT20" s="262"/>
      <c r="IU20" s="262"/>
      <c r="IV20" s="262"/>
      <c r="IW20" s="262"/>
      <c r="IX20" s="262"/>
      <c r="IY20" s="262"/>
      <c r="IZ20" s="263"/>
      <c r="JA20" s="263"/>
      <c r="JB20" s="262"/>
      <c r="JC20" s="262"/>
      <c r="JD20" s="262"/>
      <c r="JE20" s="262"/>
      <c r="JF20" s="262"/>
      <c r="JG20" s="262"/>
      <c r="JH20" s="262"/>
      <c r="JI20" s="262"/>
      <c r="JJ20" s="262"/>
      <c r="JK20" s="262"/>
      <c r="JL20" s="262"/>
      <c r="JM20" s="263"/>
      <c r="JN20" s="263"/>
      <c r="JO20" s="280"/>
      <c r="JP20" s="262"/>
      <c r="JQ20" s="262"/>
      <c r="JR20" s="262"/>
      <c r="JS20" s="262"/>
      <c r="JT20" s="262"/>
      <c r="JU20" s="262"/>
      <c r="JV20" s="262"/>
      <c r="JW20" s="262"/>
      <c r="JX20" s="262"/>
      <c r="JY20" s="262"/>
      <c r="JZ20" s="262"/>
      <c r="KA20" s="281"/>
      <c r="KB20" s="1331"/>
      <c r="KC20" s="1332"/>
      <c r="KD20" s="1332"/>
      <c r="KE20" s="1332"/>
      <c r="KF20" s="1332"/>
      <c r="KG20" s="1332"/>
      <c r="KH20" s="1332"/>
      <c r="KI20" s="1332"/>
      <c r="KJ20" s="1332"/>
      <c r="KK20" s="1332"/>
      <c r="KL20" s="1332"/>
      <c r="KM20" s="1332"/>
      <c r="KN20" s="1333"/>
      <c r="KP20" s="279"/>
      <c r="KQ20" s="32"/>
      <c r="KR20" s="32"/>
      <c r="KS20" s="37"/>
    </row>
    <row r="21" spans="1:307" ht="13.9" customHeight="1" x14ac:dyDescent="0.2">
      <c r="A21" s="85" t="s">
        <v>293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B21" s="112"/>
      <c r="BC21" s="112"/>
      <c r="BD21" s="112"/>
      <c r="BE21" s="112"/>
      <c r="BF21" s="112"/>
      <c r="BG21" s="112"/>
      <c r="BH21" s="112"/>
      <c r="BI21" s="112"/>
      <c r="BJ21" s="112"/>
      <c r="BK21" s="112"/>
      <c r="BL21" s="112"/>
      <c r="BM21" s="112"/>
      <c r="BN21" s="112"/>
      <c r="BO21" s="112"/>
      <c r="BP21" s="112"/>
      <c r="BQ21" s="112"/>
      <c r="BR21" s="112"/>
      <c r="BS21" s="112"/>
      <c r="BT21" s="112"/>
      <c r="BU21" s="112"/>
      <c r="BV21" s="112"/>
      <c r="BW21" s="112"/>
      <c r="BX21" s="112"/>
      <c r="BY21" s="112"/>
      <c r="BZ21" s="112"/>
      <c r="CA21" s="112"/>
      <c r="CB21" s="112"/>
      <c r="CC21" s="112"/>
      <c r="CD21" s="112"/>
      <c r="CE21" s="112"/>
      <c r="CF21" s="112"/>
      <c r="CG21" s="112"/>
      <c r="CH21" s="112"/>
      <c r="CI21" s="112"/>
      <c r="CJ21" s="112"/>
      <c r="CK21" s="112"/>
      <c r="CL21" s="112"/>
      <c r="CM21" s="112"/>
      <c r="CN21" s="112"/>
      <c r="CO21" s="112"/>
      <c r="CP21" s="112"/>
      <c r="CQ21" s="112"/>
      <c r="CR21" s="112"/>
      <c r="CS21" s="112"/>
      <c r="CT21" s="112"/>
      <c r="CU21" s="112"/>
      <c r="CV21" s="112"/>
      <c r="CW21" s="112"/>
      <c r="CX21" s="112"/>
      <c r="CY21" s="112"/>
      <c r="CZ21" s="112"/>
      <c r="DA21" s="264"/>
      <c r="DB21" s="112"/>
      <c r="DC21" s="112"/>
      <c r="DD21" s="112"/>
      <c r="DE21" s="112"/>
      <c r="DF21" s="112"/>
      <c r="DG21" s="112"/>
      <c r="DH21" s="112"/>
      <c r="DI21" s="112"/>
      <c r="DJ21" s="112"/>
      <c r="DK21" s="112"/>
      <c r="DL21" s="112"/>
      <c r="DM21" s="112"/>
      <c r="DN21" s="112"/>
      <c r="DO21" s="112"/>
      <c r="DP21" s="112"/>
      <c r="DQ21" s="112"/>
      <c r="DR21" s="112"/>
      <c r="DS21" s="112"/>
      <c r="DT21" s="112"/>
      <c r="DU21" s="112"/>
      <c r="DV21" s="112"/>
      <c r="DW21" s="112"/>
      <c r="DX21" s="112"/>
      <c r="DY21" s="112"/>
      <c r="DZ21" s="112"/>
      <c r="EA21" s="112"/>
      <c r="EB21" s="112"/>
      <c r="EC21" s="112"/>
      <c r="ED21" s="112"/>
      <c r="EE21" s="112"/>
      <c r="EF21" s="112"/>
      <c r="EG21" s="112"/>
      <c r="EH21" s="112"/>
      <c r="EI21" s="112"/>
      <c r="EJ21" s="112"/>
      <c r="EK21" s="112"/>
      <c r="EL21" s="112"/>
      <c r="EM21" s="112"/>
      <c r="EN21" s="112"/>
      <c r="EO21" s="112"/>
      <c r="EP21" s="112"/>
      <c r="EQ21" s="112"/>
      <c r="ER21" s="112"/>
      <c r="ES21" s="112"/>
      <c r="ET21" s="112"/>
      <c r="EU21" s="112"/>
      <c r="EV21" s="112"/>
      <c r="EW21" s="112"/>
      <c r="EX21" s="112"/>
      <c r="EY21" s="112"/>
      <c r="EZ21" s="112"/>
      <c r="FA21" s="112"/>
      <c r="FB21" s="265"/>
      <c r="FC21" s="265"/>
      <c r="FD21" s="265"/>
      <c r="FE21" s="265"/>
      <c r="FF21" s="265"/>
      <c r="FG21" s="265"/>
      <c r="FH21" s="265"/>
      <c r="FI21" s="265"/>
      <c r="FJ21" s="265"/>
      <c r="FK21" s="265"/>
      <c r="FL21" s="265"/>
      <c r="FM21" s="265"/>
      <c r="FN21" s="265"/>
      <c r="FO21" s="265"/>
      <c r="FP21" s="265"/>
      <c r="FQ21" s="265"/>
      <c r="FR21" s="265"/>
      <c r="FS21" s="265"/>
      <c r="FT21" s="265"/>
      <c r="FU21" s="265"/>
      <c r="FV21" s="265"/>
      <c r="FW21" s="265"/>
      <c r="FX21" s="265"/>
      <c r="FY21" s="265"/>
      <c r="FZ21" s="265"/>
      <c r="GA21" s="265"/>
      <c r="GB21" s="265"/>
      <c r="GC21" s="265"/>
      <c r="GD21" s="265"/>
      <c r="GE21" s="265"/>
      <c r="GF21" s="265"/>
      <c r="GG21" s="265"/>
      <c r="GH21" s="265"/>
      <c r="GI21" s="265"/>
      <c r="GJ21" s="265"/>
      <c r="GK21" s="265"/>
      <c r="GL21" s="265"/>
      <c r="GM21" s="265"/>
      <c r="GN21" s="265"/>
      <c r="GO21" s="265"/>
      <c r="GP21" s="265"/>
      <c r="GQ21" s="265"/>
      <c r="GR21" s="265"/>
      <c r="GS21" s="265"/>
      <c r="GT21" s="265"/>
      <c r="GU21" s="265"/>
      <c r="GV21" s="265"/>
      <c r="GW21" s="265"/>
      <c r="GX21" s="265"/>
      <c r="GY21" s="265"/>
      <c r="GZ21" s="265"/>
      <c r="HA21" s="265"/>
      <c r="HB21" s="265"/>
      <c r="HC21" s="265"/>
      <c r="HD21" s="265"/>
      <c r="HE21" s="265"/>
      <c r="HF21" s="265"/>
      <c r="HG21" s="265"/>
      <c r="HH21" s="265"/>
      <c r="HI21" s="265"/>
      <c r="HJ21" s="85"/>
      <c r="HK21" s="85"/>
      <c r="HL21" s="85"/>
      <c r="HM21" s="85"/>
      <c r="HN21" s="85"/>
      <c r="HO21" s="85"/>
      <c r="HP21" s="85"/>
      <c r="HQ21" s="85"/>
      <c r="HR21" s="85"/>
      <c r="HS21" s="85"/>
      <c r="HT21" s="85"/>
      <c r="HU21" s="85"/>
      <c r="HV21" s="85"/>
      <c r="HW21" s="85"/>
      <c r="HX21" s="85"/>
      <c r="HY21" s="85"/>
      <c r="HZ21" s="85"/>
      <c r="IA21" s="85"/>
      <c r="IB21" s="85"/>
      <c r="IC21" s="85"/>
      <c r="ID21" s="85"/>
      <c r="IE21" s="85"/>
      <c r="IF21" s="85"/>
      <c r="IG21" s="85"/>
      <c r="IH21" s="85"/>
      <c r="II21" s="85"/>
      <c r="IJ21" s="85"/>
      <c r="IK21" s="85"/>
      <c r="KN21" s="1334"/>
    </row>
    <row r="22" spans="1:307" ht="13.9" customHeight="1" x14ac:dyDescent="0.2">
      <c r="A22" s="85" t="s">
        <v>352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5"/>
      <c r="DA22" s="85"/>
      <c r="DB22" s="85"/>
      <c r="DC22" s="85"/>
      <c r="DD22" s="85"/>
      <c r="DE22" s="85"/>
      <c r="DF22" s="85"/>
      <c r="DG22" s="85"/>
      <c r="DH22" s="85"/>
      <c r="DI22" s="85"/>
      <c r="DJ22" s="85"/>
      <c r="DK22" s="85"/>
      <c r="DL22" s="85"/>
      <c r="DM22" s="85"/>
      <c r="DN22" s="85"/>
      <c r="DO22" s="85"/>
      <c r="DP22" s="85"/>
      <c r="DQ22" s="85"/>
      <c r="DR22" s="85"/>
      <c r="DS22" s="85"/>
      <c r="DT22" s="85"/>
      <c r="DU22" s="85"/>
      <c r="DV22" s="85"/>
      <c r="DW22" s="85"/>
      <c r="DX22" s="85"/>
      <c r="DY22" s="85"/>
      <c r="DZ22" s="85"/>
      <c r="EA22" s="85"/>
      <c r="EB22" s="85"/>
      <c r="EC22" s="85"/>
      <c r="ED22" s="85"/>
      <c r="EE22" s="85"/>
      <c r="EF22" s="85"/>
      <c r="EG22" s="85"/>
      <c r="EH22" s="85"/>
      <c r="EI22" s="85"/>
      <c r="EJ22" s="85"/>
      <c r="EK22" s="85"/>
      <c r="EL22" s="85"/>
      <c r="EM22" s="85"/>
      <c r="EN22" s="85"/>
      <c r="EO22" s="85"/>
      <c r="EP22" s="85"/>
      <c r="EQ22" s="85"/>
      <c r="ER22" s="85"/>
      <c r="ES22" s="85"/>
      <c r="ET22" s="85"/>
      <c r="EU22" s="85"/>
      <c r="EV22" s="85"/>
      <c r="EW22" s="85"/>
      <c r="EX22" s="85"/>
      <c r="EY22" s="85"/>
      <c r="EZ22" s="85"/>
      <c r="FA22" s="85"/>
      <c r="FB22" s="266"/>
      <c r="FC22" s="266"/>
      <c r="FD22" s="266"/>
      <c r="FE22" s="266"/>
      <c r="FF22" s="266"/>
      <c r="FG22" s="266"/>
      <c r="FH22" s="266"/>
      <c r="FI22" s="266"/>
      <c r="FJ22" s="266"/>
      <c r="FK22" s="266"/>
      <c r="FL22" s="266"/>
      <c r="FM22" s="266"/>
      <c r="FN22" s="266"/>
      <c r="FO22" s="266"/>
      <c r="FP22" s="266"/>
      <c r="FQ22" s="266"/>
      <c r="FR22" s="266"/>
      <c r="FS22" s="266"/>
      <c r="FT22" s="266"/>
      <c r="FU22" s="266"/>
      <c r="FV22" s="266"/>
      <c r="FW22" s="266"/>
      <c r="FX22" s="266"/>
      <c r="FY22" s="266"/>
      <c r="FZ22" s="266"/>
      <c r="GA22" s="266"/>
      <c r="GB22" s="266"/>
      <c r="GC22" s="266"/>
      <c r="GD22" s="266"/>
      <c r="GE22" s="266"/>
      <c r="GF22" s="266"/>
      <c r="GG22" s="266"/>
      <c r="GH22" s="266"/>
      <c r="GI22" s="266"/>
      <c r="GJ22" s="266"/>
      <c r="GK22" s="266"/>
      <c r="GL22" s="266"/>
      <c r="GM22" s="266"/>
      <c r="GN22" s="266"/>
      <c r="GO22" s="266"/>
      <c r="GP22" s="266"/>
      <c r="GQ22" s="266"/>
      <c r="GR22" s="266"/>
      <c r="GS22" s="266"/>
      <c r="GT22" s="266"/>
      <c r="GU22" s="266"/>
      <c r="GV22" s="266"/>
      <c r="GW22" s="266"/>
      <c r="GX22" s="266"/>
      <c r="GY22" s="266"/>
      <c r="GZ22" s="266"/>
      <c r="HA22" s="266"/>
      <c r="HB22" s="266"/>
      <c r="HC22" s="266"/>
      <c r="HD22" s="266"/>
      <c r="HE22" s="266"/>
      <c r="HF22" s="266"/>
      <c r="HG22" s="266"/>
      <c r="HH22" s="266"/>
      <c r="HI22" s="266"/>
      <c r="HJ22" s="266"/>
      <c r="HK22" s="266"/>
      <c r="HL22" s="266"/>
      <c r="HM22" s="266"/>
      <c r="HN22" s="266"/>
      <c r="HO22" s="266"/>
      <c r="HP22" s="266"/>
      <c r="HQ22" s="266"/>
      <c r="HR22" s="266"/>
      <c r="HS22" s="266"/>
      <c r="HT22" s="266"/>
      <c r="HU22" s="266"/>
      <c r="HV22" s="266"/>
      <c r="HW22" s="266"/>
      <c r="HX22" s="266"/>
      <c r="HY22" s="266"/>
      <c r="HZ22" s="266"/>
      <c r="IA22" s="266"/>
      <c r="IB22" s="266"/>
      <c r="IC22" s="266"/>
      <c r="ID22" s="266"/>
      <c r="IE22" s="266"/>
      <c r="IF22" s="266"/>
      <c r="IG22" s="266"/>
      <c r="IH22" s="266"/>
      <c r="II22" s="266"/>
      <c r="IJ22" s="266"/>
      <c r="IK22" s="266"/>
      <c r="KN22" s="1334"/>
    </row>
    <row r="23" spans="1:307" ht="13.9" customHeight="1" x14ac:dyDescent="0.2">
      <c r="A23" s="1" t="s">
        <v>352</v>
      </c>
      <c r="FB23" s="82"/>
      <c r="FC23" s="82"/>
      <c r="FD23" s="82"/>
      <c r="FE23" s="82"/>
      <c r="FF23" s="82"/>
      <c r="FG23" s="82"/>
      <c r="FH23" s="82"/>
      <c r="FI23" s="82"/>
      <c r="FJ23" s="82"/>
      <c r="FK23" s="82"/>
      <c r="FL23" s="82"/>
      <c r="FM23" s="82"/>
      <c r="FN23" s="82"/>
      <c r="FO23" s="82"/>
      <c r="FP23" s="82"/>
      <c r="FQ23" s="82"/>
      <c r="FR23" s="82"/>
      <c r="FS23" s="82"/>
      <c r="FT23" s="82"/>
      <c r="FU23" s="82"/>
      <c r="FV23" s="82"/>
      <c r="FW23" s="82"/>
      <c r="FX23" s="82"/>
      <c r="FY23" s="82"/>
      <c r="FZ23" s="82"/>
      <c r="GA23" s="82"/>
      <c r="GB23" s="82"/>
      <c r="GC23" s="82"/>
      <c r="GD23" s="82"/>
      <c r="GE23" s="82"/>
      <c r="GF23" s="82"/>
      <c r="GG23" s="82"/>
      <c r="GH23" s="82"/>
      <c r="GI23" s="82"/>
      <c r="GJ23" s="82"/>
      <c r="GK23" s="82"/>
      <c r="GL23" s="82"/>
      <c r="GM23" s="82"/>
      <c r="GN23" s="82"/>
      <c r="GO23" s="82"/>
      <c r="GP23" s="82"/>
      <c r="GQ23" s="82"/>
      <c r="GR23" s="82"/>
      <c r="GS23" s="82"/>
      <c r="GT23" s="82"/>
      <c r="GU23" s="82"/>
      <c r="GV23" s="82"/>
      <c r="GW23" s="82"/>
      <c r="GX23" s="82"/>
      <c r="GY23" s="82"/>
      <c r="GZ23" s="82"/>
      <c r="HA23" s="82"/>
      <c r="HB23" s="82"/>
      <c r="HC23" s="82"/>
      <c r="HD23" s="82"/>
      <c r="HE23" s="82"/>
      <c r="HF23" s="82"/>
      <c r="HG23" s="82"/>
      <c r="HH23" s="82"/>
      <c r="HI23" s="82"/>
      <c r="KN23" s="1334"/>
    </row>
    <row r="24" spans="1:307" ht="13.9" customHeight="1" x14ac:dyDescent="0.2">
      <c r="A24" s="213" t="s">
        <v>289</v>
      </c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B24" s="213"/>
      <c r="BC24" s="213"/>
      <c r="BD24" s="213"/>
      <c r="BE24" s="213"/>
      <c r="BF24" s="213"/>
      <c r="BG24" s="213"/>
      <c r="BH24" s="213"/>
      <c r="BI24" s="213"/>
      <c r="BJ24" s="213"/>
      <c r="BK24" s="213"/>
      <c r="BL24" s="213"/>
      <c r="BM24" s="213"/>
      <c r="BN24" s="213"/>
      <c r="BO24" s="213"/>
      <c r="BP24" s="213"/>
      <c r="BQ24" s="213"/>
      <c r="BR24" s="213"/>
      <c r="BS24" s="213"/>
      <c r="BT24" s="213"/>
      <c r="BU24" s="213"/>
      <c r="BV24" s="213"/>
      <c r="BW24" s="213"/>
      <c r="BX24" s="213"/>
      <c r="BY24" s="213"/>
      <c r="BZ24" s="213"/>
      <c r="CA24" s="213"/>
      <c r="CB24" s="213"/>
      <c r="CC24" s="213"/>
      <c r="CD24" s="213"/>
      <c r="CE24" s="213"/>
      <c r="CF24" s="275"/>
      <c r="CG24" s="275"/>
      <c r="CH24" s="275"/>
      <c r="CI24" s="275"/>
      <c r="CJ24" s="275"/>
      <c r="CK24" s="275"/>
      <c r="CL24" s="275"/>
      <c r="CM24" s="275"/>
      <c r="CN24" s="275"/>
      <c r="CO24" s="275"/>
      <c r="CP24" s="275"/>
      <c r="CQ24" s="275"/>
      <c r="CR24" s="275"/>
      <c r="CS24" s="275"/>
      <c r="CT24" s="275"/>
      <c r="CU24" s="275"/>
      <c r="CV24" s="275"/>
      <c r="CW24" s="275"/>
      <c r="CX24" s="275"/>
      <c r="CY24" s="275"/>
      <c r="CZ24" s="275"/>
      <c r="DA24" s="275"/>
      <c r="DB24" s="275"/>
      <c r="DC24" s="275"/>
      <c r="DD24" s="275"/>
      <c r="DE24" s="275"/>
      <c r="DF24" s="275"/>
      <c r="DG24" s="275"/>
      <c r="DH24" s="275"/>
      <c r="DI24" s="275"/>
      <c r="DJ24" s="275"/>
      <c r="DK24" s="275"/>
      <c r="DL24" s="275"/>
      <c r="DM24" s="275"/>
      <c r="DN24" s="275"/>
      <c r="DO24" s="275"/>
      <c r="DP24" s="275"/>
      <c r="DQ24" s="275"/>
      <c r="DR24" s="275"/>
      <c r="DS24" s="275"/>
      <c r="DT24" s="275"/>
      <c r="DU24" s="275"/>
      <c r="DV24" s="275"/>
      <c r="DW24" s="275"/>
      <c r="DX24" s="275"/>
      <c r="DY24" s="275"/>
      <c r="DZ24" s="275"/>
      <c r="EA24" s="275"/>
      <c r="EB24" s="275"/>
      <c r="EC24" s="275"/>
      <c r="ED24" s="275"/>
      <c r="EE24" s="275"/>
      <c r="EF24" s="275"/>
      <c r="EG24" s="275"/>
      <c r="EH24" s="275"/>
      <c r="EI24" s="275"/>
      <c r="EJ24" s="275"/>
      <c r="EK24" s="275"/>
      <c r="EL24" s="275"/>
      <c r="EM24" s="275"/>
      <c r="EN24" s="275" t="s">
        <v>294</v>
      </c>
      <c r="EO24" s="275"/>
      <c r="EP24" s="275"/>
      <c r="EQ24" s="275"/>
      <c r="ER24" s="275"/>
      <c r="ES24" s="275"/>
      <c r="ET24" s="275"/>
      <c r="EU24" s="275"/>
      <c r="EV24" s="275"/>
      <c r="EW24" s="275"/>
      <c r="EX24" s="275"/>
      <c r="EY24" s="275"/>
      <c r="EZ24" s="275"/>
      <c r="FA24" s="275"/>
      <c r="FB24" s="276"/>
      <c r="FC24" s="276"/>
      <c r="FD24" s="276"/>
      <c r="FE24" s="276"/>
      <c r="FF24" s="276"/>
      <c r="FG24" s="276"/>
      <c r="FH24" s="276"/>
      <c r="FI24" s="276"/>
      <c r="FJ24" s="276"/>
      <c r="FK24" s="276"/>
      <c r="FL24" s="276"/>
      <c r="FM24" s="276"/>
      <c r="FN24" s="276"/>
      <c r="FO24" s="276"/>
      <c r="FP24" s="276"/>
      <c r="FQ24" s="276"/>
      <c r="FR24" s="276"/>
      <c r="FS24" s="276"/>
      <c r="FT24" s="276"/>
      <c r="FU24" s="276"/>
      <c r="FV24" s="276"/>
      <c r="FW24" s="276"/>
      <c r="FX24" s="276"/>
      <c r="FY24" s="276"/>
      <c r="FZ24" s="276"/>
      <c r="GA24" s="276"/>
      <c r="GB24" s="276"/>
      <c r="GC24" s="276"/>
      <c r="GD24" s="276"/>
      <c r="GE24" s="276"/>
      <c r="GF24" s="276"/>
      <c r="GG24" s="276"/>
      <c r="GH24" s="276"/>
      <c r="GI24" s="276"/>
      <c r="GJ24" s="276"/>
      <c r="GK24" s="276"/>
      <c r="GL24" s="276"/>
      <c r="GM24" s="276"/>
      <c r="GN24" s="276"/>
      <c r="GO24" s="276"/>
      <c r="GP24" s="276"/>
      <c r="GQ24" s="276"/>
      <c r="GR24" s="276"/>
      <c r="GS24" s="276"/>
      <c r="GT24" s="276"/>
      <c r="GU24" s="276"/>
      <c r="GV24" s="276"/>
      <c r="GW24" s="276"/>
      <c r="GX24" s="276"/>
      <c r="GY24" s="276"/>
      <c r="GZ24" s="276"/>
      <c r="HA24" s="276"/>
      <c r="HB24" s="276"/>
      <c r="HC24" s="276"/>
      <c r="HD24" s="276"/>
      <c r="HE24" s="276"/>
      <c r="HF24" s="276"/>
      <c r="HG24" s="276"/>
      <c r="HH24" s="276"/>
      <c r="HI24" s="276"/>
      <c r="HJ24" s="213"/>
      <c r="HK24" s="213"/>
      <c r="HL24" s="213"/>
      <c r="HM24" s="213"/>
      <c r="HN24" s="213"/>
      <c r="HO24" s="213"/>
      <c r="HP24" s="213"/>
      <c r="HQ24" s="213"/>
      <c r="HR24" s="213"/>
      <c r="HS24" s="213"/>
      <c r="HT24" s="213"/>
      <c r="HU24" s="213"/>
      <c r="HV24" s="213"/>
      <c r="HW24" s="213"/>
      <c r="HX24" s="213"/>
      <c r="HY24" s="213"/>
      <c r="HZ24" s="213"/>
      <c r="IA24" s="213"/>
      <c r="IB24" s="213"/>
      <c r="IC24" s="213"/>
      <c r="ID24" s="213"/>
      <c r="IE24" s="213"/>
      <c r="IF24" s="213"/>
      <c r="IG24" s="213"/>
      <c r="IH24" s="213"/>
      <c r="II24" s="213"/>
      <c r="IJ24" s="213"/>
      <c r="IK24" s="213"/>
      <c r="IL24" s="229"/>
      <c r="IM24" s="229"/>
      <c r="IN24" s="229"/>
      <c r="IO24" s="229"/>
      <c r="IP24" s="229"/>
      <c r="IQ24" s="229"/>
      <c r="IR24" s="229"/>
      <c r="IS24" s="229"/>
      <c r="IT24" s="229"/>
      <c r="IU24" s="229"/>
      <c r="IV24" s="229"/>
      <c r="IW24" s="229"/>
      <c r="IX24" s="229"/>
      <c r="IY24" s="229"/>
      <c r="IZ24" s="229"/>
      <c r="JA24" s="229"/>
      <c r="JB24" s="229"/>
      <c r="JC24" s="229"/>
      <c r="JD24" s="229"/>
      <c r="JE24" s="229"/>
      <c r="JF24" s="229"/>
      <c r="JG24" s="229"/>
      <c r="JH24" s="229"/>
      <c r="JI24" s="229"/>
      <c r="JJ24" s="229"/>
      <c r="JK24" s="229"/>
      <c r="JL24" s="229"/>
      <c r="JM24" s="229"/>
      <c r="JN24" s="229"/>
      <c r="JO24" s="229"/>
      <c r="JP24" s="229"/>
      <c r="JQ24" s="229"/>
      <c r="JR24" s="229"/>
      <c r="JS24" s="229"/>
      <c r="JT24" s="229"/>
      <c r="JU24" s="229"/>
      <c r="JV24" s="229"/>
      <c r="JW24" s="229"/>
      <c r="JX24" s="229"/>
      <c r="JY24" s="229"/>
      <c r="JZ24" s="229"/>
      <c r="KA24" s="229"/>
      <c r="KN24" s="1334"/>
      <c r="KU24" s="1" t="s">
        <v>295</v>
      </c>
    </row>
    <row r="25" spans="1:307" ht="13.9" customHeight="1" x14ac:dyDescent="0.2">
      <c r="A25" s="213" t="s">
        <v>456</v>
      </c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3"/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B25" s="213"/>
      <c r="BC25" s="213"/>
      <c r="BD25" s="213"/>
      <c r="BE25" s="213"/>
      <c r="BF25" s="213"/>
      <c r="BG25" s="213"/>
      <c r="BH25" s="213"/>
      <c r="BI25" s="213"/>
      <c r="BJ25" s="213"/>
      <c r="BK25" s="213"/>
      <c r="BL25" s="213"/>
      <c r="BM25" s="213"/>
      <c r="BN25" s="213"/>
      <c r="BO25" s="213"/>
      <c r="BP25" s="213"/>
      <c r="BQ25" s="213"/>
      <c r="BR25" s="213"/>
      <c r="BS25" s="213"/>
      <c r="BT25" s="213"/>
      <c r="BU25" s="213"/>
      <c r="BV25" s="213"/>
      <c r="BW25" s="213"/>
      <c r="BX25" s="213"/>
      <c r="BY25" s="213"/>
      <c r="BZ25" s="213"/>
      <c r="CA25" s="213"/>
      <c r="CB25" s="213"/>
      <c r="CC25" s="213"/>
      <c r="CD25" s="213"/>
      <c r="CE25" s="213"/>
      <c r="CF25" s="213"/>
      <c r="CG25" s="275"/>
      <c r="CH25" s="275"/>
      <c r="CI25" s="275"/>
      <c r="CJ25" s="275"/>
      <c r="CK25" s="275"/>
      <c r="CL25" s="275"/>
      <c r="CM25" s="275"/>
      <c r="CN25" s="275"/>
      <c r="CO25" s="275"/>
      <c r="CP25" s="275"/>
      <c r="CQ25" s="275"/>
      <c r="CR25" s="275"/>
      <c r="CS25" s="275"/>
      <c r="CT25" s="275"/>
      <c r="CU25" s="275"/>
      <c r="CV25" s="275"/>
      <c r="CW25" s="275"/>
      <c r="CX25" s="275"/>
      <c r="CY25" s="275"/>
      <c r="CZ25" s="275"/>
      <c r="DA25" s="275"/>
      <c r="DB25" s="275"/>
      <c r="DC25" s="275"/>
      <c r="DD25" s="275"/>
      <c r="DE25" s="275"/>
      <c r="DF25" s="275"/>
      <c r="DG25" s="275"/>
      <c r="DH25" s="275"/>
      <c r="DI25" s="275"/>
      <c r="DJ25" s="275"/>
      <c r="DK25" s="275"/>
      <c r="DL25" s="275"/>
      <c r="DM25" s="275"/>
      <c r="DN25" s="275"/>
      <c r="DO25" s="275"/>
      <c r="DP25" s="275"/>
      <c r="DQ25" s="275"/>
      <c r="DR25" s="275"/>
      <c r="DS25" s="275"/>
      <c r="DT25" s="275"/>
      <c r="DU25" s="275"/>
      <c r="DV25" s="275"/>
      <c r="DW25" s="275"/>
      <c r="DX25" s="275"/>
      <c r="DY25" s="275"/>
      <c r="DZ25" s="275"/>
      <c r="EA25" s="275"/>
      <c r="EB25" s="275"/>
      <c r="EC25" s="275"/>
      <c r="ED25" s="275"/>
      <c r="EE25" s="275"/>
      <c r="EF25" s="275"/>
      <c r="EG25" s="275"/>
      <c r="EH25" s="275"/>
      <c r="EI25" s="275"/>
      <c r="EJ25" s="275"/>
      <c r="EK25" s="275"/>
      <c r="EL25" s="275"/>
      <c r="EM25" s="275"/>
      <c r="EN25" s="275"/>
      <c r="EO25" s="275"/>
      <c r="EP25" s="275"/>
      <c r="EQ25" s="275"/>
      <c r="ER25" s="275"/>
      <c r="ES25" s="275"/>
      <c r="ET25" s="275"/>
      <c r="EU25" s="275"/>
      <c r="EV25" s="275"/>
      <c r="EW25" s="275"/>
      <c r="EX25" s="275"/>
      <c r="EY25" s="275"/>
      <c r="EZ25" s="275"/>
      <c r="FA25" s="275"/>
      <c r="FB25" s="276"/>
      <c r="FC25" s="276"/>
      <c r="FD25" s="276"/>
      <c r="FE25" s="276"/>
      <c r="FF25" s="276"/>
      <c r="FG25" s="276"/>
      <c r="FH25" s="276"/>
      <c r="FI25" s="276"/>
      <c r="FJ25" s="276"/>
      <c r="FK25" s="276"/>
      <c r="FL25" s="276"/>
      <c r="FM25" s="276"/>
      <c r="FN25" s="276"/>
      <c r="FO25" s="276"/>
      <c r="FP25" s="274"/>
      <c r="FQ25" s="274"/>
      <c r="FR25" s="274"/>
      <c r="FS25" s="274"/>
      <c r="FT25" s="274"/>
      <c r="FU25" s="274"/>
      <c r="FV25" s="274"/>
      <c r="FW25" s="274"/>
      <c r="FX25" s="274"/>
      <c r="FY25" s="274"/>
      <c r="FZ25" s="274"/>
      <c r="GA25" s="276"/>
      <c r="GB25" s="276"/>
      <c r="GC25" s="276"/>
      <c r="GD25" s="276"/>
      <c r="GE25" s="276"/>
      <c r="GF25" s="276"/>
      <c r="GG25" s="276"/>
      <c r="GH25" s="276"/>
      <c r="GI25" s="276"/>
      <c r="GJ25" s="276"/>
      <c r="GK25" s="276"/>
      <c r="GL25" s="276"/>
      <c r="GM25" s="276"/>
      <c r="GN25" s="276"/>
      <c r="GO25" s="276"/>
      <c r="GP25" s="276"/>
      <c r="GQ25" s="276"/>
      <c r="GR25" s="276"/>
      <c r="GS25" s="276"/>
      <c r="GT25" s="276"/>
      <c r="GU25" s="276"/>
      <c r="GV25" s="276"/>
      <c r="GW25" s="276"/>
      <c r="GX25" s="276"/>
      <c r="GY25" s="276"/>
      <c r="GZ25" s="276"/>
      <c r="HA25" s="276"/>
      <c r="HB25" s="276"/>
      <c r="HC25" s="276"/>
      <c r="HD25" s="276"/>
      <c r="HE25" s="276"/>
      <c r="HF25" s="276"/>
      <c r="HG25" s="276"/>
      <c r="HH25" s="276"/>
      <c r="HI25" s="276"/>
      <c r="HJ25" s="213"/>
      <c r="HK25" s="275"/>
      <c r="HL25" s="275"/>
      <c r="HM25" s="275"/>
      <c r="HN25" s="275"/>
      <c r="HO25" s="275"/>
      <c r="HP25" s="275"/>
      <c r="HQ25" s="275"/>
      <c r="HR25" s="275"/>
      <c r="HS25" s="275"/>
      <c r="HT25" s="275"/>
      <c r="HU25" s="275"/>
      <c r="HV25" s="275"/>
      <c r="HW25" s="275"/>
      <c r="HX25" s="275"/>
      <c r="HY25" s="275"/>
      <c r="HZ25" s="275"/>
      <c r="IA25" s="275"/>
      <c r="IB25" s="275"/>
      <c r="IC25" s="275"/>
      <c r="ID25" s="275"/>
      <c r="IE25" s="275"/>
      <c r="IF25" s="275"/>
      <c r="IG25" s="275"/>
      <c r="IH25" s="275"/>
      <c r="II25" s="275"/>
      <c r="IJ25" s="275"/>
      <c r="IK25" s="275"/>
      <c r="KN25" s="1334"/>
    </row>
    <row r="26" spans="1:307" ht="13.9" customHeight="1" x14ac:dyDescent="0.2">
      <c r="A26" s="213" t="s">
        <v>383</v>
      </c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67">
        <v>1.6937882687875987</v>
      </c>
      <c r="P26" s="267">
        <v>1.6898925557693871</v>
      </c>
      <c r="Q26" s="267">
        <v>1.7008768573818882</v>
      </c>
      <c r="R26" s="267">
        <v>1.7029179096107467</v>
      </c>
      <c r="S26" s="267">
        <v>1.7051317028932405</v>
      </c>
      <c r="T26" s="267">
        <v>1.7095650453207627</v>
      </c>
      <c r="U26" s="267">
        <v>1.7112746103660836</v>
      </c>
      <c r="V26" s="267">
        <v>1.70819431606742</v>
      </c>
      <c r="W26" s="267">
        <v>1.7066569411829642</v>
      </c>
      <c r="X26" s="267">
        <v>1.7090462609006203</v>
      </c>
      <c r="Y26" s="267">
        <v>1.7102425932832506</v>
      </c>
      <c r="Z26" s="267">
        <v>1.7174256121750404</v>
      </c>
      <c r="AA26" s="213"/>
      <c r="AB26" s="267">
        <v>1.7260127402359153</v>
      </c>
      <c r="AC26" s="267">
        <v>1.735505810307213</v>
      </c>
      <c r="AD26" s="267">
        <v>1.7434891370346262</v>
      </c>
      <c r="AE26" s="267">
        <v>1.7523809316335026</v>
      </c>
      <c r="AF26" s="267">
        <v>1.743093312695845</v>
      </c>
      <c r="AG26" s="267">
        <v>1.7408272913893403</v>
      </c>
      <c r="AH26" s="267">
        <v>1.7378678849939786</v>
      </c>
      <c r="AI26" s="267">
        <v>1.7403009000329701</v>
      </c>
      <c r="AJ26" s="267">
        <v>1.7408229903029797</v>
      </c>
      <c r="AK26" s="267">
        <v>1.741519319499101</v>
      </c>
      <c r="AL26" s="267">
        <v>1.7366430654045035</v>
      </c>
      <c r="AM26" s="267">
        <v>1.737164058324125</v>
      </c>
      <c r="AN26" s="267"/>
      <c r="AO26" s="267">
        <v>1.7373377999999999</v>
      </c>
      <c r="AP26" s="267">
        <v>1.7418499999999999</v>
      </c>
      <c r="AQ26" s="267">
        <v>1.7479513449295598</v>
      </c>
      <c r="AR26" s="267">
        <v>1.7510976570000001</v>
      </c>
      <c r="AS26" s="267">
        <v>1.7596780359999999</v>
      </c>
      <c r="AT26" s="267">
        <v>1.767948523</v>
      </c>
      <c r="AU26" s="267">
        <v>1.7764346755</v>
      </c>
      <c r="AV26" s="267">
        <v>1.7789216800000001</v>
      </c>
      <c r="AW26" s="267">
        <v>1.7897730999999999</v>
      </c>
      <c r="AX26" s="267">
        <v>1.7953214019999999</v>
      </c>
      <c r="AY26" s="267">
        <v>1.79729625</v>
      </c>
      <c r="AZ26" s="267">
        <v>1.8053840999999999</v>
      </c>
      <c r="BB26" s="267">
        <v>1.8093559299999999</v>
      </c>
      <c r="BC26" s="267">
        <v>1.8258510699999999</v>
      </c>
      <c r="BD26" s="267">
        <v>1.84480961</v>
      </c>
      <c r="BE26" s="267">
        <v>1.84758</v>
      </c>
      <c r="BF26" s="267">
        <v>1.8544099999999999</v>
      </c>
      <c r="BG26" s="267">
        <v>1.86869</v>
      </c>
      <c r="BH26" s="267">
        <v>1.8791599999999999</v>
      </c>
      <c r="BI26" s="267">
        <v>1.8902399999999999</v>
      </c>
      <c r="BJ26" s="267">
        <v>1.9010199999999999</v>
      </c>
      <c r="BK26" s="267">
        <v>1.9126099999999999</v>
      </c>
      <c r="BL26" s="267">
        <v>1.9185399999999999</v>
      </c>
      <c r="BM26" s="267">
        <v>1.9254499953275808</v>
      </c>
      <c r="BN26" s="267"/>
      <c r="BO26" s="267">
        <v>1.9275679903224412</v>
      </c>
      <c r="BP26" s="267">
        <v>1.9262186927292158</v>
      </c>
      <c r="BQ26" s="267">
        <v>1.9331530800230408</v>
      </c>
      <c r="BR26" s="267">
        <v>1.9335397106390453</v>
      </c>
      <c r="BS26" s="267">
        <v>1.9327662947547894</v>
      </c>
      <c r="BT26" s="267">
        <v>1.9261948893526231</v>
      </c>
      <c r="BU26" s="267">
        <v>1.9298500000000001</v>
      </c>
      <c r="BV26" s="267">
        <v>1.9258</v>
      </c>
      <c r="BW26" s="267">
        <v>1.9240687430887724</v>
      </c>
      <c r="BX26" s="267">
        <v>1.9263776255804792</v>
      </c>
      <c r="BY26" s="267">
        <v>1.9242586101923407</v>
      </c>
      <c r="BZ26" s="267">
        <v>1.93042</v>
      </c>
      <c r="CA26" s="267"/>
      <c r="CB26" s="267">
        <v>1.93621</v>
      </c>
      <c r="CC26" s="267">
        <v>1.9423999999999999</v>
      </c>
      <c r="CD26" s="267">
        <v>1.94784</v>
      </c>
      <c r="CE26" s="267">
        <v>1.9484300000000001</v>
      </c>
      <c r="CF26" s="277">
        <v>1.9531000000000001</v>
      </c>
      <c r="CG26" s="267">
        <v>1.9579800000000001</v>
      </c>
      <c r="CH26" s="267">
        <v>1.9650300000000001</v>
      </c>
      <c r="CI26" s="277">
        <v>1.9609030000000001</v>
      </c>
      <c r="CJ26" s="267">
        <v>1.9697480000000001</v>
      </c>
      <c r="CK26" s="267">
        <v>1.9669909999999999</v>
      </c>
      <c r="CL26" s="267">
        <v>1.96719</v>
      </c>
      <c r="CM26" s="267">
        <v>1.970729</v>
      </c>
      <c r="CN26" s="267"/>
      <c r="CO26" s="267">
        <v>1.9784139999999999</v>
      </c>
      <c r="CP26" s="267">
        <v>1.98593</v>
      </c>
      <c r="CQ26" s="267">
        <v>1.99983</v>
      </c>
      <c r="CR26" s="267">
        <v>2.0134300000000001</v>
      </c>
      <c r="CS26" s="267">
        <v>2.0130300000000001</v>
      </c>
      <c r="CT26" s="267">
        <v>2.0150399999999999</v>
      </c>
      <c r="CU26" s="268">
        <v>2.0309599999999999</v>
      </c>
      <c r="CV26" s="268">
        <v>2.0364499999999999</v>
      </c>
      <c r="CW26" s="268">
        <v>2.0431699999999999</v>
      </c>
      <c r="CX26" s="268">
        <v>2.0495000000000001</v>
      </c>
      <c r="CY26" s="268">
        <v>2.0583100000000001</v>
      </c>
      <c r="CZ26" s="268">
        <v>2.0638700000000001</v>
      </c>
      <c r="DA26" s="278"/>
      <c r="DB26" s="268">
        <v>2.0618099999999999</v>
      </c>
      <c r="DC26" s="268">
        <v>2.0684</v>
      </c>
      <c r="DD26" s="268">
        <v>2.08433</v>
      </c>
      <c r="DE26" s="268">
        <v>2.0954000000000002</v>
      </c>
      <c r="DF26" s="268">
        <v>2.0962000000000001</v>
      </c>
      <c r="DG26" s="268">
        <v>2.0954000000000002</v>
      </c>
      <c r="DH26" s="268">
        <v>2.0973000000000002</v>
      </c>
      <c r="DI26" s="268">
        <v>2.1080000000000001</v>
      </c>
      <c r="DJ26" s="268">
        <v>2.1193</v>
      </c>
      <c r="DK26" s="268">
        <v>2.1160000000000001</v>
      </c>
      <c r="DL26" s="268">
        <v>2.113</v>
      </c>
      <c r="DM26" s="268">
        <v>2.1185</v>
      </c>
      <c r="DN26" s="268"/>
      <c r="DO26" s="268">
        <v>2.121</v>
      </c>
      <c r="DP26" s="268">
        <v>2.1191</v>
      </c>
      <c r="DQ26" s="268">
        <v>2.1383999999999999</v>
      </c>
      <c r="DR26" s="268">
        <v>2.1438000000000001</v>
      </c>
      <c r="DS26" s="268">
        <v>2.1478199999999998</v>
      </c>
      <c r="DT26" s="268">
        <v>2.1534</v>
      </c>
      <c r="DU26" s="268">
        <v>2.1652499999999999</v>
      </c>
      <c r="DV26" s="268">
        <v>2.1769400000000001</v>
      </c>
      <c r="DW26" s="268">
        <v>2.1793300000000002</v>
      </c>
      <c r="DX26" s="268">
        <v>2.1802100000000002</v>
      </c>
      <c r="DY26" s="268">
        <v>2.1754099999999998</v>
      </c>
      <c r="DZ26" s="268">
        <v>2.1791100000000001</v>
      </c>
      <c r="EA26" s="268"/>
      <c r="EB26" s="268">
        <v>2.1861000000000002</v>
      </c>
      <c r="EC26" s="268">
        <v>2.1991999999999998</v>
      </c>
      <c r="ED26" s="268">
        <v>2.2105999999999999</v>
      </c>
      <c r="EE26" s="268">
        <v>2.2193000000000001</v>
      </c>
      <c r="EF26" s="268">
        <v>2.2244000000000002</v>
      </c>
      <c r="EG26" s="268">
        <v>2.2279</v>
      </c>
      <c r="EH26" s="268">
        <v>2.2374999999999998</v>
      </c>
      <c r="EI26" s="268">
        <v>2.2355</v>
      </c>
      <c r="EJ26" s="268">
        <v>2.2391000000000001</v>
      </c>
      <c r="EK26" s="268">
        <v>2.2475999999999998</v>
      </c>
      <c r="EL26" s="268">
        <v>2.2442000000000002</v>
      </c>
      <c r="EM26" s="268">
        <v>2.2494000000000001</v>
      </c>
      <c r="EN26" s="268"/>
      <c r="EO26" s="268">
        <v>2.2532000000000001</v>
      </c>
      <c r="EP26" s="268">
        <v>2.2599</v>
      </c>
      <c r="EQ26" s="268">
        <v>2.2770999999999999</v>
      </c>
      <c r="ER26" s="268">
        <v>2.286</v>
      </c>
      <c r="ES26" s="268">
        <v>2.2988</v>
      </c>
      <c r="ET26" s="268">
        <v>2.3060399999999999</v>
      </c>
      <c r="EU26" s="268">
        <v>1.3083499999999999</v>
      </c>
      <c r="EV26" s="268">
        <v>1.31332</v>
      </c>
      <c r="EW26" s="268">
        <v>1.31372</v>
      </c>
      <c r="EX26" s="268">
        <v>1.3155600000000001</v>
      </c>
      <c r="EY26" s="268">
        <v>1.320003</v>
      </c>
      <c r="EZ26" s="268">
        <v>1.3259700000000001</v>
      </c>
      <c r="FA26" s="268"/>
      <c r="FB26" s="274">
        <v>1.3308800000000001</v>
      </c>
      <c r="FC26" s="274">
        <v>1.33314</v>
      </c>
      <c r="FD26" s="274">
        <v>1.34114</v>
      </c>
      <c r="FE26" s="274">
        <v>1.34127</v>
      </c>
      <c r="FF26" s="274">
        <v>1.34409</v>
      </c>
      <c r="FG26" s="274">
        <v>1.3459700000000001</v>
      </c>
      <c r="FH26" s="274">
        <v>1.3470500000000001</v>
      </c>
      <c r="FI26" s="274">
        <v>1.3519000000000001</v>
      </c>
      <c r="FJ26" s="274">
        <v>1.3547400000000001</v>
      </c>
      <c r="FK26" s="274">
        <v>1.36029</v>
      </c>
      <c r="FL26" s="274">
        <v>1.3642399999999999</v>
      </c>
      <c r="FM26" s="274">
        <v>1.3687400000000001</v>
      </c>
      <c r="FN26" s="274"/>
      <c r="FO26" s="274">
        <v>1.37202</v>
      </c>
      <c r="FP26" s="274">
        <v>1.3764099999999999</v>
      </c>
      <c r="FQ26" s="274">
        <v>1.3943099999999999</v>
      </c>
      <c r="FR26" s="274">
        <v>1.3906799999999999</v>
      </c>
      <c r="FS26" s="274">
        <v>1.3848400000000001</v>
      </c>
      <c r="FT26" s="274">
        <v>1.38262</v>
      </c>
      <c r="FU26" s="274">
        <v>1.3853899999999999</v>
      </c>
      <c r="FV26" s="274">
        <v>1.3946700000000001</v>
      </c>
      <c r="FW26" s="274">
        <v>1.39439</v>
      </c>
      <c r="FX26" s="274">
        <v>1.38784</v>
      </c>
      <c r="FY26" s="274">
        <v>1.385063126928862</v>
      </c>
      <c r="FZ26" s="274">
        <v>1.3872792279319484</v>
      </c>
      <c r="GA26" s="274"/>
      <c r="GB26" s="274">
        <v>1.3890826909282596</v>
      </c>
      <c r="GC26" s="274">
        <v>1.3925553976555805</v>
      </c>
      <c r="GD26" s="274">
        <v>1.3993789191040926</v>
      </c>
      <c r="GE26" s="274">
        <v>1.3974197886173472</v>
      </c>
      <c r="GF26" s="274">
        <v>1.3976992725750705</v>
      </c>
      <c r="GG26" s="274">
        <v>1.4023116801745681</v>
      </c>
      <c r="GH26" s="274">
        <v>1.4076404645592313</v>
      </c>
      <c r="GI26" s="274">
        <v>1.4094703971631584</v>
      </c>
      <c r="GJ26" s="274">
        <v>1.4121483909177683</v>
      </c>
      <c r="GK26" s="274">
        <v>1.4132781096305025</v>
      </c>
      <c r="GL26" s="274">
        <v>1.414974043362059</v>
      </c>
      <c r="GM26" s="274">
        <v>1.4175209966401108</v>
      </c>
      <c r="GN26" s="274"/>
      <c r="GO26" s="274">
        <v>1.4185132613377587</v>
      </c>
      <c r="GP26" s="274">
        <v>1.4203573285774977</v>
      </c>
      <c r="GQ26" s="274">
        <v>1.4307259370761134</v>
      </c>
      <c r="GR26" s="274">
        <v>1.4335873889502657</v>
      </c>
      <c r="GS26" s="274">
        <v>1.4357377700336911</v>
      </c>
      <c r="GT26" s="274">
        <v>1.4344456060406601</v>
      </c>
      <c r="GU26" s="274">
        <v>1.4373144972527421</v>
      </c>
      <c r="GV26" s="274">
        <v>1.4381768859510939</v>
      </c>
      <c r="GW26" s="274">
        <v>1.438320703639689</v>
      </c>
      <c r="GX26" s="274">
        <v>1.4399028564136926</v>
      </c>
      <c r="GY26" s="274">
        <v>1.4414867495557475</v>
      </c>
      <c r="GZ26" s="274">
        <v>1.4445138717298147</v>
      </c>
      <c r="HA26" s="274"/>
      <c r="HB26" s="274">
        <v>1.4452361286656796</v>
      </c>
      <c r="HC26" s="274">
        <v>1.4472594592458117</v>
      </c>
      <c r="HD26" s="274">
        <v>1.4566666457309094</v>
      </c>
      <c r="HE26" s="274">
        <v>1.4581233123766402</v>
      </c>
      <c r="HF26" s="274">
        <v>1.4610395590013934</v>
      </c>
      <c r="HG26" s="274">
        <v>1.4570947521920896</v>
      </c>
      <c r="HH26" s="274">
        <v>1.4637973880521731</v>
      </c>
      <c r="HI26" s="274">
        <v>1.46218721092532</v>
      </c>
      <c r="HJ26" s="274">
        <v>1.4642342730206099</v>
      </c>
      <c r="HK26" s="274">
        <v>1.4645271198752159</v>
      </c>
      <c r="HL26" s="274">
        <v>1.472142660898567</v>
      </c>
      <c r="HM26" s="274">
        <v>1.4728787322290162</v>
      </c>
      <c r="HN26" s="274"/>
      <c r="HO26" s="274">
        <v>1.4837780348475111</v>
      </c>
      <c r="HP26" s="274">
        <v>1.4818491234022095</v>
      </c>
      <c r="HQ26" s="274">
        <v>1.494296656038788</v>
      </c>
      <c r="HR26" s="274">
        <v>1.4928023593827493</v>
      </c>
      <c r="HS26" s="274">
        <v>1.4968329257530826</v>
      </c>
      <c r="HT26" s="268">
        <v>1.504616456967</v>
      </c>
      <c r="HU26" s="268">
        <v>1.5198130831823653</v>
      </c>
      <c r="HV26" s="268">
        <v>1.5347072513975526</v>
      </c>
      <c r="HW26" s="268">
        <v>1.5408460804031427</v>
      </c>
      <c r="HX26" s="268">
        <v>1.5497829876694811</v>
      </c>
      <c r="HY26" s="268">
        <v>1.5553622064250914</v>
      </c>
      <c r="HZ26" s="268">
        <v>1.5674940316352071</v>
      </c>
      <c r="IA26" s="268"/>
      <c r="IB26" s="267">
        <v>1.5681210292478611</v>
      </c>
      <c r="IC26" s="267">
        <v>1.5730050411382599</v>
      </c>
      <c r="ID26" s="267">
        <v>1.5962855157471061</v>
      </c>
      <c r="IE26" s="267">
        <v>1.6116098566982784</v>
      </c>
      <c r="IF26" s="267">
        <v>1.617733974153732</v>
      </c>
      <c r="IG26" s="267">
        <v>1.6369850084461615</v>
      </c>
      <c r="IH26" s="267">
        <v>1.6523726675255554</v>
      </c>
      <c r="II26" s="267">
        <v>1.6634435643979766</v>
      </c>
      <c r="IJ26" s="267">
        <v>1.6720934709328463</v>
      </c>
      <c r="IK26" s="267">
        <v>1.6779457980811114</v>
      </c>
      <c r="IL26" s="269">
        <v>1.6866711162311334</v>
      </c>
      <c r="IM26" s="269">
        <v>1.6999958180493595</v>
      </c>
      <c r="IN26" s="269"/>
      <c r="IO26" s="269">
        <v>1.7039058084308729</v>
      </c>
      <c r="IP26" s="269">
        <v>1.7088471352753223</v>
      </c>
      <c r="IQ26" s="269">
        <v>1.7302077244662637</v>
      </c>
      <c r="IR26" s="269">
        <v>1.7398968877232748</v>
      </c>
      <c r="IS26" s="269">
        <v>1.7454645577639893</v>
      </c>
      <c r="IT26" s="269">
        <v>1.7428463609273399</v>
      </c>
      <c r="IU26" s="269">
        <v>1.7496434617349601</v>
      </c>
      <c r="IV26" s="269">
        <v>1.756292106889553</v>
      </c>
      <c r="IW26" s="269">
        <v>1.7566433653109308</v>
      </c>
      <c r="IX26" s="269">
        <v>1.7510221065419358</v>
      </c>
      <c r="IY26" s="269">
        <v>1.7482204711714686</v>
      </c>
      <c r="IZ26" s="269">
        <v>1.7553881751032716</v>
      </c>
      <c r="JA26" s="269"/>
      <c r="JB26" s="269">
        <v>1.7557392527382922</v>
      </c>
      <c r="JC26" s="269">
        <v>1.7655713925536267</v>
      </c>
      <c r="JD26" s="269">
        <v>1.7834036636184183</v>
      </c>
      <c r="JE26" s="269">
        <v>1.7825119617866092</v>
      </c>
      <c r="JF26" s="269">
        <v>1.7809077010210013</v>
      </c>
      <c r="JG26" s="269">
        <v>1.7830447902622266</v>
      </c>
      <c r="JH26" s="269">
        <v>1.7873240977588558</v>
      </c>
      <c r="JI26" s="269">
        <v>1.7923286052325804</v>
      </c>
      <c r="JJ26" s="269">
        <v>1.7880270165800223</v>
      </c>
      <c r="JK26" s="269">
        <v>1.7864177922651003</v>
      </c>
      <c r="JL26" s="269">
        <v>1.7880255682781387</v>
      </c>
      <c r="JM26" s="269">
        <v>1.7899923964032449</v>
      </c>
      <c r="JN26" s="269"/>
      <c r="JO26" s="269">
        <v>1.788381403246482</v>
      </c>
      <c r="JP26" s="269">
        <v>1.7917793279126504</v>
      </c>
      <c r="JQ26" s="269">
        <v>1.8062927404687428</v>
      </c>
      <c r="JR26" s="269">
        <v>1.8120728772382428</v>
      </c>
      <c r="JS26" s="269">
        <v>1.8109856335118999</v>
      </c>
      <c r="JT26" s="269">
        <v>1.8133399148354654</v>
      </c>
      <c r="JU26" s="269">
        <v>1.817510596639587</v>
      </c>
      <c r="JV26" s="269">
        <v>1.8122398159093323</v>
      </c>
      <c r="JW26" s="269">
        <v>1.8124210398909231</v>
      </c>
      <c r="JX26" s="269">
        <v>1.8106086188510322</v>
      </c>
      <c r="JY26" s="269">
        <v>1.8126002883317684</v>
      </c>
      <c r="JZ26" s="269">
        <v>1.8169505290237646</v>
      </c>
      <c r="KA26" s="269"/>
      <c r="KB26" s="269">
        <v>1.8187674795527882</v>
      </c>
      <c r="KC26" s="1606">
        <v>1.8313169751617022</v>
      </c>
      <c r="KD26" s="1606">
        <v>1.8749023191705507</v>
      </c>
      <c r="KE26" s="1606">
        <v>1.8846518112302377</v>
      </c>
      <c r="KF26" s="1606">
        <v>1.8816363683322692</v>
      </c>
      <c r="KG26" s="1606">
        <v>1.8859641319794334</v>
      </c>
      <c r="KH26" s="1606">
        <v>1.8914334279621736</v>
      </c>
      <c r="KI26" s="1606">
        <v>1.892757431361747</v>
      </c>
      <c r="KN26" s="1334"/>
    </row>
    <row r="27" spans="1:307" ht="13.9" customHeight="1" x14ac:dyDescent="0.2">
      <c r="A27" s="6" t="s">
        <v>352</v>
      </c>
      <c r="B27" s="39">
        <f>YEAR(B28)</f>
        <v>2004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103" t="s">
        <v>29</v>
      </c>
      <c r="O27" s="39">
        <f>YEAR(O28)</f>
        <v>2005</v>
      </c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103" t="s">
        <v>29</v>
      </c>
      <c r="AB27" s="39">
        <f>YEAR(AB28)</f>
        <v>2006</v>
      </c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103" t="s">
        <v>29</v>
      </c>
      <c r="AO27" s="39">
        <f>YEAR(AO28)</f>
        <v>2007</v>
      </c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103" t="s">
        <v>29</v>
      </c>
      <c r="BB27" s="39">
        <f>YEAR(BB28)</f>
        <v>2008</v>
      </c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103" t="s">
        <v>29</v>
      </c>
      <c r="BO27" s="39">
        <f>YEAR(BO28)</f>
        <v>2009</v>
      </c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103" t="s">
        <v>29</v>
      </c>
      <c r="CB27" s="39">
        <f>YEAR(CB28)</f>
        <v>2010</v>
      </c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103" t="s">
        <v>29</v>
      </c>
      <c r="CO27" s="39">
        <f>YEAR(CO28)</f>
        <v>2011</v>
      </c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103" t="s">
        <v>29</v>
      </c>
      <c r="DB27" s="39">
        <f>YEAR(DB28)</f>
        <v>2012</v>
      </c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103" t="s">
        <v>29</v>
      </c>
      <c r="DO27" s="39">
        <f>YEAR(DO28)</f>
        <v>2013</v>
      </c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103" t="s">
        <v>29</v>
      </c>
      <c r="EB27" s="39">
        <f>YEAR(EB28)</f>
        <v>2014</v>
      </c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103" t="s">
        <v>29</v>
      </c>
      <c r="EO27" s="39">
        <f>YEAR(EO28)</f>
        <v>2015</v>
      </c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103" t="s">
        <v>29</v>
      </c>
      <c r="FB27" s="39">
        <f>YEAR(FB28)</f>
        <v>2016</v>
      </c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103" t="s">
        <v>29</v>
      </c>
      <c r="FO27" s="39">
        <f>YEAR(FO28)</f>
        <v>2017</v>
      </c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103" t="s">
        <v>29</v>
      </c>
      <c r="GB27" s="39">
        <f>YEAR(GB28)</f>
        <v>2018</v>
      </c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103" t="s">
        <v>29</v>
      </c>
      <c r="GO27" s="39">
        <f>YEAR(GO28)</f>
        <v>2019</v>
      </c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103" t="s">
        <v>29</v>
      </c>
      <c r="HB27" s="39">
        <f>YEAR(HB28)</f>
        <v>2020</v>
      </c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103" t="s">
        <v>29</v>
      </c>
      <c r="HO27" s="39">
        <f>YEAR(HO28)</f>
        <v>2021</v>
      </c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103" t="s">
        <v>29</v>
      </c>
      <c r="IB27" s="39">
        <f>YEAR(IB28)</f>
        <v>2022</v>
      </c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103" t="s">
        <v>29</v>
      </c>
      <c r="IO27" s="39">
        <f>YEAR(IO28)</f>
        <v>2023</v>
      </c>
      <c r="IP27" s="40"/>
      <c r="IQ27" s="40"/>
      <c r="IR27" s="40"/>
      <c r="IS27" s="40"/>
      <c r="IT27" s="40"/>
      <c r="IU27" s="40"/>
      <c r="IV27" s="40"/>
      <c r="IW27" s="40"/>
      <c r="IX27" s="40"/>
      <c r="IY27" s="40"/>
      <c r="IZ27" s="40"/>
      <c r="JA27" s="103" t="s">
        <v>29</v>
      </c>
      <c r="JB27" s="39">
        <f>YEAR(JB28)</f>
        <v>2024</v>
      </c>
      <c r="JC27" s="40"/>
      <c r="JD27" s="40"/>
      <c r="JE27" s="40"/>
      <c r="JF27" s="40"/>
      <c r="JG27" s="40"/>
      <c r="JH27" s="40"/>
      <c r="JI27" s="40"/>
      <c r="JJ27" s="40"/>
      <c r="JK27" s="40"/>
      <c r="JL27" s="40"/>
      <c r="JM27" s="40"/>
      <c r="JN27" s="103" t="s">
        <v>29</v>
      </c>
      <c r="JO27" s="39">
        <f>YEAR(JO28)</f>
        <v>2025</v>
      </c>
      <c r="JP27" s="40"/>
      <c r="JQ27" s="40"/>
      <c r="JR27" s="40"/>
      <c r="JS27" s="40"/>
      <c r="JT27" s="40"/>
      <c r="JU27" s="40"/>
      <c r="JV27" s="40"/>
      <c r="JW27" s="40"/>
      <c r="JX27" s="40"/>
      <c r="JY27" s="40"/>
      <c r="JZ27" s="40"/>
      <c r="KA27" s="103" t="s">
        <v>29</v>
      </c>
      <c r="KB27" s="1689">
        <v>2026</v>
      </c>
      <c r="KC27" s="1690"/>
      <c r="KD27" s="1690"/>
      <c r="KE27" s="1690"/>
      <c r="KF27" s="1690"/>
      <c r="KG27" s="1690"/>
      <c r="KH27" s="1690"/>
      <c r="KI27" s="1690"/>
      <c r="KJ27" s="1690"/>
      <c r="KK27" s="1690"/>
      <c r="KL27" s="1690"/>
      <c r="KM27" s="1691"/>
      <c r="KN27" s="1320" t="s">
        <v>29</v>
      </c>
      <c r="KP27" s="1683" t="str">
        <f>CONCATENATE("Var.% ",KS27,"/",KS27-1)</f>
        <v>Var.% 2026/2025</v>
      </c>
      <c r="KQ27" s="1684"/>
      <c r="KR27" s="41">
        <f>KS27-1</f>
        <v>2025</v>
      </c>
      <c r="KS27" s="41">
        <f>KN28</f>
        <v>2026</v>
      </c>
    </row>
    <row r="28" spans="1:307" ht="13.9" customHeight="1" x14ac:dyDescent="0.2">
      <c r="A28" s="37" t="s">
        <v>352</v>
      </c>
      <c r="B28" s="68">
        <v>37987</v>
      </c>
      <c r="C28" s="69">
        <v>38018</v>
      </c>
      <c r="D28" s="69">
        <v>38047</v>
      </c>
      <c r="E28" s="69">
        <v>38078</v>
      </c>
      <c r="F28" s="69">
        <v>38108</v>
      </c>
      <c r="G28" s="69">
        <v>38139</v>
      </c>
      <c r="H28" s="69">
        <v>38169</v>
      </c>
      <c r="I28" s="69">
        <v>38200</v>
      </c>
      <c r="J28" s="69">
        <v>38231</v>
      </c>
      <c r="K28" s="69">
        <v>38261</v>
      </c>
      <c r="L28" s="69">
        <v>38292</v>
      </c>
      <c r="M28" s="69">
        <v>38322</v>
      </c>
      <c r="N28" s="70">
        <f>YEAR(M28)</f>
        <v>2004</v>
      </c>
      <c r="O28" s="68">
        <v>38353</v>
      </c>
      <c r="P28" s="69">
        <v>38384</v>
      </c>
      <c r="Q28" s="69">
        <v>38412</v>
      </c>
      <c r="R28" s="69">
        <v>38443</v>
      </c>
      <c r="S28" s="69">
        <v>38473</v>
      </c>
      <c r="T28" s="69">
        <v>38504</v>
      </c>
      <c r="U28" s="69">
        <v>38534</v>
      </c>
      <c r="V28" s="69">
        <v>38565</v>
      </c>
      <c r="W28" s="69">
        <v>38596</v>
      </c>
      <c r="X28" s="69">
        <v>38626</v>
      </c>
      <c r="Y28" s="69">
        <v>38657</v>
      </c>
      <c r="Z28" s="69">
        <v>38687</v>
      </c>
      <c r="AA28" s="70">
        <f>YEAR(Z28)</f>
        <v>2005</v>
      </c>
      <c r="AB28" s="68">
        <v>38718</v>
      </c>
      <c r="AC28" s="69">
        <v>38749</v>
      </c>
      <c r="AD28" s="69">
        <v>38777</v>
      </c>
      <c r="AE28" s="69">
        <v>38808</v>
      </c>
      <c r="AF28" s="69">
        <v>38838</v>
      </c>
      <c r="AG28" s="69">
        <v>38869</v>
      </c>
      <c r="AH28" s="69">
        <v>38899</v>
      </c>
      <c r="AI28" s="69">
        <v>38930</v>
      </c>
      <c r="AJ28" s="69">
        <v>38961</v>
      </c>
      <c r="AK28" s="69">
        <v>38991</v>
      </c>
      <c r="AL28" s="69">
        <v>39022</v>
      </c>
      <c r="AM28" s="69">
        <v>39052</v>
      </c>
      <c r="AN28" s="70">
        <f>YEAR(AM28)</f>
        <v>2006</v>
      </c>
      <c r="AO28" s="68">
        <v>39083</v>
      </c>
      <c r="AP28" s="69">
        <v>39114</v>
      </c>
      <c r="AQ28" s="69">
        <v>39142</v>
      </c>
      <c r="AR28" s="69">
        <v>39173</v>
      </c>
      <c r="AS28" s="69">
        <v>39203</v>
      </c>
      <c r="AT28" s="69">
        <v>39234</v>
      </c>
      <c r="AU28" s="69">
        <v>39264</v>
      </c>
      <c r="AV28" s="69">
        <v>39295</v>
      </c>
      <c r="AW28" s="69">
        <v>39326</v>
      </c>
      <c r="AX28" s="69">
        <v>39356</v>
      </c>
      <c r="AY28" s="69">
        <v>39387</v>
      </c>
      <c r="AZ28" s="69">
        <v>39417</v>
      </c>
      <c r="BA28" s="70">
        <f>YEAR(AZ28)</f>
        <v>2007</v>
      </c>
      <c r="BB28" s="68">
        <v>39448</v>
      </c>
      <c r="BC28" s="69">
        <v>39479</v>
      </c>
      <c r="BD28" s="69">
        <v>39508</v>
      </c>
      <c r="BE28" s="69">
        <v>39539</v>
      </c>
      <c r="BF28" s="69">
        <v>39569</v>
      </c>
      <c r="BG28" s="69">
        <v>39600</v>
      </c>
      <c r="BH28" s="69">
        <v>39630</v>
      </c>
      <c r="BI28" s="69">
        <v>39661</v>
      </c>
      <c r="BJ28" s="69">
        <v>39692</v>
      </c>
      <c r="BK28" s="69">
        <v>39722</v>
      </c>
      <c r="BL28" s="69">
        <v>39753</v>
      </c>
      <c r="BM28" s="69">
        <v>39783</v>
      </c>
      <c r="BN28" s="70">
        <f>YEAR(BM28)</f>
        <v>2008</v>
      </c>
      <c r="BO28" s="68">
        <v>39814</v>
      </c>
      <c r="BP28" s="69">
        <v>39845</v>
      </c>
      <c r="BQ28" s="69">
        <v>39873</v>
      </c>
      <c r="BR28" s="69">
        <v>39904</v>
      </c>
      <c r="BS28" s="69">
        <v>39934</v>
      </c>
      <c r="BT28" s="69">
        <v>39965</v>
      </c>
      <c r="BU28" s="69">
        <v>39995</v>
      </c>
      <c r="BV28" s="69">
        <v>40026</v>
      </c>
      <c r="BW28" s="69">
        <v>40057</v>
      </c>
      <c r="BX28" s="69">
        <v>40087</v>
      </c>
      <c r="BY28" s="69">
        <v>40118</v>
      </c>
      <c r="BZ28" s="69">
        <v>40148</v>
      </c>
      <c r="CA28" s="70">
        <f>YEAR(BZ28)</f>
        <v>2009</v>
      </c>
      <c r="CB28" s="68">
        <v>40179</v>
      </c>
      <c r="CC28" s="69">
        <v>40210</v>
      </c>
      <c r="CD28" s="69">
        <v>40238</v>
      </c>
      <c r="CE28" s="69">
        <v>40269</v>
      </c>
      <c r="CF28" s="69">
        <v>40299</v>
      </c>
      <c r="CG28" s="69">
        <v>40330</v>
      </c>
      <c r="CH28" s="69">
        <v>40360</v>
      </c>
      <c r="CI28" s="69">
        <v>40391</v>
      </c>
      <c r="CJ28" s="69">
        <v>40422</v>
      </c>
      <c r="CK28" s="69">
        <v>40452</v>
      </c>
      <c r="CL28" s="69">
        <v>40483</v>
      </c>
      <c r="CM28" s="69">
        <v>40513</v>
      </c>
      <c r="CN28" s="70">
        <f>YEAR(CM28)</f>
        <v>2010</v>
      </c>
      <c r="CO28" s="68">
        <v>40544</v>
      </c>
      <c r="CP28" s="69">
        <v>40575</v>
      </c>
      <c r="CQ28" s="69">
        <v>40603</v>
      </c>
      <c r="CR28" s="69">
        <v>40634</v>
      </c>
      <c r="CS28" s="69">
        <v>40664</v>
      </c>
      <c r="CT28" s="69">
        <v>40695</v>
      </c>
      <c r="CU28" s="69">
        <v>40725</v>
      </c>
      <c r="CV28" s="69">
        <v>40756</v>
      </c>
      <c r="CW28" s="69">
        <v>40787</v>
      </c>
      <c r="CX28" s="69">
        <v>40817</v>
      </c>
      <c r="CY28" s="69">
        <v>40848</v>
      </c>
      <c r="CZ28" s="69">
        <v>40878</v>
      </c>
      <c r="DA28" s="70">
        <f>YEAR(CZ28)</f>
        <v>2011</v>
      </c>
      <c r="DB28" s="68">
        <v>40909</v>
      </c>
      <c r="DC28" s="69">
        <v>40940</v>
      </c>
      <c r="DD28" s="69">
        <v>40969</v>
      </c>
      <c r="DE28" s="69">
        <v>41000</v>
      </c>
      <c r="DF28" s="69">
        <v>41030</v>
      </c>
      <c r="DG28" s="69">
        <v>41061</v>
      </c>
      <c r="DH28" s="69">
        <v>41091</v>
      </c>
      <c r="DI28" s="69">
        <v>41122</v>
      </c>
      <c r="DJ28" s="69">
        <v>41153</v>
      </c>
      <c r="DK28" s="69">
        <v>41183</v>
      </c>
      <c r="DL28" s="69">
        <v>41214</v>
      </c>
      <c r="DM28" s="69">
        <v>41244</v>
      </c>
      <c r="DN28" s="70">
        <f>YEAR(DM28)</f>
        <v>2012</v>
      </c>
      <c r="DO28" s="68">
        <v>41275</v>
      </c>
      <c r="DP28" s="69">
        <v>41306</v>
      </c>
      <c r="DQ28" s="69">
        <v>41334</v>
      </c>
      <c r="DR28" s="69">
        <v>41365</v>
      </c>
      <c r="DS28" s="69">
        <v>41395</v>
      </c>
      <c r="DT28" s="69">
        <v>41426</v>
      </c>
      <c r="DU28" s="69">
        <v>41456</v>
      </c>
      <c r="DV28" s="69">
        <v>41487</v>
      </c>
      <c r="DW28" s="69">
        <v>41518</v>
      </c>
      <c r="DX28" s="69">
        <v>41548</v>
      </c>
      <c r="DY28" s="69">
        <v>41579</v>
      </c>
      <c r="DZ28" s="69">
        <v>41609</v>
      </c>
      <c r="EA28" s="70">
        <f>YEAR(DZ28)</f>
        <v>2013</v>
      </c>
      <c r="EB28" s="68">
        <v>41640</v>
      </c>
      <c r="EC28" s="69">
        <v>41671</v>
      </c>
      <c r="ED28" s="69">
        <v>41699</v>
      </c>
      <c r="EE28" s="69">
        <v>41730</v>
      </c>
      <c r="EF28" s="69">
        <v>41760</v>
      </c>
      <c r="EG28" s="69">
        <v>41791</v>
      </c>
      <c r="EH28" s="69">
        <v>41821</v>
      </c>
      <c r="EI28" s="69">
        <v>41852</v>
      </c>
      <c r="EJ28" s="69">
        <v>41883</v>
      </c>
      <c r="EK28" s="69">
        <v>41913</v>
      </c>
      <c r="EL28" s="69">
        <v>41944</v>
      </c>
      <c r="EM28" s="69">
        <v>41974</v>
      </c>
      <c r="EN28" s="70">
        <f>YEAR(EM28)</f>
        <v>2014</v>
      </c>
      <c r="EO28" s="68">
        <v>42005</v>
      </c>
      <c r="EP28" s="69">
        <v>42036</v>
      </c>
      <c r="EQ28" s="69">
        <v>42064</v>
      </c>
      <c r="ER28" s="69">
        <v>42095</v>
      </c>
      <c r="ES28" s="69">
        <v>42125</v>
      </c>
      <c r="ET28" s="69">
        <v>42156</v>
      </c>
      <c r="EU28" s="69">
        <v>42186</v>
      </c>
      <c r="EV28" s="69">
        <v>42217</v>
      </c>
      <c r="EW28" s="69">
        <v>42248</v>
      </c>
      <c r="EX28" s="69">
        <v>42278</v>
      </c>
      <c r="EY28" s="69">
        <v>42309</v>
      </c>
      <c r="EZ28" s="69">
        <v>42339</v>
      </c>
      <c r="FA28" s="70">
        <f>YEAR(EZ28)</f>
        <v>2015</v>
      </c>
      <c r="FB28" s="68">
        <v>42370</v>
      </c>
      <c r="FC28" s="69">
        <v>42401</v>
      </c>
      <c r="FD28" s="69">
        <v>42430</v>
      </c>
      <c r="FE28" s="69">
        <v>42461</v>
      </c>
      <c r="FF28" s="69">
        <v>42491</v>
      </c>
      <c r="FG28" s="69">
        <v>42522</v>
      </c>
      <c r="FH28" s="69">
        <v>42552</v>
      </c>
      <c r="FI28" s="69">
        <v>42583</v>
      </c>
      <c r="FJ28" s="69">
        <v>42614</v>
      </c>
      <c r="FK28" s="69">
        <v>42644</v>
      </c>
      <c r="FL28" s="69">
        <v>42675</v>
      </c>
      <c r="FM28" s="69">
        <v>42705</v>
      </c>
      <c r="FN28" s="70">
        <f>YEAR(FM28)</f>
        <v>2016</v>
      </c>
      <c r="FO28" s="68">
        <v>42736</v>
      </c>
      <c r="FP28" s="69">
        <v>42767</v>
      </c>
      <c r="FQ28" s="69">
        <v>42795</v>
      </c>
      <c r="FR28" s="69">
        <v>42826</v>
      </c>
      <c r="FS28" s="69">
        <v>42856</v>
      </c>
      <c r="FT28" s="69">
        <v>42887</v>
      </c>
      <c r="FU28" s="69">
        <v>42917</v>
      </c>
      <c r="FV28" s="69">
        <v>42948</v>
      </c>
      <c r="FW28" s="69">
        <v>42979</v>
      </c>
      <c r="FX28" s="69">
        <v>43009</v>
      </c>
      <c r="FY28" s="69">
        <v>43040</v>
      </c>
      <c r="FZ28" s="69">
        <v>43070</v>
      </c>
      <c r="GA28" s="70">
        <f>YEAR(FZ28)</f>
        <v>2017</v>
      </c>
      <c r="GB28" s="68">
        <v>43101</v>
      </c>
      <c r="GC28" s="69">
        <v>43132</v>
      </c>
      <c r="GD28" s="69">
        <v>43160</v>
      </c>
      <c r="GE28" s="69">
        <v>43191</v>
      </c>
      <c r="GF28" s="69">
        <v>43221</v>
      </c>
      <c r="GG28" s="69">
        <v>43252</v>
      </c>
      <c r="GH28" s="69">
        <v>43282</v>
      </c>
      <c r="GI28" s="69">
        <v>43313</v>
      </c>
      <c r="GJ28" s="69">
        <v>43344</v>
      </c>
      <c r="GK28" s="69">
        <v>43374</v>
      </c>
      <c r="GL28" s="69">
        <v>43405</v>
      </c>
      <c r="GM28" s="69">
        <v>43435</v>
      </c>
      <c r="GN28" s="70">
        <f>YEAR(GM28)</f>
        <v>2018</v>
      </c>
      <c r="GO28" s="68">
        <v>43466</v>
      </c>
      <c r="GP28" s="69">
        <v>43497</v>
      </c>
      <c r="GQ28" s="69">
        <v>43525</v>
      </c>
      <c r="GR28" s="69">
        <v>43556</v>
      </c>
      <c r="GS28" s="69">
        <v>43586</v>
      </c>
      <c r="GT28" s="69">
        <v>43617</v>
      </c>
      <c r="GU28" s="69">
        <v>43647</v>
      </c>
      <c r="GV28" s="69">
        <v>43678</v>
      </c>
      <c r="GW28" s="69">
        <v>43709</v>
      </c>
      <c r="GX28" s="69">
        <v>43739</v>
      </c>
      <c r="GY28" s="69">
        <v>43770</v>
      </c>
      <c r="GZ28" s="69">
        <v>43800</v>
      </c>
      <c r="HA28" s="70">
        <f>YEAR(GZ28)</f>
        <v>2019</v>
      </c>
      <c r="HB28" s="68">
        <v>43831</v>
      </c>
      <c r="HC28" s="69">
        <v>43862</v>
      </c>
      <c r="HD28" s="69">
        <v>43891</v>
      </c>
      <c r="HE28" s="69">
        <v>43922</v>
      </c>
      <c r="HF28" s="69">
        <v>43952</v>
      </c>
      <c r="HG28" s="69">
        <v>43983</v>
      </c>
      <c r="HH28" s="69">
        <v>44013</v>
      </c>
      <c r="HI28" s="69">
        <v>44044</v>
      </c>
      <c r="HJ28" s="69">
        <v>44075</v>
      </c>
      <c r="HK28" s="69">
        <v>44105</v>
      </c>
      <c r="HL28" s="69">
        <v>44136</v>
      </c>
      <c r="HM28" s="69">
        <v>44166</v>
      </c>
      <c r="HN28" s="70">
        <f>YEAR(HM28)</f>
        <v>2020</v>
      </c>
      <c r="HO28" s="68">
        <v>44197</v>
      </c>
      <c r="HP28" s="69">
        <v>44228</v>
      </c>
      <c r="HQ28" s="69">
        <v>44256</v>
      </c>
      <c r="HR28" s="69">
        <v>44287</v>
      </c>
      <c r="HS28" s="69">
        <v>44317</v>
      </c>
      <c r="HT28" s="69">
        <v>44348</v>
      </c>
      <c r="HU28" s="69">
        <v>44378</v>
      </c>
      <c r="HV28" s="69">
        <v>44409</v>
      </c>
      <c r="HW28" s="69">
        <v>44440</v>
      </c>
      <c r="HX28" s="69">
        <v>44470</v>
      </c>
      <c r="HY28" s="69">
        <v>44501</v>
      </c>
      <c r="HZ28" s="69">
        <v>44531</v>
      </c>
      <c r="IA28" s="70">
        <f>YEAR(HZ28)</f>
        <v>2021</v>
      </c>
      <c r="IB28" s="68">
        <v>44562</v>
      </c>
      <c r="IC28" s="69">
        <v>44593</v>
      </c>
      <c r="ID28" s="69">
        <v>44621</v>
      </c>
      <c r="IE28" s="69">
        <v>44652</v>
      </c>
      <c r="IF28" s="69">
        <v>44682</v>
      </c>
      <c r="IG28" s="69">
        <v>44713</v>
      </c>
      <c r="IH28" s="69">
        <v>44743</v>
      </c>
      <c r="II28" s="69">
        <v>44774</v>
      </c>
      <c r="IJ28" s="69">
        <v>44805</v>
      </c>
      <c r="IK28" s="69">
        <v>44835</v>
      </c>
      <c r="IL28" s="69">
        <v>44866</v>
      </c>
      <c r="IM28" s="69">
        <v>44896</v>
      </c>
      <c r="IN28" s="70">
        <f>YEAR(IM28)</f>
        <v>2022</v>
      </c>
      <c r="IO28" s="68">
        <v>44927</v>
      </c>
      <c r="IP28" s="69">
        <v>44958</v>
      </c>
      <c r="IQ28" s="69">
        <v>44986</v>
      </c>
      <c r="IR28" s="69">
        <v>45017</v>
      </c>
      <c r="IS28" s="69">
        <v>45047</v>
      </c>
      <c r="IT28" s="69">
        <v>45078</v>
      </c>
      <c r="IU28" s="69">
        <v>45108</v>
      </c>
      <c r="IV28" s="69">
        <v>45139</v>
      </c>
      <c r="IW28" s="69">
        <v>45170</v>
      </c>
      <c r="IX28" s="69">
        <v>45200</v>
      </c>
      <c r="IY28" s="69">
        <v>45231</v>
      </c>
      <c r="IZ28" s="69">
        <v>45261</v>
      </c>
      <c r="JA28" s="70">
        <f>YEAR(IZ28)</f>
        <v>2023</v>
      </c>
      <c r="JB28" s="68">
        <v>45292</v>
      </c>
      <c r="JC28" s="69">
        <v>45323</v>
      </c>
      <c r="JD28" s="69">
        <v>45352</v>
      </c>
      <c r="JE28" s="69">
        <v>45383</v>
      </c>
      <c r="JF28" s="69">
        <v>45413</v>
      </c>
      <c r="JG28" s="69">
        <v>45444</v>
      </c>
      <c r="JH28" s="69">
        <v>45474</v>
      </c>
      <c r="JI28" s="69">
        <v>45505</v>
      </c>
      <c r="JJ28" s="69">
        <v>45536</v>
      </c>
      <c r="JK28" s="69">
        <v>45566</v>
      </c>
      <c r="JL28" s="69">
        <v>45597</v>
      </c>
      <c r="JM28" s="69">
        <v>45627</v>
      </c>
      <c r="JN28" s="70">
        <f>YEAR(JM28)</f>
        <v>2024</v>
      </c>
      <c r="JO28" s="68">
        <v>45658</v>
      </c>
      <c r="JP28" s="69">
        <v>45689</v>
      </c>
      <c r="JQ28" s="69">
        <v>45717</v>
      </c>
      <c r="JR28" s="69">
        <v>45748</v>
      </c>
      <c r="JS28" s="69">
        <v>45778</v>
      </c>
      <c r="JT28" s="69">
        <v>45809</v>
      </c>
      <c r="JU28" s="69">
        <v>45839</v>
      </c>
      <c r="JV28" s="69">
        <v>45870</v>
      </c>
      <c r="JW28" s="69">
        <v>45901</v>
      </c>
      <c r="JX28" s="69">
        <v>45931</v>
      </c>
      <c r="JY28" s="69">
        <v>45962</v>
      </c>
      <c r="JZ28" s="69">
        <v>45992</v>
      </c>
      <c r="KA28" s="70">
        <f>YEAR(JZ28)</f>
        <v>2025</v>
      </c>
      <c r="KB28" s="1321" t="s">
        <v>0</v>
      </c>
      <c r="KC28" s="1322" t="s">
        <v>1</v>
      </c>
      <c r="KD28" s="1322" t="s">
        <v>2</v>
      </c>
      <c r="KE28" s="1322" t="s">
        <v>3</v>
      </c>
      <c r="KF28" s="1322" t="s">
        <v>4</v>
      </c>
      <c r="KG28" s="1322" t="s">
        <v>5</v>
      </c>
      <c r="KH28" s="1322" t="s">
        <v>6</v>
      </c>
      <c r="KI28" s="1322" t="s">
        <v>7</v>
      </c>
      <c r="KJ28" s="1322" t="s">
        <v>8</v>
      </c>
      <c r="KK28" s="1322" t="s">
        <v>9</v>
      </c>
      <c r="KL28" s="1322" t="s">
        <v>10</v>
      </c>
      <c r="KM28" s="1322" t="s">
        <v>11</v>
      </c>
      <c r="KN28" s="1323">
        <v>2026</v>
      </c>
      <c r="KP28" s="42" t="str">
        <f>KI28</f>
        <v>Ago.</v>
      </c>
      <c r="KQ28" s="43" t="str">
        <f>CONCATENATE("Ene.-",TEXT(KP28,"MMM."))</f>
        <v>Ene.-Ago.</v>
      </c>
      <c r="KR28" s="43" t="str">
        <f>KQ28</f>
        <v>Ene.-Ago.</v>
      </c>
      <c r="KS28" s="43" t="str">
        <f>KQ28</f>
        <v>Ene.-Ago.</v>
      </c>
    </row>
    <row r="29" spans="1:307" ht="13.9" customHeight="1" x14ac:dyDescent="0.2">
      <c r="A29" s="6" t="s">
        <v>352</v>
      </c>
      <c r="B29" s="113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5"/>
      <c r="O29" s="113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5"/>
      <c r="AB29" s="113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5"/>
      <c r="AO29" s="113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5"/>
      <c r="BB29" s="113"/>
      <c r="BC29" s="114"/>
      <c r="BD29" s="114"/>
      <c r="BE29" s="114"/>
      <c r="BF29" s="114"/>
      <c r="BG29" s="114"/>
      <c r="BH29" s="114"/>
      <c r="BI29" s="114"/>
      <c r="BJ29" s="114"/>
      <c r="BK29" s="114"/>
      <c r="BL29" s="114"/>
      <c r="BM29" s="114"/>
      <c r="BN29" s="115"/>
      <c r="BO29" s="113"/>
      <c r="BP29" s="114"/>
      <c r="BQ29" s="114"/>
      <c r="BR29" s="114"/>
      <c r="BS29" s="114"/>
      <c r="BT29" s="114"/>
      <c r="BU29" s="114"/>
      <c r="BV29" s="114"/>
      <c r="BW29" s="114"/>
      <c r="BX29" s="114"/>
      <c r="BY29" s="114"/>
      <c r="BZ29" s="114"/>
      <c r="CA29" s="115"/>
      <c r="CB29" s="113"/>
      <c r="CC29" s="114"/>
      <c r="CD29" s="114"/>
      <c r="CE29" s="114"/>
      <c r="CF29" s="114"/>
      <c r="CG29" s="114"/>
      <c r="CH29" s="114"/>
      <c r="CI29" s="114"/>
      <c r="CJ29" s="114"/>
      <c r="CK29" s="114"/>
      <c r="CL29" s="114"/>
      <c r="CM29" s="114"/>
      <c r="CN29" s="115"/>
      <c r="CO29" s="113"/>
      <c r="CP29" s="114"/>
      <c r="CQ29" s="114"/>
      <c r="CR29" s="114"/>
      <c r="CS29" s="114"/>
      <c r="CT29" s="114"/>
      <c r="CU29" s="114"/>
      <c r="CV29" s="114"/>
      <c r="CW29" s="114"/>
      <c r="CX29" s="114"/>
      <c r="CY29" s="114"/>
      <c r="CZ29" s="114"/>
      <c r="DA29" s="115"/>
      <c r="DB29" s="113"/>
      <c r="DC29" s="114"/>
      <c r="DD29" s="114"/>
      <c r="DE29" s="114"/>
      <c r="DF29" s="114"/>
      <c r="DG29" s="114"/>
      <c r="DH29" s="114"/>
      <c r="DI29" s="114"/>
      <c r="DJ29" s="114"/>
      <c r="DK29" s="114"/>
      <c r="DL29" s="114"/>
      <c r="DM29" s="114"/>
      <c r="DN29" s="115"/>
      <c r="DO29" s="113"/>
      <c r="DP29" s="114"/>
      <c r="DQ29" s="114"/>
      <c r="DR29" s="114"/>
      <c r="DS29" s="114"/>
      <c r="DT29" s="114"/>
      <c r="DU29" s="114"/>
      <c r="DV29" s="114"/>
      <c r="DW29" s="114"/>
      <c r="DX29" s="114"/>
      <c r="DY29" s="114"/>
      <c r="DZ29" s="114"/>
      <c r="EA29" s="115"/>
      <c r="EB29" s="113"/>
      <c r="EC29" s="114"/>
      <c r="ED29" s="114"/>
      <c r="EE29" s="114"/>
      <c r="EF29" s="114"/>
      <c r="EG29" s="114"/>
      <c r="EH29" s="114"/>
      <c r="EI29" s="114"/>
      <c r="EJ29" s="114"/>
      <c r="EK29" s="114"/>
      <c r="EL29" s="114"/>
      <c r="EM29" s="114"/>
      <c r="EN29" s="115"/>
      <c r="EO29" s="113"/>
      <c r="EP29" s="114"/>
      <c r="EQ29" s="114"/>
      <c r="ER29" s="114"/>
      <c r="ES29" s="114"/>
      <c r="ET29" s="114"/>
      <c r="EU29" s="114"/>
      <c r="EV29" s="114"/>
      <c r="EW29" s="114"/>
      <c r="EX29" s="114"/>
      <c r="EY29" s="114"/>
      <c r="EZ29" s="114"/>
      <c r="FA29" s="115"/>
      <c r="FB29" s="113"/>
      <c r="FC29" s="114"/>
      <c r="FD29" s="114"/>
      <c r="FE29" s="114"/>
      <c r="FF29" s="114"/>
      <c r="FG29" s="114"/>
      <c r="FH29" s="114"/>
      <c r="FI29" s="114"/>
      <c r="FJ29" s="114"/>
      <c r="FK29" s="114"/>
      <c r="FL29" s="114"/>
      <c r="FM29" s="114"/>
      <c r="FN29" s="115"/>
      <c r="FO29" s="113"/>
      <c r="FP29" s="114"/>
      <c r="FQ29" s="114"/>
      <c r="FR29" s="114"/>
      <c r="FS29" s="114"/>
      <c r="FT29" s="114"/>
      <c r="FU29" s="114"/>
      <c r="FV29" s="114"/>
      <c r="FW29" s="114"/>
      <c r="FX29" s="114"/>
      <c r="FY29" s="114"/>
      <c r="FZ29" s="114"/>
      <c r="GA29" s="115"/>
      <c r="GB29" s="113"/>
      <c r="GC29" s="114"/>
      <c r="GD29" s="114"/>
      <c r="GE29" s="114"/>
      <c r="GF29" s="114"/>
      <c r="GG29" s="114"/>
      <c r="GH29" s="114"/>
      <c r="GI29" s="114"/>
      <c r="GJ29" s="114"/>
      <c r="GK29" s="114"/>
      <c r="GL29" s="114"/>
      <c r="GM29" s="114"/>
      <c r="GN29" s="115"/>
      <c r="GO29" s="113"/>
      <c r="GP29" s="114"/>
      <c r="GQ29" s="114"/>
      <c r="GR29" s="114"/>
      <c r="GS29" s="114"/>
      <c r="GT29" s="114"/>
      <c r="GU29" s="114"/>
      <c r="GV29" s="114"/>
      <c r="GW29" s="114"/>
      <c r="GX29" s="114"/>
      <c r="GY29" s="114"/>
      <c r="GZ29" s="114"/>
      <c r="HA29" s="115"/>
      <c r="HB29" s="113"/>
      <c r="HC29" s="114"/>
      <c r="HD29" s="114"/>
      <c r="HE29" s="114"/>
      <c r="HF29" s="114"/>
      <c r="HG29" s="114"/>
      <c r="HH29" s="114"/>
      <c r="HI29" s="114"/>
      <c r="HJ29" s="114"/>
      <c r="HK29" s="114"/>
      <c r="HL29" s="114"/>
      <c r="HM29" s="114"/>
      <c r="HN29" s="115"/>
      <c r="HO29" s="113"/>
      <c r="HP29" s="114"/>
      <c r="HQ29" s="114"/>
      <c r="HR29" s="114"/>
      <c r="HS29" s="114"/>
      <c r="HT29" s="114"/>
      <c r="HU29" s="114"/>
      <c r="HV29" s="114"/>
      <c r="HW29" s="114"/>
      <c r="HX29" s="114"/>
      <c r="HY29" s="114"/>
      <c r="HZ29" s="114"/>
      <c r="IA29" s="115"/>
      <c r="IB29" s="113"/>
      <c r="IC29" s="114"/>
      <c r="ID29" s="114"/>
      <c r="IE29" s="114"/>
      <c r="IF29" s="114"/>
      <c r="IG29" s="114"/>
      <c r="IH29" s="114"/>
      <c r="II29" s="114"/>
      <c r="IJ29" s="114"/>
      <c r="IK29" s="114"/>
      <c r="IL29" s="114"/>
      <c r="IM29" s="114"/>
      <c r="IN29" s="115"/>
      <c r="IO29" s="113"/>
      <c r="IP29" s="114"/>
      <c r="IQ29" s="114"/>
      <c r="IR29" s="114"/>
      <c r="IS29" s="114"/>
      <c r="IT29" s="114"/>
      <c r="IU29" s="114"/>
      <c r="IV29" s="114"/>
      <c r="IW29" s="114"/>
      <c r="IX29" s="114"/>
      <c r="IY29" s="114"/>
      <c r="IZ29" s="114"/>
      <c r="JA29" s="115"/>
      <c r="JB29" s="113"/>
      <c r="JC29" s="114"/>
      <c r="JD29" s="114"/>
      <c r="JE29" s="114"/>
      <c r="JF29" s="114"/>
      <c r="JG29" s="114"/>
      <c r="JH29" s="114"/>
      <c r="JI29" s="114"/>
      <c r="JJ29" s="114"/>
      <c r="JK29" s="114"/>
      <c r="JL29" s="114"/>
      <c r="JM29" s="114"/>
      <c r="JN29" s="115"/>
      <c r="JO29" s="113"/>
      <c r="JP29" s="114"/>
      <c r="JQ29" s="114"/>
      <c r="JR29" s="114"/>
      <c r="JS29" s="114"/>
      <c r="JT29" s="114"/>
      <c r="JU29" s="114"/>
      <c r="JV29" s="114"/>
      <c r="JW29" s="114"/>
      <c r="JX29" s="114"/>
      <c r="JY29" s="114"/>
      <c r="JZ29" s="114"/>
      <c r="KA29" s="115"/>
      <c r="KB29" s="1324"/>
      <c r="KN29" s="1059"/>
      <c r="KP29" s="270"/>
      <c r="KQ29" s="8"/>
      <c r="KR29" s="6"/>
      <c r="KS29" s="6"/>
    </row>
    <row r="30" spans="1:307" ht="13.9" customHeight="1" x14ac:dyDescent="0.2">
      <c r="A30" s="216" t="s">
        <v>290</v>
      </c>
      <c r="B30" s="230">
        <f t="shared" ref="B30:M30" si="99">+B31+B42</f>
        <v>4145.044956388745</v>
      </c>
      <c r="C30" s="229">
        <f t="shared" si="99"/>
        <v>3529.3502222246084</v>
      </c>
      <c r="D30" s="229">
        <f t="shared" si="99"/>
        <v>4956.6880383989537</v>
      </c>
      <c r="E30" s="229">
        <f t="shared" si="99"/>
        <v>3826.3884465801057</v>
      </c>
      <c r="F30" s="229">
        <f t="shared" si="99"/>
        <v>3378.7154074604719</v>
      </c>
      <c r="G30" s="229">
        <f t="shared" si="99"/>
        <v>3180.4876172649224</v>
      </c>
      <c r="H30" s="229">
        <f t="shared" si="99"/>
        <v>3841.1658221180637</v>
      </c>
      <c r="I30" s="229">
        <f t="shared" si="99"/>
        <v>3361.9530104772261</v>
      </c>
      <c r="J30" s="229">
        <f t="shared" si="99"/>
        <v>3545.7965032591633</v>
      </c>
      <c r="K30" s="229">
        <f t="shared" si="99"/>
        <v>3022.0108604751317</v>
      </c>
      <c r="L30" s="229">
        <f t="shared" si="99"/>
        <v>3786.5103444198962</v>
      </c>
      <c r="M30" s="229">
        <f t="shared" si="99"/>
        <v>3795.836791835603</v>
      </c>
      <c r="N30" s="231">
        <f>SUM(B30:M30)</f>
        <v>44369.948020902892</v>
      </c>
      <c r="O30" s="230">
        <f>+O7/O26</f>
        <v>2665.6814686949488</v>
      </c>
      <c r="P30" s="229">
        <f t="shared" ref="P30:P42" si="100">+P7/$P$26</f>
        <v>2182.4464445438389</v>
      </c>
      <c r="Q30" s="229">
        <f t="shared" ref="Q30:Q42" si="101">+Q7/$Q$26</f>
        <v>2601.6580687748506</v>
      </c>
      <c r="R30" s="229">
        <f t="shared" ref="R30:R42" si="102">+R7/$R$26</f>
        <v>2917.9915085488988</v>
      </c>
      <c r="S30" s="229">
        <f t="shared" ref="S30:S42" si="103">+S7/$S$26</f>
        <v>2157.6632431133394</v>
      </c>
      <c r="T30" s="229">
        <f t="shared" ref="T30:T42" si="104">+T7/$T$26</f>
        <v>2177.2789577021385</v>
      </c>
      <c r="U30" s="229">
        <f t="shared" ref="U30:U42" si="105">+U7/$U$26</f>
        <v>2097.9099311430732</v>
      </c>
      <c r="V30" s="229">
        <f t="shared" ref="V30:V42" si="106">+V7/$V$26</f>
        <v>2178.3821459883216</v>
      </c>
      <c r="W30" s="229">
        <f t="shared" ref="W30:W42" si="107">+W7/$W$26</f>
        <v>2047.9218263849687</v>
      </c>
      <c r="X30" s="229">
        <f t="shared" ref="X30:X42" si="108">+X7/$X$26</f>
        <v>1904.0444219954461</v>
      </c>
      <c r="Y30" s="229">
        <f t="shared" ref="Y30:Y42" si="109">+Y7/$Y$26</f>
        <v>1913.8220582592569</v>
      </c>
      <c r="Z30" s="229">
        <f t="shared" ref="Z30:Z42" si="110">+Z7/$Z$26</f>
        <v>2067.1055414760945</v>
      </c>
      <c r="AA30" s="231">
        <f>+SUM(O30:Z30)</f>
        <v>26911.905616625183</v>
      </c>
      <c r="AB30" s="230">
        <f t="shared" ref="AB30:AB42" si="111">+AB7/$AB$26</f>
        <v>2388.1631368703547</v>
      </c>
      <c r="AC30" s="229">
        <f t="shared" ref="AC30:AC42" si="112">+AC7/$AC$26</f>
        <v>2060.4943980953826</v>
      </c>
      <c r="AD30" s="229">
        <f t="shared" ref="AD30:AD42" si="113">+AD7/$AD$26</f>
        <v>2302.8534647648116</v>
      </c>
      <c r="AE30" s="229">
        <f t="shared" ref="AE30:AE42" si="114">+AE7/$AE$26</f>
        <v>2243.8043743917824</v>
      </c>
      <c r="AF30" s="229">
        <f t="shared" ref="AF30:AF42" si="115">+AF7/$AF$26</f>
        <v>1884.5806911618877</v>
      </c>
      <c r="AG30" s="229">
        <f t="shared" ref="AG30:AG42" si="116">+AG7/$AG$26</f>
        <v>2251.2284931334443</v>
      </c>
      <c r="AH30" s="229">
        <f t="shared" ref="AH30:AH42" si="117">+AH7/$AH$26</f>
        <v>2125.0176908659519</v>
      </c>
      <c r="AI30" s="229">
        <f t="shared" ref="AI30:AI42" si="118">+AI7/$AI$26</f>
        <v>2316.8407256030341</v>
      </c>
      <c r="AJ30" s="229">
        <f t="shared" ref="AJ30:AJ42" si="119">+AJ7/$AJ$26</f>
        <v>2428.1618657071599</v>
      </c>
      <c r="AK30" s="229">
        <f t="shared" ref="AK30:AK42" si="120">+AK7/$AK$26</f>
        <v>2341.6335118079091</v>
      </c>
      <c r="AL30" s="229">
        <f t="shared" ref="AL30:AL42" si="121">+AL7/$AL$26</f>
        <v>2272.1997850956709</v>
      </c>
      <c r="AM30" s="229">
        <f t="shared" ref="AM30:AM42" si="122">+AM7/$AM$26</f>
        <v>1877.7731351101709</v>
      </c>
      <c r="AN30" s="231">
        <f>+SUM(AB30:AM30)</f>
        <v>26492.751272607562</v>
      </c>
      <c r="AO30" s="230">
        <f t="shared" ref="AO30:AO42" si="123">+AO7/$AO$26</f>
        <v>2219.4877703115653</v>
      </c>
      <c r="AP30" s="229">
        <f t="shared" ref="AP30:AP42" si="124">+AP7/$AP$26</f>
        <v>2011.6542756264892</v>
      </c>
      <c r="AQ30" s="229">
        <f t="shared" ref="AQ30:AQ42" si="125">+AQ7/$AQ$26</f>
        <v>2220.8856163307219</v>
      </c>
      <c r="AR30" s="229">
        <f t="shared" ref="AR30:AR42" si="126">+AR7/$AR$26</f>
        <v>2550.4003058579842</v>
      </c>
      <c r="AS30" s="229">
        <f t="shared" ref="AS30:AS42" si="127">+AS7/$AS$26</f>
        <v>1920.2376405634695</v>
      </c>
      <c r="AT30" s="229">
        <f t="shared" ref="AT30:AT42" si="128">+AT7/$AT$26</f>
        <v>2166.9182955051456</v>
      </c>
      <c r="AU30" s="229">
        <f t="shared" ref="AU30:AU42" si="129">+AU7/$AU$26</f>
        <v>1821.0633042779737</v>
      </c>
      <c r="AV30" s="229">
        <f t="shared" ref="AV30:AV42" si="130">+AV7/$AV$26</f>
        <v>2093.4030103000373</v>
      </c>
      <c r="AW30" s="229">
        <f t="shared" ref="AW30:AW42" si="131">+AW7/$AW$26</f>
        <v>2264.5328617353789</v>
      </c>
      <c r="AX30" s="229">
        <f t="shared" ref="AX30:AX42" si="132">+AX7/$AX$26</f>
        <v>2339.4139875574215</v>
      </c>
      <c r="AY30" s="229">
        <f t="shared" ref="AY30:AY42" si="133">+AY7/$AY$26</f>
        <v>2496.5277705330991</v>
      </c>
      <c r="AZ30" s="229">
        <f t="shared" ref="AZ30:AZ42" si="134">+AZ7/$AZ$26</f>
        <v>2403.9205839909637</v>
      </c>
      <c r="BA30" s="231">
        <f>+SUM(AO30:AZ30)</f>
        <v>26508.445422590252</v>
      </c>
      <c r="BB30" s="230">
        <f t="shared" ref="BB30:BB42" si="135">+BB7/$BB$26</f>
        <v>3078.996181807081</v>
      </c>
      <c r="BC30" s="229">
        <f t="shared" ref="BC30:BC42" si="136">+BC7/$BC$26</f>
        <v>2569.7605226914811</v>
      </c>
      <c r="BD30" s="229">
        <f t="shared" ref="BD30:BD42" si="137">+BD7/$BD$26</f>
        <v>2897.8600127738928</v>
      </c>
      <c r="BE30" s="229">
        <f t="shared" ref="BE30:BE42" si="138">+BE7/$BE$26</f>
        <v>6060.9012870890574</v>
      </c>
      <c r="BF30" s="229">
        <f t="shared" ref="BF30:BF42" si="139">+BF7/$BF$26</f>
        <v>3092.6278438964418</v>
      </c>
      <c r="BG30" s="229">
        <f t="shared" ref="BG30:BG42" si="140">+BG7/$BG$26</f>
        <v>3116.6218045796791</v>
      </c>
      <c r="BH30" s="229">
        <f t="shared" ref="BH30:BH42" si="141">+BH7/$BH$26</f>
        <v>3341.3865769812046</v>
      </c>
      <c r="BI30" s="229">
        <f t="shared" ref="BI30:BI42" si="142">+BI7/$BI$26</f>
        <v>3457.2329439647879</v>
      </c>
      <c r="BJ30" s="229">
        <f t="shared" ref="BJ30:BJ42" si="143">+BJ7/$BJ$26</f>
        <v>3524.949763811007</v>
      </c>
      <c r="BK30" s="229">
        <f t="shared" ref="BK30:BK42" si="144">+BK7/$BK$26</f>
        <v>3449.7362243217385</v>
      </c>
      <c r="BL30" s="229">
        <f t="shared" ref="BL30:BL42" si="145">+BL7/$BL$26</f>
        <v>3419.2667340790395</v>
      </c>
      <c r="BM30" s="229">
        <f t="shared" ref="BM30:BM42" si="146">+BM7/$BM$26</f>
        <v>3401.282825257586</v>
      </c>
      <c r="BN30" s="231">
        <f>SUM(BB30:BM30)</f>
        <v>41410.622721252992</v>
      </c>
      <c r="BO30" s="230">
        <f t="shared" ref="BO30:BO42" si="147">+BO7/$BO$26</f>
        <v>3582.752999983556</v>
      </c>
      <c r="BP30" s="229">
        <f t="shared" ref="BP30:BP42" si="148">+BP7/$BP$26</f>
        <v>3441.4576211009144</v>
      </c>
      <c r="BQ30" s="229">
        <f t="shared" ref="BQ30:BQ42" si="149">+BQ7/$BQ$26</f>
        <v>4307.9878598650557</v>
      </c>
      <c r="BR30" s="229">
        <f t="shared" ref="BR30:BR42" si="150">+BR7/$BR$26</f>
        <v>5474.4156232000014</v>
      </c>
      <c r="BS30" s="229">
        <f>+BS7/BS26</f>
        <v>3109.5327025880747</v>
      </c>
      <c r="BT30" s="229">
        <f>+BT7/BT26</f>
        <v>3204.2448218073896</v>
      </c>
      <c r="BU30" s="229">
        <f t="shared" ref="BU30:BU42" si="151">+BU7/$BU$26</f>
        <v>3379.5372697359899</v>
      </c>
      <c r="BV30" s="229">
        <f t="shared" ref="BV30:BV42" si="152">+BV7/$BV$26</f>
        <v>3986.3952643057432</v>
      </c>
      <c r="BW30" s="229">
        <f t="shared" ref="BW30:BW42" si="153">+BW7/$BW$26</f>
        <v>3439.0663139080502</v>
      </c>
      <c r="BX30" s="229">
        <f t="shared" ref="BX30:BX42" si="154">+BX7/$BX$26</f>
        <v>3616.6325374032622</v>
      </c>
      <c r="BY30" s="229">
        <f t="shared" ref="BY30:BY42" si="155">+BY7/$BY$26</f>
        <v>4397.0181321700175</v>
      </c>
      <c r="BZ30" s="229">
        <f t="shared" ref="BZ30:BZ42" si="156">+BZ7/$BZ$26</f>
        <v>4243.1180779312272</v>
      </c>
      <c r="CA30" s="231">
        <f>SUM(BO30:BZ30)</f>
        <v>46182.159223999282</v>
      </c>
      <c r="CB30" s="230">
        <f t="shared" ref="CB30:CB42" si="157">+CB7/$CB$26</f>
        <v>3998.5332169547723</v>
      </c>
      <c r="CC30" s="229">
        <f t="shared" ref="CC30:CC42" si="158">+CC7/$CC$26</f>
        <v>3650.1235584843494</v>
      </c>
      <c r="CD30" s="229">
        <f t="shared" ref="CD30:CD42" si="159">+CD7/$CD$26</f>
        <v>4222.6260883850828</v>
      </c>
      <c r="CE30" s="229">
        <f t="shared" ref="CE30:CE42" si="160">+CE7/$CE$26</f>
        <v>5112.8344359304665</v>
      </c>
      <c r="CF30" s="229">
        <f t="shared" ref="CF30:CF42" si="161">+CF7/$CF$26</f>
        <v>3460.6522963493931</v>
      </c>
      <c r="CG30" s="229">
        <f t="shared" ref="CG30:CG42" si="162">+CG7/$CG$26</f>
        <v>4018.9378849630739</v>
      </c>
      <c r="CH30" s="229">
        <f t="shared" ref="CH30:CH42" si="163">+CH7/$CH$26</f>
        <v>3842.6894245889375</v>
      </c>
      <c r="CI30" s="229">
        <f t="shared" ref="CI30:CI42" si="164">+CI7/$CI$26</f>
        <v>4329.1279578847088</v>
      </c>
      <c r="CJ30" s="229">
        <f t="shared" ref="CJ30:CJ42" si="165">+CJ7/$CJ$26</f>
        <v>4473.6687129521133</v>
      </c>
      <c r="CK30" s="229">
        <f t="shared" ref="CK30:CK42" si="166">+CK7/$CK$26</f>
        <v>3735.6551199268324</v>
      </c>
      <c r="CL30" s="229">
        <f t="shared" ref="CL30:CL42" si="167">+CL7/$CL$26</f>
        <v>3710.8769361373329</v>
      </c>
      <c r="CM30" s="229">
        <f t="shared" ref="CM30:CM42" si="168">+CM7/$CM$26</f>
        <v>3728.5694786041104</v>
      </c>
      <c r="CN30" s="231">
        <f>SUM(CB30:CM30)</f>
        <v>48284.295111161184</v>
      </c>
      <c r="CO30" s="230">
        <f t="shared" ref="CO30:CO42" si="169">+CO7/$CO$26</f>
        <v>4633.5094676847211</v>
      </c>
      <c r="CP30" s="229">
        <f t="shared" ref="CP30:CP42" si="170">+CP7/$CP$26</f>
        <v>3776.568156984385</v>
      </c>
      <c r="CQ30" s="229">
        <f t="shared" ref="CQ30:CQ42" si="171">+CQ7/$CQ$26</f>
        <v>4703.3997889820639</v>
      </c>
      <c r="CR30" s="229">
        <f t="shared" ref="CR30:CR42" si="172">+CR7/$CR$26</f>
        <v>5659.9931460244461</v>
      </c>
      <c r="CS30" s="229">
        <f t="shared" ref="CS30:CS42" si="173">+CS7/$CS$26</f>
        <v>4180.26556981267</v>
      </c>
      <c r="CT30" s="229">
        <f t="shared" ref="CT30:CT42" si="174">+CT7/$CT$26</f>
        <v>4198.9240908369065</v>
      </c>
      <c r="CU30" s="229">
        <f t="shared" ref="CU30:CU42" si="175">+CU7/$CU$26</f>
        <v>4367.3927600740535</v>
      </c>
      <c r="CV30" s="229">
        <f t="shared" ref="CV30:CV42" si="176">+CV7/$CV$26</f>
        <v>4381.1534778658943</v>
      </c>
      <c r="CW30" s="229">
        <f t="shared" ref="CW30:CW42" si="177">+CW7/$CW$26</f>
        <v>5077.8936652358834</v>
      </c>
      <c r="CX30" s="229">
        <f t="shared" ref="CX30:CX42" si="178">+CX7/$CX$26</f>
        <v>5240.3025128080017</v>
      </c>
      <c r="CY30" s="229">
        <f t="shared" ref="CY30:CY42" si="179">+CY7/$CY$26</f>
        <v>4889.448139493079</v>
      </c>
      <c r="CZ30" s="229">
        <f t="shared" ref="CZ30:CZ42" si="180">+CZ7/$CZ$26</f>
        <v>5420.3995406687436</v>
      </c>
      <c r="DA30" s="231">
        <f>SUM(CO30:CZ30)</f>
        <v>56529.250316470854</v>
      </c>
      <c r="DB30" s="230">
        <f t="shared" ref="DB30:DB42" si="181">+DB7/$DB$26</f>
        <v>5813.3387654536555</v>
      </c>
      <c r="DC30" s="229">
        <f t="shared" ref="DC30:DC42" si="182">+DC7/$DC$26</f>
        <v>5117.482111777219</v>
      </c>
      <c r="DD30" s="229">
        <f t="shared" ref="DD30:DD42" si="183">+DD7/$DD$26</f>
        <v>5620.0313769892482</v>
      </c>
      <c r="DE30" s="229">
        <f t="shared" ref="DE30:DE42" si="184">+DE7/$DE$26</f>
        <v>6899.8759186790103</v>
      </c>
      <c r="DF30" s="229">
        <f t="shared" ref="DF30:DF42" si="185">+DF7/$DF$26</f>
        <v>5313.9013452914796</v>
      </c>
      <c r="DG30" s="229">
        <f t="shared" ref="DG30:DG42" si="186">+DG7/$DG$26</f>
        <v>4740.8609334733219</v>
      </c>
      <c r="DH30" s="229">
        <f t="shared" ref="DH30:DH42" si="187">+DH7/$DH$26</f>
        <v>5351.1657845801737</v>
      </c>
      <c r="DI30" s="229">
        <f t="shared" ref="DI30:DI42" si="188">+DI7/$DI$26</f>
        <v>5441.1764705882351</v>
      </c>
      <c r="DJ30" s="229">
        <f t="shared" ref="DJ30:DJ42" si="189">+DJ7/$DJ$26</f>
        <v>5913.2732506016137</v>
      </c>
      <c r="DK30" s="229">
        <f t="shared" ref="DK30:DK42" si="190">+DK7/$DK$26</f>
        <v>5671.5500945179583</v>
      </c>
      <c r="DL30" s="229">
        <f t="shared" ref="DL30:DL42" si="191">+DL7/$DL$26</f>
        <v>9461.9025082820626</v>
      </c>
      <c r="DM30" s="229">
        <f t="shared" ref="DM30:DM42" si="192">+DM7/$DM$26</f>
        <v>6760.4437101722915</v>
      </c>
      <c r="DN30" s="231">
        <f>SUM(DB30:DM30)</f>
        <v>72105.002270406272</v>
      </c>
      <c r="DO30" s="230">
        <f t="shared" ref="DO30:DO42" si="193">+DO7/$DO$26</f>
        <v>7175.1532296086752</v>
      </c>
      <c r="DP30" s="229">
        <f t="shared" ref="DP30:DP42" si="194">+DP7/$DP$26</f>
        <v>5977.1601151432214</v>
      </c>
      <c r="DQ30" s="229">
        <f t="shared" ref="DQ30:DQ42" si="195">+DQ7/$DQ$26</f>
        <v>7635.7089412644982</v>
      </c>
      <c r="DR30" s="229">
        <f t="shared" ref="DR30:DR42" si="196">+DR7/$DR$26</f>
        <v>7199.5055508909409</v>
      </c>
      <c r="DS30" s="229">
        <f t="shared" ref="DS30:DS42" si="197">+DS7/$DS$26</f>
        <v>5460.6857185425233</v>
      </c>
      <c r="DT30" s="229">
        <f t="shared" ref="DT30:DT42" si="198">+DT7/$DT$26</f>
        <v>5829.9433454072623</v>
      </c>
      <c r="DU30" s="229">
        <f t="shared" ref="DU30:DU42" si="199">+DU7/$DU$26</f>
        <v>5547.3963745525925</v>
      </c>
      <c r="DV30" s="229">
        <f t="shared" ref="DV30:DV42" si="200">+DV7/$DV$26</f>
        <v>5466.7101527832638</v>
      </c>
      <c r="DW30" s="229">
        <f t="shared" ref="DW30:DW42" si="201">+DW7/$DW$26</f>
        <v>5791.1376432206216</v>
      </c>
      <c r="DX30" s="229">
        <f t="shared" ref="DX30:DX42" si="202">+DX7/$DX$26</f>
        <v>5971.6265864297466</v>
      </c>
      <c r="DY30" s="229">
        <f t="shared" ref="DY30:DY42" si="203">+DY7/$DY$26</f>
        <v>8030.3483021591319</v>
      </c>
      <c r="DZ30" s="229">
        <f t="shared" ref="DZ30:DZ42" si="204">+DZ7/$DZ$26</f>
        <v>7663.2203055375812</v>
      </c>
      <c r="EA30" s="231">
        <f>SUM(DO30:DZ30)</f>
        <v>77748.596265540065</v>
      </c>
      <c r="EB30" s="230">
        <f t="shared" ref="EB30:EB42" si="205">+EB7/$EB$26</f>
        <v>7063.5378070536572</v>
      </c>
      <c r="EC30" s="229">
        <f t="shared" ref="EC30:EC42" si="206">+EC7/$EC$26</f>
        <v>6074.2088032011643</v>
      </c>
      <c r="ED30" s="229">
        <f t="shared" ref="ED30:ED42" si="207">+ED7/$ED$26</f>
        <v>7093.6849724056829</v>
      </c>
      <c r="EE30" s="229">
        <f t="shared" ref="EE30:EE42" si="208">+EE7/$EE$26</f>
        <v>9745.9559320506487</v>
      </c>
      <c r="EF30" s="229">
        <f t="shared" ref="EF30:EF42" si="209">+EF7/$EF$26</f>
        <v>6321.9295090811002</v>
      </c>
      <c r="EG30" s="229">
        <f t="shared" ref="EG30:EG42" si="210">+EG7/$EG$26</f>
        <v>6551.7303290093805</v>
      </c>
      <c r="EH30" s="229">
        <f t="shared" ref="EH30:EH42" si="211">+EH7/$EH$26</f>
        <v>6458.815642458102</v>
      </c>
      <c r="EI30" s="229">
        <f t="shared" ref="EI30:EI42" si="212">+EI7/$EI$26</f>
        <v>7206.3073138000445</v>
      </c>
      <c r="EJ30" s="229">
        <f t="shared" ref="EJ30:EJ42" si="213">+EJ7/$EJ$26</f>
        <v>5915.7697289089374</v>
      </c>
      <c r="EK30" s="229">
        <f t="shared" ref="EK30:EK42" si="214">+EK7/$EK$26</f>
        <v>7507.9195586403275</v>
      </c>
      <c r="EL30" s="229">
        <f t="shared" ref="EL30:EL42" si="215">+EL7/$EL$26</f>
        <v>6549.8652526512778</v>
      </c>
      <c r="EM30" s="229">
        <f t="shared" ref="EM30:EM42" si="216">+EM7/$EM$26</f>
        <v>6625.8072997243698</v>
      </c>
      <c r="EN30" s="231">
        <f>SUM(EB30:EM30)</f>
        <v>83115.532148984683</v>
      </c>
      <c r="EO30" s="230">
        <f t="shared" ref="EO30:EO42" si="217">+EO7/$EO$26</f>
        <v>7148.7946564885497</v>
      </c>
      <c r="EP30" s="229">
        <f t="shared" ref="EP30:EP42" si="218">+EP7/$EP$26</f>
        <v>7014.2727554316562</v>
      </c>
      <c r="EQ30" s="229">
        <f t="shared" ref="EQ30:EQ42" si="219">+EQ7/$EQ$26</f>
        <v>6981.7113872908531</v>
      </c>
      <c r="ER30" s="229">
        <f t="shared" ref="ER30:ER42" si="220">+ER7/$ER$26</f>
        <v>8328.5214348206482</v>
      </c>
      <c r="ES30" s="229">
        <f t="shared" ref="ES30:ES42" si="221">+ES7/$ES$26</f>
        <v>5356.1858360883934</v>
      </c>
      <c r="ET30" s="229">
        <f t="shared" ref="ET30:ET42" si="222">+ET7/$ET$26</f>
        <v>5539.7998300116224</v>
      </c>
      <c r="EU30" s="229">
        <f t="shared" ref="EU30:EU42" si="223">+EU7/$EU$26</f>
        <v>10737.64665418275</v>
      </c>
      <c r="EV30" s="229">
        <f t="shared" ref="EV30:EV42" si="224">+EV7/$EV$26</f>
        <v>10881.354125422591</v>
      </c>
      <c r="EW30" s="229">
        <f t="shared" ref="EW30:EW42" si="225">+EW7/$EW$26</f>
        <v>10850.866242426087</v>
      </c>
      <c r="EX30" s="229">
        <f t="shared" ref="EX30:EX42" si="226">+EX7/$EX$26</f>
        <v>12558.986287208487</v>
      </c>
      <c r="EY30" s="229">
        <f t="shared" ref="EY30:EY42" si="227">+EY7/$EY$26</f>
        <v>11118.232307047789</v>
      </c>
      <c r="EZ30" s="229">
        <f t="shared" ref="EZ30:EZ42" si="228">+EZ7/$EZ$26</f>
        <v>15763.026312812508</v>
      </c>
      <c r="FA30" s="231">
        <f>SUM(EO30:EZ30)</f>
        <v>112279.39782923194</v>
      </c>
      <c r="FB30" s="230">
        <f t="shared" ref="FB30:FB42" si="229">+FB7/$FB$26</f>
        <v>12505.259677807164</v>
      </c>
      <c r="FC30" s="229">
        <f t="shared" ref="FC30:FC42" si="230">+FC7/$FC$26</f>
        <v>10971.390851673492</v>
      </c>
      <c r="FD30" s="229">
        <f t="shared" ref="FD30:FD42" si="231">+FD7/$FD$26</f>
        <v>16070.28349016508</v>
      </c>
      <c r="FE30" s="229">
        <f t="shared" ref="FE30:FE42" si="232">+FE7/$FE$26</f>
        <v>16241.547190349445</v>
      </c>
      <c r="FF30" s="229">
        <f t="shared" ref="FF30:FF42" si="233">+FF7/$FF$26</f>
        <v>11307.204130675775</v>
      </c>
      <c r="FG30" s="229">
        <f t="shared" ref="FG30:FG42" si="234">+FG7/$FG$26</f>
        <v>10134.69839595236</v>
      </c>
      <c r="FH30" s="229">
        <f t="shared" ref="FH30:FH42" si="235">+FH7/$FH$26</f>
        <v>10519.431349987008</v>
      </c>
      <c r="FI30" s="229">
        <f t="shared" ref="FI30:FI42" si="236">+FI7/$FI$26</f>
        <v>11719.949700421626</v>
      </c>
      <c r="FJ30" s="229">
        <f t="shared" ref="FJ30:FJ42" si="237">+FJ7/$FJ$26</f>
        <v>11750.4465801556</v>
      </c>
      <c r="FK30" s="229">
        <f t="shared" ref="FK30:FK42" si="238">+FK7/$FK$26</f>
        <v>11890.479236045256</v>
      </c>
      <c r="FL30" s="229">
        <f t="shared" ref="FL30:FL42" si="239">+FL7/$FL$26</f>
        <v>13449.612971324694</v>
      </c>
      <c r="FM30" s="229">
        <f t="shared" ref="FM30:FM42" si="240">+FM7/$FM$26</f>
        <v>12118.079401493344</v>
      </c>
      <c r="FN30" s="231">
        <f>SUM(FB30:FM30)</f>
        <v>148678.38297605084</v>
      </c>
      <c r="FO30" s="230">
        <f t="shared" ref="FO30:FO42" si="241">+FO7/$FO$26</f>
        <v>14703.575749624641</v>
      </c>
      <c r="FP30" s="229">
        <f t="shared" ref="FP30:FP42" si="242">+FP7/$FP$26</f>
        <v>10910.920437950903</v>
      </c>
      <c r="FQ30" s="229">
        <f t="shared" ref="FQ30:FQ42" si="243">+FQ7/$FQ$26</f>
        <v>13534.221227704025</v>
      </c>
      <c r="FR30" s="229">
        <f t="shared" ref="FR30:FR42" si="244">+FR7/$FR$26</f>
        <v>14533.537549975552</v>
      </c>
      <c r="FS30" s="229">
        <f t="shared" ref="FS30:FS42" si="245">+FS7/$FS$26</f>
        <v>11480.748678547701</v>
      </c>
      <c r="FT30" s="229">
        <f t="shared" ref="FT30:FT42" si="246">+FT7/$FT$26</f>
        <v>10787.273437386988</v>
      </c>
      <c r="FU30" s="229">
        <f t="shared" ref="FU30:FU42" si="247">+FU7/$FU$26</f>
        <v>11254.59256960134</v>
      </c>
      <c r="FV30" s="229">
        <f t="shared" ref="FV30:FV42" si="248">+FV7/$FV$26</f>
        <v>12791.843231732239</v>
      </c>
      <c r="FW30" s="229">
        <f t="shared" ref="FW30:FW42" si="249">+FW7/$FW$26</f>
        <v>14541.268941974628</v>
      </c>
      <c r="FX30" s="229">
        <f t="shared" ref="FX30:FX42" si="250">+FX7/$FX$26</f>
        <v>13538.520290523404</v>
      </c>
      <c r="FY30" s="229">
        <f t="shared" ref="FY30:FY42" si="251">+FY7/$FY$26</f>
        <v>13420.687937319351</v>
      </c>
      <c r="FZ30" s="229">
        <f t="shared" ref="FZ30:FZ42" si="252">+FZ7/$FZ$26</f>
        <v>13972.889963109053</v>
      </c>
      <c r="GA30" s="231">
        <f>SUM(FO30:FZ30)</f>
        <v>155470.08001544984</v>
      </c>
      <c r="GB30" s="230">
        <f t="shared" ref="GB30:GB42" si="253">+GB7/$GB$26</f>
        <v>14899.760925081539</v>
      </c>
      <c r="GC30" s="229">
        <f t="shared" ref="GC30:GC42" si="254">+GC7/$GC$26</f>
        <v>12583.341409254261</v>
      </c>
      <c r="GD30" s="229">
        <f t="shared" ref="GD30:GD42" si="255">+GD7/$GD$26</f>
        <v>12892.290825382948</v>
      </c>
      <c r="GE30" s="229">
        <f t="shared" ref="GE30:GE42" si="256">+GE7/$GE$26</f>
        <v>16628.64673112411</v>
      </c>
      <c r="GF30" s="229">
        <f t="shared" ref="GF30:GF42" si="257">+GF7/$GF$26</f>
        <v>12883.028812646726</v>
      </c>
      <c r="GG30" s="229">
        <f t="shared" ref="GG30:GG42" si="258">+GG7/$GG$26</f>
        <v>11287.433616775961</v>
      </c>
      <c r="GH30" s="229">
        <f t="shared" ref="GH30:GH42" si="259">+GH7/$GH$26</f>
        <v>12217.182180383648</v>
      </c>
      <c r="GI30" s="229">
        <f t="shared" ref="GI30:GI42" si="260">+GI7/$GI$26</f>
        <v>12987.644179575456</v>
      </c>
      <c r="GJ30" s="229">
        <f t="shared" ref="GJ30:GJ42" si="261">+GJ7/$GJ$26</f>
        <v>13621.585467727329</v>
      </c>
      <c r="GK30" s="229">
        <f t="shared" ref="GK30:GK42" si="262">+GK7/$GK$26</f>
        <v>14812.512737123756</v>
      </c>
      <c r="GL30" s="229">
        <f t="shared" ref="GL30:GL42" si="263">+GL7/$GL$26</f>
        <v>14448.533593890656</v>
      </c>
      <c r="GM30" s="229">
        <f t="shared" ref="GM30:GM42" si="264">+GM7/$GM$26</f>
        <v>15123.091686692411</v>
      </c>
      <c r="GN30" s="231">
        <f>SUM(GB30:GM30)</f>
        <v>164385.0521656588</v>
      </c>
      <c r="GO30" s="230">
        <f t="shared" ref="GO30:GO42" si="265">+GO7/$GO$26</f>
        <v>15128.586094261535</v>
      </c>
      <c r="GP30" s="229">
        <f t="shared" ref="GP30:GP42" si="266">+GP7/$GP$26</f>
        <v>13656.087527936235</v>
      </c>
      <c r="GQ30" s="229">
        <f t="shared" ref="GQ30:GQ42" si="267">+GQ7/$GQ$26</f>
        <v>14190.838003183477</v>
      </c>
      <c r="GR30" s="229">
        <f t="shared" ref="GR30:GR42" si="268">+GR7/$GR$26</f>
        <v>16318.781945431583</v>
      </c>
      <c r="GS30" s="229">
        <f t="shared" ref="GS30:GS40" si="269">+GS7/$GS$26</f>
        <v>11089.908151978456</v>
      </c>
      <c r="GT30" s="229">
        <f t="shared" ref="GT30:GT42" si="270">+GT7/$GT$26</f>
        <v>11026.768762364385</v>
      </c>
      <c r="GU30" s="229">
        <f t="shared" ref="GU30:GU42" si="271">+GU7/$GU$26</f>
        <v>12347.193348373597</v>
      </c>
      <c r="GV30" s="229">
        <f t="shared" ref="GV30:GV42" si="272">+GV7/$GV$26</f>
        <v>12461.610372876934</v>
      </c>
      <c r="GW30" s="229">
        <f t="shared" ref="GW30:GW42" si="273">+GW7/$GW$26</f>
        <v>15360.830129255148</v>
      </c>
      <c r="GX30" s="229">
        <f t="shared" ref="GX30:GX42" si="274">+GX7/$GX$26</f>
        <v>15265.613164173576</v>
      </c>
      <c r="GY30" s="229">
        <f t="shared" ref="GY30:GY42" si="275">+GY7/$GY$26</f>
        <v>15078.390423428184</v>
      </c>
      <c r="GZ30" s="229">
        <f t="shared" ref="GZ30:GZ42" si="276">+GZ7/$GZ$26</f>
        <v>15216.053255119694</v>
      </c>
      <c r="HA30" s="231">
        <f>SUM(GO30:GZ30)</f>
        <v>167140.66117838278</v>
      </c>
      <c r="HB30" s="230">
        <f t="shared" ref="HB30:HB42" si="277">+HB7/$HB$26</f>
        <v>16731.521943286327</v>
      </c>
      <c r="HC30" s="229">
        <f t="shared" ref="HC30:HC42" si="278">+HC7/$HC$26</f>
        <v>16209.947601396474</v>
      </c>
      <c r="HD30" s="229">
        <f t="shared" ref="HD30:HD42" si="279">+HD7/$HD$26</f>
        <v>11301.007027410853</v>
      </c>
      <c r="HE30" s="229">
        <f t="shared" ref="HE30:HE42" si="280">+HE7/$HE$26</f>
        <v>8538.578249398448</v>
      </c>
      <c r="HF30" s="229">
        <f t="shared" ref="HF30:HF42" si="281">+HF7/$HF$26</f>
        <v>9411.7917035721312</v>
      </c>
      <c r="HG30" s="229">
        <f t="shared" ref="HG30:HG42" si="282">+HG7/$HG$26</f>
        <v>8297.1268558972952</v>
      </c>
      <c r="HH30" s="229">
        <f t="shared" ref="HH30:HH42" si="283">+HH7/$HH$26</f>
        <v>12599.079729566143</v>
      </c>
      <c r="HI30" s="229">
        <f t="shared" ref="HI30:HI42" si="284">+HI7/$HI$26</f>
        <v>12566.653478231303</v>
      </c>
      <c r="HJ30" s="229">
        <f t="shared" ref="HJ30:HJ42" si="285">+HJ7/$HJ$26</f>
        <v>14929.919619285063</v>
      </c>
      <c r="HK30" s="229">
        <f t="shared" ref="HK30:HK42" si="286">+HK7/$HK$26</f>
        <v>16194.237496961327</v>
      </c>
      <c r="HL30" s="229">
        <f t="shared" ref="HL30:HL42" si="287">+HL7/$HL$26</f>
        <v>16289.589750332154</v>
      </c>
      <c r="HM30" s="229">
        <f t="shared" ref="HM30:HM42" si="288">+HM7/$HM$26</f>
        <v>16869.684826256671</v>
      </c>
      <c r="HN30" s="231">
        <f>SUM(HB30:HM30)</f>
        <v>159939.13828159421</v>
      </c>
      <c r="HO30" s="230">
        <f t="shared" ref="HO30:HO42" si="289">+HO7/$HO$26</f>
        <v>18518.672843693825</v>
      </c>
      <c r="HP30" s="229">
        <f t="shared" ref="HP30:HP42" si="290">+HP7/$HP$26</f>
        <v>18694.00842671423</v>
      </c>
      <c r="HQ30" s="229">
        <f t="shared" ref="HQ30:HQ42" si="291">+HQ7/$HQ$26</f>
        <v>19502.887784849274</v>
      </c>
      <c r="HR30" s="229">
        <f t="shared" ref="HR30:HR42" si="292">+HR7/$HR$26</f>
        <v>21814.475168343783</v>
      </c>
      <c r="HS30" s="229">
        <f t="shared" ref="HS30:HS42" si="293">+HS7/$HS$26</f>
        <v>16635.457151954437</v>
      </c>
      <c r="HT30" s="229">
        <f t="shared" ref="HT30:HT42" si="294">+HT7/$HT$26</f>
        <v>17715.182375268017</v>
      </c>
      <c r="HU30" s="229">
        <f t="shared" ref="HU30:HU42" si="295">+HU7/$HU$26</f>
        <v>17977.519586019727</v>
      </c>
      <c r="HV30" s="229">
        <f t="shared" ref="HV30:HV42" si="296">+HV7/$HV$26</f>
        <v>17825.34767792889</v>
      </c>
      <c r="HW30" s="229">
        <f t="shared" ref="HW30:HW42" si="297">+HW7/$HW$26</f>
        <v>19007.134692089043</v>
      </c>
      <c r="HX30" s="229">
        <f t="shared" ref="HX30:HX42" si="298">+HX7/$HX$26</f>
        <v>19345.59205291398</v>
      </c>
      <c r="HY30" s="229">
        <f t="shared" ref="HY30:HY42" si="299">+HY7/$HY$26</f>
        <v>20446.447501829291</v>
      </c>
      <c r="HZ30" s="229">
        <f t="shared" ref="HZ30:HZ42" si="300">+HZ7/$HZ$26</f>
        <v>21196.172335877967</v>
      </c>
      <c r="IA30" s="231">
        <f>SUM(HO30:HZ30)</f>
        <v>228678.89759748246</v>
      </c>
      <c r="IB30" s="230">
        <f t="shared" ref="IB30:IB42" si="301">+IB7/$IB$26</f>
        <v>19369.027743074268</v>
      </c>
      <c r="IC30" s="229">
        <f t="shared" ref="IC30:IC42" si="302">+IC7/$IC$26</f>
        <v>18474.63367884127</v>
      </c>
      <c r="ID30" s="229">
        <f t="shared" ref="ID30:ID42" si="303">+ID7/$ID$26</f>
        <v>22681.024329820382</v>
      </c>
      <c r="IE30" s="229">
        <f t="shared" ref="IE30:IE42" si="304">+IE7/$IE$26</f>
        <v>25163.990516342761</v>
      </c>
      <c r="IF30" s="229">
        <f t="shared" ref="IF30:IF42" si="305">+IF7/$IF$26</f>
        <v>18226.387311563016</v>
      </c>
      <c r="IG30" s="229">
        <f t="shared" ref="IG30:IG42" si="306">+IG7/$IG$26</f>
        <v>17619.312334068083</v>
      </c>
      <c r="IH30" s="229">
        <f t="shared" ref="IH30:IH42" si="307">+IH7/$IH$26</f>
        <v>19135.456111937281</v>
      </c>
      <c r="II30" s="229">
        <f t="shared" ref="II30:II42" si="308">+II7/$II$26</f>
        <v>18739.807671973409</v>
      </c>
      <c r="IJ30" s="229">
        <f t="shared" ref="IJ30:IJ42" si="309">+IJ7/$IJ$26</f>
        <v>21002.356967764503</v>
      </c>
      <c r="IK30" s="229">
        <f t="shared" ref="IK30:IK42" si="310">+IK7/$IK$26</f>
        <v>20091.956014642557</v>
      </c>
      <c r="IL30" s="229">
        <f t="shared" ref="IL30:IL42" si="311">+IL7/$IL$26</f>
        <v>22863.637527729763</v>
      </c>
      <c r="IM30" s="229">
        <f t="shared" ref="IM30:IM42" si="312">+IM7/$IM$26</f>
        <v>20838.461014950222</v>
      </c>
      <c r="IN30" s="231">
        <f>SUM(IB30:IM30)</f>
        <v>244206.05122270749</v>
      </c>
      <c r="IO30" s="230">
        <f t="shared" ref="IO30:IO42" si="313">+IO7/$IO$26</f>
        <v>19155.922251393738</v>
      </c>
      <c r="IP30" s="229">
        <f t="shared" ref="IP30:IP42" si="314">+IP7/$IP$26</f>
        <v>16781.16195886636</v>
      </c>
      <c r="IQ30" s="229">
        <f t="shared" ref="IQ30:IQ42" si="315">+IQ7/$IQ$26</f>
        <v>19630.048426975587</v>
      </c>
      <c r="IR30" s="229">
        <f t="shared" ref="IR30:IR42" si="316">+IR7/$IR$26</f>
        <v>22112.04268566917</v>
      </c>
      <c r="IS30" s="229">
        <f t="shared" ref="IS30:IS42" si="317">+IS7/$IS$26</f>
        <v>16898.657923931485</v>
      </c>
      <c r="IT30" s="229">
        <f t="shared" ref="IT30:IT42" si="318">+IT7/$IT$26</f>
        <v>15163.08897471528</v>
      </c>
      <c r="IU30" s="229">
        <f t="shared" ref="IU30:IU42" si="319">+IU7/$IU$26</f>
        <v>15619.271661725401</v>
      </c>
      <c r="IV30" s="229">
        <f t="shared" ref="IV30:IV42" si="320">+IV7/$IV$26</f>
        <v>17394.741626497096</v>
      </c>
      <c r="IW30" s="229">
        <f t="shared" ref="IW30:IW42" si="321">+IW7/$IW$26</f>
        <v>18516.239091161638</v>
      </c>
      <c r="IX30" s="229">
        <f t="shared" ref="IX30:IX42" si="322">+IX7/$IX$26</f>
        <v>19338.340877302355</v>
      </c>
      <c r="IY30" s="229">
        <f t="shared" ref="IY30:IY42" si="323">+IY7/$IY$26</f>
        <v>18445.641274519287</v>
      </c>
      <c r="IZ30" s="229">
        <f t="shared" ref="IZ30:IZ42" si="324">+IZ7/$IZ$26</f>
        <v>19050.665091800907</v>
      </c>
      <c r="JA30" s="231">
        <f>SUM(IO30:IZ30)</f>
        <v>218105.82184455832</v>
      </c>
      <c r="JB30" s="230">
        <f t="shared" ref="JB30:JB42" si="325">+JB7/$JB$26</f>
        <v>20969.817108422289</v>
      </c>
      <c r="JC30" s="229">
        <f t="shared" ref="JC30:JC42" si="326">+JC7/$JC$26</f>
        <v>18489.142935639451</v>
      </c>
      <c r="JD30" s="229">
        <f t="shared" ref="JD30:JD42" si="327">+JD7/$JD$26</f>
        <v>18304.505191924211</v>
      </c>
      <c r="JE30" s="229">
        <f t="shared" ref="JE30:JE42" si="328">+JE7/$JE$26</f>
        <v>25801.405048582656</v>
      </c>
      <c r="JF30" s="229">
        <f t="shared" ref="JF30:JF42" si="329">+JF7/$JF$26</f>
        <v>17465.998115549271</v>
      </c>
      <c r="JG30" s="229">
        <f t="shared" ref="JG30:JG42" si="330">+JG7/$JG$26</f>
        <v>17371.520832880884</v>
      </c>
      <c r="JH30" s="229">
        <f t="shared" ref="JH30:JH42" si="331">+JH7/$JH$26</f>
        <v>20170.505715893949</v>
      </c>
      <c r="JI30" s="229">
        <f t="shared" ref="JI30:JI42" si="332">+JI7/$JI$26</f>
        <v>20376.439082308145</v>
      </c>
      <c r="JJ30" s="229">
        <f t="shared" ref="JJ30:JJ42" si="333">+JJ7/$JJ$26</f>
        <v>21536.62853688575</v>
      </c>
      <c r="JK30" s="229">
        <f t="shared" ref="JK30:JK42" si="334">+JK7/$JK$26</f>
        <v>20779.71864741217</v>
      </c>
      <c r="JL30" s="229">
        <f t="shared" ref="JL30:JL42" si="335">+JL7/$JL$26</f>
        <v>22408.327683246735</v>
      </c>
      <c r="JM30" s="229">
        <f t="shared" ref="JM30:JM42" si="336">+JM7/$JM$26</f>
        <v>27702.437473834463</v>
      </c>
      <c r="JN30" s="231">
        <f>SUM(JB30:JM30)</f>
        <v>251376.44637257996</v>
      </c>
      <c r="JO30" s="230">
        <f>+JO7/$JO$26</f>
        <v>24601.663599348067</v>
      </c>
      <c r="JP30" s="229">
        <f>+JP7/$JP$26</f>
        <v>21262.075824025374</v>
      </c>
      <c r="JQ30" s="229">
        <f>+JQ7/$JQ$26</f>
        <v>22491.869789310615</v>
      </c>
      <c r="JR30" s="229">
        <f>+JR7/$JR$26</f>
        <v>30287.938724433603</v>
      </c>
      <c r="JS30" s="229">
        <f t="shared" ref="JS30:JS41" si="337">+JS7/$JS$26</f>
        <v>20558.555551763493</v>
      </c>
      <c r="JT30" s="229">
        <f>+JT7/$JT$26</f>
        <v>20222.032857710084</v>
      </c>
      <c r="JU30" s="229">
        <f>+JU7/$JU$26</f>
        <v>21514.581869452581</v>
      </c>
      <c r="JV30" s="229">
        <f>+JV7/$JV$26</f>
        <v>21983.67398743501</v>
      </c>
      <c r="JW30" s="229">
        <f>+JW7/$JW$26</f>
        <v>24303.836393695245</v>
      </c>
      <c r="JX30" s="229">
        <f>+JX7/$JX$26</f>
        <v>24003.456261894517</v>
      </c>
      <c r="JY30" s="229">
        <f>+JY7/$JY$26</f>
        <v>24276.14729141317</v>
      </c>
      <c r="JZ30" s="229">
        <f>+JZ7/$JZ$26</f>
        <v>24487.081794078982</v>
      </c>
      <c r="KA30" s="231">
        <f>SUM(JO30:JZ30)</f>
        <v>279992.91394456069</v>
      </c>
      <c r="KB30" s="1326">
        <f>+KB7/$KB$26</f>
        <v>24913.986328335839</v>
      </c>
      <c r="KC30" s="130">
        <f>+KC7/$KC$26</f>
        <v>22081.338631412731</v>
      </c>
      <c r="KD30" s="130">
        <f>+KD7/$KD$26</f>
        <v>22965.361330956479</v>
      </c>
      <c r="KE30" s="130">
        <f>+KE7/$KE$26</f>
        <v>28890.784889574621</v>
      </c>
      <c r="KF30" s="130">
        <f>+KF7/$KF$26</f>
        <v>22466.903994563378</v>
      </c>
      <c r="KG30" s="130">
        <f>+KG7/$KG$26</f>
        <v>23038.169434536107</v>
      </c>
      <c r="KH30" s="130">
        <f>+KH7/$KH$26</f>
        <v>23093.572432554862</v>
      </c>
      <c r="KI30" s="130">
        <f>+KI7/$KI$26</f>
        <v>25362.737519652666</v>
      </c>
      <c r="KJ30" s="130"/>
      <c r="KK30" s="130"/>
      <c r="KL30" s="130"/>
      <c r="KM30" s="130"/>
      <c r="KN30" s="1327">
        <f>SUM(KB30:KM30)</f>
        <v>192812.85456158669</v>
      </c>
      <c r="KP30" s="14">
        <f>IFERROR((((KI30/JV30)-1)*100),"")</f>
        <v>15.370786221397736</v>
      </c>
      <c r="KQ30" s="14">
        <f>IFERROR((((KS30/KR30)-1)*100),"")</f>
        <v>5.4069172390365017</v>
      </c>
      <c r="KR30" s="50">
        <f>SUM(JO30:JV30)</f>
        <v>182922.39220347881</v>
      </c>
      <c r="KS30" s="50">
        <f>SUM(KB30:KM30)</f>
        <v>192812.85456158669</v>
      </c>
    </row>
    <row r="31" spans="1:307" s="35" customFormat="1" ht="13.9" customHeight="1" x14ac:dyDescent="0.2">
      <c r="A31" s="219" t="s">
        <v>291</v>
      </c>
      <c r="B31" s="284">
        <f t="shared" ref="B31:O42" si="338">+B8/$O$26</f>
        <v>4053.0449563887446</v>
      </c>
      <c r="C31" s="271">
        <f t="shared" si="338"/>
        <v>3444.3502222246084</v>
      </c>
      <c r="D31" s="271">
        <f t="shared" si="338"/>
        <v>4824.6880383989537</v>
      </c>
      <c r="E31" s="271">
        <f t="shared" si="338"/>
        <v>3712.3884465801057</v>
      </c>
      <c r="F31" s="271">
        <f t="shared" si="338"/>
        <v>3286.7154074604719</v>
      </c>
      <c r="G31" s="271">
        <f t="shared" si="338"/>
        <v>3079.4876172649224</v>
      </c>
      <c r="H31" s="271">
        <f t="shared" si="338"/>
        <v>3603.1658221180637</v>
      </c>
      <c r="I31" s="271">
        <f t="shared" si="338"/>
        <v>3222.9530104772261</v>
      </c>
      <c r="J31" s="271">
        <f t="shared" si="338"/>
        <v>3453.7965032591633</v>
      </c>
      <c r="K31" s="271">
        <f t="shared" si="338"/>
        <v>2949.0108604751317</v>
      </c>
      <c r="L31" s="271">
        <f t="shared" si="338"/>
        <v>3053.5103444198962</v>
      </c>
      <c r="M31" s="271">
        <f t="shared" si="338"/>
        <v>3303.836791835603</v>
      </c>
      <c r="N31" s="285">
        <f t="shared" si="338"/>
        <v>41986.948020902892</v>
      </c>
      <c r="O31" s="284">
        <f t="shared" si="338"/>
        <v>2624.3539891687706</v>
      </c>
      <c r="P31" s="271">
        <f t="shared" si="100"/>
        <v>2145.1659678739379</v>
      </c>
      <c r="Q31" s="271">
        <f t="shared" si="101"/>
        <v>2568.7338745529369</v>
      </c>
      <c r="R31" s="271">
        <f t="shared" si="102"/>
        <v>2860.4432265988894</v>
      </c>
      <c r="S31" s="271">
        <f t="shared" si="103"/>
        <v>2103.1220016114662</v>
      </c>
      <c r="T31" s="271">
        <f t="shared" si="104"/>
        <v>2115.274882285335</v>
      </c>
      <c r="U31" s="271">
        <f t="shared" si="105"/>
        <v>2047.6549928187078</v>
      </c>
      <c r="V31" s="271">
        <f t="shared" si="106"/>
        <v>2114.57207533375</v>
      </c>
      <c r="W31" s="271">
        <f t="shared" si="107"/>
        <v>1985.226156612089</v>
      </c>
      <c r="X31" s="271">
        <f t="shared" si="108"/>
        <v>1792.8713049495241</v>
      </c>
      <c r="Y31" s="271">
        <f t="shared" si="109"/>
        <v>1865.8756439189499</v>
      </c>
      <c r="Z31" s="271">
        <f t="shared" si="110"/>
        <v>2015.866058743243</v>
      </c>
      <c r="AA31" s="285">
        <f t="shared" ref="AA31:AA41" si="339">+SUM(O31:Z31)</f>
        <v>26239.160174467601</v>
      </c>
      <c r="AB31" s="284">
        <f t="shared" si="111"/>
        <v>2348.765976921984</v>
      </c>
      <c r="AC31" s="271">
        <f t="shared" si="112"/>
        <v>2021.8889381758102</v>
      </c>
      <c r="AD31" s="271">
        <f t="shared" si="113"/>
        <v>2242.6294015517842</v>
      </c>
      <c r="AE31" s="271">
        <f t="shared" si="114"/>
        <v>2195.869591215559</v>
      </c>
      <c r="AF31" s="271">
        <f t="shared" si="115"/>
        <v>1837.5378854768726</v>
      </c>
      <c r="AG31" s="271">
        <f t="shared" si="116"/>
        <v>2200.1033755297503</v>
      </c>
      <c r="AH31" s="271">
        <f t="shared" si="117"/>
        <v>2054.2413096104651</v>
      </c>
      <c r="AI31" s="271">
        <f t="shared" si="118"/>
        <v>2263.9763042847112</v>
      </c>
      <c r="AJ31" s="271">
        <f t="shared" si="119"/>
        <v>2387.9509997030195</v>
      </c>
      <c r="AK31" s="271">
        <f t="shared" si="120"/>
        <v>2292.2513435843975</v>
      </c>
      <c r="AL31" s="271">
        <f t="shared" si="121"/>
        <v>2201.9493102396973</v>
      </c>
      <c r="AM31" s="271">
        <f t="shared" si="122"/>
        <v>1840.9314794856919</v>
      </c>
      <c r="AN31" s="285">
        <f t="shared" ref="AN31:AN41" si="340">+SUM(AB31:AM31)</f>
        <v>25888.095915779741</v>
      </c>
      <c r="AO31" s="284">
        <f t="shared" si="123"/>
        <v>2182.0742057186576</v>
      </c>
      <c r="AP31" s="271">
        <f t="shared" si="124"/>
        <v>1961.7073800843932</v>
      </c>
      <c r="AQ31" s="271">
        <f t="shared" si="125"/>
        <v>2172.257260486283</v>
      </c>
      <c r="AR31" s="271">
        <f t="shared" si="126"/>
        <v>2482.4429309370034</v>
      </c>
      <c r="AS31" s="271">
        <f t="shared" si="127"/>
        <v>1865.1139201921596</v>
      </c>
      <c r="AT31" s="271">
        <f t="shared" si="128"/>
        <v>2112.6180719686031</v>
      </c>
      <c r="AU31" s="271">
        <f t="shared" si="129"/>
        <v>1758.0156721051351</v>
      </c>
      <c r="AV31" s="271">
        <f t="shared" si="130"/>
        <v>2015.2657873054873</v>
      </c>
      <c r="AW31" s="271">
        <f t="shared" si="131"/>
        <v>2212.0122377523721</v>
      </c>
      <c r="AX31" s="271">
        <f t="shared" si="132"/>
        <v>2245.2804247247536</v>
      </c>
      <c r="AY31" s="271">
        <f t="shared" si="133"/>
        <v>2437.5502925575011</v>
      </c>
      <c r="AZ31" s="271">
        <f t="shared" si="134"/>
        <v>2304.7727073701381</v>
      </c>
      <c r="BA31" s="285">
        <f t="shared" ref="BA31:BA41" si="341">+SUM(AO31:AZ31)</f>
        <v>25749.110891202494</v>
      </c>
      <c r="BB31" s="284">
        <f t="shared" si="135"/>
        <v>3024.280579222464</v>
      </c>
      <c r="BC31" s="271">
        <f t="shared" si="136"/>
        <v>2527.0407186058173</v>
      </c>
      <c r="BD31" s="271">
        <f t="shared" si="137"/>
        <v>2845.2800611766111</v>
      </c>
      <c r="BE31" s="271">
        <f t="shared" si="138"/>
        <v>6005.6939347687248</v>
      </c>
      <c r="BF31" s="271">
        <f t="shared" si="139"/>
        <v>2994.4834206027795</v>
      </c>
      <c r="BG31" s="271">
        <f t="shared" si="140"/>
        <v>3074.8813339826297</v>
      </c>
      <c r="BH31" s="271">
        <f t="shared" si="141"/>
        <v>3280.1890206262374</v>
      </c>
      <c r="BI31" s="271">
        <f t="shared" si="142"/>
        <v>3409.090909090909</v>
      </c>
      <c r="BJ31" s="271">
        <f t="shared" si="143"/>
        <v>3463.4038568768347</v>
      </c>
      <c r="BK31" s="271">
        <f t="shared" si="144"/>
        <v>3414.705559418805</v>
      </c>
      <c r="BL31" s="271">
        <f t="shared" si="145"/>
        <v>3356.7191718702766</v>
      </c>
      <c r="BM31" s="271">
        <f t="shared" si="146"/>
        <v>3329.091908673252</v>
      </c>
      <c r="BN31" s="285">
        <f t="shared" ref="BN31:BN41" si="342">SUM(BB31:BM31)</f>
        <v>40724.860474915338</v>
      </c>
      <c r="BO31" s="284">
        <f t="shared" si="147"/>
        <v>3460.3189270041003</v>
      </c>
      <c r="BP31" s="271">
        <f t="shared" si="148"/>
        <v>3287.7886731682142</v>
      </c>
      <c r="BQ31" s="271">
        <f t="shared" si="149"/>
        <v>4226.7733913253323</v>
      </c>
      <c r="BR31" s="271">
        <f t="shared" si="150"/>
        <v>5067.390106387682</v>
      </c>
      <c r="BS31" s="271">
        <f>+BS8/BS26</f>
        <v>3059.8629622472336</v>
      </c>
      <c r="BT31" s="271">
        <f>+BT8/BT26</f>
        <v>3142.9841463418561</v>
      </c>
      <c r="BU31" s="271">
        <f t="shared" si="151"/>
        <v>3314.7653962743216</v>
      </c>
      <c r="BV31" s="271">
        <f t="shared" si="152"/>
        <v>3592.2733409492162</v>
      </c>
      <c r="BW31" s="271">
        <f t="shared" si="153"/>
        <v>3395.4088300984272</v>
      </c>
      <c r="BX31" s="271">
        <f t="shared" si="154"/>
        <v>3525.269350007974</v>
      </c>
      <c r="BY31" s="271">
        <f t="shared" si="155"/>
        <v>4355.4436787279183</v>
      </c>
      <c r="BZ31" s="271">
        <f t="shared" si="156"/>
        <v>4041.6075258233959</v>
      </c>
      <c r="CA31" s="285">
        <f t="shared" ref="CA31:CA41" si="343">SUM(BO31:BZ31)</f>
        <v>44469.886328355671</v>
      </c>
      <c r="CB31" s="284">
        <f t="shared" si="157"/>
        <v>3965.478951146828</v>
      </c>
      <c r="CC31" s="271">
        <f t="shared" si="158"/>
        <v>3621.2932454695224</v>
      </c>
      <c r="CD31" s="271">
        <f t="shared" si="159"/>
        <v>3919.7264662395269</v>
      </c>
      <c r="CE31" s="271">
        <f t="shared" si="160"/>
        <v>4999.9230149402338</v>
      </c>
      <c r="CF31" s="271">
        <f t="shared" si="161"/>
        <v>3412.0116737494241</v>
      </c>
      <c r="CG31" s="271">
        <f t="shared" si="162"/>
        <v>3685.4309032778679</v>
      </c>
      <c r="CH31" s="271">
        <f t="shared" si="163"/>
        <v>3737.3475214118866</v>
      </c>
      <c r="CI31" s="271">
        <f t="shared" si="164"/>
        <v>4255.6924029388501</v>
      </c>
      <c r="CJ31" s="271">
        <f t="shared" si="165"/>
        <v>4303.0885169067315</v>
      </c>
      <c r="CK31" s="271">
        <f t="shared" si="166"/>
        <v>3678.7153576198366</v>
      </c>
      <c r="CL31" s="271">
        <f t="shared" si="167"/>
        <v>3649.3678800725907</v>
      </c>
      <c r="CM31" s="271">
        <f t="shared" si="168"/>
        <v>3564.6707385947029</v>
      </c>
      <c r="CN31" s="285">
        <f t="shared" ref="CN31:CN41" si="344">SUM(CB31:CM31)</f>
        <v>46792.746672368005</v>
      </c>
      <c r="CO31" s="284">
        <f t="shared" si="169"/>
        <v>4570.3275451952932</v>
      </c>
      <c r="CP31" s="271">
        <f t="shared" si="170"/>
        <v>3679.8880121655848</v>
      </c>
      <c r="CQ31" s="271">
        <f t="shared" si="171"/>
        <v>4601.8911607486634</v>
      </c>
      <c r="CR31" s="271">
        <f t="shared" si="172"/>
        <v>5476.2271347898859</v>
      </c>
      <c r="CS31" s="271">
        <f t="shared" si="173"/>
        <v>3858.8595301610007</v>
      </c>
      <c r="CT31" s="271">
        <f t="shared" si="174"/>
        <v>4050.0436715896458</v>
      </c>
      <c r="CU31" s="271">
        <f t="shared" si="175"/>
        <v>4288.1199038878167</v>
      </c>
      <c r="CV31" s="271">
        <f t="shared" si="176"/>
        <v>4129.7355692504116</v>
      </c>
      <c r="CW31" s="271">
        <f t="shared" si="177"/>
        <v>4950.6404263962377</v>
      </c>
      <c r="CX31" s="271">
        <f t="shared" si="178"/>
        <v>4668.9436447914122</v>
      </c>
      <c r="CY31" s="271">
        <f t="shared" si="179"/>
        <v>4796.6535653035744</v>
      </c>
      <c r="CZ31" s="271">
        <f t="shared" si="180"/>
        <v>5126.7763958001233</v>
      </c>
      <c r="DA31" s="285">
        <f t="shared" ref="DA31:DA41" si="345">SUM(CO31:CZ31)</f>
        <v>54198.106560079657</v>
      </c>
      <c r="DB31" s="284">
        <f t="shared" si="181"/>
        <v>5480.1363850209282</v>
      </c>
      <c r="DC31" s="271">
        <f t="shared" si="182"/>
        <v>4956.9715722297424</v>
      </c>
      <c r="DD31" s="271">
        <f t="shared" si="183"/>
        <v>5427.6434153900773</v>
      </c>
      <c r="DE31" s="271">
        <f t="shared" si="184"/>
        <v>6730.9344277942155</v>
      </c>
      <c r="DF31" s="271">
        <f t="shared" si="185"/>
        <v>4714.721877683427</v>
      </c>
      <c r="DG31" s="271">
        <f t="shared" si="186"/>
        <v>4612.4844898348765</v>
      </c>
      <c r="DH31" s="271">
        <f t="shared" si="187"/>
        <v>5159.967577361369</v>
      </c>
      <c r="DI31" s="271">
        <f t="shared" si="188"/>
        <v>5007.5901328273239</v>
      </c>
      <c r="DJ31" s="271">
        <f t="shared" si="189"/>
        <v>5491.4358514603882</v>
      </c>
      <c r="DK31" s="271">
        <f t="shared" si="190"/>
        <v>5476.3705103969751</v>
      </c>
      <c r="DL31" s="271">
        <f t="shared" si="191"/>
        <v>7164.2214860388076</v>
      </c>
      <c r="DM31" s="271">
        <f t="shared" si="192"/>
        <v>6641.0195893320742</v>
      </c>
      <c r="DN31" s="285">
        <f t="shared" ref="DN31:DN41" si="346">SUM(DB31:DM31)</f>
        <v>66863.497315370201</v>
      </c>
      <c r="DO31" s="284">
        <f t="shared" si="193"/>
        <v>6807.9679396511083</v>
      </c>
      <c r="DP31" s="271">
        <f t="shared" si="194"/>
        <v>5836.5815676466427</v>
      </c>
      <c r="DQ31" s="271">
        <f t="shared" si="195"/>
        <v>6324.9158249158263</v>
      </c>
      <c r="DR31" s="271">
        <f t="shared" si="196"/>
        <v>6960.9105326989447</v>
      </c>
      <c r="DS31" s="271">
        <f t="shared" si="197"/>
        <v>5066.8026184689606</v>
      </c>
      <c r="DT31" s="271">
        <f t="shared" si="198"/>
        <v>5128.0765301383854</v>
      </c>
      <c r="DU31" s="271">
        <f t="shared" si="199"/>
        <v>5056.0443366816771</v>
      </c>
      <c r="DV31" s="271">
        <f t="shared" si="200"/>
        <v>5154.1154097035278</v>
      </c>
      <c r="DW31" s="271">
        <f t="shared" si="201"/>
        <v>5664.5849871290711</v>
      </c>
      <c r="DX31" s="271">
        <f t="shared" si="202"/>
        <v>5560.0148609537609</v>
      </c>
      <c r="DY31" s="271">
        <f t="shared" si="203"/>
        <v>7734.0363425745027</v>
      </c>
      <c r="DZ31" s="271">
        <f t="shared" si="204"/>
        <v>6731.6014336128055</v>
      </c>
      <c r="EA31" s="285">
        <f t="shared" ref="EA31:EA41" si="347">SUM(DO31:DZ31)</f>
        <v>72025.652384175206</v>
      </c>
      <c r="EB31" s="284">
        <f t="shared" si="205"/>
        <v>6790.9519235167645</v>
      </c>
      <c r="EC31" s="271">
        <f t="shared" si="206"/>
        <v>5998.1356857038927</v>
      </c>
      <c r="ED31" s="271">
        <f t="shared" si="207"/>
        <v>6982.1315479960194</v>
      </c>
      <c r="EE31" s="271">
        <f t="shared" si="208"/>
        <v>9461.4067498760887</v>
      </c>
      <c r="EF31" s="271">
        <f t="shared" si="209"/>
        <v>6092.384463226038</v>
      </c>
      <c r="EG31" s="271">
        <f t="shared" si="210"/>
        <v>5948.3369989676376</v>
      </c>
      <c r="EH31" s="271">
        <f t="shared" si="211"/>
        <v>6214.3910614525157</v>
      </c>
      <c r="EI31" s="271">
        <f t="shared" si="212"/>
        <v>7062.6258107805861</v>
      </c>
      <c r="EJ31" s="271">
        <f t="shared" si="213"/>
        <v>5657.9875842972624</v>
      </c>
      <c r="EK31" s="271">
        <f t="shared" si="214"/>
        <v>7180.0142374087918</v>
      </c>
      <c r="EL31" s="271">
        <f t="shared" si="215"/>
        <v>6279.4329382407977</v>
      </c>
      <c r="EM31" s="271">
        <f t="shared" si="216"/>
        <v>6206.0258068818339</v>
      </c>
      <c r="EN31" s="285">
        <f t="shared" ref="EN31:EN41" si="348">SUM(EB31:EM31)</f>
        <v>79873.824808348232</v>
      </c>
      <c r="EO31" s="284">
        <f t="shared" si="217"/>
        <v>7025.5052281200078</v>
      </c>
      <c r="EP31" s="271">
        <f t="shared" si="218"/>
        <v>6560.7128634010351</v>
      </c>
      <c r="EQ31" s="271">
        <f t="shared" si="219"/>
        <v>6773.1127311053533</v>
      </c>
      <c r="ER31" s="271">
        <f t="shared" si="220"/>
        <v>8096.2379702537182</v>
      </c>
      <c r="ES31" s="271">
        <f t="shared" si="221"/>
        <v>5198.7123716721762</v>
      </c>
      <c r="ET31" s="271">
        <f t="shared" si="222"/>
        <v>5092.7130492099013</v>
      </c>
      <c r="EU31" s="271">
        <f t="shared" si="223"/>
        <v>10432.682386211642</v>
      </c>
      <c r="EV31" s="271">
        <f t="shared" si="224"/>
        <v>10417.339262327536</v>
      </c>
      <c r="EW31" s="271">
        <f t="shared" si="225"/>
        <v>10550.193344091587</v>
      </c>
      <c r="EX31" s="271">
        <f t="shared" si="226"/>
        <v>10990.832801240536</v>
      </c>
      <c r="EY31" s="271">
        <f t="shared" si="227"/>
        <v>10862.854099574017</v>
      </c>
      <c r="EZ31" s="271">
        <f t="shared" si="228"/>
        <v>13890.962842296585</v>
      </c>
      <c r="FA31" s="285">
        <f t="shared" ref="FA31:FA42" si="349">SUM(EO31:EZ31)</f>
        <v>105891.85894950411</v>
      </c>
      <c r="FB31" s="284">
        <f t="shared" si="229"/>
        <v>12312.905746573695</v>
      </c>
      <c r="FC31" s="271">
        <f t="shared" si="230"/>
        <v>10699.926489340953</v>
      </c>
      <c r="FD31" s="271">
        <f t="shared" si="231"/>
        <v>15405.69962867411</v>
      </c>
      <c r="FE31" s="271">
        <f t="shared" si="232"/>
        <v>15728.451393082674</v>
      </c>
      <c r="FF31" s="271">
        <f t="shared" si="233"/>
        <v>10958.864361761489</v>
      </c>
      <c r="FG31" s="271">
        <f t="shared" si="234"/>
        <v>9834.5431176029178</v>
      </c>
      <c r="FH31" s="271">
        <f t="shared" si="235"/>
        <v>10208.975167959616</v>
      </c>
      <c r="FI31" s="271">
        <f t="shared" si="236"/>
        <v>11474.739255862118</v>
      </c>
      <c r="FJ31" s="271">
        <f t="shared" si="237"/>
        <v>11088.03165182987</v>
      </c>
      <c r="FK31" s="271">
        <f t="shared" si="238"/>
        <v>11683.023472935918</v>
      </c>
      <c r="FL31" s="271">
        <f t="shared" si="239"/>
        <v>13079.296897906526</v>
      </c>
      <c r="FM31" s="271">
        <f t="shared" si="240"/>
        <v>11718.734018148078</v>
      </c>
      <c r="FN31" s="285">
        <f t="shared" ref="FN31:FN41" si="350">SUM(FB31:FM31)</f>
        <v>144193.19120167795</v>
      </c>
      <c r="FO31" s="284">
        <f t="shared" si="241"/>
        <v>14382.443404615093</v>
      </c>
      <c r="FP31" s="271">
        <f t="shared" si="242"/>
        <v>10701.026583648769</v>
      </c>
      <c r="FQ31" s="271">
        <f t="shared" si="243"/>
        <v>13365.894241596201</v>
      </c>
      <c r="FR31" s="271">
        <f t="shared" si="244"/>
        <v>14253.458739609401</v>
      </c>
      <c r="FS31" s="271">
        <f t="shared" si="245"/>
        <v>11117.67424395598</v>
      </c>
      <c r="FT31" s="271">
        <f t="shared" si="246"/>
        <v>10507.297739075088</v>
      </c>
      <c r="FU31" s="271">
        <f t="shared" si="247"/>
        <v>10907.831007875038</v>
      </c>
      <c r="FV31" s="271">
        <f t="shared" si="248"/>
        <v>12406.160597130503</v>
      </c>
      <c r="FW31" s="271">
        <f t="shared" si="249"/>
        <v>12938.847811587862</v>
      </c>
      <c r="FX31" s="271">
        <f t="shared" si="250"/>
        <v>12948.754899700254</v>
      </c>
      <c r="FY31" s="271">
        <f t="shared" si="251"/>
        <v>13171.818414119847</v>
      </c>
      <c r="FZ31" s="271">
        <f t="shared" si="252"/>
        <v>13281.104213941131</v>
      </c>
      <c r="GA31" s="285">
        <f t="shared" ref="GA31:GA41" si="351">SUM(FO31:FZ31)</f>
        <v>149982.31189685519</v>
      </c>
      <c r="GB31" s="284">
        <f t="shared" si="253"/>
        <v>14770.179006614386</v>
      </c>
      <c r="GC31" s="271">
        <f t="shared" si="254"/>
        <v>12440.438656275799</v>
      </c>
      <c r="GD31" s="271">
        <f t="shared" si="255"/>
        <v>12212.632166090789</v>
      </c>
      <c r="GE31" s="271">
        <f t="shared" si="256"/>
        <v>16384.267767278256</v>
      </c>
      <c r="GF31" s="271">
        <f t="shared" si="257"/>
        <v>12325.898952683821</v>
      </c>
      <c r="GG31" s="271">
        <f t="shared" si="258"/>
        <v>10939.365489767821</v>
      </c>
      <c r="GH31" s="271">
        <f t="shared" si="259"/>
        <v>11430.049366361465</v>
      </c>
      <c r="GI31" s="271">
        <f t="shared" si="260"/>
        <v>12638.293103461298</v>
      </c>
      <c r="GJ31" s="271">
        <f t="shared" si="261"/>
        <v>13437.893724233279</v>
      </c>
      <c r="GK31" s="271">
        <f t="shared" si="262"/>
        <v>14339.145184452251</v>
      </c>
      <c r="GL31" s="271">
        <f t="shared" si="263"/>
        <v>14060.964646903492</v>
      </c>
      <c r="GM31" s="271">
        <f t="shared" si="264"/>
        <v>14713.785580204236</v>
      </c>
      <c r="GN31" s="285">
        <f t="shared" ref="GN31:GN41" si="352">SUM(GB31:GM31)</f>
        <v>159692.91364432691</v>
      </c>
      <c r="GO31" s="284">
        <f t="shared" si="265"/>
        <v>14903.138783533961</v>
      </c>
      <c r="GP31" s="271">
        <f t="shared" si="266"/>
        <v>13379.495805490273</v>
      </c>
      <c r="GQ31" s="271">
        <f t="shared" si="267"/>
        <v>13930.061295128207</v>
      </c>
      <c r="GR31" s="271">
        <f t="shared" si="268"/>
        <v>16123.467727297293</v>
      </c>
      <c r="GS31" s="271">
        <f t="shared" si="269"/>
        <v>10857.484093097446</v>
      </c>
      <c r="GT31" s="271">
        <f t="shared" si="270"/>
        <v>10840.424993821081</v>
      </c>
      <c r="GU31" s="271">
        <f t="shared" si="271"/>
        <v>11849.389978709134</v>
      </c>
      <c r="GV31" s="271">
        <f t="shared" si="272"/>
        <v>12002.626497911191</v>
      </c>
      <c r="GW31" s="271">
        <f t="shared" si="273"/>
        <v>15013.132985819411</v>
      </c>
      <c r="GX31" s="271">
        <f t="shared" si="274"/>
        <v>14744.675243494508</v>
      </c>
      <c r="GY31" s="271">
        <f t="shared" si="275"/>
        <v>14057.916249487043</v>
      </c>
      <c r="GZ31" s="271">
        <f t="shared" si="276"/>
        <v>14883.207714893599</v>
      </c>
      <c r="HA31" s="285">
        <f t="shared" ref="HA31:HA42" si="353">SUM(GO31:GZ31)</f>
        <v>162585.02136868314</v>
      </c>
      <c r="HB31" s="284">
        <f t="shared" si="277"/>
        <v>16215.274123846026</v>
      </c>
      <c r="HC31" s="271">
        <f t="shared" si="278"/>
        <v>15896.320354325977</v>
      </c>
      <c r="HD31" s="271">
        <f t="shared" si="279"/>
        <v>11070.000159102177</v>
      </c>
      <c r="HE31" s="271">
        <f t="shared" si="280"/>
        <v>8516.9751382399991</v>
      </c>
      <c r="HF31" s="271">
        <f t="shared" si="281"/>
        <v>9375.3108296138453</v>
      </c>
      <c r="HG31" s="271">
        <f t="shared" si="282"/>
        <v>8269.9494880971397</v>
      </c>
      <c r="HH31" s="271">
        <f t="shared" si="283"/>
        <v>12463.268584101172</v>
      </c>
      <c r="HI31" s="271">
        <f t="shared" si="284"/>
        <v>12002.430242085013</v>
      </c>
      <c r="HJ31" s="271">
        <f t="shared" si="285"/>
        <v>14559.828568976494</v>
      </c>
      <c r="HK31" s="271">
        <f t="shared" si="286"/>
        <v>15481.993943500278</v>
      </c>
      <c r="HL31" s="271">
        <f t="shared" si="287"/>
        <v>16031.598449565028</v>
      </c>
      <c r="HM31" s="271">
        <f t="shared" si="288"/>
        <v>16514.190522114201</v>
      </c>
      <c r="HN31" s="285">
        <f t="shared" ref="HN31:HN42" si="354">SUM(HB31:HM31)</f>
        <v>156397.14040356735</v>
      </c>
      <c r="HO31" s="284">
        <f t="shared" si="289"/>
        <v>18230.826555388383</v>
      </c>
      <c r="HP31" s="271">
        <f t="shared" si="290"/>
        <v>18065.401920633944</v>
      </c>
      <c r="HQ31" s="271">
        <f t="shared" si="291"/>
        <v>19119.162105157251</v>
      </c>
      <c r="HR31" s="271">
        <f t="shared" si="292"/>
        <v>21625.702690708822</v>
      </c>
      <c r="HS31" s="271">
        <f t="shared" si="293"/>
        <v>16236.414620404372</v>
      </c>
      <c r="HT31" s="271">
        <f t="shared" si="294"/>
        <v>17276.542237481412</v>
      </c>
      <c r="HU31" s="271">
        <f t="shared" si="295"/>
        <v>17719.289666602122</v>
      </c>
      <c r="HV31" s="271">
        <f t="shared" si="296"/>
        <v>17345.478015926998</v>
      </c>
      <c r="HW31" s="271">
        <f t="shared" si="297"/>
        <v>18154.55039005656</v>
      </c>
      <c r="HX31" s="271">
        <f t="shared" si="298"/>
        <v>19011.903598391924</v>
      </c>
      <c r="HY31" s="271">
        <f t="shared" si="299"/>
        <v>19894.057977092965</v>
      </c>
      <c r="HZ31" s="271">
        <f t="shared" si="300"/>
        <v>20779.913430369197</v>
      </c>
      <c r="IA31" s="285">
        <f t="shared" ref="IA31:IA42" si="355">SUM(HO31:HZ31)</f>
        <v>223459.24320821397</v>
      </c>
      <c r="IB31" s="284">
        <f t="shared" si="301"/>
        <v>19086.425257848648</v>
      </c>
      <c r="IC31" s="271">
        <f t="shared" si="302"/>
        <v>18037.757666350728</v>
      </c>
      <c r="ID31" s="271">
        <f t="shared" si="303"/>
        <v>22351.266467077618</v>
      </c>
      <c r="IE31" s="271">
        <f t="shared" si="304"/>
        <v>24850.542526495567</v>
      </c>
      <c r="IF31" s="271">
        <f t="shared" si="305"/>
        <v>17655.626219348818</v>
      </c>
      <c r="IG31" s="271">
        <f t="shared" si="306"/>
        <v>17229.168968854116</v>
      </c>
      <c r="IH31" s="271">
        <f t="shared" si="307"/>
        <v>18819.268159747058</v>
      </c>
      <c r="II31" s="271">
        <f t="shared" si="308"/>
        <v>18480.311287942961</v>
      </c>
      <c r="IJ31" s="271">
        <f t="shared" si="309"/>
        <v>20450.446523735827</v>
      </c>
      <c r="IK31" s="271">
        <f t="shared" si="310"/>
        <v>19714.001541545003</v>
      </c>
      <c r="IL31" s="271">
        <f t="shared" si="311"/>
        <v>22468.721290894937</v>
      </c>
      <c r="IM31" s="271">
        <f t="shared" si="312"/>
        <v>20537.53435703232</v>
      </c>
      <c r="IN31" s="285">
        <f t="shared" ref="IN31:IN42" si="356">SUM(IB31:IM31)</f>
        <v>239681.0702668736</v>
      </c>
      <c r="IO31" s="284">
        <f t="shared" si="313"/>
        <v>18795.535628517271</v>
      </c>
      <c r="IP31" s="271">
        <f t="shared" si="314"/>
        <v>16467.384114768203</v>
      </c>
      <c r="IQ31" s="271">
        <f t="shared" si="315"/>
        <v>19282.02909872658</v>
      </c>
      <c r="IR31" s="271">
        <f t="shared" si="316"/>
        <v>21829.083532472323</v>
      </c>
      <c r="IS31" s="271">
        <f t="shared" si="317"/>
        <v>16536.659390538502</v>
      </c>
      <c r="IT31" s="271">
        <f t="shared" si="318"/>
        <v>14925.442398811927</v>
      </c>
      <c r="IU31" s="271">
        <f t="shared" si="319"/>
        <v>15390.332418525075</v>
      </c>
      <c r="IV31" s="271">
        <f t="shared" si="320"/>
        <v>17111.724833305267</v>
      </c>
      <c r="IW31" s="271">
        <f t="shared" si="321"/>
        <v>17805.591526236563</v>
      </c>
      <c r="IX31" s="271">
        <f t="shared" si="322"/>
        <v>19036.789264660078</v>
      </c>
      <c r="IY31" s="271">
        <f t="shared" si="323"/>
        <v>18226.286298231294</v>
      </c>
      <c r="IZ31" s="271">
        <f t="shared" si="324"/>
        <v>18729.417673139891</v>
      </c>
      <c r="JA31" s="285">
        <f t="shared" ref="JA31:JA42" si="357">SUM(IO31:IZ31)</f>
        <v>214136.27617793292</v>
      </c>
      <c r="JB31" s="284">
        <f t="shared" si="325"/>
        <v>20570.547405414462</v>
      </c>
      <c r="JC31" s="271">
        <f t="shared" si="326"/>
        <v>17715.477392710403</v>
      </c>
      <c r="JD31" s="271">
        <f t="shared" si="327"/>
        <v>17713.625363931737</v>
      </c>
      <c r="JE31" s="271">
        <f t="shared" si="328"/>
        <v>25434.277279440459</v>
      </c>
      <c r="JF31" s="271">
        <f t="shared" si="329"/>
        <v>16792.137426804995</v>
      </c>
      <c r="JG31" s="271">
        <f t="shared" si="330"/>
        <v>17188.227893867312</v>
      </c>
      <c r="JH31" s="271">
        <f t="shared" si="331"/>
        <v>19662.701512314943</v>
      </c>
      <c r="JI31" s="271">
        <f t="shared" si="332"/>
        <v>20020.486475103498</v>
      </c>
      <c r="JJ31" s="271">
        <f t="shared" si="333"/>
        <v>21176.175504563711</v>
      </c>
      <c r="JK31" s="271">
        <f t="shared" si="334"/>
        <v>20328.847768557604</v>
      </c>
      <c r="JL31" s="271">
        <f t="shared" si="335"/>
        <v>21531.921837714533</v>
      </c>
      <c r="JM31" s="271">
        <f t="shared" si="336"/>
        <v>26834.11617642385</v>
      </c>
      <c r="JN31" s="285">
        <f t="shared" ref="JN31:JN42" si="358">SUM(JB31:JM31)</f>
        <v>244968.54203684753</v>
      </c>
      <c r="JO31" s="284">
        <f>+JO8/$JO$26</f>
        <v>23858.822308565028</v>
      </c>
      <c r="JP31" s="271">
        <f>+JP8/$JP$26</f>
        <v>20818.86096066095</v>
      </c>
      <c r="JQ31" s="271">
        <f>+JQ8/$JQ$26</f>
        <v>21896.860411306308</v>
      </c>
      <c r="JR31" s="271">
        <f>+JR8/$JR$26</f>
        <v>29607.983058479444</v>
      </c>
      <c r="JS31" s="271">
        <f t="shared" si="337"/>
        <v>20015.541785225221</v>
      </c>
      <c r="JT31" s="271">
        <f t="shared" ref="JT31:JT41" si="359">+JT8/$JT$26</f>
        <v>19654.647227700745</v>
      </c>
      <c r="JU31" s="271">
        <f t="shared" ref="JU31:JU41" si="360">+JU8/$JU$26</f>
        <v>20810.164562413418</v>
      </c>
      <c r="JV31" s="271">
        <f t="shared" ref="JV31:JV41" si="361">+JV8/$JV$26</f>
        <v>21672.391951223402</v>
      </c>
      <c r="JW31" s="271">
        <f t="shared" ref="JW31:JW41" si="362">+JW8/$JW$26</f>
        <v>23817.511030769067</v>
      </c>
      <c r="JX31" s="271">
        <f>+JX8/$JX$26</f>
        <v>23336.316584427099</v>
      </c>
      <c r="JY31" s="271">
        <f t="shared" ref="JY31:JY41" si="363">+JY8/$JY$26</f>
        <v>23587.923049129662</v>
      </c>
      <c r="JZ31" s="271">
        <f>+JZ8/$JZ$26</f>
        <v>23766.898470924294</v>
      </c>
      <c r="KA31" s="285">
        <f>SUM(JO31:JZ31)</f>
        <v>272843.92140082462</v>
      </c>
      <c r="KB31" s="1328">
        <f t="shared" ref="KB31:KB41" si="364">+KB8/$KB$26</f>
        <v>24063.522820828912</v>
      </c>
      <c r="KC31" s="129">
        <f t="shared" ref="KC31:KC42" si="365">+KC8/$KC$26</f>
        <v>21502.228141866617</v>
      </c>
      <c r="KD31" s="129">
        <f t="shared" ref="KD31:KD41" si="366">+KD8/$KD$26</f>
        <v>22274.688501359215</v>
      </c>
      <c r="KE31" s="129">
        <f>+KE8/$KE$26</f>
        <v>28232.324879823569</v>
      </c>
      <c r="KF31" s="129">
        <f t="shared" ref="KF31:KF42" si="367">+KF8/$KF$26</f>
        <v>22003.734077852831</v>
      </c>
      <c r="KG31" s="129">
        <f t="shared" ref="KG31:KG42" si="368">+KG8/$KG$26</f>
        <v>22297.797591655679</v>
      </c>
      <c r="KH31" s="129">
        <f t="shared" ref="KH31:KH42" si="369">+KH8/$KH$26</f>
        <v>22532.025732418377</v>
      </c>
      <c r="KI31" s="129">
        <f t="shared" ref="KI31:KI42" si="370">+KI8/$KI$26</f>
        <v>24758.497799839664</v>
      </c>
      <c r="KJ31" s="71"/>
      <c r="KK31" s="71"/>
      <c r="KL31" s="71"/>
      <c r="KM31" s="71"/>
      <c r="KN31" s="1329">
        <f t="shared" ref="KN31:KN42" si="371">SUM(KB31:KM31)</f>
        <v>187664.81954564486</v>
      </c>
      <c r="KO31" s="71"/>
      <c r="KP31" s="1614">
        <f t="shared" ref="KP31:KP42" si="372">IFERROR((((KI31/JV31)-1)*100),"")</f>
        <v>14.23980267412086</v>
      </c>
      <c r="KQ31" s="27">
        <f t="shared" ref="KQ31:KQ42" si="373">IFERROR((((KS31/KR31)-1)*100),"")</f>
        <v>5.2314649600988306</v>
      </c>
      <c r="KR31" s="222">
        <f t="shared" ref="KR31:KR42" si="374">SUM(JO31:JV31)</f>
        <v>178335.27226557449</v>
      </c>
      <c r="KS31" s="222">
        <f t="shared" ref="KS31:KS42" si="375">SUM(KB31:KM31)</f>
        <v>187664.81954564486</v>
      </c>
    </row>
    <row r="32" spans="1:307" ht="13.9" customHeight="1" x14ac:dyDescent="0.2">
      <c r="A32" s="238" t="s">
        <v>446</v>
      </c>
      <c r="B32" s="241">
        <v>4866</v>
      </c>
      <c r="C32" s="240">
        <v>4277</v>
      </c>
      <c r="D32" s="240">
        <v>7292</v>
      </c>
      <c r="E32" s="240">
        <v>4548</v>
      </c>
      <c r="F32" s="240">
        <v>3844</v>
      </c>
      <c r="G32" s="240">
        <v>3725</v>
      </c>
      <c r="H32" s="240">
        <v>4319</v>
      </c>
      <c r="I32" s="240">
        <v>4641</v>
      </c>
      <c r="J32" s="240">
        <v>4604</v>
      </c>
      <c r="K32" s="240">
        <v>4435</v>
      </c>
      <c r="L32" s="240">
        <v>3853</v>
      </c>
      <c r="M32" s="240">
        <v>4153</v>
      </c>
      <c r="N32" s="242">
        <f>SUM(B32:M32)</f>
        <v>54557</v>
      </c>
      <c r="O32" s="241">
        <f t="shared" si="338"/>
        <v>1555.6844078782726</v>
      </c>
      <c r="P32" s="240">
        <f t="shared" si="100"/>
        <v>1430.8601998066763</v>
      </c>
      <c r="Q32" s="240">
        <f t="shared" si="101"/>
        <v>1922.5377697439067</v>
      </c>
      <c r="R32" s="240">
        <f t="shared" si="102"/>
        <v>1982.4795904411426</v>
      </c>
      <c r="S32" s="240">
        <f t="shared" si="103"/>
        <v>1280.2530128880485</v>
      </c>
      <c r="T32" s="240">
        <f t="shared" si="104"/>
        <v>1230.7224026127828</v>
      </c>
      <c r="U32" s="240">
        <f t="shared" si="105"/>
        <v>1358.0520542537818</v>
      </c>
      <c r="V32" s="240">
        <f t="shared" si="106"/>
        <v>1378.0633607418531</v>
      </c>
      <c r="W32" s="240">
        <f t="shared" si="107"/>
        <v>1245.7102237116087</v>
      </c>
      <c r="X32" s="240">
        <f t="shared" si="108"/>
        <v>1228.1703825231066</v>
      </c>
      <c r="Y32" s="240">
        <f t="shared" si="109"/>
        <v>1139.6044091372985</v>
      </c>
      <c r="Z32" s="240">
        <f t="shared" si="110"/>
        <v>1194.8115746342205</v>
      </c>
      <c r="AA32" s="242">
        <f t="shared" si="339"/>
        <v>16946.949388372697</v>
      </c>
      <c r="AB32" s="241">
        <f t="shared" si="111"/>
        <v>1720.7288977450153</v>
      </c>
      <c r="AC32" s="240">
        <f t="shared" si="112"/>
        <v>1389.2203562102818</v>
      </c>
      <c r="AD32" s="240">
        <f t="shared" si="113"/>
        <v>1566.3992060455043</v>
      </c>
      <c r="AE32" s="240">
        <f t="shared" si="114"/>
        <v>1236.032623329756</v>
      </c>
      <c r="AF32" s="240">
        <f t="shared" si="115"/>
        <v>1040.10495984064</v>
      </c>
      <c r="AG32" s="240">
        <f t="shared" si="116"/>
        <v>1120.7315106158076</v>
      </c>
      <c r="AH32" s="240">
        <f t="shared" si="117"/>
        <v>1122.064580879666</v>
      </c>
      <c r="AI32" s="240">
        <f t="shared" si="118"/>
        <v>1205.5386513678486</v>
      </c>
      <c r="AJ32" s="240">
        <f t="shared" si="119"/>
        <v>1294.2154443904024</v>
      </c>
      <c r="AK32" s="240">
        <f t="shared" si="120"/>
        <v>1254.0773883738286</v>
      </c>
      <c r="AL32" s="240">
        <f t="shared" si="121"/>
        <v>1350.8820820665089</v>
      </c>
      <c r="AM32" s="240">
        <f t="shared" si="122"/>
        <v>1174.3277730302725</v>
      </c>
      <c r="AN32" s="242">
        <f t="shared" si="340"/>
        <v>15474.323473895534</v>
      </c>
      <c r="AO32" s="241">
        <f t="shared" si="123"/>
        <v>1415.9595215161958</v>
      </c>
      <c r="AP32" s="240">
        <f t="shared" si="124"/>
        <v>1219.9672761718864</v>
      </c>
      <c r="AQ32" s="240">
        <f t="shared" si="125"/>
        <v>1431.389956738657</v>
      </c>
      <c r="AR32" s="240">
        <f t="shared" si="126"/>
        <v>1681.231191322415</v>
      </c>
      <c r="AS32" s="240">
        <f t="shared" si="127"/>
        <v>1110.9986940815577</v>
      </c>
      <c r="AT32" s="240">
        <f t="shared" si="128"/>
        <v>1168.5860606926733</v>
      </c>
      <c r="AU32" s="240">
        <f t="shared" si="129"/>
        <v>1228.8659020830962</v>
      </c>
      <c r="AV32" s="240">
        <f t="shared" si="130"/>
        <v>1360.9368120129943</v>
      </c>
      <c r="AW32" s="240">
        <f t="shared" si="131"/>
        <v>1285.6378274989161</v>
      </c>
      <c r="AX32" s="240">
        <f t="shared" si="132"/>
        <v>1366.8861727299791</v>
      </c>
      <c r="AY32" s="240">
        <f t="shared" si="133"/>
        <v>1371.5045585834835</v>
      </c>
      <c r="AZ32" s="240">
        <f t="shared" si="134"/>
        <v>1449.5530341715096</v>
      </c>
      <c r="BA32" s="242">
        <f t="shared" si="341"/>
        <v>16091.517007603365</v>
      </c>
      <c r="BB32" s="241">
        <f t="shared" si="135"/>
        <v>1753.1100141253025</v>
      </c>
      <c r="BC32" s="240">
        <f t="shared" si="136"/>
        <v>1560.3682287186764</v>
      </c>
      <c r="BD32" s="240">
        <f t="shared" si="137"/>
        <v>1910.7662822723478</v>
      </c>
      <c r="BE32" s="240">
        <f t="shared" si="138"/>
        <v>4560.5603005011963</v>
      </c>
      <c r="BF32" s="240">
        <f t="shared" si="139"/>
        <v>1789.2483323536867</v>
      </c>
      <c r="BG32" s="240">
        <f t="shared" si="140"/>
        <v>1783.6024166662207</v>
      </c>
      <c r="BH32" s="240">
        <f t="shared" si="141"/>
        <v>1865.1950871666065</v>
      </c>
      <c r="BI32" s="240">
        <f t="shared" si="142"/>
        <v>1970.6492297274422</v>
      </c>
      <c r="BJ32" s="240">
        <f t="shared" si="143"/>
        <v>2006.2913593754931</v>
      </c>
      <c r="BK32" s="240">
        <f t="shared" si="144"/>
        <v>1955.4430856264478</v>
      </c>
      <c r="BL32" s="240">
        <f t="shared" si="145"/>
        <v>1861.8324350808427</v>
      </c>
      <c r="BM32" s="240">
        <f t="shared" si="146"/>
        <v>1853.0733120352829</v>
      </c>
      <c r="BN32" s="242">
        <f t="shared" si="342"/>
        <v>24870.140083649545</v>
      </c>
      <c r="BO32" s="241">
        <f t="shared" si="147"/>
        <v>2298.2328105889301</v>
      </c>
      <c r="BP32" s="240">
        <f t="shared" si="148"/>
        <v>1798.8611641446173</v>
      </c>
      <c r="BQ32" s="240">
        <f t="shared" si="149"/>
        <v>3083.0460668582773</v>
      </c>
      <c r="BR32" s="240">
        <f t="shared" si="150"/>
        <v>3561.8611617362694</v>
      </c>
      <c r="BS32" s="240">
        <f>+BS9/BS26</f>
        <v>1754.4800989145028</v>
      </c>
      <c r="BT32" s="240">
        <f>+BT9/BT26</f>
        <v>1763.0614735673842</v>
      </c>
      <c r="BU32" s="240">
        <f t="shared" si="151"/>
        <v>1974.7648780993341</v>
      </c>
      <c r="BV32" s="240">
        <f t="shared" si="152"/>
        <v>2127.427562571399</v>
      </c>
      <c r="BW32" s="240">
        <f t="shared" si="153"/>
        <v>2118.4274286669506</v>
      </c>
      <c r="BX32" s="240">
        <f t="shared" si="154"/>
        <v>2173.509463773139</v>
      </c>
      <c r="BY32" s="240">
        <f t="shared" si="155"/>
        <v>2423.2709550063578</v>
      </c>
      <c r="BZ32" s="240">
        <f t="shared" si="156"/>
        <v>2663.6690461143171</v>
      </c>
      <c r="CA32" s="242">
        <f t="shared" si="343"/>
        <v>27740.612110041482</v>
      </c>
      <c r="CB32" s="241">
        <f t="shared" si="157"/>
        <v>2693.4061904442183</v>
      </c>
      <c r="CC32" s="240">
        <f t="shared" si="158"/>
        <v>2243.6161449752885</v>
      </c>
      <c r="CD32" s="240">
        <f t="shared" si="159"/>
        <v>2550.5174963035979</v>
      </c>
      <c r="CE32" s="240">
        <f t="shared" si="160"/>
        <v>3250.3092233233933</v>
      </c>
      <c r="CF32" s="240">
        <f t="shared" si="161"/>
        <v>2095.6428242281499</v>
      </c>
      <c r="CG32" s="240">
        <f t="shared" si="162"/>
        <v>2242.1066609464856</v>
      </c>
      <c r="CH32" s="240">
        <f t="shared" si="163"/>
        <v>2255.9452018544243</v>
      </c>
      <c r="CI32" s="240">
        <f t="shared" si="164"/>
        <v>2536.0764912899822</v>
      </c>
      <c r="CJ32" s="240">
        <f t="shared" si="165"/>
        <v>2716.5911578536948</v>
      </c>
      <c r="CK32" s="240">
        <f t="shared" si="166"/>
        <v>2372.6595597031201</v>
      </c>
      <c r="CL32" s="240">
        <f t="shared" si="167"/>
        <v>2449.1787778506396</v>
      </c>
      <c r="CM32" s="240">
        <f t="shared" si="168"/>
        <v>2514.2980085034524</v>
      </c>
      <c r="CN32" s="242">
        <f t="shared" si="344"/>
        <v>29920.347737276446</v>
      </c>
      <c r="CO32" s="241">
        <f t="shared" si="169"/>
        <v>3266.758120393406</v>
      </c>
      <c r="CP32" s="240">
        <f t="shared" si="170"/>
        <v>2017.190938250593</v>
      </c>
      <c r="CQ32" s="240">
        <f t="shared" si="171"/>
        <v>2824.2400604051345</v>
      </c>
      <c r="CR32" s="240">
        <f t="shared" si="172"/>
        <v>3803.9564325553906</v>
      </c>
      <c r="CS32" s="240">
        <f t="shared" si="173"/>
        <v>2450.038002414271</v>
      </c>
      <c r="CT32" s="240">
        <f t="shared" si="174"/>
        <v>2515.0865491503891</v>
      </c>
      <c r="CU32" s="240">
        <f t="shared" si="175"/>
        <v>2607.6338283373379</v>
      </c>
      <c r="CV32" s="240">
        <f t="shared" si="176"/>
        <v>2557.3915391981145</v>
      </c>
      <c r="CW32" s="240">
        <f t="shared" si="177"/>
        <v>3103.5107210853726</v>
      </c>
      <c r="CX32" s="240">
        <f t="shared" si="178"/>
        <v>2958.2825079287632</v>
      </c>
      <c r="CY32" s="240">
        <f t="shared" si="179"/>
        <v>3039.3866813065088</v>
      </c>
      <c r="CZ32" s="240">
        <f t="shared" si="180"/>
        <v>3280.729890933053</v>
      </c>
      <c r="DA32" s="242">
        <f t="shared" si="345"/>
        <v>34424.20527195833</v>
      </c>
      <c r="DB32" s="241">
        <f t="shared" si="181"/>
        <v>3950.4125016369112</v>
      </c>
      <c r="DC32" s="240">
        <f t="shared" si="182"/>
        <v>3212.6281183523497</v>
      </c>
      <c r="DD32" s="240">
        <f t="shared" si="183"/>
        <v>3656.3308113398548</v>
      </c>
      <c r="DE32" s="240">
        <f t="shared" si="184"/>
        <v>3991.6006490407558</v>
      </c>
      <c r="DF32" s="240">
        <f t="shared" si="185"/>
        <v>2618.0707947714914</v>
      </c>
      <c r="DG32" s="240">
        <f t="shared" si="186"/>
        <v>2635.7735993127803</v>
      </c>
      <c r="DH32" s="240">
        <f t="shared" si="187"/>
        <v>2718.2568063700946</v>
      </c>
      <c r="DI32" s="240">
        <f t="shared" si="188"/>
        <v>2693.0740037950663</v>
      </c>
      <c r="DJ32" s="240">
        <f t="shared" si="189"/>
        <v>3022.6961732647574</v>
      </c>
      <c r="DK32" s="240">
        <f t="shared" si="190"/>
        <v>3432.4196597353493</v>
      </c>
      <c r="DL32" s="240">
        <f t="shared" si="191"/>
        <v>3685.7548509228586</v>
      </c>
      <c r="DM32" s="240">
        <f t="shared" si="192"/>
        <v>3664.8572102902995</v>
      </c>
      <c r="DN32" s="242">
        <f t="shared" si="346"/>
        <v>39281.875178832568</v>
      </c>
      <c r="DO32" s="241">
        <f t="shared" si="193"/>
        <v>4571.0513908533712</v>
      </c>
      <c r="DP32" s="240">
        <f t="shared" si="194"/>
        <v>3454.7685338115239</v>
      </c>
      <c r="DQ32" s="240">
        <f t="shared" si="195"/>
        <v>4071.2214739992519</v>
      </c>
      <c r="DR32" s="240">
        <f t="shared" si="196"/>
        <v>3916.6899897378476</v>
      </c>
      <c r="DS32" s="240">
        <f t="shared" si="197"/>
        <v>2823.2254099505544</v>
      </c>
      <c r="DT32" s="240">
        <f t="shared" si="198"/>
        <v>2621.2036779047089</v>
      </c>
      <c r="DU32" s="240">
        <f t="shared" si="199"/>
        <v>2912.5505137974833</v>
      </c>
      <c r="DV32" s="240">
        <f t="shared" si="200"/>
        <v>2926.768767168594</v>
      </c>
      <c r="DW32" s="240">
        <f t="shared" si="201"/>
        <v>2898.9643606062414</v>
      </c>
      <c r="DX32" s="240">
        <f t="shared" si="202"/>
        <v>3041.4501355374018</v>
      </c>
      <c r="DY32" s="240">
        <f t="shared" si="203"/>
        <v>5140.1804717271689</v>
      </c>
      <c r="DZ32" s="240">
        <f t="shared" si="204"/>
        <v>3917.1496620179796</v>
      </c>
      <c r="EA32" s="242">
        <f t="shared" si="347"/>
        <v>42295.224387112125</v>
      </c>
      <c r="EB32" s="241">
        <f t="shared" si="205"/>
        <v>4236.3112391930836</v>
      </c>
      <c r="EC32" s="240">
        <f t="shared" si="206"/>
        <v>3495.5893052018919</v>
      </c>
      <c r="ED32" s="240">
        <f t="shared" si="207"/>
        <v>5025.7848547905551</v>
      </c>
      <c r="EE32" s="240">
        <f t="shared" si="208"/>
        <v>6379.2186725544097</v>
      </c>
      <c r="EF32" s="240">
        <f t="shared" si="209"/>
        <v>3657.3008451717315</v>
      </c>
      <c r="EG32" s="240">
        <f t="shared" si="210"/>
        <v>3504.9149423223666</v>
      </c>
      <c r="EH32" s="240">
        <f t="shared" si="211"/>
        <v>3565.9888268156433</v>
      </c>
      <c r="EI32" s="240">
        <f t="shared" si="212"/>
        <v>4647.7745470811897</v>
      </c>
      <c r="EJ32" s="240">
        <f t="shared" si="213"/>
        <v>3828.4578625340541</v>
      </c>
      <c r="EK32" s="240">
        <f t="shared" si="214"/>
        <v>4443.2283324434957</v>
      </c>
      <c r="EL32" s="240">
        <f t="shared" si="215"/>
        <v>4358.7666562694931</v>
      </c>
      <c r="EM32" s="240">
        <f t="shared" si="216"/>
        <v>4262.3404507868763</v>
      </c>
      <c r="EN32" s="242">
        <f t="shared" si="348"/>
        <v>51405.676535164792</v>
      </c>
      <c r="EO32" s="241">
        <f t="shared" si="217"/>
        <v>5763.5123957038877</v>
      </c>
      <c r="EP32" s="240">
        <f t="shared" si="218"/>
        <v>4217.7087481746985</v>
      </c>
      <c r="EQ32" s="240">
        <f t="shared" si="219"/>
        <v>4716.5254051205484</v>
      </c>
      <c r="ER32" s="240">
        <f t="shared" si="220"/>
        <v>4748.9063867016621</v>
      </c>
      <c r="ES32" s="240">
        <f t="shared" si="221"/>
        <v>3371.9331825300155</v>
      </c>
      <c r="ET32" s="240">
        <f t="shared" si="222"/>
        <v>3316.5079530277012</v>
      </c>
      <c r="EU32" s="240">
        <f t="shared" si="223"/>
        <v>6067.6424504146453</v>
      </c>
      <c r="EV32" s="240">
        <f t="shared" si="224"/>
        <v>6746.2613833642981</v>
      </c>
      <c r="EW32" s="240">
        <f t="shared" si="225"/>
        <v>6776.9387692963492</v>
      </c>
      <c r="EX32" s="240">
        <f t="shared" si="226"/>
        <v>7079.9507434096504</v>
      </c>
      <c r="EY32" s="240">
        <f t="shared" si="227"/>
        <v>7373.3165757956613</v>
      </c>
      <c r="EZ32" s="240">
        <f t="shared" si="228"/>
        <v>8540.16305044609</v>
      </c>
      <c r="FA32" s="242">
        <f t="shared" si="349"/>
        <v>68719.367043985199</v>
      </c>
      <c r="FB32" s="241">
        <f t="shared" si="229"/>
        <v>9325.4087521038709</v>
      </c>
      <c r="FC32" s="240">
        <f t="shared" si="230"/>
        <v>7765.8760520275437</v>
      </c>
      <c r="FD32" s="240">
        <f t="shared" si="231"/>
        <v>11827.251442802391</v>
      </c>
      <c r="FE32" s="240">
        <f t="shared" si="232"/>
        <v>10919.650778739553</v>
      </c>
      <c r="FF32" s="240">
        <f t="shared" si="233"/>
        <v>6809.0678451591784</v>
      </c>
      <c r="FG32" s="240">
        <f t="shared" si="234"/>
        <v>6443.3085432810531</v>
      </c>
      <c r="FH32" s="240">
        <f t="shared" si="235"/>
        <v>6744.07037600683</v>
      </c>
      <c r="FI32" s="240">
        <f t="shared" si="236"/>
        <v>7796.5825874694856</v>
      </c>
      <c r="FJ32" s="240">
        <f t="shared" si="237"/>
        <v>7966.3256418205701</v>
      </c>
      <c r="FK32" s="240">
        <f t="shared" si="238"/>
        <v>7230.6640495776628</v>
      </c>
      <c r="FL32" s="240">
        <f t="shared" si="239"/>
        <v>7725.1070192927937</v>
      </c>
      <c r="FM32" s="240">
        <f t="shared" si="240"/>
        <v>7850.7240235545096</v>
      </c>
      <c r="FN32" s="242">
        <f t="shared" si="350"/>
        <v>98404.037111835438</v>
      </c>
      <c r="FO32" s="241">
        <f t="shared" si="241"/>
        <v>10065.742481888019</v>
      </c>
      <c r="FP32" s="240">
        <f t="shared" si="242"/>
        <v>7269.4182692656996</v>
      </c>
      <c r="FQ32" s="240">
        <f t="shared" si="243"/>
        <v>10452.625312878772</v>
      </c>
      <c r="FR32" s="240">
        <f t="shared" si="244"/>
        <v>9215.0602582909087</v>
      </c>
      <c r="FS32" s="240">
        <f t="shared" si="245"/>
        <v>6475.7661534906556</v>
      </c>
      <c r="FT32" s="240">
        <f t="shared" si="246"/>
        <v>6621.0527838451626</v>
      </c>
      <c r="FU32" s="240">
        <f t="shared" si="247"/>
        <v>6577.6423967258315</v>
      </c>
      <c r="FV32" s="240">
        <f t="shared" si="248"/>
        <v>7551.8939964292631</v>
      </c>
      <c r="FW32" s="240">
        <f t="shared" si="249"/>
        <v>7165.1403122512356</v>
      </c>
      <c r="FX32" s="240">
        <f t="shared" si="250"/>
        <v>7945.9447774959654</v>
      </c>
      <c r="FY32" s="240">
        <f t="shared" si="251"/>
        <v>7585.5026357507077</v>
      </c>
      <c r="FZ32" s="240">
        <f t="shared" si="252"/>
        <v>8013.7435753095178</v>
      </c>
      <c r="GA32" s="242">
        <f t="shared" si="351"/>
        <v>94939.532953621747</v>
      </c>
      <c r="GB32" s="241">
        <f t="shared" si="253"/>
        <v>10246.330253016647</v>
      </c>
      <c r="GC32" s="240">
        <f t="shared" si="254"/>
        <v>7930.0256338751815</v>
      </c>
      <c r="GD32" s="240">
        <f t="shared" si="255"/>
        <v>9079.7423246411399</v>
      </c>
      <c r="GE32" s="240">
        <f t="shared" si="256"/>
        <v>10274.865231589836</v>
      </c>
      <c r="GF32" s="240">
        <f t="shared" si="257"/>
        <v>7418.6201591824038</v>
      </c>
      <c r="GG32" s="240">
        <f t="shared" si="258"/>
        <v>6216.1644399302559</v>
      </c>
      <c r="GH32" s="240">
        <f t="shared" si="259"/>
        <v>6933.2334823551355</v>
      </c>
      <c r="GI32" s="240">
        <f t="shared" si="260"/>
        <v>7506.8621670208749</v>
      </c>
      <c r="GJ32" s="240">
        <f t="shared" si="261"/>
        <v>7792.2405823431409</v>
      </c>
      <c r="GK32" s="240">
        <f t="shared" si="262"/>
        <v>8185.7207871312767</v>
      </c>
      <c r="GL32" s="240">
        <f t="shared" si="263"/>
        <v>8226.3699850934772</v>
      </c>
      <c r="GM32" s="240">
        <f t="shared" si="264"/>
        <v>8425.8363920604188</v>
      </c>
      <c r="GN32" s="242">
        <f t="shared" si="352"/>
        <v>98236.011438239788</v>
      </c>
      <c r="GO32" s="241">
        <f t="shared" si="265"/>
        <v>9266.8150226549424</v>
      </c>
      <c r="GP32" s="240">
        <f t="shared" si="266"/>
        <v>8073.5702835318707</v>
      </c>
      <c r="GQ32" s="240">
        <f t="shared" si="267"/>
        <v>9997.0229303525193</v>
      </c>
      <c r="GR32" s="240">
        <f t="shared" si="268"/>
        <v>10018.224288730995</v>
      </c>
      <c r="GS32" s="240">
        <f t="shared" si="269"/>
        <v>5951.2260374674797</v>
      </c>
      <c r="GT32" s="240">
        <f t="shared" si="270"/>
        <v>6206.0213106105475</v>
      </c>
      <c r="GU32" s="240">
        <f t="shared" si="271"/>
        <v>7098.098585591606</v>
      </c>
      <c r="GV32" s="240">
        <f t="shared" si="272"/>
        <v>7013.4627378116556</v>
      </c>
      <c r="GW32" s="240">
        <f t="shared" si="273"/>
        <v>8749.0918876131218</v>
      </c>
      <c r="GX32" s="240">
        <f t="shared" si="274"/>
        <v>8390.4965853675021</v>
      </c>
      <c r="GY32" s="240">
        <f t="shared" si="275"/>
        <v>8557.6922603012317</v>
      </c>
      <c r="GZ32" s="240">
        <f t="shared" si="276"/>
        <v>9352.2812514235575</v>
      </c>
      <c r="HA32" s="242">
        <f t="shared" si="353"/>
        <v>98674.003181457025</v>
      </c>
      <c r="HB32" s="241">
        <f t="shared" si="277"/>
        <v>10329.938273673968</v>
      </c>
      <c r="HC32" s="240">
        <f t="shared" si="278"/>
        <v>10008.226173590247</v>
      </c>
      <c r="HD32" s="240">
        <f t="shared" si="279"/>
        <v>6940.0916329263673</v>
      </c>
      <c r="HE32" s="240">
        <f t="shared" si="280"/>
        <v>4346.6145463854236</v>
      </c>
      <c r="HF32" s="240">
        <f t="shared" si="281"/>
        <v>3852.6677565440455</v>
      </c>
      <c r="HG32" s="240">
        <f t="shared" si="282"/>
        <v>4118.1947783234746</v>
      </c>
      <c r="HH32" s="240">
        <f t="shared" si="283"/>
        <v>7035.9464254167078</v>
      </c>
      <c r="HI32" s="240">
        <f t="shared" si="284"/>
        <v>6900.4843734167553</v>
      </c>
      <c r="HJ32" s="240">
        <f t="shared" si="285"/>
        <v>8276.0663530988331</v>
      </c>
      <c r="HK32" s="240">
        <f t="shared" si="286"/>
        <v>9244.0759998719004</v>
      </c>
      <c r="HL32" s="240">
        <f t="shared" si="287"/>
        <v>10051.74321282683</v>
      </c>
      <c r="HM32" s="240">
        <f t="shared" si="288"/>
        <v>10715.817707622315</v>
      </c>
      <c r="HN32" s="242">
        <f t="shared" si="354"/>
        <v>91819.867233696859</v>
      </c>
      <c r="HO32" s="241">
        <f t="shared" si="289"/>
        <v>12863.649111749763</v>
      </c>
      <c r="HP32" s="240">
        <f t="shared" si="290"/>
        <v>11422.417932224125</v>
      </c>
      <c r="HQ32" s="240">
        <f t="shared" si="291"/>
        <v>13627.883002818819</v>
      </c>
      <c r="HR32" s="240">
        <f t="shared" si="292"/>
        <v>13440.560214746843</v>
      </c>
      <c r="HS32" s="240">
        <f t="shared" si="293"/>
        <v>10012.339882528893</v>
      </c>
      <c r="HT32" s="240">
        <f t="shared" si="294"/>
        <v>9941.0494819066425</v>
      </c>
      <c r="HU32" s="240">
        <f t="shared" si="295"/>
        <v>10147.936256546469</v>
      </c>
      <c r="HV32" s="240">
        <f t="shared" si="296"/>
        <v>10427.875736839384</v>
      </c>
      <c r="HW32" s="240">
        <f t="shared" si="297"/>
        <v>11096.884495774146</v>
      </c>
      <c r="HX32" s="240">
        <f t="shared" si="298"/>
        <v>11427.328613686492</v>
      </c>
      <c r="HY32" s="240">
        <f t="shared" si="299"/>
        <v>11811.194430539716</v>
      </c>
      <c r="HZ32" s="240">
        <f t="shared" si="300"/>
        <v>13163.007388599595</v>
      </c>
      <c r="IA32" s="242">
        <f t="shared" si="355"/>
        <v>139382.12654796091</v>
      </c>
      <c r="IB32" s="241">
        <f t="shared" si="301"/>
        <v>12867.483933735735</v>
      </c>
      <c r="IC32" s="240">
        <f t="shared" si="302"/>
        <v>12312.163358348524</v>
      </c>
      <c r="ID32" s="240">
        <f t="shared" si="303"/>
        <v>15438.234142258691</v>
      </c>
      <c r="IE32" s="240">
        <f t="shared" si="304"/>
        <v>15269.864960007655</v>
      </c>
      <c r="IF32" s="240">
        <f t="shared" si="305"/>
        <v>10150.261657569401</v>
      </c>
      <c r="IG32" s="240">
        <f t="shared" si="306"/>
        <v>9203.7786065623077</v>
      </c>
      <c r="IH32" s="240">
        <f t="shared" si="307"/>
        <v>10636.712683174524</v>
      </c>
      <c r="II32" s="240">
        <f t="shared" si="308"/>
        <v>11691.525721847118</v>
      </c>
      <c r="IJ32" s="240">
        <f t="shared" si="309"/>
        <v>11864.330932966564</v>
      </c>
      <c r="IK32" s="240">
        <f t="shared" si="310"/>
        <v>11758.703268343732</v>
      </c>
      <c r="IL32" s="240">
        <f t="shared" si="311"/>
        <v>12437.178023700353</v>
      </c>
      <c r="IM32" s="240">
        <f t="shared" si="312"/>
        <v>12169.708772424348</v>
      </c>
      <c r="IN32" s="242">
        <f t="shared" si="356"/>
        <v>145799.94606093894</v>
      </c>
      <c r="IO32" s="241">
        <f t="shared" si="313"/>
        <v>12556.492878971245</v>
      </c>
      <c r="IP32" s="240">
        <f t="shared" si="314"/>
        <v>10391.804552569825</v>
      </c>
      <c r="IQ32" s="240">
        <f t="shared" si="315"/>
        <v>13098.250180908775</v>
      </c>
      <c r="IR32" s="240">
        <f t="shared" si="316"/>
        <v>13911.955513452118</v>
      </c>
      <c r="IS32" s="240">
        <f t="shared" si="317"/>
        <v>8908.0818575420235</v>
      </c>
      <c r="IT32" s="240">
        <f t="shared" si="318"/>
        <v>8346.0308585436014</v>
      </c>
      <c r="IU32" s="240">
        <f t="shared" si="319"/>
        <v>9477.574867485735</v>
      </c>
      <c r="IV32" s="240">
        <f t="shared" si="320"/>
        <v>10507.366427036221</v>
      </c>
      <c r="IW32" s="240">
        <f t="shared" si="321"/>
        <v>10823.376375337673</v>
      </c>
      <c r="IX32" s="240">
        <f t="shared" si="322"/>
        <v>11422.114395516346</v>
      </c>
      <c r="IY32" s="240">
        <f t="shared" si="323"/>
        <v>10964.775917053017</v>
      </c>
      <c r="IZ32" s="240">
        <f t="shared" si="324"/>
        <v>11596.140317398713</v>
      </c>
      <c r="JA32" s="242">
        <f t="shared" si="357"/>
        <v>132003.96414181529</v>
      </c>
      <c r="JB32" s="241">
        <f t="shared" si="325"/>
        <v>14290.541497473681</v>
      </c>
      <c r="JC32" s="240">
        <f t="shared" si="326"/>
        <v>11693.773957301419</v>
      </c>
      <c r="JD32" s="240">
        <f t="shared" si="327"/>
        <v>12591.880670715518</v>
      </c>
      <c r="JE32" s="240">
        <f t="shared" si="328"/>
        <v>18350.496956673902</v>
      </c>
      <c r="JF32" s="240">
        <f t="shared" si="329"/>
        <v>10881.889038319938</v>
      </c>
      <c r="JG32" s="240">
        <f t="shared" si="330"/>
        <v>10906.209746497787</v>
      </c>
      <c r="JH32" s="240">
        <f t="shared" si="331"/>
        <v>11955.006949658929</v>
      </c>
      <c r="JI32" s="240">
        <f t="shared" si="332"/>
        <v>12939.089886918709</v>
      </c>
      <c r="JJ32" s="240">
        <f t="shared" si="333"/>
        <v>13725.490617552787</v>
      </c>
      <c r="JK32" s="240">
        <f t="shared" si="334"/>
        <v>12820.670667951581</v>
      </c>
      <c r="JL32" s="240">
        <f t="shared" si="335"/>
        <v>12509.073855995743</v>
      </c>
      <c r="JM32" s="240">
        <f t="shared" si="336"/>
        <v>14875.111080640416</v>
      </c>
      <c r="JN32" s="242">
        <f t="shared" si="358"/>
        <v>157539.23492570038</v>
      </c>
      <c r="JO32" s="241">
        <v>16064.891028192096</v>
      </c>
      <c r="JP32" s="240">
        <v>13095.539497787915</v>
      </c>
      <c r="JQ32" s="240">
        <v>14931.971709635913</v>
      </c>
      <c r="JR32" s="240">
        <v>20172.896658390859</v>
      </c>
      <c r="JS32" s="240">
        <f t="shared" si="337"/>
        <v>11173.404943450665</v>
      </c>
      <c r="JT32" s="240">
        <f t="shared" si="359"/>
        <v>12484.130275185646</v>
      </c>
      <c r="JU32" s="240">
        <f t="shared" si="360"/>
        <v>13811.884159802772</v>
      </c>
      <c r="JV32" s="240">
        <f t="shared" si="361"/>
        <v>14078.888233231764</v>
      </c>
      <c r="JW32" s="240">
        <f t="shared" si="362"/>
        <v>16125.273204596486</v>
      </c>
      <c r="JX32" s="240">
        <f t="shared" ref="JX32:JX41" si="376">+JX9/$JX$26</f>
        <v>16082.119270192048</v>
      </c>
      <c r="JY32" s="240">
        <f t="shared" si="363"/>
        <v>16112.590127015552</v>
      </c>
      <c r="JZ32" s="240">
        <f t="shared" ref="JZ32:JZ41" si="377">+JZ9/$JZ$26</f>
        <v>16623.049861587599</v>
      </c>
      <c r="KA32" s="242">
        <f>SUM(JO32:JZ32)</f>
        <v>180756.63896906929</v>
      </c>
      <c r="KB32" s="1324">
        <f t="shared" si="364"/>
        <v>18098.867727772449</v>
      </c>
      <c r="KC32">
        <f t="shared" si="365"/>
        <v>15205.423636474099</v>
      </c>
      <c r="KD32">
        <f t="shared" si="366"/>
        <v>16428.497631613471</v>
      </c>
      <c r="KE32">
        <f t="shared" ref="KE32:KE42" si="378">+KE9/$KE$26</f>
        <v>19252.222847633162</v>
      </c>
      <c r="KF32">
        <f t="shared" si="367"/>
        <v>14413.727570560412</v>
      </c>
      <c r="KG32">
        <f>+KG9/$KG$26</f>
        <v>15381.734571777288</v>
      </c>
      <c r="KH32">
        <f t="shared" si="369"/>
        <v>15299.050239995389</v>
      </c>
      <c r="KI32">
        <f t="shared" si="370"/>
        <v>16783.263324527241</v>
      </c>
      <c r="KN32" s="1330">
        <f t="shared" si="371"/>
        <v>130862.7875503535</v>
      </c>
      <c r="KP32" s="1614">
        <f t="shared" si="372"/>
        <v>19.208726189842729</v>
      </c>
      <c r="KQ32" s="22">
        <f t="shared" si="373"/>
        <v>12.994311720996365</v>
      </c>
      <c r="KR32" s="53">
        <f t="shared" si="374"/>
        <v>115813.60650567763</v>
      </c>
      <c r="KS32" s="53">
        <f t="shared" si="375"/>
        <v>130862.7875503535</v>
      </c>
    </row>
    <row r="33" spans="1:305" ht="13.9" customHeight="1" x14ac:dyDescent="0.2">
      <c r="A33" s="238" t="s">
        <v>447</v>
      </c>
      <c r="B33" s="111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242"/>
      <c r="O33" s="111">
        <f t="shared" si="338"/>
        <v>340.65650980863882</v>
      </c>
      <c r="P33" s="5">
        <f t="shared" si="100"/>
        <v>228.41688880288544</v>
      </c>
      <c r="Q33" s="5">
        <f t="shared" si="101"/>
        <v>316.30743734624519</v>
      </c>
      <c r="R33" s="5">
        <f t="shared" si="102"/>
        <v>318.86446019239941</v>
      </c>
      <c r="S33" s="5">
        <f t="shared" si="103"/>
        <v>310.23996510205114</v>
      </c>
      <c r="T33" s="5">
        <f t="shared" si="104"/>
        <v>279.01833937561662</v>
      </c>
      <c r="U33" s="5">
        <f t="shared" si="105"/>
        <v>281.66139851562946</v>
      </c>
      <c r="V33" s="5">
        <f t="shared" si="106"/>
        <v>299.14629453657051</v>
      </c>
      <c r="W33" s="5">
        <f t="shared" si="107"/>
        <v>273.63437181247468</v>
      </c>
      <c r="X33" s="5">
        <f t="shared" si="108"/>
        <v>253.94280419963235</v>
      </c>
      <c r="Y33" s="5">
        <f t="shared" si="109"/>
        <v>267.21355309171139</v>
      </c>
      <c r="Z33" s="5">
        <f t="shared" si="110"/>
        <v>294.04475886465951</v>
      </c>
      <c r="AA33" s="242">
        <f t="shared" si="339"/>
        <v>3463.1467816485147</v>
      </c>
      <c r="AB33" s="111">
        <f t="shared" si="111"/>
        <v>589.79865922707927</v>
      </c>
      <c r="AC33" s="5">
        <f t="shared" si="112"/>
        <v>269.66201854268428</v>
      </c>
      <c r="AD33" s="5">
        <f t="shared" si="113"/>
        <v>295.9582535040206</v>
      </c>
      <c r="AE33" s="5">
        <f t="shared" si="114"/>
        <v>309.86413410344301</v>
      </c>
      <c r="AF33" s="5">
        <f t="shared" si="115"/>
        <v>335.03656731766893</v>
      </c>
      <c r="AG33" s="5">
        <f t="shared" si="116"/>
        <v>320.53725418945186</v>
      </c>
      <c r="AH33" s="5">
        <f t="shared" si="117"/>
        <v>340.07188066660643</v>
      </c>
      <c r="AI33" s="5">
        <f t="shared" si="118"/>
        <v>299.37351637876509</v>
      </c>
      <c r="AJ33" s="5">
        <f t="shared" si="119"/>
        <v>314.79363671812717</v>
      </c>
      <c r="AK33" s="5">
        <f t="shared" si="120"/>
        <v>309.49986828456673</v>
      </c>
      <c r="AL33" s="5">
        <f t="shared" si="121"/>
        <v>302.30737130644377</v>
      </c>
      <c r="AM33" s="5">
        <f t="shared" si="122"/>
        <v>304.51930977108537</v>
      </c>
      <c r="AN33" s="242">
        <f t="shared" si="340"/>
        <v>3991.4224700099421</v>
      </c>
      <c r="AO33" s="111">
        <f t="shared" si="123"/>
        <v>405.21768420626086</v>
      </c>
      <c r="AP33" s="5">
        <f t="shared" si="124"/>
        <v>295.08855527169391</v>
      </c>
      <c r="AQ33" s="5">
        <f t="shared" si="125"/>
        <v>303.78419945172936</v>
      </c>
      <c r="AR33" s="5">
        <f t="shared" si="126"/>
        <v>330.07867818762088</v>
      </c>
      <c r="AS33" s="5">
        <f t="shared" si="127"/>
        <v>317.67174935631238</v>
      </c>
      <c r="AT33" s="5">
        <f t="shared" si="128"/>
        <v>343.90141573143529</v>
      </c>
      <c r="AU33" s="5">
        <f t="shared" si="129"/>
        <v>313.54938500242082</v>
      </c>
      <c r="AV33" s="5">
        <f t="shared" si="130"/>
        <v>320.98096640207342</v>
      </c>
      <c r="AW33" s="5">
        <f t="shared" si="131"/>
        <v>324.62215461837036</v>
      </c>
      <c r="AX33" s="5">
        <f t="shared" si="132"/>
        <v>334.20199822248878</v>
      </c>
      <c r="AY33" s="5">
        <f t="shared" si="133"/>
        <v>314.9174767376274</v>
      </c>
      <c r="AZ33" s="5">
        <f t="shared" si="134"/>
        <v>331.78535249091868</v>
      </c>
      <c r="BA33" s="242">
        <f t="shared" si="341"/>
        <v>3935.7996156789523</v>
      </c>
      <c r="BB33" s="111">
        <f t="shared" si="135"/>
        <v>400.69506943280089</v>
      </c>
      <c r="BC33" s="5">
        <f t="shared" si="136"/>
        <v>327.51849799009074</v>
      </c>
      <c r="BD33" s="5">
        <f t="shared" si="137"/>
        <v>340.41453199064807</v>
      </c>
      <c r="BE33" s="5">
        <f t="shared" si="138"/>
        <v>489.28869115275114</v>
      </c>
      <c r="BF33" s="5">
        <f t="shared" si="139"/>
        <v>488.02584110310022</v>
      </c>
      <c r="BG33" s="5">
        <f t="shared" si="140"/>
        <v>374.59396689659604</v>
      </c>
      <c r="BH33" s="5">
        <f t="shared" si="141"/>
        <v>392.19651333574575</v>
      </c>
      <c r="BI33" s="5">
        <f t="shared" si="142"/>
        <v>377.72981208735399</v>
      </c>
      <c r="BJ33" s="5">
        <f t="shared" si="143"/>
        <v>352.44237304184071</v>
      </c>
      <c r="BK33" s="5">
        <f t="shared" si="144"/>
        <v>385.3373139322706</v>
      </c>
      <c r="BL33" s="5">
        <f t="shared" si="145"/>
        <v>353.39372647951046</v>
      </c>
      <c r="BM33" s="5">
        <f t="shared" si="146"/>
        <v>366.66753315496351</v>
      </c>
      <c r="BN33" s="242">
        <f t="shared" si="342"/>
        <v>4648.3038705976724</v>
      </c>
      <c r="BO33" s="111">
        <f t="shared" si="147"/>
        <v>459.64656211778606</v>
      </c>
      <c r="BP33" s="5">
        <f t="shared" si="148"/>
        <v>303.18468105640881</v>
      </c>
      <c r="BQ33" s="5">
        <f t="shared" si="149"/>
        <v>349.68777536848916</v>
      </c>
      <c r="BR33" s="5">
        <f t="shared" si="150"/>
        <v>693.02946954067102</v>
      </c>
      <c r="BS33" s="5">
        <f t="shared" ref="BS33:BS42" si="379">+BS10/$BS$26</f>
        <v>402.53185401223328</v>
      </c>
      <c r="BT33" s="5">
        <f t="shared" ref="BT33:BT42" si="380">+BT10/$BT$26</f>
        <v>336.93371506043354</v>
      </c>
      <c r="BU33" s="5">
        <f t="shared" si="151"/>
        <v>392.2584656838614</v>
      </c>
      <c r="BV33" s="5">
        <f t="shared" si="152"/>
        <v>406.06501194308862</v>
      </c>
      <c r="BW33" s="5">
        <f t="shared" si="153"/>
        <v>373.6872721323694</v>
      </c>
      <c r="BX33" s="5">
        <f t="shared" si="154"/>
        <v>453.182173841402</v>
      </c>
      <c r="BY33" s="5">
        <f t="shared" si="155"/>
        <v>422.50038310533324</v>
      </c>
      <c r="BZ33" s="5">
        <f t="shared" si="156"/>
        <v>613.85605205084903</v>
      </c>
      <c r="CA33" s="242">
        <f t="shared" si="343"/>
        <v>5206.5634159129268</v>
      </c>
      <c r="CB33" s="111">
        <f t="shared" si="157"/>
        <v>512.85759292638716</v>
      </c>
      <c r="CC33" s="5">
        <f t="shared" si="158"/>
        <v>360.37891268533775</v>
      </c>
      <c r="CD33" s="5">
        <f t="shared" si="159"/>
        <v>388.12222769837359</v>
      </c>
      <c r="CE33" s="5">
        <f t="shared" si="160"/>
        <v>636.92306113126972</v>
      </c>
      <c r="CF33" s="5">
        <f t="shared" si="161"/>
        <v>431.109518201833</v>
      </c>
      <c r="CG33" s="5">
        <f t="shared" si="162"/>
        <v>458.12521067630922</v>
      </c>
      <c r="CH33" s="5">
        <f t="shared" si="163"/>
        <v>424.42100120608842</v>
      </c>
      <c r="CI33" s="5">
        <f t="shared" si="164"/>
        <v>593.60406914569455</v>
      </c>
      <c r="CJ33" s="5">
        <f t="shared" si="165"/>
        <v>466.55714335031689</v>
      </c>
      <c r="CK33" s="5">
        <f t="shared" si="166"/>
        <v>412.30488599083577</v>
      </c>
      <c r="CL33" s="5">
        <f t="shared" si="167"/>
        <v>469.19717973352851</v>
      </c>
      <c r="CM33" s="5">
        <f t="shared" si="168"/>
        <v>477.99570615746762</v>
      </c>
      <c r="CN33" s="242">
        <f t="shared" si="344"/>
        <v>5631.5965089034416</v>
      </c>
      <c r="CO33" s="111">
        <f t="shared" si="169"/>
        <v>698.53933504312045</v>
      </c>
      <c r="CP33" s="5">
        <f t="shared" si="170"/>
        <v>453.69172125905749</v>
      </c>
      <c r="CQ33" s="5">
        <f t="shared" si="171"/>
        <v>521.54433126815775</v>
      </c>
      <c r="CR33" s="5">
        <f t="shared" si="172"/>
        <v>864.69358259288867</v>
      </c>
      <c r="CS33" s="5">
        <f t="shared" si="173"/>
        <v>523.09205525998118</v>
      </c>
      <c r="CT33" s="5">
        <f t="shared" si="174"/>
        <v>532.49563284103544</v>
      </c>
      <c r="CU33" s="5">
        <f t="shared" si="175"/>
        <v>532.26060582187733</v>
      </c>
      <c r="CV33" s="5">
        <f t="shared" si="176"/>
        <v>524.4420437526087</v>
      </c>
      <c r="CW33" s="5">
        <f t="shared" si="177"/>
        <v>588.30151186636454</v>
      </c>
      <c r="CX33" s="5">
        <f t="shared" si="178"/>
        <v>512.32007806782144</v>
      </c>
      <c r="CY33" s="5">
        <f t="shared" si="179"/>
        <v>579.11587661722479</v>
      </c>
      <c r="CZ33" s="5">
        <f t="shared" si="180"/>
        <v>674.46108524277201</v>
      </c>
      <c r="DA33" s="242">
        <f t="shared" si="345"/>
        <v>7004.9578596329093</v>
      </c>
      <c r="DB33" s="111">
        <f t="shared" si="181"/>
        <v>1128.1349881899885</v>
      </c>
      <c r="DC33" s="5">
        <f t="shared" si="182"/>
        <v>504.25449622896923</v>
      </c>
      <c r="DD33" s="5">
        <f t="shared" si="183"/>
        <v>700.94466807079493</v>
      </c>
      <c r="DE33" s="5">
        <f t="shared" si="184"/>
        <v>1029.8749642073112</v>
      </c>
      <c r="DF33" s="5">
        <f t="shared" si="185"/>
        <v>627.8026905829596</v>
      </c>
      <c r="DG33" s="5">
        <f t="shared" si="186"/>
        <v>635.67815214278892</v>
      </c>
      <c r="DH33" s="5">
        <f t="shared" si="187"/>
        <v>668.00171649263336</v>
      </c>
      <c r="DI33" s="5">
        <f t="shared" si="188"/>
        <v>588.23529411764707</v>
      </c>
      <c r="DJ33" s="5">
        <f t="shared" si="189"/>
        <v>580.85216816873492</v>
      </c>
      <c r="DK33" s="5">
        <f t="shared" si="190"/>
        <v>658.7901701323251</v>
      </c>
      <c r="DL33" s="5">
        <f t="shared" si="191"/>
        <v>719.82962612399433</v>
      </c>
      <c r="DM33" s="5">
        <f t="shared" si="192"/>
        <v>796.79018173235784</v>
      </c>
      <c r="DN33" s="242">
        <f t="shared" si="346"/>
        <v>8639.189116190506</v>
      </c>
      <c r="DO33" s="111">
        <f t="shared" si="193"/>
        <v>1032.6261197548326</v>
      </c>
      <c r="DP33" s="5">
        <f t="shared" si="194"/>
        <v>641.12123071115104</v>
      </c>
      <c r="DQ33" s="5">
        <f t="shared" si="195"/>
        <v>789.46876169098402</v>
      </c>
      <c r="DR33" s="5">
        <f t="shared" si="196"/>
        <v>1328.0623192461983</v>
      </c>
      <c r="DS33" s="5">
        <f t="shared" si="197"/>
        <v>776.22892048681922</v>
      </c>
      <c r="DT33" s="5">
        <f t="shared" si="198"/>
        <v>690.95384043837657</v>
      </c>
      <c r="DU33" s="5">
        <f t="shared" si="199"/>
        <v>766.56275256898755</v>
      </c>
      <c r="DV33" s="5">
        <f t="shared" si="200"/>
        <v>730.24520657436585</v>
      </c>
      <c r="DW33" s="5">
        <f t="shared" si="201"/>
        <v>758.30645198294883</v>
      </c>
      <c r="DX33" s="5">
        <f t="shared" si="202"/>
        <v>811.94013420725526</v>
      </c>
      <c r="DY33" s="5">
        <f t="shared" si="203"/>
        <v>912.33376696806579</v>
      </c>
      <c r="DZ33" s="5">
        <f t="shared" si="204"/>
        <v>1086.039713461</v>
      </c>
      <c r="EA33" s="242">
        <f t="shared" si="347"/>
        <v>10323.889218090984</v>
      </c>
      <c r="EB33" s="111">
        <f t="shared" si="205"/>
        <v>999.54256438406287</v>
      </c>
      <c r="EC33" s="5">
        <f t="shared" si="206"/>
        <v>779.51073117497276</v>
      </c>
      <c r="ED33" s="5">
        <f t="shared" si="207"/>
        <v>855.37863023613511</v>
      </c>
      <c r="EE33" s="5">
        <f t="shared" si="208"/>
        <v>1643.8516649393953</v>
      </c>
      <c r="EF33" s="5">
        <f t="shared" si="209"/>
        <v>899.613378888689</v>
      </c>
      <c r="EG33" s="5">
        <f t="shared" si="210"/>
        <v>769.60366264194977</v>
      </c>
      <c r="EH33" s="5">
        <f t="shared" si="211"/>
        <v>880.44692737430171</v>
      </c>
      <c r="EI33" s="5">
        <f t="shared" si="212"/>
        <v>1693.7150525609484</v>
      </c>
      <c r="EJ33" s="5">
        <f t="shared" si="213"/>
        <v>928.98932606850974</v>
      </c>
      <c r="EK33" s="5">
        <f t="shared" si="214"/>
        <v>1023.5362164086138</v>
      </c>
      <c r="EL33" s="5">
        <f t="shared" si="215"/>
        <v>1067.2898449336067</v>
      </c>
      <c r="EM33" s="5">
        <f t="shared" si="216"/>
        <v>1026.1354227794079</v>
      </c>
      <c r="EN33" s="242">
        <f t="shared" si="348"/>
        <v>12567.613422390592</v>
      </c>
      <c r="EO33" s="111">
        <f t="shared" si="217"/>
        <v>1660.6402449849104</v>
      </c>
      <c r="EP33" s="5">
        <f t="shared" si="218"/>
        <v>801.8053896190097</v>
      </c>
      <c r="EQ33" s="5">
        <f t="shared" si="219"/>
        <v>895.43717886785828</v>
      </c>
      <c r="ER33" s="5">
        <f t="shared" si="220"/>
        <v>1464.5669291338581</v>
      </c>
      <c r="ES33" s="5">
        <f t="shared" si="221"/>
        <v>881.32938924656344</v>
      </c>
      <c r="ET33" s="5">
        <f t="shared" si="222"/>
        <v>842.56994674853865</v>
      </c>
      <c r="EU33" s="5">
        <f t="shared" si="223"/>
        <v>1555.3941988000154</v>
      </c>
      <c r="EV33" s="5">
        <f t="shared" si="224"/>
        <v>1691.8953491913624</v>
      </c>
      <c r="EW33" s="5">
        <f t="shared" si="225"/>
        <v>1576.4394239259507</v>
      </c>
      <c r="EX33" s="5">
        <f t="shared" si="226"/>
        <v>1575.37474535559</v>
      </c>
      <c r="EY33" s="5">
        <f t="shared" si="227"/>
        <v>1536.0571150217081</v>
      </c>
      <c r="EZ33" s="5">
        <f t="shared" si="228"/>
        <v>1765.2737241415716</v>
      </c>
      <c r="FA33" s="242">
        <f t="shared" si="349"/>
        <v>16246.783635036936</v>
      </c>
      <c r="FB33" s="111">
        <f t="shared" si="229"/>
        <v>2305.9930271699927</v>
      </c>
      <c r="FC33" s="5">
        <f t="shared" si="230"/>
        <v>1584.9798220742007</v>
      </c>
      <c r="FD33" s="5">
        <f t="shared" si="231"/>
        <v>1770.0612911403732</v>
      </c>
      <c r="FE33" s="5">
        <f t="shared" si="232"/>
        <v>3305.2256443519946</v>
      </c>
      <c r="FF33" s="5">
        <f t="shared" si="233"/>
        <v>1592.3040867799029</v>
      </c>
      <c r="FG33" s="5">
        <f t="shared" si="234"/>
        <v>1532.8722036895322</v>
      </c>
      <c r="FH33" s="5">
        <f t="shared" si="235"/>
        <v>1602.316172376675</v>
      </c>
      <c r="FI33" s="5">
        <f t="shared" si="236"/>
        <v>1808.2698424439675</v>
      </c>
      <c r="FJ33" s="5">
        <f t="shared" si="237"/>
        <v>1677.7389019295215</v>
      </c>
      <c r="FK33" s="5">
        <f t="shared" si="238"/>
        <v>1672.5845224180136</v>
      </c>
      <c r="FL33" s="5">
        <f t="shared" si="239"/>
        <v>1961.2384917609807</v>
      </c>
      <c r="FM33" s="5">
        <f t="shared" si="240"/>
        <v>1880.2694448909215</v>
      </c>
      <c r="FN33" s="242">
        <f t="shared" si="350"/>
        <v>22693.853451026076</v>
      </c>
      <c r="FO33" s="111">
        <f t="shared" si="241"/>
        <v>2289.9811956093936</v>
      </c>
      <c r="FP33" s="5">
        <f t="shared" si="242"/>
        <v>1702.6176793252012</v>
      </c>
      <c r="FQ33" s="5">
        <f t="shared" si="243"/>
        <v>2175.9149686941928</v>
      </c>
      <c r="FR33" s="5">
        <f t="shared" si="244"/>
        <v>3254.0915235712023</v>
      </c>
      <c r="FS33" s="5">
        <f t="shared" si="245"/>
        <v>1784.9715490598189</v>
      </c>
      <c r="FT33" s="5">
        <f t="shared" si="246"/>
        <v>1871.0130042961912</v>
      </c>
      <c r="FU33" s="5">
        <f t="shared" si="247"/>
        <v>1678.9496098571522</v>
      </c>
      <c r="FV33" s="5">
        <f t="shared" si="248"/>
        <v>2073.1068998401056</v>
      </c>
      <c r="FW33" s="5">
        <f t="shared" si="249"/>
        <v>1793.0421187759521</v>
      </c>
      <c r="FX33" s="5">
        <f t="shared" si="250"/>
        <v>2049.6599031588657</v>
      </c>
      <c r="FY33" s="5">
        <f t="shared" si="251"/>
        <v>1840.854723822963</v>
      </c>
      <c r="FZ33" s="5">
        <f t="shared" si="252"/>
        <v>2429.4316040644462</v>
      </c>
      <c r="GA33" s="242">
        <f t="shared" si="351"/>
        <v>24943.634780075488</v>
      </c>
      <c r="GB33" s="111">
        <f t="shared" si="253"/>
        <v>2715.4610914339069</v>
      </c>
      <c r="GC33" s="5">
        <f t="shared" si="254"/>
        <v>1830.4478258397028</v>
      </c>
      <c r="GD33" s="5">
        <f t="shared" si="255"/>
        <v>2007.0332357143955</v>
      </c>
      <c r="GE33" s="5">
        <f t="shared" si="256"/>
        <v>3582.6743264839515</v>
      </c>
      <c r="GF33" s="5">
        <f t="shared" si="257"/>
        <v>2531.6604719131001</v>
      </c>
      <c r="GG33" s="5">
        <f t="shared" si="258"/>
        <v>1672.0248666174682</v>
      </c>
      <c r="GH33" s="5">
        <f t="shared" si="259"/>
        <v>2215.267377225065</v>
      </c>
      <c r="GI33" s="5">
        <f t="shared" si="260"/>
        <v>2339.4602729058224</v>
      </c>
      <c r="GJ33" s="5">
        <f t="shared" si="261"/>
        <v>2071.5953215786021</v>
      </c>
      <c r="GK33" s="5">
        <f t="shared" si="262"/>
        <v>2260.4185108585734</v>
      </c>
      <c r="GL33" s="5">
        <f t="shared" si="263"/>
        <v>2134.9508241311401</v>
      </c>
      <c r="GM33" s="5">
        <f t="shared" si="264"/>
        <v>2383.4567586710541</v>
      </c>
      <c r="GN33" s="242">
        <f t="shared" si="352"/>
        <v>27744.450883372785</v>
      </c>
      <c r="GO33" s="111">
        <f t="shared" si="265"/>
        <v>2534.7665742716385</v>
      </c>
      <c r="GP33" s="5">
        <f t="shared" si="266"/>
        <v>2039.6137519150589</v>
      </c>
      <c r="GQ33" s="5">
        <f t="shared" si="267"/>
        <v>2271.7837957438855</v>
      </c>
      <c r="GR33" s="5">
        <f t="shared" si="268"/>
        <v>3780.7252224566209</v>
      </c>
      <c r="GS33" s="5">
        <f t="shared" si="269"/>
        <v>2561.6098404332547</v>
      </c>
      <c r="GT33" s="5">
        <f t="shared" si="270"/>
        <v>1866.156505849495</v>
      </c>
      <c r="GU33" s="5">
        <f t="shared" si="271"/>
        <v>2242.5154732389942</v>
      </c>
      <c r="GV33" s="5">
        <f t="shared" si="272"/>
        <v>2238.7371341118101</v>
      </c>
      <c r="GW33" s="5">
        <f t="shared" si="273"/>
        <v>2469.7551742186979</v>
      </c>
      <c r="GX33" s="5">
        <f t="shared" si="274"/>
        <v>2613.5096428469133</v>
      </c>
      <c r="GY33" s="5">
        <f t="shared" si="275"/>
        <v>2352.5016799808282</v>
      </c>
      <c r="GZ33" s="5">
        <f t="shared" si="276"/>
        <v>2848.4323207452071</v>
      </c>
      <c r="HA33" s="242">
        <f t="shared" si="353"/>
        <v>29820.107115812407</v>
      </c>
      <c r="HB33" s="111">
        <f t="shared" si="277"/>
        <v>2579.5092760668058</v>
      </c>
      <c r="HC33" s="5">
        <f t="shared" si="278"/>
        <v>3013.8341623090851</v>
      </c>
      <c r="HD33" s="5">
        <f t="shared" si="279"/>
        <v>1910.2517437019908</v>
      </c>
      <c r="HE33" s="5">
        <f t="shared" si="280"/>
        <v>2666.0982421738008</v>
      </c>
      <c r="HF33" s="5">
        <f t="shared" si="281"/>
        <v>2300.0061697828369</v>
      </c>
      <c r="HG33" s="5">
        <f t="shared" si="282"/>
        <v>1555.4238985421994</v>
      </c>
      <c r="HH33" s="5">
        <f t="shared" si="283"/>
        <v>2153.7133661613243</v>
      </c>
      <c r="HI33" s="5">
        <f t="shared" si="284"/>
        <v>2074.5633509407903</v>
      </c>
      <c r="HJ33" s="5">
        <f t="shared" si="285"/>
        <v>2603.8183030198306</v>
      </c>
      <c r="HK33" s="5">
        <f t="shared" si="286"/>
        <v>2543.414832985392</v>
      </c>
      <c r="HL33" s="5">
        <f t="shared" si="287"/>
        <v>2655.7888062381098</v>
      </c>
      <c r="HM33" s="5">
        <f t="shared" si="288"/>
        <v>3188.1782914289884</v>
      </c>
      <c r="HN33" s="242">
        <f t="shared" si="354"/>
        <v>29244.600443351152</v>
      </c>
      <c r="HO33" s="111">
        <f t="shared" si="289"/>
        <v>3545.9481650439161</v>
      </c>
      <c r="HP33" s="5">
        <f t="shared" si="290"/>
        <v>2482.1015459086484</v>
      </c>
      <c r="HQ33" s="5">
        <f t="shared" si="291"/>
        <v>3246.2094995641119</v>
      </c>
      <c r="HR33" s="5">
        <f t="shared" si="292"/>
        <v>3778.7319698050483</v>
      </c>
      <c r="HS33" s="5">
        <f t="shared" si="293"/>
        <v>2787.4186411959395</v>
      </c>
      <c r="HT33" s="5">
        <f t="shared" si="294"/>
        <v>2758.7825460631925</v>
      </c>
      <c r="HU33" s="5">
        <f t="shared" si="295"/>
        <v>3067.8774130808856</v>
      </c>
      <c r="HV33" s="5">
        <f t="shared" si="296"/>
        <v>2955.2268524631759</v>
      </c>
      <c r="HW33" s="5">
        <f t="shared" si="297"/>
        <v>3165.8612252326379</v>
      </c>
      <c r="HX33" s="5">
        <f t="shared" si="298"/>
        <v>3183.323084104049</v>
      </c>
      <c r="HY33" s="5">
        <f t="shared" si="299"/>
        <v>3294.7555102154956</v>
      </c>
      <c r="HZ33" s="5">
        <f t="shared" si="300"/>
        <v>4040.3504907723259</v>
      </c>
      <c r="IA33" s="242">
        <f t="shared" si="355"/>
        <v>38306.586943449431</v>
      </c>
      <c r="IB33" s="111">
        <f t="shared" si="301"/>
        <v>3147.2282100362831</v>
      </c>
      <c r="IC33" s="5">
        <f t="shared" si="302"/>
        <v>3175.0931620574588</v>
      </c>
      <c r="ID33" s="5">
        <f t="shared" si="303"/>
        <v>2815.1684931481518</v>
      </c>
      <c r="IE33" s="5">
        <f t="shared" si="304"/>
        <v>4292.267493431611</v>
      </c>
      <c r="IF33" s="5">
        <f t="shared" si="305"/>
        <v>3088.1270652756002</v>
      </c>
      <c r="IG33" s="5">
        <f t="shared" si="306"/>
        <v>2879.4033944599942</v>
      </c>
      <c r="IH33" s="5">
        <f t="shared" si="307"/>
        <v>2564.0990517863752</v>
      </c>
      <c r="II33" s="5">
        <f t="shared" si="308"/>
        <v>2955.4590580770659</v>
      </c>
      <c r="IJ33" s="5">
        <f t="shared" si="309"/>
        <v>2977.0189863984688</v>
      </c>
      <c r="IK33" s="5">
        <f t="shared" si="310"/>
        <v>2899.0314440209668</v>
      </c>
      <c r="IL33" s="5">
        <f t="shared" si="311"/>
        <v>2888.0419265639907</v>
      </c>
      <c r="IM33" s="5">
        <f t="shared" si="312"/>
        <v>3408.2767724971941</v>
      </c>
      <c r="IN33" s="242">
        <f t="shared" si="356"/>
        <v>37089.215057753157</v>
      </c>
      <c r="IO33" s="111">
        <f t="shared" si="313"/>
        <v>3075.8624825784345</v>
      </c>
      <c r="IP33" s="5">
        <f t="shared" si="314"/>
        <v>2280.5928743135364</v>
      </c>
      <c r="IQ33" s="5">
        <f t="shared" si="315"/>
        <v>2909.3418372946066</v>
      </c>
      <c r="IR33" s="5">
        <f t="shared" si="316"/>
        <v>4794.6965299283938</v>
      </c>
      <c r="IS33" s="5">
        <f t="shared" si="317"/>
        <v>2651.8252630288348</v>
      </c>
      <c r="IT33" s="5">
        <f t="shared" si="318"/>
        <v>2771.4557222530607</v>
      </c>
      <c r="IU33" s="5">
        <f t="shared" si="319"/>
        <v>2347.8016463575145</v>
      </c>
      <c r="IV33" s="5">
        <f t="shared" si="320"/>
        <v>2936.9692830512618</v>
      </c>
      <c r="IW33" s="5">
        <f t="shared" si="321"/>
        <v>2728.5219212105808</v>
      </c>
      <c r="IX33" s="5">
        <f t="shared" si="322"/>
        <v>2792.1240695557781</v>
      </c>
      <c r="IY33" s="5">
        <f t="shared" si="323"/>
        <v>3228.0759280998527</v>
      </c>
      <c r="IZ33" s="5">
        <f t="shared" si="324"/>
        <v>3450.6518306947387</v>
      </c>
      <c r="JA33" s="242">
        <f t="shared" si="357"/>
        <v>35967.919388366594</v>
      </c>
      <c r="JB33" s="111">
        <f t="shared" si="325"/>
        <v>4391.3258007846371</v>
      </c>
      <c r="JC33" s="5">
        <f t="shared" si="326"/>
        <v>3110.0553470443811</v>
      </c>
      <c r="JD33" s="5">
        <f t="shared" si="327"/>
        <v>3066.3671952454115</v>
      </c>
      <c r="JE33" s="5">
        <f t="shared" si="328"/>
        <v>5370.5647957643441</v>
      </c>
      <c r="JF33" s="5">
        <f t="shared" si="329"/>
        <v>3239.8966980108303</v>
      </c>
      <c r="JG33" s="5">
        <f t="shared" si="330"/>
        <v>3138.1663548547704</v>
      </c>
      <c r="JH33" s="5">
        <f t="shared" si="331"/>
        <v>3392.1404224350113</v>
      </c>
      <c r="JI33" s="5">
        <f t="shared" si="332"/>
        <v>3329.3565212198664</v>
      </c>
      <c r="JJ33" s="5">
        <f t="shared" si="333"/>
        <v>3726.6489198496874</v>
      </c>
      <c r="JK33" s="5">
        <f t="shared" si="334"/>
        <v>3305.5848556638693</v>
      </c>
      <c r="JL33" s="5">
        <f t="shared" si="335"/>
        <v>3246.7630737464647</v>
      </c>
      <c r="JM33" s="5">
        <f t="shared" si="336"/>
        <v>4071.8046426595351</v>
      </c>
      <c r="JN33" s="242">
        <f t="shared" si="358"/>
        <v>43388.6746272788</v>
      </c>
      <c r="JO33" s="111">
        <v>3885.6837961886645</v>
      </c>
      <c r="JP33" s="5">
        <v>3479.2566488990733</v>
      </c>
      <c r="JQ33" s="5">
        <v>3041.4043786581146</v>
      </c>
      <c r="JR33" s="5">
        <v>4727.128123596879</v>
      </c>
      <c r="JS33" s="5">
        <f t="shared" si="337"/>
        <v>3346.5325388845376</v>
      </c>
      <c r="JT33" s="5">
        <f t="shared" si="359"/>
        <v>3517.6977398519261</v>
      </c>
      <c r="JU33" s="5">
        <f t="shared" si="360"/>
        <v>3357.8777209243553</v>
      </c>
      <c r="JV33" s="5">
        <f t="shared" si="361"/>
        <v>3469.4053650096853</v>
      </c>
      <c r="JW33" s="5">
        <f t="shared" si="362"/>
        <v>3632.2054175646695</v>
      </c>
      <c r="JX33" s="5">
        <f t="shared" si="376"/>
        <v>4134.7435453779572</v>
      </c>
      <c r="JY33" s="5">
        <f>+JY10/$JY$26</f>
        <v>3781.3549319845783</v>
      </c>
      <c r="JZ33" s="5">
        <f t="shared" si="377"/>
        <v>4840.355149749359</v>
      </c>
      <c r="KA33" s="242">
        <f t="shared" ref="KA33:KA41" si="381">SUM(JO33:JZ33)</f>
        <v>45213.645356689805</v>
      </c>
      <c r="KB33" s="1324">
        <f t="shared" si="364"/>
        <v>5083.9759914079905</v>
      </c>
      <c r="KC33">
        <f t="shared" si="365"/>
        <v>3716.9157291292877</v>
      </c>
      <c r="KD33">
        <f t="shared" si="366"/>
        <v>3927.7828368455466</v>
      </c>
      <c r="KE33">
        <f t="shared" si="378"/>
        <v>5704.9686238762215</v>
      </c>
      <c r="KF33">
        <f t="shared" si="367"/>
        <v>3788.6340155714688</v>
      </c>
      <c r="KG33">
        <f t="shared" si="368"/>
        <v>4219.1023970580864</v>
      </c>
      <c r="KH33">
        <f t="shared" si="369"/>
        <v>4111.3740431130409</v>
      </c>
      <c r="KI33">
        <f t="shared" si="370"/>
        <v>4179.3864490648084</v>
      </c>
      <c r="KN33" s="1330">
        <f t="shared" si="371"/>
        <v>34732.140086066443</v>
      </c>
      <c r="KP33" s="1614">
        <f t="shared" si="372"/>
        <v>20.464056786663232</v>
      </c>
      <c r="KQ33" s="22">
        <f t="shared" si="373"/>
        <v>20.493171133237652</v>
      </c>
      <c r="KR33" s="53">
        <f t="shared" si="374"/>
        <v>28824.98631201324</v>
      </c>
      <c r="KS33" s="53">
        <f t="shared" si="375"/>
        <v>34732.140086066443</v>
      </c>
    </row>
    <row r="34" spans="1:305" ht="13.9" customHeight="1" x14ac:dyDescent="0.2">
      <c r="A34" s="238" t="s">
        <v>448</v>
      </c>
      <c r="B34" s="111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242"/>
      <c r="O34" s="111">
        <f t="shared" si="338"/>
        <v>1176.6523813667543</v>
      </c>
      <c r="P34" s="5">
        <f t="shared" si="100"/>
        <v>1143.267951210297</v>
      </c>
      <c r="Q34" s="5">
        <f t="shared" si="101"/>
        <v>1018.8862247603028</v>
      </c>
      <c r="R34" s="5">
        <f t="shared" si="102"/>
        <v>963.64010897924027</v>
      </c>
      <c r="S34" s="5">
        <f t="shared" si="103"/>
        <v>886.73502312722371</v>
      </c>
      <c r="T34" s="5">
        <f t="shared" si="104"/>
        <v>840.56468277308409</v>
      </c>
      <c r="U34" s="5">
        <f t="shared" si="105"/>
        <v>967.69974261801326</v>
      </c>
      <c r="V34" s="5">
        <f t="shared" si="106"/>
        <v>1011.0091011050043</v>
      </c>
      <c r="W34" s="5">
        <f t="shared" si="107"/>
        <v>902.34889205826778</v>
      </c>
      <c r="X34" s="5">
        <f t="shared" si="108"/>
        <v>887.62957136138778</v>
      </c>
      <c r="Y34" s="5">
        <f t="shared" si="109"/>
        <v>850.75649835544868</v>
      </c>
      <c r="Z34" s="5">
        <f t="shared" si="110"/>
        <v>851.8564004336572</v>
      </c>
      <c r="AA34" s="242">
        <f t="shared" si="339"/>
        <v>11501.046578148682</v>
      </c>
      <c r="AB34" s="111">
        <f t="shared" si="111"/>
        <v>1061.9852086082872</v>
      </c>
      <c r="AC34" s="5">
        <f t="shared" si="112"/>
        <v>1030.8233999420133</v>
      </c>
      <c r="AD34" s="5">
        <f t="shared" si="113"/>
        <v>972.18844901030025</v>
      </c>
      <c r="AE34" s="5">
        <f t="shared" si="114"/>
        <v>644.83696415633619</v>
      </c>
      <c r="AF34" s="5">
        <f t="shared" si="115"/>
        <v>653.43604481990565</v>
      </c>
      <c r="AG34" s="5">
        <f t="shared" si="116"/>
        <v>729.53819501900341</v>
      </c>
      <c r="AH34" s="5">
        <f t="shared" si="117"/>
        <v>757.82515539411281</v>
      </c>
      <c r="AI34" s="5">
        <f t="shared" si="118"/>
        <v>863.64375262434532</v>
      </c>
      <c r="AJ34" s="5">
        <f t="shared" si="119"/>
        <v>931.16876846730679</v>
      </c>
      <c r="AK34" s="5">
        <f t="shared" si="120"/>
        <v>897.49219689940219</v>
      </c>
      <c r="AL34" s="5">
        <f t="shared" si="121"/>
        <v>872.94852362013103</v>
      </c>
      <c r="AM34" s="5">
        <f t="shared" si="122"/>
        <v>857.1441441382724</v>
      </c>
      <c r="AN34" s="242">
        <f t="shared" si="340"/>
        <v>10273.030802699417</v>
      </c>
      <c r="AO34" s="111">
        <f t="shared" si="123"/>
        <v>999.80556458277715</v>
      </c>
      <c r="AP34" s="5">
        <f t="shared" si="124"/>
        <v>907.6556534718834</v>
      </c>
      <c r="AQ34" s="5">
        <f t="shared" si="125"/>
        <v>953.68787285505243</v>
      </c>
      <c r="AR34" s="5">
        <f t="shared" si="126"/>
        <v>716.69332374647786</v>
      </c>
      <c r="AS34" s="5">
        <f t="shared" si="127"/>
        <v>680.23807509750611</v>
      </c>
      <c r="AT34" s="5">
        <f t="shared" si="128"/>
        <v>769.25316676768421</v>
      </c>
      <c r="AU34" s="5">
        <f t="shared" si="129"/>
        <v>851.70595962057939</v>
      </c>
      <c r="AV34" s="5">
        <f t="shared" si="130"/>
        <v>969.12642045039331</v>
      </c>
      <c r="AW34" s="5">
        <f t="shared" si="131"/>
        <v>935.31409093141474</v>
      </c>
      <c r="AX34" s="5">
        <f t="shared" si="132"/>
        <v>1005.3910113193203</v>
      </c>
      <c r="AY34" s="5">
        <f t="shared" si="133"/>
        <v>1028.7675167630266</v>
      </c>
      <c r="AZ34" s="5">
        <f t="shared" si="134"/>
        <v>1051.2998314319927</v>
      </c>
      <c r="BA34" s="242">
        <f t="shared" si="341"/>
        <v>10868.938487038105</v>
      </c>
      <c r="BB34" s="111">
        <f t="shared" si="135"/>
        <v>1345.7827504398208</v>
      </c>
      <c r="BC34" s="5">
        <f t="shared" si="136"/>
        <v>1194.5114450106821</v>
      </c>
      <c r="BD34" s="5">
        <f t="shared" si="137"/>
        <v>1250.5355498446261</v>
      </c>
      <c r="BE34" s="5">
        <f t="shared" si="138"/>
        <v>1201.571785795473</v>
      </c>
      <c r="BF34" s="5">
        <f t="shared" si="139"/>
        <v>1236.5118824855344</v>
      </c>
      <c r="BG34" s="5">
        <f t="shared" si="140"/>
        <v>1361.3815025499148</v>
      </c>
      <c r="BH34" s="5">
        <f t="shared" si="141"/>
        <v>1437.3443453457928</v>
      </c>
      <c r="BI34" s="5">
        <f t="shared" si="142"/>
        <v>1552.7128830201457</v>
      </c>
      <c r="BJ34" s="5">
        <f t="shared" si="143"/>
        <v>1624.9171497406655</v>
      </c>
      <c r="BK34" s="5">
        <f t="shared" si="144"/>
        <v>1536.1207982808833</v>
      </c>
      <c r="BL34" s="5">
        <f t="shared" si="145"/>
        <v>1488.6319805685573</v>
      </c>
      <c r="BM34" s="5">
        <f t="shared" si="146"/>
        <v>1461.4765414986789</v>
      </c>
      <c r="BN34" s="242">
        <f t="shared" si="342"/>
        <v>16691.498614580774</v>
      </c>
      <c r="BO34" s="111">
        <f t="shared" si="147"/>
        <v>1824.0601720159545</v>
      </c>
      <c r="BP34" s="5">
        <f t="shared" si="148"/>
        <v>1464.0082201696453</v>
      </c>
      <c r="BQ34" s="5">
        <f t="shared" si="149"/>
        <v>1449.4454831102169</v>
      </c>
      <c r="BR34" s="5">
        <f t="shared" si="150"/>
        <v>1325.5481570393579</v>
      </c>
      <c r="BS34" s="5">
        <f t="shared" si="379"/>
        <v>1260.8870542773941</v>
      </c>
      <c r="BT34" s="5">
        <f t="shared" si="380"/>
        <v>1371.616140507959</v>
      </c>
      <c r="BU34" s="5">
        <f t="shared" si="151"/>
        <v>1533.7979635722984</v>
      </c>
      <c r="BV34" s="5">
        <f t="shared" si="152"/>
        <v>1597.2582822723025</v>
      </c>
      <c r="BW34" s="5">
        <f t="shared" si="153"/>
        <v>1681.8525905707195</v>
      </c>
      <c r="BX34" s="5">
        <f t="shared" si="154"/>
        <v>1640.3845009608597</v>
      </c>
      <c r="BY34" s="5">
        <f t="shared" si="155"/>
        <v>1941.0072950780068</v>
      </c>
      <c r="BZ34" s="5">
        <f t="shared" si="156"/>
        <v>1914.0912340319724</v>
      </c>
      <c r="CA34" s="242">
        <f t="shared" si="343"/>
        <v>19003.957093606688</v>
      </c>
      <c r="CB34" s="111">
        <f t="shared" si="157"/>
        <v>2158.856735581368</v>
      </c>
      <c r="CC34" s="5">
        <f t="shared" si="158"/>
        <v>1855.4365733113675</v>
      </c>
      <c r="CD34" s="5">
        <f t="shared" si="159"/>
        <v>1794.2952193198621</v>
      </c>
      <c r="CE34" s="5">
        <f t="shared" si="160"/>
        <v>1559.7173108605389</v>
      </c>
      <c r="CF34" s="5">
        <f t="shared" si="161"/>
        <v>1564.6920280579591</v>
      </c>
      <c r="CG34" s="5">
        <f t="shared" si="162"/>
        <v>1700.7323874605461</v>
      </c>
      <c r="CH34" s="5">
        <f t="shared" si="163"/>
        <v>1799.9725195035189</v>
      </c>
      <c r="CI34" s="5">
        <f t="shared" si="164"/>
        <v>1915.9540273027274</v>
      </c>
      <c r="CJ34" s="5">
        <f t="shared" si="165"/>
        <v>2120.0681508497532</v>
      </c>
      <c r="CK34" s="5">
        <f t="shared" si="166"/>
        <v>1915.6162890425021</v>
      </c>
      <c r="CL34" s="5">
        <f t="shared" si="167"/>
        <v>1949.9895790442204</v>
      </c>
      <c r="CM34" s="5">
        <f t="shared" si="168"/>
        <v>1977.440835345702</v>
      </c>
      <c r="CN34" s="242">
        <f t="shared" si="344"/>
        <v>22312.771655680066</v>
      </c>
      <c r="CO34" s="111">
        <f t="shared" si="169"/>
        <v>2227.5418592872879</v>
      </c>
      <c r="CP34" s="5">
        <f t="shared" si="170"/>
        <v>1546.378774679873</v>
      </c>
      <c r="CQ34" s="5">
        <f t="shared" si="171"/>
        <v>1989.6691218753595</v>
      </c>
      <c r="CR34" s="5">
        <f t="shared" si="172"/>
        <v>1625.0875371877839</v>
      </c>
      <c r="CS34" s="5">
        <f t="shared" si="173"/>
        <v>1801.7615236732686</v>
      </c>
      <c r="CT34" s="5">
        <f t="shared" si="174"/>
        <v>1952.318564395744</v>
      </c>
      <c r="CU34" s="5">
        <f t="shared" si="175"/>
        <v>2045.8305431913973</v>
      </c>
      <c r="CV34" s="5">
        <f t="shared" si="176"/>
        <v>1997.5938520464535</v>
      </c>
      <c r="CW34" s="5">
        <f t="shared" si="177"/>
        <v>2491.2268680530747</v>
      </c>
      <c r="CX34" s="5">
        <f t="shared" si="178"/>
        <v>2403.0251280800194</v>
      </c>
      <c r="CY34" s="5">
        <f t="shared" si="179"/>
        <v>2417.5172835967369</v>
      </c>
      <c r="CZ34" s="5">
        <f t="shared" si="180"/>
        <v>2556.8470882371466</v>
      </c>
      <c r="DA34" s="242">
        <f t="shared" si="345"/>
        <v>25054.798144304143</v>
      </c>
      <c r="DB34" s="111">
        <f t="shared" si="181"/>
        <v>2581.7121849248961</v>
      </c>
      <c r="DC34" s="5">
        <f t="shared" si="182"/>
        <v>2402.8234384064976</v>
      </c>
      <c r="DD34" s="5">
        <f t="shared" si="183"/>
        <v>2424.2802243406754</v>
      </c>
      <c r="DE34" s="5">
        <f t="shared" si="184"/>
        <v>1733.320607044001</v>
      </c>
      <c r="DF34" s="5">
        <f t="shared" si="185"/>
        <v>1801.8318862703941</v>
      </c>
      <c r="DG34" s="5">
        <f t="shared" si="186"/>
        <v>1855.4929846330056</v>
      </c>
      <c r="DH34" s="5">
        <f t="shared" si="187"/>
        <v>1950.1263529299574</v>
      </c>
      <c r="DI34" s="5">
        <f t="shared" si="188"/>
        <v>2040.3225806451612</v>
      </c>
      <c r="DJ34" s="5">
        <f t="shared" si="189"/>
        <v>2379.5592884442976</v>
      </c>
      <c r="DK34" s="5">
        <f t="shared" si="190"/>
        <v>2541.5879017013231</v>
      </c>
      <c r="DL34" s="5">
        <f t="shared" si="191"/>
        <v>2904.4013251301467</v>
      </c>
      <c r="DM34" s="5">
        <f t="shared" si="192"/>
        <v>2781.2131224923296</v>
      </c>
      <c r="DN34" s="242">
        <f t="shared" si="346"/>
        <v>27396.671896962685</v>
      </c>
      <c r="DO34" s="111">
        <f t="shared" si="193"/>
        <v>3323.1023102310232</v>
      </c>
      <c r="DP34" s="5">
        <f t="shared" si="194"/>
        <v>2787.645698645651</v>
      </c>
      <c r="DQ34" s="5">
        <f t="shared" si="195"/>
        <v>2871.9603441825666</v>
      </c>
      <c r="DR34" s="5">
        <f t="shared" si="196"/>
        <v>1506.3438753615076</v>
      </c>
      <c r="DS34" s="5">
        <f t="shared" si="197"/>
        <v>1675.41507202652</v>
      </c>
      <c r="DT34" s="5">
        <f t="shared" si="198"/>
        <v>1758.7535989597843</v>
      </c>
      <c r="DU34" s="5">
        <f t="shared" si="199"/>
        <v>1966.6089366124008</v>
      </c>
      <c r="DV34" s="5">
        <f t="shared" si="200"/>
        <v>2097.255781050465</v>
      </c>
      <c r="DW34" s="5">
        <f t="shared" si="201"/>
        <v>2077.4274662396238</v>
      </c>
      <c r="DX34" s="5">
        <f t="shared" si="202"/>
        <v>2117.3648410015544</v>
      </c>
      <c r="DY34" s="5">
        <f t="shared" si="203"/>
        <v>2565.9530847058718</v>
      </c>
      <c r="DZ34" s="5">
        <f t="shared" si="204"/>
        <v>2638.0953692103653</v>
      </c>
      <c r="EA34" s="242">
        <f t="shared" si="347"/>
        <v>27385.926378227334</v>
      </c>
      <c r="EB34" s="111">
        <f t="shared" si="205"/>
        <v>3149.261241480262</v>
      </c>
      <c r="EC34" s="5">
        <f t="shared" si="206"/>
        <v>2665.6511458712262</v>
      </c>
      <c r="ED34" s="5">
        <f t="shared" si="207"/>
        <v>2649.5973943725685</v>
      </c>
      <c r="EE34" s="5">
        <f t="shared" si="208"/>
        <v>1902.3115396746723</v>
      </c>
      <c r="EF34" s="5">
        <f t="shared" si="209"/>
        <v>2237.9068512857398</v>
      </c>
      <c r="EG34" s="5">
        <f t="shared" si="210"/>
        <v>2445.0828134117328</v>
      </c>
      <c r="EH34" s="5">
        <f t="shared" si="211"/>
        <v>2544.044692737431</v>
      </c>
      <c r="EI34" s="5">
        <f t="shared" si="212"/>
        <v>2766.4057257884142</v>
      </c>
      <c r="EJ34" s="5">
        <f t="shared" si="213"/>
        <v>2796.9273368764234</v>
      </c>
      <c r="EK34" s="5">
        <f t="shared" si="214"/>
        <v>3260.3666132763838</v>
      </c>
      <c r="EL34" s="5">
        <f t="shared" si="215"/>
        <v>3110.3293913198454</v>
      </c>
      <c r="EM34" s="5">
        <f t="shared" si="216"/>
        <v>3163.0846670223168</v>
      </c>
      <c r="EN34" s="242">
        <f t="shared" si="348"/>
        <v>32690.969413117018</v>
      </c>
      <c r="EO34" s="111">
        <f t="shared" si="217"/>
        <v>3998.4553168826551</v>
      </c>
      <c r="EP34" s="5">
        <f t="shared" si="218"/>
        <v>3324.0851365104654</v>
      </c>
      <c r="EQ34" s="5">
        <f t="shared" si="219"/>
        <v>3130.7364630451016</v>
      </c>
      <c r="ER34" s="5">
        <f t="shared" si="220"/>
        <v>2031.0586176727909</v>
      </c>
      <c r="ES34" s="5">
        <f t="shared" si="221"/>
        <v>2169.8277362101967</v>
      </c>
      <c r="ET34" s="5">
        <f t="shared" si="222"/>
        <v>2239.3366984093946</v>
      </c>
      <c r="EU34" s="5">
        <f t="shared" si="223"/>
        <v>4288.8370848779005</v>
      </c>
      <c r="EV34" s="5">
        <f t="shared" si="224"/>
        <v>4801.5715895592848</v>
      </c>
      <c r="EW34" s="5">
        <f t="shared" si="225"/>
        <v>5080.2301860365988</v>
      </c>
      <c r="EX34" s="5">
        <f t="shared" si="226"/>
        <v>5329.2894280762566</v>
      </c>
      <c r="EY34" s="5">
        <f t="shared" si="227"/>
        <v>5729.9869773023247</v>
      </c>
      <c r="EZ34" s="5">
        <f t="shared" si="228"/>
        <v>6267.2609485885805</v>
      </c>
      <c r="FA34" s="242">
        <f t="shared" si="349"/>
        <v>48390.676183171556</v>
      </c>
      <c r="FB34" s="111">
        <f t="shared" si="229"/>
        <v>6772.9622505409952</v>
      </c>
      <c r="FC34" s="5">
        <f t="shared" si="230"/>
        <v>5902.5308669757114</v>
      </c>
      <c r="FD34" s="5">
        <f t="shared" si="231"/>
        <v>6146.7110070536992</v>
      </c>
      <c r="FE34" s="5">
        <f t="shared" si="232"/>
        <v>4519.8207668851164</v>
      </c>
      <c r="FF34" s="5">
        <f t="shared" si="233"/>
        <v>4762.1067041641554</v>
      </c>
      <c r="FG34" s="5">
        <f t="shared" si="234"/>
        <v>4780.64147046368</v>
      </c>
      <c r="FH34" s="5">
        <f t="shared" si="235"/>
        <v>5042.2033332096053</v>
      </c>
      <c r="FI34" s="5">
        <f t="shared" si="236"/>
        <v>5892.2257563429239</v>
      </c>
      <c r="FJ34" s="5">
        <f t="shared" si="237"/>
        <v>6247.914729025495</v>
      </c>
      <c r="FK34" s="5">
        <f t="shared" si="238"/>
        <v>5540.9508266619623</v>
      </c>
      <c r="FL34" s="5">
        <f t="shared" si="239"/>
        <v>5743.8573857972215</v>
      </c>
      <c r="FM34" s="5">
        <f t="shared" si="240"/>
        <v>5929.4679778482396</v>
      </c>
      <c r="FN34" s="242">
        <f t="shared" si="350"/>
        <v>67281.393074968801</v>
      </c>
      <c r="FO34" s="111">
        <f t="shared" si="241"/>
        <v>7714.1003775455165</v>
      </c>
      <c r="FP34" s="5">
        <f t="shared" si="242"/>
        <v>5466.9030303470627</v>
      </c>
      <c r="FQ34" s="5">
        <f t="shared" si="243"/>
        <v>5898.6882400613931</v>
      </c>
      <c r="FR34" s="5">
        <f t="shared" si="244"/>
        <v>4384.4018753415594</v>
      </c>
      <c r="FS34" s="5">
        <f t="shared" si="245"/>
        <v>4363.4643713353171</v>
      </c>
      <c r="FT34" s="5">
        <f t="shared" si="246"/>
        <v>4486.9161447107663</v>
      </c>
      <c r="FU34" s="5">
        <f t="shared" si="247"/>
        <v>4755.9171063743788</v>
      </c>
      <c r="FV34" s="5">
        <f t="shared" si="248"/>
        <v>5149.8920891680464</v>
      </c>
      <c r="FW34" s="5">
        <f t="shared" si="249"/>
        <v>5284.1027259231641</v>
      </c>
      <c r="FX34" s="5">
        <f t="shared" si="250"/>
        <v>5770.5499192990546</v>
      </c>
      <c r="FY34" s="5">
        <f t="shared" si="251"/>
        <v>5708.4040765212594</v>
      </c>
      <c r="FZ34" s="5">
        <f t="shared" si="252"/>
        <v>5530.249315011255</v>
      </c>
      <c r="GA34" s="242">
        <f t="shared" si="351"/>
        <v>64513.589271638775</v>
      </c>
      <c r="GB34" s="111">
        <f t="shared" si="253"/>
        <v>7295.4620097007446</v>
      </c>
      <c r="GC34" s="5">
        <f t="shared" si="254"/>
        <v>6039.9751522705928</v>
      </c>
      <c r="GD34" s="5">
        <f t="shared" si="255"/>
        <v>5286.5595579618048</v>
      </c>
      <c r="GE34" s="5">
        <f t="shared" si="256"/>
        <v>3480.7006739274821</v>
      </c>
      <c r="GF34" s="5">
        <f t="shared" si="257"/>
        <v>4114.1897351106654</v>
      </c>
      <c r="GG34" s="5">
        <f t="shared" si="258"/>
        <v>4167.8323604010984</v>
      </c>
      <c r="GH34" s="5">
        <f t="shared" si="259"/>
        <v>4580.2889035438802</v>
      </c>
      <c r="GI34" s="5">
        <f t="shared" si="260"/>
        <v>4912.3415532071731</v>
      </c>
      <c r="GJ34" s="5">
        <f t="shared" si="261"/>
        <v>5513.443240154058</v>
      </c>
      <c r="GK34" s="5">
        <f t="shared" si="262"/>
        <v>5695.1281882547055</v>
      </c>
      <c r="GL34" s="5">
        <f t="shared" si="263"/>
        <v>6010.1455852812214</v>
      </c>
      <c r="GM34" s="5">
        <f t="shared" si="264"/>
        <v>5866.7914053560889</v>
      </c>
      <c r="GN34" s="242">
        <f t="shared" si="352"/>
        <v>62962.858365169515</v>
      </c>
      <c r="GO34" s="111">
        <f t="shared" si="265"/>
        <v>6680.6566130110705</v>
      </c>
      <c r="GP34" s="5">
        <f t="shared" si="266"/>
        <v>5974.9522949266457</v>
      </c>
      <c r="GQ34" s="5">
        <f t="shared" si="267"/>
        <v>5621.3421393870631</v>
      </c>
      <c r="GR34" s="5">
        <f t="shared" si="268"/>
        <v>3285.4641693303847</v>
      </c>
      <c r="GS34" s="5">
        <f t="shared" si="269"/>
        <v>2918.4995250920178</v>
      </c>
      <c r="GT34" s="5">
        <f t="shared" si="270"/>
        <v>3857.9364576080943</v>
      </c>
      <c r="GU34" s="5">
        <f t="shared" si="271"/>
        <v>4444.3300420400128</v>
      </c>
      <c r="GV34" s="5">
        <f t="shared" si="272"/>
        <v>4510.43266191151</v>
      </c>
      <c r="GW34" s="5">
        <f t="shared" si="273"/>
        <v>5781.1863369263065</v>
      </c>
      <c r="GX34" s="5">
        <f t="shared" si="274"/>
        <v>5449.0481528330056</v>
      </c>
      <c r="GY34" s="5">
        <f t="shared" si="275"/>
        <v>5957.1133780081318</v>
      </c>
      <c r="GZ34" s="5">
        <f t="shared" si="276"/>
        <v>6303.3662591944121</v>
      </c>
      <c r="HA34" s="242">
        <f t="shared" si="353"/>
        <v>60784.328030268662</v>
      </c>
      <c r="HB34" s="111">
        <f t="shared" si="277"/>
        <v>7642.2805802656276</v>
      </c>
      <c r="HC34" s="5">
        <f t="shared" si="278"/>
        <v>6885.911117273522</v>
      </c>
      <c r="HD34" s="5">
        <f t="shared" si="279"/>
        <v>4464.7140229786055</v>
      </c>
      <c r="HE34" s="5">
        <f t="shared" si="280"/>
        <v>1268.2740782641824</v>
      </c>
      <c r="HF34" s="5">
        <f t="shared" si="281"/>
        <v>1170.6048542374676</v>
      </c>
      <c r="HG34" s="5">
        <f t="shared" si="282"/>
        <v>1649.5838698094028</v>
      </c>
      <c r="HH34" s="5">
        <f t="shared" si="283"/>
        <v>3265.5475675911143</v>
      </c>
      <c r="HI34" s="5">
        <f t="shared" si="284"/>
        <v>4096.9446013749603</v>
      </c>
      <c r="HJ34" s="5">
        <f t="shared" si="285"/>
        <v>5166.0449009948343</v>
      </c>
      <c r="HK34" s="5">
        <f t="shared" si="286"/>
        <v>6458.8766378091832</v>
      </c>
      <c r="HL34" s="5">
        <f t="shared" si="287"/>
        <v>7119.3507792259661</v>
      </c>
      <c r="HM34" s="5">
        <f t="shared" si="288"/>
        <v>7249.4087709725773</v>
      </c>
      <c r="HN34" s="242">
        <f t="shared" si="354"/>
        <v>56437.541780797437</v>
      </c>
      <c r="HO34" s="111">
        <f t="shared" si="289"/>
        <v>9147.1228723202075</v>
      </c>
      <c r="HP34" s="5">
        <f t="shared" si="290"/>
        <v>8329.9978419257695</v>
      </c>
      <c r="HQ34" s="5">
        <f t="shared" si="291"/>
        <v>7774.4937412872323</v>
      </c>
      <c r="HR34" s="5">
        <f t="shared" si="292"/>
        <v>5201.8272554250461</v>
      </c>
      <c r="HS34" s="5">
        <f t="shared" si="293"/>
        <v>5709.254421765515</v>
      </c>
      <c r="HT34" s="5">
        <f t="shared" si="294"/>
        <v>6506.8655169007816</v>
      </c>
      <c r="HU34" s="5">
        <f t="shared" si="295"/>
        <v>6863.836747711609</v>
      </c>
      <c r="HV34" s="5">
        <f t="shared" si="296"/>
        <v>7320.5930836445077</v>
      </c>
      <c r="HW34" s="5">
        <f t="shared" si="297"/>
        <v>7758.9735354176473</v>
      </c>
      <c r="HX34" s="5">
        <f t="shared" si="298"/>
        <v>7991.5895764377628</v>
      </c>
      <c r="HY34" s="5">
        <f t="shared" si="299"/>
        <v>8214.3426510057252</v>
      </c>
      <c r="HZ34" s="5">
        <f t="shared" si="300"/>
        <v>8709.599427155712</v>
      </c>
      <c r="IA34" s="242">
        <f t="shared" si="355"/>
        <v>89528.496670997498</v>
      </c>
      <c r="IB34" s="111">
        <f t="shared" si="301"/>
        <v>9601.8731967531476</v>
      </c>
      <c r="IC34" s="5">
        <f t="shared" si="302"/>
        <v>8597.8806401112197</v>
      </c>
      <c r="ID34" s="5">
        <f t="shared" si="303"/>
        <v>7845.8273200194599</v>
      </c>
      <c r="IE34" s="5">
        <f t="shared" si="304"/>
        <v>6242.7481118859732</v>
      </c>
      <c r="IF34" s="5">
        <f t="shared" si="305"/>
        <v>5950.1663523110683</v>
      </c>
      <c r="IG34" s="5">
        <f t="shared" si="306"/>
        <v>5915.5219260020986</v>
      </c>
      <c r="IH34" s="5">
        <f t="shared" si="307"/>
        <v>7822.7683101034381</v>
      </c>
      <c r="II34" s="5">
        <f t="shared" si="308"/>
        <v>8424.9968618995754</v>
      </c>
      <c r="IJ34" s="5">
        <f t="shared" si="309"/>
        <v>8778.7336086007126</v>
      </c>
      <c r="IK34" s="5">
        <f t="shared" si="310"/>
        <v>8786.7201234156291</v>
      </c>
      <c r="IL34" s="5">
        <f t="shared" si="311"/>
        <v>9404.7908969031268</v>
      </c>
      <c r="IM34" s="5">
        <f t="shared" si="312"/>
        <v>8603.1645811821345</v>
      </c>
      <c r="IN34" s="242">
        <f t="shared" si="356"/>
        <v>95975.191929187582</v>
      </c>
      <c r="IO34" s="111">
        <f t="shared" si="313"/>
        <v>9305.030877616864</v>
      </c>
      <c r="IP34" s="5">
        <f t="shared" si="314"/>
        <v>7947.7745666301498</v>
      </c>
      <c r="IQ34" s="5">
        <f t="shared" si="315"/>
        <v>7924.1936191386658</v>
      </c>
      <c r="IR34" s="5">
        <f t="shared" si="316"/>
        <v>4637.4121920282942</v>
      </c>
      <c r="IS34" s="5">
        <f t="shared" si="317"/>
        <v>5314.6674097374134</v>
      </c>
      <c r="IT34" s="5">
        <f t="shared" si="318"/>
        <v>5303.8537344631595</v>
      </c>
      <c r="IU34" s="5">
        <f t="shared" si="319"/>
        <v>5854.3360198899927</v>
      </c>
      <c r="IV34" s="5">
        <f t="shared" si="320"/>
        <v>6981.8419281725555</v>
      </c>
      <c r="IW34" s="5">
        <f t="shared" si="321"/>
        <v>7812.4361842626313</v>
      </c>
      <c r="IX34" s="5">
        <f t="shared" si="322"/>
        <v>8247.9346240361792</v>
      </c>
      <c r="IY34" s="5">
        <f t="shared" si="323"/>
        <v>7399.6167950896825</v>
      </c>
      <c r="IZ34" s="5">
        <f t="shared" si="324"/>
        <v>7368.7018082134573</v>
      </c>
      <c r="JA34" s="242">
        <f t="shared" si="357"/>
        <v>84097.799759279049</v>
      </c>
      <c r="JB34" s="111">
        <f t="shared" si="325"/>
        <v>9431.0332665713704</v>
      </c>
      <c r="JC34" s="5">
        <f t="shared" si="326"/>
        <v>8131.0998470790837</v>
      </c>
      <c r="JD34" s="5">
        <f t="shared" si="327"/>
        <v>7275.0419687239246</v>
      </c>
      <c r="JE34" s="5">
        <f t="shared" si="328"/>
        <v>6630.78481007969</v>
      </c>
      <c r="JF34" s="5">
        <f t="shared" si="329"/>
        <v>6366.1333338612485</v>
      </c>
      <c r="JG34" s="5">
        <f t="shared" si="330"/>
        <v>6227.3093870889425</v>
      </c>
      <c r="JH34" s="5">
        <f t="shared" si="331"/>
        <v>7581.4588898516731</v>
      </c>
      <c r="JI34" s="5">
        <f t="shared" si="332"/>
        <v>9025.5854550180666</v>
      </c>
      <c r="JJ34" s="5">
        <f t="shared" si="333"/>
        <v>9575.2489986125256</v>
      </c>
      <c r="JK34" s="5">
        <f t="shared" si="334"/>
        <v>9284.1902447525281</v>
      </c>
      <c r="JL34" s="5">
        <f t="shared" si="335"/>
        <v>8932.476002219857</v>
      </c>
      <c r="JM34" s="5">
        <f t="shared" si="336"/>
        <v>9945.3339722397304</v>
      </c>
      <c r="JN34" s="242">
        <f t="shared" si="358"/>
        <v>98405.696176098645</v>
      </c>
      <c r="JO34" s="111">
        <v>11693.443843711102</v>
      </c>
      <c r="JP34" s="5">
        <v>9118.701971539047</v>
      </c>
      <c r="JQ34" s="5">
        <v>8738.0305951426817</v>
      </c>
      <c r="JR34" s="5">
        <v>7418.6254641637033</v>
      </c>
      <c r="JS34" s="5">
        <f t="shared" si="337"/>
        <v>6676.6612701130225</v>
      </c>
      <c r="JT34" s="5">
        <f t="shared" si="359"/>
        <v>7324.0215700017015</v>
      </c>
      <c r="JU34" s="5">
        <f t="shared" si="360"/>
        <v>8793.8241017966429</v>
      </c>
      <c r="JV34" s="5">
        <f t="shared" si="361"/>
        <v>10158.192391751874</v>
      </c>
      <c r="JW34" s="5">
        <f t="shared" si="362"/>
        <v>11650.408280004734</v>
      </c>
      <c r="JX34" s="5">
        <f>+JX11/$JX$26</f>
        <v>11620.305543089344</v>
      </c>
      <c r="JY34" s="5">
        <f t="shared" si="363"/>
        <v>11562.593438230708</v>
      </c>
      <c r="JZ34" s="5">
        <f t="shared" si="377"/>
        <v>11291.695025413464</v>
      </c>
      <c r="KA34" s="242">
        <f t="shared" si="381"/>
        <v>116046.50349495801</v>
      </c>
      <c r="KB34" s="1324">
        <f t="shared" si="364"/>
        <v>12790.644374024176</v>
      </c>
      <c r="KC34">
        <f t="shared" si="365"/>
        <v>10525.389673897396</v>
      </c>
      <c r="KD34">
        <f>+KD11/$KD$26</f>
        <v>9893.7074696277086</v>
      </c>
      <c r="KE34">
        <f>+KE11/$KE$26</f>
        <v>8440.8196013754841</v>
      </c>
      <c r="KF34">
        <f t="shared" si="367"/>
        <v>8093.9706557109967</v>
      </c>
      <c r="KG34">
        <f t="shared" si="368"/>
        <v>9193.8381361481188</v>
      </c>
      <c r="KH34">
        <f t="shared" si="369"/>
        <v>10030.609166319236</v>
      </c>
      <c r="KI34">
        <f t="shared" si="370"/>
        <v>10838.006365792671</v>
      </c>
      <c r="KN34" s="1330">
        <f t="shared" si="371"/>
        <v>79806.985442895777</v>
      </c>
      <c r="KP34" s="1614">
        <f t="shared" si="372"/>
        <v>6.6922730720554657</v>
      </c>
      <c r="KQ34" s="22">
        <f t="shared" si="373"/>
        <v>14.137974820131415</v>
      </c>
      <c r="KR34" s="53">
        <f t="shared" si="374"/>
        <v>69921.501208219779</v>
      </c>
      <c r="KS34" s="53">
        <f t="shared" si="375"/>
        <v>79806.985442895777</v>
      </c>
    </row>
    <row r="35" spans="1:305" ht="13.9" customHeight="1" x14ac:dyDescent="0.2">
      <c r="A35" s="238" t="s">
        <v>449</v>
      </c>
      <c r="B35" s="235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42"/>
      <c r="O35" s="235">
        <f t="shared" si="338"/>
        <v>38.375516702879594</v>
      </c>
      <c r="P35" s="233">
        <f t="shared" si="100"/>
        <v>59.175359793493641</v>
      </c>
      <c r="Q35" s="233">
        <f t="shared" si="101"/>
        <v>587.34410763735866</v>
      </c>
      <c r="R35" s="233">
        <f t="shared" si="102"/>
        <v>699.97502126950303</v>
      </c>
      <c r="S35" s="233">
        <f t="shared" si="103"/>
        <v>83.27802465877366</v>
      </c>
      <c r="T35" s="233">
        <f t="shared" si="104"/>
        <v>111.13938046408209</v>
      </c>
      <c r="U35" s="233">
        <f t="shared" si="105"/>
        <v>108.69091312013917</v>
      </c>
      <c r="V35" s="233">
        <f t="shared" si="106"/>
        <v>67.907965100278233</v>
      </c>
      <c r="W35" s="233">
        <f t="shared" si="107"/>
        <v>69.726959840866144</v>
      </c>
      <c r="X35" s="233">
        <f t="shared" si="108"/>
        <v>86.5980069620866</v>
      </c>
      <c r="Y35" s="233">
        <f t="shared" si="109"/>
        <v>21.634357690138557</v>
      </c>
      <c r="Z35" s="233">
        <f t="shared" si="110"/>
        <v>48.910415335903757</v>
      </c>
      <c r="AA35" s="242">
        <f t="shared" si="339"/>
        <v>1982.756028575503</v>
      </c>
      <c r="AB35" s="235">
        <f t="shared" si="111"/>
        <v>68.945029909648767</v>
      </c>
      <c r="AC35" s="233">
        <f t="shared" si="112"/>
        <v>88.734937725584146</v>
      </c>
      <c r="AD35" s="233">
        <f t="shared" si="113"/>
        <v>298.25250353118355</v>
      </c>
      <c r="AE35" s="233">
        <f t="shared" si="114"/>
        <v>281.33152506997675</v>
      </c>
      <c r="AF35" s="233">
        <f t="shared" si="115"/>
        <v>51.632347703065413</v>
      </c>
      <c r="AG35" s="233">
        <f t="shared" si="116"/>
        <v>70.656061407352297</v>
      </c>
      <c r="AH35" s="233">
        <f t="shared" si="117"/>
        <v>24.167544818946649</v>
      </c>
      <c r="AI35" s="233">
        <f t="shared" si="118"/>
        <v>42.52138236473823</v>
      </c>
      <c r="AJ35" s="233">
        <f t="shared" si="119"/>
        <v>48.253039204968395</v>
      </c>
      <c r="AK35" s="233">
        <f t="shared" si="120"/>
        <v>47.085323189859871</v>
      </c>
      <c r="AL35" s="233">
        <f t="shared" si="121"/>
        <v>175.62618713993402</v>
      </c>
      <c r="AM35" s="233">
        <f t="shared" si="122"/>
        <v>12.664319120914703</v>
      </c>
      <c r="AN35" s="242">
        <f t="shared" si="340"/>
        <v>1209.8702011861731</v>
      </c>
      <c r="AO35" s="235">
        <f t="shared" si="123"/>
        <v>10.936272727157609</v>
      </c>
      <c r="AP35" s="233">
        <f t="shared" si="124"/>
        <v>17.223067428308983</v>
      </c>
      <c r="AQ35" s="233">
        <f t="shared" si="125"/>
        <v>173.91788443187519</v>
      </c>
      <c r="AR35" s="233">
        <f t="shared" si="126"/>
        <v>634.4591893883163</v>
      </c>
      <c r="AS35" s="233">
        <f t="shared" si="127"/>
        <v>113.08886962773911</v>
      </c>
      <c r="AT35" s="233">
        <f t="shared" si="128"/>
        <v>55.431478193553716</v>
      </c>
      <c r="AU35" s="233">
        <f t="shared" si="129"/>
        <v>63.610557460096146</v>
      </c>
      <c r="AV35" s="233">
        <f t="shared" si="130"/>
        <v>70.829425160527578</v>
      </c>
      <c r="AW35" s="233">
        <f t="shared" si="131"/>
        <v>25.701581949130873</v>
      </c>
      <c r="AX35" s="233">
        <f t="shared" si="132"/>
        <v>27.293163188169917</v>
      </c>
      <c r="AY35" s="233">
        <f t="shared" si="133"/>
        <v>27.819565082829278</v>
      </c>
      <c r="AZ35" s="233">
        <f t="shared" si="134"/>
        <v>66.467850248598069</v>
      </c>
      <c r="BA35" s="242">
        <f t="shared" si="341"/>
        <v>1286.7789048863028</v>
      </c>
      <c r="BB35" s="235">
        <f t="shared" si="135"/>
        <v>6.6321942526808426</v>
      </c>
      <c r="BC35" s="233">
        <f t="shared" si="136"/>
        <v>38.338285717903595</v>
      </c>
      <c r="BD35" s="233">
        <f t="shared" si="137"/>
        <v>319.8162004370738</v>
      </c>
      <c r="BE35" s="233">
        <f t="shared" si="138"/>
        <v>2869.6998235529718</v>
      </c>
      <c r="BF35" s="233">
        <f t="shared" si="139"/>
        <v>64.710608765051958</v>
      </c>
      <c r="BG35" s="233">
        <f t="shared" si="140"/>
        <v>47.626947219710068</v>
      </c>
      <c r="BH35" s="233">
        <f t="shared" si="141"/>
        <v>35.654228485067797</v>
      </c>
      <c r="BI35" s="233">
        <f t="shared" si="142"/>
        <v>40.206534619942445</v>
      </c>
      <c r="BJ35" s="233">
        <f t="shared" si="143"/>
        <v>28.931836592986922</v>
      </c>
      <c r="BK35" s="233">
        <f t="shared" si="144"/>
        <v>33.984973413293879</v>
      </c>
      <c r="BL35" s="233">
        <f t="shared" si="145"/>
        <v>19.806728032774924</v>
      </c>
      <c r="BM35" s="233">
        <f t="shared" si="146"/>
        <v>24.929237381640576</v>
      </c>
      <c r="BN35" s="242">
        <f t="shared" si="342"/>
        <v>3530.3375984710992</v>
      </c>
      <c r="BO35" s="235">
        <f t="shared" si="147"/>
        <v>14.526076455189628</v>
      </c>
      <c r="BP35" s="233">
        <f t="shared" si="148"/>
        <v>31.668262918563247</v>
      </c>
      <c r="BQ35" s="233">
        <f t="shared" si="149"/>
        <v>1283.9128083795711</v>
      </c>
      <c r="BR35" s="233">
        <f t="shared" si="150"/>
        <v>1543.2835351562405</v>
      </c>
      <c r="BS35" s="233">
        <f t="shared" si="379"/>
        <v>91.061190624875408</v>
      </c>
      <c r="BT35" s="233">
        <f t="shared" si="380"/>
        <v>54.511617998991561</v>
      </c>
      <c r="BU35" s="233">
        <f t="shared" si="151"/>
        <v>48.708448843174338</v>
      </c>
      <c r="BV35" s="233">
        <f t="shared" si="152"/>
        <v>124.10426835600789</v>
      </c>
      <c r="BW35" s="233">
        <f t="shared" si="153"/>
        <v>62.887565963861881</v>
      </c>
      <c r="BX35" s="233">
        <f t="shared" si="154"/>
        <v>79.942788970877331</v>
      </c>
      <c r="BY35" s="233">
        <f t="shared" si="155"/>
        <v>59.763276823017613</v>
      </c>
      <c r="BZ35" s="233">
        <f t="shared" si="156"/>
        <v>135.72176003149573</v>
      </c>
      <c r="CA35" s="242">
        <f t="shared" si="343"/>
        <v>3530.0916005218664</v>
      </c>
      <c r="CB35" s="235">
        <f t="shared" si="157"/>
        <v>21.691861936463503</v>
      </c>
      <c r="CC35" s="233">
        <f t="shared" si="158"/>
        <v>27.800658978583197</v>
      </c>
      <c r="CD35" s="233">
        <f t="shared" si="159"/>
        <v>368.10004928536222</v>
      </c>
      <c r="CE35" s="233">
        <f t="shared" si="160"/>
        <v>1053.6688513315848</v>
      </c>
      <c r="CF35" s="233">
        <f t="shared" si="161"/>
        <v>99.841277968357986</v>
      </c>
      <c r="CG35" s="233">
        <f t="shared" si="162"/>
        <v>83.249062809630331</v>
      </c>
      <c r="CH35" s="233">
        <f t="shared" si="163"/>
        <v>31.551681144817127</v>
      </c>
      <c r="CI35" s="233">
        <f t="shared" si="164"/>
        <v>26.518394841560241</v>
      </c>
      <c r="CJ35" s="233">
        <f t="shared" si="165"/>
        <v>129.96586365362472</v>
      </c>
      <c r="CK35" s="233">
        <f t="shared" si="166"/>
        <v>44.738384669782427</v>
      </c>
      <c r="CL35" s="233">
        <f t="shared" si="167"/>
        <v>29.992019072890773</v>
      </c>
      <c r="CM35" s="233">
        <f t="shared" si="168"/>
        <v>58.861467000282637</v>
      </c>
      <c r="CN35" s="242">
        <f t="shared" si="344"/>
        <v>1975.9795726929397</v>
      </c>
      <c r="CO35" s="235">
        <f t="shared" si="169"/>
        <v>340.67692606299795</v>
      </c>
      <c r="CP35" s="233">
        <f t="shared" si="170"/>
        <v>17.120442311662547</v>
      </c>
      <c r="CQ35" s="233">
        <f t="shared" si="171"/>
        <v>313.02660726161724</v>
      </c>
      <c r="CR35" s="233">
        <f t="shared" si="172"/>
        <v>1314.1753127747177</v>
      </c>
      <c r="CS35" s="233">
        <f t="shared" si="173"/>
        <v>125.18442348102114</v>
      </c>
      <c r="CT35" s="233">
        <f t="shared" si="174"/>
        <v>30.272351913609658</v>
      </c>
      <c r="CU35" s="233">
        <f t="shared" si="175"/>
        <v>29.542679324063499</v>
      </c>
      <c r="CV35" s="233">
        <f t="shared" si="176"/>
        <v>35.355643399052276</v>
      </c>
      <c r="CW35" s="233">
        <f t="shared" si="177"/>
        <v>23.982341165933331</v>
      </c>
      <c r="CX35" s="233">
        <f t="shared" si="178"/>
        <v>42.937301780922176</v>
      </c>
      <c r="CY35" s="233">
        <f t="shared" si="179"/>
        <v>42.753521092546798</v>
      </c>
      <c r="CZ35" s="233">
        <f t="shared" si="180"/>
        <v>49.421717453134157</v>
      </c>
      <c r="DA35" s="242">
        <f t="shared" si="345"/>
        <v>2364.4492680212784</v>
      </c>
      <c r="DB35" s="235">
        <f t="shared" si="181"/>
        <v>240.56532852202676</v>
      </c>
      <c r="DC35" s="233">
        <f t="shared" si="182"/>
        <v>305.5501837168826</v>
      </c>
      <c r="DD35" s="233">
        <f t="shared" si="183"/>
        <v>531.10591892838465</v>
      </c>
      <c r="DE35" s="233">
        <f t="shared" si="184"/>
        <v>1228.4050777894436</v>
      </c>
      <c r="DF35" s="233">
        <f t="shared" si="185"/>
        <v>188.43621791813757</v>
      </c>
      <c r="DG35" s="233">
        <f t="shared" si="186"/>
        <v>144.60246253698577</v>
      </c>
      <c r="DH35" s="233">
        <f t="shared" si="187"/>
        <v>100.12873694750392</v>
      </c>
      <c r="DI35" s="233">
        <f t="shared" si="188"/>
        <v>64.516129032258064</v>
      </c>
      <c r="DJ35" s="233">
        <f t="shared" si="189"/>
        <v>62.284716651724629</v>
      </c>
      <c r="DK35" s="233">
        <f t="shared" si="190"/>
        <v>232.04158790170132</v>
      </c>
      <c r="DL35" s="233">
        <f t="shared" si="191"/>
        <v>61.523899668717462</v>
      </c>
      <c r="DM35" s="233">
        <f t="shared" si="192"/>
        <v>86.853906065612463</v>
      </c>
      <c r="DN35" s="242">
        <f t="shared" si="346"/>
        <v>3246.0141656793794</v>
      </c>
      <c r="DO35" s="235">
        <f t="shared" si="193"/>
        <v>215.32296086751532</v>
      </c>
      <c r="DP35" s="233">
        <f t="shared" si="194"/>
        <v>26.001604454721342</v>
      </c>
      <c r="DQ35" s="233">
        <f t="shared" si="195"/>
        <v>409.7923681257015</v>
      </c>
      <c r="DR35" s="233">
        <f t="shared" si="196"/>
        <v>1082.2837951301426</v>
      </c>
      <c r="DS35" s="233">
        <f t="shared" si="197"/>
        <v>371.58141743721546</v>
      </c>
      <c r="DT35" s="233">
        <f t="shared" si="198"/>
        <v>171.4962385065478</v>
      </c>
      <c r="DU35" s="233">
        <f t="shared" si="199"/>
        <v>179.37882461609516</v>
      </c>
      <c r="DV35" s="233">
        <f t="shared" si="200"/>
        <v>99.267779543763254</v>
      </c>
      <c r="DW35" s="233">
        <f t="shared" si="201"/>
        <v>63.230442383668361</v>
      </c>
      <c r="DX35" s="233">
        <f t="shared" si="202"/>
        <v>112.14516032859218</v>
      </c>
      <c r="DY35" s="233">
        <f t="shared" si="203"/>
        <v>1661.8936200532314</v>
      </c>
      <c r="DZ35" s="233">
        <f t="shared" si="204"/>
        <v>193.014579346614</v>
      </c>
      <c r="EA35" s="242">
        <f t="shared" si="347"/>
        <v>4585.4087907938083</v>
      </c>
      <c r="EB35" s="235">
        <f t="shared" si="205"/>
        <v>87.507433328758964</v>
      </c>
      <c r="EC35" s="233">
        <f t="shared" si="206"/>
        <v>50.427428155692986</v>
      </c>
      <c r="ED35" s="233">
        <f t="shared" si="207"/>
        <v>1520.8088301818511</v>
      </c>
      <c r="EE35" s="233">
        <f t="shared" si="208"/>
        <v>2833.0554679403417</v>
      </c>
      <c r="EF35" s="233">
        <f t="shared" si="209"/>
        <v>519.78061499730268</v>
      </c>
      <c r="EG35" s="233">
        <f t="shared" si="210"/>
        <v>290.22846626868346</v>
      </c>
      <c r="EH35" s="233">
        <f t="shared" si="211"/>
        <v>141.49720670391062</v>
      </c>
      <c r="EI35" s="233">
        <f t="shared" si="212"/>
        <v>187.65376873182734</v>
      </c>
      <c r="EJ35" s="233">
        <f t="shared" si="213"/>
        <v>102.54119958912062</v>
      </c>
      <c r="EK35" s="233">
        <f t="shared" si="214"/>
        <v>159.32550275849795</v>
      </c>
      <c r="EL35" s="233">
        <f t="shared" si="215"/>
        <v>181.14742001604131</v>
      </c>
      <c r="EM35" s="233">
        <f t="shared" si="216"/>
        <v>73.120360985151592</v>
      </c>
      <c r="EN35" s="242">
        <f t="shared" si="348"/>
        <v>6147.0936996571818</v>
      </c>
      <c r="EO35" s="235">
        <f t="shared" si="217"/>
        <v>104.41683383632167</v>
      </c>
      <c r="EP35" s="233">
        <f t="shared" si="218"/>
        <v>91.818222045223237</v>
      </c>
      <c r="EQ35" s="233">
        <f t="shared" si="219"/>
        <v>690.35176320758865</v>
      </c>
      <c r="ER35" s="233">
        <f t="shared" si="220"/>
        <v>1253.2808398950131</v>
      </c>
      <c r="ES35" s="233">
        <f t="shared" si="221"/>
        <v>320.77605707325563</v>
      </c>
      <c r="ET35" s="233">
        <f t="shared" si="222"/>
        <v>234.60130786976811</v>
      </c>
      <c r="EU35" s="233">
        <f t="shared" si="223"/>
        <v>223.41116673672948</v>
      </c>
      <c r="EV35" s="233">
        <f t="shared" si="224"/>
        <v>252.79444461365088</v>
      </c>
      <c r="EW35" s="233">
        <f t="shared" si="225"/>
        <v>120.2691593338002</v>
      </c>
      <c r="EX35" s="233">
        <f t="shared" si="226"/>
        <v>175.28656997780411</v>
      </c>
      <c r="EY35" s="233">
        <f t="shared" si="227"/>
        <v>107.27248347162846</v>
      </c>
      <c r="EZ35" s="233">
        <f t="shared" si="228"/>
        <v>507.62837771593627</v>
      </c>
      <c r="FA35" s="242">
        <f t="shared" si="349"/>
        <v>4081.9072257767202</v>
      </c>
      <c r="FB35" s="235">
        <f t="shared" si="229"/>
        <v>246.4534743928829</v>
      </c>
      <c r="FC35" s="233">
        <f t="shared" si="230"/>
        <v>278.36536297763178</v>
      </c>
      <c r="FD35" s="233">
        <f t="shared" si="231"/>
        <v>3910.4791446083182</v>
      </c>
      <c r="FE35" s="233">
        <f t="shared" si="232"/>
        <v>3094.6043675024416</v>
      </c>
      <c r="FF35" s="233">
        <f t="shared" si="233"/>
        <v>454.65705421511956</v>
      </c>
      <c r="FG35" s="233">
        <f t="shared" si="234"/>
        <v>129.79486912784088</v>
      </c>
      <c r="FH35" s="233">
        <f t="shared" si="235"/>
        <v>99.550870420548591</v>
      </c>
      <c r="FI35" s="233">
        <f t="shared" si="236"/>
        <v>96.086988682594864</v>
      </c>
      <c r="FJ35" s="233">
        <f t="shared" si="237"/>
        <v>40.672010865553531</v>
      </c>
      <c r="FK35" s="233">
        <f t="shared" si="238"/>
        <v>17.128700497687994</v>
      </c>
      <c r="FL35" s="233">
        <f t="shared" si="239"/>
        <v>20.011141734592155</v>
      </c>
      <c r="FM35" s="233">
        <f t="shared" si="240"/>
        <v>40.986600815348424</v>
      </c>
      <c r="FN35" s="242">
        <f t="shared" si="350"/>
        <v>8428.7905858405593</v>
      </c>
      <c r="FO35" s="235">
        <f t="shared" si="241"/>
        <v>61.660908733108855</v>
      </c>
      <c r="FP35" s="233">
        <f t="shared" si="242"/>
        <v>99.897559593435105</v>
      </c>
      <c r="FQ35" s="233">
        <f t="shared" si="243"/>
        <v>2378.0221041231866</v>
      </c>
      <c r="FR35" s="233">
        <f t="shared" si="244"/>
        <v>1576.5668593781461</v>
      </c>
      <c r="FS35" s="233">
        <f t="shared" si="245"/>
        <v>327.33023309552004</v>
      </c>
      <c r="FT35" s="233">
        <f t="shared" si="246"/>
        <v>263.1236348382057</v>
      </c>
      <c r="FU35" s="233">
        <f t="shared" si="247"/>
        <v>142.77568049430127</v>
      </c>
      <c r="FV35" s="233">
        <f t="shared" si="248"/>
        <v>328.89500742111034</v>
      </c>
      <c r="FW35" s="233">
        <f t="shared" si="249"/>
        <v>87.99546755211955</v>
      </c>
      <c r="FX35" s="233">
        <f t="shared" si="250"/>
        <v>125.73495503804473</v>
      </c>
      <c r="FY35" s="233">
        <f t="shared" si="251"/>
        <v>36.243835406484187</v>
      </c>
      <c r="FZ35" s="233">
        <f t="shared" si="252"/>
        <v>54.062656233817016</v>
      </c>
      <c r="GA35" s="242">
        <f t="shared" si="351"/>
        <v>5482.3089019074787</v>
      </c>
      <c r="GB35" s="235">
        <f t="shared" si="253"/>
        <v>235.40715188199562</v>
      </c>
      <c r="GC35" s="233">
        <f t="shared" si="254"/>
        <v>59.602655764886357</v>
      </c>
      <c r="GD35" s="233">
        <f t="shared" si="255"/>
        <v>1786.1495309649401</v>
      </c>
      <c r="GE35" s="233">
        <f t="shared" si="256"/>
        <v>3211.4902311784035</v>
      </c>
      <c r="GF35" s="233">
        <f t="shared" si="257"/>
        <v>772.76995215863769</v>
      </c>
      <c r="GG35" s="233">
        <f t="shared" si="258"/>
        <v>376.30721291168931</v>
      </c>
      <c r="GH35" s="233">
        <f t="shared" si="259"/>
        <v>137.67720158619042</v>
      </c>
      <c r="GI35" s="233">
        <f t="shared" si="260"/>
        <v>255.06034090787986</v>
      </c>
      <c r="GJ35" s="233">
        <f t="shared" si="261"/>
        <v>207.20202061048025</v>
      </c>
      <c r="GK35" s="233">
        <f t="shared" si="262"/>
        <v>230.17408801799724</v>
      </c>
      <c r="GL35" s="233">
        <f t="shared" si="263"/>
        <v>81.273575681115275</v>
      </c>
      <c r="GM35" s="233">
        <f t="shared" si="264"/>
        <v>175.58822803327567</v>
      </c>
      <c r="GN35" s="242">
        <f t="shared" si="352"/>
        <v>7528.7021896974893</v>
      </c>
      <c r="GO35" s="235">
        <f t="shared" si="265"/>
        <v>51.391835372233416</v>
      </c>
      <c r="GP35" s="233">
        <f t="shared" si="266"/>
        <v>59.004236690167019</v>
      </c>
      <c r="GQ35" s="233">
        <f t="shared" si="267"/>
        <v>2103.8969952215698</v>
      </c>
      <c r="GR35" s="233">
        <f t="shared" si="268"/>
        <v>2952.0348969439892</v>
      </c>
      <c r="GS35" s="233">
        <f t="shared" si="269"/>
        <v>471.1166719422082</v>
      </c>
      <c r="GT35" s="233">
        <f t="shared" si="270"/>
        <v>481.92834715295902</v>
      </c>
      <c r="GU35" s="233">
        <f t="shared" si="271"/>
        <v>411.25307031259916</v>
      </c>
      <c r="GV35" s="233">
        <f t="shared" si="272"/>
        <v>264.29294178833402</v>
      </c>
      <c r="GW35" s="233">
        <f t="shared" si="273"/>
        <v>498.1503764681184</v>
      </c>
      <c r="GX35" s="233">
        <f t="shared" si="274"/>
        <v>327.93878968758298</v>
      </c>
      <c r="GY35" s="233">
        <f t="shared" si="275"/>
        <v>248.0772023122716</v>
      </c>
      <c r="GZ35" s="233">
        <f t="shared" si="276"/>
        <v>200.48267148393816</v>
      </c>
      <c r="HA35" s="242">
        <f t="shared" si="353"/>
        <v>8069.5680353759717</v>
      </c>
      <c r="HB35" s="235">
        <f t="shared" si="277"/>
        <v>108.14841734153481</v>
      </c>
      <c r="HC35" s="233">
        <f t="shared" si="278"/>
        <v>108.4808940076405</v>
      </c>
      <c r="HD35" s="233">
        <f t="shared" si="279"/>
        <v>565.12586624576977</v>
      </c>
      <c r="HE35" s="233">
        <f t="shared" si="280"/>
        <v>412.24222594743964</v>
      </c>
      <c r="HF35" s="233">
        <f t="shared" si="281"/>
        <v>382.05673252374112</v>
      </c>
      <c r="HG35" s="233">
        <f t="shared" si="282"/>
        <v>913.18700997187182</v>
      </c>
      <c r="HH35" s="233">
        <f t="shared" si="283"/>
        <v>1616.685491664269</v>
      </c>
      <c r="HI35" s="233">
        <f t="shared" si="284"/>
        <v>728.97642110100503</v>
      </c>
      <c r="HJ35" s="233">
        <f t="shared" si="285"/>
        <v>506.20314908416793</v>
      </c>
      <c r="HK35" s="233">
        <f t="shared" si="286"/>
        <v>241.78452907732489</v>
      </c>
      <c r="HL35" s="233">
        <f t="shared" si="287"/>
        <v>276.60362736275374</v>
      </c>
      <c r="HM35" s="233">
        <f t="shared" si="288"/>
        <v>278.23064522075038</v>
      </c>
      <c r="HN35" s="242">
        <f t="shared" si="354"/>
        <v>6137.7250095482686</v>
      </c>
      <c r="HO35" s="235">
        <f t="shared" si="289"/>
        <v>170.57807438564171</v>
      </c>
      <c r="HP35" s="233">
        <f t="shared" si="290"/>
        <v>610.31854438970709</v>
      </c>
      <c r="HQ35" s="233">
        <f t="shared" si="291"/>
        <v>2607.179761967474</v>
      </c>
      <c r="HR35" s="233">
        <f t="shared" si="292"/>
        <v>4460.0009895167495</v>
      </c>
      <c r="HS35" s="233">
        <f t="shared" si="293"/>
        <v>1515.6668195674395</v>
      </c>
      <c r="HT35" s="233">
        <f t="shared" si="294"/>
        <v>675.40141894266719</v>
      </c>
      <c r="HU35" s="233">
        <f t="shared" si="295"/>
        <v>216.22209575397414</v>
      </c>
      <c r="HV35" s="233">
        <f t="shared" si="296"/>
        <v>152.05580073169915</v>
      </c>
      <c r="HW35" s="233">
        <f t="shared" si="297"/>
        <v>172.04973512386093</v>
      </c>
      <c r="HX35" s="233">
        <f t="shared" si="298"/>
        <v>252.41595314467881</v>
      </c>
      <c r="HY35" s="233">
        <f t="shared" si="299"/>
        <v>302.09626931849306</v>
      </c>
      <c r="HZ35" s="233">
        <f t="shared" si="300"/>
        <v>413.05747067155693</v>
      </c>
      <c r="IA35" s="242">
        <f t="shared" si="355"/>
        <v>11547.042933513942</v>
      </c>
      <c r="IB35" s="235">
        <f t="shared" si="301"/>
        <v>118.38252694630343</v>
      </c>
      <c r="IC35" s="233">
        <f t="shared" si="302"/>
        <v>539.18955617984682</v>
      </c>
      <c r="ID35" s="233">
        <f t="shared" si="303"/>
        <v>4777.2383290910802</v>
      </c>
      <c r="IE35" s="233">
        <f t="shared" si="304"/>
        <v>4734.849354690069</v>
      </c>
      <c r="IF35" s="233">
        <f t="shared" si="305"/>
        <v>1111.9682399827345</v>
      </c>
      <c r="IG35" s="233">
        <f t="shared" si="306"/>
        <v>408.85328610021418</v>
      </c>
      <c r="IH35" s="233">
        <f t="shared" si="307"/>
        <v>249.84532128471264</v>
      </c>
      <c r="II35" s="233">
        <f t="shared" si="308"/>
        <v>311.06980187047782</v>
      </c>
      <c r="IJ35" s="233">
        <f t="shared" si="309"/>
        <v>108.57833796738232</v>
      </c>
      <c r="IK35" s="233">
        <f t="shared" si="310"/>
        <v>72.951700907136683</v>
      </c>
      <c r="IL35" s="233">
        <f t="shared" si="311"/>
        <v>144.34520023323682</v>
      </c>
      <c r="IM35" s="233">
        <f t="shared" si="312"/>
        <v>158.26741874501951</v>
      </c>
      <c r="IN35" s="242">
        <f t="shared" si="356"/>
        <v>12735.539073998214</v>
      </c>
      <c r="IO35" s="235">
        <f t="shared" si="313"/>
        <v>175.59951877594568</v>
      </c>
      <c r="IP35" s="233">
        <f t="shared" si="314"/>
        <v>163.4371116261386</v>
      </c>
      <c r="IQ35" s="233">
        <f t="shared" si="315"/>
        <v>2264.7147244755015</v>
      </c>
      <c r="IR35" s="233">
        <f t="shared" si="316"/>
        <v>4479.8467914954299</v>
      </c>
      <c r="IS35" s="233">
        <f t="shared" si="317"/>
        <v>941.58918477577333</v>
      </c>
      <c r="IT35" s="233">
        <f t="shared" si="318"/>
        <v>270.72140182738156</v>
      </c>
      <c r="IU35" s="233">
        <f t="shared" si="319"/>
        <v>1275.4372012382271</v>
      </c>
      <c r="IV35" s="233">
        <f t="shared" si="320"/>
        <v>588.55521581240259</v>
      </c>
      <c r="IW35" s="233">
        <f t="shared" si="321"/>
        <v>282.4182698644625</v>
      </c>
      <c r="IX35" s="233">
        <f t="shared" si="322"/>
        <v>382.05570192438813</v>
      </c>
      <c r="IY35" s="233">
        <f t="shared" si="323"/>
        <v>337.08319386348199</v>
      </c>
      <c r="IZ35" s="233">
        <f t="shared" si="324"/>
        <v>776.78667849051681</v>
      </c>
      <c r="JA35" s="242">
        <f t="shared" si="357"/>
        <v>11938.244994169647</v>
      </c>
      <c r="JB35" s="235">
        <f t="shared" si="325"/>
        <v>468.18243011767254</v>
      </c>
      <c r="JC35" s="233">
        <f t="shared" si="326"/>
        <v>452.61876317795378</v>
      </c>
      <c r="JD35" s="233">
        <f t="shared" si="327"/>
        <v>2250.4715067461807</v>
      </c>
      <c r="JE35" s="233">
        <f t="shared" si="328"/>
        <v>6349.1473508298686</v>
      </c>
      <c r="JF35" s="233">
        <f t="shared" si="329"/>
        <v>1275.8590064478617</v>
      </c>
      <c r="JG35" s="233">
        <f t="shared" si="330"/>
        <v>1540.7340045540745</v>
      </c>
      <c r="JH35" s="233">
        <f t="shared" si="331"/>
        <v>981.40763737224609</v>
      </c>
      <c r="JI35" s="233">
        <f t="shared" si="332"/>
        <v>584.14791068077523</v>
      </c>
      <c r="JJ35" s="233">
        <f t="shared" si="333"/>
        <v>423.59269909057508</v>
      </c>
      <c r="JK35" s="233">
        <f t="shared" si="334"/>
        <v>230.8955675351836</v>
      </c>
      <c r="JL35" s="233">
        <f t="shared" si="335"/>
        <v>329.83478002942093</v>
      </c>
      <c r="JM35" s="233">
        <f t="shared" si="336"/>
        <v>857.97246574114888</v>
      </c>
      <c r="JN35" s="242">
        <f t="shared" si="358"/>
        <v>15744.864122322961</v>
      </c>
      <c r="JO35" s="235">
        <v>485.7633882923285</v>
      </c>
      <c r="JP35" s="233">
        <v>497.58087734979352</v>
      </c>
      <c r="JQ35" s="233">
        <v>3152.5367358351164</v>
      </c>
      <c r="JR35" s="233">
        <v>8027.1430706302745</v>
      </c>
      <c r="JS35" s="233">
        <f t="shared" si="337"/>
        <v>1150.211134453107</v>
      </c>
      <c r="JT35" s="233">
        <f t="shared" si="359"/>
        <v>1642.4109653320195</v>
      </c>
      <c r="JU35" s="233">
        <f t="shared" si="360"/>
        <v>1660.1823370817731</v>
      </c>
      <c r="JV35" s="233">
        <f t="shared" si="361"/>
        <v>451.29047647020548</v>
      </c>
      <c r="JW35" s="233">
        <f t="shared" si="362"/>
        <v>842.65950702708381</v>
      </c>
      <c r="JX35" s="233">
        <f t="shared" si="376"/>
        <v>327.07018172474687</v>
      </c>
      <c r="JY35" s="233">
        <f t="shared" si="363"/>
        <v>768.64175680026631</v>
      </c>
      <c r="JZ35" s="233">
        <f t="shared" si="377"/>
        <v>490.99968642477643</v>
      </c>
      <c r="KA35" s="242">
        <f t="shared" si="381"/>
        <v>19496.490117421494</v>
      </c>
      <c r="KB35" s="1324">
        <f t="shared" si="364"/>
        <v>224.24736234028444</v>
      </c>
      <c r="KC35">
        <f t="shared" si="365"/>
        <v>963.11823344741379</v>
      </c>
      <c r="KD35">
        <f t="shared" si="366"/>
        <v>2607.0073251402132</v>
      </c>
      <c r="KE35">
        <f t="shared" si="378"/>
        <v>5106.4346223814537</v>
      </c>
      <c r="KF35">
        <f t="shared" si="367"/>
        <v>2531.1228992779465</v>
      </c>
      <c r="KG35">
        <f t="shared" si="368"/>
        <v>1968.7940385710854</v>
      </c>
      <c r="KH35">
        <f t="shared" si="369"/>
        <v>1157.0670305631122</v>
      </c>
      <c r="KI35">
        <f t="shared" si="370"/>
        <v>1765.8705096697631</v>
      </c>
      <c r="KN35" s="1330">
        <f t="shared" si="371"/>
        <v>16323.662021391274</v>
      </c>
      <c r="KP35" s="1614">
        <f t="shared" si="372"/>
        <v>291.2935463388506</v>
      </c>
      <c r="KQ35" s="22">
        <f t="shared" si="373"/>
        <v>-4.3560776993902151</v>
      </c>
      <c r="KR35" s="53">
        <f t="shared" si="374"/>
        <v>17067.11898544462</v>
      </c>
      <c r="KS35" s="53">
        <f t="shared" si="375"/>
        <v>16323.662021391274</v>
      </c>
    </row>
    <row r="36" spans="1:305" ht="13.9" customHeight="1" x14ac:dyDescent="0.2">
      <c r="A36" s="238" t="s">
        <v>450</v>
      </c>
      <c r="B36" s="111">
        <v>1579</v>
      </c>
      <c r="C36" s="5">
        <v>1123</v>
      </c>
      <c r="D36" s="5">
        <v>482</v>
      </c>
      <c r="E36" s="5">
        <v>1314</v>
      </c>
      <c r="F36" s="5">
        <v>1246</v>
      </c>
      <c r="G36" s="5">
        <v>1155</v>
      </c>
      <c r="H36" s="5">
        <v>1445</v>
      </c>
      <c r="I36" s="5">
        <v>443</v>
      </c>
      <c r="J36" s="5">
        <v>806</v>
      </c>
      <c r="K36" s="5">
        <v>220</v>
      </c>
      <c r="L36" s="5">
        <v>767</v>
      </c>
      <c r="M36" s="5">
        <v>1096</v>
      </c>
      <c r="N36" s="242">
        <f>SUM(B36:M36)</f>
        <v>11676</v>
      </c>
      <c r="O36" s="111">
        <f t="shared" si="338"/>
        <v>18.302169504450266</v>
      </c>
      <c r="P36" s="5">
        <f t="shared" si="100"/>
        <v>1.1835071958698729</v>
      </c>
      <c r="Q36" s="5">
        <f t="shared" si="101"/>
        <v>4.7034563174162853</v>
      </c>
      <c r="R36" s="5">
        <f t="shared" si="102"/>
        <v>2.3489094673473256</v>
      </c>
      <c r="S36" s="5">
        <f t="shared" si="103"/>
        <v>6.4511145862430297</v>
      </c>
      <c r="T36" s="5">
        <f t="shared" si="104"/>
        <v>16.378435015759468</v>
      </c>
      <c r="U36" s="5">
        <f t="shared" si="105"/>
        <v>2.9217987397886871</v>
      </c>
      <c r="V36" s="5">
        <f t="shared" si="106"/>
        <v>4.6833079379502225</v>
      </c>
      <c r="W36" s="5">
        <f t="shared" si="107"/>
        <v>1.7578225169966255</v>
      </c>
      <c r="X36" s="5">
        <f t="shared" si="108"/>
        <v>6.4363383552902205</v>
      </c>
      <c r="Y36" s="5">
        <f t="shared" si="109"/>
        <v>1.7541371100112344</v>
      </c>
      <c r="Z36" s="5">
        <f t="shared" si="110"/>
        <v>34.353744104980024</v>
      </c>
      <c r="AA36" s="242">
        <f t="shared" si="339"/>
        <v>101.27474085210326</v>
      </c>
      <c r="AB36" s="111">
        <f t="shared" si="111"/>
        <v>1.7381099977222376</v>
      </c>
      <c r="AC36" s="5">
        <f t="shared" si="112"/>
        <v>2.3048035772878999</v>
      </c>
      <c r="AD36" s="5">
        <f t="shared" si="113"/>
        <v>4.0149375475351627</v>
      </c>
      <c r="AE36" s="5">
        <f t="shared" si="114"/>
        <v>27.961956852796881</v>
      </c>
      <c r="AF36" s="5">
        <f t="shared" si="115"/>
        <v>6.3106202748191063</v>
      </c>
      <c r="AG36" s="5">
        <f t="shared" si="116"/>
        <v>21.828701898206401</v>
      </c>
      <c r="AH36" s="5">
        <f t="shared" si="117"/>
        <v>4.0279241364911087</v>
      </c>
      <c r="AI36" s="5">
        <f t="shared" si="118"/>
        <v>4.0222929263941563</v>
      </c>
      <c r="AJ36" s="5">
        <f t="shared" si="119"/>
        <v>1.7233228287488713</v>
      </c>
      <c r="AK36" s="5">
        <f t="shared" si="120"/>
        <v>3.4452675504775514</v>
      </c>
      <c r="AL36" s="5">
        <f t="shared" si="121"/>
        <v>0</v>
      </c>
      <c r="AM36" s="5">
        <f t="shared" si="122"/>
        <v>1.1513017382649731</v>
      </c>
      <c r="AN36" s="242">
        <f t="shared" si="340"/>
        <v>78.529239328744367</v>
      </c>
      <c r="AO36" s="111">
        <f t="shared" si="123"/>
        <v>0.57559330142934784</v>
      </c>
      <c r="AP36" s="5">
        <f t="shared" si="124"/>
        <v>2.2964089904411975</v>
      </c>
      <c r="AQ36" s="5">
        <f t="shared" si="125"/>
        <v>0.57209830405222106</v>
      </c>
      <c r="AR36" s="5">
        <f t="shared" si="126"/>
        <v>0</v>
      </c>
      <c r="AS36" s="5">
        <f t="shared" si="127"/>
        <v>0.56828577702381466</v>
      </c>
      <c r="AT36" s="5">
        <f t="shared" si="128"/>
        <v>2.2625093140226005</v>
      </c>
      <c r="AU36" s="5">
        <f t="shared" si="129"/>
        <v>1.1258505745149761</v>
      </c>
      <c r="AV36" s="5">
        <f t="shared" si="130"/>
        <v>0.56213829492482204</v>
      </c>
      <c r="AW36" s="5">
        <f t="shared" si="131"/>
        <v>0.55873004237241031</v>
      </c>
      <c r="AX36" s="5">
        <f t="shared" si="132"/>
        <v>0.55700333037081462</v>
      </c>
      <c r="AY36" s="5">
        <f t="shared" si="133"/>
        <v>0.55639130165658557</v>
      </c>
      <c r="AZ36" s="5">
        <f t="shared" si="134"/>
        <v>0</v>
      </c>
      <c r="BA36" s="242">
        <f t="shared" si="341"/>
        <v>9.6350092308087909</v>
      </c>
      <c r="BB36" s="111">
        <f t="shared" si="135"/>
        <v>0</v>
      </c>
      <c r="BC36" s="5">
        <f t="shared" si="136"/>
        <v>0.54768979597005141</v>
      </c>
      <c r="BD36" s="5">
        <f t="shared" si="137"/>
        <v>0.54206135667300648</v>
      </c>
      <c r="BE36" s="5">
        <f t="shared" si="138"/>
        <v>0</v>
      </c>
      <c r="BF36" s="5">
        <f t="shared" si="139"/>
        <v>0</v>
      </c>
      <c r="BG36" s="5">
        <f t="shared" si="140"/>
        <v>0.53513423842370855</v>
      </c>
      <c r="BH36" s="5">
        <f t="shared" si="141"/>
        <v>0.53215266395623573</v>
      </c>
      <c r="BI36" s="5">
        <f t="shared" si="142"/>
        <v>0.52903335026240061</v>
      </c>
      <c r="BJ36" s="5">
        <f t="shared" si="143"/>
        <v>0.52603339259976223</v>
      </c>
      <c r="BK36" s="5">
        <f t="shared" si="144"/>
        <v>0.52284574481990576</v>
      </c>
      <c r="BL36" s="5">
        <f t="shared" si="145"/>
        <v>1.0424593701460485</v>
      </c>
      <c r="BM36" s="5">
        <f t="shared" si="146"/>
        <v>1.0387182242350241</v>
      </c>
      <c r="BN36" s="242">
        <f t="shared" si="342"/>
        <v>5.8161281370861442</v>
      </c>
      <c r="BO36" s="111">
        <f t="shared" si="147"/>
        <v>1.5563653344846029</v>
      </c>
      <c r="BP36" s="5">
        <f t="shared" si="148"/>
        <v>0.51915185112398765</v>
      </c>
      <c r="BQ36" s="5">
        <f t="shared" si="149"/>
        <v>0.517289608533268</v>
      </c>
      <c r="BR36" s="5">
        <f t="shared" si="150"/>
        <v>0</v>
      </c>
      <c r="BS36" s="5">
        <f t="shared" si="379"/>
        <v>0.5173931285504284</v>
      </c>
      <c r="BT36" s="5">
        <f t="shared" si="380"/>
        <v>0.51915826665706244</v>
      </c>
      <c r="BU36" s="5">
        <f t="shared" si="151"/>
        <v>4.1453999015467522</v>
      </c>
      <c r="BV36" s="5">
        <f t="shared" si="152"/>
        <v>2.5963236057742236</v>
      </c>
      <c r="BW36" s="5">
        <f t="shared" si="153"/>
        <v>2.5986597505728053</v>
      </c>
      <c r="BX36" s="5">
        <f t="shared" si="154"/>
        <v>0.51910901929141129</v>
      </c>
      <c r="BY36" s="5">
        <f t="shared" si="155"/>
        <v>0.51968066802624013</v>
      </c>
      <c r="BZ36" s="5">
        <f t="shared" si="156"/>
        <v>0.51802198485303719</v>
      </c>
      <c r="CA36" s="242">
        <f t="shared" si="343"/>
        <v>14.526553119413819</v>
      </c>
      <c r="CB36" s="111">
        <f t="shared" si="157"/>
        <v>0.51647290324913109</v>
      </c>
      <c r="CC36" s="5">
        <f t="shared" si="158"/>
        <v>1.5444810543657332</v>
      </c>
      <c r="CD36" s="5">
        <f t="shared" si="159"/>
        <v>0.51338919007721373</v>
      </c>
      <c r="CE36" s="5">
        <f t="shared" si="160"/>
        <v>1.0264674635475741</v>
      </c>
      <c r="CF36" s="5">
        <f t="shared" si="161"/>
        <v>0.51200655368388714</v>
      </c>
      <c r="CG36" s="5">
        <f t="shared" si="162"/>
        <v>0</v>
      </c>
      <c r="CH36" s="5">
        <f t="shared" si="163"/>
        <v>1.0177961659618429</v>
      </c>
      <c r="CI36" s="5">
        <f t="shared" si="164"/>
        <v>0</v>
      </c>
      <c r="CJ36" s="5">
        <f t="shared" si="165"/>
        <v>0.50767915489697157</v>
      </c>
      <c r="CK36" s="5">
        <f t="shared" si="166"/>
        <v>0.50839073488389119</v>
      </c>
      <c r="CL36" s="5">
        <f t="shared" si="167"/>
        <v>0.50833930632018265</v>
      </c>
      <c r="CM36" s="5">
        <f t="shared" si="168"/>
        <v>0.50742643965760892</v>
      </c>
      <c r="CN36" s="242">
        <f t="shared" si="344"/>
        <v>7.1624489666440363</v>
      </c>
      <c r="CO36" s="111">
        <f t="shared" si="169"/>
        <v>0.50545537991542722</v>
      </c>
      <c r="CP36" s="5">
        <f t="shared" si="170"/>
        <v>0</v>
      </c>
      <c r="CQ36" s="5">
        <f t="shared" si="171"/>
        <v>0</v>
      </c>
      <c r="CR36" s="5">
        <f t="shared" si="172"/>
        <v>0.49666489522854035</v>
      </c>
      <c r="CS36" s="5">
        <f t="shared" si="173"/>
        <v>0.49676358524214737</v>
      </c>
      <c r="CT36" s="5">
        <f t="shared" si="174"/>
        <v>0</v>
      </c>
      <c r="CU36" s="5">
        <f t="shared" si="175"/>
        <v>0</v>
      </c>
      <c r="CV36" s="5">
        <f t="shared" si="176"/>
        <v>0.49105060276461493</v>
      </c>
      <c r="CW36" s="5">
        <f t="shared" si="177"/>
        <v>0.48943553399863937</v>
      </c>
      <c r="CX36" s="5">
        <f t="shared" si="178"/>
        <v>0</v>
      </c>
      <c r="CY36" s="5">
        <f t="shared" si="179"/>
        <v>0</v>
      </c>
      <c r="CZ36" s="5">
        <f t="shared" si="180"/>
        <v>0.48452664169739373</v>
      </c>
      <c r="DA36" s="242">
        <f t="shared" si="345"/>
        <v>2.9638966388467631</v>
      </c>
      <c r="DB36" s="111">
        <f t="shared" si="181"/>
        <v>0</v>
      </c>
      <c r="DC36" s="5">
        <f t="shared" si="182"/>
        <v>0</v>
      </c>
      <c r="DD36" s="5">
        <f t="shared" si="183"/>
        <v>0</v>
      </c>
      <c r="DE36" s="5">
        <f t="shared" si="184"/>
        <v>0</v>
      </c>
      <c r="DF36" s="5">
        <f t="shared" si="185"/>
        <v>0.47705371624844956</v>
      </c>
      <c r="DG36" s="5">
        <f t="shared" si="186"/>
        <v>0</v>
      </c>
      <c r="DH36" s="5">
        <f t="shared" si="187"/>
        <v>0.4768035092738282</v>
      </c>
      <c r="DI36" s="5">
        <f t="shared" si="188"/>
        <v>0</v>
      </c>
      <c r="DJ36" s="5">
        <f t="shared" si="189"/>
        <v>1.4155617420846507</v>
      </c>
      <c r="DK36" s="5">
        <f t="shared" si="190"/>
        <v>0</v>
      </c>
      <c r="DL36" s="5">
        <f t="shared" si="191"/>
        <v>0</v>
      </c>
      <c r="DM36" s="5">
        <f t="shared" si="192"/>
        <v>0</v>
      </c>
      <c r="DN36" s="242">
        <f t="shared" si="346"/>
        <v>2.3694189676069284</v>
      </c>
      <c r="DO36" s="111">
        <f t="shared" si="193"/>
        <v>0.42432814710042432</v>
      </c>
      <c r="DP36" s="5">
        <f t="shared" si="194"/>
        <v>0.14156953423623236</v>
      </c>
      <c r="DQ36" s="5">
        <f t="shared" si="195"/>
        <v>9.3527871305649102E-2</v>
      </c>
      <c r="DR36" s="5">
        <f t="shared" si="196"/>
        <v>0.13993842709207946</v>
      </c>
      <c r="DS36" s="5">
        <f t="shared" si="197"/>
        <v>0.12570885828421377</v>
      </c>
      <c r="DT36" s="5">
        <f t="shared" si="198"/>
        <v>0.7430110522894029</v>
      </c>
      <c r="DU36" s="5">
        <f t="shared" si="199"/>
        <v>0.18473617365200326</v>
      </c>
      <c r="DV36" s="5">
        <f t="shared" si="200"/>
        <v>2.1589938170091965</v>
      </c>
      <c r="DW36" s="5">
        <f t="shared" si="201"/>
        <v>4.5885662107161371E-2</v>
      </c>
      <c r="DX36" s="5">
        <f t="shared" si="202"/>
        <v>9.1734282477376028E-2</v>
      </c>
      <c r="DY36" s="5">
        <f t="shared" si="203"/>
        <v>0.36774676957447106</v>
      </c>
      <c r="DZ36" s="5">
        <f t="shared" si="204"/>
        <v>0.32123206263107412</v>
      </c>
      <c r="EA36" s="242">
        <f t="shared" si="347"/>
        <v>4.8384126577592843</v>
      </c>
      <c r="EB36" s="111">
        <f t="shared" si="205"/>
        <v>9.1487123187411368E-2</v>
      </c>
      <c r="EC36" s="5">
        <f t="shared" si="206"/>
        <v>0.50018188432157151</v>
      </c>
      <c r="ED36" s="5">
        <f t="shared" si="207"/>
        <v>0</v>
      </c>
      <c r="EE36" s="5">
        <f t="shared" si="208"/>
        <v>0</v>
      </c>
      <c r="EF36" s="5">
        <f t="shared" si="209"/>
        <v>8.9911886351375647E-2</v>
      </c>
      <c r="EG36" s="5">
        <f t="shared" si="210"/>
        <v>0.67327977018717178</v>
      </c>
      <c r="EH36" s="5">
        <f t="shared" si="211"/>
        <v>0.49162011173184367</v>
      </c>
      <c r="EI36" s="5">
        <f t="shared" si="212"/>
        <v>0.17893088794453144</v>
      </c>
      <c r="EJ36" s="5">
        <f t="shared" si="213"/>
        <v>4.4660801214773796E-2</v>
      </c>
      <c r="EK36" s="5">
        <f t="shared" si="214"/>
        <v>0.13347570742124934</v>
      </c>
      <c r="EL36" s="5">
        <f t="shared" si="215"/>
        <v>0.20186257909277247</v>
      </c>
      <c r="EM36" s="5">
        <f t="shared" si="216"/>
        <v>2.8016359918200406E-2</v>
      </c>
      <c r="EN36" s="242">
        <f t="shared" si="348"/>
        <v>2.4334271113709018</v>
      </c>
      <c r="EO36" s="111">
        <f t="shared" si="217"/>
        <v>2.4409728386295047E-2</v>
      </c>
      <c r="EP36" s="5">
        <f t="shared" si="218"/>
        <v>2.4337360060179655E-2</v>
      </c>
      <c r="EQ36" s="5">
        <f t="shared" si="219"/>
        <v>2.4153528610952529E-2</v>
      </c>
      <c r="ER36" s="5">
        <f t="shared" si="220"/>
        <v>1.3123359580052494</v>
      </c>
      <c r="ES36" s="5">
        <f t="shared" si="221"/>
        <v>0</v>
      </c>
      <c r="ET36" s="5">
        <f t="shared" si="222"/>
        <v>0</v>
      </c>
      <c r="EU36" s="5">
        <f t="shared" si="223"/>
        <v>0</v>
      </c>
      <c r="EV36" s="5">
        <f t="shared" si="224"/>
        <v>0</v>
      </c>
      <c r="EW36" s="5">
        <f t="shared" si="225"/>
        <v>0</v>
      </c>
      <c r="EX36" s="5">
        <f t="shared" si="226"/>
        <v>0</v>
      </c>
      <c r="EY36" s="5">
        <f t="shared" si="227"/>
        <v>0</v>
      </c>
      <c r="EZ36" s="5">
        <f t="shared" si="228"/>
        <v>0.45249892531505231</v>
      </c>
      <c r="FA36" s="242">
        <f t="shared" si="349"/>
        <v>1.8377355003777289</v>
      </c>
      <c r="FB36" s="111">
        <f t="shared" si="229"/>
        <v>0</v>
      </c>
      <c r="FC36" s="5">
        <f t="shared" si="230"/>
        <v>24.828600147021319</v>
      </c>
      <c r="FD36" s="5">
        <f t="shared" si="231"/>
        <v>13.346854168841432</v>
      </c>
      <c r="FE36" s="5">
        <f t="shared" si="232"/>
        <v>0.59644963355625646</v>
      </c>
      <c r="FF36" s="5">
        <f t="shared" si="233"/>
        <v>5.9519823821321491</v>
      </c>
      <c r="FG36" s="5">
        <f t="shared" si="234"/>
        <v>0</v>
      </c>
      <c r="FH36" s="5">
        <f t="shared" si="235"/>
        <v>0</v>
      </c>
      <c r="FI36" s="5">
        <f t="shared" si="236"/>
        <v>0</v>
      </c>
      <c r="FJ36" s="5">
        <f t="shared" si="237"/>
        <v>0</v>
      </c>
      <c r="FK36" s="5">
        <f t="shared" si="238"/>
        <v>0</v>
      </c>
      <c r="FL36" s="5">
        <f t="shared" si="239"/>
        <v>0</v>
      </c>
      <c r="FM36" s="5">
        <f t="shared" si="240"/>
        <v>0</v>
      </c>
      <c r="FN36" s="242">
        <f t="shared" si="350"/>
        <v>44.723886331551157</v>
      </c>
      <c r="FO36" s="111">
        <f t="shared" si="241"/>
        <v>0</v>
      </c>
      <c r="FP36" s="5">
        <f t="shared" si="242"/>
        <v>0</v>
      </c>
      <c r="FQ36" s="5">
        <f t="shared" si="243"/>
        <v>0</v>
      </c>
      <c r="FR36" s="5">
        <f t="shared" si="244"/>
        <v>0</v>
      </c>
      <c r="FS36" s="5">
        <f t="shared" si="245"/>
        <v>0</v>
      </c>
      <c r="FT36" s="5">
        <f t="shared" si="246"/>
        <v>0</v>
      </c>
      <c r="FU36" s="5">
        <f t="shared" si="247"/>
        <v>0</v>
      </c>
      <c r="FV36" s="5">
        <f t="shared" si="248"/>
        <v>0</v>
      </c>
      <c r="FW36" s="5">
        <f t="shared" si="249"/>
        <v>9.7533688566326493</v>
      </c>
      <c r="FX36" s="5">
        <f t="shared" si="250"/>
        <v>0</v>
      </c>
      <c r="FY36" s="5">
        <f t="shared" si="251"/>
        <v>0</v>
      </c>
      <c r="FZ36" s="5">
        <f t="shared" si="252"/>
        <v>0</v>
      </c>
      <c r="GA36" s="242">
        <f t="shared" si="351"/>
        <v>9.7533688566326493</v>
      </c>
      <c r="GB36" s="111">
        <f t="shared" si="253"/>
        <v>0.71989954703974202</v>
      </c>
      <c r="GC36" s="5">
        <f t="shared" si="254"/>
        <v>0</v>
      </c>
      <c r="GD36" s="5">
        <f t="shared" si="255"/>
        <v>0</v>
      </c>
      <c r="GE36" s="5">
        <f t="shared" si="256"/>
        <v>0</v>
      </c>
      <c r="GF36" s="5">
        <f t="shared" si="257"/>
        <v>0</v>
      </c>
      <c r="GG36" s="5">
        <f t="shared" si="258"/>
        <v>0</v>
      </c>
      <c r="GH36" s="5">
        <f t="shared" si="259"/>
        <v>0</v>
      </c>
      <c r="GI36" s="5">
        <f t="shared" si="260"/>
        <v>0</v>
      </c>
      <c r="GJ36" s="5">
        <f t="shared" si="261"/>
        <v>0</v>
      </c>
      <c r="GK36" s="5">
        <f t="shared" si="262"/>
        <v>0</v>
      </c>
      <c r="GL36" s="5">
        <f t="shared" si="263"/>
        <v>0</v>
      </c>
      <c r="GM36" s="5">
        <f t="shared" si="264"/>
        <v>0</v>
      </c>
      <c r="GN36" s="242">
        <f t="shared" si="352"/>
        <v>0.71989954703974202</v>
      </c>
      <c r="GO36" s="111">
        <f t="shared" si="265"/>
        <v>8.8825394470526877</v>
      </c>
      <c r="GP36" s="5">
        <f t="shared" si="266"/>
        <v>0</v>
      </c>
      <c r="GQ36" s="5">
        <f t="shared" si="267"/>
        <v>11.602501618111711</v>
      </c>
      <c r="GR36" s="5">
        <f t="shared" si="268"/>
        <v>0</v>
      </c>
      <c r="GS36" s="5">
        <f t="shared" si="269"/>
        <v>0</v>
      </c>
      <c r="GT36" s="5">
        <f t="shared" si="270"/>
        <v>0</v>
      </c>
      <c r="GU36" s="5">
        <f t="shared" si="271"/>
        <v>0</v>
      </c>
      <c r="GV36" s="5">
        <f t="shared" si="272"/>
        <v>0</v>
      </c>
      <c r="GW36" s="5">
        <f t="shared" si="273"/>
        <v>0</v>
      </c>
      <c r="GX36" s="5">
        <f t="shared" si="274"/>
        <v>0</v>
      </c>
      <c r="GY36" s="5">
        <f t="shared" si="275"/>
        <v>0</v>
      </c>
      <c r="GZ36" s="5">
        <f t="shared" si="276"/>
        <v>0</v>
      </c>
      <c r="HA36" s="242">
        <f t="shared" si="353"/>
        <v>20.485041065164399</v>
      </c>
      <c r="HB36" s="111">
        <f t="shared" si="277"/>
        <v>0</v>
      </c>
      <c r="HC36" s="5">
        <f t="shared" si="278"/>
        <v>0</v>
      </c>
      <c r="HD36" s="5">
        <f t="shared" si="279"/>
        <v>0</v>
      </c>
      <c r="HE36" s="5">
        <f t="shared" si="280"/>
        <v>0</v>
      </c>
      <c r="HF36" s="5">
        <f t="shared" si="281"/>
        <v>0</v>
      </c>
      <c r="HG36" s="5">
        <f t="shared" si="282"/>
        <v>0</v>
      </c>
      <c r="HH36" s="5">
        <f t="shared" si="283"/>
        <v>0</v>
      </c>
      <c r="HI36" s="5">
        <f t="shared" si="284"/>
        <v>0</v>
      </c>
      <c r="HJ36" s="5">
        <f t="shared" si="285"/>
        <v>3.8928196839985931</v>
      </c>
      <c r="HK36" s="5">
        <f t="shared" si="286"/>
        <v>0</v>
      </c>
      <c r="HL36" s="5">
        <f t="shared" si="287"/>
        <v>0</v>
      </c>
      <c r="HM36" s="5">
        <f t="shared" si="288"/>
        <v>0</v>
      </c>
      <c r="HN36" s="242">
        <f t="shared" si="354"/>
        <v>3.8928196839985931</v>
      </c>
      <c r="HO36" s="111">
        <f t="shared" si="289"/>
        <v>0</v>
      </c>
      <c r="HP36" s="5">
        <f t="shared" si="290"/>
        <v>10.932287062265873</v>
      </c>
      <c r="HQ36" s="5">
        <f t="shared" si="291"/>
        <v>0</v>
      </c>
      <c r="HR36" s="5">
        <f t="shared" si="292"/>
        <v>0</v>
      </c>
      <c r="HS36" s="5">
        <f t="shared" si="293"/>
        <v>0</v>
      </c>
      <c r="HT36" s="5">
        <f t="shared" si="294"/>
        <v>0</v>
      </c>
      <c r="HU36" s="5">
        <f t="shared" si="295"/>
        <v>0.17437012678236097</v>
      </c>
      <c r="HV36" s="5">
        <f t="shared" si="296"/>
        <v>0</v>
      </c>
      <c r="HW36" s="5">
        <f t="shared" si="297"/>
        <v>0</v>
      </c>
      <c r="HX36" s="5">
        <f t="shared" si="298"/>
        <v>0</v>
      </c>
      <c r="HY36" s="5">
        <f t="shared" si="299"/>
        <v>0</v>
      </c>
      <c r="HZ36" s="5">
        <f t="shared" si="300"/>
        <v>0</v>
      </c>
      <c r="IA36" s="242">
        <f t="shared" si="355"/>
        <v>11.106657189048233</v>
      </c>
      <c r="IB36" s="111">
        <f t="shared" si="301"/>
        <v>7.9426331052864985</v>
      </c>
      <c r="IC36" s="5">
        <f t="shared" si="302"/>
        <v>34.383227380417637</v>
      </c>
      <c r="ID36" s="5">
        <f t="shared" si="303"/>
        <v>0</v>
      </c>
      <c r="IE36" s="5">
        <f t="shared" si="304"/>
        <v>0</v>
      </c>
      <c r="IF36" s="5">
        <f t="shared" si="305"/>
        <v>0.60516748466764059</v>
      </c>
      <c r="IG36" s="5">
        <f t="shared" si="306"/>
        <v>34.959385519554168</v>
      </c>
      <c r="IH36" s="5">
        <f t="shared" si="307"/>
        <v>0</v>
      </c>
      <c r="II36" s="5">
        <f t="shared" si="308"/>
        <v>0</v>
      </c>
      <c r="IJ36" s="5">
        <f t="shared" si="309"/>
        <v>0</v>
      </c>
      <c r="IK36" s="5">
        <f t="shared" si="310"/>
        <v>3.8624608777063196E-2</v>
      </c>
      <c r="IL36" s="5">
        <f t="shared" si="311"/>
        <v>6.2827897495980098E-2</v>
      </c>
      <c r="IM36" s="5">
        <f t="shared" si="312"/>
        <v>8.9647279353233713E-3</v>
      </c>
      <c r="IN36" s="242">
        <f t="shared" si="356"/>
        <v>78.000830724134318</v>
      </c>
      <c r="IO36" s="111">
        <f t="shared" si="313"/>
        <v>0</v>
      </c>
      <c r="IP36" s="5">
        <f t="shared" si="314"/>
        <v>0</v>
      </c>
      <c r="IQ36" s="5">
        <f t="shared" si="315"/>
        <v>0.10865747351694112</v>
      </c>
      <c r="IR36" s="5">
        <f t="shared" si="316"/>
        <v>0</v>
      </c>
      <c r="IS36" s="5">
        <f t="shared" si="317"/>
        <v>0</v>
      </c>
      <c r="IT36" s="5">
        <f t="shared" si="318"/>
        <v>0</v>
      </c>
      <c r="IU36" s="5">
        <f t="shared" si="319"/>
        <v>0</v>
      </c>
      <c r="IV36" s="5">
        <f t="shared" si="320"/>
        <v>0.17501644447083425</v>
      </c>
      <c r="IW36" s="5">
        <f t="shared" si="321"/>
        <v>0.23571090648027479</v>
      </c>
      <c r="IX36" s="5">
        <f t="shared" si="322"/>
        <v>0</v>
      </c>
      <c r="IY36" s="5">
        <f t="shared" si="323"/>
        <v>0</v>
      </c>
      <c r="IZ36" s="5">
        <f t="shared" si="324"/>
        <v>0</v>
      </c>
      <c r="JA36" s="242">
        <f t="shared" si="357"/>
        <v>0.51938482446805012</v>
      </c>
      <c r="JB36" s="111">
        <f t="shared" si="325"/>
        <v>0</v>
      </c>
      <c r="JC36" s="5">
        <f t="shared" si="326"/>
        <v>0</v>
      </c>
      <c r="JD36" s="5">
        <f t="shared" si="327"/>
        <v>0</v>
      </c>
      <c r="JE36" s="5">
        <f t="shared" si="328"/>
        <v>0</v>
      </c>
      <c r="JF36" s="5">
        <f t="shared" si="329"/>
        <v>0</v>
      </c>
      <c r="JG36" s="5">
        <f t="shared" si="330"/>
        <v>0.96521411542718172</v>
      </c>
      <c r="JH36" s="5">
        <f t="shared" si="331"/>
        <v>0</v>
      </c>
      <c r="JI36" s="5">
        <f t="shared" si="332"/>
        <v>0</v>
      </c>
      <c r="JJ36" s="5">
        <f t="shared" si="333"/>
        <v>0</v>
      </c>
      <c r="JK36" s="5">
        <f t="shared" si="334"/>
        <v>0</v>
      </c>
      <c r="JL36" s="5">
        <f t="shared" si="335"/>
        <v>0</v>
      </c>
      <c r="JM36" s="5">
        <f t="shared" si="336"/>
        <v>0</v>
      </c>
      <c r="JN36" s="242">
        <f t="shared" si="358"/>
        <v>0.96521411542718172</v>
      </c>
      <c r="JO36" s="111">
        <v>0</v>
      </c>
      <c r="JP36" s="5">
        <v>9.4877754951020153E-3</v>
      </c>
      <c r="JQ36" s="5">
        <v>2.9341866250454072E-2</v>
      </c>
      <c r="JR36" s="5">
        <v>0</v>
      </c>
      <c r="JS36" s="5">
        <f t="shared" si="337"/>
        <v>0</v>
      </c>
      <c r="JT36" s="5">
        <f t="shared" si="359"/>
        <v>0</v>
      </c>
      <c r="JU36" s="5">
        <f t="shared" si="360"/>
        <v>0.16836765659896832</v>
      </c>
      <c r="JV36" s="5">
        <f t="shared" si="361"/>
        <v>3.3163381287836602E-3</v>
      </c>
      <c r="JW36" s="5">
        <f>+JW13/$JW$26</f>
        <v>3.3104890463868694E-3</v>
      </c>
      <c r="JX36" s="5">
        <f t="shared" si="376"/>
        <v>0</v>
      </c>
      <c r="JY36" s="5">
        <f t="shared" si="363"/>
        <v>0</v>
      </c>
      <c r="JZ36" s="5">
        <f t="shared" si="377"/>
        <v>0</v>
      </c>
      <c r="KA36" s="242">
        <f t="shared" si="381"/>
        <v>0.21382412551969493</v>
      </c>
      <c r="KB36" s="1324">
        <f t="shared" si="364"/>
        <v>314.18750138445876</v>
      </c>
      <c r="KC36">
        <f t="shared" si="365"/>
        <v>139.7065791832182</v>
      </c>
      <c r="KD36">
        <f t="shared" si="366"/>
        <v>0</v>
      </c>
      <c r="KE36">
        <f t="shared" si="378"/>
        <v>0</v>
      </c>
      <c r="KF36">
        <f t="shared" si="367"/>
        <v>0</v>
      </c>
      <c r="KG36">
        <f>+KG13/$KG$26</f>
        <v>0</v>
      </c>
      <c r="KH36">
        <f t="shared" si="369"/>
        <v>0</v>
      </c>
      <c r="KI36">
        <f t="shared" si="370"/>
        <v>5.1776312366394336E-2</v>
      </c>
      <c r="KN36" s="1330">
        <f t="shared" si="371"/>
        <v>453.94585688004332</v>
      </c>
      <c r="KP36" s="1614">
        <f t="shared" si="372"/>
        <v>1461.2494973600426</v>
      </c>
      <c r="KQ36" s="22">
        <f t="shared" si="373"/>
        <v>215537.26915030566</v>
      </c>
      <c r="KR36" s="53">
        <f t="shared" si="374"/>
        <v>0.21051363647330806</v>
      </c>
      <c r="KS36" s="53">
        <f t="shared" si="375"/>
        <v>453.94585688004332</v>
      </c>
    </row>
    <row r="37" spans="1:305" ht="13.9" customHeight="1" x14ac:dyDescent="0.2">
      <c r="A37" s="238" t="s">
        <v>451</v>
      </c>
      <c r="B37" s="241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2"/>
      <c r="O37" s="241">
        <f t="shared" si="338"/>
        <v>914.5180826578536</v>
      </c>
      <c r="P37" s="240">
        <f t="shared" si="100"/>
        <v>570.45046840927864</v>
      </c>
      <c r="Q37" s="240">
        <f t="shared" si="101"/>
        <v>484.4560006938774</v>
      </c>
      <c r="R37" s="240">
        <f t="shared" si="102"/>
        <v>636.55446565112516</v>
      </c>
      <c r="S37" s="240">
        <f t="shared" si="103"/>
        <v>561.83343396552937</v>
      </c>
      <c r="T37" s="240">
        <f t="shared" si="104"/>
        <v>573.24522555158137</v>
      </c>
      <c r="U37" s="240">
        <f t="shared" si="105"/>
        <v>460.4754813906971</v>
      </c>
      <c r="V37" s="240">
        <f t="shared" si="106"/>
        <v>501.6993628529176</v>
      </c>
      <c r="W37" s="240">
        <f t="shared" si="107"/>
        <v>489.84654140305963</v>
      </c>
      <c r="X37" s="240">
        <f t="shared" si="108"/>
        <v>334.6895944750915</v>
      </c>
      <c r="Y37" s="240">
        <f t="shared" si="109"/>
        <v>487.06540421311939</v>
      </c>
      <c r="Z37" s="240">
        <f t="shared" si="110"/>
        <v>540.92590294112608</v>
      </c>
      <c r="AA37" s="242">
        <f t="shared" si="339"/>
        <v>6555.7599642052564</v>
      </c>
      <c r="AB37" s="241">
        <f t="shared" si="111"/>
        <v>461.7578893948745</v>
      </c>
      <c r="AC37" s="240">
        <f t="shared" si="112"/>
        <v>496.10897001122049</v>
      </c>
      <c r="AD37" s="240">
        <f t="shared" si="113"/>
        <v>501.86719344189538</v>
      </c>
      <c r="AE37" s="240">
        <f t="shared" si="114"/>
        <v>615.16305076153139</v>
      </c>
      <c r="AF37" s="240">
        <f t="shared" si="115"/>
        <v>520.91301904870443</v>
      </c>
      <c r="AG37" s="240">
        <f t="shared" si="116"/>
        <v>825.46959546638413</v>
      </c>
      <c r="AH37" s="240">
        <f t="shared" si="117"/>
        <v>674.96500172915285</v>
      </c>
      <c r="AI37" s="240">
        <f t="shared" si="118"/>
        <v>795.26477287564467</v>
      </c>
      <c r="AJ37" s="240">
        <f t="shared" si="119"/>
        <v>828.91828062820707</v>
      </c>
      <c r="AK37" s="240">
        <f t="shared" si="120"/>
        <v>763.70097368919062</v>
      </c>
      <c r="AL37" s="240">
        <f t="shared" si="121"/>
        <v>591.9466241962366</v>
      </c>
      <c r="AM37" s="240">
        <f t="shared" si="122"/>
        <v>413.31732403712527</v>
      </c>
      <c r="AN37" s="242">
        <f t="shared" si="340"/>
        <v>7489.3926952801667</v>
      </c>
      <c r="AO37" s="241">
        <f t="shared" si="123"/>
        <v>580.773641142212</v>
      </c>
      <c r="AP37" s="240">
        <f t="shared" si="124"/>
        <v>599.9368487527629</v>
      </c>
      <c r="AQ37" s="240">
        <f t="shared" si="125"/>
        <v>586.97285995757875</v>
      </c>
      <c r="AR37" s="240">
        <f t="shared" si="126"/>
        <v>455.14309085732503</v>
      </c>
      <c r="AS37" s="240">
        <f t="shared" si="127"/>
        <v>481.90633891619478</v>
      </c>
      <c r="AT37" s="240">
        <f t="shared" si="128"/>
        <v>688.93408611988184</v>
      </c>
      <c r="AU37" s="240">
        <f t="shared" si="129"/>
        <v>242.62079880797734</v>
      </c>
      <c r="AV37" s="240">
        <f t="shared" si="130"/>
        <v>331.09945571072018</v>
      </c>
      <c r="AW37" s="240">
        <f t="shared" si="131"/>
        <v>601.75225563508582</v>
      </c>
      <c r="AX37" s="240">
        <f t="shared" si="132"/>
        <v>550.31929040636487</v>
      </c>
      <c r="AY37" s="240">
        <f t="shared" si="133"/>
        <v>750.01547463307736</v>
      </c>
      <c r="AZ37" s="240">
        <f t="shared" si="134"/>
        <v>533.95839699707119</v>
      </c>
      <c r="BA37" s="242">
        <f t="shared" si="341"/>
        <v>6403.4325379362517</v>
      </c>
      <c r="BB37" s="241">
        <f t="shared" si="135"/>
        <v>1066.6779089728354</v>
      </c>
      <c r="BC37" s="240">
        <f t="shared" si="136"/>
        <v>776.62413068553292</v>
      </c>
      <c r="BD37" s="240">
        <f t="shared" si="137"/>
        <v>772.43743325903426</v>
      </c>
      <c r="BE37" s="240">
        <f t="shared" si="138"/>
        <v>887.1063769904415</v>
      </c>
      <c r="BF37" s="240">
        <f t="shared" si="139"/>
        <v>944.77488796975865</v>
      </c>
      <c r="BG37" s="240">
        <f t="shared" si="140"/>
        <v>1056.8901208868244</v>
      </c>
      <c r="BH37" s="240">
        <f t="shared" si="141"/>
        <v>1093.0415717661083</v>
      </c>
      <c r="BI37" s="240">
        <f t="shared" si="142"/>
        <v>1180.2734044354156</v>
      </c>
      <c r="BJ37" s="240">
        <f t="shared" si="143"/>
        <v>1181.9970331716659</v>
      </c>
      <c r="BK37" s="240">
        <f t="shared" si="144"/>
        <v>1170.651622651769</v>
      </c>
      <c r="BL37" s="240">
        <f t="shared" si="145"/>
        <v>1219.6774630708769</v>
      </c>
      <c r="BM37" s="240">
        <f t="shared" si="146"/>
        <v>1145.1868422191139</v>
      </c>
      <c r="BN37" s="242">
        <f t="shared" si="342"/>
        <v>12495.338796079377</v>
      </c>
      <c r="BO37" s="241">
        <f t="shared" si="147"/>
        <v>908.91735533900805</v>
      </c>
      <c r="BP37" s="240">
        <f t="shared" si="148"/>
        <v>1213.7770279278832</v>
      </c>
      <c r="BQ37" s="240">
        <f t="shared" si="149"/>
        <v>834.38813856416118</v>
      </c>
      <c r="BR37" s="240">
        <f t="shared" si="150"/>
        <v>843.53064538868239</v>
      </c>
      <c r="BS37" s="240">
        <f t="shared" si="379"/>
        <v>941.65549396177971</v>
      </c>
      <c r="BT37" s="240">
        <f t="shared" si="380"/>
        <v>1063.2361301136639</v>
      </c>
      <c r="BU37" s="240">
        <f t="shared" si="151"/>
        <v>964.32365209731324</v>
      </c>
      <c r="BV37" s="240">
        <f t="shared" si="152"/>
        <v>1069.1660608578254</v>
      </c>
      <c r="BW37" s="240">
        <f t="shared" si="153"/>
        <v>874.70887204280621</v>
      </c>
      <c r="BX37" s="240">
        <f t="shared" si="154"/>
        <v>909.47900179855253</v>
      </c>
      <c r="BY37" s="240">
        <f t="shared" si="155"/>
        <v>1543.4515840379331</v>
      </c>
      <c r="BZ37" s="240">
        <f t="shared" si="156"/>
        <v>979.06155137224027</v>
      </c>
      <c r="CA37" s="242">
        <f t="shared" si="343"/>
        <v>12145.695513501849</v>
      </c>
      <c r="CB37" s="241">
        <f t="shared" si="157"/>
        <v>998.34212198057025</v>
      </c>
      <c r="CC37" s="240">
        <f t="shared" si="158"/>
        <v>1081.6515650741351</v>
      </c>
      <c r="CD37" s="240">
        <f t="shared" si="159"/>
        <v>1073.496796451454</v>
      </c>
      <c r="CE37" s="240">
        <f t="shared" si="160"/>
        <v>1080.3570053838218</v>
      </c>
      <c r="CF37" s="240">
        <f t="shared" si="161"/>
        <v>933.38794736572629</v>
      </c>
      <c r="CG37" s="240">
        <f t="shared" si="162"/>
        <v>1082.2378165251944</v>
      </c>
      <c r="CH37" s="240">
        <f t="shared" si="163"/>
        <v>1090.0596937451337</v>
      </c>
      <c r="CI37" s="240">
        <f t="shared" si="164"/>
        <v>1349.8882912617298</v>
      </c>
      <c r="CJ37" s="240">
        <f t="shared" si="165"/>
        <v>1199.6458430215439</v>
      </c>
      <c r="CK37" s="240">
        <f t="shared" si="166"/>
        <v>928.32148189798534</v>
      </c>
      <c r="CL37" s="240">
        <f t="shared" si="167"/>
        <v>812.83455080597196</v>
      </c>
      <c r="CM37" s="240">
        <f t="shared" si="168"/>
        <v>650.52069564105466</v>
      </c>
      <c r="CN37" s="242">
        <f t="shared" si="344"/>
        <v>12280.743809154321</v>
      </c>
      <c r="CO37" s="241">
        <f t="shared" si="169"/>
        <v>1045.2817256651035</v>
      </c>
      <c r="CP37" s="240">
        <f t="shared" si="170"/>
        <v>1412.9400331330912</v>
      </c>
      <c r="CQ37" s="240">
        <f t="shared" si="171"/>
        <v>1491.6267882770035</v>
      </c>
      <c r="CR37" s="240">
        <f t="shared" si="172"/>
        <v>975.94651912408176</v>
      </c>
      <c r="CS37" s="240">
        <f t="shared" si="173"/>
        <v>1038.7326567413302</v>
      </c>
      <c r="CT37" s="240">
        <f t="shared" si="174"/>
        <v>1199.9761791329204</v>
      </c>
      <c r="CU37" s="240">
        <f t="shared" si="175"/>
        <v>1309.2330720447474</v>
      </c>
      <c r="CV37" s="240">
        <f t="shared" si="176"/>
        <v>1178.0303960323113</v>
      </c>
      <c r="CW37" s="240">
        <f t="shared" si="177"/>
        <v>1442.3665186939902</v>
      </c>
      <c r="CX37" s="240">
        <f t="shared" si="178"/>
        <v>1320.3220297633568</v>
      </c>
      <c r="CY37" s="240">
        <f t="shared" si="179"/>
        <v>1342.3633952125772</v>
      </c>
      <c r="CZ37" s="240">
        <f t="shared" si="180"/>
        <v>1454.5489783755759</v>
      </c>
      <c r="DA37" s="242">
        <f t="shared" si="345"/>
        <v>15211.368292196088</v>
      </c>
      <c r="DB37" s="241">
        <f t="shared" si="181"/>
        <v>1234.352340904351</v>
      </c>
      <c r="DC37" s="240">
        <f t="shared" si="182"/>
        <v>1451.846838135757</v>
      </c>
      <c r="DD37" s="240">
        <f t="shared" si="183"/>
        <v>1422.5194666871369</v>
      </c>
      <c r="DE37" s="240">
        <f t="shared" si="184"/>
        <v>1707.5498711463204</v>
      </c>
      <c r="DF37" s="240">
        <f t="shared" si="185"/>
        <v>1574.7543173361321</v>
      </c>
      <c r="DG37" s="240">
        <f t="shared" si="186"/>
        <v>1523.3368330628996</v>
      </c>
      <c r="DH37" s="240">
        <f t="shared" si="187"/>
        <v>1929.1469985219089</v>
      </c>
      <c r="DI37" s="240">
        <f t="shared" si="188"/>
        <v>1810.246679316888</v>
      </c>
      <c r="DJ37" s="240">
        <f t="shared" si="189"/>
        <v>1921.3891379228992</v>
      </c>
      <c r="DK37" s="240">
        <f t="shared" si="190"/>
        <v>1491.0207939508507</v>
      </c>
      <c r="DL37" s="240">
        <f t="shared" si="191"/>
        <v>2893.0430667297683</v>
      </c>
      <c r="DM37" s="240">
        <f t="shared" si="192"/>
        <v>2486.1930611281568</v>
      </c>
      <c r="DN37" s="242">
        <f t="shared" si="346"/>
        <v>21445.399404843069</v>
      </c>
      <c r="DO37" s="241">
        <f t="shared" si="193"/>
        <v>1764.3092880716642</v>
      </c>
      <c r="DP37" s="240">
        <f t="shared" si="194"/>
        <v>2037.2327875041292</v>
      </c>
      <c r="DQ37" s="240">
        <f t="shared" si="195"/>
        <v>1887.7665544332212</v>
      </c>
      <c r="DR37" s="240">
        <f t="shared" si="196"/>
        <v>1675.3894952887395</v>
      </c>
      <c r="DS37" s="240">
        <f t="shared" si="197"/>
        <v>1618.576044547495</v>
      </c>
      <c r="DT37" s="240">
        <f t="shared" si="198"/>
        <v>1974.3196805052476</v>
      </c>
      <c r="DU37" s="240">
        <f t="shared" si="199"/>
        <v>1496.9633991455951</v>
      </c>
      <c r="DV37" s="240">
        <f t="shared" si="200"/>
        <v>1575.927678300734</v>
      </c>
      <c r="DW37" s="240">
        <f t="shared" si="201"/>
        <v>2069.9939889782636</v>
      </c>
      <c r="DX37" s="240">
        <f t="shared" si="202"/>
        <v>1819.916430068663</v>
      </c>
      <c r="DY37" s="240">
        <f t="shared" si="203"/>
        <v>1939.3125893509732</v>
      </c>
      <c r="DZ37" s="240">
        <f t="shared" si="204"/>
        <v>2166.6184818572719</v>
      </c>
      <c r="EA37" s="242">
        <f t="shared" si="347"/>
        <v>22026.326418051998</v>
      </c>
      <c r="EB37" s="241">
        <f t="shared" si="205"/>
        <v>2080.6916426512962</v>
      </c>
      <c r="EC37" s="240">
        <f t="shared" si="206"/>
        <v>2063.7049836304113</v>
      </c>
      <c r="ED37" s="240">
        <f t="shared" si="207"/>
        <v>1546.8651044965168</v>
      </c>
      <c r="EE37" s="240">
        <f t="shared" si="208"/>
        <v>1788.3566890460957</v>
      </c>
      <c r="EF37" s="240">
        <f t="shared" si="209"/>
        <v>1767.4429059521667</v>
      </c>
      <c r="EG37" s="240">
        <f t="shared" si="210"/>
        <v>1827.2364109699718</v>
      </c>
      <c r="EH37" s="240">
        <f t="shared" si="211"/>
        <v>1902.3910614525144</v>
      </c>
      <c r="EI37" s="240">
        <f t="shared" si="212"/>
        <v>1784.164616416909</v>
      </c>
      <c r="EJ37" s="240">
        <f t="shared" si="213"/>
        <v>1245.0091554642488</v>
      </c>
      <c r="EK37" s="240">
        <f t="shared" si="214"/>
        <v>2092.4541733404521</v>
      </c>
      <c r="EL37" s="240">
        <f t="shared" si="215"/>
        <v>1254.5619151590763</v>
      </c>
      <c r="EM37" s="240">
        <f t="shared" si="216"/>
        <v>1335.9879879078856</v>
      </c>
      <c r="EN37" s="242">
        <f t="shared" si="348"/>
        <v>20688.866646487546</v>
      </c>
      <c r="EO37" s="241">
        <f t="shared" si="217"/>
        <v>898.45701668737786</v>
      </c>
      <c r="EP37" s="240">
        <f t="shared" si="218"/>
        <v>1959.0247356077703</v>
      </c>
      <c r="EQ37" s="240">
        <f t="shared" si="219"/>
        <v>1700.408414211058</v>
      </c>
      <c r="ER37" s="240">
        <f t="shared" si="220"/>
        <v>2177.6027996500438</v>
      </c>
      <c r="ES37" s="240">
        <f t="shared" si="221"/>
        <v>1270.3149469288323</v>
      </c>
      <c r="ET37" s="240">
        <f t="shared" si="222"/>
        <v>1186.883141662764</v>
      </c>
      <c r="EU37" s="240">
        <f t="shared" si="223"/>
        <v>3127.6034700194905</v>
      </c>
      <c r="EV37" s="240">
        <f t="shared" si="224"/>
        <v>2617.0316449913198</v>
      </c>
      <c r="EW37" s="240">
        <f t="shared" si="225"/>
        <v>2600.6302712906859</v>
      </c>
      <c r="EX37" s="240">
        <f t="shared" si="226"/>
        <v>2840.6154033263401</v>
      </c>
      <c r="EY37" s="240">
        <f t="shared" si="227"/>
        <v>2415.2217835868555</v>
      </c>
      <c r="EZ37" s="240">
        <f t="shared" si="228"/>
        <v>4143.9097415476963</v>
      </c>
      <c r="FA37" s="242">
        <f t="shared" si="349"/>
        <v>26937.703369510236</v>
      </c>
      <c r="FB37" s="241">
        <f t="shared" si="229"/>
        <v>2294.7222890117814</v>
      </c>
      <c r="FC37" s="240">
        <f t="shared" si="230"/>
        <v>2285.3563766746179</v>
      </c>
      <c r="FD37" s="240">
        <f t="shared" si="231"/>
        <v>2871.8851126653444</v>
      </c>
      <c r="FE37" s="240">
        <f t="shared" si="232"/>
        <v>2492.1902376106227</v>
      </c>
      <c r="FF37" s="240">
        <f t="shared" si="233"/>
        <v>2861.787529108914</v>
      </c>
      <c r="FG37" s="240">
        <f t="shared" si="234"/>
        <v>2257.4054399429401</v>
      </c>
      <c r="FH37" s="240">
        <f t="shared" si="235"/>
        <v>2169.8526409561632</v>
      </c>
      <c r="FI37" s="240">
        <f t="shared" si="236"/>
        <v>2333.6785265182334</v>
      </c>
      <c r="FJ37" s="240">
        <f t="shared" si="237"/>
        <v>1858.1425218123031</v>
      </c>
      <c r="FK37" s="240">
        <f t="shared" si="238"/>
        <v>3264.7450176065399</v>
      </c>
      <c r="FL37" s="240">
        <f t="shared" si="239"/>
        <v>4110.7136574209817</v>
      </c>
      <c r="FM37" s="240">
        <f t="shared" si="240"/>
        <v>2676.2569954848982</v>
      </c>
      <c r="FN37" s="242">
        <f t="shared" si="350"/>
        <v>31476.736344813344</v>
      </c>
      <c r="FO37" s="241">
        <f t="shared" si="241"/>
        <v>3635.66128773633</v>
      </c>
      <c r="FP37" s="240">
        <f t="shared" si="242"/>
        <v>2921.1499480532689</v>
      </c>
      <c r="FQ37" s="240">
        <f t="shared" si="243"/>
        <v>2336.3527479541854</v>
      </c>
      <c r="FR37" s="240">
        <f t="shared" si="244"/>
        <v>3394.5983259987925</v>
      </c>
      <c r="FS37" s="240">
        <f t="shared" si="245"/>
        <v>3075.5177493428837</v>
      </c>
      <c r="FT37" s="240">
        <f t="shared" si="246"/>
        <v>2677.4529516425337</v>
      </c>
      <c r="FU37" s="240">
        <f t="shared" si="247"/>
        <v>2828.0845104988489</v>
      </c>
      <c r="FV37" s="240">
        <f t="shared" si="248"/>
        <v>3335.9862906637413</v>
      </c>
      <c r="FW37" s="240">
        <f t="shared" si="249"/>
        <v>4254.6920158635676</v>
      </c>
      <c r="FX37" s="240">
        <f t="shared" si="250"/>
        <v>3497.4492736914917</v>
      </c>
      <c r="FY37" s="240">
        <f t="shared" si="251"/>
        <v>4241.7561234389505</v>
      </c>
      <c r="FZ37" s="240">
        <f t="shared" si="252"/>
        <v>3745.6770745037779</v>
      </c>
      <c r="GA37" s="242">
        <f t="shared" si="351"/>
        <v>39944.378299388372</v>
      </c>
      <c r="GB37" s="241">
        <f t="shared" si="253"/>
        <v>3732.679151401062</v>
      </c>
      <c r="GC37" s="240">
        <f t="shared" si="254"/>
        <v>3780.8190674955022</v>
      </c>
      <c r="GD37" s="240">
        <f t="shared" si="255"/>
        <v>2408.9972729889619</v>
      </c>
      <c r="GE37" s="240">
        <f t="shared" si="256"/>
        <v>3516.2662215208611</v>
      </c>
      <c r="GF37" s="240">
        <f t="shared" si="257"/>
        <v>3289.8350097359948</v>
      </c>
      <c r="GG37" s="240">
        <f t="shared" si="258"/>
        <v>3212.1247107057293</v>
      </c>
      <c r="GH37" s="240">
        <f t="shared" si="259"/>
        <v>2907.7027146144342</v>
      </c>
      <c r="GI37" s="240">
        <f t="shared" si="260"/>
        <v>3611.285494356352</v>
      </c>
      <c r="GJ37" s="240">
        <f t="shared" si="261"/>
        <v>3929.4029123906157</v>
      </c>
      <c r="GK37" s="240">
        <f t="shared" si="262"/>
        <v>4525.5777729920337</v>
      </c>
      <c r="GL37" s="240">
        <f t="shared" si="263"/>
        <v>4171.9493213979104</v>
      </c>
      <c r="GM37" s="240">
        <f t="shared" si="264"/>
        <v>4746.949086432739</v>
      </c>
      <c r="GN37" s="242">
        <f t="shared" si="352"/>
        <v>43833.588736032187</v>
      </c>
      <c r="GO37" s="241">
        <f t="shared" si="265"/>
        <v>4728.6833213488344</v>
      </c>
      <c r="GP37" s="240">
        <f t="shared" si="266"/>
        <v>4624.7895637492675</v>
      </c>
      <c r="GQ37" s="240">
        <f t="shared" si="267"/>
        <v>3261.0019005700001</v>
      </c>
      <c r="GR37" s="240">
        <f t="shared" si="268"/>
        <v>3724.5026296651072</v>
      </c>
      <c r="GS37" s="240">
        <f t="shared" si="269"/>
        <v>3277.8966314228564</v>
      </c>
      <c r="GT37" s="240">
        <f t="shared" si="270"/>
        <v>3123.0183850366357</v>
      </c>
      <c r="GU37" s="240">
        <f t="shared" si="271"/>
        <v>2889.2771957268851</v>
      </c>
      <c r="GV37" s="240">
        <f t="shared" si="272"/>
        <v>3400.4857453718696</v>
      </c>
      <c r="GW37" s="240">
        <f t="shared" si="273"/>
        <v>4576.1699621956104</v>
      </c>
      <c r="GX37" s="240">
        <f t="shared" si="274"/>
        <v>4286.4697243344581</v>
      </c>
      <c r="GY37" s="240">
        <f t="shared" si="275"/>
        <v>3761.4636427778742</v>
      </c>
      <c r="GZ37" s="240">
        <f t="shared" si="276"/>
        <v>3748.3198368431736</v>
      </c>
      <c r="HA37" s="242">
        <f t="shared" si="353"/>
        <v>45402.078539042574</v>
      </c>
      <c r="HB37" s="241">
        <f t="shared" si="277"/>
        <v>4974.4812334836606</v>
      </c>
      <c r="HC37" s="240">
        <f t="shared" si="278"/>
        <v>5187.1832324468705</v>
      </c>
      <c r="HD37" s="240">
        <f t="shared" si="279"/>
        <v>3608.9931868812396</v>
      </c>
      <c r="HE37" s="240">
        <f t="shared" si="280"/>
        <v>3000.84359317188</v>
      </c>
      <c r="HF37" s="240">
        <f t="shared" si="281"/>
        <v>4651.0718742239878</v>
      </c>
      <c r="HG37" s="240">
        <f t="shared" si="282"/>
        <v>3159.7807850680106</v>
      </c>
      <c r="HH37" s="240">
        <f t="shared" si="283"/>
        <v>4065.9998771550372</v>
      </c>
      <c r="HI37" s="240">
        <f t="shared" si="284"/>
        <v>3503.2449755584835</v>
      </c>
      <c r="HJ37" s="240">
        <f t="shared" si="285"/>
        <v>4710.8581782957008</v>
      </c>
      <c r="HK37" s="240">
        <f t="shared" si="286"/>
        <v>4578.1330430885282</v>
      </c>
      <c r="HL37" s="240">
        <f t="shared" si="287"/>
        <v>4516.0025428120325</v>
      </c>
      <c r="HM37" s="240">
        <f t="shared" si="288"/>
        <v>4101.6275595597781</v>
      </c>
      <c r="HN37" s="242">
        <f t="shared" si="354"/>
        <v>50058.22008174521</v>
      </c>
      <c r="HO37" s="241">
        <f t="shared" si="289"/>
        <v>4597.3857543328913</v>
      </c>
      <c r="HP37" s="240">
        <f t="shared" si="290"/>
        <v>4967.6447377443064</v>
      </c>
      <c r="HQ37" s="240">
        <f t="shared" si="291"/>
        <v>4479.7664325538299</v>
      </c>
      <c r="HR37" s="240">
        <f t="shared" si="292"/>
        <v>4774.4431506304882</v>
      </c>
      <c r="HS37" s="240">
        <f t="shared" si="293"/>
        <v>4392.3405791546211</v>
      </c>
      <c r="HT37" s="240">
        <f t="shared" si="294"/>
        <v>5495.0393581806584</v>
      </c>
      <c r="HU37" s="240">
        <f t="shared" si="295"/>
        <v>5704.5585775890331</v>
      </c>
      <c r="HV37" s="240">
        <f t="shared" si="296"/>
        <v>4882.4186913670746</v>
      </c>
      <c r="HW37" s="240">
        <f t="shared" si="297"/>
        <v>4919.0682615209107</v>
      </c>
      <c r="HX37" s="240">
        <f t="shared" si="298"/>
        <v>5684.1973102615657</v>
      </c>
      <c r="HY37" s="240">
        <f t="shared" si="299"/>
        <v>5860.607093540696</v>
      </c>
      <c r="HZ37" s="240">
        <f t="shared" si="300"/>
        <v>5599.8387890785798</v>
      </c>
      <c r="IA37" s="242">
        <f t="shared" si="355"/>
        <v>61357.308735954663</v>
      </c>
      <c r="IB37" s="241">
        <f t="shared" si="301"/>
        <v>5299.1341643990845</v>
      </c>
      <c r="IC37" s="240">
        <f t="shared" si="302"/>
        <v>4687.6543603854116</v>
      </c>
      <c r="ID37" s="240">
        <f t="shared" si="303"/>
        <v>5852.452395164154</v>
      </c>
      <c r="IE37" s="240">
        <f t="shared" si="304"/>
        <v>6101.2250943566096</v>
      </c>
      <c r="IF37" s="240">
        <f t="shared" si="305"/>
        <v>5094.9891525346275</v>
      </c>
      <c r="IG37" s="240">
        <f t="shared" si="306"/>
        <v>5778.4521734739519</v>
      </c>
      <c r="IH37" s="240">
        <f t="shared" si="307"/>
        <v>5967.1449871930927</v>
      </c>
      <c r="II37" s="240">
        <f t="shared" si="308"/>
        <v>4685.8748603358872</v>
      </c>
      <c r="IJ37" s="240">
        <f t="shared" si="309"/>
        <v>6515.4184137338407</v>
      </c>
      <c r="IK37" s="240">
        <f t="shared" si="310"/>
        <v>5966.6657596743353</v>
      </c>
      <c r="IL37" s="240">
        <f t="shared" si="311"/>
        <v>6964.6491405205488</v>
      </c>
      <c r="IM37" s="240">
        <f t="shared" si="312"/>
        <v>6342.2906430273006</v>
      </c>
      <c r="IN37" s="242">
        <f t="shared" si="356"/>
        <v>69255.951144798833</v>
      </c>
      <c r="IO37" s="241">
        <f t="shared" si="313"/>
        <v>4854.7727515629231</v>
      </c>
      <c r="IP37" s="240">
        <f t="shared" si="314"/>
        <v>5160.710140745935</v>
      </c>
      <c r="IQ37" s="240">
        <f t="shared" si="315"/>
        <v>5127.6440305667957</v>
      </c>
      <c r="IR37" s="240">
        <f t="shared" si="316"/>
        <v>4788.1399344884603</v>
      </c>
      <c r="IS37" s="240">
        <f t="shared" si="317"/>
        <v>5142.4273326400416</v>
      </c>
      <c r="IT37" s="240">
        <f t="shared" si="318"/>
        <v>4660.3195738253689</v>
      </c>
      <c r="IU37" s="240">
        <f t="shared" si="319"/>
        <v>3775.7476963044951</v>
      </c>
      <c r="IV37" s="240">
        <f t="shared" si="320"/>
        <v>4206.9492375533646</v>
      </c>
      <c r="IW37" s="240">
        <f t="shared" si="321"/>
        <v>4735.3166068103083</v>
      </c>
      <c r="IX37" s="240">
        <f t="shared" si="322"/>
        <v>5440.1185652717286</v>
      </c>
      <c r="IY37" s="240">
        <f t="shared" si="323"/>
        <v>4891.8033228780369</v>
      </c>
      <c r="IZ37" s="240">
        <f t="shared" si="324"/>
        <v>5235.1884274595559</v>
      </c>
      <c r="JA37" s="242">
        <f t="shared" si="357"/>
        <v>58019.137620107031</v>
      </c>
      <c r="JB37" s="241">
        <f t="shared" si="325"/>
        <v>4946.0591351798075</v>
      </c>
      <c r="JC37" s="240">
        <f t="shared" si="326"/>
        <v>5002.5554034523293</v>
      </c>
      <c r="JD37" s="240">
        <f t="shared" si="327"/>
        <v>4141.4373821653744</v>
      </c>
      <c r="JE37" s="240">
        <f t="shared" si="328"/>
        <v>3608.5057031275173</v>
      </c>
      <c r="JF37" s="240">
        <f t="shared" si="329"/>
        <v>3941.9905231333564</v>
      </c>
      <c r="JG37" s="240">
        <f t="shared" si="330"/>
        <v>4294.9026641522332</v>
      </c>
      <c r="JH37" s="240">
        <f t="shared" si="331"/>
        <v>5452.7428641623428</v>
      </c>
      <c r="JI37" s="240">
        <f t="shared" si="332"/>
        <v>4820.4134804169262</v>
      </c>
      <c r="JJ37" s="240">
        <f t="shared" si="333"/>
        <v>5114.4822674387842</v>
      </c>
      <c r="JK37" s="240">
        <f t="shared" si="334"/>
        <v>5082.9114103743277</v>
      </c>
      <c r="JL37" s="240">
        <f t="shared" si="335"/>
        <v>5501.4576550338406</v>
      </c>
      <c r="JM37" s="240">
        <f t="shared" si="336"/>
        <v>5915.7306261621188</v>
      </c>
      <c r="JN37" s="242">
        <f t="shared" si="358"/>
        <v>57823.189114798952</v>
      </c>
      <c r="JO37" s="241">
        <v>5521.4726970849933</v>
      </c>
      <c r="JP37" s="240">
        <v>4987.1828359633955</v>
      </c>
      <c r="JQ37" s="240">
        <v>4773.6769056395415</v>
      </c>
      <c r="JR37" s="240">
        <v>5149.7763788741458</v>
      </c>
      <c r="JS37" s="240">
        <f t="shared" si="337"/>
        <v>6371.6678843129948</v>
      </c>
      <c r="JT37" s="240">
        <f t="shared" si="359"/>
        <v>4855.8316661765793</v>
      </c>
      <c r="JU37" s="240">
        <f t="shared" si="360"/>
        <v>4253.1804019698366</v>
      </c>
      <c r="JV37" s="240">
        <f t="shared" si="361"/>
        <v>4904.5427663447172</v>
      </c>
      <c r="JW37" s="240">
        <f>+JW14/$JW$26</f>
        <v>4952.3177630624832</v>
      </c>
      <c r="JX37" s="240">
        <f t="shared" si="376"/>
        <v>4426.0120086500765</v>
      </c>
      <c r="JY37" s="240">
        <f>+JY14/$JY$26</f>
        <v>4857.216931209342</v>
      </c>
      <c r="JZ37" s="240">
        <f t="shared" si="377"/>
        <v>4322.6483795460954</v>
      </c>
      <c r="KA37" s="242">
        <f t="shared" si="381"/>
        <v>59375.526618834207</v>
      </c>
      <c r="KB37" s="1324">
        <f t="shared" si="364"/>
        <v>4059.6149771797695</v>
      </c>
      <c r="KC37">
        <f t="shared" si="365"/>
        <v>4686.1429323245575</v>
      </c>
      <c r="KD37">
        <f t="shared" si="366"/>
        <v>4473.7310601390309</v>
      </c>
      <c r="KE37">
        <f t="shared" si="378"/>
        <v>4839.5624250859273</v>
      </c>
      <c r="KF37">
        <f t="shared" si="367"/>
        <v>5092.1047771266549</v>
      </c>
      <c r="KG37">
        <f t="shared" si="368"/>
        <v>4331.4635106162686</v>
      </c>
      <c r="KH37">
        <f t="shared" si="369"/>
        <v>4431.6681814336798</v>
      </c>
      <c r="KI37">
        <f t="shared" si="370"/>
        <v>5271.3546198160975</v>
      </c>
      <c r="KN37" s="1330">
        <f t="shared" si="371"/>
        <v>37185.642483721982</v>
      </c>
      <c r="KP37" s="1614">
        <f t="shared" si="372"/>
        <v>7.4790224277065498</v>
      </c>
      <c r="KQ37" s="22">
        <f t="shared" si="373"/>
        <v>-8.8974191010222636</v>
      </c>
      <c r="KR37" s="53">
        <f t="shared" si="374"/>
        <v>40817.331536366211</v>
      </c>
      <c r="KS37" s="53">
        <f t="shared" si="375"/>
        <v>37185.642483721982</v>
      </c>
    </row>
    <row r="38" spans="1:305" ht="13.9" customHeight="1" x14ac:dyDescent="0.2">
      <c r="A38" s="238" t="s">
        <v>452</v>
      </c>
      <c r="B38" s="111">
        <v>1253</v>
      </c>
      <c r="C38" s="5">
        <v>698</v>
      </c>
      <c r="D38" s="5">
        <v>1140</v>
      </c>
      <c r="E38" s="5">
        <v>838</v>
      </c>
      <c r="F38" s="5">
        <v>418</v>
      </c>
      <c r="G38" s="5">
        <v>584</v>
      </c>
      <c r="H38" s="5">
        <v>1271</v>
      </c>
      <c r="I38" s="5">
        <v>1814</v>
      </c>
      <c r="J38" s="5">
        <v>1170</v>
      </c>
      <c r="K38" s="5">
        <v>1111</v>
      </c>
      <c r="L38" s="5">
        <v>1507</v>
      </c>
      <c r="M38" s="5">
        <v>777</v>
      </c>
      <c r="N38" s="242">
        <f>SUM(B38:M38)</f>
        <v>12581</v>
      </c>
      <c r="O38" s="111">
        <f t="shared" si="338"/>
        <v>861.97314440314153</v>
      </c>
      <c r="P38" s="5">
        <f t="shared" si="100"/>
        <v>569.26696121340876</v>
      </c>
      <c r="Q38" s="5">
        <f t="shared" si="101"/>
        <v>475.04908805904478</v>
      </c>
      <c r="R38" s="5">
        <f t="shared" si="102"/>
        <v>636.55446565112516</v>
      </c>
      <c r="S38" s="5">
        <f t="shared" si="103"/>
        <v>545.41241501872889</v>
      </c>
      <c r="T38" s="5">
        <f t="shared" si="104"/>
        <v>532.88408211988838</v>
      </c>
      <c r="U38" s="5">
        <f t="shared" si="105"/>
        <v>455.21624365907746</v>
      </c>
      <c r="V38" s="5">
        <f t="shared" si="106"/>
        <v>484.13695808560431</v>
      </c>
      <c r="W38" s="5">
        <f t="shared" si="107"/>
        <v>489.26060056406078</v>
      </c>
      <c r="X38" s="5">
        <f t="shared" si="108"/>
        <v>331.17886446311502</v>
      </c>
      <c r="Y38" s="5">
        <f t="shared" si="109"/>
        <v>484.72655473310442</v>
      </c>
      <c r="Z38" s="5">
        <f t="shared" si="110"/>
        <v>539.76136924265222</v>
      </c>
      <c r="AA38" s="242">
        <f t="shared" si="339"/>
        <v>6405.4207472129519</v>
      </c>
      <c r="AB38" s="111">
        <f t="shared" si="111"/>
        <v>424.67820944346676</v>
      </c>
      <c r="AC38" s="5">
        <f t="shared" si="112"/>
        <v>493.22796553961058</v>
      </c>
      <c r="AD38" s="5">
        <f t="shared" si="113"/>
        <v>408.95006734179589</v>
      </c>
      <c r="AE38" s="5">
        <f t="shared" si="114"/>
        <v>523.85870185443946</v>
      </c>
      <c r="AF38" s="5">
        <f t="shared" si="115"/>
        <v>514.02870602162898</v>
      </c>
      <c r="AG38" s="5">
        <f t="shared" si="116"/>
        <v>761.13236881903902</v>
      </c>
      <c r="AH38" s="5">
        <f t="shared" si="117"/>
        <v>672.08791306023068</v>
      </c>
      <c r="AI38" s="5">
        <f t="shared" si="118"/>
        <v>788.94402684845386</v>
      </c>
      <c r="AJ38" s="5">
        <f t="shared" si="119"/>
        <v>827.19495779945828</v>
      </c>
      <c r="AK38" s="5">
        <f t="shared" si="120"/>
        <v>722.93197434187289</v>
      </c>
      <c r="AL38" s="5">
        <f t="shared" si="121"/>
        <v>582.73344716594499</v>
      </c>
      <c r="AM38" s="5">
        <f t="shared" si="122"/>
        <v>398.92605230881315</v>
      </c>
      <c r="AN38" s="242">
        <f t="shared" si="340"/>
        <v>7118.6943905447542</v>
      </c>
      <c r="AO38" s="111">
        <f t="shared" si="123"/>
        <v>568.68618181219563</v>
      </c>
      <c r="AP38" s="5">
        <f t="shared" si="124"/>
        <v>586.73249705772605</v>
      </c>
      <c r="AQ38" s="5">
        <f t="shared" si="125"/>
        <v>520.60945668752117</v>
      </c>
      <c r="AR38" s="5">
        <f t="shared" si="126"/>
        <v>453.42987972486333</v>
      </c>
      <c r="AS38" s="5">
        <f t="shared" si="127"/>
        <v>464.28947982845654</v>
      </c>
      <c r="AT38" s="5">
        <f t="shared" si="128"/>
        <v>681.01530352080283</v>
      </c>
      <c r="AU38" s="5">
        <f t="shared" si="129"/>
        <v>237.55447122265994</v>
      </c>
      <c r="AV38" s="5">
        <f t="shared" si="130"/>
        <v>330.53731741579537</v>
      </c>
      <c r="AW38" s="5">
        <f t="shared" si="131"/>
        <v>601.1935255927134</v>
      </c>
      <c r="AX38" s="5">
        <f t="shared" si="132"/>
        <v>541.40723712043177</v>
      </c>
      <c r="AY38" s="5">
        <f t="shared" si="133"/>
        <v>748.34630072810751</v>
      </c>
      <c r="AZ38" s="5">
        <f t="shared" si="134"/>
        <v>533.40449824499956</v>
      </c>
      <c r="BA38" s="242">
        <f t="shared" si="341"/>
        <v>6267.206148956273</v>
      </c>
      <c r="BB38" s="111">
        <f t="shared" si="135"/>
        <v>1065.5725432640554</v>
      </c>
      <c r="BC38" s="5">
        <f t="shared" si="136"/>
        <v>764.57495517419181</v>
      </c>
      <c r="BD38" s="5">
        <f t="shared" si="137"/>
        <v>743.1661199986919</v>
      </c>
      <c r="BE38" s="5">
        <f t="shared" si="138"/>
        <v>871.95141752995812</v>
      </c>
      <c r="BF38" s="5">
        <f t="shared" si="139"/>
        <v>903.79150241855905</v>
      </c>
      <c r="BG38" s="5">
        <f t="shared" si="140"/>
        <v>1026.9226035350969</v>
      </c>
      <c r="BH38" s="5">
        <f t="shared" si="141"/>
        <v>1066.4339385682965</v>
      </c>
      <c r="BI38" s="5">
        <f t="shared" si="142"/>
        <v>1155.9378703233451</v>
      </c>
      <c r="BJ38" s="5">
        <f t="shared" si="143"/>
        <v>1153.5912299712786</v>
      </c>
      <c r="BK38" s="5">
        <f t="shared" si="144"/>
        <v>1152.8748673278924</v>
      </c>
      <c r="BL38" s="5">
        <f t="shared" si="145"/>
        <v>1199.8707350381019</v>
      </c>
      <c r="BM38" s="5">
        <f t="shared" si="146"/>
        <v>1107.7929861466532</v>
      </c>
      <c r="BN38" s="242">
        <f t="shared" si="342"/>
        <v>12212.48076929612</v>
      </c>
      <c r="BO38" s="111">
        <f t="shared" si="147"/>
        <v>891.27854821484925</v>
      </c>
      <c r="BP38" s="5">
        <f t="shared" si="148"/>
        <v>1171.2065761357162</v>
      </c>
      <c r="BQ38" s="5">
        <f t="shared" si="149"/>
        <v>817.31758148256336</v>
      </c>
      <c r="BR38" s="5">
        <f t="shared" si="150"/>
        <v>823.87757087932005</v>
      </c>
      <c r="BS38" s="5">
        <f t="shared" si="379"/>
        <v>912.1640856344053</v>
      </c>
      <c r="BT38" s="5">
        <f t="shared" si="380"/>
        <v>1046.1039073139809</v>
      </c>
      <c r="BU38" s="5">
        <f t="shared" si="151"/>
        <v>937.37855273725938</v>
      </c>
      <c r="BV38" s="5">
        <f t="shared" si="152"/>
        <v>1006.3350295980891</v>
      </c>
      <c r="BW38" s="5">
        <f t="shared" si="153"/>
        <v>854.95905793845293</v>
      </c>
      <c r="BX38" s="5">
        <f t="shared" si="154"/>
        <v>843.55215634854335</v>
      </c>
      <c r="BY38" s="5">
        <f t="shared" si="155"/>
        <v>1505.5148952720176</v>
      </c>
      <c r="BZ38" s="5">
        <f t="shared" si="156"/>
        <v>973.88133152370983</v>
      </c>
      <c r="CA38" s="242">
        <f t="shared" si="343"/>
        <v>11783.569293078906</v>
      </c>
      <c r="CB38" s="111">
        <f t="shared" si="157"/>
        <v>914.6735116542111</v>
      </c>
      <c r="CC38" s="5">
        <f t="shared" si="158"/>
        <v>1043.5543657331136</v>
      </c>
      <c r="CD38" s="5">
        <f t="shared" si="159"/>
        <v>977.49301790701497</v>
      </c>
      <c r="CE38" s="5">
        <f t="shared" si="160"/>
        <v>1064.9599934306082</v>
      </c>
      <c r="CF38" s="5">
        <f t="shared" si="161"/>
        <v>899.0835082689058</v>
      </c>
      <c r="CG38" s="5">
        <f t="shared" si="162"/>
        <v>1019.4179715829579</v>
      </c>
      <c r="CH38" s="5">
        <f t="shared" si="163"/>
        <v>1067.668178093973</v>
      </c>
      <c r="CI38" s="5">
        <f t="shared" si="164"/>
        <v>1336.1191247093814</v>
      </c>
      <c r="CJ38" s="5">
        <f t="shared" si="165"/>
        <v>1181.8770726001499</v>
      </c>
      <c r="CK38" s="5">
        <f t="shared" si="166"/>
        <v>874.43206400029283</v>
      </c>
      <c r="CL38" s="5">
        <f t="shared" si="167"/>
        <v>806.2261398238096</v>
      </c>
      <c r="CM38" s="5">
        <f t="shared" si="168"/>
        <v>640.87959328756006</v>
      </c>
      <c r="CN38" s="242">
        <f t="shared" si="344"/>
        <v>11826.384541091978</v>
      </c>
      <c r="CO38" s="111">
        <f t="shared" si="169"/>
        <v>1024.0525997086556</v>
      </c>
      <c r="CP38" s="5">
        <f t="shared" si="170"/>
        <v>1374.6708091423161</v>
      </c>
      <c r="CQ38" s="5">
        <f t="shared" si="171"/>
        <v>1375.1168849352196</v>
      </c>
      <c r="CR38" s="5">
        <f t="shared" si="172"/>
        <v>914.8567370109713</v>
      </c>
      <c r="CS38" s="5">
        <f t="shared" si="173"/>
        <v>1021.345931257855</v>
      </c>
      <c r="CT38" s="5">
        <f t="shared" si="174"/>
        <v>1182.1105288232493</v>
      </c>
      <c r="CU38" s="5">
        <f t="shared" si="175"/>
        <v>1302.3397802024658</v>
      </c>
      <c r="CV38" s="5">
        <f t="shared" si="176"/>
        <v>1132.3626899752021</v>
      </c>
      <c r="CW38" s="5">
        <f t="shared" si="177"/>
        <v>1436.003856752008</v>
      </c>
      <c r="CX38" s="5">
        <f t="shared" si="178"/>
        <v>1318.3703342278604</v>
      </c>
      <c r="CY38" s="5">
        <f t="shared" si="179"/>
        <v>1334.5900277412052</v>
      </c>
      <c r="CZ38" s="5">
        <f t="shared" si="180"/>
        <v>1454.0644517338785</v>
      </c>
      <c r="DA38" s="242">
        <f t="shared" si="345"/>
        <v>14869.884631510888</v>
      </c>
      <c r="DB38" s="111">
        <f t="shared" si="181"/>
        <v>1230.4722549604473</v>
      </c>
      <c r="DC38" s="5">
        <f t="shared" si="182"/>
        <v>1448.946045252369</v>
      </c>
      <c r="DD38" s="5">
        <f t="shared" si="183"/>
        <v>1416.2824504756925</v>
      </c>
      <c r="DE38" s="5">
        <f t="shared" si="184"/>
        <v>1698.0051541471794</v>
      </c>
      <c r="DF38" s="5">
        <f t="shared" si="185"/>
        <v>1525.6177845625416</v>
      </c>
      <c r="DG38" s="5">
        <f t="shared" si="186"/>
        <v>1516.1782953135439</v>
      </c>
      <c r="DH38" s="5">
        <f t="shared" si="187"/>
        <v>1927.2397844848138</v>
      </c>
      <c r="DI38" s="5">
        <f t="shared" si="188"/>
        <v>1799.8102466793168</v>
      </c>
      <c r="DJ38" s="5">
        <f t="shared" si="189"/>
        <v>1920.4454300948428</v>
      </c>
      <c r="DK38" s="5">
        <f t="shared" si="190"/>
        <v>1490.0756143667295</v>
      </c>
      <c r="DL38" s="5">
        <f t="shared" si="191"/>
        <v>2889.2569805963085</v>
      </c>
      <c r="DM38" s="5">
        <f t="shared" si="192"/>
        <v>2446.0703327826291</v>
      </c>
      <c r="DN38" s="242">
        <f t="shared" si="346"/>
        <v>21308.400373716417</v>
      </c>
      <c r="DO38" s="111">
        <f t="shared" si="193"/>
        <v>1763.5549269212636</v>
      </c>
      <c r="DP38" s="5">
        <f t="shared" si="194"/>
        <v>2032.3722334953518</v>
      </c>
      <c r="DQ38" s="5">
        <f t="shared" si="195"/>
        <v>1879.5828656939771</v>
      </c>
      <c r="DR38" s="5">
        <f t="shared" si="196"/>
        <v>1660.3694374475231</v>
      </c>
      <c r="DS38" s="5">
        <f t="shared" si="197"/>
        <v>1617.058226480804</v>
      </c>
      <c r="DT38" s="5">
        <f t="shared" si="198"/>
        <v>1966.2394353116003</v>
      </c>
      <c r="DU38" s="5">
        <f t="shared" si="199"/>
        <v>1495.7164299734443</v>
      </c>
      <c r="DV38" s="5">
        <f t="shared" si="200"/>
        <v>1522.1365770301431</v>
      </c>
      <c r="DW38" s="5">
        <f t="shared" si="201"/>
        <v>2057.6966315335444</v>
      </c>
      <c r="DX38" s="5">
        <f t="shared" si="202"/>
        <v>1819.0908215263667</v>
      </c>
      <c r="DY38" s="5">
        <f t="shared" si="203"/>
        <v>1915.7767960982071</v>
      </c>
      <c r="DZ38" s="5">
        <f t="shared" si="204"/>
        <v>2161.9376718017907</v>
      </c>
      <c r="EA38" s="242">
        <f t="shared" si="347"/>
        <v>21891.532053314018</v>
      </c>
      <c r="EB38" s="111">
        <f t="shared" si="205"/>
        <v>2080.508668404922</v>
      </c>
      <c r="EC38" s="5">
        <f t="shared" si="206"/>
        <v>2002.1826118588579</v>
      </c>
      <c r="ED38" s="5">
        <f t="shared" si="207"/>
        <v>1546.2317922735908</v>
      </c>
      <c r="EE38" s="5">
        <f t="shared" si="208"/>
        <v>1788.1764520344252</v>
      </c>
      <c r="EF38" s="5">
        <f t="shared" si="209"/>
        <v>1764.2510339866928</v>
      </c>
      <c r="EG38" s="5">
        <f t="shared" si="210"/>
        <v>1806.1403115041071</v>
      </c>
      <c r="EH38" s="5">
        <f t="shared" si="211"/>
        <v>1895.2402234636875</v>
      </c>
      <c r="EI38" s="5">
        <f t="shared" si="212"/>
        <v>1756.5197942294787</v>
      </c>
      <c r="EJ38" s="5">
        <f t="shared" si="213"/>
        <v>1224.9117949176007</v>
      </c>
      <c r="EK38" s="5">
        <f t="shared" si="214"/>
        <v>2091.9647624132408</v>
      </c>
      <c r="EL38" s="5">
        <f t="shared" si="215"/>
        <v>1234.3083726940554</v>
      </c>
      <c r="EM38" s="5">
        <f t="shared" si="216"/>
        <v>1335.675913576953</v>
      </c>
      <c r="EN38" s="242">
        <f t="shared" si="348"/>
        <v>20526.111731357614</v>
      </c>
      <c r="EO38" s="111">
        <f t="shared" si="217"/>
        <v>898.45480205929334</v>
      </c>
      <c r="EP38" s="5">
        <f t="shared" si="218"/>
        <v>1905.9250409310146</v>
      </c>
      <c r="EQ38" s="5">
        <f t="shared" si="219"/>
        <v>1693.8210882262529</v>
      </c>
      <c r="ER38" s="5">
        <f t="shared" si="220"/>
        <v>2159.6675415573054</v>
      </c>
      <c r="ES38" s="5">
        <f t="shared" si="221"/>
        <v>1265.0078301722638</v>
      </c>
      <c r="ET38" s="5">
        <f t="shared" si="222"/>
        <v>1171.7056078819103</v>
      </c>
      <c r="EU38" s="5">
        <f t="shared" si="223"/>
        <v>3124.5461841250431</v>
      </c>
      <c r="EV38" s="5">
        <f t="shared" si="224"/>
        <v>2545.4573142874547</v>
      </c>
      <c r="EW38" s="5">
        <f t="shared" si="225"/>
        <v>2588.0705173096244</v>
      </c>
      <c r="EX38" s="5">
        <f t="shared" si="226"/>
        <v>2829.973547386664</v>
      </c>
      <c r="EY38" s="5">
        <f t="shared" si="227"/>
        <v>2249.2373123394418</v>
      </c>
      <c r="EZ38" s="5">
        <f t="shared" si="228"/>
        <v>4113.2152311138261</v>
      </c>
      <c r="FA38" s="242">
        <f t="shared" si="349"/>
        <v>26545.082017390094</v>
      </c>
      <c r="FB38" s="111">
        <f t="shared" si="229"/>
        <v>2292.4681413801395</v>
      </c>
      <c r="FC38" s="5">
        <f t="shared" si="230"/>
        <v>2285.3563766746179</v>
      </c>
      <c r="FD38" s="5">
        <f t="shared" si="231"/>
        <v>2871.8851126653444</v>
      </c>
      <c r="FE38" s="5">
        <f t="shared" si="232"/>
        <v>2449.1713077903778</v>
      </c>
      <c r="FF38" s="5">
        <f t="shared" si="233"/>
        <v>2834.780409049989</v>
      </c>
      <c r="FG38" s="5">
        <f t="shared" si="234"/>
        <v>2223.0807521712964</v>
      </c>
      <c r="FH38" s="5">
        <f t="shared" si="235"/>
        <v>2162.5774841319922</v>
      </c>
      <c r="FI38" s="5">
        <f t="shared" si="236"/>
        <v>2293.6607737258673</v>
      </c>
      <c r="FJ38" s="5">
        <f t="shared" si="237"/>
        <v>1748.084503299526</v>
      </c>
      <c r="FK38" s="5">
        <f t="shared" si="238"/>
        <v>3257.3936440023817</v>
      </c>
      <c r="FL38" s="5">
        <f t="shared" si="239"/>
        <v>4081.0267988037299</v>
      </c>
      <c r="FM38" s="5">
        <f t="shared" si="240"/>
        <v>2656.8961234419976</v>
      </c>
      <c r="FN38" s="242">
        <f t="shared" si="350"/>
        <v>31156.381427137261</v>
      </c>
      <c r="FO38" s="111">
        <f t="shared" si="241"/>
        <v>3612.1922420955962</v>
      </c>
      <c r="FP38" s="5">
        <f t="shared" si="242"/>
        <v>2757.245297549422</v>
      </c>
      <c r="FQ38" s="5">
        <f t="shared" si="243"/>
        <v>2335.9941476429203</v>
      </c>
      <c r="FR38" s="5">
        <f t="shared" si="244"/>
        <v>3394.5983259987925</v>
      </c>
      <c r="FS38" s="5">
        <f t="shared" si="245"/>
        <v>3071.2573293665691</v>
      </c>
      <c r="FT38" s="5">
        <f t="shared" si="246"/>
        <v>2631.3086748347341</v>
      </c>
      <c r="FU38" s="5">
        <f t="shared" si="247"/>
        <v>2821.9490540569805</v>
      </c>
      <c r="FV38" s="5">
        <f t="shared" si="248"/>
        <v>3315.5513490646536</v>
      </c>
      <c r="FW38" s="5">
        <f t="shared" si="249"/>
        <v>4215.1048128572347</v>
      </c>
      <c r="FX38" s="5">
        <f t="shared" si="250"/>
        <v>3493.5583352547847</v>
      </c>
      <c r="FY38" s="5">
        <f t="shared" si="251"/>
        <v>4236.124611164636</v>
      </c>
      <c r="FZ38" s="5">
        <f t="shared" si="252"/>
        <v>3737.0270495063673</v>
      </c>
      <c r="GA38" s="242">
        <f t="shared" si="351"/>
        <v>39621.911229392696</v>
      </c>
      <c r="GB38" s="111">
        <f t="shared" si="253"/>
        <v>3725.4801559306648</v>
      </c>
      <c r="GC38" s="5">
        <f t="shared" si="254"/>
        <v>3726.2431417348835</v>
      </c>
      <c r="GD38" s="5">
        <f t="shared" si="255"/>
        <v>2390.9892841190613</v>
      </c>
      <c r="GE38" s="5">
        <f t="shared" si="256"/>
        <v>3423.3807471220562</v>
      </c>
      <c r="GF38" s="5">
        <f t="shared" si="257"/>
        <v>3192.3176090515926</v>
      </c>
      <c r="GG38" s="5">
        <f t="shared" si="258"/>
        <v>3208.9157236712349</v>
      </c>
      <c r="GH38" s="5">
        <f t="shared" si="259"/>
        <v>2896.4072166514802</v>
      </c>
      <c r="GI38" s="5">
        <f t="shared" si="260"/>
        <v>3559.6348884645754</v>
      </c>
      <c r="GJ38" s="5">
        <f t="shared" si="261"/>
        <v>3913.6113708334942</v>
      </c>
      <c r="GK38" s="5">
        <f t="shared" si="262"/>
        <v>4523.2427760954479</v>
      </c>
      <c r="GL38" s="5">
        <f t="shared" si="263"/>
        <v>4169.6171231392354</v>
      </c>
      <c r="GM38" s="5">
        <f t="shared" si="264"/>
        <v>4721.7642742961862</v>
      </c>
      <c r="GN38" s="242">
        <f t="shared" si="352"/>
        <v>43451.604311109906</v>
      </c>
      <c r="GO38" s="111">
        <f t="shared" si="265"/>
        <v>4728.6833213488344</v>
      </c>
      <c r="GP38" s="5">
        <f t="shared" si="266"/>
        <v>4624.7895637492675</v>
      </c>
      <c r="GQ38" s="5">
        <f t="shared" si="267"/>
        <v>3261.0019005700001</v>
      </c>
      <c r="GR38" s="5">
        <f t="shared" si="268"/>
        <v>3685.1607657266291</v>
      </c>
      <c r="GS38" s="5">
        <f t="shared" si="269"/>
        <v>3230.8824750714389</v>
      </c>
      <c r="GT38" s="5">
        <f t="shared" si="270"/>
        <v>3100.9889683289348</v>
      </c>
      <c r="GU38" s="5">
        <f t="shared" si="271"/>
        <v>2873.5534275166583</v>
      </c>
      <c r="GV38" s="5">
        <f t="shared" si="272"/>
        <v>3365.4413773999358</v>
      </c>
      <c r="GW38" s="5">
        <f t="shared" si="273"/>
        <v>4300.6403122384363</v>
      </c>
      <c r="GX38" s="5">
        <f t="shared" si="274"/>
        <v>4282.3722256916017</v>
      </c>
      <c r="GY38" s="5">
        <f t="shared" si="275"/>
        <v>3750.0865003899517</v>
      </c>
      <c r="GZ38" s="5">
        <f t="shared" si="276"/>
        <v>3623.9873513510624</v>
      </c>
      <c r="HA38" s="242">
        <f t="shared" si="353"/>
        <v>44827.588189382746</v>
      </c>
      <c r="HB38" s="111">
        <f t="shared" si="277"/>
        <v>4881.2092779005579</v>
      </c>
      <c r="HC38" s="5">
        <f t="shared" si="278"/>
        <v>5181.3100630260751</v>
      </c>
      <c r="HD38" s="5">
        <f t="shared" si="279"/>
        <v>3606.2471914184321</v>
      </c>
      <c r="HE38" s="5">
        <f t="shared" si="280"/>
        <v>3000.84359317188</v>
      </c>
      <c r="HF38" s="5">
        <f t="shared" si="281"/>
        <v>4650.7980965582601</v>
      </c>
      <c r="HG38" s="5">
        <f t="shared" si="282"/>
        <v>3159.5062662013429</v>
      </c>
      <c r="HH38" s="5">
        <f t="shared" si="283"/>
        <v>4045.4369220318194</v>
      </c>
      <c r="HI38" s="5">
        <f t="shared" si="284"/>
        <v>3478.9662787303705</v>
      </c>
      <c r="HJ38" s="5">
        <f t="shared" si="285"/>
        <v>4664.076047005542</v>
      </c>
      <c r="HK38" s="5">
        <f t="shared" si="286"/>
        <v>4577.5867916814068</v>
      </c>
      <c r="HL38" s="5">
        <f t="shared" si="287"/>
        <v>4487.0651299297797</v>
      </c>
      <c r="HM38" s="5">
        <f t="shared" si="288"/>
        <v>4082.3455919554121</v>
      </c>
      <c r="HN38" s="242">
        <f t="shared" si="354"/>
        <v>49815.391249610882</v>
      </c>
      <c r="HO38" s="111">
        <f t="shared" si="289"/>
        <v>4596.1726348785487</v>
      </c>
      <c r="HP38" s="5">
        <f t="shared" si="290"/>
        <v>4957.3197999632775</v>
      </c>
      <c r="HQ38" s="5">
        <f t="shared" si="291"/>
        <v>4472.2712675511257</v>
      </c>
      <c r="HR38" s="5">
        <f t="shared" si="292"/>
        <v>4763.9260182711241</v>
      </c>
      <c r="HS38" s="5">
        <f t="shared" si="293"/>
        <v>4392.2737714312743</v>
      </c>
      <c r="HT38" s="5">
        <f t="shared" si="294"/>
        <v>5494.972896060337</v>
      </c>
      <c r="HU38" s="5">
        <f t="shared" si="295"/>
        <v>5702.0293126139268</v>
      </c>
      <c r="HV38" s="5">
        <f t="shared" si="296"/>
        <v>4874.3441937788757</v>
      </c>
      <c r="HW38" s="5">
        <f t="shared" si="297"/>
        <v>4919.0682615209107</v>
      </c>
      <c r="HX38" s="5">
        <f t="shared" si="298"/>
        <v>5679.2831319149227</v>
      </c>
      <c r="HY38" s="5">
        <f t="shared" si="299"/>
        <v>5707.5156341903439</v>
      </c>
      <c r="HZ38" s="5">
        <f t="shared" si="300"/>
        <v>5599.8387890785798</v>
      </c>
      <c r="IA38" s="242">
        <f t="shared" si="355"/>
        <v>61159.015711253254</v>
      </c>
      <c r="IB38" s="111">
        <f t="shared" si="301"/>
        <v>5299.1341643990845</v>
      </c>
      <c r="IC38" s="5">
        <f t="shared" si="302"/>
        <v>4687.6543603854116</v>
      </c>
      <c r="ID38" s="5">
        <f t="shared" si="303"/>
        <v>5812.2327731938631</v>
      </c>
      <c r="IE38" s="5">
        <f t="shared" si="304"/>
        <v>6042.3677663216904</v>
      </c>
      <c r="IF38" s="5">
        <f t="shared" si="305"/>
        <v>4984.2595437967593</v>
      </c>
      <c r="IG38" s="5">
        <f t="shared" si="306"/>
        <v>5724.6813572808633</v>
      </c>
      <c r="IH38" s="5">
        <f t="shared" si="307"/>
        <v>5958.2831848359228</v>
      </c>
      <c r="II38" s="5">
        <f t="shared" si="308"/>
        <v>4603.2216264404778</v>
      </c>
      <c r="IJ38" s="5">
        <f t="shared" si="309"/>
        <v>6488.7960802495963</v>
      </c>
      <c r="IK38" s="5">
        <f t="shared" si="310"/>
        <v>5966.3773057799644</v>
      </c>
      <c r="IL38" s="5">
        <f t="shared" si="311"/>
        <v>6932.7300369787154</v>
      </c>
      <c r="IM38" s="5">
        <f t="shared" si="312"/>
        <v>6332.8423903731091</v>
      </c>
      <c r="IN38" s="242">
        <f t="shared" si="356"/>
        <v>68832.580590035446</v>
      </c>
      <c r="IO38" s="111">
        <f t="shared" si="313"/>
        <v>4845.2857189347014</v>
      </c>
      <c r="IP38" s="5">
        <f t="shared" si="314"/>
        <v>5158.1107274290243</v>
      </c>
      <c r="IQ38" s="5">
        <f t="shared" si="315"/>
        <v>5095.8056164729087</v>
      </c>
      <c r="IR38" s="5">
        <f t="shared" si="316"/>
        <v>4788.1399344884603</v>
      </c>
      <c r="IS38" s="5">
        <f t="shared" si="317"/>
        <v>5090.0527315097215</v>
      </c>
      <c r="IT38" s="5">
        <f t="shared" si="318"/>
        <v>4606.8047993214514</v>
      </c>
      <c r="IU38" s="5">
        <f t="shared" si="319"/>
        <v>3775.7476963044951</v>
      </c>
      <c r="IV38" s="5">
        <f t="shared" si="320"/>
        <v>4200.0249793663043</v>
      </c>
      <c r="IW38" s="5">
        <f t="shared" si="321"/>
        <v>4735.0188799009493</v>
      </c>
      <c r="IX38" s="5">
        <f t="shared" si="322"/>
        <v>5377.8297971331031</v>
      </c>
      <c r="IY38" s="5">
        <f t="shared" si="323"/>
        <v>4872.6238083071248</v>
      </c>
      <c r="IZ38" s="5">
        <f t="shared" si="324"/>
        <v>5151.3561434740823</v>
      </c>
      <c r="JA38" s="242">
        <f t="shared" si="357"/>
        <v>57696.800832642322</v>
      </c>
      <c r="JB38" s="111">
        <f t="shared" si="325"/>
        <v>4873.8405299385995</v>
      </c>
      <c r="JC38" s="5">
        <f t="shared" si="326"/>
        <v>4959.0850514044332</v>
      </c>
      <c r="JD38" s="5">
        <f t="shared" si="327"/>
        <v>4079.8226046241798</v>
      </c>
      <c r="JE38" s="5">
        <f t="shared" si="328"/>
        <v>3553.6740879152203</v>
      </c>
      <c r="JF38" s="5">
        <f t="shared" si="329"/>
        <v>3933.0147519629381</v>
      </c>
      <c r="JG38" s="5">
        <f t="shared" si="330"/>
        <v>4277.6602537720219</v>
      </c>
      <c r="JH38" s="5">
        <f t="shared" si="331"/>
        <v>5437.2812083637937</v>
      </c>
      <c r="JI38" s="5">
        <f t="shared" si="332"/>
        <v>4814.9462798313907</v>
      </c>
      <c r="JJ38" s="5">
        <f t="shared" si="333"/>
        <v>5110.7015695313612</v>
      </c>
      <c r="JK38" s="5">
        <f t="shared" si="334"/>
        <v>5075.9835684923301</v>
      </c>
      <c r="JL38" s="5">
        <f t="shared" si="335"/>
        <v>5497.0007724582319</v>
      </c>
      <c r="JM38" s="5">
        <f t="shared" si="336"/>
        <v>5889.2869160686505</v>
      </c>
      <c r="JN38" s="242">
        <f t="shared" si="358"/>
        <v>57502.297594363154</v>
      </c>
      <c r="JO38" s="111">
        <v>5509.886768064267</v>
      </c>
      <c r="JP38" s="5">
        <v>4982.6420759081502</v>
      </c>
      <c r="JQ38" s="5">
        <v>4756.5024968048192</v>
      </c>
      <c r="JR38" s="5">
        <v>5079.9828283008637</v>
      </c>
      <c r="JS38" s="5">
        <f t="shared" si="337"/>
        <v>6297.9102257605246</v>
      </c>
      <c r="JT38" s="5">
        <f t="shared" si="359"/>
        <v>4819.1430125735196</v>
      </c>
      <c r="JU38" s="5">
        <f t="shared" si="360"/>
        <v>4193.3204978784088</v>
      </c>
      <c r="JV38" s="5">
        <f t="shared" si="361"/>
        <v>4849.5031467952758</v>
      </c>
      <c r="JW38" s="5">
        <f t="shared" si="362"/>
        <v>4911.3851991785059</v>
      </c>
      <c r="JX38" s="5">
        <f t="shared" si="376"/>
        <v>4386.5512332753633</v>
      </c>
      <c r="JY38" s="5">
        <f t="shared" si="363"/>
        <v>4739.9985839720985</v>
      </c>
      <c r="JZ38" s="5">
        <f t="shared" si="377"/>
        <v>4316.7104027945779</v>
      </c>
      <c r="KA38" s="242">
        <f>SUM(JO38:JZ38)</f>
        <v>58843.536471306375</v>
      </c>
      <c r="KB38" s="1324">
        <f t="shared" si="364"/>
        <v>4059.6149771797695</v>
      </c>
      <c r="KC38">
        <f t="shared" si="365"/>
        <v>4686.1429323245575</v>
      </c>
      <c r="KD38">
        <f t="shared" si="366"/>
        <v>4382.3252208866597</v>
      </c>
      <c r="KE38">
        <f t="shared" si="378"/>
        <v>4647.1852030231794</v>
      </c>
      <c r="KF38">
        <f t="shared" si="367"/>
        <v>5086.3805095788575</v>
      </c>
      <c r="KG38">
        <f t="shared" si="368"/>
        <v>4300.2179269910102</v>
      </c>
      <c r="KH38">
        <f t="shared" si="369"/>
        <v>4398.0560917560133</v>
      </c>
      <c r="KI38">
        <f t="shared" si="370"/>
        <v>5197.807942522194</v>
      </c>
      <c r="KN38" s="1330">
        <f t="shared" si="371"/>
        <v>36757.730804262246</v>
      </c>
      <c r="KP38" s="1614">
        <f t="shared" si="372"/>
        <v>7.1822779609307164</v>
      </c>
      <c r="KQ38" s="22">
        <f t="shared" si="373"/>
        <v>-9.2152690549705092</v>
      </c>
      <c r="KR38" s="53">
        <f t="shared" si="374"/>
        <v>40488.891052085834</v>
      </c>
      <c r="KS38" s="53">
        <f t="shared" si="375"/>
        <v>36757.730804262246</v>
      </c>
    </row>
    <row r="39" spans="1:305" ht="13.9" customHeight="1" x14ac:dyDescent="0.2">
      <c r="A39" s="238" t="s">
        <v>453</v>
      </c>
      <c r="B39" s="251">
        <v>1108</v>
      </c>
      <c r="C39" s="249">
        <v>924</v>
      </c>
      <c r="D39" s="249">
        <v>341</v>
      </c>
      <c r="E39" s="249">
        <v>805</v>
      </c>
      <c r="F39" s="249">
        <v>1308</v>
      </c>
      <c r="G39" s="249">
        <v>757</v>
      </c>
      <c r="H39" s="249">
        <v>1131</v>
      </c>
      <c r="I39" s="249">
        <v>479</v>
      </c>
      <c r="J39" s="249">
        <v>906</v>
      </c>
      <c r="K39" s="249">
        <v>436</v>
      </c>
      <c r="L39" s="249">
        <v>1908</v>
      </c>
      <c r="M39" s="249">
        <v>387</v>
      </c>
      <c r="N39" s="242">
        <f>SUM(B39:M39)</f>
        <v>10490</v>
      </c>
      <c r="O39" s="251">
        <f t="shared" si="338"/>
        <v>52.544938254712058</v>
      </c>
      <c r="P39" s="249">
        <f t="shared" si="100"/>
        <v>1.1835071958698729</v>
      </c>
      <c r="Q39" s="249">
        <f t="shared" si="101"/>
        <v>9.4069126348325707</v>
      </c>
      <c r="R39" s="249">
        <f t="shared" si="102"/>
        <v>0</v>
      </c>
      <c r="S39" s="249">
        <f t="shared" si="103"/>
        <v>16.421018946800441</v>
      </c>
      <c r="T39" s="249">
        <f t="shared" si="104"/>
        <v>40.361143431692973</v>
      </c>
      <c r="U39" s="249">
        <f t="shared" si="105"/>
        <v>5.2592377316196375</v>
      </c>
      <c r="V39" s="249">
        <f t="shared" si="106"/>
        <v>17.562404767313335</v>
      </c>
      <c r="W39" s="249">
        <f t="shared" si="107"/>
        <v>0.58594083899887517</v>
      </c>
      <c r="X39" s="249">
        <f t="shared" si="108"/>
        <v>3.5107300119764839</v>
      </c>
      <c r="Y39" s="249">
        <f t="shared" si="109"/>
        <v>2.3388494800149791</v>
      </c>
      <c r="Z39" s="249">
        <f t="shared" si="110"/>
        <v>1.164533698473899</v>
      </c>
      <c r="AA39" s="242">
        <f t="shared" si="339"/>
        <v>150.3392169923051</v>
      </c>
      <c r="AB39" s="251">
        <f t="shared" si="111"/>
        <v>37.079679951407734</v>
      </c>
      <c r="AC39" s="249">
        <f t="shared" si="112"/>
        <v>2.8810044716098751</v>
      </c>
      <c r="AD39" s="249">
        <f t="shared" si="113"/>
        <v>92.917126100099495</v>
      </c>
      <c r="AE39" s="249">
        <f t="shared" si="114"/>
        <v>91.30434890709185</v>
      </c>
      <c r="AF39" s="249">
        <f t="shared" si="115"/>
        <v>6.8843130270753887</v>
      </c>
      <c r="AG39" s="249">
        <f t="shared" si="116"/>
        <v>64.337226647345176</v>
      </c>
      <c r="AH39" s="249">
        <f t="shared" si="117"/>
        <v>2.8770886689222204</v>
      </c>
      <c r="AI39" s="249">
        <f t="shared" si="118"/>
        <v>6.3207460271908174</v>
      </c>
      <c r="AJ39" s="249">
        <f t="shared" si="119"/>
        <v>1.7233228287488713</v>
      </c>
      <c r="AK39" s="249">
        <f t="shared" si="120"/>
        <v>40.768999347317695</v>
      </c>
      <c r="AL39" s="249">
        <f t="shared" si="121"/>
        <v>9.2131770302916198</v>
      </c>
      <c r="AM39" s="249">
        <f t="shared" si="122"/>
        <v>14.391271728312162</v>
      </c>
      <c r="AN39" s="242">
        <f t="shared" si="340"/>
        <v>370.69830473541282</v>
      </c>
      <c r="AO39" s="251">
        <f t="shared" si="123"/>
        <v>12.087459330016305</v>
      </c>
      <c r="AP39" s="249">
        <f t="shared" si="124"/>
        <v>13.204351695036888</v>
      </c>
      <c r="AQ39" s="249">
        <f t="shared" si="125"/>
        <v>66.363403270057645</v>
      </c>
      <c r="AR39" s="249">
        <f t="shared" si="126"/>
        <v>1.7132111324617001</v>
      </c>
      <c r="AS39" s="249">
        <f t="shared" si="127"/>
        <v>17.616859087738252</v>
      </c>
      <c r="AT39" s="249">
        <f t="shared" si="128"/>
        <v>7.9187825990791021</v>
      </c>
      <c r="AU39" s="249">
        <f t="shared" si="129"/>
        <v>5.0663275853173921</v>
      </c>
      <c r="AV39" s="249">
        <f t="shared" si="130"/>
        <v>0.56213829492482204</v>
      </c>
      <c r="AW39" s="249">
        <f t="shared" si="131"/>
        <v>0.55873004237241031</v>
      </c>
      <c r="AX39" s="249">
        <f t="shared" si="132"/>
        <v>8.9120532859330339</v>
      </c>
      <c r="AY39" s="249">
        <f t="shared" si="133"/>
        <v>1.6691739049697567</v>
      </c>
      <c r="AZ39" s="249">
        <f t="shared" si="134"/>
        <v>0.55389875207165062</v>
      </c>
      <c r="BA39" s="242">
        <f t="shared" si="341"/>
        <v>136.22638897997899</v>
      </c>
      <c r="BB39" s="251">
        <f t="shared" si="135"/>
        <v>1.1053657087801403</v>
      </c>
      <c r="BC39" s="249">
        <f t="shared" si="136"/>
        <v>12.596865307311182</v>
      </c>
      <c r="BD39" s="249">
        <f t="shared" si="137"/>
        <v>29.27131326034235</v>
      </c>
      <c r="BE39" s="249">
        <f t="shared" si="138"/>
        <v>15.154959460483443</v>
      </c>
      <c r="BF39" s="249">
        <f t="shared" si="139"/>
        <v>40.983385551199575</v>
      </c>
      <c r="BG39" s="249">
        <f t="shared" si="140"/>
        <v>29.967517351727682</v>
      </c>
      <c r="BH39" s="249">
        <f t="shared" si="141"/>
        <v>26.60763319781179</v>
      </c>
      <c r="BI39" s="249">
        <f t="shared" si="142"/>
        <v>24.335534112070427</v>
      </c>
      <c r="BJ39" s="249">
        <f t="shared" si="143"/>
        <v>28.405803200387162</v>
      </c>
      <c r="BK39" s="249">
        <f t="shared" si="144"/>
        <v>17.776755323876799</v>
      </c>
      <c r="BL39" s="249">
        <f t="shared" si="145"/>
        <v>19.806728032774924</v>
      </c>
      <c r="BM39" s="249">
        <f t="shared" si="146"/>
        <v>37.393856072460864</v>
      </c>
      <c r="BN39" s="242">
        <f t="shared" si="342"/>
        <v>283.40571657922635</v>
      </c>
      <c r="BO39" s="251">
        <f t="shared" si="147"/>
        <v>17.638807124158834</v>
      </c>
      <c r="BP39" s="249">
        <f t="shared" si="148"/>
        <v>42.570451792166992</v>
      </c>
      <c r="BQ39" s="249">
        <f t="shared" si="149"/>
        <v>17.070557081597844</v>
      </c>
      <c r="BR39" s="249">
        <f t="shared" si="150"/>
        <v>19.653074509362312</v>
      </c>
      <c r="BS39" s="249">
        <f t="shared" si="379"/>
        <v>29.491408327374419</v>
      </c>
      <c r="BT39" s="249">
        <f t="shared" si="380"/>
        <v>17.13222279968306</v>
      </c>
      <c r="BU39" s="249">
        <f t="shared" si="151"/>
        <v>26.945099360053888</v>
      </c>
      <c r="BV39" s="249">
        <f t="shared" si="152"/>
        <v>62.831031259736214</v>
      </c>
      <c r="BW39" s="249">
        <f t="shared" si="153"/>
        <v>19.74981410435332</v>
      </c>
      <c r="BX39" s="249">
        <f t="shared" si="154"/>
        <v>65.926845450009225</v>
      </c>
      <c r="BY39" s="249">
        <f t="shared" si="155"/>
        <v>37.936688765915527</v>
      </c>
      <c r="BZ39" s="249">
        <f t="shared" si="156"/>
        <v>5.1802198485303714</v>
      </c>
      <c r="CA39" s="242">
        <f t="shared" si="343"/>
        <v>362.12622042294203</v>
      </c>
      <c r="CB39" s="251">
        <f t="shared" si="157"/>
        <v>83.668610326359229</v>
      </c>
      <c r="CC39" s="249">
        <f t="shared" si="158"/>
        <v>38.097199341021415</v>
      </c>
      <c r="CD39" s="249">
        <f t="shared" si="159"/>
        <v>96.003778544438973</v>
      </c>
      <c r="CE39" s="249">
        <f t="shared" si="160"/>
        <v>15.397011953213612</v>
      </c>
      <c r="CF39" s="249">
        <f t="shared" si="161"/>
        <v>34.304439096820438</v>
      </c>
      <c r="CG39" s="249">
        <f t="shared" si="162"/>
        <v>62.819844942236386</v>
      </c>
      <c r="CH39" s="249">
        <f t="shared" si="163"/>
        <v>22.391515651160542</v>
      </c>
      <c r="CI39" s="249">
        <f t="shared" si="164"/>
        <v>13.769166552348587</v>
      </c>
      <c r="CJ39" s="249">
        <f t="shared" si="165"/>
        <v>17.768770421394006</v>
      </c>
      <c r="CK39" s="249">
        <f t="shared" si="166"/>
        <v>53.889417897692468</v>
      </c>
      <c r="CL39" s="249">
        <f t="shared" si="167"/>
        <v>6.6084109821623738</v>
      </c>
      <c r="CM39" s="249">
        <f t="shared" si="168"/>
        <v>9.6411023534945706</v>
      </c>
      <c r="CN39" s="242">
        <f t="shared" si="344"/>
        <v>454.35926806234249</v>
      </c>
      <c r="CO39" s="251">
        <f t="shared" si="169"/>
        <v>21.229125956447945</v>
      </c>
      <c r="CP39" s="249">
        <f t="shared" si="170"/>
        <v>38.269223990775103</v>
      </c>
      <c r="CQ39" s="249">
        <f t="shared" si="171"/>
        <v>116.50990334178405</v>
      </c>
      <c r="CR39" s="249">
        <f t="shared" si="172"/>
        <v>61.089782113110459</v>
      </c>
      <c r="CS39" s="249">
        <f t="shared" si="173"/>
        <v>17.386725483475157</v>
      </c>
      <c r="CT39" s="249">
        <f t="shared" si="174"/>
        <v>17.865650309671274</v>
      </c>
      <c r="CU39" s="249">
        <f t="shared" si="175"/>
        <v>6.8932918422814833</v>
      </c>
      <c r="CV39" s="249">
        <f t="shared" si="176"/>
        <v>45.667706057109186</v>
      </c>
      <c r="CW39" s="249">
        <f t="shared" si="177"/>
        <v>6.3626619419823118</v>
      </c>
      <c r="CX39" s="249">
        <f t="shared" si="178"/>
        <v>1.9516955354964625</v>
      </c>
      <c r="CY39" s="249">
        <f t="shared" si="179"/>
        <v>7.7733674713721452</v>
      </c>
      <c r="CZ39" s="249">
        <f t="shared" si="180"/>
        <v>0.48452664169739373</v>
      </c>
      <c r="DA39" s="242">
        <f t="shared" si="345"/>
        <v>341.48366068520295</v>
      </c>
      <c r="DB39" s="251">
        <f t="shared" si="181"/>
        <v>3.8800859439036577</v>
      </c>
      <c r="DC39" s="249">
        <f t="shared" si="182"/>
        <v>2.9007928833881262</v>
      </c>
      <c r="DD39" s="249">
        <f t="shared" si="183"/>
        <v>6.2370162114444447</v>
      </c>
      <c r="DE39" s="249">
        <f t="shared" si="184"/>
        <v>9.5447169991409755</v>
      </c>
      <c r="DF39" s="249">
        <f t="shared" si="185"/>
        <v>49.136532773590304</v>
      </c>
      <c r="DG39" s="249">
        <f t="shared" si="186"/>
        <v>7.1585377493557312</v>
      </c>
      <c r="DH39" s="249">
        <f t="shared" si="187"/>
        <v>1.9072140370953128</v>
      </c>
      <c r="DI39" s="249">
        <f t="shared" si="188"/>
        <v>10.436432637571157</v>
      </c>
      <c r="DJ39" s="249">
        <f t="shared" si="189"/>
        <v>0.94370782805643372</v>
      </c>
      <c r="DK39" s="249">
        <f t="shared" si="190"/>
        <v>0.94517958412098291</v>
      </c>
      <c r="DL39" s="249">
        <f t="shared" si="191"/>
        <v>3.7860861334595364</v>
      </c>
      <c r="DM39" s="249">
        <f t="shared" si="192"/>
        <v>40.122728345527491</v>
      </c>
      <c r="DN39" s="242">
        <f t="shared" si="346"/>
        <v>136.99903112665413</v>
      </c>
      <c r="DO39" s="251">
        <f t="shared" si="193"/>
        <v>0.75436115040075435</v>
      </c>
      <c r="DP39" s="249">
        <f t="shared" si="194"/>
        <v>4.8605540087773118</v>
      </c>
      <c r="DQ39" s="249">
        <f t="shared" si="195"/>
        <v>8.1836887392442961</v>
      </c>
      <c r="DR39" s="249">
        <f t="shared" si="196"/>
        <v>15.020057841216532</v>
      </c>
      <c r="DS39" s="249">
        <f t="shared" si="197"/>
        <v>1.5178180666908774</v>
      </c>
      <c r="DT39" s="249">
        <f t="shared" si="198"/>
        <v>8.0802451936472544</v>
      </c>
      <c r="DU39" s="249">
        <f t="shared" si="199"/>
        <v>1.2469691721510219</v>
      </c>
      <c r="DV39" s="249">
        <f t="shared" si="200"/>
        <v>53.791101270590822</v>
      </c>
      <c r="DW39" s="249">
        <f t="shared" si="201"/>
        <v>12.297357444719248</v>
      </c>
      <c r="DX39" s="249">
        <f t="shared" si="202"/>
        <v>0.82560854229638425</v>
      </c>
      <c r="DY39" s="249">
        <f t="shared" si="203"/>
        <v>23.535793252766148</v>
      </c>
      <c r="DZ39" s="249">
        <f t="shared" si="204"/>
        <v>4.6808100554813654</v>
      </c>
      <c r="EA39" s="242">
        <f t="shared" si="347"/>
        <v>134.79436473798202</v>
      </c>
      <c r="EB39" s="251">
        <f t="shared" si="205"/>
        <v>0.18297424637482274</v>
      </c>
      <c r="EC39" s="249">
        <f t="shared" si="206"/>
        <v>61.522371771553303</v>
      </c>
      <c r="ED39" s="249">
        <f t="shared" si="207"/>
        <v>0.6333122229259025</v>
      </c>
      <c r="EE39" s="249">
        <f t="shared" si="208"/>
        <v>0.1802370116703465</v>
      </c>
      <c r="EF39" s="249">
        <f t="shared" si="209"/>
        <v>3.1918719654738354</v>
      </c>
      <c r="EG39" s="249">
        <f t="shared" si="210"/>
        <v>21.096099465864715</v>
      </c>
      <c r="EH39" s="249">
        <f t="shared" si="211"/>
        <v>7.1508379888268161</v>
      </c>
      <c r="EI39" s="249">
        <f t="shared" si="212"/>
        <v>27.644822187430105</v>
      </c>
      <c r="EJ39" s="249">
        <f t="shared" si="213"/>
        <v>20.097360546648208</v>
      </c>
      <c r="EK39" s="249">
        <f t="shared" si="214"/>
        <v>0.48941092721124763</v>
      </c>
      <c r="EL39" s="249">
        <f t="shared" si="215"/>
        <v>20.253542465020946</v>
      </c>
      <c r="EM39" s="249">
        <f t="shared" si="216"/>
        <v>0.31207433093269321</v>
      </c>
      <c r="EN39" s="242">
        <f t="shared" si="348"/>
        <v>162.75491512993295</v>
      </c>
      <c r="EO39" s="251">
        <f t="shared" si="217"/>
        <v>2.2146280845020418E-3</v>
      </c>
      <c r="EP39" s="249">
        <f t="shared" si="218"/>
        <v>53.099694676755611</v>
      </c>
      <c r="EQ39" s="249">
        <f t="shared" si="219"/>
        <v>6.5873259848052346</v>
      </c>
      <c r="ER39" s="249">
        <f t="shared" si="220"/>
        <v>17.935258092738408</v>
      </c>
      <c r="ES39" s="249">
        <f t="shared" si="221"/>
        <v>5.3071167565686439</v>
      </c>
      <c r="ET39" s="249">
        <f t="shared" si="222"/>
        <v>15.177533780853759</v>
      </c>
      <c r="EU39" s="249">
        <f t="shared" si="223"/>
        <v>3.0572858944472046</v>
      </c>
      <c r="EV39" s="249">
        <f t="shared" si="224"/>
        <v>71.574330703865016</v>
      </c>
      <c r="EW39" s="249">
        <f t="shared" si="225"/>
        <v>12.559753981061414</v>
      </c>
      <c r="EX39" s="249">
        <f t="shared" si="226"/>
        <v>10.64185593967588</v>
      </c>
      <c r="EY39" s="249">
        <f t="shared" si="227"/>
        <v>165.98447124741384</v>
      </c>
      <c r="EZ39" s="249">
        <f t="shared" si="228"/>
        <v>30.694510433871052</v>
      </c>
      <c r="FA39" s="242">
        <f t="shared" si="349"/>
        <v>392.62135212014061</v>
      </c>
      <c r="FB39" s="251">
        <f t="shared" si="229"/>
        <v>2.2541476316422218</v>
      </c>
      <c r="FC39" s="249">
        <f t="shared" si="230"/>
        <v>0</v>
      </c>
      <c r="FD39" s="249">
        <f t="shared" si="231"/>
        <v>0</v>
      </c>
      <c r="FE39" s="249">
        <f t="shared" si="232"/>
        <v>43.018929820244992</v>
      </c>
      <c r="FF39" s="249">
        <f t="shared" si="233"/>
        <v>27.007120058924624</v>
      </c>
      <c r="FG39" s="249">
        <f t="shared" si="234"/>
        <v>34.324687771644243</v>
      </c>
      <c r="FH39" s="249">
        <f t="shared" si="235"/>
        <v>7.2751568241713374</v>
      </c>
      <c r="FI39" s="249">
        <f t="shared" si="236"/>
        <v>40.017752792366295</v>
      </c>
      <c r="FJ39" s="249">
        <f t="shared" si="237"/>
        <v>110.05801851277735</v>
      </c>
      <c r="FK39" s="249">
        <f t="shared" si="238"/>
        <v>7.3513736041579367</v>
      </c>
      <c r="FL39" s="249">
        <f t="shared" si="239"/>
        <v>29.686858617252099</v>
      </c>
      <c r="FM39" s="249">
        <f t="shared" si="240"/>
        <v>19.36087204290077</v>
      </c>
      <c r="FN39" s="242">
        <f t="shared" si="350"/>
        <v>320.35491767608181</v>
      </c>
      <c r="FO39" s="251">
        <f t="shared" si="241"/>
        <v>23.469045640734102</v>
      </c>
      <c r="FP39" s="249">
        <f t="shared" si="242"/>
        <v>163.90465050384697</v>
      </c>
      <c r="FQ39" s="249">
        <f t="shared" si="243"/>
        <v>0.35860031126507019</v>
      </c>
      <c r="FR39" s="249">
        <f t="shared" si="244"/>
        <v>0</v>
      </c>
      <c r="FS39" s="249">
        <f t="shared" si="245"/>
        <v>4.2604199763149531</v>
      </c>
      <c r="FT39" s="249">
        <f t="shared" si="246"/>
        <v>46.144276807799685</v>
      </c>
      <c r="FU39" s="249">
        <f t="shared" si="247"/>
        <v>6.1354564418683548</v>
      </c>
      <c r="FV39" s="249">
        <f t="shared" si="248"/>
        <v>20.434941599087956</v>
      </c>
      <c r="FW39" s="249">
        <f t="shared" si="249"/>
        <v>39.587203006332523</v>
      </c>
      <c r="FX39" s="249">
        <f t="shared" si="250"/>
        <v>3.8909384367074016</v>
      </c>
      <c r="FY39" s="249">
        <f t="shared" si="251"/>
        <v>5.6315122743142769</v>
      </c>
      <c r="FZ39" s="249">
        <f t="shared" si="252"/>
        <v>8.6500249974107213</v>
      </c>
      <c r="GA39" s="242">
        <f t="shared" si="351"/>
        <v>322.46706999568198</v>
      </c>
      <c r="GB39" s="251">
        <f t="shared" si="253"/>
        <v>7.1989954703974197</v>
      </c>
      <c r="GC39" s="249">
        <f t="shared" si="254"/>
        <v>54.575925760618837</v>
      </c>
      <c r="GD39" s="249">
        <f t="shared" si="255"/>
        <v>18.007988869900576</v>
      </c>
      <c r="GE39" s="249">
        <f t="shared" si="256"/>
        <v>92.885474398804945</v>
      </c>
      <c r="GF39" s="249">
        <f t="shared" si="257"/>
        <v>97.51740068440175</v>
      </c>
      <c r="GG39" s="249">
        <f t="shared" si="258"/>
        <v>3.208987034494224</v>
      </c>
      <c r="GH39" s="249">
        <f t="shared" si="259"/>
        <v>11.295497962953702</v>
      </c>
      <c r="GI39" s="249">
        <f t="shared" si="260"/>
        <v>51.650605891776507</v>
      </c>
      <c r="GJ39" s="249">
        <f t="shared" si="261"/>
        <v>15.791541557121361</v>
      </c>
      <c r="GK39" s="249">
        <f t="shared" si="262"/>
        <v>2.3349968965858925</v>
      </c>
      <c r="GL39" s="249">
        <f t="shared" si="263"/>
        <v>2.3321982586754819</v>
      </c>
      <c r="GM39" s="249">
        <f t="shared" si="264"/>
        <v>25.184812136552601</v>
      </c>
      <c r="GN39" s="242">
        <f t="shared" si="352"/>
        <v>381.98442492228321</v>
      </c>
      <c r="GO39" s="251">
        <f t="shared" si="265"/>
        <v>0</v>
      </c>
      <c r="GP39" s="249">
        <f t="shared" si="266"/>
        <v>0</v>
      </c>
      <c r="GQ39" s="249">
        <f t="shared" si="267"/>
        <v>0</v>
      </c>
      <c r="GR39" s="249">
        <f t="shared" si="268"/>
        <v>39.34186393847849</v>
      </c>
      <c r="GS39" s="249">
        <f t="shared" si="269"/>
        <v>47.014156351417881</v>
      </c>
      <c r="GT39" s="249">
        <f t="shared" si="270"/>
        <v>22.029416707700719</v>
      </c>
      <c r="GU39" s="249">
        <f t="shared" si="271"/>
        <v>15.723768210226257</v>
      </c>
      <c r="GV39" s="249">
        <f t="shared" si="272"/>
        <v>35.044367971933795</v>
      </c>
      <c r="GW39" s="249">
        <f t="shared" si="273"/>
        <v>275.52964995717423</v>
      </c>
      <c r="GX39" s="249">
        <f t="shared" si="274"/>
        <v>4.0974986428562898</v>
      </c>
      <c r="GY39" s="249">
        <f t="shared" si="275"/>
        <v>11.377142387922971</v>
      </c>
      <c r="GZ39" s="249">
        <f t="shared" si="276"/>
        <v>124.33248549211081</v>
      </c>
      <c r="HA39" s="242">
        <f t="shared" si="353"/>
        <v>574.49034965982139</v>
      </c>
      <c r="HB39" s="251">
        <f t="shared" si="277"/>
        <v>93.271955583102311</v>
      </c>
      <c r="HC39" s="249">
        <f t="shared" si="278"/>
        <v>5.8731694207958229</v>
      </c>
      <c r="HD39" s="249">
        <f t="shared" si="279"/>
        <v>2.745995462807433</v>
      </c>
      <c r="HE39" s="249">
        <f t="shared" si="280"/>
        <v>0</v>
      </c>
      <c r="HF39" s="249">
        <f t="shared" si="281"/>
        <v>0.27377766572822726</v>
      </c>
      <c r="HG39" s="249">
        <f t="shared" si="282"/>
        <v>0.27451886666823144</v>
      </c>
      <c r="HH39" s="249">
        <f t="shared" si="283"/>
        <v>20.56295512321762</v>
      </c>
      <c r="HI39" s="249">
        <f t="shared" si="284"/>
        <v>24.278696828113027</v>
      </c>
      <c r="HJ39" s="249">
        <f t="shared" si="285"/>
        <v>46.782131290158524</v>
      </c>
      <c r="HK39" s="249">
        <f t="shared" si="286"/>
        <v>0.54625140712188625</v>
      </c>
      <c r="HL39" s="249">
        <f t="shared" si="287"/>
        <v>28.937412882252726</v>
      </c>
      <c r="HM39" s="249">
        <f t="shared" si="288"/>
        <v>19.281967604366301</v>
      </c>
      <c r="HN39" s="242">
        <f t="shared" si="354"/>
        <v>242.82883213433206</v>
      </c>
      <c r="HO39" s="251">
        <f t="shared" si="289"/>
        <v>1.2131194543427699</v>
      </c>
      <c r="HP39" s="249">
        <f t="shared" si="290"/>
        <v>10.324937781028881</v>
      </c>
      <c r="HQ39" s="249">
        <f t="shared" si="291"/>
        <v>7.4951650027043071</v>
      </c>
      <c r="HR39" s="249">
        <f t="shared" si="292"/>
        <v>10.517132359364508</v>
      </c>
      <c r="HS39" s="249">
        <f t="shared" si="293"/>
        <v>6.6807723346737763E-2</v>
      </c>
      <c r="HT39" s="249">
        <f t="shared" si="294"/>
        <v>6.6462120321068144E-2</v>
      </c>
      <c r="HU39" s="249">
        <f t="shared" si="295"/>
        <v>2.5292649751053302</v>
      </c>
      <c r="HV39" s="249">
        <f t="shared" si="296"/>
        <v>8.0744975881983141</v>
      </c>
      <c r="HW39" s="249">
        <f t="shared" si="297"/>
        <v>0</v>
      </c>
      <c r="HX39" s="249">
        <f t="shared" si="298"/>
        <v>4.9141783466423163</v>
      </c>
      <c r="HY39" s="249">
        <f t="shared" si="299"/>
        <v>153.09145935035158</v>
      </c>
      <c r="HZ39" s="249">
        <f t="shared" si="300"/>
        <v>0</v>
      </c>
      <c r="IA39" s="242">
        <f t="shared" si="355"/>
        <v>198.29302470140581</v>
      </c>
      <c r="IB39" s="251">
        <f t="shared" si="301"/>
        <v>0</v>
      </c>
      <c r="IC39" s="249">
        <f t="shared" si="302"/>
        <v>0</v>
      </c>
      <c r="ID39" s="249">
        <f t="shared" si="303"/>
        <v>40.219621970291243</v>
      </c>
      <c r="IE39" s="249">
        <f t="shared" si="304"/>
        <v>58.857328034919391</v>
      </c>
      <c r="IF39" s="249">
        <f t="shared" si="305"/>
        <v>110.7296087378686</v>
      </c>
      <c r="IG39" s="249">
        <f t="shared" si="306"/>
        <v>53.770816193088514</v>
      </c>
      <c r="IH39" s="249">
        <f t="shared" si="307"/>
        <v>8.8618023571692444</v>
      </c>
      <c r="II39" s="249">
        <f t="shared" si="308"/>
        <v>82.653233895409741</v>
      </c>
      <c r="IJ39" s="249">
        <f t="shared" si="309"/>
        <v>26.622333484243235</v>
      </c>
      <c r="IK39" s="249">
        <f t="shared" si="310"/>
        <v>0.28845389437102847</v>
      </c>
      <c r="IL39" s="249">
        <f t="shared" si="311"/>
        <v>31.919103541832644</v>
      </c>
      <c r="IM39" s="249">
        <f t="shared" si="312"/>
        <v>9.4482526541919061</v>
      </c>
      <c r="IN39" s="242">
        <f t="shared" si="356"/>
        <v>423.3705547633856</v>
      </c>
      <c r="IO39" s="251">
        <f t="shared" si="313"/>
        <v>9.4870326282216055</v>
      </c>
      <c r="IP39" s="249">
        <f t="shared" si="314"/>
        <v>2.5994133169110674</v>
      </c>
      <c r="IQ39" s="249">
        <f t="shared" si="315"/>
        <v>31.838414093887664</v>
      </c>
      <c r="IR39" s="249">
        <f t="shared" si="316"/>
        <v>0</v>
      </c>
      <c r="IS39" s="249">
        <f t="shared" si="317"/>
        <v>52.374601130320386</v>
      </c>
      <c r="IT39" s="249">
        <f t="shared" si="318"/>
        <v>53.514774503917607</v>
      </c>
      <c r="IU39" s="249">
        <f t="shared" si="319"/>
        <v>0</v>
      </c>
      <c r="IV39" s="249">
        <f t="shared" si="320"/>
        <v>6.9242581870606585</v>
      </c>
      <c r="IW39" s="249">
        <f t="shared" si="321"/>
        <v>0.29772690935899071</v>
      </c>
      <c r="IX39" s="249">
        <f t="shared" si="322"/>
        <v>62.288768138626494</v>
      </c>
      <c r="IY39" s="249">
        <f t="shared" si="323"/>
        <v>19.179514570912097</v>
      </c>
      <c r="IZ39" s="249">
        <f t="shared" si="324"/>
        <v>83.832283985473779</v>
      </c>
      <c r="JA39" s="242">
        <f t="shared" si="357"/>
        <v>322.33678746469036</v>
      </c>
      <c r="JB39" s="251">
        <f t="shared" si="325"/>
        <v>72.218605241207854</v>
      </c>
      <c r="JC39" s="249">
        <f t="shared" si="326"/>
        <v>43.470352047895922</v>
      </c>
      <c r="JD39" s="249">
        <f t="shared" si="327"/>
        <v>61.614777541194442</v>
      </c>
      <c r="JE39" s="249">
        <f t="shared" si="328"/>
        <v>54.831615212296988</v>
      </c>
      <c r="JF39" s="249">
        <f t="shared" si="329"/>
        <v>8.9757711704181666</v>
      </c>
      <c r="JG39" s="249">
        <f t="shared" si="330"/>
        <v>17.242410380211805</v>
      </c>
      <c r="JH39" s="249">
        <f t="shared" si="331"/>
        <v>15.46165579854924</v>
      </c>
      <c r="JI39" s="249">
        <f t="shared" si="332"/>
        <v>5.4672005855357293</v>
      </c>
      <c r="JJ39" s="249">
        <f t="shared" si="333"/>
        <v>3.7806979074230673</v>
      </c>
      <c r="JK39" s="249">
        <f t="shared" si="334"/>
        <v>6.9278418819976837</v>
      </c>
      <c r="JL39" s="249">
        <f t="shared" si="335"/>
        <v>4.4568825756077608</v>
      </c>
      <c r="JM39" s="249">
        <f t="shared" si="336"/>
        <v>26.443710093468301</v>
      </c>
      <c r="JN39" s="242">
        <f t="shared" si="358"/>
        <v>320.89152043580702</v>
      </c>
      <c r="JO39" s="251">
        <v>11.585929020725942</v>
      </c>
      <c r="JP39" s="249">
        <v>4.5407600552452818</v>
      </c>
      <c r="JQ39" s="249">
        <v>17.174408834721678</v>
      </c>
      <c r="JR39" s="249">
        <v>69.793550573282147</v>
      </c>
      <c r="JS39" s="249">
        <f t="shared" si="337"/>
        <v>73.757658552470403</v>
      </c>
      <c r="JT39" s="249">
        <f t="shared" si="359"/>
        <v>36.688653603059606</v>
      </c>
      <c r="JU39" s="249">
        <f t="shared" si="360"/>
        <v>59.85990409142812</v>
      </c>
      <c r="JV39" s="249">
        <f t="shared" si="361"/>
        <v>55.039619549441746</v>
      </c>
      <c r="JW39" s="249">
        <f>+JW16/$JW$26</f>
        <v>40.93256388397743</v>
      </c>
      <c r="JX39" s="249">
        <f t="shared" si="376"/>
        <v>39.460775374713037</v>
      </c>
      <c r="JY39" s="249">
        <f t="shared" si="363"/>
        <v>117.21834723724299</v>
      </c>
      <c r="JZ39" s="249">
        <f t="shared" si="377"/>
        <v>5.9379767515172066</v>
      </c>
      <c r="KA39" s="242">
        <f t="shared" si="381"/>
        <v>531.99014752782557</v>
      </c>
      <c r="KB39" s="1324">
        <f t="shared" si="364"/>
        <v>0</v>
      </c>
      <c r="KC39">
        <f t="shared" si="365"/>
        <v>0</v>
      </c>
      <c r="KD39">
        <f t="shared" si="366"/>
        <v>91.405839252370484</v>
      </c>
      <c r="KE39">
        <f>+KE16/$KE$26</f>
        <v>192.37722206274819</v>
      </c>
      <c r="KF39">
        <f t="shared" si="367"/>
        <v>5.7242675477975249</v>
      </c>
      <c r="KG39">
        <f t="shared" si="368"/>
        <v>31.245583625257733</v>
      </c>
      <c r="KH39">
        <f t="shared" si="369"/>
        <v>33.612089677666113</v>
      </c>
      <c r="KI39">
        <f t="shared" si="370"/>
        <v>73.546677293903457</v>
      </c>
      <c r="KN39" s="1330">
        <f t="shared" si="371"/>
        <v>427.91167945974348</v>
      </c>
      <c r="KP39" s="1614">
        <f t="shared" si="372"/>
        <v>33.624973965957274</v>
      </c>
      <c r="KQ39" s="22">
        <f t="shared" si="373"/>
        <v>30.285911737498992</v>
      </c>
      <c r="KR39" s="53">
        <f t="shared" si="374"/>
        <v>328.4404842803749</v>
      </c>
      <c r="KS39" s="53">
        <f t="shared" si="375"/>
        <v>427.91167945974348</v>
      </c>
    </row>
    <row r="40" spans="1:305" ht="13.9" customHeight="1" x14ac:dyDescent="0.2">
      <c r="A40" s="238" t="s">
        <v>454</v>
      </c>
      <c r="B40" s="235">
        <v>139</v>
      </c>
      <c r="C40" s="233">
        <v>116</v>
      </c>
      <c r="D40" s="233">
        <v>44</v>
      </c>
      <c r="E40" s="233">
        <v>101</v>
      </c>
      <c r="F40" s="233">
        <v>164</v>
      </c>
      <c r="G40" s="233">
        <v>95</v>
      </c>
      <c r="H40" s="233">
        <v>142</v>
      </c>
      <c r="I40" s="233">
        <v>60</v>
      </c>
      <c r="J40" s="233">
        <v>114</v>
      </c>
      <c r="K40" s="233">
        <v>55</v>
      </c>
      <c r="L40" s="233">
        <v>241</v>
      </c>
      <c r="M40" s="233">
        <v>48</v>
      </c>
      <c r="N40" s="242">
        <f>SUM(B40:M40)</f>
        <v>1319</v>
      </c>
      <c r="O40" s="235">
        <f t="shared" si="338"/>
        <v>5.9039256465968602E-2</v>
      </c>
      <c r="P40" s="233">
        <f t="shared" si="100"/>
        <v>5.9175359793493643E-2</v>
      </c>
      <c r="Q40" s="233">
        <f t="shared" si="101"/>
        <v>5.8793203967703565E-2</v>
      </c>
      <c r="R40" s="233">
        <f t="shared" si="102"/>
        <v>5.8722736683683142E-2</v>
      </c>
      <c r="S40" s="233">
        <f t="shared" si="103"/>
        <v>5.8646496238573001E-2</v>
      </c>
      <c r="T40" s="233">
        <f t="shared" si="104"/>
        <v>0.11698882154113906</v>
      </c>
      <c r="U40" s="233">
        <f t="shared" si="105"/>
        <v>5.8435974795773747E-2</v>
      </c>
      <c r="V40" s="233">
        <f t="shared" si="106"/>
        <v>5.8541349224377787E-2</v>
      </c>
      <c r="W40" s="233">
        <f t="shared" si="107"/>
        <v>5.8594083899887524E-2</v>
      </c>
      <c r="X40" s="233">
        <f t="shared" si="108"/>
        <v>5.8512166866274737E-2</v>
      </c>
      <c r="Y40" s="233">
        <f t="shared" si="109"/>
        <v>5.8471237000374481E-2</v>
      </c>
      <c r="Z40" s="233">
        <f t="shared" si="110"/>
        <v>5.8226684923694955E-2</v>
      </c>
      <c r="AA40" s="242">
        <f t="shared" si="339"/>
        <v>0.76214737140094424</v>
      </c>
      <c r="AB40" s="235">
        <f t="shared" si="111"/>
        <v>0</v>
      </c>
      <c r="AC40" s="233">
        <f t="shared" si="112"/>
        <v>0</v>
      </c>
      <c r="AD40" s="233">
        <f t="shared" si="113"/>
        <v>0.57356250679073761</v>
      </c>
      <c r="AE40" s="233">
        <f t="shared" si="114"/>
        <v>0</v>
      </c>
      <c r="AF40" s="233">
        <f t="shared" si="115"/>
        <v>0</v>
      </c>
      <c r="AG40" s="233">
        <f t="shared" si="116"/>
        <v>0</v>
      </c>
      <c r="AH40" s="233">
        <f t="shared" si="117"/>
        <v>0</v>
      </c>
      <c r="AI40" s="233">
        <f t="shared" si="118"/>
        <v>0</v>
      </c>
      <c r="AJ40" s="233">
        <f t="shared" si="119"/>
        <v>0</v>
      </c>
      <c r="AK40" s="233">
        <f t="shared" si="120"/>
        <v>0</v>
      </c>
      <c r="AL40" s="233">
        <f t="shared" si="121"/>
        <v>0</v>
      </c>
      <c r="AM40" s="233">
        <f t="shared" si="122"/>
        <v>0</v>
      </c>
      <c r="AN40" s="242">
        <f t="shared" si="340"/>
        <v>0.57356250679073761</v>
      </c>
      <c r="AO40" s="235">
        <f t="shared" si="123"/>
        <v>0</v>
      </c>
      <c r="AP40" s="233">
        <f t="shared" si="124"/>
        <v>0</v>
      </c>
      <c r="AQ40" s="233">
        <f t="shared" si="125"/>
        <v>0</v>
      </c>
      <c r="AR40" s="233">
        <f t="shared" si="126"/>
        <v>0</v>
      </c>
      <c r="AS40" s="233">
        <f t="shared" si="127"/>
        <v>0</v>
      </c>
      <c r="AT40" s="233">
        <f t="shared" si="128"/>
        <v>0</v>
      </c>
      <c r="AU40" s="233">
        <f t="shared" si="129"/>
        <v>0</v>
      </c>
      <c r="AV40" s="233">
        <f t="shared" si="130"/>
        <v>0</v>
      </c>
      <c r="AW40" s="233">
        <f t="shared" si="131"/>
        <v>0</v>
      </c>
      <c r="AX40" s="233">
        <f t="shared" si="132"/>
        <v>0</v>
      </c>
      <c r="AY40" s="233">
        <f t="shared" si="133"/>
        <v>0</v>
      </c>
      <c r="AZ40" s="233">
        <f t="shared" si="134"/>
        <v>0</v>
      </c>
      <c r="BA40" s="242">
        <f t="shared" si="341"/>
        <v>0</v>
      </c>
      <c r="BB40" s="235">
        <f t="shared" si="135"/>
        <v>0</v>
      </c>
      <c r="BC40" s="233">
        <f t="shared" si="136"/>
        <v>0</v>
      </c>
      <c r="BD40" s="233">
        <f t="shared" si="137"/>
        <v>0.54206135667300648</v>
      </c>
      <c r="BE40" s="233">
        <f t="shared" si="138"/>
        <v>0</v>
      </c>
      <c r="BF40" s="233">
        <f t="shared" si="139"/>
        <v>0</v>
      </c>
      <c r="BG40" s="233">
        <f t="shared" si="140"/>
        <v>0</v>
      </c>
      <c r="BH40" s="233">
        <f t="shared" si="141"/>
        <v>0</v>
      </c>
      <c r="BI40" s="233">
        <f t="shared" si="142"/>
        <v>0</v>
      </c>
      <c r="BJ40" s="233">
        <f t="shared" si="143"/>
        <v>0</v>
      </c>
      <c r="BK40" s="233">
        <f t="shared" si="144"/>
        <v>0</v>
      </c>
      <c r="BL40" s="233">
        <f t="shared" si="145"/>
        <v>0</v>
      </c>
      <c r="BM40" s="233">
        <f t="shared" si="146"/>
        <v>0</v>
      </c>
      <c r="BN40" s="242">
        <f t="shared" si="342"/>
        <v>0.54206135667300648</v>
      </c>
      <c r="BO40" s="235">
        <f t="shared" si="147"/>
        <v>0</v>
      </c>
      <c r="BP40" s="233">
        <f t="shared" si="148"/>
        <v>20.24692219383552</v>
      </c>
      <c r="BQ40" s="233">
        <f t="shared" si="149"/>
        <v>6.2074753023992155</v>
      </c>
      <c r="BR40" s="233">
        <f t="shared" si="150"/>
        <v>0</v>
      </c>
      <c r="BS40" s="233">
        <f t="shared" si="379"/>
        <v>0</v>
      </c>
      <c r="BT40" s="233">
        <f t="shared" si="380"/>
        <v>0</v>
      </c>
      <c r="BU40" s="233">
        <f t="shared" si="151"/>
        <v>0</v>
      </c>
      <c r="BV40" s="233">
        <f t="shared" si="152"/>
        <v>0</v>
      </c>
      <c r="BW40" s="233">
        <f t="shared" si="153"/>
        <v>0</v>
      </c>
      <c r="BX40" s="233">
        <f t="shared" si="154"/>
        <v>0</v>
      </c>
      <c r="BY40" s="233">
        <f t="shared" si="155"/>
        <v>0</v>
      </c>
      <c r="BZ40" s="233">
        <f t="shared" si="156"/>
        <v>0</v>
      </c>
      <c r="CA40" s="242">
        <f t="shared" si="343"/>
        <v>26.454397496234733</v>
      </c>
      <c r="CB40" s="235">
        <f t="shared" si="157"/>
        <v>0</v>
      </c>
      <c r="CC40" s="233">
        <f t="shared" si="158"/>
        <v>0</v>
      </c>
      <c r="CD40" s="233">
        <f t="shared" si="159"/>
        <v>0</v>
      </c>
      <c r="CE40" s="233">
        <f t="shared" si="160"/>
        <v>0</v>
      </c>
      <c r="CF40" s="233">
        <f t="shared" si="161"/>
        <v>0</v>
      </c>
      <c r="CG40" s="233">
        <f t="shared" si="162"/>
        <v>0</v>
      </c>
      <c r="CH40" s="233">
        <f t="shared" si="163"/>
        <v>0</v>
      </c>
      <c r="CI40" s="233">
        <f t="shared" si="164"/>
        <v>0</v>
      </c>
      <c r="CJ40" s="233">
        <f t="shared" si="165"/>
        <v>0</v>
      </c>
      <c r="CK40" s="233">
        <f t="shared" si="166"/>
        <v>0</v>
      </c>
      <c r="CL40" s="233">
        <f t="shared" si="167"/>
        <v>0</v>
      </c>
      <c r="CM40" s="233">
        <f t="shared" si="168"/>
        <v>0</v>
      </c>
      <c r="CN40" s="242">
        <f t="shared" si="344"/>
        <v>0</v>
      </c>
      <c r="CO40" s="235">
        <f t="shared" si="169"/>
        <v>0</v>
      </c>
      <c r="CP40" s="233">
        <f t="shared" si="170"/>
        <v>0</v>
      </c>
      <c r="CQ40" s="233">
        <f t="shared" si="171"/>
        <v>0</v>
      </c>
      <c r="CR40" s="233">
        <f t="shared" si="172"/>
        <v>1.489994685685621</v>
      </c>
      <c r="CS40" s="233">
        <f t="shared" si="173"/>
        <v>0</v>
      </c>
      <c r="CT40" s="233">
        <f t="shared" si="174"/>
        <v>0</v>
      </c>
      <c r="CU40" s="233">
        <f t="shared" si="175"/>
        <v>0</v>
      </c>
      <c r="CV40" s="233">
        <f t="shared" si="176"/>
        <v>0</v>
      </c>
      <c r="CW40" s="233">
        <f t="shared" si="177"/>
        <v>0</v>
      </c>
      <c r="CX40" s="233">
        <f t="shared" si="178"/>
        <v>0</v>
      </c>
      <c r="CY40" s="233">
        <f t="shared" si="179"/>
        <v>0</v>
      </c>
      <c r="CZ40" s="233">
        <f t="shared" si="180"/>
        <v>0</v>
      </c>
      <c r="DA40" s="242">
        <f t="shared" si="345"/>
        <v>1.489994685685621</v>
      </c>
      <c r="DB40" s="235">
        <f t="shared" si="181"/>
        <v>0</v>
      </c>
      <c r="DC40" s="233">
        <f t="shared" si="182"/>
        <v>0</v>
      </c>
      <c r="DD40" s="233">
        <f t="shared" si="183"/>
        <v>0</v>
      </c>
      <c r="DE40" s="233">
        <f t="shared" si="184"/>
        <v>0</v>
      </c>
      <c r="DF40" s="233">
        <f t="shared" si="185"/>
        <v>0</v>
      </c>
      <c r="DG40" s="233">
        <f t="shared" si="186"/>
        <v>0</v>
      </c>
      <c r="DH40" s="233">
        <f t="shared" si="187"/>
        <v>0.4768035092738282</v>
      </c>
      <c r="DI40" s="233">
        <f t="shared" si="188"/>
        <v>0</v>
      </c>
      <c r="DJ40" s="233">
        <f t="shared" si="189"/>
        <v>0</v>
      </c>
      <c r="DK40" s="233">
        <f t="shared" si="190"/>
        <v>0</v>
      </c>
      <c r="DL40" s="233">
        <f t="shared" si="191"/>
        <v>0</v>
      </c>
      <c r="DM40" s="233">
        <f t="shared" si="192"/>
        <v>0</v>
      </c>
      <c r="DN40" s="242">
        <f t="shared" si="346"/>
        <v>0.4768035092738282</v>
      </c>
      <c r="DO40" s="235">
        <f t="shared" si="193"/>
        <v>0</v>
      </c>
      <c r="DP40" s="233">
        <f t="shared" si="194"/>
        <v>0</v>
      </c>
      <c r="DQ40" s="233">
        <f t="shared" si="195"/>
        <v>3.1331836887392446</v>
      </c>
      <c r="DR40" s="233">
        <f t="shared" si="196"/>
        <v>0</v>
      </c>
      <c r="DS40" s="233">
        <f t="shared" si="197"/>
        <v>0</v>
      </c>
      <c r="DT40" s="233">
        <f t="shared" si="198"/>
        <v>0.18575276307235072</v>
      </c>
      <c r="DU40" s="233">
        <f t="shared" si="199"/>
        <v>0</v>
      </c>
      <c r="DV40" s="233">
        <f t="shared" si="200"/>
        <v>0</v>
      </c>
      <c r="DW40" s="233">
        <f t="shared" si="201"/>
        <v>0</v>
      </c>
      <c r="DX40" s="233">
        <f t="shared" si="202"/>
        <v>4.5867141238688014E-2</v>
      </c>
      <c r="DY40" s="233">
        <f t="shared" si="203"/>
        <v>0.18387338478723553</v>
      </c>
      <c r="DZ40" s="233">
        <f t="shared" si="204"/>
        <v>0.2294514733079101</v>
      </c>
      <c r="EA40" s="242">
        <f t="shared" si="347"/>
        <v>3.7781284511454292</v>
      </c>
      <c r="EB40" s="235">
        <f t="shared" si="205"/>
        <v>0.32020493115593973</v>
      </c>
      <c r="EC40" s="233">
        <f t="shared" si="206"/>
        <v>3.2284467078937795</v>
      </c>
      <c r="ED40" s="233">
        <f t="shared" si="207"/>
        <v>6.5593051660182757</v>
      </c>
      <c r="EE40" s="233">
        <f t="shared" si="208"/>
        <v>5.4071103501103952</v>
      </c>
      <c r="EF40" s="233">
        <f t="shared" si="209"/>
        <v>3.7762992267577773</v>
      </c>
      <c r="EG40" s="233">
        <f t="shared" si="210"/>
        <v>3.5459401229857717</v>
      </c>
      <c r="EH40" s="233">
        <f t="shared" si="211"/>
        <v>4.6927374301675977</v>
      </c>
      <c r="EI40" s="233">
        <f t="shared" si="212"/>
        <v>2.2366360993066428</v>
      </c>
      <c r="EJ40" s="233">
        <f t="shared" si="213"/>
        <v>3.7515073020409986</v>
      </c>
      <c r="EK40" s="233">
        <f t="shared" si="214"/>
        <v>4.1822388325324793</v>
      </c>
      <c r="EL40" s="233">
        <f t="shared" si="215"/>
        <v>6.214686748061669</v>
      </c>
      <c r="EM40" s="233">
        <f t="shared" si="216"/>
        <v>4.0579665688628079</v>
      </c>
      <c r="EN40" s="242">
        <f t="shared" si="348"/>
        <v>47.973079485894132</v>
      </c>
      <c r="EO40" s="235">
        <f t="shared" si="217"/>
        <v>3.1120140244984911</v>
      </c>
      <c r="EP40" s="233">
        <f t="shared" si="218"/>
        <v>3.1417319350413733</v>
      </c>
      <c r="EQ40" s="233">
        <f t="shared" si="219"/>
        <v>1.7566202626147294</v>
      </c>
      <c r="ER40" s="233">
        <f t="shared" si="220"/>
        <v>2.1872265966754156</v>
      </c>
      <c r="ES40" s="233">
        <f t="shared" si="221"/>
        <v>2.2620497650948321</v>
      </c>
      <c r="ET40" s="233">
        <f t="shared" si="222"/>
        <v>1.7345752892404296</v>
      </c>
      <c r="EU40" s="233">
        <f t="shared" si="223"/>
        <v>3.0572858944472046</v>
      </c>
      <c r="EV40" s="233">
        <f t="shared" si="224"/>
        <v>4.7970030152590377</v>
      </c>
      <c r="EW40" s="233">
        <f t="shared" si="225"/>
        <v>4.9477818713272237</v>
      </c>
      <c r="EX40" s="233">
        <f t="shared" si="226"/>
        <v>2.2803977013591168</v>
      </c>
      <c r="EY40" s="233">
        <f t="shared" si="227"/>
        <v>3.4090831611746335</v>
      </c>
      <c r="EZ40" s="233">
        <f t="shared" si="228"/>
        <v>2.9412430145478403</v>
      </c>
      <c r="FA40" s="242">
        <f t="shared" si="349"/>
        <v>35.627012531280329</v>
      </c>
      <c r="FB40" s="235">
        <f t="shared" si="229"/>
        <v>4.5082952632844435</v>
      </c>
      <c r="FC40" s="233">
        <f t="shared" si="230"/>
        <v>2.8504133099299396</v>
      </c>
      <c r="FD40" s="233">
        <f t="shared" si="231"/>
        <v>3.6536081244314542</v>
      </c>
      <c r="FE40" s="233">
        <f t="shared" si="232"/>
        <v>4.3242598432828592</v>
      </c>
      <c r="FF40" s="233">
        <f t="shared" si="233"/>
        <v>2.2319933932995557</v>
      </c>
      <c r="FG40" s="233">
        <f t="shared" si="234"/>
        <v>2.2288758293275479</v>
      </c>
      <c r="FH40" s="233">
        <f t="shared" si="235"/>
        <v>5.5677220593147982</v>
      </c>
      <c r="FI40" s="233">
        <f t="shared" si="236"/>
        <v>4.4381980915748205</v>
      </c>
      <c r="FJ40" s="233">
        <f t="shared" si="237"/>
        <v>4.6503388103990426</v>
      </c>
      <c r="FK40" s="233">
        <f t="shared" si="238"/>
        <v>2.8670357056215954</v>
      </c>
      <c r="FL40" s="233">
        <f t="shared" si="239"/>
        <v>3.6650442737348268</v>
      </c>
      <c r="FM40" s="233">
        <f t="shared" si="240"/>
        <v>2.6301562020544442</v>
      </c>
      <c r="FN40" s="242">
        <f t="shared" si="350"/>
        <v>43.615940906255325</v>
      </c>
      <c r="FO40" s="235">
        <f t="shared" si="241"/>
        <v>4.6646550341831752</v>
      </c>
      <c r="FP40" s="233">
        <f t="shared" si="242"/>
        <v>2.1795831184022205</v>
      </c>
      <c r="FQ40" s="233">
        <f t="shared" si="243"/>
        <v>2.7253623656145334</v>
      </c>
      <c r="FR40" s="233">
        <f t="shared" si="244"/>
        <v>1.5100526361204591</v>
      </c>
      <c r="FS40" s="233">
        <f t="shared" si="245"/>
        <v>2.0941047341209091</v>
      </c>
      <c r="FT40" s="233">
        <f t="shared" si="246"/>
        <v>3.4716697284864968</v>
      </c>
      <c r="FU40" s="233">
        <f t="shared" si="247"/>
        <v>3.3925465031507378</v>
      </c>
      <c r="FV40" s="233">
        <f t="shared" si="248"/>
        <v>3.8718836714061391</v>
      </c>
      <c r="FW40" s="233">
        <f t="shared" si="249"/>
        <v>2.9403538464848427</v>
      </c>
      <c r="FX40" s="233">
        <f t="shared" si="250"/>
        <v>2.8821766197832606</v>
      </c>
      <c r="FY40" s="233">
        <f t="shared" si="251"/>
        <v>3.3211482643391887</v>
      </c>
      <c r="FZ40" s="233">
        <f t="shared" si="252"/>
        <v>2.1625062493526803</v>
      </c>
      <c r="GA40" s="242">
        <f t="shared" si="351"/>
        <v>35.216042771444641</v>
      </c>
      <c r="GB40" s="235">
        <f t="shared" si="253"/>
        <v>3.5994977351987099</v>
      </c>
      <c r="GC40" s="233">
        <f t="shared" si="254"/>
        <v>2.1543128589717964</v>
      </c>
      <c r="GD40" s="233">
        <f t="shared" si="255"/>
        <v>2.2152684720909441</v>
      </c>
      <c r="GE40" s="233">
        <f t="shared" si="256"/>
        <v>2.7192974015058455</v>
      </c>
      <c r="GF40" s="233">
        <f t="shared" si="257"/>
        <v>2.3610229072525732</v>
      </c>
      <c r="GG40" s="233">
        <f t="shared" si="258"/>
        <v>10.054826041415236</v>
      </c>
      <c r="GH40" s="233">
        <f t="shared" si="259"/>
        <v>2.7705938399697758</v>
      </c>
      <c r="GI40" s="233">
        <f t="shared" si="260"/>
        <v>3.0507912820692167</v>
      </c>
      <c r="GJ40" s="233">
        <f t="shared" si="261"/>
        <v>38.027165094951442</v>
      </c>
      <c r="GK40" s="233">
        <f t="shared" si="262"/>
        <v>3.4671166040214771</v>
      </c>
      <c r="GL40" s="233">
        <f t="shared" si="263"/>
        <v>2.7562343057073879</v>
      </c>
      <c r="GM40" s="233">
        <f t="shared" si="264"/>
        <v>13.544772913776187</v>
      </c>
      <c r="GN40" s="242">
        <f t="shared" si="352"/>
        <v>86.720899456930596</v>
      </c>
      <c r="GO40" s="235">
        <f t="shared" si="265"/>
        <v>10.433459033046015</v>
      </c>
      <c r="GP40" s="233">
        <f t="shared" si="266"/>
        <v>43.174360962685093</v>
      </c>
      <c r="GQ40" s="233">
        <f t="shared" si="267"/>
        <v>14.747758080852838</v>
      </c>
      <c r="GR40" s="233">
        <f t="shared" si="268"/>
        <v>16.043667918173853</v>
      </c>
      <c r="GS40" s="233">
        <f t="shared" si="269"/>
        <v>29.392554044886438</v>
      </c>
      <c r="GT40" s="233">
        <f t="shared" si="270"/>
        <v>14.151808834377361</v>
      </c>
      <c r="GU40" s="233">
        <f t="shared" si="271"/>
        <v>13.49739395037121</v>
      </c>
      <c r="GV40" s="233">
        <f t="shared" si="272"/>
        <v>14.671352464440538</v>
      </c>
      <c r="GW40" s="233">
        <f t="shared" si="273"/>
        <v>12.792696339167311</v>
      </c>
      <c r="GX40" s="233">
        <f t="shared" si="274"/>
        <v>56.114896668269182</v>
      </c>
      <c r="GY40" s="233">
        <f t="shared" si="275"/>
        <v>41.276827565940053</v>
      </c>
      <c r="GZ40" s="233">
        <f t="shared" si="276"/>
        <v>25.06033393549227</v>
      </c>
      <c r="HA40" s="242">
        <f t="shared" si="353"/>
        <v>291.35710979770215</v>
      </c>
      <c r="HB40" s="235">
        <f t="shared" si="277"/>
        <v>16.052740130029477</v>
      </c>
      <c r="HC40" s="233">
        <f t="shared" si="278"/>
        <v>14.302894942408651</v>
      </c>
      <c r="HD40" s="233">
        <f t="shared" si="279"/>
        <v>10.434782758668245</v>
      </c>
      <c r="HE40" s="233">
        <f t="shared" si="280"/>
        <v>0.20574391579476276</v>
      </c>
      <c r="HF40" s="233">
        <f t="shared" si="281"/>
        <v>6.8444416432056815E-2</v>
      </c>
      <c r="HG40" s="233">
        <f t="shared" si="282"/>
        <v>31.981447966848965</v>
      </c>
      <c r="HH40" s="233">
        <f t="shared" si="283"/>
        <v>6.8315465525639931</v>
      </c>
      <c r="HI40" s="233">
        <f t="shared" si="284"/>
        <v>29.066045498445174</v>
      </c>
      <c r="HJ40" s="233">
        <f t="shared" si="285"/>
        <v>6.7612131353659768</v>
      </c>
      <c r="HK40" s="233">
        <f t="shared" si="286"/>
        <v>40.695729830580525</v>
      </c>
      <c r="HL40" s="233">
        <f t="shared" si="287"/>
        <v>13.110142456044075</v>
      </c>
      <c r="HM40" s="233">
        <f t="shared" si="288"/>
        <v>6.7894252128050363</v>
      </c>
      <c r="HN40" s="242">
        <f t="shared" si="354"/>
        <v>176.30015681598695</v>
      </c>
      <c r="HO40" s="235">
        <f t="shared" si="289"/>
        <v>12.468172169634023</v>
      </c>
      <c r="HP40" s="233">
        <f t="shared" si="290"/>
        <v>22.944306180064178</v>
      </c>
      <c r="HQ40" s="233">
        <f t="shared" si="291"/>
        <v>7.4951650027043071</v>
      </c>
      <c r="HR40" s="233">
        <f t="shared" si="292"/>
        <v>8.5074892333712899</v>
      </c>
      <c r="HS40" s="233">
        <f t="shared" si="293"/>
        <v>7.5492727381813669</v>
      </c>
      <c r="HT40" s="233">
        <f t="shared" si="294"/>
        <v>8.8241823612402506</v>
      </c>
      <c r="HU40" s="233">
        <f t="shared" si="295"/>
        <v>12.539706501337701</v>
      </c>
      <c r="HV40" s="233">
        <f t="shared" si="296"/>
        <v>8.6641865983830737</v>
      </c>
      <c r="HW40" s="233">
        <f t="shared" si="297"/>
        <v>62.006848844371525</v>
      </c>
      <c r="HX40" s="233">
        <f t="shared" si="298"/>
        <v>8.2101752963064651</v>
      </c>
      <c r="HY40" s="233">
        <f t="shared" si="299"/>
        <v>12.215161151220258</v>
      </c>
      <c r="HZ40" s="233">
        <f t="shared" si="300"/>
        <v>8.9461201873740102</v>
      </c>
      <c r="IA40" s="242">
        <f t="shared" si="355"/>
        <v>180.37078626418844</v>
      </c>
      <c r="IB40" s="235">
        <f t="shared" si="301"/>
        <v>10.601222539546958</v>
      </c>
      <c r="IC40" s="233">
        <f t="shared" si="302"/>
        <v>11.329258034102903</v>
      </c>
      <c r="ID40" s="233">
        <f t="shared" si="303"/>
        <v>7.5349991472988815</v>
      </c>
      <c r="IE40" s="233">
        <f t="shared" si="304"/>
        <v>82.760718697298643</v>
      </c>
      <c r="IF40" s="233">
        <f t="shared" si="305"/>
        <v>10.585195262996139</v>
      </c>
      <c r="IG40" s="233">
        <f t="shared" si="306"/>
        <v>13.443024759822507</v>
      </c>
      <c r="IH40" s="233">
        <f t="shared" si="307"/>
        <v>8.6281867766246521</v>
      </c>
      <c r="II40" s="233">
        <f t="shared" si="308"/>
        <v>15.237066373918774</v>
      </c>
      <c r="IJ40" s="233">
        <f t="shared" si="309"/>
        <v>18.707686229136822</v>
      </c>
      <c r="IK40" s="233">
        <f t="shared" si="310"/>
        <v>12.848442437565463</v>
      </c>
      <c r="IL40" s="233">
        <f t="shared" si="311"/>
        <v>16.000748302552715</v>
      </c>
      <c r="IM40" s="233">
        <f t="shared" si="312"/>
        <v>42.611869529844157</v>
      </c>
      <c r="IN40" s="242">
        <f t="shared" si="356"/>
        <v>250.2884180907086</v>
      </c>
      <c r="IO40" s="235">
        <f t="shared" si="313"/>
        <v>31.061546793328631</v>
      </c>
      <c r="IP40" s="233">
        <f t="shared" si="314"/>
        <v>10.368973113060342</v>
      </c>
      <c r="IQ40" s="233">
        <f t="shared" si="315"/>
        <v>9.0289563380715343</v>
      </c>
      <c r="IR40" s="233">
        <f t="shared" si="316"/>
        <v>40.713901208648274</v>
      </c>
      <c r="IS40" s="233">
        <f t="shared" si="317"/>
        <v>38.456787736778679</v>
      </c>
      <c r="IT40" s="233">
        <f t="shared" si="318"/>
        <v>11.74629069948954</v>
      </c>
      <c r="IU40" s="233">
        <f t="shared" si="319"/>
        <v>15.819771630817474</v>
      </c>
      <c r="IV40" s="233">
        <f t="shared" si="320"/>
        <v>46.456395083674408</v>
      </c>
      <c r="IW40" s="233">
        <f t="shared" si="321"/>
        <v>21.224558573618399</v>
      </c>
      <c r="IX40" s="233">
        <f t="shared" si="322"/>
        <v>14.51551634045077</v>
      </c>
      <c r="IY40" s="233">
        <f t="shared" si="323"/>
        <v>11.832025960741182</v>
      </c>
      <c r="IZ40" s="233">
        <f t="shared" si="324"/>
        <v>12.338581464311035</v>
      </c>
      <c r="JA40" s="242">
        <f t="shared" si="357"/>
        <v>263.56330494299033</v>
      </c>
      <c r="JB40" s="235">
        <f t="shared" si="325"/>
        <v>14.856995399127294</v>
      </c>
      <c r="JC40" s="233">
        <f t="shared" si="326"/>
        <v>13.855576785608214</v>
      </c>
      <c r="JD40" s="233">
        <f t="shared" si="327"/>
        <v>28.688401310218996</v>
      </c>
      <c r="JE40" s="233">
        <f t="shared" si="328"/>
        <v>34.747026290875858</v>
      </c>
      <c r="JF40" s="233">
        <f t="shared" si="329"/>
        <v>15.519052438346485</v>
      </c>
      <c r="JG40" s="233">
        <f t="shared" si="330"/>
        <v>32.680637255012684</v>
      </c>
      <c r="JH40" s="233">
        <f t="shared" si="331"/>
        <v>20.320875237760188</v>
      </c>
      <c r="JI40" s="233">
        <f t="shared" si="332"/>
        <v>29.237942108947053</v>
      </c>
      <c r="JJ40" s="233">
        <f t="shared" si="333"/>
        <v>61.889439574386586</v>
      </c>
      <c r="JK40" s="233">
        <f t="shared" si="334"/>
        <v>28.876794791990491</v>
      </c>
      <c r="JL40" s="233">
        <f t="shared" si="335"/>
        <v>30.465453607834746</v>
      </c>
      <c r="JM40" s="233">
        <f t="shared" si="336"/>
        <v>42.863316153838895</v>
      </c>
      <c r="JN40" s="242">
        <f t="shared" si="358"/>
        <v>354.00151095394756</v>
      </c>
      <c r="JO40" s="235">
        <v>60.3148857420396</v>
      </c>
      <c r="JP40" s="233">
        <v>22.321381532285301</v>
      </c>
      <c r="JQ40" s="233">
        <v>36.413837317937336</v>
      </c>
      <c r="JR40" s="233">
        <v>35.971516829579556</v>
      </c>
      <c r="JS40" s="233">
        <f t="shared" si="337"/>
        <v>33.026766691690042</v>
      </c>
      <c r="JT40" s="233">
        <f t="shared" si="359"/>
        <v>29.763857045465844</v>
      </c>
      <c r="JU40" s="233">
        <f t="shared" si="360"/>
        <v>62.997151274769145</v>
      </c>
      <c r="JV40" s="233">
        <f t="shared" si="361"/>
        <v>47.073262186988629</v>
      </c>
      <c r="JW40" s="233">
        <f t="shared" si="362"/>
        <v>58.786003723733081</v>
      </c>
      <c r="JX40" s="233">
        <f>+JX17/$JX$26</f>
        <v>57.385129463226377</v>
      </c>
      <c r="JY40" s="233">
        <f t="shared" si="363"/>
        <v>43.253877043215908</v>
      </c>
      <c r="JZ40" s="233">
        <f t="shared" si="377"/>
        <v>30.325536727521616</v>
      </c>
      <c r="KA40" s="242">
        <f t="shared" si="381"/>
        <v>517.63320557845236</v>
      </c>
      <c r="KB40" s="1324">
        <f>+KB17/$KB$26</f>
        <v>31.28876595813815</v>
      </c>
      <c r="KC40">
        <f t="shared" si="365"/>
        <v>75.919140097373756</v>
      </c>
      <c r="KD40">
        <f t="shared" si="366"/>
        <v>28.591889535725532</v>
      </c>
      <c r="KE40">
        <f t="shared" si="378"/>
        <v>23.31412610975503</v>
      </c>
      <c r="KF40">
        <f t="shared" si="367"/>
        <v>52.419267431263151</v>
      </c>
      <c r="KG40">
        <f t="shared" si="368"/>
        <v>53.767735176156478</v>
      </c>
      <c r="KH40">
        <f t="shared" si="369"/>
        <v>58.069180958874618</v>
      </c>
      <c r="KI40">
        <f t="shared" si="370"/>
        <v>17.711202420630212</v>
      </c>
      <c r="KN40" s="1330">
        <f t="shared" si="371"/>
        <v>341.08130768791688</v>
      </c>
      <c r="KP40" s="22">
        <f t="shared" si="372"/>
        <v>-62.37523894078938</v>
      </c>
      <c r="KQ40" s="22">
        <f t="shared" si="373"/>
        <v>4.0254184599703535</v>
      </c>
      <c r="KR40" s="53">
        <f t="shared" si="374"/>
        <v>327.88265862075542</v>
      </c>
      <c r="KS40" s="53">
        <f t="shared" si="375"/>
        <v>341.08130768791688</v>
      </c>
    </row>
    <row r="41" spans="1:305" ht="13.9" customHeight="1" x14ac:dyDescent="0.2">
      <c r="A41" s="238" t="s">
        <v>455</v>
      </c>
      <c r="B41" s="111">
        <v>281</v>
      </c>
      <c r="C41" s="5">
        <v>318</v>
      </c>
      <c r="D41" s="5">
        <v>354</v>
      </c>
      <c r="E41" s="5">
        <v>325</v>
      </c>
      <c r="F41" s="5">
        <v>313</v>
      </c>
      <c r="G41" s="5">
        <v>241</v>
      </c>
      <c r="H41" s="5">
        <v>197</v>
      </c>
      <c r="I41" s="5">
        <v>315</v>
      </c>
      <c r="J41" s="5">
        <v>326</v>
      </c>
      <c r="K41" s="5">
        <v>285</v>
      </c>
      <c r="L41" s="5">
        <v>311</v>
      </c>
      <c r="M41" s="5">
        <v>299</v>
      </c>
      <c r="N41" s="242">
        <f>SUM(B41:M41)</f>
        <v>3565</v>
      </c>
      <c r="O41" s="111">
        <f t="shared" si="338"/>
        <v>135.79028987172779</v>
      </c>
      <c r="P41" s="5">
        <f t="shared" si="100"/>
        <v>142.61261710231966</v>
      </c>
      <c r="Q41" s="5">
        <f t="shared" si="101"/>
        <v>156.97785459376851</v>
      </c>
      <c r="R41" s="5">
        <f t="shared" si="102"/>
        <v>239.00153830259038</v>
      </c>
      <c r="S41" s="5">
        <f t="shared" si="103"/>
        <v>254.52579367540682</v>
      </c>
      <c r="T41" s="5">
        <f t="shared" si="104"/>
        <v>294.81183028367042</v>
      </c>
      <c r="U41" s="5">
        <f t="shared" si="105"/>
        <v>226.14722245964438</v>
      </c>
      <c r="V41" s="5">
        <f t="shared" si="106"/>
        <v>230.0675024518047</v>
      </c>
      <c r="W41" s="5">
        <f t="shared" si="107"/>
        <v>247.85297489652419</v>
      </c>
      <c r="X41" s="5">
        <f t="shared" si="108"/>
        <v>223.5164774291695</v>
      </c>
      <c r="Y41" s="5">
        <f t="shared" si="109"/>
        <v>237.39322222152038</v>
      </c>
      <c r="Z41" s="5">
        <f t="shared" si="110"/>
        <v>245.71661037799271</v>
      </c>
      <c r="AA41" s="242">
        <f t="shared" si="339"/>
        <v>2634.4139336661392</v>
      </c>
      <c r="AB41" s="111">
        <f t="shared" si="111"/>
        <v>164.54107978437185</v>
      </c>
      <c r="AC41" s="5">
        <f t="shared" si="112"/>
        <v>134.25480837702017</v>
      </c>
      <c r="AD41" s="5">
        <f t="shared" si="113"/>
        <v>169.77450201005834</v>
      </c>
      <c r="AE41" s="5">
        <f t="shared" si="114"/>
        <v>316.71196027147488</v>
      </c>
      <c r="AF41" s="5">
        <f t="shared" si="115"/>
        <v>270.20928631270903</v>
      </c>
      <c r="AG41" s="5">
        <f t="shared" si="116"/>
        <v>232.07356754935225</v>
      </c>
      <c r="AH41" s="5">
        <f t="shared" si="117"/>
        <v>253.18380286515537</v>
      </c>
      <c r="AI41" s="5">
        <f t="shared" si="118"/>
        <v>259.15058711482351</v>
      </c>
      <c r="AJ41" s="5">
        <f t="shared" si="119"/>
        <v>263.09395185566103</v>
      </c>
      <c r="AK41" s="5">
        <f t="shared" si="120"/>
        <v>271.02771397090072</v>
      </c>
      <c r="AL41" s="5">
        <f t="shared" si="121"/>
        <v>259.12060397695183</v>
      </c>
      <c r="AM41" s="5">
        <f t="shared" si="122"/>
        <v>252.13508068002909</v>
      </c>
      <c r="AN41" s="242">
        <f t="shared" si="340"/>
        <v>2845.2769447685077</v>
      </c>
      <c r="AO41" s="111">
        <f t="shared" si="123"/>
        <v>184.76544975882067</v>
      </c>
      <c r="AP41" s="5">
        <f t="shared" si="124"/>
        <v>139.50684616930275</v>
      </c>
      <c r="AQ41" s="5">
        <f t="shared" si="125"/>
        <v>153.32234548599524</v>
      </c>
      <c r="AR41" s="5">
        <f t="shared" si="126"/>
        <v>346.06864875726342</v>
      </c>
      <c r="AS41" s="5">
        <f t="shared" si="127"/>
        <v>271.64060141738338</v>
      </c>
      <c r="AT41" s="5">
        <f t="shared" si="128"/>
        <v>252.83541584202561</v>
      </c>
      <c r="AU41" s="5">
        <f t="shared" si="129"/>
        <v>285.40312063954644</v>
      </c>
      <c r="AV41" s="5">
        <f t="shared" si="130"/>
        <v>322.6673812868479</v>
      </c>
      <c r="AW41" s="5">
        <f t="shared" si="131"/>
        <v>324.06342457599794</v>
      </c>
      <c r="AX41" s="5">
        <f t="shared" si="132"/>
        <v>327.51795825803896</v>
      </c>
      <c r="AY41" s="5">
        <f t="shared" si="133"/>
        <v>315.47386803928401</v>
      </c>
      <c r="AZ41" s="5">
        <f t="shared" si="134"/>
        <v>321.26127620155734</v>
      </c>
      <c r="BA41" s="242">
        <f t="shared" si="341"/>
        <v>3244.5263364320635</v>
      </c>
      <c r="BB41" s="111">
        <f t="shared" si="135"/>
        <v>204.49265612432598</v>
      </c>
      <c r="BC41" s="5">
        <f t="shared" si="136"/>
        <v>189.50066940563778</v>
      </c>
      <c r="BD41" s="5">
        <f t="shared" si="137"/>
        <v>160.99222293188294</v>
      </c>
      <c r="BE41" s="5">
        <f t="shared" si="138"/>
        <v>558.02725727708673</v>
      </c>
      <c r="BF41" s="5">
        <f t="shared" si="139"/>
        <v>260.46020027933412</v>
      </c>
      <c r="BG41" s="5">
        <f t="shared" si="140"/>
        <v>233.85366219116065</v>
      </c>
      <c r="BH41" s="5">
        <f t="shared" si="141"/>
        <v>321.42020902956642</v>
      </c>
      <c r="BI41" s="5">
        <f t="shared" si="142"/>
        <v>257.63924157778905</v>
      </c>
      <c r="BJ41" s="5">
        <f t="shared" si="143"/>
        <v>274.58943093707592</v>
      </c>
      <c r="BK41" s="5">
        <f t="shared" si="144"/>
        <v>288.08800539576811</v>
      </c>
      <c r="BL41" s="5">
        <f t="shared" si="145"/>
        <v>274.16681434841081</v>
      </c>
      <c r="BM41" s="5">
        <f t="shared" si="146"/>
        <v>329.79303619462013</v>
      </c>
      <c r="BN41" s="242">
        <f t="shared" si="342"/>
        <v>3353.0234056926583</v>
      </c>
      <c r="BO41" s="111">
        <f t="shared" si="147"/>
        <v>251.61239574167746</v>
      </c>
      <c r="BP41" s="5">
        <f t="shared" si="148"/>
        <v>254.38440705075396</v>
      </c>
      <c r="BQ41" s="5">
        <f t="shared" si="149"/>
        <v>302.61442099196177</v>
      </c>
      <c r="BR41" s="5">
        <f t="shared" si="150"/>
        <v>661.99829926273048</v>
      </c>
      <c r="BS41" s="5">
        <f t="shared" si="379"/>
        <v>363.20997624240073</v>
      </c>
      <c r="BT41" s="5">
        <f t="shared" si="380"/>
        <v>316.16738439415104</v>
      </c>
      <c r="BU41" s="5">
        <f t="shared" si="151"/>
        <v>371.53146617612765</v>
      </c>
      <c r="BV41" s="5">
        <f t="shared" si="152"/>
        <v>393.08339391421748</v>
      </c>
      <c r="BW41" s="5">
        <f t="shared" si="153"/>
        <v>399.67386963809741</v>
      </c>
      <c r="BX41" s="5">
        <f t="shared" si="154"/>
        <v>441.76177541699099</v>
      </c>
      <c r="BY41" s="5">
        <f t="shared" si="155"/>
        <v>388.20145901560136</v>
      </c>
      <c r="BZ41" s="5">
        <f t="shared" si="156"/>
        <v>398.35890635198558</v>
      </c>
      <c r="CA41" s="242">
        <f t="shared" si="343"/>
        <v>4542.5977541966959</v>
      </c>
      <c r="CB41" s="111">
        <f t="shared" si="157"/>
        <v>273.21416581879032</v>
      </c>
      <c r="CC41" s="5">
        <f t="shared" si="158"/>
        <v>294.48105436573314</v>
      </c>
      <c r="CD41" s="5">
        <f t="shared" si="159"/>
        <v>295.19878429439791</v>
      </c>
      <c r="CE41" s="5">
        <f t="shared" si="160"/>
        <v>668.23031876947073</v>
      </c>
      <c r="CF41" s="5">
        <f t="shared" si="161"/>
        <v>382.46889560186366</v>
      </c>
      <c r="CG41" s="5">
        <f t="shared" si="162"/>
        <v>361.086425806188</v>
      </c>
      <c r="CH41" s="5">
        <f t="shared" si="163"/>
        <v>390.32482964636671</v>
      </c>
      <c r="CI41" s="5">
        <f t="shared" si="164"/>
        <v>369.72762038713796</v>
      </c>
      <c r="CJ41" s="5">
        <f t="shared" si="165"/>
        <v>386.34383687659539</v>
      </c>
      <c r="CK41" s="5">
        <f t="shared" si="166"/>
        <v>377.22592528384729</v>
      </c>
      <c r="CL41" s="5">
        <f t="shared" si="167"/>
        <v>386.84621210965895</v>
      </c>
      <c r="CM41" s="5">
        <f t="shared" si="168"/>
        <v>399.34460801053825</v>
      </c>
      <c r="CN41" s="242">
        <f t="shared" si="344"/>
        <v>4584.492676970588</v>
      </c>
      <c r="CO41" s="111">
        <f t="shared" si="169"/>
        <v>257.7822437568679</v>
      </c>
      <c r="CP41" s="5">
        <f t="shared" si="170"/>
        <v>249.75704078190068</v>
      </c>
      <c r="CQ41" s="5">
        <f t="shared" si="171"/>
        <v>286.02431206652568</v>
      </c>
      <c r="CR41" s="5">
        <f t="shared" si="172"/>
        <v>694.33752352949944</v>
      </c>
      <c r="CS41" s="5">
        <f t="shared" si="173"/>
        <v>369.59210742015767</v>
      </c>
      <c r="CT41" s="5">
        <f t="shared" si="174"/>
        <v>334.98094330633637</v>
      </c>
      <c r="CU41" s="5">
        <f t="shared" si="175"/>
        <v>371.25300350573133</v>
      </c>
      <c r="CV41" s="5">
        <f t="shared" si="176"/>
        <v>393.82258341722115</v>
      </c>
      <c r="CW41" s="5">
        <f t="shared" si="177"/>
        <v>404.27375108287612</v>
      </c>
      <c r="CX41" s="5">
        <f t="shared" si="178"/>
        <v>390.33910709929251</v>
      </c>
      <c r="CY41" s="5">
        <f t="shared" si="179"/>
        <v>414.90348878448822</v>
      </c>
      <c r="CZ41" s="5">
        <f t="shared" si="180"/>
        <v>391.0129998497967</v>
      </c>
      <c r="DA41" s="242">
        <f t="shared" si="345"/>
        <v>4558.0791046006934</v>
      </c>
      <c r="DB41" s="111">
        <f t="shared" si="181"/>
        <v>295.37154247966595</v>
      </c>
      <c r="DC41" s="5">
        <f t="shared" si="182"/>
        <v>292.49661574163605</v>
      </c>
      <c r="DD41" s="5">
        <f t="shared" si="183"/>
        <v>348.79313736308552</v>
      </c>
      <c r="DE41" s="5">
        <f t="shared" si="184"/>
        <v>1031.7839076071393</v>
      </c>
      <c r="DF41" s="5">
        <f t="shared" si="185"/>
        <v>521.41971185955538</v>
      </c>
      <c r="DG41" s="5">
        <f t="shared" si="186"/>
        <v>453.37405745919631</v>
      </c>
      <c r="DH41" s="5">
        <f t="shared" si="187"/>
        <v>511.6101654508177</v>
      </c>
      <c r="DI41" s="5">
        <f t="shared" si="188"/>
        <v>504.26944971537</v>
      </c>
      <c r="DJ41" s="5">
        <f t="shared" si="189"/>
        <v>545.93497853064696</v>
      </c>
      <c r="DK41" s="5">
        <f t="shared" si="190"/>
        <v>552.93005671077503</v>
      </c>
      <c r="DL41" s="5">
        <f t="shared" si="191"/>
        <v>585.42356838618082</v>
      </c>
      <c r="DM41" s="5">
        <f t="shared" si="192"/>
        <v>489.96931791361811</v>
      </c>
      <c r="DN41" s="242">
        <f t="shared" si="346"/>
        <v>6133.3765092176864</v>
      </c>
      <c r="DO41" s="111">
        <f t="shared" si="193"/>
        <v>472.18293257897216</v>
      </c>
      <c r="DP41" s="5">
        <f t="shared" si="194"/>
        <v>344.43867679675333</v>
      </c>
      <c r="DQ41" s="5">
        <f t="shared" si="195"/>
        <v>362.70108492330712</v>
      </c>
      <c r="DR41" s="5">
        <f t="shared" si="196"/>
        <v>1368.6911092452654</v>
      </c>
      <c r="DS41" s="5">
        <f t="shared" si="197"/>
        <v>624.8754551126259</v>
      </c>
      <c r="DT41" s="5">
        <f t="shared" si="198"/>
        <v>531.62440791306778</v>
      </c>
      <c r="DU41" s="5">
        <f t="shared" si="199"/>
        <v>646.34568756494639</v>
      </c>
      <c r="DV41" s="5">
        <f t="shared" si="200"/>
        <v>649.25997041719108</v>
      </c>
      <c r="DW41" s="5">
        <f t="shared" si="201"/>
        <v>695.58075188245925</v>
      </c>
      <c r="DX41" s="5">
        <f t="shared" si="202"/>
        <v>698.51069392397972</v>
      </c>
      <c r="DY41" s="5">
        <f t="shared" si="203"/>
        <v>653.99166134199993</v>
      </c>
      <c r="DZ41" s="5">
        <f t="shared" si="204"/>
        <v>647.2826062016145</v>
      </c>
      <c r="EA41" s="242">
        <f t="shared" si="347"/>
        <v>7695.4850379021827</v>
      </c>
      <c r="EB41" s="111">
        <f t="shared" si="205"/>
        <v>473.53734961804128</v>
      </c>
      <c r="EC41" s="5">
        <f t="shared" si="206"/>
        <v>435.11276827937434</v>
      </c>
      <c r="ED41" s="5">
        <f t="shared" si="207"/>
        <v>402.92228354292956</v>
      </c>
      <c r="EE41" s="5">
        <f t="shared" si="208"/>
        <v>1288.4242779254721</v>
      </c>
      <c r="EF41" s="5">
        <f t="shared" si="209"/>
        <v>663.77450098903068</v>
      </c>
      <c r="EG41" s="5">
        <f t="shared" si="210"/>
        <v>611.96642578212675</v>
      </c>
      <c r="EH41" s="5">
        <f t="shared" si="211"/>
        <v>740.8268156424582</v>
      </c>
      <c r="EI41" s="5">
        <f t="shared" si="212"/>
        <v>628.27108029523595</v>
      </c>
      <c r="EJ41" s="5">
        <f t="shared" si="213"/>
        <v>580.72439819570354</v>
      </c>
      <c r="EK41" s="5">
        <f t="shared" si="214"/>
        <v>640.01601708489056</v>
      </c>
      <c r="EL41" s="5">
        <f t="shared" si="215"/>
        <v>659.68781748507263</v>
      </c>
      <c r="EM41" s="5">
        <f t="shared" si="216"/>
        <v>603.61138525829119</v>
      </c>
      <c r="EN41" s="242">
        <f t="shared" si="348"/>
        <v>7728.8751200986271</v>
      </c>
      <c r="EO41" s="111">
        <f t="shared" si="217"/>
        <v>360.39939197585659</v>
      </c>
      <c r="EP41" s="5">
        <f t="shared" si="218"/>
        <v>380.81331032346566</v>
      </c>
      <c r="EQ41" s="5">
        <f t="shared" si="219"/>
        <v>354.39813798252163</v>
      </c>
      <c r="ER41" s="5">
        <f t="shared" si="220"/>
        <v>1166.2292213473315</v>
      </c>
      <c r="ES41" s="5">
        <f t="shared" si="221"/>
        <v>554.20219244823386</v>
      </c>
      <c r="ET41" s="5">
        <f t="shared" si="222"/>
        <v>587.58737923019555</v>
      </c>
      <c r="EU41" s="5">
        <f t="shared" si="223"/>
        <v>1234.3791798830589</v>
      </c>
      <c r="EV41" s="5">
        <f t="shared" si="224"/>
        <v>1049.2492309566594</v>
      </c>
      <c r="EW41" s="5">
        <f t="shared" si="225"/>
        <v>1167.6765216332246</v>
      </c>
      <c r="EX41" s="5">
        <f t="shared" si="226"/>
        <v>1067.9862568031865</v>
      </c>
      <c r="EY41" s="5">
        <f t="shared" si="227"/>
        <v>1070.9066570303248</v>
      </c>
      <c r="EZ41" s="5">
        <f t="shared" si="228"/>
        <v>1203.4963083629341</v>
      </c>
      <c r="FA41" s="242">
        <f t="shared" si="349"/>
        <v>10197.323787976993</v>
      </c>
      <c r="FB41" s="111">
        <f t="shared" si="229"/>
        <v>688.26641019475835</v>
      </c>
      <c r="FC41" s="5">
        <f t="shared" si="230"/>
        <v>621.0150471818414</v>
      </c>
      <c r="FD41" s="5">
        <f t="shared" si="231"/>
        <v>689.56261091310387</v>
      </c>
      <c r="FE41" s="5">
        <f t="shared" si="232"/>
        <v>2311.6896672556609</v>
      </c>
      <c r="FF41" s="5">
        <f t="shared" si="233"/>
        <v>1279.8250117179655</v>
      </c>
      <c r="FG41" s="5">
        <f t="shared" si="234"/>
        <v>1131.6002585495964</v>
      </c>
      <c r="FH41" s="5">
        <f t="shared" si="235"/>
        <v>1289.4844289373073</v>
      </c>
      <c r="FI41" s="5">
        <f t="shared" si="236"/>
        <v>1340.0399437828241</v>
      </c>
      <c r="FJ41" s="5">
        <f t="shared" si="237"/>
        <v>1258.913149386598</v>
      </c>
      <c r="FK41" s="5">
        <f t="shared" si="238"/>
        <v>1184.747370046093</v>
      </c>
      <c r="FL41" s="5">
        <f t="shared" si="239"/>
        <v>1239.8111769190173</v>
      </c>
      <c r="FM41" s="5">
        <f t="shared" si="240"/>
        <v>1189.1228429066148</v>
      </c>
      <c r="FN41" s="242">
        <f t="shared" si="350"/>
        <v>14224.077917791379</v>
      </c>
      <c r="FO41" s="111">
        <f t="shared" si="241"/>
        <v>676.37497995656042</v>
      </c>
      <c r="FP41" s="5">
        <f t="shared" si="242"/>
        <v>508.27878321139775</v>
      </c>
      <c r="FQ41" s="5">
        <f t="shared" si="243"/>
        <v>574.19081839763044</v>
      </c>
      <c r="FR41" s="5">
        <f t="shared" si="244"/>
        <v>1642.2901026835793</v>
      </c>
      <c r="FS41" s="5">
        <f t="shared" si="245"/>
        <v>1564.2962363883194</v>
      </c>
      <c r="FT41" s="5">
        <f t="shared" si="246"/>
        <v>1205.3203338589055</v>
      </c>
      <c r="FU41" s="5">
        <f t="shared" si="247"/>
        <v>1498.7115541472078</v>
      </c>
      <c r="FV41" s="5">
        <f t="shared" si="248"/>
        <v>1514.4084263660936</v>
      </c>
      <c r="FW41" s="5">
        <f t="shared" si="249"/>
        <v>1506.3217607699426</v>
      </c>
      <c r="FX41" s="5">
        <f t="shared" si="250"/>
        <v>1502.4786718930138</v>
      </c>
      <c r="FY41" s="5">
        <f t="shared" si="251"/>
        <v>1341.2385066658503</v>
      </c>
      <c r="FZ41" s="5">
        <f t="shared" si="252"/>
        <v>1519.5210578784836</v>
      </c>
      <c r="GA41" s="242">
        <f t="shared" si="351"/>
        <v>15053.431232216983</v>
      </c>
      <c r="GB41" s="111">
        <f t="shared" si="253"/>
        <v>786.850204914438</v>
      </c>
      <c r="GC41" s="5">
        <f t="shared" si="254"/>
        <v>727.43964204614315</v>
      </c>
      <c r="GD41" s="5">
        <f t="shared" si="255"/>
        <v>721.67729998859488</v>
      </c>
      <c r="GE41" s="5">
        <f t="shared" si="256"/>
        <v>2590.417016766055</v>
      </c>
      <c r="GF41" s="5">
        <f t="shared" si="257"/>
        <v>1615.0827608581694</v>
      </c>
      <c r="GG41" s="5">
        <f t="shared" si="258"/>
        <v>1501.0215130904205</v>
      </c>
      <c r="GH41" s="5">
        <f t="shared" si="259"/>
        <v>1586.3425755519256</v>
      </c>
      <c r="GI41" s="5">
        <f t="shared" si="260"/>
        <v>1517.0946508020015</v>
      </c>
      <c r="GJ41" s="5">
        <f t="shared" si="261"/>
        <v>1678.2230644045701</v>
      </c>
      <c r="GK41" s="5">
        <f t="shared" si="262"/>
        <v>1624.379507724919</v>
      </c>
      <c r="GL41" s="5">
        <f t="shared" si="263"/>
        <v>1659.8891061063953</v>
      </c>
      <c r="GM41" s="5">
        <f t="shared" si="264"/>
        <v>1527.4553287973024</v>
      </c>
      <c r="GN41" s="242">
        <f t="shared" si="352"/>
        <v>17535.872671050936</v>
      </c>
      <c r="GO41" s="111">
        <f t="shared" si="265"/>
        <v>888.32444105008665</v>
      </c>
      <c r="GP41" s="5">
        <f t="shared" si="266"/>
        <v>637.96159724644906</v>
      </c>
      <c r="GQ41" s="5">
        <f t="shared" si="267"/>
        <v>645.6862045067229</v>
      </c>
      <c r="GR41" s="5">
        <f t="shared" si="268"/>
        <v>2364.6971409830157</v>
      </c>
      <c r="GS41" s="5">
        <f>+GS18/$GF$26</f>
        <v>1642.48493581204</v>
      </c>
      <c r="GT41" s="5">
        <f t="shared" si="270"/>
        <v>1497.23348933952</v>
      </c>
      <c r="GU41" s="5">
        <f t="shared" si="271"/>
        <v>1848.5168034402716</v>
      </c>
      <c r="GV41" s="5">
        <f t="shared" si="272"/>
        <v>1574.0066622632248</v>
      </c>
      <c r="GW41" s="5">
        <f t="shared" si="273"/>
        <v>1675.0784396715108</v>
      </c>
      <c r="GX41" s="5">
        <f t="shared" si="274"/>
        <v>2011.5940371242782</v>
      </c>
      <c r="GY41" s="5">
        <f t="shared" si="275"/>
        <v>1697.4835188419952</v>
      </c>
      <c r="GZ41" s="5">
        <f t="shared" si="276"/>
        <v>1757.5462926913749</v>
      </c>
      <c r="HA41" s="242">
        <f t="shared" si="353"/>
        <v>18240.613562970488</v>
      </c>
      <c r="HB41" s="111">
        <f t="shared" si="277"/>
        <v>894.80187655836721</v>
      </c>
      <c r="HC41" s="5">
        <f t="shared" si="278"/>
        <v>686.60805334644817</v>
      </c>
      <c r="HD41" s="5">
        <f t="shared" si="279"/>
        <v>510.48055653590183</v>
      </c>
      <c r="HE41" s="5">
        <f t="shared" si="280"/>
        <v>1169.3112547669016</v>
      </c>
      <c r="HF41" s="5">
        <f t="shared" si="281"/>
        <v>871.50275442937925</v>
      </c>
      <c r="HG41" s="5">
        <f t="shared" si="282"/>
        <v>959.99247673880541</v>
      </c>
      <c r="HH41" s="5">
        <f t="shared" si="283"/>
        <v>1354.4907349768628</v>
      </c>
      <c r="HI41" s="5">
        <f t="shared" si="284"/>
        <v>1569.6348476113296</v>
      </c>
      <c r="HJ41" s="5">
        <f t="shared" si="285"/>
        <v>1562.2500047625931</v>
      </c>
      <c r="HK41" s="5">
        <f t="shared" si="286"/>
        <v>1619.089170709271</v>
      </c>
      <c r="HL41" s="5">
        <f t="shared" si="287"/>
        <v>1450.7425514701206</v>
      </c>
      <c r="HM41" s="5">
        <f t="shared" si="288"/>
        <v>1689.9558297193014</v>
      </c>
      <c r="HN41" s="242">
        <f t="shared" si="354"/>
        <v>14338.860111625283</v>
      </c>
      <c r="HO41" s="111">
        <f t="shared" si="289"/>
        <v>757.32351713609455</v>
      </c>
      <c r="HP41" s="5">
        <f t="shared" si="290"/>
        <v>1641.4626574231795</v>
      </c>
      <c r="HQ41" s="5">
        <f t="shared" si="291"/>
        <v>1004.0175047818992</v>
      </c>
      <c r="HR41" s="5">
        <f t="shared" si="292"/>
        <v>3402.191836098119</v>
      </c>
      <c r="HS41" s="5">
        <f t="shared" si="293"/>
        <v>1824.1848859826746</v>
      </c>
      <c r="HT41" s="5">
        <f t="shared" si="294"/>
        <v>1831.6292150328675</v>
      </c>
      <c r="HU41" s="5">
        <f t="shared" si="295"/>
        <v>1854.0807558385</v>
      </c>
      <c r="HV41" s="5">
        <f t="shared" si="296"/>
        <v>2026.519401122157</v>
      </c>
      <c r="HW41" s="5">
        <f t="shared" si="297"/>
        <v>2076.5907839171305</v>
      </c>
      <c r="HX41" s="5">
        <f t="shared" si="298"/>
        <v>1892.1674991475629</v>
      </c>
      <c r="HY41" s="5">
        <f t="shared" si="299"/>
        <v>2210.041291861332</v>
      </c>
      <c r="HZ41" s="5">
        <f t="shared" si="300"/>
        <v>2008.1211325036479</v>
      </c>
      <c r="IA41" s="242">
        <f t="shared" si="355"/>
        <v>22528.330480845168</v>
      </c>
      <c r="IB41" s="111">
        <f t="shared" si="301"/>
        <v>901.2633040689949</v>
      </c>
      <c r="IC41" s="5">
        <f t="shared" si="302"/>
        <v>992.22746220227464</v>
      </c>
      <c r="ID41" s="5">
        <f t="shared" si="303"/>
        <v>1053.0449305074751</v>
      </c>
      <c r="IE41" s="5">
        <f t="shared" si="304"/>
        <v>3396.6917534340041</v>
      </c>
      <c r="IF41" s="5">
        <f t="shared" si="305"/>
        <v>2399.1850464971253</v>
      </c>
      <c r="IG41" s="5">
        <f t="shared" si="306"/>
        <v>2198.5357785384786</v>
      </c>
      <c r="IH41" s="5">
        <f t="shared" si="307"/>
        <v>2206.782302602815</v>
      </c>
      <c r="II41" s="5">
        <f t="shared" si="308"/>
        <v>2087.6736393860338</v>
      </c>
      <c r="IJ41" s="5">
        <f t="shared" si="309"/>
        <v>2051.9894908062824</v>
      </c>
      <c r="IK41" s="5">
        <f t="shared" si="310"/>
        <v>1975.7454464805926</v>
      </c>
      <c r="IL41" s="5">
        <f t="shared" si="311"/>
        <v>3050.8305504739842</v>
      </c>
      <c r="IM41" s="5">
        <f t="shared" si="312"/>
        <v>1982.9141073228948</v>
      </c>
      <c r="IN41" s="242">
        <f t="shared" si="356"/>
        <v>24296.883812320957</v>
      </c>
      <c r="IO41" s="111">
        <f t="shared" si="313"/>
        <v>1353.2084511897733</v>
      </c>
      <c r="IP41" s="5">
        <f t="shared" si="314"/>
        <v>904.50044833938387</v>
      </c>
      <c r="IQ41" s="5">
        <f t="shared" si="315"/>
        <v>1046.9972734394191</v>
      </c>
      <c r="IR41" s="5">
        <f t="shared" si="316"/>
        <v>3088.2741833230998</v>
      </c>
      <c r="IS41" s="5">
        <f t="shared" si="317"/>
        <v>2447.6934126196575</v>
      </c>
      <c r="IT41" s="5">
        <f t="shared" si="318"/>
        <v>1907.3456757434676</v>
      </c>
      <c r="IU41" s="5">
        <f t="shared" si="319"/>
        <v>2121.1900831040284</v>
      </c>
      <c r="IV41" s="5">
        <f t="shared" si="320"/>
        <v>2350.7777571875386</v>
      </c>
      <c r="IW41" s="5">
        <f t="shared" si="321"/>
        <v>2225.4382746084848</v>
      </c>
      <c r="IX41" s="5">
        <f t="shared" si="322"/>
        <v>2160.0407875315523</v>
      </c>
      <c r="IY41" s="5">
        <f t="shared" si="323"/>
        <v>2357.8750323394993</v>
      </c>
      <c r="IZ41" s="5">
        <f t="shared" si="324"/>
        <v>1885.7503468173104</v>
      </c>
      <c r="JA41" s="242">
        <f t="shared" si="357"/>
        <v>23849.091726243212</v>
      </c>
      <c r="JB41" s="111">
        <f t="shared" si="325"/>
        <v>1319.0897773618415</v>
      </c>
      <c r="JC41" s="5">
        <f t="shared" si="326"/>
        <v>1005.2924551710472</v>
      </c>
      <c r="JD41" s="5">
        <f t="shared" si="327"/>
        <v>951.61890974062737</v>
      </c>
      <c r="JE41" s="5">
        <f t="shared" si="328"/>
        <v>3440.5275933481644</v>
      </c>
      <c r="JF41" s="5">
        <f t="shared" si="329"/>
        <v>1952.738812913354</v>
      </c>
      <c r="JG41" s="5">
        <f t="shared" si="330"/>
        <v>1953.4696318468532</v>
      </c>
      <c r="JH41" s="5">
        <f t="shared" si="331"/>
        <v>2234.6308232559109</v>
      </c>
      <c r="JI41" s="5">
        <f t="shared" si="332"/>
        <v>2231.7451656589164</v>
      </c>
      <c r="JJ41" s="5">
        <f t="shared" si="333"/>
        <v>2274.31317999775</v>
      </c>
      <c r="JK41" s="5">
        <f t="shared" si="334"/>
        <v>2396.3888954397044</v>
      </c>
      <c r="JL41" s="5">
        <f t="shared" si="335"/>
        <v>3490.924873077116</v>
      </c>
      <c r="JM41" s="5">
        <f t="shared" si="336"/>
        <v>6000.411153467473</v>
      </c>
      <c r="JN41" s="242">
        <f t="shared" si="358"/>
        <v>29251.151271278759</v>
      </c>
      <c r="JO41" s="111">
        <v>2212.1436975459014</v>
      </c>
      <c r="JP41" s="5">
        <v>2713.8077576018609</v>
      </c>
      <c r="JQ41" s="5">
        <v>2154.768616846663</v>
      </c>
      <c r="JR41" s="5">
        <v>4249.3385043849066</v>
      </c>
      <c r="JS41" s="5">
        <f t="shared" si="337"/>
        <v>2437.442190769867</v>
      </c>
      <c r="JT41" s="5">
        <f t="shared" si="359"/>
        <v>2284.9214292930556</v>
      </c>
      <c r="JU41" s="5">
        <f t="shared" si="360"/>
        <v>2681.9344817094375</v>
      </c>
      <c r="JV41" s="5">
        <f t="shared" si="361"/>
        <v>2641.8843731218044</v>
      </c>
      <c r="JW41" s="5">
        <f t="shared" si="362"/>
        <v>2681.1307488973148</v>
      </c>
      <c r="JX41" s="5">
        <f t="shared" si="376"/>
        <v>2770.8001761217511</v>
      </c>
      <c r="JY41" s="5">
        <f t="shared" si="363"/>
        <v>2574.8621138615545</v>
      </c>
      <c r="JZ41" s="5">
        <f t="shared" si="377"/>
        <v>2790.8746930630796</v>
      </c>
      <c r="KA41" s="242">
        <f t="shared" si="381"/>
        <v>32193.908783217201</v>
      </c>
      <c r="KB41" s="1324">
        <f t="shared" si="364"/>
        <v>1559.5638485340937</v>
      </c>
      <c r="KC41">
        <f t="shared" si="365"/>
        <v>1395.0358537873649</v>
      </c>
      <c r="KD41">
        <f t="shared" si="366"/>
        <v>1343.8679200709882</v>
      </c>
      <c r="KE41">
        <f t="shared" si="378"/>
        <v>4117.2254809947262</v>
      </c>
      <c r="KF41">
        <f t="shared" si="367"/>
        <v>2445.4824627345006</v>
      </c>
      <c r="KG41">
        <f t="shared" si="368"/>
        <v>2530.831774085962</v>
      </c>
      <c r="KH41">
        <f t="shared" si="369"/>
        <v>2743.2381300304305</v>
      </c>
      <c r="KI41">
        <f t="shared" si="370"/>
        <v>2686.1168767633303</v>
      </c>
      <c r="KN41" s="1330">
        <f t="shared" si="371"/>
        <v>18821.362347001399</v>
      </c>
      <c r="KP41" s="22">
        <f t="shared" si="372"/>
        <v>1.6742785600892152</v>
      </c>
      <c r="KQ41" s="22">
        <f t="shared" si="373"/>
        <v>-11.951954967872569</v>
      </c>
      <c r="KR41" s="53">
        <f t="shared" si="374"/>
        <v>21376.241051273497</v>
      </c>
      <c r="KS41" s="53">
        <f t="shared" si="375"/>
        <v>18821.362347001399</v>
      </c>
    </row>
    <row r="42" spans="1:305" s="35" customFormat="1" ht="13.9" customHeight="1" x14ac:dyDescent="0.2">
      <c r="A42" s="219" t="s">
        <v>292</v>
      </c>
      <c r="B42" s="293">
        <v>92</v>
      </c>
      <c r="C42" s="291">
        <v>85</v>
      </c>
      <c r="D42" s="291">
        <v>132</v>
      </c>
      <c r="E42" s="291">
        <v>114</v>
      </c>
      <c r="F42" s="291">
        <v>92</v>
      </c>
      <c r="G42" s="291">
        <v>101</v>
      </c>
      <c r="H42" s="291">
        <v>238</v>
      </c>
      <c r="I42" s="291">
        <v>139</v>
      </c>
      <c r="J42" s="291">
        <v>92</v>
      </c>
      <c r="K42" s="291">
        <v>73</v>
      </c>
      <c r="L42" s="291">
        <v>733</v>
      </c>
      <c r="M42" s="291">
        <v>492</v>
      </c>
      <c r="N42" s="285">
        <f>SUM(B42:M42)</f>
        <v>2383</v>
      </c>
      <c r="O42" s="293">
        <f t="shared" si="338"/>
        <v>41.327479526178024</v>
      </c>
      <c r="P42" s="291">
        <f t="shared" si="100"/>
        <v>37.280476669900992</v>
      </c>
      <c r="Q42" s="291">
        <f t="shared" si="101"/>
        <v>32.924194221913993</v>
      </c>
      <c r="R42" s="291">
        <f t="shared" si="102"/>
        <v>57.548281950009475</v>
      </c>
      <c r="S42" s="291">
        <f t="shared" si="103"/>
        <v>54.541241501872889</v>
      </c>
      <c r="T42" s="291">
        <f t="shared" si="104"/>
        <v>62.004075416803694</v>
      </c>
      <c r="U42" s="291">
        <f t="shared" si="105"/>
        <v>50.254938324365419</v>
      </c>
      <c r="V42" s="291">
        <f t="shared" si="106"/>
        <v>63.810070654571788</v>
      </c>
      <c r="W42" s="291">
        <f t="shared" si="107"/>
        <v>62.695669772879647</v>
      </c>
      <c r="X42" s="291">
        <f t="shared" si="108"/>
        <v>111.173117045922</v>
      </c>
      <c r="Y42" s="291">
        <f t="shared" si="109"/>
        <v>47.946414340307072</v>
      </c>
      <c r="Z42" s="291">
        <f t="shared" si="110"/>
        <v>51.239482732851556</v>
      </c>
      <c r="AA42" s="285">
        <f>+SUM(O42:Z42)</f>
        <v>672.74544215757658</v>
      </c>
      <c r="AB42" s="293">
        <f t="shared" si="111"/>
        <v>39.397159948370721</v>
      </c>
      <c r="AC42" s="291">
        <f t="shared" si="112"/>
        <v>38.605459919572326</v>
      </c>
      <c r="AD42" s="291">
        <f t="shared" si="113"/>
        <v>60.224063213027449</v>
      </c>
      <c r="AE42" s="291">
        <f t="shared" si="114"/>
        <v>47.93478317622322</v>
      </c>
      <c r="AF42" s="291">
        <f t="shared" si="115"/>
        <v>47.042805685015161</v>
      </c>
      <c r="AG42" s="291">
        <f t="shared" si="116"/>
        <v>51.125117603693937</v>
      </c>
      <c r="AH42" s="291">
        <f t="shared" si="117"/>
        <v>70.776381255486612</v>
      </c>
      <c r="AI42" s="291">
        <f t="shared" si="118"/>
        <v>52.864421318323203</v>
      </c>
      <c r="AJ42" s="291">
        <f t="shared" si="119"/>
        <v>40.210866004140328</v>
      </c>
      <c r="AK42" s="291">
        <f t="shared" si="120"/>
        <v>49.38216822351157</v>
      </c>
      <c r="AL42" s="291">
        <f t="shared" si="121"/>
        <v>70.250474855973607</v>
      </c>
      <c r="AM42" s="291">
        <f t="shared" si="122"/>
        <v>36.841655624479138</v>
      </c>
      <c r="AN42" s="285">
        <f>+SUM(AB42:AM42)</f>
        <v>604.65535682781729</v>
      </c>
      <c r="AO42" s="293">
        <f t="shared" si="123"/>
        <v>37.413564592907612</v>
      </c>
      <c r="AP42" s="291">
        <f t="shared" si="124"/>
        <v>49.946895542096051</v>
      </c>
      <c r="AQ42" s="291">
        <f t="shared" si="125"/>
        <v>48.628355844438786</v>
      </c>
      <c r="AR42" s="291">
        <f t="shared" si="126"/>
        <v>67.957374920980769</v>
      </c>
      <c r="AS42" s="291">
        <f t="shared" si="127"/>
        <v>55.123720371310014</v>
      </c>
      <c r="AT42" s="291">
        <f t="shared" si="128"/>
        <v>54.300223536542411</v>
      </c>
      <c r="AU42" s="291">
        <f t="shared" si="129"/>
        <v>63.047632172838654</v>
      </c>
      <c r="AV42" s="291">
        <f t="shared" si="130"/>
        <v>78.137222994550271</v>
      </c>
      <c r="AW42" s="291">
        <f t="shared" si="131"/>
        <v>52.520623983006566</v>
      </c>
      <c r="AX42" s="291">
        <f t="shared" si="132"/>
        <v>94.133562832667664</v>
      </c>
      <c r="AY42" s="291">
        <f t="shared" si="133"/>
        <v>58.97747797559807</v>
      </c>
      <c r="AZ42" s="291">
        <f t="shared" si="134"/>
        <v>99.147876620825457</v>
      </c>
      <c r="BA42" s="285">
        <f>+SUM(AO42:AZ42)</f>
        <v>759.33453138776235</v>
      </c>
      <c r="BB42" s="293">
        <f t="shared" si="135"/>
        <v>54.715602584616946</v>
      </c>
      <c r="BC42" s="291">
        <f t="shared" si="136"/>
        <v>42.719804085664009</v>
      </c>
      <c r="BD42" s="291">
        <f t="shared" si="137"/>
        <v>52.579951597281628</v>
      </c>
      <c r="BE42" s="291">
        <f t="shared" si="138"/>
        <v>55.207352320332546</v>
      </c>
      <c r="BF42" s="291">
        <f t="shared" si="139"/>
        <v>98.144423293662143</v>
      </c>
      <c r="BG42" s="291">
        <f t="shared" si="140"/>
        <v>41.740470597049274</v>
      </c>
      <c r="BH42" s="291">
        <f t="shared" si="141"/>
        <v>61.197556354967112</v>
      </c>
      <c r="BI42" s="291">
        <f t="shared" si="142"/>
        <v>48.142034873878451</v>
      </c>
      <c r="BJ42" s="291">
        <f t="shared" si="143"/>
        <v>61.54590693417218</v>
      </c>
      <c r="BK42" s="291">
        <f t="shared" si="144"/>
        <v>35.030664902933687</v>
      </c>
      <c r="BL42" s="291">
        <f t="shared" si="145"/>
        <v>62.547562208762919</v>
      </c>
      <c r="BM42" s="291">
        <f t="shared" si="146"/>
        <v>72.190916584334175</v>
      </c>
      <c r="BN42" s="285">
        <f>SUM(BB42:BM42)</f>
        <v>685.76224633765514</v>
      </c>
      <c r="BO42" s="293">
        <f t="shared" si="147"/>
        <v>122.43407297945542</v>
      </c>
      <c r="BP42" s="291">
        <f t="shared" si="148"/>
        <v>153.66894793270035</v>
      </c>
      <c r="BQ42" s="291">
        <f t="shared" si="149"/>
        <v>81.214468539723072</v>
      </c>
      <c r="BR42" s="291">
        <f t="shared" si="150"/>
        <v>407.02551681231944</v>
      </c>
      <c r="BS42" s="291">
        <f t="shared" si="379"/>
        <v>49.66974034084113</v>
      </c>
      <c r="BT42" s="291">
        <f t="shared" si="380"/>
        <v>61.260675465533367</v>
      </c>
      <c r="BU42" s="291">
        <f t="shared" si="151"/>
        <v>64.771873461668008</v>
      </c>
      <c r="BV42" s="291">
        <f t="shared" si="152"/>
        <v>394.12192335652719</v>
      </c>
      <c r="BW42" s="291">
        <f t="shared" si="153"/>
        <v>43.657483809623123</v>
      </c>
      <c r="BX42" s="291">
        <f t="shared" si="154"/>
        <v>91.363187395288378</v>
      </c>
      <c r="BY42" s="291">
        <f t="shared" si="155"/>
        <v>41.574453442099212</v>
      </c>
      <c r="BZ42" s="291">
        <f t="shared" si="156"/>
        <v>201.51055210783144</v>
      </c>
      <c r="CA42" s="285">
        <f>SUM(BO42:BZ42)</f>
        <v>1712.2728956436099</v>
      </c>
      <c r="CB42" s="293">
        <f t="shared" si="157"/>
        <v>33.05426580794439</v>
      </c>
      <c r="CC42" s="291">
        <f t="shared" si="158"/>
        <v>28.83031301482702</v>
      </c>
      <c r="CD42" s="291">
        <f t="shared" si="159"/>
        <v>302.89962214555612</v>
      </c>
      <c r="CE42" s="291">
        <f t="shared" si="160"/>
        <v>112.91142099023315</v>
      </c>
      <c r="CF42" s="291">
        <f t="shared" si="161"/>
        <v>48.640622599969277</v>
      </c>
      <c r="CG42" s="291">
        <f t="shared" si="162"/>
        <v>333.5069816852062</v>
      </c>
      <c r="CH42" s="291">
        <f t="shared" si="163"/>
        <v>105.34190317705072</v>
      </c>
      <c r="CI42" s="291">
        <f t="shared" si="164"/>
        <v>73.435554945859124</v>
      </c>
      <c r="CJ42" s="291">
        <f t="shared" si="165"/>
        <v>170.58019604538245</v>
      </c>
      <c r="CK42" s="291">
        <f t="shared" si="166"/>
        <v>56.939762306995817</v>
      </c>
      <c r="CL42" s="291">
        <f t="shared" si="167"/>
        <v>61.509056064742097</v>
      </c>
      <c r="CM42" s="291">
        <f t="shared" si="168"/>
        <v>163.8987400094077</v>
      </c>
      <c r="CN42" s="285">
        <f>SUM(CB42:CM42)</f>
        <v>1491.548438793174</v>
      </c>
      <c r="CO42" s="293">
        <f t="shared" si="169"/>
        <v>63.181922489428402</v>
      </c>
      <c r="CP42" s="291">
        <f t="shared" si="170"/>
        <v>96.680144818800258</v>
      </c>
      <c r="CQ42" s="291">
        <f t="shared" si="171"/>
        <v>101.50862823339983</v>
      </c>
      <c r="CR42" s="291">
        <f t="shared" si="172"/>
        <v>183.76601123455993</v>
      </c>
      <c r="CS42" s="291">
        <f t="shared" si="173"/>
        <v>321.40603965166935</v>
      </c>
      <c r="CT42" s="291">
        <f t="shared" si="174"/>
        <v>148.88041924726059</v>
      </c>
      <c r="CU42" s="291">
        <f t="shared" si="175"/>
        <v>79.27285618623705</v>
      </c>
      <c r="CV42" s="291">
        <f t="shared" si="176"/>
        <v>251.41790861548284</v>
      </c>
      <c r="CW42" s="291">
        <f t="shared" si="177"/>
        <v>127.25323883964624</v>
      </c>
      <c r="CX42" s="291">
        <f t="shared" si="178"/>
        <v>571.35886801658944</v>
      </c>
      <c r="CY42" s="291">
        <f t="shared" si="179"/>
        <v>92.794574189504985</v>
      </c>
      <c r="CZ42" s="291">
        <f t="shared" si="180"/>
        <v>293.62314486862061</v>
      </c>
      <c r="DA42" s="285">
        <f>SUM(CO42:CZ42)</f>
        <v>2331.1437563911995</v>
      </c>
      <c r="DB42" s="293">
        <f t="shared" si="181"/>
        <v>333.20238043272661</v>
      </c>
      <c r="DC42" s="291">
        <f t="shared" si="182"/>
        <v>160.5105395474763</v>
      </c>
      <c r="DD42" s="291">
        <f t="shared" si="183"/>
        <v>192.38796159917095</v>
      </c>
      <c r="DE42" s="291">
        <f t="shared" si="184"/>
        <v>168.94149088479526</v>
      </c>
      <c r="DF42" s="291">
        <f t="shared" si="185"/>
        <v>599.17946760805262</v>
      </c>
      <c r="DG42" s="291">
        <f t="shared" si="186"/>
        <v>128.37644363844612</v>
      </c>
      <c r="DH42" s="291">
        <f t="shared" si="187"/>
        <v>191.19820721880512</v>
      </c>
      <c r="DI42" s="291">
        <f t="shared" si="188"/>
        <v>433.58633776091079</v>
      </c>
      <c r="DJ42" s="291">
        <f t="shared" si="189"/>
        <v>421.83739914122589</v>
      </c>
      <c r="DK42" s="291">
        <f t="shared" si="190"/>
        <v>195.17958412098298</v>
      </c>
      <c r="DL42" s="291">
        <f t="shared" si="191"/>
        <v>2297.6810222432559</v>
      </c>
      <c r="DM42" s="291">
        <f t="shared" si="192"/>
        <v>119.42412084021713</v>
      </c>
      <c r="DN42" s="285">
        <f>SUM(DB42:DM42)</f>
        <v>5241.5049550360654</v>
      </c>
      <c r="DO42" s="293">
        <f t="shared" si="193"/>
        <v>367.18528995756719</v>
      </c>
      <c r="DP42" s="291">
        <f t="shared" si="194"/>
        <v>140.57854749657872</v>
      </c>
      <c r="DQ42" s="291">
        <f t="shared" si="195"/>
        <v>1310.7931163486719</v>
      </c>
      <c r="DR42" s="291">
        <f t="shared" si="196"/>
        <v>238.59501819199551</v>
      </c>
      <c r="DS42" s="291">
        <f t="shared" si="197"/>
        <v>393.88310007356301</v>
      </c>
      <c r="DT42" s="291">
        <f t="shared" si="198"/>
        <v>701.86681526887708</v>
      </c>
      <c r="DU42" s="291">
        <f t="shared" si="199"/>
        <v>491.35203787091558</v>
      </c>
      <c r="DV42" s="291">
        <f t="shared" si="200"/>
        <v>312.59474307973574</v>
      </c>
      <c r="DW42" s="291">
        <f t="shared" si="201"/>
        <v>126.55265609155107</v>
      </c>
      <c r="DX42" s="291">
        <f t="shared" si="202"/>
        <v>411.61172547598625</v>
      </c>
      <c r="DY42" s="291">
        <f t="shared" si="203"/>
        <v>296.31195958463002</v>
      </c>
      <c r="DZ42" s="291">
        <f t="shared" si="204"/>
        <v>931.6188719247765</v>
      </c>
      <c r="EA42" s="285">
        <f>SUM(DO42:DZ42)</f>
        <v>5722.9438813648485</v>
      </c>
      <c r="EB42" s="293">
        <f t="shared" si="205"/>
        <v>272.5858835368922</v>
      </c>
      <c r="EC42" s="291">
        <f t="shared" si="206"/>
        <v>76.073117497271753</v>
      </c>
      <c r="ED42" s="291">
        <f t="shared" si="207"/>
        <v>111.55342440966255</v>
      </c>
      <c r="EE42" s="291">
        <f t="shared" si="208"/>
        <v>284.54918217455952</v>
      </c>
      <c r="EF42" s="291">
        <f t="shared" si="209"/>
        <v>229.54504585506203</v>
      </c>
      <c r="EG42" s="291">
        <f t="shared" si="210"/>
        <v>603.39333004174318</v>
      </c>
      <c r="EH42" s="291">
        <f t="shared" si="211"/>
        <v>244.42458100558659</v>
      </c>
      <c r="EI42" s="291">
        <f t="shared" si="212"/>
        <v>143.68150301945872</v>
      </c>
      <c r="EJ42" s="291">
        <f t="shared" si="213"/>
        <v>257.78214461167437</v>
      </c>
      <c r="EK42" s="291">
        <f t="shared" si="214"/>
        <v>327.90532123153588</v>
      </c>
      <c r="EL42" s="291">
        <f t="shared" si="215"/>
        <v>270.43231441048039</v>
      </c>
      <c r="EM42" s="291">
        <f t="shared" si="216"/>
        <v>419.78149284253584</v>
      </c>
      <c r="EN42" s="285">
        <f>SUM(EB42:EM42)</f>
        <v>3241.707340636463</v>
      </c>
      <c r="EO42" s="293">
        <f t="shared" si="217"/>
        <v>123.28942836854252</v>
      </c>
      <c r="EP42" s="291">
        <f t="shared" si="218"/>
        <v>453.5598920306208</v>
      </c>
      <c r="EQ42" s="291">
        <f t="shared" si="219"/>
        <v>208.5986561854991</v>
      </c>
      <c r="ER42" s="291">
        <f t="shared" si="220"/>
        <v>232.28346456692913</v>
      </c>
      <c r="ES42" s="291">
        <f t="shared" si="221"/>
        <v>157.47346441621715</v>
      </c>
      <c r="ET42" s="291">
        <f t="shared" si="222"/>
        <v>447.08678080172075</v>
      </c>
      <c r="EU42" s="291">
        <f t="shared" si="223"/>
        <v>304.96426797110865</v>
      </c>
      <c r="EV42" s="291">
        <f t="shared" si="224"/>
        <v>464.0148630950568</v>
      </c>
      <c r="EW42" s="291">
        <f t="shared" si="225"/>
        <v>300.67289833450053</v>
      </c>
      <c r="EX42" s="291">
        <f t="shared" si="226"/>
        <v>1568.1534859679527</v>
      </c>
      <c r="EY42" s="291">
        <f t="shared" si="227"/>
        <v>255.37820747377091</v>
      </c>
      <c r="EZ42" s="291">
        <f t="shared" si="228"/>
        <v>1872.0634705159239</v>
      </c>
      <c r="FA42" s="285">
        <f t="shared" si="349"/>
        <v>6387.5388797278429</v>
      </c>
      <c r="FB42" s="293">
        <f t="shared" si="229"/>
        <v>192.35393123346958</v>
      </c>
      <c r="FC42" s="291">
        <f t="shared" si="230"/>
        <v>271.4643623325382</v>
      </c>
      <c r="FD42" s="291">
        <f t="shared" si="231"/>
        <v>664.58386149097043</v>
      </c>
      <c r="FE42" s="291">
        <f t="shared" si="232"/>
        <v>513.09579726676964</v>
      </c>
      <c r="FF42" s="291">
        <f t="shared" si="233"/>
        <v>348.33976891428398</v>
      </c>
      <c r="FG42" s="291">
        <f t="shared" si="234"/>
        <v>300.15527834944311</v>
      </c>
      <c r="FH42" s="291">
        <f t="shared" si="235"/>
        <v>310.45618202739314</v>
      </c>
      <c r="FI42" s="291">
        <f t="shared" si="236"/>
        <v>245.21044455950883</v>
      </c>
      <c r="FJ42" s="291">
        <f t="shared" si="237"/>
        <v>662.41492832573033</v>
      </c>
      <c r="FK42" s="291">
        <f t="shared" si="238"/>
        <v>207.45576310933697</v>
      </c>
      <c r="FL42" s="291">
        <f t="shared" si="239"/>
        <v>370.31607341816692</v>
      </c>
      <c r="FM42" s="291">
        <f t="shared" si="240"/>
        <v>399.34538334526644</v>
      </c>
      <c r="FN42" s="285">
        <f>SUM(FB42:FM42)</f>
        <v>4485.1917743728773</v>
      </c>
      <c r="FO42" s="293">
        <f t="shared" si="241"/>
        <v>321.13234500954798</v>
      </c>
      <c r="FP42" s="291">
        <f t="shared" si="242"/>
        <v>209.8938543021338</v>
      </c>
      <c r="FQ42" s="291">
        <f t="shared" si="243"/>
        <v>168.32698610782393</v>
      </c>
      <c r="FR42" s="291">
        <f t="shared" si="244"/>
        <v>280.0788103661518</v>
      </c>
      <c r="FS42" s="291">
        <f t="shared" si="245"/>
        <v>363.07443459172174</v>
      </c>
      <c r="FT42" s="291">
        <f t="shared" si="246"/>
        <v>279.9756983119006</v>
      </c>
      <c r="FU42" s="291">
        <f t="shared" si="247"/>
        <v>346.7615617263009</v>
      </c>
      <c r="FV42" s="291">
        <f t="shared" si="248"/>
        <v>385.6826346017337</v>
      </c>
      <c r="FW42" s="291">
        <f t="shared" si="249"/>
        <v>1602.4211303867642</v>
      </c>
      <c r="FX42" s="291">
        <f t="shared" si="250"/>
        <v>589.76539082314969</v>
      </c>
      <c r="FY42" s="291">
        <f t="shared" si="251"/>
        <v>248.86952319950404</v>
      </c>
      <c r="FZ42" s="291">
        <f t="shared" si="252"/>
        <v>691.78574916792252</v>
      </c>
      <c r="GA42" s="285">
        <f>SUM(FO42:FZ42)</f>
        <v>5487.7681185946549</v>
      </c>
      <c r="GB42" s="293">
        <f t="shared" si="253"/>
        <v>129.58191846715354</v>
      </c>
      <c r="GC42" s="291">
        <f t="shared" si="254"/>
        <v>142.90275297846247</v>
      </c>
      <c r="GD42" s="291">
        <f t="shared" si="255"/>
        <v>679.65865929216022</v>
      </c>
      <c r="GE42" s="291">
        <f t="shared" si="256"/>
        <v>244.37896384585426</v>
      </c>
      <c r="GF42" s="291">
        <f t="shared" si="257"/>
        <v>557.12985996290274</v>
      </c>
      <c r="GG42" s="291">
        <f t="shared" si="258"/>
        <v>348.06812700814021</v>
      </c>
      <c r="GH42" s="291">
        <f t="shared" si="259"/>
        <v>787.13281402218252</v>
      </c>
      <c r="GI42" s="291">
        <f t="shared" si="260"/>
        <v>349.35107611415867</v>
      </c>
      <c r="GJ42" s="291">
        <f t="shared" si="261"/>
        <v>183.69174349404847</v>
      </c>
      <c r="GK42" s="291">
        <f t="shared" si="262"/>
        <v>473.36755267150363</v>
      </c>
      <c r="GL42" s="291">
        <f t="shared" si="263"/>
        <v>387.56894698716189</v>
      </c>
      <c r="GM42" s="291">
        <f t="shared" si="264"/>
        <v>409.30610648817424</v>
      </c>
      <c r="GN42" s="285">
        <f>SUM(GB42:GM42)</f>
        <v>4692.1385213319027</v>
      </c>
      <c r="GO42" s="293">
        <f t="shared" si="265"/>
        <v>225.44731072757537</v>
      </c>
      <c r="GP42" s="291">
        <f t="shared" si="266"/>
        <v>276.59172244596533</v>
      </c>
      <c r="GQ42" s="291">
        <f t="shared" si="267"/>
        <v>260.77670805526986</v>
      </c>
      <c r="GR42" s="291">
        <f t="shared" si="268"/>
        <v>195.3142181342904</v>
      </c>
      <c r="GS42" s="291">
        <f>+GS19/$GS$26</f>
        <v>232.42405888100956</v>
      </c>
      <c r="GT42" s="291">
        <f t="shared" si="270"/>
        <v>186.34376854330387</v>
      </c>
      <c r="GU42" s="291">
        <f t="shared" si="271"/>
        <v>497.80336966446401</v>
      </c>
      <c r="GV42" s="291">
        <f t="shared" si="272"/>
        <v>458.98387496574406</v>
      </c>
      <c r="GW42" s="291">
        <f t="shared" si="273"/>
        <v>347.69714343573764</v>
      </c>
      <c r="GX42" s="291">
        <f t="shared" si="274"/>
        <v>520.93792067906816</v>
      </c>
      <c r="GY42" s="291">
        <f t="shared" si="275"/>
        <v>1020.4741739411397</v>
      </c>
      <c r="GZ42" s="291">
        <f t="shared" si="276"/>
        <v>332.84554022609615</v>
      </c>
      <c r="HA42" s="285">
        <f t="shared" si="353"/>
        <v>4555.6398096996645</v>
      </c>
      <c r="HB42" s="293">
        <f t="shared" si="277"/>
        <v>516.24781944030144</v>
      </c>
      <c r="HC42" s="291">
        <f t="shared" si="278"/>
        <v>313.62724707049694</v>
      </c>
      <c r="HD42" s="291">
        <f t="shared" si="279"/>
        <v>231.00686830867531</v>
      </c>
      <c r="HE42" s="291">
        <f t="shared" si="280"/>
        <v>21.603111158450091</v>
      </c>
      <c r="HF42" s="291">
        <f t="shared" si="281"/>
        <v>36.480873958286274</v>
      </c>
      <c r="HG42" s="291">
        <f t="shared" si="282"/>
        <v>27.177367800154915</v>
      </c>
      <c r="HH42" s="291">
        <f t="shared" si="283"/>
        <v>135.81114546497218</v>
      </c>
      <c r="HI42" s="291">
        <f t="shared" si="284"/>
        <v>564.22323614628863</v>
      </c>
      <c r="HJ42" s="291">
        <f t="shared" si="285"/>
        <v>370.09105030856796</v>
      </c>
      <c r="HK42" s="291">
        <f t="shared" si="286"/>
        <v>712.24355346104937</v>
      </c>
      <c r="HL42" s="291">
        <f t="shared" si="287"/>
        <v>257.9913007671264</v>
      </c>
      <c r="HM42" s="291">
        <f t="shared" si="288"/>
        <v>355.49430414247172</v>
      </c>
      <c r="HN42" s="285">
        <f t="shared" si="354"/>
        <v>3541.9978780268416</v>
      </c>
      <c r="HO42" s="293">
        <f t="shared" si="289"/>
        <v>287.84628830544278</v>
      </c>
      <c r="HP42" s="291">
        <f t="shared" si="290"/>
        <v>628.60650608028766</v>
      </c>
      <c r="HQ42" s="291">
        <f t="shared" si="291"/>
        <v>383.72567969202237</v>
      </c>
      <c r="HR42" s="291">
        <f t="shared" si="292"/>
        <v>188.77247763496297</v>
      </c>
      <c r="HS42" s="291">
        <f t="shared" si="293"/>
        <v>399.04253155006461</v>
      </c>
      <c r="HT42" s="291">
        <f t="shared" si="294"/>
        <v>438.64013778660609</v>
      </c>
      <c r="HU42" s="291">
        <f t="shared" si="295"/>
        <v>258.22991941760239</v>
      </c>
      <c r="HV42" s="291">
        <f t="shared" si="296"/>
        <v>479.86966200189443</v>
      </c>
      <c r="HW42" s="291">
        <f t="shared" si="297"/>
        <v>852.58430203248247</v>
      </c>
      <c r="HX42" s="291">
        <f t="shared" si="298"/>
        <v>333.68845452205352</v>
      </c>
      <c r="HY42" s="291">
        <f t="shared" si="299"/>
        <v>552.38952473632639</v>
      </c>
      <c r="HZ42" s="291">
        <f t="shared" si="300"/>
        <v>416.2589055087696</v>
      </c>
      <c r="IA42" s="285">
        <f t="shared" si="355"/>
        <v>5219.6543892685149</v>
      </c>
      <c r="IB42" s="293">
        <f t="shared" si="301"/>
        <v>282.60248522561835</v>
      </c>
      <c r="IC42" s="291">
        <f t="shared" si="302"/>
        <v>436.87601249053949</v>
      </c>
      <c r="ID42" s="291">
        <f t="shared" si="303"/>
        <v>329.75786274276624</v>
      </c>
      <c r="IE42" s="291">
        <f t="shared" si="304"/>
        <v>313.44798984719409</v>
      </c>
      <c r="IF42" s="291">
        <f t="shared" si="305"/>
        <v>570.76109221419858</v>
      </c>
      <c r="IG42" s="291">
        <f t="shared" si="306"/>
        <v>390.14336521396729</v>
      </c>
      <c r="IH42" s="291">
        <f t="shared" si="307"/>
        <v>316.18795219022212</v>
      </c>
      <c r="II42" s="291">
        <f t="shared" si="308"/>
        <v>259.49638403045128</v>
      </c>
      <c r="IJ42" s="291">
        <f t="shared" si="309"/>
        <v>551.9104440286776</v>
      </c>
      <c r="IK42" s="291">
        <f t="shared" si="310"/>
        <v>377.95447309755332</v>
      </c>
      <c r="IL42" s="291">
        <f t="shared" si="311"/>
        <v>394.91623683482925</v>
      </c>
      <c r="IM42" s="291">
        <f t="shared" si="312"/>
        <v>300.92665791789989</v>
      </c>
      <c r="IN42" s="285">
        <f t="shared" si="356"/>
        <v>4524.9809558339166</v>
      </c>
      <c r="IO42" s="293">
        <f t="shared" si="313"/>
        <v>360.38662287646787</v>
      </c>
      <c r="IP42" s="291">
        <f t="shared" si="314"/>
        <v>313.7778440981557</v>
      </c>
      <c r="IQ42" s="291">
        <f t="shared" si="315"/>
        <v>348.01932824901161</v>
      </c>
      <c r="IR42" s="291">
        <f t="shared" si="316"/>
        <v>282.95915319684281</v>
      </c>
      <c r="IS42" s="291">
        <f t="shared" si="317"/>
        <v>361.99853339298545</v>
      </c>
      <c r="IT42" s="291">
        <f t="shared" si="318"/>
        <v>237.64657590335207</v>
      </c>
      <c r="IU42" s="291">
        <f t="shared" si="319"/>
        <v>228.93924320032588</v>
      </c>
      <c r="IV42" s="291">
        <f t="shared" si="320"/>
        <v>283.01679319182767</v>
      </c>
      <c r="IW42" s="291">
        <f t="shared" si="321"/>
        <v>710.64756492507399</v>
      </c>
      <c r="IX42" s="291">
        <f t="shared" si="322"/>
        <v>301.55161264227826</v>
      </c>
      <c r="IY42" s="291">
        <f t="shared" si="323"/>
        <v>219.35497628799214</v>
      </c>
      <c r="IZ42" s="291">
        <f t="shared" si="324"/>
        <v>321.24741866101743</v>
      </c>
      <c r="JA42" s="285">
        <f t="shared" si="357"/>
        <v>3969.5456666253308</v>
      </c>
      <c r="JB42" s="293">
        <f t="shared" si="325"/>
        <v>399.26970300782585</v>
      </c>
      <c r="JC42" s="291">
        <f t="shared" si="326"/>
        <v>773.66554292904993</v>
      </c>
      <c r="JD42" s="291">
        <f t="shared" si="327"/>
        <v>590.87982799247482</v>
      </c>
      <c r="JE42" s="291">
        <f t="shared" si="328"/>
        <v>367.12776914219762</v>
      </c>
      <c r="JF42" s="291">
        <f t="shared" si="329"/>
        <v>673.8606887442777</v>
      </c>
      <c r="JG42" s="291">
        <f t="shared" si="330"/>
        <v>183.29293901357113</v>
      </c>
      <c r="JH42" s="291">
        <f t="shared" si="331"/>
        <v>507.80420357900545</v>
      </c>
      <c r="JI42" s="291">
        <f t="shared" si="332"/>
        <v>355.95260720464393</v>
      </c>
      <c r="JJ42" s="291">
        <f t="shared" si="333"/>
        <v>360.45303232204037</v>
      </c>
      <c r="JK42" s="291">
        <f t="shared" si="334"/>
        <v>450.87087885456646</v>
      </c>
      <c r="JL42" s="291">
        <f t="shared" si="335"/>
        <v>876.40584553220322</v>
      </c>
      <c r="JM42" s="291">
        <f t="shared" si="336"/>
        <v>868.32129741061419</v>
      </c>
      <c r="JN42" s="285">
        <f t="shared" si="358"/>
        <v>6407.9043357324699</v>
      </c>
      <c r="JO42" s="293">
        <f>+JO19/$JO$26</f>
        <v>742.84129078303943</v>
      </c>
      <c r="JP42" s="291">
        <f>+JP19/$JP$26</f>
        <v>443.21486336442138</v>
      </c>
      <c r="JQ42" s="291">
        <f>+JQ19/$JQ$26</f>
        <v>595.00937800430609</v>
      </c>
      <c r="JR42" s="291">
        <f>+JR19/$JR$26</f>
        <v>679.95566595415994</v>
      </c>
      <c r="JS42" s="291">
        <f>+JS19/$JS$26</f>
        <v>543.01376653827458</v>
      </c>
      <c r="JT42" s="291">
        <f>+JT19/$JT$26</f>
        <v>567.38563000933812</v>
      </c>
      <c r="JU42" s="291">
        <f>+JU19/$JU$26</f>
        <v>704.41730703916289</v>
      </c>
      <c r="JV42" s="291">
        <f>+JV19/$JV$26</f>
        <v>311.28203621160435</v>
      </c>
      <c r="JW42" s="291">
        <f>+JW19/$JW$26</f>
        <v>486.3253629261813</v>
      </c>
      <c r="JX42" s="291">
        <f>+JX19/$JX$26</f>
        <v>667.13967746741548</v>
      </c>
      <c r="JY42" s="291">
        <f>+JY19/$JY$26</f>
        <v>688.22424228350837</v>
      </c>
      <c r="JZ42" s="291">
        <f>+JZ19/$JZ$26</f>
        <v>720.18332315468615</v>
      </c>
      <c r="KA42" s="285">
        <f>SUM(JO42:JZ42)</f>
        <v>7148.992543736098</v>
      </c>
      <c r="KB42" s="1328">
        <f>+KB19/$KB$26</f>
        <v>850.46350750692864</v>
      </c>
      <c r="KC42" s="129">
        <f t="shared" si="365"/>
        <v>579.11048954611306</v>
      </c>
      <c r="KD42" s="129">
        <f>+KD19/$KD$26</f>
        <v>690.67282959726572</v>
      </c>
      <c r="KE42" s="129">
        <f t="shared" si="378"/>
        <v>658.4600097510521</v>
      </c>
      <c r="KF42" s="129">
        <f t="shared" si="367"/>
        <v>463.16991671055075</v>
      </c>
      <c r="KG42" s="129">
        <f t="shared" si="368"/>
        <v>740.37184288042795</v>
      </c>
      <c r="KH42" s="129">
        <f t="shared" si="369"/>
        <v>561.5467001364857</v>
      </c>
      <c r="KI42" s="129">
        <f t="shared" si="370"/>
        <v>604.23971981300247</v>
      </c>
      <c r="KJ42" s="71"/>
      <c r="KK42" s="71"/>
      <c r="KL42" s="71"/>
      <c r="KM42" s="71"/>
      <c r="KN42" s="1329">
        <f t="shared" si="371"/>
        <v>5148.0350159418267</v>
      </c>
      <c r="KO42" s="71"/>
      <c r="KP42" s="27">
        <f t="shared" si="372"/>
        <v>94.113263703482829</v>
      </c>
      <c r="KQ42" s="27">
        <f t="shared" si="373"/>
        <v>12.228044734618004</v>
      </c>
      <c r="KR42" s="222">
        <f t="shared" si="374"/>
        <v>4587.1199379043064</v>
      </c>
      <c r="KS42" s="222">
        <f t="shared" si="375"/>
        <v>5148.0350159418267</v>
      </c>
    </row>
    <row r="43" spans="1:305" ht="13.9" customHeight="1" x14ac:dyDescent="0.2">
      <c r="A43" s="254" t="s">
        <v>352</v>
      </c>
      <c r="B43" s="280"/>
      <c r="C43" s="262"/>
      <c r="D43" s="262"/>
      <c r="E43" s="262"/>
      <c r="F43" s="262"/>
      <c r="G43" s="262"/>
      <c r="H43" s="262"/>
      <c r="I43" s="262"/>
      <c r="J43" s="262"/>
      <c r="K43" s="262"/>
      <c r="L43" s="262"/>
      <c r="M43" s="262"/>
      <c r="N43" s="281"/>
      <c r="O43" s="280"/>
      <c r="P43" s="262"/>
      <c r="Q43" s="262"/>
      <c r="R43" s="262"/>
      <c r="S43" s="262"/>
      <c r="T43" s="262"/>
      <c r="U43" s="262"/>
      <c r="V43" s="262"/>
      <c r="W43" s="262"/>
      <c r="X43" s="262"/>
      <c r="Y43" s="262"/>
      <c r="Z43" s="262"/>
      <c r="AA43" s="281"/>
      <c r="AB43" s="280"/>
      <c r="AC43" s="262"/>
      <c r="AD43" s="262"/>
      <c r="AE43" s="262"/>
      <c r="AF43" s="262"/>
      <c r="AG43" s="262"/>
      <c r="AH43" s="262"/>
      <c r="AI43" s="262"/>
      <c r="AJ43" s="262"/>
      <c r="AK43" s="262"/>
      <c r="AL43" s="262"/>
      <c r="AM43" s="262"/>
      <c r="AN43" s="281"/>
      <c r="AO43" s="280"/>
      <c r="AP43" s="262"/>
      <c r="AQ43" s="262"/>
      <c r="AR43" s="262"/>
      <c r="AS43" s="262"/>
      <c r="AT43" s="262"/>
      <c r="AU43" s="262"/>
      <c r="AV43" s="262"/>
      <c r="AW43" s="262"/>
      <c r="AX43" s="262"/>
      <c r="AY43" s="262"/>
      <c r="AZ43" s="262"/>
      <c r="BA43" s="281"/>
      <c r="BB43" s="280"/>
      <c r="BC43" s="262"/>
      <c r="BD43" s="262"/>
      <c r="BE43" s="262"/>
      <c r="BF43" s="262"/>
      <c r="BG43" s="262"/>
      <c r="BH43" s="262"/>
      <c r="BI43" s="262"/>
      <c r="BJ43" s="262"/>
      <c r="BK43" s="262"/>
      <c r="BL43" s="262"/>
      <c r="BM43" s="262"/>
      <c r="BN43" s="281"/>
      <c r="BO43" s="280"/>
      <c r="BP43" s="262"/>
      <c r="BQ43" s="262"/>
      <c r="BR43" s="262"/>
      <c r="BS43" s="262"/>
      <c r="BT43" s="262"/>
      <c r="BU43" s="262"/>
      <c r="BV43" s="262"/>
      <c r="BW43" s="262"/>
      <c r="BX43" s="262"/>
      <c r="BY43" s="262"/>
      <c r="BZ43" s="262"/>
      <c r="CA43" s="281"/>
      <c r="CB43" s="280"/>
      <c r="CC43" s="262"/>
      <c r="CD43" s="262"/>
      <c r="CE43" s="262"/>
      <c r="CF43" s="262"/>
      <c r="CG43" s="262"/>
      <c r="CH43" s="262"/>
      <c r="CI43" s="262"/>
      <c r="CJ43" s="262"/>
      <c r="CK43" s="262"/>
      <c r="CL43" s="262"/>
      <c r="CM43" s="262"/>
      <c r="CN43" s="281"/>
      <c r="CO43" s="280"/>
      <c r="CP43" s="262"/>
      <c r="CQ43" s="262"/>
      <c r="CR43" s="262"/>
      <c r="CS43" s="262"/>
      <c r="CT43" s="262"/>
      <c r="CU43" s="262"/>
      <c r="CV43" s="262"/>
      <c r="CW43" s="262"/>
      <c r="CX43" s="262"/>
      <c r="CY43" s="262"/>
      <c r="CZ43" s="262"/>
      <c r="DA43" s="281"/>
      <c r="DB43" s="280"/>
      <c r="DC43" s="262"/>
      <c r="DD43" s="262"/>
      <c r="DE43" s="262"/>
      <c r="DF43" s="262"/>
      <c r="DG43" s="262"/>
      <c r="DH43" s="262"/>
      <c r="DI43" s="262"/>
      <c r="DJ43" s="262"/>
      <c r="DK43" s="262"/>
      <c r="DL43" s="262"/>
      <c r="DM43" s="262"/>
      <c r="DN43" s="281"/>
      <c r="DO43" s="280"/>
      <c r="DP43" s="262"/>
      <c r="DQ43" s="262"/>
      <c r="DR43" s="262"/>
      <c r="DS43" s="262"/>
      <c r="DT43" s="262"/>
      <c r="DU43" s="262"/>
      <c r="DV43" s="262"/>
      <c r="DW43" s="262"/>
      <c r="DX43" s="262"/>
      <c r="DY43" s="262"/>
      <c r="DZ43" s="262"/>
      <c r="EA43" s="281"/>
      <c r="EB43" s="280"/>
      <c r="EC43" s="262"/>
      <c r="ED43" s="262"/>
      <c r="EE43" s="262"/>
      <c r="EF43" s="262"/>
      <c r="EG43" s="262"/>
      <c r="EH43" s="262"/>
      <c r="EI43" s="262"/>
      <c r="EJ43" s="262"/>
      <c r="EK43" s="262"/>
      <c r="EL43" s="262"/>
      <c r="EM43" s="262"/>
      <c r="EN43" s="281"/>
      <c r="EO43" s="280"/>
      <c r="EP43" s="262"/>
      <c r="EQ43" s="262"/>
      <c r="ER43" s="262"/>
      <c r="ES43" s="262"/>
      <c r="ET43" s="262"/>
      <c r="EU43" s="262"/>
      <c r="EV43" s="262"/>
      <c r="EW43" s="262"/>
      <c r="EX43" s="262"/>
      <c r="EY43" s="262"/>
      <c r="EZ43" s="262"/>
      <c r="FA43" s="281"/>
      <c r="FB43" s="280"/>
      <c r="FC43" s="262"/>
      <c r="FD43" s="262"/>
      <c r="FE43" s="262"/>
      <c r="FF43" s="262"/>
      <c r="FG43" s="262"/>
      <c r="FH43" s="262"/>
      <c r="FI43" s="262"/>
      <c r="FJ43" s="262"/>
      <c r="FK43" s="262"/>
      <c r="FL43" s="262"/>
      <c r="FM43" s="262"/>
      <c r="FN43" s="281"/>
      <c r="FO43" s="280"/>
      <c r="FP43" s="262"/>
      <c r="FQ43" s="262"/>
      <c r="FR43" s="262"/>
      <c r="FS43" s="262"/>
      <c r="FT43" s="262"/>
      <c r="FU43" s="262"/>
      <c r="FV43" s="262"/>
      <c r="FW43" s="262"/>
      <c r="FX43" s="262"/>
      <c r="FY43" s="262"/>
      <c r="FZ43" s="262"/>
      <c r="GA43" s="281"/>
      <c r="GB43" s="280"/>
      <c r="GC43" s="262"/>
      <c r="GD43" s="262"/>
      <c r="GE43" s="262"/>
      <c r="GF43" s="262"/>
      <c r="GG43" s="262"/>
      <c r="GH43" s="262"/>
      <c r="GI43" s="262"/>
      <c r="GJ43" s="262"/>
      <c r="GK43" s="262"/>
      <c r="GL43" s="262"/>
      <c r="GM43" s="262"/>
      <c r="GN43" s="281"/>
      <c r="GO43" s="280"/>
      <c r="GP43" s="262"/>
      <c r="GQ43" s="262"/>
      <c r="GR43" s="262"/>
      <c r="GS43" s="262"/>
      <c r="GT43" s="262"/>
      <c r="GU43" s="262"/>
      <c r="GV43" s="262"/>
      <c r="GW43" s="262"/>
      <c r="GX43" s="262"/>
      <c r="GY43" s="262"/>
      <c r="GZ43" s="262"/>
      <c r="HA43" s="281"/>
      <c r="HB43" s="280"/>
      <c r="HC43" s="262"/>
      <c r="HD43" s="262"/>
      <c r="HE43" s="262"/>
      <c r="HF43" s="262"/>
      <c r="HG43" s="262"/>
      <c r="HH43" s="262"/>
      <c r="HI43" s="262"/>
      <c r="HJ43" s="262"/>
      <c r="HK43" s="262"/>
      <c r="HL43" s="262"/>
      <c r="HM43" s="262"/>
      <c r="HN43" s="281"/>
      <c r="HO43" s="280"/>
      <c r="HP43" s="262"/>
      <c r="HQ43" s="262"/>
      <c r="HR43" s="262"/>
      <c r="HS43" s="262"/>
      <c r="HT43" s="262"/>
      <c r="HU43" s="262"/>
      <c r="HV43" s="262"/>
      <c r="HW43" s="262"/>
      <c r="HX43" s="262"/>
      <c r="HY43" s="262"/>
      <c r="HZ43" s="262"/>
      <c r="IA43" s="281"/>
      <c r="IB43" s="280"/>
      <c r="IC43" s="262"/>
      <c r="ID43" s="262"/>
      <c r="IE43" s="262"/>
      <c r="IF43" s="262"/>
      <c r="IG43" s="262"/>
      <c r="IH43" s="262"/>
      <c r="II43" s="262"/>
      <c r="IJ43" s="262"/>
      <c r="IK43" s="262"/>
      <c r="IL43" s="262"/>
      <c r="IM43" s="262"/>
      <c r="IN43" s="281"/>
      <c r="IO43" s="280"/>
      <c r="IP43" s="262"/>
      <c r="IQ43" s="262"/>
      <c r="IR43" s="262"/>
      <c r="IS43" s="262"/>
      <c r="IT43" s="262"/>
      <c r="IU43" s="262"/>
      <c r="IV43" s="262"/>
      <c r="IW43" s="262"/>
      <c r="IX43" s="262"/>
      <c r="IY43" s="262"/>
      <c r="IZ43" s="262"/>
      <c r="JA43" s="281"/>
      <c r="JB43" s="280"/>
      <c r="JC43" s="262"/>
      <c r="JD43" s="262"/>
      <c r="JE43" s="262"/>
      <c r="JF43" s="262"/>
      <c r="JG43" s="262"/>
      <c r="JH43" s="262"/>
      <c r="JI43" s="262"/>
      <c r="JJ43" s="262"/>
      <c r="JK43" s="262"/>
      <c r="JL43" s="262"/>
      <c r="JM43" s="262"/>
      <c r="JN43" s="281"/>
      <c r="JO43" s="280"/>
      <c r="JP43" s="262"/>
      <c r="JQ43" s="262"/>
      <c r="JR43" s="262"/>
      <c r="JS43" s="262"/>
      <c r="JT43" s="262"/>
      <c r="JU43" s="262"/>
      <c r="JV43" s="262"/>
      <c r="JW43" s="262"/>
      <c r="JX43" s="262"/>
      <c r="JY43" s="262"/>
      <c r="JZ43" s="262"/>
      <c r="KA43" s="281"/>
      <c r="KB43" s="1331"/>
      <c r="KC43" s="1332"/>
      <c r="KD43" s="1332"/>
      <c r="KE43" s="1332"/>
      <c r="KF43" s="1332"/>
      <c r="KG43" s="1332"/>
      <c r="KH43" s="1332"/>
      <c r="KI43" s="1332"/>
      <c r="KJ43" s="1332"/>
      <c r="KK43" s="1332"/>
      <c r="KL43" s="1332"/>
      <c r="KM43" s="1332"/>
      <c r="KN43" s="1335"/>
      <c r="KP43" s="272"/>
      <c r="KQ43" s="32"/>
      <c r="KR43" s="32"/>
      <c r="KS43" s="37"/>
    </row>
    <row r="44" spans="1:305" ht="13.9" customHeight="1" x14ac:dyDescent="0.2">
      <c r="A44" s="85" t="s">
        <v>293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  <c r="BL44" s="112"/>
      <c r="BM44" s="112"/>
      <c r="BN44" s="112"/>
      <c r="BO44" s="112"/>
      <c r="BP44" s="112"/>
      <c r="BQ44" s="112"/>
      <c r="BR44" s="112"/>
      <c r="BS44" s="112"/>
      <c r="BT44" s="112"/>
      <c r="BU44" s="112"/>
      <c r="BV44" s="112"/>
      <c r="BW44" s="112"/>
      <c r="BX44" s="112"/>
      <c r="BY44" s="112"/>
      <c r="BZ44" s="112"/>
      <c r="CA44" s="112"/>
      <c r="CB44" s="112"/>
      <c r="CC44" s="112"/>
      <c r="CD44" s="112"/>
      <c r="CE44" s="112"/>
      <c r="CF44" s="112"/>
      <c r="CG44" s="112"/>
      <c r="CH44" s="112"/>
      <c r="CI44" s="112"/>
      <c r="CJ44" s="112"/>
      <c r="CK44" s="112"/>
      <c r="CL44" s="112"/>
      <c r="CM44" s="112"/>
      <c r="CN44" s="112"/>
      <c r="CO44" s="112"/>
      <c r="CP44" s="112"/>
      <c r="CQ44" s="112"/>
      <c r="CR44" s="112"/>
      <c r="CS44" s="112"/>
      <c r="CT44" s="112"/>
      <c r="CU44" s="112"/>
      <c r="CV44" s="112"/>
      <c r="CW44" s="112"/>
      <c r="CX44" s="112"/>
      <c r="CY44" s="112"/>
      <c r="CZ44" s="112"/>
      <c r="DA44" s="112"/>
      <c r="DB44" s="112"/>
      <c r="DC44" s="112"/>
      <c r="DD44" s="112"/>
      <c r="DE44" s="112"/>
      <c r="DF44" s="112"/>
      <c r="DG44" s="112"/>
      <c r="DH44" s="112"/>
      <c r="DI44" s="112"/>
      <c r="DJ44" s="112"/>
      <c r="DK44" s="112"/>
      <c r="DL44" s="112"/>
      <c r="DM44" s="112"/>
      <c r="DN44" s="112"/>
      <c r="DO44" s="112"/>
      <c r="DP44" s="112"/>
      <c r="DQ44" s="112"/>
      <c r="DR44" s="112"/>
      <c r="DS44" s="112"/>
      <c r="DT44" s="112"/>
      <c r="DU44" s="112"/>
      <c r="DV44" s="112"/>
      <c r="DW44" s="112"/>
      <c r="DX44" s="112"/>
      <c r="DY44" s="112"/>
      <c r="DZ44" s="112"/>
      <c r="EA44" s="112"/>
      <c r="EB44" s="112"/>
      <c r="EC44" s="112"/>
      <c r="ED44" s="112"/>
      <c r="EE44" s="112"/>
      <c r="EF44" s="112"/>
      <c r="EG44" s="112"/>
      <c r="EH44" s="112"/>
      <c r="EI44" s="112"/>
      <c r="EJ44" s="112"/>
      <c r="EK44" s="112"/>
      <c r="EL44" s="112"/>
      <c r="EM44" s="112"/>
      <c r="EN44" s="112"/>
      <c r="EO44" s="112"/>
      <c r="EP44" s="112"/>
      <c r="EQ44" s="112"/>
      <c r="ER44" s="112"/>
      <c r="ES44" s="112"/>
      <c r="ET44" s="112"/>
      <c r="EU44" s="112"/>
      <c r="EV44" s="112"/>
      <c r="EW44" s="112"/>
      <c r="EX44" s="112"/>
      <c r="EY44" s="112"/>
      <c r="EZ44" s="112"/>
      <c r="FA44" s="112"/>
      <c r="FB44" s="112"/>
      <c r="FC44" s="112"/>
      <c r="FD44" s="112"/>
      <c r="FE44" s="112"/>
      <c r="FF44" s="112"/>
      <c r="FG44" s="112"/>
      <c r="FH44" s="112"/>
      <c r="FI44" s="112"/>
      <c r="FJ44" s="112"/>
      <c r="FK44" s="112"/>
      <c r="FL44" s="112"/>
      <c r="FM44" s="112"/>
      <c r="FN44" s="112"/>
      <c r="FO44" s="112"/>
      <c r="FP44" s="112"/>
      <c r="FQ44" s="112"/>
      <c r="FR44" s="112"/>
      <c r="FS44" s="112"/>
      <c r="FT44" s="112"/>
      <c r="FU44" s="112"/>
      <c r="FV44" s="112"/>
      <c r="FW44" s="112"/>
      <c r="FX44" s="112"/>
      <c r="FY44" s="112"/>
      <c r="FZ44" s="112"/>
      <c r="GA44" s="112"/>
      <c r="GB44" s="112"/>
      <c r="GC44" s="112"/>
      <c r="GD44" s="112"/>
      <c r="GE44" s="112"/>
      <c r="GF44" s="112"/>
      <c r="GG44" s="112"/>
      <c r="GH44" s="112"/>
      <c r="GI44" s="112"/>
      <c r="GJ44" s="112"/>
      <c r="GK44" s="112"/>
      <c r="GL44" s="112"/>
      <c r="GM44" s="112"/>
      <c r="GN44" s="112"/>
      <c r="GO44" s="112"/>
      <c r="GP44" s="112"/>
      <c r="GQ44" s="112"/>
      <c r="GR44" s="112"/>
      <c r="GS44" s="112"/>
      <c r="GT44" s="112"/>
      <c r="GU44" s="112"/>
      <c r="GV44" s="112"/>
      <c r="GW44" s="112"/>
      <c r="GX44" s="112"/>
      <c r="GY44" s="112"/>
      <c r="GZ44" s="112"/>
      <c r="HA44" s="112"/>
      <c r="HB44" s="112"/>
      <c r="HC44" s="112"/>
      <c r="HD44" s="112"/>
      <c r="HE44" s="112"/>
      <c r="HF44" s="112"/>
      <c r="HG44" s="112"/>
      <c r="HH44" s="112"/>
      <c r="HI44" s="112"/>
      <c r="HJ44" s="85"/>
      <c r="IF44" s="2"/>
      <c r="IG44" s="2"/>
      <c r="IH44" s="2"/>
      <c r="II44" s="273"/>
      <c r="IJ44" s="273"/>
      <c r="IK44" s="273"/>
    </row>
    <row r="45" spans="1:305" ht="13.9" customHeight="1" x14ac:dyDescent="0.2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</row>
  </sheetData>
  <mergeCells count="4">
    <mergeCell ref="KB4:KM4"/>
    <mergeCell ref="KP4:KQ4"/>
    <mergeCell ref="KB27:KM27"/>
    <mergeCell ref="KP27:KQ27"/>
  </mergeCells>
  <printOptions horizontalCentered="1" verticalCentered="1"/>
  <pageMargins left="0.23622047244094491" right="0.23622047244094491" top="0.19685039370078741" bottom="0.59055118110236227" header="0" footer="0"/>
  <pageSetup paperSize="9" scale="10" fitToWidth="2" orientation="landscape" r:id="rId1"/>
  <headerFooter alignWithMargins="0"/>
  <colBreaks count="2" manualBreakCount="2">
    <brk id="131" max="43" man="1"/>
    <brk id="261" max="43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E857-D8A6-4068-9B4E-F67B53BCAB94}">
  <sheetPr>
    <tabColor theme="7" tint="0.59999389629810485"/>
    <pageSetUpPr fitToPage="1"/>
  </sheetPr>
  <dimension ref="A1:JD71"/>
  <sheetViews>
    <sheetView showGridLines="0" view="pageBreakPreview" zoomScale="80" zoomScaleNormal="80" zoomScaleSheetLayoutView="80" workbookViewId="0">
      <pane xSplit="1" topLeftCell="HO1" activePane="topRight" state="frozen"/>
      <selection activeCell="IB59" sqref="IB59:JB59"/>
      <selection pane="topRight" activeCell="II16" sqref="II16"/>
    </sheetView>
  </sheetViews>
  <sheetFormatPr baseColWidth="10" defaultColWidth="9.7109375" defaultRowHeight="15" customHeight="1" x14ac:dyDescent="0.2"/>
  <cols>
    <col min="1" max="1" width="30.7109375" style="317" customWidth="1"/>
    <col min="2" max="210" width="9.7109375" style="317"/>
    <col min="211" max="211" width="9.7109375" style="317" customWidth="1"/>
    <col min="212" max="215" width="9.7109375" style="317"/>
    <col min="216" max="216" width="9.7109375" style="317" customWidth="1"/>
    <col min="217" max="220" width="9.7109375" style="317"/>
    <col min="221" max="222" width="9.7109375" style="317" customWidth="1"/>
    <col min="223" max="223" width="9.7109375" style="317"/>
    <col min="224" max="224" width="9.7109375" style="317" customWidth="1"/>
    <col min="225" max="225" width="9.7109375" style="317"/>
    <col min="226" max="226" width="9.7109375" style="317" customWidth="1"/>
    <col min="227" max="227" width="9.7109375" style="317"/>
    <col min="228" max="228" width="9.7109375" style="317" customWidth="1"/>
    <col min="229" max="234" width="9.7109375" style="317"/>
    <col min="235" max="235" width="11.140625" style="317" bestFit="1" customWidth="1"/>
    <col min="236" max="248" width="9.7109375" style="120" customWidth="1"/>
    <col min="249" max="249" width="4" style="120" customWidth="1"/>
    <col min="250" max="251" width="9.7109375" style="317"/>
    <col min="252" max="253" width="9.7109375" style="317" customWidth="1"/>
    <col min="254" max="254" width="4.28515625" style="317" customWidth="1"/>
    <col min="255" max="255" width="9.7109375" style="317" customWidth="1"/>
    <col min="265" max="16384" width="9.7109375" style="317"/>
  </cols>
  <sheetData>
    <row r="1" spans="1:264" ht="15" customHeight="1" x14ac:dyDescent="0.2">
      <c r="A1" s="1524" t="s">
        <v>296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6"/>
      <c r="AC1" s="316"/>
      <c r="AD1" s="316"/>
      <c r="AE1" s="316"/>
      <c r="AF1" s="316"/>
      <c r="AG1" s="316"/>
      <c r="AH1" s="316"/>
      <c r="AI1" s="316"/>
      <c r="AJ1" s="316"/>
      <c r="AK1" s="316"/>
      <c r="AL1" s="316"/>
      <c r="AM1" s="316"/>
      <c r="AN1" s="316"/>
      <c r="AO1" s="316"/>
      <c r="AP1" s="316"/>
      <c r="AQ1" s="316"/>
      <c r="AR1" s="316"/>
      <c r="AS1" s="316"/>
      <c r="AT1" s="316"/>
      <c r="AU1" s="316"/>
      <c r="AV1" s="316"/>
      <c r="AW1" s="316"/>
      <c r="AX1" s="316"/>
      <c r="AY1" s="316"/>
      <c r="AZ1" s="316"/>
      <c r="BA1" s="316"/>
      <c r="BB1" s="316"/>
      <c r="BC1" s="316"/>
      <c r="BD1" s="316"/>
      <c r="BE1" s="316"/>
      <c r="BF1" s="316"/>
      <c r="BG1" s="316"/>
      <c r="BH1" s="316"/>
      <c r="BI1" s="316"/>
      <c r="BJ1" s="316"/>
      <c r="BK1" s="316"/>
      <c r="BL1" s="316"/>
      <c r="BM1" s="316"/>
      <c r="BN1" s="316"/>
      <c r="BO1" s="316"/>
      <c r="BP1" s="316"/>
      <c r="BQ1" s="316"/>
      <c r="BR1" s="316"/>
      <c r="BS1" s="316"/>
      <c r="BT1" s="316"/>
      <c r="BU1" s="316"/>
      <c r="BV1" s="316"/>
      <c r="BW1" s="316"/>
      <c r="BX1" s="316"/>
      <c r="BY1" s="316"/>
      <c r="BZ1" s="316"/>
      <c r="CA1" s="316"/>
      <c r="CB1" s="316"/>
      <c r="CC1" s="316"/>
      <c r="CD1" s="316"/>
      <c r="CE1" s="316"/>
      <c r="CF1" s="316"/>
      <c r="CG1" s="316"/>
      <c r="CH1" s="316"/>
      <c r="CI1" s="316"/>
      <c r="CJ1" s="316"/>
      <c r="CK1" s="316"/>
      <c r="CL1" s="316"/>
      <c r="CM1" s="316"/>
      <c r="CN1" s="316"/>
      <c r="CO1" s="316"/>
      <c r="CP1" s="316"/>
      <c r="CQ1" s="316"/>
      <c r="CR1" s="316"/>
      <c r="CS1" s="316"/>
      <c r="CT1" s="316"/>
      <c r="CU1" s="316"/>
      <c r="CV1" s="316"/>
      <c r="CW1" s="316"/>
      <c r="CX1" s="316"/>
      <c r="CY1" s="316"/>
      <c r="CZ1" s="316"/>
      <c r="DA1" s="316"/>
      <c r="DB1" s="316"/>
      <c r="DC1" s="316"/>
      <c r="DD1" s="316"/>
      <c r="DE1" s="316"/>
      <c r="DF1" s="316"/>
      <c r="DG1" s="316"/>
      <c r="DH1" s="316"/>
      <c r="DI1" s="316"/>
      <c r="DJ1" s="316"/>
      <c r="DK1" s="316"/>
      <c r="DL1" s="316"/>
      <c r="DM1" s="316"/>
      <c r="DN1" s="316"/>
      <c r="DO1" s="316"/>
      <c r="DP1" s="316"/>
      <c r="DQ1" s="316"/>
      <c r="DR1" s="316"/>
      <c r="DS1" s="316"/>
      <c r="DT1" s="316"/>
      <c r="DU1" s="316"/>
      <c r="DV1" s="316"/>
      <c r="DW1" s="316"/>
      <c r="DX1" s="316"/>
      <c r="DY1" s="316"/>
      <c r="DZ1" s="316"/>
      <c r="EA1" s="316"/>
      <c r="EB1" s="316"/>
      <c r="EC1" s="316"/>
      <c r="ED1" s="316"/>
      <c r="EE1" s="316"/>
      <c r="EF1" s="316"/>
      <c r="EG1" s="316"/>
      <c r="EH1" s="316"/>
      <c r="EI1" s="316"/>
      <c r="EJ1" s="316"/>
    </row>
    <row r="2" spans="1:264" ht="15" customHeight="1" x14ac:dyDescent="0.2">
      <c r="A2" s="1524" t="s">
        <v>431</v>
      </c>
      <c r="B2" s="318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9"/>
      <c r="BN2" s="319"/>
      <c r="BO2" s="319"/>
      <c r="BP2" s="319"/>
      <c r="BQ2" s="319"/>
      <c r="BR2" s="319"/>
      <c r="BS2" s="319"/>
      <c r="BT2" s="319"/>
      <c r="BU2" s="319"/>
      <c r="BV2" s="319"/>
      <c r="BW2" s="319"/>
      <c r="BX2" s="319"/>
      <c r="BY2" s="319"/>
      <c r="BZ2" s="319"/>
      <c r="CA2" s="319"/>
      <c r="CB2" s="319"/>
      <c r="CC2" s="319"/>
      <c r="CD2" s="319"/>
      <c r="CE2" s="319"/>
      <c r="CF2" s="319"/>
      <c r="CG2" s="319"/>
      <c r="CH2" s="319"/>
      <c r="CI2" s="319"/>
      <c r="CJ2" s="319"/>
      <c r="CK2" s="319"/>
      <c r="CL2" s="319"/>
      <c r="CM2" s="319"/>
      <c r="CN2" s="319"/>
      <c r="CO2" s="319"/>
      <c r="CP2" s="319"/>
      <c r="CQ2" s="319"/>
      <c r="CR2" s="319"/>
      <c r="CS2" s="319"/>
      <c r="CT2" s="319"/>
      <c r="CU2" s="319"/>
      <c r="CV2" s="319"/>
      <c r="CW2" s="319"/>
      <c r="CX2" s="319"/>
      <c r="CY2" s="319"/>
      <c r="CZ2" s="319"/>
      <c r="DA2" s="319"/>
      <c r="DB2" s="319"/>
      <c r="DC2" s="319"/>
      <c r="DD2" s="319"/>
      <c r="DE2" s="319"/>
      <c r="DF2" s="319"/>
      <c r="DG2" s="319"/>
      <c r="DH2" s="319"/>
      <c r="DI2" s="319"/>
      <c r="DJ2" s="319"/>
      <c r="DK2" s="319"/>
      <c r="DL2" s="319"/>
      <c r="DM2" s="319"/>
      <c r="DN2" s="319"/>
      <c r="DO2" s="319"/>
      <c r="DP2" s="319"/>
      <c r="DQ2" s="319"/>
      <c r="DR2" s="319"/>
      <c r="DS2" s="319"/>
      <c r="DT2" s="319"/>
      <c r="DU2" s="319"/>
      <c r="DV2" s="319"/>
      <c r="DW2" s="319"/>
      <c r="DX2" s="319"/>
      <c r="DY2" s="319"/>
      <c r="DZ2" s="319"/>
      <c r="EA2" s="319"/>
      <c r="EB2" s="319"/>
      <c r="EC2" s="319"/>
      <c r="ED2" s="319"/>
      <c r="EE2" s="319"/>
      <c r="EF2" s="319"/>
      <c r="EG2" s="319"/>
      <c r="EH2" s="319"/>
      <c r="EI2" s="319"/>
      <c r="EJ2" s="319"/>
      <c r="EK2" s="320"/>
      <c r="EL2" s="320"/>
      <c r="EM2" s="320"/>
      <c r="EN2" s="320"/>
      <c r="EO2" s="320"/>
      <c r="EP2" s="320"/>
      <c r="EQ2" s="320"/>
      <c r="ER2" s="320"/>
      <c r="ES2" s="320"/>
      <c r="ET2" s="320"/>
      <c r="EU2" s="320"/>
      <c r="EV2" s="320"/>
      <c r="EW2" s="320"/>
      <c r="EX2" s="320"/>
      <c r="EY2" s="320"/>
      <c r="EZ2" s="320"/>
      <c r="FA2" s="320"/>
      <c r="FB2" s="320"/>
      <c r="FC2" s="320"/>
      <c r="FD2" s="320"/>
      <c r="FE2" s="320"/>
      <c r="FF2" s="320"/>
      <c r="FG2" s="320"/>
      <c r="FH2" s="320"/>
      <c r="FI2" s="320"/>
      <c r="GB2" s="321"/>
      <c r="GC2" s="321"/>
      <c r="GD2" s="321"/>
      <c r="GE2" s="321"/>
      <c r="GF2" s="321"/>
      <c r="GG2" s="321"/>
      <c r="GH2" s="321"/>
      <c r="GI2" s="321"/>
      <c r="GJ2" s="321"/>
      <c r="GK2" s="321"/>
      <c r="GL2" s="321"/>
      <c r="GM2" s="321"/>
      <c r="GN2" s="321"/>
      <c r="GO2" s="321"/>
      <c r="GP2" s="321"/>
      <c r="GQ2" s="321"/>
      <c r="GR2" s="321"/>
      <c r="GS2" s="321"/>
      <c r="GT2" s="321"/>
      <c r="GU2" s="321"/>
      <c r="GV2" s="321"/>
      <c r="GW2" s="321"/>
      <c r="GX2" s="321"/>
      <c r="GY2" s="321"/>
      <c r="GZ2" s="321"/>
      <c r="HA2" s="321"/>
      <c r="HB2" s="321"/>
      <c r="HC2" s="321"/>
      <c r="HD2" s="321"/>
      <c r="HE2" s="321"/>
      <c r="HF2" s="321"/>
      <c r="HG2" s="321"/>
      <c r="HH2" s="321"/>
      <c r="HI2" s="321"/>
      <c r="HJ2" s="321"/>
      <c r="HK2" s="321"/>
      <c r="HL2" s="321"/>
      <c r="HM2" s="321"/>
      <c r="HN2" s="321"/>
      <c r="HO2" s="321"/>
      <c r="HP2" s="321"/>
      <c r="HQ2" s="321"/>
      <c r="HR2" s="321"/>
      <c r="HS2" s="321"/>
      <c r="HT2" s="321"/>
      <c r="HU2" s="321"/>
      <c r="HV2" s="321"/>
      <c r="HW2" s="321"/>
      <c r="HX2" s="321"/>
      <c r="HY2" s="321"/>
      <c r="HZ2" s="321"/>
      <c r="IA2" s="321"/>
    </row>
    <row r="3" spans="1:264" ht="15" customHeight="1" x14ac:dyDescent="0.2">
      <c r="A3" s="1550" t="s">
        <v>618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6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  <c r="AX3" s="316"/>
      <c r="AY3" s="316"/>
      <c r="AZ3" s="316"/>
      <c r="BA3" s="316"/>
      <c r="BB3" s="316"/>
      <c r="BC3" s="316"/>
      <c r="BD3" s="316"/>
      <c r="BE3" s="316"/>
      <c r="BF3" s="316"/>
      <c r="BG3" s="316"/>
      <c r="BH3" s="316"/>
      <c r="BI3" s="316"/>
      <c r="BJ3" s="316"/>
      <c r="BK3" s="316"/>
      <c r="BL3" s="316"/>
      <c r="BM3" s="316"/>
      <c r="BN3" s="316"/>
      <c r="BO3" s="316"/>
      <c r="BP3" s="316"/>
      <c r="BQ3" s="316"/>
      <c r="BR3" s="316"/>
      <c r="BS3" s="316"/>
      <c r="BT3" s="316"/>
      <c r="BU3" s="316"/>
      <c r="BV3" s="316"/>
      <c r="BW3" s="316"/>
      <c r="BX3" s="316"/>
      <c r="BY3" s="316"/>
      <c r="BZ3" s="316"/>
      <c r="CA3" s="316"/>
      <c r="CB3" s="316"/>
      <c r="CC3" s="316"/>
      <c r="CD3" s="316"/>
      <c r="CE3" s="316"/>
      <c r="CF3" s="316"/>
      <c r="CG3" s="316"/>
      <c r="CH3" s="316"/>
      <c r="CI3" s="316"/>
      <c r="CJ3" s="316"/>
      <c r="CK3" s="316"/>
      <c r="CL3" s="316"/>
      <c r="CM3" s="316"/>
      <c r="CN3" s="316"/>
      <c r="CO3" s="316"/>
      <c r="CP3" s="316"/>
      <c r="CQ3" s="316"/>
      <c r="CR3" s="316"/>
      <c r="CS3" s="316"/>
      <c r="CT3" s="316"/>
      <c r="CU3" s="316"/>
      <c r="CV3" s="316"/>
      <c r="CW3" s="316"/>
      <c r="CX3" s="316"/>
      <c r="CY3" s="316"/>
      <c r="CZ3" s="316"/>
      <c r="DA3" s="316"/>
      <c r="DB3" s="316"/>
      <c r="DC3" s="316"/>
      <c r="DD3" s="316"/>
      <c r="DE3" s="316"/>
      <c r="DF3" s="316"/>
      <c r="DG3" s="316"/>
      <c r="DH3" s="316"/>
      <c r="DI3" s="316"/>
      <c r="DJ3" s="316"/>
      <c r="DK3" s="316"/>
      <c r="DL3" s="316"/>
      <c r="DM3" s="316"/>
      <c r="DN3" s="316"/>
      <c r="DO3" s="316"/>
      <c r="DP3" s="316"/>
      <c r="DQ3" s="316"/>
      <c r="DR3" s="316"/>
      <c r="DS3" s="316"/>
      <c r="DT3" s="316"/>
      <c r="DU3" s="316"/>
      <c r="DV3" s="316"/>
      <c r="DW3" s="316"/>
      <c r="DX3" s="316"/>
      <c r="DY3" s="316"/>
      <c r="DZ3" s="316"/>
      <c r="EA3" s="316"/>
      <c r="EB3" s="316"/>
      <c r="EC3" s="316"/>
      <c r="ED3" s="316"/>
      <c r="EE3" s="316"/>
      <c r="EF3" s="316"/>
      <c r="EG3" s="316"/>
      <c r="EH3" s="316"/>
      <c r="EI3" s="316"/>
      <c r="EJ3" s="316"/>
    </row>
    <row r="4" spans="1:264" s="1530" customFormat="1" ht="15" customHeight="1" x14ac:dyDescent="0.2">
      <c r="A4" s="1525"/>
      <c r="B4" s="1526">
        <f>YEAR(B5)</f>
        <v>2008</v>
      </c>
      <c r="C4" s="1527"/>
      <c r="D4" s="1527"/>
      <c r="E4" s="1527"/>
      <c r="F4" s="1527"/>
      <c r="G4" s="1527"/>
      <c r="H4" s="1527"/>
      <c r="I4" s="1527"/>
      <c r="J4" s="1527"/>
      <c r="K4" s="1527"/>
      <c r="L4" s="1527"/>
      <c r="M4" s="1527"/>
      <c r="N4" s="1528" t="s">
        <v>29</v>
      </c>
      <c r="O4" s="1526">
        <f>YEAR(O5)</f>
        <v>2009</v>
      </c>
      <c r="P4" s="1527"/>
      <c r="Q4" s="1527"/>
      <c r="R4" s="1527"/>
      <c r="S4" s="1527"/>
      <c r="T4" s="1527"/>
      <c r="U4" s="1527"/>
      <c r="V4" s="1527"/>
      <c r="W4" s="1527"/>
      <c r="X4" s="1527"/>
      <c r="Y4" s="1527"/>
      <c r="Z4" s="1527"/>
      <c r="AA4" s="1528" t="s">
        <v>29</v>
      </c>
      <c r="AB4" s="1526">
        <f>YEAR(AB5)</f>
        <v>2010</v>
      </c>
      <c r="AC4" s="1527"/>
      <c r="AD4" s="1527"/>
      <c r="AE4" s="1527"/>
      <c r="AF4" s="1527"/>
      <c r="AG4" s="1527"/>
      <c r="AH4" s="1527"/>
      <c r="AI4" s="1527"/>
      <c r="AJ4" s="1527"/>
      <c r="AK4" s="1527"/>
      <c r="AL4" s="1527"/>
      <c r="AM4" s="1527"/>
      <c r="AN4" s="1528" t="s">
        <v>29</v>
      </c>
      <c r="AO4" s="1526">
        <f>YEAR(AO5)</f>
        <v>2011</v>
      </c>
      <c r="AP4" s="1527"/>
      <c r="AQ4" s="1527"/>
      <c r="AR4" s="1527"/>
      <c r="AS4" s="1527"/>
      <c r="AT4" s="1527"/>
      <c r="AU4" s="1527"/>
      <c r="AV4" s="1527"/>
      <c r="AW4" s="1527"/>
      <c r="AX4" s="1527"/>
      <c r="AY4" s="1527"/>
      <c r="AZ4" s="1527"/>
      <c r="BA4" s="1528" t="s">
        <v>29</v>
      </c>
      <c r="BB4" s="1526">
        <f>YEAR(BB5)</f>
        <v>2012</v>
      </c>
      <c r="BC4" s="1527"/>
      <c r="BD4" s="1527"/>
      <c r="BE4" s="1527"/>
      <c r="BF4" s="1527"/>
      <c r="BG4" s="1527"/>
      <c r="BH4" s="1527"/>
      <c r="BI4" s="1527"/>
      <c r="BJ4" s="1527"/>
      <c r="BK4" s="1527"/>
      <c r="BL4" s="1527"/>
      <c r="BM4" s="1527"/>
      <c r="BN4" s="1528" t="s">
        <v>29</v>
      </c>
      <c r="BO4" s="1526">
        <f>YEAR(BO5)</f>
        <v>2013</v>
      </c>
      <c r="BP4" s="1527"/>
      <c r="BQ4" s="1527"/>
      <c r="BR4" s="1527"/>
      <c r="BS4" s="1527"/>
      <c r="BT4" s="1527"/>
      <c r="BU4" s="1527"/>
      <c r="BV4" s="1527"/>
      <c r="BW4" s="1527"/>
      <c r="BX4" s="1527"/>
      <c r="BY4" s="1527"/>
      <c r="BZ4" s="1527"/>
      <c r="CA4" s="1528" t="s">
        <v>29</v>
      </c>
      <c r="CB4" s="1526">
        <f>YEAR(CB5)</f>
        <v>2014</v>
      </c>
      <c r="CC4" s="1527"/>
      <c r="CD4" s="1527"/>
      <c r="CE4" s="1527"/>
      <c r="CF4" s="1527"/>
      <c r="CG4" s="1527"/>
      <c r="CH4" s="1527"/>
      <c r="CI4" s="1527"/>
      <c r="CJ4" s="1527"/>
      <c r="CK4" s="1527"/>
      <c r="CL4" s="1527"/>
      <c r="CM4" s="1527"/>
      <c r="CN4" s="1528" t="s">
        <v>29</v>
      </c>
      <c r="CO4" s="1526">
        <f>YEAR(CO5)</f>
        <v>2015</v>
      </c>
      <c r="CP4" s="1527"/>
      <c r="CQ4" s="1527"/>
      <c r="CR4" s="1527"/>
      <c r="CS4" s="1527"/>
      <c r="CT4" s="1527"/>
      <c r="CU4" s="1527"/>
      <c r="CV4" s="1527"/>
      <c r="CW4" s="1527"/>
      <c r="CX4" s="1527"/>
      <c r="CY4" s="1527"/>
      <c r="CZ4" s="1527"/>
      <c r="DA4" s="1528" t="s">
        <v>29</v>
      </c>
      <c r="DB4" s="1526">
        <f>YEAR(DB5)</f>
        <v>2016</v>
      </c>
      <c r="DC4" s="1527"/>
      <c r="DD4" s="1527"/>
      <c r="DE4" s="1527"/>
      <c r="DF4" s="1527"/>
      <c r="DG4" s="1527"/>
      <c r="DH4" s="1527"/>
      <c r="DI4" s="1527"/>
      <c r="DJ4" s="1527"/>
      <c r="DK4" s="1527"/>
      <c r="DL4" s="1527"/>
      <c r="DM4" s="1527"/>
      <c r="DN4" s="1528" t="s">
        <v>29</v>
      </c>
      <c r="DO4" s="1526">
        <f>YEAR(DO5)</f>
        <v>2017</v>
      </c>
      <c r="DP4" s="1527"/>
      <c r="DQ4" s="1527"/>
      <c r="DR4" s="1527"/>
      <c r="DS4" s="1527"/>
      <c r="DT4" s="1527"/>
      <c r="DU4" s="1527"/>
      <c r="DV4" s="1527"/>
      <c r="DW4" s="1527"/>
      <c r="DX4" s="1527"/>
      <c r="DY4" s="1527"/>
      <c r="DZ4" s="1527"/>
      <c r="EA4" s="1528" t="s">
        <v>29</v>
      </c>
      <c r="EB4" s="1526">
        <f>YEAR(EB5)</f>
        <v>2018</v>
      </c>
      <c r="EC4" s="1527"/>
      <c r="ED4" s="1527"/>
      <c r="EE4" s="1527"/>
      <c r="EF4" s="1527"/>
      <c r="EG4" s="1527"/>
      <c r="EH4" s="1527"/>
      <c r="EI4" s="1527"/>
      <c r="EJ4" s="1527"/>
      <c r="EK4" s="1527"/>
      <c r="EL4" s="1527"/>
      <c r="EM4" s="1527"/>
      <c r="EN4" s="1528" t="s">
        <v>29</v>
      </c>
      <c r="EO4" s="1526">
        <f>YEAR(EO5)</f>
        <v>2019</v>
      </c>
      <c r="EP4" s="1527"/>
      <c r="EQ4" s="1527"/>
      <c r="ER4" s="1527"/>
      <c r="ES4" s="1527"/>
      <c r="ET4" s="1527"/>
      <c r="EU4" s="1527"/>
      <c r="EV4" s="1527"/>
      <c r="EW4" s="1527"/>
      <c r="EX4" s="1527"/>
      <c r="EY4" s="1527"/>
      <c r="EZ4" s="1527"/>
      <c r="FA4" s="1528" t="s">
        <v>29</v>
      </c>
      <c r="FB4" s="1526">
        <f>YEAR(FB5)</f>
        <v>2020</v>
      </c>
      <c r="FC4" s="1527"/>
      <c r="FD4" s="1527"/>
      <c r="FE4" s="1527"/>
      <c r="FF4" s="1527"/>
      <c r="FG4" s="1527"/>
      <c r="FH4" s="1527"/>
      <c r="FI4" s="1527"/>
      <c r="FJ4" s="1527"/>
      <c r="FK4" s="1527"/>
      <c r="FL4" s="1527"/>
      <c r="FM4" s="1527"/>
      <c r="FN4" s="1528" t="s">
        <v>29</v>
      </c>
      <c r="FO4" s="1526">
        <f>YEAR(FO5)</f>
        <v>2021</v>
      </c>
      <c r="FP4" s="1527"/>
      <c r="FQ4" s="1527"/>
      <c r="FR4" s="1527"/>
      <c r="FS4" s="1527"/>
      <c r="FT4" s="1527"/>
      <c r="FU4" s="1527"/>
      <c r="FV4" s="1527"/>
      <c r="FW4" s="1527"/>
      <c r="FX4" s="1527"/>
      <c r="FY4" s="1527"/>
      <c r="FZ4" s="1527"/>
      <c r="GA4" s="1528" t="s">
        <v>29</v>
      </c>
      <c r="GB4" s="1526">
        <f>YEAR(GB5)</f>
        <v>2022</v>
      </c>
      <c r="GC4" s="1527"/>
      <c r="GD4" s="1527"/>
      <c r="GE4" s="1527"/>
      <c r="GF4" s="1527"/>
      <c r="GG4" s="1527"/>
      <c r="GH4" s="1527"/>
      <c r="GI4" s="1527"/>
      <c r="GJ4" s="1527"/>
      <c r="GK4" s="1527"/>
      <c r="GL4" s="1527"/>
      <c r="GM4" s="1527"/>
      <c r="GN4" s="1528" t="s">
        <v>29</v>
      </c>
      <c r="GO4" s="1526">
        <f>YEAR(GO5)</f>
        <v>2023</v>
      </c>
      <c r="GP4" s="1527"/>
      <c r="GQ4" s="1527"/>
      <c r="GR4" s="1527"/>
      <c r="GS4" s="1527"/>
      <c r="GT4" s="1527"/>
      <c r="GU4" s="1527"/>
      <c r="GV4" s="1527"/>
      <c r="GW4" s="1527"/>
      <c r="GX4" s="1527"/>
      <c r="GY4" s="1527"/>
      <c r="GZ4" s="1527"/>
      <c r="HA4" s="1528" t="s">
        <v>29</v>
      </c>
      <c r="HB4" s="1526">
        <f>YEAR(HB5)</f>
        <v>2024</v>
      </c>
      <c r="HC4" s="1527"/>
      <c r="HD4" s="1527"/>
      <c r="HE4" s="1527"/>
      <c r="HF4" s="1527"/>
      <c r="HG4" s="1527"/>
      <c r="HH4" s="1527"/>
      <c r="HI4" s="1527"/>
      <c r="HJ4" s="1527"/>
      <c r="HK4" s="1527"/>
      <c r="HL4" s="1527"/>
      <c r="HM4" s="1527"/>
      <c r="HN4" s="1528" t="s">
        <v>29</v>
      </c>
      <c r="HO4" s="1526">
        <f>YEAR(HO5)</f>
        <v>2025</v>
      </c>
      <c r="HP4" s="1527"/>
      <c r="HQ4" s="1527"/>
      <c r="HR4" s="1527"/>
      <c r="HS4" s="1527"/>
      <c r="HT4" s="1527"/>
      <c r="HU4" s="1527"/>
      <c r="HV4" s="1527"/>
      <c r="HW4" s="1527"/>
      <c r="HX4" s="1527"/>
      <c r="HY4" s="1527"/>
      <c r="HZ4" s="1527"/>
      <c r="IA4" s="1529" t="s">
        <v>29</v>
      </c>
      <c r="IB4" s="1526">
        <f>YEAR(IB5)</f>
        <v>2026</v>
      </c>
      <c r="IC4" s="1527"/>
      <c r="ID4" s="1527"/>
      <c r="IE4" s="1527"/>
      <c r="IF4" s="1527"/>
      <c r="IG4" s="1527"/>
      <c r="IH4" s="1527"/>
      <c r="II4" s="1420"/>
      <c r="IJ4" s="1527"/>
      <c r="IK4" s="1527"/>
      <c r="IL4" s="1527"/>
      <c r="IM4" s="1527"/>
      <c r="IN4" s="1533" t="s">
        <v>29</v>
      </c>
      <c r="IO4" s="1422"/>
      <c r="IP4" s="1692" t="str">
        <f>CONCATENATE("Var.% ",IS4,"/",IS4-1)</f>
        <v>Var.% 2026/2025</v>
      </c>
      <c r="IQ4" s="1693"/>
      <c r="IR4" s="1534">
        <f>IS4-1</f>
        <v>2025</v>
      </c>
      <c r="IS4" s="1534">
        <f>YEAR(IP5)</f>
        <v>2026</v>
      </c>
      <c r="IV4"/>
      <c r="IW4"/>
      <c r="IX4"/>
      <c r="IY4"/>
      <c r="IZ4"/>
      <c r="JA4"/>
      <c r="JB4"/>
      <c r="JC4"/>
      <c r="JD4"/>
    </row>
    <row r="5" spans="1:264" s="1530" customFormat="1" ht="15" customHeight="1" x14ac:dyDescent="0.2">
      <c r="A5" s="1531"/>
      <c r="B5" s="1429">
        <v>39448</v>
      </c>
      <c r="C5" s="1430">
        <v>39479</v>
      </c>
      <c r="D5" s="1430">
        <v>39508</v>
      </c>
      <c r="E5" s="1430">
        <v>39539</v>
      </c>
      <c r="F5" s="1430">
        <v>39569</v>
      </c>
      <c r="G5" s="1430">
        <v>39600</v>
      </c>
      <c r="H5" s="1430">
        <v>39630</v>
      </c>
      <c r="I5" s="1430">
        <v>39661</v>
      </c>
      <c r="J5" s="1430">
        <v>39692</v>
      </c>
      <c r="K5" s="1430">
        <v>39722</v>
      </c>
      <c r="L5" s="1430">
        <v>39753</v>
      </c>
      <c r="M5" s="1430">
        <v>39783</v>
      </c>
      <c r="N5" s="1432">
        <f>YEAR(M5)</f>
        <v>2008</v>
      </c>
      <c r="O5" s="1429">
        <v>39814</v>
      </c>
      <c r="P5" s="1430">
        <v>39845</v>
      </c>
      <c r="Q5" s="1430">
        <v>39873</v>
      </c>
      <c r="R5" s="1430">
        <v>39904</v>
      </c>
      <c r="S5" s="1430">
        <v>39934</v>
      </c>
      <c r="T5" s="1430">
        <v>39965</v>
      </c>
      <c r="U5" s="1430">
        <v>39995</v>
      </c>
      <c r="V5" s="1430">
        <v>40026</v>
      </c>
      <c r="W5" s="1430">
        <v>40057</v>
      </c>
      <c r="X5" s="1430">
        <v>40087</v>
      </c>
      <c r="Y5" s="1430">
        <v>40118</v>
      </c>
      <c r="Z5" s="1430">
        <v>40148</v>
      </c>
      <c r="AA5" s="1432">
        <f>YEAR(Z5)</f>
        <v>2009</v>
      </c>
      <c r="AB5" s="1429">
        <v>40179</v>
      </c>
      <c r="AC5" s="1430">
        <v>40210</v>
      </c>
      <c r="AD5" s="1430">
        <v>40238</v>
      </c>
      <c r="AE5" s="1430">
        <v>40269</v>
      </c>
      <c r="AF5" s="1430">
        <v>40299</v>
      </c>
      <c r="AG5" s="1430">
        <v>40330</v>
      </c>
      <c r="AH5" s="1430">
        <v>40360</v>
      </c>
      <c r="AI5" s="1430">
        <v>40391</v>
      </c>
      <c r="AJ5" s="1430">
        <v>40422</v>
      </c>
      <c r="AK5" s="1430">
        <v>40452</v>
      </c>
      <c r="AL5" s="1430">
        <v>40483</v>
      </c>
      <c r="AM5" s="1430">
        <v>40513</v>
      </c>
      <c r="AN5" s="1432">
        <f>YEAR(AM5)</f>
        <v>2010</v>
      </c>
      <c r="AO5" s="1429">
        <v>40544</v>
      </c>
      <c r="AP5" s="1430">
        <v>40575</v>
      </c>
      <c r="AQ5" s="1430">
        <v>40603</v>
      </c>
      <c r="AR5" s="1430">
        <v>40634</v>
      </c>
      <c r="AS5" s="1430">
        <v>40664</v>
      </c>
      <c r="AT5" s="1430">
        <v>40695</v>
      </c>
      <c r="AU5" s="1430">
        <v>40725</v>
      </c>
      <c r="AV5" s="1430">
        <v>40756</v>
      </c>
      <c r="AW5" s="1430">
        <v>40787</v>
      </c>
      <c r="AX5" s="1430">
        <v>40817</v>
      </c>
      <c r="AY5" s="1430">
        <v>40848</v>
      </c>
      <c r="AZ5" s="1430">
        <v>40878</v>
      </c>
      <c r="BA5" s="1432">
        <f>YEAR(AZ5)</f>
        <v>2011</v>
      </c>
      <c r="BB5" s="1429">
        <v>40909</v>
      </c>
      <c r="BC5" s="1430">
        <v>40940</v>
      </c>
      <c r="BD5" s="1430">
        <v>40969</v>
      </c>
      <c r="BE5" s="1430">
        <v>41000</v>
      </c>
      <c r="BF5" s="1430">
        <v>41030</v>
      </c>
      <c r="BG5" s="1430">
        <v>41061</v>
      </c>
      <c r="BH5" s="1430">
        <v>41091</v>
      </c>
      <c r="BI5" s="1430">
        <v>41122</v>
      </c>
      <c r="BJ5" s="1430">
        <v>41153</v>
      </c>
      <c r="BK5" s="1430">
        <v>41183</v>
      </c>
      <c r="BL5" s="1430">
        <v>41214</v>
      </c>
      <c r="BM5" s="1430">
        <v>41244</v>
      </c>
      <c r="BN5" s="1432">
        <f>YEAR(BM5)</f>
        <v>2012</v>
      </c>
      <c r="BO5" s="1429">
        <v>41275</v>
      </c>
      <c r="BP5" s="1430">
        <v>41306</v>
      </c>
      <c r="BQ5" s="1430">
        <v>41334</v>
      </c>
      <c r="BR5" s="1430">
        <v>41365</v>
      </c>
      <c r="BS5" s="1430">
        <v>41395</v>
      </c>
      <c r="BT5" s="1430">
        <v>41426</v>
      </c>
      <c r="BU5" s="1430">
        <v>41456</v>
      </c>
      <c r="BV5" s="1430">
        <v>41487</v>
      </c>
      <c r="BW5" s="1430">
        <v>41518</v>
      </c>
      <c r="BX5" s="1430">
        <v>41548</v>
      </c>
      <c r="BY5" s="1430">
        <v>41579</v>
      </c>
      <c r="BZ5" s="1430">
        <v>41609</v>
      </c>
      <c r="CA5" s="1432">
        <f>YEAR(BZ5)</f>
        <v>2013</v>
      </c>
      <c r="CB5" s="1429">
        <v>41640</v>
      </c>
      <c r="CC5" s="1430">
        <v>41671</v>
      </c>
      <c r="CD5" s="1430">
        <v>41699</v>
      </c>
      <c r="CE5" s="1430">
        <v>41730</v>
      </c>
      <c r="CF5" s="1430">
        <v>41760</v>
      </c>
      <c r="CG5" s="1430">
        <v>41791</v>
      </c>
      <c r="CH5" s="1430">
        <v>41821</v>
      </c>
      <c r="CI5" s="1430">
        <v>41852</v>
      </c>
      <c r="CJ5" s="1430">
        <v>41883</v>
      </c>
      <c r="CK5" s="1430">
        <v>41913</v>
      </c>
      <c r="CL5" s="1430">
        <v>41944</v>
      </c>
      <c r="CM5" s="1430">
        <v>41974</v>
      </c>
      <c r="CN5" s="1432">
        <f>YEAR(CM5)</f>
        <v>2014</v>
      </c>
      <c r="CO5" s="1429">
        <v>42005</v>
      </c>
      <c r="CP5" s="1430">
        <v>42036</v>
      </c>
      <c r="CQ5" s="1430">
        <v>42064</v>
      </c>
      <c r="CR5" s="1430">
        <v>42095</v>
      </c>
      <c r="CS5" s="1430">
        <v>42125</v>
      </c>
      <c r="CT5" s="1430">
        <v>42156</v>
      </c>
      <c r="CU5" s="1430">
        <v>42186</v>
      </c>
      <c r="CV5" s="1430">
        <v>42217</v>
      </c>
      <c r="CW5" s="1430">
        <v>42248</v>
      </c>
      <c r="CX5" s="1430">
        <v>42278</v>
      </c>
      <c r="CY5" s="1430">
        <v>42309</v>
      </c>
      <c r="CZ5" s="1430">
        <v>42339</v>
      </c>
      <c r="DA5" s="1432">
        <f>YEAR(CZ5)</f>
        <v>2015</v>
      </c>
      <c r="DB5" s="1429">
        <v>42370</v>
      </c>
      <c r="DC5" s="1430">
        <v>42401</v>
      </c>
      <c r="DD5" s="1430">
        <v>42430</v>
      </c>
      <c r="DE5" s="1430">
        <v>42461</v>
      </c>
      <c r="DF5" s="1430">
        <v>42491</v>
      </c>
      <c r="DG5" s="1430">
        <v>42522</v>
      </c>
      <c r="DH5" s="1430">
        <v>42552</v>
      </c>
      <c r="DI5" s="1430">
        <v>42583</v>
      </c>
      <c r="DJ5" s="1430">
        <v>42614</v>
      </c>
      <c r="DK5" s="1430">
        <v>42644</v>
      </c>
      <c r="DL5" s="1430">
        <v>42675</v>
      </c>
      <c r="DM5" s="1430">
        <v>42705</v>
      </c>
      <c r="DN5" s="1432">
        <f>YEAR(DM5)</f>
        <v>2016</v>
      </c>
      <c r="DO5" s="1429">
        <v>42736</v>
      </c>
      <c r="DP5" s="1430">
        <v>42767</v>
      </c>
      <c r="DQ5" s="1430">
        <v>42795</v>
      </c>
      <c r="DR5" s="1430">
        <v>42826</v>
      </c>
      <c r="DS5" s="1430">
        <v>42856</v>
      </c>
      <c r="DT5" s="1430">
        <v>42887</v>
      </c>
      <c r="DU5" s="1430">
        <v>42917</v>
      </c>
      <c r="DV5" s="1430">
        <v>42948</v>
      </c>
      <c r="DW5" s="1430">
        <v>42979</v>
      </c>
      <c r="DX5" s="1430">
        <v>43009</v>
      </c>
      <c r="DY5" s="1430">
        <v>43040</v>
      </c>
      <c r="DZ5" s="1430">
        <v>43070</v>
      </c>
      <c r="EA5" s="1432">
        <f>YEAR(DZ5)</f>
        <v>2017</v>
      </c>
      <c r="EB5" s="1429">
        <v>43101</v>
      </c>
      <c r="EC5" s="1430">
        <v>43132</v>
      </c>
      <c r="ED5" s="1430">
        <v>43160</v>
      </c>
      <c r="EE5" s="1430">
        <v>43191</v>
      </c>
      <c r="EF5" s="1430">
        <v>43221</v>
      </c>
      <c r="EG5" s="1430">
        <v>43252</v>
      </c>
      <c r="EH5" s="1430">
        <v>43282</v>
      </c>
      <c r="EI5" s="1430">
        <v>43313</v>
      </c>
      <c r="EJ5" s="1430">
        <v>43344</v>
      </c>
      <c r="EK5" s="1430">
        <v>43374</v>
      </c>
      <c r="EL5" s="1430">
        <v>43405</v>
      </c>
      <c r="EM5" s="1430">
        <v>43435</v>
      </c>
      <c r="EN5" s="1432">
        <f>YEAR(EM5)</f>
        <v>2018</v>
      </c>
      <c r="EO5" s="1429">
        <v>43466</v>
      </c>
      <c r="EP5" s="1430">
        <v>43497</v>
      </c>
      <c r="EQ5" s="1430">
        <v>43525</v>
      </c>
      <c r="ER5" s="1430">
        <v>43556</v>
      </c>
      <c r="ES5" s="1430">
        <v>43586</v>
      </c>
      <c r="ET5" s="1430">
        <v>43617</v>
      </c>
      <c r="EU5" s="1430">
        <v>43647</v>
      </c>
      <c r="EV5" s="1430">
        <v>43678</v>
      </c>
      <c r="EW5" s="1430">
        <v>43709</v>
      </c>
      <c r="EX5" s="1430">
        <v>43739</v>
      </c>
      <c r="EY5" s="1430">
        <v>43770</v>
      </c>
      <c r="EZ5" s="1430">
        <v>43800</v>
      </c>
      <c r="FA5" s="1432">
        <f>YEAR(EZ5)</f>
        <v>2019</v>
      </c>
      <c r="FB5" s="1429">
        <v>43831</v>
      </c>
      <c r="FC5" s="1430">
        <v>43862</v>
      </c>
      <c r="FD5" s="1430">
        <v>43891</v>
      </c>
      <c r="FE5" s="1430">
        <v>43922</v>
      </c>
      <c r="FF5" s="1430">
        <v>43952</v>
      </c>
      <c r="FG5" s="1430">
        <v>43983</v>
      </c>
      <c r="FH5" s="1430">
        <v>44013</v>
      </c>
      <c r="FI5" s="1430">
        <v>44044</v>
      </c>
      <c r="FJ5" s="1430">
        <v>44075</v>
      </c>
      <c r="FK5" s="1430">
        <v>44105</v>
      </c>
      <c r="FL5" s="1430">
        <v>44136</v>
      </c>
      <c r="FM5" s="1430">
        <v>44166</v>
      </c>
      <c r="FN5" s="1432">
        <f>YEAR(FM5)</f>
        <v>2020</v>
      </c>
      <c r="FO5" s="1429">
        <v>44197</v>
      </c>
      <c r="FP5" s="1430">
        <v>44228</v>
      </c>
      <c r="FQ5" s="1430">
        <v>44256</v>
      </c>
      <c r="FR5" s="1430">
        <v>44287</v>
      </c>
      <c r="FS5" s="1430">
        <v>44317</v>
      </c>
      <c r="FT5" s="1430">
        <v>44348</v>
      </c>
      <c r="FU5" s="1430">
        <v>44378</v>
      </c>
      <c r="FV5" s="1430">
        <v>44409</v>
      </c>
      <c r="FW5" s="1430">
        <v>44440</v>
      </c>
      <c r="FX5" s="1430">
        <v>44470</v>
      </c>
      <c r="FY5" s="1430">
        <v>44501</v>
      </c>
      <c r="FZ5" s="1430">
        <v>44531</v>
      </c>
      <c r="GA5" s="1432">
        <f>YEAR(FZ5)</f>
        <v>2021</v>
      </c>
      <c r="GB5" s="1429">
        <v>44562</v>
      </c>
      <c r="GC5" s="1430">
        <v>44593</v>
      </c>
      <c r="GD5" s="1430">
        <v>44621</v>
      </c>
      <c r="GE5" s="1430">
        <v>44652</v>
      </c>
      <c r="GF5" s="1430">
        <v>44682</v>
      </c>
      <c r="GG5" s="1430">
        <v>44713</v>
      </c>
      <c r="GH5" s="1430">
        <v>44743</v>
      </c>
      <c r="GI5" s="1430">
        <v>44774</v>
      </c>
      <c r="GJ5" s="1430">
        <v>44805</v>
      </c>
      <c r="GK5" s="1430">
        <v>44835</v>
      </c>
      <c r="GL5" s="1430">
        <v>44866</v>
      </c>
      <c r="GM5" s="1430">
        <v>44896</v>
      </c>
      <c r="GN5" s="1432">
        <f>YEAR(GM5)</f>
        <v>2022</v>
      </c>
      <c r="GO5" s="1429">
        <v>44927</v>
      </c>
      <c r="GP5" s="1430">
        <v>44958</v>
      </c>
      <c r="GQ5" s="1430">
        <v>44986</v>
      </c>
      <c r="GR5" s="1430">
        <v>45017</v>
      </c>
      <c r="GS5" s="1430">
        <v>45047</v>
      </c>
      <c r="GT5" s="1430">
        <v>45078</v>
      </c>
      <c r="GU5" s="1430">
        <v>45108</v>
      </c>
      <c r="GV5" s="1430">
        <v>45139</v>
      </c>
      <c r="GW5" s="1430">
        <v>45170</v>
      </c>
      <c r="GX5" s="1430">
        <v>45200</v>
      </c>
      <c r="GY5" s="1430">
        <v>45231</v>
      </c>
      <c r="GZ5" s="1430">
        <v>45261</v>
      </c>
      <c r="HA5" s="1432">
        <f>YEAR(GZ5)</f>
        <v>2023</v>
      </c>
      <c r="HB5" s="1429">
        <v>45292</v>
      </c>
      <c r="HC5" s="1430">
        <v>45323</v>
      </c>
      <c r="HD5" s="1430">
        <v>45352</v>
      </c>
      <c r="HE5" s="1430">
        <v>45383</v>
      </c>
      <c r="HF5" s="1430">
        <v>45413</v>
      </c>
      <c r="HG5" s="1430">
        <v>45444</v>
      </c>
      <c r="HH5" s="1430">
        <v>45474</v>
      </c>
      <c r="HI5" s="1430">
        <v>45505</v>
      </c>
      <c r="HJ5" s="1430">
        <v>45536</v>
      </c>
      <c r="HK5" s="1430">
        <v>45566</v>
      </c>
      <c r="HL5" s="1430">
        <v>45597</v>
      </c>
      <c r="HM5" s="1430">
        <v>45627</v>
      </c>
      <c r="HN5" s="1432">
        <f>YEAR(HM5)</f>
        <v>2024</v>
      </c>
      <c r="HO5" s="1429">
        <v>45658</v>
      </c>
      <c r="HP5" s="1430">
        <v>45689</v>
      </c>
      <c r="HQ5" s="1430">
        <v>45717</v>
      </c>
      <c r="HR5" s="1430">
        <v>45748</v>
      </c>
      <c r="HS5" s="1430">
        <v>45778</v>
      </c>
      <c r="HT5" s="1430">
        <v>45809</v>
      </c>
      <c r="HU5" s="1430">
        <v>45839</v>
      </c>
      <c r="HV5" s="1430">
        <v>45870</v>
      </c>
      <c r="HW5" s="1430">
        <v>45901</v>
      </c>
      <c r="HX5" s="1430">
        <v>45931</v>
      </c>
      <c r="HY5" s="1430">
        <v>45962</v>
      </c>
      <c r="HZ5" s="1430">
        <v>45992</v>
      </c>
      <c r="IA5" s="1532">
        <f>YEAR(HZ5)</f>
        <v>2025</v>
      </c>
      <c r="IB5" s="1429">
        <v>46023</v>
      </c>
      <c r="IC5" s="1430">
        <v>46054</v>
      </c>
      <c r="ID5" s="1430">
        <v>46082</v>
      </c>
      <c r="IE5" s="1430">
        <v>46113</v>
      </c>
      <c r="IF5" s="1430">
        <v>46143</v>
      </c>
      <c r="IG5" s="1430">
        <v>46174</v>
      </c>
      <c r="IH5" s="1430">
        <v>46204</v>
      </c>
      <c r="II5" s="1430">
        <v>46235</v>
      </c>
      <c r="IJ5" s="1430">
        <v>46266</v>
      </c>
      <c r="IK5" s="1430">
        <v>46296</v>
      </c>
      <c r="IL5" s="1430">
        <v>46327</v>
      </c>
      <c r="IM5" s="1430">
        <v>46357</v>
      </c>
      <c r="IN5" s="1431">
        <f>YEAR(IM5)</f>
        <v>2026</v>
      </c>
      <c r="IO5" s="1422"/>
      <c r="IP5" s="1433">
        <f>II5</f>
        <v>46235</v>
      </c>
      <c r="IQ5" s="1535" t="str">
        <f>CONCATENATE("Ene.-",TEXT(IP5,"MMM."))</f>
        <v>Ene.-Ago.</v>
      </c>
      <c r="IR5" s="1535" t="str">
        <f>IQ5</f>
        <v>Ene.-Ago.</v>
      </c>
      <c r="IS5" s="1535" t="str">
        <f>IQ5</f>
        <v>Ene.-Ago.</v>
      </c>
      <c r="IV5"/>
      <c r="IW5"/>
      <c r="IX5"/>
      <c r="IY5"/>
      <c r="IZ5"/>
      <c r="JA5"/>
      <c r="JB5"/>
      <c r="JC5"/>
      <c r="JD5"/>
    </row>
    <row r="6" spans="1:264" ht="15" customHeight="1" x14ac:dyDescent="0.2">
      <c r="A6" s="331" t="s">
        <v>352</v>
      </c>
      <c r="B6" s="373"/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87"/>
      <c r="N6" s="375"/>
      <c r="O6" s="373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87"/>
      <c r="AA6" s="375"/>
      <c r="AB6" s="373"/>
      <c r="AC6" s="374"/>
      <c r="AD6" s="374"/>
      <c r="AE6" s="374"/>
      <c r="AF6" s="374"/>
      <c r="AG6" s="374"/>
      <c r="AH6" s="374"/>
      <c r="AI6" s="374"/>
      <c r="AJ6" s="374"/>
      <c r="AK6" s="374"/>
      <c r="AL6" s="374"/>
      <c r="AM6" s="387"/>
      <c r="AN6" s="375"/>
      <c r="AO6" s="373"/>
      <c r="AP6" s="374"/>
      <c r="AQ6" s="374"/>
      <c r="AR6" s="374"/>
      <c r="AS6" s="374"/>
      <c r="AT6" s="374"/>
      <c r="AU6" s="374"/>
      <c r="AV6" s="374"/>
      <c r="AW6" s="374"/>
      <c r="AX6" s="374"/>
      <c r="AY6" s="374"/>
      <c r="AZ6" s="387"/>
      <c r="BA6" s="375"/>
      <c r="BB6" s="373"/>
      <c r="BC6" s="374"/>
      <c r="BD6" s="374"/>
      <c r="BE6" s="374"/>
      <c r="BF6" s="374"/>
      <c r="BG6" s="374"/>
      <c r="BH6" s="374"/>
      <c r="BI6" s="374"/>
      <c r="BJ6" s="374"/>
      <c r="BK6" s="374"/>
      <c r="BL6" s="374"/>
      <c r="BM6" s="387"/>
      <c r="BN6" s="375"/>
      <c r="BO6" s="373"/>
      <c r="BP6" s="374"/>
      <c r="BQ6" s="374"/>
      <c r="BR6" s="374"/>
      <c r="BS6" s="374"/>
      <c r="BT6" s="374"/>
      <c r="BU6" s="374"/>
      <c r="BV6" s="374"/>
      <c r="BW6" s="374"/>
      <c r="BX6" s="374"/>
      <c r="BY6" s="374"/>
      <c r="BZ6" s="387"/>
      <c r="CA6" s="375"/>
      <c r="CB6" s="373"/>
      <c r="CC6" s="374"/>
      <c r="CD6" s="374"/>
      <c r="CE6" s="374"/>
      <c r="CF6" s="374"/>
      <c r="CG6" s="374"/>
      <c r="CH6" s="374"/>
      <c r="CI6" s="374"/>
      <c r="CJ6" s="374"/>
      <c r="CK6" s="374"/>
      <c r="CL6" s="374"/>
      <c r="CM6" s="387"/>
      <c r="CN6" s="375"/>
      <c r="CO6" s="373"/>
      <c r="CP6" s="374"/>
      <c r="CQ6" s="374"/>
      <c r="CR6" s="374"/>
      <c r="CS6" s="374"/>
      <c r="CT6" s="374"/>
      <c r="CU6" s="374"/>
      <c r="CV6" s="374"/>
      <c r="CW6" s="374"/>
      <c r="CX6" s="374"/>
      <c r="CY6" s="374"/>
      <c r="CZ6" s="387"/>
      <c r="DA6" s="375"/>
      <c r="DB6" s="373"/>
      <c r="DC6" s="374"/>
      <c r="DD6" s="374"/>
      <c r="DE6" s="374"/>
      <c r="DF6" s="374"/>
      <c r="DG6" s="374"/>
      <c r="DH6" s="374"/>
      <c r="DI6" s="374"/>
      <c r="DJ6" s="374"/>
      <c r="DK6" s="374"/>
      <c r="DL6" s="374"/>
      <c r="DM6" s="387"/>
      <c r="DN6" s="375"/>
      <c r="DO6" s="373"/>
      <c r="DP6" s="374"/>
      <c r="DQ6" s="374"/>
      <c r="DR6" s="374"/>
      <c r="DS6" s="374"/>
      <c r="DT6" s="374"/>
      <c r="DU6" s="374"/>
      <c r="DV6" s="374"/>
      <c r="DW6" s="374"/>
      <c r="DX6" s="374"/>
      <c r="DY6" s="374"/>
      <c r="DZ6" s="387"/>
      <c r="EA6" s="375"/>
      <c r="EB6" s="373"/>
      <c r="EC6" s="374"/>
      <c r="ED6" s="374"/>
      <c r="EE6" s="374"/>
      <c r="EF6" s="374"/>
      <c r="EG6" s="374"/>
      <c r="EH6" s="374"/>
      <c r="EI6" s="374"/>
      <c r="EJ6" s="374"/>
      <c r="EK6" s="374"/>
      <c r="EL6" s="374"/>
      <c r="EM6" s="387"/>
      <c r="EN6" s="375"/>
      <c r="EO6" s="373"/>
      <c r="EP6" s="374"/>
      <c r="EQ6" s="374"/>
      <c r="ER6" s="374"/>
      <c r="ES6" s="374"/>
      <c r="ET6" s="374"/>
      <c r="EU6" s="374"/>
      <c r="EV6" s="374"/>
      <c r="EW6" s="374"/>
      <c r="EX6" s="374"/>
      <c r="EY6" s="374"/>
      <c r="EZ6" s="387"/>
      <c r="FA6" s="375"/>
      <c r="FB6" s="373"/>
      <c r="FC6" s="374"/>
      <c r="FD6" s="374"/>
      <c r="FE6" s="374"/>
      <c r="FF6" s="374"/>
      <c r="FG6" s="374"/>
      <c r="FH6" s="374"/>
      <c r="FI6" s="374"/>
      <c r="FJ6" s="374"/>
      <c r="FK6" s="374"/>
      <c r="FL6" s="374"/>
      <c r="FM6" s="387"/>
      <c r="FN6" s="375"/>
      <c r="FO6" s="373"/>
      <c r="FP6" s="374"/>
      <c r="FQ6" s="374"/>
      <c r="FR6" s="374"/>
      <c r="FS6" s="374"/>
      <c r="FT6" s="374"/>
      <c r="FU6" s="374"/>
      <c r="FV6" s="374"/>
      <c r="FW6" s="374"/>
      <c r="FX6" s="374"/>
      <c r="FY6" s="374"/>
      <c r="FZ6" s="387"/>
      <c r="GA6" s="375"/>
      <c r="GB6" s="373"/>
      <c r="GC6" s="374"/>
      <c r="GD6" s="374"/>
      <c r="GE6" s="374"/>
      <c r="GF6" s="374"/>
      <c r="GG6" s="374"/>
      <c r="GH6" s="374"/>
      <c r="GI6" s="374"/>
      <c r="GJ6" s="374"/>
      <c r="GK6" s="374"/>
      <c r="GL6" s="374"/>
      <c r="GM6" s="387"/>
      <c r="GN6" s="375"/>
      <c r="GO6" s="373"/>
      <c r="GP6" s="374"/>
      <c r="GQ6" s="374"/>
      <c r="GR6" s="374"/>
      <c r="GS6" s="374"/>
      <c r="GT6" s="374"/>
      <c r="GU6" s="374"/>
      <c r="GV6" s="374"/>
      <c r="GW6" s="374"/>
      <c r="GX6" s="374"/>
      <c r="GY6" s="374"/>
      <c r="GZ6" s="387"/>
      <c r="HA6" s="375"/>
      <c r="HB6" s="373"/>
      <c r="HC6" s="374"/>
      <c r="HD6" s="374"/>
      <c r="HE6" s="374"/>
      <c r="HF6" s="374"/>
      <c r="HG6" s="374"/>
      <c r="HH6" s="374"/>
      <c r="HI6" s="374"/>
      <c r="HJ6" s="374"/>
      <c r="HK6" s="374"/>
      <c r="HL6" s="374"/>
      <c r="HM6" s="387"/>
      <c r="HN6" s="375"/>
      <c r="HO6" s="373"/>
      <c r="HP6" s="374"/>
      <c r="HQ6" s="374"/>
      <c r="HR6" s="374"/>
      <c r="HS6" s="374"/>
      <c r="HT6" s="374"/>
      <c r="HU6" s="374"/>
      <c r="HV6" s="374"/>
      <c r="HW6" s="374"/>
      <c r="HX6" s="374"/>
      <c r="HY6" s="374"/>
      <c r="HZ6" s="387"/>
      <c r="IA6" s="373"/>
      <c r="IB6" s="1337"/>
      <c r="IC6" s="1338"/>
      <c r="ID6" s="1338"/>
      <c r="IE6" s="1338"/>
      <c r="IF6" s="1338"/>
      <c r="IG6" s="1338"/>
      <c r="IH6" s="1338"/>
      <c r="II6" s="1338"/>
      <c r="IJ6" s="1338"/>
      <c r="IK6" s="1338"/>
      <c r="IL6" s="1338"/>
      <c r="IM6" s="1339"/>
      <c r="IN6" s="1340"/>
      <c r="IP6" s="369"/>
      <c r="IQ6" s="334"/>
      <c r="IR6" s="337"/>
      <c r="IS6" s="335"/>
    </row>
    <row r="7" spans="1:264" s="1523" customFormat="1" ht="15" customHeight="1" x14ac:dyDescent="0.2">
      <c r="A7" s="1511" t="s">
        <v>300</v>
      </c>
      <c r="B7" s="1512">
        <f t="shared" ref="B7:M7" si="0">SUM(B8+B14+B19)</f>
        <v>20855</v>
      </c>
      <c r="C7" s="1513">
        <f t="shared" si="0"/>
        <v>18109</v>
      </c>
      <c r="D7" s="1513">
        <f t="shared" si="0"/>
        <v>22748</v>
      </c>
      <c r="E7" s="1513">
        <f t="shared" si="0"/>
        <v>68499</v>
      </c>
      <c r="F7" s="1513">
        <f t="shared" si="0"/>
        <v>26954</v>
      </c>
      <c r="G7" s="1513">
        <f t="shared" si="0"/>
        <v>48845</v>
      </c>
      <c r="H7" s="1513">
        <f t="shared" si="0"/>
        <v>24412</v>
      </c>
      <c r="I7" s="1513">
        <f t="shared" si="0"/>
        <v>23671</v>
      </c>
      <c r="J7" s="1513">
        <f t="shared" si="0"/>
        <v>21770</v>
      </c>
      <c r="K7" s="1513">
        <f t="shared" si="0"/>
        <v>70324</v>
      </c>
      <c r="L7" s="1513">
        <f t="shared" si="0"/>
        <v>73260</v>
      </c>
      <c r="M7" s="1514">
        <f t="shared" si="0"/>
        <v>43554</v>
      </c>
      <c r="N7" s="1515">
        <f>SUM(B7:M7)</f>
        <v>463001</v>
      </c>
      <c r="O7" s="1512">
        <f t="shared" ref="O7:Z7" si="1">SUM(O8+O14+O19)</f>
        <v>29227</v>
      </c>
      <c r="P7" s="1513">
        <f t="shared" si="1"/>
        <v>23255</v>
      </c>
      <c r="Q7" s="1513">
        <f t="shared" si="1"/>
        <v>21343</v>
      </c>
      <c r="R7" s="1513">
        <f t="shared" si="1"/>
        <v>22351</v>
      </c>
      <c r="S7" s="1513">
        <f t="shared" si="1"/>
        <v>39855</v>
      </c>
      <c r="T7" s="1513">
        <f t="shared" si="1"/>
        <v>36903</v>
      </c>
      <c r="U7" s="1513">
        <f t="shared" si="1"/>
        <v>36217</v>
      </c>
      <c r="V7" s="1513">
        <f t="shared" si="1"/>
        <v>33931</v>
      </c>
      <c r="W7" s="1513">
        <f t="shared" si="1"/>
        <v>53840</v>
      </c>
      <c r="X7" s="1513">
        <f t="shared" si="1"/>
        <v>56999</v>
      </c>
      <c r="Y7" s="1513">
        <f t="shared" si="1"/>
        <v>31931</v>
      </c>
      <c r="Z7" s="1514">
        <f t="shared" si="1"/>
        <v>57870</v>
      </c>
      <c r="AA7" s="1515">
        <f>SUM(O7:Z7)</f>
        <v>443722</v>
      </c>
      <c r="AB7" s="1512">
        <f t="shared" ref="AB7:AM7" si="2">SUM(AB8+AB14+AB19)</f>
        <v>44667</v>
      </c>
      <c r="AC7" s="1513">
        <f t="shared" si="2"/>
        <v>38502</v>
      </c>
      <c r="AD7" s="1513">
        <f t="shared" si="2"/>
        <v>22920</v>
      </c>
      <c r="AE7" s="1513">
        <f t="shared" si="2"/>
        <v>50405</v>
      </c>
      <c r="AF7" s="1513">
        <f t="shared" si="2"/>
        <v>25233</v>
      </c>
      <c r="AG7" s="1513">
        <f t="shared" si="2"/>
        <v>32917</v>
      </c>
      <c r="AH7" s="1513">
        <f t="shared" si="2"/>
        <v>45246</v>
      </c>
      <c r="AI7" s="1513">
        <f t="shared" si="2"/>
        <v>30405</v>
      </c>
      <c r="AJ7" s="1513">
        <f t="shared" si="2"/>
        <v>39177</v>
      </c>
      <c r="AK7" s="1513">
        <f t="shared" si="2"/>
        <v>54465</v>
      </c>
      <c r="AL7" s="1513">
        <f t="shared" si="2"/>
        <v>39694</v>
      </c>
      <c r="AM7" s="1514">
        <f t="shared" si="2"/>
        <v>46389</v>
      </c>
      <c r="AN7" s="1515">
        <f>SUM(AB7:AM7)</f>
        <v>470020</v>
      </c>
      <c r="AO7" s="1512">
        <f t="shared" ref="AO7:AZ7" si="3">SUM(AO8+AO14+AO19)</f>
        <v>29271</v>
      </c>
      <c r="AP7" s="1513">
        <f t="shared" si="3"/>
        <v>38490</v>
      </c>
      <c r="AQ7" s="1513">
        <f t="shared" si="3"/>
        <v>30667</v>
      </c>
      <c r="AR7" s="1513">
        <f t="shared" si="3"/>
        <v>35862</v>
      </c>
      <c r="AS7" s="1513">
        <f t="shared" si="3"/>
        <v>37700</v>
      </c>
      <c r="AT7" s="1513">
        <f t="shared" si="3"/>
        <v>39257</v>
      </c>
      <c r="AU7" s="1513">
        <f t="shared" si="3"/>
        <v>41260</v>
      </c>
      <c r="AV7" s="1513">
        <f t="shared" si="3"/>
        <v>38283</v>
      </c>
      <c r="AW7" s="1513">
        <f t="shared" si="3"/>
        <v>30438</v>
      </c>
      <c r="AX7" s="1513">
        <f t="shared" si="3"/>
        <v>36666</v>
      </c>
      <c r="AY7" s="1513">
        <f t="shared" si="3"/>
        <v>31162</v>
      </c>
      <c r="AZ7" s="1514">
        <f t="shared" si="3"/>
        <v>60553</v>
      </c>
      <c r="BA7" s="1515">
        <f>SUM(AO7:AZ7)</f>
        <v>449609</v>
      </c>
      <c r="BB7" s="1512">
        <f t="shared" ref="BB7:BM7" si="4">+BB8+BB14+BB19</f>
        <v>25898</v>
      </c>
      <c r="BC7" s="1513">
        <f t="shared" si="4"/>
        <v>31044</v>
      </c>
      <c r="BD7" s="1513">
        <f t="shared" si="4"/>
        <v>28357</v>
      </c>
      <c r="BE7" s="1513">
        <f t="shared" si="4"/>
        <v>24552</v>
      </c>
      <c r="BF7" s="1513">
        <f t="shared" si="4"/>
        <v>71508</v>
      </c>
      <c r="BG7" s="1513">
        <f t="shared" si="4"/>
        <v>27650</v>
      </c>
      <c r="BH7" s="1513">
        <f t="shared" si="4"/>
        <v>56640</v>
      </c>
      <c r="BI7" s="1513">
        <f t="shared" si="4"/>
        <v>50890</v>
      </c>
      <c r="BJ7" s="1513">
        <f t="shared" si="4"/>
        <v>50529</v>
      </c>
      <c r="BK7" s="1513">
        <f t="shared" si="4"/>
        <v>65056</v>
      </c>
      <c r="BL7" s="1513">
        <f t="shared" si="4"/>
        <v>77497</v>
      </c>
      <c r="BM7" s="1514">
        <f t="shared" si="4"/>
        <v>69209</v>
      </c>
      <c r="BN7" s="1515">
        <f>SUM(BB7:BM7)</f>
        <v>578830</v>
      </c>
      <c r="BO7" s="1512">
        <f t="shared" ref="BO7:BZ7" si="5">+BO8+BO14+BO19</f>
        <v>28947</v>
      </c>
      <c r="BP7" s="1513">
        <f t="shared" si="5"/>
        <v>82367</v>
      </c>
      <c r="BQ7" s="1513">
        <f t="shared" si="5"/>
        <v>55124</v>
      </c>
      <c r="BR7" s="1513">
        <f t="shared" si="5"/>
        <v>48827</v>
      </c>
      <c r="BS7" s="1513">
        <f t="shared" si="5"/>
        <v>56048</v>
      </c>
      <c r="BT7" s="1513">
        <f t="shared" si="5"/>
        <v>43361</v>
      </c>
      <c r="BU7" s="1513">
        <f t="shared" si="5"/>
        <v>43804</v>
      </c>
      <c r="BV7" s="1513">
        <f t="shared" si="5"/>
        <v>54999</v>
      </c>
      <c r="BW7" s="1513">
        <f t="shared" si="5"/>
        <v>57534</v>
      </c>
      <c r="BX7" s="1513">
        <f t="shared" si="5"/>
        <v>69008</v>
      </c>
      <c r="BY7" s="1513">
        <f t="shared" si="5"/>
        <v>64863</v>
      </c>
      <c r="BZ7" s="1514">
        <f t="shared" si="5"/>
        <v>78225</v>
      </c>
      <c r="CA7" s="1515">
        <f>SUM(BO7:BZ7)</f>
        <v>683107</v>
      </c>
      <c r="CB7" s="1512">
        <f t="shared" ref="CB7:CM7" si="6">+CB8+CB14+CB19</f>
        <v>40924</v>
      </c>
      <c r="CC7" s="1513">
        <f t="shared" si="6"/>
        <v>75470</v>
      </c>
      <c r="CD7" s="1513">
        <f t="shared" si="6"/>
        <v>36399</v>
      </c>
      <c r="CE7" s="1513">
        <f t="shared" si="6"/>
        <v>60148</v>
      </c>
      <c r="CF7" s="1513">
        <f t="shared" si="6"/>
        <v>49240</v>
      </c>
      <c r="CG7" s="1513">
        <f t="shared" si="6"/>
        <v>55424</v>
      </c>
      <c r="CH7" s="1513">
        <f t="shared" si="6"/>
        <v>50684</v>
      </c>
      <c r="CI7" s="1513">
        <f t="shared" si="6"/>
        <v>62723</v>
      </c>
      <c r="CJ7" s="1513">
        <f t="shared" si="6"/>
        <v>44880</v>
      </c>
      <c r="CK7" s="1513">
        <f t="shared" si="6"/>
        <v>46555</v>
      </c>
      <c r="CL7" s="1513">
        <f t="shared" si="6"/>
        <v>35412</v>
      </c>
      <c r="CM7" s="1514">
        <f t="shared" si="6"/>
        <v>97237</v>
      </c>
      <c r="CN7" s="1515">
        <f>SUM(CB7:CM7)</f>
        <v>655096</v>
      </c>
      <c r="CO7" s="1512">
        <f t="shared" ref="CO7:CZ7" si="7">+CO8+CO14+CO19</f>
        <v>61987</v>
      </c>
      <c r="CP7" s="1513">
        <f t="shared" si="7"/>
        <v>88208</v>
      </c>
      <c r="CQ7" s="1513">
        <f t="shared" si="7"/>
        <v>61099</v>
      </c>
      <c r="CR7" s="1513">
        <f t="shared" si="7"/>
        <v>45713</v>
      </c>
      <c r="CS7" s="1513">
        <f t="shared" si="7"/>
        <v>53639</v>
      </c>
      <c r="CT7" s="1513">
        <f t="shared" si="7"/>
        <v>69402</v>
      </c>
      <c r="CU7" s="1513">
        <f t="shared" si="7"/>
        <v>82817</v>
      </c>
      <c r="CV7" s="1513">
        <f t="shared" si="7"/>
        <v>73453</v>
      </c>
      <c r="CW7" s="1513">
        <f t="shared" si="7"/>
        <v>65847</v>
      </c>
      <c r="CX7" s="1513">
        <f t="shared" si="7"/>
        <v>74698</v>
      </c>
      <c r="CY7" s="1513">
        <f t="shared" si="7"/>
        <v>70885</v>
      </c>
      <c r="CZ7" s="1514">
        <f t="shared" si="7"/>
        <v>182579</v>
      </c>
      <c r="DA7" s="1515">
        <f>SUM(CO7:CZ7)</f>
        <v>930327</v>
      </c>
      <c r="DB7" s="1512">
        <f t="shared" ref="DB7:DM7" si="8">+DB8+DB14+DB19</f>
        <v>77156</v>
      </c>
      <c r="DC7" s="1513">
        <f t="shared" si="8"/>
        <v>59842</v>
      </c>
      <c r="DD7" s="1513">
        <f t="shared" si="8"/>
        <v>52635</v>
      </c>
      <c r="DE7" s="1513">
        <f t="shared" si="8"/>
        <v>58666</v>
      </c>
      <c r="DF7" s="1513">
        <f t="shared" si="8"/>
        <v>59110</v>
      </c>
      <c r="DG7" s="1513">
        <f t="shared" si="8"/>
        <v>70768</v>
      </c>
      <c r="DH7" s="1513">
        <f t="shared" si="8"/>
        <v>62982</v>
      </c>
      <c r="DI7" s="1513">
        <f t="shared" si="8"/>
        <v>91772</v>
      </c>
      <c r="DJ7" s="1513">
        <f t="shared" si="8"/>
        <v>55574</v>
      </c>
      <c r="DK7" s="1513">
        <f t="shared" si="8"/>
        <v>61614</v>
      </c>
      <c r="DL7" s="1513">
        <f t="shared" si="8"/>
        <v>53441</v>
      </c>
      <c r="DM7" s="1514">
        <f t="shared" si="8"/>
        <v>120155</v>
      </c>
      <c r="DN7" s="1515">
        <f>SUM(DB7:DM7)</f>
        <v>823715</v>
      </c>
      <c r="DO7" s="1512">
        <f t="shared" ref="DO7:DZ7" si="9">+DO8+DO14+DO19</f>
        <v>27171</v>
      </c>
      <c r="DP7" s="1513">
        <f t="shared" si="9"/>
        <v>69563</v>
      </c>
      <c r="DQ7" s="1513">
        <f t="shared" si="9"/>
        <v>79252</v>
      </c>
      <c r="DR7" s="1513">
        <f t="shared" si="9"/>
        <v>79379</v>
      </c>
      <c r="DS7" s="1513">
        <f t="shared" si="9"/>
        <v>143035</v>
      </c>
      <c r="DT7" s="1513">
        <f t="shared" si="9"/>
        <v>115782</v>
      </c>
      <c r="DU7" s="1513">
        <f t="shared" si="9"/>
        <v>78756</v>
      </c>
      <c r="DV7" s="1513">
        <f t="shared" si="9"/>
        <v>79345</v>
      </c>
      <c r="DW7" s="1513">
        <f t="shared" si="9"/>
        <v>61843</v>
      </c>
      <c r="DX7" s="1513">
        <f t="shared" si="9"/>
        <v>90074</v>
      </c>
      <c r="DY7" s="1513">
        <f t="shared" si="9"/>
        <v>72405</v>
      </c>
      <c r="DZ7" s="1514">
        <f t="shared" si="9"/>
        <v>136926</v>
      </c>
      <c r="EA7" s="1515">
        <f>SUM(DO7:DZ7)</f>
        <v>1033531</v>
      </c>
      <c r="EB7" s="1512">
        <f t="shared" ref="EB7:EM7" si="10">+EB8+EB14+EB19</f>
        <v>67223</v>
      </c>
      <c r="EC7" s="1513">
        <f t="shared" si="10"/>
        <v>81054</v>
      </c>
      <c r="ED7" s="1513">
        <f t="shared" si="10"/>
        <v>64046</v>
      </c>
      <c r="EE7" s="1513">
        <f t="shared" si="10"/>
        <v>125614</v>
      </c>
      <c r="EF7" s="1513">
        <f t="shared" si="10"/>
        <v>76141</v>
      </c>
      <c r="EG7" s="1513">
        <f t="shared" si="10"/>
        <v>83243</v>
      </c>
      <c r="EH7" s="1513">
        <f t="shared" si="10"/>
        <v>92317</v>
      </c>
      <c r="EI7" s="1513">
        <f t="shared" si="10"/>
        <v>99083</v>
      </c>
      <c r="EJ7" s="1513">
        <f t="shared" si="10"/>
        <v>70436</v>
      </c>
      <c r="EK7" s="1513">
        <f t="shared" si="10"/>
        <v>93079</v>
      </c>
      <c r="EL7" s="1513">
        <f t="shared" si="10"/>
        <v>88679</v>
      </c>
      <c r="EM7" s="1514">
        <f t="shared" si="10"/>
        <v>284368</v>
      </c>
      <c r="EN7" s="1515">
        <f>SUM(EB7:EM7)</f>
        <v>1225283</v>
      </c>
      <c r="EO7" s="1512">
        <f t="shared" ref="EO7:EZ7" si="11">+EO8+EO14+EO19</f>
        <v>86458</v>
      </c>
      <c r="EP7" s="1513">
        <f t="shared" si="11"/>
        <v>65559</v>
      </c>
      <c r="EQ7" s="1513">
        <f t="shared" si="11"/>
        <v>88258</v>
      </c>
      <c r="ER7" s="1513">
        <f t="shared" si="11"/>
        <v>91441</v>
      </c>
      <c r="ES7" s="1513">
        <f t="shared" si="11"/>
        <v>76784</v>
      </c>
      <c r="ET7" s="1513">
        <f t="shared" si="11"/>
        <v>78117</v>
      </c>
      <c r="EU7" s="1513">
        <f t="shared" si="11"/>
        <v>169326</v>
      </c>
      <c r="EV7" s="1513">
        <f t="shared" si="11"/>
        <v>84067</v>
      </c>
      <c r="EW7" s="1513">
        <f t="shared" si="11"/>
        <v>91962</v>
      </c>
      <c r="EX7" s="1513">
        <f t="shared" si="11"/>
        <v>112688</v>
      </c>
      <c r="EY7" s="1513">
        <f t="shared" si="11"/>
        <v>116325</v>
      </c>
      <c r="EZ7" s="1514">
        <f t="shared" si="11"/>
        <v>137536</v>
      </c>
      <c r="FA7" s="1515">
        <f>SUM(EO7:EZ7)</f>
        <v>1198521</v>
      </c>
      <c r="FB7" s="1512">
        <f t="shared" ref="FB7:FM7" si="12">+FB8+FB14+FB19</f>
        <v>71037</v>
      </c>
      <c r="FC7" s="1513">
        <f t="shared" si="12"/>
        <v>90615</v>
      </c>
      <c r="FD7" s="1513">
        <f t="shared" si="12"/>
        <v>95204</v>
      </c>
      <c r="FE7" s="1513">
        <f t="shared" si="12"/>
        <v>157399</v>
      </c>
      <c r="FF7" s="1513">
        <f t="shared" si="12"/>
        <v>112491</v>
      </c>
      <c r="FG7" s="1513">
        <f t="shared" si="12"/>
        <v>45802</v>
      </c>
      <c r="FH7" s="1513">
        <f t="shared" si="12"/>
        <v>110908</v>
      </c>
      <c r="FI7" s="1513">
        <f t="shared" si="12"/>
        <v>151315</v>
      </c>
      <c r="FJ7" s="1513">
        <f t="shared" si="12"/>
        <v>67887</v>
      </c>
      <c r="FK7" s="1513">
        <f t="shared" si="12"/>
        <v>215662</v>
      </c>
      <c r="FL7" s="1513">
        <f t="shared" si="12"/>
        <v>133409</v>
      </c>
      <c r="FM7" s="1514">
        <f t="shared" si="12"/>
        <v>171088</v>
      </c>
      <c r="FN7" s="1515">
        <f>SUM(FB7:FM7)</f>
        <v>1422817</v>
      </c>
      <c r="FO7" s="1512">
        <f t="shared" ref="FO7:FZ7" si="13">+FO8+FO14+FO19</f>
        <v>52508</v>
      </c>
      <c r="FP7" s="1513">
        <f t="shared" si="13"/>
        <v>85804</v>
      </c>
      <c r="FQ7" s="1513">
        <f t="shared" si="13"/>
        <v>80851</v>
      </c>
      <c r="FR7" s="1513">
        <f t="shared" si="13"/>
        <v>109717</v>
      </c>
      <c r="FS7" s="1513">
        <f t="shared" si="13"/>
        <v>89050</v>
      </c>
      <c r="FT7" s="1513">
        <f t="shared" si="13"/>
        <v>77320</v>
      </c>
      <c r="FU7" s="1513">
        <f t="shared" si="13"/>
        <v>98216</v>
      </c>
      <c r="FV7" s="1513">
        <f t="shared" si="13"/>
        <v>69262</v>
      </c>
      <c r="FW7" s="1513">
        <f t="shared" si="13"/>
        <v>153825</v>
      </c>
      <c r="FX7" s="1513">
        <f t="shared" si="13"/>
        <v>115021</v>
      </c>
      <c r="FY7" s="1513">
        <f t="shared" si="13"/>
        <v>143574</v>
      </c>
      <c r="FZ7" s="1514">
        <f t="shared" si="13"/>
        <v>390846</v>
      </c>
      <c r="GA7" s="1515">
        <f>SUM(FO7:FZ7)</f>
        <v>1465994</v>
      </c>
      <c r="GB7" s="1512">
        <f t="shared" ref="GB7:GM7" si="14">+GB8+GB14+GB19</f>
        <v>66201</v>
      </c>
      <c r="GC7" s="1513">
        <f t="shared" si="14"/>
        <v>74035</v>
      </c>
      <c r="GD7" s="1513">
        <f t="shared" si="14"/>
        <v>95211</v>
      </c>
      <c r="GE7" s="1513">
        <f t="shared" si="14"/>
        <v>99404</v>
      </c>
      <c r="GF7" s="1513">
        <f t="shared" si="14"/>
        <v>99227</v>
      </c>
      <c r="GG7" s="1513">
        <f t="shared" si="14"/>
        <v>92523</v>
      </c>
      <c r="GH7" s="1513">
        <f t="shared" si="14"/>
        <v>120729</v>
      </c>
      <c r="GI7" s="1513">
        <f t="shared" si="14"/>
        <v>219232</v>
      </c>
      <c r="GJ7" s="1513">
        <f t="shared" si="14"/>
        <v>81173</v>
      </c>
      <c r="GK7" s="1513">
        <f t="shared" si="14"/>
        <v>188191</v>
      </c>
      <c r="GL7" s="1513">
        <f t="shared" si="14"/>
        <v>128510</v>
      </c>
      <c r="GM7" s="1514">
        <f t="shared" si="14"/>
        <v>256602</v>
      </c>
      <c r="GN7" s="1515">
        <f>SUM(GB7:GM7)</f>
        <v>1521038</v>
      </c>
      <c r="GO7" s="1512">
        <f t="shared" ref="GO7:GZ7" si="15">+GO8+GO14+GO19</f>
        <v>78804</v>
      </c>
      <c r="GP7" s="1513">
        <f t="shared" si="15"/>
        <v>118514</v>
      </c>
      <c r="GQ7" s="1513">
        <f t="shared" si="15"/>
        <v>84167</v>
      </c>
      <c r="GR7" s="1513">
        <f t="shared" si="15"/>
        <v>113566</v>
      </c>
      <c r="GS7" s="1513">
        <f t="shared" si="15"/>
        <v>96626</v>
      </c>
      <c r="GT7" s="1513">
        <f t="shared" si="15"/>
        <v>104448</v>
      </c>
      <c r="GU7" s="1513">
        <f t="shared" si="15"/>
        <v>84853</v>
      </c>
      <c r="GV7" s="1513">
        <f t="shared" si="15"/>
        <v>106727</v>
      </c>
      <c r="GW7" s="1513">
        <f t="shared" si="15"/>
        <v>81194</v>
      </c>
      <c r="GX7" s="1513">
        <f t="shared" si="15"/>
        <v>119159</v>
      </c>
      <c r="GY7" s="1513">
        <f t="shared" si="15"/>
        <v>157378</v>
      </c>
      <c r="GZ7" s="1514">
        <f t="shared" si="15"/>
        <v>118519</v>
      </c>
      <c r="HA7" s="1515">
        <f>SUM(GO7:GZ7)</f>
        <v>1263955</v>
      </c>
      <c r="HB7" s="1512">
        <f t="shared" ref="HB7:HM7" si="16">+HB8+HB14+HB19</f>
        <v>56276</v>
      </c>
      <c r="HC7" s="1513">
        <f t="shared" si="16"/>
        <v>251626</v>
      </c>
      <c r="HD7" s="1513">
        <f t="shared" si="16"/>
        <v>57829</v>
      </c>
      <c r="HE7" s="1513">
        <f t="shared" si="16"/>
        <v>109119</v>
      </c>
      <c r="HF7" s="1513">
        <f t="shared" si="16"/>
        <v>152973</v>
      </c>
      <c r="HG7" s="1513">
        <f t="shared" si="16"/>
        <v>104071</v>
      </c>
      <c r="HH7" s="1513">
        <f t="shared" si="16"/>
        <v>106632</v>
      </c>
      <c r="HI7" s="1513">
        <f t="shared" si="16"/>
        <v>173687</v>
      </c>
      <c r="HJ7" s="1513">
        <f t="shared" si="16"/>
        <v>105178</v>
      </c>
      <c r="HK7" s="1513">
        <f t="shared" si="16"/>
        <v>125666</v>
      </c>
      <c r="HL7" s="1513">
        <f t="shared" si="16"/>
        <v>138099</v>
      </c>
      <c r="HM7" s="1514">
        <f t="shared" si="16"/>
        <v>195495</v>
      </c>
      <c r="HN7" s="1515">
        <f>SUM(HB7:HM7)</f>
        <v>1576651</v>
      </c>
      <c r="HO7" s="1512">
        <f t="shared" ref="HO7:HZ7" si="17">+HO8+HO14+HO19</f>
        <v>65706</v>
      </c>
      <c r="HP7" s="1513">
        <f t="shared" si="17"/>
        <v>168424</v>
      </c>
      <c r="HQ7" s="1513">
        <f t="shared" si="17"/>
        <v>113110</v>
      </c>
      <c r="HR7" s="1513">
        <f t="shared" si="17"/>
        <v>152222</v>
      </c>
      <c r="HS7" s="1513">
        <f t="shared" si="17"/>
        <v>115911</v>
      </c>
      <c r="HT7" s="1513">
        <f t="shared" si="17"/>
        <v>142478</v>
      </c>
      <c r="HU7" s="1513">
        <f t="shared" si="17"/>
        <v>116314</v>
      </c>
      <c r="HV7" s="1513">
        <f t="shared" si="17"/>
        <v>119349</v>
      </c>
      <c r="HW7" s="1513">
        <f t="shared" si="17"/>
        <v>86697</v>
      </c>
      <c r="HX7" s="1513">
        <f t="shared" si="17"/>
        <v>127474</v>
      </c>
      <c r="HY7" s="1513">
        <f t="shared" si="17"/>
        <v>137235</v>
      </c>
      <c r="HZ7" s="1514">
        <f t="shared" si="17"/>
        <v>128933</v>
      </c>
      <c r="IA7" s="1512">
        <f>SUM(HO7:HZ7)</f>
        <v>1473853</v>
      </c>
      <c r="IB7" s="1516">
        <f t="shared" ref="IB7:IG7" si="18">+IB8+IB14+IB19</f>
        <v>134967</v>
      </c>
      <c r="IC7" s="1209">
        <f t="shared" si="18"/>
        <v>105596</v>
      </c>
      <c r="ID7" s="1209">
        <f t="shared" si="18"/>
        <v>89985</v>
      </c>
      <c r="IE7" s="1209">
        <f t="shared" si="18"/>
        <v>109292</v>
      </c>
      <c r="IF7" s="1209">
        <f t="shared" si="18"/>
        <v>114546</v>
      </c>
      <c r="IG7" s="1209">
        <f t="shared" si="18"/>
        <v>129582</v>
      </c>
      <c r="IH7" s="1209">
        <f>+IH8+IH14+IH19</f>
        <v>140003</v>
      </c>
      <c r="II7" s="1209">
        <f>+II8+II14+II19</f>
        <v>138407</v>
      </c>
      <c r="IJ7" s="1209"/>
      <c r="IK7" s="1209"/>
      <c r="IL7" s="1209"/>
      <c r="IM7" s="1517"/>
      <c r="IN7" s="1518">
        <f>SUM(IB7:IM7)</f>
        <v>962378</v>
      </c>
      <c r="IO7" s="1422"/>
      <c r="IP7" s="1519">
        <f t="shared" ref="IP7:IP28" si="19">IFERROR(((
_xlfn.XLOOKUP((DATE(YEAR($IP$5),MONTH($IP$5),1)),SMN.GGN.DATE,$B7:$IN7) /
_xlfn.XLOOKUP((DATE(YEAR($IP$5)-1,MONTH($IP$5),1)),SMN.GGN.DATE,$B7:$IN7)
)-1)*100,"")</f>
        <v>15.968294665225514</v>
      </c>
      <c r="IQ7" s="1520">
        <f>IFERROR(((IS7/IR7)-1)*100,"")</f>
        <v>-3.1339266482404926</v>
      </c>
      <c r="IR7" s="1521">
        <f t="shared" ref="IR7:IR29" si="20">SUMIFS($B7:$IN7,SMN.GGN.DATE,"&gt;="&amp;DATE(YEAR($IP$5)-1,1,1),SMN.GGN.DATE,"&lt;="&amp;DATE(YEAR($IP$5)-1,MONTH($IP$5),1))</f>
        <v>993514</v>
      </c>
      <c r="IS7" s="1522">
        <f t="shared" ref="IS7:IS29" si="21">SUMIFS($B7:$IN7,SMN.GGN.DATE,"&gt;="&amp;DATE(YEAR($IP$5),1,1),SMN.GGN.DATE,"&lt;="&amp;$IP$5)</f>
        <v>962378</v>
      </c>
      <c r="IU7" s="1521">
        <f>II7-HV7</f>
        <v>19058</v>
      </c>
      <c r="IV7"/>
      <c r="IW7"/>
      <c r="IX7"/>
      <c r="IY7"/>
      <c r="IZ7"/>
      <c r="JA7"/>
      <c r="JB7"/>
      <c r="JC7"/>
      <c r="JD7"/>
    </row>
    <row r="8" spans="1:264" s="338" customFormat="1" ht="15" customHeight="1" x14ac:dyDescent="0.2">
      <c r="A8" s="1553" t="s">
        <v>432</v>
      </c>
      <c r="B8" s="376">
        <f t="shared" ref="B8:M8" si="22">SUM(B9:B13)</f>
        <v>19414</v>
      </c>
      <c r="C8" s="377">
        <f t="shared" si="22"/>
        <v>11880</v>
      </c>
      <c r="D8" s="377">
        <f t="shared" si="22"/>
        <v>12233</v>
      </c>
      <c r="E8" s="377">
        <f t="shared" si="22"/>
        <v>16081</v>
      </c>
      <c r="F8" s="377">
        <f t="shared" si="22"/>
        <v>13201</v>
      </c>
      <c r="G8" s="377">
        <f t="shared" si="22"/>
        <v>22694</v>
      </c>
      <c r="H8" s="377">
        <f t="shared" si="22"/>
        <v>14935</v>
      </c>
      <c r="I8" s="377">
        <f t="shared" si="22"/>
        <v>11073</v>
      </c>
      <c r="J8" s="377">
        <f t="shared" si="22"/>
        <v>12235</v>
      </c>
      <c r="K8" s="377">
        <f t="shared" si="22"/>
        <v>15219</v>
      </c>
      <c r="L8" s="377">
        <f t="shared" si="22"/>
        <v>16436</v>
      </c>
      <c r="M8" s="388">
        <f t="shared" si="22"/>
        <v>16426</v>
      </c>
      <c r="N8" s="378">
        <f t="shared" ref="N8:N21" si="23">SUM(B8:M8)</f>
        <v>181827</v>
      </c>
      <c r="O8" s="376">
        <f t="shared" ref="O8:Z8" si="24">SUM(O9:O13)</f>
        <v>21259</v>
      </c>
      <c r="P8" s="377">
        <f t="shared" si="24"/>
        <v>12635</v>
      </c>
      <c r="Q8" s="377">
        <f t="shared" si="24"/>
        <v>12046</v>
      </c>
      <c r="R8" s="377">
        <f t="shared" si="24"/>
        <v>14239</v>
      </c>
      <c r="S8" s="377">
        <f t="shared" si="24"/>
        <v>16188</v>
      </c>
      <c r="T8" s="377">
        <f t="shared" si="24"/>
        <v>13358</v>
      </c>
      <c r="U8" s="377">
        <f t="shared" si="24"/>
        <v>22822</v>
      </c>
      <c r="V8" s="377">
        <f t="shared" si="24"/>
        <v>13536</v>
      </c>
      <c r="W8" s="377">
        <f t="shared" si="24"/>
        <v>14430</v>
      </c>
      <c r="X8" s="377">
        <f t="shared" si="24"/>
        <v>25672</v>
      </c>
      <c r="Y8" s="377">
        <f t="shared" si="24"/>
        <v>14761</v>
      </c>
      <c r="Z8" s="388">
        <f t="shared" si="24"/>
        <v>17966</v>
      </c>
      <c r="AA8" s="378">
        <f t="shared" ref="AA8:AA21" si="25">SUM(O8:Z8)</f>
        <v>198912</v>
      </c>
      <c r="AB8" s="376">
        <f t="shared" ref="AB8:AM8" si="26">SUM(AB9:AB13)</f>
        <v>41934</v>
      </c>
      <c r="AC8" s="377">
        <f t="shared" si="26"/>
        <v>19131</v>
      </c>
      <c r="AD8" s="377">
        <f t="shared" si="26"/>
        <v>13895</v>
      </c>
      <c r="AE8" s="377">
        <f t="shared" si="26"/>
        <v>33845</v>
      </c>
      <c r="AF8" s="377">
        <f t="shared" si="26"/>
        <v>12196</v>
      </c>
      <c r="AG8" s="377">
        <f t="shared" si="26"/>
        <v>21610</v>
      </c>
      <c r="AH8" s="377">
        <f t="shared" si="26"/>
        <v>30744</v>
      </c>
      <c r="AI8" s="377">
        <f t="shared" si="26"/>
        <v>18991</v>
      </c>
      <c r="AJ8" s="377">
        <f t="shared" si="26"/>
        <v>16135</v>
      </c>
      <c r="AK8" s="377">
        <f t="shared" si="26"/>
        <v>34760</v>
      </c>
      <c r="AL8" s="377">
        <f t="shared" si="26"/>
        <v>18030</v>
      </c>
      <c r="AM8" s="388">
        <f t="shared" si="26"/>
        <v>30307</v>
      </c>
      <c r="AN8" s="378">
        <f t="shared" ref="AN8:AN11" si="27">SUM(AB8:AM8)</f>
        <v>291578</v>
      </c>
      <c r="AO8" s="376">
        <f t="shared" ref="AO8:AZ8" si="28">SUM(AO9:AO13)</f>
        <v>27436</v>
      </c>
      <c r="AP8" s="377">
        <f t="shared" si="28"/>
        <v>27934</v>
      </c>
      <c r="AQ8" s="377">
        <f t="shared" si="28"/>
        <v>21556</v>
      </c>
      <c r="AR8" s="377">
        <f t="shared" si="28"/>
        <v>23388</v>
      </c>
      <c r="AS8" s="377">
        <f t="shared" si="28"/>
        <v>33467</v>
      </c>
      <c r="AT8" s="377">
        <f t="shared" si="28"/>
        <v>23595</v>
      </c>
      <c r="AU8" s="377">
        <f t="shared" si="28"/>
        <v>24612</v>
      </c>
      <c r="AV8" s="377">
        <f t="shared" si="28"/>
        <v>33096</v>
      </c>
      <c r="AW8" s="377">
        <f t="shared" si="28"/>
        <v>23417</v>
      </c>
      <c r="AX8" s="377">
        <f t="shared" si="28"/>
        <v>31822</v>
      </c>
      <c r="AY8" s="377">
        <f t="shared" si="28"/>
        <v>24848</v>
      </c>
      <c r="AZ8" s="388">
        <f t="shared" si="28"/>
        <v>47633</v>
      </c>
      <c r="BA8" s="378">
        <f t="shared" ref="BA8:BA21" si="29">SUM(AO8:AZ8)</f>
        <v>342804</v>
      </c>
      <c r="BB8" s="376">
        <f t="shared" ref="BB8:BM8" si="30">SUM(BB9:BB13)</f>
        <v>24365</v>
      </c>
      <c r="BC8" s="377">
        <f t="shared" si="30"/>
        <v>18964</v>
      </c>
      <c r="BD8" s="377">
        <f t="shared" si="30"/>
        <v>22641</v>
      </c>
      <c r="BE8" s="377">
        <f t="shared" si="30"/>
        <v>19516</v>
      </c>
      <c r="BF8" s="377">
        <f t="shared" si="30"/>
        <v>38294</v>
      </c>
      <c r="BG8" s="377">
        <f t="shared" si="30"/>
        <v>21945</v>
      </c>
      <c r="BH8" s="377">
        <f t="shared" si="30"/>
        <v>26698</v>
      </c>
      <c r="BI8" s="377">
        <f t="shared" si="30"/>
        <v>30783</v>
      </c>
      <c r="BJ8" s="377">
        <f t="shared" si="30"/>
        <v>27335</v>
      </c>
      <c r="BK8" s="377">
        <f t="shared" si="30"/>
        <v>32587</v>
      </c>
      <c r="BL8" s="377">
        <f t="shared" si="30"/>
        <v>26924</v>
      </c>
      <c r="BM8" s="388">
        <f t="shared" si="30"/>
        <v>35677</v>
      </c>
      <c r="BN8" s="378">
        <f t="shared" ref="BN8:BN21" si="31">SUM(BB8:BM8)</f>
        <v>325729</v>
      </c>
      <c r="BO8" s="376">
        <f t="shared" ref="BO8:BZ8" si="32">SUM(BO9:BO13)</f>
        <v>21930</v>
      </c>
      <c r="BP8" s="377">
        <f t="shared" si="32"/>
        <v>52527</v>
      </c>
      <c r="BQ8" s="377">
        <f t="shared" si="32"/>
        <v>26468</v>
      </c>
      <c r="BR8" s="377">
        <f t="shared" si="32"/>
        <v>35259</v>
      </c>
      <c r="BS8" s="377">
        <f t="shared" si="32"/>
        <v>43495</v>
      </c>
      <c r="BT8" s="377">
        <f t="shared" si="32"/>
        <v>25129</v>
      </c>
      <c r="BU8" s="377">
        <f t="shared" si="32"/>
        <v>24196</v>
      </c>
      <c r="BV8" s="377">
        <f t="shared" si="32"/>
        <v>39696</v>
      </c>
      <c r="BW8" s="377">
        <f t="shared" si="32"/>
        <v>38972</v>
      </c>
      <c r="BX8" s="377">
        <f t="shared" si="32"/>
        <v>40842</v>
      </c>
      <c r="BY8" s="377">
        <f t="shared" si="32"/>
        <v>44590</v>
      </c>
      <c r="BZ8" s="388">
        <f t="shared" si="32"/>
        <v>53971</v>
      </c>
      <c r="CA8" s="378">
        <f t="shared" ref="CA8:CA21" si="33">SUM(BO8:BZ8)</f>
        <v>447075</v>
      </c>
      <c r="CB8" s="376">
        <f t="shared" ref="CB8:CM8" si="34">SUM(CB9:CB13)</f>
        <v>29105</v>
      </c>
      <c r="CC8" s="377">
        <f t="shared" si="34"/>
        <v>37691</v>
      </c>
      <c r="CD8" s="377">
        <f t="shared" si="34"/>
        <v>27116</v>
      </c>
      <c r="CE8" s="377">
        <f t="shared" si="34"/>
        <v>45870</v>
      </c>
      <c r="CF8" s="377">
        <f t="shared" si="34"/>
        <v>31057</v>
      </c>
      <c r="CG8" s="377">
        <f t="shared" si="34"/>
        <v>39007</v>
      </c>
      <c r="CH8" s="377">
        <f t="shared" si="34"/>
        <v>34625</v>
      </c>
      <c r="CI8" s="377">
        <f t="shared" si="34"/>
        <v>50405</v>
      </c>
      <c r="CJ8" s="377">
        <f t="shared" si="34"/>
        <v>31829</v>
      </c>
      <c r="CK8" s="377">
        <f t="shared" si="34"/>
        <v>37616</v>
      </c>
      <c r="CL8" s="377">
        <f t="shared" si="34"/>
        <v>23350</v>
      </c>
      <c r="CM8" s="388">
        <f t="shared" si="34"/>
        <v>60475</v>
      </c>
      <c r="CN8" s="378">
        <f t="shared" ref="CN8:CN21" si="35">SUM(CB8:CM8)</f>
        <v>448146</v>
      </c>
      <c r="CO8" s="376">
        <f t="shared" ref="CO8:CZ8" si="36">SUM(CO9:CO13)</f>
        <v>60412</v>
      </c>
      <c r="CP8" s="377">
        <f t="shared" si="36"/>
        <v>47252</v>
      </c>
      <c r="CQ8" s="377">
        <f t="shared" si="36"/>
        <v>55830</v>
      </c>
      <c r="CR8" s="377">
        <f t="shared" si="36"/>
        <v>39150</v>
      </c>
      <c r="CS8" s="377">
        <f t="shared" si="36"/>
        <v>45898</v>
      </c>
      <c r="CT8" s="377">
        <f t="shared" si="36"/>
        <v>56897</v>
      </c>
      <c r="CU8" s="377">
        <f t="shared" si="36"/>
        <v>67659</v>
      </c>
      <c r="CV8" s="377">
        <f t="shared" si="36"/>
        <v>61753</v>
      </c>
      <c r="CW8" s="377">
        <f t="shared" si="36"/>
        <v>50296</v>
      </c>
      <c r="CX8" s="377">
        <f t="shared" si="36"/>
        <v>63283</v>
      </c>
      <c r="CY8" s="377">
        <f t="shared" si="36"/>
        <v>53368</v>
      </c>
      <c r="CZ8" s="388">
        <f t="shared" si="36"/>
        <v>109559</v>
      </c>
      <c r="DA8" s="378">
        <f t="shared" ref="DA8:DA21" si="37">SUM(CO8:CZ8)</f>
        <v>711357</v>
      </c>
      <c r="DB8" s="376">
        <f t="shared" ref="DB8:DM8" si="38">SUM(DB9:DB13)</f>
        <v>72016</v>
      </c>
      <c r="DC8" s="377">
        <f t="shared" si="38"/>
        <v>51054</v>
      </c>
      <c r="DD8" s="377">
        <f t="shared" si="38"/>
        <v>39792</v>
      </c>
      <c r="DE8" s="377">
        <f t="shared" si="38"/>
        <v>48949</v>
      </c>
      <c r="DF8" s="377">
        <f t="shared" si="38"/>
        <v>50346</v>
      </c>
      <c r="DG8" s="377">
        <f t="shared" si="38"/>
        <v>59802</v>
      </c>
      <c r="DH8" s="377">
        <f t="shared" si="38"/>
        <v>51286</v>
      </c>
      <c r="DI8" s="377">
        <f t="shared" si="38"/>
        <v>73038</v>
      </c>
      <c r="DJ8" s="377">
        <f t="shared" si="38"/>
        <v>40128</v>
      </c>
      <c r="DK8" s="377">
        <f t="shared" si="38"/>
        <v>55776</v>
      </c>
      <c r="DL8" s="377">
        <f t="shared" si="38"/>
        <v>44025</v>
      </c>
      <c r="DM8" s="388">
        <f t="shared" si="38"/>
        <v>93236</v>
      </c>
      <c r="DN8" s="378">
        <f t="shared" ref="DN8:DN21" si="39">SUM(DB8:DM8)</f>
        <v>679448</v>
      </c>
      <c r="DO8" s="376">
        <f t="shared" ref="DO8:DZ8" si="40">SUM(DO9:DO13)</f>
        <v>26147</v>
      </c>
      <c r="DP8" s="377">
        <f t="shared" si="40"/>
        <v>46076</v>
      </c>
      <c r="DQ8" s="377">
        <f t="shared" si="40"/>
        <v>61810</v>
      </c>
      <c r="DR8" s="377">
        <f t="shared" si="40"/>
        <v>70730</v>
      </c>
      <c r="DS8" s="377">
        <f t="shared" si="40"/>
        <v>54946</v>
      </c>
      <c r="DT8" s="377">
        <f t="shared" si="40"/>
        <v>58837</v>
      </c>
      <c r="DU8" s="377">
        <f t="shared" si="40"/>
        <v>56500</v>
      </c>
      <c r="DV8" s="377">
        <f t="shared" si="40"/>
        <v>51845</v>
      </c>
      <c r="DW8" s="377">
        <f t="shared" si="40"/>
        <v>33538</v>
      </c>
      <c r="DX8" s="377">
        <f t="shared" si="40"/>
        <v>58653</v>
      </c>
      <c r="DY8" s="377">
        <f t="shared" si="40"/>
        <v>37918</v>
      </c>
      <c r="DZ8" s="388">
        <f t="shared" si="40"/>
        <v>78325</v>
      </c>
      <c r="EA8" s="378">
        <f t="shared" ref="EA8:EA21" si="41">SUM(DO8:DZ8)</f>
        <v>635325</v>
      </c>
      <c r="EB8" s="376">
        <f t="shared" ref="EB8:EM8" si="42">SUM(EB9:EB13)</f>
        <v>52455</v>
      </c>
      <c r="EC8" s="377">
        <f t="shared" si="42"/>
        <v>55992</v>
      </c>
      <c r="ED8" s="377">
        <f t="shared" si="42"/>
        <v>36953</v>
      </c>
      <c r="EE8" s="377">
        <f t="shared" si="42"/>
        <v>89949</v>
      </c>
      <c r="EF8" s="377">
        <f t="shared" si="42"/>
        <v>38027</v>
      </c>
      <c r="EG8" s="377">
        <f t="shared" si="42"/>
        <v>56148</v>
      </c>
      <c r="EH8" s="377">
        <f t="shared" si="42"/>
        <v>68092</v>
      </c>
      <c r="EI8" s="377">
        <f t="shared" si="42"/>
        <v>55245</v>
      </c>
      <c r="EJ8" s="377">
        <f t="shared" si="42"/>
        <v>47945</v>
      </c>
      <c r="EK8" s="377">
        <f t="shared" si="42"/>
        <v>66159</v>
      </c>
      <c r="EL8" s="377">
        <f t="shared" si="42"/>
        <v>39947</v>
      </c>
      <c r="EM8" s="388">
        <f t="shared" si="42"/>
        <v>140593</v>
      </c>
      <c r="EN8" s="378">
        <f t="shared" ref="EN8:EN21" si="43">SUM(EB8:EM8)</f>
        <v>747505</v>
      </c>
      <c r="EO8" s="376">
        <f t="shared" ref="EO8:EZ8" si="44">SUM(EO9:EO13)</f>
        <v>71158</v>
      </c>
      <c r="EP8" s="377">
        <f t="shared" si="44"/>
        <v>44925</v>
      </c>
      <c r="EQ8" s="377">
        <f t="shared" si="44"/>
        <v>41485</v>
      </c>
      <c r="ER8" s="377">
        <f t="shared" si="44"/>
        <v>75981</v>
      </c>
      <c r="ES8" s="377">
        <f t="shared" si="44"/>
        <v>47925</v>
      </c>
      <c r="ET8" s="377">
        <f t="shared" si="44"/>
        <v>54785</v>
      </c>
      <c r="EU8" s="377">
        <f t="shared" si="44"/>
        <v>91835</v>
      </c>
      <c r="EV8" s="377">
        <f t="shared" si="44"/>
        <v>51514</v>
      </c>
      <c r="EW8" s="377">
        <f t="shared" si="44"/>
        <v>43462</v>
      </c>
      <c r="EX8" s="377">
        <f t="shared" si="44"/>
        <v>75130</v>
      </c>
      <c r="EY8" s="377">
        <f t="shared" si="44"/>
        <v>73851</v>
      </c>
      <c r="EZ8" s="388">
        <f t="shared" si="44"/>
        <v>67675</v>
      </c>
      <c r="FA8" s="378">
        <f t="shared" ref="FA8:FA21" si="45">SUM(EO8:EZ8)</f>
        <v>739726</v>
      </c>
      <c r="FB8" s="376">
        <f t="shared" ref="FB8:FM8" si="46">SUM(FB9:FB13)</f>
        <v>50491</v>
      </c>
      <c r="FC8" s="377">
        <f t="shared" si="46"/>
        <v>70530</v>
      </c>
      <c r="FD8" s="377">
        <f t="shared" si="46"/>
        <v>83842</v>
      </c>
      <c r="FE8" s="377">
        <f t="shared" si="46"/>
        <v>144938</v>
      </c>
      <c r="FF8" s="377">
        <f t="shared" si="46"/>
        <v>110942</v>
      </c>
      <c r="FG8" s="377">
        <f t="shared" si="46"/>
        <v>44144</v>
      </c>
      <c r="FH8" s="377">
        <f t="shared" si="46"/>
        <v>79189</v>
      </c>
      <c r="FI8" s="377">
        <f t="shared" si="46"/>
        <v>137352</v>
      </c>
      <c r="FJ8" s="377">
        <f t="shared" si="46"/>
        <v>44130</v>
      </c>
      <c r="FK8" s="377">
        <f t="shared" si="46"/>
        <v>204931</v>
      </c>
      <c r="FL8" s="377">
        <f t="shared" si="46"/>
        <v>108549</v>
      </c>
      <c r="FM8" s="388">
        <f t="shared" si="46"/>
        <v>111632</v>
      </c>
      <c r="FN8" s="378">
        <f t="shared" ref="FN8:FN21" si="47">SUM(FB8:FM8)</f>
        <v>1190670</v>
      </c>
      <c r="FO8" s="376">
        <f t="shared" ref="FO8:GM8" si="48">SUM(FO9:FO13)</f>
        <v>46812</v>
      </c>
      <c r="FP8" s="377">
        <f t="shared" si="48"/>
        <v>78683</v>
      </c>
      <c r="FQ8" s="377">
        <f t="shared" si="48"/>
        <v>52865</v>
      </c>
      <c r="FR8" s="377">
        <f t="shared" si="48"/>
        <v>99617</v>
      </c>
      <c r="FS8" s="377">
        <f t="shared" si="48"/>
        <v>50878</v>
      </c>
      <c r="FT8" s="377">
        <f t="shared" si="48"/>
        <v>62108</v>
      </c>
      <c r="FU8" s="377">
        <f t="shared" si="48"/>
        <v>78072</v>
      </c>
      <c r="FV8" s="377">
        <f t="shared" si="48"/>
        <v>53711</v>
      </c>
      <c r="FW8" s="377">
        <f t="shared" si="48"/>
        <v>137274</v>
      </c>
      <c r="FX8" s="377">
        <f t="shared" si="48"/>
        <v>90006</v>
      </c>
      <c r="FY8" s="377">
        <f t="shared" si="48"/>
        <v>101851</v>
      </c>
      <c r="FZ8" s="388">
        <f t="shared" si="48"/>
        <v>343075</v>
      </c>
      <c r="GA8" s="378">
        <f t="shared" ref="GA8:GA28" si="49">SUM(FO8:FZ8)</f>
        <v>1194952</v>
      </c>
      <c r="GB8" s="376">
        <f t="shared" si="48"/>
        <v>59202</v>
      </c>
      <c r="GC8" s="377">
        <f t="shared" si="48"/>
        <v>59025</v>
      </c>
      <c r="GD8" s="377">
        <f t="shared" si="48"/>
        <v>82419</v>
      </c>
      <c r="GE8" s="377">
        <f t="shared" si="48"/>
        <v>68747</v>
      </c>
      <c r="GF8" s="377">
        <f t="shared" si="48"/>
        <v>85220</v>
      </c>
      <c r="GG8" s="377">
        <f t="shared" si="48"/>
        <v>66326</v>
      </c>
      <c r="GH8" s="377">
        <f t="shared" si="48"/>
        <v>81451</v>
      </c>
      <c r="GI8" s="377">
        <f t="shared" si="48"/>
        <v>187587</v>
      </c>
      <c r="GJ8" s="377">
        <f t="shared" si="48"/>
        <v>63185</v>
      </c>
      <c r="GK8" s="377">
        <f t="shared" si="48"/>
        <v>172010</v>
      </c>
      <c r="GL8" s="377">
        <f t="shared" si="48"/>
        <v>83656</v>
      </c>
      <c r="GM8" s="388">
        <f t="shared" si="48"/>
        <v>227474</v>
      </c>
      <c r="GN8" s="378">
        <f t="shared" ref="GN8:GN27" si="50">SUM(GB8:GM8)</f>
        <v>1236302</v>
      </c>
      <c r="GO8" s="376">
        <f t="shared" ref="GO8:GZ8" si="51">SUM(GO9:GO13)</f>
        <v>66113</v>
      </c>
      <c r="GP8" s="377">
        <f t="shared" si="51"/>
        <v>97165</v>
      </c>
      <c r="GQ8" s="377">
        <f t="shared" si="51"/>
        <v>51987</v>
      </c>
      <c r="GR8" s="377">
        <f t="shared" si="51"/>
        <v>87052</v>
      </c>
      <c r="GS8" s="377">
        <f t="shared" si="51"/>
        <v>74870</v>
      </c>
      <c r="GT8" s="377">
        <f t="shared" si="51"/>
        <v>76965</v>
      </c>
      <c r="GU8" s="377">
        <f t="shared" si="51"/>
        <v>68645</v>
      </c>
      <c r="GV8" s="377">
        <f t="shared" si="51"/>
        <v>85922</v>
      </c>
      <c r="GW8" s="377">
        <f t="shared" si="51"/>
        <v>49801</v>
      </c>
      <c r="GX8" s="377">
        <f t="shared" si="51"/>
        <v>88613</v>
      </c>
      <c r="GY8" s="377">
        <f t="shared" si="51"/>
        <v>104592</v>
      </c>
      <c r="GZ8" s="388">
        <f t="shared" si="51"/>
        <v>85557</v>
      </c>
      <c r="HA8" s="378">
        <f t="shared" ref="HA8:HA28" si="52">SUM(GO8:GZ8)</f>
        <v>937282</v>
      </c>
      <c r="HB8" s="376">
        <f t="shared" ref="HB8:HM8" si="53">SUM(HB9:HB13)</f>
        <v>43014</v>
      </c>
      <c r="HC8" s="377">
        <f t="shared" si="53"/>
        <v>233157</v>
      </c>
      <c r="HD8" s="377">
        <f t="shared" si="53"/>
        <v>50293</v>
      </c>
      <c r="HE8" s="377">
        <f t="shared" si="53"/>
        <v>92076</v>
      </c>
      <c r="HF8" s="377">
        <f t="shared" si="53"/>
        <v>94994</v>
      </c>
      <c r="HG8" s="377">
        <f t="shared" si="53"/>
        <v>67784</v>
      </c>
      <c r="HH8" s="377">
        <f t="shared" si="53"/>
        <v>73916</v>
      </c>
      <c r="HI8" s="377">
        <f t="shared" si="53"/>
        <v>144902</v>
      </c>
      <c r="HJ8" s="377">
        <f t="shared" si="53"/>
        <v>65916</v>
      </c>
      <c r="HK8" s="377">
        <f t="shared" si="53"/>
        <v>80311</v>
      </c>
      <c r="HL8" s="377">
        <f t="shared" si="53"/>
        <v>92936</v>
      </c>
      <c r="HM8" s="388">
        <f t="shared" si="53"/>
        <v>137966</v>
      </c>
      <c r="HN8" s="378">
        <f t="shared" ref="HN8:HN29" si="54">SUM(HB8:HM8)</f>
        <v>1177265</v>
      </c>
      <c r="HO8" s="376">
        <f t="shared" ref="HO8:HZ8" si="55">SUM(HO9:HO13)</f>
        <v>54937</v>
      </c>
      <c r="HP8" s="377">
        <f t="shared" si="55"/>
        <v>145084</v>
      </c>
      <c r="HQ8" s="377">
        <f t="shared" si="55"/>
        <v>88967</v>
      </c>
      <c r="HR8" s="377">
        <f t="shared" si="55"/>
        <v>66236</v>
      </c>
      <c r="HS8" s="377">
        <f t="shared" si="55"/>
        <v>96327</v>
      </c>
      <c r="HT8" s="377">
        <f t="shared" si="55"/>
        <v>110363</v>
      </c>
      <c r="HU8" s="377">
        <f t="shared" si="55"/>
        <v>94306</v>
      </c>
      <c r="HV8" s="377">
        <f t="shared" si="55"/>
        <v>93878</v>
      </c>
      <c r="HW8" s="377">
        <f t="shared" si="55"/>
        <v>70804</v>
      </c>
      <c r="HX8" s="377">
        <f t="shared" si="55"/>
        <v>81668</v>
      </c>
      <c r="HY8" s="377">
        <f t="shared" si="55"/>
        <v>93713</v>
      </c>
      <c r="HZ8" s="388">
        <f t="shared" si="55"/>
        <v>98821</v>
      </c>
      <c r="IA8" s="376">
        <f t="shared" ref="IA8:IA27" si="56">SUM(HO8:HZ8)</f>
        <v>1095104</v>
      </c>
      <c r="IB8" s="1328">
        <f>SUM(IB9:IB13)</f>
        <v>111450</v>
      </c>
      <c r="IC8" s="129">
        <f t="shared" ref="IC8:IG8" si="57">SUM(IC9:IC13)</f>
        <v>91562</v>
      </c>
      <c r="ID8" s="129">
        <f t="shared" si="57"/>
        <v>76852</v>
      </c>
      <c r="IE8" s="129">
        <f t="shared" si="57"/>
        <v>86040</v>
      </c>
      <c r="IF8" s="129">
        <f t="shared" si="57"/>
        <v>90566</v>
      </c>
      <c r="IG8" s="129">
        <f t="shared" si="57"/>
        <v>105065</v>
      </c>
      <c r="IH8" s="129">
        <f t="shared" ref="IH8" si="58">SUM(IH9:IH13)</f>
        <v>96212</v>
      </c>
      <c r="II8" s="129">
        <f t="shared" ref="II8" si="59">SUM(II9:II13)</f>
        <v>97638</v>
      </c>
      <c r="IJ8" s="129"/>
      <c r="IK8" s="129"/>
      <c r="IL8" s="129"/>
      <c r="IM8" s="1268"/>
      <c r="IN8" s="1343">
        <f t="shared" ref="IN8:IN28" si="60">SUM(IB8:IM8)</f>
        <v>755385</v>
      </c>
      <c r="IO8" s="120"/>
      <c r="IP8" s="370">
        <f t="shared" si="19"/>
        <v>4.0051982360084448</v>
      </c>
      <c r="IQ8" s="340">
        <f t="shared" ref="IQ8:IQ27" si="61">IFERROR(((IS8/IR8)-1)*100,"")</f>
        <v>0.70484123407874577</v>
      </c>
      <c r="IR8" s="339">
        <f t="shared" si="20"/>
        <v>750098</v>
      </c>
      <c r="IS8" s="341">
        <f t="shared" si="21"/>
        <v>755385</v>
      </c>
      <c r="IU8" s="339">
        <f t="shared" ref="IU8:IU18" si="62">II8-HV8</f>
        <v>3760</v>
      </c>
      <c r="IV8"/>
      <c r="IW8"/>
      <c r="IX8"/>
      <c r="IY8"/>
      <c r="IZ8"/>
      <c r="JA8"/>
      <c r="JB8"/>
      <c r="JC8"/>
      <c r="JD8"/>
    </row>
    <row r="9" spans="1:264" ht="15" customHeight="1" x14ac:dyDescent="0.2">
      <c r="A9" s="1554" t="s">
        <v>433</v>
      </c>
      <c r="B9" s="379">
        <v>5825</v>
      </c>
      <c r="C9" s="380">
        <v>5823</v>
      </c>
      <c r="D9" s="380">
        <v>4945</v>
      </c>
      <c r="E9" s="380">
        <v>4861</v>
      </c>
      <c r="F9" s="380">
        <v>4727</v>
      </c>
      <c r="G9" s="380">
        <v>4923</v>
      </c>
      <c r="H9" s="380">
        <v>5708</v>
      </c>
      <c r="I9" s="380">
        <v>4757</v>
      </c>
      <c r="J9" s="380">
        <v>4866</v>
      </c>
      <c r="K9" s="380">
        <v>4937</v>
      </c>
      <c r="L9" s="380">
        <v>4726</v>
      </c>
      <c r="M9" s="389">
        <v>6372</v>
      </c>
      <c r="N9" s="381">
        <f t="shared" si="23"/>
        <v>62470</v>
      </c>
      <c r="O9" s="379">
        <v>5897</v>
      </c>
      <c r="P9" s="380">
        <v>6750</v>
      </c>
      <c r="Q9" s="380">
        <v>6217</v>
      </c>
      <c r="R9" s="380">
        <v>6232</v>
      </c>
      <c r="S9" s="380">
        <v>6014</v>
      </c>
      <c r="T9" s="380">
        <v>6031</v>
      </c>
      <c r="U9" s="380">
        <v>7930</v>
      </c>
      <c r="V9" s="380">
        <v>6121</v>
      </c>
      <c r="W9" s="380">
        <v>6255</v>
      </c>
      <c r="X9" s="380">
        <v>6106</v>
      </c>
      <c r="Y9" s="380">
        <v>6647</v>
      </c>
      <c r="Z9" s="389">
        <v>8837</v>
      </c>
      <c r="AA9" s="381">
        <f t="shared" si="25"/>
        <v>79037</v>
      </c>
      <c r="AB9" s="379">
        <v>25053</v>
      </c>
      <c r="AC9" s="380">
        <v>6263</v>
      </c>
      <c r="AD9" s="380">
        <v>6897</v>
      </c>
      <c r="AE9" s="380">
        <v>9264</v>
      </c>
      <c r="AF9" s="380">
        <v>7821</v>
      </c>
      <c r="AG9" s="380">
        <v>9802</v>
      </c>
      <c r="AH9" s="380">
        <v>9695</v>
      </c>
      <c r="AI9" s="380">
        <v>8044</v>
      </c>
      <c r="AJ9" s="380">
        <v>8647</v>
      </c>
      <c r="AK9" s="380">
        <v>8208</v>
      </c>
      <c r="AL9" s="380">
        <v>8382</v>
      </c>
      <c r="AM9" s="389">
        <v>10584</v>
      </c>
      <c r="AN9" s="381">
        <f t="shared" si="27"/>
        <v>118660</v>
      </c>
      <c r="AO9" s="379">
        <v>13851</v>
      </c>
      <c r="AP9" s="380">
        <v>11212</v>
      </c>
      <c r="AQ9" s="380">
        <v>10634</v>
      </c>
      <c r="AR9" s="380">
        <v>13182</v>
      </c>
      <c r="AS9" s="380">
        <v>11574</v>
      </c>
      <c r="AT9" s="380">
        <v>11842</v>
      </c>
      <c r="AU9" s="380">
        <v>14180</v>
      </c>
      <c r="AV9" s="380">
        <v>11835</v>
      </c>
      <c r="AW9" s="380">
        <v>11756</v>
      </c>
      <c r="AX9" s="380">
        <v>11826</v>
      </c>
      <c r="AY9" s="380">
        <v>11621</v>
      </c>
      <c r="AZ9" s="389">
        <v>16141</v>
      </c>
      <c r="BA9" s="381">
        <f t="shared" si="29"/>
        <v>149654</v>
      </c>
      <c r="BB9" s="379">
        <v>13339</v>
      </c>
      <c r="BC9" s="380">
        <v>11427</v>
      </c>
      <c r="BD9" s="380">
        <v>11825</v>
      </c>
      <c r="BE9" s="380">
        <v>12385</v>
      </c>
      <c r="BF9" s="380">
        <v>22211</v>
      </c>
      <c r="BG9" s="380">
        <v>12396</v>
      </c>
      <c r="BH9" s="380">
        <v>14730</v>
      </c>
      <c r="BI9" s="380">
        <v>12392</v>
      </c>
      <c r="BJ9" s="380">
        <v>14506</v>
      </c>
      <c r="BK9" s="380">
        <v>12405</v>
      </c>
      <c r="BL9" s="380">
        <v>12251</v>
      </c>
      <c r="BM9" s="389">
        <v>17918</v>
      </c>
      <c r="BN9" s="381">
        <f t="shared" si="31"/>
        <v>167785</v>
      </c>
      <c r="BO9" s="379">
        <v>15589</v>
      </c>
      <c r="BP9" s="380">
        <v>13759</v>
      </c>
      <c r="BQ9" s="380">
        <v>15372</v>
      </c>
      <c r="BR9" s="380">
        <v>14167</v>
      </c>
      <c r="BS9" s="380">
        <v>15013</v>
      </c>
      <c r="BT9" s="380">
        <v>14729</v>
      </c>
      <c r="BU9" s="380">
        <v>16675</v>
      </c>
      <c r="BV9" s="380">
        <v>14588</v>
      </c>
      <c r="BW9" s="380">
        <v>14276</v>
      </c>
      <c r="BX9" s="380">
        <v>13638</v>
      </c>
      <c r="BY9" s="380">
        <v>14608</v>
      </c>
      <c r="BZ9" s="389">
        <v>18267</v>
      </c>
      <c r="CA9" s="381">
        <f t="shared" si="33"/>
        <v>180681</v>
      </c>
      <c r="CB9" s="379">
        <v>13278</v>
      </c>
      <c r="CC9" s="380">
        <v>11882</v>
      </c>
      <c r="CD9" s="380">
        <v>12248</v>
      </c>
      <c r="CE9" s="380">
        <v>12035</v>
      </c>
      <c r="CF9" s="380">
        <v>12389</v>
      </c>
      <c r="CG9" s="380">
        <v>12330</v>
      </c>
      <c r="CH9" s="380">
        <v>15099</v>
      </c>
      <c r="CI9" s="380">
        <v>12354</v>
      </c>
      <c r="CJ9" s="380">
        <v>12079</v>
      </c>
      <c r="CK9" s="380">
        <v>12245</v>
      </c>
      <c r="CL9" s="380">
        <v>11901</v>
      </c>
      <c r="CM9" s="389">
        <v>17031</v>
      </c>
      <c r="CN9" s="381">
        <f t="shared" si="35"/>
        <v>154871</v>
      </c>
      <c r="CO9" s="379">
        <v>11940</v>
      </c>
      <c r="CP9" s="380">
        <v>13927</v>
      </c>
      <c r="CQ9" s="380">
        <v>14164</v>
      </c>
      <c r="CR9" s="380">
        <v>14083</v>
      </c>
      <c r="CS9" s="380">
        <v>14409</v>
      </c>
      <c r="CT9" s="380">
        <v>20035</v>
      </c>
      <c r="CU9" s="380">
        <v>16688</v>
      </c>
      <c r="CV9" s="380">
        <v>23995</v>
      </c>
      <c r="CW9" s="380">
        <v>17135</v>
      </c>
      <c r="CX9" s="380">
        <v>18102</v>
      </c>
      <c r="CY9" s="380">
        <v>19327</v>
      </c>
      <c r="CZ9" s="389">
        <v>23317</v>
      </c>
      <c r="DA9" s="381">
        <f t="shared" si="37"/>
        <v>207122</v>
      </c>
      <c r="DB9" s="379">
        <v>21190</v>
      </c>
      <c r="DC9" s="380">
        <v>20400</v>
      </c>
      <c r="DD9" s="380">
        <v>19147</v>
      </c>
      <c r="DE9" s="380">
        <v>19720</v>
      </c>
      <c r="DF9" s="380">
        <v>19894</v>
      </c>
      <c r="DG9" s="380">
        <v>27914</v>
      </c>
      <c r="DH9" s="380">
        <v>25606</v>
      </c>
      <c r="DI9" s="380">
        <v>24495</v>
      </c>
      <c r="DJ9" s="380">
        <v>19194</v>
      </c>
      <c r="DK9" s="380">
        <v>19028</v>
      </c>
      <c r="DL9" s="380">
        <v>22130</v>
      </c>
      <c r="DM9" s="389">
        <v>26688</v>
      </c>
      <c r="DN9" s="381">
        <f t="shared" si="39"/>
        <v>265406</v>
      </c>
      <c r="DO9" s="379">
        <v>20243</v>
      </c>
      <c r="DP9" s="380">
        <v>18663</v>
      </c>
      <c r="DQ9" s="380">
        <v>19670</v>
      </c>
      <c r="DR9" s="380">
        <v>19076</v>
      </c>
      <c r="DS9" s="380">
        <v>18671</v>
      </c>
      <c r="DT9" s="380">
        <v>17649</v>
      </c>
      <c r="DU9" s="380">
        <v>21417</v>
      </c>
      <c r="DV9" s="380">
        <v>16278</v>
      </c>
      <c r="DW9" s="380">
        <v>16700</v>
      </c>
      <c r="DX9" s="380">
        <v>17366</v>
      </c>
      <c r="DY9" s="380">
        <v>17396</v>
      </c>
      <c r="DZ9" s="389">
        <v>22411</v>
      </c>
      <c r="EA9" s="381">
        <f t="shared" si="41"/>
        <v>225540</v>
      </c>
      <c r="EB9" s="379">
        <v>20488</v>
      </c>
      <c r="EC9" s="380">
        <v>19152</v>
      </c>
      <c r="ED9" s="380">
        <v>21657</v>
      </c>
      <c r="EE9" s="380">
        <v>19649</v>
      </c>
      <c r="EF9" s="380">
        <v>19579</v>
      </c>
      <c r="EG9" s="380">
        <v>18937</v>
      </c>
      <c r="EH9" s="380">
        <v>21590</v>
      </c>
      <c r="EI9" s="380">
        <v>17313</v>
      </c>
      <c r="EJ9" s="380">
        <v>17680</v>
      </c>
      <c r="EK9" s="380">
        <v>15929</v>
      </c>
      <c r="EL9" s="380">
        <v>16947</v>
      </c>
      <c r="EM9" s="389">
        <v>22438</v>
      </c>
      <c r="EN9" s="381">
        <f t="shared" si="43"/>
        <v>231359</v>
      </c>
      <c r="EO9" s="379">
        <v>17615</v>
      </c>
      <c r="EP9" s="380">
        <v>20214</v>
      </c>
      <c r="EQ9" s="380">
        <v>21023</v>
      </c>
      <c r="ER9" s="380">
        <v>20340</v>
      </c>
      <c r="ES9" s="380">
        <v>22278</v>
      </c>
      <c r="ET9" s="380">
        <v>22543</v>
      </c>
      <c r="EU9" s="380">
        <v>24884</v>
      </c>
      <c r="EV9" s="380">
        <v>20382</v>
      </c>
      <c r="EW9" s="380">
        <v>20528</v>
      </c>
      <c r="EX9" s="380">
        <v>21015</v>
      </c>
      <c r="EY9" s="380">
        <v>22669</v>
      </c>
      <c r="EZ9" s="389">
        <v>27542</v>
      </c>
      <c r="FA9" s="381">
        <f t="shared" si="45"/>
        <v>261033</v>
      </c>
      <c r="FB9" s="379">
        <v>20922</v>
      </c>
      <c r="FC9" s="380">
        <v>19042</v>
      </c>
      <c r="FD9" s="380">
        <v>19182</v>
      </c>
      <c r="FE9" s="380">
        <v>19709</v>
      </c>
      <c r="FF9" s="380">
        <v>22026</v>
      </c>
      <c r="FG9" s="380">
        <v>19258</v>
      </c>
      <c r="FH9" s="380">
        <v>24930</v>
      </c>
      <c r="FI9" s="380">
        <v>19337</v>
      </c>
      <c r="FJ9" s="380">
        <v>19521</v>
      </c>
      <c r="FK9" s="380">
        <v>20225</v>
      </c>
      <c r="FL9" s="380">
        <v>21756</v>
      </c>
      <c r="FM9" s="389">
        <v>27967</v>
      </c>
      <c r="FN9" s="381">
        <f t="shared" si="47"/>
        <v>253875</v>
      </c>
      <c r="FO9" s="379">
        <v>21035</v>
      </c>
      <c r="FP9" s="380">
        <v>19789</v>
      </c>
      <c r="FQ9" s="380">
        <v>19870</v>
      </c>
      <c r="FR9" s="380">
        <v>20582</v>
      </c>
      <c r="FS9" s="380">
        <v>21931</v>
      </c>
      <c r="FT9" s="380">
        <v>18824</v>
      </c>
      <c r="FU9" s="380">
        <v>24892</v>
      </c>
      <c r="FV9" s="380">
        <v>19487</v>
      </c>
      <c r="FW9" s="380">
        <v>19499</v>
      </c>
      <c r="FX9" s="380">
        <v>19920</v>
      </c>
      <c r="FY9" s="380">
        <v>21926</v>
      </c>
      <c r="FZ9" s="389">
        <v>27772</v>
      </c>
      <c r="GA9" s="381">
        <f t="shared" si="49"/>
        <v>255527</v>
      </c>
      <c r="GB9" s="379">
        <v>21171</v>
      </c>
      <c r="GC9" s="380">
        <v>19441</v>
      </c>
      <c r="GD9" s="380">
        <v>19457</v>
      </c>
      <c r="GE9" s="380">
        <v>19786</v>
      </c>
      <c r="GF9" s="380">
        <v>21891</v>
      </c>
      <c r="GG9" s="380">
        <v>20868</v>
      </c>
      <c r="GH9" s="380">
        <v>25411</v>
      </c>
      <c r="GI9" s="380">
        <v>19706</v>
      </c>
      <c r="GJ9" s="380">
        <v>19754</v>
      </c>
      <c r="GK9" s="380">
        <v>19889</v>
      </c>
      <c r="GL9" s="380">
        <v>21806</v>
      </c>
      <c r="GM9" s="389">
        <v>26596</v>
      </c>
      <c r="GN9" s="381">
        <f t="shared" si="50"/>
        <v>255776</v>
      </c>
      <c r="GO9" s="379">
        <v>21326</v>
      </c>
      <c r="GP9" s="380">
        <v>19469</v>
      </c>
      <c r="GQ9" s="380">
        <v>19414</v>
      </c>
      <c r="GR9" s="380">
        <v>19971</v>
      </c>
      <c r="GS9" s="380">
        <v>22534</v>
      </c>
      <c r="GT9" s="380">
        <v>21582</v>
      </c>
      <c r="GU9" s="380">
        <v>25792</v>
      </c>
      <c r="GV9" s="380">
        <v>20509</v>
      </c>
      <c r="GW9" s="380">
        <v>21039</v>
      </c>
      <c r="GX9" s="380">
        <v>21674</v>
      </c>
      <c r="GY9" s="380">
        <v>24209</v>
      </c>
      <c r="GZ9" s="389">
        <v>29403</v>
      </c>
      <c r="HA9" s="381">
        <f t="shared" si="52"/>
        <v>266922</v>
      </c>
      <c r="HB9" s="379">
        <v>30406</v>
      </c>
      <c r="HC9" s="380">
        <v>26342</v>
      </c>
      <c r="HD9" s="380">
        <v>26229</v>
      </c>
      <c r="HE9" s="380">
        <v>26584</v>
      </c>
      <c r="HF9" s="380">
        <v>29525</v>
      </c>
      <c r="HG9" s="380">
        <v>27056</v>
      </c>
      <c r="HH9" s="380">
        <v>34008</v>
      </c>
      <c r="HI9" s="380">
        <v>28073</v>
      </c>
      <c r="HJ9" s="380">
        <v>27045</v>
      </c>
      <c r="HK9" s="380">
        <v>28699</v>
      </c>
      <c r="HL9" s="380">
        <v>30313</v>
      </c>
      <c r="HM9" s="389">
        <v>36823</v>
      </c>
      <c r="HN9" s="381">
        <f t="shared" si="54"/>
        <v>351103</v>
      </c>
      <c r="HO9" s="379">
        <v>32561</v>
      </c>
      <c r="HP9" s="380">
        <v>30692</v>
      </c>
      <c r="HQ9" s="380">
        <v>30591</v>
      </c>
      <c r="HR9" s="380">
        <v>29778</v>
      </c>
      <c r="HS9" s="380">
        <v>33293</v>
      </c>
      <c r="HT9" s="380">
        <v>30923</v>
      </c>
      <c r="HU9" s="380">
        <v>38799</v>
      </c>
      <c r="HV9" s="380">
        <v>30712</v>
      </c>
      <c r="HW9" s="380">
        <v>30752</v>
      </c>
      <c r="HX9" s="380">
        <v>31009</v>
      </c>
      <c r="HY9" s="380">
        <v>35850</v>
      </c>
      <c r="HZ9" s="389">
        <v>45613</v>
      </c>
      <c r="IA9" s="379">
        <f t="shared" si="56"/>
        <v>400573</v>
      </c>
      <c r="IB9" s="1344">
        <v>36197</v>
      </c>
      <c r="IC9" s="120">
        <v>35373</v>
      </c>
      <c r="ID9" s="120">
        <v>35314</v>
      </c>
      <c r="IE9" s="120">
        <v>34641</v>
      </c>
      <c r="IF9" s="120">
        <v>39200</v>
      </c>
      <c r="IG9" s="120">
        <v>36092</v>
      </c>
      <c r="IH9" s="120">
        <v>44867</v>
      </c>
      <c r="II9" s="120">
        <v>36432</v>
      </c>
      <c r="IM9" s="1345"/>
      <c r="IN9" s="1346">
        <f t="shared" si="60"/>
        <v>298116</v>
      </c>
      <c r="IP9" s="371">
        <f t="shared" si="19"/>
        <v>18.624641833810895</v>
      </c>
      <c r="IQ9" s="348">
        <f t="shared" si="61"/>
        <v>15.841134024223912</v>
      </c>
      <c r="IR9" s="320">
        <f t="shared" si="20"/>
        <v>257349</v>
      </c>
      <c r="IS9" s="344">
        <f t="shared" si="21"/>
        <v>298116</v>
      </c>
      <c r="IU9" s="320">
        <f t="shared" si="62"/>
        <v>5720</v>
      </c>
    </row>
    <row r="10" spans="1:264" ht="15" customHeight="1" x14ac:dyDescent="0.2">
      <c r="A10" s="1554" t="s">
        <v>619</v>
      </c>
      <c r="B10" s="379">
        <v>550</v>
      </c>
      <c r="C10" s="380">
        <v>545</v>
      </c>
      <c r="D10" s="380">
        <v>523</v>
      </c>
      <c r="E10" s="380">
        <v>1457</v>
      </c>
      <c r="F10" s="380">
        <v>507</v>
      </c>
      <c r="G10" s="380">
        <v>503</v>
      </c>
      <c r="H10" s="380">
        <v>958</v>
      </c>
      <c r="I10" s="380">
        <v>560</v>
      </c>
      <c r="J10" s="380">
        <v>554</v>
      </c>
      <c r="K10" s="380">
        <v>1679</v>
      </c>
      <c r="L10" s="380">
        <v>571</v>
      </c>
      <c r="M10" s="389">
        <v>973</v>
      </c>
      <c r="N10" s="381">
        <f t="shared" si="23"/>
        <v>9380</v>
      </c>
      <c r="O10" s="379">
        <v>1235</v>
      </c>
      <c r="P10" s="380">
        <v>609</v>
      </c>
      <c r="Q10" s="380">
        <v>556</v>
      </c>
      <c r="R10" s="380">
        <v>3547</v>
      </c>
      <c r="S10" s="380">
        <v>5497</v>
      </c>
      <c r="T10" s="380">
        <v>2308</v>
      </c>
      <c r="U10" s="380">
        <v>8918</v>
      </c>
      <c r="V10" s="380">
        <v>2012</v>
      </c>
      <c r="W10" s="380">
        <v>2418</v>
      </c>
      <c r="X10" s="380">
        <v>8373</v>
      </c>
      <c r="Y10" s="380">
        <v>2384</v>
      </c>
      <c r="Z10" s="389">
        <v>2728</v>
      </c>
      <c r="AA10" s="381">
        <f t="shared" si="25"/>
        <v>40585</v>
      </c>
      <c r="AB10" s="379">
        <v>594</v>
      </c>
      <c r="AC10" s="380">
        <v>629</v>
      </c>
      <c r="AD10" s="380">
        <v>1162</v>
      </c>
      <c r="AE10" s="380">
        <v>7781</v>
      </c>
      <c r="AF10" s="380">
        <v>-3581</v>
      </c>
      <c r="AG10" s="380">
        <v>5484</v>
      </c>
      <c r="AH10" s="380">
        <v>5079</v>
      </c>
      <c r="AI10" s="380">
        <v>5249</v>
      </c>
      <c r="AJ10" s="380">
        <v>2360</v>
      </c>
      <c r="AK10" s="380">
        <v>6876</v>
      </c>
      <c r="AL10" s="380">
        <v>1562</v>
      </c>
      <c r="AM10" s="389">
        <v>11434</v>
      </c>
      <c r="AN10" s="381">
        <f t="shared" si="27"/>
        <v>44629</v>
      </c>
      <c r="AO10" s="379">
        <v>1217</v>
      </c>
      <c r="AP10" s="380">
        <v>1883</v>
      </c>
      <c r="AQ10" s="380">
        <v>2801</v>
      </c>
      <c r="AR10" s="380">
        <v>5757</v>
      </c>
      <c r="AS10" s="380">
        <v>6009</v>
      </c>
      <c r="AT10" s="380">
        <v>5172</v>
      </c>
      <c r="AU10" s="380">
        <v>3996</v>
      </c>
      <c r="AV10" s="380">
        <v>2486</v>
      </c>
      <c r="AW10" s="380">
        <v>5168</v>
      </c>
      <c r="AX10" s="380">
        <v>6052</v>
      </c>
      <c r="AY10" s="380">
        <v>4587</v>
      </c>
      <c r="AZ10" s="389">
        <v>6274</v>
      </c>
      <c r="BA10" s="381">
        <f t="shared" si="29"/>
        <v>51402</v>
      </c>
      <c r="BB10" s="379">
        <v>712</v>
      </c>
      <c r="BC10" s="380">
        <v>680</v>
      </c>
      <c r="BD10" s="380">
        <v>575</v>
      </c>
      <c r="BE10" s="380">
        <v>5701</v>
      </c>
      <c r="BF10" s="380">
        <v>1903</v>
      </c>
      <c r="BG10" s="380">
        <v>2298</v>
      </c>
      <c r="BH10" s="380">
        <v>3783</v>
      </c>
      <c r="BI10" s="380">
        <v>2471</v>
      </c>
      <c r="BJ10" s="380">
        <v>4185</v>
      </c>
      <c r="BK10" s="380">
        <v>2955</v>
      </c>
      <c r="BL10" s="380">
        <v>2826</v>
      </c>
      <c r="BM10" s="389">
        <v>2712</v>
      </c>
      <c r="BN10" s="381">
        <f t="shared" si="31"/>
        <v>30801</v>
      </c>
      <c r="BO10" s="379">
        <v>795</v>
      </c>
      <c r="BP10" s="380">
        <v>662</v>
      </c>
      <c r="BQ10" s="380">
        <v>706</v>
      </c>
      <c r="BR10" s="380">
        <v>1400</v>
      </c>
      <c r="BS10" s="380">
        <v>696</v>
      </c>
      <c r="BT10" s="380">
        <v>714</v>
      </c>
      <c r="BU10" s="380">
        <v>1230</v>
      </c>
      <c r="BV10" s="380">
        <v>678</v>
      </c>
      <c r="BW10" s="380">
        <v>808</v>
      </c>
      <c r="BX10" s="380">
        <v>1966</v>
      </c>
      <c r="BY10" s="380">
        <v>915</v>
      </c>
      <c r="BZ10" s="389">
        <v>1334</v>
      </c>
      <c r="CA10" s="381">
        <f t="shared" si="33"/>
        <v>11904</v>
      </c>
      <c r="CB10" s="379">
        <v>1071</v>
      </c>
      <c r="CC10" s="380">
        <v>772</v>
      </c>
      <c r="CD10" s="380">
        <v>853</v>
      </c>
      <c r="CE10" s="380">
        <v>1635</v>
      </c>
      <c r="CF10" s="380">
        <v>830</v>
      </c>
      <c r="CG10" s="380">
        <v>853</v>
      </c>
      <c r="CH10" s="380">
        <v>1264</v>
      </c>
      <c r="CI10" s="380">
        <v>876</v>
      </c>
      <c r="CJ10" s="380">
        <v>879</v>
      </c>
      <c r="CK10" s="380">
        <v>1284</v>
      </c>
      <c r="CL10" s="380">
        <v>964</v>
      </c>
      <c r="CM10" s="389">
        <v>1884</v>
      </c>
      <c r="CN10" s="381">
        <f t="shared" si="35"/>
        <v>13165</v>
      </c>
      <c r="CO10" s="379">
        <v>778</v>
      </c>
      <c r="CP10" s="380">
        <v>806</v>
      </c>
      <c r="CQ10" s="380">
        <v>815</v>
      </c>
      <c r="CR10" s="380">
        <v>1345</v>
      </c>
      <c r="CS10" s="380">
        <v>859</v>
      </c>
      <c r="CT10" s="380">
        <v>947</v>
      </c>
      <c r="CU10" s="380">
        <v>1571</v>
      </c>
      <c r="CV10" s="380">
        <v>857</v>
      </c>
      <c r="CW10" s="380">
        <v>897</v>
      </c>
      <c r="CX10" s="380">
        <v>1469</v>
      </c>
      <c r="CY10" s="380">
        <v>888</v>
      </c>
      <c r="CZ10" s="389">
        <v>1602</v>
      </c>
      <c r="DA10" s="381">
        <f t="shared" si="37"/>
        <v>12834</v>
      </c>
      <c r="DB10" s="379">
        <v>928</v>
      </c>
      <c r="DC10" s="380">
        <v>948</v>
      </c>
      <c r="DD10" s="380">
        <v>961</v>
      </c>
      <c r="DE10" s="380">
        <v>1443</v>
      </c>
      <c r="DF10" s="380">
        <v>931</v>
      </c>
      <c r="DG10" s="380">
        <v>991</v>
      </c>
      <c r="DH10" s="380">
        <v>1724</v>
      </c>
      <c r="DI10" s="380">
        <v>929</v>
      </c>
      <c r="DJ10" s="380">
        <v>1057</v>
      </c>
      <c r="DK10" s="380">
        <v>1429</v>
      </c>
      <c r="DL10" s="380">
        <v>211</v>
      </c>
      <c r="DM10" s="389">
        <v>1746</v>
      </c>
      <c r="DN10" s="381">
        <f t="shared" si="39"/>
        <v>13298</v>
      </c>
      <c r="DO10" s="379">
        <v>1085</v>
      </c>
      <c r="DP10" s="380">
        <v>994</v>
      </c>
      <c r="DQ10" s="380">
        <v>991</v>
      </c>
      <c r="DR10" s="380">
        <v>1412</v>
      </c>
      <c r="DS10" s="380">
        <v>1061</v>
      </c>
      <c r="DT10" s="380">
        <v>838</v>
      </c>
      <c r="DU10" s="380">
        <v>1608</v>
      </c>
      <c r="DV10" s="380">
        <v>116</v>
      </c>
      <c r="DW10" s="380">
        <v>200</v>
      </c>
      <c r="DX10" s="380">
        <v>1285</v>
      </c>
      <c r="DY10" s="380">
        <v>374</v>
      </c>
      <c r="DZ10" s="389">
        <v>785</v>
      </c>
      <c r="EA10" s="381">
        <f t="shared" si="41"/>
        <v>10749</v>
      </c>
      <c r="EB10" s="379">
        <v>1264</v>
      </c>
      <c r="EC10" s="380">
        <v>1114</v>
      </c>
      <c r="ED10" s="380">
        <v>1163</v>
      </c>
      <c r="EE10" s="380">
        <v>1496</v>
      </c>
      <c r="EF10" s="380">
        <v>1154</v>
      </c>
      <c r="EG10" s="380">
        <v>1100</v>
      </c>
      <c r="EH10" s="380">
        <v>2172</v>
      </c>
      <c r="EI10" s="380">
        <v>3268</v>
      </c>
      <c r="EJ10" s="380">
        <v>1454</v>
      </c>
      <c r="EK10" s="380">
        <v>621</v>
      </c>
      <c r="EL10" s="380">
        <v>1338</v>
      </c>
      <c r="EM10" s="389">
        <v>2292</v>
      </c>
      <c r="EN10" s="381">
        <f t="shared" si="43"/>
        <v>18436</v>
      </c>
      <c r="EO10" s="379">
        <v>1470</v>
      </c>
      <c r="EP10" s="380">
        <v>1261</v>
      </c>
      <c r="EQ10" s="380">
        <v>1254</v>
      </c>
      <c r="ER10" s="380">
        <v>1608</v>
      </c>
      <c r="ES10" s="380">
        <v>1269</v>
      </c>
      <c r="ET10" s="380">
        <v>1390</v>
      </c>
      <c r="EU10" s="380">
        <v>6910</v>
      </c>
      <c r="EV10" s="380">
        <v>688</v>
      </c>
      <c r="EW10" s="380">
        <v>602</v>
      </c>
      <c r="EX10" s="380">
        <v>460</v>
      </c>
      <c r="EY10" s="380">
        <v>175</v>
      </c>
      <c r="EZ10" s="389">
        <v>2370</v>
      </c>
      <c r="FA10" s="381">
        <f t="shared" si="45"/>
        <v>19457</v>
      </c>
      <c r="FB10" s="379">
        <v>1581</v>
      </c>
      <c r="FC10" s="380">
        <v>1663</v>
      </c>
      <c r="FD10" s="380">
        <v>1642</v>
      </c>
      <c r="FE10" s="380">
        <v>1860</v>
      </c>
      <c r="FF10" s="380">
        <v>5533</v>
      </c>
      <c r="FG10" s="380">
        <v>5526</v>
      </c>
      <c r="FH10" s="380">
        <v>1339</v>
      </c>
      <c r="FI10" s="380">
        <v>172</v>
      </c>
      <c r="FJ10" s="380">
        <v>57</v>
      </c>
      <c r="FK10" s="380">
        <v>1829</v>
      </c>
      <c r="FL10" s="380">
        <v>1507</v>
      </c>
      <c r="FM10" s="389">
        <v>5144</v>
      </c>
      <c r="FN10" s="381">
        <f t="shared" si="47"/>
        <v>27853</v>
      </c>
      <c r="FO10" s="379">
        <v>1610</v>
      </c>
      <c r="FP10" s="380">
        <v>1588</v>
      </c>
      <c r="FQ10" s="380">
        <v>1613</v>
      </c>
      <c r="FR10" s="380">
        <v>1721</v>
      </c>
      <c r="FS10" s="380">
        <v>1647</v>
      </c>
      <c r="FT10" s="380">
        <v>1623</v>
      </c>
      <c r="FU10" s="380">
        <v>3238</v>
      </c>
      <c r="FV10" s="380">
        <v>1686</v>
      </c>
      <c r="FW10" s="380">
        <v>1647</v>
      </c>
      <c r="FX10" s="380">
        <v>1936</v>
      </c>
      <c r="FY10" s="380">
        <v>1738</v>
      </c>
      <c r="FZ10" s="389">
        <v>3718</v>
      </c>
      <c r="GA10" s="381">
        <f t="shared" si="49"/>
        <v>23765</v>
      </c>
      <c r="GB10" s="379">
        <v>1649</v>
      </c>
      <c r="GC10" s="380">
        <v>1376</v>
      </c>
      <c r="GD10" s="380">
        <v>1813</v>
      </c>
      <c r="GE10" s="380">
        <v>2060</v>
      </c>
      <c r="GF10" s="380">
        <v>1883</v>
      </c>
      <c r="GG10" s="380">
        <v>1697</v>
      </c>
      <c r="GH10" s="380">
        <v>3337</v>
      </c>
      <c r="GI10" s="380">
        <v>1877</v>
      </c>
      <c r="GJ10" s="380">
        <v>1925</v>
      </c>
      <c r="GK10" s="380">
        <v>2197</v>
      </c>
      <c r="GL10" s="380">
        <v>2044</v>
      </c>
      <c r="GM10" s="389">
        <v>4721</v>
      </c>
      <c r="GN10" s="381">
        <f t="shared" si="50"/>
        <v>26579</v>
      </c>
      <c r="GO10" s="379">
        <v>2178</v>
      </c>
      <c r="GP10" s="380">
        <v>1774</v>
      </c>
      <c r="GQ10" s="380">
        <v>2225</v>
      </c>
      <c r="GR10" s="380">
        <v>2270</v>
      </c>
      <c r="GS10" s="380">
        <v>2263</v>
      </c>
      <c r="GT10" s="380">
        <v>2493</v>
      </c>
      <c r="GU10" s="380">
        <v>3541</v>
      </c>
      <c r="GV10" s="380">
        <v>2217</v>
      </c>
      <c r="GW10" s="380">
        <v>2286</v>
      </c>
      <c r="GX10" s="380">
        <v>2802</v>
      </c>
      <c r="GY10" s="380">
        <v>2591</v>
      </c>
      <c r="GZ10" s="389">
        <v>4077</v>
      </c>
      <c r="HA10" s="381">
        <f t="shared" si="52"/>
        <v>30717</v>
      </c>
      <c r="HB10" s="379">
        <v>2328</v>
      </c>
      <c r="HC10" s="380">
        <v>2365</v>
      </c>
      <c r="HD10" s="380">
        <v>2624</v>
      </c>
      <c r="HE10" s="380">
        <v>2565</v>
      </c>
      <c r="HF10" s="380">
        <v>2589</v>
      </c>
      <c r="HG10" s="380">
        <v>2551</v>
      </c>
      <c r="HH10" s="380">
        <v>4435</v>
      </c>
      <c r="HI10" s="380">
        <v>2652</v>
      </c>
      <c r="HJ10" s="380">
        <v>2646</v>
      </c>
      <c r="HK10" s="380">
        <v>3052</v>
      </c>
      <c r="HL10" s="380">
        <v>2775</v>
      </c>
      <c r="HM10" s="389">
        <v>4894</v>
      </c>
      <c r="HN10" s="381">
        <f t="shared" si="54"/>
        <v>35476</v>
      </c>
      <c r="HO10" s="379">
        <v>3201</v>
      </c>
      <c r="HP10" s="380">
        <v>3130</v>
      </c>
      <c r="HQ10" s="380">
        <v>3272</v>
      </c>
      <c r="HR10" s="380">
        <v>3278</v>
      </c>
      <c r="HS10" s="380">
        <v>3316</v>
      </c>
      <c r="HT10" s="380">
        <v>3359</v>
      </c>
      <c r="HU10" s="380">
        <v>5404</v>
      </c>
      <c r="HV10" s="380">
        <v>3152</v>
      </c>
      <c r="HW10" s="380">
        <v>3288</v>
      </c>
      <c r="HX10" s="380">
        <v>3176</v>
      </c>
      <c r="HY10" s="380">
        <v>3294</v>
      </c>
      <c r="HZ10" s="389">
        <v>5333</v>
      </c>
      <c r="IA10" s="379">
        <f t="shared" si="56"/>
        <v>43203</v>
      </c>
      <c r="IB10" s="1344">
        <v>3237</v>
      </c>
      <c r="IC10" s="120">
        <v>3574</v>
      </c>
      <c r="ID10" s="120">
        <v>3785</v>
      </c>
      <c r="IE10" s="120">
        <v>3798</v>
      </c>
      <c r="IF10" s="120">
        <v>3777</v>
      </c>
      <c r="IG10" s="120">
        <v>3689</v>
      </c>
      <c r="IH10" s="120">
        <v>6011</v>
      </c>
      <c r="II10" s="120">
        <v>3688</v>
      </c>
      <c r="IM10" s="1345"/>
      <c r="IN10" s="1346">
        <f t="shared" si="60"/>
        <v>31559</v>
      </c>
      <c r="IP10" s="371">
        <f t="shared" si="19"/>
        <v>17.00507614213198</v>
      </c>
      <c r="IQ10" s="348">
        <f t="shared" si="61"/>
        <v>12.26166761525327</v>
      </c>
      <c r="IR10" s="320">
        <f t="shared" si="20"/>
        <v>28112</v>
      </c>
      <c r="IS10" s="344">
        <f t="shared" si="21"/>
        <v>31559</v>
      </c>
      <c r="IU10" s="320">
        <f t="shared" si="62"/>
        <v>536</v>
      </c>
    </row>
    <row r="11" spans="1:264" ht="15" customHeight="1" x14ac:dyDescent="0.2">
      <c r="A11" s="1554" t="s">
        <v>434</v>
      </c>
      <c r="B11" s="379">
        <v>1893</v>
      </c>
      <c r="C11" s="380">
        <v>2668</v>
      </c>
      <c r="D11" s="380">
        <v>2736</v>
      </c>
      <c r="E11" s="380">
        <v>2767</v>
      </c>
      <c r="F11" s="380">
        <v>4867</v>
      </c>
      <c r="G11" s="380">
        <v>3235</v>
      </c>
      <c r="H11" s="380">
        <v>3211</v>
      </c>
      <c r="I11" s="380">
        <v>3343</v>
      </c>
      <c r="J11" s="380">
        <v>3435</v>
      </c>
      <c r="K11" s="380">
        <v>4568</v>
      </c>
      <c r="L11" s="380">
        <v>7154</v>
      </c>
      <c r="M11" s="389">
        <v>4803</v>
      </c>
      <c r="N11" s="381">
        <f t="shared" si="23"/>
        <v>44680</v>
      </c>
      <c r="O11" s="379">
        <v>2992</v>
      </c>
      <c r="P11" s="380">
        <v>3236</v>
      </c>
      <c r="Q11" s="380">
        <v>3381</v>
      </c>
      <c r="R11" s="380">
        <v>3273</v>
      </c>
      <c r="S11" s="380">
        <v>3553</v>
      </c>
      <c r="T11" s="380">
        <v>2833</v>
      </c>
      <c r="U11" s="380">
        <v>3487</v>
      </c>
      <c r="V11" s="380">
        <v>3346</v>
      </c>
      <c r="W11" s="380">
        <v>3937</v>
      </c>
      <c r="X11" s="380">
        <v>4899</v>
      </c>
      <c r="Y11" s="380">
        <v>4492</v>
      </c>
      <c r="Z11" s="389">
        <v>5007</v>
      </c>
      <c r="AA11" s="381">
        <f t="shared" si="25"/>
        <v>44436</v>
      </c>
      <c r="AB11" s="379">
        <v>13173</v>
      </c>
      <c r="AC11" s="380">
        <v>6035</v>
      </c>
      <c r="AD11" s="380">
        <v>4269</v>
      </c>
      <c r="AE11" s="380">
        <v>15132</v>
      </c>
      <c r="AF11" s="380">
        <v>5981</v>
      </c>
      <c r="AG11" s="380">
        <v>5506</v>
      </c>
      <c r="AH11" s="380">
        <v>15082</v>
      </c>
      <c r="AI11" s="380">
        <v>3718</v>
      </c>
      <c r="AJ11" s="380">
        <v>3955</v>
      </c>
      <c r="AK11" s="380">
        <v>17480</v>
      </c>
      <c r="AL11" s="380">
        <v>6816</v>
      </c>
      <c r="AM11" s="389">
        <v>7065</v>
      </c>
      <c r="AN11" s="381">
        <f t="shared" si="27"/>
        <v>104212</v>
      </c>
      <c r="AO11" s="379">
        <v>11349</v>
      </c>
      <c r="AP11" s="380">
        <v>8924</v>
      </c>
      <c r="AQ11" s="380">
        <v>6507</v>
      </c>
      <c r="AR11" s="380">
        <v>3058</v>
      </c>
      <c r="AS11" s="380">
        <v>14524</v>
      </c>
      <c r="AT11" s="380">
        <v>5469</v>
      </c>
      <c r="AU11" s="380">
        <v>6211</v>
      </c>
      <c r="AV11" s="380">
        <v>15242</v>
      </c>
      <c r="AW11" s="380">
        <v>5219</v>
      </c>
      <c r="AX11" s="380">
        <v>12370</v>
      </c>
      <c r="AY11" s="380">
        <v>7430</v>
      </c>
      <c r="AZ11" s="389">
        <v>11590</v>
      </c>
      <c r="BA11" s="381">
        <f t="shared" si="29"/>
        <v>107893</v>
      </c>
      <c r="BB11" s="379">
        <v>9297</v>
      </c>
      <c r="BC11" s="380">
        <v>3075</v>
      </c>
      <c r="BD11" s="380">
        <v>9876</v>
      </c>
      <c r="BE11" s="380">
        <v>1101</v>
      </c>
      <c r="BF11" s="380">
        <v>13763</v>
      </c>
      <c r="BG11" s="380">
        <v>6623</v>
      </c>
      <c r="BH11" s="380">
        <v>3831</v>
      </c>
      <c r="BI11" s="380">
        <v>13479</v>
      </c>
      <c r="BJ11" s="380">
        <v>6289</v>
      </c>
      <c r="BK11" s="380">
        <v>15088</v>
      </c>
      <c r="BL11" s="380">
        <v>7464</v>
      </c>
      <c r="BM11" s="389">
        <v>11215</v>
      </c>
      <c r="BN11" s="381">
        <f t="shared" si="31"/>
        <v>101101</v>
      </c>
      <c r="BO11" s="379">
        <v>2201</v>
      </c>
      <c r="BP11" s="380">
        <v>12575</v>
      </c>
      <c r="BQ11" s="380">
        <v>4462</v>
      </c>
      <c r="BR11" s="380">
        <v>14688</v>
      </c>
      <c r="BS11" s="380">
        <v>6386</v>
      </c>
      <c r="BT11" s="380">
        <v>4717</v>
      </c>
      <c r="BU11" s="380">
        <v>6032</v>
      </c>
      <c r="BV11" s="380">
        <v>22301</v>
      </c>
      <c r="BW11" s="380">
        <v>17456</v>
      </c>
      <c r="BX11" s="380">
        <v>15022</v>
      </c>
      <c r="BY11" s="380">
        <v>23343</v>
      </c>
      <c r="BZ11" s="389">
        <v>12227</v>
      </c>
      <c r="CA11" s="381">
        <f t="shared" si="33"/>
        <v>141410</v>
      </c>
      <c r="CB11" s="379">
        <v>3323</v>
      </c>
      <c r="CC11" s="380">
        <v>13928</v>
      </c>
      <c r="CD11" s="380">
        <v>8100</v>
      </c>
      <c r="CE11" s="380">
        <v>16058</v>
      </c>
      <c r="CF11" s="380">
        <v>7320</v>
      </c>
      <c r="CG11" s="380">
        <v>7234</v>
      </c>
      <c r="CH11" s="380">
        <v>16020</v>
      </c>
      <c r="CI11" s="380">
        <v>6498</v>
      </c>
      <c r="CJ11" s="380">
        <v>6804</v>
      </c>
      <c r="CK11" s="380">
        <v>7263</v>
      </c>
      <c r="CL11" s="380">
        <v>8203</v>
      </c>
      <c r="CM11" s="389">
        <v>15494</v>
      </c>
      <c r="CN11" s="381">
        <f t="shared" si="35"/>
        <v>116245</v>
      </c>
      <c r="CO11" s="379">
        <v>12309</v>
      </c>
      <c r="CP11" s="380">
        <v>7092</v>
      </c>
      <c r="CQ11" s="380">
        <v>10710</v>
      </c>
      <c r="CR11" s="380">
        <v>6808</v>
      </c>
      <c r="CS11" s="380">
        <v>27234</v>
      </c>
      <c r="CT11" s="380">
        <v>10692</v>
      </c>
      <c r="CU11" s="380">
        <v>32841</v>
      </c>
      <c r="CV11" s="380">
        <v>24010</v>
      </c>
      <c r="CW11" s="380">
        <v>9748</v>
      </c>
      <c r="CX11" s="380">
        <v>22766</v>
      </c>
      <c r="CY11" s="380">
        <v>13658</v>
      </c>
      <c r="CZ11" s="389">
        <v>29770</v>
      </c>
      <c r="DA11" s="381">
        <f t="shared" si="37"/>
        <v>207638</v>
      </c>
      <c r="DB11" s="379">
        <v>12929</v>
      </c>
      <c r="DC11" s="380">
        <v>10108</v>
      </c>
      <c r="DD11" s="380">
        <v>10330</v>
      </c>
      <c r="DE11" s="380">
        <v>8382</v>
      </c>
      <c r="DF11" s="380">
        <v>19653</v>
      </c>
      <c r="DG11" s="380">
        <v>10681</v>
      </c>
      <c r="DH11" s="380">
        <v>9400</v>
      </c>
      <c r="DI11" s="380">
        <v>22653</v>
      </c>
      <c r="DJ11" s="380">
        <v>12672</v>
      </c>
      <c r="DK11" s="380">
        <v>18403</v>
      </c>
      <c r="DL11" s="380">
        <v>8333</v>
      </c>
      <c r="DM11" s="389">
        <v>48941</v>
      </c>
      <c r="DN11" s="381">
        <f t="shared" si="39"/>
        <v>192485</v>
      </c>
      <c r="DO11" s="379">
        <v>4211</v>
      </c>
      <c r="DP11" s="380">
        <v>7226</v>
      </c>
      <c r="DQ11" s="380">
        <v>12990</v>
      </c>
      <c r="DR11" s="380">
        <v>18597</v>
      </c>
      <c r="DS11" s="380">
        <v>24718</v>
      </c>
      <c r="DT11" s="380">
        <v>11731</v>
      </c>
      <c r="DU11" s="380">
        <v>25634</v>
      </c>
      <c r="DV11" s="380">
        <v>14245</v>
      </c>
      <c r="DW11" s="380">
        <v>10229</v>
      </c>
      <c r="DX11" s="380">
        <v>22201</v>
      </c>
      <c r="DY11" s="380">
        <v>11734</v>
      </c>
      <c r="DZ11" s="389">
        <v>27965</v>
      </c>
      <c r="EA11" s="381">
        <f t="shared" si="41"/>
        <v>191481</v>
      </c>
      <c r="EB11" s="379">
        <v>15036</v>
      </c>
      <c r="EC11" s="380">
        <v>14758</v>
      </c>
      <c r="ED11" s="380">
        <v>10114</v>
      </c>
      <c r="EE11" s="380">
        <v>25190</v>
      </c>
      <c r="EF11" s="380">
        <v>10253</v>
      </c>
      <c r="EG11" s="380">
        <v>9952</v>
      </c>
      <c r="EH11" s="380">
        <v>28707</v>
      </c>
      <c r="EI11" s="380">
        <v>17961</v>
      </c>
      <c r="EJ11" s="380">
        <v>10943</v>
      </c>
      <c r="EK11" s="380">
        <v>28882</v>
      </c>
      <c r="EL11" s="380">
        <v>12299</v>
      </c>
      <c r="EM11" s="389">
        <v>89279</v>
      </c>
      <c r="EN11" s="381">
        <f t="shared" si="43"/>
        <v>273374</v>
      </c>
      <c r="EO11" s="379">
        <v>23150</v>
      </c>
      <c r="EP11" s="380">
        <v>9304</v>
      </c>
      <c r="EQ11" s="380">
        <v>12508</v>
      </c>
      <c r="ER11" s="380">
        <v>26469</v>
      </c>
      <c r="ES11" s="380">
        <v>14368</v>
      </c>
      <c r="ET11" s="380">
        <v>11865</v>
      </c>
      <c r="EU11" s="380">
        <v>30367</v>
      </c>
      <c r="EV11" s="380">
        <v>14065</v>
      </c>
      <c r="EW11" s="380">
        <v>11688</v>
      </c>
      <c r="EX11" s="380">
        <v>34154</v>
      </c>
      <c r="EY11" s="380">
        <v>26912</v>
      </c>
      <c r="EZ11" s="389">
        <v>22609</v>
      </c>
      <c r="FA11" s="381">
        <f t="shared" si="45"/>
        <v>237459</v>
      </c>
      <c r="FB11" s="379">
        <v>24476</v>
      </c>
      <c r="FC11" s="380">
        <v>11983</v>
      </c>
      <c r="FD11" s="380">
        <v>8310</v>
      </c>
      <c r="FE11" s="380">
        <v>27654</v>
      </c>
      <c r="FF11" s="380">
        <v>7604</v>
      </c>
      <c r="FG11" s="380">
        <v>9205</v>
      </c>
      <c r="FH11" s="380">
        <v>31930</v>
      </c>
      <c r="FI11" s="380">
        <v>24077</v>
      </c>
      <c r="FJ11" s="380">
        <v>10138</v>
      </c>
      <c r="FK11" s="380">
        <v>32476</v>
      </c>
      <c r="FL11" s="380">
        <v>14041</v>
      </c>
      <c r="FM11" s="389">
        <v>26729</v>
      </c>
      <c r="FN11" s="381">
        <f t="shared" si="47"/>
        <v>228623</v>
      </c>
      <c r="FO11" s="379">
        <v>23001</v>
      </c>
      <c r="FP11" s="380">
        <v>8355</v>
      </c>
      <c r="FQ11" s="380">
        <v>16559</v>
      </c>
      <c r="FR11" s="380">
        <v>30318</v>
      </c>
      <c r="FS11" s="380">
        <v>21577</v>
      </c>
      <c r="FT11" s="380">
        <v>18375</v>
      </c>
      <c r="FU11" s="380">
        <v>33866</v>
      </c>
      <c r="FV11" s="380">
        <v>13444</v>
      </c>
      <c r="FW11" s="380">
        <v>19720</v>
      </c>
      <c r="FX11" s="380">
        <v>12536</v>
      </c>
      <c r="FY11" s="380">
        <v>33576</v>
      </c>
      <c r="FZ11" s="389">
        <v>233279</v>
      </c>
      <c r="GA11" s="381">
        <f t="shared" si="49"/>
        <v>464606</v>
      </c>
      <c r="GB11" s="379">
        <v>24671</v>
      </c>
      <c r="GC11" s="380">
        <v>10047</v>
      </c>
      <c r="GD11" s="380">
        <v>14617</v>
      </c>
      <c r="GE11" s="380">
        <v>11860</v>
      </c>
      <c r="GF11" s="380">
        <v>29621</v>
      </c>
      <c r="GG11" s="380">
        <v>10955</v>
      </c>
      <c r="GH11" s="380">
        <v>37803</v>
      </c>
      <c r="GI11" s="380">
        <v>124933</v>
      </c>
      <c r="GJ11" s="380">
        <v>15724</v>
      </c>
      <c r="GK11" s="380">
        <v>82593</v>
      </c>
      <c r="GL11" s="380">
        <v>36240</v>
      </c>
      <c r="GM11" s="389">
        <v>157917</v>
      </c>
      <c r="GN11" s="381">
        <f t="shared" si="50"/>
        <v>556981</v>
      </c>
      <c r="GO11" s="379">
        <v>10977</v>
      </c>
      <c r="GP11" s="380">
        <v>27346</v>
      </c>
      <c r="GQ11" s="380">
        <v>13720</v>
      </c>
      <c r="GR11" s="380">
        <v>11429</v>
      </c>
      <c r="GS11" s="380">
        <v>36647</v>
      </c>
      <c r="GT11" s="380">
        <v>17790</v>
      </c>
      <c r="GU11" s="380">
        <v>15917</v>
      </c>
      <c r="GV11" s="380">
        <v>38990</v>
      </c>
      <c r="GW11" s="380">
        <v>14823</v>
      </c>
      <c r="GX11" s="380">
        <v>25538</v>
      </c>
      <c r="GY11" s="380">
        <v>71915</v>
      </c>
      <c r="GZ11" s="389">
        <v>24942</v>
      </c>
      <c r="HA11" s="381">
        <f t="shared" si="52"/>
        <v>310034</v>
      </c>
      <c r="HB11" s="379">
        <v>4419</v>
      </c>
      <c r="HC11" s="380">
        <v>138405</v>
      </c>
      <c r="HD11" s="380">
        <v>7914</v>
      </c>
      <c r="HE11" s="380">
        <v>16171</v>
      </c>
      <c r="HF11" s="380">
        <v>27754</v>
      </c>
      <c r="HG11" s="380">
        <v>10056</v>
      </c>
      <c r="HH11" s="380">
        <v>9580</v>
      </c>
      <c r="HI11" s="380">
        <v>86459</v>
      </c>
      <c r="HJ11" s="380">
        <v>17959</v>
      </c>
      <c r="HK11" s="380">
        <v>15423</v>
      </c>
      <c r="HL11" s="380">
        <v>46611</v>
      </c>
      <c r="HM11" s="389">
        <v>68322</v>
      </c>
      <c r="HN11" s="381">
        <f t="shared" si="54"/>
        <v>449073</v>
      </c>
      <c r="HO11" s="379">
        <v>6879</v>
      </c>
      <c r="HP11" s="380">
        <v>50482</v>
      </c>
      <c r="HQ11" s="380">
        <v>25393</v>
      </c>
      <c r="HR11" s="380">
        <v>13034</v>
      </c>
      <c r="HS11" s="380">
        <v>21165</v>
      </c>
      <c r="HT11" s="380">
        <v>30029</v>
      </c>
      <c r="HU11" s="380">
        <v>14470</v>
      </c>
      <c r="HV11" s="380">
        <v>37145</v>
      </c>
      <c r="HW11" s="380">
        <v>17577</v>
      </c>
      <c r="HX11" s="380">
        <v>15861</v>
      </c>
      <c r="HY11" s="380">
        <v>36906</v>
      </c>
      <c r="HZ11" s="389">
        <v>27173</v>
      </c>
      <c r="IA11" s="379">
        <f t="shared" si="56"/>
        <v>296114</v>
      </c>
      <c r="IB11" s="1344">
        <v>3950</v>
      </c>
      <c r="IC11" s="120">
        <v>26416</v>
      </c>
      <c r="ID11" s="120">
        <v>12982</v>
      </c>
      <c r="IE11" s="120">
        <v>12116</v>
      </c>
      <c r="IF11" s="120">
        <v>16133</v>
      </c>
      <c r="IG11" s="120">
        <v>31247</v>
      </c>
      <c r="IH11" s="120">
        <v>13765</v>
      </c>
      <c r="II11" s="120">
        <v>35429</v>
      </c>
      <c r="IM11" s="1345"/>
      <c r="IN11" s="1346">
        <f t="shared" si="60"/>
        <v>152038</v>
      </c>
      <c r="IP11" s="371">
        <f t="shared" si="19"/>
        <v>-4.6197334769147886</v>
      </c>
      <c r="IQ11" s="348">
        <f t="shared" si="61"/>
        <v>-23.443959375015734</v>
      </c>
      <c r="IR11" s="320">
        <f t="shared" si="20"/>
        <v>198597</v>
      </c>
      <c r="IS11" s="344">
        <f t="shared" si="21"/>
        <v>152038</v>
      </c>
      <c r="IU11" s="320">
        <f t="shared" si="62"/>
        <v>-1716</v>
      </c>
    </row>
    <row r="12" spans="1:264" ht="15" customHeight="1" x14ac:dyDescent="0.2">
      <c r="A12" s="1554" t="s">
        <v>328</v>
      </c>
      <c r="B12" s="379">
        <v>0</v>
      </c>
      <c r="C12" s="380">
        <v>0</v>
      </c>
      <c r="D12" s="380">
        <v>0</v>
      </c>
      <c r="E12" s="380">
        <v>0</v>
      </c>
      <c r="F12" s="380">
        <v>0</v>
      </c>
      <c r="G12" s="380">
        <v>0</v>
      </c>
      <c r="H12" s="380">
        <v>0</v>
      </c>
      <c r="I12" s="380">
        <v>0</v>
      </c>
      <c r="J12" s="380">
        <v>0</v>
      </c>
      <c r="K12" s="380">
        <v>0</v>
      </c>
      <c r="L12" s="380">
        <v>0</v>
      </c>
      <c r="M12" s="389">
        <v>0</v>
      </c>
      <c r="N12" s="381">
        <f>SUM(B12:M12)</f>
        <v>0</v>
      </c>
      <c r="O12" s="379">
        <v>1205</v>
      </c>
      <c r="P12" s="380">
        <v>1157</v>
      </c>
      <c r="Q12" s="380">
        <v>1211</v>
      </c>
      <c r="R12" s="380">
        <v>1116</v>
      </c>
      <c r="S12" s="380">
        <v>1081</v>
      </c>
      <c r="T12" s="380">
        <v>1658</v>
      </c>
      <c r="U12" s="380">
        <v>991</v>
      </c>
      <c r="V12" s="380">
        <v>1289</v>
      </c>
      <c r="W12" s="380">
        <v>1238</v>
      </c>
      <c r="X12" s="380">
        <v>1276</v>
      </c>
      <c r="Y12" s="380">
        <v>1136</v>
      </c>
      <c r="Z12" s="389">
        <v>1205</v>
      </c>
      <c r="AA12" s="381">
        <f>SUM(O12:Z12)</f>
        <v>14563</v>
      </c>
      <c r="AB12" s="379">
        <v>1260</v>
      </c>
      <c r="AC12" s="380">
        <v>1294</v>
      </c>
      <c r="AD12" s="380">
        <v>1326</v>
      </c>
      <c r="AE12" s="380">
        <v>1340</v>
      </c>
      <c r="AF12" s="380">
        <v>975</v>
      </c>
      <c r="AG12" s="380">
        <v>706</v>
      </c>
      <c r="AH12" s="380">
        <v>591</v>
      </c>
      <c r="AI12" s="380">
        <v>1771</v>
      </c>
      <c r="AJ12" s="380">
        <v>886</v>
      </c>
      <c r="AK12" s="380">
        <v>1619</v>
      </c>
      <c r="AL12" s="380">
        <v>1072</v>
      </c>
      <c r="AM12" s="389">
        <v>741</v>
      </c>
      <c r="AN12" s="381">
        <f>SUM(AB12:AM12)</f>
        <v>13581</v>
      </c>
      <c r="AO12" s="379">
        <v>1018</v>
      </c>
      <c r="AP12" s="380">
        <v>1017</v>
      </c>
      <c r="AQ12" s="380">
        <v>1097</v>
      </c>
      <c r="AR12" s="380">
        <v>923</v>
      </c>
      <c r="AS12" s="380">
        <v>1002</v>
      </c>
      <c r="AT12" s="380">
        <v>789</v>
      </c>
      <c r="AU12" s="380">
        <v>12</v>
      </c>
      <c r="AV12" s="380">
        <v>3435</v>
      </c>
      <c r="AW12" s="380">
        <v>1090</v>
      </c>
      <c r="AX12" s="380">
        <v>1193</v>
      </c>
      <c r="AY12" s="380">
        <v>1072</v>
      </c>
      <c r="AZ12" s="389">
        <v>5338</v>
      </c>
      <c r="BA12" s="381">
        <f>SUM(AO12:AZ12)</f>
        <v>17986</v>
      </c>
      <c r="BB12" s="379">
        <v>1011</v>
      </c>
      <c r="BC12" s="380">
        <v>3364</v>
      </c>
      <c r="BD12" s="380">
        <v>111</v>
      </c>
      <c r="BE12" s="380">
        <v>83</v>
      </c>
      <c r="BF12" s="380">
        <v>127</v>
      </c>
      <c r="BG12" s="380">
        <v>42</v>
      </c>
      <c r="BH12" s="380">
        <v>3759</v>
      </c>
      <c r="BI12" s="380">
        <v>711</v>
      </c>
      <c r="BJ12" s="380">
        <v>1465</v>
      </c>
      <c r="BK12" s="380">
        <v>1539</v>
      </c>
      <c r="BL12" s="380">
        <v>3225</v>
      </c>
      <c r="BM12" s="389">
        <v>1707</v>
      </c>
      <c r="BN12" s="381">
        <f>SUM(BB12:BM12)</f>
        <v>17144</v>
      </c>
      <c r="BO12" s="379">
        <v>3111</v>
      </c>
      <c r="BP12" s="380">
        <v>430</v>
      </c>
      <c r="BQ12" s="380">
        <v>987</v>
      </c>
      <c r="BR12" s="380">
        <v>4443</v>
      </c>
      <c r="BS12" s="380">
        <v>6787</v>
      </c>
      <c r="BT12" s="380">
        <v>3615</v>
      </c>
      <c r="BU12" s="380">
        <v>16</v>
      </c>
      <c r="BV12" s="380">
        <v>1048</v>
      </c>
      <c r="BW12" s="380">
        <v>4782</v>
      </c>
      <c r="BX12" s="380">
        <v>5897</v>
      </c>
      <c r="BY12" s="380">
        <v>897</v>
      </c>
      <c r="BZ12" s="389">
        <v>1840</v>
      </c>
      <c r="CA12" s="381">
        <f>SUM(BO12:BZ12)</f>
        <v>33853</v>
      </c>
      <c r="CB12" s="379">
        <v>1222</v>
      </c>
      <c r="CC12" s="380">
        <v>8230</v>
      </c>
      <c r="CD12" s="380">
        <v>4858</v>
      </c>
      <c r="CE12" s="380">
        <v>5899</v>
      </c>
      <c r="CF12" s="380">
        <v>1692</v>
      </c>
      <c r="CG12" s="380">
        <v>2704</v>
      </c>
      <c r="CH12" s="380">
        <v>1757</v>
      </c>
      <c r="CI12" s="380">
        <v>9097</v>
      </c>
      <c r="CJ12" s="380">
        <v>2216</v>
      </c>
      <c r="CK12" s="380">
        <v>837</v>
      </c>
      <c r="CL12" s="380">
        <v>430</v>
      </c>
      <c r="CM12" s="389">
        <v>2519</v>
      </c>
      <c r="CN12" s="381">
        <f>SUM(CB12:CM12)</f>
        <v>41461</v>
      </c>
      <c r="CO12" s="379">
        <v>34464</v>
      </c>
      <c r="CP12" s="380">
        <v>15110</v>
      </c>
      <c r="CQ12" s="380">
        <v>20407</v>
      </c>
      <c r="CR12" s="380">
        <v>1371</v>
      </c>
      <c r="CS12" s="380">
        <v>510</v>
      </c>
      <c r="CT12" s="380">
        <v>3043</v>
      </c>
      <c r="CU12" s="380">
        <v>5139</v>
      </c>
      <c r="CV12" s="380">
        <v>451</v>
      </c>
      <c r="CW12" s="380">
        <v>2812</v>
      </c>
      <c r="CX12" s="380">
        <v>3535</v>
      </c>
      <c r="CY12" s="380">
        <v>8094</v>
      </c>
      <c r="CZ12" s="389">
        <v>7125</v>
      </c>
      <c r="DA12" s="381">
        <f>SUM(CO12:CZ12)</f>
        <v>102061</v>
      </c>
      <c r="DB12" s="379">
        <v>35502</v>
      </c>
      <c r="DC12" s="380">
        <v>3271</v>
      </c>
      <c r="DD12" s="380">
        <v>2351</v>
      </c>
      <c r="DE12" s="380">
        <v>2924</v>
      </c>
      <c r="DF12" s="380">
        <v>55</v>
      </c>
      <c r="DG12" s="380">
        <v>2197</v>
      </c>
      <c r="DH12" s="380">
        <v>3404</v>
      </c>
      <c r="DI12" s="380">
        <v>1116</v>
      </c>
      <c r="DJ12" s="380">
        <v>204</v>
      </c>
      <c r="DK12" s="380">
        <v>88</v>
      </c>
      <c r="DL12" s="380">
        <v>4480</v>
      </c>
      <c r="DM12" s="389">
        <v>2702</v>
      </c>
      <c r="DN12" s="381">
        <f>SUM(DB12:DM12)</f>
        <v>58294</v>
      </c>
      <c r="DO12" s="379">
        <v>18</v>
      </c>
      <c r="DP12" s="380">
        <v>7723</v>
      </c>
      <c r="DQ12" s="380">
        <v>16391</v>
      </c>
      <c r="DR12" s="380">
        <v>10195</v>
      </c>
      <c r="DS12" s="380">
        <v>105</v>
      </c>
      <c r="DT12" s="380">
        <v>3291</v>
      </c>
      <c r="DU12" s="380">
        <v>501</v>
      </c>
      <c r="DV12" s="380">
        <v>9851</v>
      </c>
      <c r="DW12" s="380">
        <v>12</v>
      </c>
      <c r="DX12" s="380">
        <v>60</v>
      </c>
      <c r="DY12" s="380">
        <v>139</v>
      </c>
      <c r="DZ12" s="389">
        <v>1667</v>
      </c>
      <c r="EA12" s="381">
        <f>SUM(DO12:DZ12)</f>
        <v>49953</v>
      </c>
      <c r="EB12" s="379">
        <v>98</v>
      </c>
      <c r="EC12" s="380">
        <v>8910</v>
      </c>
      <c r="ED12" s="380">
        <v>0</v>
      </c>
      <c r="EE12" s="380">
        <v>22503</v>
      </c>
      <c r="EF12" s="380">
        <v>188</v>
      </c>
      <c r="EG12" s="380">
        <v>135</v>
      </c>
      <c r="EH12" s="380">
        <v>7780</v>
      </c>
      <c r="EI12" s="380">
        <v>0</v>
      </c>
      <c r="EJ12" s="380">
        <v>10204</v>
      </c>
      <c r="EK12" s="380">
        <v>2085</v>
      </c>
      <c r="EL12" s="380">
        <v>820</v>
      </c>
      <c r="EM12" s="389">
        <v>10696</v>
      </c>
      <c r="EN12" s="381">
        <f>SUM(EB12:EM12)</f>
        <v>63419</v>
      </c>
      <c r="EO12" s="379">
        <v>25723</v>
      </c>
      <c r="EP12" s="380">
        <v>18</v>
      </c>
      <c r="EQ12" s="380">
        <v>41</v>
      </c>
      <c r="ER12" s="380">
        <v>864</v>
      </c>
      <c r="ES12" s="380">
        <v>-68</v>
      </c>
      <c r="ET12" s="380">
        <v>278</v>
      </c>
      <c r="EU12" s="380">
        <v>9799</v>
      </c>
      <c r="EV12" s="380">
        <v>-1340</v>
      </c>
      <c r="EW12" s="380">
        <v>1974</v>
      </c>
      <c r="EX12" s="380">
        <v>32</v>
      </c>
      <c r="EY12" s="380">
        <v>4279</v>
      </c>
      <c r="EZ12" s="389">
        <v>1903</v>
      </c>
      <c r="FA12" s="381">
        <f>SUM(EO12:EZ12)</f>
        <v>43503</v>
      </c>
      <c r="FB12" s="379">
        <v>0</v>
      </c>
      <c r="FC12" s="380">
        <v>16020</v>
      </c>
      <c r="FD12" s="380">
        <v>1645</v>
      </c>
      <c r="FE12" s="380">
        <v>15794</v>
      </c>
      <c r="FF12" s="380">
        <v>70</v>
      </c>
      <c r="FG12" s="380">
        <v>0</v>
      </c>
      <c r="FH12" s="380">
        <v>8158</v>
      </c>
      <c r="FI12" s="380">
        <v>3084</v>
      </c>
      <c r="FJ12" s="380">
        <v>2711</v>
      </c>
      <c r="FK12" s="380">
        <v>669</v>
      </c>
      <c r="FL12" s="380">
        <v>136</v>
      </c>
      <c r="FM12" s="389">
        <v>3111</v>
      </c>
      <c r="FN12" s="381">
        <f>SUM(FB12:FM12)</f>
        <v>51398</v>
      </c>
      <c r="FO12" s="379">
        <v>0</v>
      </c>
      <c r="FP12" s="380">
        <v>24429</v>
      </c>
      <c r="FQ12" s="380">
        <v>494</v>
      </c>
      <c r="FR12" s="380">
        <v>4700</v>
      </c>
      <c r="FS12" s="380">
        <v>0</v>
      </c>
      <c r="FT12" s="380">
        <v>2557</v>
      </c>
      <c r="FU12" s="380">
        <v>3945</v>
      </c>
      <c r="FV12" s="380">
        <v>1494</v>
      </c>
      <c r="FW12" s="380">
        <v>20415</v>
      </c>
      <c r="FX12" s="380">
        <v>1031</v>
      </c>
      <c r="FY12" s="380">
        <v>10063</v>
      </c>
      <c r="FZ12" s="389">
        <v>2637</v>
      </c>
      <c r="GA12" s="381">
        <f>SUM(FO12:FZ12)</f>
        <v>71765</v>
      </c>
      <c r="GB12" s="379">
        <v>116</v>
      </c>
      <c r="GC12" s="380">
        <v>4671</v>
      </c>
      <c r="GD12" s="380">
        <v>33591</v>
      </c>
      <c r="GE12" s="380">
        <v>-28</v>
      </c>
      <c r="GF12" s="380">
        <v>16945</v>
      </c>
      <c r="GG12" s="380">
        <v>7695</v>
      </c>
      <c r="GH12" s="380">
        <v>1489</v>
      </c>
      <c r="GI12" s="380">
        <v>9812</v>
      </c>
      <c r="GJ12" s="380">
        <v>16216</v>
      </c>
      <c r="GK12" s="380">
        <v>66527</v>
      </c>
      <c r="GL12" s="380">
        <v>7200</v>
      </c>
      <c r="GM12" s="389">
        <v>1581</v>
      </c>
      <c r="GN12" s="381">
        <f>SUM(GB12:GM12)</f>
        <v>165815</v>
      </c>
      <c r="GO12" s="379">
        <v>10522</v>
      </c>
      <c r="GP12" s="380">
        <v>27071</v>
      </c>
      <c r="GQ12" s="380">
        <v>135</v>
      </c>
      <c r="GR12" s="380">
        <v>24321</v>
      </c>
      <c r="GS12" s="380">
        <v>5876</v>
      </c>
      <c r="GT12" s="380">
        <v>1251</v>
      </c>
      <c r="GU12" s="380">
        <v>4899</v>
      </c>
      <c r="GV12" s="380">
        <v>18909</v>
      </c>
      <c r="GW12" s="380">
        <v>-129</v>
      </c>
      <c r="GX12" s="380">
        <v>1221</v>
      </c>
      <c r="GY12" s="380">
        <v>2028</v>
      </c>
      <c r="GZ12" s="389">
        <v>582</v>
      </c>
      <c r="HA12" s="381">
        <f>SUM(GO12:GZ12)</f>
        <v>96686</v>
      </c>
      <c r="HB12" s="379">
        <v>0</v>
      </c>
      <c r="HC12" s="380">
        <v>43624</v>
      </c>
      <c r="HD12" s="380">
        <v>6310</v>
      </c>
      <c r="HE12" s="380">
        <v>9441</v>
      </c>
      <c r="HF12" s="380">
        <v>3073</v>
      </c>
      <c r="HG12" s="380">
        <v>2674</v>
      </c>
      <c r="HH12" s="380">
        <v>23793</v>
      </c>
      <c r="HI12" s="380">
        <v>133</v>
      </c>
      <c r="HJ12" s="380">
        <v>14526</v>
      </c>
      <c r="HK12" s="380">
        <v>4399</v>
      </c>
      <c r="HL12" s="380">
        <v>140</v>
      </c>
      <c r="HM12" s="389">
        <v>1376</v>
      </c>
      <c r="HN12" s="381">
        <f>SUM(HB12:HM12)</f>
        <v>109489</v>
      </c>
      <c r="HO12" s="379">
        <v>0</v>
      </c>
      <c r="HP12" s="380">
        <v>39356</v>
      </c>
      <c r="HQ12" s="380">
        <v>6459</v>
      </c>
      <c r="HR12" s="380">
        <v>0</v>
      </c>
      <c r="HS12" s="380">
        <v>-5</v>
      </c>
      <c r="HT12" s="380">
        <v>17655</v>
      </c>
      <c r="HU12" s="380">
        <v>688</v>
      </c>
      <c r="HV12" s="380">
        <v>453</v>
      </c>
      <c r="HW12" s="380">
        <v>1554</v>
      </c>
      <c r="HX12" s="380">
        <v>69</v>
      </c>
      <c r="HY12" s="380">
        <v>-97</v>
      </c>
      <c r="HZ12" s="389">
        <v>796</v>
      </c>
      <c r="IA12" s="379">
        <f>SUM(HO12:HZ12)</f>
        <v>66928</v>
      </c>
      <c r="IB12" s="1344">
        <v>49326</v>
      </c>
      <c r="IC12" s="120">
        <v>0</v>
      </c>
      <c r="ID12" s="120">
        <v>6114</v>
      </c>
      <c r="IE12" s="120">
        <v>3632</v>
      </c>
      <c r="IF12" s="120">
        <v>0</v>
      </c>
      <c r="IG12" s="120">
        <v>-2</v>
      </c>
      <c r="IH12" s="120">
        <v>-15</v>
      </c>
      <c r="II12" s="120">
        <v>7086</v>
      </c>
      <c r="IM12" s="1345"/>
      <c r="IN12" s="1346">
        <f>SUM(IB12:IM12)</f>
        <v>66141</v>
      </c>
      <c r="IP12" s="371">
        <f t="shared" si="19"/>
        <v>1464.2384105960264</v>
      </c>
      <c r="IQ12" s="348">
        <f>IFERROR(((IS12/IR12)-1)*100,"")</f>
        <v>2.3759403151410119</v>
      </c>
      <c r="IR12" s="320">
        <f t="shared" si="20"/>
        <v>64606</v>
      </c>
      <c r="IS12" s="344">
        <f t="shared" si="21"/>
        <v>66141</v>
      </c>
      <c r="IU12" s="320">
        <f t="shared" si="62"/>
        <v>6633</v>
      </c>
    </row>
    <row r="13" spans="1:264" ht="15" customHeight="1" x14ac:dyDescent="0.2">
      <c r="A13" s="1554" t="s">
        <v>319</v>
      </c>
      <c r="B13" s="379">
        <v>11146</v>
      </c>
      <c r="C13" s="380">
        <v>2844</v>
      </c>
      <c r="D13" s="380">
        <v>4029</v>
      </c>
      <c r="E13" s="380">
        <v>6996</v>
      </c>
      <c r="F13" s="380">
        <v>3100</v>
      </c>
      <c r="G13" s="380">
        <v>14033</v>
      </c>
      <c r="H13" s="380">
        <v>5058</v>
      </c>
      <c r="I13" s="380">
        <v>2413</v>
      </c>
      <c r="J13" s="380">
        <v>3380</v>
      </c>
      <c r="K13" s="380">
        <v>4035</v>
      </c>
      <c r="L13" s="380">
        <v>3985</v>
      </c>
      <c r="M13" s="389">
        <v>4278</v>
      </c>
      <c r="N13" s="381">
        <f>SUM(B13:M13)</f>
        <v>65297</v>
      </c>
      <c r="O13" s="379">
        <v>9930</v>
      </c>
      <c r="P13" s="380">
        <v>883</v>
      </c>
      <c r="Q13" s="380">
        <v>681</v>
      </c>
      <c r="R13" s="380">
        <v>71</v>
      </c>
      <c r="S13" s="380">
        <v>43</v>
      </c>
      <c r="T13" s="380">
        <v>528</v>
      </c>
      <c r="U13" s="380">
        <v>1496</v>
      </c>
      <c r="V13" s="380">
        <v>768</v>
      </c>
      <c r="W13" s="380">
        <v>582</v>
      </c>
      <c r="X13" s="380">
        <v>5018</v>
      </c>
      <c r="Y13" s="380">
        <v>102</v>
      </c>
      <c r="Z13" s="389">
        <v>189</v>
      </c>
      <c r="AA13" s="381">
        <f>SUM(O13:Z13)</f>
        <v>20291</v>
      </c>
      <c r="AB13" s="379">
        <v>1854</v>
      </c>
      <c r="AC13" s="380">
        <v>4910</v>
      </c>
      <c r="AD13" s="380">
        <v>241</v>
      </c>
      <c r="AE13" s="380">
        <v>328</v>
      </c>
      <c r="AF13" s="380">
        <v>1000</v>
      </c>
      <c r="AG13" s="380">
        <v>112</v>
      </c>
      <c r="AH13" s="380">
        <v>297</v>
      </c>
      <c r="AI13" s="380">
        <v>209</v>
      </c>
      <c r="AJ13" s="380">
        <v>287</v>
      </c>
      <c r="AK13" s="380">
        <v>577</v>
      </c>
      <c r="AL13" s="380">
        <v>198</v>
      </c>
      <c r="AM13" s="389">
        <v>483</v>
      </c>
      <c r="AN13" s="381">
        <f>SUM(AB13:AM13)</f>
        <v>10496</v>
      </c>
      <c r="AO13" s="379">
        <v>1</v>
      </c>
      <c r="AP13" s="380">
        <v>4898</v>
      </c>
      <c r="AQ13" s="380">
        <v>517</v>
      </c>
      <c r="AR13" s="380">
        <v>468</v>
      </c>
      <c r="AS13" s="380">
        <v>358</v>
      </c>
      <c r="AT13" s="380">
        <v>323</v>
      </c>
      <c r="AU13" s="380">
        <v>213</v>
      </c>
      <c r="AV13" s="380">
        <v>98</v>
      </c>
      <c r="AW13" s="380">
        <v>184</v>
      </c>
      <c r="AX13" s="380">
        <v>381</v>
      </c>
      <c r="AY13" s="380">
        <v>138</v>
      </c>
      <c r="AZ13" s="389">
        <v>8290</v>
      </c>
      <c r="BA13" s="381">
        <f>SUM(AO13:AZ13)</f>
        <v>15869</v>
      </c>
      <c r="BB13" s="379">
        <v>6</v>
      </c>
      <c r="BC13" s="380">
        <v>418</v>
      </c>
      <c r="BD13" s="380">
        <v>254</v>
      </c>
      <c r="BE13" s="380">
        <v>246</v>
      </c>
      <c r="BF13" s="380">
        <v>290</v>
      </c>
      <c r="BG13" s="380">
        <v>586</v>
      </c>
      <c r="BH13" s="380">
        <v>595</v>
      </c>
      <c r="BI13" s="380">
        <v>1730</v>
      </c>
      <c r="BJ13" s="380">
        <v>890</v>
      </c>
      <c r="BK13" s="380">
        <v>600</v>
      </c>
      <c r="BL13" s="380">
        <v>1158</v>
      </c>
      <c r="BM13" s="389">
        <v>2125</v>
      </c>
      <c r="BN13" s="381">
        <f>SUM(BB13:BM13)</f>
        <v>8898</v>
      </c>
      <c r="BO13" s="379">
        <v>234</v>
      </c>
      <c r="BP13" s="380">
        <v>25101</v>
      </c>
      <c r="BQ13" s="380">
        <v>4941</v>
      </c>
      <c r="BR13" s="380">
        <v>561</v>
      </c>
      <c r="BS13" s="380">
        <v>14613</v>
      </c>
      <c r="BT13" s="380">
        <v>1354</v>
      </c>
      <c r="BU13" s="380">
        <v>243</v>
      </c>
      <c r="BV13" s="380">
        <v>1081</v>
      </c>
      <c r="BW13" s="380">
        <v>1650</v>
      </c>
      <c r="BX13" s="380">
        <v>4319</v>
      </c>
      <c r="BY13" s="380">
        <v>4827</v>
      </c>
      <c r="BZ13" s="389">
        <v>20303</v>
      </c>
      <c r="CA13" s="381">
        <f>SUM(BO13:BZ13)</f>
        <v>79227</v>
      </c>
      <c r="CB13" s="379">
        <v>10211</v>
      </c>
      <c r="CC13" s="380">
        <v>2879</v>
      </c>
      <c r="CD13" s="380">
        <v>1057</v>
      </c>
      <c r="CE13" s="380">
        <v>10243</v>
      </c>
      <c r="CF13" s="380">
        <v>8826</v>
      </c>
      <c r="CG13" s="380">
        <v>15886</v>
      </c>
      <c r="CH13" s="380">
        <v>485</v>
      </c>
      <c r="CI13" s="380">
        <v>21580</v>
      </c>
      <c r="CJ13" s="380">
        <v>9851</v>
      </c>
      <c r="CK13" s="380">
        <v>15987</v>
      </c>
      <c r="CL13" s="380">
        <v>1852</v>
      </c>
      <c r="CM13" s="389">
        <v>23547</v>
      </c>
      <c r="CN13" s="381">
        <f>SUM(CB13:CM13)</f>
        <v>122404</v>
      </c>
      <c r="CO13" s="379">
        <v>921</v>
      </c>
      <c r="CP13" s="380">
        <v>10317</v>
      </c>
      <c r="CQ13" s="380">
        <v>9734</v>
      </c>
      <c r="CR13" s="380">
        <v>15543</v>
      </c>
      <c r="CS13" s="380">
        <v>2886</v>
      </c>
      <c r="CT13" s="380">
        <v>22180</v>
      </c>
      <c r="CU13" s="380">
        <v>11420</v>
      </c>
      <c r="CV13" s="380">
        <v>12440</v>
      </c>
      <c r="CW13" s="380">
        <v>19704</v>
      </c>
      <c r="CX13" s="380">
        <v>17411</v>
      </c>
      <c r="CY13" s="380">
        <v>11401</v>
      </c>
      <c r="CZ13" s="389">
        <v>47745</v>
      </c>
      <c r="DA13" s="381">
        <f>SUM(CO13:CZ13)</f>
        <v>181702</v>
      </c>
      <c r="DB13" s="379">
        <v>1467</v>
      </c>
      <c r="DC13" s="380">
        <v>16327</v>
      </c>
      <c r="DD13" s="380">
        <v>7003</v>
      </c>
      <c r="DE13" s="380">
        <v>16480</v>
      </c>
      <c r="DF13" s="380">
        <v>9813</v>
      </c>
      <c r="DG13" s="380">
        <v>18019</v>
      </c>
      <c r="DH13" s="380">
        <v>11152</v>
      </c>
      <c r="DI13" s="380">
        <v>23845</v>
      </c>
      <c r="DJ13" s="380">
        <v>7001</v>
      </c>
      <c r="DK13" s="380">
        <v>16828</v>
      </c>
      <c r="DL13" s="380">
        <v>8871</v>
      </c>
      <c r="DM13" s="389">
        <v>13159</v>
      </c>
      <c r="DN13" s="381">
        <f>SUM(DB13:DM13)</f>
        <v>149965</v>
      </c>
      <c r="DO13" s="379">
        <v>590</v>
      </c>
      <c r="DP13" s="380">
        <v>11470</v>
      </c>
      <c r="DQ13" s="380">
        <v>11768</v>
      </c>
      <c r="DR13" s="380">
        <v>21450</v>
      </c>
      <c r="DS13" s="380">
        <v>10391</v>
      </c>
      <c r="DT13" s="380">
        <v>25328</v>
      </c>
      <c r="DU13" s="380">
        <v>7340</v>
      </c>
      <c r="DV13" s="380">
        <v>11355</v>
      </c>
      <c r="DW13" s="380">
        <v>6397</v>
      </c>
      <c r="DX13" s="380">
        <v>17741</v>
      </c>
      <c r="DY13" s="380">
        <v>8275</v>
      </c>
      <c r="DZ13" s="389">
        <v>25497</v>
      </c>
      <c r="EA13" s="381">
        <f>SUM(DO13:DZ13)</f>
        <v>157602</v>
      </c>
      <c r="EB13" s="379">
        <v>15569</v>
      </c>
      <c r="EC13" s="380">
        <v>12058</v>
      </c>
      <c r="ED13" s="380">
        <v>4019</v>
      </c>
      <c r="EE13" s="380">
        <v>21111</v>
      </c>
      <c r="EF13" s="380">
        <v>6853</v>
      </c>
      <c r="EG13" s="380">
        <v>26024</v>
      </c>
      <c r="EH13" s="380">
        <v>7843</v>
      </c>
      <c r="EI13" s="380">
        <v>16703</v>
      </c>
      <c r="EJ13" s="380">
        <v>7664</v>
      </c>
      <c r="EK13" s="380">
        <v>18642</v>
      </c>
      <c r="EL13" s="380">
        <v>8543</v>
      </c>
      <c r="EM13" s="389">
        <v>15888</v>
      </c>
      <c r="EN13" s="381">
        <f>SUM(EB13:EM13)</f>
        <v>160917</v>
      </c>
      <c r="EO13" s="379">
        <v>3200</v>
      </c>
      <c r="EP13" s="380">
        <v>14128</v>
      </c>
      <c r="EQ13" s="380">
        <v>6659</v>
      </c>
      <c r="ER13" s="380">
        <v>26700</v>
      </c>
      <c r="ES13" s="380">
        <v>10078</v>
      </c>
      <c r="ET13" s="380">
        <v>18709</v>
      </c>
      <c r="EU13" s="380">
        <v>19875</v>
      </c>
      <c r="EV13" s="380">
        <v>17719</v>
      </c>
      <c r="EW13" s="380">
        <v>8670</v>
      </c>
      <c r="EX13" s="380">
        <v>19469</v>
      </c>
      <c r="EY13" s="380">
        <v>19816</v>
      </c>
      <c r="EZ13" s="389">
        <v>13251</v>
      </c>
      <c r="FA13" s="381">
        <f>SUM(EO13:EZ13)</f>
        <v>178274</v>
      </c>
      <c r="FB13" s="379">
        <v>3512</v>
      </c>
      <c r="FC13" s="380">
        <v>21822</v>
      </c>
      <c r="FD13" s="380">
        <v>53063</v>
      </c>
      <c r="FE13" s="380">
        <v>79921</v>
      </c>
      <c r="FF13" s="380">
        <v>75709</v>
      </c>
      <c r="FG13" s="380">
        <v>10155</v>
      </c>
      <c r="FH13" s="380">
        <v>12832</v>
      </c>
      <c r="FI13" s="380">
        <v>90682</v>
      </c>
      <c r="FJ13" s="380">
        <v>11703</v>
      </c>
      <c r="FK13" s="380">
        <v>149732</v>
      </c>
      <c r="FL13" s="380">
        <v>71109</v>
      </c>
      <c r="FM13" s="389">
        <v>48681</v>
      </c>
      <c r="FN13" s="381">
        <f>SUM(FB13:FM13)</f>
        <v>628921</v>
      </c>
      <c r="FO13" s="379">
        <v>1166</v>
      </c>
      <c r="FP13" s="380">
        <v>24522</v>
      </c>
      <c r="FQ13" s="380">
        <v>14329</v>
      </c>
      <c r="FR13" s="380">
        <v>42296</v>
      </c>
      <c r="FS13" s="380">
        <v>5723</v>
      </c>
      <c r="FT13" s="380">
        <v>20729</v>
      </c>
      <c r="FU13" s="380">
        <v>12131</v>
      </c>
      <c r="FV13" s="380">
        <v>17600</v>
      </c>
      <c r="FW13" s="380">
        <v>75993</v>
      </c>
      <c r="FX13" s="380">
        <v>54583</v>
      </c>
      <c r="FY13" s="380">
        <v>34548</v>
      </c>
      <c r="FZ13" s="389">
        <v>75669</v>
      </c>
      <c r="GA13" s="381">
        <f>SUM(FO13:FZ13)</f>
        <v>379289</v>
      </c>
      <c r="GB13" s="379">
        <v>11595</v>
      </c>
      <c r="GC13" s="380">
        <v>23490</v>
      </c>
      <c r="GD13" s="380">
        <v>12941</v>
      </c>
      <c r="GE13" s="380">
        <v>35069</v>
      </c>
      <c r="GF13" s="380">
        <v>14880</v>
      </c>
      <c r="GG13" s="380">
        <v>25111</v>
      </c>
      <c r="GH13" s="380">
        <v>13411</v>
      </c>
      <c r="GI13" s="380">
        <v>31259</v>
      </c>
      <c r="GJ13" s="380">
        <v>9566</v>
      </c>
      <c r="GK13" s="380">
        <v>804</v>
      </c>
      <c r="GL13" s="380">
        <v>16366</v>
      </c>
      <c r="GM13" s="389">
        <v>36659</v>
      </c>
      <c r="GN13" s="381">
        <f>SUM(GB13:GM13)</f>
        <v>231151</v>
      </c>
      <c r="GO13" s="379">
        <v>21110</v>
      </c>
      <c r="GP13" s="380">
        <v>21505</v>
      </c>
      <c r="GQ13" s="380">
        <v>16493</v>
      </c>
      <c r="GR13" s="380">
        <v>29061</v>
      </c>
      <c r="GS13" s="380">
        <v>7550</v>
      </c>
      <c r="GT13" s="380">
        <v>33849</v>
      </c>
      <c r="GU13" s="380">
        <v>18496</v>
      </c>
      <c r="GV13" s="380">
        <v>5297</v>
      </c>
      <c r="GW13" s="380">
        <v>11782</v>
      </c>
      <c r="GX13" s="380">
        <v>37378</v>
      </c>
      <c r="GY13" s="380">
        <v>3849</v>
      </c>
      <c r="GZ13" s="389">
        <v>26553</v>
      </c>
      <c r="HA13" s="381">
        <f>SUM(GO13:GZ13)</f>
        <v>232923</v>
      </c>
      <c r="HB13" s="379">
        <v>5861</v>
      </c>
      <c r="HC13" s="380">
        <v>22421</v>
      </c>
      <c r="HD13" s="380">
        <v>7216</v>
      </c>
      <c r="HE13" s="380">
        <v>37315</v>
      </c>
      <c r="HF13" s="380">
        <v>32053</v>
      </c>
      <c r="HG13" s="380">
        <v>25447</v>
      </c>
      <c r="HH13" s="380">
        <v>2100</v>
      </c>
      <c r="HI13" s="380">
        <v>27585</v>
      </c>
      <c r="HJ13" s="380">
        <v>3740</v>
      </c>
      <c r="HK13" s="380">
        <v>28738</v>
      </c>
      <c r="HL13" s="380">
        <v>13097</v>
      </c>
      <c r="HM13" s="389">
        <v>26551</v>
      </c>
      <c r="HN13" s="381">
        <f>SUM(HB13:HM13)</f>
        <v>232124</v>
      </c>
      <c r="HO13" s="379">
        <v>12296</v>
      </c>
      <c r="HP13" s="380">
        <v>21424</v>
      </c>
      <c r="HQ13" s="380">
        <v>23252</v>
      </c>
      <c r="HR13" s="380">
        <v>20146</v>
      </c>
      <c r="HS13" s="380">
        <v>38558</v>
      </c>
      <c r="HT13" s="380">
        <v>28397</v>
      </c>
      <c r="HU13" s="380">
        <v>34945</v>
      </c>
      <c r="HV13" s="380">
        <v>22416</v>
      </c>
      <c r="HW13" s="380">
        <v>17633</v>
      </c>
      <c r="HX13" s="380">
        <v>31553</v>
      </c>
      <c r="HY13" s="380">
        <v>17760</v>
      </c>
      <c r="HZ13" s="389">
        <v>19906</v>
      </c>
      <c r="IA13" s="379">
        <f>SUM(HO13:HZ13)</f>
        <v>288286</v>
      </c>
      <c r="IB13" s="1344">
        <v>18740</v>
      </c>
      <c r="IC13" s="120">
        <v>26199</v>
      </c>
      <c r="ID13" s="120">
        <v>18657</v>
      </c>
      <c r="IE13" s="120">
        <v>31853</v>
      </c>
      <c r="IF13" s="120">
        <v>31456</v>
      </c>
      <c r="IG13" s="120">
        <v>34039</v>
      </c>
      <c r="IH13" s="120">
        <v>31584</v>
      </c>
      <c r="II13" s="120">
        <v>15003</v>
      </c>
      <c r="IM13" s="1345"/>
      <c r="IN13" s="1346">
        <f>SUM(IB13:IM13)</f>
        <v>207531</v>
      </c>
      <c r="IP13" s="371">
        <f t="shared" si="19"/>
        <v>-33.070128479657392</v>
      </c>
      <c r="IQ13" s="348">
        <f>IFERROR(((IS13/IR13)-1)*100,"")</f>
        <v>3.0267978593484735</v>
      </c>
      <c r="IR13" s="320">
        <f t="shared" si="20"/>
        <v>201434</v>
      </c>
      <c r="IS13" s="344">
        <f t="shared" si="21"/>
        <v>207531</v>
      </c>
      <c r="IU13" s="320">
        <f t="shared" si="62"/>
        <v>-7413</v>
      </c>
    </row>
    <row r="14" spans="1:264" s="338" customFormat="1" ht="15" customHeight="1" x14ac:dyDescent="0.2">
      <c r="A14" s="1553" t="s">
        <v>435</v>
      </c>
      <c r="B14" s="376">
        <f t="shared" ref="B14:M14" si="63">SUM(B15:B18)</f>
        <v>1441</v>
      </c>
      <c r="C14" s="377">
        <f t="shared" si="63"/>
        <v>6229</v>
      </c>
      <c r="D14" s="377">
        <f t="shared" si="63"/>
        <v>10515</v>
      </c>
      <c r="E14" s="377">
        <f t="shared" si="63"/>
        <v>52418</v>
      </c>
      <c r="F14" s="377">
        <f t="shared" si="63"/>
        <v>13753</v>
      </c>
      <c r="G14" s="377">
        <f t="shared" si="63"/>
        <v>26151</v>
      </c>
      <c r="H14" s="377">
        <f t="shared" si="63"/>
        <v>9477</v>
      </c>
      <c r="I14" s="377">
        <f t="shared" si="63"/>
        <v>12598</v>
      </c>
      <c r="J14" s="377">
        <f t="shared" si="63"/>
        <v>9535</v>
      </c>
      <c r="K14" s="377">
        <f t="shared" si="63"/>
        <v>55105</v>
      </c>
      <c r="L14" s="377">
        <f t="shared" si="63"/>
        <v>56824</v>
      </c>
      <c r="M14" s="388">
        <f t="shared" si="63"/>
        <v>27128</v>
      </c>
      <c r="N14" s="378">
        <f t="shared" si="23"/>
        <v>281174</v>
      </c>
      <c r="O14" s="376">
        <f t="shared" ref="O14:Z14" si="64">SUM(O15:O18)</f>
        <v>7968</v>
      </c>
      <c r="P14" s="377">
        <f t="shared" si="64"/>
        <v>10620</v>
      </c>
      <c r="Q14" s="377">
        <f t="shared" si="64"/>
        <v>9297</v>
      </c>
      <c r="R14" s="377">
        <f t="shared" si="64"/>
        <v>8112</v>
      </c>
      <c r="S14" s="377">
        <f t="shared" si="64"/>
        <v>23667</v>
      </c>
      <c r="T14" s="377">
        <f t="shared" si="64"/>
        <v>23545</v>
      </c>
      <c r="U14" s="377">
        <f t="shared" si="64"/>
        <v>13395</v>
      </c>
      <c r="V14" s="377">
        <f t="shared" si="64"/>
        <v>20395</v>
      </c>
      <c r="W14" s="377">
        <f t="shared" si="64"/>
        <v>39410</v>
      </c>
      <c r="X14" s="377">
        <f t="shared" si="64"/>
        <v>31327</v>
      </c>
      <c r="Y14" s="377">
        <f t="shared" si="64"/>
        <v>17170</v>
      </c>
      <c r="Z14" s="388">
        <f t="shared" si="64"/>
        <v>39904</v>
      </c>
      <c r="AA14" s="378">
        <f t="shared" si="25"/>
        <v>244810</v>
      </c>
      <c r="AB14" s="376">
        <f t="shared" ref="AB14:AM14" si="65">SUM(AB15:AB18)</f>
        <v>2733</v>
      </c>
      <c r="AC14" s="377">
        <f t="shared" si="65"/>
        <v>19371</v>
      </c>
      <c r="AD14" s="377">
        <f t="shared" si="65"/>
        <v>9025</v>
      </c>
      <c r="AE14" s="377">
        <f t="shared" si="65"/>
        <v>16560</v>
      </c>
      <c r="AF14" s="377">
        <f t="shared" si="65"/>
        <v>13037</v>
      </c>
      <c r="AG14" s="377">
        <f t="shared" si="65"/>
        <v>11307</v>
      </c>
      <c r="AH14" s="377">
        <f t="shared" si="65"/>
        <v>14502</v>
      </c>
      <c r="AI14" s="377">
        <f t="shared" si="65"/>
        <v>11414</v>
      </c>
      <c r="AJ14" s="377">
        <f t="shared" si="65"/>
        <v>23042</v>
      </c>
      <c r="AK14" s="377">
        <f t="shared" si="65"/>
        <v>19705</v>
      </c>
      <c r="AL14" s="377">
        <f t="shared" si="65"/>
        <v>21664</v>
      </c>
      <c r="AM14" s="388">
        <f t="shared" si="65"/>
        <v>16082</v>
      </c>
      <c r="AN14" s="378">
        <f>SUM(AB14:AM14)</f>
        <v>178442</v>
      </c>
      <c r="AO14" s="376">
        <f t="shared" ref="AO14:AZ14" si="66">SUM(AO15:AO18)</f>
        <v>1835</v>
      </c>
      <c r="AP14" s="377">
        <f t="shared" si="66"/>
        <v>10556</v>
      </c>
      <c r="AQ14" s="377">
        <f t="shared" si="66"/>
        <v>9111</v>
      </c>
      <c r="AR14" s="377">
        <f t="shared" si="66"/>
        <v>12474</v>
      </c>
      <c r="AS14" s="377">
        <f t="shared" si="66"/>
        <v>4233</v>
      </c>
      <c r="AT14" s="377">
        <f t="shared" si="66"/>
        <v>15662</v>
      </c>
      <c r="AU14" s="377">
        <f t="shared" si="66"/>
        <v>16648</v>
      </c>
      <c r="AV14" s="377">
        <f t="shared" si="66"/>
        <v>5187</v>
      </c>
      <c r="AW14" s="377">
        <f t="shared" si="66"/>
        <v>7021</v>
      </c>
      <c r="AX14" s="377">
        <f t="shared" si="66"/>
        <v>4844</v>
      </c>
      <c r="AY14" s="377">
        <f t="shared" si="66"/>
        <v>6314</v>
      </c>
      <c r="AZ14" s="388">
        <f t="shared" si="66"/>
        <v>12920</v>
      </c>
      <c r="BA14" s="378">
        <f t="shared" si="29"/>
        <v>106805</v>
      </c>
      <c r="BB14" s="376">
        <f t="shared" ref="BB14:BM14" si="67">SUM(BB15:BB18)</f>
        <v>1533</v>
      </c>
      <c r="BC14" s="377">
        <f t="shared" si="67"/>
        <v>12080</v>
      </c>
      <c r="BD14" s="377">
        <f t="shared" si="67"/>
        <v>5716</v>
      </c>
      <c r="BE14" s="377">
        <f t="shared" si="67"/>
        <v>5036</v>
      </c>
      <c r="BF14" s="377">
        <f t="shared" si="67"/>
        <v>33214</v>
      </c>
      <c r="BG14" s="377">
        <f t="shared" si="67"/>
        <v>5705</v>
      </c>
      <c r="BH14" s="377">
        <f t="shared" si="67"/>
        <v>29942</v>
      </c>
      <c r="BI14" s="377">
        <f t="shared" si="67"/>
        <v>20107</v>
      </c>
      <c r="BJ14" s="377">
        <f t="shared" si="67"/>
        <v>23194</v>
      </c>
      <c r="BK14" s="377">
        <f t="shared" si="67"/>
        <v>32469</v>
      </c>
      <c r="BL14" s="377">
        <f t="shared" si="67"/>
        <v>50573</v>
      </c>
      <c r="BM14" s="388">
        <f t="shared" si="67"/>
        <v>33532</v>
      </c>
      <c r="BN14" s="378">
        <f t="shared" si="31"/>
        <v>253101</v>
      </c>
      <c r="BO14" s="376">
        <f t="shared" ref="BO14:BZ14" si="68">SUM(BO15:BO18)</f>
        <v>7017</v>
      </c>
      <c r="BP14" s="377">
        <f t="shared" si="68"/>
        <v>29840</v>
      </c>
      <c r="BQ14" s="377">
        <f t="shared" si="68"/>
        <v>28656</v>
      </c>
      <c r="BR14" s="377">
        <f t="shared" si="68"/>
        <v>13568</v>
      </c>
      <c r="BS14" s="377">
        <f t="shared" si="68"/>
        <v>12553</v>
      </c>
      <c r="BT14" s="377">
        <f t="shared" si="68"/>
        <v>18232</v>
      </c>
      <c r="BU14" s="377">
        <f t="shared" si="68"/>
        <v>19608</v>
      </c>
      <c r="BV14" s="377">
        <f t="shared" si="68"/>
        <v>15303</v>
      </c>
      <c r="BW14" s="377">
        <f t="shared" si="68"/>
        <v>18562</v>
      </c>
      <c r="BX14" s="377">
        <f t="shared" si="68"/>
        <v>28166</v>
      </c>
      <c r="BY14" s="377">
        <f t="shared" si="68"/>
        <v>20273</v>
      </c>
      <c r="BZ14" s="388">
        <f t="shared" si="68"/>
        <v>24254</v>
      </c>
      <c r="CA14" s="378">
        <f t="shared" si="33"/>
        <v>236032</v>
      </c>
      <c r="CB14" s="376">
        <f t="shared" ref="CB14:CM14" si="69">SUM(CB15:CB18)</f>
        <v>11819</v>
      </c>
      <c r="CC14" s="377">
        <f t="shared" si="69"/>
        <v>37779</v>
      </c>
      <c r="CD14" s="377">
        <f t="shared" si="69"/>
        <v>9283</v>
      </c>
      <c r="CE14" s="377">
        <f t="shared" si="69"/>
        <v>14278</v>
      </c>
      <c r="CF14" s="377">
        <f t="shared" si="69"/>
        <v>18183</v>
      </c>
      <c r="CG14" s="377">
        <f t="shared" si="69"/>
        <v>16417</v>
      </c>
      <c r="CH14" s="377">
        <f t="shared" si="69"/>
        <v>16059</v>
      </c>
      <c r="CI14" s="377">
        <f t="shared" si="69"/>
        <v>12318</v>
      </c>
      <c r="CJ14" s="377">
        <f t="shared" si="69"/>
        <v>13051</v>
      </c>
      <c r="CK14" s="377">
        <f t="shared" si="69"/>
        <v>8939</v>
      </c>
      <c r="CL14" s="377">
        <f t="shared" si="69"/>
        <v>12062</v>
      </c>
      <c r="CM14" s="388">
        <f t="shared" si="69"/>
        <v>36762</v>
      </c>
      <c r="CN14" s="378">
        <f t="shared" si="35"/>
        <v>206950</v>
      </c>
      <c r="CO14" s="376">
        <f t="shared" ref="CO14:CZ14" si="70">SUM(CO15:CO18)</f>
        <v>1575</v>
      </c>
      <c r="CP14" s="377">
        <f t="shared" si="70"/>
        <v>40956</v>
      </c>
      <c r="CQ14" s="377">
        <f t="shared" si="70"/>
        <v>5269</v>
      </c>
      <c r="CR14" s="377">
        <f t="shared" si="70"/>
        <v>6563</v>
      </c>
      <c r="CS14" s="377">
        <f t="shared" si="70"/>
        <v>7741</v>
      </c>
      <c r="CT14" s="377">
        <f t="shared" si="70"/>
        <v>12505</v>
      </c>
      <c r="CU14" s="377">
        <f t="shared" si="70"/>
        <v>15158</v>
      </c>
      <c r="CV14" s="377">
        <f t="shared" si="70"/>
        <v>11700</v>
      </c>
      <c r="CW14" s="377">
        <f t="shared" si="70"/>
        <v>15551</v>
      </c>
      <c r="CX14" s="377">
        <f t="shared" si="70"/>
        <v>11415</v>
      </c>
      <c r="CY14" s="377">
        <f t="shared" si="70"/>
        <v>17517</v>
      </c>
      <c r="CZ14" s="388">
        <f t="shared" si="70"/>
        <v>73020</v>
      </c>
      <c r="DA14" s="378">
        <f t="shared" si="37"/>
        <v>218970</v>
      </c>
      <c r="DB14" s="376">
        <f t="shared" ref="DB14:DM14" si="71">SUM(DB15:DB18)</f>
        <v>5140</v>
      </c>
      <c r="DC14" s="377">
        <f t="shared" si="71"/>
        <v>8788</v>
      </c>
      <c r="DD14" s="377">
        <f t="shared" si="71"/>
        <v>12843</v>
      </c>
      <c r="DE14" s="377">
        <f t="shared" si="71"/>
        <v>9717</v>
      </c>
      <c r="DF14" s="377">
        <f t="shared" si="71"/>
        <v>8764</v>
      </c>
      <c r="DG14" s="377">
        <f t="shared" si="71"/>
        <v>10966</v>
      </c>
      <c r="DH14" s="377">
        <f t="shared" si="71"/>
        <v>11696</v>
      </c>
      <c r="DI14" s="377">
        <f t="shared" si="71"/>
        <v>18734</v>
      </c>
      <c r="DJ14" s="377">
        <f t="shared" si="71"/>
        <v>15446</v>
      </c>
      <c r="DK14" s="377">
        <f t="shared" si="71"/>
        <v>5838</v>
      </c>
      <c r="DL14" s="377">
        <f t="shared" si="71"/>
        <v>9416</v>
      </c>
      <c r="DM14" s="388">
        <f t="shared" si="71"/>
        <v>26919</v>
      </c>
      <c r="DN14" s="378">
        <f t="shared" si="39"/>
        <v>144267</v>
      </c>
      <c r="DO14" s="376">
        <f t="shared" ref="DO14:DZ14" si="72">SUM(DO15:DO18)</f>
        <v>1024</v>
      </c>
      <c r="DP14" s="377">
        <f t="shared" si="72"/>
        <v>23487</v>
      </c>
      <c r="DQ14" s="377">
        <f t="shared" si="72"/>
        <v>17442</v>
      </c>
      <c r="DR14" s="377">
        <f t="shared" si="72"/>
        <v>8649</v>
      </c>
      <c r="DS14" s="377">
        <f t="shared" si="72"/>
        <v>88089</v>
      </c>
      <c r="DT14" s="377">
        <f t="shared" si="72"/>
        <v>56945</v>
      </c>
      <c r="DU14" s="377">
        <f t="shared" si="72"/>
        <v>22256</v>
      </c>
      <c r="DV14" s="377">
        <f t="shared" si="72"/>
        <v>27500</v>
      </c>
      <c r="DW14" s="377">
        <f t="shared" si="72"/>
        <v>28305</v>
      </c>
      <c r="DX14" s="377">
        <f t="shared" si="72"/>
        <v>31421</v>
      </c>
      <c r="DY14" s="377">
        <f t="shared" si="72"/>
        <v>34487</v>
      </c>
      <c r="DZ14" s="388">
        <f t="shared" si="72"/>
        <v>58601</v>
      </c>
      <c r="EA14" s="378">
        <f t="shared" si="41"/>
        <v>398206</v>
      </c>
      <c r="EB14" s="376">
        <f t="shared" ref="EB14:EM14" si="73">SUM(EB15:EB18)</f>
        <v>14768</v>
      </c>
      <c r="EC14" s="377">
        <f t="shared" si="73"/>
        <v>25062</v>
      </c>
      <c r="ED14" s="377">
        <f t="shared" si="73"/>
        <v>27093</v>
      </c>
      <c r="EE14" s="377">
        <f t="shared" si="73"/>
        <v>35665</v>
      </c>
      <c r="EF14" s="377">
        <f t="shared" si="73"/>
        <v>38114</v>
      </c>
      <c r="EG14" s="377">
        <f t="shared" si="73"/>
        <v>27095</v>
      </c>
      <c r="EH14" s="377">
        <f t="shared" si="73"/>
        <v>24225</v>
      </c>
      <c r="EI14" s="377">
        <f t="shared" si="73"/>
        <v>43838</v>
      </c>
      <c r="EJ14" s="377">
        <f t="shared" si="73"/>
        <v>22491</v>
      </c>
      <c r="EK14" s="377">
        <f t="shared" si="73"/>
        <v>26920</v>
      </c>
      <c r="EL14" s="377">
        <f t="shared" si="73"/>
        <v>48732</v>
      </c>
      <c r="EM14" s="388">
        <f t="shared" si="73"/>
        <v>143775</v>
      </c>
      <c r="EN14" s="378">
        <f t="shared" si="43"/>
        <v>477778</v>
      </c>
      <c r="EO14" s="376">
        <f t="shared" ref="EO14:EZ14" si="74">SUM(EO15:EO18)</f>
        <v>15300</v>
      </c>
      <c r="EP14" s="377">
        <f t="shared" si="74"/>
        <v>20634</v>
      </c>
      <c r="EQ14" s="377">
        <f t="shared" si="74"/>
        <v>46773</v>
      </c>
      <c r="ER14" s="377">
        <f t="shared" si="74"/>
        <v>15460</v>
      </c>
      <c r="ES14" s="377">
        <f t="shared" si="74"/>
        <v>28859</v>
      </c>
      <c r="ET14" s="377">
        <f t="shared" si="74"/>
        <v>23332</v>
      </c>
      <c r="EU14" s="377">
        <f t="shared" si="74"/>
        <v>77491</v>
      </c>
      <c r="EV14" s="377">
        <f t="shared" si="74"/>
        <v>32553</v>
      </c>
      <c r="EW14" s="377">
        <f t="shared" si="74"/>
        <v>48500</v>
      </c>
      <c r="EX14" s="377">
        <f t="shared" si="74"/>
        <v>37558</v>
      </c>
      <c r="EY14" s="377">
        <f t="shared" si="74"/>
        <v>42474</v>
      </c>
      <c r="EZ14" s="388">
        <f t="shared" si="74"/>
        <v>69861</v>
      </c>
      <c r="FA14" s="378">
        <f t="shared" si="45"/>
        <v>458795</v>
      </c>
      <c r="FB14" s="376">
        <f t="shared" ref="FB14:FM14" si="75">SUM(FB15:FB18)</f>
        <v>20546</v>
      </c>
      <c r="FC14" s="377">
        <f t="shared" si="75"/>
        <v>20085</v>
      </c>
      <c r="FD14" s="377">
        <f t="shared" si="75"/>
        <v>11362</v>
      </c>
      <c r="FE14" s="377">
        <f t="shared" si="75"/>
        <v>12461</v>
      </c>
      <c r="FF14" s="377">
        <f t="shared" si="75"/>
        <v>1549</v>
      </c>
      <c r="FG14" s="377">
        <f t="shared" si="75"/>
        <v>1658</v>
      </c>
      <c r="FH14" s="377">
        <f t="shared" si="75"/>
        <v>31719</v>
      </c>
      <c r="FI14" s="377">
        <f t="shared" si="75"/>
        <v>13963</v>
      </c>
      <c r="FJ14" s="377">
        <f t="shared" si="75"/>
        <v>23757</v>
      </c>
      <c r="FK14" s="377">
        <f t="shared" si="75"/>
        <v>10731</v>
      </c>
      <c r="FL14" s="377">
        <f t="shared" si="75"/>
        <v>24860</v>
      </c>
      <c r="FM14" s="388">
        <f t="shared" si="75"/>
        <v>59456</v>
      </c>
      <c r="FN14" s="378">
        <f t="shared" si="47"/>
        <v>232147</v>
      </c>
      <c r="FO14" s="376">
        <f t="shared" ref="FO14:GM14" si="76">SUM(FO15:FO18)</f>
        <v>5696</v>
      </c>
      <c r="FP14" s="377">
        <f t="shared" si="76"/>
        <v>7121</v>
      </c>
      <c r="FQ14" s="377">
        <f t="shared" si="76"/>
        <v>27986</v>
      </c>
      <c r="FR14" s="377">
        <f t="shared" si="76"/>
        <v>10100</v>
      </c>
      <c r="FS14" s="377">
        <f t="shared" si="76"/>
        <v>38172</v>
      </c>
      <c r="FT14" s="377">
        <f t="shared" si="76"/>
        <v>15212</v>
      </c>
      <c r="FU14" s="377">
        <f t="shared" si="76"/>
        <v>20144</v>
      </c>
      <c r="FV14" s="377">
        <f t="shared" si="76"/>
        <v>15551</v>
      </c>
      <c r="FW14" s="377">
        <f t="shared" si="76"/>
        <v>16551</v>
      </c>
      <c r="FX14" s="377">
        <f t="shared" si="76"/>
        <v>25015</v>
      </c>
      <c r="FY14" s="377">
        <f t="shared" si="76"/>
        <v>41723</v>
      </c>
      <c r="FZ14" s="388">
        <f t="shared" si="76"/>
        <v>47771</v>
      </c>
      <c r="GA14" s="378">
        <f t="shared" si="49"/>
        <v>271042</v>
      </c>
      <c r="GB14" s="376">
        <f t="shared" si="76"/>
        <v>6999</v>
      </c>
      <c r="GC14" s="377">
        <f t="shared" si="76"/>
        <v>15010</v>
      </c>
      <c r="GD14" s="377">
        <f t="shared" si="76"/>
        <v>12792</v>
      </c>
      <c r="GE14" s="377">
        <f t="shared" si="76"/>
        <v>30657</v>
      </c>
      <c r="GF14" s="377">
        <f t="shared" si="76"/>
        <v>14007</v>
      </c>
      <c r="GG14" s="377">
        <f t="shared" si="76"/>
        <v>26197</v>
      </c>
      <c r="GH14" s="377">
        <f t="shared" si="76"/>
        <v>39278</v>
      </c>
      <c r="GI14" s="377">
        <f t="shared" si="76"/>
        <v>31645</v>
      </c>
      <c r="GJ14" s="377">
        <f t="shared" si="76"/>
        <v>17988</v>
      </c>
      <c r="GK14" s="377">
        <f t="shared" si="76"/>
        <v>16181</v>
      </c>
      <c r="GL14" s="377">
        <f t="shared" si="76"/>
        <v>44854</v>
      </c>
      <c r="GM14" s="388">
        <f t="shared" si="76"/>
        <v>29128</v>
      </c>
      <c r="GN14" s="378">
        <f t="shared" si="50"/>
        <v>284736</v>
      </c>
      <c r="GO14" s="376">
        <f t="shared" ref="GO14:GZ14" si="77">SUM(GO15:GO18)</f>
        <v>12691</v>
      </c>
      <c r="GP14" s="377">
        <f t="shared" si="77"/>
        <v>21349</v>
      </c>
      <c r="GQ14" s="377">
        <f t="shared" si="77"/>
        <v>32180</v>
      </c>
      <c r="GR14" s="377">
        <f t="shared" si="77"/>
        <v>26514</v>
      </c>
      <c r="GS14" s="377">
        <f t="shared" si="77"/>
        <v>21756</v>
      </c>
      <c r="GT14" s="377">
        <f t="shared" si="77"/>
        <v>27483</v>
      </c>
      <c r="GU14" s="377">
        <f t="shared" si="77"/>
        <v>16208</v>
      </c>
      <c r="GV14" s="377">
        <f t="shared" si="77"/>
        <v>20805</v>
      </c>
      <c r="GW14" s="377">
        <f t="shared" si="77"/>
        <v>31393</v>
      </c>
      <c r="GX14" s="377">
        <f t="shared" si="77"/>
        <v>30546</v>
      </c>
      <c r="GY14" s="377">
        <f t="shared" si="77"/>
        <v>52786</v>
      </c>
      <c r="GZ14" s="388">
        <f t="shared" si="77"/>
        <v>32962</v>
      </c>
      <c r="HA14" s="378">
        <f t="shared" si="52"/>
        <v>326673</v>
      </c>
      <c r="HB14" s="376">
        <f t="shared" ref="HB14:HM14" si="78">SUM(HB15:HB18)</f>
        <v>13262</v>
      </c>
      <c r="HC14" s="377">
        <f t="shared" si="78"/>
        <v>18469</v>
      </c>
      <c r="HD14" s="377">
        <f t="shared" si="78"/>
        <v>7536</v>
      </c>
      <c r="HE14" s="377">
        <f t="shared" si="78"/>
        <v>17043</v>
      </c>
      <c r="HF14" s="377">
        <f t="shared" si="78"/>
        <v>57979</v>
      </c>
      <c r="HG14" s="377">
        <f t="shared" si="78"/>
        <v>36287</v>
      </c>
      <c r="HH14" s="377">
        <f t="shared" si="78"/>
        <v>32716</v>
      </c>
      <c r="HI14" s="377">
        <f t="shared" si="78"/>
        <v>28785</v>
      </c>
      <c r="HJ14" s="377">
        <f t="shared" si="78"/>
        <v>39262</v>
      </c>
      <c r="HK14" s="377">
        <f t="shared" si="78"/>
        <v>45355</v>
      </c>
      <c r="HL14" s="377">
        <f t="shared" si="78"/>
        <v>45163</v>
      </c>
      <c r="HM14" s="388">
        <f t="shared" si="78"/>
        <v>57529</v>
      </c>
      <c r="HN14" s="378">
        <f t="shared" si="54"/>
        <v>399386</v>
      </c>
      <c r="HO14" s="376">
        <f t="shared" ref="HO14:HZ14" si="79">SUM(HO15:HO18)</f>
        <v>10769</v>
      </c>
      <c r="HP14" s="377">
        <f t="shared" si="79"/>
        <v>23340</v>
      </c>
      <c r="HQ14" s="377">
        <f t="shared" si="79"/>
        <v>24143</v>
      </c>
      <c r="HR14" s="377">
        <f t="shared" si="79"/>
        <v>85986</v>
      </c>
      <c r="HS14" s="377">
        <f t="shared" si="79"/>
        <v>19584</v>
      </c>
      <c r="HT14" s="377">
        <f t="shared" si="79"/>
        <v>32115</v>
      </c>
      <c r="HU14" s="377">
        <f t="shared" si="79"/>
        <v>22008</v>
      </c>
      <c r="HV14" s="377">
        <f t="shared" si="79"/>
        <v>25471</v>
      </c>
      <c r="HW14" s="377">
        <f t="shared" si="79"/>
        <v>15893</v>
      </c>
      <c r="HX14" s="377">
        <f t="shared" si="79"/>
        <v>45806</v>
      </c>
      <c r="HY14" s="377">
        <f t="shared" si="79"/>
        <v>43522</v>
      </c>
      <c r="HZ14" s="388">
        <f t="shared" si="79"/>
        <v>30112</v>
      </c>
      <c r="IA14" s="376">
        <f t="shared" si="56"/>
        <v>378749</v>
      </c>
      <c r="IB14" s="1328">
        <f>SUM(IB15:IB18)</f>
        <v>23517</v>
      </c>
      <c r="IC14" s="129">
        <f>SUM(IC15:IC18)</f>
        <v>14034</v>
      </c>
      <c r="ID14" s="129">
        <f t="shared" ref="ID14" si="80">SUM(ID15:ID18)</f>
        <v>13133</v>
      </c>
      <c r="IE14" s="129">
        <f>SUM(IE15:IE18)</f>
        <v>23252</v>
      </c>
      <c r="IF14" s="129">
        <f>SUM(IF15:IF18)</f>
        <v>23980</v>
      </c>
      <c r="IG14" s="129">
        <f>SUM(IG15:IG18)</f>
        <v>24517</v>
      </c>
      <c r="IH14" s="129">
        <f>SUM(IH15:IH18)</f>
        <v>43791</v>
      </c>
      <c r="II14" s="129">
        <f>SUM(II15:II18)</f>
        <v>40769</v>
      </c>
      <c r="IJ14" s="129"/>
      <c r="IK14" s="129"/>
      <c r="IL14" s="129"/>
      <c r="IM14" s="1268"/>
      <c r="IN14" s="1343">
        <f t="shared" si="60"/>
        <v>206993</v>
      </c>
      <c r="IO14" s="120"/>
      <c r="IP14" s="370">
        <f t="shared" si="19"/>
        <v>60.060460916336233</v>
      </c>
      <c r="IQ14" s="340">
        <f t="shared" si="61"/>
        <v>-14.963272751174939</v>
      </c>
      <c r="IR14" s="339">
        <f t="shared" si="20"/>
        <v>243416</v>
      </c>
      <c r="IS14" s="341">
        <f t="shared" si="21"/>
        <v>206993</v>
      </c>
      <c r="IU14" s="339">
        <f t="shared" si="62"/>
        <v>15298</v>
      </c>
      <c r="IV14"/>
      <c r="IW14"/>
      <c r="IX14"/>
      <c r="IY14"/>
      <c r="IZ14"/>
      <c r="JA14"/>
      <c r="JB14"/>
      <c r="JC14"/>
      <c r="JD14"/>
    </row>
    <row r="15" spans="1:264" ht="15" customHeight="1" x14ac:dyDescent="0.2">
      <c r="A15" s="1555" t="s">
        <v>622</v>
      </c>
      <c r="B15" s="379">
        <v>0</v>
      </c>
      <c r="C15" s="380">
        <v>0</v>
      </c>
      <c r="D15" s="380">
        <v>0</v>
      </c>
      <c r="E15" s="380">
        <v>0</v>
      </c>
      <c r="F15" s="380">
        <v>0</v>
      </c>
      <c r="G15" s="380">
        <v>0</v>
      </c>
      <c r="H15" s="380">
        <v>0</v>
      </c>
      <c r="I15" s="380">
        <v>0</v>
      </c>
      <c r="J15" s="380">
        <v>0</v>
      </c>
      <c r="K15" s="380">
        <v>0</v>
      </c>
      <c r="L15" s="380">
        <v>0</v>
      </c>
      <c r="M15" s="389">
        <v>0</v>
      </c>
      <c r="N15" s="381">
        <f>SUM(B15:M15)</f>
        <v>0</v>
      </c>
      <c r="O15" s="379">
        <v>1632</v>
      </c>
      <c r="P15" s="380">
        <v>185</v>
      </c>
      <c r="Q15" s="380">
        <v>78</v>
      </c>
      <c r="R15" s="380">
        <v>205</v>
      </c>
      <c r="S15" s="380">
        <v>5590</v>
      </c>
      <c r="T15" s="380">
        <v>71</v>
      </c>
      <c r="U15" s="380">
        <v>610</v>
      </c>
      <c r="V15" s="380">
        <v>4485</v>
      </c>
      <c r="W15" s="380">
        <v>21658</v>
      </c>
      <c r="X15" s="380">
        <v>833</v>
      </c>
      <c r="Y15" s="380">
        <v>767</v>
      </c>
      <c r="Z15" s="389">
        <v>2531</v>
      </c>
      <c r="AA15" s="381">
        <f>SUM(O15:Z15)</f>
        <v>38645</v>
      </c>
      <c r="AB15" s="379">
        <v>708</v>
      </c>
      <c r="AC15" s="380">
        <v>510</v>
      </c>
      <c r="AD15" s="380">
        <v>15</v>
      </c>
      <c r="AE15" s="380">
        <v>56</v>
      </c>
      <c r="AF15" s="380">
        <v>4</v>
      </c>
      <c r="AG15" s="380">
        <v>0</v>
      </c>
      <c r="AH15" s="380">
        <v>98</v>
      </c>
      <c r="AI15" s="380">
        <v>171</v>
      </c>
      <c r="AJ15" s="380">
        <v>1514</v>
      </c>
      <c r="AK15" s="380">
        <v>886</v>
      </c>
      <c r="AL15" s="380">
        <v>285</v>
      </c>
      <c r="AM15" s="389">
        <v>272</v>
      </c>
      <c r="AN15" s="381"/>
      <c r="AO15" s="379">
        <v>0</v>
      </c>
      <c r="AP15" s="380">
        <v>341</v>
      </c>
      <c r="AQ15" s="380">
        <v>40</v>
      </c>
      <c r="AR15" s="380">
        <v>8</v>
      </c>
      <c r="AS15" s="380">
        <v>36</v>
      </c>
      <c r="AT15" s="380">
        <v>0</v>
      </c>
      <c r="AU15" s="380">
        <v>0</v>
      </c>
      <c r="AV15" s="380">
        <v>0</v>
      </c>
      <c r="AW15" s="380">
        <v>15</v>
      </c>
      <c r="AX15" s="380">
        <v>2</v>
      </c>
      <c r="AY15" s="380">
        <v>1586</v>
      </c>
      <c r="AZ15" s="389">
        <v>2010</v>
      </c>
      <c r="BA15" s="381">
        <f>SUM(AO15:AZ15)</f>
        <v>4038</v>
      </c>
      <c r="BB15" s="379">
        <v>0</v>
      </c>
      <c r="BC15" s="380">
        <v>5180</v>
      </c>
      <c r="BD15" s="380">
        <v>860</v>
      </c>
      <c r="BE15" s="380">
        <v>243</v>
      </c>
      <c r="BF15" s="380">
        <v>31</v>
      </c>
      <c r="BG15" s="380">
        <v>644</v>
      </c>
      <c r="BH15" s="380">
        <v>2732</v>
      </c>
      <c r="BI15" s="380">
        <v>2065</v>
      </c>
      <c r="BJ15" s="380">
        <v>301</v>
      </c>
      <c r="BK15" s="380">
        <v>199</v>
      </c>
      <c r="BL15" s="380">
        <v>326</v>
      </c>
      <c r="BM15" s="389">
        <v>5669</v>
      </c>
      <c r="BN15" s="381">
        <f>SUM(BB15:BM15)</f>
        <v>18250</v>
      </c>
      <c r="BO15" s="379">
        <v>0</v>
      </c>
      <c r="BP15" s="380">
        <v>21417</v>
      </c>
      <c r="BQ15" s="380">
        <v>2805</v>
      </c>
      <c r="BR15" s="380">
        <v>734</v>
      </c>
      <c r="BS15" s="380">
        <v>53</v>
      </c>
      <c r="BT15" s="380">
        <v>177</v>
      </c>
      <c r="BU15" s="380">
        <v>1522</v>
      </c>
      <c r="BV15" s="380">
        <v>431</v>
      </c>
      <c r="BW15" s="380">
        <v>401</v>
      </c>
      <c r="BX15" s="380">
        <v>1432</v>
      </c>
      <c r="BY15" s="380">
        <v>866</v>
      </c>
      <c r="BZ15" s="389">
        <v>549</v>
      </c>
      <c r="CA15" s="381">
        <f>SUM(BO15:BZ15)</f>
        <v>30387</v>
      </c>
      <c r="CB15" s="379">
        <v>0</v>
      </c>
      <c r="CC15" s="380">
        <v>15797</v>
      </c>
      <c r="CD15" s="380">
        <v>2324</v>
      </c>
      <c r="CE15" s="380">
        <v>2</v>
      </c>
      <c r="CF15" s="380">
        <v>231</v>
      </c>
      <c r="CG15" s="380">
        <v>1833</v>
      </c>
      <c r="CH15" s="380">
        <v>0</v>
      </c>
      <c r="CI15" s="380">
        <v>424</v>
      </c>
      <c r="CJ15" s="380">
        <v>2691</v>
      </c>
      <c r="CK15" s="380">
        <v>0</v>
      </c>
      <c r="CL15" s="380">
        <v>2226</v>
      </c>
      <c r="CM15" s="389">
        <v>140</v>
      </c>
      <c r="CN15" s="381">
        <f>SUM(CB15:CM15)</f>
        <v>25668</v>
      </c>
      <c r="CO15" s="379">
        <v>104</v>
      </c>
      <c r="CP15" s="380">
        <v>8246</v>
      </c>
      <c r="CQ15" s="380">
        <v>281</v>
      </c>
      <c r="CR15" s="380">
        <v>704</v>
      </c>
      <c r="CS15" s="380">
        <v>1535</v>
      </c>
      <c r="CT15" s="380">
        <v>253</v>
      </c>
      <c r="CU15" s="380">
        <v>364</v>
      </c>
      <c r="CV15" s="380">
        <v>501</v>
      </c>
      <c r="CW15" s="380">
        <v>2317</v>
      </c>
      <c r="CX15" s="380">
        <v>897</v>
      </c>
      <c r="CY15" s="380">
        <v>1254</v>
      </c>
      <c r="CZ15" s="389">
        <v>11935</v>
      </c>
      <c r="DA15" s="381">
        <f>SUM(CO15:CZ15)</f>
        <v>28391</v>
      </c>
      <c r="DB15" s="379">
        <v>0</v>
      </c>
      <c r="DC15" s="380">
        <v>1660</v>
      </c>
      <c r="DD15" s="380">
        <v>2403</v>
      </c>
      <c r="DE15" s="380">
        <v>1290</v>
      </c>
      <c r="DF15" s="380">
        <v>2058</v>
      </c>
      <c r="DG15" s="380">
        <v>2926</v>
      </c>
      <c r="DH15" s="380">
        <v>164</v>
      </c>
      <c r="DI15" s="380">
        <v>5165</v>
      </c>
      <c r="DJ15" s="380">
        <v>4439</v>
      </c>
      <c r="DK15" s="380">
        <v>-3652</v>
      </c>
      <c r="DL15" s="380">
        <v>784</v>
      </c>
      <c r="DM15" s="389">
        <v>4480</v>
      </c>
      <c r="DN15" s="381">
        <f>SUM(DB15:DM15)</f>
        <v>21717</v>
      </c>
      <c r="DO15" s="379">
        <v>163</v>
      </c>
      <c r="DP15" s="380">
        <v>4390</v>
      </c>
      <c r="DQ15" s="380">
        <v>6734</v>
      </c>
      <c r="DR15" s="380">
        <v>0</v>
      </c>
      <c r="DS15" s="380">
        <v>622</v>
      </c>
      <c r="DT15" s="380">
        <v>1000</v>
      </c>
      <c r="DU15" s="380">
        <v>0</v>
      </c>
      <c r="DV15" s="380">
        <v>3858</v>
      </c>
      <c r="DW15" s="380">
        <v>4693</v>
      </c>
      <c r="DX15" s="380">
        <v>1502</v>
      </c>
      <c r="DY15" s="380">
        <v>812</v>
      </c>
      <c r="DZ15" s="389">
        <v>4372</v>
      </c>
      <c r="EA15" s="381">
        <f>SUM(DO15:DZ15)</f>
        <v>28146</v>
      </c>
      <c r="EB15" s="379">
        <v>0</v>
      </c>
      <c r="EC15" s="380">
        <v>0</v>
      </c>
      <c r="ED15" s="380">
        <v>5391</v>
      </c>
      <c r="EE15" s="380">
        <v>6040</v>
      </c>
      <c r="EF15" s="380">
        <v>0</v>
      </c>
      <c r="EG15" s="380">
        <v>2546</v>
      </c>
      <c r="EH15" s="380">
        <v>87</v>
      </c>
      <c r="EI15" s="380">
        <v>0</v>
      </c>
      <c r="EJ15" s="380">
        <v>1139</v>
      </c>
      <c r="EK15" s="380">
        <v>527</v>
      </c>
      <c r="EL15" s="380">
        <v>0</v>
      </c>
      <c r="EM15" s="389">
        <v>650</v>
      </c>
      <c r="EN15" s="381">
        <f>SUM(EB15:EM15)</f>
        <v>16380</v>
      </c>
      <c r="EO15" s="379">
        <v>0</v>
      </c>
      <c r="EP15" s="380">
        <v>0</v>
      </c>
      <c r="EQ15" s="380">
        <v>0</v>
      </c>
      <c r="ER15" s="380">
        <v>5898</v>
      </c>
      <c r="ES15" s="380">
        <v>1797</v>
      </c>
      <c r="ET15" s="380">
        <v>2688</v>
      </c>
      <c r="EU15" s="380">
        <v>209</v>
      </c>
      <c r="EV15" s="380">
        <v>110</v>
      </c>
      <c r="EW15" s="380">
        <v>0</v>
      </c>
      <c r="EX15" s="380">
        <v>0</v>
      </c>
      <c r="EY15" s="380">
        <v>-12</v>
      </c>
      <c r="EZ15" s="389">
        <v>0</v>
      </c>
      <c r="FA15" s="381">
        <f>SUM(EO15:EZ15)</f>
        <v>10690</v>
      </c>
      <c r="FB15" s="379">
        <v>0</v>
      </c>
      <c r="FC15" s="380">
        <v>0</v>
      </c>
      <c r="FD15" s="380">
        <v>0</v>
      </c>
      <c r="FE15" s="380">
        <v>0</v>
      </c>
      <c r="FF15" s="380">
        <v>0</v>
      </c>
      <c r="FG15" s="380">
        <v>0</v>
      </c>
      <c r="FH15" s="380">
        <v>8658</v>
      </c>
      <c r="FI15" s="380">
        <v>0</v>
      </c>
      <c r="FJ15" s="380">
        <v>0</v>
      </c>
      <c r="FK15" s="380">
        <v>369</v>
      </c>
      <c r="FL15" s="380">
        <v>0</v>
      </c>
      <c r="FM15" s="389">
        <v>0</v>
      </c>
      <c r="FN15" s="381">
        <f>SUM(FB15:FM15)</f>
        <v>9027</v>
      </c>
      <c r="FO15" s="379">
        <v>0</v>
      </c>
      <c r="FP15" s="380">
        <v>0</v>
      </c>
      <c r="FQ15" s="380">
        <v>0</v>
      </c>
      <c r="FR15" s="380">
        <v>0</v>
      </c>
      <c r="FS15" s="380">
        <v>0</v>
      </c>
      <c r="FT15" s="380">
        <v>0</v>
      </c>
      <c r="FU15" s="380">
        <v>4040</v>
      </c>
      <c r="FV15" s="380">
        <v>0</v>
      </c>
      <c r="FW15" s="380">
        <v>0</v>
      </c>
      <c r="FX15" s="380">
        <v>0</v>
      </c>
      <c r="FY15" s="380">
        <v>0</v>
      </c>
      <c r="FZ15" s="389">
        <v>1378</v>
      </c>
      <c r="GA15" s="381">
        <f>SUM(FO15:FZ15)</f>
        <v>5418</v>
      </c>
      <c r="GB15" s="379">
        <v>0</v>
      </c>
      <c r="GC15" s="380">
        <v>0</v>
      </c>
      <c r="GD15" s="380">
        <v>0</v>
      </c>
      <c r="GE15" s="380">
        <v>0</v>
      </c>
      <c r="GF15" s="380">
        <v>0</v>
      </c>
      <c r="GG15" s="380">
        <v>0</v>
      </c>
      <c r="GH15" s="380">
        <v>2209</v>
      </c>
      <c r="GI15" s="380">
        <v>0</v>
      </c>
      <c r="GJ15" s="380">
        <v>0</v>
      </c>
      <c r="GK15" s="380">
        <v>0</v>
      </c>
      <c r="GL15" s="380">
        <v>7595</v>
      </c>
      <c r="GM15" s="389">
        <v>348</v>
      </c>
      <c r="GN15" s="381">
        <f>SUM(GB15:GM15)</f>
        <v>10152</v>
      </c>
      <c r="GO15" s="379">
        <v>0</v>
      </c>
      <c r="GP15" s="380">
        <v>0</v>
      </c>
      <c r="GQ15" s="380">
        <v>446</v>
      </c>
      <c r="GR15" s="380">
        <v>548</v>
      </c>
      <c r="GS15" s="380">
        <v>0</v>
      </c>
      <c r="GT15" s="380">
        <v>1329</v>
      </c>
      <c r="GU15" s="380">
        <v>125</v>
      </c>
      <c r="GV15" s="380">
        <v>2919</v>
      </c>
      <c r="GW15" s="380">
        <v>0</v>
      </c>
      <c r="GX15" s="380">
        <v>71</v>
      </c>
      <c r="GY15" s="380">
        <v>8973</v>
      </c>
      <c r="GZ15" s="389">
        <v>163</v>
      </c>
      <c r="HA15" s="381">
        <f>SUM(GO15:GZ15)</f>
        <v>14574</v>
      </c>
      <c r="HB15" s="379">
        <v>0</v>
      </c>
      <c r="HC15" s="380">
        <v>725</v>
      </c>
      <c r="HD15" s="380">
        <v>0</v>
      </c>
      <c r="HE15" s="380">
        <v>0</v>
      </c>
      <c r="HF15" s="380">
        <v>0</v>
      </c>
      <c r="HG15" s="380">
        <v>0</v>
      </c>
      <c r="HH15" s="380">
        <v>1373</v>
      </c>
      <c r="HI15" s="380">
        <v>0</v>
      </c>
      <c r="HJ15" s="380">
        <v>0</v>
      </c>
      <c r="HK15" s="380">
        <v>0</v>
      </c>
      <c r="HL15" s="380">
        <v>8604</v>
      </c>
      <c r="HM15" s="389">
        <v>3028</v>
      </c>
      <c r="HN15" s="381">
        <f>SUM(HB15:HM15)</f>
        <v>13730</v>
      </c>
      <c r="HO15" s="379">
        <v>0</v>
      </c>
      <c r="HP15" s="380">
        <v>0</v>
      </c>
      <c r="HQ15" s="380">
        <v>0</v>
      </c>
      <c r="HR15" s="380">
        <v>0</v>
      </c>
      <c r="HS15" s="380">
        <v>4033</v>
      </c>
      <c r="HT15" s="380">
        <v>0</v>
      </c>
      <c r="HU15" s="380">
        <v>0</v>
      </c>
      <c r="HV15" s="380">
        <v>0</v>
      </c>
      <c r="HW15" s="380">
        <v>0</v>
      </c>
      <c r="HX15" s="380">
        <v>10326</v>
      </c>
      <c r="HY15" s="380">
        <v>1144</v>
      </c>
      <c r="HZ15" s="389">
        <v>7673</v>
      </c>
      <c r="IA15" s="379">
        <f>SUM(HO15:HZ15)</f>
        <v>23176</v>
      </c>
      <c r="IB15" s="1344">
        <v>0</v>
      </c>
      <c r="IC15" s="120">
        <v>0</v>
      </c>
      <c r="ID15" s="120">
        <v>0</v>
      </c>
      <c r="IE15" s="120">
        <v>3338</v>
      </c>
      <c r="IF15" s="120">
        <v>0</v>
      </c>
      <c r="IG15" s="120">
        <v>0</v>
      </c>
      <c r="IH15" s="120">
        <v>2593</v>
      </c>
      <c r="II15" s="120">
        <v>42</v>
      </c>
      <c r="IM15" s="1345"/>
      <c r="IN15" s="1346">
        <f>SUM(IB15:IM15)</f>
        <v>5973</v>
      </c>
      <c r="IP15" s="371" t="str">
        <f t="shared" si="19"/>
        <v/>
      </c>
      <c r="IQ15" s="348">
        <f>IFERROR(((IS15/IR15)-1)*100,"")</f>
        <v>48.103149020580219</v>
      </c>
      <c r="IR15" s="320">
        <f t="shared" si="20"/>
        <v>4033</v>
      </c>
      <c r="IS15" s="344">
        <f t="shared" si="21"/>
        <v>5973</v>
      </c>
      <c r="IU15" s="320">
        <f t="shared" si="62"/>
        <v>42</v>
      </c>
    </row>
    <row r="16" spans="1:264" ht="15" customHeight="1" x14ac:dyDescent="0.2">
      <c r="A16" s="1554" t="s">
        <v>620</v>
      </c>
      <c r="B16" s="379">
        <v>1336</v>
      </c>
      <c r="C16" s="380">
        <v>4269</v>
      </c>
      <c r="D16" s="380">
        <v>10215</v>
      </c>
      <c r="E16" s="380">
        <v>46017</v>
      </c>
      <c r="F16" s="380">
        <v>13088</v>
      </c>
      <c r="G16" s="380">
        <v>25116</v>
      </c>
      <c r="H16" s="380">
        <v>8980</v>
      </c>
      <c r="I16" s="380">
        <v>4682</v>
      </c>
      <c r="J16" s="380">
        <v>7902</v>
      </c>
      <c r="K16" s="380">
        <v>53585</v>
      </c>
      <c r="L16" s="380">
        <v>56245</v>
      </c>
      <c r="M16" s="389">
        <v>21353</v>
      </c>
      <c r="N16" s="381">
        <f>SUM(B16:M16)</f>
        <v>252788</v>
      </c>
      <c r="O16" s="379">
        <v>6336</v>
      </c>
      <c r="P16" s="380">
        <v>10414</v>
      </c>
      <c r="Q16" s="380">
        <v>9219</v>
      </c>
      <c r="R16" s="380">
        <v>7907</v>
      </c>
      <c r="S16" s="380">
        <v>18077</v>
      </c>
      <c r="T16" s="380">
        <v>23474</v>
      </c>
      <c r="U16" s="380">
        <v>12783</v>
      </c>
      <c r="V16" s="380">
        <v>15754</v>
      </c>
      <c r="W16" s="380">
        <v>16269</v>
      </c>
      <c r="X16" s="380">
        <v>23351</v>
      </c>
      <c r="Y16" s="380">
        <v>16403</v>
      </c>
      <c r="Z16" s="389">
        <v>35946</v>
      </c>
      <c r="AA16" s="381">
        <f>SUM(O16:Z16)</f>
        <v>195933</v>
      </c>
      <c r="AB16" s="379">
        <v>2025</v>
      </c>
      <c r="AC16" s="380">
        <v>18593</v>
      </c>
      <c r="AD16" s="380">
        <v>8766</v>
      </c>
      <c r="AE16" s="380">
        <v>16239</v>
      </c>
      <c r="AF16" s="380">
        <v>12949</v>
      </c>
      <c r="AG16" s="380">
        <v>11078</v>
      </c>
      <c r="AH16" s="380">
        <v>13912</v>
      </c>
      <c r="AI16" s="380">
        <v>9064</v>
      </c>
      <c r="AJ16" s="380">
        <v>20133</v>
      </c>
      <c r="AK16" s="380">
        <v>15526</v>
      </c>
      <c r="AL16" s="380">
        <v>20695</v>
      </c>
      <c r="AM16" s="389">
        <v>10460</v>
      </c>
      <c r="AN16" s="381">
        <f t="shared" ref="AN16:AN21" si="81">SUM(AB16:AM16)</f>
        <v>159440</v>
      </c>
      <c r="AO16" s="379">
        <v>1835</v>
      </c>
      <c r="AP16" s="380">
        <v>5099</v>
      </c>
      <c r="AQ16" s="380">
        <v>8745</v>
      </c>
      <c r="AR16" s="380">
        <v>12466</v>
      </c>
      <c r="AS16" s="380">
        <v>4185</v>
      </c>
      <c r="AT16" s="380">
        <v>14026</v>
      </c>
      <c r="AU16" s="380">
        <v>16197</v>
      </c>
      <c r="AV16" s="380">
        <v>4967</v>
      </c>
      <c r="AW16" s="380">
        <v>7004</v>
      </c>
      <c r="AX16" s="380">
        <v>4841</v>
      </c>
      <c r="AY16" s="380">
        <v>4707</v>
      </c>
      <c r="AZ16" s="389">
        <v>10697</v>
      </c>
      <c r="BA16" s="381">
        <f>SUM(AO16:AZ16)</f>
        <v>94769</v>
      </c>
      <c r="BB16" s="379">
        <v>1533</v>
      </c>
      <c r="BC16" s="380">
        <v>6802</v>
      </c>
      <c r="BD16" s="380">
        <v>4799</v>
      </c>
      <c r="BE16" s="380">
        <v>4466</v>
      </c>
      <c r="BF16" s="380">
        <v>32628</v>
      </c>
      <c r="BG16" s="380">
        <v>5050</v>
      </c>
      <c r="BH16" s="380">
        <v>25652</v>
      </c>
      <c r="BI16" s="380">
        <v>14826</v>
      </c>
      <c r="BJ16" s="380">
        <v>16348</v>
      </c>
      <c r="BK16" s="380">
        <v>29158</v>
      </c>
      <c r="BL16" s="380">
        <v>50071</v>
      </c>
      <c r="BM16" s="389">
        <v>27368</v>
      </c>
      <c r="BN16" s="381">
        <f>SUM(BB16:BM16)</f>
        <v>218701</v>
      </c>
      <c r="BO16" s="379">
        <v>7017</v>
      </c>
      <c r="BP16" s="380">
        <v>8423</v>
      </c>
      <c r="BQ16" s="380">
        <v>25851</v>
      </c>
      <c r="BR16" s="380">
        <v>12834</v>
      </c>
      <c r="BS16" s="380">
        <v>12500</v>
      </c>
      <c r="BT16" s="380">
        <v>17688</v>
      </c>
      <c r="BU16" s="380">
        <v>17995</v>
      </c>
      <c r="BV16" s="380">
        <v>14872</v>
      </c>
      <c r="BW16" s="380">
        <v>18114</v>
      </c>
      <c r="BX16" s="380">
        <v>17208</v>
      </c>
      <c r="BY16" s="380">
        <v>19388</v>
      </c>
      <c r="BZ16" s="389">
        <v>23549</v>
      </c>
      <c r="CA16" s="381">
        <f>SUM(BO16:BZ16)</f>
        <v>195439</v>
      </c>
      <c r="CB16" s="379">
        <v>11819</v>
      </c>
      <c r="CC16" s="380">
        <v>21982</v>
      </c>
      <c r="CD16" s="380">
        <v>6959</v>
      </c>
      <c r="CE16" s="380">
        <v>14276</v>
      </c>
      <c r="CF16" s="380">
        <v>17919</v>
      </c>
      <c r="CG16" s="380">
        <v>14471</v>
      </c>
      <c r="CH16" s="380">
        <v>16059</v>
      </c>
      <c r="CI16" s="380">
        <v>11633</v>
      </c>
      <c r="CJ16" s="380">
        <v>10136</v>
      </c>
      <c r="CK16" s="380">
        <v>8306</v>
      </c>
      <c r="CL16" s="380">
        <v>9744</v>
      </c>
      <c r="CM16" s="389">
        <v>33097</v>
      </c>
      <c r="CN16" s="381">
        <f>SUM(CB16:CM16)</f>
        <v>176401</v>
      </c>
      <c r="CO16" s="379">
        <v>1471</v>
      </c>
      <c r="CP16" s="380">
        <v>32682</v>
      </c>
      <c r="CQ16" s="380">
        <v>3283</v>
      </c>
      <c r="CR16" s="380">
        <v>5662</v>
      </c>
      <c r="CS16" s="380">
        <v>6126</v>
      </c>
      <c r="CT16" s="380">
        <v>12141</v>
      </c>
      <c r="CU16" s="380">
        <v>12634</v>
      </c>
      <c r="CV16" s="380">
        <v>10963</v>
      </c>
      <c r="CW16" s="380">
        <v>13185</v>
      </c>
      <c r="CX16" s="380">
        <v>10434</v>
      </c>
      <c r="CY16" s="380">
        <v>16233</v>
      </c>
      <c r="CZ16" s="389">
        <v>34796</v>
      </c>
      <c r="DA16" s="381">
        <f>SUM(CO16:CZ16)</f>
        <v>159610</v>
      </c>
      <c r="DB16" s="379">
        <v>597</v>
      </c>
      <c r="DC16" s="380">
        <v>3463</v>
      </c>
      <c r="DD16" s="380">
        <v>10374</v>
      </c>
      <c r="DE16" s="380">
        <v>6459</v>
      </c>
      <c r="DF16" s="380">
        <v>6640</v>
      </c>
      <c r="DG16" s="380">
        <v>6119</v>
      </c>
      <c r="DH16" s="380">
        <v>10568</v>
      </c>
      <c r="DI16" s="380">
        <v>13474</v>
      </c>
      <c r="DJ16" s="380">
        <v>9367</v>
      </c>
      <c r="DK16" s="380">
        <v>7879</v>
      </c>
      <c r="DL16" s="380">
        <v>7735</v>
      </c>
      <c r="DM16" s="389">
        <v>18995</v>
      </c>
      <c r="DN16" s="381">
        <f>SUM(DB16:DM16)</f>
        <v>101670</v>
      </c>
      <c r="DO16" s="379">
        <v>826</v>
      </c>
      <c r="DP16" s="380">
        <v>5861</v>
      </c>
      <c r="DQ16" s="380">
        <v>8460</v>
      </c>
      <c r="DR16" s="380">
        <v>5379</v>
      </c>
      <c r="DS16" s="380">
        <v>86736</v>
      </c>
      <c r="DT16" s="380">
        <v>54709</v>
      </c>
      <c r="DU16" s="380">
        <v>21042</v>
      </c>
      <c r="DV16" s="380">
        <v>22781</v>
      </c>
      <c r="DW16" s="380">
        <v>22728</v>
      </c>
      <c r="DX16" s="380">
        <v>29817</v>
      </c>
      <c r="DY16" s="380">
        <v>33215</v>
      </c>
      <c r="DZ16" s="389">
        <v>49135</v>
      </c>
      <c r="EA16" s="381">
        <f>SUM(DO16:DZ16)</f>
        <v>340689</v>
      </c>
      <c r="EB16" s="379">
        <v>14768</v>
      </c>
      <c r="EC16" s="380">
        <v>25042</v>
      </c>
      <c r="ED16" s="380">
        <v>21632</v>
      </c>
      <c r="EE16" s="380">
        <v>29419</v>
      </c>
      <c r="EF16" s="380">
        <v>38006</v>
      </c>
      <c r="EG16" s="380">
        <v>24594</v>
      </c>
      <c r="EH16" s="380">
        <v>24138</v>
      </c>
      <c r="EI16" s="380">
        <v>43164</v>
      </c>
      <c r="EJ16" s="380">
        <v>21332</v>
      </c>
      <c r="EK16" s="380">
        <v>26305</v>
      </c>
      <c r="EL16" s="380">
        <v>48193</v>
      </c>
      <c r="EM16" s="389">
        <v>63031</v>
      </c>
      <c r="EN16" s="381">
        <f>SUM(EB16:EM16)</f>
        <v>379624</v>
      </c>
      <c r="EO16" s="379">
        <v>15300</v>
      </c>
      <c r="EP16" s="380">
        <v>15955</v>
      </c>
      <c r="EQ16" s="380">
        <v>34169</v>
      </c>
      <c r="ER16" s="380">
        <v>5998</v>
      </c>
      <c r="ES16" s="380">
        <v>18546</v>
      </c>
      <c r="ET16" s="380">
        <v>20557</v>
      </c>
      <c r="EU16" s="380">
        <v>74437</v>
      </c>
      <c r="EV16" s="380">
        <v>32353</v>
      </c>
      <c r="EW16" s="380">
        <v>48415</v>
      </c>
      <c r="EX16" s="380">
        <v>37446</v>
      </c>
      <c r="EY16" s="380">
        <v>42317</v>
      </c>
      <c r="EZ16" s="389">
        <v>55298</v>
      </c>
      <c r="FA16" s="381">
        <f>SUM(EO16:EZ16)</f>
        <v>400791</v>
      </c>
      <c r="FB16" s="379">
        <v>20546</v>
      </c>
      <c r="FC16" s="380">
        <v>20008</v>
      </c>
      <c r="FD16" s="380">
        <v>11347</v>
      </c>
      <c r="FE16" s="380">
        <v>12352</v>
      </c>
      <c r="FF16" s="380">
        <v>1521</v>
      </c>
      <c r="FG16" s="380">
        <v>1474</v>
      </c>
      <c r="FH16" s="380">
        <v>23019</v>
      </c>
      <c r="FI16" s="380">
        <v>13450</v>
      </c>
      <c r="FJ16" s="380">
        <v>22794</v>
      </c>
      <c r="FK16" s="380">
        <v>9360</v>
      </c>
      <c r="FL16" s="380">
        <v>24599</v>
      </c>
      <c r="FM16" s="389">
        <v>46808</v>
      </c>
      <c r="FN16" s="381">
        <f>SUM(FB16:FM16)</f>
        <v>207278</v>
      </c>
      <c r="FO16" s="379">
        <v>5696</v>
      </c>
      <c r="FP16" s="380">
        <v>7121</v>
      </c>
      <c r="FQ16" s="380">
        <v>27986</v>
      </c>
      <c r="FR16" s="380">
        <v>10100</v>
      </c>
      <c r="FS16" s="380">
        <v>30878</v>
      </c>
      <c r="FT16" s="380">
        <v>14251</v>
      </c>
      <c r="FU16" s="380">
        <v>15717</v>
      </c>
      <c r="FV16" s="380">
        <v>15469</v>
      </c>
      <c r="FW16" s="380">
        <v>16534</v>
      </c>
      <c r="FX16" s="380">
        <v>24925</v>
      </c>
      <c r="FY16" s="380">
        <v>32757</v>
      </c>
      <c r="FZ16" s="389">
        <v>46270</v>
      </c>
      <c r="GA16" s="381">
        <f>SUM(FO16:FZ16)</f>
        <v>247704</v>
      </c>
      <c r="GB16" s="379">
        <v>6980</v>
      </c>
      <c r="GC16" s="380">
        <v>14865</v>
      </c>
      <c r="GD16" s="380">
        <v>12641</v>
      </c>
      <c r="GE16" s="380">
        <v>30610</v>
      </c>
      <c r="GF16" s="380">
        <v>13973</v>
      </c>
      <c r="GG16" s="380">
        <v>25979</v>
      </c>
      <c r="GH16" s="380">
        <v>37023</v>
      </c>
      <c r="GI16" s="380">
        <v>31566</v>
      </c>
      <c r="GJ16" s="380">
        <v>17828</v>
      </c>
      <c r="GK16" s="380">
        <v>16085</v>
      </c>
      <c r="GL16" s="380">
        <v>37132</v>
      </c>
      <c r="GM16" s="389">
        <v>28681</v>
      </c>
      <c r="GN16" s="381">
        <f>SUM(GB16:GM16)</f>
        <v>273363</v>
      </c>
      <c r="GO16" s="379">
        <v>12572</v>
      </c>
      <c r="GP16" s="380">
        <v>21218</v>
      </c>
      <c r="GQ16" s="380">
        <v>31502</v>
      </c>
      <c r="GR16" s="380">
        <v>25956</v>
      </c>
      <c r="GS16" s="380">
        <v>21435</v>
      </c>
      <c r="GT16" s="380">
        <v>26086</v>
      </c>
      <c r="GU16" s="380">
        <v>16018</v>
      </c>
      <c r="GV16" s="380">
        <v>17792</v>
      </c>
      <c r="GW16" s="380">
        <v>31226</v>
      </c>
      <c r="GX16" s="380">
        <v>30475</v>
      </c>
      <c r="GY16" s="380">
        <v>43582</v>
      </c>
      <c r="GZ16" s="389">
        <v>32783</v>
      </c>
      <c r="HA16" s="381">
        <f>SUM(GO16:GZ16)</f>
        <v>310645</v>
      </c>
      <c r="HB16" s="379">
        <v>13245</v>
      </c>
      <c r="HC16" s="380">
        <v>17625</v>
      </c>
      <c r="HD16" s="380">
        <v>7251</v>
      </c>
      <c r="HE16" s="380">
        <v>16761</v>
      </c>
      <c r="HF16" s="380">
        <v>57786</v>
      </c>
      <c r="HG16" s="380">
        <v>36158</v>
      </c>
      <c r="HH16" s="380">
        <v>31132</v>
      </c>
      <c r="HI16" s="380">
        <v>28600</v>
      </c>
      <c r="HJ16" s="380">
        <v>36863</v>
      </c>
      <c r="HK16" s="380">
        <v>45330</v>
      </c>
      <c r="HL16" s="380">
        <v>33080</v>
      </c>
      <c r="HM16" s="389">
        <v>50014</v>
      </c>
      <c r="HN16" s="381">
        <f>SUM(HB16:HM16)</f>
        <v>373845</v>
      </c>
      <c r="HO16" s="379">
        <v>10769</v>
      </c>
      <c r="HP16" s="380">
        <v>23183</v>
      </c>
      <c r="HQ16" s="380">
        <v>24048</v>
      </c>
      <c r="HR16" s="380">
        <v>85789</v>
      </c>
      <c r="HS16" s="380">
        <v>15307</v>
      </c>
      <c r="HT16" s="380">
        <v>32063</v>
      </c>
      <c r="HU16" s="380">
        <v>21315</v>
      </c>
      <c r="HV16" s="380">
        <v>25317</v>
      </c>
      <c r="HW16" s="380">
        <v>15584</v>
      </c>
      <c r="HX16" s="380">
        <v>35230</v>
      </c>
      <c r="HY16" s="380">
        <v>42176</v>
      </c>
      <c r="HZ16" s="389">
        <v>22210</v>
      </c>
      <c r="IA16" s="379">
        <f>SUM(HO16:HZ16)</f>
        <v>352991</v>
      </c>
      <c r="IB16" s="1344">
        <v>23517</v>
      </c>
      <c r="IC16" s="120">
        <v>13961</v>
      </c>
      <c r="ID16" s="120">
        <v>12957</v>
      </c>
      <c r="IE16" s="120">
        <v>19051</v>
      </c>
      <c r="IF16" s="120">
        <v>22819</v>
      </c>
      <c r="IG16" s="120">
        <v>24256</v>
      </c>
      <c r="IH16" s="120">
        <v>41127</v>
      </c>
      <c r="II16" s="120">
        <v>40576</v>
      </c>
      <c r="IM16" s="1345"/>
      <c r="IN16" s="1346">
        <f>SUM(IB16:IM16)</f>
        <v>198264</v>
      </c>
      <c r="IP16" s="371">
        <f t="shared" si="19"/>
        <v>60.271754157285628</v>
      </c>
      <c r="IQ16" s="348">
        <f>IFERROR(((IS16/IR16)-1)*100,"")</f>
        <v>-16.622580333149696</v>
      </c>
      <c r="IR16" s="320">
        <f t="shared" si="20"/>
        <v>237791</v>
      </c>
      <c r="IS16" s="344">
        <f t="shared" si="21"/>
        <v>198264</v>
      </c>
      <c r="IU16" s="320">
        <f t="shared" si="62"/>
        <v>15259</v>
      </c>
    </row>
    <row r="17" spans="1:264" ht="15" customHeight="1" x14ac:dyDescent="0.2">
      <c r="A17" s="1554" t="s">
        <v>437</v>
      </c>
      <c r="B17" s="379">
        <v>0</v>
      </c>
      <c r="C17" s="380">
        <v>0</v>
      </c>
      <c r="D17" s="380">
        <v>0</v>
      </c>
      <c r="E17" s="380">
        <v>0</v>
      </c>
      <c r="F17" s="380">
        <v>0</v>
      </c>
      <c r="G17" s="380">
        <v>0</v>
      </c>
      <c r="H17" s="380">
        <v>0</v>
      </c>
      <c r="I17" s="380">
        <v>0</v>
      </c>
      <c r="J17" s="380">
        <v>0</v>
      </c>
      <c r="K17" s="380">
        <v>0</v>
      </c>
      <c r="L17" s="380">
        <v>0</v>
      </c>
      <c r="M17" s="389">
        <v>0</v>
      </c>
      <c r="N17" s="381">
        <f>SUM(B17:M17)</f>
        <v>0</v>
      </c>
      <c r="O17" s="379">
        <v>0</v>
      </c>
      <c r="P17" s="380">
        <v>0</v>
      </c>
      <c r="Q17" s="380">
        <v>0</v>
      </c>
      <c r="R17" s="380">
        <v>0</v>
      </c>
      <c r="S17" s="380">
        <v>0</v>
      </c>
      <c r="T17" s="380">
        <v>0</v>
      </c>
      <c r="U17" s="380">
        <v>0</v>
      </c>
      <c r="V17" s="380">
        <v>0</v>
      </c>
      <c r="W17" s="380">
        <v>0</v>
      </c>
      <c r="X17" s="380">
        <v>0</v>
      </c>
      <c r="Y17" s="380">
        <v>0</v>
      </c>
      <c r="Z17" s="389">
        <v>0</v>
      </c>
      <c r="AA17" s="381">
        <f>SUM(O17:Z17)</f>
        <v>0</v>
      </c>
      <c r="AB17" s="379">
        <v>0</v>
      </c>
      <c r="AC17" s="380">
        <v>0</v>
      </c>
      <c r="AD17" s="380">
        <v>0</v>
      </c>
      <c r="AE17" s="380">
        <v>0</v>
      </c>
      <c r="AF17" s="380">
        <v>0</v>
      </c>
      <c r="AG17" s="380">
        <v>0</v>
      </c>
      <c r="AH17" s="380">
        <v>0</v>
      </c>
      <c r="AI17" s="380">
        <v>0</v>
      </c>
      <c r="AJ17" s="380">
        <v>0</v>
      </c>
      <c r="AK17" s="380">
        <v>0</v>
      </c>
      <c r="AL17" s="380">
        <v>0</v>
      </c>
      <c r="AM17" s="389">
        <v>0</v>
      </c>
      <c r="AN17" s="381">
        <f t="shared" si="81"/>
        <v>0</v>
      </c>
      <c r="AO17" s="379">
        <v>0</v>
      </c>
      <c r="AP17" s="380">
        <v>0</v>
      </c>
      <c r="AQ17" s="380">
        <v>0</v>
      </c>
      <c r="AR17" s="380">
        <v>0</v>
      </c>
      <c r="AS17" s="380">
        <v>0</v>
      </c>
      <c r="AT17" s="380">
        <v>0</v>
      </c>
      <c r="AU17" s="380">
        <v>0</v>
      </c>
      <c r="AV17" s="380">
        <v>0</v>
      </c>
      <c r="AW17" s="380">
        <v>0</v>
      </c>
      <c r="AX17" s="380">
        <v>0</v>
      </c>
      <c r="AY17" s="380">
        <v>0</v>
      </c>
      <c r="AZ17" s="389">
        <v>0</v>
      </c>
      <c r="BA17" s="381">
        <f>SUM(AO17:AZ17)</f>
        <v>0</v>
      </c>
      <c r="BB17" s="379">
        <v>0</v>
      </c>
      <c r="BC17" s="380">
        <v>0</v>
      </c>
      <c r="BD17" s="380">
        <v>0</v>
      </c>
      <c r="BE17" s="380">
        <v>0</v>
      </c>
      <c r="BF17" s="380">
        <v>0</v>
      </c>
      <c r="BG17" s="380">
        <v>0</v>
      </c>
      <c r="BH17" s="380">
        <v>0</v>
      </c>
      <c r="BI17" s="380">
        <v>0</v>
      </c>
      <c r="BJ17" s="380">
        <v>5110</v>
      </c>
      <c r="BK17" s="380">
        <v>0</v>
      </c>
      <c r="BL17" s="380">
        <v>0</v>
      </c>
      <c r="BM17" s="389">
        <v>0</v>
      </c>
      <c r="BN17" s="381">
        <f>SUM(BB17:BM17)</f>
        <v>5110</v>
      </c>
      <c r="BO17" s="379">
        <v>0</v>
      </c>
      <c r="BP17" s="380">
        <v>0</v>
      </c>
      <c r="BQ17" s="380">
        <v>0</v>
      </c>
      <c r="BR17" s="380">
        <v>0</v>
      </c>
      <c r="BS17" s="380">
        <v>0</v>
      </c>
      <c r="BT17" s="380">
        <v>0</v>
      </c>
      <c r="BU17" s="380">
        <v>0</v>
      </c>
      <c r="BV17" s="380">
        <v>0</v>
      </c>
      <c r="BW17" s="380">
        <v>47</v>
      </c>
      <c r="BX17" s="380">
        <v>0</v>
      </c>
      <c r="BY17" s="380">
        <v>19</v>
      </c>
      <c r="BZ17" s="389">
        <v>70</v>
      </c>
      <c r="CA17" s="381">
        <f>SUM(BO17:BZ17)</f>
        <v>136</v>
      </c>
      <c r="CB17" s="379">
        <v>0</v>
      </c>
      <c r="CC17" s="380">
        <v>0</v>
      </c>
      <c r="CD17" s="380">
        <v>0</v>
      </c>
      <c r="CE17" s="380">
        <v>0</v>
      </c>
      <c r="CF17" s="380">
        <v>0</v>
      </c>
      <c r="CG17" s="380">
        <v>0</v>
      </c>
      <c r="CH17" s="380">
        <v>0</v>
      </c>
      <c r="CI17" s="380">
        <v>69</v>
      </c>
      <c r="CJ17" s="380">
        <v>0</v>
      </c>
      <c r="CK17" s="380">
        <v>43</v>
      </c>
      <c r="CL17" s="380">
        <v>92</v>
      </c>
      <c r="CM17" s="389">
        <v>40</v>
      </c>
      <c r="CN17" s="381">
        <f>SUM(CB17:CM17)</f>
        <v>244</v>
      </c>
      <c r="CO17" s="379">
        <v>0</v>
      </c>
      <c r="CP17" s="380">
        <v>28</v>
      </c>
      <c r="CQ17" s="380">
        <v>0</v>
      </c>
      <c r="CR17" s="380">
        <v>60</v>
      </c>
      <c r="CS17" s="380">
        <v>80</v>
      </c>
      <c r="CT17" s="380">
        <v>77</v>
      </c>
      <c r="CU17" s="380">
        <v>76</v>
      </c>
      <c r="CV17" s="380">
        <v>15</v>
      </c>
      <c r="CW17" s="380">
        <v>49</v>
      </c>
      <c r="CX17" s="380">
        <v>50</v>
      </c>
      <c r="CY17" s="380">
        <v>14</v>
      </c>
      <c r="CZ17" s="389">
        <v>104</v>
      </c>
      <c r="DA17" s="381">
        <f>SUM(CO17:CZ17)</f>
        <v>553</v>
      </c>
      <c r="DB17" s="379">
        <v>0</v>
      </c>
      <c r="DC17" s="380">
        <v>0</v>
      </c>
      <c r="DD17" s="380">
        <v>0</v>
      </c>
      <c r="DE17" s="380">
        <v>111</v>
      </c>
      <c r="DF17" s="380">
        <v>66</v>
      </c>
      <c r="DG17" s="380">
        <v>15</v>
      </c>
      <c r="DH17" s="380">
        <v>79</v>
      </c>
      <c r="DI17" s="380">
        <v>95</v>
      </c>
      <c r="DJ17" s="380">
        <v>216</v>
      </c>
      <c r="DK17" s="380">
        <v>0</v>
      </c>
      <c r="DL17" s="380">
        <v>133</v>
      </c>
      <c r="DM17" s="389">
        <v>40</v>
      </c>
      <c r="DN17" s="381">
        <f>SUM(DB17:DM17)</f>
        <v>755</v>
      </c>
      <c r="DO17" s="379">
        <v>0</v>
      </c>
      <c r="DP17" s="380">
        <v>248</v>
      </c>
      <c r="DQ17" s="380">
        <v>152</v>
      </c>
      <c r="DR17" s="380">
        <v>180</v>
      </c>
      <c r="DS17" s="380">
        <v>125</v>
      </c>
      <c r="DT17" s="380">
        <v>53</v>
      </c>
      <c r="DU17" s="380">
        <v>60</v>
      </c>
      <c r="DV17" s="380">
        <v>130</v>
      </c>
      <c r="DW17" s="380">
        <v>202</v>
      </c>
      <c r="DX17" s="380">
        <v>102</v>
      </c>
      <c r="DY17" s="380">
        <v>140</v>
      </c>
      <c r="DZ17" s="389">
        <v>75</v>
      </c>
      <c r="EA17" s="381">
        <f>SUM(DO17:DZ17)</f>
        <v>1467</v>
      </c>
      <c r="EB17" s="379">
        <v>0</v>
      </c>
      <c r="EC17" s="380">
        <v>20</v>
      </c>
      <c r="ED17" s="380">
        <v>70</v>
      </c>
      <c r="EE17" s="380">
        <v>206</v>
      </c>
      <c r="EF17" s="380">
        <v>108</v>
      </c>
      <c r="EG17" s="380">
        <v>-45</v>
      </c>
      <c r="EH17" s="380">
        <v>0</v>
      </c>
      <c r="EI17" s="380">
        <v>161</v>
      </c>
      <c r="EJ17" s="380">
        <v>0</v>
      </c>
      <c r="EK17" s="380">
        <v>88</v>
      </c>
      <c r="EL17" s="380">
        <v>66</v>
      </c>
      <c r="EM17" s="389">
        <v>131</v>
      </c>
      <c r="EN17" s="381">
        <f>SUM(EB17:EM17)</f>
        <v>805</v>
      </c>
      <c r="EO17" s="379">
        <v>0</v>
      </c>
      <c r="EP17" s="380">
        <v>0</v>
      </c>
      <c r="EQ17" s="380">
        <v>72</v>
      </c>
      <c r="ER17" s="380">
        <v>167</v>
      </c>
      <c r="ES17" s="380">
        <v>75</v>
      </c>
      <c r="ET17" s="380">
        <v>87</v>
      </c>
      <c r="EU17" s="380">
        <v>73</v>
      </c>
      <c r="EV17" s="380">
        <v>90</v>
      </c>
      <c r="EW17" s="380">
        <v>85</v>
      </c>
      <c r="EX17" s="380">
        <v>112</v>
      </c>
      <c r="EY17" s="380">
        <v>44</v>
      </c>
      <c r="EZ17" s="389">
        <v>3</v>
      </c>
      <c r="FA17" s="381">
        <f>SUM(EO17:EZ17)</f>
        <v>808</v>
      </c>
      <c r="FB17" s="379">
        <v>0</v>
      </c>
      <c r="FC17" s="380">
        <v>77</v>
      </c>
      <c r="FD17" s="380">
        <v>15</v>
      </c>
      <c r="FE17" s="380">
        <v>0</v>
      </c>
      <c r="FF17" s="380">
        <v>28</v>
      </c>
      <c r="FG17" s="380">
        <v>184</v>
      </c>
      <c r="FH17" s="380">
        <v>42</v>
      </c>
      <c r="FI17" s="380">
        <v>0</v>
      </c>
      <c r="FJ17" s="380">
        <v>0</v>
      </c>
      <c r="FK17" s="380">
        <v>0</v>
      </c>
      <c r="FL17" s="380">
        <v>0</v>
      </c>
      <c r="FM17" s="389">
        <v>0</v>
      </c>
      <c r="FN17" s="381">
        <f>SUM(FB17:FM17)</f>
        <v>346</v>
      </c>
      <c r="FO17" s="379">
        <v>0</v>
      </c>
      <c r="FP17" s="380">
        <v>0</v>
      </c>
      <c r="FQ17" s="380">
        <v>0</v>
      </c>
      <c r="FR17" s="380">
        <v>0</v>
      </c>
      <c r="FS17" s="380">
        <v>0</v>
      </c>
      <c r="FT17" s="380">
        <v>0</v>
      </c>
      <c r="FU17" s="380">
        <v>387</v>
      </c>
      <c r="FV17" s="380">
        <v>82</v>
      </c>
      <c r="FW17" s="380">
        <v>17</v>
      </c>
      <c r="FX17" s="380">
        <v>90</v>
      </c>
      <c r="FY17" s="380">
        <v>79</v>
      </c>
      <c r="FZ17" s="389">
        <v>123</v>
      </c>
      <c r="GA17" s="381">
        <f>SUM(FO17:FZ17)</f>
        <v>778</v>
      </c>
      <c r="GB17" s="379">
        <v>19</v>
      </c>
      <c r="GC17" s="380">
        <v>145</v>
      </c>
      <c r="GD17" s="380">
        <v>151</v>
      </c>
      <c r="GE17" s="380">
        <v>47</v>
      </c>
      <c r="GF17" s="380">
        <v>34</v>
      </c>
      <c r="GG17" s="380">
        <v>218</v>
      </c>
      <c r="GH17" s="380">
        <v>46</v>
      </c>
      <c r="GI17" s="380">
        <v>79</v>
      </c>
      <c r="GJ17" s="380">
        <v>160</v>
      </c>
      <c r="GK17" s="380">
        <v>96</v>
      </c>
      <c r="GL17" s="380">
        <v>127</v>
      </c>
      <c r="GM17" s="389">
        <v>99</v>
      </c>
      <c r="GN17" s="381">
        <f>SUM(GB17:GM17)</f>
        <v>1221</v>
      </c>
      <c r="GO17" s="379">
        <v>119</v>
      </c>
      <c r="GP17" s="380">
        <v>131</v>
      </c>
      <c r="GQ17" s="380">
        <v>232</v>
      </c>
      <c r="GR17" s="380">
        <v>10</v>
      </c>
      <c r="GS17" s="380">
        <v>272</v>
      </c>
      <c r="GT17" s="380">
        <v>65</v>
      </c>
      <c r="GU17" s="380">
        <v>65</v>
      </c>
      <c r="GV17" s="380">
        <v>96</v>
      </c>
      <c r="GW17" s="380">
        <v>167</v>
      </c>
      <c r="GX17" s="380">
        <v>0</v>
      </c>
      <c r="GY17" s="380">
        <v>228</v>
      </c>
      <c r="GZ17" s="389">
        <v>16</v>
      </c>
      <c r="HA17" s="381">
        <f>SUM(GO17:GZ17)</f>
        <v>1401</v>
      </c>
      <c r="HB17" s="379">
        <v>17</v>
      </c>
      <c r="HC17" s="380">
        <v>119</v>
      </c>
      <c r="HD17" s="380">
        <v>119</v>
      </c>
      <c r="HE17" s="380">
        <v>282</v>
      </c>
      <c r="HF17" s="380">
        <v>62</v>
      </c>
      <c r="HG17" s="380">
        <v>129</v>
      </c>
      <c r="HH17" s="380">
        <v>211</v>
      </c>
      <c r="HI17" s="380">
        <v>133</v>
      </c>
      <c r="HJ17" s="380">
        <v>260</v>
      </c>
      <c r="HK17" s="380">
        <v>0</v>
      </c>
      <c r="HL17" s="380">
        <v>267</v>
      </c>
      <c r="HM17" s="389">
        <v>300</v>
      </c>
      <c r="HN17" s="381">
        <f>SUM(HB17:HM17)</f>
        <v>1899</v>
      </c>
      <c r="HO17" s="379">
        <v>0</v>
      </c>
      <c r="HP17" s="380">
        <v>157</v>
      </c>
      <c r="HQ17" s="380">
        <v>95</v>
      </c>
      <c r="HR17" s="380">
        <v>197</v>
      </c>
      <c r="HS17" s="380">
        <v>244</v>
      </c>
      <c r="HT17" s="380">
        <v>52</v>
      </c>
      <c r="HU17" s="380">
        <v>143</v>
      </c>
      <c r="HV17" s="380">
        <v>154</v>
      </c>
      <c r="HW17" s="380">
        <v>309</v>
      </c>
      <c r="HX17" s="380">
        <v>250</v>
      </c>
      <c r="HY17" s="380">
        <v>178</v>
      </c>
      <c r="HZ17" s="389">
        <v>229</v>
      </c>
      <c r="IA17" s="379">
        <f>SUM(HO17:HZ17)</f>
        <v>2008</v>
      </c>
      <c r="IB17" s="1344">
        <v>0</v>
      </c>
      <c r="IC17" s="120">
        <v>73</v>
      </c>
      <c r="ID17" s="120">
        <v>176</v>
      </c>
      <c r="IE17" s="120">
        <v>125</v>
      </c>
      <c r="IF17" s="120">
        <v>436</v>
      </c>
      <c r="IG17" s="120">
        <v>261</v>
      </c>
      <c r="IH17" s="120">
        <v>71</v>
      </c>
      <c r="II17" s="120">
        <v>151</v>
      </c>
      <c r="IM17" s="1345"/>
      <c r="IN17" s="1346">
        <f>SUM(IB17:IM17)</f>
        <v>1293</v>
      </c>
      <c r="IP17" s="371">
        <f t="shared" si="19"/>
        <v>-1.9480519480519431</v>
      </c>
      <c r="IQ17" s="348">
        <f>IFERROR(((IS17/IR17)-1)*100,"")</f>
        <v>24.088291746641065</v>
      </c>
      <c r="IR17" s="320">
        <f t="shared" si="20"/>
        <v>1042</v>
      </c>
      <c r="IS17" s="344">
        <f t="shared" si="21"/>
        <v>1293</v>
      </c>
      <c r="IU17" s="320">
        <f t="shared" si="62"/>
        <v>-3</v>
      </c>
    </row>
    <row r="18" spans="1:264" ht="15" customHeight="1" x14ac:dyDescent="0.2">
      <c r="A18" s="1554" t="s">
        <v>438</v>
      </c>
      <c r="B18" s="379">
        <v>105</v>
      </c>
      <c r="C18" s="380">
        <v>1960</v>
      </c>
      <c r="D18" s="380">
        <v>300</v>
      </c>
      <c r="E18" s="380">
        <v>6401</v>
      </c>
      <c r="F18" s="380">
        <v>665</v>
      </c>
      <c r="G18" s="380">
        <v>1035</v>
      </c>
      <c r="H18" s="380">
        <v>497</v>
      </c>
      <c r="I18" s="380">
        <v>7916</v>
      </c>
      <c r="J18" s="380">
        <v>1633</v>
      </c>
      <c r="K18" s="380">
        <v>1520</v>
      </c>
      <c r="L18" s="380">
        <v>579</v>
      </c>
      <c r="M18" s="389">
        <v>5775</v>
      </c>
      <c r="N18" s="381">
        <f>SUM(B18:M18)</f>
        <v>28386</v>
      </c>
      <c r="O18" s="379">
        <v>0</v>
      </c>
      <c r="P18" s="380">
        <v>21</v>
      </c>
      <c r="Q18" s="380">
        <v>0</v>
      </c>
      <c r="R18" s="380">
        <v>0</v>
      </c>
      <c r="S18" s="380">
        <v>0</v>
      </c>
      <c r="T18" s="380">
        <v>0</v>
      </c>
      <c r="U18" s="380">
        <v>2</v>
      </c>
      <c r="V18" s="380">
        <v>156</v>
      </c>
      <c r="W18" s="380">
        <v>1483</v>
      </c>
      <c r="X18" s="380">
        <v>7143</v>
      </c>
      <c r="Y18" s="380">
        <v>0</v>
      </c>
      <c r="Z18" s="389">
        <v>1427</v>
      </c>
      <c r="AA18" s="381">
        <f>SUM(O18:Z18)</f>
        <v>10232</v>
      </c>
      <c r="AB18" s="379">
        <v>0</v>
      </c>
      <c r="AC18" s="380">
        <v>268</v>
      </c>
      <c r="AD18" s="380">
        <v>244</v>
      </c>
      <c r="AE18" s="380">
        <v>265</v>
      </c>
      <c r="AF18" s="380">
        <v>84</v>
      </c>
      <c r="AG18" s="380">
        <v>229</v>
      </c>
      <c r="AH18" s="380">
        <v>492</v>
      </c>
      <c r="AI18" s="380">
        <v>2179</v>
      </c>
      <c r="AJ18" s="380">
        <v>1395</v>
      </c>
      <c r="AK18" s="380">
        <v>3293</v>
      </c>
      <c r="AL18" s="380">
        <v>684</v>
      </c>
      <c r="AM18" s="389">
        <v>5350</v>
      </c>
      <c r="AN18" s="381">
        <f t="shared" si="81"/>
        <v>14483</v>
      </c>
      <c r="AO18" s="379">
        <v>0</v>
      </c>
      <c r="AP18" s="380">
        <v>5116</v>
      </c>
      <c r="AQ18" s="380">
        <v>326</v>
      </c>
      <c r="AR18" s="380">
        <v>0</v>
      </c>
      <c r="AS18" s="380">
        <v>12</v>
      </c>
      <c r="AT18" s="380">
        <v>1636</v>
      </c>
      <c r="AU18" s="380">
        <v>451</v>
      </c>
      <c r="AV18" s="380">
        <v>220</v>
      </c>
      <c r="AW18" s="380">
        <v>2</v>
      </c>
      <c r="AX18" s="380">
        <v>1</v>
      </c>
      <c r="AY18" s="380">
        <v>21</v>
      </c>
      <c r="AZ18" s="389">
        <v>213</v>
      </c>
      <c r="BA18" s="381">
        <f>SUM(AO18:AZ18)</f>
        <v>7998</v>
      </c>
      <c r="BB18" s="379">
        <v>0</v>
      </c>
      <c r="BC18" s="380">
        <v>98</v>
      </c>
      <c r="BD18" s="380">
        <v>57</v>
      </c>
      <c r="BE18" s="380">
        <v>327</v>
      </c>
      <c r="BF18" s="380">
        <v>555</v>
      </c>
      <c r="BG18" s="380">
        <v>11</v>
      </c>
      <c r="BH18" s="380">
        <v>1558</v>
      </c>
      <c r="BI18" s="380">
        <v>3216</v>
      </c>
      <c r="BJ18" s="380">
        <v>1435</v>
      </c>
      <c r="BK18" s="380">
        <v>3112</v>
      </c>
      <c r="BL18" s="380">
        <v>176</v>
      </c>
      <c r="BM18" s="389">
        <v>495</v>
      </c>
      <c r="BN18" s="381">
        <f>SUM(BB18:BM18)</f>
        <v>11040</v>
      </c>
      <c r="BO18" s="379">
        <v>0</v>
      </c>
      <c r="BP18" s="380">
        <v>0</v>
      </c>
      <c r="BQ18" s="380">
        <v>0</v>
      </c>
      <c r="BR18" s="380">
        <v>0</v>
      </c>
      <c r="BS18" s="380">
        <v>0</v>
      </c>
      <c r="BT18" s="380">
        <v>367</v>
      </c>
      <c r="BU18" s="380">
        <v>91</v>
      </c>
      <c r="BV18" s="380">
        <v>0</v>
      </c>
      <c r="BW18" s="380">
        <v>0</v>
      </c>
      <c r="BX18" s="380">
        <v>9526</v>
      </c>
      <c r="BY18" s="380">
        <v>0</v>
      </c>
      <c r="BZ18" s="389">
        <v>86</v>
      </c>
      <c r="CA18" s="381">
        <f>SUM(BO18:BZ18)</f>
        <v>10070</v>
      </c>
      <c r="CB18" s="379">
        <v>0</v>
      </c>
      <c r="CC18" s="380">
        <v>0</v>
      </c>
      <c r="CD18" s="380">
        <v>0</v>
      </c>
      <c r="CE18" s="380">
        <v>0</v>
      </c>
      <c r="CF18" s="380">
        <v>33</v>
      </c>
      <c r="CG18" s="380">
        <v>113</v>
      </c>
      <c r="CH18" s="380">
        <v>0</v>
      </c>
      <c r="CI18" s="380">
        <v>192</v>
      </c>
      <c r="CJ18" s="380">
        <v>224</v>
      </c>
      <c r="CK18" s="380">
        <v>590</v>
      </c>
      <c r="CL18" s="380">
        <v>0</v>
      </c>
      <c r="CM18" s="389">
        <v>3485</v>
      </c>
      <c r="CN18" s="381">
        <f>SUM(CB18:CM18)</f>
        <v>4637</v>
      </c>
      <c r="CO18" s="379">
        <v>0</v>
      </c>
      <c r="CP18" s="380">
        <v>0</v>
      </c>
      <c r="CQ18" s="380">
        <v>1705</v>
      </c>
      <c r="CR18" s="380">
        <v>137</v>
      </c>
      <c r="CS18" s="380">
        <v>0</v>
      </c>
      <c r="CT18" s="380">
        <v>34</v>
      </c>
      <c r="CU18" s="380">
        <v>2084</v>
      </c>
      <c r="CV18" s="380">
        <v>221</v>
      </c>
      <c r="CW18" s="380">
        <v>0</v>
      </c>
      <c r="CX18" s="380">
        <v>34</v>
      </c>
      <c r="CY18" s="380">
        <v>16</v>
      </c>
      <c r="CZ18" s="389">
        <v>26185</v>
      </c>
      <c r="DA18" s="381">
        <f>SUM(CO18:CZ18)</f>
        <v>30416</v>
      </c>
      <c r="DB18" s="379">
        <v>4543</v>
      </c>
      <c r="DC18" s="380">
        <v>3665</v>
      </c>
      <c r="DD18" s="380">
        <v>66</v>
      </c>
      <c r="DE18" s="380">
        <v>1857</v>
      </c>
      <c r="DF18" s="380">
        <v>0</v>
      </c>
      <c r="DG18" s="380">
        <v>1906</v>
      </c>
      <c r="DH18" s="380">
        <v>885</v>
      </c>
      <c r="DI18" s="380">
        <v>0</v>
      </c>
      <c r="DJ18" s="380">
        <v>1424</v>
      </c>
      <c r="DK18" s="380">
        <v>1611</v>
      </c>
      <c r="DL18" s="380">
        <v>764</v>
      </c>
      <c r="DM18" s="389">
        <v>3404</v>
      </c>
      <c r="DN18" s="381">
        <f>SUM(DB18:DM18)</f>
        <v>20125</v>
      </c>
      <c r="DO18" s="379">
        <v>35</v>
      </c>
      <c r="DP18" s="380">
        <v>12988</v>
      </c>
      <c r="DQ18" s="380">
        <v>2096</v>
      </c>
      <c r="DR18" s="380">
        <v>3090</v>
      </c>
      <c r="DS18" s="380">
        <v>606</v>
      </c>
      <c r="DT18" s="380">
        <v>1183</v>
      </c>
      <c r="DU18" s="380">
        <v>1154</v>
      </c>
      <c r="DV18" s="380">
        <v>731</v>
      </c>
      <c r="DW18" s="380">
        <v>682</v>
      </c>
      <c r="DX18" s="380">
        <v>0</v>
      </c>
      <c r="DY18" s="380">
        <v>320</v>
      </c>
      <c r="DZ18" s="389">
        <v>5019</v>
      </c>
      <c r="EA18" s="381">
        <f>SUM(DO18:DZ18)</f>
        <v>27904</v>
      </c>
      <c r="EB18" s="379">
        <v>0</v>
      </c>
      <c r="EC18" s="380">
        <v>0</v>
      </c>
      <c r="ED18" s="380">
        <v>0</v>
      </c>
      <c r="EE18" s="380">
        <v>0</v>
      </c>
      <c r="EF18" s="380"/>
      <c r="EG18" s="380">
        <v>0</v>
      </c>
      <c r="EH18" s="380">
        <v>0</v>
      </c>
      <c r="EI18" s="380">
        <v>513</v>
      </c>
      <c r="EJ18" s="380">
        <v>20</v>
      </c>
      <c r="EK18" s="380">
        <v>0</v>
      </c>
      <c r="EL18" s="380">
        <v>473</v>
      </c>
      <c r="EM18" s="389">
        <v>79963</v>
      </c>
      <c r="EN18" s="381">
        <f>SUM(EB18:EM18)</f>
        <v>80969</v>
      </c>
      <c r="EO18" s="379">
        <v>0</v>
      </c>
      <c r="EP18" s="380">
        <v>4679</v>
      </c>
      <c r="EQ18" s="380">
        <v>12532</v>
      </c>
      <c r="ER18" s="380">
        <v>3397</v>
      </c>
      <c r="ES18" s="380">
        <v>8441</v>
      </c>
      <c r="ET18" s="380">
        <v>0</v>
      </c>
      <c r="EU18" s="380">
        <v>2772</v>
      </c>
      <c r="EV18" s="380">
        <v>0</v>
      </c>
      <c r="EW18" s="380">
        <v>0</v>
      </c>
      <c r="EX18" s="380">
        <v>0</v>
      </c>
      <c r="EY18" s="380">
        <v>125</v>
      </c>
      <c r="EZ18" s="389">
        <v>14560</v>
      </c>
      <c r="FA18" s="381">
        <f>SUM(EO18:EZ18)</f>
        <v>46506</v>
      </c>
      <c r="FB18" s="379">
        <v>0</v>
      </c>
      <c r="FC18" s="380">
        <v>0</v>
      </c>
      <c r="FD18" s="380">
        <v>0</v>
      </c>
      <c r="FE18" s="380">
        <v>109</v>
      </c>
      <c r="FF18" s="380">
        <v>0</v>
      </c>
      <c r="FG18" s="380">
        <v>0</v>
      </c>
      <c r="FH18" s="380">
        <v>0</v>
      </c>
      <c r="FI18" s="380">
        <v>513</v>
      </c>
      <c r="FJ18" s="380">
        <v>963</v>
      </c>
      <c r="FK18" s="380">
        <v>1002</v>
      </c>
      <c r="FL18" s="380">
        <v>261</v>
      </c>
      <c r="FM18" s="389">
        <v>12648</v>
      </c>
      <c r="FN18" s="381">
        <f>SUM(FB18:FM18)</f>
        <v>15496</v>
      </c>
      <c r="FO18" s="379">
        <v>0</v>
      </c>
      <c r="FP18" s="380">
        <v>0</v>
      </c>
      <c r="FQ18" s="380">
        <v>0</v>
      </c>
      <c r="FR18" s="380">
        <v>0</v>
      </c>
      <c r="FS18" s="380">
        <v>7294</v>
      </c>
      <c r="FT18" s="380">
        <v>961</v>
      </c>
      <c r="FU18" s="380">
        <v>0</v>
      </c>
      <c r="FV18" s="380">
        <v>0</v>
      </c>
      <c r="FW18" s="380">
        <v>0</v>
      </c>
      <c r="FX18" s="380">
        <v>0</v>
      </c>
      <c r="FY18" s="380">
        <v>8887</v>
      </c>
      <c r="FZ18" s="389">
        <v>0</v>
      </c>
      <c r="GA18" s="381">
        <f>SUM(FO18:FZ18)</f>
        <v>17142</v>
      </c>
      <c r="GB18" s="379">
        <v>0</v>
      </c>
      <c r="GC18" s="380">
        <v>0</v>
      </c>
      <c r="GD18" s="380">
        <v>0</v>
      </c>
      <c r="GE18" s="380">
        <v>0</v>
      </c>
      <c r="GF18" s="380">
        <v>0</v>
      </c>
      <c r="GG18" s="380">
        <v>0</v>
      </c>
      <c r="GH18" s="380">
        <v>0</v>
      </c>
      <c r="GI18" s="380">
        <v>0</v>
      </c>
      <c r="GJ18" s="380">
        <v>0</v>
      </c>
      <c r="GK18" s="380">
        <v>0</v>
      </c>
      <c r="GL18" s="380">
        <v>0</v>
      </c>
      <c r="GM18" s="389">
        <v>0</v>
      </c>
      <c r="GN18" s="381">
        <f>SUM(GB18:GM18)</f>
        <v>0</v>
      </c>
      <c r="GO18" s="379">
        <v>0</v>
      </c>
      <c r="GP18" s="380">
        <v>0</v>
      </c>
      <c r="GQ18" s="380">
        <v>0</v>
      </c>
      <c r="GR18" s="380">
        <v>0</v>
      </c>
      <c r="GS18" s="380">
        <v>49</v>
      </c>
      <c r="GT18" s="380">
        <v>3</v>
      </c>
      <c r="GU18" s="380">
        <v>0</v>
      </c>
      <c r="GV18" s="380">
        <v>-2</v>
      </c>
      <c r="GW18" s="380">
        <v>0</v>
      </c>
      <c r="GX18" s="380">
        <v>0</v>
      </c>
      <c r="GY18" s="380">
        <v>3</v>
      </c>
      <c r="GZ18" s="389">
        <v>0</v>
      </c>
      <c r="HA18" s="381">
        <f>SUM(GO18:GZ18)</f>
        <v>53</v>
      </c>
      <c r="HB18" s="379">
        <v>0</v>
      </c>
      <c r="HC18" s="380">
        <v>0</v>
      </c>
      <c r="HD18" s="380">
        <v>166</v>
      </c>
      <c r="HE18" s="380">
        <v>0</v>
      </c>
      <c r="HF18" s="380">
        <v>131</v>
      </c>
      <c r="HG18" s="380">
        <v>0</v>
      </c>
      <c r="HH18" s="380">
        <v>0</v>
      </c>
      <c r="HI18" s="380">
        <v>52</v>
      </c>
      <c r="HJ18" s="380">
        <v>2139</v>
      </c>
      <c r="HK18" s="380">
        <v>25</v>
      </c>
      <c r="HL18" s="380">
        <v>3212</v>
      </c>
      <c r="HM18" s="389">
        <v>4187</v>
      </c>
      <c r="HN18" s="381">
        <f>SUM(HB18:HM18)</f>
        <v>9912</v>
      </c>
      <c r="HO18" s="379">
        <v>0</v>
      </c>
      <c r="HP18" s="380">
        <v>0</v>
      </c>
      <c r="HQ18" s="380">
        <v>0</v>
      </c>
      <c r="HR18" s="380">
        <v>0</v>
      </c>
      <c r="HS18" s="380">
        <v>0</v>
      </c>
      <c r="HT18" s="380">
        <v>0</v>
      </c>
      <c r="HU18" s="380">
        <v>550</v>
      </c>
      <c r="HV18" s="380">
        <v>0</v>
      </c>
      <c r="HW18" s="380">
        <v>0</v>
      </c>
      <c r="HX18" s="380">
        <v>0</v>
      </c>
      <c r="HY18" s="380">
        <v>24</v>
      </c>
      <c r="HZ18" s="389">
        <v>0</v>
      </c>
      <c r="IA18" s="379">
        <f>SUM(HO18:HZ18)</f>
        <v>574</v>
      </c>
      <c r="IB18" s="1344">
        <v>0</v>
      </c>
      <c r="IC18" s="120">
        <v>0</v>
      </c>
      <c r="ID18" s="120">
        <v>0</v>
      </c>
      <c r="IE18" s="120">
        <v>738</v>
      </c>
      <c r="IF18" s="120">
        <v>725</v>
      </c>
      <c r="IG18" s="120">
        <v>0</v>
      </c>
      <c r="IH18" s="120">
        <v>0</v>
      </c>
      <c r="II18" s="120">
        <v>0</v>
      </c>
      <c r="IM18" s="1345"/>
      <c r="IN18" s="1346">
        <f>SUM(IB18:IM18)</f>
        <v>1463</v>
      </c>
      <c r="IP18" s="371" t="str">
        <f t="shared" si="19"/>
        <v/>
      </c>
      <c r="IQ18" s="348">
        <f>IFERROR(((IS18/IR18)-1)*100,"")</f>
        <v>166</v>
      </c>
      <c r="IR18" s="320">
        <f t="shared" si="20"/>
        <v>550</v>
      </c>
      <c r="IS18" s="344">
        <f t="shared" si="21"/>
        <v>1463</v>
      </c>
      <c r="IU18" s="320">
        <f t="shared" si="62"/>
        <v>0</v>
      </c>
    </row>
    <row r="19" spans="1:264" s="338" customFormat="1" ht="15" customHeight="1" x14ac:dyDescent="0.2">
      <c r="A19" s="1553" t="s">
        <v>439</v>
      </c>
      <c r="B19" s="376">
        <f t="shared" ref="B19:M19" si="82">SUM(B20:B21)</f>
        <v>0</v>
      </c>
      <c r="C19" s="377">
        <f t="shared" si="82"/>
        <v>0</v>
      </c>
      <c r="D19" s="377">
        <f t="shared" si="82"/>
        <v>0</v>
      </c>
      <c r="E19" s="377">
        <f t="shared" si="82"/>
        <v>0</v>
      </c>
      <c r="F19" s="377">
        <f t="shared" si="82"/>
        <v>0</v>
      </c>
      <c r="G19" s="377">
        <f t="shared" si="82"/>
        <v>0</v>
      </c>
      <c r="H19" s="377">
        <f t="shared" si="82"/>
        <v>0</v>
      </c>
      <c r="I19" s="377">
        <f t="shared" si="82"/>
        <v>0</v>
      </c>
      <c r="J19" s="377">
        <f t="shared" si="82"/>
        <v>0</v>
      </c>
      <c r="K19" s="377">
        <f t="shared" si="82"/>
        <v>0</v>
      </c>
      <c r="L19" s="377">
        <f t="shared" si="82"/>
        <v>0</v>
      </c>
      <c r="M19" s="388">
        <f t="shared" si="82"/>
        <v>0</v>
      </c>
      <c r="N19" s="378">
        <f t="shared" si="23"/>
        <v>0</v>
      </c>
      <c r="O19" s="376">
        <f t="shared" ref="O19:Z19" si="83">SUM(O20:O21)</f>
        <v>0</v>
      </c>
      <c r="P19" s="377">
        <f t="shared" si="83"/>
        <v>0</v>
      </c>
      <c r="Q19" s="377">
        <f t="shared" si="83"/>
        <v>0</v>
      </c>
      <c r="R19" s="377">
        <f t="shared" si="83"/>
        <v>0</v>
      </c>
      <c r="S19" s="377">
        <f t="shared" si="83"/>
        <v>0</v>
      </c>
      <c r="T19" s="377">
        <f t="shared" si="83"/>
        <v>0</v>
      </c>
      <c r="U19" s="377">
        <f t="shared" si="83"/>
        <v>0</v>
      </c>
      <c r="V19" s="377">
        <f t="shared" si="83"/>
        <v>0</v>
      </c>
      <c r="W19" s="377">
        <f t="shared" si="83"/>
        <v>0</v>
      </c>
      <c r="X19" s="377">
        <f t="shared" si="83"/>
        <v>0</v>
      </c>
      <c r="Y19" s="377">
        <f t="shared" si="83"/>
        <v>0</v>
      </c>
      <c r="Z19" s="388">
        <f t="shared" si="83"/>
        <v>0</v>
      </c>
      <c r="AA19" s="378">
        <f t="shared" si="25"/>
        <v>0</v>
      </c>
      <c r="AB19" s="376">
        <f t="shared" ref="AB19:AM19" si="84">SUM(AB20:AB21)</f>
        <v>0</v>
      </c>
      <c r="AC19" s="377">
        <f t="shared" si="84"/>
        <v>0</v>
      </c>
      <c r="AD19" s="377">
        <f t="shared" si="84"/>
        <v>0</v>
      </c>
      <c r="AE19" s="377">
        <f t="shared" si="84"/>
        <v>0</v>
      </c>
      <c r="AF19" s="377">
        <f t="shared" si="84"/>
        <v>0</v>
      </c>
      <c r="AG19" s="377">
        <f t="shared" si="84"/>
        <v>0</v>
      </c>
      <c r="AH19" s="377">
        <f t="shared" si="84"/>
        <v>0</v>
      </c>
      <c r="AI19" s="377">
        <f t="shared" si="84"/>
        <v>0</v>
      </c>
      <c r="AJ19" s="377">
        <f t="shared" si="84"/>
        <v>0</v>
      </c>
      <c r="AK19" s="377">
        <f t="shared" si="84"/>
        <v>0</v>
      </c>
      <c r="AL19" s="377">
        <f t="shared" si="84"/>
        <v>0</v>
      </c>
      <c r="AM19" s="388">
        <f t="shared" si="84"/>
        <v>0</v>
      </c>
      <c r="AN19" s="378">
        <f t="shared" si="81"/>
        <v>0</v>
      </c>
      <c r="AO19" s="376">
        <f t="shared" ref="AO19:AZ19" si="85">SUM(AO20:AO21)</f>
        <v>0</v>
      </c>
      <c r="AP19" s="377">
        <f t="shared" si="85"/>
        <v>0</v>
      </c>
      <c r="AQ19" s="377">
        <f t="shared" si="85"/>
        <v>0</v>
      </c>
      <c r="AR19" s="377">
        <f t="shared" si="85"/>
        <v>0</v>
      </c>
      <c r="AS19" s="377">
        <f t="shared" si="85"/>
        <v>0</v>
      </c>
      <c r="AT19" s="377">
        <f t="shared" si="85"/>
        <v>0</v>
      </c>
      <c r="AU19" s="377">
        <f t="shared" si="85"/>
        <v>0</v>
      </c>
      <c r="AV19" s="377">
        <f t="shared" si="85"/>
        <v>0</v>
      </c>
      <c r="AW19" s="377">
        <f t="shared" si="85"/>
        <v>0</v>
      </c>
      <c r="AX19" s="377">
        <f t="shared" si="85"/>
        <v>0</v>
      </c>
      <c r="AY19" s="377">
        <f t="shared" si="85"/>
        <v>0</v>
      </c>
      <c r="AZ19" s="388">
        <f t="shared" si="85"/>
        <v>0</v>
      </c>
      <c r="BA19" s="378">
        <f t="shared" si="29"/>
        <v>0</v>
      </c>
      <c r="BB19" s="376">
        <f t="shared" ref="BB19:BM19" si="86">SUM(BB20:BB21)</f>
        <v>0</v>
      </c>
      <c r="BC19" s="377">
        <f t="shared" si="86"/>
        <v>0</v>
      </c>
      <c r="BD19" s="377">
        <f t="shared" si="86"/>
        <v>0</v>
      </c>
      <c r="BE19" s="377">
        <f t="shared" si="86"/>
        <v>0</v>
      </c>
      <c r="BF19" s="377">
        <f t="shared" si="86"/>
        <v>0</v>
      </c>
      <c r="BG19" s="377">
        <f t="shared" si="86"/>
        <v>0</v>
      </c>
      <c r="BH19" s="377">
        <f t="shared" si="86"/>
        <v>0</v>
      </c>
      <c r="BI19" s="377">
        <f t="shared" si="86"/>
        <v>0</v>
      </c>
      <c r="BJ19" s="377">
        <f t="shared" si="86"/>
        <v>0</v>
      </c>
      <c r="BK19" s="377">
        <f t="shared" si="86"/>
        <v>0</v>
      </c>
      <c r="BL19" s="377">
        <f t="shared" si="86"/>
        <v>0</v>
      </c>
      <c r="BM19" s="388">
        <f t="shared" si="86"/>
        <v>0</v>
      </c>
      <c r="BN19" s="378">
        <f t="shared" si="31"/>
        <v>0</v>
      </c>
      <c r="BO19" s="376">
        <f t="shared" ref="BO19:BZ19" si="87">SUM(BO20:BO21)</f>
        <v>0</v>
      </c>
      <c r="BP19" s="377">
        <f t="shared" si="87"/>
        <v>0</v>
      </c>
      <c r="BQ19" s="377">
        <f t="shared" si="87"/>
        <v>0</v>
      </c>
      <c r="BR19" s="377">
        <f t="shared" si="87"/>
        <v>0</v>
      </c>
      <c r="BS19" s="377">
        <f t="shared" si="87"/>
        <v>0</v>
      </c>
      <c r="BT19" s="377">
        <f t="shared" si="87"/>
        <v>0</v>
      </c>
      <c r="BU19" s="377">
        <f t="shared" si="87"/>
        <v>0</v>
      </c>
      <c r="BV19" s="377">
        <f t="shared" si="87"/>
        <v>0</v>
      </c>
      <c r="BW19" s="377">
        <f t="shared" si="87"/>
        <v>0</v>
      </c>
      <c r="BX19" s="377">
        <f t="shared" si="87"/>
        <v>0</v>
      </c>
      <c r="BY19" s="377">
        <f t="shared" si="87"/>
        <v>0</v>
      </c>
      <c r="BZ19" s="388">
        <f t="shared" si="87"/>
        <v>0</v>
      </c>
      <c r="CA19" s="378">
        <f t="shared" si="33"/>
        <v>0</v>
      </c>
      <c r="CB19" s="376">
        <f t="shared" ref="CB19:CM19" si="88">SUM(CB20:CB21)</f>
        <v>0</v>
      </c>
      <c r="CC19" s="377">
        <f t="shared" si="88"/>
        <v>0</v>
      </c>
      <c r="CD19" s="377">
        <f t="shared" si="88"/>
        <v>0</v>
      </c>
      <c r="CE19" s="377">
        <f t="shared" si="88"/>
        <v>0</v>
      </c>
      <c r="CF19" s="377">
        <f t="shared" si="88"/>
        <v>0</v>
      </c>
      <c r="CG19" s="377">
        <f t="shared" si="88"/>
        <v>0</v>
      </c>
      <c r="CH19" s="377">
        <f t="shared" si="88"/>
        <v>0</v>
      </c>
      <c r="CI19" s="377">
        <f t="shared" si="88"/>
        <v>0</v>
      </c>
      <c r="CJ19" s="377">
        <f t="shared" si="88"/>
        <v>0</v>
      </c>
      <c r="CK19" s="377">
        <f t="shared" si="88"/>
        <v>0</v>
      </c>
      <c r="CL19" s="377">
        <f t="shared" si="88"/>
        <v>0</v>
      </c>
      <c r="CM19" s="388">
        <f t="shared" si="88"/>
        <v>0</v>
      </c>
      <c r="CN19" s="378">
        <f t="shared" si="35"/>
        <v>0</v>
      </c>
      <c r="CO19" s="376">
        <f t="shared" ref="CO19:CZ19" si="89">SUM(CO20:CO21)</f>
        <v>0</v>
      </c>
      <c r="CP19" s="377">
        <f t="shared" si="89"/>
        <v>0</v>
      </c>
      <c r="CQ19" s="377">
        <f t="shared" si="89"/>
        <v>0</v>
      </c>
      <c r="CR19" s="377">
        <f t="shared" si="89"/>
        <v>0</v>
      </c>
      <c r="CS19" s="377">
        <f t="shared" si="89"/>
        <v>0</v>
      </c>
      <c r="CT19" s="377">
        <f t="shared" si="89"/>
        <v>0</v>
      </c>
      <c r="CU19" s="377">
        <f t="shared" si="89"/>
        <v>0</v>
      </c>
      <c r="CV19" s="377">
        <f t="shared" si="89"/>
        <v>0</v>
      </c>
      <c r="CW19" s="377">
        <f t="shared" si="89"/>
        <v>0</v>
      </c>
      <c r="CX19" s="377">
        <f t="shared" si="89"/>
        <v>0</v>
      </c>
      <c r="CY19" s="377">
        <f t="shared" si="89"/>
        <v>0</v>
      </c>
      <c r="CZ19" s="388">
        <f t="shared" si="89"/>
        <v>0</v>
      </c>
      <c r="DA19" s="378">
        <f t="shared" si="37"/>
        <v>0</v>
      </c>
      <c r="DB19" s="376">
        <f t="shared" ref="DB19:DM19" si="90">SUM(DB20:DB21)</f>
        <v>0</v>
      </c>
      <c r="DC19" s="377">
        <f t="shared" si="90"/>
        <v>0</v>
      </c>
      <c r="DD19" s="377">
        <f t="shared" si="90"/>
        <v>0</v>
      </c>
      <c r="DE19" s="377">
        <f t="shared" si="90"/>
        <v>0</v>
      </c>
      <c r="DF19" s="377">
        <f t="shared" si="90"/>
        <v>0</v>
      </c>
      <c r="DG19" s="377">
        <f t="shared" si="90"/>
        <v>0</v>
      </c>
      <c r="DH19" s="377">
        <f t="shared" si="90"/>
        <v>0</v>
      </c>
      <c r="DI19" s="377">
        <f t="shared" si="90"/>
        <v>0</v>
      </c>
      <c r="DJ19" s="377">
        <f t="shared" si="90"/>
        <v>0</v>
      </c>
      <c r="DK19" s="377">
        <f t="shared" si="90"/>
        <v>0</v>
      </c>
      <c r="DL19" s="377">
        <f t="shared" si="90"/>
        <v>0</v>
      </c>
      <c r="DM19" s="388">
        <f t="shared" si="90"/>
        <v>0</v>
      </c>
      <c r="DN19" s="378">
        <f t="shared" si="39"/>
        <v>0</v>
      </c>
      <c r="DO19" s="376">
        <f t="shared" ref="DO19:DZ19" si="91">SUM(DO20:DO21)</f>
        <v>0</v>
      </c>
      <c r="DP19" s="377">
        <f t="shared" si="91"/>
        <v>0</v>
      </c>
      <c r="DQ19" s="377">
        <f t="shared" si="91"/>
        <v>0</v>
      </c>
      <c r="DR19" s="377">
        <f t="shared" si="91"/>
        <v>0</v>
      </c>
      <c r="DS19" s="377">
        <f t="shared" si="91"/>
        <v>0</v>
      </c>
      <c r="DT19" s="377">
        <f t="shared" si="91"/>
        <v>0</v>
      </c>
      <c r="DU19" s="377">
        <f t="shared" si="91"/>
        <v>0</v>
      </c>
      <c r="DV19" s="377">
        <f t="shared" si="91"/>
        <v>0</v>
      </c>
      <c r="DW19" s="377">
        <f t="shared" si="91"/>
        <v>0</v>
      </c>
      <c r="DX19" s="377">
        <f t="shared" si="91"/>
        <v>0</v>
      </c>
      <c r="DY19" s="377">
        <f t="shared" si="91"/>
        <v>0</v>
      </c>
      <c r="DZ19" s="388">
        <f t="shared" si="91"/>
        <v>0</v>
      </c>
      <c r="EA19" s="378">
        <f t="shared" si="41"/>
        <v>0</v>
      </c>
      <c r="EB19" s="376">
        <f t="shared" ref="EB19:EM19" si="92">SUM(EB20:EB21)</f>
        <v>0</v>
      </c>
      <c r="EC19" s="377">
        <f t="shared" si="92"/>
        <v>0</v>
      </c>
      <c r="ED19" s="377">
        <f t="shared" si="92"/>
        <v>0</v>
      </c>
      <c r="EE19" s="377">
        <f t="shared" si="92"/>
        <v>0</v>
      </c>
      <c r="EF19" s="377">
        <f t="shared" si="92"/>
        <v>0</v>
      </c>
      <c r="EG19" s="377">
        <f t="shared" si="92"/>
        <v>0</v>
      </c>
      <c r="EH19" s="377">
        <f t="shared" si="92"/>
        <v>0</v>
      </c>
      <c r="EI19" s="377">
        <f t="shared" si="92"/>
        <v>0</v>
      </c>
      <c r="EJ19" s="377">
        <f t="shared" si="92"/>
        <v>0</v>
      </c>
      <c r="EK19" s="377">
        <f t="shared" si="92"/>
        <v>0</v>
      </c>
      <c r="EL19" s="377">
        <f t="shared" si="92"/>
        <v>0</v>
      </c>
      <c r="EM19" s="388">
        <f t="shared" si="92"/>
        <v>0</v>
      </c>
      <c r="EN19" s="378">
        <f t="shared" si="43"/>
        <v>0</v>
      </c>
      <c r="EO19" s="376">
        <f t="shared" ref="EO19:EZ19" si="93">SUM(EO20:EO21)</f>
        <v>0</v>
      </c>
      <c r="EP19" s="377">
        <f t="shared" si="93"/>
        <v>0</v>
      </c>
      <c r="EQ19" s="377">
        <f t="shared" si="93"/>
        <v>0</v>
      </c>
      <c r="ER19" s="377">
        <f t="shared" si="93"/>
        <v>0</v>
      </c>
      <c r="ES19" s="377">
        <f t="shared" si="93"/>
        <v>0</v>
      </c>
      <c r="ET19" s="377">
        <f t="shared" si="93"/>
        <v>0</v>
      </c>
      <c r="EU19" s="377">
        <f t="shared" si="93"/>
        <v>0</v>
      </c>
      <c r="EV19" s="377">
        <f t="shared" si="93"/>
        <v>0</v>
      </c>
      <c r="EW19" s="377">
        <f t="shared" si="93"/>
        <v>0</v>
      </c>
      <c r="EX19" s="377">
        <f t="shared" si="93"/>
        <v>0</v>
      </c>
      <c r="EY19" s="377">
        <f t="shared" si="93"/>
        <v>0</v>
      </c>
      <c r="EZ19" s="388">
        <f t="shared" si="93"/>
        <v>0</v>
      </c>
      <c r="FA19" s="378">
        <f t="shared" si="45"/>
        <v>0</v>
      </c>
      <c r="FB19" s="376">
        <f>SUM(FB20:FB21)</f>
        <v>0</v>
      </c>
      <c r="FC19" s="377">
        <f>SUM(FC20:FC21)</f>
        <v>0</v>
      </c>
      <c r="FD19" s="377">
        <v>0</v>
      </c>
      <c r="FE19" s="377">
        <v>0</v>
      </c>
      <c r="FF19" s="377">
        <v>0</v>
      </c>
      <c r="FG19" s="377">
        <v>0</v>
      </c>
      <c r="FH19" s="377">
        <v>0</v>
      </c>
      <c r="FI19" s="377">
        <v>0</v>
      </c>
      <c r="FJ19" s="377">
        <v>0</v>
      </c>
      <c r="FK19" s="377">
        <v>0</v>
      </c>
      <c r="FL19" s="377">
        <v>0</v>
      </c>
      <c r="FM19" s="388">
        <v>0</v>
      </c>
      <c r="FN19" s="378">
        <f t="shared" si="47"/>
        <v>0</v>
      </c>
      <c r="FO19" s="376">
        <v>0</v>
      </c>
      <c r="FP19" s="377">
        <f>SUM(FP20:FP21)</f>
        <v>0</v>
      </c>
      <c r="FQ19" s="377">
        <v>0</v>
      </c>
      <c r="FR19" s="377">
        <v>0</v>
      </c>
      <c r="FS19" s="377">
        <v>0</v>
      </c>
      <c r="FT19" s="377">
        <v>0</v>
      </c>
      <c r="FU19" s="377">
        <v>0</v>
      </c>
      <c r="FV19" s="377">
        <v>0</v>
      </c>
      <c r="FW19" s="377">
        <v>0</v>
      </c>
      <c r="FX19" s="377">
        <v>0</v>
      </c>
      <c r="FY19" s="377">
        <v>0</v>
      </c>
      <c r="FZ19" s="388">
        <v>0</v>
      </c>
      <c r="GA19" s="378">
        <f t="shared" si="49"/>
        <v>0</v>
      </c>
      <c r="GB19" s="376">
        <v>0</v>
      </c>
      <c r="GC19" s="377">
        <v>0</v>
      </c>
      <c r="GD19" s="377">
        <v>0</v>
      </c>
      <c r="GE19" s="377">
        <v>0</v>
      </c>
      <c r="GF19" s="377">
        <v>0</v>
      </c>
      <c r="GG19" s="377">
        <v>0</v>
      </c>
      <c r="GH19" s="377">
        <v>0</v>
      </c>
      <c r="GI19" s="377">
        <v>0</v>
      </c>
      <c r="GJ19" s="377">
        <v>0</v>
      </c>
      <c r="GK19" s="377">
        <v>0</v>
      </c>
      <c r="GL19" s="377">
        <v>0</v>
      </c>
      <c r="GM19" s="388">
        <v>0</v>
      </c>
      <c r="GN19" s="378">
        <f t="shared" si="50"/>
        <v>0</v>
      </c>
      <c r="GO19" s="376">
        <v>0</v>
      </c>
      <c r="GP19" s="377">
        <v>0</v>
      </c>
      <c r="GQ19" s="377">
        <v>0</v>
      </c>
      <c r="GR19" s="377">
        <v>0</v>
      </c>
      <c r="GS19" s="377">
        <v>0</v>
      </c>
      <c r="GT19" s="377">
        <v>0</v>
      </c>
      <c r="GU19" s="377">
        <v>0</v>
      </c>
      <c r="GV19" s="377">
        <v>0</v>
      </c>
      <c r="GW19" s="377">
        <v>0</v>
      </c>
      <c r="GX19" s="377">
        <v>0</v>
      </c>
      <c r="GY19" s="377">
        <v>0</v>
      </c>
      <c r="GZ19" s="388">
        <v>0</v>
      </c>
      <c r="HA19" s="378">
        <f t="shared" si="52"/>
        <v>0</v>
      </c>
      <c r="HB19" s="376">
        <v>0</v>
      </c>
      <c r="HC19" s="377">
        <v>0</v>
      </c>
      <c r="HD19" s="377">
        <v>0</v>
      </c>
      <c r="HE19" s="377">
        <v>0</v>
      </c>
      <c r="HF19" s="377">
        <v>0</v>
      </c>
      <c r="HG19" s="377">
        <v>0</v>
      </c>
      <c r="HH19" s="377">
        <v>0</v>
      </c>
      <c r="HI19" s="377">
        <v>0</v>
      </c>
      <c r="HJ19" s="377">
        <v>0</v>
      </c>
      <c r="HK19" s="377">
        <v>0</v>
      </c>
      <c r="HL19" s="377">
        <v>0</v>
      </c>
      <c r="HM19" s="388">
        <v>0</v>
      </c>
      <c r="HN19" s="378">
        <f t="shared" si="54"/>
        <v>0</v>
      </c>
      <c r="HO19" s="376">
        <v>0</v>
      </c>
      <c r="HP19" s="377">
        <v>0</v>
      </c>
      <c r="HQ19" s="377">
        <v>0</v>
      </c>
      <c r="HR19" s="377">
        <v>0</v>
      </c>
      <c r="HS19" s="377">
        <v>0</v>
      </c>
      <c r="HT19" s="377">
        <v>0</v>
      </c>
      <c r="HU19" s="377">
        <v>0</v>
      </c>
      <c r="HV19" s="377">
        <v>0</v>
      </c>
      <c r="HW19" s="377">
        <v>0</v>
      </c>
      <c r="HX19" s="377">
        <v>0</v>
      </c>
      <c r="HY19" s="377">
        <v>0</v>
      </c>
      <c r="HZ19" s="388">
        <v>0</v>
      </c>
      <c r="IA19" s="376">
        <f t="shared" si="56"/>
        <v>0</v>
      </c>
      <c r="IB19" s="1328">
        <f>SUM(IB20:IB21)</f>
        <v>0</v>
      </c>
      <c r="IC19" s="129">
        <f t="shared" ref="IC19:IF19" si="94">SUM(IC20:IC21)</f>
        <v>0</v>
      </c>
      <c r="ID19" s="129">
        <f t="shared" si="94"/>
        <v>0</v>
      </c>
      <c r="IE19" s="129">
        <f t="shared" si="94"/>
        <v>0</v>
      </c>
      <c r="IF19" s="129">
        <f t="shared" si="94"/>
        <v>0</v>
      </c>
      <c r="IG19" s="129">
        <v>0</v>
      </c>
      <c r="IH19" s="129">
        <v>0</v>
      </c>
      <c r="II19" s="129">
        <f t="shared" ref="II19" si="95">SUM(II20:II21)</f>
        <v>0</v>
      </c>
      <c r="IJ19" s="129"/>
      <c r="IK19" s="129"/>
      <c r="IL19" s="129"/>
      <c r="IM19" s="1268"/>
      <c r="IN19" s="1343">
        <f t="shared" si="60"/>
        <v>0</v>
      </c>
      <c r="IO19" s="129"/>
      <c r="IP19" s="370" t="str">
        <f t="shared" si="19"/>
        <v/>
      </c>
      <c r="IQ19" s="340" t="str">
        <f t="shared" si="61"/>
        <v/>
      </c>
      <c r="IR19" s="339">
        <f t="shared" si="20"/>
        <v>0</v>
      </c>
      <c r="IS19" s="341">
        <f t="shared" si="21"/>
        <v>0</v>
      </c>
      <c r="IU19" s="339"/>
      <c r="IV19" s="129"/>
      <c r="IW19" s="129"/>
      <c r="IX19" s="129"/>
      <c r="IY19" s="129"/>
      <c r="IZ19" s="129"/>
      <c r="JA19" s="129"/>
      <c r="JB19" s="129"/>
      <c r="JC19" s="129"/>
      <c r="JD19" s="129"/>
    </row>
    <row r="20" spans="1:264" ht="15" customHeight="1" x14ac:dyDescent="0.2">
      <c r="A20" s="1554" t="s">
        <v>621</v>
      </c>
      <c r="B20" s="379">
        <v>0</v>
      </c>
      <c r="C20" s="380">
        <v>0</v>
      </c>
      <c r="D20" s="380">
        <v>0</v>
      </c>
      <c r="E20" s="380">
        <v>0</v>
      </c>
      <c r="F20" s="380">
        <v>0</v>
      </c>
      <c r="G20" s="380">
        <v>0</v>
      </c>
      <c r="H20" s="380">
        <v>0</v>
      </c>
      <c r="I20" s="380">
        <v>0</v>
      </c>
      <c r="J20" s="380">
        <v>0</v>
      </c>
      <c r="K20" s="380">
        <v>0</v>
      </c>
      <c r="L20" s="380">
        <v>0</v>
      </c>
      <c r="M20" s="389">
        <v>0</v>
      </c>
      <c r="N20" s="381">
        <f t="shared" si="23"/>
        <v>0</v>
      </c>
      <c r="O20" s="379">
        <v>0</v>
      </c>
      <c r="P20" s="380">
        <v>0</v>
      </c>
      <c r="Q20" s="380">
        <v>0</v>
      </c>
      <c r="R20" s="380">
        <v>0</v>
      </c>
      <c r="S20" s="380">
        <v>0</v>
      </c>
      <c r="T20" s="380">
        <v>0</v>
      </c>
      <c r="U20" s="380">
        <v>0</v>
      </c>
      <c r="V20" s="380">
        <v>0</v>
      </c>
      <c r="W20" s="380">
        <v>0</v>
      </c>
      <c r="X20" s="380">
        <v>0</v>
      </c>
      <c r="Y20" s="380">
        <v>0</v>
      </c>
      <c r="Z20" s="389">
        <v>0</v>
      </c>
      <c r="AA20" s="381">
        <f t="shared" si="25"/>
        <v>0</v>
      </c>
      <c r="AB20" s="379">
        <v>0</v>
      </c>
      <c r="AC20" s="380">
        <v>0</v>
      </c>
      <c r="AD20" s="380">
        <v>0</v>
      </c>
      <c r="AE20" s="380">
        <v>0</v>
      </c>
      <c r="AF20" s="380">
        <v>0</v>
      </c>
      <c r="AG20" s="380">
        <v>0</v>
      </c>
      <c r="AH20" s="380">
        <v>0</v>
      </c>
      <c r="AI20" s="380">
        <v>0</v>
      </c>
      <c r="AJ20" s="380">
        <v>0</v>
      </c>
      <c r="AK20" s="380">
        <v>0</v>
      </c>
      <c r="AL20" s="380">
        <v>0</v>
      </c>
      <c r="AM20" s="389">
        <v>0</v>
      </c>
      <c r="AN20" s="381">
        <f t="shared" si="81"/>
        <v>0</v>
      </c>
      <c r="AO20" s="379">
        <v>0</v>
      </c>
      <c r="AP20" s="380">
        <v>0</v>
      </c>
      <c r="AQ20" s="380">
        <v>0</v>
      </c>
      <c r="AR20" s="380">
        <v>0</v>
      </c>
      <c r="AS20" s="380">
        <v>0</v>
      </c>
      <c r="AT20" s="380">
        <v>0</v>
      </c>
      <c r="AU20" s="380">
        <v>0</v>
      </c>
      <c r="AV20" s="380">
        <v>0</v>
      </c>
      <c r="AW20" s="380">
        <v>0</v>
      </c>
      <c r="AX20" s="380">
        <v>0</v>
      </c>
      <c r="AY20" s="380">
        <v>0</v>
      </c>
      <c r="AZ20" s="389">
        <v>0</v>
      </c>
      <c r="BA20" s="381">
        <f t="shared" si="29"/>
        <v>0</v>
      </c>
      <c r="BB20" s="379">
        <v>0</v>
      </c>
      <c r="BC20" s="380">
        <v>0</v>
      </c>
      <c r="BD20" s="380">
        <v>0</v>
      </c>
      <c r="BE20" s="380">
        <v>0</v>
      </c>
      <c r="BF20" s="380">
        <v>0</v>
      </c>
      <c r="BG20" s="380">
        <v>0</v>
      </c>
      <c r="BH20" s="380">
        <v>0</v>
      </c>
      <c r="BI20" s="380">
        <v>0</v>
      </c>
      <c r="BJ20" s="380">
        <v>0</v>
      </c>
      <c r="BK20" s="380">
        <v>0</v>
      </c>
      <c r="BL20" s="380">
        <v>0</v>
      </c>
      <c r="BM20" s="389">
        <v>0</v>
      </c>
      <c r="BN20" s="381">
        <f t="shared" si="31"/>
        <v>0</v>
      </c>
      <c r="BO20" s="379">
        <v>0</v>
      </c>
      <c r="BP20" s="380">
        <v>0</v>
      </c>
      <c r="BQ20" s="380">
        <v>0</v>
      </c>
      <c r="BR20" s="380">
        <v>0</v>
      </c>
      <c r="BS20" s="380">
        <v>0</v>
      </c>
      <c r="BT20" s="380">
        <v>0</v>
      </c>
      <c r="BU20" s="380">
        <v>0</v>
      </c>
      <c r="BV20" s="380">
        <v>0</v>
      </c>
      <c r="BW20" s="380">
        <v>0</v>
      </c>
      <c r="BX20" s="380">
        <v>0</v>
      </c>
      <c r="BY20" s="380">
        <v>0</v>
      </c>
      <c r="BZ20" s="389">
        <v>0</v>
      </c>
      <c r="CA20" s="381">
        <f t="shared" si="33"/>
        <v>0</v>
      </c>
      <c r="CB20" s="379">
        <v>0</v>
      </c>
      <c r="CC20" s="380">
        <v>0</v>
      </c>
      <c r="CD20" s="380">
        <v>0</v>
      </c>
      <c r="CE20" s="380">
        <v>0</v>
      </c>
      <c r="CF20" s="380">
        <v>0</v>
      </c>
      <c r="CG20" s="380">
        <v>0</v>
      </c>
      <c r="CH20" s="380">
        <v>0</v>
      </c>
      <c r="CI20" s="380">
        <v>0</v>
      </c>
      <c r="CJ20" s="380">
        <v>0</v>
      </c>
      <c r="CK20" s="380">
        <v>0</v>
      </c>
      <c r="CL20" s="380">
        <v>0</v>
      </c>
      <c r="CM20" s="389">
        <v>0</v>
      </c>
      <c r="CN20" s="381">
        <f t="shared" si="35"/>
        <v>0</v>
      </c>
      <c r="CO20" s="379">
        <v>0</v>
      </c>
      <c r="CP20" s="380">
        <v>0</v>
      </c>
      <c r="CQ20" s="380">
        <v>0</v>
      </c>
      <c r="CR20" s="380">
        <v>0</v>
      </c>
      <c r="CS20" s="380">
        <v>0</v>
      </c>
      <c r="CT20" s="380">
        <v>0</v>
      </c>
      <c r="CU20" s="380">
        <v>0</v>
      </c>
      <c r="CV20" s="380">
        <v>0</v>
      </c>
      <c r="CW20" s="380">
        <v>0</v>
      </c>
      <c r="CX20" s="380">
        <v>0</v>
      </c>
      <c r="CY20" s="380">
        <v>0</v>
      </c>
      <c r="CZ20" s="389">
        <v>0</v>
      </c>
      <c r="DA20" s="381">
        <f t="shared" si="37"/>
        <v>0</v>
      </c>
      <c r="DB20" s="379">
        <v>0</v>
      </c>
      <c r="DC20" s="380">
        <v>0</v>
      </c>
      <c r="DD20" s="380">
        <v>0</v>
      </c>
      <c r="DE20" s="380">
        <v>0</v>
      </c>
      <c r="DF20" s="380">
        <v>0</v>
      </c>
      <c r="DG20" s="380">
        <v>0</v>
      </c>
      <c r="DH20" s="380">
        <v>0</v>
      </c>
      <c r="DI20" s="380">
        <v>0</v>
      </c>
      <c r="DJ20" s="380">
        <v>0</v>
      </c>
      <c r="DK20" s="380">
        <v>0</v>
      </c>
      <c r="DL20" s="380">
        <v>0</v>
      </c>
      <c r="DM20" s="389">
        <v>0</v>
      </c>
      <c r="DN20" s="381">
        <f t="shared" si="39"/>
        <v>0</v>
      </c>
      <c r="DO20" s="379">
        <v>0</v>
      </c>
      <c r="DP20" s="380">
        <v>0</v>
      </c>
      <c r="DQ20" s="380">
        <v>0</v>
      </c>
      <c r="DR20" s="380">
        <v>0</v>
      </c>
      <c r="DS20" s="380">
        <v>0</v>
      </c>
      <c r="DT20" s="380">
        <v>0</v>
      </c>
      <c r="DU20" s="380">
        <v>0</v>
      </c>
      <c r="DV20" s="380">
        <v>0</v>
      </c>
      <c r="DW20" s="380">
        <v>0</v>
      </c>
      <c r="DX20" s="380">
        <v>0</v>
      </c>
      <c r="DY20" s="380">
        <v>0</v>
      </c>
      <c r="DZ20" s="389">
        <v>0</v>
      </c>
      <c r="EA20" s="381">
        <f t="shared" si="41"/>
        <v>0</v>
      </c>
      <c r="EB20" s="379">
        <v>0</v>
      </c>
      <c r="EC20" s="380">
        <v>0</v>
      </c>
      <c r="ED20" s="380">
        <v>0</v>
      </c>
      <c r="EE20" s="380">
        <v>0</v>
      </c>
      <c r="EF20" s="380">
        <v>0</v>
      </c>
      <c r="EG20" s="380">
        <v>0</v>
      </c>
      <c r="EH20" s="380">
        <v>0</v>
      </c>
      <c r="EI20" s="380">
        <v>0</v>
      </c>
      <c r="EJ20" s="380">
        <v>0</v>
      </c>
      <c r="EK20" s="380">
        <v>0</v>
      </c>
      <c r="EL20" s="380">
        <v>0</v>
      </c>
      <c r="EM20" s="389">
        <v>0</v>
      </c>
      <c r="EN20" s="381">
        <f t="shared" si="43"/>
        <v>0</v>
      </c>
      <c r="EO20" s="379">
        <v>0</v>
      </c>
      <c r="EP20" s="380">
        <v>0</v>
      </c>
      <c r="EQ20" s="380">
        <v>0</v>
      </c>
      <c r="ER20" s="380">
        <v>0</v>
      </c>
      <c r="ES20" s="380">
        <v>0</v>
      </c>
      <c r="ET20" s="380">
        <v>0</v>
      </c>
      <c r="EU20" s="380">
        <v>0</v>
      </c>
      <c r="EV20" s="380">
        <v>0</v>
      </c>
      <c r="EW20" s="380">
        <v>0</v>
      </c>
      <c r="EX20" s="380">
        <v>0</v>
      </c>
      <c r="EY20" s="380">
        <v>0</v>
      </c>
      <c r="EZ20" s="389">
        <v>0</v>
      </c>
      <c r="FA20" s="381">
        <f t="shared" si="45"/>
        <v>0</v>
      </c>
      <c r="FB20" s="379">
        <v>0</v>
      </c>
      <c r="FC20" s="380">
        <v>0</v>
      </c>
      <c r="FD20" s="380">
        <v>0</v>
      </c>
      <c r="FE20" s="380">
        <v>0</v>
      </c>
      <c r="FF20" s="380">
        <v>0</v>
      </c>
      <c r="FG20" s="380">
        <v>0</v>
      </c>
      <c r="FH20" s="380">
        <v>0</v>
      </c>
      <c r="FI20" s="380">
        <v>0</v>
      </c>
      <c r="FJ20" s="380">
        <v>0</v>
      </c>
      <c r="FK20" s="380">
        <v>0</v>
      </c>
      <c r="FL20" s="380">
        <v>0</v>
      </c>
      <c r="FM20" s="389">
        <v>0</v>
      </c>
      <c r="FN20" s="381">
        <f t="shared" si="47"/>
        <v>0</v>
      </c>
      <c r="FO20" s="379">
        <v>0</v>
      </c>
      <c r="FP20" s="380">
        <v>0</v>
      </c>
      <c r="FQ20" s="380">
        <v>0</v>
      </c>
      <c r="FR20" s="380">
        <v>0</v>
      </c>
      <c r="FS20" s="380">
        <v>0</v>
      </c>
      <c r="FT20" s="380">
        <v>0</v>
      </c>
      <c r="FU20" s="380">
        <v>0</v>
      </c>
      <c r="FV20" s="380">
        <v>0</v>
      </c>
      <c r="FW20" s="380">
        <v>0</v>
      </c>
      <c r="FX20" s="380">
        <v>0</v>
      </c>
      <c r="FY20" s="380">
        <v>0</v>
      </c>
      <c r="FZ20" s="389">
        <v>0</v>
      </c>
      <c r="GA20" s="381">
        <f t="shared" si="49"/>
        <v>0</v>
      </c>
      <c r="GB20" s="379">
        <v>0</v>
      </c>
      <c r="GC20" s="380">
        <v>0</v>
      </c>
      <c r="GD20" s="380">
        <v>0</v>
      </c>
      <c r="GE20" s="380">
        <v>0</v>
      </c>
      <c r="GF20" s="380">
        <v>0</v>
      </c>
      <c r="GG20" s="380">
        <v>0</v>
      </c>
      <c r="GH20" s="380">
        <v>0</v>
      </c>
      <c r="GI20" s="380">
        <v>0</v>
      </c>
      <c r="GJ20" s="380">
        <v>0</v>
      </c>
      <c r="GK20" s="380">
        <v>0</v>
      </c>
      <c r="GL20" s="380">
        <v>0</v>
      </c>
      <c r="GM20" s="389">
        <v>0</v>
      </c>
      <c r="GN20" s="381">
        <f t="shared" si="50"/>
        <v>0</v>
      </c>
      <c r="GO20" s="379">
        <v>0</v>
      </c>
      <c r="GP20" s="380">
        <v>0</v>
      </c>
      <c r="GQ20" s="380">
        <v>0</v>
      </c>
      <c r="GR20" s="380">
        <v>0</v>
      </c>
      <c r="GS20" s="380">
        <v>0</v>
      </c>
      <c r="GT20" s="380">
        <v>0</v>
      </c>
      <c r="GU20" s="380">
        <v>0</v>
      </c>
      <c r="GV20" s="380">
        <v>0</v>
      </c>
      <c r="GW20" s="380">
        <v>0</v>
      </c>
      <c r="GX20" s="380">
        <v>0</v>
      </c>
      <c r="GY20" s="380">
        <v>0</v>
      </c>
      <c r="GZ20" s="389">
        <v>0</v>
      </c>
      <c r="HA20" s="381">
        <f t="shared" si="52"/>
        <v>0</v>
      </c>
      <c r="HB20" s="379">
        <v>0</v>
      </c>
      <c r="HC20" s="380">
        <v>0</v>
      </c>
      <c r="HD20" s="380">
        <v>0</v>
      </c>
      <c r="HE20" s="380">
        <v>0</v>
      </c>
      <c r="HF20" s="380">
        <v>0</v>
      </c>
      <c r="HG20" s="380">
        <v>0</v>
      </c>
      <c r="HH20" s="380">
        <v>0</v>
      </c>
      <c r="HI20" s="380">
        <v>0</v>
      </c>
      <c r="HJ20" s="380">
        <v>0</v>
      </c>
      <c r="HK20" s="380">
        <v>0</v>
      </c>
      <c r="HL20" s="380">
        <v>0</v>
      </c>
      <c r="HM20" s="389">
        <v>0</v>
      </c>
      <c r="HN20" s="381">
        <f t="shared" si="54"/>
        <v>0</v>
      </c>
      <c r="HO20" s="379">
        <v>0</v>
      </c>
      <c r="HP20" s="380">
        <v>0</v>
      </c>
      <c r="HQ20" s="380">
        <v>0</v>
      </c>
      <c r="HR20" s="380">
        <v>0</v>
      </c>
      <c r="HS20" s="380">
        <v>0</v>
      </c>
      <c r="HT20" s="380">
        <v>0</v>
      </c>
      <c r="HU20" s="380">
        <v>0</v>
      </c>
      <c r="HV20" s="380">
        <v>0</v>
      </c>
      <c r="HW20" s="380">
        <v>0</v>
      </c>
      <c r="HX20" s="380">
        <v>0</v>
      </c>
      <c r="HY20" s="380">
        <v>0</v>
      </c>
      <c r="HZ20" s="389">
        <v>0</v>
      </c>
      <c r="IA20" s="379">
        <f t="shared" si="56"/>
        <v>0</v>
      </c>
      <c r="IB20" s="1344">
        <v>0</v>
      </c>
      <c r="IC20" s="120">
        <v>0</v>
      </c>
      <c r="ID20" s="120">
        <v>0</v>
      </c>
      <c r="IE20" s="120">
        <v>0</v>
      </c>
      <c r="IF20" s="120">
        <v>0</v>
      </c>
      <c r="IG20" s="120">
        <v>0</v>
      </c>
      <c r="IH20" s="120">
        <v>0</v>
      </c>
      <c r="II20" s="120">
        <v>0</v>
      </c>
      <c r="IM20" s="1345"/>
      <c r="IN20" s="1346">
        <f t="shared" si="60"/>
        <v>0</v>
      </c>
      <c r="IP20" s="371" t="str">
        <f t="shared" si="19"/>
        <v/>
      </c>
      <c r="IQ20" s="348" t="str">
        <f t="shared" si="61"/>
        <v/>
      </c>
      <c r="IR20" s="320">
        <f t="shared" si="20"/>
        <v>0</v>
      </c>
      <c r="IS20" s="344">
        <f t="shared" si="21"/>
        <v>0</v>
      </c>
      <c r="IU20" s="320"/>
    </row>
    <row r="21" spans="1:264" ht="15" customHeight="1" x14ac:dyDescent="0.2">
      <c r="A21" s="1554" t="s">
        <v>441</v>
      </c>
      <c r="B21" s="379">
        <v>0</v>
      </c>
      <c r="C21" s="380">
        <v>0</v>
      </c>
      <c r="D21" s="380">
        <v>0</v>
      </c>
      <c r="E21" s="380">
        <v>0</v>
      </c>
      <c r="F21" s="380">
        <v>0</v>
      </c>
      <c r="G21" s="380">
        <v>0</v>
      </c>
      <c r="H21" s="380">
        <v>0</v>
      </c>
      <c r="I21" s="380">
        <v>0</v>
      </c>
      <c r="J21" s="380">
        <v>0</v>
      </c>
      <c r="K21" s="380">
        <v>0</v>
      </c>
      <c r="L21" s="380">
        <v>0</v>
      </c>
      <c r="M21" s="389">
        <v>0</v>
      </c>
      <c r="N21" s="381">
        <f t="shared" si="23"/>
        <v>0</v>
      </c>
      <c r="O21" s="379">
        <v>0</v>
      </c>
      <c r="P21" s="380">
        <v>0</v>
      </c>
      <c r="Q21" s="380">
        <v>0</v>
      </c>
      <c r="R21" s="380">
        <v>0</v>
      </c>
      <c r="S21" s="380">
        <v>0</v>
      </c>
      <c r="T21" s="380">
        <v>0</v>
      </c>
      <c r="U21" s="380">
        <v>0</v>
      </c>
      <c r="V21" s="380">
        <v>0</v>
      </c>
      <c r="W21" s="380">
        <v>0</v>
      </c>
      <c r="X21" s="380">
        <v>0</v>
      </c>
      <c r="Y21" s="380">
        <v>0</v>
      </c>
      <c r="Z21" s="389">
        <v>0</v>
      </c>
      <c r="AA21" s="381">
        <f t="shared" si="25"/>
        <v>0</v>
      </c>
      <c r="AB21" s="379">
        <v>0</v>
      </c>
      <c r="AC21" s="380">
        <v>0</v>
      </c>
      <c r="AD21" s="380">
        <v>0</v>
      </c>
      <c r="AE21" s="380">
        <v>0</v>
      </c>
      <c r="AF21" s="380">
        <v>0</v>
      </c>
      <c r="AG21" s="380">
        <v>0</v>
      </c>
      <c r="AH21" s="380">
        <v>0</v>
      </c>
      <c r="AI21" s="380">
        <v>0</v>
      </c>
      <c r="AJ21" s="380">
        <v>0</v>
      </c>
      <c r="AK21" s="380">
        <v>0</v>
      </c>
      <c r="AL21" s="380">
        <v>0</v>
      </c>
      <c r="AM21" s="389">
        <v>0</v>
      </c>
      <c r="AN21" s="381">
        <f t="shared" si="81"/>
        <v>0</v>
      </c>
      <c r="AO21" s="379">
        <v>0</v>
      </c>
      <c r="AP21" s="380">
        <v>0</v>
      </c>
      <c r="AQ21" s="380">
        <v>0</v>
      </c>
      <c r="AR21" s="380">
        <v>0</v>
      </c>
      <c r="AS21" s="380">
        <v>0</v>
      </c>
      <c r="AT21" s="380">
        <v>0</v>
      </c>
      <c r="AU21" s="380">
        <v>0</v>
      </c>
      <c r="AV21" s="380">
        <v>0</v>
      </c>
      <c r="AW21" s="380">
        <v>0</v>
      </c>
      <c r="AX21" s="380">
        <v>0</v>
      </c>
      <c r="AY21" s="380">
        <v>0</v>
      </c>
      <c r="AZ21" s="389">
        <v>0</v>
      </c>
      <c r="BA21" s="381">
        <f t="shared" si="29"/>
        <v>0</v>
      </c>
      <c r="BB21" s="379">
        <v>0</v>
      </c>
      <c r="BC21" s="380">
        <v>0</v>
      </c>
      <c r="BD21" s="380">
        <v>0</v>
      </c>
      <c r="BE21" s="380">
        <v>0</v>
      </c>
      <c r="BF21" s="380">
        <v>0</v>
      </c>
      <c r="BG21" s="380">
        <v>0</v>
      </c>
      <c r="BH21" s="380">
        <v>0</v>
      </c>
      <c r="BI21" s="380">
        <v>0</v>
      </c>
      <c r="BJ21" s="380">
        <v>0</v>
      </c>
      <c r="BK21" s="380">
        <v>0</v>
      </c>
      <c r="BL21" s="380">
        <v>0</v>
      </c>
      <c r="BM21" s="389">
        <v>0</v>
      </c>
      <c r="BN21" s="381">
        <f t="shared" si="31"/>
        <v>0</v>
      </c>
      <c r="BO21" s="379">
        <v>0</v>
      </c>
      <c r="BP21" s="380">
        <v>0</v>
      </c>
      <c r="BQ21" s="380">
        <v>0</v>
      </c>
      <c r="BR21" s="380">
        <v>0</v>
      </c>
      <c r="BS21" s="380">
        <v>0</v>
      </c>
      <c r="BT21" s="380">
        <v>0</v>
      </c>
      <c r="BU21" s="380">
        <v>0</v>
      </c>
      <c r="BV21" s="380">
        <v>0</v>
      </c>
      <c r="BW21" s="380">
        <v>0</v>
      </c>
      <c r="BX21" s="380">
        <v>0</v>
      </c>
      <c r="BY21" s="380">
        <v>0</v>
      </c>
      <c r="BZ21" s="389">
        <v>0</v>
      </c>
      <c r="CA21" s="381">
        <f t="shared" si="33"/>
        <v>0</v>
      </c>
      <c r="CB21" s="379">
        <v>0</v>
      </c>
      <c r="CC21" s="380">
        <v>0</v>
      </c>
      <c r="CD21" s="380">
        <v>0</v>
      </c>
      <c r="CE21" s="380">
        <v>0</v>
      </c>
      <c r="CF21" s="380">
        <v>0</v>
      </c>
      <c r="CG21" s="380">
        <v>0</v>
      </c>
      <c r="CH21" s="380">
        <v>0</v>
      </c>
      <c r="CI21" s="380">
        <v>0</v>
      </c>
      <c r="CJ21" s="380">
        <v>0</v>
      </c>
      <c r="CK21" s="380">
        <v>0</v>
      </c>
      <c r="CL21" s="380">
        <v>0</v>
      </c>
      <c r="CM21" s="389">
        <v>0</v>
      </c>
      <c r="CN21" s="381">
        <f t="shared" si="35"/>
        <v>0</v>
      </c>
      <c r="CO21" s="379">
        <v>0</v>
      </c>
      <c r="CP21" s="380">
        <v>0</v>
      </c>
      <c r="CQ21" s="380">
        <v>0</v>
      </c>
      <c r="CR21" s="380">
        <v>0</v>
      </c>
      <c r="CS21" s="380">
        <v>0</v>
      </c>
      <c r="CT21" s="380">
        <v>0</v>
      </c>
      <c r="CU21" s="380">
        <v>0</v>
      </c>
      <c r="CV21" s="380">
        <v>0</v>
      </c>
      <c r="CW21" s="380">
        <v>0</v>
      </c>
      <c r="CX21" s="380">
        <v>0</v>
      </c>
      <c r="CY21" s="380">
        <v>0</v>
      </c>
      <c r="CZ21" s="389">
        <v>0</v>
      </c>
      <c r="DA21" s="381">
        <f t="shared" si="37"/>
        <v>0</v>
      </c>
      <c r="DB21" s="379">
        <v>0</v>
      </c>
      <c r="DC21" s="380">
        <v>0</v>
      </c>
      <c r="DD21" s="380">
        <v>0</v>
      </c>
      <c r="DE21" s="380">
        <v>0</v>
      </c>
      <c r="DF21" s="380">
        <v>0</v>
      </c>
      <c r="DG21" s="380">
        <v>0</v>
      </c>
      <c r="DH21" s="380">
        <v>0</v>
      </c>
      <c r="DI21" s="380">
        <v>0</v>
      </c>
      <c r="DJ21" s="380">
        <v>0</v>
      </c>
      <c r="DK21" s="380">
        <v>0</v>
      </c>
      <c r="DL21" s="380">
        <v>0</v>
      </c>
      <c r="DM21" s="389">
        <v>0</v>
      </c>
      <c r="DN21" s="381">
        <f t="shared" si="39"/>
        <v>0</v>
      </c>
      <c r="DO21" s="379">
        <v>0</v>
      </c>
      <c r="DP21" s="380">
        <v>0</v>
      </c>
      <c r="DQ21" s="380">
        <v>0</v>
      </c>
      <c r="DR21" s="380">
        <v>0</v>
      </c>
      <c r="DS21" s="380">
        <v>0</v>
      </c>
      <c r="DT21" s="380">
        <v>0</v>
      </c>
      <c r="DU21" s="380">
        <v>0</v>
      </c>
      <c r="DV21" s="380">
        <v>0</v>
      </c>
      <c r="DW21" s="380">
        <v>0</v>
      </c>
      <c r="DX21" s="380">
        <v>0</v>
      </c>
      <c r="DY21" s="380">
        <v>0</v>
      </c>
      <c r="DZ21" s="389">
        <v>0</v>
      </c>
      <c r="EA21" s="381">
        <f t="shared" si="41"/>
        <v>0</v>
      </c>
      <c r="EB21" s="379">
        <v>0</v>
      </c>
      <c r="EC21" s="380">
        <v>0</v>
      </c>
      <c r="ED21" s="380">
        <v>0</v>
      </c>
      <c r="EE21" s="380">
        <v>0</v>
      </c>
      <c r="EF21" s="380">
        <v>0</v>
      </c>
      <c r="EG21" s="380">
        <v>0</v>
      </c>
      <c r="EH21" s="380">
        <v>0</v>
      </c>
      <c r="EI21" s="380">
        <v>0</v>
      </c>
      <c r="EJ21" s="380">
        <v>0</v>
      </c>
      <c r="EK21" s="380">
        <v>0</v>
      </c>
      <c r="EL21" s="380">
        <v>0</v>
      </c>
      <c r="EM21" s="389">
        <v>0</v>
      </c>
      <c r="EN21" s="381">
        <f t="shared" si="43"/>
        <v>0</v>
      </c>
      <c r="EO21" s="379">
        <v>0</v>
      </c>
      <c r="EP21" s="380">
        <v>0</v>
      </c>
      <c r="EQ21" s="380">
        <v>0</v>
      </c>
      <c r="ER21" s="380">
        <v>0</v>
      </c>
      <c r="ES21" s="380">
        <v>0</v>
      </c>
      <c r="ET21" s="380">
        <v>0</v>
      </c>
      <c r="EU21" s="380">
        <v>0</v>
      </c>
      <c r="EV21" s="380">
        <v>0</v>
      </c>
      <c r="EW21" s="380">
        <v>0</v>
      </c>
      <c r="EX21" s="380">
        <v>0</v>
      </c>
      <c r="EY21" s="380">
        <v>0</v>
      </c>
      <c r="EZ21" s="389">
        <v>0</v>
      </c>
      <c r="FA21" s="381">
        <f t="shared" si="45"/>
        <v>0</v>
      </c>
      <c r="FB21" s="379">
        <v>0</v>
      </c>
      <c r="FC21" s="380">
        <v>0</v>
      </c>
      <c r="FD21" s="380">
        <v>0</v>
      </c>
      <c r="FE21" s="380">
        <v>0</v>
      </c>
      <c r="FF21" s="380">
        <v>0</v>
      </c>
      <c r="FG21" s="380">
        <v>0</v>
      </c>
      <c r="FH21" s="380">
        <v>0</v>
      </c>
      <c r="FI21" s="380">
        <v>0</v>
      </c>
      <c r="FJ21" s="380">
        <v>0</v>
      </c>
      <c r="FK21" s="380">
        <v>0</v>
      </c>
      <c r="FL21" s="380">
        <v>0</v>
      </c>
      <c r="FM21" s="389">
        <v>0</v>
      </c>
      <c r="FN21" s="381">
        <f t="shared" si="47"/>
        <v>0</v>
      </c>
      <c r="FO21" s="379">
        <v>0</v>
      </c>
      <c r="FP21" s="380">
        <v>0</v>
      </c>
      <c r="FQ21" s="380">
        <v>0</v>
      </c>
      <c r="FR21" s="380">
        <v>0</v>
      </c>
      <c r="FS21" s="380">
        <v>0</v>
      </c>
      <c r="FT21" s="380">
        <v>0</v>
      </c>
      <c r="FU21" s="380">
        <v>0</v>
      </c>
      <c r="FV21" s="380">
        <v>0</v>
      </c>
      <c r="FW21" s="380">
        <v>0</v>
      </c>
      <c r="FX21" s="380">
        <v>0</v>
      </c>
      <c r="FY21" s="380">
        <v>0</v>
      </c>
      <c r="FZ21" s="389">
        <v>0</v>
      </c>
      <c r="GA21" s="381">
        <f t="shared" si="49"/>
        <v>0</v>
      </c>
      <c r="GB21" s="379">
        <v>0</v>
      </c>
      <c r="GC21" s="380">
        <v>0</v>
      </c>
      <c r="GD21" s="380">
        <v>0</v>
      </c>
      <c r="GE21" s="380">
        <v>0</v>
      </c>
      <c r="GF21" s="380">
        <v>0</v>
      </c>
      <c r="GG21" s="380">
        <v>0</v>
      </c>
      <c r="GH21" s="380">
        <v>0</v>
      </c>
      <c r="GI21" s="380">
        <v>0</v>
      </c>
      <c r="GJ21" s="380">
        <v>0</v>
      </c>
      <c r="GK21" s="380">
        <v>0</v>
      </c>
      <c r="GL21" s="380">
        <v>0</v>
      </c>
      <c r="GM21" s="389">
        <v>0</v>
      </c>
      <c r="GN21" s="381">
        <f t="shared" si="50"/>
        <v>0</v>
      </c>
      <c r="GO21" s="379">
        <v>0</v>
      </c>
      <c r="GP21" s="380">
        <v>0</v>
      </c>
      <c r="GQ21" s="380">
        <v>0</v>
      </c>
      <c r="GR21" s="380">
        <v>0</v>
      </c>
      <c r="GS21" s="380">
        <v>0</v>
      </c>
      <c r="GT21" s="380">
        <v>0</v>
      </c>
      <c r="GU21" s="380">
        <v>0</v>
      </c>
      <c r="GV21" s="380">
        <v>0</v>
      </c>
      <c r="GW21" s="380">
        <v>0</v>
      </c>
      <c r="GX21" s="380">
        <v>0</v>
      </c>
      <c r="GY21" s="380">
        <v>0</v>
      </c>
      <c r="GZ21" s="389">
        <v>0</v>
      </c>
      <c r="HA21" s="381">
        <f t="shared" si="52"/>
        <v>0</v>
      </c>
      <c r="HB21" s="379">
        <v>0</v>
      </c>
      <c r="HC21" s="380">
        <v>0</v>
      </c>
      <c r="HD21" s="380">
        <v>0</v>
      </c>
      <c r="HE21" s="380">
        <v>0</v>
      </c>
      <c r="HF21" s="380">
        <v>0</v>
      </c>
      <c r="HG21" s="380">
        <v>0</v>
      </c>
      <c r="HH21" s="380">
        <v>0</v>
      </c>
      <c r="HI21" s="380">
        <v>0</v>
      </c>
      <c r="HJ21" s="380">
        <v>0</v>
      </c>
      <c r="HK21" s="380">
        <v>0</v>
      </c>
      <c r="HL21" s="380">
        <v>0</v>
      </c>
      <c r="HM21" s="389">
        <v>0</v>
      </c>
      <c r="HN21" s="381">
        <f t="shared" si="54"/>
        <v>0</v>
      </c>
      <c r="HO21" s="379">
        <v>0</v>
      </c>
      <c r="HP21" s="380">
        <v>0</v>
      </c>
      <c r="HQ21" s="380">
        <v>0</v>
      </c>
      <c r="HR21" s="380">
        <v>0</v>
      </c>
      <c r="HS21" s="380">
        <v>0</v>
      </c>
      <c r="HT21" s="380">
        <v>0</v>
      </c>
      <c r="HU21" s="380">
        <v>0</v>
      </c>
      <c r="HV21" s="380">
        <v>0</v>
      </c>
      <c r="HW21" s="380">
        <v>0</v>
      </c>
      <c r="HX21" s="380">
        <v>0</v>
      </c>
      <c r="HY21" s="380">
        <v>0</v>
      </c>
      <c r="HZ21" s="389">
        <v>0</v>
      </c>
      <c r="IA21" s="379">
        <f t="shared" si="56"/>
        <v>0</v>
      </c>
      <c r="IB21" s="1344">
        <v>0</v>
      </c>
      <c r="IC21" s="120">
        <v>0</v>
      </c>
      <c r="ID21" s="120">
        <v>0</v>
      </c>
      <c r="IE21" s="120">
        <v>0</v>
      </c>
      <c r="IF21" s="120">
        <v>0</v>
      </c>
      <c r="IG21" s="120">
        <v>0</v>
      </c>
      <c r="IH21" s="120">
        <v>0</v>
      </c>
      <c r="II21" s="120">
        <v>0</v>
      </c>
      <c r="IM21" s="1345"/>
      <c r="IN21" s="1346">
        <f t="shared" si="60"/>
        <v>0</v>
      </c>
      <c r="IP21" s="371" t="str">
        <f t="shared" si="19"/>
        <v/>
      </c>
      <c r="IQ21" s="348" t="str">
        <f t="shared" si="61"/>
        <v/>
      </c>
      <c r="IR21" s="320">
        <f t="shared" si="20"/>
        <v>0</v>
      </c>
      <c r="IS21" s="344">
        <f t="shared" si="21"/>
        <v>0</v>
      </c>
      <c r="IU21" s="320"/>
    </row>
    <row r="22" spans="1:264" ht="15" customHeight="1" x14ac:dyDescent="0.2">
      <c r="A22" s="342" t="s">
        <v>352</v>
      </c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0"/>
      <c r="M22" s="389"/>
      <c r="N22" s="381"/>
      <c r="O22" s="379"/>
      <c r="P22" s="380"/>
      <c r="Q22" s="380"/>
      <c r="R22" s="380"/>
      <c r="S22" s="380"/>
      <c r="T22" s="380"/>
      <c r="U22" s="380"/>
      <c r="V22" s="380"/>
      <c r="W22" s="380"/>
      <c r="X22" s="380"/>
      <c r="Y22" s="380"/>
      <c r="Z22" s="389"/>
      <c r="AA22" s="381"/>
      <c r="AB22" s="379"/>
      <c r="AC22" s="380"/>
      <c r="AD22" s="380"/>
      <c r="AE22" s="380"/>
      <c r="AF22" s="380"/>
      <c r="AG22" s="380"/>
      <c r="AH22" s="380"/>
      <c r="AI22" s="380"/>
      <c r="AJ22" s="380"/>
      <c r="AK22" s="380"/>
      <c r="AL22" s="380"/>
      <c r="AM22" s="389"/>
      <c r="AN22" s="381"/>
      <c r="AO22" s="379"/>
      <c r="AP22" s="380"/>
      <c r="AQ22" s="380"/>
      <c r="AR22" s="380"/>
      <c r="AS22" s="380"/>
      <c r="AT22" s="380"/>
      <c r="AU22" s="380"/>
      <c r="AV22" s="380"/>
      <c r="AW22" s="380"/>
      <c r="AX22" s="380"/>
      <c r="AY22" s="380"/>
      <c r="AZ22" s="389"/>
      <c r="BA22" s="381"/>
      <c r="BB22" s="379"/>
      <c r="BC22" s="380"/>
      <c r="BD22" s="380"/>
      <c r="BE22" s="380"/>
      <c r="BF22" s="380"/>
      <c r="BG22" s="380"/>
      <c r="BH22" s="380"/>
      <c r="BI22" s="380"/>
      <c r="BJ22" s="380"/>
      <c r="BK22" s="380"/>
      <c r="BL22" s="380"/>
      <c r="BM22" s="389"/>
      <c r="BN22" s="381"/>
      <c r="BO22" s="379"/>
      <c r="BP22" s="380"/>
      <c r="BQ22" s="380"/>
      <c r="BR22" s="380"/>
      <c r="BS22" s="380"/>
      <c r="BT22" s="380"/>
      <c r="BU22" s="380"/>
      <c r="BV22" s="380"/>
      <c r="BW22" s="380"/>
      <c r="BX22" s="380"/>
      <c r="BY22" s="380"/>
      <c r="BZ22" s="389"/>
      <c r="CA22" s="381"/>
      <c r="CB22" s="379"/>
      <c r="CC22" s="380"/>
      <c r="CD22" s="380"/>
      <c r="CE22" s="380"/>
      <c r="CF22" s="380"/>
      <c r="CG22" s="380"/>
      <c r="CH22" s="380"/>
      <c r="CI22" s="380"/>
      <c r="CJ22" s="380"/>
      <c r="CK22" s="380"/>
      <c r="CL22" s="380"/>
      <c r="CM22" s="389"/>
      <c r="CN22" s="381"/>
      <c r="CO22" s="379"/>
      <c r="CP22" s="380"/>
      <c r="CQ22" s="380"/>
      <c r="CR22" s="380"/>
      <c r="CS22" s="380"/>
      <c r="CT22" s="380"/>
      <c r="CU22" s="380"/>
      <c r="CV22" s="380"/>
      <c r="CW22" s="380"/>
      <c r="CX22" s="380"/>
      <c r="CY22" s="380"/>
      <c r="CZ22" s="389"/>
      <c r="DA22" s="381"/>
      <c r="DB22" s="379"/>
      <c r="DC22" s="380"/>
      <c r="DD22" s="380"/>
      <c r="DE22" s="380"/>
      <c r="DF22" s="380"/>
      <c r="DG22" s="380"/>
      <c r="DH22" s="380"/>
      <c r="DI22" s="380"/>
      <c r="DJ22" s="380"/>
      <c r="DK22" s="380"/>
      <c r="DL22" s="380"/>
      <c r="DM22" s="389"/>
      <c r="DN22" s="381"/>
      <c r="DO22" s="379"/>
      <c r="DP22" s="380"/>
      <c r="DQ22" s="380"/>
      <c r="DR22" s="380"/>
      <c r="DS22" s="380"/>
      <c r="DT22" s="380"/>
      <c r="DU22" s="380"/>
      <c r="DV22" s="380"/>
      <c r="DW22" s="380"/>
      <c r="DX22" s="380"/>
      <c r="DY22" s="380"/>
      <c r="DZ22" s="389"/>
      <c r="EA22" s="381"/>
      <c r="EB22" s="379"/>
      <c r="EC22" s="380"/>
      <c r="ED22" s="380"/>
      <c r="EE22" s="380"/>
      <c r="EF22" s="380"/>
      <c r="EG22" s="380"/>
      <c r="EH22" s="380"/>
      <c r="EI22" s="380"/>
      <c r="EJ22" s="380"/>
      <c r="EK22" s="380"/>
      <c r="EL22" s="380"/>
      <c r="EM22" s="389"/>
      <c r="EN22" s="381"/>
      <c r="EO22" s="379"/>
      <c r="EP22" s="380"/>
      <c r="EQ22" s="380"/>
      <c r="ER22" s="380"/>
      <c r="ES22" s="380"/>
      <c r="ET22" s="380"/>
      <c r="EU22" s="380"/>
      <c r="EV22" s="380"/>
      <c r="EW22" s="380"/>
      <c r="EX22" s="380"/>
      <c r="EY22" s="380"/>
      <c r="EZ22" s="389"/>
      <c r="FA22" s="381"/>
      <c r="FB22" s="379"/>
      <c r="FC22" s="380"/>
      <c r="FD22" s="380"/>
      <c r="FE22" s="380"/>
      <c r="FF22" s="380"/>
      <c r="FG22" s="380"/>
      <c r="FH22" s="380"/>
      <c r="FI22" s="380"/>
      <c r="FJ22" s="380"/>
      <c r="FK22" s="380"/>
      <c r="FL22" s="380"/>
      <c r="FM22" s="389"/>
      <c r="FN22" s="381"/>
      <c r="FO22" s="379"/>
      <c r="FP22" s="380"/>
      <c r="FQ22" s="380"/>
      <c r="FR22" s="380"/>
      <c r="FS22" s="380"/>
      <c r="FT22" s="380"/>
      <c r="FU22" s="380"/>
      <c r="FV22" s="380"/>
      <c r="FW22" s="380"/>
      <c r="FX22" s="380"/>
      <c r="FY22" s="380"/>
      <c r="FZ22" s="389"/>
      <c r="GA22" s="381"/>
      <c r="GB22" s="379"/>
      <c r="GC22" s="380"/>
      <c r="GD22" s="380"/>
      <c r="GE22" s="380"/>
      <c r="GF22" s="380"/>
      <c r="GG22" s="380"/>
      <c r="GH22" s="380"/>
      <c r="GI22" s="380"/>
      <c r="GJ22" s="380"/>
      <c r="GK22" s="380"/>
      <c r="GL22" s="380"/>
      <c r="GM22" s="389"/>
      <c r="GN22" s="381"/>
      <c r="GO22" s="379"/>
      <c r="GP22" s="380"/>
      <c r="GQ22" s="380"/>
      <c r="GR22" s="380"/>
      <c r="GS22" s="380"/>
      <c r="GT22" s="380"/>
      <c r="GU22" s="380"/>
      <c r="GV22" s="380"/>
      <c r="GW22" s="380"/>
      <c r="GX22" s="380"/>
      <c r="GY22" s="380"/>
      <c r="GZ22" s="389"/>
      <c r="HA22" s="381"/>
      <c r="HB22" s="379"/>
      <c r="HC22" s="380"/>
      <c r="HD22" s="380"/>
      <c r="HE22" s="380"/>
      <c r="HF22" s="380"/>
      <c r="HG22" s="380"/>
      <c r="HH22" s="380"/>
      <c r="HI22" s="380"/>
      <c r="HJ22" s="380"/>
      <c r="HK22" s="380"/>
      <c r="HL22" s="380"/>
      <c r="HM22" s="389"/>
      <c r="HN22" s="381"/>
      <c r="HO22" s="379"/>
      <c r="HP22" s="380"/>
      <c r="HQ22" s="380"/>
      <c r="HR22" s="380"/>
      <c r="HS22" s="380"/>
      <c r="HT22" s="380"/>
      <c r="HU22" s="380"/>
      <c r="HV22" s="380"/>
      <c r="HW22" s="380"/>
      <c r="HX22" s="380"/>
      <c r="HY22" s="380"/>
      <c r="HZ22" s="389"/>
      <c r="IA22" s="379"/>
      <c r="IB22" s="1344"/>
      <c r="IM22" s="1345"/>
      <c r="IN22" s="1346"/>
      <c r="IP22" s="371" t="str">
        <f t="shared" si="19"/>
        <v/>
      </c>
      <c r="IQ22" s="348"/>
      <c r="IR22" s="320">
        <f t="shared" si="20"/>
        <v>0</v>
      </c>
      <c r="IS22" s="344">
        <f t="shared" si="21"/>
        <v>0</v>
      </c>
    </row>
    <row r="23" spans="1:264" s="1523" customFormat="1" ht="15" customHeight="1" x14ac:dyDescent="0.2">
      <c r="A23" s="1552" t="s">
        <v>297</v>
      </c>
      <c r="B23" s="1512">
        <f t="shared" ref="B23:M23" si="96">SUM(B24:B30)</f>
        <v>20855</v>
      </c>
      <c r="C23" s="1513">
        <f t="shared" si="96"/>
        <v>18109</v>
      </c>
      <c r="D23" s="1513">
        <f t="shared" si="96"/>
        <v>22748</v>
      </c>
      <c r="E23" s="1513">
        <f t="shared" si="96"/>
        <v>68499</v>
      </c>
      <c r="F23" s="1513">
        <f t="shared" si="96"/>
        <v>26954</v>
      </c>
      <c r="G23" s="1513">
        <f t="shared" si="96"/>
        <v>48845</v>
      </c>
      <c r="H23" s="1513">
        <f t="shared" si="96"/>
        <v>24412</v>
      </c>
      <c r="I23" s="1513">
        <f t="shared" si="96"/>
        <v>23671</v>
      </c>
      <c r="J23" s="1513">
        <f t="shared" si="96"/>
        <v>21770</v>
      </c>
      <c r="K23" s="1513">
        <f t="shared" si="96"/>
        <v>70324</v>
      </c>
      <c r="L23" s="1513">
        <f t="shared" si="96"/>
        <v>73260</v>
      </c>
      <c r="M23" s="1514">
        <f t="shared" si="96"/>
        <v>43554</v>
      </c>
      <c r="N23" s="1515">
        <f t="shared" ref="N23:N28" si="97">SUM(B23:M23)</f>
        <v>463001</v>
      </c>
      <c r="O23" s="1512">
        <f t="shared" ref="O23:Z23" si="98">SUM(O24:O30)</f>
        <v>29227</v>
      </c>
      <c r="P23" s="1513">
        <f t="shared" si="98"/>
        <v>23255</v>
      </c>
      <c r="Q23" s="1513">
        <f t="shared" si="98"/>
        <v>21343</v>
      </c>
      <c r="R23" s="1513">
        <f t="shared" si="98"/>
        <v>22351</v>
      </c>
      <c r="S23" s="1513">
        <f t="shared" si="98"/>
        <v>39855</v>
      </c>
      <c r="T23" s="1513">
        <f t="shared" si="98"/>
        <v>36903</v>
      </c>
      <c r="U23" s="1513">
        <f t="shared" si="98"/>
        <v>36217</v>
      </c>
      <c r="V23" s="1513">
        <f t="shared" si="98"/>
        <v>33931</v>
      </c>
      <c r="W23" s="1513">
        <f t="shared" si="98"/>
        <v>53840</v>
      </c>
      <c r="X23" s="1513">
        <f t="shared" si="98"/>
        <v>56999</v>
      </c>
      <c r="Y23" s="1513">
        <f t="shared" si="98"/>
        <v>31931</v>
      </c>
      <c r="Z23" s="1514">
        <f t="shared" si="98"/>
        <v>57870</v>
      </c>
      <c r="AA23" s="1515">
        <f t="shared" ref="AA23:AA28" si="99">SUM(O23:Z23)</f>
        <v>443722</v>
      </c>
      <c r="AB23" s="1512">
        <f t="shared" ref="AB23:AM23" si="100">SUM(AB24:AB30)</f>
        <v>44667</v>
      </c>
      <c r="AC23" s="1513">
        <f t="shared" si="100"/>
        <v>38502</v>
      </c>
      <c r="AD23" s="1513">
        <f t="shared" si="100"/>
        <v>22920</v>
      </c>
      <c r="AE23" s="1513">
        <f t="shared" si="100"/>
        <v>50405</v>
      </c>
      <c r="AF23" s="1513">
        <f t="shared" si="100"/>
        <v>25233</v>
      </c>
      <c r="AG23" s="1513">
        <f t="shared" si="100"/>
        <v>32917</v>
      </c>
      <c r="AH23" s="1513">
        <f t="shared" si="100"/>
        <v>45246</v>
      </c>
      <c r="AI23" s="1513">
        <f t="shared" si="100"/>
        <v>30405</v>
      </c>
      <c r="AJ23" s="1513">
        <f t="shared" si="100"/>
        <v>39177</v>
      </c>
      <c r="AK23" s="1513">
        <f t="shared" si="100"/>
        <v>54465</v>
      </c>
      <c r="AL23" s="1513">
        <f t="shared" si="100"/>
        <v>39694</v>
      </c>
      <c r="AM23" s="1514">
        <f t="shared" si="100"/>
        <v>46389</v>
      </c>
      <c r="AN23" s="1515">
        <f>SUM(AB23:AM23)</f>
        <v>470020</v>
      </c>
      <c r="AO23" s="1512">
        <f t="shared" ref="AO23:AZ23" si="101">SUM(AO24:AO30)</f>
        <v>29271</v>
      </c>
      <c r="AP23" s="1513">
        <f t="shared" si="101"/>
        <v>38490</v>
      </c>
      <c r="AQ23" s="1513">
        <f t="shared" si="101"/>
        <v>30667</v>
      </c>
      <c r="AR23" s="1513">
        <f t="shared" si="101"/>
        <v>35862</v>
      </c>
      <c r="AS23" s="1513">
        <f t="shared" si="101"/>
        <v>37700</v>
      </c>
      <c r="AT23" s="1513">
        <f t="shared" si="101"/>
        <v>39257</v>
      </c>
      <c r="AU23" s="1513">
        <f t="shared" si="101"/>
        <v>41260</v>
      </c>
      <c r="AV23" s="1513">
        <f t="shared" si="101"/>
        <v>38283</v>
      </c>
      <c r="AW23" s="1513">
        <f t="shared" si="101"/>
        <v>30438</v>
      </c>
      <c r="AX23" s="1513">
        <f t="shared" si="101"/>
        <v>36666</v>
      </c>
      <c r="AY23" s="1513">
        <f t="shared" si="101"/>
        <v>31162</v>
      </c>
      <c r="AZ23" s="1514">
        <f t="shared" si="101"/>
        <v>60553</v>
      </c>
      <c r="BA23" s="1515">
        <f>SUM(AO23:AZ23)</f>
        <v>449609</v>
      </c>
      <c r="BB23" s="1512">
        <f t="shared" ref="BB23:BM23" si="102">SUM(BB24:BB28)</f>
        <v>25898</v>
      </c>
      <c r="BC23" s="1513">
        <f t="shared" si="102"/>
        <v>31044</v>
      </c>
      <c r="BD23" s="1513">
        <f t="shared" si="102"/>
        <v>28357</v>
      </c>
      <c r="BE23" s="1513">
        <f t="shared" si="102"/>
        <v>24552</v>
      </c>
      <c r="BF23" s="1513">
        <f t="shared" si="102"/>
        <v>71508</v>
      </c>
      <c r="BG23" s="1513">
        <f t="shared" si="102"/>
        <v>27650</v>
      </c>
      <c r="BH23" s="1513">
        <f t="shared" si="102"/>
        <v>56640</v>
      </c>
      <c r="BI23" s="1513">
        <f t="shared" si="102"/>
        <v>50890</v>
      </c>
      <c r="BJ23" s="1513">
        <f t="shared" si="102"/>
        <v>50529</v>
      </c>
      <c r="BK23" s="1513">
        <f t="shared" si="102"/>
        <v>65056</v>
      </c>
      <c r="BL23" s="1513">
        <f t="shared" si="102"/>
        <v>77497</v>
      </c>
      <c r="BM23" s="1514">
        <f t="shared" si="102"/>
        <v>69209</v>
      </c>
      <c r="BN23" s="1515"/>
      <c r="BO23" s="1512">
        <f t="shared" ref="BO23:BZ23" si="103">SUM(BO24:BO28)</f>
        <v>28947</v>
      </c>
      <c r="BP23" s="1513">
        <f t="shared" si="103"/>
        <v>82367</v>
      </c>
      <c r="BQ23" s="1513">
        <f t="shared" si="103"/>
        <v>55124</v>
      </c>
      <c r="BR23" s="1513">
        <f t="shared" si="103"/>
        <v>48827</v>
      </c>
      <c r="BS23" s="1513">
        <f t="shared" si="103"/>
        <v>56048</v>
      </c>
      <c r="BT23" s="1513">
        <f t="shared" si="103"/>
        <v>43361</v>
      </c>
      <c r="BU23" s="1513">
        <f t="shared" si="103"/>
        <v>43804</v>
      </c>
      <c r="BV23" s="1513">
        <f t="shared" si="103"/>
        <v>54999</v>
      </c>
      <c r="BW23" s="1513">
        <f t="shared" si="103"/>
        <v>57534</v>
      </c>
      <c r="BX23" s="1513">
        <f t="shared" si="103"/>
        <v>69008</v>
      </c>
      <c r="BY23" s="1513">
        <f t="shared" si="103"/>
        <v>64863</v>
      </c>
      <c r="BZ23" s="1514">
        <f t="shared" si="103"/>
        <v>78225</v>
      </c>
      <c r="CA23" s="1515">
        <f t="shared" ref="CA23:CA28" si="104">SUM(BO23:BZ23)</f>
        <v>683107</v>
      </c>
      <c r="CB23" s="1512">
        <f t="shared" ref="CB23:CM23" si="105">SUM(CB24:CB28)</f>
        <v>40924</v>
      </c>
      <c r="CC23" s="1513">
        <f t="shared" si="105"/>
        <v>75470</v>
      </c>
      <c r="CD23" s="1513">
        <f t="shared" si="105"/>
        <v>36399</v>
      </c>
      <c r="CE23" s="1513">
        <f t="shared" si="105"/>
        <v>60148</v>
      </c>
      <c r="CF23" s="1513">
        <f t="shared" si="105"/>
        <v>49240</v>
      </c>
      <c r="CG23" s="1513">
        <f t="shared" si="105"/>
        <v>55424</v>
      </c>
      <c r="CH23" s="1513">
        <f t="shared" si="105"/>
        <v>50684</v>
      </c>
      <c r="CI23" s="1513">
        <f t="shared" si="105"/>
        <v>62723</v>
      </c>
      <c r="CJ23" s="1513">
        <f t="shared" si="105"/>
        <v>44880</v>
      </c>
      <c r="CK23" s="1513">
        <f t="shared" si="105"/>
        <v>46555</v>
      </c>
      <c r="CL23" s="1513">
        <f t="shared" si="105"/>
        <v>35412</v>
      </c>
      <c r="CM23" s="1514">
        <f t="shared" si="105"/>
        <v>97237</v>
      </c>
      <c r="CN23" s="1515">
        <f t="shared" ref="CN23:CN28" si="106">SUM(CB23:CM23)</f>
        <v>655096</v>
      </c>
      <c r="CO23" s="1512">
        <f t="shared" ref="CO23:CZ23" si="107">SUM(CO24:CO28)</f>
        <v>61987</v>
      </c>
      <c r="CP23" s="1513">
        <f t="shared" si="107"/>
        <v>88208</v>
      </c>
      <c r="CQ23" s="1513">
        <f t="shared" si="107"/>
        <v>61099</v>
      </c>
      <c r="CR23" s="1513">
        <f t="shared" si="107"/>
        <v>45713</v>
      </c>
      <c r="CS23" s="1513">
        <f t="shared" si="107"/>
        <v>53639</v>
      </c>
      <c r="CT23" s="1513">
        <f t="shared" si="107"/>
        <v>69402</v>
      </c>
      <c r="CU23" s="1513">
        <f t="shared" si="107"/>
        <v>82817</v>
      </c>
      <c r="CV23" s="1513">
        <f t="shared" si="107"/>
        <v>73453</v>
      </c>
      <c r="CW23" s="1513">
        <f t="shared" si="107"/>
        <v>65847</v>
      </c>
      <c r="CX23" s="1513">
        <f t="shared" si="107"/>
        <v>74698</v>
      </c>
      <c r="CY23" s="1513">
        <f t="shared" si="107"/>
        <v>70885</v>
      </c>
      <c r="CZ23" s="1514">
        <f t="shared" si="107"/>
        <v>182579</v>
      </c>
      <c r="DA23" s="1515">
        <f t="shared" ref="DA23:DA28" si="108">SUM(CO23:CZ23)</f>
        <v>930327</v>
      </c>
      <c r="DB23" s="1512">
        <f t="shared" ref="DB23:DM23" si="109">SUM(DB24:DB28)</f>
        <v>77156</v>
      </c>
      <c r="DC23" s="1513">
        <f t="shared" si="109"/>
        <v>59842</v>
      </c>
      <c r="DD23" s="1513">
        <f t="shared" si="109"/>
        <v>52635</v>
      </c>
      <c r="DE23" s="1513">
        <f t="shared" si="109"/>
        <v>58665</v>
      </c>
      <c r="DF23" s="1513">
        <f t="shared" si="109"/>
        <v>59110</v>
      </c>
      <c r="DG23" s="1513">
        <f t="shared" si="109"/>
        <v>70768</v>
      </c>
      <c r="DH23" s="1513">
        <f t="shared" si="109"/>
        <v>62982</v>
      </c>
      <c r="DI23" s="1513">
        <f t="shared" si="109"/>
        <v>91772</v>
      </c>
      <c r="DJ23" s="1513">
        <f t="shared" si="109"/>
        <v>55574</v>
      </c>
      <c r="DK23" s="1513">
        <f t="shared" si="109"/>
        <v>61614</v>
      </c>
      <c r="DL23" s="1513">
        <f t="shared" si="109"/>
        <v>53441</v>
      </c>
      <c r="DM23" s="1514">
        <f t="shared" si="109"/>
        <v>120155</v>
      </c>
      <c r="DN23" s="1515">
        <f t="shared" ref="DN23:DN28" si="110">SUM(DB23:DM23)</f>
        <v>823714</v>
      </c>
      <c r="DO23" s="1512">
        <f t="shared" ref="DO23:DZ23" si="111">SUM(DO24:DO28)</f>
        <v>27171</v>
      </c>
      <c r="DP23" s="1513">
        <f t="shared" si="111"/>
        <v>69563</v>
      </c>
      <c r="DQ23" s="1513">
        <f t="shared" si="111"/>
        <v>79252</v>
      </c>
      <c r="DR23" s="1513">
        <f t="shared" si="111"/>
        <v>79379</v>
      </c>
      <c r="DS23" s="1513">
        <f t="shared" si="111"/>
        <v>143035</v>
      </c>
      <c r="DT23" s="1513">
        <f t="shared" si="111"/>
        <v>115782</v>
      </c>
      <c r="DU23" s="1513">
        <f t="shared" si="111"/>
        <v>78756</v>
      </c>
      <c r="DV23" s="1513">
        <f t="shared" si="111"/>
        <v>79345</v>
      </c>
      <c r="DW23" s="1513">
        <f t="shared" si="111"/>
        <v>61843</v>
      </c>
      <c r="DX23" s="1513">
        <f t="shared" si="111"/>
        <v>90074</v>
      </c>
      <c r="DY23" s="1513">
        <f t="shared" si="111"/>
        <v>72405</v>
      </c>
      <c r="DZ23" s="1514">
        <f t="shared" si="111"/>
        <v>136926</v>
      </c>
      <c r="EA23" s="1515">
        <f t="shared" ref="EA23:EA28" si="112">SUM(DO23:DZ23)</f>
        <v>1033531</v>
      </c>
      <c r="EB23" s="1512">
        <f t="shared" ref="EB23:EM23" si="113">SUM(EB24:EB28)</f>
        <v>67223</v>
      </c>
      <c r="EC23" s="1513">
        <f t="shared" si="113"/>
        <v>81054</v>
      </c>
      <c r="ED23" s="1513">
        <f t="shared" si="113"/>
        <v>64046</v>
      </c>
      <c r="EE23" s="1513">
        <f t="shared" si="113"/>
        <v>125614</v>
      </c>
      <c r="EF23" s="1513">
        <f t="shared" si="113"/>
        <v>76141</v>
      </c>
      <c r="EG23" s="1513">
        <f t="shared" si="113"/>
        <v>83243</v>
      </c>
      <c r="EH23" s="1513">
        <f t="shared" si="113"/>
        <v>92317</v>
      </c>
      <c r="EI23" s="1513">
        <f t="shared" si="113"/>
        <v>99083</v>
      </c>
      <c r="EJ23" s="1513">
        <f t="shared" si="113"/>
        <v>70436</v>
      </c>
      <c r="EK23" s="1513">
        <f t="shared" si="113"/>
        <v>93079</v>
      </c>
      <c r="EL23" s="1513">
        <f t="shared" si="113"/>
        <v>88679</v>
      </c>
      <c r="EM23" s="1514">
        <f t="shared" si="113"/>
        <v>284368</v>
      </c>
      <c r="EN23" s="1515">
        <f t="shared" ref="EN23:EN28" si="114">SUM(EB23:EM23)</f>
        <v>1225283</v>
      </c>
      <c r="EO23" s="1512">
        <f t="shared" ref="EO23:EZ23" si="115">SUM(EO24:EO28)</f>
        <v>86458</v>
      </c>
      <c r="EP23" s="1513">
        <f t="shared" si="115"/>
        <v>65559</v>
      </c>
      <c r="EQ23" s="1513">
        <f t="shared" si="115"/>
        <v>88258</v>
      </c>
      <c r="ER23" s="1513">
        <f t="shared" si="115"/>
        <v>91441</v>
      </c>
      <c r="ES23" s="1513">
        <f t="shared" si="115"/>
        <v>76784</v>
      </c>
      <c r="ET23" s="1513">
        <f t="shared" si="115"/>
        <v>78117</v>
      </c>
      <c r="EU23" s="1513">
        <f t="shared" si="115"/>
        <v>169326</v>
      </c>
      <c r="EV23" s="1513">
        <f t="shared" si="115"/>
        <v>84067</v>
      </c>
      <c r="EW23" s="1513">
        <f t="shared" si="115"/>
        <v>91962</v>
      </c>
      <c r="EX23" s="1513">
        <f t="shared" si="115"/>
        <v>112688</v>
      </c>
      <c r="EY23" s="1513">
        <f t="shared" si="115"/>
        <v>116325</v>
      </c>
      <c r="EZ23" s="1514">
        <f t="shared" si="115"/>
        <v>137631</v>
      </c>
      <c r="FA23" s="1515">
        <f t="shared" ref="FA23:FA28" si="116">SUM(EO23:EZ23)</f>
        <v>1198616</v>
      </c>
      <c r="FB23" s="1512">
        <f t="shared" ref="FB23:FM23" si="117">SUM(FB24:FB28)</f>
        <v>71037</v>
      </c>
      <c r="FC23" s="1513">
        <f t="shared" si="117"/>
        <v>90615</v>
      </c>
      <c r="FD23" s="1513">
        <f t="shared" si="117"/>
        <v>95204</v>
      </c>
      <c r="FE23" s="1513">
        <f t="shared" si="117"/>
        <v>157399</v>
      </c>
      <c r="FF23" s="1513">
        <f t="shared" si="117"/>
        <v>112491</v>
      </c>
      <c r="FG23" s="1513">
        <f t="shared" si="117"/>
        <v>45802</v>
      </c>
      <c r="FH23" s="1513">
        <f t="shared" si="117"/>
        <v>110908</v>
      </c>
      <c r="FI23" s="1513">
        <f t="shared" si="117"/>
        <v>151315</v>
      </c>
      <c r="FJ23" s="1513">
        <f t="shared" si="117"/>
        <v>67887</v>
      </c>
      <c r="FK23" s="1513">
        <f t="shared" si="117"/>
        <v>215662</v>
      </c>
      <c r="FL23" s="1513">
        <f t="shared" si="117"/>
        <v>133409</v>
      </c>
      <c r="FM23" s="1514">
        <f t="shared" si="117"/>
        <v>171088</v>
      </c>
      <c r="FN23" s="1515">
        <f t="shared" ref="FN23:FN28" si="118">SUM(FB23:FM23)</f>
        <v>1422817</v>
      </c>
      <c r="FO23" s="1512">
        <f t="shared" ref="FO23:GM23" si="119">SUM(FO24:FO28)</f>
        <v>52508</v>
      </c>
      <c r="FP23" s="1513">
        <f t="shared" si="119"/>
        <v>85804</v>
      </c>
      <c r="FQ23" s="1513">
        <f t="shared" si="119"/>
        <v>80851</v>
      </c>
      <c r="FR23" s="1513">
        <f t="shared" si="119"/>
        <v>109717</v>
      </c>
      <c r="FS23" s="1513">
        <f t="shared" si="119"/>
        <v>89050</v>
      </c>
      <c r="FT23" s="1513">
        <f t="shared" si="119"/>
        <v>77320</v>
      </c>
      <c r="FU23" s="1513">
        <f t="shared" si="119"/>
        <v>98216</v>
      </c>
      <c r="FV23" s="1513">
        <f t="shared" si="119"/>
        <v>69262</v>
      </c>
      <c r="FW23" s="1513">
        <f t="shared" si="119"/>
        <v>153825</v>
      </c>
      <c r="FX23" s="1513">
        <f t="shared" si="119"/>
        <v>115021</v>
      </c>
      <c r="FY23" s="1513">
        <f t="shared" si="119"/>
        <v>143574</v>
      </c>
      <c r="FZ23" s="1514">
        <f t="shared" si="119"/>
        <v>390846</v>
      </c>
      <c r="GA23" s="1515">
        <f t="shared" si="49"/>
        <v>1465994</v>
      </c>
      <c r="GB23" s="1512">
        <f t="shared" si="119"/>
        <v>66201</v>
      </c>
      <c r="GC23" s="1513">
        <f t="shared" si="119"/>
        <v>74035</v>
      </c>
      <c r="GD23" s="1513">
        <f t="shared" si="119"/>
        <v>95211</v>
      </c>
      <c r="GE23" s="1513">
        <f t="shared" si="119"/>
        <v>99404</v>
      </c>
      <c r="GF23" s="1513">
        <f t="shared" si="119"/>
        <v>99227</v>
      </c>
      <c r="GG23" s="1513">
        <f t="shared" si="119"/>
        <v>92523</v>
      </c>
      <c r="GH23" s="1513">
        <f t="shared" si="119"/>
        <v>120729</v>
      </c>
      <c r="GI23" s="1513">
        <f t="shared" si="119"/>
        <v>219232</v>
      </c>
      <c r="GJ23" s="1513">
        <f t="shared" si="119"/>
        <v>81173</v>
      </c>
      <c r="GK23" s="1513">
        <f t="shared" si="119"/>
        <v>188191</v>
      </c>
      <c r="GL23" s="1513">
        <f t="shared" si="119"/>
        <v>128510</v>
      </c>
      <c r="GM23" s="1514">
        <f t="shared" si="119"/>
        <v>256602</v>
      </c>
      <c r="GN23" s="1515">
        <f t="shared" si="50"/>
        <v>1521038</v>
      </c>
      <c r="GO23" s="1512">
        <f t="shared" ref="GO23:GZ23" si="120">SUM(GO24:GO28)</f>
        <v>78804</v>
      </c>
      <c r="GP23" s="1513">
        <f t="shared" si="120"/>
        <v>118514</v>
      </c>
      <c r="GQ23" s="1513">
        <f t="shared" si="120"/>
        <v>84167</v>
      </c>
      <c r="GR23" s="1513">
        <f t="shared" si="120"/>
        <v>113566</v>
      </c>
      <c r="GS23" s="1513">
        <f t="shared" si="120"/>
        <v>96626</v>
      </c>
      <c r="GT23" s="1513">
        <f t="shared" si="120"/>
        <v>104448</v>
      </c>
      <c r="GU23" s="1513">
        <f t="shared" si="120"/>
        <v>84853</v>
      </c>
      <c r="GV23" s="1513">
        <f t="shared" si="120"/>
        <v>106727</v>
      </c>
      <c r="GW23" s="1513">
        <f t="shared" si="120"/>
        <v>81194</v>
      </c>
      <c r="GX23" s="1513">
        <f t="shared" si="120"/>
        <v>119159</v>
      </c>
      <c r="GY23" s="1513">
        <f t="shared" si="120"/>
        <v>157378</v>
      </c>
      <c r="GZ23" s="1514">
        <f t="shared" si="120"/>
        <v>118519</v>
      </c>
      <c r="HA23" s="1515">
        <f t="shared" si="52"/>
        <v>1263955</v>
      </c>
      <c r="HB23" s="1512">
        <f t="shared" ref="HB23:HM23" si="121">SUM(HB24:HB28)</f>
        <v>56276</v>
      </c>
      <c r="HC23" s="1513">
        <f t="shared" si="121"/>
        <v>251626</v>
      </c>
      <c r="HD23" s="1513">
        <f t="shared" si="121"/>
        <v>57829</v>
      </c>
      <c r="HE23" s="1513">
        <f t="shared" si="121"/>
        <v>109119</v>
      </c>
      <c r="HF23" s="1513">
        <f t="shared" si="121"/>
        <v>152973</v>
      </c>
      <c r="HG23" s="1513">
        <f t="shared" si="121"/>
        <v>104071</v>
      </c>
      <c r="HH23" s="1513">
        <f t="shared" si="121"/>
        <v>106632</v>
      </c>
      <c r="HI23" s="1513">
        <f t="shared" si="121"/>
        <v>173687</v>
      </c>
      <c r="HJ23" s="1513">
        <f t="shared" si="121"/>
        <v>105178</v>
      </c>
      <c r="HK23" s="1513">
        <f t="shared" si="121"/>
        <v>125666</v>
      </c>
      <c r="HL23" s="1513">
        <f t="shared" si="121"/>
        <v>138099</v>
      </c>
      <c r="HM23" s="1514">
        <f t="shared" si="121"/>
        <v>195495</v>
      </c>
      <c r="HN23" s="1515">
        <f t="shared" si="54"/>
        <v>1576651</v>
      </c>
      <c r="HO23" s="1512">
        <f t="shared" ref="HO23:HZ23" si="122">SUM(HO24:HO28)</f>
        <v>65706</v>
      </c>
      <c r="HP23" s="1513">
        <f t="shared" si="122"/>
        <v>168424</v>
      </c>
      <c r="HQ23" s="1513">
        <f t="shared" si="122"/>
        <v>113110</v>
      </c>
      <c r="HR23" s="1513">
        <f t="shared" si="122"/>
        <v>152222</v>
      </c>
      <c r="HS23" s="1513">
        <f t="shared" si="122"/>
        <v>115911</v>
      </c>
      <c r="HT23" s="1513">
        <f t="shared" si="122"/>
        <v>142478</v>
      </c>
      <c r="HU23" s="1513">
        <f t="shared" si="122"/>
        <v>116314</v>
      </c>
      <c r="HV23" s="1513">
        <f t="shared" si="122"/>
        <v>119349</v>
      </c>
      <c r="HW23" s="1513">
        <f t="shared" si="122"/>
        <v>86697</v>
      </c>
      <c r="HX23" s="1513">
        <f t="shared" si="122"/>
        <v>127474</v>
      </c>
      <c r="HY23" s="1513">
        <f t="shared" si="122"/>
        <v>137235</v>
      </c>
      <c r="HZ23" s="1514">
        <f t="shared" si="122"/>
        <v>128933</v>
      </c>
      <c r="IA23" s="1512">
        <f t="shared" si="56"/>
        <v>1473853</v>
      </c>
      <c r="IB23" s="1516">
        <f t="shared" ref="IB23:IH23" si="123">SUM(IB24:IB28)</f>
        <v>134967</v>
      </c>
      <c r="IC23" s="1209">
        <f t="shared" si="123"/>
        <v>105596</v>
      </c>
      <c r="ID23" s="1209">
        <f t="shared" si="123"/>
        <v>89985</v>
      </c>
      <c r="IE23" s="1209">
        <f t="shared" si="123"/>
        <v>109292</v>
      </c>
      <c r="IF23" s="1209">
        <f t="shared" si="123"/>
        <v>114546</v>
      </c>
      <c r="IG23" s="1209">
        <f t="shared" si="123"/>
        <v>129582</v>
      </c>
      <c r="IH23" s="1209">
        <f t="shared" si="123"/>
        <v>140003</v>
      </c>
      <c r="II23" s="1209">
        <f t="shared" ref="II23" si="124">SUM(II24:II28)</f>
        <v>138407</v>
      </c>
      <c r="IJ23" s="1209"/>
      <c r="IK23" s="1209"/>
      <c r="IL23" s="1209"/>
      <c r="IM23" s="1517"/>
      <c r="IN23" s="1518">
        <f t="shared" si="60"/>
        <v>962378</v>
      </c>
      <c r="IO23" s="1422"/>
      <c r="IP23" s="1519">
        <f t="shared" si="19"/>
        <v>15.968294665225514</v>
      </c>
      <c r="IQ23" s="1520">
        <f t="shared" si="61"/>
        <v>-3.1339266482404926</v>
      </c>
      <c r="IR23" s="1521">
        <f t="shared" si="20"/>
        <v>993514</v>
      </c>
      <c r="IS23" s="1522">
        <f t="shared" si="21"/>
        <v>962378</v>
      </c>
      <c r="IV23"/>
      <c r="IW23"/>
      <c r="IX23"/>
      <c r="IY23"/>
      <c r="IZ23"/>
      <c r="JA23"/>
      <c r="JB23"/>
      <c r="JC23"/>
      <c r="JD23"/>
    </row>
    <row r="24" spans="1:264" ht="15" customHeight="1" x14ac:dyDescent="0.2">
      <c r="A24" s="1551" t="s">
        <v>429</v>
      </c>
      <c r="B24" s="379">
        <v>19779</v>
      </c>
      <c r="C24" s="380">
        <v>16313</v>
      </c>
      <c r="D24" s="380">
        <v>20457</v>
      </c>
      <c r="E24" s="380">
        <v>62695</v>
      </c>
      <c r="F24" s="380">
        <v>24597</v>
      </c>
      <c r="G24" s="380">
        <v>45839</v>
      </c>
      <c r="H24" s="380">
        <v>19468</v>
      </c>
      <c r="I24" s="380">
        <v>19619</v>
      </c>
      <c r="J24" s="380">
        <v>17843</v>
      </c>
      <c r="K24" s="380">
        <v>67801</v>
      </c>
      <c r="L24" s="380">
        <v>70559</v>
      </c>
      <c r="M24" s="389">
        <v>39724</v>
      </c>
      <c r="N24" s="381">
        <f t="shared" si="97"/>
        <v>424694</v>
      </c>
      <c r="O24" s="379">
        <v>27191</v>
      </c>
      <c r="P24" s="380">
        <v>20184</v>
      </c>
      <c r="Q24" s="380">
        <v>17760</v>
      </c>
      <c r="R24" s="380">
        <v>18786</v>
      </c>
      <c r="S24" s="380">
        <v>35392</v>
      </c>
      <c r="T24" s="380">
        <v>34367</v>
      </c>
      <c r="U24" s="380">
        <v>32532</v>
      </c>
      <c r="V24" s="380">
        <v>30256</v>
      </c>
      <c r="W24" s="380">
        <v>28906</v>
      </c>
      <c r="X24" s="380">
        <v>53484</v>
      </c>
      <c r="Y24" s="380">
        <v>28678</v>
      </c>
      <c r="Z24" s="389">
        <v>50818</v>
      </c>
      <c r="AA24" s="381">
        <f t="shared" si="99"/>
        <v>378354</v>
      </c>
      <c r="AB24" s="379">
        <v>42787</v>
      </c>
      <c r="AC24" s="380">
        <v>34706</v>
      </c>
      <c r="AD24" s="380">
        <v>19943</v>
      </c>
      <c r="AE24" s="380">
        <v>46646</v>
      </c>
      <c r="AF24" s="380">
        <v>22171</v>
      </c>
      <c r="AG24" s="380">
        <v>30857</v>
      </c>
      <c r="AH24" s="380">
        <v>37485</v>
      </c>
      <c r="AI24" s="380">
        <v>25036</v>
      </c>
      <c r="AJ24" s="380">
        <v>28056</v>
      </c>
      <c r="AK24" s="380">
        <v>47742</v>
      </c>
      <c r="AL24" s="380">
        <v>26613</v>
      </c>
      <c r="AM24" s="389">
        <v>42018</v>
      </c>
      <c r="AN24" s="381">
        <f t="shared" ref="AN24:AN29" si="125">SUM(AB24:AM24)</f>
        <v>404060</v>
      </c>
      <c r="AO24" s="379">
        <v>28249</v>
      </c>
      <c r="AP24" s="380">
        <v>31358</v>
      </c>
      <c r="AQ24" s="380">
        <v>28544</v>
      </c>
      <c r="AR24" s="380">
        <v>33786</v>
      </c>
      <c r="AS24" s="380">
        <v>35411</v>
      </c>
      <c r="AT24" s="380">
        <v>35583</v>
      </c>
      <c r="AU24" s="380">
        <v>34932</v>
      </c>
      <c r="AV24" s="380">
        <v>35048</v>
      </c>
      <c r="AW24" s="380">
        <v>28383</v>
      </c>
      <c r="AX24" s="380">
        <v>33134</v>
      </c>
      <c r="AY24" s="380">
        <v>27600</v>
      </c>
      <c r="AZ24" s="389">
        <v>52293</v>
      </c>
      <c r="BA24" s="381">
        <f t="shared" ref="BA24:BA29" si="126">SUM(AO24:AZ24)</f>
        <v>404321</v>
      </c>
      <c r="BB24" s="379">
        <v>24482</v>
      </c>
      <c r="BC24" s="380">
        <v>29047</v>
      </c>
      <c r="BD24" s="380">
        <v>25896</v>
      </c>
      <c r="BE24" s="380">
        <v>21995</v>
      </c>
      <c r="BF24" s="380">
        <v>68936</v>
      </c>
      <c r="BG24" s="380">
        <v>25158</v>
      </c>
      <c r="BH24" s="380">
        <v>53755</v>
      </c>
      <c r="BI24" s="380">
        <v>47550</v>
      </c>
      <c r="BJ24" s="380">
        <v>38223</v>
      </c>
      <c r="BK24" s="380">
        <v>60389</v>
      </c>
      <c r="BL24" s="380">
        <v>72808</v>
      </c>
      <c r="BM24" s="389">
        <v>59718</v>
      </c>
      <c r="BN24" s="381">
        <f t="shared" ref="BN24:BN29" si="127">SUM(BB24:BM24)</f>
        <v>527957</v>
      </c>
      <c r="BO24" s="379">
        <v>27012</v>
      </c>
      <c r="BP24" s="380">
        <v>80173</v>
      </c>
      <c r="BQ24" s="380">
        <v>52774</v>
      </c>
      <c r="BR24" s="380">
        <v>45997</v>
      </c>
      <c r="BS24" s="380">
        <v>53062</v>
      </c>
      <c r="BT24" s="380">
        <v>40890</v>
      </c>
      <c r="BU24" s="380">
        <v>39752</v>
      </c>
      <c r="BV24" s="380">
        <v>51019</v>
      </c>
      <c r="BW24" s="380">
        <v>54315</v>
      </c>
      <c r="BX24" s="380">
        <v>64317</v>
      </c>
      <c r="BY24" s="380">
        <v>60271</v>
      </c>
      <c r="BZ24" s="389">
        <v>71501</v>
      </c>
      <c r="CA24" s="381">
        <f t="shared" si="104"/>
        <v>641083</v>
      </c>
      <c r="CB24" s="379">
        <v>38161</v>
      </c>
      <c r="CC24" s="380">
        <v>65306</v>
      </c>
      <c r="CD24" s="380">
        <v>40797</v>
      </c>
      <c r="CE24" s="380">
        <v>56851</v>
      </c>
      <c r="CF24" s="380">
        <v>38039</v>
      </c>
      <c r="CG24" s="380">
        <v>52078</v>
      </c>
      <c r="CH24" s="380">
        <v>46543</v>
      </c>
      <c r="CI24" s="380">
        <v>58801</v>
      </c>
      <c r="CJ24" s="380">
        <v>38217</v>
      </c>
      <c r="CK24" s="380">
        <v>41308</v>
      </c>
      <c r="CL24" s="380">
        <v>31757</v>
      </c>
      <c r="CM24" s="389">
        <v>83267</v>
      </c>
      <c r="CN24" s="381">
        <f t="shared" si="106"/>
        <v>591125</v>
      </c>
      <c r="CO24" s="379">
        <v>59122</v>
      </c>
      <c r="CP24" s="380">
        <v>83544</v>
      </c>
      <c r="CQ24" s="380">
        <v>56529</v>
      </c>
      <c r="CR24" s="380">
        <v>41934</v>
      </c>
      <c r="CS24" s="380">
        <v>48156</v>
      </c>
      <c r="CT24" s="380">
        <v>60465</v>
      </c>
      <c r="CU24" s="380">
        <v>71520</v>
      </c>
      <c r="CV24" s="380">
        <v>69022</v>
      </c>
      <c r="CW24" s="380">
        <v>59491</v>
      </c>
      <c r="CX24" s="380">
        <v>63274</v>
      </c>
      <c r="CY24" s="380">
        <v>48503</v>
      </c>
      <c r="CZ24" s="389">
        <v>107134</v>
      </c>
      <c r="DA24" s="381">
        <f t="shared" si="108"/>
        <v>768694</v>
      </c>
      <c r="DB24" s="379">
        <v>69598</v>
      </c>
      <c r="DC24" s="380">
        <v>50497</v>
      </c>
      <c r="DD24" s="380">
        <v>43406</v>
      </c>
      <c r="DE24" s="380">
        <v>51367</v>
      </c>
      <c r="DF24" s="380">
        <v>51771</v>
      </c>
      <c r="DG24" s="380">
        <v>60855</v>
      </c>
      <c r="DH24" s="380">
        <v>53258</v>
      </c>
      <c r="DI24" s="380">
        <v>81096</v>
      </c>
      <c r="DJ24" s="380">
        <v>46906</v>
      </c>
      <c r="DK24" s="380">
        <v>52532</v>
      </c>
      <c r="DL24" s="380">
        <v>45665</v>
      </c>
      <c r="DM24" s="389">
        <v>102807</v>
      </c>
      <c r="DN24" s="381">
        <f t="shared" si="110"/>
        <v>709758</v>
      </c>
      <c r="DO24" s="379">
        <v>24818</v>
      </c>
      <c r="DP24" s="380">
        <v>65545</v>
      </c>
      <c r="DQ24" s="380">
        <v>72251</v>
      </c>
      <c r="DR24" s="380">
        <v>72625</v>
      </c>
      <c r="DS24" s="380">
        <v>137212</v>
      </c>
      <c r="DT24" s="380">
        <v>110339</v>
      </c>
      <c r="DU24" s="380">
        <v>64804</v>
      </c>
      <c r="DV24" s="380">
        <v>67427</v>
      </c>
      <c r="DW24" s="380">
        <v>53880</v>
      </c>
      <c r="DX24" s="380">
        <v>81218</v>
      </c>
      <c r="DY24" s="380">
        <v>58751</v>
      </c>
      <c r="DZ24" s="389">
        <v>115475</v>
      </c>
      <c r="EA24" s="381">
        <f t="shared" si="112"/>
        <v>924345</v>
      </c>
      <c r="EB24" s="379">
        <v>64652</v>
      </c>
      <c r="EC24" s="380">
        <v>78338</v>
      </c>
      <c r="ED24" s="380">
        <v>59999</v>
      </c>
      <c r="EE24" s="380">
        <v>121110</v>
      </c>
      <c r="EF24" s="380">
        <v>71081</v>
      </c>
      <c r="EG24" s="380">
        <v>76109</v>
      </c>
      <c r="EH24" s="380">
        <v>82564</v>
      </c>
      <c r="EI24" s="380">
        <v>92064</v>
      </c>
      <c r="EJ24" s="380">
        <v>66284</v>
      </c>
      <c r="EK24" s="380">
        <v>84539</v>
      </c>
      <c r="EL24" s="380">
        <v>72024</v>
      </c>
      <c r="EM24" s="389">
        <v>263794</v>
      </c>
      <c r="EN24" s="381">
        <f t="shared" si="114"/>
        <v>1132558</v>
      </c>
      <c r="EO24" s="379">
        <v>71806</v>
      </c>
      <c r="EP24" s="380">
        <v>52797</v>
      </c>
      <c r="EQ24" s="380">
        <v>60686</v>
      </c>
      <c r="ER24" s="380">
        <v>85859</v>
      </c>
      <c r="ES24" s="380">
        <v>58118</v>
      </c>
      <c r="ET24" s="380">
        <v>59105</v>
      </c>
      <c r="EU24" s="380">
        <v>101244</v>
      </c>
      <c r="EV24" s="380">
        <v>59976</v>
      </c>
      <c r="EW24" s="380">
        <v>51224</v>
      </c>
      <c r="EX24" s="380">
        <v>87941</v>
      </c>
      <c r="EY24" s="380">
        <v>90442</v>
      </c>
      <c r="EZ24" s="389">
        <v>107513</v>
      </c>
      <c r="FA24" s="381">
        <f t="shared" si="116"/>
        <v>886711</v>
      </c>
      <c r="FB24" s="379">
        <v>68305</v>
      </c>
      <c r="FC24" s="380">
        <v>86494</v>
      </c>
      <c r="FD24" s="380">
        <v>89222</v>
      </c>
      <c r="FE24" s="380">
        <v>154093</v>
      </c>
      <c r="FF24" s="380">
        <v>109313</v>
      </c>
      <c r="FG24" s="380">
        <v>43260</v>
      </c>
      <c r="FH24" s="380">
        <v>100986</v>
      </c>
      <c r="FI24" s="380">
        <v>114401</v>
      </c>
      <c r="FJ24" s="380">
        <v>57010</v>
      </c>
      <c r="FK24" s="380">
        <v>85854</v>
      </c>
      <c r="FL24" s="380">
        <v>50035</v>
      </c>
      <c r="FM24" s="389">
        <v>93416</v>
      </c>
      <c r="FN24" s="381">
        <f t="shared" si="118"/>
        <v>1052389</v>
      </c>
      <c r="FO24" s="379">
        <v>43714</v>
      </c>
      <c r="FP24" s="380">
        <v>76321</v>
      </c>
      <c r="FQ24" s="380">
        <v>49900</v>
      </c>
      <c r="FR24" s="380">
        <v>95870</v>
      </c>
      <c r="FS24" s="380">
        <v>50186</v>
      </c>
      <c r="FT24" s="380">
        <v>59277</v>
      </c>
      <c r="FU24" s="380">
        <v>71284</v>
      </c>
      <c r="FV24" s="380">
        <v>48408</v>
      </c>
      <c r="FW24" s="380">
        <v>55511</v>
      </c>
      <c r="FX24" s="380">
        <v>57387</v>
      </c>
      <c r="FY24" s="380">
        <v>84899</v>
      </c>
      <c r="FZ24" s="389">
        <v>280456</v>
      </c>
      <c r="GA24" s="381">
        <f t="shared" si="49"/>
        <v>973213</v>
      </c>
      <c r="GB24" s="379">
        <v>62923</v>
      </c>
      <c r="GC24" s="380">
        <v>67912</v>
      </c>
      <c r="GD24" s="380">
        <v>86384</v>
      </c>
      <c r="GE24" s="380">
        <v>93488</v>
      </c>
      <c r="GF24" s="380">
        <v>92297</v>
      </c>
      <c r="GG24" s="380">
        <v>85109</v>
      </c>
      <c r="GH24" s="380">
        <v>112462</v>
      </c>
      <c r="GI24" s="380">
        <v>196732</v>
      </c>
      <c r="GJ24" s="380">
        <v>72888</v>
      </c>
      <c r="GK24" s="380">
        <v>175544</v>
      </c>
      <c r="GL24" s="380">
        <v>112642</v>
      </c>
      <c r="GM24" s="389">
        <v>236194</v>
      </c>
      <c r="GN24" s="381">
        <f t="shared" si="50"/>
        <v>1394575</v>
      </c>
      <c r="GO24" s="379">
        <v>75992</v>
      </c>
      <c r="GP24" s="380">
        <v>112661</v>
      </c>
      <c r="GQ24" s="380">
        <v>78082</v>
      </c>
      <c r="GR24" s="380">
        <v>108931</v>
      </c>
      <c r="GS24" s="380">
        <v>91700</v>
      </c>
      <c r="GT24" s="380">
        <v>97743</v>
      </c>
      <c r="GU24" s="380">
        <v>74976</v>
      </c>
      <c r="GV24" s="380">
        <v>101259</v>
      </c>
      <c r="GW24" s="380">
        <v>73224</v>
      </c>
      <c r="GX24" s="380">
        <v>109780</v>
      </c>
      <c r="GY24" s="380">
        <v>146989</v>
      </c>
      <c r="GZ24" s="389">
        <v>101817</v>
      </c>
      <c r="HA24" s="381">
        <f t="shared" si="52"/>
        <v>1173154</v>
      </c>
      <c r="HB24" s="379">
        <v>43495</v>
      </c>
      <c r="HC24" s="380">
        <v>247232</v>
      </c>
      <c r="HD24" s="380">
        <v>51748</v>
      </c>
      <c r="HE24" s="380">
        <v>104240</v>
      </c>
      <c r="HF24" s="380">
        <v>137428</v>
      </c>
      <c r="HG24" s="380">
        <v>98963</v>
      </c>
      <c r="HH24" s="380">
        <v>95218</v>
      </c>
      <c r="HI24" s="380">
        <v>167254</v>
      </c>
      <c r="HJ24" s="380">
        <v>87889</v>
      </c>
      <c r="HK24" s="380">
        <v>117031</v>
      </c>
      <c r="HL24" s="380">
        <v>125707</v>
      </c>
      <c r="HM24" s="389">
        <v>177129</v>
      </c>
      <c r="HN24" s="381">
        <f t="shared" si="54"/>
        <v>1453334</v>
      </c>
      <c r="HO24" s="379">
        <v>62088</v>
      </c>
      <c r="HP24" s="380">
        <v>163386</v>
      </c>
      <c r="HQ24" s="380">
        <v>106986</v>
      </c>
      <c r="HR24" s="380">
        <v>142789</v>
      </c>
      <c r="HS24" s="380">
        <v>109250</v>
      </c>
      <c r="HT24" s="380">
        <v>134828</v>
      </c>
      <c r="HU24" s="380">
        <v>106752</v>
      </c>
      <c r="HV24" s="380">
        <v>112200</v>
      </c>
      <c r="HW24" s="380">
        <v>79288</v>
      </c>
      <c r="HX24" s="380">
        <v>110510</v>
      </c>
      <c r="HY24" s="380">
        <v>126809</v>
      </c>
      <c r="HZ24" s="389">
        <v>106196</v>
      </c>
      <c r="IA24" s="379">
        <f t="shared" si="56"/>
        <v>1361082</v>
      </c>
      <c r="IB24" s="1344">
        <v>130747</v>
      </c>
      <c r="IC24" s="120">
        <v>99478</v>
      </c>
      <c r="ID24" s="120">
        <v>82500</v>
      </c>
      <c r="IE24" s="120">
        <v>101385</v>
      </c>
      <c r="IF24" s="120">
        <v>106399</v>
      </c>
      <c r="IG24" s="120">
        <v>121858</v>
      </c>
      <c r="IH24" s="120">
        <v>127264</v>
      </c>
      <c r="II24" s="120">
        <v>123737</v>
      </c>
      <c r="IM24" s="1345"/>
      <c r="IN24" s="1346">
        <f t="shared" si="60"/>
        <v>893368</v>
      </c>
      <c r="IP24" s="371">
        <f t="shared" si="19"/>
        <v>10.282531194295895</v>
      </c>
      <c r="IQ24" s="348">
        <f t="shared" si="61"/>
        <v>-4.786529379853965</v>
      </c>
      <c r="IR24" s="320">
        <f t="shared" si="20"/>
        <v>938279</v>
      </c>
      <c r="IS24" s="344">
        <f t="shared" si="21"/>
        <v>893368</v>
      </c>
    </row>
    <row r="25" spans="1:264" ht="15" customHeight="1" x14ac:dyDescent="0.2">
      <c r="A25" s="1551" t="s">
        <v>402</v>
      </c>
      <c r="B25" s="379">
        <v>708</v>
      </c>
      <c r="C25" s="380">
        <v>921</v>
      </c>
      <c r="D25" s="380">
        <v>934</v>
      </c>
      <c r="E25" s="380">
        <v>2695</v>
      </c>
      <c r="F25" s="380">
        <v>990</v>
      </c>
      <c r="G25" s="380">
        <v>1691</v>
      </c>
      <c r="H25" s="380">
        <v>1879</v>
      </c>
      <c r="I25" s="380">
        <v>1767</v>
      </c>
      <c r="J25" s="380">
        <v>2249</v>
      </c>
      <c r="K25" s="380">
        <v>1241</v>
      </c>
      <c r="L25" s="380">
        <v>1412</v>
      </c>
      <c r="M25" s="389">
        <v>2587</v>
      </c>
      <c r="N25" s="381">
        <f t="shared" si="97"/>
        <v>19074</v>
      </c>
      <c r="O25" s="379">
        <v>987</v>
      </c>
      <c r="P25" s="380">
        <v>1080</v>
      </c>
      <c r="Q25" s="380">
        <v>1948</v>
      </c>
      <c r="R25" s="380">
        <v>1839</v>
      </c>
      <c r="S25" s="380">
        <v>2099</v>
      </c>
      <c r="T25" s="380">
        <v>1559</v>
      </c>
      <c r="U25" s="380">
        <v>1614</v>
      </c>
      <c r="V25" s="380">
        <v>1354</v>
      </c>
      <c r="W25" s="380">
        <v>1589</v>
      </c>
      <c r="X25" s="380">
        <v>1590</v>
      </c>
      <c r="Y25" s="380">
        <v>1942</v>
      </c>
      <c r="Z25" s="389">
        <v>3603</v>
      </c>
      <c r="AA25" s="381">
        <f t="shared" si="99"/>
        <v>21204</v>
      </c>
      <c r="AB25" s="379">
        <v>600</v>
      </c>
      <c r="AC25" s="380">
        <v>1648</v>
      </c>
      <c r="AD25" s="380">
        <v>1582</v>
      </c>
      <c r="AE25" s="380">
        <v>1963</v>
      </c>
      <c r="AF25" s="380">
        <v>2207</v>
      </c>
      <c r="AG25" s="380">
        <v>1540</v>
      </c>
      <c r="AH25" s="380">
        <v>6980</v>
      </c>
      <c r="AI25" s="380">
        <v>2396</v>
      </c>
      <c r="AJ25" s="380">
        <v>4059</v>
      </c>
      <c r="AK25" s="380">
        <v>2088</v>
      </c>
      <c r="AL25" s="380">
        <v>10116</v>
      </c>
      <c r="AM25" s="389">
        <v>2738</v>
      </c>
      <c r="AN25" s="381">
        <f t="shared" si="125"/>
        <v>37917</v>
      </c>
      <c r="AO25" s="379">
        <v>716</v>
      </c>
      <c r="AP25" s="380">
        <v>6444</v>
      </c>
      <c r="AQ25" s="380">
        <v>1655</v>
      </c>
      <c r="AR25" s="380">
        <v>1750</v>
      </c>
      <c r="AS25" s="380">
        <v>2146</v>
      </c>
      <c r="AT25" s="380">
        <v>3383</v>
      </c>
      <c r="AU25" s="380">
        <v>4015</v>
      </c>
      <c r="AV25" s="380">
        <v>2762</v>
      </c>
      <c r="AW25" s="380">
        <v>1760</v>
      </c>
      <c r="AX25" s="380">
        <v>1718</v>
      </c>
      <c r="AY25" s="380">
        <v>2004</v>
      </c>
      <c r="AZ25" s="389">
        <v>4377</v>
      </c>
      <c r="BA25" s="381">
        <f t="shared" si="126"/>
        <v>32730</v>
      </c>
      <c r="BB25" s="379">
        <v>1110</v>
      </c>
      <c r="BC25" s="380">
        <v>1645</v>
      </c>
      <c r="BD25" s="380">
        <v>2067</v>
      </c>
      <c r="BE25" s="380">
        <v>2108</v>
      </c>
      <c r="BF25" s="380">
        <v>2303</v>
      </c>
      <c r="BG25" s="380">
        <v>2144</v>
      </c>
      <c r="BH25" s="380">
        <v>2116</v>
      </c>
      <c r="BI25" s="380">
        <v>2050</v>
      </c>
      <c r="BJ25" s="380">
        <v>5402</v>
      </c>
      <c r="BK25" s="380">
        <v>3774</v>
      </c>
      <c r="BL25" s="380">
        <v>2922</v>
      </c>
      <c r="BM25" s="389">
        <v>5258</v>
      </c>
      <c r="BN25" s="381">
        <f t="shared" si="127"/>
        <v>32899</v>
      </c>
      <c r="BO25" s="379">
        <v>1657</v>
      </c>
      <c r="BP25" s="380">
        <v>1954</v>
      </c>
      <c r="BQ25" s="380">
        <v>2045</v>
      </c>
      <c r="BR25" s="380">
        <v>1809</v>
      </c>
      <c r="BS25" s="380">
        <v>2611</v>
      </c>
      <c r="BT25" s="380">
        <v>1397</v>
      </c>
      <c r="BU25" s="380">
        <v>2316</v>
      </c>
      <c r="BV25" s="380">
        <v>2650</v>
      </c>
      <c r="BW25" s="380">
        <v>2102</v>
      </c>
      <c r="BX25" s="380">
        <v>2640</v>
      </c>
      <c r="BY25" s="380">
        <v>2598</v>
      </c>
      <c r="BZ25" s="389">
        <v>4651</v>
      </c>
      <c r="CA25" s="381">
        <f t="shared" si="104"/>
        <v>28430</v>
      </c>
      <c r="CB25" s="379">
        <v>2395</v>
      </c>
      <c r="CC25" s="380">
        <v>2090</v>
      </c>
      <c r="CD25" s="380">
        <v>2461</v>
      </c>
      <c r="CE25" s="380">
        <v>2114</v>
      </c>
      <c r="CF25" s="380">
        <v>3208</v>
      </c>
      <c r="CG25" s="380">
        <v>2503</v>
      </c>
      <c r="CH25" s="380">
        <v>3546</v>
      </c>
      <c r="CI25" s="380">
        <v>3194</v>
      </c>
      <c r="CJ25" s="380">
        <v>2800</v>
      </c>
      <c r="CK25" s="380">
        <v>3764</v>
      </c>
      <c r="CL25" s="380">
        <v>2779</v>
      </c>
      <c r="CM25" s="389">
        <v>10028</v>
      </c>
      <c r="CN25" s="381">
        <f t="shared" si="106"/>
        <v>40882</v>
      </c>
      <c r="CO25" s="379">
        <v>2548</v>
      </c>
      <c r="CP25" s="380">
        <v>2812</v>
      </c>
      <c r="CQ25" s="380">
        <v>3230</v>
      </c>
      <c r="CR25" s="380">
        <v>2278</v>
      </c>
      <c r="CS25" s="380">
        <v>3157</v>
      </c>
      <c r="CT25" s="380">
        <v>4116</v>
      </c>
      <c r="CU25" s="380">
        <v>5067</v>
      </c>
      <c r="CV25" s="380">
        <v>2665</v>
      </c>
      <c r="CW25" s="380">
        <v>3050</v>
      </c>
      <c r="CX25" s="380">
        <v>3386</v>
      </c>
      <c r="CY25" s="380">
        <v>3450</v>
      </c>
      <c r="CZ25" s="389">
        <v>6936</v>
      </c>
      <c r="DA25" s="381">
        <f t="shared" si="108"/>
        <v>42695</v>
      </c>
      <c r="DB25" s="379">
        <v>2423</v>
      </c>
      <c r="DC25" s="380">
        <v>2654</v>
      </c>
      <c r="DD25" s="380">
        <v>3658</v>
      </c>
      <c r="DE25" s="380">
        <v>2720</v>
      </c>
      <c r="DF25" s="380">
        <v>3722</v>
      </c>
      <c r="DG25" s="380">
        <v>2727</v>
      </c>
      <c r="DH25" s="380">
        <v>3482</v>
      </c>
      <c r="DI25" s="380">
        <v>3846</v>
      </c>
      <c r="DJ25" s="380">
        <v>3824</v>
      </c>
      <c r="DK25" s="380">
        <v>3259</v>
      </c>
      <c r="DL25" s="380">
        <v>3113</v>
      </c>
      <c r="DM25" s="389">
        <v>5299</v>
      </c>
      <c r="DN25" s="381">
        <f t="shared" si="110"/>
        <v>40727</v>
      </c>
      <c r="DO25" s="379">
        <v>1833</v>
      </c>
      <c r="DP25" s="380">
        <v>2817</v>
      </c>
      <c r="DQ25" s="380">
        <v>3836</v>
      </c>
      <c r="DR25" s="380">
        <v>2699</v>
      </c>
      <c r="DS25" s="380">
        <v>3202</v>
      </c>
      <c r="DT25" s="380">
        <v>2753</v>
      </c>
      <c r="DU25" s="380">
        <v>3193</v>
      </c>
      <c r="DV25" s="380">
        <v>3008</v>
      </c>
      <c r="DW25" s="380">
        <v>3415</v>
      </c>
      <c r="DX25" s="380">
        <v>2686</v>
      </c>
      <c r="DY25" s="380">
        <v>3799</v>
      </c>
      <c r="DZ25" s="389">
        <v>6406</v>
      </c>
      <c r="EA25" s="381">
        <f t="shared" si="112"/>
        <v>39647</v>
      </c>
      <c r="EB25" s="379">
        <v>2102</v>
      </c>
      <c r="EC25" s="380">
        <v>2210</v>
      </c>
      <c r="ED25" s="380">
        <v>2666</v>
      </c>
      <c r="EE25" s="380">
        <v>2706</v>
      </c>
      <c r="EF25" s="380">
        <v>3488</v>
      </c>
      <c r="EG25" s="380">
        <v>3156</v>
      </c>
      <c r="EH25" s="380">
        <v>3607</v>
      </c>
      <c r="EI25" s="380">
        <v>2538</v>
      </c>
      <c r="EJ25" s="380">
        <v>2459</v>
      </c>
      <c r="EK25" s="380">
        <v>3352</v>
      </c>
      <c r="EL25" s="380">
        <v>3040</v>
      </c>
      <c r="EM25" s="389">
        <v>5317</v>
      </c>
      <c r="EN25" s="381">
        <f t="shared" si="114"/>
        <v>36641</v>
      </c>
      <c r="EO25" s="379">
        <v>6717</v>
      </c>
      <c r="EP25" s="380">
        <v>5285</v>
      </c>
      <c r="EQ25" s="380">
        <v>7528</v>
      </c>
      <c r="ER25" s="380">
        <v>2897</v>
      </c>
      <c r="ES25" s="380">
        <v>3677</v>
      </c>
      <c r="ET25" s="380">
        <v>3332</v>
      </c>
      <c r="EU25" s="380">
        <v>48638</v>
      </c>
      <c r="EV25" s="380">
        <v>3382</v>
      </c>
      <c r="EW25" s="380">
        <v>7017</v>
      </c>
      <c r="EX25" s="380">
        <v>3709</v>
      </c>
      <c r="EY25" s="380">
        <v>6852</v>
      </c>
      <c r="EZ25" s="389">
        <v>7951</v>
      </c>
      <c r="FA25" s="381">
        <f t="shared" si="116"/>
        <v>106985</v>
      </c>
      <c r="FB25" s="379">
        <v>2318</v>
      </c>
      <c r="FC25" s="380">
        <v>2538</v>
      </c>
      <c r="FD25" s="380">
        <v>2549</v>
      </c>
      <c r="FE25" s="380">
        <v>1737</v>
      </c>
      <c r="FF25" s="380">
        <v>2467</v>
      </c>
      <c r="FG25" s="380">
        <v>1964</v>
      </c>
      <c r="FH25" s="380">
        <v>2765</v>
      </c>
      <c r="FI25" s="380">
        <v>2042</v>
      </c>
      <c r="FJ25" s="380">
        <v>2965</v>
      </c>
      <c r="FK25" s="380">
        <v>3117</v>
      </c>
      <c r="FL25" s="380">
        <v>3530</v>
      </c>
      <c r="FM25" s="389">
        <v>5258</v>
      </c>
      <c r="FN25" s="381">
        <f t="shared" si="118"/>
        <v>33250</v>
      </c>
      <c r="FO25" s="379">
        <v>1565</v>
      </c>
      <c r="FP25" s="380">
        <v>2637</v>
      </c>
      <c r="FQ25" s="380">
        <v>2986</v>
      </c>
      <c r="FR25" s="380">
        <v>3078</v>
      </c>
      <c r="FS25" s="380">
        <v>3325</v>
      </c>
      <c r="FT25" s="380">
        <v>3001</v>
      </c>
      <c r="FU25" s="380">
        <v>6072</v>
      </c>
      <c r="FV25" s="380">
        <v>4816</v>
      </c>
      <c r="FW25" s="380">
        <v>2863</v>
      </c>
      <c r="FX25" s="380">
        <v>3850</v>
      </c>
      <c r="FY25" s="380">
        <v>4291</v>
      </c>
      <c r="FZ25" s="389">
        <v>20281</v>
      </c>
      <c r="GA25" s="381">
        <f t="shared" si="49"/>
        <v>58765</v>
      </c>
      <c r="GB25" s="379">
        <v>2069</v>
      </c>
      <c r="GC25" s="380">
        <v>3774</v>
      </c>
      <c r="GD25" s="380">
        <v>4489</v>
      </c>
      <c r="GE25" s="380">
        <v>3140</v>
      </c>
      <c r="GF25" s="380">
        <v>3686</v>
      </c>
      <c r="GG25" s="380">
        <v>3532</v>
      </c>
      <c r="GH25" s="380">
        <v>4834</v>
      </c>
      <c r="GI25" s="380">
        <v>15743</v>
      </c>
      <c r="GJ25" s="380">
        <v>5164</v>
      </c>
      <c r="GK25" s="380">
        <v>4121</v>
      </c>
      <c r="GL25" s="380">
        <v>13369</v>
      </c>
      <c r="GM25" s="389">
        <v>7955</v>
      </c>
      <c r="GN25" s="381">
        <f t="shared" si="50"/>
        <v>71876</v>
      </c>
      <c r="GO25" s="379">
        <v>455</v>
      </c>
      <c r="GP25" s="380">
        <v>1014</v>
      </c>
      <c r="GQ25" s="380">
        <v>1269</v>
      </c>
      <c r="GR25" s="380">
        <v>1119</v>
      </c>
      <c r="GS25" s="380">
        <v>1110</v>
      </c>
      <c r="GT25" s="380">
        <v>1692</v>
      </c>
      <c r="GU25" s="380">
        <v>1223</v>
      </c>
      <c r="GV25" s="380">
        <v>1183</v>
      </c>
      <c r="GW25" s="380">
        <v>1412</v>
      </c>
      <c r="GX25" s="380">
        <v>2555</v>
      </c>
      <c r="GY25" s="380">
        <v>2649</v>
      </c>
      <c r="GZ25" s="389">
        <v>4281</v>
      </c>
      <c r="HA25" s="381">
        <f t="shared" si="52"/>
        <v>19962</v>
      </c>
      <c r="HB25" s="379">
        <v>9696</v>
      </c>
      <c r="HC25" s="380">
        <v>688</v>
      </c>
      <c r="HD25" s="380">
        <v>1225</v>
      </c>
      <c r="HE25" s="380">
        <v>1167</v>
      </c>
      <c r="HF25" s="380">
        <v>9782</v>
      </c>
      <c r="HG25" s="380">
        <v>1232</v>
      </c>
      <c r="HH25" s="380">
        <v>4422</v>
      </c>
      <c r="HI25" s="380">
        <v>1614</v>
      </c>
      <c r="HJ25" s="380">
        <v>10252</v>
      </c>
      <c r="HK25" s="380">
        <v>2358</v>
      </c>
      <c r="HL25" s="380">
        <v>2627</v>
      </c>
      <c r="HM25" s="389">
        <v>4687</v>
      </c>
      <c r="HN25" s="381">
        <f t="shared" si="54"/>
        <v>49750</v>
      </c>
      <c r="HO25" s="379">
        <v>410</v>
      </c>
      <c r="HP25" s="380">
        <v>921</v>
      </c>
      <c r="HQ25" s="380">
        <v>1854</v>
      </c>
      <c r="HR25" s="380">
        <v>1410</v>
      </c>
      <c r="HS25" s="380">
        <v>1186</v>
      </c>
      <c r="HT25" s="380">
        <v>1294</v>
      </c>
      <c r="HU25" s="380">
        <v>1314</v>
      </c>
      <c r="HV25" s="380">
        <v>2023</v>
      </c>
      <c r="HW25" s="380">
        <v>2522</v>
      </c>
      <c r="HX25" s="380">
        <v>2514</v>
      </c>
      <c r="HY25" s="380">
        <v>2408</v>
      </c>
      <c r="HZ25" s="389">
        <v>4571</v>
      </c>
      <c r="IA25" s="379">
        <f t="shared" si="56"/>
        <v>22427</v>
      </c>
      <c r="IB25" s="1344">
        <v>520</v>
      </c>
      <c r="IC25" s="120">
        <v>1191</v>
      </c>
      <c r="ID25" s="120">
        <v>2174</v>
      </c>
      <c r="IE25" s="120">
        <v>2378</v>
      </c>
      <c r="IF25" s="120">
        <v>1922</v>
      </c>
      <c r="IG25" s="120">
        <v>2641</v>
      </c>
      <c r="IH25" s="120">
        <v>2503</v>
      </c>
      <c r="II25" s="120">
        <v>5937</v>
      </c>
      <c r="IM25" s="1345"/>
      <c r="IN25" s="1346">
        <f t="shared" si="60"/>
        <v>19266</v>
      </c>
      <c r="IP25" s="371">
        <f t="shared" si="19"/>
        <v>193.475037073653</v>
      </c>
      <c r="IQ25" s="348">
        <f t="shared" si="61"/>
        <v>85.03649635036497</v>
      </c>
      <c r="IR25" s="320">
        <f t="shared" si="20"/>
        <v>10412</v>
      </c>
      <c r="IS25" s="344">
        <f t="shared" si="21"/>
        <v>19266</v>
      </c>
    </row>
    <row r="26" spans="1:264" ht="15" customHeight="1" x14ac:dyDescent="0.2">
      <c r="A26" s="1551" t="s">
        <v>403</v>
      </c>
      <c r="B26" s="382">
        <v>121</v>
      </c>
      <c r="C26" s="383">
        <v>73</v>
      </c>
      <c r="D26" s="383">
        <v>217</v>
      </c>
      <c r="E26" s="383">
        <v>623</v>
      </c>
      <c r="F26" s="383">
        <v>747</v>
      </c>
      <c r="G26" s="383">
        <v>518</v>
      </c>
      <c r="H26" s="383">
        <v>1023</v>
      </c>
      <c r="I26" s="383">
        <v>1122</v>
      </c>
      <c r="J26" s="383">
        <v>828</v>
      </c>
      <c r="K26" s="383">
        <v>189</v>
      </c>
      <c r="L26" s="383">
        <v>737</v>
      </c>
      <c r="M26" s="390">
        <v>880</v>
      </c>
      <c r="N26" s="384">
        <f t="shared" si="97"/>
        <v>7078</v>
      </c>
      <c r="O26" s="382">
        <v>835</v>
      </c>
      <c r="P26" s="383">
        <v>1767</v>
      </c>
      <c r="Q26" s="383">
        <v>1367</v>
      </c>
      <c r="R26" s="383">
        <v>1437</v>
      </c>
      <c r="S26" s="383">
        <v>2083</v>
      </c>
      <c r="T26" s="383">
        <v>738</v>
      </c>
      <c r="U26" s="383">
        <v>1605</v>
      </c>
      <c r="V26" s="383">
        <v>2078</v>
      </c>
      <c r="W26" s="383">
        <v>2296</v>
      </c>
      <c r="X26" s="383">
        <v>1523</v>
      </c>
      <c r="Y26" s="383">
        <v>711</v>
      </c>
      <c r="Z26" s="390">
        <v>1580</v>
      </c>
      <c r="AA26" s="384">
        <f t="shared" si="99"/>
        <v>18020</v>
      </c>
      <c r="AB26" s="382">
        <v>1079</v>
      </c>
      <c r="AC26" s="383">
        <v>1803</v>
      </c>
      <c r="AD26" s="383">
        <v>1102</v>
      </c>
      <c r="AE26" s="383">
        <v>1492</v>
      </c>
      <c r="AF26" s="383">
        <v>572</v>
      </c>
      <c r="AG26" s="383">
        <v>206</v>
      </c>
      <c r="AH26" s="383">
        <v>431</v>
      </c>
      <c r="AI26" s="383">
        <v>263</v>
      </c>
      <c r="AJ26" s="383">
        <v>102</v>
      </c>
      <c r="AK26" s="383">
        <v>234</v>
      </c>
      <c r="AL26" s="383">
        <v>394</v>
      </c>
      <c r="AM26" s="390">
        <v>629</v>
      </c>
      <c r="AN26" s="384">
        <f t="shared" si="125"/>
        <v>8307</v>
      </c>
      <c r="AO26" s="382">
        <v>0</v>
      </c>
      <c r="AP26" s="383">
        <v>374</v>
      </c>
      <c r="AQ26" s="383">
        <v>162</v>
      </c>
      <c r="AR26" s="383">
        <v>61</v>
      </c>
      <c r="AS26" s="383">
        <v>26</v>
      </c>
      <c r="AT26" s="383">
        <v>16</v>
      </c>
      <c r="AU26" s="383">
        <v>163</v>
      </c>
      <c r="AV26" s="383">
        <v>154</v>
      </c>
      <c r="AW26" s="383">
        <v>9</v>
      </c>
      <c r="AX26" s="383">
        <v>1</v>
      </c>
      <c r="AY26" s="383">
        <v>1185</v>
      </c>
      <c r="AZ26" s="390">
        <v>781</v>
      </c>
      <c r="BA26" s="384">
        <f t="shared" si="126"/>
        <v>2932</v>
      </c>
      <c r="BB26" s="382">
        <v>60</v>
      </c>
      <c r="BC26" s="383">
        <v>90</v>
      </c>
      <c r="BD26" s="383">
        <v>139</v>
      </c>
      <c r="BE26" s="383">
        <v>57</v>
      </c>
      <c r="BF26" s="383">
        <v>12</v>
      </c>
      <c r="BG26" s="383">
        <v>147</v>
      </c>
      <c r="BH26" s="383">
        <v>440</v>
      </c>
      <c r="BI26" s="383">
        <v>381</v>
      </c>
      <c r="BJ26" s="383">
        <v>518</v>
      </c>
      <c r="BK26" s="383">
        <v>300</v>
      </c>
      <c r="BL26" s="383">
        <v>1280</v>
      </c>
      <c r="BM26" s="390">
        <v>1263</v>
      </c>
      <c r="BN26" s="384">
        <f t="shared" si="127"/>
        <v>4687</v>
      </c>
      <c r="BO26" s="382">
        <v>0</v>
      </c>
      <c r="BP26" s="383">
        <v>0</v>
      </c>
      <c r="BQ26" s="383">
        <v>0</v>
      </c>
      <c r="BR26" s="383">
        <v>742</v>
      </c>
      <c r="BS26" s="383">
        <v>103</v>
      </c>
      <c r="BT26" s="383">
        <v>143</v>
      </c>
      <c r="BU26" s="383">
        <v>478</v>
      </c>
      <c r="BV26" s="383">
        <v>364</v>
      </c>
      <c r="BW26" s="383">
        <v>394</v>
      </c>
      <c r="BX26" s="383">
        <v>741</v>
      </c>
      <c r="BY26" s="383">
        <v>841</v>
      </c>
      <c r="BZ26" s="390">
        <v>400</v>
      </c>
      <c r="CA26" s="384">
        <f t="shared" si="104"/>
        <v>4206</v>
      </c>
      <c r="CB26" s="382">
        <v>0</v>
      </c>
      <c r="CC26" s="383">
        <v>7583</v>
      </c>
      <c r="CD26" s="383">
        <v>-7532</v>
      </c>
      <c r="CE26" s="383">
        <v>668</v>
      </c>
      <c r="CF26" s="383">
        <v>7685</v>
      </c>
      <c r="CG26" s="383">
        <v>348</v>
      </c>
      <c r="CH26" s="383">
        <v>32</v>
      </c>
      <c r="CI26" s="383">
        <v>0</v>
      </c>
      <c r="CJ26" s="383">
        <v>2577</v>
      </c>
      <c r="CK26" s="383">
        <v>60</v>
      </c>
      <c r="CL26" s="383">
        <v>7</v>
      </c>
      <c r="CM26" s="390">
        <v>231</v>
      </c>
      <c r="CN26" s="384">
        <f t="shared" si="106"/>
        <v>11659</v>
      </c>
      <c r="CO26" s="382">
        <v>104</v>
      </c>
      <c r="CP26" s="383">
        <v>1354</v>
      </c>
      <c r="CQ26" s="383">
        <v>1030</v>
      </c>
      <c r="CR26" s="383">
        <v>1175</v>
      </c>
      <c r="CS26" s="383">
        <v>1892</v>
      </c>
      <c r="CT26" s="383">
        <v>3135</v>
      </c>
      <c r="CU26" s="383">
        <v>5601</v>
      </c>
      <c r="CV26" s="383">
        <v>1349</v>
      </c>
      <c r="CW26" s="383">
        <v>2867</v>
      </c>
      <c r="CX26" s="383">
        <v>2453</v>
      </c>
      <c r="CY26" s="383">
        <v>12477</v>
      </c>
      <c r="CZ26" s="390">
        <v>31195</v>
      </c>
      <c r="DA26" s="384">
        <f t="shared" si="108"/>
        <v>64632</v>
      </c>
      <c r="DB26" s="382">
        <v>4843</v>
      </c>
      <c r="DC26" s="383">
        <v>6312</v>
      </c>
      <c r="DD26" s="383">
        <v>4674</v>
      </c>
      <c r="DE26" s="383">
        <v>3978</v>
      </c>
      <c r="DF26" s="383">
        <v>2750</v>
      </c>
      <c r="DG26" s="383">
        <v>6212</v>
      </c>
      <c r="DH26" s="383">
        <v>4934</v>
      </c>
      <c r="DI26" s="383">
        <v>5982</v>
      </c>
      <c r="DJ26" s="383">
        <v>3546</v>
      </c>
      <c r="DK26" s="383">
        <v>4102</v>
      </c>
      <c r="DL26" s="383">
        <v>3840</v>
      </c>
      <c r="DM26" s="390">
        <v>9571</v>
      </c>
      <c r="DN26" s="384">
        <f t="shared" si="110"/>
        <v>60744</v>
      </c>
      <c r="DO26" s="382">
        <v>199</v>
      </c>
      <c r="DP26" s="383">
        <v>745</v>
      </c>
      <c r="DQ26" s="383">
        <v>2535</v>
      </c>
      <c r="DR26" s="383">
        <v>305</v>
      </c>
      <c r="DS26" s="383">
        <v>1340</v>
      </c>
      <c r="DT26" s="383">
        <v>1543</v>
      </c>
      <c r="DU26" s="383">
        <v>9806</v>
      </c>
      <c r="DV26" s="383">
        <v>8084</v>
      </c>
      <c r="DW26" s="383">
        <v>3715</v>
      </c>
      <c r="DX26" s="383">
        <v>5342</v>
      </c>
      <c r="DY26" s="383">
        <v>9047</v>
      </c>
      <c r="DZ26" s="390">
        <v>13677</v>
      </c>
      <c r="EA26" s="384">
        <f t="shared" si="112"/>
        <v>56338</v>
      </c>
      <c r="EB26" s="382">
        <v>5</v>
      </c>
      <c r="EC26" s="383">
        <v>148</v>
      </c>
      <c r="ED26" s="383">
        <v>488</v>
      </c>
      <c r="EE26" s="383">
        <v>1230</v>
      </c>
      <c r="EF26" s="383">
        <v>1049</v>
      </c>
      <c r="EG26" s="383">
        <v>3443</v>
      </c>
      <c r="EH26" s="383">
        <v>5020</v>
      </c>
      <c r="EI26" s="383">
        <v>3706</v>
      </c>
      <c r="EJ26" s="383">
        <v>241</v>
      </c>
      <c r="EK26" s="383">
        <v>2764</v>
      </c>
      <c r="EL26" s="383">
        <v>3890</v>
      </c>
      <c r="EM26" s="390">
        <v>6775</v>
      </c>
      <c r="EN26" s="384">
        <f t="shared" si="114"/>
        <v>28759</v>
      </c>
      <c r="EO26" s="382">
        <v>6337</v>
      </c>
      <c r="EP26" s="383">
        <v>5551</v>
      </c>
      <c r="EQ26" s="383">
        <v>4777</v>
      </c>
      <c r="ER26" s="383">
        <v>319</v>
      </c>
      <c r="ES26" s="383">
        <v>12656</v>
      </c>
      <c r="ET26" s="383">
        <v>12492</v>
      </c>
      <c r="EU26" s="383">
        <v>14354</v>
      </c>
      <c r="EV26" s="383">
        <v>13971</v>
      </c>
      <c r="EW26" s="383">
        <v>25999</v>
      </c>
      <c r="EX26" s="383">
        <v>12954</v>
      </c>
      <c r="EY26" s="383">
        <v>12967</v>
      </c>
      <c r="EZ26" s="390">
        <v>14526</v>
      </c>
      <c r="FA26" s="384">
        <f t="shared" si="116"/>
        <v>136903</v>
      </c>
      <c r="FB26" s="382">
        <v>24</v>
      </c>
      <c r="FC26" s="383">
        <v>176</v>
      </c>
      <c r="FD26" s="383">
        <v>1420</v>
      </c>
      <c r="FE26" s="383">
        <v>317</v>
      </c>
      <c r="FF26" s="383">
        <v>148</v>
      </c>
      <c r="FG26" s="383">
        <v>34</v>
      </c>
      <c r="FH26" s="383">
        <v>1382</v>
      </c>
      <c r="FI26" s="383">
        <v>29668</v>
      </c>
      <c r="FJ26" s="383">
        <v>4523</v>
      </c>
      <c r="FK26" s="383">
        <v>119417</v>
      </c>
      <c r="FL26" s="383">
        <v>74203</v>
      </c>
      <c r="FM26" s="390">
        <v>62087</v>
      </c>
      <c r="FN26" s="384">
        <f t="shared" si="118"/>
        <v>293399</v>
      </c>
      <c r="FO26" s="382">
        <v>4361</v>
      </c>
      <c r="FP26" s="383">
        <v>4944</v>
      </c>
      <c r="FQ26" s="383">
        <v>26209</v>
      </c>
      <c r="FR26" s="383">
        <v>8469</v>
      </c>
      <c r="FS26" s="383">
        <v>33322</v>
      </c>
      <c r="FT26" s="383">
        <v>13076</v>
      </c>
      <c r="FU26" s="383">
        <v>16445</v>
      </c>
      <c r="FV26" s="383">
        <v>11879</v>
      </c>
      <c r="FW26" s="383">
        <v>92104</v>
      </c>
      <c r="FX26" s="383">
        <v>51300</v>
      </c>
      <c r="FY26" s="383">
        <v>50839</v>
      </c>
      <c r="FZ26" s="390">
        <v>84452</v>
      </c>
      <c r="GA26" s="384">
        <f t="shared" si="49"/>
        <v>397400</v>
      </c>
      <c r="GB26" s="382">
        <v>7</v>
      </c>
      <c r="GC26" s="383">
        <v>1590</v>
      </c>
      <c r="GD26" s="383">
        <v>1991</v>
      </c>
      <c r="GE26" s="383">
        <v>1645</v>
      </c>
      <c r="GF26" s="383">
        <v>1021</v>
      </c>
      <c r="GG26" s="383">
        <v>2204</v>
      </c>
      <c r="GH26" s="383">
        <v>921</v>
      </c>
      <c r="GI26" s="383">
        <v>5165</v>
      </c>
      <c r="GJ26" s="383">
        <v>1838</v>
      </c>
      <c r="GK26" s="383">
        <v>2244</v>
      </c>
      <c r="GL26" s="383">
        <v>2606</v>
      </c>
      <c r="GM26" s="390">
        <v>4011</v>
      </c>
      <c r="GN26" s="384">
        <f t="shared" si="50"/>
        <v>25243</v>
      </c>
      <c r="GO26" s="382">
        <v>132</v>
      </c>
      <c r="GP26" s="383">
        <v>1357</v>
      </c>
      <c r="GQ26" s="383">
        <v>1540</v>
      </c>
      <c r="GR26" s="383">
        <v>168</v>
      </c>
      <c r="GS26" s="383">
        <v>756</v>
      </c>
      <c r="GT26" s="383">
        <v>1784</v>
      </c>
      <c r="GU26" s="383">
        <v>4411</v>
      </c>
      <c r="GV26" s="383">
        <v>1336</v>
      </c>
      <c r="GW26" s="383">
        <v>3671</v>
      </c>
      <c r="GX26" s="383">
        <v>1469</v>
      </c>
      <c r="GY26" s="383">
        <v>2362</v>
      </c>
      <c r="GZ26" s="390">
        <v>5372</v>
      </c>
      <c r="HA26" s="384">
        <f t="shared" si="52"/>
        <v>24358</v>
      </c>
      <c r="HB26" s="382">
        <v>0</v>
      </c>
      <c r="HC26" s="383">
        <v>476</v>
      </c>
      <c r="HD26" s="383">
        <v>1258</v>
      </c>
      <c r="HE26" s="383">
        <v>30</v>
      </c>
      <c r="HF26" s="383">
        <v>1720</v>
      </c>
      <c r="HG26" s="383">
        <v>42</v>
      </c>
      <c r="HH26" s="383">
        <v>95</v>
      </c>
      <c r="HI26" s="383">
        <v>440</v>
      </c>
      <c r="HJ26" s="383">
        <v>2168</v>
      </c>
      <c r="HK26" s="383">
        <v>647</v>
      </c>
      <c r="HL26" s="383">
        <v>4761</v>
      </c>
      <c r="HM26" s="390">
        <v>3631</v>
      </c>
      <c r="HN26" s="384">
        <f t="shared" si="54"/>
        <v>15268</v>
      </c>
      <c r="HO26" s="382">
        <v>0</v>
      </c>
      <c r="HP26" s="383">
        <v>200</v>
      </c>
      <c r="HQ26" s="383">
        <v>226</v>
      </c>
      <c r="HR26" s="383">
        <v>2758</v>
      </c>
      <c r="HS26" s="383">
        <v>192</v>
      </c>
      <c r="HT26" s="383">
        <v>946</v>
      </c>
      <c r="HU26" s="383">
        <v>683</v>
      </c>
      <c r="HV26" s="383">
        <v>141</v>
      </c>
      <c r="HW26" s="383">
        <v>63</v>
      </c>
      <c r="HX26" s="383">
        <v>9518</v>
      </c>
      <c r="HY26" s="383">
        <v>3455</v>
      </c>
      <c r="HZ26" s="390">
        <v>9883</v>
      </c>
      <c r="IA26" s="382">
        <f t="shared" si="56"/>
        <v>28065</v>
      </c>
      <c r="IB26" s="1344">
        <v>464</v>
      </c>
      <c r="IC26" s="120">
        <v>422</v>
      </c>
      <c r="ID26" s="120">
        <v>803</v>
      </c>
      <c r="IE26" s="120">
        <v>911</v>
      </c>
      <c r="IF26" s="120">
        <v>706</v>
      </c>
      <c r="IG26" s="120">
        <v>431</v>
      </c>
      <c r="IH26" s="120">
        <v>3573</v>
      </c>
      <c r="II26" s="120">
        <v>2551</v>
      </c>
      <c r="IM26" s="1345"/>
      <c r="IN26" s="1346">
        <f t="shared" si="60"/>
        <v>9861</v>
      </c>
      <c r="IP26" s="371">
        <f t="shared" si="19"/>
        <v>1709.2198581560283</v>
      </c>
      <c r="IQ26" s="348">
        <f t="shared" si="61"/>
        <v>91.624562767197816</v>
      </c>
      <c r="IR26" s="320">
        <f t="shared" si="20"/>
        <v>5146</v>
      </c>
      <c r="IS26" s="344">
        <f t="shared" si="21"/>
        <v>9861</v>
      </c>
    </row>
    <row r="27" spans="1:264" ht="15" customHeight="1" x14ac:dyDescent="0.2">
      <c r="A27" s="1551" t="s">
        <v>328</v>
      </c>
      <c r="B27" s="379">
        <v>36</v>
      </c>
      <c r="C27" s="380">
        <v>600</v>
      </c>
      <c r="D27" s="380">
        <v>942</v>
      </c>
      <c r="E27" s="380">
        <v>2316</v>
      </c>
      <c r="F27" s="380">
        <v>433</v>
      </c>
      <c r="G27" s="380">
        <v>608</v>
      </c>
      <c r="H27" s="380">
        <v>1751</v>
      </c>
      <c r="I27" s="380">
        <v>952</v>
      </c>
      <c r="J27" s="380">
        <v>677</v>
      </c>
      <c r="K27" s="380">
        <v>703</v>
      </c>
      <c r="L27" s="380">
        <v>340</v>
      </c>
      <c r="M27" s="389">
        <v>115</v>
      </c>
      <c r="N27" s="381">
        <f t="shared" si="97"/>
        <v>9473</v>
      </c>
      <c r="O27" s="379">
        <v>0</v>
      </c>
      <c r="P27" s="380">
        <v>11</v>
      </c>
      <c r="Q27" s="380">
        <v>94</v>
      </c>
      <c r="R27" s="380">
        <v>107</v>
      </c>
      <c r="S27" s="380">
        <v>38</v>
      </c>
      <c r="T27" s="380">
        <v>40</v>
      </c>
      <c r="U27" s="380">
        <v>225</v>
      </c>
      <c r="V27" s="380">
        <v>16</v>
      </c>
      <c r="W27" s="380">
        <v>20829</v>
      </c>
      <c r="X27" s="380">
        <v>132</v>
      </c>
      <c r="Y27" s="380">
        <v>153</v>
      </c>
      <c r="Z27" s="389">
        <v>153</v>
      </c>
      <c r="AA27" s="381">
        <f t="shared" si="99"/>
        <v>21798</v>
      </c>
      <c r="AB27" s="379">
        <v>0</v>
      </c>
      <c r="AC27" s="380">
        <v>89</v>
      </c>
      <c r="AD27" s="380">
        <v>62</v>
      </c>
      <c r="AE27" s="380">
        <v>80</v>
      </c>
      <c r="AF27" s="380">
        <v>50</v>
      </c>
      <c r="AG27" s="380">
        <v>36</v>
      </c>
      <c r="AH27" s="380">
        <v>41</v>
      </c>
      <c r="AI27" s="380">
        <v>65</v>
      </c>
      <c r="AJ27" s="380">
        <v>57</v>
      </c>
      <c r="AK27" s="380">
        <v>124</v>
      </c>
      <c r="AL27" s="380">
        <v>150</v>
      </c>
      <c r="AM27" s="389">
        <v>168</v>
      </c>
      <c r="AN27" s="381">
        <f t="shared" si="125"/>
        <v>922</v>
      </c>
      <c r="AO27" s="379">
        <v>0</v>
      </c>
      <c r="AP27" s="380">
        <v>32</v>
      </c>
      <c r="AQ27" s="380">
        <v>13</v>
      </c>
      <c r="AR27" s="380">
        <v>11</v>
      </c>
      <c r="AS27" s="380">
        <v>49</v>
      </c>
      <c r="AT27" s="380">
        <v>24</v>
      </c>
      <c r="AU27" s="380">
        <v>34</v>
      </c>
      <c r="AV27" s="380">
        <v>-1</v>
      </c>
      <c r="AW27" s="380">
        <v>0</v>
      </c>
      <c r="AX27" s="380">
        <v>0</v>
      </c>
      <c r="AY27" s="380">
        <v>0</v>
      </c>
      <c r="AZ27" s="389">
        <v>110</v>
      </c>
      <c r="BA27" s="381">
        <f t="shared" si="126"/>
        <v>272</v>
      </c>
      <c r="BB27" s="379">
        <v>0</v>
      </c>
      <c r="BC27" s="380">
        <v>20</v>
      </c>
      <c r="BD27" s="380">
        <v>30</v>
      </c>
      <c r="BE27" s="380">
        <v>174</v>
      </c>
      <c r="BF27" s="380">
        <v>29</v>
      </c>
      <c r="BG27" s="380">
        <v>24</v>
      </c>
      <c r="BH27" s="380">
        <v>49</v>
      </c>
      <c r="BI27" s="380">
        <v>627</v>
      </c>
      <c r="BJ27" s="380">
        <v>5750</v>
      </c>
      <c r="BK27" s="380">
        <v>523</v>
      </c>
      <c r="BL27" s="380">
        <v>185</v>
      </c>
      <c r="BM27" s="389">
        <v>1663</v>
      </c>
      <c r="BN27" s="381">
        <f t="shared" si="127"/>
        <v>9074</v>
      </c>
      <c r="BO27" s="379">
        <v>57</v>
      </c>
      <c r="BP27" s="380">
        <v>46</v>
      </c>
      <c r="BQ27" s="380">
        <v>46</v>
      </c>
      <c r="BR27" s="380">
        <v>49</v>
      </c>
      <c r="BS27" s="380">
        <v>52</v>
      </c>
      <c r="BT27" s="380">
        <v>731</v>
      </c>
      <c r="BU27" s="380">
        <v>915</v>
      </c>
      <c r="BV27" s="380">
        <v>742</v>
      </c>
      <c r="BW27" s="380">
        <v>389</v>
      </c>
      <c r="BX27" s="380">
        <v>475</v>
      </c>
      <c r="BY27" s="380">
        <v>545</v>
      </c>
      <c r="BZ27" s="389">
        <v>921</v>
      </c>
      <c r="CA27" s="381">
        <f t="shared" si="104"/>
        <v>4968</v>
      </c>
      <c r="CB27" s="379">
        <v>77</v>
      </c>
      <c r="CC27" s="380">
        <v>223</v>
      </c>
      <c r="CD27" s="380">
        <v>308</v>
      </c>
      <c r="CE27" s="380">
        <v>102</v>
      </c>
      <c r="CF27" s="380">
        <v>-60</v>
      </c>
      <c r="CG27" s="380">
        <v>29</v>
      </c>
      <c r="CH27" s="380">
        <v>67</v>
      </c>
      <c r="CI27" s="380">
        <v>148</v>
      </c>
      <c r="CJ27" s="380">
        <v>42</v>
      </c>
      <c r="CK27" s="380">
        <v>198</v>
      </c>
      <c r="CL27" s="380">
        <v>252</v>
      </c>
      <c r="CM27" s="389">
        <v>2182</v>
      </c>
      <c r="CN27" s="381">
        <f t="shared" si="106"/>
        <v>3568</v>
      </c>
      <c r="CO27" s="379">
        <v>40</v>
      </c>
      <c r="CP27" s="380">
        <v>118</v>
      </c>
      <c r="CQ27" s="380">
        <v>89</v>
      </c>
      <c r="CR27" s="380">
        <v>128</v>
      </c>
      <c r="CS27" s="380">
        <v>176</v>
      </c>
      <c r="CT27" s="380">
        <v>65</v>
      </c>
      <c r="CU27" s="380">
        <v>288</v>
      </c>
      <c r="CV27" s="380">
        <v>143</v>
      </c>
      <c r="CW27" s="380">
        <v>163</v>
      </c>
      <c r="CX27" s="380">
        <v>609</v>
      </c>
      <c r="CY27" s="380">
        <v>2696</v>
      </c>
      <c r="CZ27" s="389">
        <v>36150</v>
      </c>
      <c r="DA27" s="381">
        <f t="shared" si="108"/>
        <v>40665</v>
      </c>
      <c r="DB27" s="379">
        <v>44</v>
      </c>
      <c r="DC27" s="380">
        <v>103</v>
      </c>
      <c r="DD27" s="380">
        <v>218</v>
      </c>
      <c r="DE27" s="380">
        <v>340</v>
      </c>
      <c r="DF27" s="380">
        <v>456</v>
      </c>
      <c r="DG27" s="380">
        <v>353</v>
      </c>
      <c r="DH27" s="380">
        <v>513</v>
      </c>
      <c r="DI27" s="380">
        <v>573</v>
      </c>
      <c r="DJ27" s="380">
        <v>862</v>
      </c>
      <c r="DK27" s="380">
        <v>576</v>
      </c>
      <c r="DL27" s="380">
        <v>509</v>
      </c>
      <c r="DM27" s="389">
        <v>550</v>
      </c>
      <c r="DN27" s="381">
        <f t="shared" si="110"/>
        <v>5097</v>
      </c>
      <c r="DO27" s="379">
        <v>95</v>
      </c>
      <c r="DP27" s="380">
        <v>260</v>
      </c>
      <c r="DQ27" s="380">
        <v>428</v>
      </c>
      <c r="DR27" s="380">
        <v>3498</v>
      </c>
      <c r="DS27" s="380">
        <v>323</v>
      </c>
      <c r="DT27" s="380">
        <v>386</v>
      </c>
      <c r="DU27" s="380">
        <v>576</v>
      </c>
      <c r="DV27" s="380">
        <v>769</v>
      </c>
      <c r="DW27" s="380">
        <v>705</v>
      </c>
      <c r="DX27" s="380">
        <v>772</v>
      </c>
      <c r="DY27" s="380">
        <v>750</v>
      </c>
      <c r="DZ27" s="389">
        <v>773</v>
      </c>
      <c r="EA27" s="381">
        <f t="shared" si="112"/>
        <v>9335</v>
      </c>
      <c r="EB27" s="379">
        <v>47</v>
      </c>
      <c r="EC27" s="380">
        <v>120</v>
      </c>
      <c r="ED27" s="380">
        <v>602</v>
      </c>
      <c r="EE27" s="380">
        <v>315</v>
      </c>
      <c r="EF27" s="380">
        <v>281</v>
      </c>
      <c r="EG27" s="380">
        <v>361</v>
      </c>
      <c r="EH27" s="380">
        <v>207</v>
      </c>
      <c r="EI27" s="380">
        <v>297</v>
      </c>
      <c r="EJ27" s="380">
        <v>798</v>
      </c>
      <c r="EK27" s="380">
        <v>957</v>
      </c>
      <c r="EL27" s="380">
        <v>845</v>
      </c>
      <c r="EM27" s="389">
        <v>1309</v>
      </c>
      <c r="EN27" s="381">
        <f t="shared" si="114"/>
        <v>6139</v>
      </c>
      <c r="EO27" s="379">
        <v>90</v>
      </c>
      <c r="EP27" s="380">
        <v>111</v>
      </c>
      <c r="EQ27" s="380">
        <v>436</v>
      </c>
      <c r="ER27" s="380">
        <v>465</v>
      </c>
      <c r="ES27" s="380">
        <v>667</v>
      </c>
      <c r="ET27" s="380">
        <v>1020</v>
      </c>
      <c r="EU27" s="380">
        <v>842</v>
      </c>
      <c r="EV27" s="380">
        <v>1701</v>
      </c>
      <c r="EW27" s="380">
        <v>569</v>
      </c>
      <c r="EX27" s="380">
        <v>1152</v>
      </c>
      <c r="EY27" s="380">
        <v>987</v>
      </c>
      <c r="EZ27" s="389">
        <v>1936</v>
      </c>
      <c r="FA27" s="381">
        <f t="shared" si="116"/>
        <v>9976</v>
      </c>
      <c r="FB27" s="379">
        <v>65</v>
      </c>
      <c r="FC27" s="380">
        <v>84</v>
      </c>
      <c r="FD27" s="380">
        <v>84</v>
      </c>
      <c r="FE27" s="380">
        <v>134</v>
      </c>
      <c r="FF27" s="380">
        <v>146</v>
      </c>
      <c r="FG27" s="380">
        <v>120</v>
      </c>
      <c r="FH27" s="380">
        <v>155</v>
      </c>
      <c r="FI27" s="380">
        <v>168</v>
      </c>
      <c r="FJ27" s="380">
        <v>194</v>
      </c>
      <c r="FK27" s="380">
        <v>1864</v>
      </c>
      <c r="FL27" s="380">
        <v>2082</v>
      </c>
      <c r="FM27" s="389">
        <v>3283</v>
      </c>
      <c r="FN27" s="381">
        <f t="shared" si="118"/>
        <v>8379</v>
      </c>
      <c r="FO27" s="379">
        <v>86</v>
      </c>
      <c r="FP27" s="380">
        <v>96</v>
      </c>
      <c r="FQ27" s="380">
        <v>231</v>
      </c>
      <c r="FR27" s="380">
        <v>872</v>
      </c>
      <c r="FS27" s="380">
        <v>502</v>
      </c>
      <c r="FT27" s="380">
        <v>238</v>
      </c>
      <c r="FU27" s="380">
        <v>1128</v>
      </c>
      <c r="FV27" s="380">
        <v>1778</v>
      </c>
      <c r="FW27" s="380">
        <v>616</v>
      </c>
      <c r="FX27" s="380">
        <v>304</v>
      </c>
      <c r="FY27" s="380">
        <v>392</v>
      </c>
      <c r="FZ27" s="389">
        <v>1761</v>
      </c>
      <c r="GA27" s="381">
        <f t="shared" si="49"/>
        <v>8004</v>
      </c>
      <c r="GB27" s="379">
        <v>77</v>
      </c>
      <c r="GC27" s="380">
        <v>235</v>
      </c>
      <c r="GD27" s="380">
        <v>1355</v>
      </c>
      <c r="GE27" s="380">
        <v>150</v>
      </c>
      <c r="GF27" s="380">
        <v>773</v>
      </c>
      <c r="GG27" s="380">
        <v>144</v>
      </c>
      <c r="GH27" s="380">
        <v>589</v>
      </c>
      <c r="GI27" s="380">
        <v>234</v>
      </c>
      <c r="GJ27" s="380">
        <v>237</v>
      </c>
      <c r="GK27" s="380">
        <v>4463</v>
      </c>
      <c r="GL27" s="380">
        <v>-1477</v>
      </c>
      <c r="GM27" s="389">
        <v>3818</v>
      </c>
      <c r="GN27" s="381">
        <f t="shared" si="50"/>
        <v>10598</v>
      </c>
      <c r="GO27" s="379">
        <v>134</v>
      </c>
      <c r="GP27" s="380">
        <v>157</v>
      </c>
      <c r="GQ27" s="380">
        <v>604</v>
      </c>
      <c r="GR27" s="380">
        <v>172</v>
      </c>
      <c r="GS27" s="380">
        <v>526</v>
      </c>
      <c r="GT27" s="380">
        <v>302</v>
      </c>
      <c r="GU27" s="380">
        <v>189</v>
      </c>
      <c r="GV27" s="380">
        <v>275</v>
      </c>
      <c r="GW27" s="380">
        <v>363</v>
      </c>
      <c r="GX27" s="380">
        <v>2315</v>
      </c>
      <c r="GY27" s="380">
        <v>2089</v>
      </c>
      <c r="GZ27" s="389">
        <v>2873</v>
      </c>
      <c r="HA27" s="381">
        <f t="shared" si="52"/>
        <v>9999</v>
      </c>
      <c r="HB27" s="379">
        <v>858</v>
      </c>
      <c r="HC27" s="380">
        <v>1003</v>
      </c>
      <c r="HD27" s="380">
        <v>1060</v>
      </c>
      <c r="HE27" s="380">
        <v>1285</v>
      </c>
      <c r="HF27" s="380">
        <v>1403</v>
      </c>
      <c r="HG27" s="380">
        <v>1324</v>
      </c>
      <c r="HH27" s="380">
        <v>2390</v>
      </c>
      <c r="HI27" s="380">
        <v>1616</v>
      </c>
      <c r="HJ27" s="380">
        <v>2276</v>
      </c>
      <c r="HK27" s="380">
        <v>2860</v>
      </c>
      <c r="HL27" s="380">
        <v>2225</v>
      </c>
      <c r="HM27" s="389">
        <v>3798</v>
      </c>
      <c r="HN27" s="381">
        <f t="shared" si="54"/>
        <v>22098</v>
      </c>
      <c r="HO27" s="379">
        <v>163</v>
      </c>
      <c r="HP27" s="380">
        <v>335</v>
      </c>
      <c r="HQ27" s="380">
        <v>503</v>
      </c>
      <c r="HR27" s="380">
        <v>893</v>
      </c>
      <c r="HS27" s="380">
        <v>533</v>
      </c>
      <c r="HT27" s="380">
        <v>615</v>
      </c>
      <c r="HU27" s="380">
        <v>474</v>
      </c>
      <c r="HV27" s="380">
        <v>910</v>
      </c>
      <c r="HW27" s="380">
        <v>1045</v>
      </c>
      <c r="HX27" s="380">
        <v>1113</v>
      </c>
      <c r="HY27" s="380">
        <v>1142</v>
      </c>
      <c r="HZ27" s="389">
        <v>2856</v>
      </c>
      <c r="IA27" s="379">
        <f t="shared" si="56"/>
        <v>10582</v>
      </c>
      <c r="IB27" s="1344">
        <v>252</v>
      </c>
      <c r="IC27" s="120">
        <v>699</v>
      </c>
      <c r="ID27" s="120">
        <v>592</v>
      </c>
      <c r="IE27" s="120">
        <v>794</v>
      </c>
      <c r="IF27" s="120">
        <v>1196</v>
      </c>
      <c r="IG27" s="120">
        <v>744</v>
      </c>
      <c r="IH27" s="120">
        <v>631</v>
      </c>
      <c r="II27" s="120">
        <v>480</v>
      </c>
      <c r="IM27" s="1345"/>
      <c r="IN27" s="1346">
        <f t="shared" si="60"/>
        <v>5388</v>
      </c>
      <c r="IP27" s="371">
        <f t="shared" si="19"/>
        <v>-47.252747252747248</v>
      </c>
      <c r="IQ27" s="348">
        <f t="shared" si="61"/>
        <v>21.735201084500687</v>
      </c>
      <c r="IR27" s="320">
        <f t="shared" si="20"/>
        <v>4426</v>
      </c>
      <c r="IS27" s="344">
        <f t="shared" si="21"/>
        <v>5388</v>
      </c>
    </row>
    <row r="28" spans="1:264" ht="15" customHeight="1" x14ac:dyDescent="0.2">
      <c r="A28" s="1551" t="s">
        <v>401</v>
      </c>
      <c r="B28" s="379">
        <v>211</v>
      </c>
      <c r="C28" s="380">
        <v>202</v>
      </c>
      <c r="D28" s="380">
        <v>198</v>
      </c>
      <c r="E28" s="380">
        <v>170</v>
      </c>
      <c r="F28" s="380">
        <v>187</v>
      </c>
      <c r="G28" s="380">
        <v>189</v>
      </c>
      <c r="H28" s="380">
        <v>291</v>
      </c>
      <c r="I28" s="380">
        <v>211</v>
      </c>
      <c r="J28" s="380">
        <v>173</v>
      </c>
      <c r="K28" s="380">
        <v>390</v>
      </c>
      <c r="L28" s="380">
        <v>212</v>
      </c>
      <c r="M28" s="389">
        <v>248</v>
      </c>
      <c r="N28" s="381">
        <f t="shared" si="97"/>
        <v>2682</v>
      </c>
      <c r="O28" s="379">
        <v>214</v>
      </c>
      <c r="P28" s="380">
        <v>213</v>
      </c>
      <c r="Q28" s="380">
        <v>174</v>
      </c>
      <c r="R28" s="380">
        <v>182</v>
      </c>
      <c r="S28" s="380">
        <v>243</v>
      </c>
      <c r="T28" s="380">
        <v>199</v>
      </c>
      <c r="U28" s="380">
        <v>241</v>
      </c>
      <c r="V28" s="380">
        <v>227</v>
      </c>
      <c r="W28" s="380">
        <v>220</v>
      </c>
      <c r="X28" s="380">
        <v>270</v>
      </c>
      <c r="Y28" s="380">
        <v>447</v>
      </c>
      <c r="Z28" s="389">
        <v>1716</v>
      </c>
      <c r="AA28" s="381">
        <f t="shared" si="99"/>
        <v>4346</v>
      </c>
      <c r="AB28" s="379">
        <v>201</v>
      </c>
      <c r="AC28" s="380">
        <v>256</v>
      </c>
      <c r="AD28" s="380">
        <v>231</v>
      </c>
      <c r="AE28" s="380">
        <v>224</v>
      </c>
      <c r="AF28" s="380">
        <v>233</v>
      </c>
      <c r="AG28" s="380">
        <v>278</v>
      </c>
      <c r="AH28" s="380">
        <v>309</v>
      </c>
      <c r="AI28" s="380">
        <v>2645</v>
      </c>
      <c r="AJ28" s="380">
        <v>6903</v>
      </c>
      <c r="AK28" s="380">
        <v>4277</v>
      </c>
      <c r="AL28" s="380">
        <v>2421</v>
      </c>
      <c r="AM28" s="389">
        <v>836</v>
      </c>
      <c r="AN28" s="381">
        <f t="shared" si="125"/>
        <v>18814</v>
      </c>
      <c r="AO28" s="379">
        <v>306</v>
      </c>
      <c r="AP28" s="380">
        <v>282</v>
      </c>
      <c r="AQ28" s="380">
        <v>293</v>
      </c>
      <c r="AR28" s="380">
        <v>254</v>
      </c>
      <c r="AS28" s="380">
        <v>68</v>
      </c>
      <c r="AT28" s="380">
        <v>251</v>
      </c>
      <c r="AU28" s="380">
        <v>2116</v>
      </c>
      <c r="AV28" s="380">
        <v>320</v>
      </c>
      <c r="AW28" s="380">
        <v>286</v>
      </c>
      <c r="AX28" s="380">
        <v>1813</v>
      </c>
      <c r="AY28" s="380">
        <v>373</v>
      </c>
      <c r="AZ28" s="389">
        <v>2992</v>
      </c>
      <c r="BA28" s="381">
        <f t="shared" si="126"/>
        <v>9354</v>
      </c>
      <c r="BB28" s="379">
        <v>246</v>
      </c>
      <c r="BC28" s="380">
        <v>242</v>
      </c>
      <c r="BD28" s="380">
        <v>225</v>
      </c>
      <c r="BE28" s="380">
        <v>218</v>
      </c>
      <c r="BF28" s="380">
        <v>228</v>
      </c>
      <c r="BG28" s="380">
        <v>177</v>
      </c>
      <c r="BH28" s="380">
        <v>280</v>
      </c>
      <c r="BI28" s="380">
        <v>282</v>
      </c>
      <c r="BJ28" s="380">
        <v>636</v>
      </c>
      <c r="BK28" s="380">
        <v>70</v>
      </c>
      <c r="BL28" s="380">
        <v>302</v>
      </c>
      <c r="BM28" s="389">
        <v>1307</v>
      </c>
      <c r="BN28" s="381">
        <f t="shared" si="127"/>
        <v>4213</v>
      </c>
      <c r="BO28" s="379">
        <v>221</v>
      </c>
      <c r="BP28" s="380">
        <v>194</v>
      </c>
      <c r="BQ28" s="380">
        <v>259</v>
      </c>
      <c r="BR28" s="380">
        <v>230</v>
      </c>
      <c r="BS28" s="380">
        <v>220</v>
      </c>
      <c r="BT28" s="380">
        <v>200</v>
      </c>
      <c r="BU28" s="380">
        <v>343</v>
      </c>
      <c r="BV28" s="380">
        <v>224</v>
      </c>
      <c r="BW28" s="380">
        <v>334</v>
      </c>
      <c r="BX28" s="380">
        <v>835</v>
      </c>
      <c r="BY28" s="380">
        <v>608</v>
      </c>
      <c r="BZ28" s="389">
        <v>752</v>
      </c>
      <c r="CA28" s="381">
        <f t="shared" si="104"/>
        <v>4420</v>
      </c>
      <c r="CB28" s="379">
        <v>291</v>
      </c>
      <c r="CC28" s="380">
        <v>268</v>
      </c>
      <c r="CD28" s="380">
        <v>365</v>
      </c>
      <c r="CE28" s="380">
        <v>413</v>
      </c>
      <c r="CF28" s="380">
        <v>368</v>
      </c>
      <c r="CG28" s="380">
        <v>466</v>
      </c>
      <c r="CH28" s="380">
        <v>496</v>
      </c>
      <c r="CI28" s="380">
        <v>580</v>
      </c>
      <c r="CJ28" s="380">
        <v>1244</v>
      </c>
      <c r="CK28" s="380">
        <v>1225</v>
      </c>
      <c r="CL28" s="380">
        <v>617</v>
      </c>
      <c r="CM28" s="389">
        <v>1529</v>
      </c>
      <c r="CN28" s="381">
        <f t="shared" si="106"/>
        <v>7862</v>
      </c>
      <c r="CO28" s="379">
        <v>173</v>
      </c>
      <c r="CP28" s="380">
        <v>380</v>
      </c>
      <c r="CQ28" s="380">
        <v>221</v>
      </c>
      <c r="CR28" s="380">
        <v>198</v>
      </c>
      <c r="CS28" s="380">
        <v>258</v>
      </c>
      <c r="CT28" s="380">
        <v>1621</v>
      </c>
      <c r="CU28" s="380">
        <v>341</v>
      </c>
      <c r="CV28" s="380">
        <v>274</v>
      </c>
      <c r="CW28" s="380">
        <v>276</v>
      </c>
      <c r="CX28" s="380">
        <v>4976</v>
      </c>
      <c r="CY28" s="380">
        <v>3759</v>
      </c>
      <c r="CZ28" s="389">
        <v>1164</v>
      </c>
      <c r="DA28" s="381">
        <f t="shared" si="108"/>
        <v>13641</v>
      </c>
      <c r="DB28" s="379">
        <v>248</v>
      </c>
      <c r="DC28" s="380">
        <v>276</v>
      </c>
      <c r="DD28" s="380">
        <v>679</v>
      </c>
      <c r="DE28" s="380">
        <v>260</v>
      </c>
      <c r="DF28" s="380">
        <v>411</v>
      </c>
      <c r="DG28" s="380">
        <v>621</v>
      </c>
      <c r="DH28" s="380">
        <v>795</v>
      </c>
      <c r="DI28" s="380">
        <v>275</v>
      </c>
      <c r="DJ28" s="380">
        <v>436</v>
      </c>
      <c r="DK28" s="380">
        <v>1145</v>
      </c>
      <c r="DL28" s="380">
        <v>314</v>
      </c>
      <c r="DM28" s="389">
        <v>1928</v>
      </c>
      <c r="DN28" s="381">
        <f t="shared" si="110"/>
        <v>7388</v>
      </c>
      <c r="DO28" s="379">
        <v>226</v>
      </c>
      <c r="DP28" s="380">
        <v>196</v>
      </c>
      <c r="DQ28" s="380">
        <v>202</v>
      </c>
      <c r="DR28" s="380">
        <v>252</v>
      </c>
      <c r="DS28" s="380">
        <v>958</v>
      </c>
      <c r="DT28" s="380">
        <v>761</v>
      </c>
      <c r="DU28" s="380">
        <v>377</v>
      </c>
      <c r="DV28" s="380">
        <v>57</v>
      </c>
      <c r="DW28" s="380">
        <v>128</v>
      </c>
      <c r="DX28" s="380">
        <v>56</v>
      </c>
      <c r="DY28" s="380">
        <v>58</v>
      </c>
      <c r="DZ28" s="389">
        <v>595</v>
      </c>
      <c r="EA28" s="381">
        <f t="shared" si="112"/>
        <v>3866</v>
      </c>
      <c r="EB28" s="379">
        <v>417</v>
      </c>
      <c r="EC28" s="380">
        <v>238</v>
      </c>
      <c r="ED28" s="380">
        <v>291</v>
      </c>
      <c r="EE28" s="380">
        <v>253</v>
      </c>
      <c r="EF28" s="380">
        <v>242</v>
      </c>
      <c r="EG28" s="380">
        <v>174</v>
      </c>
      <c r="EH28" s="380">
        <v>919</v>
      </c>
      <c r="EI28" s="380">
        <v>478</v>
      </c>
      <c r="EJ28" s="380">
        <v>654</v>
      </c>
      <c r="EK28" s="380">
        <v>1467</v>
      </c>
      <c r="EL28" s="380">
        <v>8880</v>
      </c>
      <c r="EM28" s="389">
        <v>7173</v>
      </c>
      <c r="EN28" s="381">
        <f t="shared" si="114"/>
        <v>21186</v>
      </c>
      <c r="EO28" s="379">
        <v>1508</v>
      </c>
      <c r="EP28" s="380">
        <v>1815</v>
      </c>
      <c r="EQ28" s="380">
        <v>14831</v>
      </c>
      <c r="ER28" s="380">
        <v>1901</v>
      </c>
      <c r="ES28" s="380">
        <v>1666</v>
      </c>
      <c r="ET28" s="380">
        <v>2168</v>
      </c>
      <c r="EU28" s="380">
        <v>4248</v>
      </c>
      <c r="EV28" s="380">
        <v>5037</v>
      </c>
      <c r="EW28" s="380">
        <v>7153</v>
      </c>
      <c r="EX28" s="380">
        <v>6932</v>
      </c>
      <c r="EY28" s="380">
        <v>5077</v>
      </c>
      <c r="EZ28" s="389">
        <v>5705</v>
      </c>
      <c r="FA28" s="381">
        <f t="shared" si="116"/>
        <v>58041</v>
      </c>
      <c r="FB28" s="379">
        <v>325</v>
      </c>
      <c r="FC28" s="380">
        <v>1323</v>
      </c>
      <c r="FD28" s="380">
        <v>1929</v>
      </c>
      <c r="FE28" s="380">
        <v>1118</v>
      </c>
      <c r="FF28" s="380">
        <v>417</v>
      </c>
      <c r="FG28" s="380">
        <v>424</v>
      </c>
      <c r="FH28" s="380">
        <v>5620</v>
      </c>
      <c r="FI28" s="380">
        <v>5036</v>
      </c>
      <c r="FJ28" s="380">
        <v>3195</v>
      </c>
      <c r="FK28" s="380">
        <v>5410</v>
      </c>
      <c r="FL28" s="380">
        <v>3559</v>
      </c>
      <c r="FM28" s="389">
        <v>7044</v>
      </c>
      <c r="FN28" s="381">
        <f t="shared" si="118"/>
        <v>35400</v>
      </c>
      <c r="FO28" s="379">
        <v>2782</v>
      </c>
      <c r="FP28" s="380">
        <v>1806</v>
      </c>
      <c r="FQ28" s="380">
        <v>1525</v>
      </c>
      <c r="FR28" s="380">
        <v>1428</v>
      </c>
      <c r="FS28" s="380">
        <v>1715</v>
      </c>
      <c r="FT28" s="380">
        <v>1728</v>
      </c>
      <c r="FU28" s="380">
        <v>3287</v>
      </c>
      <c r="FV28" s="380">
        <v>2381</v>
      </c>
      <c r="FW28" s="380">
        <v>2731</v>
      </c>
      <c r="FX28" s="380">
        <v>2180</v>
      </c>
      <c r="FY28" s="380">
        <v>3153</v>
      </c>
      <c r="FZ28" s="389">
        <v>3896</v>
      </c>
      <c r="GA28" s="381">
        <f t="shared" si="49"/>
        <v>28612</v>
      </c>
      <c r="GB28" s="379">
        <v>1125</v>
      </c>
      <c r="GC28" s="380">
        <v>524</v>
      </c>
      <c r="GD28" s="380">
        <v>992</v>
      </c>
      <c r="GE28" s="380">
        <v>981</v>
      </c>
      <c r="GF28" s="380">
        <v>1450</v>
      </c>
      <c r="GG28" s="380">
        <v>1534</v>
      </c>
      <c r="GH28" s="380">
        <v>1923</v>
      </c>
      <c r="GI28" s="380">
        <v>1358</v>
      </c>
      <c r="GJ28" s="380">
        <v>1046</v>
      </c>
      <c r="GK28" s="380">
        <v>1819</v>
      </c>
      <c r="GL28" s="380">
        <v>1370</v>
      </c>
      <c r="GM28" s="389">
        <v>4624</v>
      </c>
      <c r="GN28" s="381">
        <f>SUM(GB28:GM28)</f>
        <v>18746</v>
      </c>
      <c r="GO28" s="379">
        <v>2091</v>
      </c>
      <c r="GP28" s="380">
        <v>3325</v>
      </c>
      <c r="GQ28" s="380">
        <v>2672</v>
      </c>
      <c r="GR28" s="380">
        <v>3176</v>
      </c>
      <c r="GS28" s="380">
        <v>2534</v>
      </c>
      <c r="GT28" s="380">
        <v>2927</v>
      </c>
      <c r="GU28" s="380">
        <v>4054</v>
      </c>
      <c r="GV28" s="380">
        <v>2674</v>
      </c>
      <c r="GW28" s="380">
        <v>2524</v>
      </c>
      <c r="GX28" s="380">
        <v>3040</v>
      </c>
      <c r="GY28" s="380">
        <v>3289</v>
      </c>
      <c r="GZ28" s="389">
        <v>4176</v>
      </c>
      <c r="HA28" s="381">
        <f t="shared" si="52"/>
        <v>36482</v>
      </c>
      <c r="HB28" s="379">
        <v>2227</v>
      </c>
      <c r="HC28" s="380">
        <v>2227</v>
      </c>
      <c r="HD28" s="380">
        <v>2538</v>
      </c>
      <c r="HE28" s="380">
        <v>2397</v>
      </c>
      <c r="HF28" s="380">
        <v>2640</v>
      </c>
      <c r="HG28" s="380">
        <v>2510</v>
      </c>
      <c r="HH28" s="380">
        <v>4507</v>
      </c>
      <c r="HI28" s="380">
        <v>2763</v>
      </c>
      <c r="HJ28" s="380">
        <v>2593</v>
      </c>
      <c r="HK28" s="380">
        <v>2770</v>
      </c>
      <c r="HL28" s="380">
        <v>2779</v>
      </c>
      <c r="HM28" s="389">
        <v>6250</v>
      </c>
      <c r="HN28" s="381">
        <f t="shared" si="54"/>
        <v>36201</v>
      </c>
      <c r="HO28" s="379">
        <v>3045</v>
      </c>
      <c r="HP28" s="380">
        <v>3582</v>
      </c>
      <c r="HQ28" s="380">
        <v>3541</v>
      </c>
      <c r="HR28" s="380">
        <v>4372</v>
      </c>
      <c r="HS28" s="380">
        <v>4750</v>
      </c>
      <c r="HT28" s="380">
        <v>4795</v>
      </c>
      <c r="HU28" s="380">
        <v>7091</v>
      </c>
      <c r="HV28" s="380">
        <v>4075</v>
      </c>
      <c r="HW28" s="380">
        <v>3779</v>
      </c>
      <c r="HX28" s="380">
        <v>3819</v>
      </c>
      <c r="HY28" s="380">
        <v>3421</v>
      </c>
      <c r="HZ28" s="389">
        <v>5427</v>
      </c>
      <c r="IA28" s="379">
        <f>SUM(HO28:HZ28)</f>
        <v>51697</v>
      </c>
      <c r="IB28" s="1344">
        <v>2984</v>
      </c>
      <c r="IC28" s="120">
        <v>3806</v>
      </c>
      <c r="ID28" s="120">
        <v>3916</v>
      </c>
      <c r="IE28" s="120">
        <v>3824</v>
      </c>
      <c r="IF28" s="120">
        <v>4323</v>
      </c>
      <c r="IG28" s="120">
        <v>3908</v>
      </c>
      <c r="IH28" s="120">
        <v>6032</v>
      </c>
      <c r="II28" s="120">
        <v>5702</v>
      </c>
      <c r="IM28" s="1345"/>
      <c r="IN28" s="1346">
        <f t="shared" si="60"/>
        <v>34495</v>
      </c>
      <c r="IP28" s="371">
        <f t="shared" si="19"/>
        <v>39.926380368098165</v>
      </c>
      <c r="IQ28" s="348">
        <f>IFERROR(((IS28/IR28)-1)*100,"")</f>
        <v>-2.1446200107798408</v>
      </c>
      <c r="IR28" s="320">
        <f t="shared" si="20"/>
        <v>35251</v>
      </c>
      <c r="IS28" s="344">
        <f t="shared" si="21"/>
        <v>34495</v>
      </c>
    </row>
    <row r="29" spans="1:264" ht="15" customHeight="1" x14ac:dyDescent="0.2">
      <c r="A29" s="1551" t="s">
        <v>430</v>
      </c>
      <c r="B29" s="80"/>
      <c r="C29" s="385"/>
      <c r="D29" s="385"/>
      <c r="E29" s="385"/>
      <c r="F29" s="385"/>
      <c r="G29" s="385"/>
      <c r="H29" s="385"/>
      <c r="I29" s="385"/>
      <c r="J29" s="385"/>
      <c r="K29" s="385"/>
      <c r="L29" s="385"/>
      <c r="M29" s="391"/>
      <c r="N29" s="381"/>
      <c r="O29" s="80"/>
      <c r="P29" s="385"/>
      <c r="Q29" s="385"/>
      <c r="R29" s="385"/>
      <c r="S29" s="385"/>
      <c r="T29" s="385"/>
      <c r="U29" s="385"/>
      <c r="V29" s="385"/>
      <c r="W29" s="385"/>
      <c r="X29" s="385"/>
      <c r="Y29" s="385"/>
      <c r="Z29" s="391"/>
      <c r="AA29" s="381"/>
      <c r="AB29" s="80"/>
      <c r="AC29" s="385"/>
      <c r="AD29" s="385"/>
      <c r="AE29" s="385"/>
      <c r="AF29" s="385"/>
      <c r="AG29" s="385"/>
      <c r="AH29" s="385"/>
      <c r="AI29" s="385"/>
      <c r="AJ29" s="385"/>
      <c r="AK29" s="385"/>
      <c r="AL29" s="385"/>
      <c r="AM29" s="391"/>
      <c r="AN29" s="381">
        <f t="shared" si="125"/>
        <v>0</v>
      </c>
      <c r="AO29" s="80"/>
      <c r="AP29" s="385"/>
      <c r="AQ29" s="385"/>
      <c r="AR29" s="385"/>
      <c r="AS29" s="385"/>
      <c r="AT29" s="385"/>
      <c r="AU29" s="385"/>
      <c r="AV29" s="385"/>
      <c r="AW29" s="385"/>
      <c r="AX29" s="385"/>
      <c r="AY29" s="385"/>
      <c r="AZ29" s="391"/>
      <c r="BA29" s="381">
        <f t="shared" si="126"/>
        <v>0</v>
      </c>
      <c r="BB29" s="80"/>
      <c r="BC29" s="385"/>
      <c r="BD29" s="385"/>
      <c r="BE29" s="385"/>
      <c r="BF29" s="385"/>
      <c r="BG29" s="385"/>
      <c r="BH29" s="385"/>
      <c r="BI29" s="385"/>
      <c r="BJ29" s="385"/>
      <c r="BK29" s="385"/>
      <c r="BL29" s="385"/>
      <c r="BM29" s="391"/>
      <c r="BN29" s="381">
        <f t="shared" si="127"/>
        <v>0</v>
      </c>
      <c r="BO29" s="80"/>
      <c r="BP29" s="385"/>
      <c r="BQ29" s="385"/>
      <c r="BR29" s="385"/>
      <c r="BS29" s="385"/>
      <c r="BT29" s="385"/>
      <c r="BU29" s="385"/>
      <c r="BV29" s="385"/>
      <c r="BW29" s="385"/>
      <c r="BX29" s="385"/>
      <c r="BY29" s="385"/>
      <c r="BZ29" s="391"/>
      <c r="CA29" s="381"/>
      <c r="CB29" s="80"/>
      <c r="CC29" s="385"/>
      <c r="CD29" s="385"/>
      <c r="CE29" s="385"/>
      <c r="CF29" s="385"/>
      <c r="CG29" s="385"/>
      <c r="CH29" s="385"/>
      <c r="CI29" s="385"/>
      <c r="CJ29" s="385"/>
      <c r="CK29" s="385"/>
      <c r="CL29" s="385"/>
      <c r="CM29" s="391"/>
      <c r="CN29" s="381"/>
      <c r="CO29" s="80"/>
      <c r="CP29" s="385"/>
      <c r="CQ29" s="385"/>
      <c r="CR29" s="385"/>
      <c r="CS29" s="385"/>
      <c r="CT29" s="385"/>
      <c r="CU29" s="385"/>
      <c r="CV29" s="385"/>
      <c r="CW29" s="385"/>
      <c r="CX29" s="385"/>
      <c r="CY29" s="385"/>
      <c r="CZ29" s="391"/>
      <c r="DA29" s="381"/>
      <c r="DB29" s="80"/>
      <c r="DC29" s="385"/>
      <c r="DD29" s="385"/>
      <c r="DE29" s="385"/>
      <c r="DF29" s="385"/>
      <c r="DG29" s="385"/>
      <c r="DH29" s="385"/>
      <c r="DI29" s="385"/>
      <c r="DJ29" s="385"/>
      <c r="DK29" s="385"/>
      <c r="DL29" s="385"/>
      <c r="DM29" s="391"/>
      <c r="DN29" s="381"/>
      <c r="DO29" s="80"/>
      <c r="DP29" s="385"/>
      <c r="DQ29" s="385"/>
      <c r="DR29" s="385"/>
      <c r="DS29" s="385"/>
      <c r="DT29" s="385"/>
      <c r="DU29" s="385"/>
      <c r="DV29" s="385"/>
      <c r="DW29" s="385"/>
      <c r="DX29" s="385"/>
      <c r="DY29" s="385"/>
      <c r="DZ29" s="391"/>
      <c r="EA29" s="381"/>
      <c r="EB29" s="80"/>
      <c r="EC29" s="385"/>
      <c r="ED29" s="385"/>
      <c r="EE29" s="385"/>
      <c r="EF29" s="385"/>
      <c r="EG29" s="385"/>
      <c r="EH29" s="385"/>
      <c r="EI29" s="385"/>
      <c r="EJ29" s="385"/>
      <c r="EK29" s="385"/>
      <c r="EL29" s="385"/>
      <c r="EM29" s="391"/>
      <c r="EN29" s="381"/>
      <c r="EO29" s="80"/>
      <c r="EP29" s="385"/>
      <c r="EQ29" s="385"/>
      <c r="ER29" s="385"/>
      <c r="ES29" s="385"/>
      <c r="ET29" s="385"/>
      <c r="EU29" s="385"/>
      <c r="EV29" s="385"/>
      <c r="EW29" s="385"/>
      <c r="EX29" s="385"/>
      <c r="EY29" s="385"/>
      <c r="EZ29" s="391"/>
      <c r="FA29" s="381"/>
      <c r="FB29" s="80"/>
      <c r="FC29" s="385"/>
      <c r="FD29" s="385"/>
      <c r="FE29" s="385"/>
      <c r="FF29" s="385"/>
      <c r="FG29" s="385"/>
      <c r="FH29" s="385"/>
      <c r="FI29" s="385"/>
      <c r="FJ29" s="385"/>
      <c r="FK29" s="385"/>
      <c r="FL29" s="385"/>
      <c r="FM29" s="391"/>
      <c r="FN29" s="381"/>
      <c r="FO29" s="80"/>
      <c r="FP29" s="385"/>
      <c r="FQ29" s="385"/>
      <c r="FR29" s="385"/>
      <c r="FS29" s="385"/>
      <c r="FT29" s="385"/>
      <c r="FU29" s="385"/>
      <c r="FV29" s="385"/>
      <c r="FW29" s="385"/>
      <c r="FX29" s="385"/>
      <c r="FY29" s="385"/>
      <c r="FZ29" s="391"/>
      <c r="GA29" s="381"/>
      <c r="GB29" s="80"/>
      <c r="GC29" s="385"/>
      <c r="GD29" s="385"/>
      <c r="GE29" s="385"/>
      <c r="GF29" s="385"/>
      <c r="GG29" s="385"/>
      <c r="GH29" s="385"/>
      <c r="GI29" s="385"/>
      <c r="GJ29" s="385"/>
      <c r="GK29" s="385"/>
      <c r="GL29" s="385"/>
      <c r="GM29" s="391"/>
      <c r="GN29" s="381"/>
      <c r="GO29" s="80"/>
      <c r="GP29" s="385"/>
      <c r="GQ29" s="385"/>
      <c r="GR29" s="385"/>
      <c r="GS29" s="385"/>
      <c r="GT29" s="385"/>
      <c r="GU29" s="385"/>
      <c r="GV29" s="385"/>
      <c r="GW29" s="385"/>
      <c r="GX29" s="385"/>
      <c r="GY29" s="385"/>
      <c r="GZ29" s="391"/>
      <c r="HA29" s="381"/>
      <c r="HB29" s="80"/>
      <c r="HC29" s="385"/>
      <c r="HD29" s="385"/>
      <c r="HE29" s="385"/>
      <c r="HF29" s="385"/>
      <c r="HG29" s="385"/>
      <c r="HH29" s="385"/>
      <c r="HI29" s="385"/>
      <c r="HJ29" s="385"/>
      <c r="HK29" s="385"/>
      <c r="HL29" s="385"/>
      <c r="HM29" s="391"/>
      <c r="HN29" s="381">
        <f t="shared" si="54"/>
        <v>0</v>
      </c>
      <c r="HO29" s="80">
        <v>0</v>
      </c>
      <c r="HP29" s="385">
        <v>0</v>
      </c>
      <c r="HQ29" s="385">
        <v>0</v>
      </c>
      <c r="HR29" s="385">
        <v>0</v>
      </c>
      <c r="HS29" s="385">
        <v>0</v>
      </c>
      <c r="HT29" s="385">
        <v>0</v>
      </c>
      <c r="HU29" s="385">
        <v>0</v>
      </c>
      <c r="HV29" s="385">
        <v>0</v>
      </c>
      <c r="HW29" s="385">
        <v>0</v>
      </c>
      <c r="HX29" s="385">
        <v>0</v>
      </c>
      <c r="HY29" s="385">
        <v>0</v>
      </c>
      <c r="HZ29" s="391">
        <v>0</v>
      </c>
      <c r="IA29" s="379">
        <f>SUM(HO29:HZ29)</f>
        <v>0</v>
      </c>
      <c r="IB29" s="1344">
        <v>0</v>
      </c>
      <c r="IC29" s="120">
        <v>0</v>
      </c>
      <c r="ID29" s="120">
        <v>0</v>
      </c>
      <c r="IE29" s="120">
        <v>0</v>
      </c>
      <c r="IF29" s="120">
        <v>0</v>
      </c>
      <c r="IG29" s="120">
        <v>0</v>
      </c>
      <c r="IH29" s="120">
        <v>0</v>
      </c>
      <c r="II29" s="120">
        <v>0</v>
      </c>
      <c r="IM29" s="1345"/>
      <c r="IN29" s="1346">
        <f>SUM(IB29:IM29)</f>
        <v>0</v>
      </c>
      <c r="IP29" s="371" t="str">
        <f t="shared" ref="IP29" si="128">IFERROR(((II29/HV29)-1)*100,"")</f>
        <v/>
      </c>
      <c r="IQ29" s="348"/>
      <c r="IR29" s="320">
        <f t="shared" si="20"/>
        <v>0</v>
      </c>
      <c r="IS29" s="344">
        <f t="shared" si="21"/>
        <v>0</v>
      </c>
    </row>
    <row r="30" spans="1:264" ht="15" customHeight="1" x14ac:dyDescent="0.2">
      <c r="A30" s="349" t="s">
        <v>352</v>
      </c>
      <c r="B30" s="81"/>
      <c r="C30" s="386"/>
      <c r="D30" s="386"/>
      <c r="E30" s="386"/>
      <c r="F30" s="386"/>
      <c r="G30" s="386"/>
      <c r="H30" s="386"/>
      <c r="I30" s="386"/>
      <c r="J30" s="386"/>
      <c r="K30" s="386"/>
      <c r="L30" s="386"/>
      <c r="M30" s="392"/>
      <c r="N30" s="399"/>
      <c r="O30" s="81"/>
      <c r="P30" s="386"/>
      <c r="Q30" s="386"/>
      <c r="R30" s="386"/>
      <c r="S30" s="386"/>
      <c r="T30" s="386"/>
      <c r="U30" s="386"/>
      <c r="V30" s="386"/>
      <c r="W30" s="386"/>
      <c r="X30" s="386"/>
      <c r="Y30" s="386"/>
      <c r="Z30" s="392"/>
      <c r="AA30" s="399"/>
      <c r="AB30" s="81"/>
      <c r="AC30" s="386"/>
      <c r="AD30" s="386"/>
      <c r="AE30" s="386"/>
      <c r="AF30" s="386"/>
      <c r="AG30" s="386"/>
      <c r="AH30" s="386"/>
      <c r="AI30" s="386"/>
      <c r="AJ30" s="386"/>
      <c r="AK30" s="386"/>
      <c r="AL30" s="386"/>
      <c r="AM30" s="392"/>
      <c r="AN30" s="399"/>
      <c r="AO30" s="81"/>
      <c r="AP30" s="386"/>
      <c r="AQ30" s="386"/>
      <c r="AR30" s="386"/>
      <c r="AS30" s="386"/>
      <c r="AT30" s="386"/>
      <c r="AU30" s="386"/>
      <c r="AV30" s="386"/>
      <c r="AW30" s="386"/>
      <c r="AX30" s="386"/>
      <c r="AY30" s="386"/>
      <c r="AZ30" s="392"/>
      <c r="BA30" s="399"/>
      <c r="BB30" s="81"/>
      <c r="BC30" s="386"/>
      <c r="BD30" s="386"/>
      <c r="BE30" s="386"/>
      <c r="BF30" s="386"/>
      <c r="BG30" s="386"/>
      <c r="BH30" s="386"/>
      <c r="BI30" s="386"/>
      <c r="BJ30" s="386"/>
      <c r="BK30" s="386"/>
      <c r="BL30" s="386"/>
      <c r="BM30" s="392"/>
      <c r="BN30" s="399"/>
      <c r="BO30" s="81"/>
      <c r="BP30" s="386"/>
      <c r="BQ30" s="386"/>
      <c r="BR30" s="386"/>
      <c r="BS30" s="386"/>
      <c r="BT30" s="386"/>
      <c r="BU30" s="386"/>
      <c r="BV30" s="386"/>
      <c r="BW30" s="386"/>
      <c r="BX30" s="386"/>
      <c r="BY30" s="386"/>
      <c r="BZ30" s="392"/>
      <c r="CA30" s="399"/>
      <c r="CB30" s="81"/>
      <c r="CC30" s="386"/>
      <c r="CD30" s="386"/>
      <c r="CE30" s="386"/>
      <c r="CF30" s="386"/>
      <c r="CG30" s="386"/>
      <c r="CH30" s="386"/>
      <c r="CI30" s="386"/>
      <c r="CJ30" s="386"/>
      <c r="CK30" s="386"/>
      <c r="CL30" s="386"/>
      <c r="CM30" s="392"/>
      <c r="CN30" s="399"/>
      <c r="CO30" s="81"/>
      <c r="CP30" s="386"/>
      <c r="CQ30" s="386"/>
      <c r="CR30" s="386"/>
      <c r="CS30" s="386"/>
      <c r="CT30" s="386"/>
      <c r="CU30" s="386"/>
      <c r="CV30" s="386"/>
      <c r="CW30" s="386"/>
      <c r="CX30" s="386"/>
      <c r="CY30" s="386"/>
      <c r="CZ30" s="392"/>
      <c r="DA30" s="399"/>
      <c r="DB30" s="81"/>
      <c r="DC30" s="386"/>
      <c r="DD30" s="386"/>
      <c r="DE30" s="386"/>
      <c r="DF30" s="386"/>
      <c r="DG30" s="386"/>
      <c r="DH30" s="386"/>
      <c r="DI30" s="386"/>
      <c r="DJ30" s="386"/>
      <c r="DK30" s="386"/>
      <c r="DL30" s="386"/>
      <c r="DM30" s="392"/>
      <c r="DN30" s="399"/>
      <c r="DO30" s="81"/>
      <c r="DP30" s="386"/>
      <c r="DQ30" s="386"/>
      <c r="DR30" s="386"/>
      <c r="DS30" s="386"/>
      <c r="DT30" s="386"/>
      <c r="DU30" s="386"/>
      <c r="DV30" s="386"/>
      <c r="DW30" s="386"/>
      <c r="DX30" s="386"/>
      <c r="DY30" s="386"/>
      <c r="DZ30" s="392"/>
      <c r="EA30" s="399"/>
      <c r="EB30" s="81"/>
      <c r="EC30" s="386"/>
      <c r="ED30" s="386"/>
      <c r="EE30" s="386"/>
      <c r="EF30" s="386"/>
      <c r="EG30" s="386"/>
      <c r="EH30" s="386"/>
      <c r="EI30" s="386"/>
      <c r="EJ30" s="386"/>
      <c r="EK30" s="386"/>
      <c r="EL30" s="386"/>
      <c r="EM30" s="392"/>
      <c r="EN30" s="399"/>
      <c r="EO30" s="81"/>
      <c r="EP30" s="386"/>
      <c r="EQ30" s="386"/>
      <c r="ER30" s="386"/>
      <c r="ES30" s="386"/>
      <c r="ET30" s="386"/>
      <c r="EU30" s="386"/>
      <c r="EV30" s="386"/>
      <c r="EW30" s="386"/>
      <c r="EX30" s="386"/>
      <c r="EY30" s="386"/>
      <c r="EZ30" s="392"/>
      <c r="FA30" s="399"/>
      <c r="FB30" s="81"/>
      <c r="FC30" s="386"/>
      <c r="FD30" s="386"/>
      <c r="FE30" s="386"/>
      <c r="FF30" s="386"/>
      <c r="FG30" s="386"/>
      <c r="FH30" s="386"/>
      <c r="FI30" s="386"/>
      <c r="FJ30" s="386"/>
      <c r="FK30" s="386"/>
      <c r="FL30" s="386"/>
      <c r="FM30" s="392"/>
      <c r="FN30" s="399"/>
      <c r="FO30" s="81"/>
      <c r="FP30" s="386"/>
      <c r="FQ30" s="386"/>
      <c r="FR30" s="386"/>
      <c r="FS30" s="386"/>
      <c r="FT30" s="386"/>
      <c r="FU30" s="386"/>
      <c r="FV30" s="386"/>
      <c r="FW30" s="386"/>
      <c r="FX30" s="386"/>
      <c r="FY30" s="386"/>
      <c r="FZ30" s="392"/>
      <c r="GA30" s="399"/>
      <c r="GB30" s="81"/>
      <c r="GC30" s="386"/>
      <c r="GD30" s="386"/>
      <c r="GE30" s="386"/>
      <c r="GF30" s="386"/>
      <c r="GG30" s="386"/>
      <c r="GH30" s="386"/>
      <c r="GI30" s="386"/>
      <c r="GJ30" s="386"/>
      <c r="GK30" s="386"/>
      <c r="GL30" s="386"/>
      <c r="GM30" s="392"/>
      <c r="GN30" s="399"/>
      <c r="GO30" s="81"/>
      <c r="GP30" s="386"/>
      <c r="GQ30" s="386"/>
      <c r="GR30" s="386"/>
      <c r="GS30" s="386"/>
      <c r="GT30" s="386"/>
      <c r="GU30" s="386"/>
      <c r="GV30" s="386"/>
      <c r="GW30" s="386"/>
      <c r="GX30" s="386"/>
      <c r="GY30" s="386"/>
      <c r="GZ30" s="392"/>
      <c r="HA30" s="399"/>
      <c r="HB30" s="81"/>
      <c r="HC30" s="386"/>
      <c r="HD30" s="386"/>
      <c r="HE30" s="386"/>
      <c r="HF30" s="386"/>
      <c r="HG30" s="386"/>
      <c r="HH30" s="386"/>
      <c r="HI30" s="386"/>
      <c r="HJ30" s="386"/>
      <c r="HK30" s="386"/>
      <c r="HL30" s="386"/>
      <c r="HM30" s="392"/>
      <c r="HN30" s="399"/>
      <c r="HO30" s="81"/>
      <c r="HP30" s="386"/>
      <c r="HQ30" s="386"/>
      <c r="HR30" s="386"/>
      <c r="HS30" s="386"/>
      <c r="HT30" s="386"/>
      <c r="HU30" s="386"/>
      <c r="HV30" s="386"/>
      <c r="HW30" s="386"/>
      <c r="HX30" s="386"/>
      <c r="HY30" s="386"/>
      <c r="HZ30" s="392"/>
      <c r="IA30" s="1347"/>
      <c r="IB30" s="1347"/>
      <c r="IC30" s="1348"/>
      <c r="ID30" s="1348"/>
      <c r="IE30" s="1348"/>
      <c r="IF30" s="1348"/>
      <c r="IG30" s="1348"/>
      <c r="IH30" s="1348"/>
      <c r="II30" s="1348"/>
      <c r="IJ30" s="1348"/>
      <c r="IK30" s="1348"/>
      <c r="IL30" s="1348"/>
      <c r="IM30" s="1349"/>
      <c r="IN30" s="399"/>
      <c r="IP30" s="372"/>
      <c r="IQ30" s="351"/>
      <c r="IR30" s="352"/>
      <c r="IS30" s="350"/>
    </row>
    <row r="31" spans="1:264" ht="15" customHeight="1" x14ac:dyDescent="0.2">
      <c r="A31" s="353" t="s">
        <v>298</v>
      </c>
      <c r="B31" s="354"/>
      <c r="C31" s="354"/>
      <c r="D31" s="354"/>
      <c r="E31" s="354"/>
      <c r="F31" s="354"/>
      <c r="G31" s="354"/>
      <c r="H31" s="354"/>
      <c r="I31" s="354"/>
      <c r="J31" s="354"/>
      <c r="K31" s="354"/>
      <c r="L31" s="354"/>
      <c r="M31" s="354"/>
      <c r="N31" s="354"/>
      <c r="O31" s="354"/>
      <c r="P31" s="354"/>
      <c r="Q31" s="354"/>
      <c r="R31" s="354"/>
      <c r="S31" s="354"/>
      <c r="T31" s="354"/>
      <c r="U31" s="354"/>
      <c r="V31" s="354"/>
      <c r="W31" s="354"/>
      <c r="X31" s="354"/>
      <c r="Y31" s="354"/>
      <c r="Z31" s="354"/>
      <c r="AA31" s="354"/>
      <c r="GM31" s="316"/>
      <c r="GN31" s="316"/>
      <c r="GO31" s="316"/>
      <c r="GP31" s="316"/>
      <c r="GQ31" s="316"/>
      <c r="GR31" s="316"/>
      <c r="GS31" s="316"/>
      <c r="GT31" s="316"/>
      <c r="GU31" s="316"/>
      <c r="GV31" s="316"/>
      <c r="GW31" s="316"/>
      <c r="GX31" s="316"/>
      <c r="GY31" s="316"/>
      <c r="GZ31" s="316"/>
      <c r="HA31" s="316"/>
      <c r="HB31" s="316"/>
      <c r="HC31" s="316"/>
      <c r="HD31" s="316"/>
      <c r="HE31" s="316"/>
      <c r="HF31" s="316"/>
      <c r="HG31" s="316"/>
      <c r="HH31" s="316"/>
      <c r="HI31" s="316"/>
      <c r="HJ31" s="316"/>
      <c r="HK31" s="316"/>
      <c r="HL31" s="316"/>
      <c r="HM31" s="316"/>
      <c r="HN31" s="316"/>
      <c r="HO31" s="316"/>
      <c r="HP31" s="316"/>
      <c r="HQ31" s="316"/>
      <c r="HR31" s="316"/>
      <c r="HS31" s="316"/>
      <c r="HT31" s="316"/>
      <c r="HU31" s="316"/>
      <c r="HV31" s="316"/>
      <c r="HW31" s="316"/>
      <c r="HX31" s="316"/>
      <c r="HY31" s="316"/>
      <c r="HZ31" s="316"/>
      <c r="IA31" s="316"/>
    </row>
    <row r="32" spans="1:264" ht="15" customHeight="1" x14ac:dyDescent="0.2">
      <c r="A32" s="355" t="s">
        <v>127</v>
      </c>
      <c r="B32" s="356">
        <f t="shared" ref="B32:AN32" si="129">+B23-B7</f>
        <v>0</v>
      </c>
      <c r="C32" s="356">
        <f t="shared" si="129"/>
        <v>0</v>
      </c>
      <c r="D32" s="356">
        <f t="shared" si="129"/>
        <v>0</v>
      </c>
      <c r="E32" s="356">
        <f t="shared" si="129"/>
        <v>0</v>
      </c>
      <c r="F32" s="356">
        <f t="shared" si="129"/>
        <v>0</v>
      </c>
      <c r="G32" s="356">
        <f t="shared" si="129"/>
        <v>0</v>
      </c>
      <c r="H32" s="356">
        <f t="shared" si="129"/>
        <v>0</v>
      </c>
      <c r="I32" s="356">
        <f t="shared" si="129"/>
        <v>0</v>
      </c>
      <c r="J32" s="356">
        <f t="shared" si="129"/>
        <v>0</v>
      </c>
      <c r="K32" s="356">
        <f t="shared" si="129"/>
        <v>0</v>
      </c>
      <c r="L32" s="356">
        <f t="shared" si="129"/>
        <v>0</v>
      </c>
      <c r="M32" s="356">
        <f t="shared" si="129"/>
        <v>0</v>
      </c>
      <c r="N32" s="356">
        <f t="shared" si="129"/>
        <v>0</v>
      </c>
      <c r="O32" s="356">
        <f t="shared" si="129"/>
        <v>0</v>
      </c>
      <c r="P32" s="356">
        <f t="shared" si="129"/>
        <v>0</v>
      </c>
      <c r="Q32" s="356">
        <f t="shared" si="129"/>
        <v>0</v>
      </c>
      <c r="R32" s="356">
        <f t="shared" si="129"/>
        <v>0</v>
      </c>
      <c r="S32" s="356">
        <f t="shared" si="129"/>
        <v>0</v>
      </c>
      <c r="T32" s="356">
        <f t="shared" si="129"/>
        <v>0</v>
      </c>
      <c r="U32" s="356">
        <f t="shared" si="129"/>
        <v>0</v>
      </c>
      <c r="V32" s="356">
        <f t="shared" si="129"/>
        <v>0</v>
      </c>
      <c r="W32" s="356">
        <f t="shared" si="129"/>
        <v>0</v>
      </c>
      <c r="X32" s="356">
        <f t="shared" si="129"/>
        <v>0</v>
      </c>
      <c r="Y32" s="356">
        <f t="shared" si="129"/>
        <v>0</v>
      </c>
      <c r="Z32" s="356">
        <f t="shared" si="129"/>
        <v>0</v>
      </c>
      <c r="AA32" s="356">
        <f t="shared" si="129"/>
        <v>0</v>
      </c>
      <c r="AB32" s="356">
        <f t="shared" si="129"/>
        <v>0</v>
      </c>
      <c r="AC32" s="393">
        <f t="shared" si="129"/>
        <v>0</v>
      </c>
      <c r="AD32" s="393">
        <f t="shared" si="129"/>
        <v>0</v>
      </c>
      <c r="AE32" s="393">
        <f t="shared" si="129"/>
        <v>0</v>
      </c>
      <c r="AF32" s="393">
        <f t="shared" si="129"/>
        <v>0</v>
      </c>
      <c r="AG32" s="393">
        <f t="shared" si="129"/>
        <v>0</v>
      </c>
      <c r="AH32" s="393">
        <f t="shared" si="129"/>
        <v>0</v>
      </c>
      <c r="AI32" s="393">
        <f t="shared" si="129"/>
        <v>0</v>
      </c>
      <c r="AJ32" s="393">
        <f t="shared" si="129"/>
        <v>0</v>
      </c>
      <c r="AK32" s="393">
        <f t="shared" si="129"/>
        <v>0</v>
      </c>
      <c r="AL32" s="393">
        <f t="shared" si="129"/>
        <v>0</v>
      </c>
      <c r="AM32" s="393">
        <f t="shared" si="129"/>
        <v>0</v>
      </c>
      <c r="AN32" s="393">
        <f t="shared" si="129"/>
        <v>0</v>
      </c>
      <c r="AO32" s="393"/>
      <c r="AP32" s="393"/>
      <c r="AQ32" s="393"/>
      <c r="AR32" s="393"/>
      <c r="AS32" s="393"/>
      <c r="AT32" s="393"/>
      <c r="AU32" s="393"/>
      <c r="AV32" s="393"/>
      <c r="AW32" s="393"/>
      <c r="AX32" s="393"/>
      <c r="AY32" s="393"/>
      <c r="AZ32" s="393"/>
      <c r="BA32" s="393"/>
      <c r="BB32" s="393"/>
      <c r="BC32" s="393"/>
      <c r="BD32" s="393"/>
      <c r="BE32" s="393"/>
      <c r="BF32" s="393"/>
      <c r="BG32" s="393"/>
      <c r="BH32" s="393"/>
      <c r="BI32" s="393"/>
      <c r="BJ32" s="393"/>
      <c r="BK32" s="393"/>
      <c r="BL32" s="393"/>
      <c r="BM32" s="393"/>
      <c r="BN32" s="393"/>
      <c r="BO32" s="393"/>
      <c r="BP32" s="393"/>
      <c r="BQ32" s="393"/>
      <c r="BR32" s="393"/>
      <c r="BS32" s="393"/>
      <c r="BT32" s="393"/>
      <c r="BU32" s="393"/>
      <c r="BV32" s="393"/>
      <c r="BW32" s="393"/>
      <c r="BX32" s="393"/>
      <c r="BY32" s="393"/>
      <c r="BZ32" s="393"/>
      <c r="CA32" s="393"/>
      <c r="CB32" s="393"/>
      <c r="CC32" s="393"/>
      <c r="CD32" s="393"/>
      <c r="CE32" s="393"/>
      <c r="CF32" s="393"/>
      <c r="CG32" s="393"/>
      <c r="CH32" s="393"/>
      <c r="CI32" s="393"/>
      <c r="CJ32" s="393"/>
      <c r="CK32" s="393"/>
      <c r="CL32" s="393"/>
      <c r="CM32" s="393"/>
      <c r="CN32" s="393"/>
      <c r="CO32" s="393"/>
      <c r="CP32" s="393"/>
      <c r="CQ32" s="393"/>
      <c r="CR32" s="393"/>
      <c r="CS32" s="393"/>
      <c r="CT32" s="393"/>
      <c r="CU32" s="393"/>
      <c r="CV32" s="393"/>
      <c r="CW32" s="393"/>
      <c r="CX32" s="393"/>
      <c r="CY32" s="393"/>
      <c r="CZ32" s="393"/>
      <c r="DA32" s="393"/>
      <c r="DB32" s="393"/>
      <c r="DC32" s="393"/>
      <c r="DD32" s="393"/>
      <c r="DE32" s="393"/>
      <c r="DF32" s="393"/>
      <c r="DG32" s="393"/>
      <c r="DH32" s="393"/>
      <c r="DI32" s="393"/>
      <c r="DJ32" s="393"/>
      <c r="DK32" s="393"/>
      <c r="DL32" s="393"/>
      <c r="DM32" s="393"/>
      <c r="DN32" s="393"/>
      <c r="DO32" s="393"/>
      <c r="DP32" s="393"/>
      <c r="DQ32" s="393"/>
      <c r="DR32" s="393"/>
      <c r="DS32" s="393"/>
      <c r="DT32" s="393"/>
      <c r="DU32" s="393"/>
      <c r="DV32" s="393"/>
      <c r="DW32" s="393"/>
      <c r="DX32" s="393"/>
      <c r="DY32" s="393"/>
      <c r="DZ32" s="393"/>
      <c r="EA32" s="393"/>
      <c r="EB32" s="393"/>
      <c r="EC32" s="393"/>
      <c r="ED32" s="393"/>
      <c r="EE32" s="393"/>
      <c r="EF32" s="393"/>
      <c r="EG32" s="393"/>
      <c r="EH32" s="393"/>
      <c r="EI32" s="393"/>
      <c r="EJ32" s="393"/>
      <c r="EK32" s="393"/>
      <c r="EL32" s="393"/>
      <c r="EM32" s="393"/>
      <c r="EN32" s="393"/>
      <c r="EO32" s="393"/>
      <c r="EP32" s="393"/>
      <c r="EQ32" s="393"/>
      <c r="ER32" s="393"/>
      <c r="ES32" s="393"/>
      <c r="ET32" s="393"/>
      <c r="EU32" s="393"/>
      <c r="EV32" s="393"/>
      <c r="EW32" s="393"/>
      <c r="EX32" s="393"/>
      <c r="EY32" s="393"/>
      <c r="EZ32" s="393"/>
      <c r="FA32" s="393"/>
      <c r="FB32" s="393"/>
      <c r="FC32" s="393"/>
      <c r="FD32" s="393"/>
      <c r="FE32" s="393"/>
      <c r="FF32" s="393"/>
      <c r="FG32" s="393"/>
      <c r="FH32" s="393"/>
      <c r="FI32" s="393"/>
      <c r="FJ32" s="393"/>
      <c r="FK32" s="393"/>
      <c r="FL32" s="393"/>
      <c r="FM32" s="393"/>
      <c r="FN32" s="393"/>
      <c r="FO32" s="393"/>
      <c r="FP32" s="393"/>
      <c r="FQ32" s="393"/>
      <c r="FR32" s="393"/>
      <c r="FS32" s="393"/>
      <c r="FT32" s="393"/>
      <c r="FU32" s="393"/>
      <c r="FV32" s="393"/>
      <c r="FW32" s="393"/>
      <c r="FX32" s="393"/>
      <c r="FY32" s="393"/>
      <c r="FZ32" s="393"/>
      <c r="GA32" s="393"/>
      <c r="GB32" s="393"/>
      <c r="GC32" s="393"/>
      <c r="GD32" s="393"/>
      <c r="GE32" s="393"/>
      <c r="GF32" s="393"/>
      <c r="GG32" s="393"/>
      <c r="GH32" s="393"/>
      <c r="GI32" s="393"/>
      <c r="GJ32" s="393"/>
      <c r="GK32" s="393"/>
      <c r="GL32" s="393"/>
      <c r="GM32" s="394"/>
      <c r="GN32" s="394"/>
      <c r="GO32" s="394"/>
      <c r="GP32" s="394"/>
      <c r="GQ32" s="394"/>
      <c r="GR32" s="394"/>
      <c r="GS32" s="394"/>
      <c r="GT32" s="394"/>
      <c r="GU32" s="394"/>
      <c r="GV32" s="394"/>
      <c r="GW32" s="394"/>
      <c r="GX32" s="394"/>
      <c r="GY32" s="394"/>
      <c r="GZ32" s="394"/>
      <c r="HA32" s="394"/>
      <c r="HB32" s="394"/>
      <c r="HC32" s="394"/>
      <c r="HD32" s="394"/>
      <c r="HE32" s="394"/>
      <c r="HF32" s="394"/>
      <c r="HG32" s="394"/>
      <c r="HH32" s="394"/>
      <c r="HI32" s="394"/>
      <c r="HJ32" s="394"/>
      <c r="HK32" s="394"/>
      <c r="HL32" s="394"/>
      <c r="HM32" s="394"/>
      <c r="HN32" s="394"/>
      <c r="HO32" s="394"/>
      <c r="HP32" s="394"/>
      <c r="HQ32" s="394"/>
      <c r="HR32" s="394"/>
      <c r="HS32" s="394"/>
      <c r="HT32" s="394"/>
      <c r="HU32" s="394"/>
      <c r="HV32" s="394"/>
      <c r="HW32" s="394"/>
      <c r="HX32" s="394"/>
      <c r="HY32" s="394"/>
      <c r="HZ32" s="394"/>
      <c r="IA32" s="394"/>
      <c r="IP32" s="393"/>
      <c r="IQ32" s="393"/>
    </row>
    <row r="33" spans="1:264" ht="15" customHeight="1" x14ac:dyDescent="0.2">
      <c r="A33" s="317" t="s">
        <v>352</v>
      </c>
      <c r="CA33" s="320"/>
      <c r="GM33" s="316"/>
      <c r="GN33" s="316"/>
      <c r="GO33" s="316"/>
      <c r="GP33" s="316"/>
      <c r="GQ33" s="316"/>
      <c r="GR33" s="316"/>
      <c r="GS33" s="316"/>
      <c r="GT33" s="316"/>
      <c r="GU33" s="316"/>
      <c r="GV33" s="316"/>
      <c r="GW33" s="316"/>
      <c r="GX33" s="316"/>
      <c r="GY33" s="316"/>
      <c r="GZ33" s="316"/>
      <c r="HA33" s="316"/>
      <c r="HB33" s="316"/>
      <c r="HC33" s="316"/>
      <c r="HD33" s="316"/>
      <c r="HE33" s="316"/>
      <c r="HF33" s="316"/>
      <c r="HG33" s="316"/>
      <c r="HH33" s="316"/>
      <c r="HI33" s="316"/>
      <c r="HJ33" s="316"/>
      <c r="HK33" s="316"/>
      <c r="HL33" s="316"/>
      <c r="HM33" s="316"/>
      <c r="HN33" s="316"/>
      <c r="HO33" s="316"/>
      <c r="HP33" s="316"/>
      <c r="HQ33" s="316"/>
      <c r="HR33" s="316"/>
      <c r="HS33" s="316"/>
      <c r="HT33" s="316"/>
      <c r="HU33" s="316"/>
      <c r="HV33" s="316"/>
      <c r="HW33" s="316"/>
      <c r="HX33" s="316"/>
      <c r="HY33" s="316"/>
      <c r="HZ33" s="316"/>
      <c r="IA33" s="316"/>
    </row>
    <row r="34" spans="1:264" ht="15" customHeight="1" x14ac:dyDescent="0.2">
      <c r="CA34" s="320"/>
      <c r="GM34" s="316"/>
      <c r="GN34" s="316"/>
      <c r="GO34" s="316"/>
      <c r="GP34" s="316"/>
      <c r="GQ34" s="316"/>
      <c r="GR34" s="316"/>
      <c r="GS34" s="316"/>
      <c r="GT34" s="316"/>
      <c r="GU34" s="316"/>
      <c r="GV34" s="316"/>
      <c r="GW34" s="316"/>
      <c r="GX34" s="316"/>
      <c r="GY34" s="316"/>
      <c r="GZ34" s="316"/>
      <c r="HA34" s="316"/>
      <c r="HB34" s="316"/>
      <c r="HC34" s="316"/>
      <c r="HD34" s="316"/>
      <c r="HE34" s="316"/>
      <c r="HF34" s="316"/>
      <c r="HG34" s="316"/>
      <c r="HH34" s="316"/>
      <c r="HI34" s="316"/>
      <c r="HJ34" s="316"/>
      <c r="HK34" s="316"/>
      <c r="HL34" s="316"/>
      <c r="HM34" s="316"/>
      <c r="HN34" s="316"/>
      <c r="HO34" s="316"/>
      <c r="HP34" s="316"/>
      <c r="HQ34" s="316"/>
      <c r="HR34" s="316"/>
      <c r="HS34" s="316"/>
      <c r="HT34" s="316"/>
      <c r="HU34" s="316"/>
      <c r="HV34" s="316"/>
      <c r="HW34" s="316"/>
      <c r="HX34" s="316"/>
      <c r="HY34" s="316"/>
      <c r="HZ34" s="316"/>
      <c r="IA34" s="316"/>
    </row>
    <row r="35" spans="1:264" ht="15" customHeight="1" x14ac:dyDescent="0.2">
      <c r="A35" s="1548" t="s">
        <v>299</v>
      </c>
      <c r="B35" s="357"/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357"/>
      <c r="N35" s="357"/>
      <c r="O35" s="357"/>
      <c r="P35" s="357"/>
      <c r="Q35" s="357"/>
      <c r="R35" s="357"/>
      <c r="S35" s="357"/>
      <c r="T35" s="357"/>
      <c r="U35" s="357"/>
      <c r="V35" s="357"/>
      <c r="W35" s="357"/>
      <c r="X35" s="357"/>
      <c r="Y35" s="357"/>
      <c r="Z35" s="357"/>
      <c r="AA35" s="357"/>
      <c r="GM35" s="316"/>
      <c r="GN35" s="316"/>
      <c r="GO35" s="316"/>
      <c r="GP35" s="316"/>
      <c r="GQ35" s="316"/>
      <c r="GR35" s="316"/>
      <c r="GS35" s="316"/>
      <c r="GT35" s="316"/>
      <c r="GU35" s="316"/>
      <c r="GV35" s="316"/>
      <c r="GW35" s="316"/>
      <c r="GX35" s="316"/>
      <c r="GY35" s="316"/>
      <c r="GZ35" s="316"/>
      <c r="HA35" s="316"/>
      <c r="HB35" s="316"/>
      <c r="HC35" s="316"/>
      <c r="HD35" s="316"/>
      <c r="HE35" s="316"/>
      <c r="HF35" s="316"/>
      <c r="HG35" s="316"/>
      <c r="HH35" s="316"/>
      <c r="HI35" s="316"/>
      <c r="HJ35" s="316"/>
      <c r="HK35" s="316"/>
      <c r="HL35" s="316"/>
      <c r="HM35" s="316"/>
      <c r="HN35" s="316"/>
      <c r="HO35" s="316"/>
      <c r="HP35" s="316"/>
      <c r="HQ35" s="316"/>
      <c r="HR35" s="316"/>
      <c r="HS35" s="316"/>
      <c r="HT35" s="316"/>
      <c r="HU35" s="316"/>
      <c r="HV35" s="316"/>
      <c r="HW35" s="316"/>
      <c r="HX35" s="316"/>
      <c r="HY35" s="316"/>
      <c r="HZ35" s="316"/>
      <c r="IA35" s="316"/>
    </row>
    <row r="36" spans="1:264" ht="15" customHeight="1" x14ac:dyDescent="0.2">
      <c r="A36" s="1548" t="s">
        <v>442</v>
      </c>
      <c r="B36" s="357"/>
      <c r="C36" s="357"/>
      <c r="D36" s="357"/>
      <c r="E36" s="357"/>
      <c r="F36" s="357"/>
      <c r="G36" s="357"/>
      <c r="H36" s="357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7"/>
      <c r="V36" s="357"/>
      <c r="W36" s="357"/>
      <c r="X36" s="357"/>
      <c r="Y36" s="357"/>
      <c r="Z36" s="357"/>
      <c r="AA36" s="357"/>
      <c r="DO36" s="317">
        <f>((DO37/DM37)-1)*100</f>
        <v>0.23999999999997357</v>
      </c>
      <c r="DP36" s="317">
        <f t="shared" ref="DP36:DZ36" si="130">((DP37/DO37)-1)*100</f>
        <v>0.32000000000000917</v>
      </c>
      <c r="DQ36" s="358">
        <f t="shared" si="130"/>
        <v>1.2999999999999901</v>
      </c>
      <c r="DR36" s="358">
        <f t="shared" si="130"/>
        <v>-0.25999999999999357</v>
      </c>
      <c r="DS36" s="358">
        <f t="shared" si="130"/>
        <v>-0.41999999999998705</v>
      </c>
      <c r="DT36" s="358">
        <f t="shared" si="130"/>
        <v>-0.15999999999998238</v>
      </c>
      <c r="DU36" s="358">
        <f t="shared" si="130"/>
        <v>0.20000000000000018</v>
      </c>
      <c r="DV36" s="358">
        <f t="shared" si="130"/>
        <v>0.67000000000001503</v>
      </c>
      <c r="DW36" s="358">
        <f t="shared" si="130"/>
        <v>-2.00000000000089E-2</v>
      </c>
      <c r="DX36" s="358">
        <f t="shared" si="130"/>
        <v>-0.46999999999999265</v>
      </c>
      <c r="DY36" s="358">
        <f t="shared" si="130"/>
        <v>-0.20000000000002238</v>
      </c>
      <c r="DZ36" s="358">
        <f t="shared" si="130"/>
        <v>0.16000000000000458</v>
      </c>
      <c r="EB36" s="317">
        <f>((EB37/DZ37)-1)*100</f>
        <v>0.12999999999998568</v>
      </c>
      <c r="EC36" s="317">
        <f t="shared" ref="EC36:EM36" si="131">((EC37/EB37)-1)*100</f>
        <v>0.25000000000001688</v>
      </c>
      <c r="ED36" s="317">
        <f t="shared" si="131"/>
        <v>0.48999999999999044</v>
      </c>
      <c r="EE36" s="317">
        <f t="shared" si="131"/>
        <v>-0.13999999999998458</v>
      </c>
      <c r="EF36" s="317">
        <f t="shared" si="131"/>
        <v>1.9999999999997797E-2</v>
      </c>
      <c r="EG36" s="317">
        <f t="shared" si="131"/>
        <v>0.32999999999998586</v>
      </c>
      <c r="EH36" s="317">
        <f t="shared" si="131"/>
        <v>0.37999999999998035</v>
      </c>
      <c r="EI36" s="317">
        <f t="shared" si="131"/>
        <v>0.13000000000000789</v>
      </c>
      <c r="EJ36" s="317">
        <f t="shared" si="131"/>
        <v>0.19000000000000128</v>
      </c>
      <c r="EK36" s="317">
        <f t="shared" si="131"/>
        <v>7.9999999999991189E-2</v>
      </c>
      <c r="EL36" s="317">
        <f t="shared" si="131"/>
        <v>0.11999999999998678</v>
      </c>
      <c r="EM36" s="317">
        <f t="shared" si="131"/>
        <v>0.18000000000000238</v>
      </c>
      <c r="EO36" s="317">
        <f>((EO37/EM37)-1)*100</f>
        <v>6.9999999999992291E-2</v>
      </c>
      <c r="EP36" s="317">
        <f>((EP37/EO37)-1)*100</f>
        <v>0.13000000000000789</v>
      </c>
      <c r="EQ36" s="317">
        <f>((EQ37/EP37)-1)*100</f>
        <v>0.72999999999998622</v>
      </c>
      <c r="ER36" s="317">
        <f>((ER37/EQ37)-1)*100</f>
        <v>0.20000000000000018</v>
      </c>
      <c r="ES36" s="317">
        <f>((ES37/ER37)-1)*100</f>
        <v>0.15000000000000568</v>
      </c>
      <c r="ET36" s="358">
        <f>((ET37/ES37)-1)*100</f>
        <v>-9.0000000000045599E-2</v>
      </c>
      <c r="EU36" s="358">
        <f t="shared" ref="EU36:EZ36" si="132">((EU37/ET37)-1)*100</f>
        <v>0.20000000000004459</v>
      </c>
      <c r="EV36" s="358">
        <f t="shared" si="132"/>
        <v>6.0000000000015596E-2</v>
      </c>
      <c r="EW36" s="358">
        <f t="shared" si="132"/>
        <v>9.9999999999988987E-3</v>
      </c>
      <c r="EX36" s="358">
        <f t="shared" si="132"/>
        <v>0.10999999999998789</v>
      </c>
      <c r="EY36" s="358">
        <f t="shared" si="132"/>
        <v>0.10999999999998789</v>
      </c>
      <c r="EZ36" s="358">
        <f t="shared" si="132"/>
        <v>0.20999999999999908</v>
      </c>
      <c r="FA36" s="358"/>
      <c r="FB36" s="358">
        <f>((FB37/EZ37)-1)*100</f>
        <v>4.9999999999994493E-2</v>
      </c>
      <c r="FC36" s="358">
        <f t="shared" ref="FC36:FI36" si="133">((FC37/FB37)-1)*100</f>
        <v>0.14000000000000679</v>
      </c>
      <c r="FD36" s="358">
        <f t="shared" si="133"/>
        <v>0.64999999999999503</v>
      </c>
      <c r="FE36" s="358">
        <f t="shared" si="133"/>
        <v>9.9999999999988987E-2</v>
      </c>
      <c r="FF36" s="358">
        <f t="shared" si="133"/>
        <v>0.20000000000000018</v>
      </c>
      <c r="FG36" s="358">
        <f t="shared" si="133"/>
        <v>-0.27000000000000357</v>
      </c>
      <c r="FH36" s="358">
        <f t="shared" si="133"/>
        <v>0.45999999999999375</v>
      </c>
      <c r="FI36" s="358">
        <f t="shared" si="133"/>
        <v>-0.10999999999971033</v>
      </c>
      <c r="FJ36" s="358">
        <f>((FJ37/FI37)-1)*100</f>
        <v>0.13999999999962931</v>
      </c>
      <c r="FK36" s="358">
        <f>((FK37/FJ37)-1)*100</f>
        <v>2.0000000000131024E-2</v>
      </c>
      <c r="FL36" s="358">
        <f>((FL37/FK37)-1)*100</f>
        <v>0.52000000000000934</v>
      </c>
      <c r="FM36" s="358">
        <f>((FM37/FL37)-1)*100</f>
        <v>4.9999999999994493E-2</v>
      </c>
      <c r="FN36" s="358"/>
      <c r="FO36" s="358">
        <f>((FO37/FM37)-1)*100</f>
        <v>0.74000000000000732</v>
      </c>
      <c r="FP36" s="358">
        <f t="shared" ref="FP36:FZ36" si="134">((FP37/FO37)-1)*100</f>
        <v>-0.12999999999998568</v>
      </c>
      <c r="FQ36" s="358">
        <f t="shared" si="134"/>
        <v>0.83999999999999631</v>
      </c>
      <c r="FR36" s="358">
        <f t="shared" si="134"/>
        <v>-0.10000000000000009</v>
      </c>
      <c r="FS36" s="358">
        <f t="shared" si="134"/>
        <v>0.26999999999999247</v>
      </c>
      <c r="FT36" s="358">
        <f t="shared" si="134"/>
        <v>0.52000000000009816</v>
      </c>
      <c r="FU36" s="358">
        <f t="shared" si="134"/>
        <v>1.009999999999911</v>
      </c>
      <c r="FV36" s="358">
        <f t="shared" si="134"/>
        <v>0.98000000000000309</v>
      </c>
      <c r="FW36" s="358">
        <f t="shared" si="134"/>
        <v>0.40000000000000036</v>
      </c>
      <c r="FX36" s="358">
        <f t="shared" si="134"/>
        <v>0.58000000000000274</v>
      </c>
      <c r="FY36" s="358">
        <f t="shared" si="134"/>
        <v>0.36000000000000476</v>
      </c>
      <c r="FZ36" s="358">
        <f t="shared" si="134"/>
        <v>0.78000000000000291</v>
      </c>
      <c r="GA36" s="358"/>
      <c r="GB36" s="358">
        <f>((GB37/FZ37)-1)*100</f>
        <v>3.9999999999995595E-2</v>
      </c>
      <c r="GC36" s="358">
        <f t="shared" ref="GC36:GM36" si="135">((GC37/GB37)-1)*100</f>
        <v>0.31145630976847638</v>
      </c>
      <c r="GD36" s="358">
        <f t="shared" si="135"/>
        <v>1.4799999999999924</v>
      </c>
      <c r="GE36" s="358">
        <f t="shared" si="135"/>
        <v>0.96000000000000529</v>
      </c>
      <c r="GF36" s="358">
        <f t="shared" si="135"/>
        <v>0.38000000000000256</v>
      </c>
      <c r="GG36" s="358">
        <f t="shared" si="135"/>
        <v>1.1900000000000022</v>
      </c>
      <c r="GH36" s="358">
        <f t="shared" si="135"/>
        <v>0.9400000000000075</v>
      </c>
      <c r="GI36" s="358">
        <f t="shared" si="135"/>
        <v>0.66999999999999282</v>
      </c>
      <c r="GJ36" s="358">
        <f t="shared" si="135"/>
        <v>0.52000000000000934</v>
      </c>
      <c r="GK36" s="358">
        <f t="shared" si="135"/>
        <v>0.35000000000000586</v>
      </c>
      <c r="GL36" s="359">
        <f t="shared" si="135"/>
        <v>0.52000000000000934</v>
      </c>
      <c r="GM36" s="359">
        <f t="shared" si="135"/>
        <v>0.79000000000000181</v>
      </c>
      <c r="GN36" s="359"/>
      <c r="GO36" s="358">
        <f>((GO37/GM37)-1)*100</f>
        <v>0.22999999999999687</v>
      </c>
      <c r="GP36" s="358">
        <f t="shared" ref="GP36:GZ36" si="136">((GP37/GO37)-1)*100</f>
        <v>0.28999999999999027</v>
      </c>
      <c r="GQ36" s="358">
        <f t="shared" si="136"/>
        <v>1.2499999999999956</v>
      </c>
      <c r="GR36" s="358">
        <f t="shared" si="136"/>
        <v>0.56000000000000494</v>
      </c>
      <c r="GS36" s="358">
        <f t="shared" si="136"/>
        <v>0.32000000000000917</v>
      </c>
      <c r="GT36" s="358">
        <f t="shared" si="136"/>
        <v>-0.15000000000019442</v>
      </c>
      <c r="GU36" s="358">
        <f t="shared" si="136"/>
        <v>0.3900000000002013</v>
      </c>
      <c r="GV36" s="358">
        <f t="shared" si="136"/>
        <v>0.38000000000000256</v>
      </c>
      <c r="GW36" s="358">
        <f t="shared" si="136"/>
        <v>1.9999999999997797E-2</v>
      </c>
      <c r="GX36" s="358">
        <f t="shared" si="136"/>
        <v>-0.31999999999999806</v>
      </c>
      <c r="GY36" s="358">
        <f t="shared" si="136"/>
        <v>-0.16000000000000458</v>
      </c>
      <c r="GZ36" s="358">
        <f t="shared" si="136"/>
        <v>0.40999999999999925</v>
      </c>
      <c r="HA36" s="358"/>
      <c r="HB36" s="358">
        <f>((HB37/GZ37)-1)*100</f>
        <v>1.9999999999997797E-2</v>
      </c>
      <c r="HC36" s="358">
        <f t="shared" ref="HC36:HM36" si="137">((HC37/HB37)-1)*100</f>
        <v>0.56000000000000494</v>
      </c>
      <c r="HD36" s="358">
        <f t="shared" si="137"/>
        <v>1.0099999999999998</v>
      </c>
      <c r="HE36" s="358">
        <f t="shared" si="137"/>
        <v>-4.9999999999994493E-2</v>
      </c>
      <c r="HF36" s="358">
        <f t="shared" si="137"/>
        <v>-9.000000000000119E-2</v>
      </c>
      <c r="HG36" s="358">
        <f t="shared" si="137"/>
        <v>0.12000000000000899</v>
      </c>
      <c r="HH36" s="358">
        <f t="shared" si="137"/>
        <v>0.23999999999999577</v>
      </c>
      <c r="HI36" s="358">
        <f t="shared" si="137"/>
        <v>0.27999999999999137</v>
      </c>
      <c r="HJ36" s="358">
        <f t="shared" si="137"/>
        <v>-0.23999999999999577</v>
      </c>
      <c r="HK36" s="358">
        <f t="shared" si="137"/>
        <v>-8.9999999999990088E-2</v>
      </c>
      <c r="HL36" s="358">
        <f t="shared" si="137"/>
        <v>8.9999999999990088E-2</v>
      </c>
      <c r="HM36" s="358">
        <f t="shared" si="137"/>
        <v>0.11000000000001009</v>
      </c>
      <c r="HN36" s="358"/>
      <c r="HO36" s="358">
        <f>((HO37/HM37)-1)*100</f>
        <v>-9.000000000000119E-2</v>
      </c>
      <c r="HP36" s="358">
        <f t="shared" ref="HP36:HZ36" si="138">((HP37/HO37)-1)*100</f>
        <v>0.19000000000000128</v>
      </c>
      <c r="HQ36" s="358">
        <f t="shared" si="138"/>
        <v>0.80999999999999961</v>
      </c>
      <c r="HR36" s="358">
        <f t="shared" si="138"/>
        <v>0.32000000000000917</v>
      </c>
      <c r="HS36" s="358">
        <f t="shared" si="138"/>
        <v>-6.0000000000004494E-2</v>
      </c>
      <c r="HT36" s="358">
        <f t="shared" si="138"/>
        <v>0.13000000000000789</v>
      </c>
      <c r="HU36" s="358">
        <f t="shared" si="138"/>
        <v>0.22999999999999687</v>
      </c>
      <c r="HV36" s="358">
        <f t="shared" si="138"/>
        <v>-0.29000000000000137</v>
      </c>
      <c r="HW36" s="358">
        <f t="shared" si="138"/>
        <v>9.9999999999988987E-3</v>
      </c>
      <c r="HX36" s="358">
        <f t="shared" si="138"/>
        <v>-0.10000000000000009</v>
      </c>
      <c r="HY36" s="358">
        <f t="shared" si="138"/>
        <v>0.11000000000001009</v>
      </c>
      <c r="HZ36" s="1350">
        <f t="shared" si="138"/>
        <v>0.23999999999999577</v>
      </c>
      <c r="IA36" s="1350"/>
      <c r="IB36" s="1350">
        <f>((IB37/HZ37)-1)*100</f>
        <v>9.9999999999988987E-2</v>
      </c>
      <c r="IC36" s="1350">
        <f>((IC37/IB37)-1)*100</f>
        <v>0.68999999999999062</v>
      </c>
      <c r="ID36" s="1608">
        <f>((ID37/IC37)-1)*100</f>
        <v>2.3800000000000043</v>
      </c>
      <c r="IE36" s="1608">
        <f>((IE37/ID37)-1)*100</f>
        <v>0.52000000000000934</v>
      </c>
      <c r="IF36" s="1352">
        <f>((IF37/IE37)-1)*100</f>
        <v>-0.16000000000000458</v>
      </c>
      <c r="IG36" s="1352">
        <f>((IG37/IF37)-1)*100</f>
        <v>0.22999999999999687</v>
      </c>
      <c r="IH36" s="1352">
        <v>0.28999999999999998</v>
      </c>
      <c r="II36" s="1352">
        <f>((II37/IH37)-1)*100</f>
        <v>6.9999999999992291E-2</v>
      </c>
    </row>
    <row r="37" spans="1:264" ht="15" customHeight="1" x14ac:dyDescent="0.2">
      <c r="A37" s="1549" t="s">
        <v>383</v>
      </c>
      <c r="B37" s="326">
        <v>1.0218020530659553</v>
      </c>
      <c r="C37" s="326">
        <v>1.0311004517488556</v>
      </c>
      <c r="D37" s="326">
        <v>1.0418238964470437</v>
      </c>
      <c r="E37" s="326">
        <v>1.0433866322917142</v>
      </c>
      <c r="F37" s="326">
        <v>1.0472471628311937</v>
      </c>
      <c r="G37" s="326">
        <v>1.055310965984994</v>
      </c>
      <c r="H37" s="326">
        <v>1.0612207073945099</v>
      </c>
      <c r="I37" s="326">
        <v>1.0674819095681378</v>
      </c>
      <c r="J37" s="326">
        <v>1.0735665564526762</v>
      </c>
      <c r="K37" s="326">
        <v>1.0801153124470375</v>
      </c>
      <c r="L37" s="326">
        <v>1.0834636699156235</v>
      </c>
      <c r="M37" s="326">
        <v>1.0873641391273197</v>
      </c>
      <c r="N37" s="357"/>
      <c r="O37" s="317">
        <v>1.0885602396803598</v>
      </c>
      <c r="P37" s="317">
        <v>1.0877982475125836</v>
      </c>
      <c r="Q37" s="317">
        <v>1.0917143212036289</v>
      </c>
      <c r="R37" s="317">
        <v>1.0919326640678697</v>
      </c>
      <c r="S37" s="317">
        <v>1.0914958910022423</v>
      </c>
      <c r="T37" s="317">
        <v>1.0877848049728345</v>
      </c>
      <c r="U37" s="317">
        <v>1.089851596102283</v>
      </c>
      <c r="V37" s="317">
        <v>1.0875629077504683</v>
      </c>
      <c r="W37" s="317">
        <v>1.0865841011334927</v>
      </c>
      <c r="X37" s="317">
        <v>1.0878880020548529</v>
      </c>
      <c r="Y37" s="317">
        <v>1.0866913252525927</v>
      </c>
      <c r="Z37" s="317">
        <v>1.090168737493401</v>
      </c>
      <c r="AA37" s="357"/>
      <c r="AB37" s="361">
        <v>1.0934392437058811</v>
      </c>
      <c r="AC37" s="361">
        <v>1.0969382492857398</v>
      </c>
      <c r="AD37" s="361">
        <v>1.1000096763837399</v>
      </c>
      <c r="AE37" s="361">
        <v>1.1003396792866551</v>
      </c>
      <c r="AF37" s="361">
        <v>1.102980494516943</v>
      </c>
      <c r="AG37" s="361">
        <v>1.1057379457532355</v>
      </c>
      <c r="AH37" s="361">
        <v>1.1097186023579471</v>
      </c>
      <c r="AI37" s="361">
        <v>1.1127148425843136</v>
      </c>
      <c r="AJ37" s="361">
        <v>1.1123810281315385</v>
      </c>
      <c r="AK37" s="361">
        <v>1.1108236946921544</v>
      </c>
      <c r="AL37" s="361">
        <v>1.1109347770616236</v>
      </c>
      <c r="AM37" s="361">
        <v>1.1129344596603348</v>
      </c>
      <c r="AN37" s="361"/>
      <c r="AO37" s="361">
        <v>1.1172749040530099</v>
      </c>
      <c r="AP37" s="361">
        <v>1.1215205486884112</v>
      </c>
      <c r="AQ37" s="361">
        <v>1.1293711925292302</v>
      </c>
      <c r="AR37" s="361">
        <v>1.1370509166384288</v>
      </c>
      <c r="AS37" s="361">
        <v>1.1368235064551013</v>
      </c>
      <c r="AT37" s="361">
        <v>1.1379603299615562</v>
      </c>
      <c r="AU37" s="361">
        <v>1.1469502165682526</v>
      </c>
      <c r="AV37" s="361">
        <v>1.1500469821529868</v>
      </c>
      <c r="AW37" s="361">
        <v>1.1538421371940917</v>
      </c>
      <c r="AX37" s="361">
        <v>1.1574190478193933</v>
      </c>
      <c r="AY37" s="361">
        <v>1.1623959497250169</v>
      </c>
      <c r="AZ37" s="361">
        <v>1.1655344187892744</v>
      </c>
      <c r="BA37" s="361"/>
      <c r="BB37" s="361">
        <v>1.1643688843704854</v>
      </c>
      <c r="BC37" s="361">
        <v>1.1680948648004708</v>
      </c>
      <c r="BD37" s="361">
        <v>1.1770891952594342</v>
      </c>
      <c r="BE37" s="361">
        <v>1.1833277679943091</v>
      </c>
      <c r="BF37" s="361">
        <v>1.1838010991015069</v>
      </c>
      <c r="BG37" s="361">
        <v>1.1833275786618662</v>
      </c>
      <c r="BH37" s="361">
        <v>1.1843925734826619</v>
      </c>
      <c r="BI37" s="361">
        <v>1.1904329756074237</v>
      </c>
      <c r="BJ37" s="361">
        <v>1.196861313675704</v>
      </c>
      <c r="BK37" s="361">
        <v>1.194946335573823</v>
      </c>
      <c r="BL37" s="361">
        <v>1.1932734107040197</v>
      </c>
      <c r="BM37" s="361">
        <v>1.1963759215718501</v>
      </c>
      <c r="BN37" s="361"/>
      <c r="BO37" s="361">
        <v>1.1978115726777365</v>
      </c>
      <c r="BP37" s="361">
        <v>1.1967335422623264</v>
      </c>
      <c r="BQ37" s="361">
        <v>1.2076238174969136</v>
      </c>
      <c r="BR37" s="361">
        <v>1.2106428770406559</v>
      </c>
      <c r="BS37" s="361">
        <v>1.2129430985070333</v>
      </c>
      <c r="BT37" s="361">
        <v>1.2160967505631517</v>
      </c>
      <c r="BU37" s="361">
        <v>1.2227852826912491</v>
      </c>
      <c r="BV37" s="361">
        <v>1.2293883232177818</v>
      </c>
      <c r="BW37" s="361">
        <v>1.2307406503733216</v>
      </c>
      <c r="BX37" s="361">
        <v>1.231232946633471</v>
      </c>
      <c r="BY37" s="361">
        <v>1.2285242341508773</v>
      </c>
      <c r="BZ37" s="361">
        <v>1.2306127253489338</v>
      </c>
      <c r="CA37" s="361"/>
      <c r="CB37" s="361">
        <v>1.2345506860700504</v>
      </c>
      <c r="CC37" s="361">
        <v>1.2419579901864706</v>
      </c>
      <c r="CD37" s="361">
        <v>1.2484161717354403</v>
      </c>
      <c r="CE37" s="361">
        <v>1.2532849948052085</v>
      </c>
      <c r="CF37" s="361">
        <v>1.2561675502932605</v>
      </c>
      <c r="CG37" s="361">
        <v>1.2581774183737298</v>
      </c>
      <c r="CH37" s="361">
        <v>1.2635875812727368</v>
      </c>
      <c r="CI37" s="361">
        <v>1.2624503524495914</v>
      </c>
      <c r="CJ37" s="361">
        <v>1.2644702730135107</v>
      </c>
      <c r="CK37" s="361">
        <v>1.2692752600509618</v>
      </c>
      <c r="CL37" s="361">
        <v>1.2673713471608854</v>
      </c>
      <c r="CM37" s="361">
        <v>1.2702863012593555</v>
      </c>
      <c r="CN37" s="361"/>
      <c r="CO37" s="361">
        <v>1.2724457879714965</v>
      </c>
      <c r="CP37" s="361">
        <v>1.2762631253354111</v>
      </c>
      <c r="CQ37" s="361">
        <v>1.2859627250879599</v>
      </c>
      <c r="CR37" s="361">
        <v>1.290977979715803</v>
      </c>
      <c r="CS37" s="362">
        <v>1.2982074564022117</v>
      </c>
      <c r="CT37" s="362">
        <v>1.3024915410083393</v>
      </c>
      <c r="CU37" s="362">
        <v>1.3083527529428765</v>
      </c>
      <c r="CV37" s="362">
        <v>1.3133244934040593</v>
      </c>
      <c r="CW37" s="362">
        <v>1.3137184907520796</v>
      </c>
      <c r="CX37" s="362">
        <v>1.3155576966391334</v>
      </c>
      <c r="CY37" s="362">
        <v>1.3200305928077065</v>
      </c>
      <c r="CZ37" s="362">
        <v>1.3259707304753412</v>
      </c>
      <c r="DA37" s="362"/>
      <c r="DB37" s="362">
        <v>1.3308768221781</v>
      </c>
      <c r="DC37" s="362">
        <v>1.3331393127758029</v>
      </c>
      <c r="DD37" s="362">
        <v>1.3411381486524576</v>
      </c>
      <c r="DE37" s="362">
        <v>1.3412722624673228</v>
      </c>
      <c r="DF37" s="362">
        <v>1.3440889342185038</v>
      </c>
      <c r="DG37" s="362">
        <v>1.3459706587264098</v>
      </c>
      <c r="DH37" s="362">
        <v>1.3470474352533908</v>
      </c>
      <c r="DI37" s="362">
        <v>1.3518968060203032</v>
      </c>
      <c r="DJ37" s="362">
        <v>1.3547357893129455</v>
      </c>
      <c r="DK37" s="362">
        <v>1.3602902060491286</v>
      </c>
      <c r="DL37" s="362">
        <v>1.3642350476466711</v>
      </c>
      <c r="DM37" s="362">
        <v>1.3687370233039053</v>
      </c>
      <c r="DN37" s="362"/>
      <c r="DO37" s="362">
        <v>1.3720219921598344</v>
      </c>
      <c r="DP37" s="362">
        <v>1.376412462534746</v>
      </c>
      <c r="DQ37" s="362">
        <v>1.3943058245476976</v>
      </c>
      <c r="DR37" s="362">
        <v>1.3906806294038736</v>
      </c>
      <c r="DS37" s="362">
        <v>1.3848397707603775</v>
      </c>
      <c r="DT37" s="362">
        <v>1.382624027127161</v>
      </c>
      <c r="DU37" s="362">
        <v>1.3853892751814154</v>
      </c>
      <c r="DV37" s="362">
        <v>1.394671383325131</v>
      </c>
      <c r="DW37" s="362">
        <v>1.3943924490484658</v>
      </c>
      <c r="DX37" s="362">
        <v>1.3878388045379382</v>
      </c>
      <c r="DY37" s="362">
        <v>1.385063126928862</v>
      </c>
      <c r="DZ37" s="362">
        <v>1.3872792279319484</v>
      </c>
      <c r="EA37" s="362"/>
      <c r="EB37" s="362">
        <v>1.3890826909282596</v>
      </c>
      <c r="EC37" s="362">
        <v>1.3925553976555805</v>
      </c>
      <c r="ED37" s="362">
        <v>1.3993789191040926</v>
      </c>
      <c r="EE37" s="362">
        <v>1.3974197886173472</v>
      </c>
      <c r="EF37" s="362">
        <v>1.3976992725750705</v>
      </c>
      <c r="EG37" s="362">
        <v>1.4023116801745681</v>
      </c>
      <c r="EH37" s="362">
        <v>1.4076404645592313</v>
      </c>
      <c r="EI37" s="362">
        <v>1.4094703971631584</v>
      </c>
      <c r="EJ37" s="362">
        <v>1.4121483909177683</v>
      </c>
      <c r="EK37" s="362">
        <v>1.4132781096305025</v>
      </c>
      <c r="EL37" s="362">
        <v>1.414974043362059</v>
      </c>
      <c r="EM37" s="362">
        <v>1.4175209966401108</v>
      </c>
      <c r="EN37" s="362"/>
      <c r="EO37" s="362">
        <v>1.4185132613377587</v>
      </c>
      <c r="EP37" s="362">
        <v>1.4203573285774977</v>
      </c>
      <c r="EQ37" s="362">
        <v>1.4307259370761134</v>
      </c>
      <c r="ER37" s="362">
        <v>1.4335873889502657</v>
      </c>
      <c r="ES37" s="362">
        <v>1.4357377700336911</v>
      </c>
      <c r="ET37" s="362">
        <v>1.4344456060406601</v>
      </c>
      <c r="EU37" s="362">
        <v>1.4373144972527421</v>
      </c>
      <c r="EV37" s="362">
        <v>1.4381768859510939</v>
      </c>
      <c r="EW37" s="362">
        <v>1.438320703639689</v>
      </c>
      <c r="EX37" s="362">
        <v>1.4399028564136926</v>
      </c>
      <c r="EY37" s="362">
        <v>1.4414867495557475</v>
      </c>
      <c r="EZ37" s="362">
        <v>1.4445138717298147</v>
      </c>
      <c r="FA37" s="362"/>
      <c r="FB37" s="362">
        <v>1.4452361286656796</v>
      </c>
      <c r="FC37" s="362">
        <v>1.4472594592458117</v>
      </c>
      <c r="FD37" s="362">
        <v>1.4566666457309094</v>
      </c>
      <c r="FE37" s="362">
        <v>1.4581233123766402</v>
      </c>
      <c r="FF37" s="362">
        <v>1.4610395590013934</v>
      </c>
      <c r="FG37" s="362">
        <v>1.4570947521920896</v>
      </c>
      <c r="FH37" s="362">
        <v>1.4637973880521731</v>
      </c>
      <c r="FI37" s="362">
        <v>1.46218721092532</v>
      </c>
      <c r="FJ37" s="362">
        <v>1.4642342730206099</v>
      </c>
      <c r="FK37" s="362">
        <v>1.4645271198752159</v>
      </c>
      <c r="FL37" s="362">
        <v>1.472142660898567</v>
      </c>
      <c r="FM37" s="362">
        <v>1.4728787322290162</v>
      </c>
      <c r="FN37" s="362"/>
      <c r="FO37" s="362">
        <v>1.4837780348475111</v>
      </c>
      <c r="FP37" s="362">
        <v>1.4818491234022095</v>
      </c>
      <c r="FQ37" s="362">
        <v>1.494296656038788</v>
      </c>
      <c r="FR37" s="362">
        <v>1.4928023593827493</v>
      </c>
      <c r="FS37" s="362">
        <v>1.4968329257530826</v>
      </c>
      <c r="FT37" s="362">
        <v>1.504616456967</v>
      </c>
      <c r="FU37" s="362">
        <v>1.5198130831823653</v>
      </c>
      <c r="FV37" s="362">
        <v>1.5347072513975526</v>
      </c>
      <c r="FW37" s="362">
        <v>1.5408460804031427</v>
      </c>
      <c r="FX37" s="362">
        <v>1.5497829876694811</v>
      </c>
      <c r="FY37" s="362">
        <v>1.5553622064250914</v>
      </c>
      <c r="FZ37" s="362">
        <v>1.5674940316352071</v>
      </c>
      <c r="GA37" s="362"/>
      <c r="GB37" s="361">
        <v>1.5681210292478611</v>
      </c>
      <c r="GC37" s="361">
        <v>1.5730050411382599</v>
      </c>
      <c r="GD37" s="361">
        <v>1.5962855157471061</v>
      </c>
      <c r="GE37" s="361">
        <v>1.6116098566982784</v>
      </c>
      <c r="GF37" s="361">
        <v>1.617733974153732</v>
      </c>
      <c r="GG37" s="361">
        <v>1.6369850084461615</v>
      </c>
      <c r="GH37" s="361">
        <v>1.6523726675255554</v>
      </c>
      <c r="GI37" s="361">
        <v>1.6634435643979766</v>
      </c>
      <c r="GJ37" s="361">
        <v>1.6720934709328463</v>
      </c>
      <c r="GK37" s="361">
        <v>1.6779457980811114</v>
      </c>
      <c r="GL37" s="363">
        <v>1.6866711162311334</v>
      </c>
      <c r="GM37" s="363">
        <v>1.6999958180493595</v>
      </c>
      <c r="GN37" s="363"/>
      <c r="GO37" s="361">
        <v>1.7039058084308729</v>
      </c>
      <c r="GP37" s="361">
        <v>1.7088471352753223</v>
      </c>
      <c r="GQ37" s="364">
        <v>1.7302077244662637</v>
      </c>
      <c r="GR37" s="364">
        <v>1.7398968877232748</v>
      </c>
      <c r="GS37" s="364">
        <v>1.7454645577639893</v>
      </c>
      <c r="GT37" s="364">
        <v>1.7428463609273399</v>
      </c>
      <c r="GU37" s="364">
        <v>1.7496434617349601</v>
      </c>
      <c r="GV37" s="364">
        <v>1.756292106889553</v>
      </c>
      <c r="GW37" s="364">
        <v>1.7566433653109308</v>
      </c>
      <c r="GX37" s="364">
        <v>1.7510221065419358</v>
      </c>
      <c r="GY37" s="364">
        <v>1.7482204711714686</v>
      </c>
      <c r="GZ37" s="364">
        <v>1.7553881751032716</v>
      </c>
      <c r="HA37" s="364"/>
      <c r="HB37" s="364">
        <v>1.7557392527382922</v>
      </c>
      <c r="HC37" s="364">
        <v>1.7655713925536267</v>
      </c>
      <c r="HD37" s="364">
        <v>1.7834036636184183</v>
      </c>
      <c r="HE37" s="364">
        <v>1.7825119617866092</v>
      </c>
      <c r="HF37" s="364">
        <v>1.7809077010210013</v>
      </c>
      <c r="HG37" s="364">
        <v>1.7830447902622266</v>
      </c>
      <c r="HH37" s="364">
        <v>1.7873240977588558</v>
      </c>
      <c r="HI37" s="364">
        <v>1.7923286052325804</v>
      </c>
      <c r="HJ37" s="364">
        <v>1.7880270165800223</v>
      </c>
      <c r="HK37" s="364">
        <v>1.7864177922651003</v>
      </c>
      <c r="HL37" s="364">
        <v>1.7880255682781387</v>
      </c>
      <c r="HM37" s="364">
        <v>1.7899923964032449</v>
      </c>
      <c r="HN37" s="364"/>
      <c r="HO37" s="364">
        <v>1.788381403246482</v>
      </c>
      <c r="HP37" s="364">
        <v>1.7917793279126504</v>
      </c>
      <c r="HQ37" s="364">
        <v>1.8062927404687428</v>
      </c>
      <c r="HR37" s="364">
        <v>1.8120728772382428</v>
      </c>
      <c r="HS37" s="364">
        <v>1.8109856335118999</v>
      </c>
      <c r="HT37" s="364">
        <v>1.8133399148354654</v>
      </c>
      <c r="HU37" s="364">
        <v>1.817510596639587</v>
      </c>
      <c r="HV37" s="364">
        <v>1.8122398159093323</v>
      </c>
      <c r="HW37" s="364">
        <v>1.8124210398909231</v>
      </c>
      <c r="HX37" s="364">
        <v>1.8106086188510322</v>
      </c>
      <c r="HY37" s="364">
        <v>1.8126002883317684</v>
      </c>
      <c r="HZ37" s="1351">
        <v>1.8169505290237646</v>
      </c>
      <c r="IA37" s="1351"/>
      <c r="IB37" s="1350">
        <v>1.8187674795527882</v>
      </c>
      <c r="IC37" s="1350">
        <v>1.8313169751617022</v>
      </c>
      <c r="ID37" s="1608">
        <v>1.8749023191705507</v>
      </c>
      <c r="IE37" s="1608">
        <v>1.8846518112302377</v>
      </c>
      <c r="IF37" s="1352">
        <v>1.8816363683322692</v>
      </c>
      <c r="IG37" s="1352">
        <v>1.8859641319794334</v>
      </c>
      <c r="IH37" s="1352">
        <v>1.8914334279621736</v>
      </c>
      <c r="II37" s="1352">
        <v>1.892757431361747</v>
      </c>
    </row>
    <row r="38" spans="1:264" s="1530" customFormat="1" ht="15" customHeight="1" x14ac:dyDescent="0.2">
      <c r="A38" s="1525" t="s">
        <v>352</v>
      </c>
      <c r="B38" s="1526">
        <f>YEAR(B39)</f>
        <v>2008</v>
      </c>
      <c r="C38" s="1527"/>
      <c r="D38" s="1527"/>
      <c r="E38" s="1527"/>
      <c r="F38" s="1527"/>
      <c r="G38" s="1527"/>
      <c r="H38" s="1527"/>
      <c r="I38" s="1527"/>
      <c r="J38" s="1527"/>
      <c r="K38" s="1527"/>
      <c r="L38" s="1527"/>
      <c r="M38" s="1527"/>
      <c r="N38" s="1528" t="s">
        <v>29</v>
      </c>
      <c r="O38" s="1526">
        <f>YEAR(O39)</f>
        <v>2009</v>
      </c>
      <c r="P38" s="1527"/>
      <c r="Q38" s="1527"/>
      <c r="R38" s="1527"/>
      <c r="S38" s="1527"/>
      <c r="T38" s="1527"/>
      <c r="U38" s="1527"/>
      <c r="V38" s="1527"/>
      <c r="W38" s="1527"/>
      <c r="X38" s="1527"/>
      <c r="Y38" s="1527"/>
      <c r="Z38" s="1527"/>
      <c r="AA38" s="1528" t="s">
        <v>29</v>
      </c>
      <c r="AB38" s="1526">
        <f>YEAR(AB39)</f>
        <v>2010</v>
      </c>
      <c r="AC38" s="1527"/>
      <c r="AD38" s="1527"/>
      <c r="AE38" s="1527"/>
      <c r="AF38" s="1527"/>
      <c r="AG38" s="1527"/>
      <c r="AH38" s="1527"/>
      <c r="AI38" s="1527"/>
      <c r="AJ38" s="1527"/>
      <c r="AK38" s="1527"/>
      <c r="AL38" s="1527"/>
      <c r="AM38" s="1527"/>
      <c r="AN38" s="1528" t="s">
        <v>29</v>
      </c>
      <c r="AO38" s="1526">
        <f>YEAR(AO39)</f>
        <v>2011</v>
      </c>
      <c r="AP38" s="1527"/>
      <c r="AQ38" s="1527"/>
      <c r="AR38" s="1527"/>
      <c r="AS38" s="1527"/>
      <c r="AT38" s="1527"/>
      <c r="AU38" s="1527"/>
      <c r="AV38" s="1527"/>
      <c r="AW38" s="1527"/>
      <c r="AX38" s="1527"/>
      <c r="AY38" s="1527"/>
      <c r="AZ38" s="1527"/>
      <c r="BA38" s="1528" t="s">
        <v>29</v>
      </c>
      <c r="BB38" s="1526">
        <f>YEAR(BB39)</f>
        <v>2012</v>
      </c>
      <c r="BC38" s="1527"/>
      <c r="BD38" s="1527"/>
      <c r="BE38" s="1527"/>
      <c r="BF38" s="1527"/>
      <c r="BG38" s="1527"/>
      <c r="BH38" s="1527"/>
      <c r="BI38" s="1527"/>
      <c r="BJ38" s="1527"/>
      <c r="BK38" s="1527"/>
      <c r="BL38" s="1527"/>
      <c r="BM38" s="1527"/>
      <c r="BN38" s="1528" t="s">
        <v>29</v>
      </c>
      <c r="BO38" s="1526">
        <f>YEAR(BO39)</f>
        <v>2013</v>
      </c>
      <c r="BP38" s="1527"/>
      <c r="BQ38" s="1527"/>
      <c r="BR38" s="1527"/>
      <c r="BS38" s="1527"/>
      <c r="BT38" s="1527"/>
      <c r="BU38" s="1527"/>
      <c r="BV38" s="1527"/>
      <c r="BW38" s="1527"/>
      <c r="BX38" s="1527"/>
      <c r="BY38" s="1527"/>
      <c r="BZ38" s="1527"/>
      <c r="CA38" s="1528" t="s">
        <v>29</v>
      </c>
      <c r="CB38" s="1526">
        <f>YEAR(CB39)</f>
        <v>2014</v>
      </c>
      <c r="CC38" s="1527"/>
      <c r="CD38" s="1527"/>
      <c r="CE38" s="1527"/>
      <c r="CF38" s="1527"/>
      <c r="CG38" s="1527"/>
      <c r="CH38" s="1527"/>
      <c r="CI38" s="1527"/>
      <c r="CJ38" s="1527"/>
      <c r="CK38" s="1527"/>
      <c r="CL38" s="1527"/>
      <c r="CM38" s="1527"/>
      <c r="CN38" s="1528" t="s">
        <v>29</v>
      </c>
      <c r="CO38" s="1526">
        <f>YEAR(CO39)</f>
        <v>2015</v>
      </c>
      <c r="CP38" s="1527"/>
      <c r="CQ38" s="1527"/>
      <c r="CR38" s="1527"/>
      <c r="CS38" s="1527"/>
      <c r="CT38" s="1527"/>
      <c r="CU38" s="1527"/>
      <c r="CV38" s="1527"/>
      <c r="CW38" s="1527"/>
      <c r="CX38" s="1527"/>
      <c r="CY38" s="1527"/>
      <c r="CZ38" s="1527"/>
      <c r="DA38" s="1528" t="s">
        <v>29</v>
      </c>
      <c r="DB38" s="1526">
        <f>YEAR(DB39)</f>
        <v>2016</v>
      </c>
      <c r="DC38" s="1527"/>
      <c r="DD38" s="1527"/>
      <c r="DE38" s="1527"/>
      <c r="DF38" s="1527"/>
      <c r="DG38" s="1527"/>
      <c r="DH38" s="1527"/>
      <c r="DI38" s="1527"/>
      <c r="DJ38" s="1527"/>
      <c r="DK38" s="1527"/>
      <c r="DL38" s="1527"/>
      <c r="DM38" s="1527"/>
      <c r="DN38" s="1528" t="s">
        <v>29</v>
      </c>
      <c r="DO38" s="1526">
        <f>YEAR(DO39)</f>
        <v>2017</v>
      </c>
      <c r="DP38" s="1527"/>
      <c r="DQ38" s="1527"/>
      <c r="DR38" s="1527"/>
      <c r="DS38" s="1527"/>
      <c r="DT38" s="1527"/>
      <c r="DU38" s="1527"/>
      <c r="DV38" s="1527"/>
      <c r="DW38" s="1527"/>
      <c r="DX38" s="1527"/>
      <c r="DY38" s="1527"/>
      <c r="DZ38" s="1527"/>
      <c r="EA38" s="1528" t="s">
        <v>29</v>
      </c>
      <c r="EB38" s="1526">
        <f>YEAR(EB39)</f>
        <v>2018</v>
      </c>
      <c r="EC38" s="1527"/>
      <c r="ED38" s="1527"/>
      <c r="EE38" s="1527"/>
      <c r="EF38" s="1527"/>
      <c r="EG38" s="1527"/>
      <c r="EH38" s="1527"/>
      <c r="EI38" s="1527"/>
      <c r="EJ38" s="1527"/>
      <c r="EK38" s="1527"/>
      <c r="EL38" s="1527"/>
      <c r="EM38" s="1527"/>
      <c r="EN38" s="1528" t="s">
        <v>29</v>
      </c>
      <c r="EO38" s="1526">
        <f>YEAR(EO39)</f>
        <v>2019</v>
      </c>
      <c r="EP38" s="1527"/>
      <c r="EQ38" s="1527"/>
      <c r="ER38" s="1527"/>
      <c r="ES38" s="1527"/>
      <c r="ET38" s="1527"/>
      <c r="EU38" s="1527"/>
      <c r="EV38" s="1527"/>
      <c r="EW38" s="1527"/>
      <c r="EX38" s="1527"/>
      <c r="EY38" s="1527"/>
      <c r="EZ38" s="1527"/>
      <c r="FA38" s="1528" t="s">
        <v>29</v>
      </c>
      <c r="FB38" s="1526">
        <f>YEAR(FB39)</f>
        <v>2020</v>
      </c>
      <c r="FC38" s="1527"/>
      <c r="FD38" s="1527"/>
      <c r="FE38" s="1527"/>
      <c r="FF38" s="1527"/>
      <c r="FG38" s="1527"/>
      <c r="FH38" s="1527"/>
      <c r="FI38" s="1527"/>
      <c r="FJ38" s="1527"/>
      <c r="FK38" s="1527"/>
      <c r="FL38" s="1527"/>
      <c r="FM38" s="1527"/>
      <c r="FN38" s="1528" t="s">
        <v>29</v>
      </c>
      <c r="FO38" s="1526">
        <f>YEAR(FO39)</f>
        <v>2021</v>
      </c>
      <c r="FP38" s="1527"/>
      <c r="FQ38" s="1527"/>
      <c r="FR38" s="1527"/>
      <c r="FS38" s="1527"/>
      <c r="FT38" s="1527"/>
      <c r="FU38" s="1527"/>
      <c r="FV38" s="1527"/>
      <c r="FW38" s="1527"/>
      <c r="FX38" s="1527"/>
      <c r="FY38" s="1527"/>
      <c r="FZ38" s="1527"/>
      <c r="GA38" s="1528" t="s">
        <v>29</v>
      </c>
      <c r="GB38" s="1526">
        <f>YEAR(GB39)</f>
        <v>2022</v>
      </c>
      <c r="GC38" s="1527"/>
      <c r="GD38" s="1527"/>
      <c r="GE38" s="1527"/>
      <c r="GF38" s="1527"/>
      <c r="GG38" s="1527"/>
      <c r="GH38" s="1527"/>
      <c r="GI38" s="1527"/>
      <c r="GJ38" s="1527"/>
      <c r="GK38" s="1527"/>
      <c r="GL38" s="1527"/>
      <c r="GM38" s="1527"/>
      <c r="GN38" s="1528" t="s">
        <v>29</v>
      </c>
      <c r="GO38" s="1526">
        <f>YEAR(GO39)</f>
        <v>2023</v>
      </c>
      <c r="GP38" s="1527"/>
      <c r="GQ38" s="1527"/>
      <c r="GR38" s="1527"/>
      <c r="GS38" s="1527"/>
      <c r="GT38" s="1527"/>
      <c r="GU38" s="1527"/>
      <c r="GV38" s="1527"/>
      <c r="GW38" s="1527"/>
      <c r="GX38" s="1527"/>
      <c r="GY38" s="1527"/>
      <c r="GZ38" s="1527"/>
      <c r="HA38" s="1528" t="s">
        <v>29</v>
      </c>
      <c r="HB38" s="1526">
        <f>YEAR(HB39)</f>
        <v>2024</v>
      </c>
      <c r="HC38" s="1527"/>
      <c r="HD38" s="1527"/>
      <c r="HE38" s="1527"/>
      <c r="HF38" s="1527"/>
      <c r="HG38" s="1527"/>
      <c r="HH38" s="1527"/>
      <c r="HI38" s="1527"/>
      <c r="HJ38" s="1527"/>
      <c r="HK38" s="1527"/>
      <c r="HL38" s="1527"/>
      <c r="HM38" s="1527"/>
      <c r="HN38" s="1528" t="s">
        <v>29</v>
      </c>
      <c r="HO38" s="1526">
        <f>YEAR(HO39)</f>
        <v>2025</v>
      </c>
      <c r="HP38" s="1527"/>
      <c r="HQ38" s="1527"/>
      <c r="HR38" s="1527"/>
      <c r="HS38" s="1527"/>
      <c r="HT38" s="1527"/>
      <c r="HU38" s="1527"/>
      <c r="HV38" s="1527"/>
      <c r="HW38" s="1527"/>
      <c r="HX38" s="1527"/>
      <c r="HY38" s="1527"/>
      <c r="HZ38" s="1527"/>
      <c r="IA38" s="1529" t="s">
        <v>29</v>
      </c>
      <c r="IB38" s="1526">
        <v>2026</v>
      </c>
      <c r="IC38" s="1527"/>
      <c r="ID38" s="1527"/>
      <c r="IE38" s="1527"/>
      <c r="IF38" s="1527"/>
      <c r="IG38" s="1527"/>
      <c r="IH38" s="1527"/>
      <c r="II38" s="1420"/>
      <c r="IJ38" s="1527"/>
      <c r="IK38" s="1527"/>
      <c r="IL38" s="1527"/>
      <c r="IM38" s="1527"/>
      <c r="IN38" s="1533" t="s">
        <v>29</v>
      </c>
      <c r="IO38" s="1422"/>
      <c r="IP38" s="1692" t="str">
        <f>CONCATENATE("Var.% ",IS38,"/",IS38-1)</f>
        <v>Var.% 2026/2025</v>
      </c>
      <c r="IQ38" s="1693"/>
      <c r="IR38" s="1534">
        <f>IS38-1</f>
        <v>2025</v>
      </c>
      <c r="IS38" s="1534">
        <f>IN39</f>
        <v>2026</v>
      </c>
      <c r="IV38"/>
      <c r="IW38"/>
      <c r="IX38"/>
      <c r="IY38"/>
      <c r="IZ38"/>
      <c r="JA38"/>
      <c r="JB38"/>
      <c r="JC38"/>
      <c r="JD38"/>
    </row>
    <row r="39" spans="1:264" s="1530" customFormat="1" ht="15" customHeight="1" x14ac:dyDescent="0.2">
      <c r="A39" s="1531" t="s">
        <v>352</v>
      </c>
      <c r="B39" s="1429">
        <v>39448</v>
      </c>
      <c r="C39" s="1430">
        <v>39479</v>
      </c>
      <c r="D39" s="1430">
        <v>39508</v>
      </c>
      <c r="E39" s="1430">
        <v>39539</v>
      </c>
      <c r="F39" s="1430">
        <v>39569</v>
      </c>
      <c r="G39" s="1430">
        <v>39600</v>
      </c>
      <c r="H39" s="1430">
        <v>39630</v>
      </c>
      <c r="I39" s="1430">
        <v>39661</v>
      </c>
      <c r="J39" s="1430">
        <v>39692</v>
      </c>
      <c r="K39" s="1430">
        <v>39722</v>
      </c>
      <c r="L39" s="1430">
        <v>39753</v>
      </c>
      <c r="M39" s="1430">
        <v>39783</v>
      </c>
      <c r="N39" s="1432">
        <f>YEAR(M39)</f>
        <v>2008</v>
      </c>
      <c r="O39" s="1429">
        <v>39814</v>
      </c>
      <c r="P39" s="1430">
        <v>39845</v>
      </c>
      <c r="Q39" s="1430">
        <v>39873</v>
      </c>
      <c r="R39" s="1430">
        <v>39904</v>
      </c>
      <c r="S39" s="1430">
        <v>39934</v>
      </c>
      <c r="T39" s="1430">
        <v>39965</v>
      </c>
      <c r="U39" s="1430">
        <v>39995</v>
      </c>
      <c r="V39" s="1430">
        <v>40026</v>
      </c>
      <c r="W39" s="1430">
        <v>40057</v>
      </c>
      <c r="X39" s="1430">
        <v>40087</v>
      </c>
      <c r="Y39" s="1430">
        <v>40118</v>
      </c>
      <c r="Z39" s="1430">
        <v>40148</v>
      </c>
      <c r="AA39" s="1432">
        <f>YEAR(Z39)</f>
        <v>2009</v>
      </c>
      <c r="AB39" s="1429">
        <v>40179</v>
      </c>
      <c r="AC39" s="1430">
        <v>40210</v>
      </c>
      <c r="AD39" s="1430">
        <v>40238</v>
      </c>
      <c r="AE39" s="1430">
        <v>40269</v>
      </c>
      <c r="AF39" s="1430">
        <v>40299</v>
      </c>
      <c r="AG39" s="1430">
        <v>40330</v>
      </c>
      <c r="AH39" s="1430">
        <v>40360</v>
      </c>
      <c r="AI39" s="1430">
        <v>40391</v>
      </c>
      <c r="AJ39" s="1430">
        <v>40422</v>
      </c>
      <c r="AK39" s="1430">
        <v>40452</v>
      </c>
      <c r="AL39" s="1430">
        <v>40483</v>
      </c>
      <c r="AM39" s="1430">
        <v>40513</v>
      </c>
      <c r="AN39" s="1432">
        <f>YEAR(AM39)</f>
        <v>2010</v>
      </c>
      <c r="AO39" s="1429">
        <v>40544</v>
      </c>
      <c r="AP39" s="1430">
        <v>40575</v>
      </c>
      <c r="AQ39" s="1430">
        <v>40603</v>
      </c>
      <c r="AR39" s="1430">
        <v>40634</v>
      </c>
      <c r="AS39" s="1430">
        <v>40664</v>
      </c>
      <c r="AT39" s="1430">
        <v>40695</v>
      </c>
      <c r="AU39" s="1430">
        <v>40725</v>
      </c>
      <c r="AV39" s="1430">
        <v>40756</v>
      </c>
      <c r="AW39" s="1430">
        <v>40787</v>
      </c>
      <c r="AX39" s="1430">
        <v>40817</v>
      </c>
      <c r="AY39" s="1430">
        <v>40848</v>
      </c>
      <c r="AZ39" s="1430">
        <v>40878</v>
      </c>
      <c r="BA39" s="1432">
        <f>YEAR(AZ39)</f>
        <v>2011</v>
      </c>
      <c r="BB39" s="1429">
        <v>40909</v>
      </c>
      <c r="BC39" s="1430">
        <v>40940</v>
      </c>
      <c r="BD39" s="1430">
        <v>40969</v>
      </c>
      <c r="BE39" s="1430">
        <v>41000</v>
      </c>
      <c r="BF39" s="1430">
        <v>41030</v>
      </c>
      <c r="BG39" s="1430">
        <v>41061</v>
      </c>
      <c r="BH39" s="1430">
        <v>41091</v>
      </c>
      <c r="BI39" s="1430">
        <v>41122</v>
      </c>
      <c r="BJ39" s="1430">
        <v>41153</v>
      </c>
      <c r="BK39" s="1430">
        <v>41183</v>
      </c>
      <c r="BL39" s="1430">
        <v>41214</v>
      </c>
      <c r="BM39" s="1430">
        <v>41244</v>
      </c>
      <c r="BN39" s="1432">
        <f>YEAR(BM39)</f>
        <v>2012</v>
      </c>
      <c r="BO39" s="1429">
        <v>41275</v>
      </c>
      <c r="BP39" s="1430">
        <v>41306</v>
      </c>
      <c r="BQ39" s="1430">
        <v>41334</v>
      </c>
      <c r="BR39" s="1430">
        <v>41365</v>
      </c>
      <c r="BS39" s="1430">
        <v>41395</v>
      </c>
      <c r="BT39" s="1430">
        <v>41426</v>
      </c>
      <c r="BU39" s="1430">
        <v>41456</v>
      </c>
      <c r="BV39" s="1430">
        <v>41487</v>
      </c>
      <c r="BW39" s="1430">
        <v>41518</v>
      </c>
      <c r="BX39" s="1430">
        <v>41548</v>
      </c>
      <c r="BY39" s="1430">
        <v>41579</v>
      </c>
      <c r="BZ39" s="1430">
        <v>41609</v>
      </c>
      <c r="CA39" s="1432">
        <f>YEAR(BZ39)</f>
        <v>2013</v>
      </c>
      <c r="CB39" s="1429">
        <v>41640</v>
      </c>
      <c r="CC39" s="1430">
        <v>41671</v>
      </c>
      <c r="CD39" s="1430">
        <v>41699</v>
      </c>
      <c r="CE39" s="1430">
        <v>41730</v>
      </c>
      <c r="CF39" s="1430">
        <v>41760</v>
      </c>
      <c r="CG39" s="1430">
        <v>41791</v>
      </c>
      <c r="CH39" s="1430">
        <v>41821</v>
      </c>
      <c r="CI39" s="1430">
        <v>41852</v>
      </c>
      <c r="CJ39" s="1430">
        <v>41883</v>
      </c>
      <c r="CK39" s="1430">
        <v>41913</v>
      </c>
      <c r="CL39" s="1430">
        <v>41944</v>
      </c>
      <c r="CM39" s="1430">
        <v>41974</v>
      </c>
      <c r="CN39" s="1432">
        <f>YEAR(CM39)</f>
        <v>2014</v>
      </c>
      <c r="CO39" s="1429">
        <v>42005</v>
      </c>
      <c r="CP39" s="1430">
        <v>42036</v>
      </c>
      <c r="CQ39" s="1430">
        <v>42064</v>
      </c>
      <c r="CR39" s="1430">
        <v>42095</v>
      </c>
      <c r="CS39" s="1430">
        <v>42125</v>
      </c>
      <c r="CT39" s="1430">
        <v>42156</v>
      </c>
      <c r="CU39" s="1430">
        <v>42186</v>
      </c>
      <c r="CV39" s="1430">
        <v>42217</v>
      </c>
      <c r="CW39" s="1430">
        <v>42248</v>
      </c>
      <c r="CX39" s="1430">
        <v>42278</v>
      </c>
      <c r="CY39" s="1430">
        <v>42309</v>
      </c>
      <c r="CZ39" s="1430">
        <v>42339</v>
      </c>
      <c r="DA39" s="1432">
        <f>YEAR(CZ39)</f>
        <v>2015</v>
      </c>
      <c r="DB39" s="1429">
        <v>42370</v>
      </c>
      <c r="DC39" s="1430">
        <v>42401</v>
      </c>
      <c r="DD39" s="1430">
        <v>42430</v>
      </c>
      <c r="DE39" s="1430">
        <v>42461</v>
      </c>
      <c r="DF39" s="1430">
        <v>42491</v>
      </c>
      <c r="DG39" s="1430">
        <v>42522</v>
      </c>
      <c r="DH39" s="1430">
        <v>42552</v>
      </c>
      <c r="DI39" s="1430">
        <v>42583</v>
      </c>
      <c r="DJ39" s="1430">
        <v>42614</v>
      </c>
      <c r="DK39" s="1430">
        <v>42644</v>
      </c>
      <c r="DL39" s="1430">
        <v>42675</v>
      </c>
      <c r="DM39" s="1430">
        <v>42705</v>
      </c>
      <c r="DN39" s="1432">
        <f>YEAR(DM39)</f>
        <v>2016</v>
      </c>
      <c r="DO39" s="1429">
        <v>42736</v>
      </c>
      <c r="DP39" s="1430">
        <v>42767</v>
      </c>
      <c r="DQ39" s="1430">
        <v>42795</v>
      </c>
      <c r="DR39" s="1430">
        <v>42826</v>
      </c>
      <c r="DS39" s="1430">
        <v>42856</v>
      </c>
      <c r="DT39" s="1430">
        <v>42887</v>
      </c>
      <c r="DU39" s="1430">
        <v>42917</v>
      </c>
      <c r="DV39" s="1430">
        <v>42948</v>
      </c>
      <c r="DW39" s="1430">
        <v>42979</v>
      </c>
      <c r="DX39" s="1430">
        <v>43009</v>
      </c>
      <c r="DY39" s="1430">
        <v>43040</v>
      </c>
      <c r="DZ39" s="1430">
        <v>43070</v>
      </c>
      <c r="EA39" s="1432">
        <f>YEAR(DZ39)</f>
        <v>2017</v>
      </c>
      <c r="EB39" s="1429">
        <v>43101</v>
      </c>
      <c r="EC39" s="1430">
        <v>43132</v>
      </c>
      <c r="ED39" s="1430">
        <v>43160</v>
      </c>
      <c r="EE39" s="1430">
        <v>43191</v>
      </c>
      <c r="EF39" s="1430">
        <v>43221</v>
      </c>
      <c r="EG39" s="1430">
        <v>43252</v>
      </c>
      <c r="EH39" s="1430">
        <v>43282</v>
      </c>
      <c r="EI39" s="1430">
        <v>43313</v>
      </c>
      <c r="EJ39" s="1430">
        <v>43344</v>
      </c>
      <c r="EK39" s="1430">
        <v>43374</v>
      </c>
      <c r="EL39" s="1430">
        <v>43405</v>
      </c>
      <c r="EM39" s="1430">
        <v>43435</v>
      </c>
      <c r="EN39" s="1432">
        <f>YEAR(EM39)</f>
        <v>2018</v>
      </c>
      <c r="EO39" s="1429">
        <v>43466</v>
      </c>
      <c r="EP39" s="1430">
        <v>43497</v>
      </c>
      <c r="EQ39" s="1430">
        <v>43525</v>
      </c>
      <c r="ER39" s="1430">
        <v>43556</v>
      </c>
      <c r="ES39" s="1430">
        <v>43586</v>
      </c>
      <c r="ET39" s="1430">
        <v>43617</v>
      </c>
      <c r="EU39" s="1430">
        <v>43647</v>
      </c>
      <c r="EV39" s="1430">
        <v>43678</v>
      </c>
      <c r="EW39" s="1430">
        <v>43709</v>
      </c>
      <c r="EX39" s="1430">
        <v>43739</v>
      </c>
      <c r="EY39" s="1430">
        <v>43770</v>
      </c>
      <c r="EZ39" s="1430">
        <v>43800</v>
      </c>
      <c r="FA39" s="1432">
        <f>YEAR(EZ39)</f>
        <v>2019</v>
      </c>
      <c r="FB39" s="1429">
        <v>43831</v>
      </c>
      <c r="FC39" s="1430">
        <v>43862</v>
      </c>
      <c r="FD39" s="1430">
        <v>43891</v>
      </c>
      <c r="FE39" s="1430">
        <v>43922</v>
      </c>
      <c r="FF39" s="1430">
        <v>43952</v>
      </c>
      <c r="FG39" s="1430">
        <v>43983</v>
      </c>
      <c r="FH39" s="1430">
        <v>44013</v>
      </c>
      <c r="FI39" s="1430">
        <v>44044</v>
      </c>
      <c r="FJ39" s="1430">
        <v>44075</v>
      </c>
      <c r="FK39" s="1430">
        <v>44105</v>
      </c>
      <c r="FL39" s="1430">
        <v>44136</v>
      </c>
      <c r="FM39" s="1430">
        <v>44166</v>
      </c>
      <c r="FN39" s="1432">
        <f>YEAR(FM39)</f>
        <v>2020</v>
      </c>
      <c r="FO39" s="1429">
        <v>44197</v>
      </c>
      <c r="FP39" s="1430">
        <v>44228</v>
      </c>
      <c r="FQ39" s="1430">
        <v>44256</v>
      </c>
      <c r="FR39" s="1430">
        <v>44287</v>
      </c>
      <c r="FS39" s="1430">
        <v>44317</v>
      </c>
      <c r="FT39" s="1430">
        <v>44348</v>
      </c>
      <c r="FU39" s="1430">
        <v>44378</v>
      </c>
      <c r="FV39" s="1430">
        <v>44409</v>
      </c>
      <c r="FW39" s="1430">
        <v>44440</v>
      </c>
      <c r="FX39" s="1430">
        <v>44470</v>
      </c>
      <c r="FY39" s="1430">
        <v>44501</v>
      </c>
      <c r="FZ39" s="1430">
        <v>44531</v>
      </c>
      <c r="GA39" s="1432">
        <f>YEAR(FZ39)</f>
        <v>2021</v>
      </c>
      <c r="GB39" s="1429">
        <v>44562</v>
      </c>
      <c r="GC39" s="1430">
        <v>44593</v>
      </c>
      <c r="GD39" s="1430">
        <v>44621</v>
      </c>
      <c r="GE39" s="1430">
        <v>44652</v>
      </c>
      <c r="GF39" s="1430">
        <v>44682</v>
      </c>
      <c r="GG39" s="1430">
        <v>44713</v>
      </c>
      <c r="GH39" s="1430">
        <v>44743</v>
      </c>
      <c r="GI39" s="1430">
        <v>44774</v>
      </c>
      <c r="GJ39" s="1430">
        <v>44805</v>
      </c>
      <c r="GK39" s="1430">
        <v>44835</v>
      </c>
      <c r="GL39" s="1430">
        <v>44866</v>
      </c>
      <c r="GM39" s="1430">
        <v>44896</v>
      </c>
      <c r="GN39" s="1432">
        <f>YEAR(GM39)</f>
        <v>2022</v>
      </c>
      <c r="GO39" s="1429">
        <v>44927</v>
      </c>
      <c r="GP39" s="1430">
        <v>44958</v>
      </c>
      <c r="GQ39" s="1430">
        <v>44986</v>
      </c>
      <c r="GR39" s="1430">
        <v>45017</v>
      </c>
      <c r="GS39" s="1430">
        <v>45047</v>
      </c>
      <c r="GT39" s="1430">
        <v>45078</v>
      </c>
      <c r="GU39" s="1430">
        <v>45108</v>
      </c>
      <c r="GV39" s="1430">
        <v>45139</v>
      </c>
      <c r="GW39" s="1430">
        <v>45170</v>
      </c>
      <c r="GX39" s="1430">
        <v>45200</v>
      </c>
      <c r="GY39" s="1430">
        <v>45231</v>
      </c>
      <c r="GZ39" s="1430">
        <v>45261</v>
      </c>
      <c r="HA39" s="1432">
        <f>YEAR(GZ39)</f>
        <v>2023</v>
      </c>
      <c r="HB39" s="1429">
        <v>45292</v>
      </c>
      <c r="HC39" s="1430">
        <v>45323</v>
      </c>
      <c r="HD39" s="1430">
        <v>45352</v>
      </c>
      <c r="HE39" s="1430">
        <v>45383</v>
      </c>
      <c r="HF39" s="1430">
        <v>45413</v>
      </c>
      <c r="HG39" s="1430">
        <v>45444</v>
      </c>
      <c r="HH39" s="1430">
        <v>45474</v>
      </c>
      <c r="HI39" s="1430">
        <v>45505</v>
      </c>
      <c r="HJ39" s="1430">
        <v>45536</v>
      </c>
      <c r="HK39" s="1430">
        <v>45566</v>
      </c>
      <c r="HL39" s="1430">
        <v>45597</v>
      </c>
      <c r="HM39" s="1430">
        <v>45627</v>
      </c>
      <c r="HN39" s="1432">
        <f>YEAR(HM39)</f>
        <v>2024</v>
      </c>
      <c r="HO39" s="1429">
        <v>45658</v>
      </c>
      <c r="HP39" s="1430">
        <v>45689</v>
      </c>
      <c r="HQ39" s="1430">
        <v>45717</v>
      </c>
      <c r="HR39" s="1430">
        <v>45748</v>
      </c>
      <c r="HS39" s="1430">
        <v>45778</v>
      </c>
      <c r="HT39" s="1430">
        <v>45809</v>
      </c>
      <c r="HU39" s="1430">
        <v>45839</v>
      </c>
      <c r="HV39" s="1430">
        <v>45870</v>
      </c>
      <c r="HW39" s="1430">
        <v>45901</v>
      </c>
      <c r="HX39" s="1430">
        <v>45931</v>
      </c>
      <c r="HY39" s="1430">
        <v>45962</v>
      </c>
      <c r="HZ39" s="1430">
        <v>45992</v>
      </c>
      <c r="IA39" s="1532">
        <f>YEAR(HZ39)</f>
        <v>2025</v>
      </c>
      <c r="IB39" s="1429">
        <v>46023</v>
      </c>
      <c r="IC39" s="1430">
        <v>46054</v>
      </c>
      <c r="ID39" s="1430">
        <v>46082</v>
      </c>
      <c r="IE39" s="1430">
        <v>46113</v>
      </c>
      <c r="IF39" s="1430">
        <v>46143</v>
      </c>
      <c r="IG39" s="1430">
        <v>46174</v>
      </c>
      <c r="IH39" s="1430">
        <v>46204</v>
      </c>
      <c r="II39" s="1430">
        <v>46235</v>
      </c>
      <c r="IJ39" s="1430">
        <v>46266</v>
      </c>
      <c r="IK39" s="1430">
        <v>46296</v>
      </c>
      <c r="IL39" s="1430">
        <v>46327</v>
      </c>
      <c r="IM39" s="1430">
        <v>46357</v>
      </c>
      <c r="IN39" s="1431">
        <v>2026</v>
      </c>
      <c r="IO39" s="1422"/>
      <c r="IP39" s="1433">
        <f>II39</f>
        <v>46235</v>
      </c>
      <c r="IQ39" s="1535" t="str">
        <f>CONCATENATE("Ene.-",TEXT(IP39,"MMM."))</f>
        <v>Ene.-Ago.</v>
      </c>
      <c r="IR39" s="1535" t="str">
        <f>IQ39</f>
        <v>Ene.-Ago.</v>
      </c>
      <c r="IS39" s="1535" t="str">
        <f>IQ39</f>
        <v>Ene.-Ago.</v>
      </c>
      <c r="IV39"/>
      <c r="IW39"/>
      <c r="IX39"/>
      <c r="IY39"/>
      <c r="IZ39"/>
      <c r="JA39"/>
      <c r="JB39"/>
      <c r="JC39"/>
      <c r="JD39"/>
    </row>
    <row r="40" spans="1:264" ht="15" customHeight="1" x14ac:dyDescent="0.2">
      <c r="A40" s="331" t="s">
        <v>352</v>
      </c>
      <c r="B40" s="373"/>
      <c r="C40" s="374"/>
      <c r="D40" s="374"/>
      <c r="E40" s="374"/>
      <c r="F40" s="374"/>
      <c r="G40" s="374"/>
      <c r="H40" s="374"/>
      <c r="I40" s="374"/>
      <c r="J40" s="374"/>
      <c r="K40" s="374"/>
      <c r="L40" s="374"/>
      <c r="M40" s="387"/>
      <c r="N40" s="375"/>
      <c r="O40" s="373"/>
      <c r="P40" s="374"/>
      <c r="Q40" s="374"/>
      <c r="R40" s="374"/>
      <c r="S40" s="374"/>
      <c r="T40" s="374"/>
      <c r="U40" s="374"/>
      <c r="V40" s="374"/>
      <c r="W40" s="374"/>
      <c r="X40" s="374"/>
      <c r="Y40" s="374"/>
      <c r="Z40" s="387"/>
      <c r="AA40" s="375"/>
      <c r="AB40" s="373"/>
      <c r="AC40" s="374"/>
      <c r="AD40" s="374"/>
      <c r="AE40" s="374"/>
      <c r="AF40" s="374"/>
      <c r="AG40" s="374"/>
      <c r="AH40" s="374"/>
      <c r="AI40" s="374"/>
      <c r="AJ40" s="374"/>
      <c r="AK40" s="374"/>
      <c r="AL40" s="374"/>
      <c r="AM40" s="387"/>
      <c r="AN40" s="375"/>
      <c r="AO40" s="373"/>
      <c r="AP40" s="374"/>
      <c r="AQ40" s="374"/>
      <c r="AR40" s="374"/>
      <c r="AS40" s="374"/>
      <c r="AT40" s="374"/>
      <c r="AU40" s="374"/>
      <c r="AV40" s="374"/>
      <c r="AW40" s="374"/>
      <c r="AX40" s="374"/>
      <c r="AY40" s="374"/>
      <c r="AZ40" s="387"/>
      <c r="BA40" s="375"/>
      <c r="BB40" s="373"/>
      <c r="BC40" s="374"/>
      <c r="BD40" s="374"/>
      <c r="BE40" s="374"/>
      <c r="BF40" s="374"/>
      <c r="BG40" s="374"/>
      <c r="BH40" s="374"/>
      <c r="BI40" s="374"/>
      <c r="BJ40" s="374"/>
      <c r="BK40" s="374"/>
      <c r="BL40" s="374"/>
      <c r="BM40" s="387"/>
      <c r="BN40" s="375"/>
      <c r="BO40" s="373"/>
      <c r="BP40" s="374"/>
      <c r="BQ40" s="374"/>
      <c r="BR40" s="374"/>
      <c r="BS40" s="374"/>
      <c r="BT40" s="374"/>
      <c r="BU40" s="374"/>
      <c r="BV40" s="374"/>
      <c r="BW40" s="374"/>
      <c r="BX40" s="374"/>
      <c r="BY40" s="374"/>
      <c r="BZ40" s="387"/>
      <c r="CA40" s="375"/>
      <c r="CB40" s="373"/>
      <c r="CC40" s="374"/>
      <c r="CD40" s="374"/>
      <c r="CE40" s="374"/>
      <c r="CF40" s="374"/>
      <c r="CG40" s="374"/>
      <c r="CH40" s="374"/>
      <c r="CI40" s="374"/>
      <c r="CJ40" s="374"/>
      <c r="CK40" s="374"/>
      <c r="CL40" s="374"/>
      <c r="CM40" s="387"/>
      <c r="CN40" s="375"/>
      <c r="CO40" s="373"/>
      <c r="CP40" s="374"/>
      <c r="CQ40" s="374"/>
      <c r="CR40" s="374"/>
      <c r="CS40" s="374"/>
      <c r="CT40" s="374"/>
      <c r="CU40" s="374"/>
      <c r="CV40" s="374"/>
      <c r="CW40" s="374"/>
      <c r="CX40" s="374"/>
      <c r="CY40" s="374"/>
      <c r="CZ40" s="387"/>
      <c r="DA40" s="375"/>
      <c r="DB40" s="373"/>
      <c r="DC40" s="374"/>
      <c r="DD40" s="374"/>
      <c r="DE40" s="374"/>
      <c r="DF40" s="374"/>
      <c r="DG40" s="374"/>
      <c r="DH40" s="374"/>
      <c r="DI40" s="374"/>
      <c r="DJ40" s="374"/>
      <c r="DK40" s="374"/>
      <c r="DL40" s="374"/>
      <c r="DM40" s="387"/>
      <c r="DN40" s="375"/>
      <c r="DO40" s="373"/>
      <c r="DP40" s="374"/>
      <c r="DQ40" s="374"/>
      <c r="DR40" s="374"/>
      <c r="DS40" s="374"/>
      <c r="DT40" s="374"/>
      <c r="DU40" s="374"/>
      <c r="DV40" s="374"/>
      <c r="DW40" s="374"/>
      <c r="DX40" s="374"/>
      <c r="DY40" s="374"/>
      <c r="DZ40" s="387"/>
      <c r="EA40" s="375"/>
      <c r="EB40" s="373"/>
      <c r="EC40" s="374"/>
      <c r="ED40" s="374"/>
      <c r="EE40" s="374"/>
      <c r="EF40" s="374"/>
      <c r="EG40" s="374"/>
      <c r="EH40" s="374"/>
      <c r="EI40" s="374"/>
      <c r="EJ40" s="374"/>
      <c r="EK40" s="374"/>
      <c r="EL40" s="374"/>
      <c r="EM40" s="387"/>
      <c r="EN40" s="375"/>
      <c r="EO40" s="373"/>
      <c r="EP40" s="374"/>
      <c r="EQ40" s="374"/>
      <c r="ER40" s="374"/>
      <c r="ES40" s="374"/>
      <c r="ET40" s="374"/>
      <c r="EU40" s="374"/>
      <c r="EV40" s="374"/>
      <c r="EW40" s="374"/>
      <c r="EX40" s="374"/>
      <c r="EY40" s="374"/>
      <c r="EZ40" s="387"/>
      <c r="FA40" s="375"/>
      <c r="FB40" s="373"/>
      <c r="FC40" s="374"/>
      <c r="FD40" s="374"/>
      <c r="FE40" s="374"/>
      <c r="FF40" s="374"/>
      <c r="FG40" s="374"/>
      <c r="FH40" s="374"/>
      <c r="FI40" s="374"/>
      <c r="FJ40" s="374"/>
      <c r="FK40" s="374"/>
      <c r="FL40" s="374"/>
      <c r="FM40" s="387"/>
      <c r="FN40" s="375"/>
      <c r="FO40" s="373"/>
      <c r="FP40" s="374"/>
      <c r="FQ40" s="374"/>
      <c r="FR40" s="374"/>
      <c r="FS40" s="374"/>
      <c r="FT40" s="374"/>
      <c r="FU40" s="374"/>
      <c r="FV40" s="374"/>
      <c r="FW40" s="374"/>
      <c r="FX40" s="374"/>
      <c r="FY40" s="374"/>
      <c r="FZ40" s="387"/>
      <c r="GA40" s="375"/>
      <c r="GB40" s="373"/>
      <c r="GC40" s="374"/>
      <c r="GD40" s="374"/>
      <c r="GE40" s="374"/>
      <c r="GF40" s="374"/>
      <c r="GG40" s="374"/>
      <c r="GH40" s="374"/>
      <c r="GI40" s="374"/>
      <c r="GJ40" s="374"/>
      <c r="GK40" s="374"/>
      <c r="GL40" s="374"/>
      <c r="GM40" s="387"/>
      <c r="GN40" s="375"/>
      <c r="GO40" s="373"/>
      <c r="GP40" s="374"/>
      <c r="GQ40" s="374"/>
      <c r="GR40" s="374"/>
      <c r="GS40" s="374"/>
      <c r="GT40" s="374"/>
      <c r="GU40" s="374"/>
      <c r="GV40" s="374"/>
      <c r="GW40" s="374"/>
      <c r="GX40" s="374"/>
      <c r="GY40" s="374"/>
      <c r="GZ40" s="387"/>
      <c r="HA40" s="375"/>
      <c r="HB40" s="373"/>
      <c r="HC40" s="374"/>
      <c r="HD40" s="374"/>
      <c r="HE40" s="374"/>
      <c r="HF40" s="374"/>
      <c r="HG40" s="374"/>
      <c r="HH40" s="374"/>
      <c r="HI40" s="374"/>
      <c r="HJ40" s="374"/>
      <c r="HK40" s="374"/>
      <c r="HL40" s="374"/>
      <c r="HM40" s="387"/>
      <c r="HN40" s="375"/>
      <c r="HO40" s="373"/>
      <c r="HP40" s="374"/>
      <c r="HQ40" s="374"/>
      <c r="HR40" s="374"/>
      <c r="HS40" s="374"/>
      <c r="HT40" s="374"/>
      <c r="HU40" s="374"/>
      <c r="HV40" s="374"/>
      <c r="HW40" s="374"/>
      <c r="HX40" s="374"/>
      <c r="HY40" s="374"/>
      <c r="HZ40" s="387"/>
      <c r="IA40" s="373"/>
      <c r="IB40" s="1337"/>
      <c r="IC40" s="1338"/>
      <c r="ID40" s="1338"/>
      <c r="IE40" s="1338"/>
      <c r="IF40" s="1338"/>
      <c r="IG40" s="1338"/>
      <c r="IH40" s="1338"/>
      <c r="II40" s="1338"/>
      <c r="IJ40" s="1338"/>
      <c r="IK40" s="1338"/>
      <c r="IL40" s="1338"/>
      <c r="IM40" s="1339"/>
      <c r="IN40" s="1340"/>
      <c r="IP40" s="369"/>
      <c r="IQ40" s="334"/>
      <c r="IR40" s="337"/>
      <c r="IS40" s="335"/>
    </row>
    <row r="41" spans="1:264" s="1523" customFormat="1" ht="15" customHeight="1" x14ac:dyDescent="0.2">
      <c r="A41" s="1511" t="s">
        <v>300</v>
      </c>
      <c r="B41" s="1512">
        <f t="shared" ref="B41:B55" si="139">+B7/$B$37</f>
        <v>20410.01966811849</v>
      </c>
      <c r="C41" s="1513">
        <f t="shared" ref="C41:C55" si="140">+C7/$C$37</f>
        <v>17562.789318232979</v>
      </c>
      <c r="D41" s="1513">
        <f t="shared" ref="D41:D55" si="141">+D7/$D$37</f>
        <v>21834.784244801867</v>
      </c>
      <c r="E41" s="1513">
        <f t="shared" ref="E41:E55" si="142">+E7/$E$37</f>
        <v>65650.63982998085</v>
      </c>
      <c r="F41" s="1513">
        <f t="shared" ref="F41:F55" si="143">+F7/$F$37</f>
        <v>25737.954665000823</v>
      </c>
      <c r="G41" s="1513">
        <f t="shared" ref="G41:G55" si="144">+G7/$G$37</f>
        <v>46284.935506578026</v>
      </c>
      <c r="H41" s="1513">
        <f t="shared" ref="H41:H55" si="145">+H7/$H$37</f>
        <v>23003.697374070194</v>
      </c>
      <c r="I41" s="1513">
        <f t="shared" ref="I41:I55" si="146">+I7/$I$37</f>
        <v>22174.614658881084</v>
      </c>
      <c r="J41" s="1513">
        <f t="shared" ref="J41:J55" si="147">+J7/$J$37</f>
        <v>20278.202473010479</v>
      </c>
      <c r="K41" s="1513">
        <f t="shared" ref="K41:K55" si="148">+K7/$K$37</f>
        <v>65107.863197197541</v>
      </c>
      <c r="L41" s="1513">
        <f t="shared" ref="L41:L55" si="149">+L7/$L$37</f>
        <v>67616.480399112275</v>
      </c>
      <c r="M41" s="1514">
        <f t="shared" ref="M41:M55" si="150">+M7/$M$37</f>
        <v>40054.659182484087</v>
      </c>
      <c r="N41" s="1515">
        <f>SUM(B41:M41)</f>
        <v>435716.64051746868</v>
      </c>
      <c r="O41" s="1512">
        <f t="shared" ref="O41:O55" si="151">+O7/$O$37</f>
        <v>26849.226101241849</v>
      </c>
      <c r="P41" s="1513">
        <f t="shared" ref="P41:P55" si="152">+P7/$P$37</f>
        <v>21378.045104573481</v>
      </c>
      <c r="Q41" s="1513">
        <f t="shared" ref="Q41:Q55" si="153">+Q7/$Q$37</f>
        <v>19549.986278891232</v>
      </c>
      <c r="R41" s="1513">
        <f t="shared" ref="R41:R55" si="154">+R7/$R$37</f>
        <v>20469.210909703823</v>
      </c>
      <c r="S41" s="1513">
        <f t="shared" ref="S41:S55" si="155">+S7/$S$37</f>
        <v>36514.109057620008</v>
      </c>
      <c r="T41" s="1513">
        <f t="shared" ref="T41:T55" si="156">+T7/$T$37</f>
        <v>33924.908521701211</v>
      </c>
      <c r="U41" s="1513">
        <f t="shared" ref="U41:U55" si="157">+U7/$U$37</f>
        <v>33231.129935053119</v>
      </c>
      <c r="V41" s="1513">
        <f t="shared" ref="V41:V55" si="158">+V7/$V$37</f>
        <v>31199.114789767333</v>
      </c>
      <c r="W41" s="1513">
        <f t="shared" ref="W41:W55" si="159">+W7/$W$37</f>
        <v>49549.777089353403</v>
      </c>
      <c r="X41" s="1513">
        <f t="shared" ref="X41:X55" si="160">+X7/$X$37</f>
        <v>52394.180184299912</v>
      </c>
      <c r="Y41" s="1513">
        <f t="shared" ref="Y41:Y55" si="161">+Y7/$Y$37</f>
        <v>29383.689055010993</v>
      </c>
      <c r="Z41" s="1514">
        <f t="shared" ref="Z41:Z55" si="162">+Z7/$Z$37</f>
        <v>53083.525521983975</v>
      </c>
      <c r="AA41" s="1515">
        <f>SUM(O41:Z41)</f>
        <v>407526.90254920028</v>
      </c>
      <c r="AB41" s="1512">
        <f t="shared" ref="AB41:AB55" si="163">+AB7/$AB$37</f>
        <v>40850.006305439281</v>
      </c>
      <c r="AC41" s="1513">
        <f t="shared" ref="AC41:AC46" si="164">+AC7/$AC$37</f>
        <v>35099.514512389542</v>
      </c>
      <c r="AD41" s="1513">
        <f t="shared" ref="AD41:AD46" si="165">+AD7/$AD$37</f>
        <v>20836.180346475721</v>
      </c>
      <c r="AE41" s="1513">
        <f t="shared" ref="AE41:AE55" si="166">+AE7/$AE$37</f>
        <v>45808.581612432004</v>
      </c>
      <c r="AF41" s="1513">
        <f t="shared" ref="AF41:AF55" si="167">+AF7/$AF$37</f>
        <v>22877.10446869774</v>
      </c>
      <c r="AG41" s="1513">
        <f t="shared" ref="AG41:AG55" si="168">+AG7/$AG$37</f>
        <v>29769.259639160467</v>
      </c>
      <c r="AH41" s="1513">
        <f t="shared" ref="AH41:AH46" si="169">+AH7/$AH$37</f>
        <v>40772.498454888118</v>
      </c>
      <c r="AI41" s="1513">
        <f t="shared" ref="AI41:AI46" si="170">+AI7/$AI$37</f>
        <v>27325.060146931693</v>
      </c>
      <c r="AJ41" s="1513">
        <f t="shared" ref="AJ41:AJ46" si="171">+AJ7/$AJ$37</f>
        <v>35219.04725919808</v>
      </c>
      <c r="AK41" s="1513">
        <f t="shared" ref="AK41:AK46" si="172">+AK7/$AK$37</f>
        <v>49031.183130365287</v>
      </c>
      <c r="AL41" s="1513">
        <f t="shared" ref="AL41:AL46" si="173">+AL7/$AL$37</f>
        <v>35730.270416944717</v>
      </c>
      <c r="AM41" s="1514">
        <f t="shared" ref="AM41:AM46" si="174">+AM7/$AM$37</f>
        <v>41681.699759892261</v>
      </c>
      <c r="AN41" s="1515">
        <f>SUM(AB41:AM41)</f>
        <v>425000.40605281491</v>
      </c>
      <c r="AO41" s="1512">
        <f t="shared" ref="AO41:AO55" si="175">+AO7/$AO$37</f>
        <v>26198.565718980131</v>
      </c>
      <c r="AP41" s="1513">
        <f t="shared" ref="AP41:AP46" si="176">+AP7/$AP$37</f>
        <v>34319.478180772559</v>
      </c>
      <c r="AQ41" s="1513">
        <f t="shared" ref="AQ41:AQ46" si="177">+AQ7/$AQ$37</f>
        <v>27154.048379188032</v>
      </c>
      <c r="AR41" s="1513">
        <f t="shared" ref="AR41:AR55" si="178">+AR7/$AR$37</f>
        <v>31539.484710167791</v>
      </c>
      <c r="AS41" s="1513">
        <f t="shared" ref="AS41:AS55" si="179">+AS7/$AS$37</f>
        <v>33162.579578916331</v>
      </c>
      <c r="AT41" s="1513">
        <f t="shared" ref="AT41:AT55" si="180">+AT7/$AT$37</f>
        <v>34497.687631453919</v>
      </c>
      <c r="AU41" s="1513">
        <f t="shared" ref="AU41:AU55" si="181">+AU7/$AU$37</f>
        <v>35973.662504247586</v>
      </c>
      <c r="AV41" s="1513">
        <f t="shared" ref="AV41:AV55" si="182">+AV7/$AV$37</f>
        <v>33288.205259519862</v>
      </c>
      <c r="AW41" s="1513">
        <f t="shared" ref="AW41:AW55" si="183">+AW7/$AW$37</f>
        <v>26379.691830304444</v>
      </c>
      <c r="AX41" s="1513">
        <f t="shared" ref="AX41:AX55" si="184">+AX7/$AX$37</f>
        <v>31679.105393227863</v>
      </c>
      <c r="AY41" s="1513">
        <f t="shared" ref="AY41:AY55" si="185">+AY7/$AY$37</f>
        <v>26808.421009529378</v>
      </c>
      <c r="AZ41" s="1514">
        <f t="shared" ref="AZ41:AZ55" si="186">+AZ7/$AZ$37</f>
        <v>51952.991712506278</v>
      </c>
      <c r="BA41" s="1515">
        <f>SUM(AO41:AZ41)</f>
        <v>392953.92190881417</v>
      </c>
      <c r="BB41" s="1512">
        <f t="shared" ref="BB41:BB55" si="187">+BB7/$BB$37</f>
        <v>22242.092130452045</v>
      </c>
      <c r="BC41" s="1513">
        <f t="shared" ref="BC41:BC55" si="188">+BC7/$BC$37</f>
        <v>26576.608574769147</v>
      </c>
      <c r="BD41" s="1513">
        <f t="shared" ref="BD41:BD55" si="189">+BD7/$BD$37</f>
        <v>24090.782681723646</v>
      </c>
      <c r="BE41" s="1513">
        <f t="shared" ref="BE41:BE55" si="190">+BE7/$BE$37</f>
        <v>20748.266595327692</v>
      </c>
      <c r="BF41" s="1513">
        <f t="shared" ref="BF41:BF55" si="191">+BF7/$BF$37</f>
        <v>60405.417814085369</v>
      </c>
      <c r="BG41" s="1513">
        <f t="shared" ref="BG41:BG55" si="192">+BG7/$BG$37</f>
        <v>23366.3108158666</v>
      </c>
      <c r="BH41" s="1513">
        <f t="shared" ref="BH41:BH55" si="193">+BH7/$BH$37</f>
        <v>47821.981721357981</v>
      </c>
      <c r="BI41" s="1513">
        <f t="shared" ref="BI41:BI55" si="194">+BI7/$BI$37</f>
        <v>42749.151815147889</v>
      </c>
      <c r="BJ41" s="1513">
        <f t="shared" ref="BJ41:BJ55" si="195">+BJ7/$BJ$37</f>
        <v>42217.924017294376</v>
      </c>
      <c r="BK41" s="1513">
        <f t="shared" ref="BK41:BK55" si="196">+BK7/$BK$37</f>
        <v>54442.612243971256</v>
      </c>
      <c r="BL41" s="1513">
        <f t="shared" ref="BL41:BL55" si="197">+BL7/$BL$37</f>
        <v>64944.88128607301</v>
      </c>
      <c r="BM41" s="1514">
        <f t="shared" ref="BM41:BM55" si="198">+BM7/$BM$37</f>
        <v>57848.874047105732</v>
      </c>
      <c r="BN41" s="1515">
        <f>SUM(BB41:BM41)</f>
        <v>487454.90374317474</v>
      </c>
      <c r="BO41" s="1512">
        <f t="shared" ref="BO41:BO55" si="199">+BO7/$BO$37</f>
        <v>24166.572322630251</v>
      </c>
      <c r="BP41" s="1513">
        <f t="shared" ref="BP41:BP55" si="200">+BP7/$BP$37</f>
        <v>68826.51575411846</v>
      </c>
      <c r="BQ41" s="1513">
        <f t="shared" ref="BQ41:BQ55" si="201">+BQ7/$BQ$37</f>
        <v>45646.665129756671</v>
      </c>
      <c r="BR41" s="1513">
        <f t="shared" ref="BR41:BR55" si="202">+BR7/$BR$37</f>
        <v>40331.464320307801</v>
      </c>
      <c r="BS41" s="1513">
        <f t="shared" ref="BS41:BS55" si="203">+BS7/$BS$37</f>
        <v>46208.268194103584</v>
      </c>
      <c r="BT41" s="1513">
        <f t="shared" ref="BT41:BT55" si="204">+BT7/$BT$37</f>
        <v>35655.880159140572</v>
      </c>
      <c r="BU41" s="1513">
        <f t="shared" ref="BU41:BU55" si="205">+BU7/$BU$37</f>
        <v>35823.133153509196</v>
      </c>
      <c r="BV41" s="1513">
        <f t="shared" ref="BV41:BV55" si="206">+BV7/$BV$37</f>
        <v>44736.881716955366</v>
      </c>
      <c r="BW41" s="1513">
        <f t="shared" ref="BW41:BW55" si="207">+BW7/$BW$37</f>
        <v>46747.460549505828</v>
      </c>
      <c r="BX41" s="1513">
        <f t="shared" ref="BX41:BX55" si="208">+BX7/$BX$37</f>
        <v>56047.882887382781</v>
      </c>
      <c r="BY41" s="1513">
        <f t="shared" ref="BY41:BY55" si="209">+BY7/$BY$37</f>
        <v>52797.493282524905</v>
      </c>
      <c r="BZ41" s="1514">
        <f t="shared" ref="BZ41:BZ55" si="210">+BZ7/$BZ$37</f>
        <v>63565.895580853597</v>
      </c>
      <c r="CA41" s="1515">
        <f>SUM(BO41:BZ41)</f>
        <v>560554.11305078899</v>
      </c>
      <c r="CB41" s="1512">
        <f t="shared" ref="CB41:CB55" si="211">+CB7/$CB$37</f>
        <v>33148.902237682531</v>
      </c>
      <c r="CC41" s="1513">
        <f t="shared" ref="CC41:CC55" si="212">+CC7/$CC$37</f>
        <v>60766.950731295467</v>
      </c>
      <c r="CD41" s="1513">
        <f t="shared" ref="CD41:CD55" si="213">+CD7/$CD$37</f>
        <v>29156.142658262153</v>
      </c>
      <c r="CE41" s="1513">
        <f t="shared" ref="CE41:CE55" si="214">+CE7/$CE$37</f>
        <v>47992.276496814266</v>
      </c>
      <c r="CF41" s="1513">
        <f t="shared" ref="CF41:CF55" si="215">+CF7/$CF$37</f>
        <v>39198.592567133739</v>
      </c>
      <c r="CG41" s="1513">
        <f t="shared" ref="CG41:CG55" si="216">+CG7/$CG$37</f>
        <v>44051.021096562727</v>
      </c>
      <c r="CH41" s="1513">
        <f t="shared" ref="CH41:CH55" si="217">+CH7/$CH$37</f>
        <v>40111.188770112014</v>
      </c>
      <c r="CI41" s="1513">
        <f t="shared" ref="CI41:CI55" si="218">+CI7/$CI$37</f>
        <v>49683.537953231695</v>
      </c>
      <c r="CJ41" s="1513">
        <f t="shared" ref="CJ41:CJ55" si="219">+CJ7/$CJ$37</f>
        <v>35493.123846273658</v>
      </c>
      <c r="CK41" s="1513">
        <f t="shared" ref="CK41:CK55" si="220">+CK7/$CK$37</f>
        <v>36678.411267647964</v>
      </c>
      <c r="CL41" s="1513">
        <f t="shared" ref="CL41:CL55" si="221">+CL7/$CL$37</f>
        <v>27941.297615200587</v>
      </c>
      <c r="CM41" s="1514">
        <f t="shared" ref="CM41:CM55" si="222">+CM7/$CM$37</f>
        <v>76547.310557942503</v>
      </c>
      <c r="CN41" s="1515">
        <f>SUM(CB41:CM41)</f>
        <v>520768.75579815928</v>
      </c>
      <c r="CO41" s="1512">
        <f t="shared" ref="CO41:CO55" si="223">+CO7/$CO$37</f>
        <v>48714.845525024866</v>
      </c>
      <c r="CP41" s="1513">
        <f t="shared" ref="CP41:CP55" si="224">+CP7/$CP$37</f>
        <v>69114.274516721081</v>
      </c>
      <c r="CQ41" s="1513">
        <f t="shared" ref="CQ41:CQ55" si="225">+CQ7/$CQ$37</f>
        <v>47512.263620098958</v>
      </c>
      <c r="CR41" s="1513">
        <f t="shared" ref="CR41:CR55" si="226">+CR7/$CR$37</f>
        <v>35409.589255785213</v>
      </c>
      <c r="CS41" s="1513">
        <f t="shared" ref="CS41:CS55" si="227">+CS7/$CS$37</f>
        <v>41317.741425282278</v>
      </c>
      <c r="CT41" s="1513">
        <f t="shared" ref="CT41:CT55" si="228">+CT7/$CT$37</f>
        <v>53284.031270000894</v>
      </c>
      <c r="CU41" s="1513">
        <f t="shared" ref="CU41:CU55" si="229">+CU7/$CU$37</f>
        <v>63298.678291248143</v>
      </c>
      <c r="CV41" s="1513">
        <f t="shared" ref="CV41:CV55" si="230">+CV7/$CV$37</f>
        <v>55929.056656526809</v>
      </c>
      <c r="CW41" s="1513">
        <f t="shared" ref="CW41:CW55" si="231">+CW7/$CW$37</f>
        <v>50122.610333591183</v>
      </c>
      <c r="CX41" s="1513">
        <f t="shared" ref="CX41:CX55" si="232">+CX7/$CX$37</f>
        <v>56780.481913360112</v>
      </c>
      <c r="CY41" s="1513">
        <f t="shared" ref="CY41:CY55" si="233">+CY7/$CY$37</f>
        <v>53699.513016003308</v>
      </c>
      <c r="CZ41" s="1514">
        <f t="shared" ref="CZ41:CZ55" si="234">+CZ7/$CZ$37</f>
        <v>137694.59295270272</v>
      </c>
      <c r="DA41" s="1515">
        <f>SUM(CO41:CZ41)</f>
        <v>712877.67877634568</v>
      </c>
      <c r="DB41" s="1512">
        <f t="shared" ref="DB41:DB55" si="235">+DB7/$DB$37</f>
        <v>57973.809983201332</v>
      </c>
      <c r="DC41" s="1513">
        <f t="shared" ref="DC41:DC55" si="236">+DC7/$DC$37</f>
        <v>44888.031900731869</v>
      </c>
      <c r="DD41" s="1513">
        <f t="shared" ref="DD41:DD55" si="237">+DD7/$DD$37</f>
        <v>39246.516142193366</v>
      </c>
      <c r="DE41" s="1513">
        <f t="shared" ref="DE41:DE55" si="238">+DE7/$DE$37</f>
        <v>43739.068973275862</v>
      </c>
      <c r="DF41" s="1513">
        <f t="shared" ref="DF41:DF55" si="239">+DF7/$DF$37</f>
        <v>43977.7446976516</v>
      </c>
      <c r="DG41" s="1513">
        <f t="shared" ref="DG41:DG55" si="240">+DG7/$DG$37</f>
        <v>52577.669164766492</v>
      </c>
      <c r="DH41" s="1513">
        <f t="shared" ref="DH41:DH55" si="241">+DH7/$DH$37</f>
        <v>46755.591786678669</v>
      </c>
      <c r="DI41" s="1513">
        <f t="shared" ref="DI41:DI55" si="242">+DI7/$DI$37</f>
        <v>67883.879591488396</v>
      </c>
      <c r="DJ41" s="1513">
        <f t="shared" ref="DJ41:DJ55" si="243">+DJ7/$DJ$37</f>
        <v>41022.021000998553</v>
      </c>
      <c r="DK41" s="1513">
        <f t="shared" ref="DK41:DK55" si="244">+DK7/$DK$37</f>
        <v>45294.7464636636</v>
      </c>
      <c r="DL41" s="1513">
        <f t="shared" ref="DL41:DL55" si="245">+DL7/$DL$37</f>
        <v>39172.868408700277</v>
      </c>
      <c r="DM41" s="1514">
        <f t="shared" ref="DM41:DM55" si="246">+DM7/$DM$37</f>
        <v>87785.307151234694</v>
      </c>
      <c r="DN41" s="1515">
        <f>SUM(DB41:DM41)</f>
        <v>610317.25526458467</v>
      </c>
      <c r="DO41" s="1512">
        <f t="shared" ref="DO41:DO55" si="247">+DO7/$DO$37</f>
        <v>19803.618422491509</v>
      </c>
      <c r="DP41" s="1513">
        <f t="shared" ref="DP41:DP55" si="248">+DP7/$DP$37</f>
        <v>50539.356401856145</v>
      </c>
      <c r="DQ41" s="1513">
        <f t="shared" ref="DQ41:DQ55" si="249">+DQ7/$DQ$37</f>
        <v>56839.753951188402</v>
      </c>
      <c r="DR41" s="1513">
        <f t="shared" ref="DR41:DR55" si="250">+DR7/$DR$37</f>
        <v>57079.244739337773</v>
      </c>
      <c r="DS41" s="1513">
        <f t="shared" ref="DS41:DS55" si="251">+DS7/$DS$37</f>
        <v>103286.31731991883</v>
      </c>
      <c r="DT41" s="1513">
        <f t="shared" ref="DT41:DT55" si="252">+DT7/$DT$37</f>
        <v>83740.76952833934</v>
      </c>
      <c r="DU41" s="1513">
        <f t="shared" ref="DU41:DU55" si="253">+DU7/$DU$37</f>
        <v>56847.560040254371</v>
      </c>
      <c r="DV41" s="1513">
        <f t="shared" ref="DV41:DV55" si="254">+DV7/$DV$37</f>
        <v>56891.537998598767</v>
      </c>
      <c r="DW41" s="1513">
        <f t="shared" ref="DW41:DW55" si="255">+DW7/$DW$37</f>
        <v>44351.215500486753</v>
      </c>
      <c r="DX41" s="1513">
        <f t="shared" ref="DX41:DX55" si="256">+DX7/$DX$37</f>
        <v>64902.350118383452</v>
      </c>
      <c r="DY41" s="1513">
        <f t="shared" ref="DY41:DY55" si="257">+DY7/$DY$37</f>
        <v>52275.595669451955</v>
      </c>
      <c r="DZ41" s="1514">
        <f t="shared" ref="DZ41:DZ55" si="258">+DZ7/$DZ$37</f>
        <v>98701.110232955049</v>
      </c>
      <c r="EA41" s="1515">
        <f>SUM(DO41:DZ41)</f>
        <v>745258.42992326233</v>
      </c>
      <c r="EB41" s="1512">
        <f t="shared" ref="EB41:EB55" si="259">+EB7/$EB$37</f>
        <v>48393.807250652571</v>
      </c>
      <c r="EC41" s="1513">
        <f t="shared" ref="EC41:EC55" si="260">+EC7/$EC$37</f>
        <v>58205.224823699988</v>
      </c>
      <c r="ED41" s="1513">
        <f t="shared" ref="ED41:ED55" si="261">+ED7/$ED$37</f>
        <v>45767.446633398904</v>
      </c>
      <c r="EE41" s="1513">
        <f t="shared" ref="EE41:EE55" si="262">+EE7/$EE$37</f>
        <v>89889.95362967244</v>
      </c>
      <c r="EF41" s="1513">
        <f t="shared" ref="EF41:EF55" si="263">+EF7/$EF$37</f>
        <v>54475.953085187328</v>
      </c>
      <c r="EG41" s="1513">
        <f t="shared" ref="EG41:EG55" si="264">+EG7/$EG$37</f>
        <v>59361.268380533933</v>
      </c>
      <c r="EH41" s="1513">
        <f t="shared" ref="EH41:EH55" si="265">+EH7/$EH$37</f>
        <v>65582.797826792259</v>
      </c>
      <c r="EI41" s="1513">
        <f t="shared" ref="EI41:EI55" si="266">+EI7/$EI$37</f>
        <v>70298.035488666093</v>
      </c>
      <c r="EJ41" s="1513">
        <f t="shared" ref="EJ41:EJ55" si="267">+EJ7/$EJ$37</f>
        <v>49878.610812439474</v>
      </c>
      <c r="EK41" s="1513">
        <f t="shared" ref="EK41:EK55" si="268">+EK7/$EK$37</f>
        <v>65860.356405247963</v>
      </c>
      <c r="EL41" s="1513">
        <f t="shared" ref="EL41:EL55" si="269">+EL7/$EL$37</f>
        <v>62671.821024570629</v>
      </c>
      <c r="EM41" s="1514">
        <f t="shared" ref="EM41:EM55" si="270">+EM7/$EM$37</f>
        <v>200609.37416378682</v>
      </c>
      <c r="EN41" s="1515">
        <f>SUM(EB41:EM41)</f>
        <v>870994.64952464844</v>
      </c>
      <c r="EO41" s="1512">
        <f t="shared" ref="EO41:EO55" si="271">+EO7/$EO$37</f>
        <v>60949.72980264137</v>
      </c>
      <c r="EP41" s="1513">
        <f t="shared" ref="EP41:EP55" si="272">+EP7/$EP$37</f>
        <v>46156.694995658596</v>
      </c>
      <c r="EQ41" s="1513">
        <f t="shared" ref="EQ41:EQ55" si="273">+EQ7/$EQ$37</f>
        <v>61687.56553080141</v>
      </c>
      <c r="ER41" s="1513">
        <f t="shared" ref="ER41:ER55" si="274">+ER7/$ER$37</f>
        <v>63784.740787205883</v>
      </c>
      <c r="ES41" s="1513">
        <f t="shared" ref="ES41:ES55" si="275">+ES7/$ES$37</f>
        <v>53480.518241292899</v>
      </c>
      <c r="ET41" s="1513">
        <f t="shared" ref="ET41:ET55" si="276">+ET7/$ET$37</f>
        <v>54457.972941628388</v>
      </c>
      <c r="EU41" s="1513">
        <f t="shared" ref="EU41:EU55" si="277">+EU7/$EU$37</f>
        <v>117807.20247631731</v>
      </c>
      <c r="EV41" s="1513">
        <f t="shared" ref="EV41:EV55" si="278">+EV7/$EV$37</f>
        <v>58453.866712233299</v>
      </c>
      <c r="EW41" s="1513">
        <f t="shared" ref="EW41:EW55" si="279">+EW7/$EW$37</f>
        <v>63937.061996875229</v>
      </c>
      <c r="EX41" s="1513">
        <f t="shared" ref="EX41:EX55" si="280">+EX7/$EX$37</f>
        <v>78260.835095964329</v>
      </c>
      <c r="EY41" s="1513">
        <f t="shared" ref="EY41:EY55" si="281">+EY7/$EY$37</f>
        <v>80697.932211898762</v>
      </c>
      <c r="EZ41" s="1514">
        <f t="shared" ref="EZ41:EZ55" si="282">+EZ7/$EZ$37</f>
        <v>95212.65436883604</v>
      </c>
      <c r="FA41" s="1515">
        <f>SUM(EO41:EZ41)</f>
        <v>834886.77516135352</v>
      </c>
      <c r="FB41" s="1512">
        <f t="shared" ref="FB41:FB55" si="283">+FB7/$FB$37</f>
        <v>49152.521578314823</v>
      </c>
      <c r="FC41" s="1513">
        <f t="shared" ref="FC41:FC55" si="284">+FC7/$FC$37</f>
        <v>62611.440831225118</v>
      </c>
      <c r="FD41" s="1513">
        <f t="shared" ref="FD41:FD55" si="285">+FD7/$FD$37</f>
        <v>65357.438010279715</v>
      </c>
      <c r="FE41" s="1513">
        <f t="shared" ref="FE41:FE55" si="286">+FE7/$FE$37</f>
        <v>107946.28867393287</v>
      </c>
      <c r="FF41" s="1513">
        <f t="shared" ref="FF41:FF55" si="287">+FF7/$FF$37</f>
        <v>76993.808488585026</v>
      </c>
      <c r="FG41" s="1513">
        <f t="shared" ref="FG41:FG55" si="288">+FG7/$FG$37</f>
        <v>31433.782827845844</v>
      </c>
      <c r="FH41" s="1513">
        <f t="shared" ref="FH41:FH55" si="289">+FH7/$FH$37</f>
        <v>75767.316505176728</v>
      </c>
      <c r="FI41" s="1513">
        <f t="shared" ref="FI41:FI55" si="290">+FI7/$FI$37</f>
        <v>103485.38057875838</v>
      </c>
      <c r="FJ41" s="1513">
        <f t="shared" ref="FJ41:FJ55" si="291">+FJ7/$FJ$37</f>
        <v>46363.482436423241</v>
      </c>
      <c r="FK41" s="1513">
        <f t="shared" ref="FK41:FK55" si="292">+FK7/$FK$37</f>
        <v>147257.08870340028</v>
      </c>
      <c r="FL41" s="1513">
        <f t="shared" ref="FL41:FL55" si="293">+FL7/$FL$37</f>
        <v>90622.331342921447</v>
      </c>
      <c r="FM41" s="1514">
        <f t="shared" ref="FM41:FM55" si="294">+FM7/$FM$37</f>
        <v>116158.9180808388</v>
      </c>
      <c r="FN41" s="1515">
        <f>SUM(FB41:FM41)</f>
        <v>973149.79805770214</v>
      </c>
      <c r="FO41" s="1512">
        <f t="shared" ref="FO41:FO55" si="295">+FO7/$FO$37</f>
        <v>35388.04239368342</v>
      </c>
      <c r="FP41" s="1513">
        <f t="shared" ref="FP41:FP55" si="296">+FP7/$FP$37</f>
        <v>57903.33080806549</v>
      </c>
      <c r="FQ41" s="1513">
        <f t="shared" ref="FQ41:FQ55" si="297">+FQ7/$FQ$37</f>
        <v>54106.391574432673</v>
      </c>
      <c r="FR41" s="1513">
        <f t="shared" ref="FR41:FR55" si="298">+FR7/$FR$37</f>
        <v>73497.338284865982</v>
      </c>
      <c r="FS41" s="1513">
        <f t="shared" ref="FS41:FS55" si="299">+FS7/$FS$37</f>
        <v>59492.277640269975</v>
      </c>
      <c r="FT41" s="1513">
        <f t="shared" ref="FT41:FT55" si="300">+FT7/$FT$37</f>
        <v>51388.511432249885</v>
      </c>
      <c r="FU41" s="1513">
        <f t="shared" ref="FU41:FU55" si="301">+FU7/$FU$37</f>
        <v>64623.736357331298</v>
      </c>
      <c r="FV41" s="1513">
        <f t="shared" ref="FV41:FV55" si="302">+FV7/$FV$37</f>
        <v>45130.431186096139</v>
      </c>
      <c r="FW41" s="1513">
        <f t="shared" ref="FW41:FW50" si="303">+FW7/$FW$37</f>
        <v>99831.515916082702</v>
      </c>
      <c r="FX41" s="1513">
        <f t="shared" ref="FX41:FX55" si="304">+FX7/$FX$37</f>
        <v>74217.487812900348</v>
      </c>
      <c r="FY41" s="1513">
        <f t="shared" ref="FY41:FY55" si="305">+FY7/$FY$37</f>
        <v>92309.045061597833</v>
      </c>
      <c r="FZ41" s="1514">
        <f t="shared" ref="FZ41:FZ55" si="306">+FZ7/$FZ$37</f>
        <v>249344.49006626848</v>
      </c>
      <c r="GA41" s="1515">
        <f>SUM(FO41:FZ41)</f>
        <v>957232.59853384411</v>
      </c>
      <c r="GB41" s="1512">
        <f t="shared" ref="GB41:GB55" si="307">+GB7/$GB$37</f>
        <v>42216.766923757707</v>
      </c>
      <c r="GC41" s="1513">
        <f t="shared" ref="GC41:GC55" si="308">+GC7/$GC$37</f>
        <v>47065.964865838381</v>
      </c>
      <c r="GD41" s="1513">
        <f t="shared" ref="GD41:GD55" si="309">+GD7/$GD$37</f>
        <v>59645.344808781658</v>
      </c>
      <c r="GE41" s="1513">
        <f t="shared" ref="GE41:GE55" si="310">+GE7/$GE$37</f>
        <v>61679.940456339718</v>
      </c>
      <c r="GF41" s="1513">
        <f t="shared" ref="GF41:GF55" si="311">+GF7/$GF$37</f>
        <v>61337.031666104165</v>
      </c>
      <c r="GG41" s="1513">
        <f t="shared" ref="GG41:GG55" si="312">+GG7/$GG$37</f>
        <v>56520.371000723782</v>
      </c>
      <c r="GH41" s="1513">
        <f t="shared" ref="GH41:GH55" si="313">+GH7/$GH$37</f>
        <v>73064.026277312412</v>
      </c>
      <c r="GI41" s="1513">
        <f t="shared" ref="GI41:GI55" si="314">+GI7/$GI$37</f>
        <v>131794.0714624383</v>
      </c>
      <c r="GJ41" s="1513">
        <f t="shared" ref="GJ41:GJ55" si="315">+GJ7/$GJ$37</f>
        <v>48545.731091644229</v>
      </c>
      <c r="GK41" s="1513">
        <f t="shared" ref="GK41:GK55" si="316">+GK7/$GK$37</f>
        <v>112155.58942083473</v>
      </c>
      <c r="GL41" s="1513">
        <f t="shared" ref="GL41:GL55" si="317">+GL7/$GL$37</f>
        <v>76191.498605344939</v>
      </c>
      <c r="GM41" s="1514">
        <f t="shared" ref="GM41:GM55" si="318">+GM7/$GM$37</f>
        <v>150942.7242558955</v>
      </c>
      <c r="GN41" s="1515">
        <f>SUM(GB41:GM41)</f>
        <v>921159.06083501549</v>
      </c>
      <c r="GO41" s="1512">
        <f t="shared" ref="GO41:GO55" si="319">+GO7/$GO$37</f>
        <v>46249.035369255893</v>
      </c>
      <c r="GP41" s="1513">
        <f t="shared" ref="GP41:GP55" si="320">+GP7/$GP$37</f>
        <v>69353.189968572304</v>
      </c>
      <c r="GQ41" s="1513">
        <f t="shared" ref="GQ41:GQ55" si="321">+GQ7/$GQ$37</f>
        <v>48645.604114363741</v>
      </c>
      <c r="GR41" s="1513">
        <f t="shared" ref="GR41:GR55" si="322">+GR7/$GR$37</f>
        <v>65271.6840873287</v>
      </c>
      <c r="GS41" s="1513">
        <f t="shared" ref="GS41:GS55" si="323">+GS7/$GS$37</f>
        <v>55358.328285841453</v>
      </c>
      <c r="GT41" s="1513">
        <f t="shared" ref="GT41:GT55" si="324">+GT7/$GT$37</f>
        <v>59929.551073236849</v>
      </c>
      <c r="GU41" s="1513">
        <f t="shared" ref="GU41:GU55" si="325">+GU7/$GU$37</f>
        <v>48497.30922656614</v>
      </c>
      <c r="GV41" s="1513">
        <f t="shared" ref="GV41:GV55" si="326">+GV7/$GV$37</f>
        <v>60768.365114967564</v>
      </c>
      <c r="GW41" s="1513">
        <f t="shared" ref="GW41:GW55" si="327">+GW7/$GW$37</f>
        <v>46221.10645983537</v>
      </c>
      <c r="GX41" s="1513">
        <f>+GX7/$GX$37</f>
        <v>68051.111150918077</v>
      </c>
      <c r="GY41" s="1513">
        <f t="shared" ref="GY41:GY55" si="328">+GY7/$GY$37</f>
        <v>90021.826534580192</v>
      </c>
      <c r="GZ41" s="1514">
        <f t="shared" ref="GZ41:GZ55" si="329">+GZ7/$GZ$37</f>
        <v>67517.260102898537</v>
      </c>
      <c r="HA41" s="1515">
        <f>SUM(GO41:GZ41)</f>
        <v>725884.371488365</v>
      </c>
      <c r="HB41" s="1512">
        <f t="shared" ref="HB41:HB55" si="330">+HB7/$HB$37</f>
        <v>32052.595459280543</v>
      </c>
      <c r="HC41" s="1513">
        <f t="shared" ref="HC41:HC55" si="331">+HC7/$HC$37</f>
        <v>142518.16780745512</v>
      </c>
      <c r="HD41" s="1513">
        <f t="shared" ref="HD41:HD55" si="332">+HD7/$HD$37</f>
        <v>32426.19782594169</v>
      </c>
      <c r="HE41" s="1513">
        <f t="shared" ref="HE41:HE55" si="333">+HE7/$HE$37</f>
        <v>61216.419490745058</v>
      </c>
      <c r="HF41" s="1513">
        <f t="shared" ref="HF41:HF55" si="334">+HF7/$HF$37</f>
        <v>85896.085413241788</v>
      </c>
      <c r="HG41" s="1513">
        <f t="shared" ref="HG41:HG55" si="335">+HG7/$HG$37</f>
        <v>58367.013867719281</v>
      </c>
      <c r="HH41" s="1513">
        <f t="shared" ref="HH41:HH55" si="336">+HH7/$HH$37</f>
        <v>59660.136700281146</v>
      </c>
      <c r="HI41" s="1513">
        <f t="shared" ref="HI41:HI55" si="337">+HI7/$HI$37</f>
        <v>96905.779159542915</v>
      </c>
      <c r="HJ41" s="1513">
        <f t="shared" ref="HJ41:HJ55" si="338">+HJ7/$HJ$37</f>
        <v>58823.495967737137</v>
      </c>
      <c r="HK41" s="1513">
        <f t="shared" ref="HK41:HK55" si="339">+HK7/$HK$37</f>
        <v>70345.246528619129</v>
      </c>
      <c r="HL41" s="1513">
        <f t="shared" ref="HL41:HL55" si="340">+HL7/$HL$37</f>
        <v>77235.472719212165</v>
      </c>
      <c r="HM41" s="1514">
        <f t="shared" ref="HM41:HM55" si="341">+HM7/$HM$37</f>
        <v>109215.54772680686</v>
      </c>
      <c r="HN41" s="1515">
        <f>SUM(HB41:HM41)</f>
        <v>884662.15866658266</v>
      </c>
      <c r="HO41" s="1512">
        <f t="shared" ref="HO41:HO55" si="342">+HO7/$HO$37</f>
        <v>36740.484932756895</v>
      </c>
      <c r="HP41" s="1513">
        <f t="shared" ref="HP41:HP55" si="343">+HP7/$HP$37</f>
        <v>93998.182352180098</v>
      </c>
      <c r="HQ41" s="1513">
        <f t="shared" ref="HQ41:HQ55" si="344">+HQ7/$HQ$37</f>
        <v>62619.971539412458</v>
      </c>
      <c r="HR41" s="1513">
        <f t="shared" ref="HR41:HR55" si="345">+HR7/$HR$37</f>
        <v>84004.347679437487</v>
      </c>
      <c r="HS41" s="1513">
        <f t="shared" ref="HS41:HS55" si="346">+HS7/$HS$37</f>
        <v>64004.373008317605</v>
      </c>
      <c r="HT41" s="1513">
        <f t="shared" ref="HT41:HT55" si="347">+HT7/$HT$37</f>
        <v>78572.141292620159</v>
      </c>
      <c r="HU41" s="1513">
        <f t="shared" ref="HU41:HU55" si="348">+HU7/$HU$37</f>
        <v>63996.325641816933</v>
      </c>
      <c r="HV41" s="1513">
        <f t="shared" ref="HV41:HV55" si="349">+HV7/$HV$37</f>
        <v>65857.177925491022</v>
      </c>
      <c r="HW41" s="1513">
        <f t="shared" ref="HW41:HW55" si="350">+HW7/$HW$37</f>
        <v>47834.911475767069</v>
      </c>
      <c r="HX41" s="1513">
        <f t="shared" ref="HX41:HX55" si="351">+HX7/$HX$37</f>
        <v>70403.950733920545</v>
      </c>
      <c r="HY41" s="1513">
        <f t="shared" ref="HY41:HY55" si="352">+HY7/$HY$37</f>
        <v>75711.672829040865</v>
      </c>
      <c r="HZ41" s="1514">
        <f t="shared" ref="HZ41:HZ55" si="353">+HZ7/$HZ$37</f>
        <v>70961.205569683196</v>
      </c>
      <c r="IA41" s="1512">
        <f>SUM(HO41:HZ41)</f>
        <v>814704.74498044443</v>
      </c>
      <c r="IB41" s="1516">
        <f t="shared" ref="IB41:IB55" si="354">+IB7/$IB$37</f>
        <v>74207.946599741641</v>
      </c>
      <c r="IC41" s="1209">
        <f>+IC7/$IC$37</f>
        <v>57661.23583858335</v>
      </c>
      <c r="ID41" s="1209">
        <f>+ID7/$ID$37</f>
        <v>47994.500342721323</v>
      </c>
      <c r="IE41" s="1209">
        <f>+IE7/$IE$37</f>
        <v>57990.55260433376</v>
      </c>
      <c r="IF41" s="1209">
        <f>+IF7/$IF$37</f>
        <v>60875.73663423839</v>
      </c>
      <c r="IG41" s="1209">
        <f>+IG7/$IG$37</f>
        <v>68708.623776421373</v>
      </c>
      <c r="IH41" s="1209">
        <f>+IH7/$IH$37</f>
        <v>74019.522934433349</v>
      </c>
      <c r="II41" s="1209">
        <f>+II7/$II$37</f>
        <v>73124.531282607553</v>
      </c>
      <c r="IJ41" s="1209"/>
      <c r="IK41" s="1209"/>
      <c r="IL41" s="1209"/>
      <c r="IM41" s="1517"/>
      <c r="IN41" s="1518">
        <f>SUM(IB41:IM41)</f>
        <v>514582.6500130808</v>
      </c>
      <c r="IO41" s="1422"/>
      <c r="IP41" s="1519">
        <f t="shared" ref="IP41:IP63" si="355">IFERROR(((
_xlfn.XLOOKUP((DATE(YEAR($IP$5),MONTH($IP$5),1)),SMN.GGN.DATE,$B41:$IN41) /
_xlfn.XLOOKUP((DATE(YEAR($IP$5)-1,MONTH($IP$5),1)),SMN.GGN.DATE,$B41:$IN41)
)-1)*100,"")</f>
        <v>11.035020913496485</v>
      </c>
      <c r="IQ41" s="1520">
        <f>IFERROR(((IS41/IR41)-1)*100,"")</f>
        <v>-6.4042929027750661</v>
      </c>
      <c r="IR41" s="1521">
        <f t="shared" ref="IR41:IR64" si="356">SUMIFS($B41:$IN41,SMN.GGN.DATE,"&gt;="&amp;DATE(YEAR($IP$5)-1,1,1),SMN.GGN.DATE,"&lt;="&amp;DATE(YEAR($IP$5)-1,MONTH($IP$5),1))</f>
        <v>549793.00437203271</v>
      </c>
      <c r="IS41" s="1522">
        <f t="shared" ref="IS41:IS64" si="357">SUMIFS($B41:$IN41,SMN.GGN.DATE,"&gt;="&amp;DATE(YEAR($IP$5),1,1),SMN.GGN.DATE,"&lt;="&amp;$IP$5)</f>
        <v>514582.6500130808</v>
      </c>
      <c r="IU41" s="1521">
        <f>II41-HV41</f>
        <v>7267.3533571165317</v>
      </c>
      <c r="IV41"/>
      <c r="IW41"/>
      <c r="IX41"/>
      <c r="IY41"/>
      <c r="IZ41"/>
      <c r="JA41"/>
      <c r="JB41"/>
      <c r="JC41"/>
      <c r="JD41"/>
    </row>
    <row r="42" spans="1:264" s="338" customFormat="1" ht="15" customHeight="1" x14ac:dyDescent="0.2">
      <c r="A42" s="1553" t="s">
        <v>432</v>
      </c>
      <c r="B42" s="376">
        <f t="shared" si="139"/>
        <v>18999.766091433823</v>
      </c>
      <c r="C42" s="377">
        <f t="shared" si="140"/>
        <v>11521.670832216456</v>
      </c>
      <c r="D42" s="377">
        <f t="shared" si="141"/>
        <v>11741.907669538476</v>
      </c>
      <c r="E42" s="377">
        <f t="shared" si="142"/>
        <v>15412.311699527323</v>
      </c>
      <c r="F42" s="377">
        <f t="shared" si="143"/>
        <v>12605.429232495209</v>
      </c>
      <c r="G42" s="377">
        <f t="shared" si="144"/>
        <v>21504.561907795713</v>
      </c>
      <c r="H42" s="377">
        <f t="shared" si="145"/>
        <v>14073.415544885234</v>
      </c>
      <c r="I42" s="377">
        <f t="shared" si="146"/>
        <v>10373.009510277987</v>
      </c>
      <c r="J42" s="377">
        <f t="shared" si="147"/>
        <v>11396.591973233035</v>
      </c>
      <c r="K42" s="377">
        <f t="shared" si="148"/>
        <v>14090.162248992512</v>
      </c>
      <c r="L42" s="377">
        <f t="shared" si="149"/>
        <v>15169.867210480606</v>
      </c>
      <c r="M42" s="388">
        <f t="shared" si="150"/>
        <v>15106.25503355567</v>
      </c>
      <c r="N42" s="378">
        <f t="shared" ref="N42:N55" si="358">SUM(B42:M42)</f>
        <v>171994.94895443207</v>
      </c>
      <c r="O42" s="376">
        <f t="shared" si="151"/>
        <v>19529.465825650957</v>
      </c>
      <c r="P42" s="377">
        <f t="shared" si="152"/>
        <v>11615.205327726766</v>
      </c>
      <c r="Q42" s="377">
        <f t="shared" si="153"/>
        <v>11034.022148504137</v>
      </c>
      <c r="R42" s="377">
        <f t="shared" si="154"/>
        <v>13040.181385319349</v>
      </c>
      <c r="S42" s="377">
        <f t="shared" si="155"/>
        <v>14831.022391789054</v>
      </c>
      <c r="T42" s="377">
        <f t="shared" si="156"/>
        <v>12280.002385521089</v>
      </c>
      <c r="U42" s="377">
        <f t="shared" si="157"/>
        <v>20940.465730949065</v>
      </c>
      <c r="V42" s="377">
        <f t="shared" si="158"/>
        <v>12446.176587612821</v>
      </c>
      <c r="W42" s="377">
        <f t="shared" si="159"/>
        <v>13280.150137432571</v>
      </c>
      <c r="X42" s="377">
        <f t="shared" si="160"/>
        <v>23598.01739839905</v>
      </c>
      <c r="Y42" s="377">
        <f t="shared" si="161"/>
        <v>13583.434096677751</v>
      </c>
      <c r="Z42" s="388">
        <f t="shared" si="162"/>
        <v>16480.017617555972</v>
      </c>
      <c r="AA42" s="378">
        <f t="shared" ref="AA42:AA55" si="359">SUM(O42:Z42)</f>
        <v>182658.16103313857</v>
      </c>
      <c r="AB42" s="376">
        <f t="shared" si="163"/>
        <v>38350.553303608722</v>
      </c>
      <c r="AC42" s="377">
        <f t="shared" si="164"/>
        <v>17440.361854878302</v>
      </c>
      <c r="AD42" s="377">
        <f t="shared" si="165"/>
        <v>12631.707064322869</v>
      </c>
      <c r="AE42" s="377">
        <f t="shared" si="166"/>
        <v>30758.683556646389</v>
      </c>
      <c r="AF42" s="377">
        <f t="shared" si="167"/>
        <v>11057.312491587905</v>
      </c>
      <c r="AG42" s="377">
        <f t="shared" si="168"/>
        <v>19543.509457188011</v>
      </c>
      <c r="AH42" s="377">
        <f t="shared" si="169"/>
        <v>27704.320658115201</v>
      </c>
      <c r="AI42" s="377">
        <f t="shared" si="170"/>
        <v>17067.265819778975</v>
      </c>
      <c r="AJ42" s="377">
        <f t="shared" si="171"/>
        <v>14504.921957453633</v>
      </c>
      <c r="AK42" s="377">
        <f t="shared" si="172"/>
        <v>31292.09447556224</v>
      </c>
      <c r="AL42" s="377">
        <f t="shared" si="173"/>
        <v>16229.575644115312</v>
      </c>
      <c r="AM42" s="388">
        <f t="shared" si="174"/>
        <v>27231.61255088609</v>
      </c>
      <c r="AN42" s="378">
        <f t="shared" ref="AN42:AN55" si="360">SUM(AB42:AM42)</f>
        <v>263811.91883414367</v>
      </c>
      <c r="AO42" s="376">
        <f t="shared" si="175"/>
        <v>24556.176730072046</v>
      </c>
      <c r="AP42" s="377">
        <f t="shared" si="176"/>
        <v>24907.256521218518</v>
      </c>
      <c r="AQ42" s="377">
        <f t="shared" si="177"/>
        <v>19086.727324543557</v>
      </c>
      <c r="AR42" s="377">
        <f t="shared" si="178"/>
        <v>20568.999732346336</v>
      </c>
      <c r="AS42" s="377">
        <f t="shared" si="179"/>
        <v>29439.046439458696</v>
      </c>
      <c r="AT42" s="377">
        <f t="shared" si="180"/>
        <v>20734.466201292897</v>
      </c>
      <c r="AU42" s="377">
        <f t="shared" si="181"/>
        <v>21458.647153527429</v>
      </c>
      <c r="AV42" s="377">
        <f t="shared" si="182"/>
        <v>28777.954738893746</v>
      </c>
      <c r="AW42" s="377">
        <f t="shared" si="183"/>
        <v>20294.803981544097</v>
      </c>
      <c r="AX42" s="377">
        <f t="shared" si="184"/>
        <v>27493.93148484419</v>
      </c>
      <c r="AY42" s="377">
        <f t="shared" si="185"/>
        <v>21376.53697595745</v>
      </c>
      <c r="AZ42" s="388">
        <f t="shared" si="186"/>
        <v>40867.947983449405</v>
      </c>
      <c r="BA42" s="378">
        <f t="shared" ref="BA42:BA55" si="361">SUM(AO42:AZ42)</f>
        <v>299562.49526714836</v>
      </c>
      <c r="BB42" s="376">
        <f t="shared" si="187"/>
        <v>20925.499063961081</v>
      </c>
      <c r="BC42" s="377">
        <f t="shared" si="188"/>
        <v>16234.982766780122</v>
      </c>
      <c r="BD42" s="377">
        <f t="shared" si="189"/>
        <v>19234.736068586419</v>
      </c>
      <c r="BE42" s="377">
        <f t="shared" si="190"/>
        <v>16492.471931998014</v>
      </c>
      <c r="BF42" s="377">
        <f t="shared" si="191"/>
        <v>32348.339623155243</v>
      </c>
      <c r="BG42" s="377">
        <f t="shared" si="192"/>
        <v>18545.160609554885</v>
      </c>
      <c r="BH42" s="377">
        <f t="shared" si="193"/>
        <v>22541.512499943776</v>
      </c>
      <c r="BI42" s="377">
        <f t="shared" si="194"/>
        <v>25858.658681974797</v>
      </c>
      <c r="BJ42" s="377">
        <f t="shared" si="195"/>
        <v>22838.90346163078</v>
      </c>
      <c r="BK42" s="377">
        <f t="shared" si="196"/>
        <v>27270.680724211314</v>
      </c>
      <c r="BL42" s="377">
        <f t="shared" si="197"/>
        <v>22563.144170048257</v>
      </c>
      <c r="BM42" s="388">
        <f t="shared" si="198"/>
        <v>29820.894383369086</v>
      </c>
      <c r="BN42" s="378">
        <f t="shared" ref="BN42:BN55" si="362">SUM(BB42:BM42)</f>
        <v>274674.9839852138</v>
      </c>
      <c r="BO42" s="376">
        <f t="shared" si="199"/>
        <v>18308.388815258277</v>
      </c>
      <c r="BP42" s="377">
        <f t="shared" si="200"/>
        <v>43891.976070714976</v>
      </c>
      <c r="BQ42" s="377">
        <f t="shared" si="201"/>
        <v>21917.42131656628</v>
      </c>
      <c r="BR42" s="377">
        <f t="shared" si="202"/>
        <v>29124.195639087655</v>
      </c>
      <c r="BS42" s="377">
        <f t="shared" si="203"/>
        <v>35859.060539225939</v>
      </c>
      <c r="BT42" s="377">
        <f t="shared" si="204"/>
        <v>20663.651957266746</v>
      </c>
      <c r="BU42" s="377">
        <f t="shared" si="205"/>
        <v>19787.611400381436</v>
      </c>
      <c r="BV42" s="377">
        <f t="shared" si="206"/>
        <v>32289.228106624854</v>
      </c>
      <c r="BW42" s="377">
        <f t="shared" si="207"/>
        <v>31665.485322337074</v>
      </c>
      <c r="BX42" s="377">
        <f t="shared" si="208"/>
        <v>33171.626954650004</v>
      </c>
      <c r="BY42" s="377">
        <f t="shared" si="209"/>
        <v>36295.580307228862</v>
      </c>
      <c r="BZ42" s="388">
        <f t="shared" si="210"/>
        <v>43857.014386631505</v>
      </c>
      <c r="CA42" s="378">
        <f t="shared" ref="CA42:CA55" si="363">SUM(BO42:BZ42)</f>
        <v>366831.24081597355</v>
      </c>
      <c r="CB42" s="376">
        <f t="shared" si="211"/>
        <v>23575.378741759119</v>
      </c>
      <c r="CC42" s="377">
        <f t="shared" si="212"/>
        <v>30348.047436242978</v>
      </c>
      <c r="CD42" s="377">
        <f t="shared" si="213"/>
        <v>21720.321006660528</v>
      </c>
      <c r="CE42" s="377">
        <f t="shared" si="214"/>
        <v>36599.815836085494</v>
      </c>
      <c r="CF42" s="377">
        <f t="shared" si="215"/>
        <v>24723.612700192374</v>
      </c>
      <c r="CG42" s="377">
        <f t="shared" si="216"/>
        <v>31002.781825808717</v>
      </c>
      <c r="CH42" s="377">
        <f t="shared" si="217"/>
        <v>27402.136989289094</v>
      </c>
      <c r="CI42" s="377">
        <f t="shared" si="218"/>
        <v>39926.322569593984</v>
      </c>
      <c r="CJ42" s="377">
        <f t="shared" si="219"/>
        <v>25171.805679657849</v>
      </c>
      <c r="CK42" s="377">
        <f t="shared" si="220"/>
        <v>29635.8096497443</v>
      </c>
      <c r="CL42" s="377">
        <f t="shared" si="221"/>
        <v>18423.960784901548</v>
      </c>
      <c r="CM42" s="388">
        <f t="shared" si="222"/>
        <v>47607.377911613614</v>
      </c>
      <c r="CN42" s="378">
        <f t="shared" ref="CN42:CN55" si="364">SUM(CB42:CM42)</f>
        <v>356137.37113154959</v>
      </c>
      <c r="CO42" s="376">
        <f t="shared" si="223"/>
        <v>47477.071770819726</v>
      </c>
      <c r="CP42" s="377">
        <f t="shared" si="224"/>
        <v>37023.7132625624</v>
      </c>
      <c r="CQ42" s="377">
        <f t="shared" si="225"/>
        <v>43414.944236568932</v>
      </c>
      <c r="CR42" s="377">
        <f t="shared" si="226"/>
        <v>30325.846463019079</v>
      </c>
      <c r="CS42" s="377">
        <f t="shared" si="227"/>
        <v>35354.90400525002</v>
      </c>
      <c r="CT42" s="377">
        <f t="shared" si="228"/>
        <v>43683.201163788377</v>
      </c>
      <c r="CU42" s="377">
        <f t="shared" si="229"/>
        <v>51713.117771804798</v>
      </c>
      <c r="CV42" s="377">
        <f t="shared" si="230"/>
        <v>47020.367251310359</v>
      </c>
      <c r="CW42" s="377">
        <f t="shared" si="231"/>
        <v>38285.218906530325</v>
      </c>
      <c r="CX42" s="377">
        <f t="shared" si="232"/>
        <v>48103.553467605132</v>
      </c>
      <c r="CY42" s="377">
        <f t="shared" si="233"/>
        <v>40429.366024378425</v>
      </c>
      <c r="CZ42" s="388">
        <f t="shared" si="234"/>
        <v>82625.504079358288</v>
      </c>
      <c r="DA42" s="378">
        <f t="shared" ref="DA42:DA55" si="365">SUM(CO42:CZ42)</f>
        <v>545456.80840299593</v>
      </c>
      <c r="DB42" s="376">
        <f t="shared" si="235"/>
        <v>54111.694485849803</v>
      </c>
      <c r="DC42" s="377">
        <f t="shared" si="236"/>
        <v>38296.072669027853</v>
      </c>
      <c r="DD42" s="377">
        <f t="shared" si="237"/>
        <v>29670.321465377758</v>
      </c>
      <c r="DE42" s="377">
        <f t="shared" si="238"/>
        <v>36494.454831979005</v>
      </c>
      <c r="DF42" s="377">
        <f t="shared" si="239"/>
        <v>37457.342827744331</v>
      </c>
      <c r="DG42" s="377">
        <f t="shared" si="240"/>
        <v>44430.389037296038</v>
      </c>
      <c r="DH42" s="377">
        <f t="shared" si="241"/>
        <v>38072.898294299994</v>
      </c>
      <c r="DI42" s="377">
        <f t="shared" si="242"/>
        <v>54026.31301053839</v>
      </c>
      <c r="DJ42" s="377">
        <f t="shared" si="243"/>
        <v>29620.535839206641</v>
      </c>
      <c r="DK42" s="377">
        <f t="shared" si="244"/>
        <v>41003.01520364367</v>
      </c>
      <c r="DL42" s="377">
        <f t="shared" si="245"/>
        <v>32270.831977190352</v>
      </c>
      <c r="DM42" s="388">
        <f t="shared" si="246"/>
        <v>68118.271379073005</v>
      </c>
      <c r="DN42" s="378">
        <f t="shared" ref="DN42:DN55" si="366">SUM(DB42:DM42)</f>
        <v>503572.14102122677</v>
      </c>
      <c r="DO42" s="376">
        <f t="shared" si="247"/>
        <v>19057.274700706104</v>
      </c>
      <c r="DP42" s="377">
        <f t="shared" si="248"/>
        <v>33475.430696949872</v>
      </c>
      <c r="DQ42" s="377">
        <f t="shared" si="249"/>
        <v>44330.303231753838</v>
      </c>
      <c r="DR42" s="377">
        <f t="shared" si="250"/>
        <v>50859.987911328702</v>
      </c>
      <c r="DS42" s="377">
        <f t="shared" si="251"/>
        <v>39676.79233376628</v>
      </c>
      <c r="DT42" s="377">
        <f t="shared" si="252"/>
        <v>42554.591013619582</v>
      </c>
      <c r="DU42" s="377">
        <f t="shared" si="253"/>
        <v>40782.761215327999</v>
      </c>
      <c r="DV42" s="377">
        <f t="shared" si="254"/>
        <v>37173.631451727939</v>
      </c>
      <c r="DW42" s="377">
        <f t="shared" si="255"/>
        <v>24052.052220224192</v>
      </c>
      <c r="DX42" s="377">
        <f t="shared" si="256"/>
        <v>42262.112723910839</v>
      </c>
      <c r="DY42" s="377">
        <f t="shared" si="257"/>
        <v>27376.369540698557</v>
      </c>
      <c r="DZ42" s="388">
        <f t="shared" si="258"/>
        <v>56459.433993516235</v>
      </c>
      <c r="EA42" s="378">
        <f t="shared" ref="EA42:EA55" si="367">SUM(DO42:DZ42)</f>
        <v>458060.7410335301</v>
      </c>
      <c r="EB42" s="376">
        <f t="shared" si="259"/>
        <v>37762.330739969664</v>
      </c>
      <c r="EC42" s="377">
        <f t="shared" si="260"/>
        <v>40208.095199849602</v>
      </c>
      <c r="ED42" s="377">
        <f t="shared" si="261"/>
        <v>26406.714790056983</v>
      </c>
      <c r="EE42" s="377">
        <f t="shared" si="262"/>
        <v>64367.916307381391</v>
      </c>
      <c r="EF42" s="377">
        <f t="shared" si="263"/>
        <v>27206.853967907155</v>
      </c>
      <c r="EG42" s="377">
        <f t="shared" si="264"/>
        <v>40039.600891729264</v>
      </c>
      <c r="EH42" s="377">
        <f t="shared" si="265"/>
        <v>48373.147628518454</v>
      </c>
      <c r="EI42" s="377">
        <f t="shared" si="266"/>
        <v>39195.573111142759</v>
      </c>
      <c r="EJ42" s="377">
        <f t="shared" si="267"/>
        <v>33951.814347810927</v>
      </c>
      <c r="EK42" s="377">
        <f t="shared" si="268"/>
        <v>46812.442327644261</v>
      </c>
      <c r="EL42" s="377">
        <f t="shared" si="269"/>
        <v>28231.613284639236</v>
      </c>
      <c r="EM42" s="388">
        <f t="shared" si="270"/>
        <v>99182.305118048738</v>
      </c>
      <c r="EN42" s="378">
        <f t="shared" ref="EN42:EN55" si="368">SUM(EB42:EM42)</f>
        <v>531738.40771469846</v>
      </c>
      <c r="EO42" s="376">
        <f t="shared" si="271"/>
        <v>50163.789045505968</v>
      </c>
      <c r="EP42" s="377">
        <f t="shared" si="272"/>
        <v>31629.364735276045</v>
      </c>
      <c r="EQ42" s="377">
        <f t="shared" si="273"/>
        <v>28995.76985707014</v>
      </c>
      <c r="ER42" s="377">
        <f t="shared" si="274"/>
        <v>53000.605743076849</v>
      </c>
      <c r="ES42" s="377">
        <f t="shared" si="275"/>
        <v>33380.051009506693</v>
      </c>
      <c r="ET42" s="377">
        <f t="shared" si="276"/>
        <v>38192.455516815942</v>
      </c>
      <c r="EU42" s="377">
        <f t="shared" si="277"/>
        <v>63893.462548058771</v>
      </c>
      <c r="EV42" s="377">
        <f t="shared" si="278"/>
        <v>35818.959756075346</v>
      </c>
      <c r="EW42" s="377">
        <f t="shared" si="279"/>
        <v>30217.183059396179</v>
      </c>
      <c r="EX42" s="377">
        <f t="shared" si="280"/>
        <v>52177.131023354748</v>
      </c>
      <c r="EY42" s="377">
        <f t="shared" si="281"/>
        <v>51232.520883567035</v>
      </c>
      <c r="EZ42" s="388">
        <f t="shared" si="282"/>
        <v>46849.6712454265</v>
      </c>
      <c r="FA42" s="378">
        <f t="shared" ref="FA42:FA55" si="369">SUM(EO42:EZ42)</f>
        <v>515550.96442313027</v>
      </c>
      <c r="FB42" s="376">
        <f t="shared" si="283"/>
        <v>34936.159564884409</v>
      </c>
      <c r="FC42" s="377">
        <f t="shared" si="284"/>
        <v>48733.486970438753</v>
      </c>
      <c r="FD42" s="377">
        <f t="shared" si="285"/>
        <v>57557.437898175202</v>
      </c>
      <c r="FE42" s="377">
        <f t="shared" si="286"/>
        <v>99400.372224871084</v>
      </c>
      <c r="FF42" s="377">
        <f t="shared" si="287"/>
        <v>75933.604478052468</v>
      </c>
      <c r="FG42" s="377">
        <f t="shared" si="288"/>
        <v>30295.902125506022</v>
      </c>
      <c r="FH42" s="377">
        <f t="shared" si="289"/>
        <v>54098.333995099005</v>
      </c>
      <c r="FI42" s="377">
        <f t="shared" si="290"/>
        <v>93935.987795351568</v>
      </c>
      <c r="FJ42" s="377">
        <f t="shared" si="291"/>
        <v>30138.619764010156</v>
      </c>
      <c r="FK42" s="377">
        <f t="shared" si="292"/>
        <v>139929.80889111909</v>
      </c>
      <c r="FL42" s="377">
        <f t="shared" si="293"/>
        <v>73735.381008348617</v>
      </c>
      <c r="FM42" s="388">
        <f t="shared" si="294"/>
        <v>75791.711535585171</v>
      </c>
      <c r="FN42" s="378">
        <f t="shared" ref="FN42:FN55" si="370">SUM(FB42:FM42)</f>
        <v>814486.80625144159</v>
      </c>
      <c r="FO42" s="376">
        <f t="shared" si="295"/>
        <v>31549.193275940968</v>
      </c>
      <c r="FP42" s="377">
        <f t="shared" si="296"/>
        <v>53097.848328411463</v>
      </c>
      <c r="FQ42" s="377">
        <f t="shared" si="297"/>
        <v>35377.848023925289</v>
      </c>
      <c r="FR42" s="377">
        <f t="shared" si="298"/>
        <v>66731.539760688815</v>
      </c>
      <c r="FS42" s="377">
        <f t="shared" si="299"/>
        <v>33990.433484353234</v>
      </c>
      <c r="FT42" s="377">
        <f t="shared" si="300"/>
        <v>41278.293689009006</v>
      </c>
      <c r="FU42" s="377">
        <f t="shared" si="301"/>
        <v>51369.474880768605</v>
      </c>
      <c r="FV42" s="377">
        <f t="shared" si="302"/>
        <v>34997.554061915769</v>
      </c>
      <c r="FW42" s="377">
        <f t="shared" si="303"/>
        <v>89090.014730143594</v>
      </c>
      <c r="FX42" s="377">
        <f t="shared" si="304"/>
        <v>58076.518271340959</v>
      </c>
      <c r="FY42" s="377">
        <f t="shared" si="305"/>
        <v>65483.78222079765</v>
      </c>
      <c r="FZ42" s="388">
        <f t="shared" si="306"/>
        <v>218868.45696127132</v>
      </c>
      <c r="GA42" s="378">
        <f t="shared" ref="GA42:GA62" si="371">SUM(FO42:FZ42)</f>
        <v>779910.95768856665</v>
      </c>
      <c r="GB42" s="376">
        <f t="shared" si="307"/>
        <v>37753.463473668133</v>
      </c>
      <c r="GC42" s="377">
        <f t="shared" si="308"/>
        <v>37523.719540840284</v>
      </c>
      <c r="GD42" s="377">
        <f t="shared" si="309"/>
        <v>51631.740805106296</v>
      </c>
      <c r="GE42" s="377">
        <f t="shared" si="310"/>
        <v>42657.346450364035</v>
      </c>
      <c r="GF42" s="377">
        <f t="shared" si="311"/>
        <v>52678.624150537624</v>
      </c>
      <c r="GG42" s="377">
        <f t="shared" si="312"/>
        <v>40517.170076564806</v>
      </c>
      <c r="GH42" s="377">
        <f t="shared" si="313"/>
        <v>49293.359543385384</v>
      </c>
      <c r="GI42" s="377">
        <f t="shared" si="314"/>
        <v>112770.28209122944</v>
      </c>
      <c r="GJ42" s="377">
        <f t="shared" si="315"/>
        <v>37787.959284805795</v>
      </c>
      <c r="GK42" s="377">
        <f t="shared" si="316"/>
        <v>102512.25051292454</v>
      </c>
      <c r="GL42" s="377">
        <f t="shared" si="317"/>
        <v>49598.288127995773</v>
      </c>
      <c r="GM42" s="388">
        <f t="shared" si="318"/>
        <v>133808.56445930109</v>
      </c>
      <c r="GN42" s="378">
        <f t="shared" ref="GN42:GN62" si="372">SUM(GB42:GM42)</f>
        <v>748532.7685167233</v>
      </c>
      <c r="GO42" s="376">
        <f t="shared" si="319"/>
        <v>38800.853704984707</v>
      </c>
      <c r="GP42" s="377">
        <f t="shared" si="320"/>
        <v>56859.971845489374</v>
      </c>
      <c r="GQ42" s="377">
        <f t="shared" si="321"/>
        <v>30046.681253857543</v>
      </c>
      <c r="GR42" s="377">
        <f t="shared" si="322"/>
        <v>50032.850000617596</v>
      </c>
      <c r="GS42" s="377">
        <f t="shared" si="323"/>
        <v>42894.024783815432</v>
      </c>
      <c r="GT42" s="377">
        <f t="shared" si="324"/>
        <v>44160.519094206436</v>
      </c>
      <c r="GU42" s="377">
        <f t="shared" si="325"/>
        <v>39233.707610309975</v>
      </c>
      <c r="GV42" s="377">
        <f t="shared" si="326"/>
        <v>48922.385782494057</v>
      </c>
      <c r="GW42" s="377">
        <f t="shared" si="327"/>
        <v>28350.091420625427</v>
      </c>
      <c r="GX42" s="377">
        <f>+GX8/$GX$37</f>
        <v>50606.442756454016</v>
      </c>
      <c r="GY42" s="377">
        <f t="shared" si="328"/>
        <v>59827.694346762648</v>
      </c>
      <c r="GZ42" s="388">
        <f t="shared" si="329"/>
        <v>48739.646998571458</v>
      </c>
      <c r="HA42" s="378">
        <f t="shared" ref="HA42:HA63" si="373">SUM(GO42:GZ42)</f>
        <v>538474.86959818867</v>
      </c>
      <c r="HB42" s="376">
        <f t="shared" si="330"/>
        <v>24499.082043597507</v>
      </c>
      <c r="HC42" s="377">
        <f t="shared" si="331"/>
        <v>132057.53162027302</v>
      </c>
      <c r="HD42" s="377">
        <f t="shared" si="332"/>
        <v>28200.570081794351</v>
      </c>
      <c r="HE42" s="377">
        <f t="shared" si="333"/>
        <v>51655.193330490954</v>
      </c>
      <c r="HF42" s="377">
        <f t="shared" si="334"/>
        <v>53340.215186637448</v>
      </c>
      <c r="HG42" s="377">
        <f t="shared" si="335"/>
        <v>38015.870588439466</v>
      </c>
      <c r="HH42" s="377">
        <f t="shared" si="336"/>
        <v>41355.678073542476</v>
      </c>
      <c r="HI42" s="377">
        <f t="shared" si="337"/>
        <v>80845.666122254901</v>
      </c>
      <c r="HJ42" s="377">
        <f t="shared" si="338"/>
        <v>36865.214780746552</v>
      </c>
      <c r="HK42" s="377">
        <f t="shared" si="339"/>
        <v>44956.448792512936</v>
      </c>
      <c r="HL42" s="377">
        <f t="shared" si="340"/>
        <v>51976.885369428463</v>
      </c>
      <c r="HM42" s="388">
        <f t="shared" si="341"/>
        <v>77076.305059856444</v>
      </c>
      <c r="HN42" s="378">
        <f t="shared" ref="HN42:HN63" si="374">SUM(HB42:HM42)</f>
        <v>660844.66104957461</v>
      </c>
      <c r="HO42" s="376">
        <f t="shared" si="342"/>
        <v>30718.838778054749</v>
      </c>
      <c r="HP42" s="377">
        <f t="shared" si="343"/>
        <v>80972.024701845919</v>
      </c>
      <c r="HQ42" s="377">
        <f t="shared" si="344"/>
        <v>49253.921032153725</v>
      </c>
      <c r="HR42" s="377">
        <f t="shared" si="345"/>
        <v>36552.61376736097</v>
      </c>
      <c r="HS42" s="377">
        <f t="shared" si="346"/>
        <v>53190.372257785799</v>
      </c>
      <c r="HT42" s="377">
        <f t="shared" si="347"/>
        <v>60861.727631476009</v>
      </c>
      <c r="HU42" s="377">
        <f t="shared" si="348"/>
        <v>51887.455387805319</v>
      </c>
      <c r="HV42" s="377">
        <f t="shared" si="349"/>
        <v>51802.194817629359</v>
      </c>
      <c r="HW42" s="377">
        <f t="shared" si="350"/>
        <v>39065.977740062648</v>
      </c>
      <c r="HX42" s="377">
        <f t="shared" si="351"/>
        <v>45105.275181902376</v>
      </c>
      <c r="HY42" s="377">
        <f t="shared" si="352"/>
        <v>51700.863451946709</v>
      </c>
      <c r="HZ42" s="388">
        <f t="shared" si="353"/>
        <v>54388.382304000246</v>
      </c>
      <c r="IA42" s="376">
        <f t="shared" ref="IA42:IA64" si="375">SUM(HO42:HZ42)</f>
        <v>605499.64705202379</v>
      </c>
      <c r="IB42" s="1328">
        <f t="shared" si="354"/>
        <v>61277.761590175418</v>
      </c>
      <c r="IC42" s="129">
        <f t="shared" ref="IC42:IC64" si="376">+IC8/$IC$37</f>
        <v>49997.898365964327</v>
      </c>
      <c r="ID42" s="129">
        <f t="shared" ref="ID42:ID64" si="377">+ID8/$ID$37</f>
        <v>40989.868759669043</v>
      </c>
      <c r="IE42" s="129">
        <f t="shared" ref="IE42:IE64" si="378">+IE8/$IE$37</f>
        <v>45652.995151309122</v>
      </c>
      <c r="IF42" s="129">
        <f t="shared" ref="IF42:IF64" si="379">+IF8/$IF$37</f>
        <v>48131.510170729962</v>
      </c>
      <c r="IG42" s="129">
        <f t="shared" ref="IG42:IG64" si="380">+IG8/$IG$37</f>
        <v>55708.906769996698</v>
      </c>
      <c r="IH42" s="129">
        <f t="shared" ref="IH42:IH64" si="381">+IH8/$IH$37</f>
        <v>50867.240991748047</v>
      </c>
      <c r="II42" s="129">
        <f t="shared" ref="II42:II64" si="382">+II8/$II$37</f>
        <v>51585.057008469492</v>
      </c>
      <c r="IJ42" s="129"/>
      <c r="IK42" s="129"/>
      <c r="IL42" s="129"/>
      <c r="IM42" s="1268"/>
      <c r="IN42" s="1343">
        <f t="shared" ref="IN42:IN64" si="383">SUM(IB42:IM42)</f>
        <v>404211.2388080621</v>
      </c>
      <c r="IO42" s="120"/>
      <c r="IP42" s="370">
        <f t="shared" si="355"/>
        <v>-0.41916719923607015</v>
      </c>
      <c r="IQ42" s="340">
        <f t="shared" ref="IQ42:IQ55" si="384">IFERROR(((IS42/IR42)-1)*100,"")</f>
        <v>-2.6557971735637231</v>
      </c>
      <c r="IR42" s="339">
        <f t="shared" si="356"/>
        <v>415239.14837411186</v>
      </c>
      <c r="IS42" s="341">
        <f t="shared" si="357"/>
        <v>404211.2388080621</v>
      </c>
      <c r="IU42" s="339">
        <f t="shared" ref="IU42:IU52" si="385">II42-HV42</f>
        <v>-217.13780915986717</v>
      </c>
      <c r="IV42"/>
      <c r="IW42"/>
      <c r="IX42"/>
      <c r="IY42"/>
      <c r="IZ42"/>
      <c r="JA42"/>
      <c r="JB42"/>
      <c r="JC42"/>
      <c r="JD42"/>
    </row>
    <row r="43" spans="1:264" ht="15" customHeight="1" x14ac:dyDescent="0.2">
      <c r="A43" s="1554" t="s">
        <v>433</v>
      </c>
      <c r="B43" s="379">
        <f t="shared" si="139"/>
        <v>5700.7127579376747</v>
      </c>
      <c r="C43" s="380">
        <f t="shared" si="140"/>
        <v>5647.3644154879139</v>
      </c>
      <c r="D43" s="380">
        <f t="shared" si="141"/>
        <v>4746.4835629745576</v>
      </c>
      <c r="E43" s="380">
        <f t="shared" si="142"/>
        <v>4658.8674318389603</v>
      </c>
      <c r="F43" s="380">
        <f t="shared" si="143"/>
        <v>4513.7386547992464</v>
      </c>
      <c r="G43" s="380">
        <f t="shared" si="144"/>
        <v>4664.9756883792325</v>
      </c>
      <c r="H43" s="380">
        <f t="shared" si="145"/>
        <v>5378.7114784201485</v>
      </c>
      <c r="I43" s="380">
        <f t="shared" si="146"/>
        <v>4456.2816075492083</v>
      </c>
      <c r="J43" s="380">
        <f t="shared" si="147"/>
        <v>4532.5554999388596</v>
      </c>
      <c r="K43" s="380">
        <f t="shared" si="148"/>
        <v>4570.8082675127162</v>
      </c>
      <c r="L43" s="380">
        <f t="shared" si="149"/>
        <v>4361.9367508354435</v>
      </c>
      <c r="M43" s="389">
        <f t="shared" si="150"/>
        <v>5860.0424372224961</v>
      </c>
      <c r="N43" s="381">
        <f t="shared" si="358"/>
        <v>59092.478552896457</v>
      </c>
      <c r="O43" s="379">
        <f t="shared" si="151"/>
        <v>5417.2472822740338</v>
      </c>
      <c r="P43" s="380">
        <f t="shared" si="152"/>
        <v>6205.1947734195228</v>
      </c>
      <c r="Q43" s="380">
        <f t="shared" si="153"/>
        <v>5694.7132406815717</v>
      </c>
      <c r="R43" s="380">
        <f t="shared" si="154"/>
        <v>5707.3116365833403</v>
      </c>
      <c r="S43" s="380">
        <f t="shared" si="155"/>
        <v>5509.8695740189878</v>
      </c>
      <c r="T43" s="380">
        <f t="shared" si="156"/>
        <v>5544.2951330347123</v>
      </c>
      <c r="U43" s="380">
        <f t="shared" si="157"/>
        <v>7276.2200178085222</v>
      </c>
      <c r="V43" s="380">
        <f t="shared" si="158"/>
        <v>5628.1801782489711</v>
      </c>
      <c r="W43" s="380">
        <f t="shared" si="159"/>
        <v>5756.5723568704598</v>
      </c>
      <c r="X43" s="380">
        <f t="shared" si="160"/>
        <v>5612.7101213238002</v>
      </c>
      <c r="Y43" s="380">
        <f t="shared" si="161"/>
        <v>6116.7323650577209</v>
      </c>
      <c r="Z43" s="389">
        <f t="shared" si="162"/>
        <v>8106.0845867940616</v>
      </c>
      <c r="AA43" s="381">
        <f t="shared" si="359"/>
        <v>72575.131266115714</v>
      </c>
      <c r="AB43" s="379">
        <f t="shared" si="163"/>
        <v>22912.10978955762</v>
      </c>
      <c r="AC43" s="380">
        <f t="shared" si="164"/>
        <v>5709.5283203754534</v>
      </c>
      <c r="AD43" s="380">
        <f t="shared" si="165"/>
        <v>6269.9448450978643</v>
      </c>
      <c r="AE43" s="380">
        <f t="shared" si="166"/>
        <v>8419.2183326568811</v>
      </c>
      <c r="AF43" s="380">
        <f t="shared" si="167"/>
        <v>7090.7872250499358</v>
      </c>
      <c r="AG43" s="380">
        <f t="shared" si="168"/>
        <v>8864.6681952502022</v>
      </c>
      <c r="AH43" s="380">
        <f t="shared" si="169"/>
        <v>8736.4490235631947</v>
      </c>
      <c r="AI43" s="380">
        <f t="shared" si="170"/>
        <v>7229.165723463856</v>
      </c>
      <c r="AJ43" s="380">
        <f t="shared" si="171"/>
        <v>7773.4155665386779</v>
      </c>
      <c r="AK43" s="380">
        <f t="shared" si="172"/>
        <v>7389.1113767380575</v>
      </c>
      <c r="AL43" s="380">
        <f t="shared" si="173"/>
        <v>7544.9973959497802</v>
      </c>
      <c r="AM43" s="389">
        <f t="shared" si="174"/>
        <v>9509.9939696630609</v>
      </c>
      <c r="AN43" s="381">
        <f t="shared" si="360"/>
        <v>107449.38976390458</v>
      </c>
      <c r="AO43" s="379">
        <f t="shared" si="175"/>
        <v>12397.128002924184</v>
      </c>
      <c r="AP43" s="380">
        <f t="shared" si="176"/>
        <v>9997.1418384729004</v>
      </c>
      <c r="AQ43" s="380">
        <f t="shared" si="177"/>
        <v>9415.8590818888551</v>
      </c>
      <c r="AR43" s="380">
        <f t="shared" si="178"/>
        <v>11593.148386856055</v>
      </c>
      <c r="AS43" s="380">
        <f t="shared" si="179"/>
        <v>10180.99989512938</v>
      </c>
      <c r="AT43" s="380">
        <f t="shared" si="180"/>
        <v>10406.338154511994</v>
      </c>
      <c r="AU43" s="380">
        <f t="shared" si="181"/>
        <v>12363.221868885865</v>
      </c>
      <c r="AV43" s="380">
        <f t="shared" si="182"/>
        <v>10290.883923580115</v>
      </c>
      <c r="AW43" s="380">
        <f t="shared" si="183"/>
        <v>10188.568800744433</v>
      </c>
      <c r="AX43" s="380">
        <f t="shared" si="184"/>
        <v>10217.561238758324</v>
      </c>
      <c r="AY43" s="380">
        <f t="shared" si="185"/>
        <v>9997.4539680296803</v>
      </c>
      <c r="AZ43" s="389">
        <f t="shared" si="186"/>
        <v>13848.582881633674</v>
      </c>
      <c r="BA43" s="381">
        <f t="shared" si="361"/>
        <v>130896.88804141544</v>
      </c>
      <c r="BB43" s="379">
        <f t="shared" si="187"/>
        <v>11455.991463746228</v>
      </c>
      <c r="BC43" s="380">
        <f t="shared" si="188"/>
        <v>9782.5958698584927</v>
      </c>
      <c r="BD43" s="380">
        <f t="shared" si="189"/>
        <v>10045.967669759923</v>
      </c>
      <c r="BE43" s="380">
        <f t="shared" si="190"/>
        <v>10466.246406937662</v>
      </c>
      <c r="BF43" s="380">
        <f t="shared" si="191"/>
        <v>18762.442454951197</v>
      </c>
      <c r="BG43" s="380">
        <f t="shared" si="192"/>
        <v>10475.543901391768</v>
      </c>
      <c r="BH43" s="380">
        <f t="shared" si="193"/>
        <v>12436.754780289602</v>
      </c>
      <c r="BI43" s="380">
        <f t="shared" si="194"/>
        <v>10409.657875679164</v>
      </c>
      <c r="BJ43" s="380">
        <f t="shared" si="195"/>
        <v>12120.034154542385</v>
      </c>
      <c r="BK43" s="380">
        <f t="shared" si="196"/>
        <v>10381.219332366936</v>
      </c>
      <c r="BL43" s="380">
        <f t="shared" si="197"/>
        <v>10266.716655298662</v>
      </c>
      <c r="BM43" s="389">
        <f t="shared" si="198"/>
        <v>14976.897877097494</v>
      </c>
      <c r="BN43" s="381">
        <f t="shared" si="362"/>
        <v>141580.06844191952</v>
      </c>
      <c r="BO43" s="379">
        <f t="shared" si="199"/>
        <v>13014.567863249489</v>
      </c>
      <c r="BP43" s="380">
        <f t="shared" si="200"/>
        <v>11497.129071848141</v>
      </c>
      <c r="BQ43" s="380">
        <f t="shared" si="201"/>
        <v>12729.129532955147</v>
      </c>
      <c r="BR43" s="380">
        <f t="shared" si="202"/>
        <v>11702.047126094183</v>
      </c>
      <c r="BS43" s="380">
        <f t="shared" si="203"/>
        <v>12377.332472132406</v>
      </c>
      <c r="BT43" s="380">
        <f t="shared" si="204"/>
        <v>12111.70081095873</v>
      </c>
      <c r="BU43" s="380">
        <f t="shared" si="205"/>
        <v>13636.89949170774</v>
      </c>
      <c r="BV43" s="380">
        <f t="shared" si="206"/>
        <v>11866.063573645792</v>
      </c>
      <c r="BW43" s="380">
        <f t="shared" si="207"/>
        <v>11599.519359070206</v>
      </c>
      <c r="BX43" s="380">
        <f t="shared" si="208"/>
        <v>11076.701640652191</v>
      </c>
      <c r="BY43" s="380">
        <f t="shared" si="209"/>
        <v>11890.689327831335</v>
      </c>
      <c r="BZ43" s="389">
        <f t="shared" si="210"/>
        <v>14843.825050501153</v>
      </c>
      <c r="CA43" s="381">
        <f t="shared" si="363"/>
        <v>148345.60532064651</v>
      </c>
      <c r="CB43" s="379">
        <f t="shared" si="211"/>
        <v>10755.329975367722</v>
      </c>
      <c r="CC43" s="380">
        <f t="shared" si="212"/>
        <v>9567.1512997118425</v>
      </c>
      <c r="CD43" s="380">
        <f t="shared" si="213"/>
        <v>9810.8309370695588</v>
      </c>
      <c r="CE43" s="380">
        <f t="shared" si="214"/>
        <v>9602.7639761780902</v>
      </c>
      <c r="CF43" s="380">
        <f t="shared" si="215"/>
        <v>9862.5378414748157</v>
      </c>
      <c r="CG43" s="380">
        <f t="shared" si="216"/>
        <v>9799.8897611254779</v>
      </c>
      <c r="CH43" s="380">
        <f t="shared" si="217"/>
        <v>11949.31022097548</v>
      </c>
      <c r="CI43" s="380">
        <f t="shared" si="218"/>
        <v>9785.731356507571</v>
      </c>
      <c r="CJ43" s="380">
        <f t="shared" si="219"/>
        <v>9552.6168212820758</v>
      </c>
      <c r="CK43" s="380">
        <f t="shared" si="220"/>
        <v>9647.237589353439</v>
      </c>
      <c r="CL43" s="380">
        <f t="shared" si="221"/>
        <v>9390.3022398763751</v>
      </c>
      <c r="CM43" s="389">
        <f t="shared" si="222"/>
        <v>13407.21377780391</v>
      </c>
      <c r="CN43" s="381">
        <f t="shared" si="364"/>
        <v>123130.91579672636</v>
      </c>
      <c r="CO43" s="379">
        <f t="shared" si="223"/>
        <v>9383.503889021842</v>
      </c>
      <c r="CP43" s="380">
        <f t="shared" si="224"/>
        <v>10912.326559885434</v>
      </c>
      <c r="CQ43" s="380">
        <f t="shared" si="225"/>
        <v>11014.316141263878</v>
      </c>
      <c r="CR43" s="380">
        <f t="shared" si="226"/>
        <v>10908.784054628293</v>
      </c>
      <c r="CS43" s="380">
        <f t="shared" si="227"/>
        <v>11099.150547118559</v>
      </c>
      <c r="CT43" s="380">
        <f t="shared" si="228"/>
        <v>15382.057671168955</v>
      </c>
      <c r="CU43" s="380">
        <f t="shared" si="229"/>
        <v>12754.969913476087</v>
      </c>
      <c r="CV43" s="380">
        <f t="shared" si="230"/>
        <v>18270.427545142618</v>
      </c>
      <c r="CW43" s="380">
        <f t="shared" si="231"/>
        <v>13043.129194436875</v>
      </c>
      <c r="CX43" s="380">
        <f t="shared" si="232"/>
        <v>13759.943821730765</v>
      </c>
      <c r="CY43" s="380">
        <f t="shared" si="233"/>
        <v>14641.327333854779</v>
      </c>
      <c r="CZ43" s="389">
        <f t="shared" si="234"/>
        <v>17584.852715143414</v>
      </c>
      <c r="DA43" s="381">
        <f t="shared" si="365"/>
        <v>158754.7893868715</v>
      </c>
      <c r="DB43" s="379">
        <f t="shared" si="235"/>
        <v>15921.834122349996</v>
      </c>
      <c r="DC43" s="380">
        <f t="shared" si="236"/>
        <v>15302.226709918286</v>
      </c>
      <c r="DD43" s="380">
        <f t="shared" si="237"/>
        <v>14276.679862725872</v>
      </c>
      <c r="DE43" s="380">
        <f t="shared" si="238"/>
        <v>14702.458666910989</v>
      </c>
      <c r="DF43" s="380">
        <f t="shared" si="239"/>
        <v>14801.10392514094</v>
      </c>
      <c r="DG43" s="380">
        <f t="shared" si="240"/>
        <v>20738.936483513622</v>
      </c>
      <c r="DH43" s="380">
        <f t="shared" si="241"/>
        <v>19008.981666026706</v>
      </c>
      <c r="DI43" s="380">
        <f t="shared" si="242"/>
        <v>18118.98651651384</v>
      </c>
      <c r="DJ43" s="380">
        <f t="shared" si="243"/>
        <v>14168.076278352579</v>
      </c>
      <c r="DK43" s="380">
        <f t="shared" si="244"/>
        <v>13988.19157513862</v>
      </c>
      <c r="DL43" s="380">
        <f t="shared" si="245"/>
        <v>16221.544841685918</v>
      </c>
      <c r="DM43" s="389">
        <f t="shared" si="246"/>
        <v>19498.267048829857</v>
      </c>
      <c r="DN43" s="381">
        <f t="shared" si="366"/>
        <v>196747.28769710721</v>
      </c>
      <c r="DO43" s="379">
        <f t="shared" si="247"/>
        <v>14754.136679787112</v>
      </c>
      <c r="DP43" s="380">
        <f t="shared" si="248"/>
        <v>13559.162320886697</v>
      </c>
      <c r="DQ43" s="380">
        <f t="shared" si="249"/>
        <v>14107.378491645333</v>
      </c>
      <c r="DR43" s="380">
        <f t="shared" si="250"/>
        <v>13717.024309296003</v>
      </c>
      <c r="DS43" s="380">
        <f t="shared" si="251"/>
        <v>13482.426194149715</v>
      </c>
      <c r="DT43" s="380">
        <f t="shared" si="252"/>
        <v>12764.858453003586</v>
      </c>
      <c r="DU43" s="380">
        <f t="shared" si="253"/>
        <v>15459.192866348316</v>
      </c>
      <c r="DV43" s="380">
        <f t="shared" si="254"/>
        <v>11671.566646180487</v>
      </c>
      <c r="DW43" s="380">
        <f t="shared" si="255"/>
        <v>11976.542193265668</v>
      </c>
      <c r="DX43" s="380">
        <f t="shared" si="256"/>
        <v>12512.980573260285</v>
      </c>
      <c r="DY43" s="380">
        <f t="shared" si="257"/>
        <v>12559.716349227072</v>
      </c>
      <c r="DZ43" s="389">
        <f t="shared" si="258"/>
        <v>16154.642518080975</v>
      </c>
      <c r="EA43" s="381">
        <f t="shared" si="367"/>
        <v>162719.62759513123</v>
      </c>
      <c r="EB43" s="379">
        <f t="shared" si="259"/>
        <v>14749.301919750233</v>
      </c>
      <c r="EC43" s="380">
        <f t="shared" si="260"/>
        <v>13753.133291675947</v>
      </c>
      <c r="ED43" s="380">
        <f t="shared" si="261"/>
        <v>15476.151387120508</v>
      </c>
      <c r="EE43" s="380">
        <f t="shared" si="262"/>
        <v>14060.914379523252</v>
      </c>
      <c r="EF43" s="380">
        <f t="shared" si="263"/>
        <v>14008.020454878222</v>
      </c>
      <c r="EG43" s="380">
        <f t="shared" si="264"/>
        <v>13504.130549381582</v>
      </c>
      <c r="EH43" s="380">
        <f t="shared" si="265"/>
        <v>15337.723334601913</v>
      </c>
      <c r="EI43" s="380">
        <f t="shared" si="266"/>
        <v>12283.337085224268</v>
      </c>
      <c r="EJ43" s="380">
        <f t="shared" si="267"/>
        <v>12519.930705376935</v>
      </c>
      <c r="EK43" s="380">
        <f t="shared" si="268"/>
        <v>11270.959262338389</v>
      </c>
      <c r="EL43" s="380">
        <f t="shared" si="269"/>
        <v>11976.89814841618</v>
      </c>
      <c r="EM43" s="389">
        <f t="shared" si="270"/>
        <v>15829.042429130735</v>
      </c>
      <c r="EN43" s="381">
        <f t="shared" si="368"/>
        <v>164769.54294741817</v>
      </c>
      <c r="EO43" s="379">
        <f t="shared" si="271"/>
        <v>12417.931139669294</v>
      </c>
      <c r="EP43" s="380">
        <f t="shared" si="272"/>
        <v>14231.630022456762</v>
      </c>
      <c r="EQ43" s="380">
        <f t="shared" si="273"/>
        <v>14693.939248045934</v>
      </c>
      <c r="ER43" s="380">
        <f t="shared" si="274"/>
        <v>14188.182845898094</v>
      </c>
      <c r="ES43" s="380">
        <f t="shared" si="275"/>
        <v>15516.761114027964</v>
      </c>
      <c r="ET43" s="380">
        <f t="shared" si="276"/>
        <v>15715.479140560041</v>
      </c>
      <c r="EU43" s="380">
        <f t="shared" si="277"/>
        <v>17312.842838197794</v>
      </c>
      <c r="EV43" s="380">
        <f t="shared" si="278"/>
        <v>14172.109285792751</v>
      </c>
      <c r="EW43" s="380">
        <f t="shared" si="279"/>
        <v>14272.199481001444</v>
      </c>
      <c r="EX43" s="380">
        <f t="shared" si="280"/>
        <v>14594.734572817782</v>
      </c>
      <c r="EY43" s="380">
        <f t="shared" si="281"/>
        <v>15726.124438525967</v>
      </c>
      <c r="EZ43" s="389">
        <f t="shared" si="282"/>
        <v>19066.62202351735</v>
      </c>
      <c r="FA43" s="381">
        <f t="shared" si="369"/>
        <v>181908.55615051117</v>
      </c>
      <c r="FB43" s="379">
        <f t="shared" si="283"/>
        <v>14476.527112089514</v>
      </c>
      <c r="FC43" s="380">
        <f t="shared" si="284"/>
        <v>13157.281424799301</v>
      </c>
      <c r="FD43" s="380">
        <f t="shared" si="285"/>
        <v>13168.421241893046</v>
      </c>
      <c r="FE43" s="380">
        <f t="shared" si="286"/>
        <v>13516.689454663263</v>
      </c>
      <c r="FF43" s="380">
        <f t="shared" si="287"/>
        <v>15075.567163324833</v>
      </c>
      <c r="FG43" s="380">
        <f t="shared" si="288"/>
        <v>13216.710835742004</v>
      </c>
      <c r="FH43" s="380">
        <f t="shared" si="289"/>
        <v>17031.045555542034</v>
      </c>
      <c r="FI43" s="380">
        <f t="shared" si="290"/>
        <v>13224.708748316101</v>
      </c>
      <c r="FJ43" s="380">
        <f t="shared" si="291"/>
        <v>13331.882991462549</v>
      </c>
      <c r="FK43" s="380">
        <f t="shared" si="292"/>
        <v>13809.918386300185</v>
      </c>
      <c r="FL43" s="380">
        <f t="shared" si="293"/>
        <v>14778.459029725125</v>
      </c>
      <c r="FM43" s="389">
        <f t="shared" si="294"/>
        <v>18987.985492651846</v>
      </c>
      <c r="FN43" s="381">
        <f t="shared" si="370"/>
        <v>173775.1974365098</v>
      </c>
      <c r="FO43" s="379">
        <f t="shared" si="295"/>
        <v>14176.64873450009</v>
      </c>
      <c r="FP43" s="380">
        <f t="shared" si="296"/>
        <v>13354.261029332059</v>
      </c>
      <c r="FQ43" s="380">
        <f t="shared" si="297"/>
        <v>13297.225768190588</v>
      </c>
      <c r="FR43" s="380">
        <f t="shared" si="298"/>
        <v>13787.491606397472</v>
      </c>
      <c r="FS43" s="380">
        <f t="shared" si="299"/>
        <v>14651.601807173058</v>
      </c>
      <c r="FT43" s="380">
        <f t="shared" si="300"/>
        <v>12510.829529237868</v>
      </c>
      <c r="FU43" s="380">
        <f t="shared" si="301"/>
        <v>16378.329858746953</v>
      </c>
      <c r="FV43" s="380">
        <f t="shared" si="302"/>
        <v>12697.535625934213</v>
      </c>
      <c r="FW43" s="380">
        <f t="shared" si="303"/>
        <v>12654.735763677534</v>
      </c>
      <c r="FX43" s="380">
        <f t="shared" si="304"/>
        <v>12853.412483224583</v>
      </c>
      <c r="FY43" s="380">
        <f t="shared" si="305"/>
        <v>14097.037917872276</v>
      </c>
      <c r="FZ43" s="389">
        <f t="shared" si="306"/>
        <v>17717.451830440656</v>
      </c>
      <c r="GA43" s="381">
        <f t="shared" si="371"/>
        <v>168176.56195472737</v>
      </c>
      <c r="GB43" s="379">
        <f t="shared" si="307"/>
        <v>13500.871173288537</v>
      </c>
      <c r="GC43" s="380">
        <f t="shared" si="308"/>
        <v>12359.146659779348</v>
      </c>
      <c r="GD43" s="380">
        <f t="shared" si="309"/>
        <v>12188.922224789832</v>
      </c>
      <c r="GE43" s="380">
        <f t="shared" si="310"/>
        <v>12277.164921624257</v>
      </c>
      <c r="GF43" s="380">
        <f t="shared" si="311"/>
        <v>13531.891120387458</v>
      </c>
      <c r="GG43" s="380">
        <f t="shared" si="312"/>
        <v>12747.825968063118</v>
      </c>
      <c r="GH43" s="380">
        <f t="shared" si="313"/>
        <v>15378.492091649776</v>
      </c>
      <c r="GI43" s="380">
        <f t="shared" si="314"/>
        <v>11846.509507000845</v>
      </c>
      <c r="GJ43" s="380">
        <f t="shared" si="315"/>
        <v>11813.932859255419</v>
      </c>
      <c r="GK43" s="380">
        <f t="shared" si="316"/>
        <v>11853.183829146888</v>
      </c>
      <c r="GL43" s="380">
        <f t="shared" si="317"/>
        <v>12928.424391783921</v>
      </c>
      <c r="GM43" s="389">
        <f t="shared" si="318"/>
        <v>15644.744367969841</v>
      </c>
      <c r="GN43" s="381">
        <f t="shared" si="372"/>
        <v>156071.10911473926</v>
      </c>
      <c r="GO43" s="379">
        <f t="shared" si="319"/>
        <v>12515.950056910198</v>
      </c>
      <c r="GP43" s="380">
        <f t="shared" si="320"/>
        <v>11393.061203723899</v>
      </c>
      <c r="GQ43" s="380">
        <f t="shared" si="321"/>
        <v>11220.618036478165</v>
      </c>
      <c r="GR43" s="380">
        <f t="shared" si="322"/>
        <v>11478.266408150692</v>
      </c>
      <c r="GS43" s="380">
        <f t="shared" si="323"/>
        <v>12910.030111907265</v>
      </c>
      <c r="GT43" s="380">
        <f t="shared" si="324"/>
        <v>12383.191360893437</v>
      </c>
      <c r="GU43" s="380">
        <f t="shared" si="325"/>
        <v>14741.289047783743</v>
      </c>
      <c r="GV43" s="380">
        <f t="shared" si="326"/>
        <v>11677.44244795478</v>
      </c>
      <c r="GW43" s="380">
        <f t="shared" si="327"/>
        <v>11976.81920842028</v>
      </c>
      <c r="GX43" s="380">
        <f>+GX9/$GX$37</f>
        <v>12377.913402134951</v>
      </c>
      <c r="GY43" s="380">
        <f t="shared" si="328"/>
        <v>13847.795743850169</v>
      </c>
      <c r="GZ43" s="389">
        <f t="shared" si="329"/>
        <v>16750.14131747252</v>
      </c>
      <c r="HA43" s="381">
        <f t="shared" si="373"/>
        <v>153272.51834568009</v>
      </c>
      <c r="HB43" s="379">
        <f t="shared" si="330"/>
        <v>17318.061296731896</v>
      </c>
      <c r="HC43" s="380">
        <f t="shared" si="331"/>
        <v>14919.815823420406</v>
      </c>
      <c r="HD43" s="380">
        <f t="shared" si="332"/>
        <v>14707.270448678424</v>
      </c>
      <c r="HE43" s="380">
        <f t="shared" si="333"/>
        <v>14913.784911353354</v>
      </c>
      <c r="HF43" s="380">
        <f t="shared" si="334"/>
        <v>16578.624475077064</v>
      </c>
      <c r="HG43" s="380">
        <f t="shared" si="335"/>
        <v>15174.043943125491</v>
      </c>
      <c r="HH43" s="380">
        <f t="shared" si="336"/>
        <v>19027.326964730673</v>
      </c>
      <c r="HI43" s="380">
        <f t="shared" si="337"/>
        <v>15662.864453562144</v>
      </c>
      <c r="HJ43" s="380">
        <f t="shared" si="338"/>
        <v>15125.610379047432</v>
      </c>
      <c r="HK43" s="380">
        <f t="shared" si="339"/>
        <v>16065.110929963876</v>
      </c>
      <c r="HL43" s="380">
        <f t="shared" si="340"/>
        <v>16953.336986781065</v>
      </c>
      <c r="HM43" s="389">
        <f t="shared" si="341"/>
        <v>20571.59576431218</v>
      </c>
      <c r="HN43" s="381">
        <f t="shared" si="374"/>
        <v>197017.44637678401</v>
      </c>
      <c r="HO43" s="379">
        <f t="shared" si="342"/>
        <v>18206.96633329524</v>
      </c>
      <c r="HP43" s="380">
        <f t="shared" si="343"/>
        <v>17129.341499745355</v>
      </c>
      <c r="HQ43" s="380">
        <f t="shared" si="344"/>
        <v>16935.793027691332</v>
      </c>
      <c r="HR43" s="380">
        <f t="shared" si="345"/>
        <v>16433.113907308336</v>
      </c>
      <c r="HS43" s="380">
        <f t="shared" si="346"/>
        <v>18383.911713003235</v>
      </c>
      <c r="HT43" s="380">
        <f t="shared" si="347"/>
        <v>17053.063105824713</v>
      </c>
      <c r="HU43" s="380">
        <f t="shared" si="348"/>
        <v>21347.330833578548</v>
      </c>
      <c r="HV43" s="380">
        <f t="shared" si="349"/>
        <v>16946.984461098797</v>
      </c>
      <c r="HW43" s="380">
        <f t="shared" si="350"/>
        <v>16967.359859081502</v>
      </c>
      <c r="HX43" s="380">
        <f t="shared" si="351"/>
        <v>17126.285425327063</v>
      </c>
      <c r="HY43" s="380">
        <f t="shared" si="352"/>
        <v>19778.215986600469</v>
      </c>
      <c r="HZ43" s="389">
        <f t="shared" si="353"/>
        <v>25104.150757757594</v>
      </c>
      <c r="IA43" s="379">
        <f t="shared" si="375"/>
        <v>221412.5169103122</v>
      </c>
      <c r="IB43" s="1344">
        <f t="shared" si="354"/>
        <v>19901.939311615788</v>
      </c>
      <c r="IC43" s="120">
        <f t="shared" si="376"/>
        <v>19315.607554435857</v>
      </c>
      <c r="ID43" s="120">
        <f>+ID9/$ID$37</f>
        <v>18835.114575794418</v>
      </c>
      <c r="IE43" s="120">
        <f>+IE9/$IE$37</f>
        <v>18380.583508095064</v>
      </c>
      <c r="IF43" s="120">
        <f t="shared" si="379"/>
        <v>20832.930665952063</v>
      </c>
      <c r="IG43" s="120">
        <f t="shared" si="380"/>
        <v>19137.161406203024</v>
      </c>
      <c r="IH43" s="120">
        <f t="shared" si="381"/>
        <v>23721.162657223209</v>
      </c>
      <c r="II43" s="120">
        <f t="shared" si="382"/>
        <v>19248.108287066105</v>
      </c>
      <c r="IM43" s="1345"/>
      <c r="IN43" s="1346">
        <f t="shared" si="383"/>
        <v>159372.60796638555</v>
      </c>
      <c r="IP43" s="371">
        <f t="shared" si="355"/>
        <v>13.578367474458108</v>
      </c>
      <c r="IQ43" s="348">
        <f t="shared" si="384"/>
        <v>11.890282690469389</v>
      </c>
      <c r="IR43" s="320">
        <f t="shared" si="356"/>
        <v>142436.50488154555</v>
      </c>
      <c r="IS43" s="344">
        <f t="shared" si="357"/>
        <v>159372.60796638555</v>
      </c>
      <c r="IU43" s="320">
        <f t="shared" si="385"/>
        <v>2301.1238259673082</v>
      </c>
    </row>
    <row r="44" spans="1:264" ht="15" customHeight="1" x14ac:dyDescent="0.2">
      <c r="A44" s="1554" t="s">
        <v>318</v>
      </c>
      <c r="B44" s="379">
        <f t="shared" si="139"/>
        <v>538.26472392544565</v>
      </c>
      <c r="C44" s="380">
        <f t="shared" si="140"/>
        <v>528.56149861599056</v>
      </c>
      <c r="D44" s="380">
        <f t="shared" si="141"/>
        <v>502.00422718618677</v>
      </c>
      <c r="E44" s="380">
        <f t="shared" si="142"/>
        <v>1396.4142868112249</v>
      </c>
      <c r="F44" s="380">
        <f t="shared" si="143"/>
        <v>484.12640109651323</v>
      </c>
      <c r="G44" s="380">
        <f t="shared" si="144"/>
        <v>476.63676036050254</v>
      </c>
      <c r="H44" s="380">
        <f t="shared" si="145"/>
        <v>902.73398674255463</v>
      </c>
      <c r="I44" s="380">
        <f t="shared" si="146"/>
        <v>524.59905407348265</v>
      </c>
      <c r="J44" s="380">
        <f t="shared" si="147"/>
        <v>516.03693936829598</v>
      </c>
      <c r="K44" s="380">
        <f t="shared" si="148"/>
        <v>1554.4636583256736</v>
      </c>
      <c r="L44" s="380">
        <f t="shared" si="149"/>
        <v>527.01351771625855</v>
      </c>
      <c r="M44" s="389">
        <f t="shared" si="150"/>
        <v>894.82443368133852</v>
      </c>
      <c r="N44" s="381">
        <f t="shared" si="358"/>
        <v>8845.6794879034678</v>
      </c>
      <c r="O44" s="379">
        <f t="shared" si="151"/>
        <v>1134.5260969320725</v>
      </c>
      <c r="P44" s="380">
        <f t="shared" si="152"/>
        <v>559.84646177962804</v>
      </c>
      <c r="Q44" s="380">
        <f t="shared" si="153"/>
        <v>509.2907450247634</v>
      </c>
      <c r="R44" s="380">
        <f t="shared" si="154"/>
        <v>3248.3688021439516</v>
      </c>
      <c r="S44" s="380">
        <f t="shared" si="155"/>
        <v>5036.2076901201153</v>
      </c>
      <c r="T44" s="380">
        <f t="shared" si="156"/>
        <v>2121.743188035834</v>
      </c>
      <c r="U44" s="380">
        <f t="shared" si="157"/>
        <v>8182.7654626502399</v>
      </c>
      <c r="V44" s="380">
        <f t="shared" si="158"/>
        <v>1850.0079265866575</v>
      </c>
      <c r="W44" s="380">
        <f t="shared" si="159"/>
        <v>2225.3224554616741</v>
      </c>
      <c r="X44" s="380">
        <f t="shared" si="160"/>
        <v>7696.5643376751032</v>
      </c>
      <c r="Y44" s="380">
        <f t="shared" si="161"/>
        <v>2193.8152487283896</v>
      </c>
      <c r="Z44" s="389">
        <f t="shared" si="162"/>
        <v>2502.3649148776963</v>
      </c>
      <c r="AA44" s="381">
        <f t="shared" si="359"/>
        <v>37260.82333001613</v>
      </c>
      <c r="AB44" s="379">
        <f t="shared" si="163"/>
        <v>543.24005967338155</v>
      </c>
      <c r="AC44" s="380">
        <f t="shared" si="164"/>
        <v>573.41422856716588</v>
      </c>
      <c r="AD44" s="380">
        <f t="shared" si="165"/>
        <v>1056.3543439181844</v>
      </c>
      <c r="AE44" s="380">
        <f t="shared" si="166"/>
        <v>7071.4527036272875</v>
      </c>
      <c r="AF44" s="380">
        <f t="shared" si="167"/>
        <v>-3246.6575953079937</v>
      </c>
      <c r="AG44" s="380">
        <f t="shared" si="168"/>
        <v>4959.5837974650185</v>
      </c>
      <c r="AH44" s="380">
        <f t="shared" si="169"/>
        <v>4576.8359557171188</v>
      </c>
      <c r="AI44" s="380">
        <f t="shared" si="170"/>
        <v>4717.2912583865964</v>
      </c>
      <c r="AJ44" s="380">
        <f t="shared" si="171"/>
        <v>2121.5751979913589</v>
      </c>
      <c r="AK44" s="380">
        <f t="shared" si="172"/>
        <v>6190.0011971796885</v>
      </c>
      <c r="AL44" s="380">
        <f t="shared" si="173"/>
        <v>1406.0231367780432</v>
      </c>
      <c r="AM44" s="389">
        <f t="shared" si="174"/>
        <v>10273.740650900172</v>
      </c>
      <c r="AN44" s="381">
        <f t="shared" si="360"/>
        <v>40242.854934896022</v>
      </c>
      <c r="AO44" s="379">
        <f t="shared" si="175"/>
        <v>1089.2574384202392</v>
      </c>
      <c r="AP44" s="380">
        <f t="shared" si="176"/>
        <v>1678.9705745490967</v>
      </c>
      <c r="AQ44" s="380">
        <f t="shared" si="177"/>
        <v>2480.1411781428142</v>
      </c>
      <c r="AR44" s="380">
        <f t="shared" si="178"/>
        <v>5063.0978048194738</v>
      </c>
      <c r="AS44" s="380">
        <f t="shared" si="179"/>
        <v>5285.7809201514119</v>
      </c>
      <c r="AT44" s="380">
        <f t="shared" si="180"/>
        <v>4544.9739009572731</v>
      </c>
      <c r="AU44" s="380">
        <f t="shared" si="181"/>
        <v>3484.0221853362427</v>
      </c>
      <c r="AV44" s="380">
        <f t="shared" si="182"/>
        <v>2161.6508182526545</v>
      </c>
      <c r="AW44" s="380">
        <f t="shared" si="183"/>
        <v>4478.9489249955113</v>
      </c>
      <c r="AX44" s="380">
        <f t="shared" si="184"/>
        <v>5228.8754115478923</v>
      </c>
      <c r="AY44" s="380">
        <f t="shared" si="185"/>
        <v>3946.159655051385</v>
      </c>
      <c r="AZ44" s="389">
        <f t="shared" si="186"/>
        <v>5382.9384176550193</v>
      </c>
      <c r="BA44" s="381">
        <f t="shared" si="361"/>
        <v>44824.817229879016</v>
      </c>
      <c r="BB44" s="379">
        <f t="shared" si="187"/>
        <v>611.49006088817112</v>
      </c>
      <c r="BC44" s="380">
        <f t="shared" si="188"/>
        <v>582.14449912521002</v>
      </c>
      <c r="BD44" s="380">
        <f t="shared" si="189"/>
        <v>488.49314250418223</v>
      </c>
      <c r="BE44" s="380">
        <f t="shared" si="190"/>
        <v>4817.7691373396538</v>
      </c>
      <c r="BF44" s="380">
        <f t="shared" si="191"/>
        <v>1607.5335640796059</v>
      </c>
      <c r="BG44" s="380">
        <f t="shared" si="192"/>
        <v>1941.981275040197</v>
      </c>
      <c r="BH44" s="380">
        <f t="shared" si="193"/>
        <v>3194.042317300446</v>
      </c>
      <c r="BI44" s="380">
        <f t="shared" si="194"/>
        <v>2075.7153494837971</v>
      </c>
      <c r="BJ44" s="380">
        <f t="shared" si="195"/>
        <v>3496.645728440637</v>
      </c>
      <c r="BK44" s="380">
        <f t="shared" si="196"/>
        <v>2472.9143996085691</v>
      </c>
      <c r="BL44" s="380">
        <f t="shared" si="197"/>
        <v>2368.2753463287909</v>
      </c>
      <c r="BM44" s="389">
        <f t="shared" si="198"/>
        <v>2266.846023143677</v>
      </c>
      <c r="BN44" s="381">
        <f t="shared" si="362"/>
        <v>25923.850843282937</v>
      </c>
      <c r="BO44" s="379">
        <f t="shared" si="199"/>
        <v>663.71040164752992</v>
      </c>
      <c r="BP44" s="380">
        <f t="shared" si="200"/>
        <v>553.17242863314698</v>
      </c>
      <c r="BQ44" s="380">
        <f t="shared" si="201"/>
        <v>584.61914196372197</v>
      </c>
      <c r="BR44" s="380">
        <f t="shared" si="202"/>
        <v>1156.4103886872208</v>
      </c>
      <c r="BS44" s="380">
        <f t="shared" si="203"/>
        <v>573.81092390622496</v>
      </c>
      <c r="BT44" s="380">
        <f t="shared" si="204"/>
        <v>587.12433831383885</v>
      </c>
      <c r="BU44" s="380">
        <f t="shared" si="205"/>
        <v>1005.9002323718453</v>
      </c>
      <c r="BV44" s="380">
        <f t="shared" si="206"/>
        <v>551.49376905208715</v>
      </c>
      <c r="BW44" s="380">
        <f t="shared" si="207"/>
        <v>656.51524531582561</v>
      </c>
      <c r="BX44" s="380">
        <f t="shared" si="208"/>
        <v>1596.7733850654206</v>
      </c>
      <c r="BY44" s="380">
        <f t="shared" si="209"/>
        <v>744.79605250312648</v>
      </c>
      <c r="BZ44" s="389">
        <f t="shared" si="210"/>
        <v>1084.0128437821502</v>
      </c>
      <c r="CA44" s="381">
        <f t="shared" si="363"/>
        <v>9758.3391512421367</v>
      </c>
      <c r="CB44" s="379">
        <f t="shared" si="211"/>
        <v>867.52209697385388</v>
      </c>
      <c r="CC44" s="380">
        <f t="shared" si="212"/>
        <v>621.59912501073416</v>
      </c>
      <c r="CD44" s="380">
        <f t="shared" si="213"/>
        <v>683.26574047357394</v>
      </c>
      <c r="CE44" s="380">
        <f t="shared" si="214"/>
        <v>1304.5715912796989</v>
      </c>
      <c r="CF44" s="380">
        <f t="shared" si="215"/>
        <v>660.7398828334891</v>
      </c>
      <c r="CG44" s="380">
        <f t="shared" si="216"/>
        <v>677.96479855961331</v>
      </c>
      <c r="CH44" s="380">
        <f t="shared" si="217"/>
        <v>1000.3263871324596</v>
      </c>
      <c r="CI44" s="380">
        <f t="shared" si="218"/>
        <v>693.88867316663686</v>
      </c>
      <c r="CJ44" s="380">
        <f t="shared" si="219"/>
        <v>695.15275982340791</v>
      </c>
      <c r="CK44" s="380">
        <f t="shared" si="220"/>
        <v>1011.6009036120715</v>
      </c>
      <c r="CL44" s="380">
        <f t="shared" si="221"/>
        <v>760.62947308972559</v>
      </c>
      <c r="CM44" s="389">
        <f t="shared" si="222"/>
        <v>1483.1302188587028</v>
      </c>
      <c r="CN44" s="381">
        <f t="shared" si="364"/>
        <v>10460.391650813968</v>
      </c>
      <c r="CO44" s="379">
        <f t="shared" si="223"/>
        <v>611.42094017244494</v>
      </c>
      <c r="CP44" s="380">
        <f t="shared" si="224"/>
        <v>631.53121327404756</v>
      </c>
      <c r="CQ44" s="380">
        <f t="shared" si="225"/>
        <v>633.76642580697967</v>
      </c>
      <c r="CR44" s="380">
        <f t="shared" si="226"/>
        <v>1041.8458107984843</v>
      </c>
      <c r="CS44" s="380">
        <f t="shared" si="227"/>
        <v>661.68161010304959</v>
      </c>
      <c r="CT44" s="380">
        <f t="shared" si="228"/>
        <v>727.06806162201156</v>
      </c>
      <c r="CU44" s="380">
        <f t="shared" si="229"/>
        <v>1200.7465085133588</v>
      </c>
      <c r="CV44" s="380">
        <f t="shared" si="230"/>
        <v>652.54246327098247</v>
      </c>
      <c r="CW44" s="380">
        <f t="shared" si="231"/>
        <v>682.79468266179617</v>
      </c>
      <c r="CX44" s="380">
        <f t="shared" si="232"/>
        <v>1116.6366961729364</v>
      </c>
      <c r="CY44" s="380">
        <f t="shared" si="233"/>
        <v>672.71168171278748</v>
      </c>
      <c r="CZ44" s="389">
        <f t="shared" si="234"/>
        <v>1208.1714650109254</v>
      </c>
      <c r="DA44" s="381">
        <f t="shared" si="365"/>
        <v>9840.9175591198054</v>
      </c>
      <c r="DB44" s="379">
        <f t="shared" si="235"/>
        <v>697.28466566969303</v>
      </c>
      <c r="DC44" s="380">
        <f t="shared" si="236"/>
        <v>711.10347651973211</v>
      </c>
      <c r="DD44" s="380">
        <f t="shared" si="237"/>
        <v>716.55556212877025</v>
      </c>
      <c r="DE44" s="380">
        <f t="shared" si="238"/>
        <v>1075.8442117825839</v>
      </c>
      <c r="DF44" s="380">
        <f t="shared" si="239"/>
        <v>692.66249895979774</v>
      </c>
      <c r="DG44" s="380">
        <f t="shared" si="240"/>
        <v>736.27162195178039</v>
      </c>
      <c r="DH44" s="380">
        <f t="shared" si="241"/>
        <v>1279.8361474744215</v>
      </c>
      <c r="DI44" s="380">
        <f t="shared" si="242"/>
        <v>687.18262804006361</v>
      </c>
      <c r="DJ44" s="380">
        <f t="shared" si="243"/>
        <v>780.22593655406251</v>
      </c>
      <c r="DK44" s="380">
        <f t="shared" si="244"/>
        <v>1050.511128908613</v>
      </c>
      <c r="DL44" s="380">
        <f t="shared" si="245"/>
        <v>154.66542980550062</v>
      </c>
      <c r="DM44" s="389">
        <f t="shared" si="246"/>
        <v>1275.6285321963778</v>
      </c>
      <c r="DN44" s="381">
        <f t="shared" si="366"/>
        <v>9857.7718399913974</v>
      </c>
      <c r="DO44" s="379">
        <f t="shared" si="247"/>
        <v>790.80365052457728</v>
      </c>
      <c r="DP44" s="380">
        <f t="shared" si="248"/>
        <v>722.16724786804775</v>
      </c>
      <c r="DQ44" s="380">
        <f t="shared" si="249"/>
        <v>710.74794535945728</v>
      </c>
      <c r="DR44" s="380">
        <f t="shared" si="250"/>
        <v>1015.3301700946716</v>
      </c>
      <c r="DS44" s="380">
        <f t="shared" si="251"/>
        <v>766.15361748127293</v>
      </c>
      <c r="DT44" s="380">
        <f t="shared" si="252"/>
        <v>606.09390807507532</v>
      </c>
      <c r="DU44" s="380">
        <f t="shared" si="253"/>
        <v>1160.6846023760606</v>
      </c>
      <c r="DV44" s="380">
        <f t="shared" si="254"/>
        <v>83.17371488861879</v>
      </c>
      <c r="DW44" s="380">
        <f t="shared" si="255"/>
        <v>143.43164303312179</v>
      </c>
      <c r="DX44" s="380">
        <f t="shared" si="256"/>
        <v>925.90003666010989</v>
      </c>
      <c r="DY44" s="380">
        <f t="shared" si="257"/>
        <v>270.02379366583841</v>
      </c>
      <c r="DZ44" s="389">
        <f t="shared" si="258"/>
        <v>565.85580191395138</v>
      </c>
      <c r="EA44" s="381">
        <f t="shared" si="367"/>
        <v>7760.3661319408038</v>
      </c>
      <c r="EB44" s="379">
        <f t="shared" si="259"/>
        <v>909.95302745823381</v>
      </c>
      <c r="EC44" s="380">
        <f t="shared" si="260"/>
        <v>799.96817496486028</v>
      </c>
      <c r="ED44" s="380">
        <f t="shared" si="261"/>
        <v>831.08297840057025</v>
      </c>
      <c r="EE44" s="380">
        <f t="shared" si="262"/>
        <v>1070.5444506980907</v>
      </c>
      <c r="EF44" s="380">
        <f t="shared" si="263"/>
        <v>825.6425560513544</v>
      </c>
      <c r="EG44" s="380">
        <f t="shared" si="264"/>
        <v>784.41905287636587</v>
      </c>
      <c r="EH44" s="380">
        <f t="shared" si="265"/>
        <v>1543.0076462600907</v>
      </c>
      <c r="EI44" s="380">
        <f t="shared" si="266"/>
        <v>2318.6013743726048</v>
      </c>
      <c r="EJ44" s="380">
        <f t="shared" si="267"/>
        <v>1029.6368351593928</v>
      </c>
      <c r="EK44" s="380">
        <f t="shared" si="268"/>
        <v>439.40396144843612</v>
      </c>
      <c r="EL44" s="380">
        <f t="shared" si="269"/>
        <v>945.60038488115003</v>
      </c>
      <c r="EM44" s="389">
        <f t="shared" si="270"/>
        <v>1616.9072665820324</v>
      </c>
      <c r="EN44" s="381">
        <f t="shared" si="368"/>
        <v>13114.767709153184</v>
      </c>
      <c r="EO44" s="379">
        <f t="shared" si="271"/>
        <v>1036.2962688228135</v>
      </c>
      <c r="EP44" s="380">
        <f t="shared" si="272"/>
        <v>887.80476196289578</v>
      </c>
      <c r="EQ44" s="380">
        <f t="shared" si="273"/>
        <v>876.47813428386064</v>
      </c>
      <c r="ER44" s="380">
        <f t="shared" si="274"/>
        <v>1121.6616527140677</v>
      </c>
      <c r="ES44" s="380">
        <f t="shared" si="275"/>
        <v>883.86613940665609</v>
      </c>
      <c r="ET44" s="380">
        <f t="shared" si="276"/>
        <v>969.01548176278482</v>
      </c>
      <c r="EU44" s="380">
        <f t="shared" si="277"/>
        <v>4807.5769173744884</v>
      </c>
      <c r="EV44" s="380">
        <f t="shared" si="278"/>
        <v>478.38343580735022</v>
      </c>
      <c r="EW44" s="380">
        <f t="shared" si="279"/>
        <v>418.54365196623485</v>
      </c>
      <c r="EX44" s="380">
        <f t="shared" si="280"/>
        <v>319.46599588371072</v>
      </c>
      <c r="EY44" s="380">
        <f t="shared" si="281"/>
        <v>121.40243401747074</v>
      </c>
      <c r="EZ44" s="389">
        <f t="shared" si="282"/>
        <v>1640.6903709148253</v>
      </c>
      <c r="FA44" s="381">
        <f t="shared" si="369"/>
        <v>13561.185244917158</v>
      </c>
      <c r="FB44" s="379">
        <f t="shared" si="283"/>
        <v>1093.9388855851985</v>
      </c>
      <c r="FC44" s="380">
        <f t="shared" si="284"/>
        <v>1149.0683231509945</v>
      </c>
      <c r="FD44" s="380">
        <f t="shared" si="285"/>
        <v>1127.2311374824512</v>
      </c>
      <c r="FE44" s="380">
        <f t="shared" si="286"/>
        <v>1275.612277927529</v>
      </c>
      <c r="FF44" s="380">
        <f t="shared" si="287"/>
        <v>3787.0295611857032</v>
      </c>
      <c r="FG44" s="380">
        <f t="shared" si="288"/>
        <v>3792.4781430216176</v>
      </c>
      <c r="FH44" s="380">
        <f t="shared" si="289"/>
        <v>914.74408338831859</v>
      </c>
      <c r="FI44" s="380">
        <f t="shared" si="290"/>
        <v>117.63199589958988</v>
      </c>
      <c r="FJ44" s="380">
        <f t="shared" si="291"/>
        <v>38.92819683998593</v>
      </c>
      <c r="FK44" s="380">
        <f t="shared" si="292"/>
        <v>1248.8672795324123</v>
      </c>
      <c r="FL44" s="380">
        <f t="shared" si="293"/>
        <v>1023.6779627595037</v>
      </c>
      <c r="FM44" s="389">
        <f t="shared" si="294"/>
        <v>3492.4803294669105</v>
      </c>
      <c r="FN44" s="381">
        <f t="shared" si="370"/>
        <v>19061.688176240215</v>
      </c>
      <c r="FO44" s="379">
        <f t="shared" si="295"/>
        <v>1085.0679563843664</v>
      </c>
      <c r="FP44" s="380">
        <f t="shared" si="296"/>
        <v>1071.6340651159387</v>
      </c>
      <c r="FQ44" s="380">
        <f t="shared" si="297"/>
        <v>1079.4376026216114</v>
      </c>
      <c r="FR44" s="380">
        <f t="shared" si="298"/>
        <v>1152.8652732781095</v>
      </c>
      <c r="FS44" s="380">
        <f t="shared" si="299"/>
        <v>1100.3232035207709</v>
      </c>
      <c r="FT44" s="380">
        <f t="shared" si="300"/>
        <v>1078.6802128109359</v>
      </c>
      <c r="FU44" s="380">
        <f t="shared" si="301"/>
        <v>2130.5251519613785</v>
      </c>
      <c r="FV44" s="380">
        <f t="shared" si="302"/>
        <v>1098.5808521232148</v>
      </c>
      <c r="FW44" s="380">
        <f t="shared" si="303"/>
        <v>1068.8932664637623</v>
      </c>
      <c r="FX44" s="380">
        <f t="shared" si="304"/>
        <v>1249.2071570041564</v>
      </c>
      <c r="FY44" s="380">
        <f t="shared" si="305"/>
        <v>1117.4246055487556</v>
      </c>
      <c r="FZ44" s="389">
        <f t="shared" si="306"/>
        <v>2371.9388558828441</v>
      </c>
      <c r="GA44" s="381">
        <f t="shared" si="371"/>
        <v>15604.578202715842</v>
      </c>
      <c r="GB44" s="379">
        <f t="shared" si="307"/>
        <v>1051.5769951704124</v>
      </c>
      <c r="GC44" s="380">
        <f t="shared" si="308"/>
        <v>874.75879861408271</v>
      </c>
      <c r="GD44" s="380">
        <f t="shared" si="309"/>
        <v>1135.761730664746</v>
      </c>
      <c r="GE44" s="380">
        <f t="shared" si="310"/>
        <v>1278.2249943670256</v>
      </c>
      <c r="GF44" s="380">
        <f t="shared" si="311"/>
        <v>1163.9738239317337</v>
      </c>
      <c r="GG44" s="380">
        <f t="shared" si="312"/>
        <v>1036.6619066418973</v>
      </c>
      <c r="GH44" s="380">
        <f t="shared" si="313"/>
        <v>2019.5202121063833</v>
      </c>
      <c r="GI44" s="380">
        <f t="shared" si="314"/>
        <v>1128.3821346108082</v>
      </c>
      <c r="GJ44" s="380">
        <f t="shared" si="315"/>
        <v>1151.2514302959746</v>
      </c>
      <c r="GK44" s="380">
        <f t="shared" si="316"/>
        <v>1309.3390755008152</v>
      </c>
      <c r="GL44" s="380">
        <f t="shared" si="317"/>
        <v>1211.8545105386745</v>
      </c>
      <c r="GM44" s="389">
        <f t="shared" si="318"/>
        <v>2777.0656550302911</v>
      </c>
      <c r="GN44" s="381">
        <f t="shared" si="372"/>
        <v>16138.371267472845</v>
      </c>
      <c r="GO44" s="379">
        <f t="shared" si="319"/>
        <v>1278.239671009585</v>
      </c>
      <c r="GP44" s="380">
        <f t="shared" si="320"/>
        <v>1038.1267951824027</v>
      </c>
      <c r="GQ44" s="380">
        <f t="shared" si="321"/>
        <v>1285.9727583786914</v>
      </c>
      <c r="GR44" s="380">
        <f t="shared" si="322"/>
        <v>1304.6750160984461</v>
      </c>
      <c r="GS44" s="380">
        <f t="shared" si="323"/>
        <v>1296.5029796417032</v>
      </c>
      <c r="GT44" s="380">
        <f t="shared" si="324"/>
        <v>1430.4186851407349</v>
      </c>
      <c r="GU44" s="380">
        <f t="shared" si="325"/>
        <v>2023.8409009848879</v>
      </c>
      <c r="GV44" s="380">
        <f t="shared" si="326"/>
        <v>1262.3184897906162</v>
      </c>
      <c r="GW44" s="380">
        <f t="shared" si="327"/>
        <v>1301.3455349802159</v>
      </c>
      <c r="GX44" s="380">
        <f>+GX10/$GX$37</f>
        <v>1600.2082381093537</v>
      </c>
      <c r="GY44" s="380">
        <f t="shared" si="328"/>
        <v>1482.0785151107352</v>
      </c>
      <c r="GZ44" s="389">
        <f t="shared" si="329"/>
        <v>2322.563212982875</v>
      </c>
      <c r="HA44" s="381">
        <f t="shared" si="373"/>
        <v>17626.290797410245</v>
      </c>
      <c r="HB44" s="379">
        <f t="shared" si="330"/>
        <v>1325.9372064326731</v>
      </c>
      <c r="HC44" s="380">
        <f t="shared" si="331"/>
        <v>1339.5096963931842</v>
      </c>
      <c r="HD44" s="380">
        <f t="shared" si="332"/>
        <v>1471.3438429727471</v>
      </c>
      <c r="HE44" s="380">
        <f t="shared" si="333"/>
        <v>1438.9805257907522</v>
      </c>
      <c r="HF44" s="380">
        <f t="shared" si="334"/>
        <v>1453.7530488052337</v>
      </c>
      <c r="HG44" s="380">
        <f t="shared" si="335"/>
        <v>1430.6987765713013</v>
      </c>
      <c r="HH44" s="380">
        <f t="shared" si="336"/>
        <v>2481.3630642372541</v>
      </c>
      <c r="HI44" s="380">
        <f t="shared" si="337"/>
        <v>1479.6393876980303</v>
      </c>
      <c r="HJ44" s="380">
        <f t="shared" si="338"/>
        <v>1479.8434114608801</v>
      </c>
      <c r="HK44" s="380">
        <f t="shared" si="339"/>
        <v>1708.4469339785271</v>
      </c>
      <c r="HL44" s="380">
        <f t="shared" si="340"/>
        <v>1551.9912294499868</v>
      </c>
      <c r="HM44" s="389">
        <f t="shared" si="341"/>
        <v>2734.0898262103524</v>
      </c>
      <c r="HN44" s="381">
        <f t="shared" si="374"/>
        <v>19895.59695000092</v>
      </c>
      <c r="HO44" s="379">
        <f t="shared" si="342"/>
        <v>1789.8866506826594</v>
      </c>
      <c r="HP44" s="380">
        <f t="shared" si="343"/>
        <v>1746.8668999805473</v>
      </c>
      <c r="HQ44" s="380">
        <f t="shared" si="344"/>
        <v>1811.4450258770892</v>
      </c>
      <c r="HR44" s="380">
        <f t="shared" si="345"/>
        <v>1808.97801693051</v>
      </c>
      <c r="HS44" s="380">
        <f t="shared" si="346"/>
        <v>1831.0471042056506</v>
      </c>
      <c r="HT44" s="380">
        <f t="shared" si="347"/>
        <v>1852.3829826493293</v>
      </c>
      <c r="HU44" s="380">
        <f t="shared" si="348"/>
        <v>2973.2976577916565</v>
      </c>
      <c r="HV44" s="380">
        <f t="shared" si="349"/>
        <v>1739.284156726472</v>
      </c>
      <c r="HW44" s="380">
        <f t="shared" si="350"/>
        <v>1814.1479974200045</v>
      </c>
      <c r="HX44" s="380">
        <f t="shared" si="351"/>
        <v>1754.1063081956452</v>
      </c>
      <c r="HY44" s="380">
        <f t="shared" si="352"/>
        <v>1817.2787575972648</v>
      </c>
      <c r="HZ44" s="389">
        <f t="shared" si="353"/>
        <v>2935.1377017762752</v>
      </c>
      <c r="IA44" s="379">
        <f>SUM(HO44:HZ44)</f>
        <v>23873.859259833102</v>
      </c>
      <c r="IB44" s="1344">
        <f t="shared" si="354"/>
        <v>1779.77670944278</v>
      </c>
      <c r="IC44" s="120">
        <f t="shared" si="376"/>
        <v>1951.600978134559</v>
      </c>
      <c r="ID44" s="120">
        <f t="shared" si="377"/>
        <v>2018.7718374973629</v>
      </c>
      <c r="IE44" s="120">
        <f t="shared" si="378"/>
        <v>2015.2263550054863</v>
      </c>
      <c r="IF44" s="120">
        <f t="shared" si="379"/>
        <v>2007.2953858495137</v>
      </c>
      <c r="IG44" s="120">
        <f t="shared" si="380"/>
        <v>1956.0287162662905</v>
      </c>
      <c r="IH44" s="120">
        <f t="shared" si="381"/>
        <v>3178.012987999392</v>
      </c>
      <c r="II44" s="120">
        <f t="shared" si="382"/>
        <v>1948.4800000741052</v>
      </c>
      <c r="IM44" s="1345"/>
      <c r="IN44" s="1346">
        <f t="shared" si="383"/>
        <v>16855.192970269487</v>
      </c>
      <c r="IP44" s="371">
        <f t="shared" si="355"/>
        <v>12.027697862858888</v>
      </c>
      <c r="IQ44" s="348">
        <f t="shared" si="384"/>
        <v>8.3713026165484159</v>
      </c>
      <c r="IR44" s="320">
        <f t="shared" si="356"/>
        <v>15553.188494843913</v>
      </c>
      <c r="IS44" s="344">
        <f t="shared" si="357"/>
        <v>16855.192970269487</v>
      </c>
      <c r="IU44" s="320">
        <f t="shared" si="385"/>
        <v>209.19584334763317</v>
      </c>
    </row>
    <row r="45" spans="1:264" ht="15" customHeight="1" x14ac:dyDescent="0.2">
      <c r="A45" s="1554" t="s">
        <v>434</v>
      </c>
      <c r="B45" s="379">
        <f t="shared" si="139"/>
        <v>1852.609313437943</v>
      </c>
      <c r="C45" s="380">
        <f t="shared" si="140"/>
        <v>2587.5267491880054</v>
      </c>
      <c r="D45" s="380">
        <f t="shared" si="141"/>
        <v>2626.1636053181778</v>
      </c>
      <c r="E45" s="380">
        <f t="shared" si="142"/>
        <v>2651.9412022008646</v>
      </c>
      <c r="F45" s="380">
        <f t="shared" si="143"/>
        <v>4647.4224736424658</v>
      </c>
      <c r="G45" s="380">
        <f t="shared" si="144"/>
        <v>3065.4471565928939</v>
      </c>
      <c r="H45" s="380">
        <f t="shared" si="145"/>
        <v>3025.7607843740534</v>
      </c>
      <c r="I45" s="380">
        <f t="shared" si="146"/>
        <v>3131.668996013665</v>
      </c>
      <c r="J45" s="380">
        <f t="shared" si="147"/>
        <v>3199.6153190073951</v>
      </c>
      <c r="K45" s="380">
        <f t="shared" si="148"/>
        <v>4229.1780769694324</v>
      </c>
      <c r="L45" s="380">
        <f t="shared" si="149"/>
        <v>6602.8979084800594</v>
      </c>
      <c r="M45" s="389">
        <f t="shared" si="150"/>
        <v>4417.1035508442637</v>
      </c>
      <c r="N45" s="381">
        <f t="shared" si="358"/>
        <v>42037.335136069218</v>
      </c>
      <c r="O45" s="379">
        <f t="shared" si="151"/>
        <v>2748.5846817981874</v>
      </c>
      <c r="P45" s="380">
        <f t="shared" si="152"/>
        <v>2974.8163387830482</v>
      </c>
      <c r="Q45" s="380">
        <f t="shared" si="153"/>
        <v>3096.9640448358364</v>
      </c>
      <c r="R45" s="380">
        <f t="shared" si="154"/>
        <v>2997.4375780708074</v>
      </c>
      <c r="S45" s="380">
        <f t="shared" si="155"/>
        <v>3255.1657127518229</v>
      </c>
      <c r="T45" s="380">
        <f t="shared" si="156"/>
        <v>2604.3754123507447</v>
      </c>
      <c r="U45" s="380">
        <f t="shared" si="157"/>
        <v>3199.5181843755759</v>
      </c>
      <c r="V45" s="380">
        <f t="shared" si="158"/>
        <v>3076.6036393434174</v>
      </c>
      <c r="W45" s="380">
        <f t="shared" si="159"/>
        <v>3623.281433892726</v>
      </c>
      <c r="X45" s="380">
        <f t="shared" si="160"/>
        <v>4503.2209112946766</v>
      </c>
      <c r="Y45" s="380">
        <f t="shared" si="161"/>
        <v>4133.6485307415796</v>
      </c>
      <c r="Z45" s="389">
        <f t="shared" si="162"/>
        <v>4592.8669826952437</v>
      </c>
      <c r="AA45" s="381">
        <f t="shared" si="359"/>
        <v>40806.483450933672</v>
      </c>
      <c r="AB45" s="379">
        <f t="shared" si="163"/>
        <v>12047.308596089992</v>
      </c>
      <c r="AC45" s="380">
        <f t="shared" si="164"/>
        <v>5501.6770578741589</v>
      </c>
      <c r="AD45" s="380">
        <f t="shared" si="165"/>
        <v>3880.8749519679254</v>
      </c>
      <c r="AE45" s="380">
        <f t="shared" si="166"/>
        <v>13752.116991554829</v>
      </c>
      <c r="AF45" s="380">
        <f t="shared" si="167"/>
        <v>5422.5800272373945</v>
      </c>
      <c r="AG45" s="380">
        <f t="shared" si="168"/>
        <v>4979.4800125533175</v>
      </c>
      <c r="AH45" s="380">
        <f t="shared" si="169"/>
        <v>13590.832818296039</v>
      </c>
      <c r="AI45" s="380">
        <f t="shared" si="170"/>
        <v>3341.377195405099</v>
      </c>
      <c r="AJ45" s="380">
        <f t="shared" si="171"/>
        <v>3555.4364017185694</v>
      </c>
      <c r="AK45" s="380">
        <f t="shared" si="172"/>
        <v>15736.070524534751</v>
      </c>
      <c r="AL45" s="380">
        <f t="shared" si="173"/>
        <v>6135.3736877587335</v>
      </c>
      <c r="AM45" s="389">
        <f t="shared" si="174"/>
        <v>6348.0827093414136</v>
      </c>
      <c r="AN45" s="381">
        <f t="shared" si="360"/>
        <v>94291.210974332222</v>
      </c>
      <c r="AO45" s="379">
        <f t="shared" si="175"/>
        <v>10157.750754832616</v>
      </c>
      <c r="AP45" s="380">
        <f t="shared" si="176"/>
        <v>7957.054385170547</v>
      </c>
      <c r="AQ45" s="380">
        <f t="shared" si="177"/>
        <v>5761.6132260532995</v>
      </c>
      <c r="AR45" s="380">
        <f t="shared" si="178"/>
        <v>2689.413424898029</v>
      </c>
      <c r="AS45" s="380">
        <f t="shared" si="179"/>
        <v>12775.949756079066</v>
      </c>
      <c r="AT45" s="380">
        <f t="shared" si="180"/>
        <v>4805.967181812709</v>
      </c>
      <c r="AU45" s="380">
        <f t="shared" si="181"/>
        <v>5415.2306789598106</v>
      </c>
      <c r="AV45" s="380">
        <f t="shared" si="182"/>
        <v>13253.371589624683</v>
      </c>
      <c r="AW45" s="380">
        <f t="shared" si="183"/>
        <v>4523.1490788605988</v>
      </c>
      <c r="AX45" s="380">
        <f t="shared" si="184"/>
        <v>10687.572511706448</v>
      </c>
      <c r="AY45" s="380">
        <f t="shared" si="185"/>
        <v>6391.9699666517963</v>
      </c>
      <c r="AZ45" s="389">
        <f t="shared" si="186"/>
        <v>9943.9362863598471</v>
      </c>
      <c r="BA45" s="381">
        <f t="shared" si="361"/>
        <v>94362.978841009448</v>
      </c>
      <c r="BB45" s="379">
        <f t="shared" si="187"/>
        <v>7984.5830001086051</v>
      </c>
      <c r="BC45" s="380">
        <f t="shared" si="188"/>
        <v>2632.4916688382659</v>
      </c>
      <c r="BD45" s="380">
        <f t="shared" si="189"/>
        <v>8390.1883049935714</v>
      </c>
      <c r="BE45" s="380">
        <f t="shared" si="190"/>
        <v>930.42691110523742</v>
      </c>
      <c r="BF45" s="380">
        <f t="shared" si="191"/>
        <v>11626.108482620923</v>
      </c>
      <c r="BG45" s="380">
        <f t="shared" si="192"/>
        <v>5596.9286268891319</v>
      </c>
      <c r="BH45" s="380">
        <f t="shared" si="193"/>
        <v>3234.5694204541392</v>
      </c>
      <c r="BI45" s="380">
        <f t="shared" si="194"/>
        <v>11322.771022133591</v>
      </c>
      <c r="BJ45" s="380">
        <f t="shared" si="195"/>
        <v>5254.5770576256073</v>
      </c>
      <c r="BK45" s="380">
        <f t="shared" si="196"/>
        <v>12626.50844713844</v>
      </c>
      <c r="BL45" s="380">
        <f t="shared" si="197"/>
        <v>6255.0626981592695</v>
      </c>
      <c r="BM45" s="389">
        <f t="shared" si="198"/>
        <v>9374.1438604558771</v>
      </c>
      <c r="BN45" s="381">
        <f t="shared" si="362"/>
        <v>85228.359500522638</v>
      </c>
      <c r="BO45" s="379">
        <f t="shared" si="199"/>
        <v>1837.5177283348596</v>
      </c>
      <c r="BP45" s="380">
        <f t="shared" si="200"/>
        <v>10507.769320335081</v>
      </c>
      <c r="BQ45" s="380">
        <f t="shared" si="201"/>
        <v>3694.8592230058462</v>
      </c>
      <c r="BR45" s="380">
        <f t="shared" si="202"/>
        <v>12132.396992169926</v>
      </c>
      <c r="BS45" s="380">
        <f t="shared" si="203"/>
        <v>5264.8801150361387</v>
      </c>
      <c r="BT45" s="380">
        <f t="shared" si="204"/>
        <v>3878.803226647588</v>
      </c>
      <c r="BU45" s="380">
        <f t="shared" si="205"/>
        <v>4933.0001639568873</v>
      </c>
      <c r="BV45" s="380">
        <f t="shared" si="206"/>
        <v>18139.915256092325</v>
      </c>
      <c r="BW45" s="380">
        <f t="shared" si="207"/>
        <v>14183.329359199322</v>
      </c>
      <c r="BX45" s="380">
        <f t="shared" si="208"/>
        <v>12200.778123322863</v>
      </c>
      <c r="BY45" s="380">
        <f t="shared" si="209"/>
        <v>19000.846178776483</v>
      </c>
      <c r="BZ45" s="389">
        <f t="shared" si="210"/>
        <v>9935.7009302281494</v>
      </c>
      <c r="CA45" s="381">
        <f t="shared" si="363"/>
        <v>115709.79661710547</v>
      </c>
      <c r="CB45" s="379">
        <f t="shared" si="211"/>
        <v>2691.6675333745252</v>
      </c>
      <c r="CC45" s="380">
        <f t="shared" si="212"/>
        <v>11214.550017033038</v>
      </c>
      <c r="CD45" s="380">
        <f t="shared" si="213"/>
        <v>6488.2209822226832</v>
      </c>
      <c r="CE45" s="380">
        <f t="shared" si="214"/>
        <v>12812.728203528688</v>
      </c>
      <c r="CF45" s="380">
        <f t="shared" si="215"/>
        <v>5827.2481233025783</v>
      </c>
      <c r="CG45" s="380">
        <f t="shared" si="216"/>
        <v>5749.5865800471774</v>
      </c>
      <c r="CH45" s="380">
        <f t="shared" si="217"/>
        <v>12678.187279954116</v>
      </c>
      <c r="CI45" s="380">
        <f t="shared" si="218"/>
        <v>5147.1331030100528</v>
      </c>
      <c r="CJ45" s="380">
        <f t="shared" si="219"/>
        <v>5380.90941733614</v>
      </c>
      <c r="CK45" s="380">
        <f t="shared" si="220"/>
        <v>5722.1630552449187</v>
      </c>
      <c r="CL45" s="380">
        <f t="shared" si="221"/>
        <v>6472.4518337707668</v>
      </c>
      <c r="CM45" s="389">
        <f t="shared" si="222"/>
        <v>12197.250324308248</v>
      </c>
      <c r="CN45" s="381">
        <f t="shared" si="364"/>
        <v>92382.096453132937</v>
      </c>
      <c r="CO45" s="379">
        <f t="shared" si="223"/>
        <v>9673.4965971499041</v>
      </c>
      <c r="CP45" s="380">
        <f t="shared" si="224"/>
        <v>5556.847846823257</v>
      </c>
      <c r="CQ45" s="380">
        <f t="shared" si="225"/>
        <v>8328.3906998684088</v>
      </c>
      <c r="CR45" s="380">
        <f t="shared" si="226"/>
        <v>5273.5213977071235</v>
      </c>
      <c r="CS45" s="380">
        <f t="shared" si="227"/>
        <v>20978.157124035453</v>
      </c>
      <c r="CT45" s="380">
        <f t="shared" si="228"/>
        <v>8208.8824866552768</v>
      </c>
      <c r="CU45" s="380">
        <f t="shared" si="229"/>
        <v>25101.028698973401</v>
      </c>
      <c r="CV45" s="380">
        <f t="shared" si="230"/>
        <v>18281.848941815973</v>
      </c>
      <c r="CW45" s="380">
        <f t="shared" si="231"/>
        <v>7420.1589371094642</v>
      </c>
      <c r="CX45" s="380">
        <f t="shared" si="232"/>
        <v>17305.208322037488</v>
      </c>
      <c r="CY45" s="380">
        <f t="shared" si="233"/>
        <v>10346.729897334742</v>
      </c>
      <c r="CZ45" s="389">
        <f t="shared" si="234"/>
        <v>22451.475975889669</v>
      </c>
      <c r="DA45" s="381">
        <f t="shared" si="365"/>
        <v>158925.74692540016</v>
      </c>
      <c r="DB45" s="379">
        <f t="shared" si="235"/>
        <v>9714.6481060813167</v>
      </c>
      <c r="DC45" s="380">
        <f t="shared" si="236"/>
        <v>7582.1033129340212</v>
      </c>
      <c r="DD45" s="380">
        <f t="shared" si="237"/>
        <v>7702.4130663789765</v>
      </c>
      <c r="DE45" s="380">
        <f t="shared" si="238"/>
        <v>6249.2904942214964</v>
      </c>
      <c r="DF45" s="380">
        <f t="shared" si="239"/>
        <v>14621.800313702368</v>
      </c>
      <c r="DG45" s="380">
        <f t="shared" si="240"/>
        <v>7935.5370273127819</v>
      </c>
      <c r="DH45" s="380">
        <f t="shared" si="241"/>
        <v>6978.2249340252683</v>
      </c>
      <c r="DI45" s="380">
        <f t="shared" si="242"/>
        <v>16756.456483306309</v>
      </c>
      <c r="DJ45" s="380">
        <f t="shared" si="243"/>
        <v>9353.8534229073612</v>
      </c>
      <c r="DK45" s="380">
        <f t="shared" si="244"/>
        <v>13528.730794475301</v>
      </c>
      <c r="DL45" s="380">
        <f t="shared" si="245"/>
        <v>6108.1849600437754</v>
      </c>
      <c r="DM45" s="389">
        <f t="shared" si="246"/>
        <v>35756.320729795487</v>
      </c>
      <c r="DN45" s="381">
        <f t="shared" si="366"/>
        <v>142287.56364518445</v>
      </c>
      <c r="DO45" s="379">
        <f t="shared" si="247"/>
        <v>3069.1927855843269</v>
      </c>
      <c r="DP45" s="380">
        <f t="shared" si="248"/>
        <v>5249.8798119663115</v>
      </c>
      <c r="DQ45" s="380">
        <f t="shared" si="249"/>
        <v>9316.4639860941988</v>
      </c>
      <c r="DR45" s="380">
        <f t="shared" si="250"/>
        <v>13372.588649610912</v>
      </c>
      <c r="DS45" s="380">
        <f t="shared" si="251"/>
        <v>17848.996340152786</v>
      </c>
      <c r="DT45" s="380">
        <f t="shared" si="252"/>
        <v>8484.5914506309182</v>
      </c>
      <c r="DU45" s="380">
        <f t="shared" si="253"/>
        <v>18503.102672455185</v>
      </c>
      <c r="DV45" s="380">
        <f t="shared" si="254"/>
        <v>10213.875591279091</v>
      </c>
      <c r="DW45" s="380">
        <f t="shared" si="255"/>
        <v>7335.8113829290132</v>
      </c>
      <c r="DX45" s="380">
        <f t="shared" si="256"/>
        <v>15996.814563339376</v>
      </c>
      <c r="DY45" s="380">
        <f t="shared" si="257"/>
        <v>8471.8160290774013</v>
      </c>
      <c r="DZ45" s="389">
        <f t="shared" si="258"/>
        <v>20158.162421049237</v>
      </c>
      <c r="EA45" s="381">
        <f t="shared" si="367"/>
        <v>138021.29568416876</v>
      </c>
      <c r="EB45" s="379">
        <f t="shared" si="259"/>
        <v>10824.40958928956</v>
      </c>
      <c r="EC45" s="380">
        <f t="shared" si="260"/>
        <v>10597.783057568589</v>
      </c>
      <c r="ED45" s="380">
        <f t="shared" si="261"/>
        <v>7227.492040879938</v>
      </c>
      <c r="EE45" s="380">
        <f t="shared" si="262"/>
        <v>18026.07935366638</v>
      </c>
      <c r="EF45" s="380">
        <f t="shared" si="263"/>
        <v>7335.6266266850407</v>
      </c>
      <c r="EG45" s="380">
        <f t="shared" si="264"/>
        <v>7096.8531038414485</v>
      </c>
      <c r="EH45" s="380">
        <f t="shared" si="265"/>
        <v>20393.701888208296</v>
      </c>
      <c r="EI45" s="380">
        <f t="shared" si="266"/>
        <v>12743.084236568651</v>
      </c>
      <c r="EJ45" s="380">
        <f t="shared" si="267"/>
        <v>7749.1856170214824</v>
      </c>
      <c r="EK45" s="380">
        <f t="shared" si="268"/>
        <v>20436.175868846589</v>
      </c>
      <c r="EL45" s="380">
        <f t="shared" si="269"/>
        <v>8692.0322374090156</v>
      </c>
      <c r="EM45" s="389">
        <f t="shared" si="270"/>
        <v>62982.488592136688</v>
      </c>
      <c r="EN45" s="381">
        <f t="shared" si="368"/>
        <v>194104.91221212168</v>
      </c>
      <c r="EO45" s="379">
        <f t="shared" si="271"/>
        <v>16319.903825338866</v>
      </c>
      <c r="EP45" s="380">
        <f t="shared" si="272"/>
        <v>6550.4643182416994</v>
      </c>
      <c r="EQ45" s="380">
        <f t="shared" si="273"/>
        <v>8742.4150746591131</v>
      </c>
      <c r="ER45" s="380">
        <f t="shared" si="274"/>
        <v>18463.471570701902</v>
      </c>
      <c r="ES45" s="380">
        <f t="shared" si="275"/>
        <v>10007.39849566181</v>
      </c>
      <c r="ET45" s="380">
        <f t="shared" si="276"/>
        <v>8271.4882669895269</v>
      </c>
      <c r="EU45" s="380">
        <f t="shared" si="277"/>
        <v>21127.595984068175</v>
      </c>
      <c r="EV45" s="380">
        <f t="shared" si="278"/>
        <v>9779.7427683581118</v>
      </c>
      <c r="EW45" s="380">
        <f t="shared" si="279"/>
        <v>8126.1431963145396</v>
      </c>
      <c r="EX45" s="380">
        <f t="shared" si="280"/>
        <v>23719.655703070119</v>
      </c>
      <c r="EY45" s="380">
        <f t="shared" si="281"/>
        <v>18669.613167303844</v>
      </c>
      <c r="EZ45" s="389">
        <f t="shared" si="282"/>
        <v>15651.632318992946</v>
      </c>
      <c r="FA45" s="381">
        <f t="shared" si="369"/>
        <v>165429.52468970066</v>
      </c>
      <c r="FB45" s="379">
        <f t="shared" si="283"/>
        <v>16935.640837181098</v>
      </c>
      <c r="FC45" s="380">
        <f t="shared" si="284"/>
        <v>8279.7869611054521</v>
      </c>
      <c r="FD45" s="380">
        <f t="shared" si="285"/>
        <v>5704.8055739824422</v>
      </c>
      <c r="FE45" s="380">
        <f t="shared" si="286"/>
        <v>18965.474157961231</v>
      </c>
      <c r="FF45" s="380">
        <f t="shared" si="287"/>
        <v>5204.5134254935992</v>
      </c>
      <c r="FG45" s="380">
        <f t="shared" si="288"/>
        <v>6317.3654192026761</v>
      </c>
      <c r="FH45" s="380">
        <f t="shared" si="289"/>
        <v>21813.128142336827</v>
      </c>
      <c r="FI45" s="380">
        <f t="shared" si="290"/>
        <v>16466.427705083868</v>
      </c>
      <c r="FJ45" s="380">
        <f t="shared" si="291"/>
        <v>6923.7554309434618</v>
      </c>
      <c r="FK45" s="380">
        <f t="shared" si="292"/>
        <v>22175.075872112971</v>
      </c>
      <c r="FL45" s="380">
        <f t="shared" si="293"/>
        <v>9537.7984572702007</v>
      </c>
      <c r="FM45" s="389">
        <f t="shared" si="294"/>
        <v>18147.45465130658</v>
      </c>
      <c r="FN45" s="381">
        <f t="shared" si="370"/>
        <v>156471.2266339804</v>
      </c>
      <c r="FO45" s="379">
        <f t="shared" si="295"/>
        <v>15501.64476074336</v>
      </c>
      <c r="FP45" s="380">
        <f t="shared" si="296"/>
        <v>5638.2258274834176</v>
      </c>
      <c r="FQ45" s="380">
        <f t="shared" si="297"/>
        <v>11081.467614266126</v>
      </c>
      <c r="FR45" s="380">
        <f t="shared" si="298"/>
        <v>20309.453431287464</v>
      </c>
      <c r="FS45" s="380">
        <f t="shared" si="299"/>
        <v>14415.102466525606</v>
      </c>
      <c r="FT45" s="380">
        <f t="shared" si="300"/>
        <v>12212.414608996271</v>
      </c>
      <c r="FU45" s="380">
        <f t="shared" si="301"/>
        <v>22283.003334256962</v>
      </c>
      <c r="FV45" s="380">
        <f t="shared" si="302"/>
        <v>8759.9768540596069</v>
      </c>
      <c r="FW45" s="380">
        <f t="shared" si="303"/>
        <v>12798.163457598901</v>
      </c>
      <c r="FX45" s="380">
        <f t="shared" si="304"/>
        <v>8088.8744422541859</v>
      </c>
      <c r="FY45" s="380">
        <f t="shared" si="305"/>
        <v>21587.254635158239</v>
      </c>
      <c r="FZ45" s="389">
        <f t="shared" si="306"/>
        <v>148822.89520212318</v>
      </c>
      <c r="GA45" s="381">
        <f t="shared" si="371"/>
        <v>301498.47663475329</v>
      </c>
      <c r="GB45" s="379">
        <f t="shared" si="307"/>
        <v>15732.841751273039</v>
      </c>
      <c r="GC45" s="380">
        <f t="shared" si="308"/>
        <v>6387.1378267991931</v>
      </c>
      <c r="GD45" s="380">
        <f t="shared" si="309"/>
        <v>9156.8831865011543</v>
      </c>
      <c r="GE45" s="380">
        <f t="shared" si="310"/>
        <v>7359.1011811616145</v>
      </c>
      <c r="GF45" s="380">
        <f t="shared" si="311"/>
        <v>18310.179839979759</v>
      </c>
      <c r="GG45" s="380">
        <f t="shared" si="312"/>
        <v>6692.1810178326368</v>
      </c>
      <c r="GH45" s="380">
        <f t="shared" si="313"/>
        <v>22878.010961419721</v>
      </c>
      <c r="GI45" s="380">
        <f t="shared" si="314"/>
        <v>75105.042740187579</v>
      </c>
      <c r="GJ45" s="380">
        <f t="shared" si="315"/>
        <v>9403.7805142721591</v>
      </c>
      <c r="GK45" s="380">
        <f t="shared" si="316"/>
        <v>49222.686510167878</v>
      </c>
      <c r="GL45" s="380">
        <f t="shared" si="317"/>
        <v>21486.109325793328</v>
      </c>
      <c r="GM45" s="389">
        <f t="shared" si="318"/>
        <v>92892.581454229716</v>
      </c>
      <c r="GN45" s="381">
        <f t="shared" si="372"/>
        <v>334626.5363096178</v>
      </c>
      <c r="GO45" s="379">
        <f t="shared" si="319"/>
        <v>6442.2575154601536</v>
      </c>
      <c r="GP45" s="380">
        <f t="shared" si="320"/>
        <v>16002.601657868085</v>
      </c>
      <c r="GQ45" s="380">
        <f t="shared" si="321"/>
        <v>7929.6837055980432</v>
      </c>
      <c r="GR45" s="380">
        <f t="shared" si="322"/>
        <v>6568.78007003927</v>
      </c>
      <c r="GS45" s="380">
        <f t="shared" si="323"/>
        <v>20995.556648223373</v>
      </c>
      <c r="GT45" s="380">
        <f t="shared" si="324"/>
        <v>10207.440196010297</v>
      </c>
      <c r="GU45" s="380">
        <f t="shared" si="325"/>
        <v>9097.282016655312</v>
      </c>
      <c r="GV45" s="380">
        <f t="shared" si="326"/>
        <v>22200.179484409618</v>
      </c>
      <c r="GW45" s="380">
        <f t="shared" si="327"/>
        <v>8438.2523468992731</v>
      </c>
      <c r="GX45" s="380">
        <f>+GX11/$GX$37</f>
        <v>14584.62454847847</v>
      </c>
      <c r="GY45" s="380">
        <f t="shared" si="328"/>
        <v>41136.115945267666</v>
      </c>
      <c r="GZ45" s="389">
        <f t="shared" si="329"/>
        <v>14208.823070448581</v>
      </c>
      <c r="HA45" s="381">
        <f t="shared" si="373"/>
        <v>177811.59720535815</v>
      </c>
      <c r="HB45" s="379">
        <f t="shared" si="330"/>
        <v>2516.8885374682054</v>
      </c>
      <c r="HC45" s="380">
        <f t="shared" si="331"/>
        <v>78391.052655094565</v>
      </c>
      <c r="HD45" s="380">
        <f t="shared" si="332"/>
        <v>4437.5820020146039</v>
      </c>
      <c r="HE45" s="380">
        <f t="shared" si="333"/>
        <v>9072.0288820905462</v>
      </c>
      <c r="HF45" s="380">
        <f t="shared" si="334"/>
        <v>15584.187762279047</v>
      </c>
      <c r="HG45" s="380">
        <f t="shared" si="335"/>
        <v>5639.7910220309705</v>
      </c>
      <c r="HH45" s="380">
        <f t="shared" si="336"/>
        <v>5359.9680169995254</v>
      </c>
      <c r="HI45" s="380">
        <f t="shared" si="337"/>
        <v>48238.364185891405</v>
      </c>
      <c r="HJ45" s="380">
        <f t="shared" si="338"/>
        <v>10044.031680433087</v>
      </c>
      <c r="HK45" s="380">
        <f t="shared" si="339"/>
        <v>8633.4787230507281</v>
      </c>
      <c r="HL45" s="380">
        <f t="shared" si="340"/>
        <v>26068.419169691293</v>
      </c>
      <c r="HM45" s="389">
        <f t="shared" si="341"/>
        <v>38168.877218296628</v>
      </c>
      <c r="HN45" s="381">
        <f t="shared" si="374"/>
        <v>252154.66985534062</v>
      </c>
      <c r="HO45" s="379">
        <f t="shared" si="342"/>
        <v>3846.4949297238404</v>
      </c>
      <c r="HP45" s="380">
        <f t="shared" si="343"/>
        <v>28174.228384925875</v>
      </c>
      <c r="HQ45" s="380">
        <f t="shared" si="344"/>
        <v>14058.0756546751</v>
      </c>
      <c r="HR45" s="380">
        <f t="shared" si="345"/>
        <v>7192.8674413277204</v>
      </c>
      <c r="HS45" s="380">
        <f t="shared" si="346"/>
        <v>11687.006019454944</v>
      </c>
      <c r="HT45" s="380">
        <f t="shared" si="347"/>
        <v>16560.050189335132</v>
      </c>
      <c r="HU45" s="380">
        <f t="shared" si="348"/>
        <v>7961.4391392015668</v>
      </c>
      <c r="HV45" s="380">
        <f t="shared" si="349"/>
        <v>20496.73540660051</v>
      </c>
      <c r="HW45" s="380">
        <f t="shared" si="350"/>
        <v>9698.0776613903345</v>
      </c>
      <c r="HX45" s="380">
        <f t="shared" si="351"/>
        <v>8760.0378319556439</v>
      </c>
      <c r="HY45" s="380">
        <f t="shared" si="352"/>
        <v>20360.804440766438</v>
      </c>
      <c r="HZ45" s="389">
        <f t="shared" si="353"/>
        <v>14955.277849309343</v>
      </c>
      <c r="IA45" s="379">
        <f>SUM(HO45:HZ45)</f>
        <v>163751.09494866646</v>
      </c>
      <c r="IB45" s="1344">
        <f t="shared" si="354"/>
        <v>2171.8004332094474</v>
      </c>
      <c r="IC45" s="120">
        <f t="shared" si="376"/>
        <v>14424.591896587161</v>
      </c>
      <c r="ID45" s="120">
        <f>+ID11/$ID$37</f>
        <v>6924.094054000202</v>
      </c>
      <c r="IE45" s="120">
        <f>+IE11/$IE$37</f>
        <v>6428.7737012234002</v>
      </c>
      <c r="IF45" s="120">
        <f t="shared" si="379"/>
        <v>8573.9201641276686</v>
      </c>
      <c r="IG45" s="120">
        <f t="shared" si="380"/>
        <v>16568.183599125179</v>
      </c>
      <c r="IH45" s="120">
        <f t="shared" si="381"/>
        <v>7277.5492896043306</v>
      </c>
      <c r="II45" s="120">
        <f t="shared" si="382"/>
        <v>18718.1935798876</v>
      </c>
      <c r="IM45" s="1345"/>
      <c r="IN45" s="1346">
        <f t="shared" si="383"/>
        <v>81087.106717764982</v>
      </c>
      <c r="IP45" s="371">
        <f t="shared" si="355"/>
        <v>-8.6771956188699697</v>
      </c>
      <c r="IQ45" s="348">
        <f t="shared" si="384"/>
        <v>-26.26896302054389</v>
      </c>
      <c r="IR45" s="320">
        <f t="shared" si="356"/>
        <v>109976.89716524469</v>
      </c>
      <c r="IS45" s="344">
        <f t="shared" si="357"/>
        <v>81087.106717764982</v>
      </c>
      <c r="IU45" s="320">
        <f t="shared" si="385"/>
        <v>-1778.5418267129098</v>
      </c>
    </row>
    <row r="46" spans="1:264" ht="15" customHeight="1" x14ac:dyDescent="0.2">
      <c r="A46" s="1554" t="s">
        <v>319</v>
      </c>
      <c r="B46" s="379">
        <f>+B12/$B$37</f>
        <v>0</v>
      </c>
      <c r="C46" s="380">
        <f t="shared" si="140"/>
        <v>0</v>
      </c>
      <c r="D46" s="380">
        <f t="shared" si="141"/>
        <v>0</v>
      </c>
      <c r="E46" s="380">
        <f t="shared" si="142"/>
        <v>0</v>
      </c>
      <c r="F46" s="380">
        <f t="shared" si="143"/>
        <v>0</v>
      </c>
      <c r="G46" s="380">
        <f t="shared" si="144"/>
        <v>0</v>
      </c>
      <c r="H46" s="380">
        <f t="shared" si="145"/>
        <v>0</v>
      </c>
      <c r="I46" s="380">
        <f t="shared" si="146"/>
        <v>0</v>
      </c>
      <c r="J46" s="380">
        <f t="shared" si="147"/>
        <v>0</v>
      </c>
      <c r="K46" s="380">
        <f t="shared" si="148"/>
        <v>0</v>
      </c>
      <c r="L46" s="380">
        <f t="shared" si="149"/>
        <v>0</v>
      </c>
      <c r="M46" s="389">
        <f t="shared" si="150"/>
        <v>0</v>
      </c>
      <c r="N46" s="381">
        <f t="shared" si="358"/>
        <v>0</v>
      </c>
      <c r="O46" s="379">
        <f t="shared" si="151"/>
        <v>1106.9667585450586</v>
      </c>
      <c r="P46" s="380">
        <f t="shared" si="152"/>
        <v>1063.6163485698353</v>
      </c>
      <c r="Q46" s="380">
        <f t="shared" si="153"/>
        <v>1109.2645543614901</v>
      </c>
      <c r="R46" s="380">
        <f t="shared" si="154"/>
        <v>1022.0410440351425</v>
      </c>
      <c r="S46" s="380">
        <f t="shared" si="155"/>
        <v>990.38393906127794</v>
      </c>
      <c r="T46" s="380">
        <f t="shared" si="156"/>
        <v>1524.1985293602311</v>
      </c>
      <c r="U46" s="380">
        <f t="shared" si="157"/>
        <v>909.29811319650003</v>
      </c>
      <c r="V46" s="380">
        <f t="shared" si="158"/>
        <v>1185.2187959096429</v>
      </c>
      <c r="W46" s="380">
        <f t="shared" si="159"/>
        <v>1139.3503721511797</v>
      </c>
      <c r="X46" s="380">
        <f t="shared" si="160"/>
        <v>1172.9148566670765</v>
      </c>
      <c r="Y46" s="380">
        <f t="shared" si="161"/>
        <v>1045.3750514074877</v>
      </c>
      <c r="Z46" s="389">
        <f t="shared" si="162"/>
        <v>1105.3334759632053</v>
      </c>
      <c r="AA46" s="381">
        <f t="shared" si="359"/>
        <v>13373.961839228128</v>
      </c>
      <c r="AB46" s="379">
        <f t="shared" si="163"/>
        <v>1152.327399307173</v>
      </c>
      <c r="AC46" s="380">
        <f t="shared" si="164"/>
        <v>1179.647077529273</v>
      </c>
      <c r="AD46" s="380">
        <f t="shared" si="165"/>
        <v>1205.4439415107681</v>
      </c>
      <c r="AE46" s="380">
        <f t="shared" si="166"/>
        <v>1217.8057605527008</v>
      </c>
      <c r="AF46" s="380">
        <f t="shared" si="167"/>
        <v>883.96848797131918</v>
      </c>
      <c r="AG46" s="380">
        <f t="shared" si="168"/>
        <v>638.48762965176934</v>
      </c>
      <c r="AH46" s="380">
        <f t="shared" si="169"/>
        <v>532.56744434511074</v>
      </c>
      <c r="AI46" s="380">
        <f t="shared" si="170"/>
        <v>1591.6027469237306</v>
      </c>
      <c r="AJ46" s="380">
        <f t="shared" si="171"/>
        <v>796.48967178828127</v>
      </c>
      <c r="AK46" s="380">
        <f t="shared" si="172"/>
        <v>1457.4770125412908</v>
      </c>
      <c r="AL46" s="380">
        <f t="shared" si="173"/>
        <v>964.953138685059</v>
      </c>
      <c r="AM46" s="389">
        <f t="shared" si="174"/>
        <v>665.8074009372948</v>
      </c>
      <c r="AN46" s="381">
        <f t="shared" si="360"/>
        <v>12286.577711743772</v>
      </c>
      <c r="AO46" s="379">
        <f t="shared" si="175"/>
        <v>911.14549902366753</v>
      </c>
      <c r="AP46" s="380">
        <f t="shared" si="176"/>
        <v>906.80460664706925</v>
      </c>
      <c r="AQ46" s="380">
        <f t="shared" si="177"/>
        <v>971.33697694490081</v>
      </c>
      <c r="AR46" s="380">
        <f t="shared" si="178"/>
        <v>811.74904878380664</v>
      </c>
      <c r="AS46" s="380">
        <f t="shared" si="179"/>
        <v>881.40330870223238</v>
      </c>
      <c r="AT46" s="380">
        <f t="shared" si="180"/>
        <v>693.34578651494371</v>
      </c>
      <c r="AU46" s="380">
        <f t="shared" si="181"/>
        <v>10.462529085093822</v>
      </c>
      <c r="AV46" s="380">
        <f t="shared" si="182"/>
        <v>2986.8344974649513</v>
      </c>
      <c r="AW46" s="380">
        <f t="shared" si="183"/>
        <v>944.66995515578697</v>
      </c>
      <c r="AX46" s="380">
        <f t="shared" si="184"/>
        <v>1030.741633505723</v>
      </c>
      <c r="AY46" s="380">
        <f t="shared" si="185"/>
        <v>922.23308267169932</v>
      </c>
      <c r="AZ46" s="389">
        <f t="shared" si="186"/>
        <v>4579.8733301629736</v>
      </c>
      <c r="BA46" s="381">
        <f t="shared" si="361"/>
        <v>15650.600254662848</v>
      </c>
      <c r="BB46" s="379">
        <f t="shared" si="187"/>
        <v>868.28153308699586</v>
      </c>
      <c r="BC46" s="380">
        <f t="shared" si="188"/>
        <v>2879.9030809664805</v>
      </c>
      <c r="BD46" s="380">
        <f t="shared" si="189"/>
        <v>94.30041533558996</v>
      </c>
      <c r="BE46" s="380">
        <f t="shared" si="190"/>
        <v>70.141174951620982</v>
      </c>
      <c r="BF46" s="380">
        <f t="shared" si="191"/>
        <v>107.28153580562793</v>
      </c>
      <c r="BG46" s="380">
        <f t="shared" si="192"/>
        <v>35.493130353215086</v>
      </c>
      <c r="BH46" s="380">
        <f t="shared" si="193"/>
        <v>3173.778765723599</v>
      </c>
      <c r="BI46" s="380">
        <f t="shared" si="194"/>
        <v>597.26168089153373</v>
      </c>
      <c r="BJ46" s="380">
        <f t="shared" si="195"/>
        <v>1224.0348846273675</v>
      </c>
      <c r="BK46" s="380">
        <f t="shared" si="196"/>
        <v>1287.923946192077</v>
      </c>
      <c r="BL46" s="380">
        <f t="shared" si="197"/>
        <v>2702.6496786660832</v>
      </c>
      <c r="BM46" s="389">
        <f t="shared" si="198"/>
        <v>1426.8090566026019</v>
      </c>
      <c r="BN46" s="381">
        <f t="shared" si="362"/>
        <v>14467.858883202793</v>
      </c>
      <c r="BO46" s="379">
        <f t="shared" si="199"/>
        <v>2597.2365528622208</v>
      </c>
      <c r="BP46" s="380">
        <f t="shared" si="200"/>
        <v>359.31139624207435</v>
      </c>
      <c r="BQ46" s="380">
        <f t="shared" si="201"/>
        <v>817.30749733455184</v>
      </c>
      <c r="BR46" s="380">
        <f t="shared" si="202"/>
        <v>3669.9509692409438</v>
      </c>
      <c r="BS46" s="380">
        <f t="shared" si="203"/>
        <v>5595.4809490683174</v>
      </c>
      <c r="BT46" s="380">
        <f t="shared" si="204"/>
        <v>2972.6253263368731</v>
      </c>
      <c r="BU46" s="380">
        <f t="shared" si="205"/>
        <v>13.084881071503679</v>
      </c>
      <c r="BV46" s="380">
        <f t="shared" si="206"/>
        <v>852.45644537844737</v>
      </c>
      <c r="BW46" s="380">
        <f t="shared" si="207"/>
        <v>3885.4652266092553</v>
      </c>
      <c r="BX46" s="380">
        <f t="shared" si="208"/>
        <v>4789.5079612058926</v>
      </c>
      <c r="BY46" s="380">
        <f t="shared" si="209"/>
        <v>730.14432688011414</v>
      </c>
      <c r="BZ46" s="389">
        <f t="shared" si="210"/>
        <v>1495.19012935469</v>
      </c>
      <c r="CA46" s="381">
        <f t="shared" si="363"/>
        <v>27777.761661584889</v>
      </c>
      <c r="CB46" s="379">
        <f t="shared" si="211"/>
        <v>989.83380252292193</v>
      </c>
      <c r="CC46" s="380">
        <f t="shared" si="212"/>
        <v>6626.6331591170228</v>
      </c>
      <c r="CD46" s="380">
        <f t="shared" si="213"/>
        <v>3891.3305594614562</v>
      </c>
      <c r="CE46" s="380">
        <f t="shared" si="214"/>
        <v>4706.8304690880386</v>
      </c>
      <c r="CF46" s="380">
        <f t="shared" si="215"/>
        <v>1346.9540744027272</v>
      </c>
      <c r="CG46" s="380">
        <f t="shared" si="216"/>
        <v>2149.1404634293017</v>
      </c>
      <c r="CH46" s="380">
        <f t="shared" si="217"/>
        <v>1390.4853340124457</v>
      </c>
      <c r="CI46" s="380">
        <f t="shared" si="218"/>
        <v>7205.8279221425746</v>
      </c>
      <c r="CJ46" s="380">
        <f t="shared" si="219"/>
        <v>1752.5125321600362</v>
      </c>
      <c r="CK46" s="380">
        <f t="shared" si="220"/>
        <v>659.4314301583363</v>
      </c>
      <c r="CL46" s="380">
        <f t="shared" si="221"/>
        <v>339.28493094251246</v>
      </c>
      <c r="CM46" s="389">
        <f t="shared" si="222"/>
        <v>1983.0175272319916</v>
      </c>
      <c r="CN46" s="381">
        <f t="shared" si="364"/>
        <v>33041.282204669369</v>
      </c>
      <c r="CO46" s="379">
        <f t="shared" si="223"/>
        <v>27084.84740630224</v>
      </c>
      <c r="CP46" s="380">
        <f t="shared" si="224"/>
        <v>11839.251405174762</v>
      </c>
      <c r="CQ46" s="380">
        <f t="shared" si="225"/>
        <v>15869.044725696975</v>
      </c>
      <c r="CR46" s="380">
        <f t="shared" si="226"/>
        <v>1061.9855811187524</v>
      </c>
      <c r="CS46" s="380">
        <f t="shared" si="227"/>
        <v>392.84938434523315</v>
      </c>
      <c r="CT46" s="380">
        <f t="shared" si="228"/>
        <v>2336.2915644306031</v>
      </c>
      <c r="CU46" s="380">
        <f t="shared" si="229"/>
        <v>3927.8397881923302</v>
      </c>
      <c r="CV46" s="380">
        <f t="shared" si="230"/>
        <v>343.40332664552284</v>
      </c>
      <c r="CW46" s="380">
        <f t="shared" si="231"/>
        <v>2140.4890163266118</v>
      </c>
      <c r="CX46" s="380">
        <f t="shared" si="232"/>
        <v>2687.0733294563174</v>
      </c>
      <c r="CY46" s="380">
        <f t="shared" si="233"/>
        <v>6131.676071828042</v>
      </c>
      <c r="CZ46" s="389">
        <f t="shared" si="234"/>
        <v>5373.4217779043975</v>
      </c>
      <c r="DA46" s="381">
        <f t="shared" si="365"/>
        <v>79188.173377421786</v>
      </c>
      <c r="DB46" s="379">
        <f t="shared" si="235"/>
        <v>26675.646767893795</v>
      </c>
      <c r="DC46" s="380">
        <f t="shared" si="236"/>
        <v>2453.6070376540547</v>
      </c>
      <c r="DD46" s="380">
        <f t="shared" si="237"/>
        <v>1752.9886852910913</v>
      </c>
      <c r="DE46" s="380">
        <f t="shared" si="238"/>
        <v>2180.0197333695605</v>
      </c>
      <c r="DF46" s="380">
        <f t="shared" si="239"/>
        <v>40.919911324155613</v>
      </c>
      <c r="DG46" s="380">
        <f t="shared" si="240"/>
        <v>1632.2792668295274</v>
      </c>
      <c r="DH46" s="380">
        <f t="shared" si="241"/>
        <v>2527.0082633427673</v>
      </c>
      <c r="DI46" s="380">
        <f t="shared" si="242"/>
        <v>825.50679536352095</v>
      </c>
      <c r="DJ46" s="380">
        <f t="shared" si="243"/>
        <v>150.58286760362228</v>
      </c>
      <c r="DK46" s="380">
        <f t="shared" si="244"/>
        <v>64.692077917395352</v>
      </c>
      <c r="DL46" s="380">
        <f t="shared" si="245"/>
        <v>3283.891590183141</v>
      </c>
      <c r="DM46" s="389">
        <f t="shared" si="246"/>
        <v>1974.0826426085982</v>
      </c>
      <c r="DN46" s="381">
        <f t="shared" si="366"/>
        <v>43561.225639381242</v>
      </c>
      <c r="DO46" s="379">
        <f t="shared" si="247"/>
        <v>13.119323234509116</v>
      </c>
      <c r="DP46" s="380">
        <f t="shared" si="248"/>
        <v>5610.9634359003348</v>
      </c>
      <c r="DQ46" s="380">
        <f t="shared" si="249"/>
        <v>11755.670607857583</v>
      </c>
      <c r="DR46" s="380">
        <f t="shared" si="250"/>
        <v>7330.9426941325619</v>
      </c>
      <c r="DS46" s="380">
        <f t="shared" si="251"/>
        <v>75.821046027835692</v>
      </c>
      <c r="DT46" s="380">
        <f t="shared" si="252"/>
        <v>2380.2566246719248</v>
      </c>
      <c r="DU46" s="380">
        <f t="shared" si="253"/>
        <v>361.63121006866066</v>
      </c>
      <c r="DV46" s="380">
        <f t="shared" si="254"/>
        <v>7063.3126324808936</v>
      </c>
      <c r="DW46" s="380">
        <f t="shared" si="255"/>
        <v>8.6058985819873062</v>
      </c>
      <c r="DX46" s="380">
        <f t="shared" si="256"/>
        <v>43.232686536658825</v>
      </c>
      <c r="DY46" s="380">
        <f t="shared" si="257"/>
        <v>100.35643668329288</v>
      </c>
      <c r="DZ46" s="389">
        <f t="shared" si="258"/>
        <v>1201.6326392236394</v>
      </c>
      <c r="EA46" s="381">
        <f t="shared" si="367"/>
        <v>35945.545235399877</v>
      </c>
      <c r="EB46" s="379">
        <f t="shared" si="259"/>
        <v>70.550155609894716</v>
      </c>
      <c r="EC46" s="380">
        <f t="shared" si="260"/>
        <v>6398.3091911462343</v>
      </c>
      <c r="ED46" s="380">
        <f t="shared" si="261"/>
        <v>0</v>
      </c>
      <c r="EE46" s="380">
        <f t="shared" si="262"/>
        <v>16103.24984897001</v>
      </c>
      <c r="EF46" s="380">
        <f t="shared" si="263"/>
        <v>134.50675956469206</v>
      </c>
      <c r="EG46" s="380">
        <f t="shared" si="264"/>
        <v>96.269611034826724</v>
      </c>
      <c r="EH46" s="380">
        <f t="shared" si="265"/>
        <v>5526.9795064012451</v>
      </c>
      <c r="EI46" s="380">
        <f t="shared" si="266"/>
        <v>0</v>
      </c>
      <c r="EJ46" s="380">
        <f t="shared" si="267"/>
        <v>7225.8695089177745</v>
      </c>
      <c r="EK46" s="380">
        <f t="shared" si="268"/>
        <v>1475.2934937519956</v>
      </c>
      <c r="EL46" s="380">
        <f t="shared" si="269"/>
        <v>579.51593094360464</v>
      </c>
      <c r="EM46" s="389">
        <f t="shared" si="270"/>
        <v>7545.5672440494855</v>
      </c>
      <c r="EN46" s="381">
        <f t="shared" si="368"/>
        <v>45156.11125038976</v>
      </c>
      <c r="EO46" s="379">
        <f t="shared" si="271"/>
        <v>18133.77477750288</v>
      </c>
      <c r="EP46" s="380">
        <f t="shared" si="272"/>
        <v>12.672867339676547</v>
      </c>
      <c r="EQ46" s="380">
        <f t="shared" si="273"/>
        <v>28.656781104974709</v>
      </c>
      <c r="ER46" s="380">
        <f t="shared" si="274"/>
        <v>602.68387310009609</v>
      </c>
      <c r="ES46" s="380">
        <f t="shared" si="275"/>
        <v>-47.362409361428384</v>
      </c>
      <c r="ET46" s="380">
        <f t="shared" si="276"/>
        <v>193.80309635255696</v>
      </c>
      <c r="EU46" s="380">
        <f t="shared" si="277"/>
        <v>6817.5754288498711</v>
      </c>
      <c r="EV46" s="380">
        <f t="shared" si="278"/>
        <v>-931.73518020617632</v>
      </c>
      <c r="EW46" s="380">
        <f t="shared" si="279"/>
        <v>1372.4338355171888</v>
      </c>
      <c r="EX46" s="380">
        <f t="shared" si="280"/>
        <v>22.223721452779873</v>
      </c>
      <c r="EY46" s="380">
        <f t="shared" si="281"/>
        <v>2968.4629437757558</v>
      </c>
      <c r="EZ46" s="389">
        <f t="shared" si="282"/>
        <v>1317.3982176586128</v>
      </c>
      <c r="FA46" s="381">
        <f t="shared" si="369"/>
        <v>30490.587953086797</v>
      </c>
      <c r="FB46" s="379">
        <f t="shared" si="283"/>
        <v>0</v>
      </c>
      <c r="FC46" s="380">
        <f t="shared" si="284"/>
        <v>11069.196955429305</v>
      </c>
      <c r="FD46" s="380">
        <f t="shared" si="285"/>
        <v>1129.2906340795569</v>
      </c>
      <c r="FE46" s="380">
        <f t="shared" si="286"/>
        <v>10831.731353541611</v>
      </c>
      <c r="FF46" s="380">
        <f t="shared" si="287"/>
        <v>47.911091502439767</v>
      </c>
      <c r="FG46" s="380">
        <f t="shared" si="288"/>
        <v>0</v>
      </c>
      <c r="FH46" s="380">
        <f t="shared" si="289"/>
        <v>5573.1756775817048</v>
      </c>
      <c r="FI46" s="380">
        <f t="shared" si="290"/>
        <v>2109.1690427577628</v>
      </c>
      <c r="FJ46" s="380">
        <f t="shared" si="291"/>
        <v>1851.4796777754711</v>
      </c>
      <c r="FK46" s="380">
        <f t="shared" si="292"/>
        <v>456.80273920567737</v>
      </c>
      <c r="FL46" s="380">
        <f t="shared" si="293"/>
        <v>92.382350985595551</v>
      </c>
      <c r="FM46" s="389">
        <f t="shared" si="294"/>
        <v>2112.1901837036467</v>
      </c>
      <c r="FN46" s="381">
        <f t="shared" si="370"/>
        <v>35273.32970656277</v>
      </c>
      <c r="FO46" s="379">
        <f t="shared" si="295"/>
        <v>0</v>
      </c>
      <c r="FP46" s="380">
        <f t="shared" si="296"/>
        <v>16485.483990376113</v>
      </c>
      <c r="FQ46" s="380">
        <f t="shared" si="297"/>
        <v>330.59031351213639</v>
      </c>
      <c r="FR46" s="380">
        <f t="shared" si="298"/>
        <v>3148.4408973893756</v>
      </c>
      <c r="FS46" s="380">
        <f t="shared" si="299"/>
        <v>0</v>
      </c>
      <c r="FT46" s="380">
        <f t="shared" si="300"/>
        <v>1699.4364166097125</v>
      </c>
      <c r="FU46" s="380">
        <f t="shared" si="301"/>
        <v>2595.7139359134153</v>
      </c>
      <c r="FV46" s="380">
        <f t="shared" si="302"/>
        <v>973.47555935473474</v>
      </c>
      <c r="FW46" s="380">
        <f t="shared" si="303"/>
        <v>13249.214350247545</v>
      </c>
      <c r="FX46" s="380">
        <f t="shared" si="304"/>
        <v>665.254431235168</v>
      </c>
      <c r="FY46" s="380">
        <f t="shared" si="305"/>
        <v>6469.8756073861496</v>
      </c>
      <c r="FZ46" s="389">
        <f t="shared" si="306"/>
        <v>1682.3030562030824</v>
      </c>
      <c r="GA46" s="381">
        <f t="shared" si="371"/>
        <v>47299.788558227432</v>
      </c>
      <c r="GB46" s="379">
        <f t="shared" si="307"/>
        <v>73.973882013200623</v>
      </c>
      <c r="GC46" s="380">
        <f t="shared" si="308"/>
        <v>2969.475543841846</v>
      </c>
      <c r="GD46" s="380">
        <f t="shared" si="309"/>
        <v>21043.227961808872</v>
      </c>
      <c r="GE46" s="380">
        <f t="shared" si="310"/>
        <v>-17.373931962270252</v>
      </c>
      <c r="GF46" s="380">
        <f t="shared" si="311"/>
        <v>10474.528118174843</v>
      </c>
      <c r="GG46" s="380">
        <f t="shared" si="312"/>
        <v>4700.7150097875074</v>
      </c>
      <c r="GH46" s="380">
        <f t="shared" si="313"/>
        <v>901.12843746670796</v>
      </c>
      <c r="GI46" s="380">
        <f t="shared" si="314"/>
        <v>5898.6070883331104</v>
      </c>
      <c r="GJ46" s="380">
        <f t="shared" si="315"/>
        <v>9698.0224382750785</v>
      </c>
      <c r="GK46" s="380">
        <f t="shared" si="316"/>
        <v>39647.883785090002</v>
      </c>
      <c r="GL46" s="380">
        <f t="shared" si="317"/>
        <v>4268.7634422105948</v>
      </c>
      <c r="GM46" s="389">
        <f t="shared" si="318"/>
        <v>930.00228777862526</v>
      </c>
      <c r="GN46" s="381">
        <f t="shared" si="372"/>
        <v>100588.95406281811</v>
      </c>
      <c r="GO46" s="379">
        <f t="shared" si="319"/>
        <v>6175.223975373211</v>
      </c>
      <c r="GP46" s="380">
        <f t="shared" si="320"/>
        <v>15841.674448919292</v>
      </c>
      <c r="GQ46" s="380">
        <f t="shared" si="321"/>
        <v>78.025313429718352</v>
      </c>
      <c r="GR46" s="380">
        <f t="shared" si="322"/>
        <v>13978.414566753441</v>
      </c>
      <c r="GS46" s="380">
        <f t="shared" si="323"/>
        <v>3366.4390227020099</v>
      </c>
      <c r="GT46" s="380">
        <f t="shared" si="324"/>
        <v>717.79132575654194</v>
      </c>
      <c r="GU46" s="380">
        <f t="shared" si="325"/>
        <v>2799.9990324555115</v>
      </c>
      <c r="GV46" s="380">
        <f t="shared" si="326"/>
        <v>10766.432261367056</v>
      </c>
      <c r="GW46" s="380">
        <f t="shared" si="327"/>
        <v>-73.435509191796953</v>
      </c>
      <c r="GX46" s="380">
        <f>+GYT12/$GX$37</f>
        <v>0</v>
      </c>
      <c r="GY46" s="380">
        <f t="shared" si="328"/>
        <v>1160.0367536258475</v>
      </c>
      <c r="GZ46" s="389">
        <f t="shared" si="329"/>
        <v>331.55059846848985</v>
      </c>
      <c r="HA46" s="381">
        <f t="shared" si="373"/>
        <v>55142.151789659329</v>
      </c>
      <c r="HB46" s="379">
        <f t="shared" si="330"/>
        <v>0</v>
      </c>
      <c r="HC46" s="380">
        <f t="shared" si="331"/>
        <v>24708.148412455081</v>
      </c>
      <c r="HD46" s="380">
        <f t="shared" si="332"/>
        <v>3538.1782199535191</v>
      </c>
      <c r="HE46" s="380">
        <f t="shared" si="333"/>
        <v>5296.4581458052598</v>
      </c>
      <c r="HF46" s="380">
        <f t="shared" si="334"/>
        <v>1725.524572799723</v>
      </c>
      <c r="HG46" s="380">
        <f t="shared" si="335"/>
        <v>1499.6819006474557</v>
      </c>
      <c r="HH46" s="380">
        <f t="shared" si="336"/>
        <v>13312.079230529196</v>
      </c>
      <c r="HI46" s="380">
        <f t="shared" si="337"/>
        <v>74.205142746545263</v>
      </c>
      <c r="HJ46" s="380">
        <f t="shared" si="338"/>
        <v>8124.0383200607503</v>
      </c>
      <c r="HK46" s="380">
        <f t="shared" si="339"/>
        <v>2462.4698763340566</v>
      </c>
      <c r="HL46" s="380">
        <f t="shared" si="340"/>
        <v>78.298656620900232</v>
      </c>
      <c r="HM46" s="389">
        <f t="shared" si="341"/>
        <v>768.71834917561193</v>
      </c>
      <c r="HN46" s="381">
        <f t="shared" si="374"/>
        <v>61587.8008271281</v>
      </c>
      <c r="HO46" s="379">
        <f>+HO13/$HO$37</f>
        <v>6875.490864353008</v>
      </c>
      <c r="HP46" s="380">
        <f>+HP13/$HP$37</f>
        <v>11956.829541592091</v>
      </c>
      <c r="HQ46" s="380">
        <f>+HQ13/$HQ$37</f>
        <v>12872.774982180341</v>
      </c>
      <c r="HR46" s="380">
        <f>+HR13/$HR$37</f>
        <v>11117.654401794403</v>
      </c>
      <c r="HS46" s="380">
        <f>+HS13/$HS$37</f>
        <v>21291.168348601168</v>
      </c>
      <c r="HT46" s="380">
        <f>+HT13/$HT$37</f>
        <v>15660.053455877642</v>
      </c>
      <c r="HU46" s="380">
        <f>+HU13/$HU$37</f>
        <v>19226.848011015809</v>
      </c>
      <c r="HV46" s="380">
        <f>+HV13/$HV$37</f>
        <v>12369.223876009073</v>
      </c>
      <c r="HW46" s="380">
        <f>+HW13/$HW$37</f>
        <v>9728.9755591566118</v>
      </c>
      <c r="HX46" s="380">
        <f>+HX13/$HX$37</f>
        <v>17426.736883657806</v>
      </c>
      <c r="HY46" s="380">
        <f>+HY13/$HY$37</f>
        <v>9798.0785473368014</v>
      </c>
      <c r="HZ46" s="389">
        <f>+HZ13/$HZ$37</f>
        <v>10955.719312124233</v>
      </c>
      <c r="IA46" s="379">
        <f t="shared" si="375"/>
        <v>159279.553783699</v>
      </c>
      <c r="IB46" s="1344">
        <f>+IB13/$IB$37</f>
        <v>10303.681042618999</v>
      </c>
      <c r="IC46" s="120">
        <f>+IC13/$IC$37</f>
        <v>14306.097936806747</v>
      </c>
      <c r="ID46" s="120">
        <f t="shared" si="377"/>
        <v>3260.9698849296901</v>
      </c>
      <c r="IE46" s="120">
        <f t="shared" si="378"/>
        <v>1927.1464247972424</v>
      </c>
      <c r="IF46" s="120">
        <f t="shared" si="379"/>
        <v>0</v>
      </c>
      <c r="IG46" s="120">
        <f t="shared" si="380"/>
        <v>-1.060465555037295</v>
      </c>
      <c r="IH46" s="120">
        <f t="shared" si="381"/>
        <v>-7.9304932324057358</v>
      </c>
      <c r="II46" s="120">
        <f t="shared" si="382"/>
        <v>3743.7443819211253</v>
      </c>
      <c r="IM46" s="1345"/>
      <c r="IN46" s="1346">
        <f t="shared" si="383"/>
        <v>33532.648712286362</v>
      </c>
      <c r="IP46" s="371">
        <f t="shared" si="355"/>
        <v>-69.733392980441039</v>
      </c>
      <c r="IQ46" s="348">
        <f t="shared" si="384"/>
        <v>-69.890782418631645</v>
      </c>
      <c r="IR46" s="320">
        <f t="shared" si="356"/>
        <v>111370.04348142353</v>
      </c>
      <c r="IS46" s="344">
        <f t="shared" si="357"/>
        <v>33532.648712286362</v>
      </c>
      <c r="IU46" s="320">
        <f t="shared" si="385"/>
        <v>-8625.4794940879474</v>
      </c>
    </row>
    <row r="47" spans="1:264" ht="15" customHeight="1" x14ac:dyDescent="0.2">
      <c r="A47" s="1554" t="s">
        <v>328</v>
      </c>
      <c r="B47" s="379">
        <f>+B13/$B$37</f>
        <v>10908.179296132759</v>
      </c>
      <c r="C47" s="380">
        <f t="shared" si="140"/>
        <v>2758.2181689245454</v>
      </c>
      <c r="D47" s="380">
        <f t="shared" si="141"/>
        <v>3867.2562740595536</v>
      </c>
      <c r="E47" s="380">
        <f t="shared" si="142"/>
        <v>6705.0887786762733</v>
      </c>
      <c r="F47" s="380">
        <f t="shared" si="143"/>
        <v>2960.1417029569843</v>
      </c>
      <c r="G47" s="380">
        <f t="shared" si="144"/>
        <v>13297.502302463085</v>
      </c>
      <c r="H47" s="380">
        <f t="shared" si="145"/>
        <v>4766.209295348478</v>
      </c>
      <c r="I47" s="380">
        <f t="shared" si="146"/>
        <v>2260.4598526416312</v>
      </c>
      <c r="J47" s="380">
        <f t="shared" si="147"/>
        <v>3148.3842149184848</v>
      </c>
      <c r="K47" s="380">
        <f t="shared" si="148"/>
        <v>3735.7122461846893</v>
      </c>
      <c r="L47" s="380">
        <f t="shared" si="149"/>
        <v>3678.0190334488452</v>
      </c>
      <c r="M47" s="389">
        <f t="shared" si="150"/>
        <v>3934.2846118075704</v>
      </c>
      <c r="N47" s="381">
        <f t="shared" si="358"/>
        <v>62019.455777562893</v>
      </c>
      <c r="O47" s="379">
        <f t="shared" si="151"/>
        <v>9122.1410061016031</v>
      </c>
      <c r="P47" s="380">
        <f t="shared" si="152"/>
        <v>811.73140517473166</v>
      </c>
      <c r="Q47" s="380">
        <f t="shared" si="153"/>
        <v>623.78956360047459</v>
      </c>
      <c r="R47" s="380">
        <f t="shared" si="154"/>
        <v>65.022324486106726</v>
      </c>
      <c r="S47" s="380">
        <f t="shared" si="155"/>
        <v>39.395475836850096</v>
      </c>
      <c r="T47" s="380">
        <f t="shared" si="156"/>
        <v>485.39012273956695</v>
      </c>
      <c r="U47" s="380">
        <f t="shared" si="157"/>
        <v>1372.6639529182282</v>
      </c>
      <c r="V47" s="380">
        <f t="shared" si="158"/>
        <v>706.16604752413161</v>
      </c>
      <c r="W47" s="380">
        <f t="shared" si="159"/>
        <v>535.62351905653202</v>
      </c>
      <c r="X47" s="380">
        <f t="shared" si="160"/>
        <v>4612.6071714383934</v>
      </c>
      <c r="Y47" s="380">
        <f t="shared" si="161"/>
        <v>93.862900742573714</v>
      </c>
      <c r="Z47" s="389">
        <f t="shared" si="162"/>
        <v>173.36765722576413</v>
      </c>
      <c r="AA47" s="381">
        <f t="shared" si="359"/>
        <v>18641.761146844954</v>
      </c>
      <c r="AB47" s="379">
        <f t="shared" si="163"/>
        <v>1695.5674589805544</v>
      </c>
      <c r="AC47" s="380">
        <f>+AC13/$AB$37</f>
        <v>4490.4186750779518</v>
      </c>
      <c r="AD47" s="380">
        <f>+AD13/$AB$37</f>
        <v>220.40547875637196</v>
      </c>
      <c r="AE47" s="380">
        <f t="shared" si="166"/>
        <v>298.08976825469097</v>
      </c>
      <c r="AF47" s="380">
        <f t="shared" si="167"/>
        <v>906.63434663725036</v>
      </c>
      <c r="AG47" s="380">
        <f t="shared" si="168"/>
        <v>101.28982226770277</v>
      </c>
      <c r="AH47" s="380">
        <f t="shared" ref="AH47:AM47" si="386">+AH13/$AB$37</f>
        <v>271.62002983669078</v>
      </c>
      <c r="AI47" s="380">
        <f t="shared" si="386"/>
        <v>191.1400209961898</v>
      </c>
      <c r="AJ47" s="380">
        <f t="shared" si="386"/>
        <v>262.47457428663381</v>
      </c>
      <c r="AK47" s="380">
        <f t="shared" si="386"/>
        <v>527.69278523828473</v>
      </c>
      <c r="AL47" s="380">
        <f t="shared" si="386"/>
        <v>181.08001989112717</v>
      </c>
      <c r="AM47" s="389">
        <f t="shared" si="386"/>
        <v>441.72550306774963</v>
      </c>
      <c r="AN47" s="381">
        <f t="shared" si="360"/>
        <v>9588.138483291199</v>
      </c>
      <c r="AO47" s="379">
        <f t="shared" si="175"/>
        <v>0.89503487133955562</v>
      </c>
      <c r="AP47" s="380">
        <f>+AP13/$AO$37</f>
        <v>4383.8807998211432</v>
      </c>
      <c r="AQ47" s="380">
        <f>+AQ13/$AO$37</f>
        <v>462.73302848255025</v>
      </c>
      <c r="AR47" s="380">
        <f t="shared" si="178"/>
        <v>411.59106698897239</v>
      </c>
      <c r="AS47" s="380">
        <f t="shared" si="179"/>
        <v>314.91255939660601</v>
      </c>
      <c r="AT47" s="380">
        <f t="shared" si="180"/>
        <v>283.84117749597823</v>
      </c>
      <c r="AU47" s="380">
        <f t="shared" si="181"/>
        <v>185.70989126041533</v>
      </c>
      <c r="AV47" s="380">
        <f t="shared" si="182"/>
        <v>85.213909971343583</v>
      </c>
      <c r="AW47" s="380">
        <f t="shared" si="183"/>
        <v>159.46722178776588</v>
      </c>
      <c r="AX47" s="380">
        <f t="shared" si="184"/>
        <v>329.18068932580087</v>
      </c>
      <c r="AY47" s="380">
        <f t="shared" si="185"/>
        <v>118.72030355288666</v>
      </c>
      <c r="AZ47" s="389">
        <f t="shared" si="186"/>
        <v>7112.6170676378888</v>
      </c>
      <c r="BA47" s="381">
        <f t="shared" si="361"/>
        <v>13848.762750592692</v>
      </c>
      <c r="BB47" s="379">
        <f t="shared" si="187"/>
        <v>5.1530061310800939</v>
      </c>
      <c r="BC47" s="380">
        <f t="shared" si="188"/>
        <v>357.84764799167323</v>
      </c>
      <c r="BD47" s="380">
        <f t="shared" si="189"/>
        <v>215.7865359931518</v>
      </c>
      <c r="BE47" s="380">
        <f t="shared" si="190"/>
        <v>207.88830166384051</v>
      </c>
      <c r="BF47" s="380">
        <f t="shared" si="191"/>
        <v>244.97358569789054</v>
      </c>
      <c r="BG47" s="380">
        <f t="shared" si="192"/>
        <v>495.21367588057245</v>
      </c>
      <c r="BH47" s="380">
        <f t="shared" si="193"/>
        <v>502.36721617598869</v>
      </c>
      <c r="BI47" s="380">
        <f t="shared" si="194"/>
        <v>1453.2527537867136</v>
      </c>
      <c r="BJ47" s="380">
        <f t="shared" si="195"/>
        <v>743.61163639478309</v>
      </c>
      <c r="BK47" s="380">
        <f t="shared" si="196"/>
        <v>502.11459890529318</v>
      </c>
      <c r="BL47" s="380">
        <f t="shared" si="197"/>
        <v>970.43979159544938</v>
      </c>
      <c r="BM47" s="389">
        <f t="shared" si="198"/>
        <v>1776.197566069437</v>
      </c>
      <c r="BN47" s="381">
        <f t="shared" si="362"/>
        <v>7474.8463162858734</v>
      </c>
      <c r="BO47" s="379">
        <f t="shared" si="199"/>
        <v>195.35626916417863</v>
      </c>
      <c r="BP47" s="380">
        <f t="shared" si="200"/>
        <v>20974.59385365653</v>
      </c>
      <c r="BQ47" s="380">
        <f t="shared" si="201"/>
        <v>4091.5059213070117</v>
      </c>
      <c r="BR47" s="380">
        <f t="shared" si="202"/>
        <v>463.39016289537915</v>
      </c>
      <c r="BS47" s="380">
        <f t="shared" si="203"/>
        <v>12047.556079082853</v>
      </c>
      <c r="BT47" s="380">
        <f t="shared" si="204"/>
        <v>1113.3982550097169</v>
      </c>
      <c r="BU47" s="380">
        <f t="shared" si="205"/>
        <v>198.72663127346212</v>
      </c>
      <c r="BV47" s="380">
        <f t="shared" si="206"/>
        <v>879.29906245620384</v>
      </c>
      <c r="BW47" s="380">
        <f t="shared" si="207"/>
        <v>1340.6561321424656</v>
      </c>
      <c r="BX47" s="380">
        <f t="shared" si="208"/>
        <v>3507.8658444036378</v>
      </c>
      <c r="BY47" s="380">
        <f t="shared" si="209"/>
        <v>3929.1044212378047</v>
      </c>
      <c r="BZ47" s="389">
        <f t="shared" si="210"/>
        <v>16498.285432765366</v>
      </c>
      <c r="CA47" s="381">
        <f t="shared" si="363"/>
        <v>65239.738065394602</v>
      </c>
      <c r="CB47" s="379">
        <f>+CB13/$CB$37</f>
        <v>8271.0253335200941</v>
      </c>
      <c r="CC47" s="380">
        <f t="shared" si="212"/>
        <v>2318.1138353703413</v>
      </c>
      <c r="CD47" s="380">
        <f t="shared" si="213"/>
        <v>846.6727874332563</v>
      </c>
      <c r="CE47" s="380">
        <f t="shared" si="214"/>
        <v>8172.9215960109823</v>
      </c>
      <c r="CF47" s="380">
        <f t="shared" si="215"/>
        <v>7026.132778178765</v>
      </c>
      <c r="CG47" s="380">
        <f t="shared" si="216"/>
        <v>12626.200222647147</v>
      </c>
      <c r="CH47" s="380">
        <f t="shared" si="217"/>
        <v>383.82776721459089</v>
      </c>
      <c r="CI47" s="380">
        <f t="shared" si="218"/>
        <v>17093.741514767149</v>
      </c>
      <c r="CJ47" s="380">
        <f t="shared" si="219"/>
        <v>7790.6141490561904</v>
      </c>
      <c r="CK47" s="380">
        <f t="shared" si="220"/>
        <v>12595.376671375536</v>
      </c>
      <c r="CL47" s="380">
        <f t="shared" si="221"/>
        <v>1461.2923072221699</v>
      </c>
      <c r="CM47" s="389">
        <f t="shared" si="222"/>
        <v>18536.766063410763</v>
      </c>
      <c r="CN47" s="381">
        <f t="shared" si="364"/>
        <v>97122.685026206993</v>
      </c>
      <c r="CO47" s="379">
        <f>+CO13/$CO$37</f>
        <v>723.80293817329289</v>
      </c>
      <c r="CP47" s="380">
        <f t="shared" si="224"/>
        <v>8083.7562374048994</v>
      </c>
      <c r="CQ47" s="380">
        <f t="shared" si="225"/>
        <v>7569.4262439326876</v>
      </c>
      <c r="CR47" s="380">
        <f t="shared" si="226"/>
        <v>12039.709618766425</v>
      </c>
      <c r="CS47" s="380">
        <f t="shared" si="227"/>
        <v>2223.0653396477314</v>
      </c>
      <c r="CT47" s="380">
        <f t="shared" si="228"/>
        <v>17028.901379911527</v>
      </c>
      <c r="CU47" s="380">
        <f t="shared" si="229"/>
        <v>8728.532862649623</v>
      </c>
      <c r="CV47" s="380">
        <f t="shared" si="230"/>
        <v>9472.1449744352649</v>
      </c>
      <c r="CW47" s="380">
        <f t="shared" si="231"/>
        <v>14998.647075995576</v>
      </c>
      <c r="CX47" s="380">
        <f t="shared" si="232"/>
        <v>13234.691298207621</v>
      </c>
      <c r="CY47" s="380">
        <f t="shared" si="233"/>
        <v>8636.9210396480739</v>
      </c>
      <c r="CZ47" s="389">
        <f t="shared" si="234"/>
        <v>36007.582145409884</v>
      </c>
      <c r="DA47" s="381">
        <f t="shared" si="365"/>
        <v>138747.18115418259</v>
      </c>
      <c r="DB47" s="379">
        <f t="shared" si="235"/>
        <v>1102.2808238549997</v>
      </c>
      <c r="DC47" s="380">
        <f t="shared" si="236"/>
        <v>12247.032132001757</v>
      </c>
      <c r="DD47" s="380">
        <f t="shared" si="237"/>
        <v>5221.6842888530473</v>
      </c>
      <c r="DE47" s="380">
        <f t="shared" si="238"/>
        <v>12286.841725694376</v>
      </c>
      <c r="DF47" s="380">
        <f t="shared" si="239"/>
        <v>7300.8561786170731</v>
      </c>
      <c r="DG47" s="380">
        <f t="shared" si="240"/>
        <v>13387.364637688326</v>
      </c>
      <c r="DH47" s="380">
        <f t="shared" si="241"/>
        <v>8278.8472834308286</v>
      </c>
      <c r="DI47" s="380">
        <f t="shared" si="242"/>
        <v>17638.180587314659</v>
      </c>
      <c r="DJ47" s="380">
        <f t="shared" si="243"/>
        <v>5167.797333789018</v>
      </c>
      <c r="DK47" s="380">
        <f t="shared" si="244"/>
        <v>12370.889627203736</v>
      </c>
      <c r="DL47" s="380">
        <f t="shared" si="245"/>
        <v>6502.5451554720185</v>
      </c>
      <c r="DM47" s="389">
        <f t="shared" si="246"/>
        <v>9613.9724256426889</v>
      </c>
      <c r="DN47" s="381">
        <f t="shared" si="366"/>
        <v>111118.29219956252</v>
      </c>
      <c r="DO47" s="379">
        <f>+DO13/$DO$37</f>
        <v>430.02226157557658</v>
      </c>
      <c r="DP47" s="380">
        <f t="shared" si="248"/>
        <v>8333.2578803284796</v>
      </c>
      <c r="DQ47" s="380">
        <f t="shared" si="249"/>
        <v>8440.0422007972684</v>
      </c>
      <c r="DR47" s="380">
        <f t="shared" si="250"/>
        <v>15424.102088194551</v>
      </c>
      <c r="DS47" s="380">
        <f t="shared" si="251"/>
        <v>7503.3951359546727</v>
      </c>
      <c r="DT47" s="380">
        <f t="shared" si="252"/>
        <v>18318.790577238076</v>
      </c>
      <c r="DU47" s="380">
        <f t="shared" si="253"/>
        <v>5298.149864079779</v>
      </c>
      <c r="DV47" s="380">
        <f t="shared" si="254"/>
        <v>8141.7028668988469</v>
      </c>
      <c r="DW47" s="380">
        <f t="shared" si="255"/>
        <v>4587.6611024144004</v>
      </c>
      <c r="DX47" s="380">
        <f t="shared" si="256"/>
        <v>12783.184864114404</v>
      </c>
      <c r="DY47" s="380">
        <f t="shared" si="257"/>
        <v>5974.4569320449546</v>
      </c>
      <c r="DZ47" s="389">
        <f t="shared" si="258"/>
        <v>18379.14061324843</v>
      </c>
      <c r="EA47" s="381">
        <f t="shared" si="367"/>
        <v>113613.90638688943</v>
      </c>
      <c r="EB47" s="379">
        <f>+EB13/$EB$37</f>
        <v>11208.116047861742</v>
      </c>
      <c r="EC47" s="380">
        <f t="shared" si="260"/>
        <v>8658.901484493972</v>
      </c>
      <c r="ED47" s="380">
        <f t="shared" si="261"/>
        <v>2871.9883836559688</v>
      </c>
      <c r="EE47" s="380">
        <f t="shared" si="262"/>
        <v>15107.128274523659</v>
      </c>
      <c r="EF47" s="380">
        <f t="shared" si="263"/>
        <v>4903.057570727844</v>
      </c>
      <c r="EG47" s="380">
        <f t="shared" si="264"/>
        <v>18557.92857459504</v>
      </c>
      <c r="EH47" s="380">
        <f t="shared" si="265"/>
        <v>5571.7352530469107</v>
      </c>
      <c r="EI47" s="380">
        <f t="shared" si="266"/>
        <v>11850.550414977239</v>
      </c>
      <c r="EJ47" s="380">
        <f t="shared" si="267"/>
        <v>5427.1916813353409</v>
      </c>
      <c r="EK47" s="380">
        <f t="shared" si="268"/>
        <v>13190.609741258851</v>
      </c>
      <c r="EL47" s="380">
        <f t="shared" si="269"/>
        <v>6037.566582989286</v>
      </c>
      <c r="EM47" s="389">
        <f t="shared" si="270"/>
        <v>11208.299586149797</v>
      </c>
      <c r="EN47" s="381">
        <f t="shared" si="368"/>
        <v>114593.07359561566</v>
      </c>
      <c r="EO47" s="379">
        <f t="shared" si="271"/>
        <v>2255.8830341721114</v>
      </c>
      <c r="EP47" s="380">
        <f t="shared" si="272"/>
        <v>9946.7927652750132</v>
      </c>
      <c r="EQ47" s="380">
        <f t="shared" si="273"/>
        <v>4654.2806189762578</v>
      </c>
      <c r="ER47" s="380">
        <f t="shared" si="274"/>
        <v>18624.605800662692</v>
      </c>
      <c r="ES47" s="380">
        <f t="shared" si="275"/>
        <v>7019.3876697716951</v>
      </c>
      <c r="ET47" s="380">
        <f t="shared" si="276"/>
        <v>13042.669531151036</v>
      </c>
      <c r="EU47" s="380">
        <f t="shared" si="277"/>
        <v>13827.871379568445</v>
      </c>
      <c r="EV47" s="380">
        <f t="shared" si="278"/>
        <v>12320.459446323312</v>
      </c>
      <c r="EW47" s="380">
        <f t="shared" si="279"/>
        <v>6027.8628945967712</v>
      </c>
      <c r="EX47" s="380">
        <f t="shared" si="280"/>
        <v>13521.051030130355</v>
      </c>
      <c r="EY47" s="380">
        <f t="shared" si="281"/>
        <v>13746.917899944001</v>
      </c>
      <c r="EZ47" s="389">
        <f t="shared" si="282"/>
        <v>9173.3283143427634</v>
      </c>
      <c r="FA47" s="381">
        <f t="shared" si="369"/>
        <v>124161.11038491444</v>
      </c>
      <c r="FB47" s="379">
        <f>+FB13/$FB$37</f>
        <v>2430.0527300286003</v>
      </c>
      <c r="FC47" s="380">
        <f t="shared" si="284"/>
        <v>15078.1533059537</v>
      </c>
      <c r="FD47" s="380">
        <f t="shared" si="285"/>
        <v>36427.689310737704</v>
      </c>
      <c r="FE47" s="380">
        <f t="shared" si="286"/>
        <v>54810.864980777449</v>
      </c>
      <c r="FF47" s="380">
        <f t="shared" si="287"/>
        <v>51818.583236545892</v>
      </c>
      <c r="FG47" s="380">
        <f t="shared" si="288"/>
        <v>6969.3477275397263</v>
      </c>
      <c r="FH47" s="380">
        <f t="shared" si="289"/>
        <v>8766.2405362501158</v>
      </c>
      <c r="FI47" s="380">
        <f t="shared" si="290"/>
        <v>62018.050303294236</v>
      </c>
      <c r="FJ47" s="380">
        <f t="shared" si="291"/>
        <v>7992.5734669886897</v>
      </c>
      <c r="FK47" s="380">
        <f t="shared" si="292"/>
        <v>102239.14461396783</v>
      </c>
      <c r="FL47" s="380">
        <f t="shared" si="293"/>
        <v>48303.063207608197</v>
      </c>
      <c r="FM47" s="389">
        <f t="shared" si="294"/>
        <v>33051.600878456193</v>
      </c>
      <c r="FN47" s="381">
        <f t="shared" si="370"/>
        <v>429905.36429814831</v>
      </c>
      <c r="FO47" s="379">
        <f>+FO13/$FO$37</f>
        <v>785.83182431314981</v>
      </c>
      <c r="FP47" s="380">
        <f t="shared" si="296"/>
        <v>16548.243416103935</v>
      </c>
      <c r="FQ47" s="380">
        <f t="shared" si="297"/>
        <v>9589.1267253348233</v>
      </c>
      <c r="FR47" s="380">
        <f t="shared" si="298"/>
        <v>28333.288552336388</v>
      </c>
      <c r="FS47" s="380">
        <f t="shared" si="299"/>
        <v>3823.4060071338017</v>
      </c>
      <c r="FT47" s="380">
        <f t="shared" si="300"/>
        <v>13776.932921354215</v>
      </c>
      <c r="FU47" s="380">
        <f t="shared" si="301"/>
        <v>7981.902599889896</v>
      </c>
      <c r="FV47" s="380">
        <f t="shared" si="302"/>
        <v>11467.985170443997</v>
      </c>
      <c r="FW47" s="380">
        <f t="shared" si="303"/>
        <v>49319.007892155845</v>
      </c>
      <c r="FX47" s="380">
        <f t="shared" si="304"/>
        <v>35219.769757622867</v>
      </c>
      <c r="FY47" s="380">
        <f t="shared" si="305"/>
        <v>22212.189454832227</v>
      </c>
      <c r="FZ47" s="389">
        <f t="shared" si="306"/>
        <v>48273.868016621556</v>
      </c>
      <c r="GA47" s="381">
        <f t="shared" si="371"/>
        <v>247331.5523381427</v>
      </c>
      <c r="GB47" s="379">
        <f>+GB13/$GB$37</f>
        <v>7394.1996719229419</v>
      </c>
      <c r="GC47" s="380">
        <f t="shared" si="308"/>
        <v>14933.200711805815</v>
      </c>
      <c r="GD47" s="380">
        <f t="shared" si="309"/>
        <v>8106.9457013416877</v>
      </c>
      <c r="GE47" s="380">
        <f t="shared" si="310"/>
        <v>21760.229285173409</v>
      </c>
      <c r="GF47" s="380">
        <f t="shared" si="311"/>
        <v>9198.0512480638336</v>
      </c>
      <c r="GG47" s="380">
        <f t="shared" si="312"/>
        <v>15339.786174239647</v>
      </c>
      <c r="GH47" s="380">
        <f t="shared" si="313"/>
        <v>8116.2078407427944</v>
      </c>
      <c r="GI47" s="380">
        <f t="shared" si="314"/>
        <v>18791.740621097095</v>
      </c>
      <c r="GJ47" s="380">
        <f t="shared" si="315"/>
        <v>5720.9720427071652</v>
      </c>
      <c r="GK47" s="380">
        <f t="shared" si="316"/>
        <v>479.15731301896017</v>
      </c>
      <c r="GL47" s="380">
        <f t="shared" si="317"/>
        <v>9703.1364576692504</v>
      </c>
      <c r="GM47" s="389">
        <f t="shared" si="318"/>
        <v>21564.170694292614</v>
      </c>
      <c r="GN47" s="381">
        <f t="shared" si="372"/>
        <v>141107.79776207521</v>
      </c>
      <c r="GO47" s="379">
        <f>+GO13/$GO$37</f>
        <v>12389.182486231561</v>
      </c>
      <c r="GP47" s="380">
        <f t="shared" si="320"/>
        <v>12584.507739795697</v>
      </c>
      <c r="GQ47" s="380">
        <f t="shared" si="321"/>
        <v>9532.3814399729254</v>
      </c>
      <c r="GR47" s="380">
        <f t="shared" si="322"/>
        <v>16702.713939575748</v>
      </c>
      <c r="GS47" s="380">
        <f t="shared" si="323"/>
        <v>4325.4960213410777</v>
      </c>
      <c r="GT47" s="380">
        <f t="shared" si="324"/>
        <v>19421.677526405427</v>
      </c>
      <c r="GU47" s="380">
        <f t="shared" si="325"/>
        <v>10571.296612430524</v>
      </c>
      <c r="GV47" s="380">
        <f t="shared" si="326"/>
        <v>3016.0130989719864</v>
      </c>
      <c r="GW47" s="380">
        <f t="shared" si="327"/>
        <v>6707.1098395174558</v>
      </c>
      <c r="GX47" s="380">
        <f t="shared" ref="GX47:GX55" si="387">+GX13/$GX$37</f>
        <v>21346.389551767101</v>
      </c>
      <c r="GY47" s="380">
        <f t="shared" si="328"/>
        <v>2201.6673889082285</v>
      </c>
      <c r="GZ47" s="389">
        <f t="shared" si="329"/>
        <v>15126.568799198989</v>
      </c>
      <c r="HA47" s="381">
        <f t="shared" si="373"/>
        <v>133925.00444411673</v>
      </c>
      <c r="HB47" s="379">
        <f>+HB13/$HB$37</f>
        <v>3338.1950029647323</v>
      </c>
      <c r="HC47" s="380">
        <f t="shared" si="331"/>
        <v>12699.005032909761</v>
      </c>
      <c r="HD47" s="380">
        <f t="shared" si="332"/>
        <v>4046.1955681750546</v>
      </c>
      <c r="HE47" s="380">
        <f t="shared" si="333"/>
        <v>20933.940865451041</v>
      </c>
      <c r="HF47" s="380">
        <f t="shared" si="334"/>
        <v>17998.125327676382</v>
      </c>
      <c r="HG47" s="380">
        <f t="shared" si="335"/>
        <v>14271.654946064251</v>
      </c>
      <c r="HH47" s="380">
        <f t="shared" si="336"/>
        <v>1174.9407970458249</v>
      </c>
      <c r="HI47" s="380">
        <f t="shared" si="337"/>
        <v>15390.592952356774</v>
      </c>
      <c r="HJ47" s="380">
        <f>+HJ13/$HJ$37</f>
        <v>2091.6909897444039</v>
      </c>
      <c r="HK47" s="380">
        <f t="shared" si="339"/>
        <v>16086.942329185751</v>
      </c>
      <c r="HL47" s="380">
        <f t="shared" si="340"/>
        <v>7324.8393268852169</v>
      </c>
      <c r="HM47" s="389">
        <f>+HM13/$HM$37</f>
        <v>14833.023901861681</v>
      </c>
      <c r="HN47" s="381">
        <f t="shared" si="374"/>
        <v>130189.14704032088</v>
      </c>
      <c r="HO47" s="379">
        <f>+HO12/$HO$37</f>
        <v>0</v>
      </c>
      <c r="HP47" s="380">
        <f>+HP12/$HP$37</f>
        <v>21964.75837560205</v>
      </c>
      <c r="HQ47" s="380">
        <f>+HQ12/$HQ$37</f>
        <v>3575.8323417298652</v>
      </c>
      <c r="HR47" s="380">
        <f>+HR12/$HR$37</f>
        <v>0</v>
      </c>
      <c r="HS47" s="380">
        <f>+HS12/$HS$37</f>
        <v>-2.7609274792003178</v>
      </c>
      <c r="HT47" s="380">
        <f>+HT12/$HT$37</f>
        <v>9736.1778977891954</v>
      </c>
      <c r="HU47" s="380">
        <f>+HU12/$HU$37</f>
        <v>378.53974621773864</v>
      </c>
      <c r="HV47" s="380">
        <f>+HV12/$HV$37</f>
        <v>249.96691719450885</v>
      </c>
      <c r="HW47" s="380">
        <f>+HW12/$HW$37</f>
        <v>857.41666301419912</v>
      </c>
      <c r="HX47" s="380">
        <f>+HX12/$HX$37</f>
        <v>38.108732766215212</v>
      </c>
      <c r="HY47" s="380">
        <f>+HY12/$HY$37</f>
        <v>-53.514280354260677</v>
      </c>
      <c r="HZ47" s="389">
        <f>+HZ12/$HZ$37</f>
        <v>438.09668303279864</v>
      </c>
      <c r="IA47" s="379">
        <f t="shared" si="375"/>
        <v>37182.622149513096</v>
      </c>
      <c r="IB47" s="1344">
        <f>+IB12/$IB$37</f>
        <v>27120.564093288405</v>
      </c>
      <c r="IC47" s="120">
        <f>+IC12/$IC$37</f>
        <v>0</v>
      </c>
      <c r="ID47" s="120">
        <f>+ID13/$ID$37</f>
        <v>9950.9184074473724</v>
      </c>
      <c r="IE47" s="120">
        <f t="shared" si="378"/>
        <v>16901.26516218793</v>
      </c>
      <c r="IF47" s="120">
        <f t="shared" si="379"/>
        <v>16717.363954800716</v>
      </c>
      <c r="IG47" s="120">
        <f t="shared" si="380"/>
        <v>18048.593513957243</v>
      </c>
      <c r="IH47" s="120">
        <f t="shared" si="381"/>
        <v>16698.446550153516</v>
      </c>
      <c r="II47" s="120">
        <f t="shared" si="382"/>
        <v>7926.5307595205531</v>
      </c>
      <c r="IM47" s="1345"/>
      <c r="IN47" s="1346">
        <f t="shared" si="383"/>
        <v>113363.68244135573</v>
      </c>
      <c r="IP47" s="371">
        <f t="shared" si="355"/>
        <v>3071.0319303384517</v>
      </c>
      <c r="IQ47" s="348">
        <f t="shared" si="384"/>
        <v>215.75415953570177</v>
      </c>
      <c r="IR47" s="320">
        <f t="shared" si="356"/>
        <v>35902.514351054146</v>
      </c>
      <c r="IS47" s="344">
        <f t="shared" si="357"/>
        <v>113363.68244135573</v>
      </c>
      <c r="IU47" s="320">
        <f t="shared" si="385"/>
        <v>7676.5638423260443</v>
      </c>
    </row>
    <row r="48" spans="1:264" s="338" customFormat="1" ht="15" customHeight="1" x14ac:dyDescent="0.2">
      <c r="A48" s="1553" t="s">
        <v>435</v>
      </c>
      <c r="B48" s="376">
        <f t="shared" si="139"/>
        <v>1410.2535766846677</v>
      </c>
      <c r="C48" s="377">
        <f t="shared" si="140"/>
        <v>6041.118486016524</v>
      </c>
      <c r="D48" s="377">
        <f t="shared" si="141"/>
        <v>10092.876575263392</v>
      </c>
      <c r="E48" s="377">
        <f t="shared" si="142"/>
        <v>50238.328130453527</v>
      </c>
      <c r="F48" s="377">
        <f t="shared" si="143"/>
        <v>13132.525432505616</v>
      </c>
      <c r="G48" s="377">
        <f t="shared" si="144"/>
        <v>24780.373598782309</v>
      </c>
      <c r="H48" s="377">
        <f t="shared" si="145"/>
        <v>8930.281829184958</v>
      </c>
      <c r="I48" s="377">
        <f t="shared" si="146"/>
        <v>11801.605148603096</v>
      </c>
      <c r="J48" s="377">
        <f t="shared" si="147"/>
        <v>8881.6104997774419</v>
      </c>
      <c r="K48" s="377">
        <f t="shared" si="148"/>
        <v>51017.700948205034</v>
      </c>
      <c r="L48" s="377">
        <f t="shared" si="149"/>
        <v>52446.613188631665</v>
      </c>
      <c r="M48" s="388">
        <f t="shared" si="150"/>
        <v>24948.404148928417</v>
      </c>
      <c r="N48" s="378">
        <f t="shared" si="358"/>
        <v>263721.69156303664</v>
      </c>
      <c r="O48" s="376">
        <f t="shared" si="151"/>
        <v>7319.7602755908938</v>
      </c>
      <c r="P48" s="377">
        <f t="shared" si="152"/>
        <v>9762.8397768467166</v>
      </c>
      <c r="Q48" s="377">
        <f t="shared" si="153"/>
        <v>8515.9641303870958</v>
      </c>
      <c r="R48" s="377">
        <f t="shared" si="154"/>
        <v>7429.0295243844757</v>
      </c>
      <c r="S48" s="377">
        <f t="shared" si="155"/>
        <v>21683.086665830957</v>
      </c>
      <c r="T48" s="377">
        <f t="shared" si="156"/>
        <v>21644.906136180121</v>
      </c>
      <c r="U48" s="377">
        <f t="shared" si="157"/>
        <v>12290.664204104054</v>
      </c>
      <c r="V48" s="377">
        <f t="shared" si="158"/>
        <v>18752.938202154513</v>
      </c>
      <c r="W48" s="377">
        <f t="shared" si="159"/>
        <v>36269.626951920836</v>
      </c>
      <c r="X48" s="377">
        <f t="shared" si="160"/>
        <v>28796.162785900866</v>
      </c>
      <c r="Y48" s="377">
        <f t="shared" si="161"/>
        <v>15800.254958333242</v>
      </c>
      <c r="Z48" s="388">
        <f t="shared" si="162"/>
        <v>36603.507904427999</v>
      </c>
      <c r="AA48" s="378">
        <f t="shared" si="359"/>
        <v>224868.7415160618</v>
      </c>
      <c r="AB48" s="376">
        <f t="shared" si="163"/>
        <v>2499.4530018305586</v>
      </c>
      <c r="AC48" s="377">
        <f t="shared" ref="AC48:AC55" si="388">+AC14/$AC$37</f>
        <v>17659.15265751124</v>
      </c>
      <c r="AD48" s="377">
        <f t="shared" ref="AD48:AD55" si="389">+AD14/$AD$37</f>
        <v>8204.4732821528523</v>
      </c>
      <c r="AE48" s="377">
        <f t="shared" si="166"/>
        <v>15049.898055785618</v>
      </c>
      <c r="AF48" s="377">
        <f t="shared" si="167"/>
        <v>11819.791977109833</v>
      </c>
      <c r="AG48" s="377">
        <f t="shared" si="168"/>
        <v>10225.750181972458</v>
      </c>
      <c r="AH48" s="377">
        <f t="shared" ref="AH48:AH55" si="390">+AH14/$AH$37</f>
        <v>13068.177796772919</v>
      </c>
      <c r="AI48" s="377">
        <f t="shared" ref="AI48:AI55" si="391">+AI14/$AI$37</f>
        <v>10257.794327152717</v>
      </c>
      <c r="AJ48" s="377">
        <f t="shared" ref="AJ48:AJ55" si="392">+AJ14/$AJ$37</f>
        <v>20714.125301744443</v>
      </c>
      <c r="AK48" s="377">
        <f t="shared" ref="AK48:AK55" si="393">+AK14/$AK$37</f>
        <v>17739.088654803047</v>
      </c>
      <c r="AL48" s="377">
        <f t="shared" ref="AL48:AL55" si="394">+AL14/$AL$37</f>
        <v>19500.694772829404</v>
      </c>
      <c r="AM48" s="388">
        <f t="shared" ref="AM48:AM55" si="395">+AM14/$AM$37</f>
        <v>14450.087209006173</v>
      </c>
      <c r="AN48" s="378">
        <f t="shared" si="360"/>
        <v>161188.48721867122</v>
      </c>
      <c r="AO48" s="376">
        <f t="shared" si="175"/>
        <v>1642.3889889080845</v>
      </c>
      <c r="AP48" s="377">
        <f t="shared" ref="AP48:AP55" si="396">+AP14/$AP$37</f>
        <v>9412.2216595540449</v>
      </c>
      <c r="AQ48" s="377">
        <f t="shared" ref="AQ48:AQ55" si="397">+AQ14/$AQ$37</f>
        <v>8067.321054644477</v>
      </c>
      <c r="AR48" s="377">
        <f t="shared" si="178"/>
        <v>10970.484977821456</v>
      </c>
      <c r="AS48" s="377">
        <f t="shared" si="179"/>
        <v>3723.5331394576347</v>
      </c>
      <c r="AT48" s="377">
        <f t="shared" si="180"/>
        <v>13763.221430161024</v>
      </c>
      <c r="AU48" s="377">
        <f t="shared" si="181"/>
        <v>14515.015350720161</v>
      </c>
      <c r="AV48" s="377">
        <f t="shared" si="182"/>
        <v>4510.2505206261139</v>
      </c>
      <c r="AW48" s="377">
        <f t="shared" si="183"/>
        <v>6084.8878487603488</v>
      </c>
      <c r="AX48" s="377">
        <f t="shared" si="184"/>
        <v>4185.1739083836737</v>
      </c>
      <c r="AY48" s="377">
        <f t="shared" si="185"/>
        <v>5431.8840335719306</v>
      </c>
      <c r="AZ48" s="388">
        <f t="shared" si="186"/>
        <v>11085.043729056879</v>
      </c>
      <c r="BA48" s="378">
        <f t="shared" si="361"/>
        <v>93391.426641665821</v>
      </c>
      <c r="BB48" s="376">
        <f t="shared" si="187"/>
        <v>1316.593066490964</v>
      </c>
      <c r="BC48" s="377">
        <f t="shared" si="188"/>
        <v>10341.625807989025</v>
      </c>
      <c r="BD48" s="377">
        <f t="shared" si="189"/>
        <v>4856.0466131372277</v>
      </c>
      <c r="BE48" s="377">
        <f t="shared" si="190"/>
        <v>4255.7946633296779</v>
      </c>
      <c r="BF48" s="377">
        <f t="shared" si="191"/>
        <v>28057.078190930126</v>
      </c>
      <c r="BG48" s="377">
        <f t="shared" si="192"/>
        <v>4821.1502063117159</v>
      </c>
      <c r="BH48" s="377">
        <f t="shared" si="193"/>
        <v>25280.469221414209</v>
      </c>
      <c r="BI48" s="377">
        <f t="shared" si="194"/>
        <v>16890.493133173091</v>
      </c>
      <c r="BJ48" s="377">
        <f t="shared" si="195"/>
        <v>19379.020555663592</v>
      </c>
      <c r="BK48" s="377">
        <f t="shared" si="196"/>
        <v>27171.931519759939</v>
      </c>
      <c r="BL48" s="377">
        <f t="shared" si="197"/>
        <v>42381.737116024749</v>
      </c>
      <c r="BM48" s="388">
        <f t="shared" si="198"/>
        <v>28027.979663736642</v>
      </c>
      <c r="BN48" s="378">
        <f t="shared" si="362"/>
        <v>212779.91975796098</v>
      </c>
      <c r="BO48" s="376">
        <f t="shared" si="199"/>
        <v>5858.1835073719722</v>
      </c>
      <c r="BP48" s="377">
        <f t="shared" si="200"/>
        <v>24934.539683403484</v>
      </c>
      <c r="BQ48" s="377">
        <f t="shared" si="201"/>
        <v>23729.243813190391</v>
      </c>
      <c r="BR48" s="377">
        <f t="shared" si="202"/>
        <v>11207.26868122015</v>
      </c>
      <c r="BS48" s="377">
        <f t="shared" si="203"/>
        <v>10349.207654877646</v>
      </c>
      <c r="BT48" s="377">
        <f t="shared" si="204"/>
        <v>14992.228201873824</v>
      </c>
      <c r="BU48" s="377">
        <f t="shared" si="205"/>
        <v>16035.521753127758</v>
      </c>
      <c r="BV48" s="377">
        <f t="shared" si="206"/>
        <v>12447.653610330515</v>
      </c>
      <c r="BW48" s="377">
        <f t="shared" si="207"/>
        <v>15081.975227168756</v>
      </c>
      <c r="BX48" s="377">
        <f t="shared" si="208"/>
        <v>22876.255932732776</v>
      </c>
      <c r="BY48" s="377">
        <f t="shared" si="209"/>
        <v>16501.912975296047</v>
      </c>
      <c r="BZ48" s="388">
        <f t="shared" si="210"/>
        <v>19708.881194222093</v>
      </c>
      <c r="CA48" s="378">
        <f t="shared" si="363"/>
        <v>193722.87223481544</v>
      </c>
      <c r="CB48" s="376">
        <f t="shared" si="211"/>
        <v>9573.5234959234167</v>
      </c>
      <c r="CC48" s="377">
        <f t="shared" si="212"/>
        <v>30418.903295052492</v>
      </c>
      <c r="CD48" s="377">
        <f t="shared" si="213"/>
        <v>7435.8216516016255</v>
      </c>
      <c r="CE48" s="377">
        <f t="shared" si="214"/>
        <v>11392.460660728771</v>
      </c>
      <c r="CF48" s="377">
        <f t="shared" si="215"/>
        <v>14474.979866941365</v>
      </c>
      <c r="CG48" s="377">
        <f t="shared" si="216"/>
        <v>13048.239270754011</v>
      </c>
      <c r="CH48" s="377">
        <f t="shared" si="217"/>
        <v>12709.051780822918</v>
      </c>
      <c r="CI48" s="377">
        <f t="shared" si="218"/>
        <v>9757.2153836377092</v>
      </c>
      <c r="CJ48" s="377">
        <f t="shared" si="219"/>
        <v>10321.318166615809</v>
      </c>
      <c r="CK48" s="377">
        <f t="shared" si="220"/>
        <v>7042.601617903666</v>
      </c>
      <c r="CL48" s="377">
        <f t="shared" si="221"/>
        <v>9517.3368302990366</v>
      </c>
      <c r="CM48" s="388">
        <f t="shared" si="222"/>
        <v>28939.932646328893</v>
      </c>
      <c r="CN48" s="378">
        <f t="shared" si="364"/>
        <v>164631.38466660972</v>
      </c>
      <c r="CO48" s="376">
        <f t="shared" si="223"/>
        <v>1237.7737542051425</v>
      </c>
      <c r="CP48" s="377">
        <f t="shared" si="224"/>
        <v>32090.561254158674</v>
      </c>
      <c r="CQ48" s="377">
        <f t="shared" si="225"/>
        <v>4097.3193835300317</v>
      </c>
      <c r="CR48" s="377">
        <f t="shared" si="226"/>
        <v>5083.7427927661356</v>
      </c>
      <c r="CS48" s="377">
        <f t="shared" si="227"/>
        <v>5962.8374200322551</v>
      </c>
      <c r="CT48" s="377">
        <f t="shared" si="228"/>
        <v>9600.8301062125174</v>
      </c>
      <c r="CU48" s="377">
        <f t="shared" si="229"/>
        <v>11585.560519443343</v>
      </c>
      <c r="CV48" s="377">
        <f t="shared" si="230"/>
        <v>8908.6894052164462</v>
      </c>
      <c r="CW48" s="377">
        <f t="shared" si="231"/>
        <v>11837.39142706086</v>
      </c>
      <c r="CX48" s="377">
        <f t="shared" si="232"/>
        <v>8676.928445754982</v>
      </c>
      <c r="CY48" s="377">
        <f t="shared" si="233"/>
        <v>13270.146991624884</v>
      </c>
      <c r="CZ48" s="388">
        <f t="shared" si="234"/>
        <v>55069.08887334443</v>
      </c>
      <c r="DA48" s="378">
        <f t="shared" si="365"/>
        <v>167420.8703733497</v>
      </c>
      <c r="DB48" s="376">
        <f t="shared" si="235"/>
        <v>3862.1154973515327</v>
      </c>
      <c r="DC48" s="377">
        <f t="shared" si="236"/>
        <v>6591.9592317040151</v>
      </c>
      <c r="DD48" s="377">
        <f t="shared" si="237"/>
        <v>9576.1946768156049</v>
      </c>
      <c r="DE48" s="377">
        <f t="shared" si="238"/>
        <v>7244.61414129686</v>
      </c>
      <c r="DF48" s="377">
        <f t="shared" si="239"/>
        <v>6520.4018699072685</v>
      </c>
      <c r="DG48" s="377">
        <f t="shared" si="240"/>
        <v>8147.280127470458</v>
      </c>
      <c r="DH48" s="377">
        <f t="shared" si="241"/>
        <v>8682.6934923786739</v>
      </c>
      <c r="DI48" s="377">
        <f t="shared" si="242"/>
        <v>13857.566580950002</v>
      </c>
      <c r="DJ48" s="377">
        <f t="shared" si="243"/>
        <v>11401.48516179191</v>
      </c>
      <c r="DK48" s="377">
        <f t="shared" si="244"/>
        <v>4291.7312600199321</v>
      </c>
      <c r="DL48" s="377">
        <f t="shared" si="245"/>
        <v>6902.0364315099232</v>
      </c>
      <c r="DM48" s="388">
        <f t="shared" si="246"/>
        <v>19667.035772161678</v>
      </c>
      <c r="DN48" s="378">
        <f t="shared" si="366"/>
        <v>106745.11424335786</v>
      </c>
      <c r="DO48" s="376">
        <f t="shared" si="247"/>
        <v>746.34372178540752</v>
      </c>
      <c r="DP48" s="377">
        <f t="shared" si="248"/>
        <v>17063.925704906276</v>
      </c>
      <c r="DQ48" s="377">
        <f t="shared" si="249"/>
        <v>12509.450719434564</v>
      </c>
      <c r="DR48" s="377">
        <f t="shared" si="250"/>
        <v>6219.2568280090754</v>
      </c>
      <c r="DS48" s="377">
        <f t="shared" si="251"/>
        <v>63609.524986152552</v>
      </c>
      <c r="DT48" s="377">
        <f t="shared" si="252"/>
        <v>41186.178514719766</v>
      </c>
      <c r="DU48" s="377">
        <f t="shared" si="253"/>
        <v>16064.798824926371</v>
      </c>
      <c r="DV48" s="377">
        <f t="shared" si="254"/>
        <v>19717.906546870832</v>
      </c>
      <c r="DW48" s="377">
        <f t="shared" si="255"/>
        <v>20299.163280262561</v>
      </c>
      <c r="DX48" s="377">
        <f t="shared" si="256"/>
        <v>22640.237394472617</v>
      </c>
      <c r="DY48" s="377">
        <f t="shared" si="257"/>
        <v>24899.226128753395</v>
      </c>
      <c r="DZ48" s="388">
        <f t="shared" si="258"/>
        <v>42241.676239438813</v>
      </c>
      <c r="EA48" s="378">
        <f t="shared" si="367"/>
        <v>287197.68888973218</v>
      </c>
      <c r="EB48" s="376">
        <f t="shared" si="259"/>
        <v>10631.476510682909</v>
      </c>
      <c r="EC48" s="377">
        <f t="shared" si="260"/>
        <v>17997.129623850386</v>
      </c>
      <c r="ED48" s="377">
        <f t="shared" si="261"/>
        <v>19360.731843341917</v>
      </c>
      <c r="EE48" s="377">
        <f t="shared" si="262"/>
        <v>25522.037322291046</v>
      </c>
      <c r="EF48" s="377">
        <f t="shared" si="263"/>
        <v>27269.099117280177</v>
      </c>
      <c r="EG48" s="377">
        <f t="shared" si="264"/>
        <v>19321.667488804665</v>
      </c>
      <c r="EH48" s="377">
        <f t="shared" si="265"/>
        <v>17209.650198273801</v>
      </c>
      <c r="EI48" s="377">
        <f t="shared" si="266"/>
        <v>31102.46237752333</v>
      </c>
      <c r="EJ48" s="377">
        <f t="shared" si="267"/>
        <v>15926.796464628544</v>
      </c>
      <c r="EK48" s="377">
        <f t="shared" si="268"/>
        <v>19047.914077603706</v>
      </c>
      <c r="EL48" s="377">
        <f t="shared" si="269"/>
        <v>34440.207739931393</v>
      </c>
      <c r="EM48" s="388">
        <f t="shared" si="270"/>
        <v>101427.0690457381</v>
      </c>
      <c r="EN48" s="378">
        <f t="shared" si="368"/>
        <v>339256.24180994998</v>
      </c>
      <c r="EO48" s="376">
        <f t="shared" si="271"/>
        <v>10785.940757135406</v>
      </c>
      <c r="EP48" s="377">
        <f t="shared" si="272"/>
        <v>14527.330260382547</v>
      </c>
      <c r="EQ48" s="377">
        <f t="shared" si="273"/>
        <v>32691.795673731271</v>
      </c>
      <c r="ER48" s="377">
        <f t="shared" si="274"/>
        <v>10784.135044129034</v>
      </c>
      <c r="ES48" s="377">
        <f t="shared" si="275"/>
        <v>20100.467231786202</v>
      </c>
      <c r="ET48" s="377">
        <f t="shared" si="276"/>
        <v>16265.517424812442</v>
      </c>
      <c r="EU48" s="377">
        <f t="shared" si="277"/>
        <v>53913.739928258532</v>
      </c>
      <c r="EV48" s="377">
        <f t="shared" si="278"/>
        <v>22634.906956157953</v>
      </c>
      <c r="EW48" s="377">
        <f t="shared" si="279"/>
        <v>33719.87893747905</v>
      </c>
      <c r="EX48" s="377">
        <f t="shared" si="280"/>
        <v>26083.70407260958</v>
      </c>
      <c r="EY48" s="377">
        <f t="shared" si="281"/>
        <v>29465.411328331727</v>
      </c>
      <c r="EZ48" s="388">
        <f t="shared" si="282"/>
        <v>48362.98312340954</v>
      </c>
      <c r="FA48" s="378">
        <f t="shared" si="369"/>
        <v>319335.81073822326</v>
      </c>
      <c r="FB48" s="376">
        <f t="shared" si="283"/>
        <v>14216.362013430415</v>
      </c>
      <c r="FC48" s="377">
        <f t="shared" si="284"/>
        <v>13877.953860786365</v>
      </c>
      <c r="FD48" s="377">
        <f t="shared" si="285"/>
        <v>7800.0001121045143</v>
      </c>
      <c r="FE48" s="377">
        <f t="shared" si="286"/>
        <v>8545.916449061795</v>
      </c>
      <c r="FF48" s="377">
        <f t="shared" si="287"/>
        <v>1060.20401053256</v>
      </c>
      <c r="FG48" s="377">
        <f t="shared" si="288"/>
        <v>1137.8807023398194</v>
      </c>
      <c r="FH48" s="377">
        <f t="shared" si="289"/>
        <v>21668.982510077727</v>
      </c>
      <c r="FI48" s="377">
        <f t="shared" si="290"/>
        <v>9549.3927834068218</v>
      </c>
      <c r="FJ48" s="377">
        <f t="shared" si="291"/>
        <v>16224.862672413083</v>
      </c>
      <c r="FK48" s="377">
        <f t="shared" si="292"/>
        <v>7327.279812281201</v>
      </c>
      <c r="FL48" s="377">
        <f t="shared" si="293"/>
        <v>16886.950334572834</v>
      </c>
      <c r="FM48" s="388">
        <f t="shared" si="294"/>
        <v>40367.206545253619</v>
      </c>
      <c r="FN48" s="378">
        <f t="shared" si="370"/>
        <v>158662.99180626075</v>
      </c>
      <c r="FO48" s="376">
        <f t="shared" si="295"/>
        <v>3838.8491177424539</v>
      </c>
      <c r="FP48" s="377">
        <f t="shared" si="296"/>
        <v>4805.4824796540297</v>
      </c>
      <c r="FQ48" s="377">
        <f t="shared" si="297"/>
        <v>18728.543550507387</v>
      </c>
      <c r="FR48" s="377">
        <f t="shared" si="298"/>
        <v>6765.7985241771685</v>
      </c>
      <c r="FS48" s="377">
        <f t="shared" si="299"/>
        <v>25501.844155916737</v>
      </c>
      <c r="FT48" s="377">
        <f t="shared" si="300"/>
        <v>10110.217743240886</v>
      </c>
      <c r="FU48" s="377">
        <f t="shared" si="301"/>
        <v>13254.261476562695</v>
      </c>
      <c r="FV48" s="377">
        <f t="shared" si="302"/>
        <v>10132.877124180375</v>
      </c>
      <c r="FW48" s="377">
        <f t="shared" si="303"/>
        <v>10741.501185939118</v>
      </c>
      <c r="FX48" s="377">
        <f t="shared" si="304"/>
        <v>16140.969541559387</v>
      </c>
      <c r="FY48" s="377">
        <f t="shared" si="305"/>
        <v>26825.262840800191</v>
      </c>
      <c r="FZ48" s="388">
        <f t="shared" si="306"/>
        <v>30476.033104997136</v>
      </c>
      <c r="GA48" s="378">
        <f t="shared" si="371"/>
        <v>177321.64084527755</v>
      </c>
      <c r="GB48" s="376">
        <f t="shared" si="307"/>
        <v>4463.3034500895792</v>
      </c>
      <c r="GC48" s="377">
        <f t="shared" si="308"/>
        <v>9542.2453249980972</v>
      </c>
      <c r="GD48" s="377">
        <f t="shared" si="309"/>
        <v>8013.604003675362</v>
      </c>
      <c r="GE48" s="377">
        <f t="shared" si="310"/>
        <v>19022.594005975683</v>
      </c>
      <c r="GF48" s="377">
        <f t="shared" si="311"/>
        <v>8658.4075155665396</v>
      </c>
      <c r="GG48" s="377">
        <f t="shared" si="312"/>
        <v>16003.200924158977</v>
      </c>
      <c r="GH48" s="377">
        <f t="shared" si="313"/>
        <v>23770.666733927035</v>
      </c>
      <c r="GI48" s="377">
        <f t="shared" si="314"/>
        <v>19023.789371208855</v>
      </c>
      <c r="GJ48" s="377">
        <f t="shared" si="315"/>
        <v>10757.771806838437</v>
      </c>
      <c r="GK48" s="377">
        <f t="shared" si="316"/>
        <v>9643.3389079101908</v>
      </c>
      <c r="GL48" s="377">
        <f t="shared" si="317"/>
        <v>26593.21047734917</v>
      </c>
      <c r="GM48" s="388">
        <f t="shared" si="318"/>
        <v>17134.159796594431</v>
      </c>
      <c r="GN48" s="378">
        <f t="shared" si="372"/>
        <v>172626.29231829237</v>
      </c>
      <c r="GO48" s="376">
        <f t="shared" si="319"/>
        <v>7448.1816642711865</v>
      </c>
      <c r="GP48" s="377">
        <f t="shared" si="320"/>
        <v>12493.218123082928</v>
      </c>
      <c r="GQ48" s="377">
        <f t="shared" si="321"/>
        <v>18598.922860506198</v>
      </c>
      <c r="GR48" s="377">
        <f t="shared" si="322"/>
        <v>15238.834086711102</v>
      </c>
      <c r="GS48" s="377">
        <f t="shared" si="323"/>
        <v>12464.303502026025</v>
      </c>
      <c r="GT48" s="377">
        <f t="shared" si="324"/>
        <v>15769.031979030411</v>
      </c>
      <c r="GU48" s="377">
        <f t="shared" si="325"/>
        <v>9263.6016162561609</v>
      </c>
      <c r="GV48" s="377">
        <f t="shared" si="326"/>
        <v>11845.979332473509</v>
      </c>
      <c r="GW48" s="377">
        <f t="shared" si="327"/>
        <v>17871.015039209939</v>
      </c>
      <c r="GX48" s="377">
        <f t="shared" si="387"/>
        <v>17444.668394464068</v>
      </c>
      <c r="GY48" s="377">
        <f t="shared" si="328"/>
        <v>30194.132187817548</v>
      </c>
      <c r="GZ48" s="388">
        <f t="shared" si="329"/>
        <v>18777.613104327083</v>
      </c>
      <c r="HA48" s="378">
        <f t="shared" si="373"/>
        <v>187409.50189017615</v>
      </c>
      <c r="HB48" s="376">
        <f t="shared" si="330"/>
        <v>7553.5134156830363</v>
      </c>
      <c r="HC48" s="377">
        <f t="shared" si="331"/>
        <v>10460.636187182123</v>
      </c>
      <c r="HD48" s="377">
        <f t="shared" si="332"/>
        <v>4225.6277441473412</v>
      </c>
      <c r="HE48" s="377">
        <f t="shared" si="333"/>
        <v>9561.2261602541093</v>
      </c>
      <c r="HF48" s="377">
        <f t="shared" si="334"/>
        <v>32555.87022660434</v>
      </c>
      <c r="HG48" s="377">
        <f t="shared" si="335"/>
        <v>20351.143279279815</v>
      </c>
      <c r="HH48" s="377">
        <f t="shared" si="336"/>
        <v>18304.458626738669</v>
      </c>
      <c r="HI48" s="377">
        <f t="shared" si="337"/>
        <v>16060.113037288011</v>
      </c>
      <c r="HJ48" s="377">
        <f t="shared" si="338"/>
        <v>21958.281186990582</v>
      </c>
      <c r="HK48" s="377">
        <f t="shared" si="339"/>
        <v>25388.797736106193</v>
      </c>
      <c r="HL48" s="377">
        <f t="shared" si="340"/>
        <v>25258.587349783695</v>
      </c>
      <c r="HM48" s="388">
        <f t="shared" si="341"/>
        <v>32139.24266695042</v>
      </c>
      <c r="HN48" s="378">
        <f t="shared" si="374"/>
        <v>223817.49761700831</v>
      </c>
      <c r="HO48" s="376">
        <f t="shared" si="342"/>
        <v>6021.6461547021427</v>
      </c>
      <c r="HP48" s="377">
        <f t="shared" si="343"/>
        <v>13026.157650334177</v>
      </c>
      <c r="HQ48" s="377">
        <f t="shared" si="344"/>
        <v>13366.050507258729</v>
      </c>
      <c r="HR48" s="377">
        <f t="shared" si="345"/>
        <v>47451.733912076517</v>
      </c>
      <c r="HS48" s="377">
        <f t="shared" si="346"/>
        <v>10814.000750531804</v>
      </c>
      <c r="HT48" s="377">
        <f t="shared" si="347"/>
        <v>17710.413661144154</v>
      </c>
      <c r="HU48" s="377">
        <f t="shared" si="348"/>
        <v>12108.870254011616</v>
      </c>
      <c r="HV48" s="377">
        <f t="shared" si="349"/>
        <v>14054.983107861666</v>
      </c>
      <c r="HW48" s="377">
        <f t="shared" si="350"/>
        <v>8768.9337357044187</v>
      </c>
      <c r="HX48" s="377">
        <f t="shared" si="351"/>
        <v>25298.675552018172</v>
      </c>
      <c r="HY48" s="377">
        <f t="shared" si="352"/>
        <v>24010.80937709416</v>
      </c>
      <c r="HZ48" s="388">
        <f t="shared" si="353"/>
        <v>16572.823265682957</v>
      </c>
      <c r="IA48" s="376">
        <f t="shared" si="375"/>
        <v>209205.0979284205</v>
      </c>
      <c r="IB48" s="1328">
        <f t="shared" si="354"/>
        <v>12930.185009566221</v>
      </c>
      <c r="IC48" s="129">
        <f t="shared" si="376"/>
        <v>7663.3374726190268</v>
      </c>
      <c r="ID48" s="129">
        <f t="shared" si="377"/>
        <v>7004.6315830522772</v>
      </c>
      <c r="IE48" s="129">
        <f>+IE14/$IE$37</f>
        <v>12337.557453024636</v>
      </c>
      <c r="IF48" s="129">
        <f t="shared" si="379"/>
        <v>12744.22646350843</v>
      </c>
      <c r="IG48" s="129">
        <f t="shared" si="380"/>
        <v>12999.71700642468</v>
      </c>
      <c r="IH48" s="129">
        <f t="shared" si="381"/>
        <v>23152.281942685306</v>
      </c>
      <c r="II48" s="129">
        <f t="shared" si="382"/>
        <v>21539.474274138069</v>
      </c>
      <c r="IJ48" s="129"/>
      <c r="IK48" s="129"/>
      <c r="IL48" s="129"/>
      <c r="IM48" s="1268"/>
      <c r="IN48" s="1343">
        <f t="shared" si="383"/>
        <v>110371.41120501864</v>
      </c>
      <c r="IO48" s="120"/>
      <c r="IP48" s="370">
        <f t="shared" si="355"/>
        <v>53.251513067204947</v>
      </c>
      <c r="IQ48" s="340">
        <f t="shared" si="384"/>
        <v>-17.972316447977409</v>
      </c>
      <c r="IR48" s="339">
        <f t="shared" si="356"/>
        <v>134553.85599792079</v>
      </c>
      <c r="IS48" s="341">
        <f t="shared" si="357"/>
        <v>110371.41120501864</v>
      </c>
      <c r="IU48" s="339">
        <f t="shared" si="385"/>
        <v>7484.4911662764025</v>
      </c>
      <c r="IV48"/>
      <c r="IW48"/>
      <c r="IX48"/>
      <c r="IY48"/>
      <c r="IZ48"/>
      <c r="JA48"/>
      <c r="JB48"/>
      <c r="JC48"/>
      <c r="JD48"/>
    </row>
    <row r="49" spans="1:264" ht="15" customHeight="1" x14ac:dyDescent="0.2">
      <c r="A49" s="1555" t="s">
        <v>443</v>
      </c>
      <c r="B49" s="379">
        <f t="shared" si="139"/>
        <v>0</v>
      </c>
      <c r="C49" s="380">
        <f t="shared" si="140"/>
        <v>0</v>
      </c>
      <c r="D49" s="380">
        <f t="shared" si="141"/>
        <v>0</v>
      </c>
      <c r="E49" s="380">
        <f t="shared" si="142"/>
        <v>0</v>
      </c>
      <c r="F49" s="380">
        <f t="shared" si="143"/>
        <v>0</v>
      </c>
      <c r="G49" s="380">
        <f t="shared" si="144"/>
        <v>0</v>
      </c>
      <c r="H49" s="380">
        <f t="shared" si="145"/>
        <v>0</v>
      </c>
      <c r="I49" s="380">
        <f t="shared" si="146"/>
        <v>0</v>
      </c>
      <c r="J49" s="380">
        <f t="shared" si="147"/>
        <v>0</v>
      </c>
      <c r="K49" s="380">
        <f t="shared" si="148"/>
        <v>0</v>
      </c>
      <c r="L49" s="380">
        <f t="shared" si="149"/>
        <v>0</v>
      </c>
      <c r="M49" s="389">
        <f t="shared" si="150"/>
        <v>0</v>
      </c>
      <c r="N49" s="381">
        <f t="shared" si="358"/>
        <v>0</v>
      </c>
      <c r="O49" s="379">
        <f t="shared" si="151"/>
        <v>1499.2280082535567</v>
      </c>
      <c r="P49" s="380">
        <f t="shared" si="152"/>
        <v>170.06830119742395</v>
      </c>
      <c r="Q49" s="380">
        <f t="shared" si="153"/>
        <v>71.447262791243787</v>
      </c>
      <c r="R49" s="380">
        <f t="shared" si="154"/>
        <v>187.74051436129409</v>
      </c>
      <c r="S49" s="380">
        <f t="shared" si="155"/>
        <v>5121.4118587905123</v>
      </c>
      <c r="T49" s="380">
        <f t="shared" si="156"/>
        <v>65.270262716873589</v>
      </c>
      <c r="U49" s="380">
        <f t="shared" si="157"/>
        <v>559.70923213911715</v>
      </c>
      <c r="V49" s="380">
        <f t="shared" si="158"/>
        <v>4123.899379096003</v>
      </c>
      <c r="W49" s="380">
        <f t="shared" si="159"/>
        <v>19932.189305371769</v>
      </c>
      <c r="X49" s="380">
        <f t="shared" si="160"/>
        <v>765.70382100601466</v>
      </c>
      <c r="Y49" s="380">
        <f t="shared" si="161"/>
        <v>705.81220460347095</v>
      </c>
      <c r="Z49" s="389">
        <f t="shared" si="162"/>
        <v>2321.6589441185665</v>
      </c>
      <c r="AA49" s="381">
        <f t="shared" si="359"/>
        <v>35524.139094445847</v>
      </c>
      <c r="AB49" s="379">
        <f t="shared" si="163"/>
        <v>647.49825294403047</v>
      </c>
      <c r="AC49" s="380">
        <f t="shared" si="388"/>
        <v>464.93045559499939</v>
      </c>
      <c r="AD49" s="380">
        <f t="shared" si="389"/>
        <v>13.636243682248509</v>
      </c>
      <c r="AE49" s="380">
        <f t="shared" si="166"/>
        <v>50.893375067874068</v>
      </c>
      <c r="AF49" s="380">
        <f t="shared" si="167"/>
        <v>3.6265373865490016</v>
      </c>
      <c r="AG49" s="380">
        <f t="shared" si="168"/>
        <v>0</v>
      </c>
      <c r="AH49" s="380">
        <f t="shared" si="390"/>
        <v>88.310676050458284</v>
      </c>
      <c r="AI49" s="380">
        <f t="shared" si="391"/>
        <v>153.6781873088413</v>
      </c>
      <c r="AJ49" s="380">
        <f t="shared" si="392"/>
        <v>1361.0444278639479</v>
      </c>
      <c r="AK49" s="380">
        <f t="shared" si="393"/>
        <v>797.60632063717333</v>
      </c>
      <c r="AL49" s="380">
        <f t="shared" si="394"/>
        <v>256.54071317653154</v>
      </c>
      <c r="AM49" s="389">
        <f t="shared" si="395"/>
        <v>244.39893799587608</v>
      </c>
      <c r="AN49" s="381">
        <f t="shared" si="360"/>
        <v>4082.16412770853</v>
      </c>
      <c r="AO49" s="379">
        <f t="shared" si="175"/>
        <v>0</v>
      </c>
      <c r="AP49" s="380">
        <f t="shared" si="396"/>
        <v>304.05149544410091</v>
      </c>
      <c r="AQ49" s="380">
        <f t="shared" si="397"/>
        <v>35.417938995256179</v>
      </c>
      <c r="AR49" s="380">
        <f t="shared" si="178"/>
        <v>7.0357447348542284</v>
      </c>
      <c r="AS49" s="380">
        <f t="shared" si="179"/>
        <v>31.667184743792781</v>
      </c>
      <c r="AT49" s="380">
        <f t="shared" si="180"/>
        <v>0</v>
      </c>
      <c r="AU49" s="380">
        <f t="shared" si="181"/>
        <v>0</v>
      </c>
      <c r="AV49" s="380">
        <f t="shared" si="182"/>
        <v>0</v>
      </c>
      <c r="AW49" s="380">
        <f t="shared" si="183"/>
        <v>13.000045254437435</v>
      </c>
      <c r="AX49" s="380">
        <f t="shared" si="184"/>
        <v>1.7279826211328131</v>
      </c>
      <c r="AY49" s="380">
        <f t="shared" si="185"/>
        <v>1364.4231988034655</v>
      </c>
      <c r="AZ49" s="389">
        <f t="shared" si="186"/>
        <v>1724.53079685792</v>
      </c>
      <c r="BA49" s="381">
        <f t="shared" si="361"/>
        <v>3481.85438745496</v>
      </c>
      <c r="BB49" s="379">
        <f t="shared" si="187"/>
        <v>0</v>
      </c>
      <c r="BC49" s="380">
        <f t="shared" si="188"/>
        <v>4434.5713315714529</v>
      </c>
      <c r="BD49" s="380">
        <f t="shared" si="189"/>
        <v>730.61583052799426</v>
      </c>
      <c r="BE49" s="380">
        <f t="shared" si="190"/>
        <v>205.35307847281805</v>
      </c>
      <c r="BF49" s="380">
        <f t="shared" si="191"/>
        <v>26.186831574602092</v>
      </c>
      <c r="BG49" s="380">
        <f t="shared" si="192"/>
        <v>544.22799874929808</v>
      </c>
      <c r="BH49" s="380">
        <f t="shared" si="193"/>
        <v>2306.6676211643717</v>
      </c>
      <c r="BI49" s="380">
        <f t="shared" si="194"/>
        <v>1734.6629691153546</v>
      </c>
      <c r="BJ49" s="380">
        <f t="shared" si="195"/>
        <v>251.49112646610078</v>
      </c>
      <c r="BK49" s="380">
        <f t="shared" si="196"/>
        <v>166.5346753035889</v>
      </c>
      <c r="BL49" s="380">
        <f t="shared" si="197"/>
        <v>273.19807604500562</v>
      </c>
      <c r="BM49" s="389">
        <f t="shared" si="198"/>
        <v>4738.4771774341834</v>
      </c>
      <c r="BN49" s="381">
        <f t="shared" si="362"/>
        <v>15411.98671642477</v>
      </c>
      <c r="BO49" s="379">
        <f t="shared" si="199"/>
        <v>0</v>
      </c>
      <c r="BP49" s="380">
        <f t="shared" si="200"/>
        <v>17896.214356550016</v>
      </c>
      <c r="BQ49" s="380">
        <f t="shared" si="201"/>
        <v>2322.7431915130878</v>
      </c>
      <c r="BR49" s="380">
        <f t="shared" si="202"/>
        <v>606.28944664029996</v>
      </c>
      <c r="BS49" s="380">
        <f t="shared" si="203"/>
        <v>43.695372079065983</v>
      </c>
      <c r="BT49" s="380">
        <f t="shared" si="204"/>
        <v>145.54763008620375</v>
      </c>
      <c r="BU49" s="380">
        <f t="shared" si="205"/>
        <v>1244.6993119267875</v>
      </c>
      <c r="BV49" s="380">
        <f t="shared" si="206"/>
        <v>350.58084728827367</v>
      </c>
      <c r="BW49" s="380">
        <f t="shared" si="207"/>
        <v>325.82006605401745</v>
      </c>
      <c r="BX49" s="380">
        <f t="shared" si="208"/>
        <v>1163.0617942083836</v>
      </c>
      <c r="BY49" s="380">
        <f t="shared" si="209"/>
        <v>704.91079941825956</v>
      </c>
      <c r="BZ49" s="389">
        <f t="shared" si="210"/>
        <v>446.11922881289394</v>
      </c>
      <c r="CA49" s="381">
        <f t="shared" si="363"/>
        <v>25249.68204457729</v>
      </c>
      <c r="CB49" s="379">
        <f t="shared" si="211"/>
        <v>0</v>
      </c>
      <c r="CC49" s="380">
        <f t="shared" si="212"/>
        <v>12719.431836521459</v>
      </c>
      <c r="CD49" s="380">
        <f t="shared" si="213"/>
        <v>1861.5587114426562</v>
      </c>
      <c r="CE49" s="380">
        <f t="shared" si="214"/>
        <v>1.5958062278650751</v>
      </c>
      <c r="CF49" s="380">
        <f t="shared" si="215"/>
        <v>183.89266618618794</v>
      </c>
      <c r="CG49" s="380">
        <f t="shared" si="216"/>
        <v>1456.8692564592864</v>
      </c>
      <c r="CH49" s="380">
        <f t="shared" si="217"/>
        <v>0</v>
      </c>
      <c r="CI49" s="380">
        <f t="shared" si="218"/>
        <v>335.85479157837216</v>
      </c>
      <c r="CJ49" s="380">
        <f t="shared" si="219"/>
        <v>2128.1639097665425</v>
      </c>
      <c r="CK49" s="380">
        <f t="shared" si="220"/>
        <v>0</v>
      </c>
      <c r="CL49" s="380">
        <f t="shared" si="221"/>
        <v>1756.3912936698437</v>
      </c>
      <c r="CM49" s="389">
        <f t="shared" si="222"/>
        <v>110.2113750744259</v>
      </c>
      <c r="CN49" s="381">
        <f t="shared" si="364"/>
        <v>20553.969646926638</v>
      </c>
      <c r="CO49" s="379">
        <f t="shared" si="223"/>
        <v>81.732362182434798</v>
      </c>
      <c r="CP49" s="380">
        <f t="shared" si="224"/>
        <v>6461.0501050344865</v>
      </c>
      <c r="CQ49" s="380">
        <f t="shared" si="225"/>
        <v>218.51333208805067</v>
      </c>
      <c r="CR49" s="380">
        <f t="shared" si="226"/>
        <v>545.32301174879774</v>
      </c>
      <c r="CS49" s="380">
        <f t="shared" si="227"/>
        <v>1182.3996175881039</v>
      </c>
      <c r="CT49" s="380">
        <f t="shared" si="228"/>
        <v>194.24310410809812</v>
      </c>
      <c r="CU49" s="380">
        <f t="shared" si="229"/>
        <v>278.21243099863949</v>
      </c>
      <c r="CV49" s="380">
        <f t="shared" si="230"/>
        <v>381.4746488900376</v>
      </c>
      <c r="CW49" s="380">
        <f t="shared" si="231"/>
        <v>1763.6959640216073</v>
      </c>
      <c r="CX49" s="380">
        <f t="shared" si="232"/>
        <v>681.84010651267795</v>
      </c>
      <c r="CY49" s="380">
        <f t="shared" si="233"/>
        <v>949.97798295927419</v>
      </c>
      <c r="CZ49" s="389">
        <f t="shared" si="234"/>
        <v>9000.9528307773999</v>
      </c>
      <c r="DA49" s="381">
        <f t="shared" si="365"/>
        <v>21739.415496909605</v>
      </c>
      <c r="DB49" s="379">
        <f t="shared" si="235"/>
        <v>0</v>
      </c>
      <c r="DC49" s="380">
        <f t="shared" si="236"/>
        <v>1245.1811930619783</v>
      </c>
      <c r="DD49" s="380">
        <f t="shared" si="237"/>
        <v>1791.7617229921279</v>
      </c>
      <c r="DE49" s="380">
        <f t="shared" si="238"/>
        <v>961.77341178068843</v>
      </c>
      <c r="DF49" s="380">
        <f t="shared" si="239"/>
        <v>1531.1486819111317</v>
      </c>
      <c r="DG49" s="380">
        <f t="shared" si="240"/>
        <v>2173.8958282854787</v>
      </c>
      <c r="DH49" s="380">
        <f t="shared" si="241"/>
        <v>121.74775416810043</v>
      </c>
      <c r="DI49" s="380">
        <f t="shared" si="242"/>
        <v>3820.5578835596648</v>
      </c>
      <c r="DJ49" s="380">
        <f t="shared" si="243"/>
        <v>3276.6536730023495</v>
      </c>
      <c r="DK49" s="380">
        <f t="shared" si="244"/>
        <v>-2684.7212335719069</v>
      </c>
      <c r="DL49" s="380">
        <f t="shared" si="245"/>
        <v>574.68102828204962</v>
      </c>
      <c r="DM49" s="389">
        <f t="shared" si="246"/>
        <v>3273.0903918899039</v>
      </c>
      <c r="DN49" s="381">
        <f t="shared" si="366"/>
        <v>16085.770335361565</v>
      </c>
      <c r="DO49" s="379">
        <f t="shared" si="247"/>
        <v>118.8027604013881</v>
      </c>
      <c r="DP49" s="380">
        <f t="shared" si="248"/>
        <v>3189.4509236828267</v>
      </c>
      <c r="DQ49" s="380">
        <f t="shared" si="249"/>
        <v>4829.6434551469074</v>
      </c>
      <c r="DR49" s="380">
        <f t="shared" si="250"/>
        <v>0</v>
      </c>
      <c r="DS49" s="380">
        <f t="shared" si="251"/>
        <v>449.14943456489328</v>
      </c>
      <c r="DT49" s="380">
        <f t="shared" si="252"/>
        <v>723.26242013732144</v>
      </c>
      <c r="DU49" s="380">
        <f t="shared" si="253"/>
        <v>0</v>
      </c>
      <c r="DV49" s="380">
        <f t="shared" si="254"/>
        <v>2766.2430348300973</v>
      </c>
      <c r="DW49" s="380">
        <f t="shared" si="255"/>
        <v>3365.6235037722026</v>
      </c>
      <c r="DX49" s="380">
        <f t="shared" si="256"/>
        <v>1082.2582529676927</v>
      </c>
      <c r="DY49" s="380">
        <f t="shared" si="257"/>
        <v>586.25486753117855</v>
      </c>
      <c r="DZ49" s="389">
        <f t="shared" si="258"/>
        <v>3151.4924407233066</v>
      </c>
      <c r="EA49" s="381">
        <f t="shared" si="367"/>
        <v>20262.181093757812</v>
      </c>
      <c r="EB49" s="379">
        <f t="shared" si="259"/>
        <v>0</v>
      </c>
      <c r="EC49" s="380">
        <f t="shared" si="260"/>
        <v>0</v>
      </c>
      <c r="ED49" s="380">
        <f t="shared" si="261"/>
        <v>3852.4233332394447</v>
      </c>
      <c r="EE49" s="380">
        <f t="shared" si="262"/>
        <v>4322.2516592356069</v>
      </c>
      <c r="EF49" s="380">
        <f t="shared" si="263"/>
        <v>0</v>
      </c>
      <c r="EG49" s="380">
        <f t="shared" si="264"/>
        <v>1815.5735532938431</v>
      </c>
      <c r="EH49" s="380">
        <f t="shared" si="265"/>
        <v>61.805554891633463</v>
      </c>
      <c r="EI49" s="380">
        <f t="shared" si="266"/>
        <v>0</v>
      </c>
      <c r="EJ49" s="380">
        <f t="shared" si="267"/>
        <v>806.57245890409104</v>
      </c>
      <c r="EK49" s="380">
        <f t="shared" si="268"/>
        <v>372.89192863659554</v>
      </c>
      <c r="EL49" s="380">
        <f t="shared" si="269"/>
        <v>0</v>
      </c>
      <c r="EM49" s="389">
        <f t="shared" si="270"/>
        <v>458.54699968513137</v>
      </c>
      <c r="EN49" s="381">
        <f t="shared" si="368"/>
        <v>11690.065487886346</v>
      </c>
      <c r="EO49" s="379">
        <f t="shared" si="271"/>
        <v>0</v>
      </c>
      <c r="EP49" s="380">
        <f t="shared" si="272"/>
        <v>0</v>
      </c>
      <c r="EQ49" s="380">
        <f t="shared" si="273"/>
        <v>0</v>
      </c>
      <c r="ER49" s="380">
        <f t="shared" si="274"/>
        <v>4114.1544948430164</v>
      </c>
      <c r="ES49" s="380">
        <f t="shared" si="275"/>
        <v>1251.6213179777471</v>
      </c>
      <c r="ET49" s="380">
        <f t="shared" si="276"/>
        <v>1873.8946870347954</v>
      </c>
      <c r="EU49" s="380">
        <f t="shared" si="277"/>
        <v>145.41006884678265</v>
      </c>
      <c r="EV49" s="380">
        <f t="shared" si="278"/>
        <v>76.4857237482682</v>
      </c>
      <c r="EW49" s="380">
        <f t="shared" si="279"/>
        <v>0</v>
      </c>
      <c r="EX49" s="380">
        <f t="shared" si="280"/>
        <v>0</v>
      </c>
      <c r="EY49" s="380">
        <f t="shared" si="281"/>
        <v>-8.3247383326265645</v>
      </c>
      <c r="EZ49" s="389">
        <f t="shared" si="282"/>
        <v>0</v>
      </c>
      <c r="FA49" s="381">
        <f t="shared" si="369"/>
        <v>7453.2415541179835</v>
      </c>
      <c r="FB49" s="379">
        <f t="shared" si="283"/>
        <v>0</v>
      </c>
      <c r="FC49" s="380">
        <f t="shared" si="284"/>
        <v>0</v>
      </c>
      <c r="FD49" s="380">
        <f t="shared" si="285"/>
        <v>0</v>
      </c>
      <c r="FE49" s="380">
        <f t="shared" si="286"/>
        <v>0</v>
      </c>
      <c r="FF49" s="380">
        <f t="shared" si="287"/>
        <v>0</v>
      </c>
      <c r="FG49" s="380">
        <f t="shared" si="288"/>
        <v>0</v>
      </c>
      <c r="FH49" s="380">
        <f t="shared" si="289"/>
        <v>5914.7530052099046</v>
      </c>
      <c r="FI49" s="380">
        <f t="shared" si="290"/>
        <v>0</v>
      </c>
      <c r="FJ49" s="380">
        <f t="shared" si="291"/>
        <v>0</v>
      </c>
      <c r="FK49" s="380">
        <f t="shared" si="292"/>
        <v>251.95846153497001</v>
      </c>
      <c r="FL49" s="380">
        <f t="shared" si="293"/>
        <v>0</v>
      </c>
      <c r="FM49" s="389">
        <f t="shared" si="294"/>
        <v>0</v>
      </c>
      <c r="FN49" s="381">
        <f t="shared" si="370"/>
        <v>6166.711466744875</v>
      </c>
      <c r="FO49" s="379">
        <f t="shared" si="295"/>
        <v>0</v>
      </c>
      <c r="FP49" s="380">
        <f t="shared" si="296"/>
        <v>0</v>
      </c>
      <c r="FQ49" s="380">
        <f t="shared" si="297"/>
        <v>0</v>
      </c>
      <c r="FR49" s="380">
        <f t="shared" si="298"/>
        <v>0</v>
      </c>
      <c r="FS49" s="380">
        <f t="shared" si="299"/>
        <v>0</v>
      </c>
      <c r="FT49" s="380">
        <f t="shared" si="300"/>
        <v>0</v>
      </c>
      <c r="FU49" s="380">
        <f t="shared" si="301"/>
        <v>2658.2216225830666</v>
      </c>
      <c r="FV49" s="380">
        <f t="shared" si="302"/>
        <v>0</v>
      </c>
      <c r="FW49" s="380">
        <f t="shared" si="303"/>
        <v>0</v>
      </c>
      <c r="FX49" s="380">
        <f t="shared" si="304"/>
        <v>0</v>
      </c>
      <c r="FY49" s="380">
        <f t="shared" si="305"/>
        <v>0</v>
      </c>
      <c r="FZ49" s="389">
        <f t="shared" si="306"/>
        <v>879.11020532720806</v>
      </c>
      <c r="GA49" s="381">
        <f t="shared" si="371"/>
        <v>3537.3318279102746</v>
      </c>
      <c r="GB49" s="379">
        <f>+GB16/$GB$37</f>
        <v>4451.1870383805199</v>
      </c>
      <c r="GC49" s="380">
        <f>+GC16/$GC$37</f>
        <v>9450.0650736906537</v>
      </c>
      <c r="GD49" s="380">
        <f>+GD16/$GD$37</f>
        <v>7919.0093973155299</v>
      </c>
      <c r="GE49" s="380">
        <f>+GE16/$GE$37</f>
        <v>18993.430620181873</v>
      </c>
      <c r="GF49" s="380">
        <f>+GF16/$GF$37</f>
        <v>8637.3904629835979</v>
      </c>
      <c r="GG49" s="380">
        <f>+GG16/$GG$37</f>
        <v>15870.029270860252</v>
      </c>
      <c r="GH49" s="380">
        <f>+GH16/$GH$37</f>
        <v>22405.962485110766</v>
      </c>
      <c r="GI49" s="380">
        <f>+GI16/$GI$37</f>
        <v>18976.297528569401</v>
      </c>
      <c r="GJ49" s="380">
        <f>+GJ16/$GJ$37</f>
        <v>10662.083376268381</v>
      </c>
      <c r="GK49" s="380">
        <f>+GK16/$GK$37</f>
        <v>9586.126094415391</v>
      </c>
      <c r="GL49" s="380">
        <f>+GL16/$GL$37</f>
        <v>22014.96168557831</v>
      </c>
      <c r="GM49" s="389">
        <f>+GM16/$GM$37</f>
        <v>16871.217973294595</v>
      </c>
      <c r="GN49" s="381">
        <f t="shared" si="372"/>
        <v>165837.76100664929</v>
      </c>
      <c r="GO49" s="379">
        <f>+GO16/$GO$37</f>
        <v>7378.3421230176782</v>
      </c>
      <c r="GP49" s="380">
        <f>+GP16/$GP$37</f>
        <v>12416.55825263823</v>
      </c>
      <c r="GQ49" s="380">
        <f>+GQ16/$GQ$37</f>
        <v>18207.062397503611</v>
      </c>
      <c r="GR49" s="380">
        <f>+GR16/$GR$37</f>
        <v>14918.125426366198</v>
      </c>
      <c r="GS49" s="380">
        <f>+GS16/$GS$37</f>
        <v>12280.39830694649</v>
      </c>
      <c r="GT49" s="380">
        <f>+GT16/$GT$37</f>
        <v>14967.469643233537</v>
      </c>
      <c r="GU49" s="380">
        <f>+GU16/$GU$37</f>
        <v>9155.0080632521713</v>
      </c>
      <c r="GV49" s="380">
        <f>+GV16/$GV$37</f>
        <v>10130.433274855501</v>
      </c>
      <c r="GW49" s="380">
        <f>+GW16/$GW$37</f>
        <v>17775.947364519783</v>
      </c>
      <c r="GX49" s="380">
        <f>+GX16/$GX$37</f>
        <v>17404.120648245022</v>
      </c>
      <c r="GY49" s="380">
        <f>+GY16/$GY$37</f>
        <v>24929.349998284855</v>
      </c>
      <c r="GZ49" s="389">
        <f>+GZ16/$GZ$37</f>
        <v>18675.641356688149</v>
      </c>
      <c r="HA49" s="381">
        <f t="shared" si="373"/>
        <v>178238.45685555122</v>
      </c>
      <c r="HB49" s="379">
        <f>+HB16/$HB$37</f>
        <v>7543.8308845364063</v>
      </c>
      <c r="HC49" s="380">
        <f>+HC16/$HC$37</f>
        <v>9982.6039741775348</v>
      </c>
      <c r="HD49" s="380">
        <f>+HD16/$HD$37</f>
        <v>4065.8209624220235</v>
      </c>
      <c r="HE49" s="380">
        <f>+HE16/$HE$37</f>
        <v>9403.0224533250675</v>
      </c>
      <c r="HF49" s="380">
        <f>+HF16/$HF$37</f>
        <v>32447.498523854472</v>
      </c>
      <c r="HG49" s="380">
        <f>+HG16/$HG$37</f>
        <v>20278.79512476092</v>
      </c>
      <c r="HH49" s="380">
        <f>+HH16/$HH$37</f>
        <v>17418.217568395536</v>
      </c>
      <c r="HI49" s="380">
        <f>+HI16/$HI$37</f>
        <v>15956.895357527777</v>
      </c>
      <c r="HJ49" s="380">
        <f>+HJ16/$HJ$37</f>
        <v>20616.578864959345</v>
      </c>
      <c r="HK49" s="380">
        <f>+HK16/$HK$37</f>
        <v>25374.803249425502</v>
      </c>
      <c r="HL49" s="380">
        <f>+HL16/$HL$37</f>
        <v>18500.854007281287</v>
      </c>
      <c r="HM49" s="389">
        <f>+HM16/$HM$37</f>
        <v>27940.900810806001</v>
      </c>
      <c r="HN49" s="381">
        <f t="shared" si="374"/>
        <v>209529.82178147184</v>
      </c>
      <c r="HO49" s="379">
        <f>+HO16/$HO$37</f>
        <v>6021.6461547021427</v>
      </c>
      <c r="HP49" s="380">
        <f>+HP16/$HP$37</f>
        <v>12938.535253114705</v>
      </c>
      <c r="HQ49" s="380">
        <f>+HQ16/$HQ$37</f>
        <v>13313.456596055086</v>
      </c>
      <c r="HR49" s="380">
        <f>+HR16/$HR$37</f>
        <v>47343.018637721638</v>
      </c>
      <c r="HS49" s="380">
        <f>+HS16/$HS$37</f>
        <v>8452.303384823852</v>
      </c>
      <c r="HT49" s="380">
        <f>+HT16/$HT$37</f>
        <v>17681.737294636929</v>
      </c>
      <c r="HU49" s="380">
        <f>+HU16/$HU$37</f>
        <v>11727.579492196364</v>
      </c>
      <c r="HV49" s="380">
        <f>+HV16/$HV$37</f>
        <v>13970.005392082518</v>
      </c>
      <c r="HW49" s="380">
        <f>+HW16/$HW$37</f>
        <v>8598.4435498154962</v>
      </c>
      <c r="HX49" s="380">
        <f>+HX16/$HX$37</f>
        <v>19457.545729764664</v>
      </c>
      <c r="HY49" s="380">
        <f>+HY16/$HY$37</f>
        <v>23268.229775477303</v>
      </c>
      <c r="HZ49" s="389">
        <f>+HZ16/$HZ$37</f>
        <v>12223.778052962887</v>
      </c>
      <c r="IA49" s="379">
        <f t="shared" si="375"/>
        <v>194996.27931335362</v>
      </c>
      <c r="IB49" s="1344">
        <f>+IB16/$IB$37</f>
        <v>12930.185009566221</v>
      </c>
      <c r="IC49" s="120">
        <f>+IC16/$IC$37</f>
        <v>7623.4754492827587</v>
      </c>
      <c r="ID49" s="120">
        <f>+ID16/$ID$37</f>
        <v>6910.7600260114486</v>
      </c>
      <c r="IE49" s="120">
        <f>+IE16/$IE$37</f>
        <v>10108.498496369015</v>
      </c>
      <c r="IF49" s="120">
        <f t="shared" si="379"/>
        <v>0</v>
      </c>
      <c r="IG49" s="120">
        <f t="shared" si="380"/>
        <v>0</v>
      </c>
      <c r="IH49" s="120">
        <f t="shared" si="381"/>
        <v>1370.9179301085383</v>
      </c>
      <c r="II49" s="120">
        <f t="shared" si="382"/>
        <v>22.189848157026145</v>
      </c>
      <c r="IM49" s="1345"/>
      <c r="IN49" s="1346">
        <f t="shared" si="383"/>
        <v>38966.026759495006</v>
      </c>
      <c r="IP49" s="371">
        <f t="shared" si="355"/>
        <v>-99.84116077600369</v>
      </c>
      <c r="IQ49" s="348">
        <f>IFERROR(((IS49/IR49)-1)*100,"")</f>
        <v>-70.356381912525251</v>
      </c>
      <c r="IR49" s="320">
        <f t="shared" si="356"/>
        <v>131448.28220533323</v>
      </c>
      <c r="IS49" s="344">
        <f t="shared" si="357"/>
        <v>38966.026759495006</v>
      </c>
      <c r="IU49" s="320">
        <f t="shared" si="385"/>
        <v>-13947.815543925492</v>
      </c>
    </row>
    <row r="50" spans="1:264" ht="15" customHeight="1" x14ac:dyDescent="0.2">
      <c r="A50" s="1554" t="s">
        <v>437</v>
      </c>
      <c r="B50" s="379">
        <f t="shared" si="139"/>
        <v>1307.493947571628</v>
      </c>
      <c r="C50" s="380">
        <f t="shared" si="140"/>
        <v>4140.2367662232364</v>
      </c>
      <c r="D50" s="380">
        <f t="shared" si="141"/>
        <v>9804.9200395925382</v>
      </c>
      <c r="E50" s="380">
        <f t="shared" si="142"/>
        <v>44103.497759912243</v>
      </c>
      <c r="F50" s="380">
        <f t="shared" si="143"/>
        <v>12497.527293000327</v>
      </c>
      <c r="G50" s="380">
        <f t="shared" si="144"/>
        <v>23799.620026271135</v>
      </c>
      <c r="H50" s="380">
        <f t="shared" si="145"/>
        <v>8461.9532368978507</v>
      </c>
      <c r="I50" s="380">
        <f t="shared" si="146"/>
        <v>4386.0228056643673</v>
      </c>
      <c r="J50" s="380">
        <f t="shared" si="147"/>
        <v>7360.5124456467056</v>
      </c>
      <c r="K50" s="380">
        <f t="shared" si="148"/>
        <v>49610.443794747604</v>
      </c>
      <c r="L50" s="380">
        <f t="shared" si="149"/>
        <v>51912.215943872092</v>
      </c>
      <c r="M50" s="389">
        <f t="shared" si="150"/>
        <v>19637.395819524791</v>
      </c>
      <c r="N50" s="381">
        <f t="shared" si="358"/>
        <v>237021.83987892451</v>
      </c>
      <c r="O50" s="379">
        <f t="shared" si="151"/>
        <v>5820.5322673373375</v>
      </c>
      <c r="P50" s="380">
        <f t="shared" si="152"/>
        <v>9573.4664252430975</v>
      </c>
      <c r="Q50" s="380">
        <f t="shared" si="153"/>
        <v>8444.5168675958521</v>
      </c>
      <c r="R50" s="380">
        <f t="shared" si="154"/>
        <v>7241.2890100231816</v>
      </c>
      <c r="S50" s="380">
        <f t="shared" si="155"/>
        <v>16561.674807040446</v>
      </c>
      <c r="T50" s="380">
        <f t="shared" si="156"/>
        <v>21579.635873463245</v>
      </c>
      <c r="U50" s="380">
        <f t="shared" si="157"/>
        <v>11729.119859728416</v>
      </c>
      <c r="V50" s="380">
        <f t="shared" si="158"/>
        <v>14485.598844655169</v>
      </c>
      <c r="W50" s="380">
        <f t="shared" si="159"/>
        <v>14972.610019812231</v>
      </c>
      <c r="X50" s="380">
        <f t="shared" si="160"/>
        <v>21464.525719461522</v>
      </c>
      <c r="Y50" s="380">
        <f t="shared" si="161"/>
        <v>15094.442753729771</v>
      </c>
      <c r="Z50" s="389">
        <f t="shared" si="162"/>
        <v>32972.877283795329</v>
      </c>
      <c r="AA50" s="381">
        <f t="shared" si="359"/>
        <v>179940.28973188557</v>
      </c>
      <c r="AB50" s="379">
        <f t="shared" si="163"/>
        <v>1851.954748886528</v>
      </c>
      <c r="AC50" s="380">
        <f t="shared" si="388"/>
        <v>16949.905805642789</v>
      </c>
      <c r="AD50" s="380">
        <f t="shared" si="389"/>
        <v>7969.0208079060285</v>
      </c>
      <c r="AE50" s="380">
        <f t="shared" si="166"/>
        <v>14758.16995941441</v>
      </c>
      <c r="AF50" s="380">
        <f t="shared" si="167"/>
        <v>11740.008154605755</v>
      </c>
      <c r="AG50" s="380">
        <f t="shared" si="168"/>
        <v>10018.648670371531</v>
      </c>
      <c r="AH50" s="380">
        <f t="shared" si="390"/>
        <v>12536.511481775262</v>
      </c>
      <c r="AI50" s="380">
        <f t="shared" si="391"/>
        <v>8145.8426302183479</v>
      </c>
      <c r="AJ50" s="380">
        <f t="shared" si="392"/>
        <v>18099.014178457637</v>
      </c>
      <c r="AK50" s="380">
        <f t="shared" si="393"/>
        <v>13977.015501368796</v>
      </c>
      <c r="AL50" s="380">
        <f t="shared" si="394"/>
        <v>18628.456348029194</v>
      </c>
      <c r="AM50" s="389">
        <f t="shared" si="395"/>
        <v>9398.5768067531753</v>
      </c>
      <c r="AN50" s="381">
        <f t="shared" si="360"/>
        <v>144073.12509342947</v>
      </c>
      <c r="AO50" s="379">
        <f t="shared" si="175"/>
        <v>1642.3889889080845</v>
      </c>
      <c r="AP50" s="380">
        <f t="shared" si="396"/>
        <v>4546.506085834224</v>
      </c>
      <c r="AQ50" s="380">
        <f t="shared" si="397"/>
        <v>7743.2469128378825</v>
      </c>
      <c r="AR50" s="380">
        <f t="shared" si="178"/>
        <v>10963.449233086601</v>
      </c>
      <c r="AS50" s="380">
        <f t="shared" si="179"/>
        <v>3681.310226465911</v>
      </c>
      <c r="AT50" s="380">
        <f t="shared" si="180"/>
        <v>12325.561472317617</v>
      </c>
      <c r="AU50" s="380">
        <f t="shared" si="181"/>
        <v>14121.798632605385</v>
      </c>
      <c r="AV50" s="380">
        <f t="shared" si="182"/>
        <v>4318.9539880373832</v>
      </c>
      <c r="AW50" s="380">
        <f t="shared" si="183"/>
        <v>6070.1544641386536</v>
      </c>
      <c r="AX50" s="380">
        <f t="shared" si="184"/>
        <v>4182.5819344519741</v>
      </c>
      <c r="AY50" s="380">
        <f t="shared" si="185"/>
        <v>4049.3947016191128</v>
      </c>
      <c r="AZ50" s="389">
        <f t="shared" si="186"/>
        <v>9177.7641462632691</v>
      </c>
      <c r="BA50" s="381">
        <f t="shared" si="361"/>
        <v>82823.110786566103</v>
      </c>
      <c r="BB50" s="379">
        <f t="shared" si="187"/>
        <v>1316.593066490964</v>
      </c>
      <c r="BC50" s="380">
        <f t="shared" si="188"/>
        <v>5823.1571809554098</v>
      </c>
      <c r="BD50" s="380">
        <f t="shared" si="189"/>
        <v>4077.0062450044707</v>
      </c>
      <c r="BE50" s="380">
        <f t="shared" si="190"/>
        <v>3774.1022570354135</v>
      </c>
      <c r="BF50" s="380">
        <f t="shared" si="191"/>
        <v>27562.062600519905</v>
      </c>
      <c r="BG50" s="380">
        <f t="shared" si="192"/>
        <v>4267.6263877080046</v>
      </c>
      <c r="BH50" s="380">
        <f t="shared" si="193"/>
        <v>21658.359377052879</v>
      </c>
      <c r="BI50" s="380">
        <f t="shared" si="194"/>
        <v>12454.292096902784</v>
      </c>
      <c r="BJ50" s="380">
        <f t="shared" si="195"/>
        <v>13659.059586271813</v>
      </c>
      <c r="BK50" s="380">
        <f t="shared" si="196"/>
        <v>24401.095791467564</v>
      </c>
      <c r="BL50" s="380">
        <f t="shared" si="197"/>
        <v>41961.045600151767</v>
      </c>
      <c r="BM50" s="389">
        <f t="shared" si="198"/>
        <v>22875.752935618049</v>
      </c>
      <c r="BN50" s="381">
        <f t="shared" si="362"/>
        <v>183830.15312517903</v>
      </c>
      <c r="BO50" s="379">
        <f t="shared" si="199"/>
        <v>5858.1835073719722</v>
      </c>
      <c r="BP50" s="380">
        <f t="shared" si="200"/>
        <v>7038.32532685347</v>
      </c>
      <c r="BQ50" s="380">
        <f t="shared" si="201"/>
        <v>21406.500621677304</v>
      </c>
      <c r="BR50" s="380">
        <f t="shared" si="202"/>
        <v>10600.979234579851</v>
      </c>
      <c r="BS50" s="380">
        <f t="shared" si="203"/>
        <v>10305.51228279858</v>
      </c>
      <c r="BT50" s="380">
        <f t="shared" si="204"/>
        <v>14544.895372682327</v>
      </c>
      <c r="BU50" s="380">
        <f t="shared" si="205"/>
        <v>14716.402180106794</v>
      </c>
      <c r="BV50" s="380">
        <f t="shared" si="206"/>
        <v>12097.072763042241</v>
      </c>
      <c r="BW50" s="380">
        <f t="shared" si="207"/>
        <v>14717.966774320377</v>
      </c>
      <c r="BX50" s="380">
        <f t="shared" si="208"/>
        <v>13976.234186269461</v>
      </c>
      <c r="BY50" s="380">
        <f t="shared" si="209"/>
        <v>15781.53646549794</v>
      </c>
      <c r="BZ50" s="389">
        <f t="shared" si="210"/>
        <v>19135.995845746518</v>
      </c>
      <c r="CA50" s="381">
        <f t="shared" si="363"/>
        <v>160179.60456094681</v>
      </c>
      <c r="CB50" s="379">
        <f t="shared" si="211"/>
        <v>9573.5234959234167</v>
      </c>
      <c r="CC50" s="380">
        <f t="shared" si="212"/>
        <v>17699.471458531032</v>
      </c>
      <c r="CD50" s="380">
        <f t="shared" si="213"/>
        <v>5574.2629401589693</v>
      </c>
      <c r="CE50" s="380">
        <f t="shared" si="214"/>
        <v>11390.864854500905</v>
      </c>
      <c r="CF50" s="380">
        <f t="shared" si="215"/>
        <v>14264.816819871436</v>
      </c>
      <c r="CG50" s="380">
        <f t="shared" si="216"/>
        <v>11501.557561496089</v>
      </c>
      <c r="CH50" s="380">
        <f t="shared" si="217"/>
        <v>12709.051780822918</v>
      </c>
      <c r="CI50" s="380">
        <f t="shared" si="218"/>
        <v>9214.6197887528378</v>
      </c>
      <c r="CJ50" s="380">
        <f t="shared" si="219"/>
        <v>8016.0049756200942</v>
      </c>
      <c r="CK50" s="380">
        <f t="shared" si="220"/>
        <v>6543.8918266369674</v>
      </c>
      <c r="CL50" s="380">
        <f t="shared" si="221"/>
        <v>7688.3543421019567</v>
      </c>
      <c r="CM50" s="389">
        <f t="shared" si="222"/>
        <v>26054.756291701957</v>
      </c>
      <c r="CN50" s="381">
        <f t="shared" si="364"/>
        <v>140231.17613611859</v>
      </c>
      <c r="CO50" s="379">
        <f t="shared" si="223"/>
        <v>1156.0413920227077</v>
      </c>
      <c r="CP50" s="380">
        <f t="shared" si="224"/>
        <v>25607.572099531542</v>
      </c>
      <c r="CQ50" s="380">
        <f t="shared" si="225"/>
        <v>2552.9511361034533</v>
      </c>
      <c r="CR50" s="380">
        <f t="shared" si="226"/>
        <v>4385.8222905137682</v>
      </c>
      <c r="CS50" s="380">
        <f t="shared" si="227"/>
        <v>4718.8143696056832</v>
      </c>
      <c r="CT50" s="380">
        <f t="shared" si="228"/>
        <v>9321.3657192743849</v>
      </c>
      <c r="CU50" s="380">
        <f t="shared" si="229"/>
        <v>9656.4171792220077</v>
      </c>
      <c r="CV50" s="380">
        <f t="shared" si="230"/>
        <v>8347.5181153322992</v>
      </c>
      <c r="CW50" s="380">
        <f t="shared" si="231"/>
        <v>10036.396756851485</v>
      </c>
      <c r="CX50" s="380">
        <f t="shared" si="232"/>
        <v>7931.2370918096794</v>
      </c>
      <c r="CY50" s="380">
        <f t="shared" si="233"/>
        <v>12297.4422626618</v>
      </c>
      <c r="CZ50" s="389">
        <f t="shared" si="234"/>
        <v>26241.906552134933</v>
      </c>
      <c r="DA50" s="381">
        <f t="shared" si="365"/>
        <v>122253.48496506375</v>
      </c>
      <c r="DB50" s="379">
        <f t="shared" si="235"/>
        <v>448.57644978966243</v>
      </c>
      <c r="DC50" s="380">
        <f t="shared" si="236"/>
        <v>2597.6279949238738</v>
      </c>
      <c r="DD50" s="380">
        <f t="shared" si="237"/>
        <v>7735.2210213567769</v>
      </c>
      <c r="DE50" s="380">
        <f t="shared" si="238"/>
        <v>4815.5771059623767</v>
      </c>
      <c r="DF50" s="380">
        <f t="shared" si="239"/>
        <v>4940.1492944071497</v>
      </c>
      <c r="DG50" s="380">
        <f t="shared" si="240"/>
        <v>4546.1615082976232</v>
      </c>
      <c r="DH50" s="380">
        <f t="shared" si="241"/>
        <v>7845.3065002956428</v>
      </c>
      <c r="DI50" s="380">
        <f t="shared" si="242"/>
        <v>9966.7370615843029</v>
      </c>
      <c r="DJ50" s="380">
        <f t="shared" si="243"/>
        <v>6914.2633374663228</v>
      </c>
      <c r="DK50" s="380">
        <f t="shared" si="244"/>
        <v>5792.1463853540672</v>
      </c>
      <c r="DL50" s="380">
        <f t="shared" si="245"/>
        <v>5669.8440736755792</v>
      </c>
      <c r="DM50" s="389">
        <f t="shared" si="246"/>
        <v>13877.757141506412</v>
      </c>
      <c r="DN50" s="381">
        <f t="shared" si="366"/>
        <v>75149.367874619798</v>
      </c>
      <c r="DO50" s="379">
        <f t="shared" si="247"/>
        <v>602.03116620580715</v>
      </c>
      <c r="DP50" s="380">
        <f t="shared" si="248"/>
        <v>4258.1712673587808</v>
      </c>
      <c r="DQ50" s="380">
        <f t="shared" si="249"/>
        <v>6067.535436671048</v>
      </c>
      <c r="DR50" s="380">
        <f t="shared" si="250"/>
        <v>3867.8902159626336</v>
      </c>
      <c r="DS50" s="380">
        <f t="shared" si="251"/>
        <v>62632.516650193866</v>
      </c>
      <c r="DT50" s="380">
        <f t="shared" si="252"/>
        <v>39568.963743292719</v>
      </c>
      <c r="DU50" s="380">
        <f t="shared" si="253"/>
        <v>15188.510822883749</v>
      </c>
      <c r="DV50" s="380">
        <f t="shared" si="254"/>
        <v>16334.313783427797</v>
      </c>
      <c r="DW50" s="380">
        <f t="shared" si="255"/>
        <v>16299.571914283959</v>
      </c>
      <c r="DX50" s="380">
        <f t="shared" si="256"/>
        <v>21484.483574392605</v>
      </c>
      <c r="DY50" s="380">
        <f t="shared" si="257"/>
        <v>23980.856434788297</v>
      </c>
      <c r="DZ50" s="389">
        <f t="shared" si="258"/>
        <v>35418.248187314653</v>
      </c>
      <c r="EA50" s="381">
        <f t="shared" si="367"/>
        <v>245703.09319677591</v>
      </c>
      <c r="EB50" s="379">
        <f t="shared" si="259"/>
        <v>10631.476510682909</v>
      </c>
      <c r="EC50" s="380">
        <f t="shared" si="260"/>
        <v>17982.767538123906</v>
      </c>
      <c r="ED50" s="380">
        <f t="shared" si="261"/>
        <v>15458.286318797194</v>
      </c>
      <c r="EE50" s="380">
        <f t="shared" si="262"/>
        <v>21052.37111971065</v>
      </c>
      <c r="EF50" s="380">
        <f t="shared" si="263"/>
        <v>27191.829276679182</v>
      </c>
      <c r="EG50" s="380">
        <f t="shared" si="264"/>
        <v>17538.183805855766</v>
      </c>
      <c r="EH50" s="380">
        <f t="shared" si="265"/>
        <v>17147.844643382166</v>
      </c>
      <c r="EI50" s="380">
        <f t="shared" si="266"/>
        <v>30624.268581217599</v>
      </c>
      <c r="EJ50" s="380">
        <f t="shared" si="267"/>
        <v>15106.061188184434</v>
      </c>
      <c r="EK50" s="380">
        <f t="shared" si="268"/>
        <v>18612.755565058153</v>
      </c>
      <c r="EL50" s="380">
        <f t="shared" si="269"/>
        <v>34059.282024347725</v>
      </c>
      <c r="EM50" s="389">
        <f t="shared" si="270"/>
        <v>44465.655287928486</v>
      </c>
      <c r="EN50" s="381">
        <f t="shared" si="368"/>
        <v>269870.78185996815</v>
      </c>
      <c r="EO50" s="379">
        <f t="shared" si="271"/>
        <v>10785.940757135406</v>
      </c>
      <c r="EP50" s="380">
        <f t="shared" si="272"/>
        <v>11233.088800252182</v>
      </c>
      <c r="EQ50" s="380">
        <f t="shared" si="273"/>
        <v>23882.281794533679</v>
      </c>
      <c r="ER50" s="380">
        <f t="shared" si="274"/>
        <v>4183.9095727481208</v>
      </c>
      <c r="ES50" s="380">
        <f t="shared" si="275"/>
        <v>12917.400647309571</v>
      </c>
      <c r="ET50" s="380">
        <f t="shared" si="276"/>
        <v>14330.972128487458</v>
      </c>
      <c r="EU50" s="380">
        <f t="shared" si="277"/>
        <v>51788.943994009373</v>
      </c>
      <c r="EV50" s="380">
        <f t="shared" si="278"/>
        <v>22495.842003888374</v>
      </c>
      <c r="EW50" s="380">
        <f t="shared" si="279"/>
        <v>33660.782242433983</v>
      </c>
      <c r="EX50" s="380">
        <f t="shared" si="280"/>
        <v>26005.921047524847</v>
      </c>
      <c r="EY50" s="380">
        <f t="shared" si="281"/>
        <v>29356.496001813193</v>
      </c>
      <c r="EZ50" s="389">
        <f t="shared" si="282"/>
        <v>38281.390772509709</v>
      </c>
      <c r="FA50" s="381">
        <f t="shared" si="369"/>
        <v>278922.96976264589</v>
      </c>
      <c r="FB50" s="379">
        <f t="shared" si="283"/>
        <v>14216.362013430415</v>
      </c>
      <c r="FC50" s="380">
        <f t="shared" si="284"/>
        <v>13824.749855445039</v>
      </c>
      <c r="FD50" s="380">
        <f t="shared" si="285"/>
        <v>7789.7026291189859</v>
      </c>
      <c r="FE50" s="380">
        <f t="shared" si="286"/>
        <v>8471.1628263230323</v>
      </c>
      <c r="FF50" s="380">
        <f t="shared" si="287"/>
        <v>1041.0395739315841</v>
      </c>
      <c r="FG50" s="380">
        <f t="shared" si="288"/>
        <v>1011.6020236724329</v>
      </c>
      <c r="FH50" s="380">
        <f t="shared" si="289"/>
        <v>15725.537009347056</v>
      </c>
      <c r="FI50" s="380">
        <f t="shared" si="290"/>
        <v>9198.5485165667669</v>
      </c>
      <c r="FJ50" s="380">
        <f t="shared" si="291"/>
        <v>15567.181031063847</v>
      </c>
      <c r="FK50" s="380">
        <f t="shared" si="292"/>
        <v>6391.1414633260683</v>
      </c>
      <c r="FL50" s="380">
        <f t="shared" si="293"/>
        <v>16709.657734519595</v>
      </c>
      <c r="FM50" s="389">
        <f t="shared" si="294"/>
        <v>31779.941536097813</v>
      </c>
      <c r="FN50" s="381">
        <f t="shared" si="370"/>
        <v>141726.62621284265</v>
      </c>
      <c r="FO50" s="379">
        <f t="shared" si="295"/>
        <v>3838.8491177424539</v>
      </c>
      <c r="FP50" s="380">
        <f t="shared" si="296"/>
        <v>4805.4824796540297</v>
      </c>
      <c r="FQ50" s="380">
        <f t="shared" si="297"/>
        <v>18728.543550507387</v>
      </c>
      <c r="FR50" s="380">
        <f t="shared" si="298"/>
        <v>6765.7985241771685</v>
      </c>
      <c r="FS50" s="380">
        <f t="shared" si="299"/>
        <v>20628.888815005685</v>
      </c>
      <c r="FT50" s="380">
        <f t="shared" si="300"/>
        <v>9471.5167669554212</v>
      </c>
      <c r="FU50" s="380">
        <f t="shared" si="301"/>
        <v>10341.403277756945</v>
      </c>
      <c r="FV50" s="380">
        <f t="shared" si="302"/>
        <v>10079.446738727169</v>
      </c>
      <c r="FW50" s="380">
        <f t="shared" si="303"/>
        <v>10730.468286406705</v>
      </c>
      <c r="FX50" s="380">
        <f t="shared" si="304"/>
        <v>16082.89689479783</v>
      </c>
      <c r="FY50" s="380">
        <f t="shared" si="305"/>
        <v>21060.689185247749</v>
      </c>
      <c r="FZ50" s="389">
        <f t="shared" si="306"/>
        <v>29518.453701371491</v>
      </c>
      <c r="GA50" s="381">
        <f t="shared" si="371"/>
        <v>162052.43733835005</v>
      </c>
      <c r="GB50" s="379">
        <f>+GB17/$GB$37</f>
        <v>12.116411709058722</v>
      </c>
      <c r="GC50" s="380">
        <f>+GC17/$GC$37</f>
        <v>92.180251307443314</v>
      </c>
      <c r="GD50" s="380">
        <f>+GD17/$GD$37</f>
        <v>94.594606359832682</v>
      </c>
      <c r="GE50" s="380">
        <f>+GE17/$GE$37</f>
        <v>29.163385793810782</v>
      </c>
      <c r="GF50" s="380">
        <f>+GF17/$GF$37</f>
        <v>21.017052582941556</v>
      </c>
      <c r="GG50" s="380">
        <f>+GG17/$GG$37</f>
        <v>133.17165329872338</v>
      </c>
      <c r="GH50" s="380">
        <f>+GH17/$GH$37</f>
        <v>27.83875629514343</v>
      </c>
      <c r="GI50" s="380">
        <f>+GI17/$GI$37</f>
        <v>47.491842639453296</v>
      </c>
      <c r="GJ50" s="380">
        <f>+GJ17/$GJ$37</f>
        <v>95.688430570055033</v>
      </c>
      <c r="GK50" s="380">
        <f>+GK17/$GK$37</f>
        <v>57.21281349480121</v>
      </c>
      <c r="GL50" s="380">
        <f>+GL17/$GL$37</f>
        <v>75.296244050103553</v>
      </c>
      <c r="GM50" s="389">
        <f>+GM17/$GM$37</f>
        <v>58.235437375132136</v>
      </c>
      <c r="GN50" s="381">
        <f t="shared" si="372"/>
        <v>744.00688547649918</v>
      </c>
      <c r="GO50" s="379">
        <f>+GO17/$GO$37</f>
        <v>69.839541253508088</v>
      </c>
      <c r="GP50" s="380">
        <f>+GP17/$GP$37</f>
        <v>76.659870444698285</v>
      </c>
      <c r="GQ50" s="380">
        <f>+GQ17/$GQ$37</f>
        <v>134.08794604218266</v>
      </c>
      <c r="GR50" s="380">
        <f>+GR17/$GR$37</f>
        <v>5.7474670312706886</v>
      </c>
      <c r="GS50" s="380">
        <f>+GS17/$GS$37</f>
        <v>155.83243944434082</v>
      </c>
      <c r="GT50" s="380">
        <f>+GT17/$GT$37</f>
        <v>37.295312689188833</v>
      </c>
      <c r="GU50" s="380">
        <f>+GU17/$GU$37</f>
        <v>37.150426027680801</v>
      </c>
      <c r="GV50" s="380">
        <f>+GV17/$GV$37</f>
        <v>54.660611195263492</v>
      </c>
      <c r="GW50" s="380">
        <f>+GW17/$GW$37</f>
        <v>95.067674690155755</v>
      </c>
      <c r="GX50" s="380">
        <f>+GX17/$GX$37</f>
        <v>0</v>
      </c>
      <c r="GY50" s="380">
        <f>+GY17/$GY$37</f>
        <v>130.41833324787635</v>
      </c>
      <c r="GZ50" s="389">
        <f>+GZ17/$GZ$37</f>
        <v>9.1147930850443952</v>
      </c>
      <c r="HA50" s="381">
        <f t="shared" si="373"/>
        <v>805.87441515121031</v>
      </c>
      <c r="HB50" s="379">
        <f>+HB17/$HB$37</f>
        <v>9.6825311466303443</v>
      </c>
      <c r="HC50" s="380">
        <f>+HC17/$HC$37</f>
        <v>67.400276478134856</v>
      </c>
      <c r="HD50" s="380">
        <f>+HD17/$HD$37</f>
        <v>66.726340439693942</v>
      </c>
      <c r="HE50" s="380">
        <f>+HE17/$HE$37</f>
        <v>158.20370692904174</v>
      </c>
      <c r="HF50" s="380">
        <f>+HF17/$HF$37</f>
        <v>34.813707619128806</v>
      </c>
      <c r="HG50" s="380">
        <f>+HG17/$HG$37</f>
        <v>72.348154518893708</v>
      </c>
      <c r="HH50" s="380">
        <f>+HH17/$HH$37</f>
        <v>118.05357532222337</v>
      </c>
      <c r="HI50" s="380">
        <f>+HI17/$HI$37</f>
        <v>74.205142746545263</v>
      </c>
      <c r="HJ50" s="380">
        <f>+HJ17/$HJ$37</f>
        <v>145.41167308383555</v>
      </c>
      <c r="HK50" s="380">
        <f>+HK17/$HK$37</f>
        <v>0</v>
      </c>
      <c r="HL50" s="380">
        <f>+HL17/$HL$37</f>
        <v>149.32672369843118</v>
      </c>
      <c r="HM50" s="389">
        <f>+HM17/$HM$37</f>
        <v>167.59847729119446</v>
      </c>
      <c r="HN50" s="381">
        <f t="shared" si="374"/>
        <v>1063.7703092737531</v>
      </c>
      <c r="HO50" s="379">
        <f>+HO17/$HO$37</f>
        <v>0</v>
      </c>
      <c r="HP50" s="380">
        <f>+HP17/$HP$37</f>
        <v>87.622397219471537</v>
      </c>
      <c r="HQ50" s="380">
        <f>+HQ17/$HQ$37</f>
        <v>52.59391120364409</v>
      </c>
      <c r="HR50" s="380">
        <f>+HR17/$HR$37</f>
        <v>108.71527435488422</v>
      </c>
      <c r="HS50" s="380">
        <f>+HS17/$HS$37</f>
        <v>134.73326098497549</v>
      </c>
      <c r="HT50" s="380">
        <f>+HT17/$HT$37</f>
        <v>28.676366507223911</v>
      </c>
      <c r="HU50" s="380">
        <f>+HU17/$HU$37</f>
        <v>78.679046088861369</v>
      </c>
      <c r="HV50" s="380">
        <f>+HV17/$HV$37</f>
        <v>84.977715779148696</v>
      </c>
      <c r="HW50" s="380">
        <f>+HW17/$HW$37</f>
        <v>170.49018588892378</v>
      </c>
      <c r="HX50" s="380">
        <f>+HX17/$HX$37</f>
        <v>138.07511871817107</v>
      </c>
      <c r="HY50" s="380">
        <f>+HY17/$HY$37</f>
        <v>98.201462918127845</v>
      </c>
      <c r="HZ50" s="389">
        <f>+HZ17/$HZ$37</f>
        <v>126.03535227953628</v>
      </c>
      <c r="IA50" s="379">
        <f>SUM(HO50:HZ50)</f>
        <v>1108.8000919429683</v>
      </c>
      <c r="IB50" s="1344">
        <f>+IB17/$IB$37</f>
        <v>0</v>
      </c>
      <c r="IC50" s="120">
        <f>+IC17/$IC$37</f>
        <v>39.862023336268273</v>
      </c>
      <c r="ID50" s="120">
        <f>+ID17/$ID$37</f>
        <v>93.871557040828506</v>
      </c>
      <c r="IE50" s="120">
        <f t="shared" si="378"/>
        <v>10108.498496369015</v>
      </c>
      <c r="IF50" s="120">
        <f t="shared" si="379"/>
        <v>12127.210328223471</v>
      </c>
      <c r="IG50" s="120">
        <f t="shared" si="380"/>
        <v>12861.326251492314</v>
      </c>
      <c r="IH50" s="120">
        <f t="shared" si="381"/>
        <v>21743.826344610046</v>
      </c>
      <c r="II50" s="120">
        <f t="shared" si="382"/>
        <v>21437.506638559353</v>
      </c>
      <c r="IM50" s="1345"/>
      <c r="IN50" s="1346">
        <f t="shared" si="383"/>
        <v>78412.101639631292</v>
      </c>
      <c r="IP50" s="371">
        <f t="shared" si="355"/>
        <v>25127.209794946684</v>
      </c>
      <c r="IQ50" s="348">
        <f t="shared" si="384"/>
        <v>13513.260016966953</v>
      </c>
      <c r="IR50" s="320">
        <f t="shared" si="356"/>
        <v>575.99797213820932</v>
      </c>
      <c r="IS50" s="344">
        <f t="shared" si="357"/>
        <v>78412.101639631292</v>
      </c>
      <c r="IU50" s="320">
        <f t="shared" si="385"/>
        <v>21352.528922780202</v>
      </c>
    </row>
    <row r="51" spans="1:264" ht="15" customHeight="1" x14ac:dyDescent="0.2">
      <c r="A51" s="1554" t="s">
        <v>438</v>
      </c>
      <c r="B51" s="379">
        <f t="shared" si="139"/>
        <v>0</v>
      </c>
      <c r="C51" s="380">
        <f t="shared" si="140"/>
        <v>0</v>
      </c>
      <c r="D51" s="380">
        <f t="shared" si="141"/>
        <v>0</v>
      </c>
      <c r="E51" s="380">
        <f t="shared" si="142"/>
        <v>0</v>
      </c>
      <c r="F51" s="380">
        <f t="shared" si="143"/>
        <v>0</v>
      </c>
      <c r="G51" s="380">
        <f t="shared" si="144"/>
        <v>0</v>
      </c>
      <c r="H51" s="380">
        <f t="shared" si="145"/>
        <v>0</v>
      </c>
      <c r="I51" s="380">
        <f t="shared" si="146"/>
        <v>0</v>
      </c>
      <c r="J51" s="380">
        <f t="shared" si="147"/>
        <v>0</v>
      </c>
      <c r="K51" s="380">
        <f t="shared" si="148"/>
        <v>0</v>
      </c>
      <c r="L51" s="380">
        <f t="shared" si="149"/>
        <v>0</v>
      </c>
      <c r="M51" s="389">
        <f t="shared" si="150"/>
        <v>0</v>
      </c>
      <c r="N51" s="381">
        <f t="shared" si="358"/>
        <v>0</v>
      </c>
      <c r="O51" s="379">
        <f t="shared" si="151"/>
        <v>0</v>
      </c>
      <c r="P51" s="380">
        <f t="shared" si="152"/>
        <v>0</v>
      </c>
      <c r="Q51" s="380">
        <f t="shared" si="153"/>
        <v>0</v>
      </c>
      <c r="R51" s="380">
        <f t="shared" si="154"/>
        <v>0</v>
      </c>
      <c r="S51" s="380">
        <f t="shared" si="155"/>
        <v>0</v>
      </c>
      <c r="T51" s="380">
        <f t="shared" si="156"/>
        <v>0</v>
      </c>
      <c r="U51" s="380">
        <f t="shared" si="157"/>
        <v>0</v>
      </c>
      <c r="V51" s="380">
        <f t="shared" si="158"/>
        <v>0</v>
      </c>
      <c r="W51" s="380">
        <f t="shared" si="159"/>
        <v>0</v>
      </c>
      <c r="X51" s="380">
        <f t="shared" si="160"/>
        <v>0</v>
      </c>
      <c r="Y51" s="380">
        <f t="shared" si="161"/>
        <v>0</v>
      </c>
      <c r="Z51" s="389">
        <f t="shared" si="162"/>
        <v>0</v>
      </c>
      <c r="AA51" s="381">
        <f t="shared" si="359"/>
        <v>0</v>
      </c>
      <c r="AB51" s="379">
        <f t="shared" si="163"/>
        <v>0</v>
      </c>
      <c r="AC51" s="380">
        <f t="shared" si="388"/>
        <v>0</v>
      </c>
      <c r="AD51" s="380">
        <f t="shared" si="389"/>
        <v>0</v>
      </c>
      <c r="AE51" s="380">
        <f t="shared" si="166"/>
        <v>0</v>
      </c>
      <c r="AF51" s="380">
        <f t="shared" si="167"/>
        <v>0</v>
      </c>
      <c r="AG51" s="380">
        <f t="shared" si="168"/>
        <v>0</v>
      </c>
      <c r="AH51" s="380">
        <f t="shared" si="390"/>
        <v>0</v>
      </c>
      <c r="AI51" s="380">
        <f t="shared" si="391"/>
        <v>0</v>
      </c>
      <c r="AJ51" s="380">
        <f t="shared" si="392"/>
        <v>0</v>
      </c>
      <c r="AK51" s="380">
        <f t="shared" si="393"/>
        <v>0</v>
      </c>
      <c r="AL51" s="380">
        <f t="shared" si="394"/>
        <v>0</v>
      </c>
      <c r="AM51" s="389">
        <f t="shared" si="395"/>
        <v>0</v>
      </c>
      <c r="AN51" s="381">
        <f t="shared" si="360"/>
        <v>0</v>
      </c>
      <c r="AO51" s="379">
        <f t="shared" si="175"/>
        <v>0</v>
      </c>
      <c r="AP51" s="380">
        <f t="shared" si="396"/>
        <v>0</v>
      </c>
      <c r="AQ51" s="380">
        <f t="shared" si="397"/>
        <v>0</v>
      </c>
      <c r="AR51" s="380">
        <f t="shared" si="178"/>
        <v>0</v>
      </c>
      <c r="AS51" s="380">
        <f t="shared" si="179"/>
        <v>0</v>
      </c>
      <c r="AT51" s="380">
        <f t="shared" si="180"/>
        <v>0</v>
      </c>
      <c r="AU51" s="380">
        <f t="shared" si="181"/>
        <v>0</v>
      </c>
      <c r="AV51" s="380">
        <f t="shared" si="182"/>
        <v>0</v>
      </c>
      <c r="AW51" s="380">
        <f t="shared" si="183"/>
        <v>0</v>
      </c>
      <c r="AX51" s="380">
        <f t="shared" si="184"/>
        <v>0</v>
      </c>
      <c r="AY51" s="380">
        <f t="shared" si="185"/>
        <v>0</v>
      </c>
      <c r="AZ51" s="389">
        <f t="shared" si="186"/>
        <v>0</v>
      </c>
      <c r="BA51" s="381">
        <f t="shared" si="361"/>
        <v>0</v>
      </c>
      <c r="BB51" s="379">
        <f t="shared" si="187"/>
        <v>0</v>
      </c>
      <c r="BC51" s="380">
        <f t="shared" si="188"/>
        <v>0</v>
      </c>
      <c r="BD51" s="380">
        <f t="shared" si="189"/>
        <v>0</v>
      </c>
      <c r="BE51" s="380">
        <f t="shared" si="190"/>
        <v>0</v>
      </c>
      <c r="BF51" s="380">
        <f t="shared" si="191"/>
        <v>0</v>
      </c>
      <c r="BG51" s="380">
        <f t="shared" si="192"/>
        <v>0</v>
      </c>
      <c r="BH51" s="380">
        <f t="shared" si="193"/>
        <v>0</v>
      </c>
      <c r="BI51" s="380">
        <f t="shared" si="194"/>
        <v>0</v>
      </c>
      <c r="BJ51" s="380">
        <f t="shared" si="195"/>
        <v>4269.5005190756647</v>
      </c>
      <c r="BK51" s="380">
        <f t="shared" si="196"/>
        <v>0</v>
      </c>
      <c r="BL51" s="380">
        <f t="shared" si="197"/>
        <v>0</v>
      </c>
      <c r="BM51" s="389">
        <f t="shared" si="198"/>
        <v>0</v>
      </c>
      <c r="BN51" s="381">
        <f t="shared" si="362"/>
        <v>4269.5005190756647</v>
      </c>
      <c r="BO51" s="379">
        <f t="shared" si="199"/>
        <v>0</v>
      </c>
      <c r="BP51" s="380">
        <f t="shared" si="200"/>
        <v>0</v>
      </c>
      <c r="BQ51" s="380">
        <f t="shared" si="201"/>
        <v>0</v>
      </c>
      <c r="BR51" s="380">
        <f t="shared" si="202"/>
        <v>0</v>
      </c>
      <c r="BS51" s="380">
        <f t="shared" si="203"/>
        <v>0</v>
      </c>
      <c r="BT51" s="380">
        <f t="shared" si="204"/>
        <v>0</v>
      </c>
      <c r="BU51" s="380">
        <f t="shared" si="205"/>
        <v>0</v>
      </c>
      <c r="BV51" s="380">
        <f t="shared" si="206"/>
        <v>0</v>
      </c>
      <c r="BW51" s="380">
        <f t="shared" si="207"/>
        <v>38.188386794361143</v>
      </c>
      <c r="BX51" s="380">
        <f t="shared" si="208"/>
        <v>0</v>
      </c>
      <c r="BY51" s="380">
        <f t="shared" si="209"/>
        <v>15.465710379846341</v>
      </c>
      <c r="BZ51" s="389">
        <f t="shared" si="210"/>
        <v>56.882233181971905</v>
      </c>
      <c r="CA51" s="381">
        <f t="shared" si="363"/>
        <v>110.53633035617939</v>
      </c>
      <c r="CB51" s="379">
        <f t="shared" si="211"/>
        <v>0</v>
      </c>
      <c r="CC51" s="380">
        <f t="shared" si="212"/>
        <v>0</v>
      </c>
      <c r="CD51" s="380">
        <f t="shared" si="213"/>
        <v>0</v>
      </c>
      <c r="CE51" s="380">
        <f t="shared" si="214"/>
        <v>0</v>
      </c>
      <c r="CF51" s="380">
        <f t="shared" si="215"/>
        <v>0</v>
      </c>
      <c r="CG51" s="380">
        <f t="shared" si="216"/>
        <v>0</v>
      </c>
      <c r="CH51" s="380">
        <f t="shared" si="217"/>
        <v>0</v>
      </c>
      <c r="CI51" s="380">
        <f t="shared" si="218"/>
        <v>54.655614667235092</v>
      </c>
      <c r="CJ51" s="380">
        <f t="shared" si="219"/>
        <v>0</v>
      </c>
      <c r="CK51" s="380">
        <f t="shared" si="220"/>
        <v>33.877600354609868</v>
      </c>
      <c r="CL51" s="380">
        <f t="shared" si="221"/>
        <v>72.591194527235231</v>
      </c>
      <c r="CM51" s="389">
        <f t="shared" si="222"/>
        <v>31.488964306978829</v>
      </c>
      <c r="CN51" s="381">
        <f t="shared" si="364"/>
        <v>192.61337385605904</v>
      </c>
      <c r="CO51" s="379">
        <f t="shared" si="223"/>
        <v>0</v>
      </c>
      <c r="CP51" s="380">
        <f t="shared" si="224"/>
        <v>21.939049592646814</v>
      </c>
      <c r="CQ51" s="380">
        <f t="shared" si="225"/>
        <v>0</v>
      </c>
      <c r="CR51" s="380">
        <f t="shared" si="226"/>
        <v>46.476393046772536</v>
      </c>
      <c r="CS51" s="380">
        <f t="shared" si="227"/>
        <v>61.623432838467949</v>
      </c>
      <c r="CT51" s="380">
        <f t="shared" si="228"/>
        <v>59.117466467682036</v>
      </c>
      <c r="CU51" s="380">
        <f t="shared" si="229"/>
        <v>58.088309768946701</v>
      </c>
      <c r="CV51" s="380">
        <f t="shared" si="230"/>
        <v>11.421396673354419</v>
      </c>
      <c r="CW51" s="380">
        <f t="shared" si="231"/>
        <v>37.298706187768133</v>
      </c>
      <c r="CX51" s="380">
        <f t="shared" si="232"/>
        <v>38.006694900372239</v>
      </c>
      <c r="CY51" s="380">
        <f t="shared" si="233"/>
        <v>10.60581480177818</v>
      </c>
      <c r="CZ51" s="389">
        <f t="shared" si="234"/>
        <v>78.433103845902778</v>
      </c>
      <c r="DA51" s="381">
        <f t="shared" si="365"/>
        <v>423.01036812369182</v>
      </c>
      <c r="DB51" s="379">
        <f t="shared" si="235"/>
        <v>0</v>
      </c>
      <c r="DC51" s="380">
        <f t="shared" si="236"/>
        <v>0</v>
      </c>
      <c r="DD51" s="380">
        <f t="shared" si="237"/>
        <v>0</v>
      </c>
      <c r="DE51" s="380">
        <f t="shared" si="238"/>
        <v>82.757247060198765</v>
      </c>
      <c r="DF51" s="380">
        <f t="shared" si="239"/>
        <v>49.103893588986729</v>
      </c>
      <c r="DG51" s="380">
        <f t="shared" si="240"/>
        <v>11.144373692509289</v>
      </c>
      <c r="DH51" s="380">
        <f t="shared" si="241"/>
        <v>58.6467840199996</v>
      </c>
      <c r="DI51" s="380">
        <f t="shared" si="242"/>
        <v>70.271635806034496</v>
      </c>
      <c r="DJ51" s="380">
        <f t="shared" si="243"/>
        <v>159.44068334501182</v>
      </c>
      <c r="DK51" s="380">
        <f t="shared" si="244"/>
        <v>0</v>
      </c>
      <c r="DL51" s="380">
        <f t="shared" si="245"/>
        <v>97.490531583562003</v>
      </c>
      <c r="DM51" s="389">
        <f t="shared" si="246"/>
        <v>29.224021356159856</v>
      </c>
      <c r="DN51" s="381">
        <f t="shared" si="366"/>
        <v>558.07917045246245</v>
      </c>
      <c r="DO51" s="379">
        <f t="shared" si="247"/>
        <v>0</v>
      </c>
      <c r="DP51" s="380">
        <f t="shared" si="248"/>
        <v>180.178548763859</v>
      </c>
      <c r="DQ51" s="380">
        <f t="shared" si="249"/>
        <v>109.01482108439708</v>
      </c>
      <c r="DR51" s="380">
        <f t="shared" si="250"/>
        <v>129.43302451631791</v>
      </c>
      <c r="DS51" s="380">
        <f t="shared" si="251"/>
        <v>90.26315003313772</v>
      </c>
      <c r="DT51" s="380">
        <f t="shared" si="252"/>
        <v>38.332908267278036</v>
      </c>
      <c r="DU51" s="380">
        <f t="shared" si="253"/>
        <v>43.309126954330623</v>
      </c>
      <c r="DV51" s="380">
        <f t="shared" si="254"/>
        <v>93.21192185793484</v>
      </c>
      <c r="DW51" s="380">
        <f t="shared" si="255"/>
        <v>144.86595946345301</v>
      </c>
      <c r="DX51" s="380">
        <f t="shared" si="256"/>
        <v>73.495567112320003</v>
      </c>
      <c r="DY51" s="380">
        <f t="shared" si="257"/>
        <v>101.0784254364101</v>
      </c>
      <c r="DZ51" s="389">
        <f t="shared" si="258"/>
        <v>54.062656233817016</v>
      </c>
      <c r="EA51" s="381">
        <f t="shared" si="367"/>
        <v>1057.2461097232554</v>
      </c>
      <c r="EB51" s="379">
        <f t="shared" si="259"/>
        <v>0</v>
      </c>
      <c r="EC51" s="380">
        <f t="shared" si="260"/>
        <v>14.362085726478641</v>
      </c>
      <c r="ED51" s="380">
        <f t="shared" si="261"/>
        <v>50.022191305279378</v>
      </c>
      <c r="EE51" s="380">
        <f t="shared" si="262"/>
        <v>147.41454334479056</v>
      </c>
      <c r="EF51" s="380">
        <f t="shared" si="263"/>
        <v>77.269840600993305</v>
      </c>
      <c r="EG51" s="380">
        <f t="shared" si="264"/>
        <v>-32.089870344942241</v>
      </c>
      <c r="EH51" s="380">
        <f t="shared" si="265"/>
        <v>0</v>
      </c>
      <c r="EI51" s="380">
        <f t="shared" si="266"/>
        <v>114.22730149142882</v>
      </c>
      <c r="EJ51" s="380">
        <f t="shared" si="267"/>
        <v>0</v>
      </c>
      <c r="EK51" s="380">
        <f t="shared" si="268"/>
        <v>62.266583908957131</v>
      </c>
      <c r="EL51" s="380">
        <f t="shared" si="269"/>
        <v>46.643965173509642</v>
      </c>
      <c r="EM51" s="389">
        <f t="shared" si="270"/>
        <v>92.41485685961878</v>
      </c>
      <c r="EN51" s="381">
        <f t="shared" si="368"/>
        <v>572.53149806611395</v>
      </c>
      <c r="EO51" s="379">
        <f t="shared" si="271"/>
        <v>0</v>
      </c>
      <c r="EP51" s="380">
        <f t="shared" si="272"/>
        <v>0</v>
      </c>
      <c r="EQ51" s="380">
        <f t="shared" si="273"/>
        <v>50.324103403858025</v>
      </c>
      <c r="ER51" s="380">
        <f t="shared" si="274"/>
        <v>116.49098010152319</v>
      </c>
      <c r="ES51" s="380">
        <f t="shared" si="275"/>
        <v>52.237951501575424</v>
      </c>
      <c r="ET51" s="380">
        <f t="shared" si="276"/>
        <v>60.65060929018869</v>
      </c>
      <c r="EU51" s="380">
        <f t="shared" si="277"/>
        <v>50.789162802943217</v>
      </c>
      <c r="EV51" s="380">
        <f t="shared" si="278"/>
        <v>62.579228521310348</v>
      </c>
      <c r="EW51" s="380">
        <f t="shared" si="279"/>
        <v>59.096695045066383</v>
      </c>
      <c r="EX51" s="380">
        <f t="shared" si="280"/>
        <v>77.783025084729559</v>
      </c>
      <c r="EY51" s="380">
        <f t="shared" si="281"/>
        <v>30.52404055296407</v>
      </c>
      <c r="EZ51" s="389">
        <f t="shared" si="282"/>
        <v>2.0768232543225635</v>
      </c>
      <c r="FA51" s="381">
        <f t="shared" si="369"/>
        <v>562.55261955848152</v>
      </c>
      <c r="FB51" s="379">
        <f t="shared" si="283"/>
        <v>0</v>
      </c>
      <c r="FC51" s="380">
        <f t="shared" si="284"/>
        <v>53.204005341326869</v>
      </c>
      <c r="FD51" s="380">
        <f t="shared" si="285"/>
        <v>10.297482985527875</v>
      </c>
      <c r="FE51" s="380">
        <f t="shared" si="286"/>
        <v>0</v>
      </c>
      <c r="FF51" s="380">
        <f t="shared" si="287"/>
        <v>19.164436600975908</v>
      </c>
      <c r="FG51" s="380">
        <f t="shared" si="288"/>
        <v>126.27867866738647</v>
      </c>
      <c r="FH51" s="380">
        <f t="shared" si="289"/>
        <v>28.69249552076877</v>
      </c>
      <c r="FI51" s="380">
        <f t="shared" si="290"/>
        <v>0</v>
      </c>
      <c r="FJ51" s="380">
        <f t="shared" si="291"/>
        <v>0</v>
      </c>
      <c r="FK51" s="380">
        <f t="shared" si="292"/>
        <v>0</v>
      </c>
      <c r="FL51" s="380">
        <f t="shared" si="293"/>
        <v>0</v>
      </c>
      <c r="FM51" s="389">
        <f t="shared" si="294"/>
        <v>0</v>
      </c>
      <c r="FN51" s="381">
        <f t="shared" si="370"/>
        <v>237.6370991159859</v>
      </c>
      <c r="FO51" s="379">
        <f t="shared" si="295"/>
        <v>0</v>
      </c>
      <c r="FP51" s="380">
        <f t="shared" si="296"/>
        <v>0</v>
      </c>
      <c r="FQ51" s="380">
        <f t="shared" si="297"/>
        <v>0</v>
      </c>
      <c r="FR51" s="380">
        <f t="shared" si="298"/>
        <v>0</v>
      </c>
      <c r="FS51" s="380">
        <f t="shared" si="299"/>
        <v>0</v>
      </c>
      <c r="FT51" s="380">
        <f t="shared" si="300"/>
        <v>0</v>
      </c>
      <c r="FU51" s="380">
        <f t="shared" si="301"/>
        <v>254.63657622268482</v>
      </c>
      <c r="FV51" s="380">
        <f t="shared" si="302"/>
        <v>53.430385453204984</v>
      </c>
      <c r="FW51" s="380">
        <f>+FW17/$FV$37</f>
        <v>11.077031130542498</v>
      </c>
      <c r="FX51" s="380">
        <f t="shared" si="304"/>
        <v>58.072646761556854</v>
      </c>
      <c r="FY51" s="380">
        <f t="shared" si="305"/>
        <v>50.792027524943435</v>
      </c>
      <c r="FZ51" s="389">
        <f t="shared" si="306"/>
        <v>78.469198298437291</v>
      </c>
      <c r="GA51" s="381">
        <f t="shared" si="371"/>
        <v>506.47786539136979</v>
      </c>
      <c r="GB51" s="379">
        <f>+GB18/$GB$37</f>
        <v>0</v>
      </c>
      <c r="GC51" s="380">
        <f>+GC18/$GC$37</f>
        <v>0</v>
      </c>
      <c r="GD51" s="380">
        <f>+GD18/$GD$37</f>
        <v>0</v>
      </c>
      <c r="GE51" s="380">
        <f>+GE18/$GE$37</f>
        <v>0</v>
      </c>
      <c r="GF51" s="380">
        <f>+GF18/$GF$37</f>
        <v>0</v>
      </c>
      <c r="GG51" s="380">
        <f>+GG18/$GG$37</f>
        <v>0</v>
      </c>
      <c r="GH51" s="380">
        <f>+GH18/$GH$37</f>
        <v>0</v>
      </c>
      <c r="GI51" s="380">
        <f>+GI18/$GI$37</f>
        <v>0</v>
      </c>
      <c r="GJ51" s="380">
        <f>+GJ18/$GJ$37</f>
        <v>0</v>
      </c>
      <c r="GK51" s="380">
        <f>+GK18/$GK$37</f>
        <v>0</v>
      </c>
      <c r="GL51" s="380">
        <f>+GL18/$GL$37</f>
        <v>0</v>
      </c>
      <c r="GM51" s="389">
        <f>+GM18/$GM$37</f>
        <v>0</v>
      </c>
      <c r="GN51" s="381">
        <f t="shared" si="372"/>
        <v>0</v>
      </c>
      <c r="GO51" s="379">
        <f>+GO18/$GO$37</f>
        <v>0</v>
      </c>
      <c r="GP51" s="380">
        <f>+GP18/$GP$37</f>
        <v>0</v>
      </c>
      <c r="GQ51" s="380">
        <f>+GQ18/$GQ$37</f>
        <v>0</v>
      </c>
      <c r="GR51" s="380">
        <f>+GR18/$GR$37</f>
        <v>0</v>
      </c>
      <c r="GS51" s="380">
        <f>+GS18/$GS$37</f>
        <v>28.072755635193751</v>
      </c>
      <c r="GT51" s="380">
        <f>+GT18/$GT$37</f>
        <v>1.7213221241164076</v>
      </c>
      <c r="GU51" s="380">
        <f>+GU18/$GU$37</f>
        <v>0</v>
      </c>
      <c r="GV51" s="380">
        <f>+GV18/$GV$37</f>
        <v>-1.1387627332346559</v>
      </c>
      <c r="GW51" s="380">
        <f>+GW18/$GW$37</f>
        <v>0</v>
      </c>
      <c r="GX51" s="380">
        <f>+GX18/$GX$37</f>
        <v>0</v>
      </c>
      <c r="GY51" s="380">
        <f>+GY18/$GY$37</f>
        <v>1.716030700629952</v>
      </c>
      <c r="GZ51" s="389">
        <f>+GZ18/$GZ$37</f>
        <v>0</v>
      </c>
      <c r="HA51" s="381">
        <f t="shared" si="373"/>
        <v>30.371345726705453</v>
      </c>
      <c r="HB51" s="379">
        <f>+HB18/$HB$37</f>
        <v>0</v>
      </c>
      <c r="HC51" s="380">
        <f>+HC18/$HC$37</f>
        <v>0</v>
      </c>
      <c r="HD51" s="380">
        <f>+HD18/$HD$37</f>
        <v>93.080441285623479</v>
      </c>
      <c r="HE51" s="380">
        <f>+HE18/$HE$37</f>
        <v>0</v>
      </c>
      <c r="HF51" s="380">
        <f>+HF18/$HF$37</f>
        <v>73.557995130739897</v>
      </c>
      <c r="HG51" s="380">
        <f>+HG18/$HG$37</f>
        <v>0</v>
      </c>
      <c r="HH51" s="380">
        <f>+HH18/$HH$37</f>
        <v>0</v>
      </c>
      <c r="HI51" s="380">
        <f>+HI18/$HI$37</f>
        <v>29.01253701368687</v>
      </c>
      <c r="HJ51" s="380">
        <f>+HJ18/$HJ$37</f>
        <v>1196.290648947401</v>
      </c>
      <c r="HK51" s="380">
        <f>+HK18/$HK$37</f>
        <v>13.994486680689114</v>
      </c>
      <c r="HL51" s="380">
        <f>+HL18/$HL$37</f>
        <v>1796.3948933309398</v>
      </c>
      <c r="HM51" s="389">
        <f>+HM18/$HM$37</f>
        <v>2339.1160813941042</v>
      </c>
      <c r="HN51" s="381">
        <f t="shared" si="374"/>
        <v>5541.4470837831841</v>
      </c>
      <c r="HO51" s="379">
        <f>+HO18/$HO$37</f>
        <v>0</v>
      </c>
      <c r="HP51" s="380">
        <f>+HP18/$HP$37</f>
        <v>0</v>
      </c>
      <c r="HQ51" s="380">
        <f>+HQ18/$HQ$37</f>
        <v>0</v>
      </c>
      <c r="HR51" s="380">
        <f>+HR18/$HR$37</f>
        <v>0</v>
      </c>
      <c r="HS51" s="380">
        <f>+HS18/$HS$37</f>
        <v>0</v>
      </c>
      <c r="HT51" s="380">
        <f>+HT18/$HT$37</f>
        <v>0</v>
      </c>
      <c r="HU51" s="380">
        <f>+HU18/$HU$37</f>
        <v>302.61171572638989</v>
      </c>
      <c r="HV51" s="380">
        <f>+HV18/$HV$37</f>
        <v>0</v>
      </c>
      <c r="HW51" s="380">
        <f>+HW18/$HW$37</f>
        <v>0</v>
      </c>
      <c r="HX51" s="380">
        <f>+HX18/$HX$37</f>
        <v>0</v>
      </c>
      <c r="HY51" s="380">
        <f>+HY18/$HY$37</f>
        <v>13.240646685590271</v>
      </c>
      <c r="HZ51" s="389">
        <f>+HZ18/$HZ$37</f>
        <v>0</v>
      </c>
      <c r="IA51" s="379">
        <f t="shared" si="375"/>
        <v>315.85236241198015</v>
      </c>
      <c r="IB51" s="1344">
        <f>+IB18/$IB$37</f>
        <v>0</v>
      </c>
      <c r="IC51" s="120">
        <f>+IC18/$IC$37</f>
        <v>0</v>
      </c>
      <c r="ID51" s="120">
        <f>+ID18/$ID$37</f>
        <v>0</v>
      </c>
      <c r="IE51" s="120">
        <f t="shared" si="378"/>
        <v>66.325248650786151</v>
      </c>
      <c r="IF51" s="120">
        <f t="shared" si="379"/>
        <v>231.713208427426</v>
      </c>
      <c r="IG51" s="120">
        <f t="shared" si="380"/>
        <v>138.390754932367</v>
      </c>
      <c r="IH51" s="120">
        <f t="shared" si="381"/>
        <v>37.537667966720484</v>
      </c>
      <c r="II51" s="120">
        <f t="shared" si="382"/>
        <v>79.777787421689226</v>
      </c>
      <c r="IM51" s="1345"/>
      <c r="IN51" s="1346">
        <f t="shared" si="383"/>
        <v>553.7446673989889</v>
      </c>
      <c r="IP51" s="371" t="str">
        <f t="shared" si="355"/>
        <v/>
      </c>
      <c r="IQ51" s="348">
        <f t="shared" si="384"/>
        <v>82.988509241877466</v>
      </c>
      <c r="IR51" s="320">
        <f t="shared" si="356"/>
        <v>302.61171572638989</v>
      </c>
      <c r="IS51" s="344">
        <f t="shared" si="357"/>
        <v>553.7446673989889</v>
      </c>
      <c r="IU51" s="320">
        <f t="shared" si="385"/>
        <v>79.777787421689226</v>
      </c>
    </row>
    <row r="52" spans="1:264" ht="15" customHeight="1" x14ac:dyDescent="0.2">
      <c r="A52" s="1554" t="s">
        <v>328</v>
      </c>
      <c r="B52" s="379">
        <f t="shared" si="139"/>
        <v>102.75962911303962</v>
      </c>
      <c r="C52" s="380">
        <f t="shared" si="140"/>
        <v>1900.8817197932874</v>
      </c>
      <c r="D52" s="380">
        <f t="shared" si="141"/>
        <v>287.95653567085282</v>
      </c>
      <c r="E52" s="380">
        <f t="shared" si="142"/>
        <v>6134.8303705412845</v>
      </c>
      <c r="F52" s="380">
        <f t="shared" si="143"/>
        <v>634.99813950528858</v>
      </c>
      <c r="G52" s="380">
        <f t="shared" si="144"/>
        <v>980.75357251117316</v>
      </c>
      <c r="H52" s="380">
        <f t="shared" si="145"/>
        <v>468.32859228710822</v>
      </c>
      <c r="I52" s="380">
        <f t="shared" si="146"/>
        <v>7415.5823429387292</v>
      </c>
      <c r="J52" s="380">
        <f t="shared" si="147"/>
        <v>1521.0980541307354</v>
      </c>
      <c r="K52" s="380">
        <f t="shared" si="148"/>
        <v>1407.2571534574295</v>
      </c>
      <c r="L52" s="380">
        <f t="shared" si="149"/>
        <v>534.39724475956871</v>
      </c>
      <c r="M52" s="389">
        <f t="shared" si="150"/>
        <v>5311.0083294036276</v>
      </c>
      <c r="N52" s="381">
        <f t="shared" si="358"/>
        <v>26699.851684112131</v>
      </c>
      <c r="O52" s="379">
        <f t="shared" si="151"/>
        <v>0</v>
      </c>
      <c r="P52" s="380">
        <f t="shared" si="152"/>
        <v>19.30505040619407</v>
      </c>
      <c r="Q52" s="380">
        <f t="shared" si="153"/>
        <v>0</v>
      </c>
      <c r="R52" s="380">
        <f t="shared" si="154"/>
        <v>0</v>
      </c>
      <c r="S52" s="380">
        <f t="shared" si="155"/>
        <v>0</v>
      </c>
      <c r="T52" s="380">
        <f t="shared" si="156"/>
        <v>0</v>
      </c>
      <c r="U52" s="380">
        <f t="shared" si="157"/>
        <v>1.8351122365216954</v>
      </c>
      <c r="V52" s="380">
        <f t="shared" si="158"/>
        <v>143.43997840333924</v>
      </c>
      <c r="W52" s="380">
        <f t="shared" si="159"/>
        <v>1364.8276267368333</v>
      </c>
      <c r="X52" s="380">
        <f t="shared" si="160"/>
        <v>6565.9332454333289</v>
      </c>
      <c r="Y52" s="380">
        <f t="shared" si="161"/>
        <v>0</v>
      </c>
      <c r="Z52" s="389">
        <f t="shared" si="162"/>
        <v>1308.9716765141029</v>
      </c>
      <c r="AA52" s="381">
        <f t="shared" si="359"/>
        <v>9404.3126897303191</v>
      </c>
      <c r="AB52" s="379">
        <f t="shared" si="163"/>
        <v>0</v>
      </c>
      <c r="AC52" s="380">
        <f t="shared" si="388"/>
        <v>244.31639627345066</v>
      </c>
      <c r="AD52" s="380">
        <f t="shared" si="389"/>
        <v>221.81623056457573</v>
      </c>
      <c r="AE52" s="380">
        <f t="shared" si="166"/>
        <v>240.83472130333263</v>
      </c>
      <c r="AF52" s="380">
        <f t="shared" si="167"/>
        <v>76.157285117529028</v>
      </c>
      <c r="AG52" s="380">
        <f t="shared" si="168"/>
        <v>207.10151160092801</v>
      </c>
      <c r="AH52" s="380">
        <f t="shared" si="390"/>
        <v>443.35563894719877</v>
      </c>
      <c r="AI52" s="380">
        <f t="shared" si="391"/>
        <v>1958.2735096255274</v>
      </c>
      <c r="AJ52" s="380">
        <f t="shared" si="392"/>
        <v>1254.0666954228582</v>
      </c>
      <c r="AK52" s="380">
        <f t="shared" si="393"/>
        <v>2964.466832797079</v>
      </c>
      <c r="AL52" s="380">
        <f t="shared" si="394"/>
        <v>615.69771162367567</v>
      </c>
      <c r="AM52" s="389">
        <f t="shared" si="395"/>
        <v>4807.111464257121</v>
      </c>
      <c r="AN52" s="381">
        <f t="shared" si="360"/>
        <v>13033.197997533276</v>
      </c>
      <c r="AO52" s="379">
        <f t="shared" si="175"/>
        <v>0</v>
      </c>
      <c r="AP52" s="380">
        <f t="shared" si="396"/>
        <v>4561.6640782757186</v>
      </c>
      <c r="AQ52" s="380">
        <f t="shared" si="397"/>
        <v>288.65620281133789</v>
      </c>
      <c r="AR52" s="380">
        <f t="shared" si="178"/>
        <v>0</v>
      </c>
      <c r="AS52" s="380">
        <f t="shared" si="179"/>
        <v>10.555728247930928</v>
      </c>
      <c r="AT52" s="380">
        <f t="shared" si="180"/>
        <v>1437.6599578434068</v>
      </c>
      <c r="AU52" s="380">
        <f t="shared" si="181"/>
        <v>393.21671811477614</v>
      </c>
      <c r="AV52" s="380">
        <f t="shared" si="182"/>
        <v>191.29653258873049</v>
      </c>
      <c r="AW52" s="380">
        <f t="shared" si="183"/>
        <v>1.7333393672583248</v>
      </c>
      <c r="AX52" s="380">
        <f t="shared" si="184"/>
        <v>0.86399131056640655</v>
      </c>
      <c r="AY52" s="380">
        <f t="shared" si="185"/>
        <v>18.066133149352318</v>
      </c>
      <c r="AZ52" s="389">
        <f t="shared" si="186"/>
        <v>182.74878593569002</v>
      </c>
      <c r="BA52" s="381">
        <f t="shared" si="361"/>
        <v>7086.4614676447673</v>
      </c>
      <c r="BB52" s="379">
        <f t="shared" si="187"/>
        <v>0</v>
      </c>
      <c r="BC52" s="380">
        <f t="shared" si="188"/>
        <v>83.897295462162631</v>
      </c>
      <c r="BD52" s="380">
        <f t="shared" si="189"/>
        <v>48.424537604762413</v>
      </c>
      <c r="BE52" s="380">
        <f t="shared" si="190"/>
        <v>276.33932782144655</v>
      </c>
      <c r="BF52" s="380">
        <f t="shared" si="191"/>
        <v>468.82875883561809</v>
      </c>
      <c r="BG52" s="380">
        <f t="shared" si="192"/>
        <v>9.2958198544134749</v>
      </c>
      <c r="BH52" s="380">
        <f t="shared" si="193"/>
        <v>1315.4422231969586</v>
      </c>
      <c r="BI52" s="380">
        <f t="shared" si="194"/>
        <v>2701.5380671549542</v>
      </c>
      <c r="BJ52" s="380">
        <f t="shared" si="195"/>
        <v>1198.9693238500154</v>
      </c>
      <c r="BK52" s="380">
        <f t="shared" si="196"/>
        <v>2604.3010529887874</v>
      </c>
      <c r="BL52" s="380">
        <f t="shared" si="197"/>
        <v>147.49343982797851</v>
      </c>
      <c r="BM52" s="389">
        <f t="shared" si="198"/>
        <v>413.74955068441005</v>
      </c>
      <c r="BN52" s="381">
        <f t="shared" si="362"/>
        <v>9268.279397281507</v>
      </c>
      <c r="BO52" s="379">
        <f t="shared" si="199"/>
        <v>0</v>
      </c>
      <c r="BP52" s="380">
        <f t="shared" si="200"/>
        <v>0</v>
      </c>
      <c r="BQ52" s="380">
        <f t="shared" si="201"/>
        <v>0</v>
      </c>
      <c r="BR52" s="380">
        <f t="shared" si="202"/>
        <v>0</v>
      </c>
      <c r="BS52" s="380">
        <f t="shared" si="203"/>
        <v>0</v>
      </c>
      <c r="BT52" s="380">
        <f t="shared" si="204"/>
        <v>301.78519910529252</v>
      </c>
      <c r="BU52" s="380">
        <f t="shared" si="205"/>
        <v>74.420261094177178</v>
      </c>
      <c r="BV52" s="380">
        <f t="shared" si="206"/>
        <v>0</v>
      </c>
      <c r="BW52" s="380">
        <f t="shared" si="207"/>
        <v>0</v>
      </c>
      <c r="BX52" s="380">
        <f t="shared" si="208"/>
        <v>7736.9599522549324</v>
      </c>
      <c r="BY52" s="380">
        <f t="shared" si="209"/>
        <v>0</v>
      </c>
      <c r="BZ52" s="389">
        <f t="shared" si="210"/>
        <v>69.883886480708341</v>
      </c>
      <c r="CA52" s="381">
        <f t="shared" si="363"/>
        <v>8183.0492989351105</v>
      </c>
      <c r="CB52" s="379">
        <f t="shared" si="211"/>
        <v>0</v>
      </c>
      <c r="CC52" s="380">
        <f t="shared" si="212"/>
        <v>0</v>
      </c>
      <c r="CD52" s="380">
        <f t="shared" si="213"/>
        <v>0</v>
      </c>
      <c r="CE52" s="380">
        <f t="shared" si="214"/>
        <v>0</v>
      </c>
      <c r="CF52" s="380">
        <f t="shared" si="215"/>
        <v>26.270380883741133</v>
      </c>
      <c r="CG52" s="380">
        <f t="shared" si="216"/>
        <v>89.812452798635761</v>
      </c>
      <c r="CH52" s="380">
        <f t="shared" si="217"/>
        <v>0</v>
      </c>
      <c r="CI52" s="380">
        <f t="shared" si="218"/>
        <v>152.08518863926287</v>
      </c>
      <c r="CJ52" s="380">
        <f t="shared" si="219"/>
        <v>177.14928122917334</v>
      </c>
      <c r="CK52" s="380">
        <f t="shared" si="220"/>
        <v>464.83219091208895</v>
      </c>
      <c r="CL52" s="380">
        <f t="shared" si="221"/>
        <v>0</v>
      </c>
      <c r="CM52" s="389">
        <f t="shared" si="222"/>
        <v>2743.4760152455306</v>
      </c>
      <c r="CN52" s="381">
        <f t="shared" si="364"/>
        <v>3653.6255097084327</v>
      </c>
      <c r="CO52" s="379">
        <f t="shared" si="223"/>
        <v>0</v>
      </c>
      <c r="CP52" s="380">
        <f t="shared" si="224"/>
        <v>0</v>
      </c>
      <c r="CQ52" s="380">
        <f t="shared" si="225"/>
        <v>1325.8549153385281</v>
      </c>
      <c r="CR52" s="380">
        <f t="shared" si="226"/>
        <v>106.12109745679729</v>
      </c>
      <c r="CS52" s="380">
        <f t="shared" si="227"/>
        <v>0</v>
      </c>
      <c r="CT52" s="380">
        <f t="shared" si="228"/>
        <v>26.103816362353108</v>
      </c>
      <c r="CU52" s="380">
        <f t="shared" si="229"/>
        <v>1592.842599453749</v>
      </c>
      <c r="CV52" s="380">
        <f t="shared" si="230"/>
        <v>168.27524432075509</v>
      </c>
      <c r="CW52" s="380">
        <f t="shared" si="231"/>
        <v>0</v>
      </c>
      <c r="CX52" s="380">
        <f t="shared" si="232"/>
        <v>25.844552532253122</v>
      </c>
      <c r="CY52" s="380">
        <f t="shared" si="233"/>
        <v>12.120931202032207</v>
      </c>
      <c r="CZ52" s="389">
        <f t="shared" si="234"/>
        <v>19747.796386586193</v>
      </c>
      <c r="DA52" s="381">
        <f t="shared" si="365"/>
        <v>23004.959543252662</v>
      </c>
      <c r="DB52" s="379">
        <f t="shared" si="235"/>
        <v>3413.5390475618701</v>
      </c>
      <c r="DC52" s="380">
        <f t="shared" si="236"/>
        <v>2749.1500437181626</v>
      </c>
      <c r="DD52" s="380">
        <f t="shared" si="237"/>
        <v>49.211932466700141</v>
      </c>
      <c r="DE52" s="380">
        <f t="shared" si="238"/>
        <v>1384.5063764935956</v>
      </c>
      <c r="DF52" s="380">
        <f t="shared" si="239"/>
        <v>0</v>
      </c>
      <c r="DG52" s="380">
        <f t="shared" si="240"/>
        <v>1416.0784171948471</v>
      </c>
      <c r="DH52" s="380">
        <f t="shared" si="241"/>
        <v>656.99245389493217</v>
      </c>
      <c r="DI52" s="380">
        <f t="shared" si="242"/>
        <v>0</v>
      </c>
      <c r="DJ52" s="380">
        <f t="shared" si="243"/>
        <v>1051.1274679782262</v>
      </c>
      <c r="DK52" s="380">
        <f t="shared" si="244"/>
        <v>1184.3061082377717</v>
      </c>
      <c r="DL52" s="380">
        <f t="shared" si="245"/>
        <v>560.02079796873204</v>
      </c>
      <c r="DM52" s="389">
        <f t="shared" si="246"/>
        <v>2486.9642174092037</v>
      </c>
      <c r="DN52" s="381">
        <f t="shared" si="366"/>
        <v>14951.896862924041</v>
      </c>
      <c r="DO52" s="379">
        <f t="shared" si="247"/>
        <v>25.509795178212169</v>
      </c>
      <c r="DP52" s="380">
        <f t="shared" si="248"/>
        <v>9436.1249651008093</v>
      </c>
      <c r="DQ52" s="380">
        <f t="shared" si="249"/>
        <v>1503.2570065322125</v>
      </c>
      <c r="DR52" s="380">
        <f t="shared" si="250"/>
        <v>2221.933587530124</v>
      </c>
      <c r="DS52" s="380">
        <f t="shared" si="251"/>
        <v>437.59575136065166</v>
      </c>
      <c r="DT52" s="380">
        <f t="shared" si="252"/>
        <v>855.61944302245126</v>
      </c>
      <c r="DU52" s="380">
        <f t="shared" si="253"/>
        <v>832.97887508829228</v>
      </c>
      <c r="DV52" s="380">
        <f t="shared" si="254"/>
        <v>524.13780675500288</v>
      </c>
      <c r="DW52" s="380">
        <f t="shared" si="255"/>
        <v>489.1019027429453</v>
      </c>
      <c r="DX52" s="380">
        <f t="shared" si="256"/>
        <v>0</v>
      </c>
      <c r="DY52" s="380">
        <f t="shared" si="257"/>
        <v>231.03640099750879</v>
      </c>
      <c r="DZ52" s="389">
        <f t="shared" si="258"/>
        <v>3617.8729551670344</v>
      </c>
      <c r="EA52" s="381">
        <f t="shared" si="367"/>
        <v>20175.168489475243</v>
      </c>
      <c r="EB52" s="379">
        <f t="shared" si="259"/>
        <v>0</v>
      </c>
      <c r="EC52" s="380">
        <f t="shared" si="260"/>
        <v>0</v>
      </c>
      <c r="ED52" s="380">
        <f t="shared" si="261"/>
        <v>0</v>
      </c>
      <c r="EE52" s="380">
        <f t="shared" si="262"/>
        <v>0</v>
      </c>
      <c r="EF52" s="380">
        <f t="shared" si="263"/>
        <v>0</v>
      </c>
      <c r="EG52" s="380">
        <f t="shared" si="264"/>
        <v>0</v>
      </c>
      <c r="EH52" s="380">
        <f t="shared" si="265"/>
        <v>0</v>
      </c>
      <c r="EI52" s="380">
        <f t="shared" si="266"/>
        <v>363.96649481430421</v>
      </c>
      <c r="EJ52" s="380">
        <f t="shared" si="267"/>
        <v>14.162817540019159</v>
      </c>
      <c r="EK52" s="380">
        <f t="shared" si="268"/>
        <v>0</v>
      </c>
      <c r="EL52" s="380">
        <f t="shared" si="269"/>
        <v>334.28175041015243</v>
      </c>
      <c r="EM52" s="389">
        <f t="shared" si="270"/>
        <v>56410.45190126486</v>
      </c>
      <c r="EN52" s="381">
        <f t="shared" si="368"/>
        <v>57122.862964029337</v>
      </c>
      <c r="EO52" s="379">
        <f t="shared" si="271"/>
        <v>0</v>
      </c>
      <c r="EP52" s="380">
        <f t="shared" si="272"/>
        <v>3294.2414601303644</v>
      </c>
      <c r="EQ52" s="380">
        <f t="shared" si="273"/>
        <v>8759.1897757937331</v>
      </c>
      <c r="ER52" s="380">
        <f t="shared" si="274"/>
        <v>2369.5799964363732</v>
      </c>
      <c r="ES52" s="380">
        <f t="shared" si="275"/>
        <v>5879.2073149973085</v>
      </c>
      <c r="ET52" s="380">
        <f t="shared" si="276"/>
        <v>0</v>
      </c>
      <c r="EU52" s="380">
        <f t="shared" si="277"/>
        <v>1928.5967025994328</v>
      </c>
      <c r="EV52" s="380">
        <f t="shared" si="278"/>
        <v>0</v>
      </c>
      <c r="EW52" s="380">
        <f t="shared" si="279"/>
        <v>0</v>
      </c>
      <c r="EX52" s="380">
        <f t="shared" si="280"/>
        <v>0</v>
      </c>
      <c r="EY52" s="380">
        <f t="shared" si="281"/>
        <v>86.716024298193389</v>
      </c>
      <c r="EZ52" s="389">
        <f t="shared" si="282"/>
        <v>10079.515527645508</v>
      </c>
      <c r="FA52" s="381">
        <f t="shared" si="369"/>
        <v>32397.046801900909</v>
      </c>
      <c r="FB52" s="379">
        <f t="shared" si="283"/>
        <v>0</v>
      </c>
      <c r="FC52" s="380">
        <f t="shared" si="284"/>
        <v>0</v>
      </c>
      <c r="FD52" s="380">
        <f t="shared" si="285"/>
        <v>0</v>
      </c>
      <c r="FE52" s="380">
        <f t="shared" si="286"/>
        <v>74.753622738763795</v>
      </c>
      <c r="FF52" s="380">
        <f t="shared" si="287"/>
        <v>0</v>
      </c>
      <c r="FG52" s="380">
        <f t="shared" si="288"/>
        <v>0</v>
      </c>
      <c r="FH52" s="380">
        <f t="shared" si="289"/>
        <v>0</v>
      </c>
      <c r="FI52" s="380">
        <f t="shared" si="290"/>
        <v>350.84426684005587</v>
      </c>
      <c r="FJ52" s="380">
        <f t="shared" si="291"/>
        <v>657.68164134923597</v>
      </c>
      <c r="FK52" s="380">
        <f t="shared" si="292"/>
        <v>684.17988742016246</v>
      </c>
      <c r="FL52" s="380">
        <f t="shared" si="293"/>
        <v>177.29260005323854</v>
      </c>
      <c r="FM52" s="389">
        <f t="shared" si="294"/>
        <v>8587.2650091558098</v>
      </c>
      <c r="FN52" s="381">
        <f t="shared" si="370"/>
        <v>10532.017027557267</v>
      </c>
      <c r="FO52" s="379">
        <f t="shared" si="295"/>
        <v>0</v>
      </c>
      <c r="FP52" s="380">
        <f t="shared" si="296"/>
        <v>0</v>
      </c>
      <c r="FQ52" s="380">
        <f t="shared" si="297"/>
        <v>0</v>
      </c>
      <c r="FR52" s="380">
        <f t="shared" si="298"/>
        <v>0</v>
      </c>
      <c r="FS52" s="380">
        <f t="shared" si="299"/>
        <v>4872.9553409110522</v>
      </c>
      <c r="FT52" s="380">
        <f t="shared" si="300"/>
        <v>638.70097628546489</v>
      </c>
      <c r="FU52" s="380">
        <f t="shared" si="301"/>
        <v>0</v>
      </c>
      <c r="FV52" s="380">
        <f t="shared" si="302"/>
        <v>0</v>
      </c>
      <c r="FW52" s="380">
        <f>+FW18/$FV$37</f>
        <v>0</v>
      </c>
      <c r="FX52" s="380">
        <f t="shared" si="304"/>
        <v>0</v>
      </c>
      <c r="FY52" s="380">
        <f t="shared" si="305"/>
        <v>5713.7816280274983</v>
      </c>
      <c r="FZ52" s="389">
        <f t="shared" si="306"/>
        <v>0</v>
      </c>
      <c r="GA52" s="381">
        <f t="shared" si="371"/>
        <v>11225.437945224015</v>
      </c>
      <c r="GB52" s="379">
        <f>+GB15/$GB$37</f>
        <v>0</v>
      </c>
      <c r="GC52" s="380">
        <f>+GC15/$GC$37</f>
        <v>0</v>
      </c>
      <c r="GD52" s="380">
        <f>+GD15/$GD$37</f>
        <v>0</v>
      </c>
      <c r="GE52" s="380">
        <f>+GE15/$GE$37</f>
        <v>0</v>
      </c>
      <c r="GF52" s="380">
        <f>+GF15/$GF$37</f>
        <v>0</v>
      </c>
      <c r="GG52" s="380">
        <f>+GG15/$GG$37</f>
        <v>0</v>
      </c>
      <c r="GH52" s="380">
        <f>+GH15/$GH$37</f>
        <v>1336.865492521127</v>
      </c>
      <c r="GI52" s="380">
        <f>+GI15/$GI$37</f>
        <v>0</v>
      </c>
      <c r="GJ52" s="380">
        <f>+GJ15/$GJ$37</f>
        <v>0</v>
      </c>
      <c r="GK52" s="380">
        <f>+GK15/$GK$37</f>
        <v>0</v>
      </c>
      <c r="GL52" s="380">
        <f>+GL15/$GL$37</f>
        <v>4502.9525477207599</v>
      </c>
      <c r="GM52" s="389">
        <f>+GM15/$GM$37</f>
        <v>204.70638592470689</v>
      </c>
      <c r="GN52" s="381">
        <f t="shared" si="372"/>
        <v>6044.5244261665939</v>
      </c>
      <c r="GO52" s="379">
        <f>+GO15/$GO$37</f>
        <v>0</v>
      </c>
      <c r="GP52" s="380">
        <f>+GP15/$GP$37</f>
        <v>0</v>
      </c>
      <c r="GQ52" s="380">
        <f>+GQ15/$GQ$37</f>
        <v>257.77251696040287</v>
      </c>
      <c r="GR52" s="380">
        <f>+GR15/$GR$37</f>
        <v>314.96119331363371</v>
      </c>
      <c r="GS52" s="380">
        <f>+GS15/$GS$37</f>
        <v>0</v>
      </c>
      <c r="GT52" s="380">
        <f>+GT15/$GT$37</f>
        <v>762.54570098356862</v>
      </c>
      <c r="GU52" s="380">
        <f>+GU15/$GU$37</f>
        <v>71.44312697630923</v>
      </c>
      <c r="GV52" s="380">
        <f>+GV15/$GV$37</f>
        <v>1662.0242091559805</v>
      </c>
      <c r="GW52" s="380">
        <f>+GW15/$GW$37</f>
        <v>0</v>
      </c>
      <c r="GX52" s="380">
        <f>+GX15/$GX$37</f>
        <v>40.54774621904501</v>
      </c>
      <c r="GY52" s="380">
        <f>+GY15/$GY$37</f>
        <v>5132.6478255841866</v>
      </c>
      <c r="GZ52" s="389">
        <f>+GZ15/$GZ$37</f>
        <v>92.856954553889778</v>
      </c>
      <c r="HA52" s="381">
        <f t="shared" si="373"/>
        <v>8334.7992737470177</v>
      </c>
      <c r="HB52" s="379">
        <f>+HB15/$HB$37</f>
        <v>0</v>
      </c>
      <c r="HC52" s="380">
        <f>+HC15/$HC$37</f>
        <v>410.6319365264518</v>
      </c>
      <c r="HD52" s="380">
        <f>+HD15/$HD$37</f>
        <v>0</v>
      </c>
      <c r="HE52" s="380">
        <f>+HE15/$HE$37</f>
        <v>0</v>
      </c>
      <c r="HF52" s="380">
        <f>+HF15/$HF$37</f>
        <v>0</v>
      </c>
      <c r="HG52" s="380">
        <f>+HG15/$HG$37</f>
        <v>0</v>
      </c>
      <c r="HH52" s="380">
        <f>+HH15/$HH$37</f>
        <v>768.18748302091319</v>
      </c>
      <c r="HI52" s="380">
        <f>+HI15/$HI$37</f>
        <v>0</v>
      </c>
      <c r="HJ52" s="380">
        <f>+HJ15/$HJ$37</f>
        <v>0</v>
      </c>
      <c r="HK52" s="380">
        <f>+HK15/$HK$37</f>
        <v>0</v>
      </c>
      <c r="HL52" s="380">
        <f>+HL15/$HL$37</f>
        <v>4812.0117254730403</v>
      </c>
      <c r="HM52" s="389">
        <f>+HM15/$HM$37</f>
        <v>1691.6272974591227</v>
      </c>
      <c r="HN52" s="381">
        <f t="shared" si="374"/>
        <v>7682.4584424795285</v>
      </c>
      <c r="HO52" s="379">
        <f>+HO15/$HO$37</f>
        <v>0</v>
      </c>
      <c r="HP52" s="380">
        <f>+HP15/$HP$37</f>
        <v>0</v>
      </c>
      <c r="HQ52" s="380">
        <f>+HQ15/$HQ$37</f>
        <v>0</v>
      </c>
      <c r="HR52" s="380">
        <f>+HR15/$HR$37</f>
        <v>0</v>
      </c>
      <c r="HS52" s="380">
        <f>+HS15/$HS$37</f>
        <v>2226.9641047229761</v>
      </c>
      <c r="HT52" s="380">
        <f>+HT15/$HT$37</f>
        <v>0</v>
      </c>
      <c r="HU52" s="380">
        <f>+HU15/$HU$37</f>
        <v>0</v>
      </c>
      <c r="HV52" s="380">
        <f>+HV15/$HV$37</f>
        <v>0</v>
      </c>
      <c r="HW52" s="380">
        <f>+HW15/$HW$37</f>
        <v>0</v>
      </c>
      <c r="HX52" s="380">
        <f>+HX15/$HX$37</f>
        <v>5703.0547035353375</v>
      </c>
      <c r="HY52" s="380">
        <f>+HY15/$HY$37</f>
        <v>631.13749201313624</v>
      </c>
      <c r="HZ52" s="389">
        <f>+HZ15/$HZ$37</f>
        <v>4223.0098604405321</v>
      </c>
      <c r="IA52" s="379">
        <f t="shared" si="375"/>
        <v>12784.166160711982</v>
      </c>
      <c r="IB52" s="1344">
        <f>+IB15/$IB$37</f>
        <v>0</v>
      </c>
      <c r="IC52" s="120">
        <f>+IC15/$IC$37</f>
        <v>0</v>
      </c>
      <c r="ID52" s="120">
        <f t="shared" si="377"/>
        <v>0</v>
      </c>
      <c r="IE52" s="120">
        <f>+IE18/$IE$37</f>
        <v>391.58426803424146</v>
      </c>
      <c r="IF52" s="120">
        <f t="shared" si="379"/>
        <v>385.30292685753176</v>
      </c>
      <c r="IG52" s="120">
        <f t="shared" si="380"/>
        <v>0</v>
      </c>
      <c r="IH52" s="120">
        <f t="shared" si="381"/>
        <v>0</v>
      </c>
      <c r="II52" s="120">
        <f t="shared" si="382"/>
        <v>0</v>
      </c>
      <c r="IM52" s="1345"/>
      <c r="IN52" s="1346">
        <f t="shared" si="383"/>
        <v>776.88719489177322</v>
      </c>
      <c r="IP52" s="371" t="str">
        <f t="shared" si="355"/>
        <v/>
      </c>
      <c r="IQ52" s="348">
        <f t="shared" si="384"/>
        <v>-65.114516518513241</v>
      </c>
      <c r="IR52" s="320">
        <f t="shared" si="356"/>
        <v>2226.9641047229761</v>
      </c>
      <c r="IS52" s="344">
        <f t="shared" si="357"/>
        <v>776.88719489177322</v>
      </c>
      <c r="IU52" s="320">
        <f t="shared" si="385"/>
        <v>0</v>
      </c>
    </row>
    <row r="53" spans="1:264" s="338" customFormat="1" ht="15" customHeight="1" x14ac:dyDescent="0.2">
      <c r="A53" s="1553" t="s">
        <v>439</v>
      </c>
      <c r="B53" s="376">
        <f t="shared" si="139"/>
        <v>0</v>
      </c>
      <c r="C53" s="377">
        <f t="shared" si="140"/>
        <v>0</v>
      </c>
      <c r="D53" s="377">
        <f t="shared" si="141"/>
        <v>0</v>
      </c>
      <c r="E53" s="377">
        <f t="shared" si="142"/>
        <v>0</v>
      </c>
      <c r="F53" s="377">
        <f t="shared" si="143"/>
        <v>0</v>
      </c>
      <c r="G53" s="377">
        <f t="shared" si="144"/>
        <v>0</v>
      </c>
      <c r="H53" s="377">
        <f t="shared" si="145"/>
        <v>0</v>
      </c>
      <c r="I53" s="377">
        <f t="shared" si="146"/>
        <v>0</v>
      </c>
      <c r="J53" s="377">
        <f t="shared" si="147"/>
        <v>0</v>
      </c>
      <c r="K53" s="377">
        <f t="shared" si="148"/>
        <v>0</v>
      </c>
      <c r="L53" s="377">
        <f t="shared" si="149"/>
        <v>0</v>
      </c>
      <c r="M53" s="388">
        <f t="shared" si="150"/>
        <v>0</v>
      </c>
      <c r="N53" s="378">
        <f t="shared" si="358"/>
        <v>0</v>
      </c>
      <c r="O53" s="376">
        <f t="shared" si="151"/>
        <v>0</v>
      </c>
      <c r="P53" s="377">
        <f t="shared" si="152"/>
        <v>0</v>
      </c>
      <c r="Q53" s="377">
        <f t="shared" si="153"/>
        <v>0</v>
      </c>
      <c r="R53" s="377">
        <f t="shared" si="154"/>
        <v>0</v>
      </c>
      <c r="S53" s="377">
        <f t="shared" si="155"/>
        <v>0</v>
      </c>
      <c r="T53" s="377">
        <f t="shared" si="156"/>
        <v>0</v>
      </c>
      <c r="U53" s="377">
        <f t="shared" si="157"/>
        <v>0</v>
      </c>
      <c r="V53" s="377">
        <f t="shared" si="158"/>
        <v>0</v>
      </c>
      <c r="W53" s="377">
        <f t="shared" si="159"/>
        <v>0</v>
      </c>
      <c r="X53" s="377">
        <f t="shared" si="160"/>
        <v>0</v>
      </c>
      <c r="Y53" s="377">
        <f t="shared" si="161"/>
        <v>0</v>
      </c>
      <c r="Z53" s="388">
        <f t="shared" si="162"/>
        <v>0</v>
      </c>
      <c r="AA53" s="378">
        <f t="shared" si="359"/>
        <v>0</v>
      </c>
      <c r="AB53" s="376">
        <f t="shared" si="163"/>
        <v>0</v>
      </c>
      <c r="AC53" s="377">
        <f t="shared" si="388"/>
        <v>0</v>
      </c>
      <c r="AD53" s="377">
        <f t="shared" si="389"/>
        <v>0</v>
      </c>
      <c r="AE53" s="377">
        <f t="shared" si="166"/>
        <v>0</v>
      </c>
      <c r="AF53" s="377">
        <f t="shared" si="167"/>
        <v>0</v>
      </c>
      <c r="AG53" s="377">
        <f t="shared" si="168"/>
        <v>0</v>
      </c>
      <c r="AH53" s="377">
        <f t="shared" si="390"/>
        <v>0</v>
      </c>
      <c r="AI53" s="377">
        <f t="shared" si="391"/>
        <v>0</v>
      </c>
      <c r="AJ53" s="377">
        <f t="shared" si="392"/>
        <v>0</v>
      </c>
      <c r="AK53" s="377">
        <f t="shared" si="393"/>
        <v>0</v>
      </c>
      <c r="AL53" s="377">
        <f t="shared" si="394"/>
        <v>0</v>
      </c>
      <c r="AM53" s="388">
        <f t="shared" si="395"/>
        <v>0</v>
      </c>
      <c r="AN53" s="378">
        <f t="shared" si="360"/>
        <v>0</v>
      </c>
      <c r="AO53" s="376">
        <f t="shared" si="175"/>
        <v>0</v>
      </c>
      <c r="AP53" s="377">
        <f t="shared" si="396"/>
        <v>0</v>
      </c>
      <c r="AQ53" s="377">
        <f t="shared" si="397"/>
        <v>0</v>
      </c>
      <c r="AR53" s="377">
        <f t="shared" si="178"/>
        <v>0</v>
      </c>
      <c r="AS53" s="377">
        <f t="shared" si="179"/>
        <v>0</v>
      </c>
      <c r="AT53" s="377">
        <f t="shared" si="180"/>
        <v>0</v>
      </c>
      <c r="AU53" s="377">
        <f t="shared" si="181"/>
        <v>0</v>
      </c>
      <c r="AV53" s="377">
        <f t="shared" si="182"/>
        <v>0</v>
      </c>
      <c r="AW53" s="377">
        <f t="shared" si="183"/>
        <v>0</v>
      </c>
      <c r="AX53" s="377">
        <f t="shared" si="184"/>
        <v>0</v>
      </c>
      <c r="AY53" s="377">
        <f t="shared" si="185"/>
        <v>0</v>
      </c>
      <c r="AZ53" s="388">
        <f t="shared" si="186"/>
        <v>0</v>
      </c>
      <c r="BA53" s="378">
        <f t="shared" si="361"/>
        <v>0</v>
      </c>
      <c r="BB53" s="376">
        <f t="shared" si="187"/>
        <v>0</v>
      </c>
      <c r="BC53" s="377">
        <f t="shared" si="188"/>
        <v>0</v>
      </c>
      <c r="BD53" s="377">
        <f t="shared" si="189"/>
        <v>0</v>
      </c>
      <c r="BE53" s="377">
        <f t="shared" si="190"/>
        <v>0</v>
      </c>
      <c r="BF53" s="377">
        <f t="shared" si="191"/>
        <v>0</v>
      </c>
      <c r="BG53" s="377">
        <f t="shared" si="192"/>
        <v>0</v>
      </c>
      <c r="BH53" s="377">
        <f t="shared" si="193"/>
        <v>0</v>
      </c>
      <c r="BI53" s="377">
        <f t="shared" si="194"/>
        <v>0</v>
      </c>
      <c r="BJ53" s="377">
        <f t="shared" si="195"/>
        <v>0</v>
      </c>
      <c r="BK53" s="377">
        <f t="shared" si="196"/>
        <v>0</v>
      </c>
      <c r="BL53" s="377">
        <f t="shared" si="197"/>
        <v>0</v>
      </c>
      <c r="BM53" s="388">
        <f t="shared" si="198"/>
        <v>0</v>
      </c>
      <c r="BN53" s="378">
        <f t="shared" si="362"/>
        <v>0</v>
      </c>
      <c r="BO53" s="376">
        <f t="shared" si="199"/>
        <v>0</v>
      </c>
      <c r="BP53" s="377">
        <f t="shared" si="200"/>
        <v>0</v>
      </c>
      <c r="BQ53" s="377">
        <f t="shared" si="201"/>
        <v>0</v>
      </c>
      <c r="BR53" s="377">
        <f t="shared" si="202"/>
        <v>0</v>
      </c>
      <c r="BS53" s="377">
        <f t="shared" si="203"/>
        <v>0</v>
      </c>
      <c r="BT53" s="377">
        <f t="shared" si="204"/>
        <v>0</v>
      </c>
      <c r="BU53" s="377">
        <f t="shared" si="205"/>
        <v>0</v>
      </c>
      <c r="BV53" s="377">
        <f t="shared" si="206"/>
        <v>0</v>
      </c>
      <c r="BW53" s="377">
        <f t="shared" si="207"/>
        <v>0</v>
      </c>
      <c r="BX53" s="377">
        <f t="shared" si="208"/>
        <v>0</v>
      </c>
      <c r="BY53" s="377">
        <f t="shared" si="209"/>
        <v>0</v>
      </c>
      <c r="BZ53" s="388">
        <f t="shared" si="210"/>
        <v>0</v>
      </c>
      <c r="CA53" s="378">
        <f t="shared" si="363"/>
        <v>0</v>
      </c>
      <c r="CB53" s="376">
        <f t="shared" si="211"/>
        <v>0</v>
      </c>
      <c r="CC53" s="377">
        <f t="shared" si="212"/>
        <v>0</v>
      </c>
      <c r="CD53" s="377">
        <f t="shared" si="213"/>
        <v>0</v>
      </c>
      <c r="CE53" s="377">
        <f t="shared" si="214"/>
        <v>0</v>
      </c>
      <c r="CF53" s="377">
        <f t="shared" si="215"/>
        <v>0</v>
      </c>
      <c r="CG53" s="377">
        <f t="shared" si="216"/>
        <v>0</v>
      </c>
      <c r="CH53" s="377">
        <f t="shared" si="217"/>
        <v>0</v>
      </c>
      <c r="CI53" s="377">
        <f t="shared" si="218"/>
        <v>0</v>
      </c>
      <c r="CJ53" s="377">
        <f t="shared" si="219"/>
        <v>0</v>
      </c>
      <c r="CK53" s="377">
        <f t="shared" si="220"/>
        <v>0</v>
      </c>
      <c r="CL53" s="377">
        <f t="shared" si="221"/>
        <v>0</v>
      </c>
      <c r="CM53" s="388">
        <f t="shared" si="222"/>
        <v>0</v>
      </c>
      <c r="CN53" s="378">
        <f t="shared" si="364"/>
        <v>0</v>
      </c>
      <c r="CO53" s="376">
        <f t="shared" si="223"/>
        <v>0</v>
      </c>
      <c r="CP53" s="377">
        <f t="shared" si="224"/>
        <v>0</v>
      </c>
      <c r="CQ53" s="377">
        <f t="shared" si="225"/>
        <v>0</v>
      </c>
      <c r="CR53" s="377">
        <f t="shared" si="226"/>
        <v>0</v>
      </c>
      <c r="CS53" s="377">
        <f t="shared" si="227"/>
        <v>0</v>
      </c>
      <c r="CT53" s="377">
        <f t="shared" si="228"/>
        <v>0</v>
      </c>
      <c r="CU53" s="377">
        <f t="shared" si="229"/>
        <v>0</v>
      </c>
      <c r="CV53" s="377">
        <f t="shared" si="230"/>
        <v>0</v>
      </c>
      <c r="CW53" s="377">
        <f t="shared" si="231"/>
        <v>0</v>
      </c>
      <c r="CX53" s="377">
        <f t="shared" si="232"/>
        <v>0</v>
      </c>
      <c r="CY53" s="377">
        <f t="shared" si="233"/>
        <v>0</v>
      </c>
      <c r="CZ53" s="388">
        <f t="shared" si="234"/>
        <v>0</v>
      </c>
      <c r="DA53" s="378">
        <f t="shared" si="365"/>
        <v>0</v>
      </c>
      <c r="DB53" s="376">
        <f t="shared" si="235"/>
        <v>0</v>
      </c>
      <c r="DC53" s="377">
        <f t="shared" si="236"/>
        <v>0</v>
      </c>
      <c r="DD53" s="377">
        <f t="shared" si="237"/>
        <v>0</v>
      </c>
      <c r="DE53" s="377">
        <f t="shared" si="238"/>
        <v>0</v>
      </c>
      <c r="DF53" s="377">
        <f t="shared" si="239"/>
        <v>0</v>
      </c>
      <c r="DG53" s="377">
        <f t="shared" si="240"/>
        <v>0</v>
      </c>
      <c r="DH53" s="377">
        <f t="shared" si="241"/>
        <v>0</v>
      </c>
      <c r="DI53" s="377">
        <f t="shared" si="242"/>
        <v>0</v>
      </c>
      <c r="DJ53" s="377">
        <f t="shared" si="243"/>
        <v>0</v>
      </c>
      <c r="DK53" s="377">
        <f t="shared" si="244"/>
        <v>0</v>
      </c>
      <c r="DL53" s="377">
        <f t="shared" si="245"/>
        <v>0</v>
      </c>
      <c r="DM53" s="388">
        <f t="shared" si="246"/>
        <v>0</v>
      </c>
      <c r="DN53" s="378">
        <f t="shared" si="366"/>
        <v>0</v>
      </c>
      <c r="DO53" s="376">
        <f t="shared" si="247"/>
        <v>0</v>
      </c>
      <c r="DP53" s="377">
        <f t="shared" si="248"/>
        <v>0</v>
      </c>
      <c r="DQ53" s="377">
        <f t="shared" si="249"/>
        <v>0</v>
      </c>
      <c r="DR53" s="377">
        <f t="shared" si="250"/>
        <v>0</v>
      </c>
      <c r="DS53" s="377">
        <f t="shared" si="251"/>
        <v>0</v>
      </c>
      <c r="DT53" s="377">
        <f t="shared" si="252"/>
        <v>0</v>
      </c>
      <c r="DU53" s="377">
        <f t="shared" si="253"/>
        <v>0</v>
      </c>
      <c r="DV53" s="377">
        <f t="shared" si="254"/>
        <v>0</v>
      </c>
      <c r="DW53" s="377">
        <f t="shared" si="255"/>
        <v>0</v>
      </c>
      <c r="DX53" s="377">
        <f t="shared" si="256"/>
        <v>0</v>
      </c>
      <c r="DY53" s="377">
        <f t="shared" si="257"/>
        <v>0</v>
      </c>
      <c r="DZ53" s="388">
        <f t="shared" si="258"/>
        <v>0</v>
      </c>
      <c r="EA53" s="378">
        <f t="shared" si="367"/>
        <v>0</v>
      </c>
      <c r="EB53" s="376">
        <f t="shared" si="259"/>
        <v>0</v>
      </c>
      <c r="EC53" s="377">
        <f t="shared" si="260"/>
        <v>0</v>
      </c>
      <c r="ED53" s="377">
        <f t="shared" si="261"/>
        <v>0</v>
      </c>
      <c r="EE53" s="377">
        <f t="shared" si="262"/>
        <v>0</v>
      </c>
      <c r="EF53" s="377">
        <f t="shared" si="263"/>
        <v>0</v>
      </c>
      <c r="EG53" s="377">
        <f t="shared" si="264"/>
        <v>0</v>
      </c>
      <c r="EH53" s="377">
        <f t="shared" si="265"/>
        <v>0</v>
      </c>
      <c r="EI53" s="377">
        <f t="shared" si="266"/>
        <v>0</v>
      </c>
      <c r="EJ53" s="377">
        <f t="shared" si="267"/>
        <v>0</v>
      </c>
      <c r="EK53" s="377">
        <f t="shared" si="268"/>
        <v>0</v>
      </c>
      <c r="EL53" s="377">
        <f t="shared" si="269"/>
        <v>0</v>
      </c>
      <c r="EM53" s="388">
        <f t="shared" si="270"/>
        <v>0</v>
      </c>
      <c r="EN53" s="378">
        <f t="shared" si="368"/>
        <v>0</v>
      </c>
      <c r="EO53" s="376">
        <f t="shared" si="271"/>
        <v>0</v>
      </c>
      <c r="EP53" s="377">
        <f t="shared" si="272"/>
        <v>0</v>
      </c>
      <c r="EQ53" s="377">
        <f t="shared" si="273"/>
        <v>0</v>
      </c>
      <c r="ER53" s="377">
        <f t="shared" si="274"/>
        <v>0</v>
      </c>
      <c r="ES53" s="377">
        <f t="shared" si="275"/>
        <v>0</v>
      </c>
      <c r="ET53" s="377">
        <f t="shared" si="276"/>
        <v>0</v>
      </c>
      <c r="EU53" s="377">
        <f t="shared" si="277"/>
        <v>0</v>
      </c>
      <c r="EV53" s="377">
        <f t="shared" si="278"/>
        <v>0</v>
      </c>
      <c r="EW53" s="377">
        <f t="shared" si="279"/>
        <v>0</v>
      </c>
      <c r="EX53" s="377">
        <f t="shared" si="280"/>
        <v>0</v>
      </c>
      <c r="EY53" s="377">
        <f t="shared" si="281"/>
        <v>0</v>
      </c>
      <c r="EZ53" s="388">
        <f t="shared" si="282"/>
        <v>0</v>
      </c>
      <c r="FA53" s="378">
        <f t="shared" si="369"/>
        <v>0</v>
      </c>
      <c r="FB53" s="376">
        <f t="shared" si="283"/>
        <v>0</v>
      </c>
      <c r="FC53" s="377">
        <f t="shared" si="284"/>
        <v>0</v>
      </c>
      <c r="FD53" s="377">
        <f t="shared" si="285"/>
        <v>0</v>
      </c>
      <c r="FE53" s="377">
        <f t="shared" si="286"/>
        <v>0</v>
      </c>
      <c r="FF53" s="377">
        <f t="shared" si="287"/>
        <v>0</v>
      </c>
      <c r="FG53" s="377">
        <f t="shared" si="288"/>
        <v>0</v>
      </c>
      <c r="FH53" s="377">
        <f t="shared" si="289"/>
        <v>0</v>
      </c>
      <c r="FI53" s="377">
        <f t="shared" si="290"/>
        <v>0</v>
      </c>
      <c r="FJ53" s="377">
        <f t="shared" si="291"/>
        <v>0</v>
      </c>
      <c r="FK53" s="377">
        <f t="shared" si="292"/>
        <v>0</v>
      </c>
      <c r="FL53" s="377">
        <f t="shared" si="293"/>
        <v>0</v>
      </c>
      <c r="FM53" s="388">
        <f t="shared" si="294"/>
        <v>0</v>
      </c>
      <c r="FN53" s="378">
        <f t="shared" si="370"/>
        <v>0</v>
      </c>
      <c r="FO53" s="376">
        <f t="shared" si="295"/>
        <v>0</v>
      </c>
      <c r="FP53" s="377">
        <f t="shared" si="296"/>
        <v>0</v>
      </c>
      <c r="FQ53" s="377">
        <f t="shared" si="297"/>
        <v>0</v>
      </c>
      <c r="FR53" s="377">
        <f t="shared" si="298"/>
        <v>0</v>
      </c>
      <c r="FS53" s="377">
        <f t="shared" si="299"/>
        <v>0</v>
      </c>
      <c r="FT53" s="377">
        <f t="shared" si="300"/>
        <v>0</v>
      </c>
      <c r="FU53" s="377">
        <f t="shared" si="301"/>
        <v>0</v>
      </c>
      <c r="FV53" s="377">
        <f t="shared" si="302"/>
        <v>0</v>
      </c>
      <c r="FW53" s="377">
        <f>+FW19/$FV$37</f>
        <v>0</v>
      </c>
      <c r="FX53" s="377">
        <f t="shared" si="304"/>
        <v>0</v>
      </c>
      <c r="FY53" s="377">
        <f t="shared" si="305"/>
        <v>0</v>
      </c>
      <c r="FZ53" s="388">
        <f t="shared" si="306"/>
        <v>0</v>
      </c>
      <c r="GA53" s="378">
        <f t="shared" si="371"/>
        <v>0</v>
      </c>
      <c r="GB53" s="376">
        <f t="shared" si="307"/>
        <v>0</v>
      </c>
      <c r="GC53" s="377">
        <f t="shared" si="308"/>
        <v>0</v>
      </c>
      <c r="GD53" s="377">
        <f t="shared" si="309"/>
        <v>0</v>
      </c>
      <c r="GE53" s="377">
        <f t="shared" si="310"/>
        <v>0</v>
      </c>
      <c r="GF53" s="377">
        <f t="shared" si="311"/>
        <v>0</v>
      </c>
      <c r="GG53" s="377">
        <f t="shared" si="312"/>
        <v>0</v>
      </c>
      <c r="GH53" s="377">
        <f t="shared" si="313"/>
        <v>0</v>
      </c>
      <c r="GI53" s="377">
        <f t="shared" si="314"/>
        <v>0</v>
      </c>
      <c r="GJ53" s="377">
        <f t="shared" si="315"/>
        <v>0</v>
      </c>
      <c r="GK53" s="377">
        <f t="shared" si="316"/>
        <v>0</v>
      </c>
      <c r="GL53" s="377">
        <f t="shared" si="317"/>
        <v>0</v>
      </c>
      <c r="GM53" s="388">
        <f t="shared" si="318"/>
        <v>0</v>
      </c>
      <c r="GN53" s="378">
        <f t="shared" si="372"/>
        <v>0</v>
      </c>
      <c r="GO53" s="376">
        <f t="shared" si="319"/>
        <v>0</v>
      </c>
      <c r="GP53" s="377">
        <f t="shared" si="320"/>
        <v>0</v>
      </c>
      <c r="GQ53" s="377">
        <f t="shared" si="321"/>
        <v>0</v>
      </c>
      <c r="GR53" s="377">
        <f t="shared" si="322"/>
        <v>0</v>
      </c>
      <c r="GS53" s="377">
        <f t="shared" si="323"/>
        <v>0</v>
      </c>
      <c r="GT53" s="377">
        <f t="shared" si="324"/>
        <v>0</v>
      </c>
      <c r="GU53" s="377">
        <f t="shared" si="325"/>
        <v>0</v>
      </c>
      <c r="GV53" s="377">
        <f t="shared" si="326"/>
        <v>0</v>
      </c>
      <c r="GW53" s="377">
        <f t="shared" si="327"/>
        <v>0</v>
      </c>
      <c r="GX53" s="377">
        <f t="shared" si="387"/>
        <v>0</v>
      </c>
      <c r="GY53" s="377">
        <f t="shared" si="328"/>
        <v>0</v>
      </c>
      <c r="GZ53" s="388">
        <f t="shared" si="329"/>
        <v>0</v>
      </c>
      <c r="HA53" s="378">
        <f t="shared" si="373"/>
        <v>0</v>
      </c>
      <c r="HB53" s="376">
        <f t="shared" si="330"/>
        <v>0</v>
      </c>
      <c r="HC53" s="377">
        <f t="shared" si="331"/>
        <v>0</v>
      </c>
      <c r="HD53" s="377">
        <f t="shared" si="332"/>
        <v>0</v>
      </c>
      <c r="HE53" s="377">
        <f t="shared" si="333"/>
        <v>0</v>
      </c>
      <c r="HF53" s="377">
        <f t="shared" si="334"/>
        <v>0</v>
      </c>
      <c r="HG53" s="377">
        <f t="shared" si="335"/>
        <v>0</v>
      </c>
      <c r="HH53" s="377">
        <f t="shared" si="336"/>
        <v>0</v>
      </c>
      <c r="HI53" s="377">
        <f t="shared" si="337"/>
        <v>0</v>
      </c>
      <c r="HJ53" s="377">
        <f t="shared" si="338"/>
        <v>0</v>
      </c>
      <c r="HK53" s="377">
        <f t="shared" si="339"/>
        <v>0</v>
      </c>
      <c r="HL53" s="377">
        <f t="shared" si="340"/>
        <v>0</v>
      </c>
      <c r="HM53" s="388">
        <f t="shared" si="341"/>
        <v>0</v>
      </c>
      <c r="HN53" s="378">
        <f t="shared" si="374"/>
        <v>0</v>
      </c>
      <c r="HO53" s="376">
        <f t="shared" si="342"/>
        <v>0</v>
      </c>
      <c r="HP53" s="377">
        <f t="shared" si="343"/>
        <v>0</v>
      </c>
      <c r="HQ53" s="377">
        <f t="shared" si="344"/>
        <v>0</v>
      </c>
      <c r="HR53" s="377">
        <f t="shared" si="345"/>
        <v>0</v>
      </c>
      <c r="HS53" s="377">
        <f t="shared" si="346"/>
        <v>0</v>
      </c>
      <c r="HT53" s="377">
        <f t="shared" si="347"/>
        <v>0</v>
      </c>
      <c r="HU53" s="377">
        <f t="shared" si="348"/>
        <v>0</v>
      </c>
      <c r="HV53" s="377">
        <f t="shared" si="349"/>
        <v>0</v>
      </c>
      <c r="HW53" s="377">
        <f t="shared" si="350"/>
        <v>0</v>
      </c>
      <c r="HX53" s="377">
        <f t="shared" si="351"/>
        <v>0</v>
      </c>
      <c r="HY53" s="377">
        <f t="shared" si="352"/>
        <v>0</v>
      </c>
      <c r="HZ53" s="388">
        <f t="shared" si="353"/>
        <v>0</v>
      </c>
      <c r="IA53" s="376">
        <f t="shared" si="375"/>
        <v>0</v>
      </c>
      <c r="IB53" s="1328">
        <f t="shared" si="354"/>
        <v>0</v>
      </c>
      <c r="IC53" s="129">
        <f t="shared" si="376"/>
        <v>0</v>
      </c>
      <c r="ID53" s="129">
        <f>+ID19/$ID$37</f>
        <v>0</v>
      </c>
      <c r="IE53" s="129">
        <f t="shared" si="378"/>
        <v>0</v>
      </c>
      <c r="IF53" s="129">
        <f t="shared" si="379"/>
        <v>0</v>
      </c>
      <c r="IG53" s="129">
        <f t="shared" si="380"/>
        <v>0</v>
      </c>
      <c r="IH53" s="129">
        <f t="shared" si="381"/>
        <v>0</v>
      </c>
      <c r="II53" s="129">
        <f t="shared" si="382"/>
        <v>0</v>
      </c>
      <c r="IJ53" s="129"/>
      <c r="IK53" s="129"/>
      <c r="IL53" s="129"/>
      <c r="IM53" s="1268"/>
      <c r="IN53" s="1343">
        <f t="shared" si="383"/>
        <v>0</v>
      </c>
      <c r="IO53" s="129"/>
      <c r="IP53" s="370" t="str">
        <f t="shared" si="355"/>
        <v/>
      </c>
      <c r="IQ53" s="340" t="str">
        <f t="shared" si="384"/>
        <v/>
      </c>
      <c r="IR53" s="339">
        <f t="shared" si="356"/>
        <v>0</v>
      </c>
      <c r="IS53" s="341">
        <f t="shared" si="357"/>
        <v>0</v>
      </c>
      <c r="IU53" s="339"/>
      <c r="IV53" s="129"/>
      <c r="IW53" s="129"/>
      <c r="IX53" s="129"/>
      <c r="IY53" s="129"/>
      <c r="IZ53" s="129"/>
      <c r="JA53" s="129"/>
      <c r="JB53" s="129"/>
      <c r="JC53" s="129"/>
      <c r="JD53" s="129"/>
    </row>
    <row r="54" spans="1:264" ht="15" customHeight="1" x14ac:dyDescent="0.2">
      <c r="A54" s="1554" t="s">
        <v>440</v>
      </c>
      <c r="B54" s="379">
        <f t="shared" si="139"/>
        <v>0</v>
      </c>
      <c r="C54" s="380">
        <f t="shared" si="140"/>
        <v>0</v>
      </c>
      <c r="D54" s="380">
        <f t="shared" si="141"/>
        <v>0</v>
      </c>
      <c r="E54" s="380">
        <f t="shared" si="142"/>
        <v>0</v>
      </c>
      <c r="F54" s="380">
        <f t="shared" si="143"/>
        <v>0</v>
      </c>
      <c r="G54" s="380">
        <f t="shared" si="144"/>
        <v>0</v>
      </c>
      <c r="H54" s="380">
        <f t="shared" si="145"/>
        <v>0</v>
      </c>
      <c r="I54" s="380">
        <f t="shared" si="146"/>
        <v>0</v>
      </c>
      <c r="J54" s="380">
        <f t="shared" si="147"/>
        <v>0</v>
      </c>
      <c r="K54" s="380">
        <f t="shared" si="148"/>
        <v>0</v>
      </c>
      <c r="L54" s="380">
        <f t="shared" si="149"/>
        <v>0</v>
      </c>
      <c r="M54" s="389">
        <f t="shared" si="150"/>
        <v>0</v>
      </c>
      <c r="N54" s="381">
        <f t="shared" si="358"/>
        <v>0</v>
      </c>
      <c r="O54" s="379">
        <f t="shared" si="151"/>
        <v>0</v>
      </c>
      <c r="P54" s="380">
        <f t="shared" si="152"/>
        <v>0</v>
      </c>
      <c r="Q54" s="380">
        <f t="shared" si="153"/>
        <v>0</v>
      </c>
      <c r="R54" s="380">
        <f t="shared" si="154"/>
        <v>0</v>
      </c>
      <c r="S54" s="380">
        <f t="shared" si="155"/>
        <v>0</v>
      </c>
      <c r="T54" s="380">
        <f t="shared" si="156"/>
        <v>0</v>
      </c>
      <c r="U54" s="380">
        <f t="shared" si="157"/>
        <v>0</v>
      </c>
      <c r="V54" s="380">
        <f t="shared" si="158"/>
        <v>0</v>
      </c>
      <c r="W54" s="380">
        <f t="shared" si="159"/>
        <v>0</v>
      </c>
      <c r="X54" s="380">
        <f t="shared" si="160"/>
        <v>0</v>
      </c>
      <c r="Y54" s="380">
        <f t="shared" si="161"/>
        <v>0</v>
      </c>
      <c r="Z54" s="389">
        <f t="shared" si="162"/>
        <v>0</v>
      </c>
      <c r="AA54" s="381">
        <f t="shared" si="359"/>
        <v>0</v>
      </c>
      <c r="AB54" s="379">
        <f t="shared" si="163"/>
        <v>0</v>
      </c>
      <c r="AC54" s="380">
        <f t="shared" si="388"/>
        <v>0</v>
      </c>
      <c r="AD54" s="380">
        <f t="shared" si="389"/>
        <v>0</v>
      </c>
      <c r="AE54" s="380">
        <f t="shared" si="166"/>
        <v>0</v>
      </c>
      <c r="AF54" s="380">
        <f t="shared" si="167"/>
        <v>0</v>
      </c>
      <c r="AG54" s="380">
        <f t="shared" si="168"/>
        <v>0</v>
      </c>
      <c r="AH54" s="380">
        <f t="shared" si="390"/>
        <v>0</v>
      </c>
      <c r="AI54" s="380">
        <f t="shared" si="391"/>
        <v>0</v>
      </c>
      <c r="AJ54" s="380">
        <f t="shared" si="392"/>
        <v>0</v>
      </c>
      <c r="AK54" s="380">
        <f t="shared" si="393"/>
        <v>0</v>
      </c>
      <c r="AL54" s="380">
        <f t="shared" si="394"/>
        <v>0</v>
      </c>
      <c r="AM54" s="389">
        <f t="shared" si="395"/>
        <v>0</v>
      </c>
      <c r="AN54" s="381">
        <f t="shared" si="360"/>
        <v>0</v>
      </c>
      <c r="AO54" s="379">
        <f t="shared" si="175"/>
        <v>0</v>
      </c>
      <c r="AP54" s="380">
        <f t="shared" si="396"/>
        <v>0</v>
      </c>
      <c r="AQ54" s="380">
        <f t="shared" si="397"/>
        <v>0</v>
      </c>
      <c r="AR54" s="380">
        <f t="shared" si="178"/>
        <v>0</v>
      </c>
      <c r="AS54" s="380">
        <f t="shared" si="179"/>
        <v>0</v>
      </c>
      <c r="AT54" s="380">
        <f t="shared" si="180"/>
        <v>0</v>
      </c>
      <c r="AU54" s="380">
        <f t="shared" si="181"/>
        <v>0</v>
      </c>
      <c r="AV54" s="380">
        <f t="shared" si="182"/>
        <v>0</v>
      </c>
      <c r="AW54" s="380">
        <f t="shared" si="183"/>
        <v>0</v>
      </c>
      <c r="AX54" s="380">
        <f t="shared" si="184"/>
        <v>0</v>
      </c>
      <c r="AY54" s="380">
        <f t="shared" si="185"/>
        <v>0</v>
      </c>
      <c r="AZ54" s="389">
        <f t="shared" si="186"/>
        <v>0</v>
      </c>
      <c r="BA54" s="381">
        <f t="shared" si="361"/>
        <v>0</v>
      </c>
      <c r="BB54" s="379">
        <f t="shared" si="187"/>
        <v>0</v>
      </c>
      <c r="BC54" s="380">
        <f t="shared" si="188"/>
        <v>0</v>
      </c>
      <c r="BD54" s="380">
        <f t="shared" si="189"/>
        <v>0</v>
      </c>
      <c r="BE54" s="380">
        <f t="shared" si="190"/>
        <v>0</v>
      </c>
      <c r="BF54" s="380">
        <f t="shared" si="191"/>
        <v>0</v>
      </c>
      <c r="BG54" s="380">
        <f t="shared" si="192"/>
        <v>0</v>
      </c>
      <c r="BH54" s="380">
        <f t="shared" si="193"/>
        <v>0</v>
      </c>
      <c r="BI54" s="380">
        <f t="shared" si="194"/>
        <v>0</v>
      </c>
      <c r="BJ54" s="380">
        <f t="shared" si="195"/>
        <v>0</v>
      </c>
      <c r="BK54" s="380">
        <f t="shared" si="196"/>
        <v>0</v>
      </c>
      <c r="BL54" s="380">
        <f t="shared" si="197"/>
        <v>0</v>
      </c>
      <c r="BM54" s="389">
        <f t="shared" si="198"/>
        <v>0</v>
      </c>
      <c r="BN54" s="381">
        <f t="shared" si="362"/>
        <v>0</v>
      </c>
      <c r="BO54" s="379">
        <f t="shared" si="199"/>
        <v>0</v>
      </c>
      <c r="BP54" s="380">
        <f t="shared" si="200"/>
        <v>0</v>
      </c>
      <c r="BQ54" s="380">
        <f t="shared" si="201"/>
        <v>0</v>
      </c>
      <c r="BR54" s="380">
        <f t="shared" si="202"/>
        <v>0</v>
      </c>
      <c r="BS54" s="380">
        <f t="shared" si="203"/>
        <v>0</v>
      </c>
      <c r="BT54" s="380">
        <f t="shared" si="204"/>
        <v>0</v>
      </c>
      <c r="BU54" s="380">
        <f t="shared" si="205"/>
        <v>0</v>
      </c>
      <c r="BV54" s="380">
        <f t="shared" si="206"/>
        <v>0</v>
      </c>
      <c r="BW54" s="380">
        <f t="shared" si="207"/>
        <v>0</v>
      </c>
      <c r="BX54" s="380">
        <f t="shared" si="208"/>
        <v>0</v>
      </c>
      <c r="BY54" s="380">
        <f t="shared" si="209"/>
        <v>0</v>
      </c>
      <c r="BZ54" s="389">
        <f t="shared" si="210"/>
        <v>0</v>
      </c>
      <c r="CA54" s="381">
        <f t="shared" si="363"/>
        <v>0</v>
      </c>
      <c r="CB54" s="379">
        <f t="shared" si="211"/>
        <v>0</v>
      </c>
      <c r="CC54" s="380">
        <f t="shared" si="212"/>
        <v>0</v>
      </c>
      <c r="CD54" s="380">
        <f t="shared" si="213"/>
        <v>0</v>
      </c>
      <c r="CE54" s="380">
        <f t="shared" si="214"/>
        <v>0</v>
      </c>
      <c r="CF54" s="380">
        <f t="shared" si="215"/>
        <v>0</v>
      </c>
      <c r="CG54" s="380">
        <f t="shared" si="216"/>
        <v>0</v>
      </c>
      <c r="CH54" s="380">
        <f t="shared" si="217"/>
        <v>0</v>
      </c>
      <c r="CI54" s="380">
        <f t="shared" si="218"/>
        <v>0</v>
      </c>
      <c r="CJ54" s="380">
        <f t="shared" si="219"/>
        <v>0</v>
      </c>
      <c r="CK54" s="380">
        <f t="shared" si="220"/>
        <v>0</v>
      </c>
      <c r="CL54" s="380">
        <f t="shared" si="221"/>
        <v>0</v>
      </c>
      <c r="CM54" s="389">
        <f t="shared" si="222"/>
        <v>0</v>
      </c>
      <c r="CN54" s="381">
        <f t="shared" si="364"/>
        <v>0</v>
      </c>
      <c r="CO54" s="379">
        <f t="shared" si="223"/>
        <v>0</v>
      </c>
      <c r="CP54" s="380">
        <f t="shared" si="224"/>
        <v>0</v>
      </c>
      <c r="CQ54" s="380">
        <f t="shared" si="225"/>
        <v>0</v>
      </c>
      <c r="CR54" s="380">
        <f t="shared" si="226"/>
        <v>0</v>
      </c>
      <c r="CS54" s="380">
        <f t="shared" si="227"/>
        <v>0</v>
      </c>
      <c r="CT54" s="380">
        <f t="shared" si="228"/>
        <v>0</v>
      </c>
      <c r="CU54" s="380">
        <f t="shared" si="229"/>
        <v>0</v>
      </c>
      <c r="CV54" s="380">
        <f t="shared" si="230"/>
        <v>0</v>
      </c>
      <c r="CW54" s="380">
        <f t="shared" si="231"/>
        <v>0</v>
      </c>
      <c r="CX54" s="380">
        <f t="shared" si="232"/>
        <v>0</v>
      </c>
      <c r="CY54" s="380">
        <f t="shared" si="233"/>
        <v>0</v>
      </c>
      <c r="CZ54" s="389">
        <f t="shared" si="234"/>
        <v>0</v>
      </c>
      <c r="DA54" s="381">
        <f t="shared" si="365"/>
        <v>0</v>
      </c>
      <c r="DB54" s="379">
        <f t="shared" si="235"/>
        <v>0</v>
      </c>
      <c r="DC54" s="380">
        <f t="shared" si="236"/>
        <v>0</v>
      </c>
      <c r="DD54" s="380">
        <f t="shared" si="237"/>
        <v>0</v>
      </c>
      <c r="DE54" s="380">
        <f t="shared" si="238"/>
        <v>0</v>
      </c>
      <c r="DF54" s="380">
        <f t="shared" si="239"/>
        <v>0</v>
      </c>
      <c r="DG54" s="380">
        <f t="shared" si="240"/>
        <v>0</v>
      </c>
      <c r="DH54" s="380">
        <f t="shared" si="241"/>
        <v>0</v>
      </c>
      <c r="DI54" s="380">
        <f t="shared" si="242"/>
        <v>0</v>
      </c>
      <c r="DJ54" s="380">
        <f t="shared" si="243"/>
        <v>0</v>
      </c>
      <c r="DK54" s="380">
        <f t="shared" si="244"/>
        <v>0</v>
      </c>
      <c r="DL54" s="380">
        <f t="shared" si="245"/>
        <v>0</v>
      </c>
      <c r="DM54" s="389">
        <f t="shared" si="246"/>
        <v>0</v>
      </c>
      <c r="DN54" s="381">
        <f t="shared" si="366"/>
        <v>0</v>
      </c>
      <c r="DO54" s="379">
        <f t="shared" si="247"/>
        <v>0</v>
      </c>
      <c r="DP54" s="380">
        <f t="shared" si="248"/>
        <v>0</v>
      </c>
      <c r="DQ54" s="380">
        <f t="shared" si="249"/>
        <v>0</v>
      </c>
      <c r="DR54" s="380">
        <f t="shared" si="250"/>
        <v>0</v>
      </c>
      <c r="DS54" s="380">
        <f t="shared" si="251"/>
        <v>0</v>
      </c>
      <c r="DT54" s="380">
        <f t="shared" si="252"/>
        <v>0</v>
      </c>
      <c r="DU54" s="380">
        <f t="shared" si="253"/>
        <v>0</v>
      </c>
      <c r="DV54" s="380">
        <f t="shared" si="254"/>
        <v>0</v>
      </c>
      <c r="DW54" s="380">
        <f t="shared" si="255"/>
        <v>0</v>
      </c>
      <c r="DX54" s="380">
        <f t="shared" si="256"/>
        <v>0</v>
      </c>
      <c r="DY54" s="380">
        <f t="shared" si="257"/>
        <v>0</v>
      </c>
      <c r="DZ54" s="389">
        <f t="shared" si="258"/>
        <v>0</v>
      </c>
      <c r="EA54" s="381">
        <f t="shared" si="367"/>
        <v>0</v>
      </c>
      <c r="EB54" s="379">
        <f t="shared" si="259"/>
        <v>0</v>
      </c>
      <c r="EC54" s="380">
        <f t="shared" si="260"/>
        <v>0</v>
      </c>
      <c r="ED54" s="380">
        <f t="shared" si="261"/>
        <v>0</v>
      </c>
      <c r="EE54" s="380">
        <f t="shared" si="262"/>
        <v>0</v>
      </c>
      <c r="EF54" s="380">
        <f t="shared" si="263"/>
        <v>0</v>
      </c>
      <c r="EG54" s="380">
        <f t="shared" si="264"/>
        <v>0</v>
      </c>
      <c r="EH54" s="380">
        <f t="shared" si="265"/>
        <v>0</v>
      </c>
      <c r="EI54" s="380">
        <f t="shared" si="266"/>
        <v>0</v>
      </c>
      <c r="EJ54" s="380">
        <f t="shared" si="267"/>
        <v>0</v>
      </c>
      <c r="EK54" s="380">
        <f t="shared" si="268"/>
        <v>0</v>
      </c>
      <c r="EL54" s="380">
        <f t="shared" si="269"/>
        <v>0</v>
      </c>
      <c r="EM54" s="389">
        <f t="shared" si="270"/>
        <v>0</v>
      </c>
      <c r="EN54" s="381">
        <f t="shared" si="368"/>
        <v>0</v>
      </c>
      <c r="EO54" s="379">
        <f t="shared" si="271"/>
        <v>0</v>
      </c>
      <c r="EP54" s="380">
        <f t="shared" si="272"/>
        <v>0</v>
      </c>
      <c r="EQ54" s="380">
        <f t="shared" si="273"/>
        <v>0</v>
      </c>
      <c r="ER54" s="380">
        <f t="shared" si="274"/>
        <v>0</v>
      </c>
      <c r="ES54" s="380">
        <f t="shared" si="275"/>
        <v>0</v>
      </c>
      <c r="ET54" s="380">
        <f t="shared" si="276"/>
        <v>0</v>
      </c>
      <c r="EU54" s="380">
        <f t="shared" si="277"/>
        <v>0</v>
      </c>
      <c r="EV54" s="380">
        <f t="shared" si="278"/>
        <v>0</v>
      </c>
      <c r="EW54" s="380">
        <f t="shared" si="279"/>
        <v>0</v>
      </c>
      <c r="EX54" s="380">
        <f t="shared" si="280"/>
        <v>0</v>
      </c>
      <c r="EY54" s="380">
        <f t="shared" si="281"/>
        <v>0</v>
      </c>
      <c r="EZ54" s="389">
        <f t="shared" si="282"/>
        <v>0</v>
      </c>
      <c r="FA54" s="381">
        <f t="shared" si="369"/>
        <v>0</v>
      </c>
      <c r="FB54" s="379">
        <f t="shared" si="283"/>
        <v>0</v>
      </c>
      <c r="FC54" s="380">
        <f t="shared" si="284"/>
        <v>0</v>
      </c>
      <c r="FD54" s="380">
        <f t="shared" si="285"/>
        <v>0</v>
      </c>
      <c r="FE54" s="380">
        <f t="shared" si="286"/>
        <v>0</v>
      </c>
      <c r="FF54" s="380">
        <f t="shared" si="287"/>
        <v>0</v>
      </c>
      <c r="FG54" s="380">
        <f t="shared" si="288"/>
        <v>0</v>
      </c>
      <c r="FH54" s="380">
        <f t="shared" si="289"/>
        <v>0</v>
      </c>
      <c r="FI54" s="380">
        <f t="shared" si="290"/>
        <v>0</v>
      </c>
      <c r="FJ54" s="380">
        <f t="shared" si="291"/>
        <v>0</v>
      </c>
      <c r="FK54" s="380">
        <f t="shared" si="292"/>
        <v>0</v>
      </c>
      <c r="FL54" s="380">
        <f t="shared" si="293"/>
        <v>0</v>
      </c>
      <c r="FM54" s="389">
        <f t="shared" si="294"/>
        <v>0</v>
      </c>
      <c r="FN54" s="381">
        <f t="shared" si="370"/>
        <v>0</v>
      </c>
      <c r="FO54" s="379">
        <f t="shared" si="295"/>
        <v>0</v>
      </c>
      <c r="FP54" s="380">
        <f t="shared" si="296"/>
        <v>0</v>
      </c>
      <c r="FQ54" s="380">
        <f t="shared" si="297"/>
        <v>0</v>
      </c>
      <c r="FR54" s="380">
        <f t="shared" si="298"/>
        <v>0</v>
      </c>
      <c r="FS54" s="380">
        <f t="shared" si="299"/>
        <v>0</v>
      </c>
      <c r="FT54" s="380">
        <f t="shared" si="300"/>
        <v>0</v>
      </c>
      <c r="FU54" s="380">
        <f t="shared" si="301"/>
        <v>0</v>
      </c>
      <c r="FV54" s="380">
        <f t="shared" si="302"/>
        <v>0</v>
      </c>
      <c r="FW54" s="380">
        <f>+FW20/$FV$37</f>
        <v>0</v>
      </c>
      <c r="FX54" s="380">
        <f t="shared" si="304"/>
        <v>0</v>
      </c>
      <c r="FY54" s="380">
        <f t="shared" si="305"/>
        <v>0</v>
      </c>
      <c r="FZ54" s="389">
        <f t="shared" si="306"/>
        <v>0</v>
      </c>
      <c r="GA54" s="381">
        <f t="shared" si="371"/>
        <v>0</v>
      </c>
      <c r="GB54" s="379">
        <f t="shared" si="307"/>
        <v>0</v>
      </c>
      <c r="GC54" s="380">
        <f t="shared" si="308"/>
        <v>0</v>
      </c>
      <c r="GD54" s="380">
        <f t="shared" si="309"/>
        <v>0</v>
      </c>
      <c r="GE54" s="380">
        <f t="shared" si="310"/>
        <v>0</v>
      </c>
      <c r="GF54" s="380">
        <f t="shared" si="311"/>
        <v>0</v>
      </c>
      <c r="GG54" s="380">
        <f t="shared" si="312"/>
        <v>0</v>
      </c>
      <c r="GH54" s="380">
        <f t="shared" si="313"/>
        <v>0</v>
      </c>
      <c r="GI54" s="380">
        <f t="shared" si="314"/>
        <v>0</v>
      </c>
      <c r="GJ54" s="380">
        <f t="shared" si="315"/>
        <v>0</v>
      </c>
      <c r="GK54" s="380">
        <f t="shared" si="316"/>
        <v>0</v>
      </c>
      <c r="GL54" s="380">
        <f t="shared" si="317"/>
        <v>0</v>
      </c>
      <c r="GM54" s="389">
        <f t="shared" si="318"/>
        <v>0</v>
      </c>
      <c r="GN54" s="381">
        <f t="shared" si="372"/>
        <v>0</v>
      </c>
      <c r="GO54" s="379">
        <f t="shared" si="319"/>
        <v>0</v>
      </c>
      <c r="GP54" s="380">
        <f t="shared" si="320"/>
        <v>0</v>
      </c>
      <c r="GQ54" s="380">
        <f t="shared" si="321"/>
        <v>0</v>
      </c>
      <c r="GR54" s="380">
        <f t="shared" si="322"/>
        <v>0</v>
      </c>
      <c r="GS54" s="380">
        <f t="shared" si="323"/>
        <v>0</v>
      </c>
      <c r="GT54" s="380">
        <f t="shared" si="324"/>
        <v>0</v>
      </c>
      <c r="GU54" s="380">
        <f t="shared" si="325"/>
        <v>0</v>
      </c>
      <c r="GV54" s="380">
        <f t="shared" si="326"/>
        <v>0</v>
      </c>
      <c r="GW54" s="380">
        <f t="shared" si="327"/>
        <v>0</v>
      </c>
      <c r="GX54" s="380">
        <f t="shared" si="387"/>
        <v>0</v>
      </c>
      <c r="GY54" s="380">
        <f t="shared" si="328"/>
        <v>0</v>
      </c>
      <c r="GZ54" s="389">
        <f t="shared" si="329"/>
        <v>0</v>
      </c>
      <c r="HA54" s="381">
        <f t="shared" si="373"/>
        <v>0</v>
      </c>
      <c r="HB54" s="379">
        <f t="shared" si="330"/>
        <v>0</v>
      </c>
      <c r="HC54" s="380">
        <f t="shared" si="331"/>
        <v>0</v>
      </c>
      <c r="HD54" s="380">
        <f t="shared" si="332"/>
        <v>0</v>
      </c>
      <c r="HE54" s="380">
        <f t="shared" si="333"/>
        <v>0</v>
      </c>
      <c r="HF54" s="380">
        <f t="shared" si="334"/>
        <v>0</v>
      </c>
      <c r="HG54" s="380">
        <f t="shared" si="335"/>
        <v>0</v>
      </c>
      <c r="HH54" s="380">
        <f t="shared" si="336"/>
        <v>0</v>
      </c>
      <c r="HI54" s="380">
        <f t="shared" si="337"/>
        <v>0</v>
      </c>
      <c r="HJ54" s="380">
        <f t="shared" si="338"/>
        <v>0</v>
      </c>
      <c r="HK54" s="380">
        <f t="shared" si="339"/>
        <v>0</v>
      </c>
      <c r="HL54" s="380">
        <f t="shared" si="340"/>
        <v>0</v>
      </c>
      <c r="HM54" s="389">
        <f t="shared" si="341"/>
        <v>0</v>
      </c>
      <c r="HN54" s="381">
        <f t="shared" si="374"/>
        <v>0</v>
      </c>
      <c r="HO54" s="379">
        <f t="shared" si="342"/>
        <v>0</v>
      </c>
      <c r="HP54" s="380">
        <f t="shared" si="343"/>
        <v>0</v>
      </c>
      <c r="HQ54" s="380">
        <f t="shared" si="344"/>
        <v>0</v>
      </c>
      <c r="HR54" s="380">
        <f t="shared" si="345"/>
        <v>0</v>
      </c>
      <c r="HS54" s="380">
        <f t="shared" si="346"/>
        <v>0</v>
      </c>
      <c r="HT54" s="380">
        <f t="shared" si="347"/>
        <v>0</v>
      </c>
      <c r="HU54" s="380">
        <f t="shared" si="348"/>
        <v>0</v>
      </c>
      <c r="HV54" s="380">
        <f t="shared" si="349"/>
        <v>0</v>
      </c>
      <c r="HW54" s="380">
        <f t="shared" si="350"/>
        <v>0</v>
      </c>
      <c r="HX54" s="380">
        <f t="shared" si="351"/>
        <v>0</v>
      </c>
      <c r="HY54" s="380">
        <f t="shared" si="352"/>
        <v>0</v>
      </c>
      <c r="HZ54" s="389">
        <f t="shared" si="353"/>
        <v>0</v>
      </c>
      <c r="IA54" s="379">
        <f t="shared" si="375"/>
        <v>0</v>
      </c>
      <c r="IB54" s="1344">
        <f t="shared" si="354"/>
        <v>0</v>
      </c>
      <c r="IC54" s="120">
        <f t="shared" si="376"/>
        <v>0</v>
      </c>
      <c r="ID54" s="120">
        <f t="shared" si="377"/>
        <v>0</v>
      </c>
      <c r="IE54" s="120">
        <f t="shared" si="378"/>
        <v>0</v>
      </c>
      <c r="IF54" s="120">
        <f t="shared" si="379"/>
        <v>0</v>
      </c>
      <c r="IG54" s="120">
        <f t="shared" si="380"/>
        <v>0</v>
      </c>
      <c r="IH54" s="120">
        <f t="shared" si="381"/>
        <v>0</v>
      </c>
      <c r="II54" s="120">
        <f t="shared" si="382"/>
        <v>0</v>
      </c>
      <c r="IM54" s="1345"/>
      <c r="IN54" s="1346">
        <f t="shared" si="383"/>
        <v>0</v>
      </c>
      <c r="IP54" s="371" t="str">
        <f t="shared" si="355"/>
        <v/>
      </c>
      <c r="IQ54" s="348" t="str">
        <f t="shared" si="384"/>
        <v/>
      </c>
      <c r="IR54" s="320">
        <f t="shared" si="356"/>
        <v>0</v>
      </c>
      <c r="IS54" s="344">
        <f t="shared" si="357"/>
        <v>0</v>
      </c>
      <c r="IU54" s="320"/>
    </row>
    <row r="55" spans="1:264" ht="15" customHeight="1" x14ac:dyDescent="0.2">
      <c r="A55" s="1554" t="s">
        <v>441</v>
      </c>
      <c r="B55" s="379">
        <f t="shared" si="139"/>
        <v>0</v>
      </c>
      <c r="C55" s="380">
        <f t="shared" si="140"/>
        <v>0</v>
      </c>
      <c r="D55" s="380">
        <f t="shared" si="141"/>
        <v>0</v>
      </c>
      <c r="E55" s="380">
        <f t="shared" si="142"/>
        <v>0</v>
      </c>
      <c r="F55" s="380">
        <f t="shared" si="143"/>
        <v>0</v>
      </c>
      <c r="G55" s="380">
        <f t="shared" si="144"/>
        <v>0</v>
      </c>
      <c r="H55" s="380">
        <f t="shared" si="145"/>
        <v>0</v>
      </c>
      <c r="I55" s="380">
        <f t="shared" si="146"/>
        <v>0</v>
      </c>
      <c r="J55" s="380">
        <f t="shared" si="147"/>
        <v>0</v>
      </c>
      <c r="K55" s="380">
        <f t="shared" si="148"/>
        <v>0</v>
      </c>
      <c r="L55" s="380">
        <f t="shared" si="149"/>
        <v>0</v>
      </c>
      <c r="M55" s="389">
        <f t="shared" si="150"/>
        <v>0</v>
      </c>
      <c r="N55" s="381">
        <f t="shared" si="358"/>
        <v>0</v>
      </c>
      <c r="O55" s="379">
        <f t="shared" si="151"/>
        <v>0</v>
      </c>
      <c r="P55" s="380">
        <f t="shared" si="152"/>
        <v>0</v>
      </c>
      <c r="Q55" s="380">
        <f t="shared" si="153"/>
        <v>0</v>
      </c>
      <c r="R55" s="380">
        <f t="shared" si="154"/>
        <v>0</v>
      </c>
      <c r="S55" s="380">
        <f t="shared" si="155"/>
        <v>0</v>
      </c>
      <c r="T55" s="380">
        <f t="shared" si="156"/>
        <v>0</v>
      </c>
      <c r="U55" s="380">
        <f t="shared" si="157"/>
        <v>0</v>
      </c>
      <c r="V55" s="380">
        <f t="shared" si="158"/>
        <v>0</v>
      </c>
      <c r="W55" s="380">
        <f t="shared" si="159"/>
        <v>0</v>
      </c>
      <c r="X55" s="380">
        <f t="shared" si="160"/>
        <v>0</v>
      </c>
      <c r="Y55" s="380">
        <f t="shared" si="161"/>
        <v>0</v>
      </c>
      <c r="Z55" s="389">
        <f t="shared" si="162"/>
        <v>0</v>
      </c>
      <c r="AA55" s="381">
        <f t="shared" si="359"/>
        <v>0</v>
      </c>
      <c r="AB55" s="379">
        <f t="shared" si="163"/>
        <v>0</v>
      </c>
      <c r="AC55" s="380">
        <f t="shared" si="388"/>
        <v>0</v>
      </c>
      <c r="AD55" s="380">
        <f t="shared" si="389"/>
        <v>0</v>
      </c>
      <c r="AE55" s="380">
        <f t="shared" si="166"/>
        <v>0</v>
      </c>
      <c r="AF55" s="380">
        <f t="shared" si="167"/>
        <v>0</v>
      </c>
      <c r="AG55" s="380">
        <f t="shared" si="168"/>
        <v>0</v>
      </c>
      <c r="AH55" s="380">
        <f t="shared" si="390"/>
        <v>0</v>
      </c>
      <c r="AI55" s="380">
        <f t="shared" si="391"/>
        <v>0</v>
      </c>
      <c r="AJ55" s="380">
        <f t="shared" si="392"/>
        <v>0</v>
      </c>
      <c r="AK55" s="380">
        <f t="shared" si="393"/>
        <v>0</v>
      </c>
      <c r="AL55" s="380">
        <f t="shared" si="394"/>
        <v>0</v>
      </c>
      <c r="AM55" s="389">
        <f t="shared" si="395"/>
        <v>0</v>
      </c>
      <c r="AN55" s="381">
        <f t="shared" si="360"/>
        <v>0</v>
      </c>
      <c r="AO55" s="379">
        <f t="shared" si="175"/>
        <v>0</v>
      </c>
      <c r="AP55" s="380">
        <f t="shared" si="396"/>
        <v>0</v>
      </c>
      <c r="AQ55" s="380">
        <f t="shared" si="397"/>
        <v>0</v>
      </c>
      <c r="AR55" s="380">
        <f t="shared" si="178"/>
        <v>0</v>
      </c>
      <c r="AS55" s="380">
        <f t="shared" si="179"/>
        <v>0</v>
      </c>
      <c r="AT55" s="380">
        <f t="shared" si="180"/>
        <v>0</v>
      </c>
      <c r="AU55" s="380">
        <f t="shared" si="181"/>
        <v>0</v>
      </c>
      <c r="AV55" s="380">
        <f t="shared" si="182"/>
        <v>0</v>
      </c>
      <c r="AW55" s="380">
        <f t="shared" si="183"/>
        <v>0</v>
      </c>
      <c r="AX55" s="380">
        <f t="shared" si="184"/>
        <v>0</v>
      </c>
      <c r="AY55" s="380">
        <f t="shared" si="185"/>
        <v>0</v>
      </c>
      <c r="AZ55" s="389">
        <f t="shared" si="186"/>
        <v>0</v>
      </c>
      <c r="BA55" s="381">
        <f t="shared" si="361"/>
        <v>0</v>
      </c>
      <c r="BB55" s="379">
        <f t="shared" si="187"/>
        <v>0</v>
      </c>
      <c r="BC55" s="380">
        <f t="shared" si="188"/>
        <v>0</v>
      </c>
      <c r="BD55" s="380">
        <f t="shared" si="189"/>
        <v>0</v>
      </c>
      <c r="BE55" s="380">
        <f t="shared" si="190"/>
        <v>0</v>
      </c>
      <c r="BF55" s="380">
        <f t="shared" si="191"/>
        <v>0</v>
      </c>
      <c r="BG55" s="380">
        <f t="shared" si="192"/>
        <v>0</v>
      </c>
      <c r="BH55" s="380">
        <f t="shared" si="193"/>
        <v>0</v>
      </c>
      <c r="BI55" s="380">
        <f t="shared" si="194"/>
        <v>0</v>
      </c>
      <c r="BJ55" s="380">
        <f t="shared" si="195"/>
        <v>0</v>
      </c>
      <c r="BK55" s="380">
        <f t="shared" si="196"/>
        <v>0</v>
      </c>
      <c r="BL55" s="380">
        <f t="shared" si="197"/>
        <v>0</v>
      </c>
      <c r="BM55" s="389">
        <f t="shared" si="198"/>
        <v>0</v>
      </c>
      <c r="BN55" s="381">
        <f t="shared" si="362"/>
        <v>0</v>
      </c>
      <c r="BO55" s="379">
        <f t="shared" si="199"/>
        <v>0</v>
      </c>
      <c r="BP55" s="380">
        <f t="shared" si="200"/>
        <v>0</v>
      </c>
      <c r="BQ55" s="380">
        <f t="shared" si="201"/>
        <v>0</v>
      </c>
      <c r="BR55" s="380">
        <f t="shared" si="202"/>
        <v>0</v>
      </c>
      <c r="BS55" s="380">
        <f t="shared" si="203"/>
        <v>0</v>
      </c>
      <c r="BT55" s="380">
        <f t="shared" si="204"/>
        <v>0</v>
      </c>
      <c r="BU55" s="380">
        <f t="shared" si="205"/>
        <v>0</v>
      </c>
      <c r="BV55" s="380">
        <f t="shared" si="206"/>
        <v>0</v>
      </c>
      <c r="BW55" s="380">
        <f t="shared" si="207"/>
        <v>0</v>
      </c>
      <c r="BX55" s="380">
        <f t="shared" si="208"/>
        <v>0</v>
      </c>
      <c r="BY55" s="380">
        <f t="shared" si="209"/>
        <v>0</v>
      </c>
      <c r="BZ55" s="389">
        <f t="shared" si="210"/>
        <v>0</v>
      </c>
      <c r="CA55" s="381">
        <f t="shared" si="363"/>
        <v>0</v>
      </c>
      <c r="CB55" s="379">
        <f t="shared" si="211"/>
        <v>0</v>
      </c>
      <c r="CC55" s="380">
        <f t="shared" si="212"/>
        <v>0</v>
      </c>
      <c r="CD55" s="380">
        <f t="shared" si="213"/>
        <v>0</v>
      </c>
      <c r="CE55" s="380">
        <f t="shared" si="214"/>
        <v>0</v>
      </c>
      <c r="CF55" s="380">
        <f t="shared" si="215"/>
        <v>0</v>
      </c>
      <c r="CG55" s="380">
        <f t="shared" si="216"/>
        <v>0</v>
      </c>
      <c r="CH55" s="380">
        <f t="shared" si="217"/>
        <v>0</v>
      </c>
      <c r="CI55" s="380">
        <f t="shared" si="218"/>
        <v>0</v>
      </c>
      <c r="CJ55" s="380">
        <f t="shared" si="219"/>
        <v>0</v>
      </c>
      <c r="CK55" s="380">
        <f t="shared" si="220"/>
        <v>0</v>
      </c>
      <c r="CL55" s="380">
        <f t="shared" si="221"/>
        <v>0</v>
      </c>
      <c r="CM55" s="389">
        <f t="shared" si="222"/>
        <v>0</v>
      </c>
      <c r="CN55" s="381">
        <f t="shared" si="364"/>
        <v>0</v>
      </c>
      <c r="CO55" s="379">
        <f t="shared" si="223"/>
        <v>0</v>
      </c>
      <c r="CP55" s="380">
        <f t="shared" si="224"/>
        <v>0</v>
      </c>
      <c r="CQ55" s="380">
        <f t="shared" si="225"/>
        <v>0</v>
      </c>
      <c r="CR55" s="380">
        <f t="shared" si="226"/>
        <v>0</v>
      </c>
      <c r="CS55" s="380">
        <f t="shared" si="227"/>
        <v>0</v>
      </c>
      <c r="CT55" s="380">
        <f t="shared" si="228"/>
        <v>0</v>
      </c>
      <c r="CU55" s="380">
        <f t="shared" si="229"/>
        <v>0</v>
      </c>
      <c r="CV55" s="380">
        <f t="shared" si="230"/>
        <v>0</v>
      </c>
      <c r="CW55" s="380">
        <f t="shared" si="231"/>
        <v>0</v>
      </c>
      <c r="CX55" s="380">
        <f t="shared" si="232"/>
        <v>0</v>
      </c>
      <c r="CY55" s="380">
        <f t="shared" si="233"/>
        <v>0</v>
      </c>
      <c r="CZ55" s="389">
        <f t="shared" si="234"/>
        <v>0</v>
      </c>
      <c r="DA55" s="381">
        <f t="shared" si="365"/>
        <v>0</v>
      </c>
      <c r="DB55" s="379">
        <f t="shared" si="235"/>
        <v>0</v>
      </c>
      <c r="DC55" s="380">
        <f t="shared" si="236"/>
        <v>0</v>
      </c>
      <c r="DD55" s="380">
        <f t="shared" si="237"/>
        <v>0</v>
      </c>
      <c r="DE55" s="380">
        <f t="shared" si="238"/>
        <v>0</v>
      </c>
      <c r="DF55" s="380">
        <f t="shared" si="239"/>
        <v>0</v>
      </c>
      <c r="DG55" s="380">
        <f t="shared" si="240"/>
        <v>0</v>
      </c>
      <c r="DH55" s="380">
        <f t="shared" si="241"/>
        <v>0</v>
      </c>
      <c r="DI55" s="380">
        <f t="shared" si="242"/>
        <v>0</v>
      </c>
      <c r="DJ55" s="380">
        <f t="shared" si="243"/>
        <v>0</v>
      </c>
      <c r="DK55" s="380">
        <f t="shared" si="244"/>
        <v>0</v>
      </c>
      <c r="DL55" s="380">
        <f t="shared" si="245"/>
        <v>0</v>
      </c>
      <c r="DM55" s="389">
        <f t="shared" si="246"/>
        <v>0</v>
      </c>
      <c r="DN55" s="381">
        <f t="shared" si="366"/>
        <v>0</v>
      </c>
      <c r="DO55" s="379">
        <f t="shared" si="247"/>
        <v>0</v>
      </c>
      <c r="DP55" s="380">
        <f t="shared" si="248"/>
        <v>0</v>
      </c>
      <c r="DQ55" s="380">
        <f t="shared" si="249"/>
        <v>0</v>
      </c>
      <c r="DR55" s="380">
        <f t="shared" si="250"/>
        <v>0</v>
      </c>
      <c r="DS55" s="380">
        <f t="shared" si="251"/>
        <v>0</v>
      </c>
      <c r="DT55" s="380">
        <f t="shared" si="252"/>
        <v>0</v>
      </c>
      <c r="DU55" s="380">
        <f t="shared" si="253"/>
        <v>0</v>
      </c>
      <c r="DV55" s="380">
        <f t="shared" si="254"/>
        <v>0</v>
      </c>
      <c r="DW55" s="380">
        <f t="shared" si="255"/>
        <v>0</v>
      </c>
      <c r="DX55" s="380">
        <f t="shared" si="256"/>
        <v>0</v>
      </c>
      <c r="DY55" s="380">
        <f t="shared" si="257"/>
        <v>0</v>
      </c>
      <c r="DZ55" s="389">
        <f t="shared" si="258"/>
        <v>0</v>
      </c>
      <c r="EA55" s="381">
        <f t="shared" si="367"/>
        <v>0</v>
      </c>
      <c r="EB55" s="379">
        <f t="shared" si="259"/>
        <v>0</v>
      </c>
      <c r="EC55" s="380">
        <f t="shared" si="260"/>
        <v>0</v>
      </c>
      <c r="ED55" s="380">
        <f t="shared" si="261"/>
        <v>0</v>
      </c>
      <c r="EE55" s="380">
        <f t="shared" si="262"/>
        <v>0</v>
      </c>
      <c r="EF55" s="380">
        <f t="shared" si="263"/>
        <v>0</v>
      </c>
      <c r="EG55" s="380">
        <f t="shared" si="264"/>
        <v>0</v>
      </c>
      <c r="EH55" s="380">
        <f t="shared" si="265"/>
        <v>0</v>
      </c>
      <c r="EI55" s="380">
        <f t="shared" si="266"/>
        <v>0</v>
      </c>
      <c r="EJ55" s="380">
        <f t="shared" si="267"/>
        <v>0</v>
      </c>
      <c r="EK55" s="380">
        <f t="shared" si="268"/>
        <v>0</v>
      </c>
      <c r="EL55" s="380">
        <f t="shared" si="269"/>
        <v>0</v>
      </c>
      <c r="EM55" s="389">
        <f t="shared" si="270"/>
        <v>0</v>
      </c>
      <c r="EN55" s="381">
        <f t="shared" si="368"/>
        <v>0</v>
      </c>
      <c r="EO55" s="379">
        <f t="shared" si="271"/>
        <v>0</v>
      </c>
      <c r="EP55" s="380">
        <f t="shared" si="272"/>
        <v>0</v>
      </c>
      <c r="EQ55" s="380">
        <f t="shared" si="273"/>
        <v>0</v>
      </c>
      <c r="ER55" s="380">
        <f t="shared" si="274"/>
        <v>0</v>
      </c>
      <c r="ES55" s="380">
        <f t="shared" si="275"/>
        <v>0</v>
      </c>
      <c r="ET55" s="380">
        <f t="shared" si="276"/>
        <v>0</v>
      </c>
      <c r="EU55" s="380">
        <f t="shared" si="277"/>
        <v>0</v>
      </c>
      <c r="EV55" s="380">
        <f t="shared" si="278"/>
        <v>0</v>
      </c>
      <c r="EW55" s="380">
        <f t="shared" si="279"/>
        <v>0</v>
      </c>
      <c r="EX55" s="380">
        <f t="shared" si="280"/>
        <v>0</v>
      </c>
      <c r="EY55" s="380">
        <f t="shared" si="281"/>
        <v>0</v>
      </c>
      <c r="EZ55" s="389">
        <f t="shared" si="282"/>
        <v>0</v>
      </c>
      <c r="FA55" s="381">
        <f t="shared" si="369"/>
        <v>0</v>
      </c>
      <c r="FB55" s="379">
        <f t="shared" si="283"/>
        <v>0</v>
      </c>
      <c r="FC55" s="380">
        <f t="shared" si="284"/>
        <v>0</v>
      </c>
      <c r="FD55" s="380">
        <f t="shared" si="285"/>
        <v>0</v>
      </c>
      <c r="FE55" s="380">
        <f t="shared" si="286"/>
        <v>0</v>
      </c>
      <c r="FF55" s="380">
        <f t="shared" si="287"/>
        <v>0</v>
      </c>
      <c r="FG55" s="380">
        <f t="shared" si="288"/>
        <v>0</v>
      </c>
      <c r="FH55" s="380">
        <f t="shared" si="289"/>
        <v>0</v>
      </c>
      <c r="FI55" s="380">
        <f t="shared" si="290"/>
        <v>0</v>
      </c>
      <c r="FJ55" s="380">
        <f t="shared" si="291"/>
        <v>0</v>
      </c>
      <c r="FK55" s="380">
        <f t="shared" si="292"/>
        <v>0</v>
      </c>
      <c r="FL55" s="380">
        <f t="shared" si="293"/>
        <v>0</v>
      </c>
      <c r="FM55" s="389">
        <f t="shared" si="294"/>
        <v>0</v>
      </c>
      <c r="FN55" s="381">
        <f t="shared" si="370"/>
        <v>0</v>
      </c>
      <c r="FO55" s="379">
        <f t="shared" si="295"/>
        <v>0</v>
      </c>
      <c r="FP55" s="380">
        <f t="shared" si="296"/>
        <v>0</v>
      </c>
      <c r="FQ55" s="380">
        <f t="shared" si="297"/>
        <v>0</v>
      </c>
      <c r="FR55" s="380">
        <f t="shared" si="298"/>
        <v>0</v>
      </c>
      <c r="FS55" s="380">
        <f t="shared" si="299"/>
        <v>0</v>
      </c>
      <c r="FT55" s="380">
        <f t="shared" si="300"/>
        <v>0</v>
      </c>
      <c r="FU55" s="380">
        <f t="shared" si="301"/>
        <v>0</v>
      </c>
      <c r="FV55" s="380">
        <f t="shared" si="302"/>
        <v>0</v>
      </c>
      <c r="FW55" s="380">
        <f>+FW21/$FV$37</f>
        <v>0</v>
      </c>
      <c r="FX55" s="380">
        <f t="shared" si="304"/>
        <v>0</v>
      </c>
      <c r="FY55" s="380">
        <f t="shared" si="305"/>
        <v>0</v>
      </c>
      <c r="FZ55" s="389">
        <f t="shared" si="306"/>
        <v>0</v>
      </c>
      <c r="GA55" s="381">
        <f t="shared" si="371"/>
        <v>0</v>
      </c>
      <c r="GB55" s="379">
        <f t="shared" si="307"/>
        <v>0</v>
      </c>
      <c r="GC55" s="380">
        <f t="shared" si="308"/>
        <v>0</v>
      </c>
      <c r="GD55" s="380">
        <f t="shared" si="309"/>
        <v>0</v>
      </c>
      <c r="GE55" s="380">
        <f t="shared" si="310"/>
        <v>0</v>
      </c>
      <c r="GF55" s="380">
        <f t="shared" si="311"/>
        <v>0</v>
      </c>
      <c r="GG55" s="380">
        <f t="shared" si="312"/>
        <v>0</v>
      </c>
      <c r="GH55" s="380">
        <f t="shared" si="313"/>
        <v>0</v>
      </c>
      <c r="GI55" s="380">
        <f t="shared" si="314"/>
        <v>0</v>
      </c>
      <c r="GJ55" s="380">
        <f t="shared" si="315"/>
        <v>0</v>
      </c>
      <c r="GK55" s="380">
        <f t="shared" si="316"/>
        <v>0</v>
      </c>
      <c r="GL55" s="380">
        <f t="shared" si="317"/>
        <v>0</v>
      </c>
      <c r="GM55" s="389">
        <f t="shared" si="318"/>
        <v>0</v>
      </c>
      <c r="GN55" s="381">
        <f t="shared" si="372"/>
        <v>0</v>
      </c>
      <c r="GO55" s="379">
        <f t="shared" si="319"/>
        <v>0</v>
      </c>
      <c r="GP55" s="380">
        <f t="shared" si="320"/>
        <v>0</v>
      </c>
      <c r="GQ55" s="380">
        <f t="shared" si="321"/>
        <v>0</v>
      </c>
      <c r="GR55" s="380">
        <f t="shared" si="322"/>
        <v>0</v>
      </c>
      <c r="GS55" s="380">
        <f t="shared" si="323"/>
        <v>0</v>
      </c>
      <c r="GT55" s="380">
        <f t="shared" si="324"/>
        <v>0</v>
      </c>
      <c r="GU55" s="380">
        <f t="shared" si="325"/>
        <v>0</v>
      </c>
      <c r="GV55" s="380">
        <f t="shared" si="326"/>
        <v>0</v>
      </c>
      <c r="GW55" s="380">
        <f t="shared" si="327"/>
        <v>0</v>
      </c>
      <c r="GX55" s="380">
        <f t="shared" si="387"/>
        <v>0</v>
      </c>
      <c r="GY55" s="380">
        <f t="shared" si="328"/>
        <v>0</v>
      </c>
      <c r="GZ55" s="389">
        <f t="shared" si="329"/>
        <v>0</v>
      </c>
      <c r="HA55" s="381">
        <f t="shared" si="373"/>
        <v>0</v>
      </c>
      <c r="HB55" s="379">
        <f t="shared" si="330"/>
        <v>0</v>
      </c>
      <c r="HC55" s="380">
        <f t="shared" si="331"/>
        <v>0</v>
      </c>
      <c r="HD55" s="380">
        <f t="shared" si="332"/>
        <v>0</v>
      </c>
      <c r="HE55" s="380">
        <f t="shared" si="333"/>
        <v>0</v>
      </c>
      <c r="HF55" s="380">
        <f t="shared" si="334"/>
        <v>0</v>
      </c>
      <c r="HG55" s="380">
        <f t="shared" si="335"/>
        <v>0</v>
      </c>
      <c r="HH55" s="380">
        <f t="shared" si="336"/>
        <v>0</v>
      </c>
      <c r="HI55" s="380">
        <f t="shared" si="337"/>
        <v>0</v>
      </c>
      <c r="HJ55" s="380">
        <f t="shared" si="338"/>
        <v>0</v>
      </c>
      <c r="HK55" s="380">
        <f t="shared" si="339"/>
        <v>0</v>
      </c>
      <c r="HL55" s="380">
        <f t="shared" si="340"/>
        <v>0</v>
      </c>
      <c r="HM55" s="389">
        <f t="shared" si="341"/>
        <v>0</v>
      </c>
      <c r="HN55" s="381">
        <f t="shared" si="374"/>
        <v>0</v>
      </c>
      <c r="HO55" s="379">
        <f t="shared" si="342"/>
        <v>0</v>
      </c>
      <c r="HP55" s="380">
        <f t="shared" si="343"/>
        <v>0</v>
      </c>
      <c r="HQ55" s="380">
        <f t="shared" si="344"/>
        <v>0</v>
      </c>
      <c r="HR55" s="380">
        <f t="shared" si="345"/>
        <v>0</v>
      </c>
      <c r="HS55" s="380">
        <f t="shared" si="346"/>
        <v>0</v>
      </c>
      <c r="HT55" s="380">
        <f t="shared" si="347"/>
        <v>0</v>
      </c>
      <c r="HU55" s="380">
        <f t="shared" si="348"/>
        <v>0</v>
      </c>
      <c r="HV55" s="380">
        <f t="shared" si="349"/>
        <v>0</v>
      </c>
      <c r="HW55" s="380">
        <f t="shared" si="350"/>
        <v>0</v>
      </c>
      <c r="HX55" s="380">
        <f t="shared" si="351"/>
        <v>0</v>
      </c>
      <c r="HY55" s="380">
        <f t="shared" si="352"/>
        <v>0</v>
      </c>
      <c r="HZ55" s="389">
        <f t="shared" si="353"/>
        <v>0</v>
      </c>
      <c r="IA55" s="379">
        <f t="shared" si="375"/>
        <v>0</v>
      </c>
      <c r="IB55" s="1344">
        <f t="shared" si="354"/>
        <v>0</v>
      </c>
      <c r="IC55" s="120">
        <f t="shared" si="376"/>
        <v>0</v>
      </c>
      <c r="ID55" s="120">
        <f>+ID21/$ID$37</f>
        <v>0</v>
      </c>
      <c r="IE55" s="120">
        <f t="shared" si="378"/>
        <v>0</v>
      </c>
      <c r="IF55" s="120">
        <f t="shared" si="379"/>
        <v>0</v>
      </c>
      <c r="IG55" s="120">
        <f t="shared" si="380"/>
        <v>0</v>
      </c>
      <c r="IH55" s="120">
        <f t="shared" si="381"/>
        <v>0</v>
      </c>
      <c r="II55" s="120">
        <f t="shared" si="382"/>
        <v>0</v>
      </c>
      <c r="IM55" s="1345"/>
      <c r="IN55" s="1346">
        <f t="shared" si="383"/>
        <v>0</v>
      </c>
      <c r="IP55" s="371" t="str">
        <f t="shared" si="355"/>
        <v/>
      </c>
      <c r="IQ55" s="348" t="str">
        <f t="shared" si="384"/>
        <v/>
      </c>
      <c r="IR55" s="320">
        <f t="shared" si="356"/>
        <v>0</v>
      </c>
      <c r="IS55" s="344">
        <f t="shared" si="357"/>
        <v>0</v>
      </c>
      <c r="IU55" s="320"/>
    </row>
    <row r="56" spans="1:264" ht="15" customHeight="1" x14ac:dyDescent="0.2">
      <c r="A56" s="342" t="s">
        <v>352</v>
      </c>
      <c r="B56" s="379"/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9"/>
      <c r="N56" s="381"/>
      <c r="O56" s="379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9"/>
      <c r="AA56" s="381"/>
      <c r="AB56" s="379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89"/>
      <c r="AN56" s="381"/>
      <c r="AO56" s="379"/>
      <c r="AP56" s="380"/>
      <c r="AQ56" s="380"/>
      <c r="AR56" s="380"/>
      <c r="AS56" s="380"/>
      <c r="AT56" s="380"/>
      <c r="AU56" s="380"/>
      <c r="AV56" s="380"/>
      <c r="AW56" s="380"/>
      <c r="AX56" s="380"/>
      <c r="AY56" s="380"/>
      <c r="AZ56" s="389"/>
      <c r="BA56" s="381"/>
      <c r="BB56" s="379"/>
      <c r="BC56" s="380"/>
      <c r="BD56" s="380"/>
      <c r="BE56" s="380"/>
      <c r="BF56" s="380"/>
      <c r="BG56" s="380"/>
      <c r="BH56" s="380"/>
      <c r="BI56" s="380"/>
      <c r="BJ56" s="380"/>
      <c r="BK56" s="380"/>
      <c r="BL56" s="380"/>
      <c r="BM56" s="389"/>
      <c r="BN56" s="381"/>
      <c r="BO56" s="379"/>
      <c r="BP56" s="380"/>
      <c r="BQ56" s="380"/>
      <c r="BR56" s="380"/>
      <c r="BS56" s="380"/>
      <c r="BT56" s="380"/>
      <c r="BU56" s="380"/>
      <c r="BV56" s="380"/>
      <c r="BW56" s="380"/>
      <c r="BX56" s="380"/>
      <c r="BY56" s="380"/>
      <c r="BZ56" s="389"/>
      <c r="CA56" s="381"/>
      <c r="CB56" s="379"/>
      <c r="CC56" s="380"/>
      <c r="CD56" s="380"/>
      <c r="CE56" s="380"/>
      <c r="CF56" s="380"/>
      <c r="CG56" s="380"/>
      <c r="CH56" s="380"/>
      <c r="CI56" s="380"/>
      <c r="CJ56" s="380"/>
      <c r="CK56" s="380"/>
      <c r="CL56" s="380"/>
      <c r="CM56" s="389"/>
      <c r="CN56" s="381"/>
      <c r="CO56" s="379"/>
      <c r="CP56" s="380"/>
      <c r="CQ56" s="380"/>
      <c r="CR56" s="380"/>
      <c r="CS56" s="380"/>
      <c r="CT56" s="380"/>
      <c r="CU56" s="380"/>
      <c r="CV56" s="380"/>
      <c r="CW56" s="380"/>
      <c r="CX56" s="380"/>
      <c r="CY56" s="380"/>
      <c r="CZ56" s="389"/>
      <c r="DA56" s="381"/>
      <c r="DB56" s="379"/>
      <c r="DC56" s="380"/>
      <c r="DD56" s="380"/>
      <c r="DE56" s="380"/>
      <c r="DF56" s="380"/>
      <c r="DG56" s="380"/>
      <c r="DH56" s="380"/>
      <c r="DI56" s="380"/>
      <c r="DJ56" s="380"/>
      <c r="DK56" s="380"/>
      <c r="DL56" s="380"/>
      <c r="DM56" s="389"/>
      <c r="DN56" s="381"/>
      <c r="DO56" s="379"/>
      <c r="DP56" s="380"/>
      <c r="DQ56" s="380"/>
      <c r="DR56" s="380"/>
      <c r="DS56" s="380"/>
      <c r="DT56" s="380"/>
      <c r="DU56" s="380"/>
      <c r="DV56" s="380"/>
      <c r="DW56" s="380"/>
      <c r="DX56" s="380"/>
      <c r="DY56" s="380"/>
      <c r="DZ56" s="389"/>
      <c r="EA56" s="381"/>
      <c r="EB56" s="379"/>
      <c r="EC56" s="380"/>
      <c r="ED56" s="380"/>
      <c r="EE56" s="380"/>
      <c r="EF56" s="380"/>
      <c r="EG56" s="380"/>
      <c r="EH56" s="380"/>
      <c r="EI56" s="380"/>
      <c r="EJ56" s="380"/>
      <c r="EK56" s="380"/>
      <c r="EL56" s="380"/>
      <c r="EM56" s="389"/>
      <c r="EN56" s="381"/>
      <c r="EO56" s="379"/>
      <c r="EP56" s="380"/>
      <c r="EQ56" s="380"/>
      <c r="ER56" s="380"/>
      <c r="ES56" s="380"/>
      <c r="ET56" s="380"/>
      <c r="EU56" s="380"/>
      <c r="EV56" s="380"/>
      <c r="EW56" s="380"/>
      <c r="EX56" s="380"/>
      <c r="EY56" s="380"/>
      <c r="EZ56" s="389"/>
      <c r="FA56" s="381"/>
      <c r="FB56" s="379"/>
      <c r="FC56" s="380"/>
      <c r="FD56" s="380"/>
      <c r="FE56" s="380"/>
      <c r="FF56" s="380"/>
      <c r="FG56" s="380"/>
      <c r="FH56" s="380"/>
      <c r="FI56" s="380"/>
      <c r="FJ56" s="380"/>
      <c r="FK56" s="380"/>
      <c r="FL56" s="380"/>
      <c r="FM56" s="389"/>
      <c r="FN56" s="381"/>
      <c r="FO56" s="379"/>
      <c r="FP56" s="380"/>
      <c r="FQ56" s="380"/>
      <c r="FR56" s="380"/>
      <c r="FS56" s="380"/>
      <c r="FT56" s="380"/>
      <c r="FU56" s="380"/>
      <c r="FV56" s="380"/>
      <c r="FW56" s="380"/>
      <c r="FX56" s="380"/>
      <c r="FY56" s="380"/>
      <c r="FZ56" s="389"/>
      <c r="GA56" s="381"/>
      <c r="GB56" s="379"/>
      <c r="GC56" s="380"/>
      <c r="GD56" s="380"/>
      <c r="GE56" s="380"/>
      <c r="GF56" s="380"/>
      <c r="GG56" s="380"/>
      <c r="GH56" s="380"/>
      <c r="GI56" s="380"/>
      <c r="GJ56" s="380"/>
      <c r="GK56" s="380"/>
      <c r="GL56" s="380"/>
      <c r="GM56" s="389"/>
      <c r="GN56" s="381"/>
      <c r="GO56" s="379"/>
      <c r="GP56" s="380"/>
      <c r="GQ56" s="380"/>
      <c r="GR56" s="380"/>
      <c r="GS56" s="380"/>
      <c r="GT56" s="380"/>
      <c r="GU56" s="380"/>
      <c r="GV56" s="380"/>
      <c r="GW56" s="380"/>
      <c r="GX56" s="380"/>
      <c r="GY56" s="380"/>
      <c r="GZ56" s="389"/>
      <c r="HA56" s="381"/>
      <c r="HB56" s="379"/>
      <c r="HC56" s="380"/>
      <c r="HD56" s="380"/>
      <c r="HE56" s="380"/>
      <c r="HF56" s="380"/>
      <c r="HG56" s="380"/>
      <c r="HH56" s="380"/>
      <c r="HI56" s="380"/>
      <c r="HJ56" s="380"/>
      <c r="HK56" s="380"/>
      <c r="HL56" s="380"/>
      <c r="HM56" s="389"/>
      <c r="HN56" s="381"/>
      <c r="HO56" s="379"/>
      <c r="HP56" s="380"/>
      <c r="HQ56" s="380"/>
      <c r="HR56" s="380"/>
      <c r="HS56" s="380"/>
      <c r="HT56" s="380"/>
      <c r="HU56" s="380"/>
      <c r="HV56" s="380"/>
      <c r="HW56" s="380"/>
      <c r="HX56" s="380"/>
      <c r="HY56" s="380"/>
      <c r="HZ56" s="389"/>
      <c r="IA56" s="379"/>
      <c r="IB56" s="1344"/>
      <c r="IG56" s="120">
        <f t="shared" si="380"/>
        <v>0</v>
      </c>
      <c r="IH56" s="120">
        <f t="shared" si="381"/>
        <v>0</v>
      </c>
      <c r="II56" s="120">
        <f t="shared" si="382"/>
        <v>0</v>
      </c>
      <c r="IM56" s="1345"/>
      <c r="IN56" s="1346"/>
      <c r="IP56" s="371" t="str">
        <f t="shared" si="355"/>
        <v/>
      </c>
      <c r="IQ56" s="348"/>
      <c r="IR56" s="320">
        <f t="shared" si="356"/>
        <v>0</v>
      </c>
      <c r="IS56" s="344">
        <f t="shared" si="357"/>
        <v>0</v>
      </c>
    </row>
    <row r="57" spans="1:264" s="1523" customFormat="1" ht="15" customHeight="1" x14ac:dyDescent="0.2">
      <c r="A57" s="1552" t="s">
        <v>297</v>
      </c>
      <c r="B57" s="1512">
        <f t="shared" ref="B57:B62" si="398">+B23/$B$37</f>
        <v>20410.01966811849</v>
      </c>
      <c r="C57" s="1513">
        <f t="shared" ref="C57:C62" si="399">+C23/$C$37</f>
        <v>17562.789318232979</v>
      </c>
      <c r="D57" s="1513">
        <f t="shared" ref="D57:D62" si="400">+D23/$D$37</f>
        <v>21834.784244801867</v>
      </c>
      <c r="E57" s="1513">
        <f t="shared" ref="E57:E62" si="401">+E23/$E$37</f>
        <v>65650.63982998085</v>
      </c>
      <c r="F57" s="1513">
        <f t="shared" ref="F57:F62" si="402">+F23/$F$37</f>
        <v>25737.954665000823</v>
      </c>
      <c r="G57" s="1513">
        <f t="shared" ref="G57:G62" si="403">+G23/$G$37</f>
        <v>46284.935506578026</v>
      </c>
      <c r="H57" s="1513">
        <f t="shared" ref="H57:H62" si="404">+H23/$H$37</f>
        <v>23003.697374070194</v>
      </c>
      <c r="I57" s="1513">
        <f t="shared" ref="I57:I62" si="405">+I23/$I$37</f>
        <v>22174.614658881084</v>
      </c>
      <c r="J57" s="1513">
        <f t="shared" ref="J57:J62" si="406">+J23/$J$37</f>
        <v>20278.202473010479</v>
      </c>
      <c r="K57" s="1513">
        <f t="shared" ref="K57:K62" si="407">+K23/$K$37</f>
        <v>65107.863197197541</v>
      </c>
      <c r="L57" s="1513">
        <f t="shared" ref="L57:L62" si="408">+L23/$L$37</f>
        <v>67616.480399112275</v>
      </c>
      <c r="M57" s="1514">
        <f t="shared" ref="M57:M62" si="409">+M23/$M$37</f>
        <v>40054.659182484087</v>
      </c>
      <c r="N57" s="1515">
        <f t="shared" ref="N57:N62" si="410">SUM(B57:M57)</f>
        <v>435716.64051746868</v>
      </c>
      <c r="O57" s="1512">
        <f t="shared" ref="O57:O62" si="411">+O23/$O$37</f>
        <v>26849.226101241849</v>
      </c>
      <c r="P57" s="1513">
        <f t="shared" ref="P57:P62" si="412">+P23/$P$37</f>
        <v>21378.045104573481</v>
      </c>
      <c r="Q57" s="1513">
        <f t="shared" ref="Q57:Q62" si="413">+Q23/$Q$37</f>
        <v>19549.986278891232</v>
      </c>
      <c r="R57" s="1513">
        <f t="shared" ref="R57:R62" si="414">+R23/$R$37</f>
        <v>20469.210909703823</v>
      </c>
      <c r="S57" s="1513">
        <f t="shared" ref="S57:S62" si="415">+S23/$S$37</f>
        <v>36514.109057620008</v>
      </c>
      <c r="T57" s="1513">
        <f t="shared" ref="T57:T62" si="416">+T23/$T$37</f>
        <v>33924.908521701211</v>
      </c>
      <c r="U57" s="1513">
        <f t="shared" ref="U57:U62" si="417">+U23/$U$37</f>
        <v>33231.129935053119</v>
      </c>
      <c r="V57" s="1513">
        <f t="shared" ref="V57:V62" si="418">+V23/$V$37</f>
        <v>31199.114789767333</v>
      </c>
      <c r="W57" s="1513">
        <f t="shared" ref="W57:W62" si="419">+W23/$W$37</f>
        <v>49549.777089353403</v>
      </c>
      <c r="X57" s="1513">
        <f t="shared" ref="X57:X62" si="420">+X23/$X$37</f>
        <v>52394.180184299912</v>
      </c>
      <c r="Y57" s="1513">
        <f t="shared" ref="Y57:Y62" si="421">+Y23/$Y$37</f>
        <v>29383.689055010993</v>
      </c>
      <c r="Z57" s="1514">
        <f t="shared" ref="Z57:Z62" si="422">+Z23/$Z$37</f>
        <v>53083.525521983975</v>
      </c>
      <c r="AA57" s="1515">
        <f t="shared" ref="AA57:AA62" si="423">SUM(O57:Z57)</f>
        <v>407526.90254920028</v>
      </c>
      <c r="AB57" s="1512">
        <f t="shared" ref="AB57:AB64" si="424">+AB23/$AB$37</f>
        <v>40850.006305439281</v>
      </c>
      <c r="AC57" s="1513">
        <f t="shared" ref="AC57:AC64" si="425">+AC23/$AC$37</f>
        <v>35099.514512389542</v>
      </c>
      <c r="AD57" s="1513">
        <f t="shared" ref="AD57:AD64" si="426">+AD23/$AD$37</f>
        <v>20836.180346475721</v>
      </c>
      <c r="AE57" s="1513">
        <f t="shared" ref="AE57:AE64" si="427">+AE23/$AE$37</f>
        <v>45808.581612432004</v>
      </c>
      <c r="AF57" s="1513">
        <f t="shared" ref="AF57:AF64" si="428">+AF23/$AF$37</f>
        <v>22877.10446869774</v>
      </c>
      <c r="AG57" s="1513">
        <f t="shared" ref="AG57:AG64" si="429">+AG23/$AG$37</f>
        <v>29769.259639160467</v>
      </c>
      <c r="AH57" s="1513">
        <f t="shared" ref="AH57:AH64" si="430">+AH23/$AH$37</f>
        <v>40772.498454888118</v>
      </c>
      <c r="AI57" s="1513">
        <f t="shared" ref="AI57:AI64" si="431">+AI23/$AI$37</f>
        <v>27325.060146931693</v>
      </c>
      <c r="AJ57" s="1513">
        <f t="shared" ref="AJ57:AJ64" si="432">+AJ23/$AJ$37</f>
        <v>35219.04725919808</v>
      </c>
      <c r="AK57" s="1513">
        <f t="shared" ref="AK57:AK64" si="433">+AK23/$AK$37</f>
        <v>49031.183130365287</v>
      </c>
      <c r="AL57" s="1513">
        <f t="shared" ref="AL57:AL64" si="434">+AL23/$AL$37</f>
        <v>35730.270416944717</v>
      </c>
      <c r="AM57" s="1514">
        <f t="shared" ref="AM57:AM64" si="435">+AM23/$AM$37</f>
        <v>41681.699759892261</v>
      </c>
      <c r="AN57" s="1515">
        <f>SUM(AB57:AM57)</f>
        <v>425000.40605281491</v>
      </c>
      <c r="AO57" s="1512">
        <f t="shared" ref="AO57:AO64" si="436">+AO23/$AO$37</f>
        <v>26198.565718980131</v>
      </c>
      <c r="AP57" s="1513">
        <f t="shared" ref="AP57:AP64" si="437">+AP23/$AP$37</f>
        <v>34319.478180772559</v>
      </c>
      <c r="AQ57" s="1513">
        <f t="shared" ref="AQ57:AQ64" si="438">+AQ23/$AQ$37</f>
        <v>27154.048379188032</v>
      </c>
      <c r="AR57" s="1513">
        <f t="shared" ref="AR57:AR62" si="439">+AR23/$AR$37</f>
        <v>31539.484710167791</v>
      </c>
      <c r="AS57" s="1513">
        <f t="shared" ref="AS57:AS62" si="440">+AS23/$AS$37</f>
        <v>33162.579578916331</v>
      </c>
      <c r="AT57" s="1513">
        <f t="shared" ref="AT57:AT62" si="441">+AT23/$AT$37</f>
        <v>34497.687631453919</v>
      </c>
      <c r="AU57" s="1513">
        <f t="shared" ref="AU57:AU62" si="442">+AU23/$AU$37</f>
        <v>35973.662504247586</v>
      </c>
      <c r="AV57" s="1513">
        <f t="shared" ref="AV57:AV62" si="443">+AV23/$AV$37</f>
        <v>33288.205259519862</v>
      </c>
      <c r="AW57" s="1513">
        <f t="shared" ref="AW57:AW62" si="444">+AW23/$AW$37</f>
        <v>26379.691830304444</v>
      </c>
      <c r="AX57" s="1513">
        <f t="shared" ref="AX57:AX62" si="445">+AX23/$AX$37</f>
        <v>31679.105393227863</v>
      </c>
      <c r="AY57" s="1513">
        <f t="shared" ref="AY57:AY62" si="446">+AY23/$AY$37</f>
        <v>26808.421009529378</v>
      </c>
      <c r="AZ57" s="1514">
        <f t="shared" ref="AZ57:AZ62" si="447">+AZ23/$AZ$37</f>
        <v>51952.991712506278</v>
      </c>
      <c r="BA57" s="1515">
        <f>SUM(AO57:AZ57)</f>
        <v>392953.92190881417</v>
      </c>
      <c r="BB57" s="1512">
        <f t="shared" ref="BB57:BB62" si="448">+BB23/$BB$37</f>
        <v>22242.092130452045</v>
      </c>
      <c r="BC57" s="1513">
        <f t="shared" ref="BC57:BC62" si="449">+BC23/$BC$37</f>
        <v>26576.608574769147</v>
      </c>
      <c r="BD57" s="1513">
        <f t="shared" ref="BD57:BD62" si="450">+BD23/$BD$37</f>
        <v>24090.782681723646</v>
      </c>
      <c r="BE57" s="1513">
        <f t="shared" ref="BE57:BE62" si="451">+BE23/$BE$37</f>
        <v>20748.266595327692</v>
      </c>
      <c r="BF57" s="1513">
        <f t="shared" ref="BF57:BF62" si="452">+BF23/$BF$37</f>
        <v>60405.417814085369</v>
      </c>
      <c r="BG57" s="1513">
        <f t="shared" ref="BG57:BG62" si="453">+BG23/$BG$37</f>
        <v>23366.3108158666</v>
      </c>
      <c r="BH57" s="1513">
        <f t="shared" ref="BH57:BH62" si="454">+BH23/$BH$37</f>
        <v>47821.981721357981</v>
      </c>
      <c r="BI57" s="1513">
        <f t="shared" ref="BI57:BI62" si="455">+BI23/$BI$37</f>
        <v>42749.151815147889</v>
      </c>
      <c r="BJ57" s="1513">
        <f t="shared" ref="BJ57:BJ62" si="456">+BJ23/$BJ$37</f>
        <v>42217.924017294376</v>
      </c>
      <c r="BK57" s="1513">
        <f t="shared" ref="BK57:BK62" si="457">+BK23/$BK$37</f>
        <v>54442.612243971256</v>
      </c>
      <c r="BL57" s="1513">
        <f t="shared" ref="BL57:BL62" si="458">+BL23/$BL$37</f>
        <v>64944.88128607301</v>
      </c>
      <c r="BM57" s="1514">
        <f t="shared" ref="BM57:BM62" si="459">+BM23/$BM$37</f>
        <v>57848.874047105732</v>
      </c>
      <c r="BN57" s="1515">
        <f t="shared" ref="BN57:BN62" si="460">SUM(BB57:BM57)</f>
        <v>487454.90374317474</v>
      </c>
      <c r="BO57" s="1512">
        <f t="shared" ref="BO57:BO62" si="461">+BO23/$BO$37</f>
        <v>24166.572322630251</v>
      </c>
      <c r="BP57" s="1513">
        <f t="shared" ref="BP57:BP62" si="462">+BP23/$BP$37</f>
        <v>68826.51575411846</v>
      </c>
      <c r="BQ57" s="1513">
        <f t="shared" ref="BQ57:BQ62" si="463">+BQ23/$BQ$37</f>
        <v>45646.665129756671</v>
      </c>
      <c r="BR57" s="1513">
        <f t="shared" ref="BR57:BR62" si="464">+BR23/$BR$37</f>
        <v>40331.464320307801</v>
      </c>
      <c r="BS57" s="1513">
        <f t="shared" ref="BS57:BS62" si="465">+BS23/$BS$37</f>
        <v>46208.268194103584</v>
      </c>
      <c r="BT57" s="1513">
        <f t="shared" ref="BT57:BT62" si="466">+BT23/$BT$37</f>
        <v>35655.880159140572</v>
      </c>
      <c r="BU57" s="1513">
        <f t="shared" ref="BU57:BU62" si="467">+BU23/$BU$37</f>
        <v>35823.133153509196</v>
      </c>
      <c r="BV57" s="1513">
        <f t="shared" ref="BV57:BV62" si="468">+BV23/$BV$37</f>
        <v>44736.881716955366</v>
      </c>
      <c r="BW57" s="1513">
        <f t="shared" ref="BW57:BW62" si="469">+BW23/$BW$37</f>
        <v>46747.460549505828</v>
      </c>
      <c r="BX57" s="1513">
        <f t="shared" ref="BX57:BX62" si="470">+BX23/$BX$37</f>
        <v>56047.882887382781</v>
      </c>
      <c r="BY57" s="1513">
        <f t="shared" ref="BY57:BY62" si="471">+BY23/$BY$37</f>
        <v>52797.493282524905</v>
      </c>
      <c r="BZ57" s="1514">
        <f t="shared" ref="BZ57:BZ62" si="472">+BZ23/$BZ$37</f>
        <v>63565.895580853597</v>
      </c>
      <c r="CA57" s="1515">
        <f t="shared" ref="CA57:CA62" si="473">SUM(BO57:BZ57)</f>
        <v>560554.11305078899</v>
      </c>
      <c r="CB57" s="1512">
        <f t="shared" ref="CB57:CB62" si="474">+CB23/$CB$37</f>
        <v>33148.902237682531</v>
      </c>
      <c r="CC57" s="1513">
        <f t="shared" ref="CC57:CC62" si="475">+CC23/$CC$37</f>
        <v>60766.950731295467</v>
      </c>
      <c r="CD57" s="1513">
        <f t="shared" ref="CD57:CD62" si="476">+CD23/$CD$37</f>
        <v>29156.142658262153</v>
      </c>
      <c r="CE57" s="1513">
        <f t="shared" ref="CE57:CE62" si="477">+CE23/$CE$37</f>
        <v>47992.276496814266</v>
      </c>
      <c r="CF57" s="1513">
        <f t="shared" ref="CF57:CF62" si="478">+CF23/$CF$37</f>
        <v>39198.592567133739</v>
      </c>
      <c r="CG57" s="1513">
        <f t="shared" ref="CG57:CG62" si="479">+CG23/$CG$37</f>
        <v>44051.021096562727</v>
      </c>
      <c r="CH57" s="1513">
        <f t="shared" ref="CH57:CH62" si="480">+CH23/$CH$37</f>
        <v>40111.188770112014</v>
      </c>
      <c r="CI57" s="1513">
        <f t="shared" ref="CI57:CI62" si="481">+CI23/$CI$37</f>
        <v>49683.537953231695</v>
      </c>
      <c r="CJ57" s="1513">
        <f t="shared" ref="CJ57:CJ62" si="482">+CJ23/$CJ$37</f>
        <v>35493.123846273658</v>
      </c>
      <c r="CK57" s="1513">
        <f t="shared" ref="CK57:CK62" si="483">+CK23/$CK$37</f>
        <v>36678.411267647964</v>
      </c>
      <c r="CL57" s="1513">
        <f t="shared" ref="CL57:CL62" si="484">+CL23/$CL$37</f>
        <v>27941.297615200587</v>
      </c>
      <c r="CM57" s="1514">
        <f t="shared" ref="CM57:CM62" si="485">+CM23/$CM$37</f>
        <v>76547.310557942503</v>
      </c>
      <c r="CN57" s="1515">
        <f t="shared" ref="CN57:CN62" si="486">SUM(CB57:CM57)</f>
        <v>520768.75579815928</v>
      </c>
      <c r="CO57" s="1512">
        <f t="shared" ref="CO57:CO62" si="487">+CO23/$CO$37</f>
        <v>48714.845525024866</v>
      </c>
      <c r="CP57" s="1513">
        <f t="shared" ref="CP57:CP62" si="488">+CP23/$CP$37</f>
        <v>69114.274516721081</v>
      </c>
      <c r="CQ57" s="1513">
        <f t="shared" ref="CQ57:CQ62" si="489">+CQ23/$CQ$37</f>
        <v>47512.263620098958</v>
      </c>
      <c r="CR57" s="1513">
        <f t="shared" ref="CR57:CR62" si="490">+CR23/$CR$37</f>
        <v>35409.589255785213</v>
      </c>
      <c r="CS57" s="1513">
        <f t="shared" ref="CS57:CS62" si="491">+CS23/$CS$37</f>
        <v>41317.741425282278</v>
      </c>
      <c r="CT57" s="1513">
        <f t="shared" ref="CT57:CT62" si="492">+CT23/$CT$37</f>
        <v>53284.031270000894</v>
      </c>
      <c r="CU57" s="1513">
        <f t="shared" ref="CU57:CU62" si="493">+CU23/$CU$37</f>
        <v>63298.678291248143</v>
      </c>
      <c r="CV57" s="1513">
        <f t="shared" ref="CV57:CV62" si="494">+CV23/$CV$37</f>
        <v>55929.056656526809</v>
      </c>
      <c r="CW57" s="1513">
        <f t="shared" ref="CW57:CW62" si="495">+CW23/$CW$37</f>
        <v>50122.610333591183</v>
      </c>
      <c r="CX57" s="1513">
        <f t="shared" ref="CX57:CX62" si="496">+CX23/$CX$37</f>
        <v>56780.481913360112</v>
      </c>
      <c r="CY57" s="1513">
        <f t="shared" ref="CY57:CY62" si="497">+CY23/$CY$37</f>
        <v>53699.513016003308</v>
      </c>
      <c r="CZ57" s="1514">
        <f t="shared" ref="CZ57:CZ62" si="498">+CZ23/$CZ$37</f>
        <v>137694.59295270272</v>
      </c>
      <c r="DA57" s="1515">
        <f t="shared" ref="DA57:DA62" si="499">SUM(CO57:CZ57)</f>
        <v>712877.67877634568</v>
      </c>
      <c r="DB57" s="1512">
        <f t="shared" ref="DB57:DB62" si="500">+DB23/$DB$37</f>
        <v>57973.809983201332</v>
      </c>
      <c r="DC57" s="1513">
        <f t="shared" ref="DC57:DC62" si="501">+DC23/$DC$37</f>
        <v>44888.031900731869</v>
      </c>
      <c r="DD57" s="1513">
        <f t="shared" ref="DD57:DD62" si="502">+DD23/$DD$37</f>
        <v>39246.516142193366</v>
      </c>
      <c r="DE57" s="1513">
        <f t="shared" ref="DE57:DE62" si="503">+DE23/$DE$37</f>
        <v>43738.32341249154</v>
      </c>
      <c r="DF57" s="1513">
        <f t="shared" ref="DF57:DF62" si="504">+DF23/$DF$37</f>
        <v>43977.7446976516</v>
      </c>
      <c r="DG57" s="1513">
        <f t="shared" ref="DG57:DG62" si="505">+DG23/$DG$37</f>
        <v>52577.669164766492</v>
      </c>
      <c r="DH57" s="1513">
        <f t="shared" ref="DH57:DH62" si="506">+DH23/$DH$37</f>
        <v>46755.591786678669</v>
      </c>
      <c r="DI57" s="1513">
        <f t="shared" ref="DI57:DI62" si="507">+DI23/$DI$37</f>
        <v>67883.879591488396</v>
      </c>
      <c r="DJ57" s="1513">
        <f t="shared" ref="DJ57:DJ62" si="508">+DJ23/$DJ$37</f>
        <v>41022.021000998553</v>
      </c>
      <c r="DK57" s="1513">
        <f t="shared" ref="DK57:DK62" si="509">+DK23/$DK$37</f>
        <v>45294.7464636636</v>
      </c>
      <c r="DL57" s="1513">
        <f t="shared" ref="DL57:DL62" si="510">+DL23/$DL$37</f>
        <v>39172.868408700277</v>
      </c>
      <c r="DM57" s="1514">
        <f t="shared" ref="DM57:DM62" si="511">+DM23/$DM$37</f>
        <v>87785.307151234694</v>
      </c>
      <c r="DN57" s="1515">
        <f t="shared" ref="DN57:DN62" si="512">SUM(DB57:DM57)</f>
        <v>610316.50970380032</v>
      </c>
      <c r="DO57" s="1512">
        <f t="shared" ref="DO57:DO62" si="513">+DO23/$DO$37</f>
        <v>19803.618422491509</v>
      </c>
      <c r="DP57" s="1513">
        <f t="shared" ref="DP57:DP62" si="514">+DP23/$DP$37</f>
        <v>50539.356401856145</v>
      </c>
      <c r="DQ57" s="1513">
        <f t="shared" ref="DQ57:DQ62" si="515">+DQ23/$DQ$37</f>
        <v>56839.753951188402</v>
      </c>
      <c r="DR57" s="1513">
        <f t="shared" ref="DR57:DR62" si="516">+DR23/$DR$37</f>
        <v>57079.244739337773</v>
      </c>
      <c r="DS57" s="1513">
        <f t="shared" ref="DS57:DS62" si="517">+DS23/$DS$37</f>
        <v>103286.31731991883</v>
      </c>
      <c r="DT57" s="1513">
        <f t="shared" ref="DT57:DT62" si="518">+DT23/$DT$37</f>
        <v>83740.76952833934</v>
      </c>
      <c r="DU57" s="1513">
        <f t="shared" ref="DU57:DU62" si="519">+DU23/$DU$37</f>
        <v>56847.560040254371</v>
      </c>
      <c r="DV57" s="1513">
        <f t="shared" ref="DV57:DV62" si="520">+DV23/$DV$37</f>
        <v>56891.537998598767</v>
      </c>
      <c r="DW57" s="1513">
        <f t="shared" ref="DW57:DW62" si="521">+DW23/$DW$37</f>
        <v>44351.215500486753</v>
      </c>
      <c r="DX57" s="1513">
        <f t="shared" ref="DX57:DX62" si="522">+DX23/$DX$37</f>
        <v>64902.350118383452</v>
      </c>
      <c r="DY57" s="1513">
        <f t="shared" ref="DY57:DY62" si="523">+DY23/$DY$37</f>
        <v>52275.595669451955</v>
      </c>
      <c r="DZ57" s="1514">
        <f t="shared" ref="DZ57:DZ62" si="524">+DZ23/$DZ$37</f>
        <v>98701.110232955049</v>
      </c>
      <c r="EA57" s="1515">
        <f t="shared" ref="EA57:EA62" si="525">SUM(DO57:DZ57)</f>
        <v>745258.42992326233</v>
      </c>
      <c r="EB57" s="1512">
        <f t="shared" ref="EB57:EB62" si="526">+EB23/$EB$37</f>
        <v>48393.807250652571</v>
      </c>
      <c r="EC57" s="1513">
        <f t="shared" ref="EC57:EC62" si="527">+EC23/$EC$37</f>
        <v>58205.224823699988</v>
      </c>
      <c r="ED57" s="1513">
        <f t="shared" ref="ED57:ED62" si="528">+ED23/$ED$37</f>
        <v>45767.446633398904</v>
      </c>
      <c r="EE57" s="1513">
        <f t="shared" ref="EE57:EE62" si="529">+EE23/$EE$37</f>
        <v>89889.95362967244</v>
      </c>
      <c r="EF57" s="1513">
        <f t="shared" ref="EF57:EF62" si="530">+EF23/$EF$37</f>
        <v>54475.953085187328</v>
      </c>
      <c r="EG57" s="1513">
        <f t="shared" ref="EG57:EG62" si="531">+EG23/$EG$37</f>
        <v>59361.268380533933</v>
      </c>
      <c r="EH57" s="1513">
        <f t="shared" ref="EH57:EH62" si="532">+EH23/$EH$37</f>
        <v>65582.797826792259</v>
      </c>
      <c r="EI57" s="1513">
        <f t="shared" ref="EI57:EI62" si="533">+EI23/$EI$37</f>
        <v>70298.035488666093</v>
      </c>
      <c r="EJ57" s="1513">
        <f t="shared" ref="EJ57:EJ62" si="534">+EJ23/$EJ$37</f>
        <v>49878.610812439474</v>
      </c>
      <c r="EK57" s="1513">
        <f t="shared" ref="EK57:EK62" si="535">+EK23/$EK$37</f>
        <v>65860.356405247963</v>
      </c>
      <c r="EL57" s="1513">
        <f t="shared" ref="EL57:EL62" si="536">+EL23/$EL$37</f>
        <v>62671.821024570629</v>
      </c>
      <c r="EM57" s="1514">
        <f t="shared" ref="EM57:EM62" si="537">+EM23/$EM$37</f>
        <v>200609.37416378682</v>
      </c>
      <c r="EN57" s="1515">
        <f t="shared" ref="EN57:EN62" si="538">SUM(EB57:EM57)</f>
        <v>870994.64952464844</v>
      </c>
      <c r="EO57" s="1512">
        <f t="shared" ref="EO57:EO62" si="539">+EO23/$EO$37</f>
        <v>60949.72980264137</v>
      </c>
      <c r="EP57" s="1513">
        <f t="shared" ref="EP57:EP62" si="540">+EP23/$EP$37</f>
        <v>46156.694995658596</v>
      </c>
      <c r="EQ57" s="1513">
        <f t="shared" ref="EQ57:EQ62" si="541">+EQ23/$EQ$37</f>
        <v>61687.56553080141</v>
      </c>
      <c r="ER57" s="1513">
        <f t="shared" ref="ER57:ER62" si="542">+ER23/$ER$37</f>
        <v>63784.740787205883</v>
      </c>
      <c r="ES57" s="1513">
        <f t="shared" ref="ES57:ES62" si="543">+ES23/$ES$37</f>
        <v>53480.518241292899</v>
      </c>
      <c r="ET57" s="1513">
        <f t="shared" ref="ET57:ET62" si="544">+ET23/$ET$37</f>
        <v>54457.972941628388</v>
      </c>
      <c r="EU57" s="1513">
        <f t="shared" ref="EU57:EU62" si="545">+EU23/$EU$37</f>
        <v>117807.20247631731</v>
      </c>
      <c r="EV57" s="1513">
        <f t="shared" ref="EV57:EV62" si="546">+EV23/$EV$37</f>
        <v>58453.866712233299</v>
      </c>
      <c r="EW57" s="1513">
        <f t="shared" ref="EW57:EW62" si="547">+EW23/$EW$37</f>
        <v>63937.061996875229</v>
      </c>
      <c r="EX57" s="1513">
        <f t="shared" ref="EX57:EX62" si="548">+EX23/$EX$37</f>
        <v>78260.835095964329</v>
      </c>
      <c r="EY57" s="1513">
        <f t="shared" ref="EY57:EY62" si="549">+EY23/$EY$37</f>
        <v>80697.932211898762</v>
      </c>
      <c r="EZ57" s="1514">
        <f t="shared" ref="EZ57:EZ62" si="550">+EZ23/$EZ$37</f>
        <v>95278.420438556248</v>
      </c>
      <c r="FA57" s="1515">
        <f t="shared" ref="FA57:FA62" si="551">SUM(EO57:EZ57)</f>
        <v>834952.54123107367</v>
      </c>
      <c r="FB57" s="1512">
        <f t="shared" ref="FB57:FB62" si="552">+FB23/$FB$37</f>
        <v>49152.521578314823</v>
      </c>
      <c r="FC57" s="1513">
        <f t="shared" ref="FC57:FC62" si="553">+FC23/$FC$37</f>
        <v>62611.440831225118</v>
      </c>
      <c r="FD57" s="1513">
        <f t="shared" ref="FD57:FD62" si="554">+FD23/$FD$37</f>
        <v>65357.438010279715</v>
      </c>
      <c r="FE57" s="1513">
        <f t="shared" ref="FE57:FE62" si="555">+FE23/$FE$37</f>
        <v>107946.28867393287</v>
      </c>
      <c r="FF57" s="1513">
        <f t="shared" ref="FF57:FF62" si="556">+FF23/$FF$37</f>
        <v>76993.808488585026</v>
      </c>
      <c r="FG57" s="1513">
        <f t="shared" ref="FG57:FG62" si="557">+FG23/$FG$37</f>
        <v>31433.782827845844</v>
      </c>
      <c r="FH57" s="1513">
        <f t="shared" ref="FH57:FH62" si="558">+FH23/$FH$37</f>
        <v>75767.316505176728</v>
      </c>
      <c r="FI57" s="1513">
        <f t="shared" ref="FI57:FI62" si="559">+FI23/$FI$37</f>
        <v>103485.38057875838</v>
      </c>
      <c r="FJ57" s="1513">
        <f t="shared" ref="FJ57:FJ62" si="560">+FJ23/$FJ$37</f>
        <v>46363.482436423241</v>
      </c>
      <c r="FK57" s="1513">
        <f t="shared" ref="FK57:FK62" si="561">+FK23/$FK$37</f>
        <v>147257.08870340028</v>
      </c>
      <c r="FL57" s="1513">
        <f t="shared" ref="FL57:FL62" si="562">+FL23/$FL$37</f>
        <v>90622.331342921447</v>
      </c>
      <c r="FM57" s="1514">
        <f t="shared" ref="FM57:FM62" si="563">+FM23/$FM$37</f>
        <v>116158.9180808388</v>
      </c>
      <c r="FN57" s="1515">
        <f t="shared" ref="FN57:FN62" si="564">SUM(FB57:FM57)</f>
        <v>973149.79805770214</v>
      </c>
      <c r="FO57" s="1512">
        <f t="shared" ref="FO57:FO62" si="565">+FO23/$FO$37</f>
        <v>35388.04239368342</v>
      </c>
      <c r="FP57" s="1513">
        <f t="shared" ref="FP57:FP62" si="566">+FP23/$FP$37</f>
        <v>57903.33080806549</v>
      </c>
      <c r="FQ57" s="1513">
        <f t="shared" ref="FQ57:FQ62" si="567">+FQ23/$FQ$37</f>
        <v>54106.391574432673</v>
      </c>
      <c r="FR57" s="1513">
        <f t="shared" ref="FR57:FR62" si="568">+FR23/$FR$37</f>
        <v>73497.338284865982</v>
      </c>
      <c r="FS57" s="1513">
        <f t="shared" ref="FS57:FS62" si="569">+FS23/$FS$37</f>
        <v>59492.277640269975</v>
      </c>
      <c r="FT57" s="1513">
        <f t="shared" ref="FT57:FT62" si="570">+FT23/$FT$37</f>
        <v>51388.511432249885</v>
      </c>
      <c r="FU57" s="1513">
        <f t="shared" ref="FU57:FU62" si="571">+FU23/$FU$37</f>
        <v>64623.736357331298</v>
      </c>
      <c r="FV57" s="1513">
        <f t="shared" ref="FV57:FV62" si="572">+FV23/$FV$37</f>
        <v>45130.431186096139</v>
      </c>
      <c r="FW57" s="1513">
        <f t="shared" ref="FW57:FW62" si="573">+FW23/$FW$37</f>
        <v>99831.515916082702</v>
      </c>
      <c r="FX57" s="1513">
        <f t="shared" ref="FX57:FX62" si="574">+FX23/$FX$37</f>
        <v>74217.487812900348</v>
      </c>
      <c r="FY57" s="1513">
        <f t="shared" ref="FY57:FY62" si="575">+FY23/$FY$37</f>
        <v>92309.045061597833</v>
      </c>
      <c r="FZ57" s="1514">
        <f t="shared" ref="FZ57:FZ62" si="576">+FZ23/$FZ$37</f>
        <v>249344.49006626848</v>
      </c>
      <c r="GA57" s="1515">
        <f t="shared" si="371"/>
        <v>957232.59853384411</v>
      </c>
      <c r="GB57" s="1512">
        <f t="shared" ref="GB57:GB62" si="577">+GB23/$GB$37</f>
        <v>42216.766923757707</v>
      </c>
      <c r="GC57" s="1513">
        <f t="shared" ref="GC57:GC62" si="578">+GC23/$GC$37</f>
        <v>47065.964865838381</v>
      </c>
      <c r="GD57" s="1513">
        <f t="shared" ref="GD57:GD62" si="579">+GD23/$GD$37</f>
        <v>59645.344808781658</v>
      </c>
      <c r="GE57" s="1513">
        <f t="shared" ref="GE57:GE62" si="580">+GE23/$GE$37</f>
        <v>61679.940456339718</v>
      </c>
      <c r="GF57" s="1513">
        <f t="shared" ref="GF57:GF62" si="581">+GF23/$GF$37</f>
        <v>61337.031666104165</v>
      </c>
      <c r="GG57" s="1513">
        <f t="shared" ref="GG57:GG62" si="582">+GG23/$GG$37</f>
        <v>56520.371000723782</v>
      </c>
      <c r="GH57" s="1513">
        <f t="shared" ref="GH57:GH62" si="583">+GH23/$GH$37</f>
        <v>73064.026277312412</v>
      </c>
      <c r="GI57" s="1513">
        <f t="shared" ref="GI57:GI62" si="584">+GI23/$GI$37</f>
        <v>131794.0714624383</v>
      </c>
      <c r="GJ57" s="1513">
        <f t="shared" ref="GJ57:GJ62" si="585">+GJ23/$GJ$37</f>
        <v>48545.731091644229</v>
      </c>
      <c r="GK57" s="1513">
        <f t="shared" ref="GK57:GK62" si="586">+GK23/$GK$37</f>
        <v>112155.58942083473</v>
      </c>
      <c r="GL57" s="1513">
        <f t="shared" ref="GL57:GL62" si="587">+GL23/$GL$37</f>
        <v>76191.498605344939</v>
      </c>
      <c r="GM57" s="1514">
        <f t="shared" ref="GM57:GM62" si="588">+GM23/$GM$37</f>
        <v>150942.7242558955</v>
      </c>
      <c r="GN57" s="1515">
        <f t="shared" si="372"/>
        <v>921159.06083501549</v>
      </c>
      <c r="GO57" s="1512">
        <f t="shared" ref="GO57:GO62" si="589">+GO23/$GO$37</f>
        <v>46249.035369255893</v>
      </c>
      <c r="GP57" s="1513">
        <f t="shared" ref="GP57:GP62" si="590">+GP23/$GP$37</f>
        <v>69353.189968572304</v>
      </c>
      <c r="GQ57" s="1513">
        <f t="shared" ref="GQ57:GQ62" si="591">+GQ23/$GQ$37</f>
        <v>48645.604114363741</v>
      </c>
      <c r="GR57" s="1513">
        <f t="shared" ref="GR57:GR62" si="592">+GR23/$GR$37</f>
        <v>65271.6840873287</v>
      </c>
      <c r="GS57" s="1513">
        <f t="shared" ref="GS57:GS62" si="593">+GS23/$GS$37</f>
        <v>55358.328285841453</v>
      </c>
      <c r="GT57" s="1513">
        <f t="shared" ref="GT57:GT62" si="594">+GT23/$GT$37</f>
        <v>59929.551073236849</v>
      </c>
      <c r="GU57" s="1513">
        <f t="shared" ref="GU57:GU62" si="595">+GU23/$GU$37</f>
        <v>48497.30922656614</v>
      </c>
      <c r="GV57" s="1513">
        <f t="shared" ref="GV57:GV62" si="596">+GV23/$GV$37</f>
        <v>60768.365114967564</v>
      </c>
      <c r="GW57" s="1513">
        <f t="shared" ref="GW57:GW62" si="597">+GW23/$GW$37</f>
        <v>46221.10645983537</v>
      </c>
      <c r="GX57" s="1513">
        <f t="shared" ref="GX57:GX64" si="598">+GX23/$GX$37</f>
        <v>68051.111150918077</v>
      </c>
      <c r="GY57" s="1513">
        <f t="shared" ref="GY57:GY64" si="599">+GY23/$GY$37</f>
        <v>90021.826534580192</v>
      </c>
      <c r="GZ57" s="1514">
        <f t="shared" ref="GZ57:GZ62" si="600">+GZ23/$GZ$37</f>
        <v>67517.260102898537</v>
      </c>
      <c r="HA57" s="1515">
        <f t="shared" si="373"/>
        <v>725884.371488365</v>
      </c>
      <c r="HB57" s="1512">
        <f t="shared" ref="HB57:HB62" si="601">+HB23/$HB$37</f>
        <v>32052.595459280543</v>
      </c>
      <c r="HC57" s="1513">
        <f t="shared" ref="HC57:HC62" si="602">+HC23/$HC$37</f>
        <v>142518.16780745512</v>
      </c>
      <c r="HD57" s="1513">
        <f t="shared" ref="HD57:HD62" si="603">+HD23/$HD$37</f>
        <v>32426.19782594169</v>
      </c>
      <c r="HE57" s="1513">
        <f t="shared" ref="HE57:HE64" si="604">+HE23/$HE$37</f>
        <v>61216.419490745058</v>
      </c>
      <c r="HF57" s="1513">
        <f t="shared" ref="HF57:HF62" si="605">+HF23/$HF$37</f>
        <v>85896.085413241788</v>
      </c>
      <c r="HG57" s="1513">
        <f t="shared" ref="HG57:HG62" si="606">+HG23/$HG$37</f>
        <v>58367.013867719281</v>
      </c>
      <c r="HH57" s="1513">
        <f t="shared" ref="HH57:HH62" si="607">+HH23/$HH$37</f>
        <v>59660.136700281146</v>
      </c>
      <c r="HI57" s="1513">
        <f t="shared" ref="HI57:HI62" si="608">+HI23/$HI$37</f>
        <v>96905.779159542915</v>
      </c>
      <c r="HJ57" s="1513">
        <f t="shared" ref="HJ57:HJ62" si="609">+HJ23/$HJ$37</f>
        <v>58823.495967737137</v>
      </c>
      <c r="HK57" s="1513">
        <f t="shared" ref="HK57:HK62" si="610">+HK23/$HK$37</f>
        <v>70345.246528619129</v>
      </c>
      <c r="HL57" s="1513">
        <f t="shared" ref="HL57:HL62" si="611">+HL23/$HL$37</f>
        <v>77235.472719212165</v>
      </c>
      <c r="HM57" s="1514">
        <f t="shared" ref="HM57:HM62" si="612">+HM23/$HM$37</f>
        <v>109215.54772680686</v>
      </c>
      <c r="HN57" s="1515">
        <f t="shared" si="374"/>
        <v>884662.15866658266</v>
      </c>
      <c r="HO57" s="1512">
        <f t="shared" ref="HO57:HO62" si="613">+HO23/$HO$37</f>
        <v>36740.484932756895</v>
      </c>
      <c r="HP57" s="1513">
        <f t="shared" ref="HP57:HP62" si="614">+HP23/$HP$37</f>
        <v>93998.182352180098</v>
      </c>
      <c r="HQ57" s="1513">
        <f t="shared" ref="HQ57:HQ62" si="615">+HQ23/$HQ$37</f>
        <v>62619.971539412458</v>
      </c>
      <c r="HR57" s="1513">
        <f t="shared" ref="HR57:HR62" si="616">+HR23/$HR$37</f>
        <v>84004.347679437487</v>
      </c>
      <c r="HS57" s="1513">
        <f t="shared" ref="HS57:HS62" si="617">+HS23/$HS$37</f>
        <v>64004.373008317605</v>
      </c>
      <c r="HT57" s="1513">
        <f t="shared" ref="HT57:HT62" si="618">+HT23/$HT$37</f>
        <v>78572.141292620159</v>
      </c>
      <c r="HU57" s="1513">
        <f t="shared" ref="HU57:HU62" si="619">+HU23/$HU$37</f>
        <v>63996.325641816933</v>
      </c>
      <c r="HV57" s="1513">
        <f t="shared" ref="HV57:HV62" si="620">+HV23/$HV$37</f>
        <v>65857.177925491022</v>
      </c>
      <c r="HW57" s="1513">
        <f t="shared" ref="HW57:HW62" si="621">+HW23/$HW$37</f>
        <v>47834.911475767069</v>
      </c>
      <c r="HX57" s="1513">
        <f t="shared" ref="HX57:HX62" si="622">+HX23/$HX$37</f>
        <v>70403.950733920545</v>
      </c>
      <c r="HY57" s="1513">
        <f t="shared" ref="HY57:HY62" si="623">+HY23/$HY$37</f>
        <v>75711.672829040865</v>
      </c>
      <c r="HZ57" s="1514">
        <f t="shared" ref="HZ57:HZ62" si="624">+HZ23/$HZ$37</f>
        <v>70961.205569683196</v>
      </c>
      <c r="IA57" s="1512">
        <f t="shared" si="375"/>
        <v>814704.74498044443</v>
      </c>
      <c r="IB57" s="1516">
        <f t="shared" ref="IB57:IB62" si="625">+IB23/$IB$37</f>
        <v>74207.946599741641</v>
      </c>
      <c r="IC57" s="1209">
        <f t="shared" si="376"/>
        <v>57661.23583858335</v>
      </c>
      <c r="ID57" s="1209">
        <f t="shared" si="377"/>
        <v>47994.500342721323</v>
      </c>
      <c r="IE57" s="1209">
        <f t="shared" si="378"/>
        <v>57990.55260433376</v>
      </c>
      <c r="IF57" s="1209">
        <f t="shared" si="379"/>
        <v>60875.73663423839</v>
      </c>
      <c r="IG57" s="1209">
        <f t="shared" si="380"/>
        <v>68708.623776421373</v>
      </c>
      <c r="IH57" s="1209">
        <f t="shared" si="381"/>
        <v>74019.522934433349</v>
      </c>
      <c r="II57" s="1209">
        <f t="shared" si="382"/>
        <v>73124.531282607553</v>
      </c>
      <c r="IJ57" s="1209"/>
      <c r="IK57" s="1209"/>
      <c r="IL57" s="1209"/>
      <c r="IM57" s="1517"/>
      <c r="IN57" s="1518">
        <f t="shared" si="383"/>
        <v>514582.6500130808</v>
      </c>
      <c r="IO57" s="1422"/>
      <c r="IP57" s="1519">
        <f t="shared" si="355"/>
        <v>11.035020913496485</v>
      </c>
      <c r="IQ57" s="1520">
        <f t="shared" ref="IQ57:IQ62" si="626">IFERROR(((IS57/IR57)-1)*100,"")</f>
        <v>-6.4042929027750661</v>
      </c>
      <c r="IR57" s="1521">
        <f t="shared" si="356"/>
        <v>549793.00437203271</v>
      </c>
      <c r="IS57" s="1522">
        <f t="shared" si="357"/>
        <v>514582.6500130808</v>
      </c>
      <c r="IV57"/>
      <c r="IW57"/>
      <c r="IX57"/>
      <c r="IY57"/>
      <c r="IZ57"/>
      <c r="JA57"/>
      <c r="JB57"/>
      <c r="JC57"/>
      <c r="JD57"/>
    </row>
    <row r="58" spans="1:264" ht="15" customHeight="1" x14ac:dyDescent="0.2">
      <c r="A58" s="1551" t="s">
        <v>429</v>
      </c>
      <c r="B58" s="379">
        <f t="shared" si="398"/>
        <v>19356.978135493435</v>
      </c>
      <c r="C58" s="380">
        <f t="shared" si="399"/>
        <v>15820.960966830558</v>
      </c>
      <c r="D58" s="380">
        <f t="shared" si="400"/>
        <v>19635.756167395455</v>
      </c>
      <c r="E58" s="380">
        <f t="shared" si="401"/>
        <v>60087.984702559887</v>
      </c>
      <c r="F58" s="380">
        <f t="shared" si="402"/>
        <v>23487.292086333207</v>
      </c>
      <c r="G58" s="380">
        <f t="shared" si="403"/>
        <v>43436.486000328179</v>
      </c>
      <c r="H58" s="380">
        <f t="shared" si="404"/>
        <v>18344.911538521977</v>
      </c>
      <c r="I58" s="380">
        <f t="shared" si="405"/>
        <v>18378.765789049383</v>
      </c>
      <c r="J58" s="380">
        <f t="shared" si="406"/>
        <v>16620.301641062284</v>
      </c>
      <c r="K58" s="380">
        <f t="shared" si="407"/>
        <v>62772.001487873138</v>
      </c>
      <c r="L58" s="380">
        <f t="shared" si="408"/>
        <v>65123.549556114696</v>
      </c>
      <c r="M58" s="389">
        <f t="shared" si="409"/>
        <v>36532.380065321166</v>
      </c>
      <c r="N58" s="381">
        <f t="shared" si="410"/>
        <v>399597.36813688336</v>
      </c>
      <c r="O58" s="379">
        <f t="shared" si="411"/>
        <v>24978.865669376508</v>
      </c>
      <c r="P58" s="380">
        <f t="shared" si="412"/>
        <v>18554.911304696245</v>
      </c>
      <c r="Q58" s="380">
        <f t="shared" si="413"/>
        <v>16267.992143237047</v>
      </c>
      <c r="R58" s="380">
        <f t="shared" si="414"/>
        <v>17204.357574591562</v>
      </c>
      <c r="S58" s="380">
        <f t="shared" si="415"/>
        <v>32425.225135297638</v>
      </c>
      <c r="T58" s="380">
        <f t="shared" si="416"/>
        <v>31593.56505339147</v>
      </c>
      <c r="U58" s="380">
        <f t="shared" si="417"/>
        <v>29849.935639261897</v>
      </c>
      <c r="V58" s="380">
        <f t="shared" si="418"/>
        <v>27819.999913919437</v>
      </c>
      <c r="W58" s="380">
        <f t="shared" si="419"/>
        <v>26602.634779807755</v>
      </c>
      <c r="X58" s="380">
        <f t="shared" si="420"/>
        <v>49163.149054844762</v>
      </c>
      <c r="Y58" s="380">
        <f t="shared" si="421"/>
        <v>26390.198700936558</v>
      </c>
      <c r="Z58" s="389">
        <f t="shared" si="422"/>
        <v>46614.802142322129</v>
      </c>
      <c r="AA58" s="381">
        <f t="shared" si="423"/>
        <v>347465.63711168303</v>
      </c>
      <c r="AB58" s="379">
        <f t="shared" si="424"/>
        <v>39130.660662028575</v>
      </c>
      <c r="AC58" s="380">
        <f t="shared" si="425"/>
        <v>31638.973317411859</v>
      </c>
      <c r="AD58" s="380">
        <f t="shared" si="426"/>
        <v>18129.840517005468</v>
      </c>
      <c r="AE58" s="380">
        <f t="shared" si="427"/>
        <v>42392.363811000956</v>
      </c>
      <c r="AF58" s="380">
        <f t="shared" si="428"/>
        <v>20100.990099294479</v>
      </c>
      <c r="AG58" s="380">
        <f t="shared" si="429"/>
        <v>27906.250408165222</v>
      </c>
      <c r="AH58" s="380">
        <f t="shared" si="430"/>
        <v>33778.833589300295</v>
      </c>
      <c r="AI58" s="380">
        <f t="shared" si="431"/>
        <v>22499.92454657398</v>
      </c>
      <c r="AJ58" s="380">
        <f t="shared" si="432"/>
        <v>25221.573624934561</v>
      </c>
      <c r="AK58" s="380">
        <f t="shared" si="433"/>
        <v>42978.917561918657</v>
      </c>
      <c r="AL58" s="380">
        <f t="shared" si="434"/>
        <v>23955.50175356854</v>
      </c>
      <c r="AM58" s="389">
        <f t="shared" si="435"/>
        <v>37754.244767318829</v>
      </c>
      <c r="AN58" s="381">
        <f t="shared" ref="AN58:AN64" si="627">SUM(AB58:AM58)</f>
        <v>365488.07465852145</v>
      </c>
      <c r="AO58" s="379">
        <f t="shared" si="436"/>
        <v>25283.840080471105</v>
      </c>
      <c r="AP58" s="380">
        <f t="shared" si="437"/>
        <v>27960.254528258403</v>
      </c>
      <c r="AQ58" s="380">
        <f t="shared" si="438"/>
        <v>25274.241267014811</v>
      </c>
      <c r="AR58" s="380">
        <f t="shared" si="439"/>
        <v>29713.70895147312</v>
      </c>
      <c r="AS58" s="380">
        <f t="shared" si="440"/>
        <v>31149.074415623505</v>
      </c>
      <c r="AT58" s="380">
        <f t="shared" si="441"/>
        <v>31269.104083094095</v>
      </c>
      <c r="AU58" s="380">
        <f t="shared" si="442"/>
        <v>30456.422166708115</v>
      </c>
      <c r="AV58" s="380">
        <f t="shared" si="443"/>
        <v>30475.276700771938</v>
      </c>
      <c r="AW58" s="380">
        <f t="shared" si="444"/>
        <v>24598.685630446515</v>
      </c>
      <c r="AX58" s="380">
        <f t="shared" si="445"/>
        <v>28627.488084307315</v>
      </c>
      <c r="AY58" s="380">
        <f t="shared" si="446"/>
        <v>23744.060710577334</v>
      </c>
      <c r="AZ58" s="389">
        <f t="shared" si="447"/>
        <v>44866.113910493135</v>
      </c>
      <c r="BA58" s="381">
        <f t="shared" ref="BA58:BA64" si="628">SUM(AO58:AZ58)</f>
        <v>353418.27052923944</v>
      </c>
      <c r="BB58" s="379">
        <f t="shared" si="448"/>
        <v>21025.982683517144</v>
      </c>
      <c r="BC58" s="380">
        <f t="shared" si="449"/>
        <v>24866.987156014671</v>
      </c>
      <c r="BD58" s="380">
        <f t="shared" si="450"/>
        <v>22000.032031805746</v>
      </c>
      <c r="BE58" s="380">
        <f t="shared" si="451"/>
        <v>18587.411362179562</v>
      </c>
      <c r="BF58" s="380">
        <f t="shared" si="452"/>
        <v>58232.755529895796</v>
      </c>
      <c r="BG58" s="380">
        <f t="shared" si="453"/>
        <v>21260.385081575838</v>
      </c>
      <c r="BH58" s="380">
        <f t="shared" si="454"/>
        <v>45386.133958891216</v>
      </c>
      <c r="BI58" s="380">
        <f t="shared" si="455"/>
        <v>39943.449966796667</v>
      </c>
      <c r="BJ58" s="380">
        <f t="shared" si="456"/>
        <v>31936.030986424485</v>
      </c>
      <c r="BK58" s="380">
        <f t="shared" si="457"/>
        <v>50536.997522152917</v>
      </c>
      <c r="BL58" s="380">
        <f t="shared" si="458"/>
        <v>61015.354357928743</v>
      </c>
      <c r="BM58" s="389">
        <f t="shared" si="459"/>
        <v>49915.74882378101</v>
      </c>
      <c r="BN58" s="381">
        <f t="shared" si="460"/>
        <v>444707.26946096378</v>
      </c>
      <c r="BO58" s="379">
        <f t="shared" si="461"/>
        <v>22551.126250695695</v>
      </c>
      <c r="BP58" s="380">
        <f t="shared" si="462"/>
        <v>66993.192025385637</v>
      </c>
      <c r="BQ58" s="380">
        <f t="shared" si="463"/>
        <v>43700.694898007736</v>
      </c>
      <c r="BR58" s="380">
        <f t="shared" si="464"/>
        <v>37993.863320318633</v>
      </c>
      <c r="BS58" s="380">
        <f t="shared" si="465"/>
        <v>43746.487419988662</v>
      </c>
      <c r="BT58" s="380">
        <f t="shared" si="466"/>
        <v>33623.969458897576</v>
      </c>
      <c r="BU58" s="380">
        <f t="shared" si="467"/>
        <v>32509.387022150891</v>
      </c>
      <c r="BV58" s="380">
        <f t="shared" si="468"/>
        <v>41499.499414850194</v>
      </c>
      <c r="BW58" s="380">
        <f t="shared" si="469"/>
        <v>44131.962313526077</v>
      </c>
      <c r="BX58" s="380">
        <f t="shared" si="470"/>
        <v>52237.880878561882</v>
      </c>
      <c r="BY58" s="380">
        <f t="shared" si="471"/>
        <v>49059.675279143099</v>
      </c>
      <c r="BZ58" s="389">
        <f t="shared" si="472"/>
        <v>58101.950782059612</v>
      </c>
      <c r="CA58" s="381">
        <f t="shared" si="473"/>
        <v>526149.68906358571</v>
      </c>
      <c r="CB58" s="379">
        <f t="shared" si="474"/>
        <v>30910.841029523097</v>
      </c>
      <c r="CC58" s="380">
        <f t="shared" si="475"/>
        <v>52583.09903879663</v>
      </c>
      <c r="CD58" s="380">
        <f t="shared" si="476"/>
        <v>32679.006347128245</v>
      </c>
      <c r="CE58" s="380">
        <f t="shared" si="477"/>
        <v>45361.589930178692</v>
      </c>
      <c r="CF58" s="380">
        <f t="shared" si="478"/>
        <v>30281.788437473606</v>
      </c>
      <c r="CG58" s="380">
        <f t="shared" si="479"/>
        <v>41391.618733162417</v>
      </c>
      <c r="CH58" s="380">
        <f t="shared" si="480"/>
        <v>36834.01189581176</v>
      </c>
      <c r="CI58" s="380">
        <f t="shared" si="481"/>
        <v>46576.881131131748</v>
      </c>
      <c r="CJ58" s="380">
        <f t="shared" si="482"/>
        <v>30223.723574711239</v>
      </c>
      <c r="CK58" s="380">
        <f t="shared" si="483"/>
        <v>32544.556173214525</v>
      </c>
      <c r="CL58" s="380">
        <f t="shared" si="484"/>
        <v>25057.375702189231</v>
      </c>
      <c r="CM58" s="389">
        <f t="shared" si="485"/>
        <v>65549.789773730154</v>
      </c>
      <c r="CN58" s="381">
        <f t="shared" si="486"/>
        <v>469994.28176705132</v>
      </c>
      <c r="CO58" s="379">
        <f t="shared" si="487"/>
        <v>46463.276124518372</v>
      </c>
      <c r="CP58" s="380">
        <f t="shared" si="488"/>
        <v>65459.855684574482</v>
      </c>
      <c r="CQ58" s="380">
        <f t="shared" si="489"/>
        <v>43958.505870481909</v>
      </c>
      <c r="CR58" s="380">
        <f t="shared" si="490"/>
        <v>32482.351100389325</v>
      </c>
      <c r="CS58" s="380">
        <f t="shared" si="491"/>
        <v>37094.225397115784</v>
      </c>
      <c r="CT58" s="380">
        <f t="shared" si="492"/>
        <v>46422.566363225902</v>
      </c>
      <c r="CU58" s="380">
        <f t="shared" si="493"/>
        <v>54664.156772040369</v>
      </c>
      <c r="CV58" s="380">
        <f t="shared" si="494"/>
        <v>52555.176079217912</v>
      </c>
      <c r="CW58" s="380">
        <f t="shared" si="495"/>
        <v>45284.435302377831</v>
      </c>
      <c r="CX58" s="380">
        <f t="shared" si="496"/>
        <v>48096.712262523062</v>
      </c>
      <c r="CY58" s="380">
        <f t="shared" si="497"/>
        <v>36743.845380760504</v>
      </c>
      <c r="CZ58" s="389">
        <f t="shared" si="498"/>
        <v>80796.655263720662</v>
      </c>
      <c r="DA58" s="381">
        <f t="shared" si="499"/>
        <v>590021.76160094608</v>
      </c>
      <c r="DB58" s="379">
        <f t="shared" si="500"/>
        <v>52294.847156550968</v>
      </c>
      <c r="DC58" s="380">
        <f t="shared" si="501"/>
        <v>37878.26187111489</v>
      </c>
      <c r="DD58" s="380">
        <f t="shared" si="502"/>
        <v>32365.047585599794</v>
      </c>
      <c r="DE58" s="380">
        <f t="shared" si="503"/>
        <v>38297.220808479549</v>
      </c>
      <c r="DF58" s="380">
        <f t="shared" si="504"/>
        <v>38517.540530233819</v>
      </c>
      <c r="DG58" s="380">
        <f t="shared" si="505"/>
        <v>45212.724070510187</v>
      </c>
      <c r="DH58" s="380">
        <f t="shared" si="506"/>
        <v>39536.840801735932</v>
      </c>
      <c r="DI58" s="380">
        <f t="shared" si="507"/>
        <v>59986.827129749188</v>
      </c>
      <c r="DJ58" s="380">
        <f t="shared" si="508"/>
        <v>34623.72543046817</v>
      </c>
      <c r="DK58" s="380">
        <f t="shared" si="509"/>
        <v>38618.229967688778</v>
      </c>
      <c r="DL58" s="380">
        <f t="shared" si="510"/>
        <v>33472.970862882394</v>
      </c>
      <c r="DM58" s="389">
        <f t="shared" si="511"/>
        <v>75110.849089068157</v>
      </c>
      <c r="DN58" s="381">
        <f t="shared" si="512"/>
        <v>525915.08530408179</v>
      </c>
      <c r="DO58" s="379">
        <f t="shared" si="513"/>
        <v>18088.631335224847</v>
      </c>
      <c r="DP58" s="380">
        <f t="shared" si="514"/>
        <v>47620.173301319111</v>
      </c>
      <c r="DQ58" s="380">
        <f t="shared" si="515"/>
        <v>51818.617356373506</v>
      </c>
      <c r="DR58" s="380">
        <f t="shared" si="516"/>
        <v>52222.630030542161</v>
      </c>
      <c r="DS58" s="380">
        <f t="shared" si="517"/>
        <v>99081.498738775146</v>
      </c>
      <c r="DT58" s="380">
        <f t="shared" si="518"/>
        <v>79804.052175531906</v>
      </c>
      <c r="DU58" s="380">
        <f t="shared" si="519"/>
        <v>46776.74438580736</v>
      </c>
      <c r="DV58" s="380">
        <f t="shared" si="520"/>
        <v>48346.15580857671</v>
      </c>
      <c r="DW58" s="380">
        <f t="shared" si="521"/>
        <v>38640.484633123007</v>
      </c>
      <c r="DX58" s="380">
        <f t="shared" si="522"/>
        <v>58521.205585572607</v>
      </c>
      <c r="DY58" s="380">
        <f t="shared" si="523"/>
        <v>42417.561234389497</v>
      </c>
      <c r="DZ58" s="389">
        <f t="shared" si="524"/>
        <v>83238.46971466692</v>
      </c>
      <c r="EA58" s="381">
        <f t="shared" si="525"/>
        <v>666576.22429990291</v>
      </c>
      <c r="EB58" s="379">
        <f t="shared" si="526"/>
        <v>46542.945515213396</v>
      </c>
      <c r="EC58" s="380">
        <f t="shared" si="527"/>
        <v>56254.85358204419</v>
      </c>
      <c r="ED58" s="380">
        <f t="shared" si="528"/>
        <v>42875.449373220821</v>
      </c>
      <c r="EE58" s="380">
        <f t="shared" si="529"/>
        <v>86666.870604308671</v>
      </c>
      <c r="EF58" s="380">
        <f t="shared" si="530"/>
        <v>50855.717960733382</v>
      </c>
      <c r="EG58" s="380">
        <f t="shared" si="531"/>
        <v>54273.954268515758</v>
      </c>
      <c r="EH58" s="380">
        <f t="shared" si="532"/>
        <v>58654.182000837071</v>
      </c>
      <c r="EI58" s="380">
        <f t="shared" si="533"/>
        <v>65318.150835446599</v>
      </c>
      <c r="EJ58" s="380">
        <f t="shared" si="534"/>
        <v>46938.409891131494</v>
      </c>
      <c r="EK58" s="380">
        <f t="shared" si="535"/>
        <v>59817.667466810533</v>
      </c>
      <c r="EL58" s="380">
        <f t="shared" si="536"/>
        <v>50901.287085709977</v>
      </c>
      <c r="EM58" s="389">
        <f t="shared" si="537"/>
        <v>186095.30343836854</v>
      </c>
      <c r="EN58" s="381">
        <f t="shared" si="538"/>
        <v>805194.79202234047</v>
      </c>
      <c r="EO58" s="379">
        <f t="shared" si="539"/>
        <v>50620.605359925816</v>
      </c>
      <c r="EP58" s="380">
        <f t="shared" si="540"/>
        <v>37171.632051827924</v>
      </c>
      <c r="EQ58" s="380">
        <f t="shared" si="541"/>
        <v>42416.229710646221</v>
      </c>
      <c r="ER58" s="380">
        <f t="shared" si="542"/>
        <v>59891.012338542998</v>
      </c>
      <c r="ES58" s="380">
        <f t="shared" si="543"/>
        <v>40479.536871580807</v>
      </c>
      <c r="ET58" s="380">
        <f t="shared" si="544"/>
        <v>41204.071978121865</v>
      </c>
      <c r="EU58" s="380">
        <f t="shared" si="545"/>
        <v>70439.698613988818</v>
      </c>
      <c r="EV58" s="380">
        <f t="shared" si="546"/>
        <v>41702.79788660122</v>
      </c>
      <c r="EW58" s="380">
        <f t="shared" si="547"/>
        <v>35613.754199864474</v>
      </c>
      <c r="EX58" s="380">
        <f t="shared" si="548"/>
        <v>61074.259008716093</v>
      </c>
      <c r="EY58" s="380">
        <f t="shared" si="549"/>
        <v>62742.165356617646</v>
      </c>
      <c r="EZ58" s="389">
        <f t="shared" si="550"/>
        <v>74428.499513993927</v>
      </c>
      <c r="FA58" s="381">
        <f t="shared" si="551"/>
        <v>617784.26289042784</v>
      </c>
      <c r="FB58" s="379">
        <f t="shared" si="552"/>
        <v>47262.173042313079</v>
      </c>
      <c r="FC58" s="380">
        <f t="shared" si="553"/>
        <v>59763.99010380164</v>
      </c>
      <c r="FD58" s="380">
        <f t="shared" si="554"/>
        <v>61250.801795651205</v>
      </c>
      <c r="FE58" s="380">
        <f t="shared" si="555"/>
        <v>105678.99072187459</v>
      </c>
      <c r="FF58" s="380">
        <f t="shared" si="556"/>
        <v>74818.644934374257</v>
      </c>
      <c r="FG58" s="380">
        <f t="shared" si="557"/>
        <v>29689.215430169232</v>
      </c>
      <c r="FH58" s="380">
        <f t="shared" si="558"/>
        <v>68989.05601572273</v>
      </c>
      <c r="FI58" s="380">
        <f t="shared" si="559"/>
        <v>78239.639319238267</v>
      </c>
      <c r="FJ58" s="380">
        <f t="shared" si="560"/>
        <v>38935.026348203472</v>
      </c>
      <c r="FK58" s="380">
        <f t="shared" si="561"/>
        <v>58622.335383803023</v>
      </c>
      <c r="FL58" s="380">
        <f t="shared" si="562"/>
        <v>33987.874496796132</v>
      </c>
      <c r="FM58" s="389">
        <f t="shared" si="563"/>
        <v>63424.094567939523</v>
      </c>
      <c r="FN58" s="381">
        <f t="shared" si="564"/>
        <v>720661.84215988719</v>
      </c>
      <c r="FO58" s="379">
        <f t="shared" si="565"/>
        <v>29461.279903966577</v>
      </c>
      <c r="FP58" s="380">
        <f t="shared" si="566"/>
        <v>51503.893881431708</v>
      </c>
      <c r="FQ58" s="380">
        <f t="shared" si="567"/>
        <v>33393.636931691515</v>
      </c>
      <c r="FR58" s="380">
        <f t="shared" si="568"/>
        <v>64221.495496323281</v>
      </c>
      <c r="FS58" s="380">
        <f t="shared" si="569"/>
        <v>33528.124038793809</v>
      </c>
      <c r="FT58" s="380">
        <f t="shared" si="570"/>
        <v>39396.751062719566</v>
      </c>
      <c r="FU58" s="380">
        <f t="shared" si="571"/>
        <v>46903.13617430973</v>
      </c>
      <c r="FV58" s="380">
        <f t="shared" si="572"/>
        <v>31542.17193925301</v>
      </c>
      <c r="FW58" s="380">
        <f t="shared" si="573"/>
        <v>36026.310937868795</v>
      </c>
      <c r="FX58" s="380">
        <f t="shared" si="574"/>
        <v>37029.055330060706</v>
      </c>
      <c r="FY58" s="380">
        <f t="shared" si="575"/>
        <v>54584.713225824977</v>
      </c>
      <c r="FZ58" s="389">
        <f t="shared" si="576"/>
        <v>178919.97949582545</v>
      </c>
      <c r="GA58" s="381">
        <f t="shared" si="371"/>
        <v>636510.54841806914</v>
      </c>
      <c r="GB58" s="379">
        <f t="shared" si="577"/>
        <v>40126.367051005371</v>
      </c>
      <c r="GC58" s="380">
        <f t="shared" si="578"/>
        <v>43173.415357179932</v>
      </c>
      <c r="GD58" s="380">
        <f t="shared" si="579"/>
        <v>54115.63228998534</v>
      </c>
      <c r="GE58" s="380">
        <f t="shared" si="580"/>
        <v>58009.076831740051</v>
      </c>
      <c r="GF58" s="380">
        <f t="shared" si="581"/>
        <v>57053.261830816373</v>
      </c>
      <c r="GG58" s="380">
        <f t="shared" si="582"/>
        <v>51991.313030280042</v>
      </c>
      <c r="GH58" s="380">
        <f t="shared" si="583"/>
        <v>68060.917618791747</v>
      </c>
      <c r="GI58" s="380">
        <f t="shared" si="584"/>
        <v>118267.91374866995</v>
      </c>
      <c r="GJ58" s="380">
        <f t="shared" si="585"/>
        <v>43590.864546188568</v>
      </c>
      <c r="GK58" s="380">
        <f t="shared" si="586"/>
        <v>104618.39720970191</v>
      </c>
      <c r="GL58" s="380">
        <f t="shared" si="587"/>
        <v>66783.618285761928</v>
      </c>
      <c r="GM58" s="389">
        <f t="shared" si="588"/>
        <v>138937.98884224202</v>
      </c>
      <c r="GN58" s="381">
        <f t="shared" si="372"/>
        <v>844728.76664236328</v>
      </c>
      <c r="GO58" s="379">
        <f t="shared" si="589"/>
        <v>44598.709402828463</v>
      </c>
      <c r="GP58" s="380">
        <f t="shared" si="590"/>
        <v>65928.073772291245</v>
      </c>
      <c r="GQ58" s="380">
        <f t="shared" si="591"/>
        <v>45128.685357179769</v>
      </c>
      <c r="GR58" s="380">
        <f t="shared" si="592"/>
        <v>62607.733118334734</v>
      </c>
      <c r="GS58" s="380">
        <f t="shared" si="593"/>
        <v>52536.156974434016</v>
      </c>
      <c r="GT58" s="380">
        <f t="shared" si="594"/>
        <v>56082.396125836676</v>
      </c>
      <c r="GU58" s="380">
        <f t="shared" si="595"/>
        <v>42852.159105406092</v>
      </c>
      <c r="GV58" s="380">
        <f t="shared" si="596"/>
        <v>57654.987802304015</v>
      </c>
      <c r="GW58" s="380">
        <f t="shared" si="597"/>
        <v>41684.044380311163</v>
      </c>
      <c r="GX58" s="380">
        <f t="shared" si="598"/>
        <v>62694.810984883952</v>
      </c>
      <c r="GY58" s="380">
        <f t="shared" si="599"/>
        <v>84079.212218298664</v>
      </c>
      <c r="GZ58" s="389">
        <f t="shared" si="600"/>
        <v>58002.555471247826</v>
      </c>
      <c r="HA58" s="381">
        <f t="shared" si="373"/>
        <v>673849.52471335663</v>
      </c>
      <c r="HB58" s="379">
        <f t="shared" si="601"/>
        <v>24773.040718981578</v>
      </c>
      <c r="HC58" s="380">
        <f t="shared" si="602"/>
        <v>140029.45507766586</v>
      </c>
      <c r="HD58" s="380">
        <f t="shared" si="603"/>
        <v>29016.425756918339</v>
      </c>
      <c r="HE58" s="380">
        <f t="shared" si="604"/>
        <v>58479.270958451467</v>
      </c>
      <c r="HF58" s="380">
        <f t="shared" si="605"/>
        <v>77167.39049486506</v>
      </c>
      <c r="HG58" s="380">
        <f t="shared" si="606"/>
        <v>55502.251284133941</v>
      </c>
      <c r="HH58" s="380">
        <f t="shared" si="607"/>
        <v>53274.053720528267</v>
      </c>
      <c r="HI58" s="380">
        <f t="shared" si="608"/>
        <v>93316.593570907382</v>
      </c>
      <c r="HJ58" s="380">
        <f t="shared" si="609"/>
        <v>49154.17898332778</v>
      </c>
      <c r="HK58" s="380">
        <f t="shared" si="610"/>
        <v>65511.55082910911</v>
      </c>
      <c r="HL58" s="380">
        <f t="shared" si="611"/>
        <v>70304.923056025043</v>
      </c>
      <c r="HM58" s="389">
        <f t="shared" si="612"/>
        <v>98955.168947039943</v>
      </c>
      <c r="HN58" s="381">
        <f t="shared" si="374"/>
        <v>815484.30339795386</v>
      </c>
      <c r="HO58" s="379">
        <f t="shared" si="613"/>
        <v>34717.426544075272</v>
      </c>
      <c r="HP58" s="380">
        <f t="shared" si="614"/>
        <v>91186.45217898456</v>
      </c>
      <c r="HQ58" s="380">
        <f t="shared" si="615"/>
        <v>59229.601937190178</v>
      </c>
      <c r="HR58" s="380">
        <f t="shared" si="616"/>
        <v>78798.707156647521</v>
      </c>
      <c r="HS58" s="380">
        <f t="shared" si="617"/>
        <v>60326.265420526943</v>
      </c>
      <c r="HT58" s="380">
        <f t="shared" si="618"/>
        <v>74353.406604538177</v>
      </c>
      <c r="HU58" s="380">
        <f t="shared" si="619"/>
        <v>58735.283413133773</v>
      </c>
      <c r="HV58" s="380">
        <f t="shared" si="620"/>
        <v>61912.335781951195</v>
      </c>
      <c r="HW58" s="380">
        <f t="shared" si="621"/>
        <v>43747.009251653682</v>
      </c>
      <c r="HX58" s="380">
        <f t="shared" si="622"/>
        <v>61034.725478180335</v>
      </c>
      <c r="HY58" s="380">
        <f t="shared" si="623"/>
        <v>69959.715231375696</v>
      </c>
      <c r="HZ58" s="389">
        <f t="shared" si="624"/>
        <v>58447.381094662167</v>
      </c>
      <c r="IA58" s="379">
        <f t="shared" si="375"/>
        <v>752448.31009291939</v>
      </c>
      <c r="IB58" s="1344">
        <f t="shared" si="625"/>
        <v>71887.693985021673</v>
      </c>
      <c r="IC58" s="120">
        <f t="shared" si="376"/>
        <v>54320.470649935553</v>
      </c>
      <c r="ID58" s="120">
        <f t="shared" si="377"/>
        <v>44002.292362888358</v>
      </c>
      <c r="IE58" s="120">
        <f t="shared" si="378"/>
        <v>53795.08267567963</v>
      </c>
      <c r="IF58" s="120">
        <f t="shared" si="379"/>
        <v>56545.994640985547</v>
      </c>
      <c r="IG58" s="120">
        <f t="shared" si="380"/>
        <v>64613.105802867343</v>
      </c>
      <c r="IH58" s="120">
        <f t="shared" si="381"/>
        <v>67284.419381925574</v>
      </c>
      <c r="II58" s="120">
        <f t="shared" si="382"/>
        <v>65373.934319189138</v>
      </c>
      <c r="IM58" s="1345"/>
      <c r="IN58" s="1346">
        <f t="shared" si="383"/>
        <v>477822.99381849286</v>
      </c>
      <c r="IP58" s="371">
        <f t="shared" si="355"/>
        <v>5.5911289624564153</v>
      </c>
      <c r="IQ58" s="348">
        <f t="shared" si="626"/>
        <v>-7.9799188828286072</v>
      </c>
      <c r="IR58" s="320">
        <f t="shared" si="356"/>
        <v>519259.47903704765</v>
      </c>
      <c r="IS58" s="344">
        <f t="shared" si="357"/>
        <v>477822.99381849286</v>
      </c>
    </row>
    <row r="59" spans="1:264" ht="15" customHeight="1" x14ac:dyDescent="0.2">
      <c r="A59" s="1551" t="s">
        <v>402</v>
      </c>
      <c r="B59" s="379">
        <f t="shared" si="398"/>
        <v>692.89349916221011</v>
      </c>
      <c r="C59" s="380">
        <f t="shared" si="399"/>
        <v>893.22044078041711</v>
      </c>
      <c r="D59" s="380">
        <f t="shared" si="400"/>
        <v>896.50468105525511</v>
      </c>
      <c r="E59" s="380">
        <f t="shared" si="401"/>
        <v>2582.9351427290676</v>
      </c>
      <c r="F59" s="380">
        <f t="shared" si="402"/>
        <v>945.33557610561763</v>
      </c>
      <c r="G59" s="380">
        <f t="shared" si="403"/>
        <v>1602.3712957646317</v>
      </c>
      <c r="H59" s="380">
        <f t="shared" si="404"/>
        <v>1770.602464602568</v>
      </c>
      <c r="I59" s="380">
        <f t="shared" si="405"/>
        <v>1655.2973724068638</v>
      </c>
      <c r="J59" s="380">
        <f t="shared" si="406"/>
        <v>2094.8864199265304</v>
      </c>
      <c r="K59" s="380">
        <f t="shared" si="407"/>
        <v>1148.9513996320197</v>
      </c>
      <c r="L59" s="380">
        <f t="shared" si="408"/>
        <v>1303.2278231442331</v>
      </c>
      <c r="M59" s="389">
        <f t="shared" si="409"/>
        <v>2379.1478005484305</v>
      </c>
      <c r="N59" s="381">
        <f t="shared" si="410"/>
        <v>17965.373915857843</v>
      </c>
      <c r="O59" s="379">
        <f t="shared" si="411"/>
        <v>906.70223293275762</v>
      </c>
      <c r="P59" s="380">
        <f t="shared" si="412"/>
        <v>992.83116374712358</v>
      </c>
      <c r="Q59" s="380">
        <f t="shared" si="413"/>
        <v>1784.3495886838832</v>
      </c>
      <c r="R59" s="380">
        <f t="shared" si="414"/>
        <v>1684.1697849288771</v>
      </c>
      <c r="S59" s="380">
        <f t="shared" si="415"/>
        <v>1923.0489251522872</v>
      </c>
      <c r="T59" s="380">
        <f t="shared" si="416"/>
        <v>1433.1878813465621</v>
      </c>
      <c r="U59" s="380">
        <f t="shared" si="417"/>
        <v>1480.9355748730081</v>
      </c>
      <c r="V59" s="380">
        <f t="shared" si="418"/>
        <v>1244.9854535777008</v>
      </c>
      <c r="W59" s="380">
        <f t="shared" si="419"/>
        <v>1462.3810511698098</v>
      </c>
      <c r="X59" s="380">
        <f t="shared" si="420"/>
        <v>1461.5475094832693</v>
      </c>
      <c r="Y59" s="380">
        <f t="shared" si="421"/>
        <v>1787.0760121772369</v>
      </c>
      <c r="Z59" s="389">
        <f t="shared" si="422"/>
        <v>3304.9929575895671</v>
      </c>
      <c r="AA59" s="381">
        <f t="shared" si="423"/>
        <v>19466.208135662084</v>
      </c>
      <c r="AB59" s="379">
        <f t="shared" si="424"/>
        <v>548.72733300341565</v>
      </c>
      <c r="AC59" s="380">
        <f t="shared" si="425"/>
        <v>1502.3635114128608</v>
      </c>
      <c r="AD59" s="380">
        <f t="shared" si="426"/>
        <v>1438.1691670211428</v>
      </c>
      <c r="AE59" s="380">
        <f t="shared" si="427"/>
        <v>1783.9945581827999</v>
      </c>
      <c r="AF59" s="380">
        <f t="shared" si="428"/>
        <v>2000.9420030284116</v>
      </c>
      <c r="AG59" s="380">
        <f t="shared" si="429"/>
        <v>1392.7350561809133</v>
      </c>
      <c r="AH59" s="380">
        <f t="shared" si="430"/>
        <v>6289.8828452265188</v>
      </c>
      <c r="AI59" s="380">
        <f t="shared" si="431"/>
        <v>2153.2920280232966</v>
      </c>
      <c r="AJ59" s="380">
        <f t="shared" si="432"/>
        <v>3648.9295460368326</v>
      </c>
      <c r="AK59" s="380">
        <f t="shared" si="433"/>
        <v>1879.6862274158216</v>
      </c>
      <c r="AL59" s="380">
        <f t="shared" si="434"/>
        <v>9105.845103486994</v>
      </c>
      <c r="AM59" s="389">
        <f t="shared" si="435"/>
        <v>2460.1628390908409</v>
      </c>
      <c r="AN59" s="381">
        <f t="shared" si="627"/>
        <v>34204.730218109849</v>
      </c>
      <c r="AO59" s="379">
        <f t="shared" si="436"/>
        <v>640.84496787912178</v>
      </c>
      <c r="AP59" s="380">
        <f t="shared" si="437"/>
        <v>5745.7707819407215</v>
      </c>
      <c r="AQ59" s="380">
        <f t="shared" si="438"/>
        <v>1465.4172259287245</v>
      </c>
      <c r="AR59" s="380">
        <f t="shared" si="439"/>
        <v>1539.0691607493625</v>
      </c>
      <c r="AS59" s="380">
        <f t="shared" si="440"/>
        <v>1887.7160683383142</v>
      </c>
      <c r="AT59" s="380">
        <f t="shared" si="441"/>
        <v>2972.8628590368244</v>
      </c>
      <c r="AU59" s="380">
        <f t="shared" si="442"/>
        <v>3500.5878563876413</v>
      </c>
      <c r="AV59" s="380">
        <f t="shared" si="443"/>
        <v>2401.6410136821528</v>
      </c>
      <c r="AW59" s="380">
        <f t="shared" si="444"/>
        <v>1525.3386431873257</v>
      </c>
      <c r="AX59" s="380">
        <f t="shared" si="445"/>
        <v>1484.3370715530864</v>
      </c>
      <c r="AY59" s="380">
        <f t="shared" si="446"/>
        <v>1724.0252776810498</v>
      </c>
      <c r="AZ59" s="389">
        <f t="shared" si="447"/>
        <v>3755.3588546503061</v>
      </c>
      <c r="BA59" s="381">
        <f t="shared" si="628"/>
        <v>28642.969781014628</v>
      </c>
      <c r="BB59" s="379">
        <f t="shared" si="448"/>
        <v>953.30613424981743</v>
      </c>
      <c r="BC59" s="380">
        <f t="shared" si="449"/>
        <v>1408.2760309720154</v>
      </c>
      <c r="BD59" s="380">
        <f t="shared" si="450"/>
        <v>1756.0266531411212</v>
      </c>
      <c r="BE59" s="380">
        <f t="shared" si="451"/>
        <v>1781.4168288917715</v>
      </c>
      <c r="BF59" s="380">
        <f t="shared" si="452"/>
        <v>1945.4281650422135</v>
      </c>
      <c r="BG59" s="380">
        <f t="shared" si="453"/>
        <v>1811.8397970784083</v>
      </c>
      <c r="BH59" s="380">
        <f t="shared" si="454"/>
        <v>1786.5697973586421</v>
      </c>
      <c r="BI59" s="380">
        <f t="shared" si="455"/>
        <v>1722.0625117125796</v>
      </c>
      <c r="BJ59" s="380">
        <f t="shared" si="456"/>
        <v>4513.4719773085599</v>
      </c>
      <c r="BK59" s="380">
        <f t="shared" si="457"/>
        <v>3158.300827114294</v>
      </c>
      <c r="BL59" s="380">
        <f t="shared" si="458"/>
        <v>2448.7263135076882</v>
      </c>
      <c r="BM59" s="389">
        <f t="shared" si="459"/>
        <v>4394.9396717144</v>
      </c>
      <c r="BN59" s="381">
        <f t="shared" si="460"/>
        <v>27680.364708091514</v>
      </c>
      <c r="BO59" s="379">
        <f t="shared" si="461"/>
        <v>1383.3561453207008</v>
      </c>
      <c r="BP59" s="380">
        <f t="shared" si="462"/>
        <v>1632.7778331558447</v>
      </c>
      <c r="BQ59" s="380">
        <f t="shared" si="463"/>
        <v>1693.4081378410926</v>
      </c>
      <c r="BR59" s="380">
        <f t="shared" si="464"/>
        <v>1494.2474236679873</v>
      </c>
      <c r="BS59" s="380">
        <f t="shared" si="465"/>
        <v>2152.6154056309674</v>
      </c>
      <c r="BT59" s="380">
        <f t="shared" si="466"/>
        <v>1148.7572837877212</v>
      </c>
      <c r="BU59" s="380">
        <f t="shared" si="467"/>
        <v>1894.0365351001574</v>
      </c>
      <c r="BV59" s="380">
        <f t="shared" si="468"/>
        <v>2155.5434926077151</v>
      </c>
      <c r="BW59" s="380">
        <f t="shared" si="469"/>
        <v>1707.9146604627049</v>
      </c>
      <c r="BX59" s="380">
        <f t="shared" si="470"/>
        <v>2144.1921345741152</v>
      </c>
      <c r="BY59" s="380">
        <f t="shared" si="471"/>
        <v>2114.7323982547787</v>
      </c>
      <c r="BZ59" s="389">
        <f t="shared" si="472"/>
        <v>3779.4180932764475</v>
      </c>
      <c r="CA59" s="381">
        <f t="shared" si="473"/>
        <v>23300.999543680231</v>
      </c>
      <c r="CB59" s="379">
        <f t="shared" si="474"/>
        <v>1939.9770515895236</v>
      </c>
      <c r="CC59" s="380">
        <f t="shared" si="475"/>
        <v>1682.8266467259512</v>
      </c>
      <c r="CD59" s="380">
        <f t="shared" si="476"/>
        <v>1971.2977576851879</v>
      </c>
      <c r="CE59" s="380">
        <f t="shared" si="477"/>
        <v>1686.7671828533844</v>
      </c>
      <c r="CF59" s="380">
        <f t="shared" si="478"/>
        <v>2553.7994507588351</v>
      </c>
      <c r="CG59" s="380">
        <f t="shared" si="479"/>
        <v>1989.3855695131442</v>
      </c>
      <c r="CH59" s="380">
        <f t="shared" si="480"/>
        <v>2806.2953866864727</v>
      </c>
      <c r="CI59" s="380">
        <f t="shared" si="481"/>
        <v>2530.0004818427374</v>
      </c>
      <c r="CJ59" s="380">
        <f t="shared" si="482"/>
        <v>2214.366015364667</v>
      </c>
      <c r="CK59" s="380">
        <f t="shared" si="483"/>
        <v>2965.4718077849197</v>
      </c>
      <c r="CL59" s="380">
        <f t="shared" si="484"/>
        <v>2192.7274955563771</v>
      </c>
      <c r="CM59" s="389">
        <f t="shared" si="485"/>
        <v>7894.2833517595918</v>
      </c>
      <c r="CN59" s="381">
        <f t="shared" si="486"/>
        <v>32427.198198120794</v>
      </c>
      <c r="CO59" s="379">
        <f t="shared" si="487"/>
        <v>2002.4428734696528</v>
      </c>
      <c r="CP59" s="380">
        <f t="shared" si="488"/>
        <v>2203.3074090901014</v>
      </c>
      <c r="CQ59" s="380">
        <f t="shared" si="489"/>
        <v>2511.7368777380912</v>
      </c>
      <c r="CR59" s="380">
        <f t="shared" si="490"/>
        <v>1764.5537226757972</v>
      </c>
      <c r="CS59" s="380">
        <f t="shared" si="491"/>
        <v>2431.8147183880415</v>
      </c>
      <c r="CT59" s="380">
        <f t="shared" si="492"/>
        <v>3160.0972984542759</v>
      </c>
      <c r="CU59" s="380">
        <f t="shared" si="493"/>
        <v>3872.8087578849072</v>
      </c>
      <c r="CV59" s="380">
        <f t="shared" si="494"/>
        <v>2029.201475632635</v>
      </c>
      <c r="CW59" s="380">
        <f t="shared" si="495"/>
        <v>2321.6541606671999</v>
      </c>
      <c r="CX59" s="380">
        <f t="shared" si="496"/>
        <v>2573.813378653208</v>
      </c>
      <c r="CY59" s="380">
        <f t="shared" si="497"/>
        <v>2613.5757904381944</v>
      </c>
      <c r="CZ59" s="389">
        <f t="shared" si="498"/>
        <v>5230.8846949536701</v>
      </c>
      <c r="DA59" s="381">
        <f t="shared" si="499"/>
        <v>32715.891158045775</v>
      </c>
      <c r="DB59" s="379">
        <f t="shared" si="500"/>
        <v>1820.6042509888646</v>
      </c>
      <c r="DC59" s="380">
        <f t="shared" si="501"/>
        <v>1990.7896905942712</v>
      </c>
      <c r="DD59" s="380">
        <f t="shared" si="502"/>
        <v>2727.5340751998351</v>
      </c>
      <c r="DE59" s="380">
        <f t="shared" si="503"/>
        <v>2027.9253333670329</v>
      </c>
      <c r="DF59" s="380">
        <f t="shared" si="504"/>
        <v>2769.1619990637669</v>
      </c>
      <c r="DG59" s="380">
        <f t="shared" si="505"/>
        <v>2026.0471372981888</v>
      </c>
      <c r="DH59" s="380">
        <f t="shared" si="506"/>
        <v>2584.9126830080836</v>
      </c>
      <c r="DI59" s="380">
        <f t="shared" si="507"/>
        <v>2844.8916980000913</v>
      </c>
      <c r="DJ59" s="380">
        <f t="shared" si="508"/>
        <v>2822.6906162561354</v>
      </c>
      <c r="DK59" s="380">
        <f t="shared" si="509"/>
        <v>2395.8122946908115</v>
      </c>
      <c r="DL59" s="380">
        <f t="shared" si="510"/>
        <v>2281.8648482678836</v>
      </c>
      <c r="DM59" s="389">
        <f t="shared" si="511"/>
        <v>3871.4522291572771</v>
      </c>
      <c r="DN59" s="381">
        <f t="shared" si="512"/>
        <v>30163.68685589224</v>
      </c>
      <c r="DO59" s="379">
        <f t="shared" si="513"/>
        <v>1335.9844160475116</v>
      </c>
      <c r="DP59" s="380">
        <f t="shared" si="514"/>
        <v>2046.6248865636728</v>
      </c>
      <c r="DQ59" s="380">
        <f t="shared" si="515"/>
        <v>2751.189826840442</v>
      </c>
      <c r="DR59" s="380">
        <f t="shared" si="516"/>
        <v>1940.7762953863448</v>
      </c>
      <c r="DS59" s="380">
        <f t="shared" si="517"/>
        <v>2312.180851248856</v>
      </c>
      <c r="DT59" s="380">
        <f t="shared" si="518"/>
        <v>1991.1414426380459</v>
      </c>
      <c r="DU59" s="380">
        <f t="shared" si="519"/>
        <v>2304.7673727529614</v>
      </c>
      <c r="DV59" s="380">
        <f t="shared" si="520"/>
        <v>2156.7804688359079</v>
      </c>
      <c r="DW59" s="380">
        <f t="shared" si="521"/>
        <v>2449.0953047905546</v>
      </c>
      <c r="DX59" s="380">
        <f t="shared" si="522"/>
        <v>1935.3832672910935</v>
      </c>
      <c r="DY59" s="380">
        <f t="shared" si="523"/>
        <v>2742.8352730922998</v>
      </c>
      <c r="DZ59" s="389">
        <f t="shared" si="524"/>
        <v>4617.671677784424</v>
      </c>
      <c r="EA59" s="381">
        <f t="shared" si="525"/>
        <v>28584.431083272113</v>
      </c>
      <c r="EB59" s="379">
        <f t="shared" si="526"/>
        <v>1513.2288478775376</v>
      </c>
      <c r="EC59" s="380">
        <f t="shared" si="527"/>
        <v>1587.0104727758899</v>
      </c>
      <c r="ED59" s="380">
        <f t="shared" si="528"/>
        <v>1905.1308859982119</v>
      </c>
      <c r="EE59" s="380">
        <f t="shared" si="529"/>
        <v>1936.4259917038994</v>
      </c>
      <c r="EF59" s="380">
        <f t="shared" si="530"/>
        <v>2495.5296668172655</v>
      </c>
      <c r="EG59" s="380">
        <f t="shared" si="531"/>
        <v>2250.5695735252825</v>
      </c>
      <c r="EH59" s="380">
        <f t="shared" si="532"/>
        <v>2562.444097633585</v>
      </c>
      <c r="EI59" s="380">
        <f t="shared" si="533"/>
        <v>1800.6763427655051</v>
      </c>
      <c r="EJ59" s="380">
        <f t="shared" si="534"/>
        <v>1741.3184165453554</v>
      </c>
      <c r="EK59" s="380">
        <f t="shared" si="535"/>
        <v>2371.7907870775489</v>
      </c>
      <c r="EL59" s="380">
        <f t="shared" si="536"/>
        <v>2148.4493049616563</v>
      </c>
      <c r="EM59" s="389">
        <f t="shared" si="537"/>
        <v>3750.9144574243746</v>
      </c>
      <c r="EN59" s="381">
        <f t="shared" si="538"/>
        <v>26063.488845106112</v>
      </c>
      <c r="EO59" s="379">
        <f t="shared" si="539"/>
        <v>4735.2394814168974</v>
      </c>
      <c r="EP59" s="380">
        <f t="shared" si="540"/>
        <v>3720.8946605661413</v>
      </c>
      <c r="EQ59" s="380">
        <f t="shared" si="541"/>
        <v>5261.6645892256001</v>
      </c>
      <c r="ER59" s="380">
        <f t="shared" si="542"/>
        <v>2020.8046069108545</v>
      </c>
      <c r="ES59" s="380">
        <f t="shared" si="543"/>
        <v>2561.0526356172377</v>
      </c>
      <c r="ET59" s="380">
        <f t="shared" si="544"/>
        <v>2322.8486224702151</v>
      </c>
      <c r="EU59" s="380">
        <f t="shared" si="545"/>
        <v>33839.497265884274</v>
      </c>
      <c r="EV59" s="380">
        <f t="shared" si="546"/>
        <v>2351.5883428785733</v>
      </c>
      <c r="EW59" s="380">
        <f t="shared" si="547"/>
        <v>4878.6059897791856</v>
      </c>
      <c r="EX59" s="380">
        <f t="shared" si="548"/>
        <v>2575.8682146362671</v>
      </c>
      <c r="EY59" s="380">
        <f t="shared" si="549"/>
        <v>4753.4255879297689</v>
      </c>
      <c r="EZ59" s="389">
        <f t="shared" si="550"/>
        <v>5504.2738983729014</v>
      </c>
      <c r="FA59" s="381">
        <f t="shared" si="551"/>
        <v>74525.763895687924</v>
      </c>
      <c r="FB59" s="379">
        <f t="shared" si="552"/>
        <v>1603.8901560951865</v>
      </c>
      <c r="FC59" s="380">
        <f t="shared" si="553"/>
        <v>1753.6592929387998</v>
      </c>
      <c r="FD59" s="380">
        <f t="shared" si="554"/>
        <v>1749.8856086740368</v>
      </c>
      <c r="FE59" s="380">
        <f t="shared" si="555"/>
        <v>1191.2572724516763</v>
      </c>
      <c r="FF59" s="380">
        <f t="shared" si="556"/>
        <v>1688.5237533788415</v>
      </c>
      <c r="FG59" s="380">
        <f t="shared" si="557"/>
        <v>1347.8876353410164</v>
      </c>
      <c r="FH59" s="380">
        <f t="shared" si="558"/>
        <v>1888.9226217839439</v>
      </c>
      <c r="FI59" s="380">
        <f t="shared" si="559"/>
        <v>1396.5379978311776</v>
      </c>
      <c r="FJ59" s="380">
        <f t="shared" si="560"/>
        <v>2024.9491865010225</v>
      </c>
      <c r="FK59" s="380">
        <f t="shared" si="561"/>
        <v>2128.3320449986491</v>
      </c>
      <c r="FL59" s="380">
        <f t="shared" si="562"/>
        <v>2397.8654336702375</v>
      </c>
      <c r="FM59" s="389">
        <f t="shared" si="563"/>
        <v>3569.879776892888</v>
      </c>
      <c r="FN59" s="381">
        <f t="shared" si="564"/>
        <v>22741.590780557479</v>
      </c>
      <c r="FO59" s="379">
        <f t="shared" si="565"/>
        <v>1054.739970025797</v>
      </c>
      <c r="FP59" s="380">
        <f t="shared" si="566"/>
        <v>1779.5333940243893</v>
      </c>
      <c r="FQ59" s="380">
        <f t="shared" si="567"/>
        <v>1998.2645266138447</v>
      </c>
      <c r="FR59" s="380">
        <f t="shared" si="568"/>
        <v>2061.893847269042</v>
      </c>
      <c r="FS59" s="380">
        <f t="shared" si="569"/>
        <v>2221.3568012790306</v>
      </c>
      <c r="FT59" s="380">
        <f t="shared" si="570"/>
        <v>1994.528230835255</v>
      </c>
      <c r="FU59" s="380">
        <f t="shared" si="571"/>
        <v>3995.2281416644505</v>
      </c>
      <c r="FV59" s="380">
        <f t="shared" si="572"/>
        <v>3138.0577602760391</v>
      </c>
      <c r="FW59" s="380">
        <f t="shared" si="573"/>
        <v>1858.0700800763516</v>
      </c>
      <c r="FX59" s="380">
        <f t="shared" si="574"/>
        <v>2484.2187781332655</v>
      </c>
      <c r="FY59" s="380">
        <f t="shared" si="575"/>
        <v>2758.84291277889</v>
      </c>
      <c r="FZ59" s="389">
        <f t="shared" si="576"/>
        <v>12938.48626577729</v>
      </c>
      <c r="GA59" s="381">
        <f t="shared" si="371"/>
        <v>38283.220708753652</v>
      </c>
      <c r="GB59" s="379">
        <f t="shared" si="577"/>
        <v>1319.4134645285524</v>
      </c>
      <c r="GC59" s="380">
        <f t="shared" si="578"/>
        <v>2399.2294374778694</v>
      </c>
      <c r="GD59" s="380">
        <f t="shared" si="579"/>
        <v>2812.1535625780725</v>
      </c>
      <c r="GE59" s="380">
        <f t="shared" si="580"/>
        <v>1948.3623700545925</v>
      </c>
      <c r="GF59" s="380">
        <f t="shared" si="581"/>
        <v>2278.4957594330167</v>
      </c>
      <c r="GG59" s="380">
        <f t="shared" si="582"/>
        <v>2157.6251350967477</v>
      </c>
      <c r="GH59" s="380">
        <f t="shared" si="583"/>
        <v>2925.4901724070291</v>
      </c>
      <c r="GI59" s="380">
        <f t="shared" si="584"/>
        <v>9464.1022616824466</v>
      </c>
      <c r="GJ59" s="380">
        <f t="shared" si="585"/>
        <v>3088.3440966485264</v>
      </c>
      <c r="GK59" s="380">
        <f t="shared" si="586"/>
        <v>2455.9792126257894</v>
      </c>
      <c r="GL59" s="380">
        <f t="shared" si="587"/>
        <v>7926.2636748490895</v>
      </c>
      <c r="GM59" s="389">
        <f t="shared" si="588"/>
        <v>4679.4232759512743</v>
      </c>
      <c r="GN59" s="381">
        <f t="shared" si="372"/>
        <v>43454.882423333001</v>
      </c>
      <c r="GO59" s="379">
        <f t="shared" si="589"/>
        <v>267.03354008694271</v>
      </c>
      <c r="GP59" s="380">
        <f t="shared" si="590"/>
        <v>593.382508633008</v>
      </c>
      <c r="GQ59" s="380">
        <f t="shared" si="591"/>
        <v>733.43794623935253</v>
      </c>
      <c r="GR59" s="380">
        <f t="shared" si="592"/>
        <v>643.14156079918996</v>
      </c>
      <c r="GS59" s="380">
        <f t="shared" si="593"/>
        <v>635.93385214418493</v>
      </c>
      <c r="GT59" s="380">
        <f t="shared" si="594"/>
        <v>970.82567800165396</v>
      </c>
      <c r="GU59" s="380">
        <f t="shared" si="595"/>
        <v>698.99955433620948</v>
      </c>
      <c r="GV59" s="380">
        <f t="shared" si="596"/>
        <v>673.57815670829905</v>
      </c>
      <c r="GW59" s="380">
        <f t="shared" si="597"/>
        <v>803.80572851796364</v>
      </c>
      <c r="GX59" s="380">
        <f t="shared" si="598"/>
        <v>1459.1477688684506</v>
      </c>
      <c r="GY59" s="380">
        <f t="shared" si="599"/>
        <v>1515.2551086562476</v>
      </c>
      <c r="GZ59" s="389">
        <f t="shared" si="600"/>
        <v>2438.776824817191</v>
      </c>
      <c r="HA59" s="381">
        <f t="shared" si="373"/>
        <v>11433.318227808693</v>
      </c>
      <c r="HB59" s="379">
        <f t="shared" si="601"/>
        <v>5522.4601175134012</v>
      </c>
      <c r="HC59" s="380">
        <f t="shared" si="602"/>
        <v>389.6755480416536</v>
      </c>
      <c r="HD59" s="380">
        <f t="shared" si="603"/>
        <v>686.88879864390822</v>
      </c>
      <c r="HE59" s="380">
        <f t="shared" si="604"/>
        <v>654.69406378082169</v>
      </c>
      <c r="HF59" s="380">
        <f t="shared" si="605"/>
        <v>5492.704644037387</v>
      </c>
      <c r="HG59" s="380">
        <f t="shared" si="606"/>
        <v>690.95291757579105</v>
      </c>
      <c r="HH59" s="380">
        <f t="shared" si="607"/>
        <v>2474.0896212079228</v>
      </c>
      <c r="HI59" s="380">
        <f t="shared" si="608"/>
        <v>900.50451423251172</v>
      </c>
      <c r="HJ59" s="380">
        <f t="shared" si="609"/>
        <v>5733.6941248287767</v>
      </c>
      <c r="HK59" s="380">
        <f t="shared" si="610"/>
        <v>1319.9599837225974</v>
      </c>
      <c r="HL59" s="380">
        <f t="shared" si="611"/>
        <v>1469.2183638793208</v>
      </c>
      <c r="HM59" s="389">
        <f t="shared" si="612"/>
        <v>2618.4468768794281</v>
      </c>
      <c r="HN59" s="381">
        <f t="shared" si="374"/>
        <v>27953.289574343522</v>
      </c>
      <c r="HO59" s="379">
        <f t="shared" si="613"/>
        <v>229.25758412367708</v>
      </c>
      <c r="HP59" s="380">
        <f t="shared" si="614"/>
        <v>514.01419005817377</v>
      </c>
      <c r="HQ59" s="380">
        <f t="shared" si="615"/>
        <v>1026.4116986479594</v>
      </c>
      <c r="HR59" s="380">
        <f t="shared" si="616"/>
        <v>778.11440020500891</v>
      </c>
      <c r="HS59" s="380">
        <f t="shared" si="617"/>
        <v>654.8919980663153</v>
      </c>
      <c r="HT59" s="380">
        <f t="shared" si="618"/>
        <v>713.60035116053348</v>
      </c>
      <c r="HU59" s="380">
        <f t="shared" si="619"/>
        <v>722.96689902632056</v>
      </c>
      <c r="HV59" s="380">
        <f t="shared" si="620"/>
        <v>1116.2981754624534</v>
      </c>
      <c r="HW59" s="380">
        <f t="shared" si="621"/>
        <v>1391.5088958312808</v>
      </c>
      <c r="HX59" s="380">
        <f t="shared" si="622"/>
        <v>1388.4833938299282</v>
      </c>
      <c r="HY59" s="380">
        <f t="shared" si="623"/>
        <v>1328.4782174542238</v>
      </c>
      <c r="HZ59" s="389">
        <f t="shared" si="624"/>
        <v>2515.753691134325</v>
      </c>
      <c r="IA59" s="379">
        <f t="shared" si="375"/>
        <v>12379.779495000199</v>
      </c>
      <c r="IB59" s="1344">
        <f t="shared" si="625"/>
        <v>285.90790513137028</v>
      </c>
      <c r="IC59" s="120">
        <f t="shared" si="376"/>
        <v>650.35164100678787</v>
      </c>
      <c r="ID59" s="120">
        <f t="shared" si="377"/>
        <v>1159.5270739020521</v>
      </c>
      <c r="IE59" s="120">
        <f t="shared" si="378"/>
        <v>1261.7715303325558</v>
      </c>
      <c r="IF59" s="120">
        <f>+IF25/$IF$37</f>
        <v>1021.4513454071393</v>
      </c>
      <c r="IG59" s="120">
        <f t="shared" si="380"/>
        <v>1400.3447654267479</v>
      </c>
      <c r="IH59" s="120">
        <f t="shared" si="381"/>
        <v>1323.3349707141037</v>
      </c>
      <c r="II59" s="120">
        <f t="shared" si="382"/>
        <v>3136.6935359110525</v>
      </c>
      <c r="IM59" s="1345"/>
      <c r="IN59" s="1346">
        <f t="shared" si="383"/>
        <v>10239.38276783181</v>
      </c>
      <c r="IP59" s="371">
        <f t="shared" si="355"/>
        <v>180.99065329132173</v>
      </c>
      <c r="IQ59" s="348">
        <f t="shared" si="626"/>
        <v>77.904341803699026</v>
      </c>
      <c r="IR59" s="320">
        <f t="shared" si="356"/>
        <v>5755.5552967504418</v>
      </c>
      <c r="IS59" s="344">
        <f t="shared" si="357"/>
        <v>10239.38276783181</v>
      </c>
    </row>
    <row r="60" spans="1:264" ht="15" customHeight="1" x14ac:dyDescent="0.2">
      <c r="A60" s="1551" t="s">
        <v>403</v>
      </c>
      <c r="B60" s="382">
        <f t="shared" si="398"/>
        <v>118.41823926359804</v>
      </c>
      <c r="C60" s="383">
        <f t="shared" si="399"/>
        <v>70.798145686178557</v>
      </c>
      <c r="D60" s="383">
        <f t="shared" si="400"/>
        <v>208.28856080191687</v>
      </c>
      <c r="E60" s="383">
        <f t="shared" si="401"/>
        <v>597.09409792957661</v>
      </c>
      <c r="F60" s="383">
        <f t="shared" si="402"/>
        <v>713.29866197060232</v>
      </c>
      <c r="G60" s="383">
        <f t="shared" si="403"/>
        <v>490.85058025196878</v>
      </c>
      <c r="H60" s="383">
        <f t="shared" si="404"/>
        <v>963.98420504972171</v>
      </c>
      <c r="I60" s="383">
        <f t="shared" si="405"/>
        <v>1051.0716761972276</v>
      </c>
      <c r="J60" s="383">
        <f t="shared" si="406"/>
        <v>771.2609851930489</v>
      </c>
      <c r="K60" s="383">
        <f t="shared" si="407"/>
        <v>174.98131710753563</v>
      </c>
      <c r="L60" s="383">
        <f t="shared" si="408"/>
        <v>680.22585386494325</v>
      </c>
      <c r="M60" s="390">
        <f t="shared" si="409"/>
        <v>809.29650733769563</v>
      </c>
      <c r="N60" s="384">
        <f t="shared" si="410"/>
        <v>6649.5688306540142</v>
      </c>
      <c r="O60" s="382">
        <f t="shared" si="411"/>
        <v>767.06825177188716</v>
      </c>
      <c r="P60" s="383">
        <f t="shared" si="412"/>
        <v>1624.382098464044</v>
      </c>
      <c r="Q60" s="383">
        <f t="shared" si="413"/>
        <v>1252.1590799439775</v>
      </c>
      <c r="R60" s="383">
        <f t="shared" si="414"/>
        <v>1316.015215303315</v>
      </c>
      <c r="S60" s="383">
        <f t="shared" si="415"/>
        <v>1908.3901434455522</v>
      </c>
      <c r="T60" s="383">
        <f t="shared" si="416"/>
        <v>678.44301246553107</v>
      </c>
      <c r="U60" s="383">
        <f t="shared" si="417"/>
        <v>1472.6775698086606</v>
      </c>
      <c r="V60" s="383">
        <f t="shared" si="418"/>
        <v>1910.6940712957626</v>
      </c>
      <c r="W60" s="383">
        <f t="shared" si="419"/>
        <v>2113.043985831267</v>
      </c>
      <c r="X60" s="383">
        <f t="shared" si="420"/>
        <v>1399.9602873855465</v>
      </c>
      <c r="Y60" s="383">
        <f t="shared" si="421"/>
        <v>654.27963164676385</v>
      </c>
      <c r="Z60" s="390">
        <f t="shared" si="422"/>
        <v>1449.3169228397214</v>
      </c>
      <c r="AA60" s="384">
        <f t="shared" si="423"/>
        <v>16546.430270202029</v>
      </c>
      <c r="AB60" s="382">
        <f t="shared" si="424"/>
        <v>986.79465385114258</v>
      </c>
      <c r="AC60" s="383">
        <f t="shared" si="425"/>
        <v>1643.6659047799683</v>
      </c>
      <c r="AD60" s="383">
        <f t="shared" si="426"/>
        <v>1001.8093691891904</v>
      </c>
      <c r="AE60" s="383">
        <f t="shared" si="427"/>
        <v>1355.9449214512163</v>
      </c>
      <c r="AF60" s="383">
        <f t="shared" si="428"/>
        <v>518.59484627650727</v>
      </c>
      <c r="AG60" s="383">
        <f t="shared" si="429"/>
        <v>186.30092309952477</v>
      </c>
      <c r="AH60" s="383">
        <f t="shared" si="430"/>
        <v>388.38674875252576</v>
      </c>
      <c r="AI60" s="383">
        <f t="shared" si="431"/>
        <v>236.35884948669741</v>
      </c>
      <c r="AJ60" s="383">
        <f t="shared" si="432"/>
        <v>91.695199235219746</v>
      </c>
      <c r="AK60" s="383">
        <f t="shared" si="433"/>
        <v>210.65449100349724</v>
      </c>
      <c r="AL60" s="383">
        <f t="shared" si="434"/>
        <v>354.65628418088926</v>
      </c>
      <c r="AM60" s="390">
        <f t="shared" si="435"/>
        <v>565.17254411546344</v>
      </c>
      <c r="AN60" s="384">
        <f t="shared" si="627"/>
        <v>7540.034735421842</v>
      </c>
      <c r="AO60" s="382">
        <f t="shared" si="436"/>
        <v>0</v>
      </c>
      <c r="AP60" s="383">
        <f t="shared" si="437"/>
        <v>333.47583371288488</v>
      </c>
      <c r="AQ60" s="383">
        <f t="shared" si="438"/>
        <v>143.44265293078755</v>
      </c>
      <c r="AR60" s="383">
        <f t="shared" si="439"/>
        <v>53.647553603263489</v>
      </c>
      <c r="AS60" s="383">
        <f t="shared" si="440"/>
        <v>22.870744537183676</v>
      </c>
      <c r="AT60" s="383">
        <f t="shared" si="441"/>
        <v>14.060244086488085</v>
      </c>
      <c r="AU60" s="383">
        <f t="shared" si="442"/>
        <v>142.11602007252441</v>
      </c>
      <c r="AV60" s="383">
        <f t="shared" si="443"/>
        <v>133.90757281211134</v>
      </c>
      <c r="AW60" s="383">
        <f t="shared" si="444"/>
        <v>7.8000271526624614</v>
      </c>
      <c r="AX60" s="383">
        <f t="shared" si="445"/>
        <v>0.86399131056640655</v>
      </c>
      <c r="AY60" s="383">
        <f t="shared" si="446"/>
        <v>1019.4460848563094</v>
      </c>
      <c r="AZ60" s="390">
        <f t="shared" si="447"/>
        <v>670.07888176419669</v>
      </c>
      <c r="BA60" s="384">
        <f t="shared" si="628"/>
        <v>2541.7096068389783</v>
      </c>
      <c r="BB60" s="382">
        <f t="shared" si="448"/>
        <v>51.530061310800939</v>
      </c>
      <c r="BC60" s="383">
        <f t="shared" si="449"/>
        <v>77.048536648924866</v>
      </c>
      <c r="BD60" s="383">
        <f t="shared" si="450"/>
        <v>118.08790749231535</v>
      </c>
      <c r="BE60" s="383">
        <f t="shared" si="451"/>
        <v>48.169240629426461</v>
      </c>
      <c r="BF60" s="383">
        <f t="shared" si="452"/>
        <v>10.136838028878229</v>
      </c>
      <c r="BG60" s="383">
        <f t="shared" si="453"/>
        <v>124.22595623625281</v>
      </c>
      <c r="BH60" s="383">
        <f t="shared" si="454"/>
        <v>371.49844557552103</v>
      </c>
      <c r="BI60" s="383">
        <f t="shared" si="455"/>
        <v>320.05161803048429</v>
      </c>
      <c r="BJ60" s="383">
        <f t="shared" si="456"/>
        <v>432.79868275561529</v>
      </c>
      <c r="BK60" s="383">
        <f t="shared" si="457"/>
        <v>251.05729945264659</v>
      </c>
      <c r="BL60" s="383">
        <f t="shared" si="458"/>
        <v>1072.6795623852981</v>
      </c>
      <c r="BM60" s="390">
        <f t="shared" si="459"/>
        <v>1055.6882475038583</v>
      </c>
      <c r="BN60" s="384">
        <f t="shared" si="460"/>
        <v>3932.9723960500223</v>
      </c>
      <c r="BO60" s="382">
        <f t="shared" si="461"/>
        <v>0</v>
      </c>
      <c r="BP60" s="383">
        <f t="shared" si="462"/>
        <v>0</v>
      </c>
      <c r="BQ60" s="383">
        <f t="shared" si="463"/>
        <v>0</v>
      </c>
      <c r="BR60" s="383">
        <f t="shared" si="464"/>
        <v>612.89750600422701</v>
      </c>
      <c r="BS60" s="383">
        <f t="shared" si="465"/>
        <v>84.917421210260301</v>
      </c>
      <c r="BT60" s="383">
        <f t="shared" si="466"/>
        <v>117.58932826173523</v>
      </c>
      <c r="BU60" s="383">
        <f t="shared" si="467"/>
        <v>390.9108220111724</v>
      </c>
      <c r="BV60" s="383">
        <f t="shared" si="468"/>
        <v>296.08220049404088</v>
      </c>
      <c r="BW60" s="383">
        <f t="shared" si="469"/>
        <v>320.13243397826153</v>
      </c>
      <c r="BX60" s="383">
        <f t="shared" si="470"/>
        <v>601.83574686341649</v>
      </c>
      <c r="BY60" s="383">
        <f t="shared" si="471"/>
        <v>684.56118049740905</v>
      </c>
      <c r="BZ60" s="390">
        <f t="shared" si="472"/>
        <v>325.04133246841087</v>
      </c>
      <c r="CA60" s="384">
        <f t="shared" si="473"/>
        <v>3433.9679717889339</v>
      </c>
      <c r="CB60" s="382">
        <f t="shared" si="474"/>
        <v>0</v>
      </c>
      <c r="CC60" s="383">
        <f t="shared" si="475"/>
        <v>6105.6815608243478</v>
      </c>
      <c r="CD60" s="383">
        <f t="shared" si="476"/>
        <v>-6033.2444985310185</v>
      </c>
      <c r="CE60" s="383">
        <f t="shared" si="477"/>
        <v>532.99928010693509</v>
      </c>
      <c r="CF60" s="383">
        <f t="shared" si="478"/>
        <v>6117.8144573197151</v>
      </c>
      <c r="CG60" s="383">
        <f t="shared" si="479"/>
        <v>276.59056260110833</v>
      </c>
      <c r="CH60" s="383">
        <f t="shared" si="480"/>
        <v>25.324718661581255</v>
      </c>
      <c r="CI60" s="383">
        <f t="shared" si="481"/>
        <v>0</v>
      </c>
      <c r="CJ60" s="383">
        <f t="shared" si="482"/>
        <v>2038.0075791409809</v>
      </c>
      <c r="CK60" s="383">
        <f t="shared" si="483"/>
        <v>47.271070262246333</v>
      </c>
      <c r="CL60" s="383">
        <f t="shared" si="484"/>
        <v>5.5232430618548545</v>
      </c>
      <c r="CM60" s="390">
        <f t="shared" si="485"/>
        <v>181.84876887280274</v>
      </c>
      <c r="CN60" s="384">
        <f t="shared" si="486"/>
        <v>9297.8167423205505</v>
      </c>
      <c r="CO60" s="382">
        <f t="shared" si="487"/>
        <v>81.732362182434798</v>
      </c>
      <c r="CP60" s="383">
        <f t="shared" si="488"/>
        <v>1060.9097553015638</v>
      </c>
      <c r="CQ60" s="383">
        <f t="shared" si="489"/>
        <v>800.95634181740991</v>
      </c>
      <c r="CR60" s="383">
        <f t="shared" si="490"/>
        <v>910.16269716596219</v>
      </c>
      <c r="CS60" s="383">
        <f t="shared" si="491"/>
        <v>1457.3941866297671</v>
      </c>
      <c r="CT60" s="383">
        <f t="shared" si="492"/>
        <v>2406.9254204699114</v>
      </c>
      <c r="CU60" s="383">
        <f t="shared" si="493"/>
        <v>4280.9555659982962</v>
      </c>
      <c r="CV60" s="383">
        <f t="shared" si="494"/>
        <v>1027.1642741570074</v>
      </c>
      <c r="CW60" s="383">
        <f t="shared" si="495"/>
        <v>2182.3549110271679</v>
      </c>
      <c r="CX60" s="383">
        <f t="shared" si="496"/>
        <v>1864.608451812262</v>
      </c>
      <c r="CY60" s="383">
        <f t="shared" si="497"/>
        <v>9452.0536629847393</v>
      </c>
      <c r="CZ60" s="390">
        <f t="shared" si="498"/>
        <v>23526.16033147055</v>
      </c>
      <c r="DA60" s="384">
        <f t="shared" si="499"/>
        <v>49051.377961017075</v>
      </c>
      <c r="DB60" s="382">
        <f t="shared" si="500"/>
        <v>3638.9543489637108</v>
      </c>
      <c r="DC60" s="383">
        <f t="shared" si="501"/>
        <v>4734.6889702453054</v>
      </c>
      <c r="DD60" s="383">
        <f t="shared" si="502"/>
        <v>3485.0995810508557</v>
      </c>
      <c r="DE60" s="383">
        <f t="shared" si="503"/>
        <v>2965.8408000492855</v>
      </c>
      <c r="DF60" s="383">
        <f t="shared" si="504"/>
        <v>2045.9955662077805</v>
      </c>
      <c r="DG60" s="383">
        <f t="shared" si="505"/>
        <v>4615.2566251911803</v>
      </c>
      <c r="DH60" s="383">
        <f t="shared" si="506"/>
        <v>3662.8257260085825</v>
      </c>
      <c r="DI60" s="383">
        <f t="shared" si="507"/>
        <v>4424.893951491561</v>
      </c>
      <c r="DJ60" s="383">
        <f t="shared" si="508"/>
        <v>2617.484551580611</v>
      </c>
      <c r="DK60" s="383">
        <f t="shared" si="509"/>
        <v>3015.5329956494966</v>
      </c>
      <c r="DL60" s="383">
        <f t="shared" si="510"/>
        <v>2814.7642201569779</v>
      </c>
      <c r="DM60" s="390">
        <f t="shared" si="511"/>
        <v>6992.5777099951492</v>
      </c>
      <c r="DN60" s="384">
        <f t="shared" si="512"/>
        <v>45013.915046590497</v>
      </c>
      <c r="DO60" s="382">
        <f t="shared" si="513"/>
        <v>145.04140687040635</v>
      </c>
      <c r="DP60" s="383">
        <f t="shared" si="514"/>
        <v>541.26217269788287</v>
      </c>
      <c r="DQ60" s="383">
        <f t="shared" si="515"/>
        <v>1818.1090226904382</v>
      </c>
      <c r="DR60" s="383">
        <f t="shared" si="516"/>
        <v>219.31706931931646</v>
      </c>
      <c r="DS60" s="383">
        <f t="shared" si="517"/>
        <v>967.62096835523641</v>
      </c>
      <c r="DT60" s="383">
        <f t="shared" si="518"/>
        <v>1115.993914271887</v>
      </c>
      <c r="DU60" s="383">
        <f t="shared" si="519"/>
        <v>7078.1549819027678</v>
      </c>
      <c r="DV60" s="383">
        <f t="shared" si="520"/>
        <v>5796.3475099965017</v>
      </c>
      <c r="DW60" s="383">
        <f t="shared" si="521"/>
        <v>2664.2427693402369</v>
      </c>
      <c r="DX60" s="383">
        <f t="shared" si="522"/>
        <v>3849.1501913138577</v>
      </c>
      <c r="DY60" s="383">
        <f t="shared" si="523"/>
        <v>6531.8322494514441</v>
      </c>
      <c r="DZ60" s="390">
        <f t="shared" si="524"/>
        <v>9858.8659907988713</v>
      </c>
      <c r="EA60" s="384">
        <f t="shared" si="525"/>
        <v>40585.938247008839</v>
      </c>
      <c r="EB60" s="382">
        <f t="shared" si="526"/>
        <v>3.5994977351987099</v>
      </c>
      <c r="EC60" s="383">
        <f t="shared" si="527"/>
        <v>106.27943437594195</v>
      </c>
      <c r="ED60" s="383">
        <f t="shared" si="528"/>
        <v>348.72613367109057</v>
      </c>
      <c r="EE60" s="383">
        <f t="shared" si="529"/>
        <v>880.19363259268152</v>
      </c>
      <c r="EF60" s="383">
        <f t="shared" si="530"/>
        <v>750.51909991149978</v>
      </c>
      <c r="EG60" s="383">
        <f t="shared" si="531"/>
        <v>2455.2316355030252</v>
      </c>
      <c r="EH60" s="383">
        <f t="shared" si="532"/>
        <v>3566.2515581149423</v>
      </c>
      <c r="EI60" s="383">
        <f t="shared" si="533"/>
        <v>2629.3563933368646</v>
      </c>
      <c r="EJ60" s="383">
        <f t="shared" si="534"/>
        <v>170.66195135723086</v>
      </c>
      <c r="EK60" s="383">
        <f t="shared" si="535"/>
        <v>1955.7367945949718</v>
      </c>
      <c r="EL60" s="383">
        <f t="shared" si="536"/>
        <v>2749.1670382568559</v>
      </c>
      <c r="EM60" s="390">
        <f t="shared" si="537"/>
        <v>4779.4706505642544</v>
      </c>
      <c r="EN60" s="384">
        <f t="shared" si="538"/>
        <v>20395.193820014556</v>
      </c>
      <c r="EO60" s="382">
        <f t="shared" si="539"/>
        <v>4467.3533711089594</v>
      </c>
      <c r="EP60" s="383">
        <f t="shared" si="540"/>
        <v>3908.1714779191393</v>
      </c>
      <c r="EQ60" s="383">
        <f t="shared" si="541"/>
        <v>3338.8644716698582</v>
      </c>
      <c r="ER60" s="383">
        <f t="shared" si="542"/>
        <v>222.51869851728082</v>
      </c>
      <c r="ES60" s="383">
        <f t="shared" si="543"/>
        <v>8814.9801893858476</v>
      </c>
      <c r="ET60" s="383">
        <f t="shared" si="544"/>
        <v>8708.5909339429545</v>
      </c>
      <c r="EU60" s="383">
        <f t="shared" si="545"/>
        <v>9986.6800393622871</v>
      </c>
      <c r="EV60" s="383">
        <f t="shared" si="546"/>
        <v>9714.3822407914104</v>
      </c>
      <c r="EW60" s="383">
        <f t="shared" si="547"/>
        <v>18075.940876196244</v>
      </c>
      <c r="EX60" s="383">
        <f t="shared" si="548"/>
        <v>8996.4402406034533</v>
      </c>
      <c r="EY60" s="383">
        <f t="shared" si="549"/>
        <v>8995.5734965973879</v>
      </c>
      <c r="EZ60" s="390">
        <f t="shared" si="550"/>
        <v>10055.978197429853</v>
      </c>
      <c r="FA60" s="384">
        <f t="shared" si="551"/>
        <v>95285.47423352467</v>
      </c>
      <c r="FB60" s="382">
        <f t="shared" si="552"/>
        <v>16.60628289313394</v>
      </c>
      <c r="FC60" s="383">
        <f t="shared" si="553"/>
        <v>121.60915506588998</v>
      </c>
      <c r="FD60" s="383">
        <f t="shared" si="554"/>
        <v>974.82838929663876</v>
      </c>
      <c r="FE60" s="383">
        <f t="shared" si="555"/>
        <v>217.4027376897993</v>
      </c>
      <c r="FF60" s="383">
        <f t="shared" si="556"/>
        <v>101.29773631944407</v>
      </c>
      <c r="FG60" s="383">
        <f t="shared" si="557"/>
        <v>23.334103666799674</v>
      </c>
      <c r="FH60" s="383">
        <f t="shared" si="558"/>
        <v>944.11973356434373</v>
      </c>
      <c r="FI60" s="383">
        <f t="shared" si="559"/>
        <v>20290.151478773445</v>
      </c>
      <c r="FJ60" s="383">
        <f t="shared" si="560"/>
        <v>3088.9865667939712</v>
      </c>
      <c r="FK60" s="383">
        <f t="shared" si="561"/>
        <v>81539.630355342859</v>
      </c>
      <c r="FL60" s="383">
        <f t="shared" si="562"/>
        <v>50404.76169253049</v>
      </c>
      <c r="FM60" s="390">
        <f t="shared" si="563"/>
        <v>42153.504318742627</v>
      </c>
      <c r="FN60" s="384">
        <f t="shared" si="564"/>
        <v>199876.23255067944</v>
      </c>
      <c r="FO60" s="382">
        <f t="shared" si="565"/>
        <v>2939.1188557715664</v>
      </c>
      <c r="FP60" s="383">
        <f t="shared" si="566"/>
        <v>3336.3720515952145</v>
      </c>
      <c r="FQ60" s="383">
        <f t="shared" si="567"/>
        <v>17539.355317489033</v>
      </c>
      <c r="FR60" s="383">
        <f t="shared" si="568"/>
        <v>5673.2225446788552</v>
      </c>
      <c r="FS60" s="383">
        <f t="shared" si="569"/>
        <v>22261.669573599956</v>
      </c>
      <c r="FT60" s="383">
        <f t="shared" si="570"/>
        <v>8690.586853182871</v>
      </c>
      <c r="FU60" s="383">
        <f t="shared" si="571"/>
        <v>10820.409550341219</v>
      </c>
      <c r="FV60" s="383">
        <f t="shared" si="572"/>
        <v>7740.2383999831954</v>
      </c>
      <c r="FW60" s="383">
        <f t="shared" si="573"/>
        <v>59774.951678432517</v>
      </c>
      <c r="FX60" s="383">
        <f t="shared" si="574"/>
        <v>33101.408654087405</v>
      </c>
      <c r="FY60" s="383">
        <f t="shared" si="575"/>
        <v>32686.277054944298</v>
      </c>
      <c r="FZ60" s="390">
        <f t="shared" si="576"/>
        <v>53877.079143899398</v>
      </c>
      <c r="GA60" s="384">
        <f t="shared" si="371"/>
        <v>258440.68967800555</v>
      </c>
      <c r="GB60" s="382">
        <f t="shared" si="577"/>
        <v>4.4639411559690032</v>
      </c>
      <c r="GC60" s="383">
        <f t="shared" si="578"/>
        <v>1010.8041350264473</v>
      </c>
      <c r="GD60" s="383">
        <f t="shared" si="579"/>
        <v>1247.270604386933</v>
      </c>
      <c r="GE60" s="383">
        <f t="shared" si="580"/>
        <v>1020.7185027833773</v>
      </c>
      <c r="GF60" s="383">
        <f t="shared" si="581"/>
        <v>631.12972609362726</v>
      </c>
      <c r="GG60" s="383">
        <f t="shared" si="582"/>
        <v>1346.3776324329649</v>
      </c>
      <c r="GH60" s="383">
        <f t="shared" si="583"/>
        <v>557.38031625711085</v>
      </c>
      <c r="GI60" s="383">
        <f t="shared" si="584"/>
        <v>3105.0046485161556</v>
      </c>
      <c r="GJ60" s="383">
        <f t="shared" si="585"/>
        <v>1099.2208461735072</v>
      </c>
      <c r="GK60" s="383">
        <f t="shared" si="586"/>
        <v>1337.3495154409784</v>
      </c>
      <c r="GL60" s="383">
        <f t="shared" si="587"/>
        <v>1545.0552125556683</v>
      </c>
      <c r="GM60" s="390">
        <f t="shared" si="588"/>
        <v>2359.4175688045957</v>
      </c>
      <c r="GN60" s="384">
        <f t="shared" si="372"/>
        <v>15264.192649627335</v>
      </c>
      <c r="GO60" s="382">
        <f t="shared" si="589"/>
        <v>77.469070970277883</v>
      </c>
      <c r="GP60" s="383">
        <f t="shared" si="590"/>
        <v>794.10262743095848</v>
      </c>
      <c r="GQ60" s="383">
        <f t="shared" si="591"/>
        <v>890.0665383834538</v>
      </c>
      <c r="GR60" s="383">
        <f t="shared" si="592"/>
        <v>96.557446125347568</v>
      </c>
      <c r="GS60" s="383">
        <f t="shared" si="593"/>
        <v>433.12251551441784</v>
      </c>
      <c r="GT60" s="383">
        <f t="shared" si="594"/>
        <v>1023.6128898078904</v>
      </c>
      <c r="GU60" s="383">
        <f t="shared" si="595"/>
        <v>2521.0850647400002</v>
      </c>
      <c r="GV60" s="383">
        <f t="shared" si="596"/>
        <v>760.69350580075024</v>
      </c>
      <c r="GW60" s="383">
        <f t="shared" si="597"/>
        <v>2089.7810406440826</v>
      </c>
      <c r="GX60" s="383">
        <f t="shared" si="598"/>
        <v>838.93858022221286</v>
      </c>
      <c r="GY60" s="383">
        <f t="shared" si="599"/>
        <v>1351.0881716293154</v>
      </c>
      <c r="GZ60" s="390">
        <f t="shared" si="600"/>
        <v>3060.2917783036555</v>
      </c>
      <c r="HA60" s="384">
        <f t="shared" si="373"/>
        <v>13936.809229572364</v>
      </c>
      <c r="HB60" s="382">
        <f t="shared" si="601"/>
        <v>0</v>
      </c>
      <c r="HC60" s="383">
        <f t="shared" si="602"/>
        <v>269.60110591253942</v>
      </c>
      <c r="HD60" s="383">
        <f t="shared" si="603"/>
        <v>705.3927417910503</v>
      </c>
      <c r="HE60" s="383">
        <f t="shared" si="604"/>
        <v>16.830181588195931</v>
      </c>
      <c r="HF60" s="383">
        <f t="shared" si="605"/>
        <v>965.79963072421856</v>
      </c>
      <c r="HG60" s="383">
        <f t="shared" si="606"/>
        <v>23.555213099174697</v>
      </c>
      <c r="HH60" s="383">
        <f t="shared" si="607"/>
        <v>53.152083675882558</v>
      </c>
      <c r="HI60" s="383">
        <f t="shared" si="608"/>
        <v>245.49069780811965</v>
      </c>
      <c r="HJ60" s="383">
        <f t="shared" si="609"/>
        <v>1212.5096432529056</v>
      </c>
      <c r="HK60" s="383">
        <f t="shared" si="610"/>
        <v>362.17731529623427</v>
      </c>
      <c r="HL60" s="383">
        <f t="shared" si="611"/>
        <v>2662.713601229329</v>
      </c>
      <c r="HM60" s="390">
        <f t="shared" si="612"/>
        <v>2028.5002368144237</v>
      </c>
      <c r="HN60" s="384">
        <f t="shared" si="374"/>
        <v>8545.7224511920722</v>
      </c>
      <c r="HO60" s="382">
        <f t="shared" si="613"/>
        <v>0</v>
      </c>
      <c r="HP60" s="383">
        <f t="shared" si="614"/>
        <v>111.62088817767075</v>
      </c>
      <c r="HQ60" s="383">
        <f t="shared" si="615"/>
        <v>125.11814665287963</v>
      </c>
      <c r="HR60" s="383">
        <f t="shared" si="616"/>
        <v>1522.0138409683791</v>
      </c>
      <c r="HS60" s="383">
        <f t="shared" si="617"/>
        <v>106.0196152012922</v>
      </c>
      <c r="HT60" s="383">
        <f t="shared" si="618"/>
        <v>521.6892829968042</v>
      </c>
      <c r="HU60" s="383">
        <f t="shared" si="619"/>
        <v>375.78873062022598</v>
      </c>
      <c r="HV60" s="383">
        <f t="shared" si="620"/>
        <v>77.804272239350439</v>
      </c>
      <c r="HW60" s="383">
        <f t="shared" si="621"/>
        <v>34.760134987062131</v>
      </c>
      <c r="HX60" s="383">
        <f t="shared" si="622"/>
        <v>5256.7959198382086</v>
      </c>
      <c r="HY60" s="383">
        <f t="shared" si="623"/>
        <v>1906.1014291130994</v>
      </c>
      <c r="HZ60" s="390">
        <f t="shared" si="624"/>
        <v>5439.3335658456645</v>
      </c>
      <c r="IA60" s="382">
        <f t="shared" si="375"/>
        <v>15477.045826640635</v>
      </c>
      <c r="IB60" s="1344">
        <f t="shared" si="625"/>
        <v>255.11782304029964</v>
      </c>
      <c r="IC60" s="120">
        <f t="shared" si="376"/>
        <v>230.43525819048236</v>
      </c>
      <c r="ID60" s="120">
        <f t="shared" si="377"/>
        <v>428.28897899878007</v>
      </c>
      <c r="IE60" s="120">
        <f t="shared" si="378"/>
        <v>483.37841216692948</v>
      </c>
      <c r="IF60" s="120">
        <f t="shared" si="379"/>
        <v>375.20533291229987</v>
      </c>
      <c r="IG60" s="120">
        <f t="shared" si="380"/>
        <v>228.53032711053706</v>
      </c>
      <c r="IH60" s="120">
        <f t="shared" si="381"/>
        <v>1889.0434879590464</v>
      </c>
      <c r="II60" s="120">
        <f t="shared" si="382"/>
        <v>1347.7691106803261</v>
      </c>
      <c r="IM60" s="1345"/>
      <c r="IN60" s="1346">
        <f t="shared" si="383"/>
        <v>5237.7687310587007</v>
      </c>
      <c r="IP60" s="371">
        <f t="shared" si="355"/>
        <v>1632.2559184592897</v>
      </c>
      <c r="IQ60" s="348">
        <f t="shared" si="626"/>
        <v>84.424919326940227</v>
      </c>
      <c r="IR60" s="320">
        <f t="shared" si="356"/>
        <v>2840.0547768566021</v>
      </c>
      <c r="IS60" s="344">
        <f t="shared" si="357"/>
        <v>5237.7687310587007</v>
      </c>
    </row>
    <row r="61" spans="1:264" ht="15" customHeight="1" x14ac:dyDescent="0.2">
      <c r="A61" s="1551" t="s">
        <v>328</v>
      </c>
      <c r="B61" s="379">
        <f t="shared" si="398"/>
        <v>35.231872838756445</v>
      </c>
      <c r="C61" s="380">
        <f t="shared" si="399"/>
        <v>581.90256728365932</v>
      </c>
      <c r="D61" s="380">
        <f t="shared" si="400"/>
        <v>904.1835220064778</v>
      </c>
      <c r="E61" s="380">
        <f t="shared" si="401"/>
        <v>2219.6949130094695</v>
      </c>
      <c r="F61" s="380">
        <f t="shared" si="402"/>
        <v>413.4649539936691</v>
      </c>
      <c r="G61" s="380">
        <f t="shared" si="403"/>
        <v>576.13349960076653</v>
      </c>
      <c r="H61" s="380">
        <f t="shared" si="404"/>
        <v>1649.986650089993</v>
      </c>
      <c r="I61" s="380">
        <f t="shared" si="405"/>
        <v>891.81839192492043</v>
      </c>
      <c r="J61" s="380">
        <f t="shared" si="406"/>
        <v>630.60831760349527</v>
      </c>
      <c r="K61" s="380">
        <f t="shared" si="407"/>
        <v>650.85643347406108</v>
      </c>
      <c r="L61" s="380">
        <f t="shared" si="408"/>
        <v>313.80839934067939</v>
      </c>
      <c r="M61" s="389">
        <f t="shared" si="409"/>
        <v>105.76033902708524</v>
      </c>
      <c r="N61" s="381">
        <f t="shared" si="410"/>
        <v>8973.4498601930336</v>
      </c>
      <c r="O61" s="379">
        <f t="shared" si="411"/>
        <v>0</v>
      </c>
      <c r="P61" s="380">
        <f t="shared" si="412"/>
        <v>10.11216926038737</v>
      </c>
      <c r="Q61" s="380">
        <f t="shared" si="413"/>
        <v>86.103111568934821</v>
      </c>
      <c r="R61" s="380">
        <f t="shared" si="414"/>
        <v>97.991390422724223</v>
      </c>
      <c r="S61" s="380">
        <f t="shared" si="415"/>
        <v>34.81460655349543</v>
      </c>
      <c r="T61" s="380">
        <f t="shared" si="416"/>
        <v>36.77197899542174</v>
      </c>
      <c r="U61" s="380">
        <f t="shared" si="417"/>
        <v>206.45012660869074</v>
      </c>
      <c r="V61" s="380">
        <f t="shared" si="418"/>
        <v>14.711792656752744</v>
      </c>
      <c r="W61" s="380">
        <f t="shared" si="419"/>
        <v>19169.247901079903</v>
      </c>
      <c r="X61" s="380">
        <f t="shared" si="420"/>
        <v>121.33601965521481</v>
      </c>
      <c r="Y61" s="380">
        <f t="shared" si="421"/>
        <v>140.79435111386059</v>
      </c>
      <c r="Z61" s="389">
        <f t="shared" si="422"/>
        <v>140.3452463256186</v>
      </c>
      <c r="AA61" s="381">
        <f t="shared" si="423"/>
        <v>20058.678694241004</v>
      </c>
      <c r="AB61" s="379">
        <f t="shared" si="424"/>
        <v>0</v>
      </c>
      <c r="AC61" s="380">
        <f t="shared" si="425"/>
        <v>81.13492264304891</v>
      </c>
      <c r="AD61" s="380">
        <f t="shared" si="426"/>
        <v>56.363140553293839</v>
      </c>
      <c r="AE61" s="380">
        <f t="shared" si="427"/>
        <v>72.704821525534385</v>
      </c>
      <c r="AF61" s="380">
        <f t="shared" si="428"/>
        <v>45.331717331862521</v>
      </c>
      <c r="AG61" s="380">
        <f t="shared" si="429"/>
        <v>32.557442871761609</v>
      </c>
      <c r="AH61" s="380">
        <f t="shared" si="430"/>
        <v>36.946303245599893</v>
      </c>
      <c r="AI61" s="380">
        <f t="shared" si="431"/>
        <v>58.415685234354875</v>
      </c>
      <c r="AJ61" s="380">
        <f t="shared" si="432"/>
        <v>51.241434866740441</v>
      </c>
      <c r="AK61" s="380">
        <f t="shared" si="433"/>
        <v>111.62887557450281</v>
      </c>
      <c r="AL61" s="380">
        <f t="shared" si="434"/>
        <v>135.0214279876482</v>
      </c>
      <c r="AM61" s="389">
        <f t="shared" si="435"/>
        <v>150.95228523274699</v>
      </c>
      <c r="AN61" s="381">
        <f t="shared" si="627"/>
        <v>832.29805706709453</v>
      </c>
      <c r="AO61" s="379">
        <f t="shared" si="436"/>
        <v>0</v>
      </c>
      <c r="AP61" s="380">
        <f t="shared" si="437"/>
        <v>28.532691654578382</v>
      </c>
      <c r="AQ61" s="380">
        <f t="shared" si="438"/>
        <v>11.51083017345826</v>
      </c>
      <c r="AR61" s="380">
        <f t="shared" si="439"/>
        <v>9.6741490104245642</v>
      </c>
      <c r="AS61" s="380">
        <f t="shared" si="440"/>
        <v>43.102557012384622</v>
      </c>
      <c r="AT61" s="380">
        <f t="shared" si="441"/>
        <v>21.090366129732129</v>
      </c>
      <c r="AU61" s="380">
        <f t="shared" si="442"/>
        <v>29.643832407765828</v>
      </c>
      <c r="AV61" s="380">
        <f t="shared" si="443"/>
        <v>-0.86952969358513854</v>
      </c>
      <c r="AW61" s="380">
        <f t="shared" si="444"/>
        <v>0</v>
      </c>
      <c r="AX61" s="380">
        <f t="shared" si="445"/>
        <v>0</v>
      </c>
      <c r="AY61" s="380">
        <f t="shared" si="446"/>
        <v>0</v>
      </c>
      <c r="AZ61" s="389">
        <f t="shared" si="447"/>
        <v>94.377307290731935</v>
      </c>
      <c r="BA61" s="381">
        <f t="shared" si="628"/>
        <v>237.06220398549061</v>
      </c>
      <c r="BB61" s="379">
        <f t="shared" si="448"/>
        <v>0</v>
      </c>
      <c r="BC61" s="380">
        <f t="shared" si="449"/>
        <v>17.121897033094413</v>
      </c>
      <c r="BD61" s="380">
        <f t="shared" si="450"/>
        <v>25.48659873934864</v>
      </c>
      <c r="BE61" s="380">
        <f t="shared" si="451"/>
        <v>147.04294507930183</v>
      </c>
      <c r="BF61" s="380">
        <f t="shared" si="452"/>
        <v>24.497358569789053</v>
      </c>
      <c r="BG61" s="380">
        <f t="shared" si="453"/>
        <v>20.281788773265767</v>
      </c>
      <c r="BH61" s="380">
        <f t="shared" si="454"/>
        <v>41.37141780272848</v>
      </c>
      <c r="BI61" s="380">
        <f t="shared" si="455"/>
        <v>526.69911943599391</v>
      </c>
      <c r="BJ61" s="380">
        <f t="shared" si="456"/>
        <v>4804.2324823258459</v>
      </c>
      <c r="BK61" s="380">
        <f t="shared" si="457"/>
        <v>437.67655871244722</v>
      </c>
      <c r="BL61" s="380">
        <f t="shared" si="458"/>
        <v>155.03571800100013</v>
      </c>
      <c r="BM61" s="389">
        <f t="shared" si="459"/>
        <v>1390.0313187639877</v>
      </c>
      <c r="BN61" s="381">
        <f t="shared" si="460"/>
        <v>7589.4772032368037</v>
      </c>
      <c r="BO61" s="379">
        <f t="shared" si="461"/>
        <v>47.586783514351204</v>
      </c>
      <c r="BP61" s="380">
        <f t="shared" si="462"/>
        <v>38.437963318919579</v>
      </c>
      <c r="BQ61" s="380">
        <f t="shared" si="463"/>
        <v>38.091332195936559</v>
      </c>
      <c r="BR61" s="380">
        <f t="shared" si="464"/>
        <v>40.474363604052726</v>
      </c>
      <c r="BS61" s="380">
        <f t="shared" si="465"/>
        <v>42.870931096442092</v>
      </c>
      <c r="BT61" s="380">
        <f t="shared" si="466"/>
        <v>601.10348922607318</v>
      </c>
      <c r="BU61" s="380">
        <f t="shared" si="467"/>
        <v>748.2916362766166</v>
      </c>
      <c r="BV61" s="380">
        <f t="shared" si="468"/>
        <v>603.55217793016027</v>
      </c>
      <c r="BW61" s="380">
        <f t="shared" si="469"/>
        <v>316.06983963843584</v>
      </c>
      <c r="BX61" s="380">
        <f t="shared" si="470"/>
        <v>385.79214542526694</v>
      </c>
      <c r="BY61" s="380">
        <f t="shared" si="471"/>
        <v>443.62169247453977</v>
      </c>
      <c r="BZ61" s="389">
        <f t="shared" si="472"/>
        <v>748.407668008516</v>
      </c>
      <c r="CA61" s="381">
        <f t="shared" si="473"/>
        <v>4054.3000227093107</v>
      </c>
      <c r="CB61" s="379">
        <f t="shared" si="474"/>
        <v>62.370869717074456</v>
      </c>
      <c r="CC61" s="380">
        <f t="shared" si="475"/>
        <v>179.55518766501774</v>
      </c>
      <c r="CD61" s="380">
        <f t="shared" si="476"/>
        <v>246.71260031167733</v>
      </c>
      <c r="CE61" s="380">
        <f t="shared" si="477"/>
        <v>81.386117621118828</v>
      </c>
      <c r="CF61" s="380">
        <f t="shared" si="478"/>
        <v>-47.76432887952933</v>
      </c>
      <c r="CG61" s="380">
        <f t="shared" si="479"/>
        <v>23.049213550092364</v>
      </c>
      <c r="CH61" s="380">
        <f t="shared" si="480"/>
        <v>53.023629697685756</v>
      </c>
      <c r="CI61" s="380">
        <f t="shared" si="481"/>
        <v>117.23233290943179</v>
      </c>
      <c r="CJ61" s="380">
        <f t="shared" si="482"/>
        <v>33.215490230470003</v>
      </c>
      <c r="CK61" s="380">
        <f t="shared" si="483"/>
        <v>155.99453186541288</v>
      </c>
      <c r="CL61" s="380">
        <f t="shared" si="484"/>
        <v>198.83675022677474</v>
      </c>
      <c r="CM61" s="389">
        <f t="shared" si="485"/>
        <v>1717.723002945695</v>
      </c>
      <c r="CN61" s="381">
        <f t="shared" si="486"/>
        <v>2821.3353978609221</v>
      </c>
      <c r="CO61" s="379">
        <f t="shared" si="487"/>
        <v>31.435523916321078</v>
      </c>
      <c r="CP61" s="380">
        <f t="shared" si="488"/>
        <v>92.457423283297288</v>
      </c>
      <c r="CQ61" s="380">
        <f t="shared" si="489"/>
        <v>69.208848953154842</v>
      </c>
      <c r="CR61" s="380">
        <f t="shared" si="490"/>
        <v>99.149638499781403</v>
      </c>
      <c r="CS61" s="380">
        <f t="shared" si="491"/>
        <v>135.57155224462949</v>
      </c>
      <c r="CT61" s="380">
        <f t="shared" si="492"/>
        <v>49.904354810380937</v>
      </c>
      <c r="CU61" s="380">
        <f t="shared" si="493"/>
        <v>220.12412122969278</v>
      </c>
      <c r="CV61" s="380">
        <f t="shared" si="494"/>
        <v>108.88398161931212</v>
      </c>
      <c r="CW61" s="380">
        <f t="shared" si="495"/>
        <v>124.07528793073888</v>
      </c>
      <c r="CX61" s="380">
        <f t="shared" si="496"/>
        <v>462.92154388653387</v>
      </c>
      <c r="CY61" s="380">
        <f t="shared" si="497"/>
        <v>2042.3769075424268</v>
      </c>
      <c r="CZ61" s="389">
        <f t="shared" si="498"/>
        <v>27263.045231051783</v>
      </c>
      <c r="DA61" s="381">
        <f t="shared" si="499"/>
        <v>30699.154414968052</v>
      </c>
      <c r="DB61" s="379">
        <f t="shared" si="500"/>
        <v>33.060910872269929</v>
      </c>
      <c r="DC61" s="380">
        <f t="shared" si="501"/>
        <v>77.261242702038402</v>
      </c>
      <c r="DD61" s="380">
        <f t="shared" si="502"/>
        <v>162.54850420819139</v>
      </c>
      <c r="DE61" s="380">
        <f t="shared" si="503"/>
        <v>253.49066667087911</v>
      </c>
      <c r="DF61" s="380">
        <f t="shared" si="504"/>
        <v>339.26326479663561</v>
      </c>
      <c r="DG61" s="380">
        <f t="shared" si="505"/>
        <v>262.26426089705194</v>
      </c>
      <c r="DH61" s="380">
        <f t="shared" si="506"/>
        <v>380.83291395265559</v>
      </c>
      <c r="DI61" s="380">
        <f t="shared" si="507"/>
        <v>423.84891912481856</v>
      </c>
      <c r="DJ61" s="380">
        <f t="shared" si="508"/>
        <v>636.28643075648245</v>
      </c>
      <c r="DK61" s="380">
        <f t="shared" si="509"/>
        <v>423.439055459315</v>
      </c>
      <c r="DL61" s="380">
        <f t="shared" si="510"/>
        <v>373.10286147393276</v>
      </c>
      <c r="DM61" s="389">
        <f t="shared" si="511"/>
        <v>401.830293647198</v>
      </c>
      <c r="DN61" s="381">
        <f t="shared" si="512"/>
        <v>3767.2293245614692</v>
      </c>
      <c r="DO61" s="379">
        <f t="shared" si="513"/>
        <v>69.240872626575893</v>
      </c>
      <c r="DP61" s="380">
        <f t="shared" si="514"/>
        <v>188.89686563952961</v>
      </c>
      <c r="DQ61" s="380">
        <f t="shared" si="515"/>
        <v>306.96278568501282</v>
      </c>
      <c r="DR61" s="380">
        <f t="shared" si="516"/>
        <v>2515.3151097671116</v>
      </c>
      <c r="DS61" s="380">
        <f t="shared" si="517"/>
        <v>233.23997968562787</v>
      </c>
      <c r="DT61" s="380">
        <f t="shared" si="518"/>
        <v>279.17929417300604</v>
      </c>
      <c r="DU61" s="380">
        <f t="shared" si="519"/>
        <v>415.76761876157394</v>
      </c>
      <c r="DV61" s="380">
        <f t="shared" si="520"/>
        <v>551.3843685288607</v>
      </c>
      <c r="DW61" s="380">
        <f t="shared" si="521"/>
        <v>505.59654169175428</v>
      </c>
      <c r="DX61" s="380">
        <f t="shared" si="522"/>
        <v>556.26056677167685</v>
      </c>
      <c r="DY61" s="380">
        <f t="shared" si="523"/>
        <v>541.49156483791126</v>
      </c>
      <c r="DZ61" s="389">
        <f t="shared" si="524"/>
        <v>557.20577691654069</v>
      </c>
      <c r="EA61" s="381">
        <f t="shared" si="525"/>
        <v>6720.5413450851811</v>
      </c>
      <c r="EB61" s="379">
        <f t="shared" si="526"/>
        <v>33.835278710867875</v>
      </c>
      <c r="EC61" s="380">
        <f t="shared" si="527"/>
        <v>86.172514358871851</v>
      </c>
      <c r="ED61" s="380">
        <f t="shared" si="528"/>
        <v>430.19084522540265</v>
      </c>
      <c r="EE61" s="380">
        <f t="shared" si="529"/>
        <v>225.41544249324772</v>
      </c>
      <c r="EF61" s="380">
        <f t="shared" si="530"/>
        <v>201.04467785999185</v>
      </c>
      <c r="EG61" s="380">
        <f t="shared" si="531"/>
        <v>257.43207098942554</v>
      </c>
      <c r="EH61" s="380">
        <f t="shared" si="532"/>
        <v>147.05459612147271</v>
      </c>
      <c r="EI61" s="380">
        <f t="shared" si="533"/>
        <v>210.71744436617612</v>
      </c>
      <c r="EJ61" s="380">
        <f t="shared" si="534"/>
        <v>565.09641984676443</v>
      </c>
      <c r="EK61" s="380">
        <f t="shared" si="535"/>
        <v>677.14910000990881</v>
      </c>
      <c r="EL61" s="380">
        <f t="shared" si="536"/>
        <v>597.18409956993401</v>
      </c>
      <c r="EM61" s="389">
        <f t="shared" si="537"/>
        <v>923.44311167359535</v>
      </c>
      <c r="EN61" s="381">
        <f t="shared" si="538"/>
        <v>4354.7356012256587</v>
      </c>
      <c r="EO61" s="379">
        <f t="shared" si="539"/>
        <v>63.446710336090625</v>
      </c>
      <c r="EP61" s="380">
        <f t="shared" si="540"/>
        <v>78.149348594672034</v>
      </c>
      <c r="EQ61" s="380">
        <f t="shared" si="541"/>
        <v>304.74040394558472</v>
      </c>
      <c r="ER61" s="380">
        <f t="shared" si="542"/>
        <v>324.36111225873225</v>
      </c>
      <c r="ES61" s="380">
        <f t="shared" si="543"/>
        <v>464.56951535401078</v>
      </c>
      <c r="ET61" s="380">
        <f t="shared" si="544"/>
        <v>711.07610891945353</v>
      </c>
      <c r="EU61" s="380">
        <f t="shared" si="545"/>
        <v>585.8147271243588</v>
      </c>
      <c r="EV61" s="380">
        <f t="shared" si="546"/>
        <v>1182.7474190527655</v>
      </c>
      <c r="EW61" s="380">
        <f t="shared" si="547"/>
        <v>395.60022918403257</v>
      </c>
      <c r="EX61" s="380">
        <f t="shared" si="548"/>
        <v>800.05397230007543</v>
      </c>
      <c r="EY61" s="380">
        <f t="shared" si="549"/>
        <v>684.70972785853496</v>
      </c>
      <c r="EZ61" s="389">
        <f t="shared" si="550"/>
        <v>1340.243273456161</v>
      </c>
      <c r="FA61" s="381">
        <f t="shared" si="551"/>
        <v>6935.5125483844722</v>
      </c>
      <c r="FB61" s="379">
        <f t="shared" si="552"/>
        <v>44.975349502237762</v>
      </c>
      <c r="FC61" s="380">
        <f t="shared" si="553"/>
        <v>58.040733099629314</v>
      </c>
      <c r="FD61" s="380">
        <f t="shared" si="554"/>
        <v>57.665904718956099</v>
      </c>
      <c r="FE61" s="380">
        <f t="shared" si="555"/>
        <v>91.898949054994034</v>
      </c>
      <c r="FF61" s="380">
        <f t="shared" si="556"/>
        <v>99.928847990802936</v>
      </c>
      <c r="FG61" s="380">
        <f t="shared" si="557"/>
        <v>82.355660000469442</v>
      </c>
      <c r="FH61" s="380">
        <f t="shared" si="558"/>
        <v>105.88897156474188</v>
      </c>
      <c r="FI61" s="380">
        <f t="shared" si="559"/>
        <v>114.89636808797151</v>
      </c>
      <c r="FJ61" s="380">
        <f t="shared" si="560"/>
        <v>132.49245942030299</v>
      </c>
      <c r="FK61" s="380">
        <f t="shared" si="561"/>
        <v>1272.7657785939948</v>
      </c>
      <c r="FL61" s="380">
        <f t="shared" si="562"/>
        <v>1414.2651084706613</v>
      </c>
      <c r="FM61" s="389">
        <f t="shared" si="563"/>
        <v>2228.9682973638933</v>
      </c>
      <c r="FN61" s="381">
        <f t="shared" si="564"/>
        <v>5704.1424278686554</v>
      </c>
      <c r="FO61" s="379">
        <f t="shared" si="565"/>
        <v>57.960151707487888</v>
      </c>
      <c r="FP61" s="380">
        <f t="shared" si="566"/>
        <v>64.783923331945914</v>
      </c>
      <c r="FQ61" s="380">
        <f t="shared" si="567"/>
        <v>154.58777818077633</v>
      </c>
      <c r="FR61" s="380">
        <f t="shared" si="568"/>
        <v>584.13626862202875</v>
      </c>
      <c r="FS61" s="380">
        <f t="shared" si="569"/>
        <v>335.37477120062357</v>
      </c>
      <c r="FT61" s="380">
        <f t="shared" si="570"/>
        <v>158.17984636414218</v>
      </c>
      <c r="FU61" s="380">
        <f t="shared" si="571"/>
        <v>742.19653224596505</v>
      </c>
      <c r="FV61" s="380">
        <f t="shared" si="572"/>
        <v>1158.5271382414446</v>
      </c>
      <c r="FW61" s="380">
        <f t="shared" si="573"/>
        <v>399.78035952743016</v>
      </c>
      <c r="FX61" s="380">
        <f t="shared" si="574"/>
        <v>196.15649572792537</v>
      </c>
      <c r="FY61" s="380">
        <f t="shared" si="575"/>
        <v>252.03132645288389</v>
      </c>
      <c r="FZ61" s="389">
        <f t="shared" si="576"/>
        <v>1123.4492536873827</v>
      </c>
      <c r="GA61" s="381">
        <f t="shared" si="371"/>
        <v>5227.163845290037</v>
      </c>
      <c r="GB61" s="379">
        <f t="shared" si="577"/>
        <v>49.103352715659035</v>
      </c>
      <c r="GC61" s="380">
        <f t="shared" si="578"/>
        <v>149.39557970516674</v>
      </c>
      <c r="GD61" s="380">
        <f t="shared" si="579"/>
        <v>848.84563985147872</v>
      </c>
      <c r="GE61" s="380">
        <f t="shared" si="580"/>
        <v>93.074635512162061</v>
      </c>
      <c r="GF61" s="380">
        <f t="shared" si="581"/>
        <v>477.82887195923007</v>
      </c>
      <c r="GG61" s="380">
        <f t="shared" si="582"/>
        <v>87.966596674386096</v>
      </c>
      <c r="GH61" s="380">
        <f t="shared" si="583"/>
        <v>356.45711864868434</v>
      </c>
      <c r="GI61" s="380">
        <f t="shared" si="584"/>
        <v>140.67204022319078</v>
      </c>
      <c r="GJ61" s="380">
        <f t="shared" si="585"/>
        <v>141.73848778189401</v>
      </c>
      <c r="GK61" s="380">
        <f t="shared" si="586"/>
        <v>2659.7998607010186</v>
      </c>
      <c r="GL61" s="380">
        <f t="shared" si="587"/>
        <v>-875.68938946459014</v>
      </c>
      <c r="GM61" s="389">
        <f t="shared" si="588"/>
        <v>2245.8878777601462</v>
      </c>
      <c r="GN61" s="381">
        <f t="shared" si="372"/>
        <v>6375.0806720684268</v>
      </c>
      <c r="GO61" s="379">
        <f t="shared" si="589"/>
        <v>78.642844772857842</v>
      </c>
      <c r="GP61" s="380">
        <f t="shared" si="590"/>
        <v>91.874806563493351</v>
      </c>
      <c r="GQ61" s="380">
        <f t="shared" si="591"/>
        <v>349.09103193740657</v>
      </c>
      <c r="GR61" s="380">
        <f t="shared" si="592"/>
        <v>98.856432937855843</v>
      </c>
      <c r="GS61" s="380">
        <f t="shared" si="593"/>
        <v>301.35243804310028</v>
      </c>
      <c r="GT61" s="380">
        <f t="shared" si="594"/>
        <v>173.27976049438504</v>
      </c>
      <c r="GU61" s="380">
        <f t="shared" si="595"/>
        <v>108.02200798817957</v>
      </c>
      <c r="GV61" s="380">
        <f t="shared" si="596"/>
        <v>156.57987581976519</v>
      </c>
      <c r="GW61" s="380">
        <f t="shared" si="597"/>
        <v>206.64410726063795</v>
      </c>
      <c r="GX61" s="380">
        <f t="shared" si="598"/>
        <v>1322.0849647477351</v>
      </c>
      <c r="GY61" s="380">
        <f t="shared" si="599"/>
        <v>1194.9293778719898</v>
      </c>
      <c r="GZ61" s="389">
        <f t="shared" si="600"/>
        <v>1636.6750333332843</v>
      </c>
      <c r="HA61" s="381">
        <f t="shared" si="373"/>
        <v>5718.0326817706909</v>
      </c>
      <c r="HB61" s="379">
        <f t="shared" si="601"/>
        <v>488.68304257699032</v>
      </c>
      <c r="HC61" s="380">
        <f t="shared" si="602"/>
        <v>568.08804460142233</v>
      </c>
      <c r="HD61" s="380">
        <f t="shared" si="603"/>
        <v>594.36908290819815</v>
      </c>
      <c r="HE61" s="380">
        <f t="shared" si="604"/>
        <v>720.89277802772574</v>
      </c>
      <c r="HF61" s="380">
        <f t="shared" si="605"/>
        <v>787.80051273609217</v>
      </c>
      <c r="HG61" s="380">
        <f t="shared" si="606"/>
        <v>742.55005103112615</v>
      </c>
      <c r="HH61" s="380">
        <f t="shared" si="607"/>
        <v>1337.194526161677</v>
      </c>
      <c r="HI61" s="380">
        <f t="shared" si="608"/>
        <v>901.62038104073042</v>
      </c>
      <c r="HJ61" s="380">
        <f t="shared" si="609"/>
        <v>1272.9114151492681</v>
      </c>
      <c r="HK61" s="380">
        <f t="shared" si="610"/>
        <v>1600.9692762708346</v>
      </c>
      <c r="HL61" s="380">
        <f t="shared" si="611"/>
        <v>1244.3893641535931</v>
      </c>
      <c r="HM61" s="389">
        <f t="shared" si="612"/>
        <v>2121.7967225065217</v>
      </c>
      <c r="HN61" s="381">
        <f t="shared" si="374"/>
        <v>12381.265197164179</v>
      </c>
      <c r="HO61" s="379">
        <f t="shared" si="613"/>
        <v>91.143868810144795</v>
      </c>
      <c r="HP61" s="380">
        <f t="shared" si="614"/>
        <v>186.9649876975985</v>
      </c>
      <c r="HQ61" s="380">
        <f t="shared" si="615"/>
        <v>278.47091932034715</v>
      </c>
      <c r="HR61" s="380">
        <f t="shared" si="616"/>
        <v>492.80578679650563</v>
      </c>
      <c r="HS61" s="380">
        <f t="shared" si="617"/>
        <v>294.31486928275388</v>
      </c>
      <c r="HT61" s="380">
        <f t="shared" si="618"/>
        <v>339.15318080659051</v>
      </c>
      <c r="HU61" s="380">
        <f t="shared" si="619"/>
        <v>260.79627864419786</v>
      </c>
      <c r="HV61" s="380">
        <f t="shared" si="620"/>
        <v>502.1410477858787</v>
      </c>
      <c r="HW61" s="380">
        <f t="shared" si="621"/>
        <v>576.57684224571312</v>
      </c>
      <c r="HX61" s="380">
        <f t="shared" si="622"/>
        <v>614.71042853329755</v>
      </c>
      <c r="HY61" s="380">
        <f t="shared" si="623"/>
        <v>630.03410478933711</v>
      </c>
      <c r="HZ61" s="389">
        <f t="shared" si="624"/>
        <v>1571.8644808312474</v>
      </c>
      <c r="IA61" s="379">
        <f t="shared" si="375"/>
        <v>5838.9767955436128</v>
      </c>
      <c r="IB61" s="1344">
        <f t="shared" si="625"/>
        <v>138.5553694098179</v>
      </c>
      <c r="IC61" s="120">
        <f t="shared" si="376"/>
        <v>381.69252482262362</v>
      </c>
      <c r="ID61" s="120">
        <f>+ID27/$ID$37</f>
        <v>315.74978277369587</v>
      </c>
      <c r="IE61" s="120">
        <f>+IE27/$IE$37</f>
        <v>421.29797942979366</v>
      </c>
      <c r="IF61" s="120">
        <f t="shared" si="379"/>
        <v>635.6169662367007</v>
      </c>
      <c r="IG61" s="120">
        <f t="shared" si="380"/>
        <v>394.49318647387372</v>
      </c>
      <c r="IH61" s="120">
        <f t="shared" si="381"/>
        <v>333.60941530986798</v>
      </c>
      <c r="II61" s="120">
        <f t="shared" si="382"/>
        <v>253.59826465172736</v>
      </c>
      <c r="IM61" s="1345"/>
      <c r="IN61" s="1346">
        <f t="shared" si="383"/>
        <v>2874.6134891081006</v>
      </c>
      <c r="IP61" s="371">
        <f t="shared" si="355"/>
        <v>-49.49660742336566</v>
      </c>
      <c r="IQ61" s="348">
        <f t="shared" si="626"/>
        <v>17.533082779109634</v>
      </c>
      <c r="IR61" s="320">
        <f t="shared" si="356"/>
        <v>2445.7909391440171</v>
      </c>
      <c r="IS61" s="344">
        <f t="shared" si="357"/>
        <v>2874.6134891081006</v>
      </c>
    </row>
    <row r="62" spans="1:264" ht="15" customHeight="1" x14ac:dyDescent="0.2">
      <c r="A62" s="1551" t="s">
        <v>401</v>
      </c>
      <c r="B62" s="379">
        <f t="shared" si="398"/>
        <v>206.49792136048916</v>
      </c>
      <c r="C62" s="380">
        <f t="shared" si="399"/>
        <v>195.90719765216534</v>
      </c>
      <c r="D62" s="380">
        <f t="shared" si="400"/>
        <v>190.05131354276287</v>
      </c>
      <c r="E62" s="380">
        <f t="shared" si="401"/>
        <v>162.93097375285399</v>
      </c>
      <c r="F62" s="380">
        <f t="shared" si="402"/>
        <v>178.56338659772777</v>
      </c>
      <c r="G62" s="380">
        <f t="shared" si="403"/>
        <v>179.0941306324751</v>
      </c>
      <c r="H62" s="380">
        <f t="shared" si="404"/>
        <v>274.21251580593258</v>
      </c>
      <c r="I62" s="380">
        <f t="shared" si="405"/>
        <v>197.6614293026872</v>
      </c>
      <c r="J62" s="380">
        <f t="shared" si="406"/>
        <v>161.14510922511772</v>
      </c>
      <c r="K62" s="380">
        <f t="shared" si="407"/>
        <v>361.07255911078784</v>
      </c>
      <c r="L62" s="380">
        <f t="shared" si="408"/>
        <v>195.66876664771772</v>
      </c>
      <c r="M62" s="389">
        <f t="shared" si="409"/>
        <v>228.07447024971424</v>
      </c>
      <c r="N62" s="381">
        <f t="shared" si="410"/>
        <v>2530.8797738804315</v>
      </c>
      <c r="O62" s="379">
        <f t="shared" si="411"/>
        <v>196.58994716069921</v>
      </c>
      <c r="P62" s="380">
        <f t="shared" si="412"/>
        <v>195.80836840568273</v>
      </c>
      <c r="Q62" s="380">
        <f t="shared" si="413"/>
        <v>159.38235545738999</v>
      </c>
      <c r="R62" s="380">
        <f t="shared" si="414"/>
        <v>166.67694445734401</v>
      </c>
      <c r="S62" s="380">
        <f t="shared" si="415"/>
        <v>222.63024717103659</v>
      </c>
      <c r="T62" s="380">
        <f t="shared" si="416"/>
        <v>182.94059550222315</v>
      </c>
      <c r="U62" s="380">
        <f t="shared" si="417"/>
        <v>221.1310245008643</v>
      </c>
      <c r="V62" s="380">
        <f t="shared" si="418"/>
        <v>208.72355831767953</v>
      </c>
      <c r="W62" s="380">
        <f t="shared" si="419"/>
        <v>202.46937146466846</v>
      </c>
      <c r="X62" s="380">
        <f t="shared" si="420"/>
        <v>248.1873129311212</v>
      </c>
      <c r="Y62" s="380">
        <f t="shared" si="421"/>
        <v>411.34035913657306</v>
      </c>
      <c r="Z62" s="389">
        <f t="shared" si="422"/>
        <v>1574.0682529069379</v>
      </c>
      <c r="AA62" s="381">
        <f t="shared" si="423"/>
        <v>3989.9483374122201</v>
      </c>
      <c r="AB62" s="379">
        <f t="shared" si="424"/>
        <v>183.82365655614424</v>
      </c>
      <c r="AC62" s="380">
        <f t="shared" si="425"/>
        <v>233.37685614180361</v>
      </c>
      <c r="AD62" s="380">
        <f t="shared" si="426"/>
        <v>209.99815270662702</v>
      </c>
      <c r="AE62" s="380">
        <f t="shared" si="427"/>
        <v>203.57350027149627</v>
      </c>
      <c r="AF62" s="380">
        <f t="shared" si="428"/>
        <v>211.24580276647936</v>
      </c>
      <c r="AG62" s="380">
        <f t="shared" si="429"/>
        <v>251.41580884304798</v>
      </c>
      <c r="AH62" s="380">
        <f t="shared" si="430"/>
        <v>278.44896836317969</v>
      </c>
      <c r="AI62" s="380">
        <f t="shared" si="431"/>
        <v>2377.0690376133639</v>
      </c>
      <c r="AJ62" s="380">
        <f t="shared" si="432"/>
        <v>6205.6074541247244</v>
      </c>
      <c r="AK62" s="380">
        <f t="shared" si="433"/>
        <v>3850.2959744528107</v>
      </c>
      <c r="AL62" s="380">
        <f t="shared" si="434"/>
        <v>2179.2458477206419</v>
      </c>
      <c r="AM62" s="389">
        <f t="shared" si="435"/>
        <v>751.16732413438376</v>
      </c>
      <c r="AN62" s="381">
        <f t="shared" si="627"/>
        <v>16935.268383694704</v>
      </c>
      <c r="AO62" s="379">
        <f t="shared" si="436"/>
        <v>273.88067062990399</v>
      </c>
      <c r="AP62" s="380">
        <f t="shared" si="437"/>
        <v>251.44434520597201</v>
      </c>
      <c r="AQ62" s="380">
        <f t="shared" si="438"/>
        <v>259.43640314025151</v>
      </c>
      <c r="AR62" s="380">
        <f t="shared" si="439"/>
        <v>223.38489533162175</v>
      </c>
      <c r="AS62" s="380">
        <f t="shared" si="440"/>
        <v>59.815793404941921</v>
      </c>
      <c r="AT62" s="380">
        <f t="shared" si="441"/>
        <v>220.57007910678183</v>
      </c>
      <c r="AU62" s="380">
        <f t="shared" si="442"/>
        <v>1844.8926286715439</v>
      </c>
      <c r="AV62" s="380">
        <f t="shared" si="443"/>
        <v>278.24950194724437</v>
      </c>
      <c r="AW62" s="380">
        <f t="shared" si="444"/>
        <v>247.86752951794043</v>
      </c>
      <c r="AX62" s="380">
        <f t="shared" si="445"/>
        <v>1566.416246056895</v>
      </c>
      <c r="AY62" s="380">
        <f t="shared" si="446"/>
        <v>320.88893641468644</v>
      </c>
      <c r="AZ62" s="389">
        <f t="shared" si="447"/>
        <v>2567.0627583079086</v>
      </c>
      <c r="BA62" s="381">
        <f t="shared" si="628"/>
        <v>8113.9097877356908</v>
      </c>
      <c r="BB62" s="379">
        <f t="shared" si="448"/>
        <v>211.27325137428386</v>
      </c>
      <c r="BC62" s="380">
        <f t="shared" si="449"/>
        <v>207.17495410044239</v>
      </c>
      <c r="BD62" s="380">
        <f t="shared" si="450"/>
        <v>191.14949054511479</v>
      </c>
      <c r="BE62" s="380">
        <f t="shared" si="451"/>
        <v>184.22621854763102</v>
      </c>
      <c r="BF62" s="380">
        <f t="shared" si="452"/>
        <v>192.59992254868635</v>
      </c>
      <c r="BG62" s="380">
        <f t="shared" si="453"/>
        <v>149.57819220283503</v>
      </c>
      <c r="BH62" s="380">
        <f t="shared" si="454"/>
        <v>236.40810172987705</v>
      </c>
      <c r="BI62" s="380">
        <f t="shared" si="455"/>
        <v>236.88859917216948</v>
      </c>
      <c r="BJ62" s="380">
        <f t="shared" si="456"/>
        <v>531.38988847986741</v>
      </c>
      <c r="BK62" s="380">
        <f t="shared" si="457"/>
        <v>58.580036538950871</v>
      </c>
      <c r="BL62" s="380">
        <f t="shared" si="458"/>
        <v>253.08533425028128</v>
      </c>
      <c r="BM62" s="389">
        <f t="shared" si="459"/>
        <v>1092.4659853424725</v>
      </c>
      <c r="BN62" s="381">
        <f t="shared" si="460"/>
        <v>3544.8199748326124</v>
      </c>
      <c r="BO62" s="379">
        <f t="shared" si="461"/>
        <v>184.50314309950204</v>
      </c>
      <c r="BP62" s="380">
        <f t="shared" si="462"/>
        <v>162.10793225805216</v>
      </c>
      <c r="BQ62" s="380">
        <f t="shared" si="463"/>
        <v>214.47076171190366</v>
      </c>
      <c r="BR62" s="380">
        <f t="shared" si="464"/>
        <v>189.98170671290055</v>
      </c>
      <c r="BS62" s="380">
        <f t="shared" si="465"/>
        <v>181.377016177255</v>
      </c>
      <c r="BT62" s="380">
        <f t="shared" si="466"/>
        <v>164.46059896746186</v>
      </c>
      <c r="BU62" s="380">
        <f t="shared" si="467"/>
        <v>280.50713797036013</v>
      </c>
      <c r="BV62" s="380">
        <f t="shared" si="468"/>
        <v>182.20443107325593</v>
      </c>
      <c r="BW62" s="380">
        <f t="shared" si="469"/>
        <v>271.38130190035366</v>
      </c>
      <c r="BX62" s="380">
        <f t="shared" si="470"/>
        <v>678.18198195810089</v>
      </c>
      <c r="BY62" s="380">
        <f t="shared" si="471"/>
        <v>494.9027321550829</v>
      </c>
      <c r="BZ62" s="389">
        <f t="shared" si="472"/>
        <v>611.07770504061239</v>
      </c>
      <c r="CA62" s="381">
        <f t="shared" si="473"/>
        <v>3615.1564490248411</v>
      </c>
      <c r="CB62" s="379">
        <f t="shared" si="474"/>
        <v>235.71328685283984</v>
      </c>
      <c r="CC62" s="380">
        <f t="shared" si="475"/>
        <v>215.78829728351909</v>
      </c>
      <c r="CD62" s="380">
        <f t="shared" si="476"/>
        <v>292.37045166805916</v>
      </c>
      <c r="CE62" s="380">
        <f t="shared" si="477"/>
        <v>329.53398605413798</v>
      </c>
      <c r="CF62" s="380">
        <f t="shared" si="478"/>
        <v>292.95455046111323</v>
      </c>
      <c r="CG62" s="380">
        <f t="shared" si="479"/>
        <v>370.37701773596694</v>
      </c>
      <c r="CH62" s="380">
        <f t="shared" si="480"/>
        <v>392.53313925450948</v>
      </c>
      <c r="CI62" s="380">
        <f t="shared" si="481"/>
        <v>459.42400734777328</v>
      </c>
      <c r="CJ62" s="380">
        <f t="shared" si="482"/>
        <v>983.81118682630199</v>
      </c>
      <c r="CK62" s="380">
        <f t="shared" si="483"/>
        <v>965.11768452086255</v>
      </c>
      <c r="CL62" s="380">
        <f t="shared" si="484"/>
        <v>486.83442416634927</v>
      </c>
      <c r="CM62" s="389">
        <f t="shared" si="485"/>
        <v>1203.6656606342658</v>
      </c>
      <c r="CN62" s="381">
        <f t="shared" si="486"/>
        <v>6228.1236928056987</v>
      </c>
      <c r="CO62" s="379">
        <f t="shared" si="487"/>
        <v>135.95864093808868</v>
      </c>
      <c r="CP62" s="380">
        <f t="shared" si="488"/>
        <v>297.74424447163534</v>
      </c>
      <c r="CQ62" s="380">
        <f t="shared" si="489"/>
        <v>171.85568110839571</v>
      </c>
      <c r="CR62" s="380">
        <f t="shared" si="490"/>
        <v>153.37209705434935</v>
      </c>
      <c r="CS62" s="380">
        <f t="shared" si="491"/>
        <v>198.73557090405913</v>
      </c>
      <c r="CT62" s="380">
        <f t="shared" si="492"/>
        <v>1244.537833040423</v>
      </c>
      <c r="CU62" s="380">
        <f t="shared" si="493"/>
        <v>260.6330740948793</v>
      </c>
      <c r="CV62" s="380">
        <f t="shared" si="494"/>
        <v>208.63084589994071</v>
      </c>
      <c r="CW62" s="380">
        <f t="shared" si="495"/>
        <v>210.09067158824499</v>
      </c>
      <c r="CX62" s="380">
        <f t="shared" si="496"/>
        <v>3782.4262764850455</v>
      </c>
      <c r="CY62" s="380">
        <f t="shared" si="497"/>
        <v>2847.6612742774414</v>
      </c>
      <c r="CZ62" s="389">
        <f t="shared" si="498"/>
        <v>877.84743150606573</v>
      </c>
      <c r="DA62" s="381">
        <f t="shared" si="499"/>
        <v>10389.493641368568</v>
      </c>
      <c r="DB62" s="379">
        <f t="shared" si="500"/>
        <v>186.34331582552142</v>
      </c>
      <c r="DC62" s="380">
        <f t="shared" si="501"/>
        <v>207.03012607536505</v>
      </c>
      <c r="DD62" s="380">
        <f t="shared" si="502"/>
        <v>506.28639613468783</v>
      </c>
      <c r="DE62" s="380">
        <f t="shared" si="503"/>
        <v>193.84580392478992</v>
      </c>
      <c r="DF62" s="380">
        <f t="shared" si="504"/>
        <v>305.78333734959921</v>
      </c>
      <c r="DG62" s="380">
        <f t="shared" si="505"/>
        <v>461.37707086988462</v>
      </c>
      <c r="DH62" s="380">
        <f t="shared" si="506"/>
        <v>590.17966197341366</v>
      </c>
      <c r="DI62" s="380">
        <f t="shared" si="507"/>
        <v>203.41789312273141</v>
      </c>
      <c r="DJ62" s="380">
        <f t="shared" si="508"/>
        <v>321.83397193715354</v>
      </c>
      <c r="DK62" s="380">
        <f t="shared" si="509"/>
        <v>841.73215017520079</v>
      </c>
      <c r="DL62" s="380">
        <f t="shared" si="510"/>
        <v>230.16561591908621</v>
      </c>
      <c r="DM62" s="389">
        <f t="shared" si="511"/>
        <v>1408.597829366905</v>
      </c>
      <c r="DN62" s="381">
        <f t="shared" si="512"/>
        <v>5456.5931726743383</v>
      </c>
      <c r="DO62" s="379">
        <f t="shared" si="513"/>
        <v>164.72039172217001</v>
      </c>
      <c r="DP62" s="380">
        <f t="shared" si="514"/>
        <v>142.3991756359531</v>
      </c>
      <c r="DQ62" s="380">
        <f t="shared" si="515"/>
        <v>144.87495959900139</v>
      </c>
      <c r="DR62" s="380">
        <f t="shared" si="516"/>
        <v>181.20623432284509</v>
      </c>
      <c r="DS62" s="380">
        <f t="shared" si="517"/>
        <v>691.77678185396746</v>
      </c>
      <c r="DT62" s="380">
        <f t="shared" si="518"/>
        <v>550.40270172450153</v>
      </c>
      <c r="DU62" s="380">
        <f t="shared" si="519"/>
        <v>272.12568102971073</v>
      </c>
      <c r="DV62" s="380">
        <f t="shared" si="520"/>
        <v>40.869842660786816</v>
      </c>
      <c r="DW62" s="380">
        <f t="shared" si="521"/>
        <v>91.796251541197933</v>
      </c>
      <c r="DX62" s="380">
        <f t="shared" si="522"/>
        <v>40.350507434214904</v>
      </c>
      <c r="DY62" s="380">
        <f t="shared" si="523"/>
        <v>41.87534768079847</v>
      </c>
      <c r="DZ62" s="389">
        <f t="shared" si="524"/>
        <v>428.8970727882816</v>
      </c>
      <c r="EA62" s="381">
        <f t="shared" si="525"/>
        <v>2791.2949479934287</v>
      </c>
      <c r="EB62" s="379">
        <f t="shared" si="526"/>
        <v>300.19811111557237</v>
      </c>
      <c r="EC62" s="380">
        <f t="shared" si="527"/>
        <v>170.90882014509583</v>
      </c>
      <c r="ED62" s="380">
        <f t="shared" si="528"/>
        <v>207.94939528337571</v>
      </c>
      <c r="EE62" s="380">
        <f t="shared" si="529"/>
        <v>181.04795857394183</v>
      </c>
      <c r="EF62" s="380">
        <f t="shared" si="530"/>
        <v>173.14167986518871</v>
      </c>
      <c r="EG62" s="380">
        <f t="shared" si="531"/>
        <v>124.08083200044332</v>
      </c>
      <c r="EH62" s="380">
        <f t="shared" si="532"/>
        <v>652.8655740851857</v>
      </c>
      <c r="EI62" s="380">
        <f t="shared" si="533"/>
        <v>339.13447275095012</v>
      </c>
      <c r="EJ62" s="380">
        <f t="shared" si="534"/>
        <v>463.12413355862645</v>
      </c>
      <c r="EK62" s="380">
        <f t="shared" si="535"/>
        <v>1038.0122567550013</v>
      </c>
      <c r="EL62" s="380">
        <f t="shared" si="536"/>
        <v>6275.7334960722064</v>
      </c>
      <c r="EM62" s="389">
        <f t="shared" si="537"/>
        <v>5060.2425057560731</v>
      </c>
      <c r="EN62" s="381">
        <f t="shared" si="538"/>
        <v>14986.439235961661</v>
      </c>
      <c r="EO62" s="379">
        <f t="shared" si="539"/>
        <v>1063.0848798536074</v>
      </c>
      <c r="EP62" s="380">
        <f t="shared" si="540"/>
        <v>1277.8474567507185</v>
      </c>
      <c r="EQ62" s="380">
        <f t="shared" si="541"/>
        <v>10366.066355314144</v>
      </c>
      <c r="ER62" s="380">
        <f t="shared" si="542"/>
        <v>1326.0440309760215</v>
      </c>
      <c r="ES62" s="380">
        <f t="shared" si="543"/>
        <v>1160.3790293549953</v>
      </c>
      <c r="ET62" s="380">
        <f t="shared" si="544"/>
        <v>1511.3852981738974</v>
      </c>
      <c r="EU62" s="380">
        <f t="shared" si="545"/>
        <v>2955.5118299575724</v>
      </c>
      <c r="EV62" s="380">
        <f t="shared" si="546"/>
        <v>3502.3508229093359</v>
      </c>
      <c r="EW62" s="380">
        <f t="shared" si="547"/>
        <v>4973.1607018512923</v>
      </c>
      <c r="EX62" s="380">
        <f t="shared" si="548"/>
        <v>4814.21365970844</v>
      </c>
      <c r="EY62" s="380">
        <f t="shared" si="549"/>
        <v>3522.0580428954222</v>
      </c>
      <c r="EZ62" s="389">
        <f t="shared" si="550"/>
        <v>3949.4255553034086</v>
      </c>
      <c r="FA62" s="381">
        <f t="shared" si="551"/>
        <v>40421.527663048852</v>
      </c>
      <c r="FB62" s="379">
        <f t="shared" si="552"/>
        <v>224.8767475111888</v>
      </c>
      <c r="FC62" s="380">
        <f t="shared" si="553"/>
        <v>914.14154631916165</v>
      </c>
      <c r="FD62" s="380">
        <f t="shared" si="554"/>
        <v>1324.2563119388847</v>
      </c>
      <c r="FE62" s="380">
        <f t="shared" si="555"/>
        <v>766.73899286181586</v>
      </c>
      <c r="FF62" s="380">
        <f t="shared" si="556"/>
        <v>285.41321652167687</v>
      </c>
      <c r="FG62" s="380">
        <f t="shared" si="557"/>
        <v>290.98999866832531</v>
      </c>
      <c r="FH62" s="380">
        <f t="shared" si="558"/>
        <v>3839.3291625409638</v>
      </c>
      <c r="FI62" s="380">
        <f t="shared" si="559"/>
        <v>3444.1554148275268</v>
      </c>
      <c r="FJ62" s="380">
        <f t="shared" si="560"/>
        <v>2182.0278755044742</v>
      </c>
      <c r="FK62" s="380">
        <f t="shared" si="561"/>
        <v>3694.0251406617554</v>
      </c>
      <c r="FL62" s="380">
        <f t="shared" si="562"/>
        <v>2417.5646114539309</v>
      </c>
      <c r="FM62" s="389">
        <f t="shared" si="563"/>
        <v>4782.4711198998675</v>
      </c>
      <c r="FN62" s="381">
        <f t="shared" si="564"/>
        <v>24165.990138709571</v>
      </c>
      <c r="FO62" s="379">
        <f t="shared" si="565"/>
        <v>1874.9435122119919</v>
      </c>
      <c r="FP62" s="380">
        <f t="shared" si="566"/>
        <v>1218.7475576822326</v>
      </c>
      <c r="FQ62" s="380">
        <f t="shared" si="567"/>
        <v>1020.5470204575062</v>
      </c>
      <c r="FR62" s="380">
        <f t="shared" si="568"/>
        <v>956.59012797277194</v>
      </c>
      <c r="FS62" s="380">
        <f t="shared" si="569"/>
        <v>1145.7524553965525</v>
      </c>
      <c r="FT62" s="380">
        <f t="shared" si="570"/>
        <v>1148.4654391480576</v>
      </c>
      <c r="FU62" s="380">
        <f t="shared" si="571"/>
        <v>2162.7659587699354</v>
      </c>
      <c r="FV62" s="380">
        <f t="shared" si="572"/>
        <v>1551.4359483424521</v>
      </c>
      <c r="FW62" s="380">
        <f t="shared" si="573"/>
        <v>1772.4028601776165</v>
      </c>
      <c r="FX62" s="380">
        <f t="shared" si="574"/>
        <v>1406.6485548910439</v>
      </c>
      <c r="FY62" s="380">
        <f t="shared" si="575"/>
        <v>2027.1805415967931</v>
      </c>
      <c r="FZ62" s="389">
        <f t="shared" si="576"/>
        <v>2485.4959070789569</v>
      </c>
      <c r="GA62" s="381">
        <f t="shared" si="371"/>
        <v>18770.975883725911</v>
      </c>
      <c r="GB62" s="379">
        <f t="shared" si="577"/>
        <v>717.41911435216116</v>
      </c>
      <c r="GC62" s="380">
        <f t="shared" si="578"/>
        <v>333.12035644896753</v>
      </c>
      <c r="GD62" s="380">
        <f t="shared" si="579"/>
        <v>621.442711979828</v>
      </c>
      <c r="GE62" s="380">
        <f t="shared" si="580"/>
        <v>608.7081162495399</v>
      </c>
      <c r="GF62" s="380">
        <f t="shared" si="581"/>
        <v>896.31547780191931</v>
      </c>
      <c r="GG62" s="380">
        <f t="shared" si="582"/>
        <v>937.08860623964074</v>
      </c>
      <c r="GH62" s="380">
        <f t="shared" si="583"/>
        <v>1163.7810512078438</v>
      </c>
      <c r="GI62" s="380">
        <f t="shared" si="584"/>
        <v>816.37876334655164</v>
      </c>
      <c r="GJ62" s="380">
        <f t="shared" si="585"/>
        <v>625.56311485173478</v>
      </c>
      <c r="GK62" s="380">
        <f t="shared" si="586"/>
        <v>1084.0636223650354</v>
      </c>
      <c r="GL62" s="380">
        <f t="shared" si="587"/>
        <v>812.25082164284936</v>
      </c>
      <c r="GM62" s="389">
        <f t="shared" si="588"/>
        <v>2720.0066911374847</v>
      </c>
      <c r="GN62" s="381">
        <f t="shared" si="372"/>
        <v>11336.138447623556</v>
      </c>
      <c r="GO62" s="379">
        <f t="shared" si="589"/>
        <v>1227.1805105973565</v>
      </c>
      <c r="GP62" s="380">
        <f t="shared" si="590"/>
        <v>1945.7562536536013</v>
      </c>
      <c r="GQ62" s="380">
        <f t="shared" si="591"/>
        <v>1544.3232406237589</v>
      </c>
      <c r="GR62" s="380">
        <f t="shared" si="592"/>
        <v>1825.3955291315706</v>
      </c>
      <c r="GS62" s="380">
        <f t="shared" si="593"/>
        <v>1451.7625057057339</v>
      </c>
      <c r="GT62" s="380">
        <f t="shared" si="594"/>
        <v>1679.4366190962417</v>
      </c>
      <c r="GU62" s="380">
        <f t="shared" si="595"/>
        <v>2317.0434940956611</v>
      </c>
      <c r="GV62" s="380">
        <f t="shared" si="596"/>
        <v>1522.5257743347352</v>
      </c>
      <c r="GW62" s="380">
        <f t="shared" si="597"/>
        <v>1436.8312031015157</v>
      </c>
      <c r="GX62" s="380">
        <f t="shared" si="598"/>
        <v>1736.1288521957299</v>
      </c>
      <c r="GY62" s="380">
        <f t="shared" si="599"/>
        <v>1881.3416581239705</v>
      </c>
      <c r="GZ62" s="389">
        <f t="shared" si="600"/>
        <v>2378.9609951965872</v>
      </c>
      <c r="HA62" s="381">
        <f t="shared" si="373"/>
        <v>20946.686635856458</v>
      </c>
      <c r="HB62" s="379">
        <f t="shared" si="601"/>
        <v>1268.4115802085751</v>
      </c>
      <c r="HC62" s="380">
        <f t="shared" si="602"/>
        <v>1261.3480312336665</v>
      </c>
      <c r="HD62" s="380">
        <f t="shared" si="603"/>
        <v>1423.1214456801952</v>
      </c>
      <c r="HE62" s="380">
        <f t="shared" si="604"/>
        <v>1344.7315088968548</v>
      </c>
      <c r="HF62" s="380">
        <f t="shared" si="605"/>
        <v>1482.390130879033</v>
      </c>
      <c r="HG62" s="380">
        <f t="shared" si="606"/>
        <v>1407.7044018792496</v>
      </c>
      <c r="HH62" s="380">
        <f t="shared" si="607"/>
        <v>2521.6467487073969</v>
      </c>
      <c r="HI62" s="380">
        <f t="shared" si="608"/>
        <v>1541.5699955541695</v>
      </c>
      <c r="HJ62" s="380">
        <f t="shared" si="609"/>
        <v>1450.201801178406</v>
      </c>
      <c r="HK62" s="380">
        <f t="shared" si="610"/>
        <v>1550.5891242203538</v>
      </c>
      <c r="HL62" s="380">
        <f t="shared" si="611"/>
        <v>1554.2283339248697</v>
      </c>
      <c r="HM62" s="389">
        <f t="shared" si="612"/>
        <v>3491.6349435665511</v>
      </c>
      <c r="HN62" s="381">
        <f t="shared" si="374"/>
        <v>20297.57804592932</v>
      </c>
      <c r="HO62" s="379">
        <f t="shared" si="613"/>
        <v>1702.6569357477968</v>
      </c>
      <c r="HP62" s="380">
        <f t="shared" si="614"/>
        <v>1999.1301072620831</v>
      </c>
      <c r="HQ62" s="380">
        <f t="shared" si="615"/>
        <v>1960.3688376010919</v>
      </c>
      <c r="HR62" s="380">
        <f t="shared" si="616"/>
        <v>2412.70649482007</v>
      </c>
      <c r="HS62" s="380">
        <f t="shared" si="617"/>
        <v>2622.8811052403016</v>
      </c>
      <c r="HT62" s="380">
        <f t="shared" si="618"/>
        <v>2644.2918731180512</v>
      </c>
      <c r="HU62" s="380">
        <f t="shared" si="619"/>
        <v>3901.4903203924196</v>
      </c>
      <c r="HV62" s="380">
        <f t="shared" si="620"/>
        <v>2248.5986480521492</v>
      </c>
      <c r="HW62" s="380">
        <f t="shared" si="621"/>
        <v>2085.0563510493298</v>
      </c>
      <c r="HX62" s="380">
        <f t="shared" si="622"/>
        <v>2109.2355135387811</v>
      </c>
      <c r="HY62" s="380">
        <f t="shared" si="623"/>
        <v>1887.3438463085133</v>
      </c>
      <c r="HZ62" s="389">
        <f t="shared" si="624"/>
        <v>2986.8727372097965</v>
      </c>
      <c r="IA62" s="379">
        <f>SUM(HO62:HZ62)</f>
        <v>28560.632770340384</v>
      </c>
      <c r="IB62" s="1344">
        <f t="shared" si="625"/>
        <v>1640.6715171384787</v>
      </c>
      <c r="IC62" s="120">
        <f t="shared" si="376"/>
        <v>2078.2857646279049</v>
      </c>
      <c r="ID62" s="120">
        <f t="shared" si="377"/>
        <v>2088.6421441584343</v>
      </c>
      <c r="IE62" s="120">
        <f t="shared" si="378"/>
        <v>2029.0220067248499</v>
      </c>
      <c r="IF62" s="120">
        <f t="shared" si="379"/>
        <v>2297.4683486967033</v>
      </c>
      <c r="IG62" s="120">
        <f t="shared" si="380"/>
        <v>2072.1496945428744</v>
      </c>
      <c r="IH62" s="120">
        <f t="shared" si="381"/>
        <v>3189.1156785247599</v>
      </c>
      <c r="II62" s="120">
        <f t="shared" si="382"/>
        <v>3012.5360521753114</v>
      </c>
      <c r="IM62" s="1345"/>
      <c r="IN62" s="1346">
        <f t="shared" si="383"/>
        <v>18407.891206589316</v>
      </c>
      <c r="IP62" s="371">
        <f t="shared" si="355"/>
        <v>33.973933266611354</v>
      </c>
      <c r="IQ62" s="348">
        <f t="shared" si="626"/>
        <v>-5.5624163776130882</v>
      </c>
      <c r="IR62" s="320">
        <f t="shared" si="356"/>
        <v>19492.124322233962</v>
      </c>
      <c r="IS62" s="344">
        <f t="shared" si="357"/>
        <v>18407.891206589316</v>
      </c>
    </row>
    <row r="63" spans="1:264" ht="15" customHeight="1" x14ac:dyDescent="0.2">
      <c r="A63" s="1551" t="s">
        <v>430</v>
      </c>
      <c r="B63" s="80"/>
      <c r="C63" s="385"/>
      <c r="D63" s="385"/>
      <c r="E63" s="385"/>
      <c r="F63" s="385"/>
      <c r="G63" s="385"/>
      <c r="H63" s="385"/>
      <c r="I63" s="385"/>
      <c r="J63" s="385"/>
      <c r="K63" s="385"/>
      <c r="L63" s="385"/>
      <c r="M63" s="391"/>
      <c r="N63" s="381"/>
      <c r="O63" s="80"/>
      <c r="P63" s="385"/>
      <c r="Q63" s="385"/>
      <c r="R63" s="385"/>
      <c r="S63" s="385"/>
      <c r="T63" s="385"/>
      <c r="U63" s="385"/>
      <c r="V63" s="385"/>
      <c r="W63" s="385"/>
      <c r="X63" s="385"/>
      <c r="Y63" s="385"/>
      <c r="Z63" s="391"/>
      <c r="AA63" s="381"/>
      <c r="AB63" s="80">
        <f t="shared" si="424"/>
        <v>0</v>
      </c>
      <c r="AC63" s="385">
        <f t="shared" si="425"/>
        <v>0</v>
      </c>
      <c r="AD63" s="385">
        <f t="shared" si="426"/>
        <v>0</v>
      </c>
      <c r="AE63" s="385">
        <f t="shared" si="427"/>
        <v>0</v>
      </c>
      <c r="AF63" s="385">
        <f t="shared" si="428"/>
        <v>0</v>
      </c>
      <c r="AG63" s="385">
        <f t="shared" si="429"/>
        <v>0</v>
      </c>
      <c r="AH63" s="385">
        <f t="shared" si="430"/>
        <v>0</v>
      </c>
      <c r="AI63" s="385">
        <f t="shared" si="431"/>
        <v>0</v>
      </c>
      <c r="AJ63" s="385">
        <f t="shared" si="432"/>
        <v>0</v>
      </c>
      <c r="AK63" s="385">
        <f t="shared" si="433"/>
        <v>0</v>
      </c>
      <c r="AL63" s="385">
        <f t="shared" si="434"/>
        <v>0</v>
      </c>
      <c r="AM63" s="391">
        <f t="shared" si="435"/>
        <v>0</v>
      </c>
      <c r="AN63" s="381">
        <f t="shared" si="627"/>
        <v>0</v>
      </c>
      <c r="AO63" s="80">
        <f t="shared" si="436"/>
        <v>0</v>
      </c>
      <c r="AP63" s="385">
        <f t="shared" si="437"/>
        <v>0</v>
      </c>
      <c r="AQ63" s="385">
        <f t="shared" si="438"/>
        <v>0</v>
      </c>
      <c r="AR63" s="385"/>
      <c r="AS63" s="385"/>
      <c r="AT63" s="385"/>
      <c r="AU63" s="385"/>
      <c r="AV63" s="385"/>
      <c r="AW63" s="385"/>
      <c r="AX63" s="385"/>
      <c r="AY63" s="385"/>
      <c r="AZ63" s="391"/>
      <c r="BA63" s="381">
        <f t="shared" si="628"/>
        <v>0</v>
      </c>
      <c r="BB63" s="80"/>
      <c r="BC63" s="385"/>
      <c r="BD63" s="385"/>
      <c r="BE63" s="385"/>
      <c r="BF63" s="385"/>
      <c r="BG63" s="385"/>
      <c r="BH63" s="385"/>
      <c r="BI63" s="385"/>
      <c r="BJ63" s="385"/>
      <c r="BK63" s="385"/>
      <c r="BL63" s="385"/>
      <c r="BM63" s="391"/>
      <c r="BN63" s="381"/>
      <c r="BO63" s="80"/>
      <c r="BP63" s="385"/>
      <c r="BQ63" s="385"/>
      <c r="BR63" s="385"/>
      <c r="BS63" s="385"/>
      <c r="BT63" s="385"/>
      <c r="BU63" s="385"/>
      <c r="BV63" s="385"/>
      <c r="BW63" s="385"/>
      <c r="BX63" s="385"/>
      <c r="BY63" s="385"/>
      <c r="BZ63" s="391"/>
      <c r="CA63" s="381"/>
      <c r="CB63" s="80"/>
      <c r="CC63" s="385"/>
      <c r="CD63" s="385"/>
      <c r="CE63" s="385"/>
      <c r="CF63" s="385"/>
      <c r="CG63" s="385"/>
      <c r="CH63" s="385"/>
      <c r="CI63" s="385"/>
      <c r="CJ63" s="385"/>
      <c r="CK63" s="385"/>
      <c r="CL63" s="385"/>
      <c r="CM63" s="391"/>
      <c r="CN63" s="381"/>
      <c r="CO63" s="80"/>
      <c r="CP63" s="385"/>
      <c r="CQ63" s="385"/>
      <c r="CR63" s="385"/>
      <c r="CS63" s="385"/>
      <c r="CT63" s="385"/>
      <c r="CU63" s="385"/>
      <c r="CV63" s="385"/>
      <c r="CW63" s="385"/>
      <c r="CX63" s="385"/>
      <c r="CY63" s="385"/>
      <c r="CZ63" s="391"/>
      <c r="DA63" s="381"/>
      <c r="DB63" s="80"/>
      <c r="DC63" s="385"/>
      <c r="DD63" s="385"/>
      <c r="DE63" s="385"/>
      <c r="DF63" s="385"/>
      <c r="DG63" s="385"/>
      <c r="DH63" s="385"/>
      <c r="DI63" s="385"/>
      <c r="DJ63" s="385"/>
      <c r="DK63" s="385"/>
      <c r="DL63" s="385"/>
      <c r="DM63" s="391"/>
      <c r="DN63" s="381"/>
      <c r="DO63" s="80"/>
      <c r="DP63" s="385"/>
      <c r="DQ63" s="385"/>
      <c r="DR63" s="385"/>
      <c r="DS63" s="385"/>
      <c r="DT63" s="385"/>
      <c r="DU63" s="385"/>
      <c r="DV63" s="385"/>
      <c r="DW63" s="385"/>
      <c r="DX63" s="385"/>
      <c r="DY63" s="385"/>
      <c r="DZ63" s="391"/>
      <c r="EA63" s="381"/>
      <c r="EB63" s="80"/>
      <c r="EC63" s="385"/>
      <c r="ED63" s="385"/>
      <c r="EE63" s="385"/>
      <c r="EF63" s="385"/>
      <c r="EG63" s="385"/>
      <c r="EH63" s="385"/>
      <c r="EI63" s="385"/>
      <c r="EJ63" s="385"/>
      <c r="EK63" s="385"/>
      <c r="EL63" s="385"/>
      <c r="EM63" s="391"/>
      <c r="EN63" s="381"/>
      <c r="EO63" s="80"/>
      <c r="EP63" s="385"/>
      <c r="EQ63" s="385"/>
      <c r="ER63" s="385"/>
      <c r="ES63" s="385"/>
      <c r="ET63" s="385"/>
      <c r="EU63" s="385"/>
      <c r="EV63" s="385"/>
      <c r="EW63" s="385"/>
      <c r="EX63" s="385"/>
      <c r="EY63" s="385"/>
      <c r="EZ63" s="391"/>
      <c r="FA63" s="381"/>
      <c r="FB63" s="80"/>
      <c r="FC63" s="385"/>
      <c r="FD63" s="385"/>
      <c r="FE63" s="385"/>
      <c r="FF63" s="385"/>
      <c r="FG63" s="385"/>
      <c r="FH63" s="385"/>
      <c r="FI63" s="385"/>
      <c r="FJ63" s="385"/>
      <c r="FK63" s="385"/>
      <c r="FL63" s="385"/>
      <c r="FM63" s="391"/>
      <c r="FN63" s="381"/>
      <c r="FO63" s="80"/>
      <c r="FP63" s="385"/>
      <c r="FQ63" s="385"/>
      <c r="FR63" s="385"/>
      <c r="FS63" s="385"/>
      <c r="FT63" s="385"/>
      <c r="FU63" s="385"/>
      <c r="FV63" s="385"/>
      <c r="FW63" s="385"/>
      <c r="FX63" s="385"/>
      <c r="FY63" s="385"/>
      <c r="FZ63" s="391"/>
      <c r="GA63" s="381"/>
      <c r="GB63" s="80"/>
      <c r="GC63" s="385"/>
      <c r="GD63" s="385"/>
      <c r="GE63" s="385"/>
      <c r="GF63" s="385"/>
      <c r="GG63" s="385"/>
      <c r="GH63" s="385"/>
      <c r="GI63" s="385"/>
      <c r="GJ63" s="385"/>
      <c r="GK63" s="385"/>
      <c r="GL63" s="385"/>
      <c r="GM63" s="391"/>
      <c r="GN63" s="381"/>
      <c r="GO63" s="80"/>
      <c r="GP63" s="385"/>
      <c r="GQ63" s="385"/>
      <c r="GR63" s="385"/>
      <c r="GS63" s="385"/>
      <c r="GT63" s="385"/>
      <c r="GU63" s="385"/>
      <c r="GV63" s="385"/>
      <c r="GW63" s="385"/>
      <c r="GX63" s="385">
        <f t="shared" si="598"/>
        <v>0</v>
      </c>
      <c r="GY63" s="385">
        <f t="shared" si="599"/>
        <v>0</v>
      </c>
      <c r="GZ63" s="391">
        <f>+GZ29/$GY$37</f>
        <v>0</v>
      </c>
      <c r="HA63" s="381">
        <f t="shared" si="373"/>
        <v>0</v>
      </c>
      <c r="HB63" s="80"/>
      <c r="HC63" s="385"/>
      <c r="HD63" s="385"/>
      <c r="HE63" s="385">
        <f t="shared" si="604"/>
        <v>0</v>
      </c>
      <c r="HF63" s="385"/>
      <c r="HG63" s="385"/>
      <c r="HH63" s="385"/>
      <c r="HI63" s="385"/>
      <c r="HJ63" s="385"/>
      <c r="HK63" s="385"/>
      <c r="HL63" s="385"/>
      <c r="HM63" s="391"/>
      <c r="HN63" s="381">
        <f t="shared" si="374"/>
        <v>0</v>
      </c>
      <c r="HO63" s="80">
        <v>0</v>
      </c>
      <c r="HP63" s="385">
        <v>0</v>
      </c>
      <c r="HQ63" s="385">
        <v>0</v>
      </c>
      <c r="HR63" s="385">
        <v>0</v>
      </c>
      <c r="HS63" s="385">
        <v>0</v>
      </c>
      <c r="HT63" s="385">
        <v>0</v>
      </c>
      <c r="HU63" s="385">
        <v>0</v>
      </c>
      <c r="HV63" s="385">
        <v>0</v>
      </c>
      <c r="HW63" s="385">
        <v>0</v>
      </c>
      <c r="HX63" s="385">
        <v>0</v>
      </c>
      <c r="HY63" s="385">
        <v>0</v>
      </c>
      <c r="HZ63" s="391">
        <v>0</v>
      </c>
      <c r="IA63" s="379">
        <f t="shared" si="375"/>
        <v>0</v>
      </c>
      <c r="IB63" s="1344">
        <v>0</v>
      </c>
      <c r="IC63" s="120">
        <f t="shared" si="376"/>
        <v>0</v>
      </c>
      <c r="ID63" s="120">
        <f t="shared" si="377"/>
        <v>0</v>
      </c>
      <c r="IE63" s="120">
        <f t="shared" si="378"/>
        <v>0</v>
      </c>
      <c r="IF63" s="120">
        <f t="shared" si="379"/>
        <v>0</v>
      </c>
      <c r="IG63" s="120">
        <f t="shared" si="380"/>
        <v>0</v>
      </c>
      <c r="IH63" s="120">
        <f t="shared" si="381"/>
        <v>0</v>
      </c>
      <c r="II63" s="120">
        <f t="shared" si="382"/>
        <v>0</v>
      </c>
      <c r="IM63" s="1345"/>
      <c r="IN63" s="1346">
        <f t="shared" si="383"/>
        <v>0</v>
      </c>
      <c r="IP63" s="371" t="str">
        <f t="shared" si="355"/>
        <v/>
      </c>
      <c r="IQ63" s="348"/>
      <c r="IR63" s="320">
        <f t="shared" si="356"/>
        <v>0</v>
      </c>
      <c r="IS63" s="344">
        <f t="shared" si="357"/>
        <v>0</v>
      </c>
    </row>
    <row r="64" spans="1:264" ht="15" customHeight="1" x14ac:dyDescent="0.2">
      <c r="A64" s="1551" t="s">
        <v>405</v>
      </c>
      <c r="B64" s="80"/>
      <c r="C64" s="385"/>
      <c r="D64" s="385"/>
      <c r="E64" s="385"/>
      <c r="F64" s="385"/>
      <c r="G64" s="385"/>
      <c r="H64" s="385"/>
      <c r="I64" s="385"/>
      <c r="J64" s="385"/>
      <c r="K64" s="385"/>
      <c r="L64" s="385"/>
      <c r="M64" s="391"/>
      <c r="N64" s="381"/>
      <c r="O64" s="80"/>
      <c r="P64" s="385"/>
      <c r="Q64" s="385"/>
      <c r="R64" s="385"/>
      <c r="S64" s="385"/>
      <c r="T64" s="385"/>
      <c r="U64" s="385"/>
      <c r="V64" s="385"/>
      <c r="W64" s="385"/>
      <c r="X64" s="385"/>
      <c r="Y64" s="385"/>
      <c r="Z64" s="391"/>
      <c r="AA64" s="381"/>
      <c r="AB64" s="80">
        <f t="shared" si="424"/>
        <v>0</v>
      </c>
      <c r="AC64" s="385">
        <f t="shared" si="425"/>
        <v>0</v>
      </c>
      <c r="AD64" s="385">
        <f t="shared" si="426"/>
        <v>0</v>
      </c>
      <c r="AE64" s="385">
        <f t="shared" si="427"/>
        <v>0</v>
      </c>
      <c r="AF64" s="385">
        <f t="shared" si="428"/>
        <v>0</v>
      </c>
      <c r="AG64" s="385">
        <f t="shared" si="429"/>
        <v>0</v>
      </c>
      <c r="AH64" s="385">
        <f t="shared" si="430"/>
        <v>0</v>
      </c>
      <c r="AI64" s="385">
        <f t="shared" si="431"/>
        <v>0</v>
      </c>
      <c r="AJ64" s="385">
        <f t="shared" si="432"/>
        <v>0</v>
      </c>
      <c r="AK64" s="385">
        <f t="shared" si="433"/>
        <v>0</v>
      </c>
      <c r="AL64" s="385">
        <f t="shared" si="434"/>
        <v>0</v>
      </c>
      <c r="AM64" s="391">
        <f t="shared" si="435"/>
        <v>0</v>
      </c>
      <c r="AN64" s="381">
        <f t="shared" si="627"/>
        <v>0</v>
      </c>
      <c r="AO64" s="80">
        <f t="shared" si="436"/>
        <v>0</v>
      </c>
      <c r="AP64" s="385">
        <f t="shared" si="437"/>
        <v>0</v>
      </c>
      <c r="AQ64" s="385">
        <f t="shared" si="438"/>
        <v>0</v>
      </c>
      <c r="AR64" s="385"/>
      <c r="AS64" s="385"/>
      <c r="AT64" s="385"/>
      <c r="AU64" s="385"/>
      <c r="AV64" s="385"/>
      <c r="AW64" s="385"/>
      <c r="AX64" s="385"/>
      <c r="AY64" s="385"/>
      <c r="AZ64" s="391"/>
      <c r="BA64" s="381">
        <f t="shared" si="628"/>
        <v>0</v>
      </c>
      <c r="BB64" s="80"/>
      <c r="BC64" s="385"/>
      <c r="BD64" s="385"/>
      <c r="BE64" s="385"/>
      <c r="BF64" s="385"/>
      <c r="BG64" s="385"/>
      <c r="BH64" s="385"/>
      <c r="BI64" s="385"/>
      <c r="BJ64" s="385"/>
      <c r="BK64" s="385"/>
      <c r="BL64" s="385"/>
      <c r="BM64" s="391"/>
      <c r="BN64" s="381"/>
      <c r="BO64" s="80"/>
      <c r="BP64" s="385"/>
      <c r="BQ64" s="385"/>
      <c r="BR64" s="385"/>
      <c r="BS64" s="385"/>
      <c r="BT64" s="385"/>
      <c r="BU64" s="385"/>
      <c r="BV64" s="385"/>
      <c r="BW64" s="385"/>
      <c r="BX64" s="385"/>
      <c r="BY64" s="385"/>
      <c r="BZ64" s="391"/>
      <c r="CA64" s="381"/>
      <c r="CB64" s="80"/>
      <c r="CC64" s="385"/>
      <c r="CD64" s="385"/>
      <c r="CE64" s="385"/>
      <c r="CF64" s="385"/>
      <c r="CG64" s="385"/>
      <c r="CH64" s="385"/>
      <c r="CI64" s="385"/>
      <c r="CJ64" s="385"/>
      <c r="CK64" s="385"/>
      <c r="CL64" s="385"/>
      <c r="CM64" s="391"/>
      <c r="CN64" s="381"/>
      <c r="CO64" s="80"/>
      <c r="CP64" s="385"/>
      <c r="CQ64" s="385"/>
      <c r="CR64" s="385"/>
      <c r="CS64" s="385"/>
      <c r="CT64" s="385"/>
      <c r="CU64" s="385"/>
      <c r="CV64" s="385"/>
      <c r="CW64" s="385"/>
      <c r="CX64" s="385"/>
      <c r="CY64" s="385"/>
      <c r="CZ64" s="391"/>
      <c r="DA64" s="381"/>
      <c r="DB64" s="80"/>
      <c r="DC64" s="385"/>
      <c r="DD64" s="385"/>
      <c r="DE64" s="385"/>
      <c r="DF64" s="385"/>
      <c r="DG64" s="385"/>
      <c r="DH64" s="385"/>
      <c r="DI64" s="385"/>
      <c r="DJ64" s="385"/>
      <c r="DK64" s="385"/>
      <c r="DL64" s="385"/>
      <c r="DM64" s="391"/>
      <c r="DN64" s="381"/>
      <c r="DO64" s="80"/>
      <c r="DP64" s="385"/>
      <c r="DQ64" s="385"/>
      <c r="DR64" s="385"/>
      <c r="DS64" s="385"/>
      <c r="DT64" s="385"/>
      <c r="DU64" s="385"/>
      <c r="DV64" s="385"/>
      <c r="DW64" s="385"/>
      <c r="DX64" s="385"/>
      <c r="DY64" s="385"/>
      <c r="DZ64" s="391"/>
      <c r="EA64" s="381"/>
      <c r="EB64" s="80"/>
      <c r="EC64" s="385"/>
      <c r="ED64" s="385"/>
      <c r="EE64" s="385"/>
      <c r="EF64" s="385"/>
      <c r="EG64" s="385"/>
      <c r="EH64" s="385"/>
      <c r="EI64" s="385"/>
      <c r="EJ64" s="385"/>
      <c r="EK64" s="385"/>
      <c r="EL64" s="385"/>
      <c r="EM64" s="391"/>
      <c r="EN64" s="381"/>
      <c r="EO64" s="80"/>
      <c r="EP64" s="385"/>
      <c r="EQ64" s="385"/>
      <c r="ER64" s="385"/>
      <c r="ES64" s="385"/>
      <c r="ET64" s="385"/>
      <c r="EU64" s="385"/>
      <c r="EV64" s="385"/>
      <c r="EW64" s="385"/>
      <c r="EX64" s="385"/>
      <c r="EY64" s="385"/>
      <c r="EZ64" s="391"/>
      <c r="FA64" s="381"/>
      <c r="FB64" s="80"/>
      <c r="FC64" s="385"/>
      <c r="FD64" s="385"/>
      <c r="FE64" s="385"/>
      <c r="FF64" s="385"/>
      <c r="FG64" s="385"/>
      <c r="FH64" s="385"/>
      <c r="FI64" s="385"/>
      <c r="FJ64" s="385"/>
      <c r="FK64" s="385"/>
      <c r="FL64" s="385"/>
      <c r="FM64" s="391"/>
      <c r="FN64" s="381"/>
      <c r="FO64" s="80"/>
      <c r="FP64" s="385"/>
      <c r="FQ64" s="385"/>
      <c r="FR64" s="385"/>
      <c r="FS64" s="385"/>
      <c r="FT64" s="385"/>
      <c r="FU64" s="385"/>
      <c r="FV64" s="385"/>
      <c r="FW64" s="385"/>
      <c r="FX64" s="385"/>
      <c r="FY64" s="385"/>
      <c r="FZ64" s="391"/>
      <c r="GA64" s="381"/>
      <c r="GB64" s="80"/>
      <c r="GC64" s="385"/>
      <c r="GD64" s="385"/>
      <c r="GE64" s="385"/>
      <c r="GF64" s="385"/>
      <c r="GG64" s="385"/>
      <c r="GH64" s="385"/>
      <c r="GI64" s="385"/>
      <c r="GJ64" s="385"/>
      <c r="GK64" s="385"/>
      <c r="GL64" s="385"/>
      <c r="GM64" s="391"/>
      <c r="GN64" s="381"/>
      <c r="GO64" s="80"/>
      <c r="GP64" s="385"/>
      <c r="GQ64" s="385"/>
      <c r="GR64" s="385"/>
      <c r="GS64" s="385"/>
      <c r="GT64" s="385"/>
      <c r="GU64" s="385"/>
      <c r="GV64" s="385"/>
      <c r="GW64" s="385"/>
      <c r="GX64" s="385">
        <f t="shared" si="598"/>
        <v>0</v>
      </c>
      <c r="GY64" s="385">
        <f t="shared" si="599"/>
        <v>0</v>
      </c>
      <c r="GZ64" s="391">
        <f>+GZ30/$GY$37</f>
        <v>0</v>
      </c>
      <c r="HA64" s="381"/>
      <c r="HB64" s="80"/>
      <c r="HC64" s="385"/>
      <c r="HD64" s="385"/>
      <c r="HE64" s="385">
        <f t="shared" si="604"/>
        <v>0</v>
      </c>
      <c r="HF64" s="385"/>
      <c r="HG64" s="385"/>
      <c r="HH64" s="385"/>
      <c r="HI64" s="385"/>
      <c r="HJ64" s="385"/>
      <c r="HK64" s="385"/>
      <c r="HL64" s="385"/>
      <c r="HM64" s="391"/>
      <c r="HN64" s="381"/>
      <c r="HO64" s="80">
        <v>0</v>
      </c>
      <c r="HP64" s="385">
        <v>0</v>
      </c>
      <c r="HQ64" s="385">
        <v>0</v>
      </c>
      <c r="HR64" s="385">
        <v>0</v>
      </c>
      <c r="HS64" s="385">
        <v>0</v>
      </c>
      <c r="HT64" s="385">
        <v>0</v>
      </c>
      <c r="HU64" s="385">
        <v>0</v>
      </c>
      <c r="HV64" s="385">
        <v>0</v>
      </c>
      <c r="HW64" s="385">
        <v>0</v>
      </c>
      <c r="HX64" s="385">
        <v>0</v>
      </c>
      <c r="HY64" s="385">
        <v>0</v>
      </c>
      <c r="HZ64" s="391">
        <v>0</v>
      </c>
      <c r="IA64" s="379">
        <f t="shared" si="375"/>
        <v>0</v>
      </c>
      <c r="IB64" s="1344">
        <v>0</v>
      </c>
      <c r="IC64" s="120">
        <f t="shared" si="376"/>
        <v>0</v>
      </c>
      <c r="ID64" s="120">
        <f t="shared" si="377"/>
        <v>0</v>
      </c>
      <c r="IE64" s="120">
        <f t="shared" si="378"/>
        <v>0</v>
      </c>
      <c r="IF64" s="120">
        <f t="shared" si="379"/>
        <v>0</v>
      </c>
      <c r="IG64" s="120">
        <f t="shared" si="380"/>
        <v>0</v>
      </c>
      <c r="IH64" s="120">
        <f t="shared" si="381"/>
        <v>0</v>
      </c>
      <c r="II64" s="120">
        <f t="shared" si="382"/>
        <v>0</v>
      </c>
      <c r="IM64" s="1345"/>
      <c r="IN64" s="1346">
        <f t="shared" si="383"/>
        <v>0</v>
      </c>
      <c r="IP64" s="371" t="str">
        <f t="shared" ref="IP64" si="629">IFERROR(((IE64/HR64)-1)*100,"")</f>
        <v/>
      </c>
      <c r="IQ64" s="348"/>
      <c r="IR64" s="320">
        <f t="shared" si="356"/>
        <v>0</v>
      </c>
      <c r="IS64" s="344">
        <f t="shared" si="357"/>
        <v>0</v>
      </c>
    </row>
    <row r="65" spans="1:253" ht="15" customHeight="1" x14ac:dyDescent="0.2">
      <c r="A65" s="349"/>
      <c r="B65" s="81"/>
      <c r="C65" s="386"/>
      <c r="D65" s="386"/>
      <c r="E65" s="386"/>
      <c r="F65" s="386"/>
      <c r="G65" s="386"/>
      <c r="H65" s="386"/>
      <c r="I65" s="386"/>
      <c r="J65" s="386"/>
      <c r="K65" s="386"/>
      <c r="L65" s="386"/>
      <c r="M65" s="392"/>
      <c r="N65" s="399"/>
      <c r="O65" s="81"/>
      <c r="P65" s="386"/>
      <c r="Q65" s="386"/>
      <c r="R65" s="386"/>
      <c r="S65" s="386"/>
      <c r="T65" s="386"/>
      <c r="U65" s="386"/>
      <c r="V65" s="386"/>
      <c r="W65" s="386"/>
      <c r="X65" s="386"/>
      <c r="Y65" s="386"/>
      <c r="Z65" s="392"/>
      <c r="AA65" s="399"/>
      <c r="AB65" s="81"/>
      <c r="AC65" s="386"/>
      <c r="AD65" s="386"/>
      <c r="AE65" s="386"/>
      <c r="AF65" s="386"/>
      <c r="AG65" s="386"/>
      <c r="AH65" s="386"/>
      <c r="AI65" s="386"/>
      <c r="AJ65" s="386"/>
      <c r="AK65" s="386"/>
      <c r="AL65" s="386"/>
      <c r="AM65" s="392"/>
      <c r="AN65" s="399"/>
      <c r="AO65" s="81"/>
      <c r="AP65" s="386"/>
      <c r="AQ65" s="386"/>
      <c r="AR65" s="386"/>
      <c r="AS65" s="386"/>
      <c r="AT65" s="386"/>
      <c r="AU65" s="386"/>
      <c r="AV65" s="386"/>
      <c r="AW65" s="386"/>
      <c r="AX65" s="386"/>
      <c r="AY65" s="386"/>
      <c r="AZ65" s="392"/>
      <c r="BA65" s="399"/>
      <c r="BB65" s="81"/>
      <c r="BC65" s="386"/>
      <c r="BD65" s="386"/>
      <c r="BE65" s="386"/>
      <c r="BF65" s="386"/>
      <c r="BG65" s="386"/>
      <c r="BH65" s="386"/>
      <c r="BI65" s="386"/>
      <c r="BJ65" s="386"/>
      <c r="BK65" s="386"/>
      <c r="BL65" s="386"/>
      <c r="BM65" s="392"/>
      <c r="BN65" s="399"/>
      <c r="BO65" s="81"/>
      <c r="BP65" s="386"/>
      <c r="BQ65" s="386"/>
      <c r="BR65" s="386"/>
      <c r="BS65" s="386"/>
      <c r="BT65" s="386"/>
      <c r="BU65" s="386"/>
      <c r="BV65" s="386"/>
      <c r="BW65" s="386"/>
      <c r="BX65" s="386"/>
      <c r="BY65" s="386"/>
      <c r="BZ65" s="392"/>
      <c r="CA65" s="399"/>
      <c r="CB65" s="81"/>
      <c r="CC65" s="386"/>
      <c r="CD65" s="386"/>
      <c r="CE65" s="386"/>
      <c r="CF65" s="386"/>
      <c r="CG65" s="386"/>
      <c r="CH65" s="386"/>
      <c r="CI65" s="386"/>
      <c r="CJ65" s="386"/>
      <c r="CK65" s="386"/>
      <c r="CL65" s="386"/>
      <c r="CM65" s="392"/>
      <c r="CN65" s="399"/>
      <c r="CO65" s="81"/>
      <c r="CP65" s="386"/>
      <c r="CQ65" s="386"/>
      <c r="CR65" s="386"/>
      <c r="CS65" s="386"/>
      <c r="CT65" s="386"/>
      <c r="CU65" s="386"/>
      <c r="CV65" s="386"/>
      <c r="CW65" s="386"/>
      <c r="CX65" s="386"/>
      <c r="CY65" s="386"/>
      <c r="CZ65" s="392"/>
      <c r="DA65" s="399"/>
      <c r="DB65" s="81"/>
      <c r="DC65" s="386"/>
      <c r="DD65" s="386"/>
      <c r="DE65" s="386"/>
      <c r="DF65" s="386"/>
      <c r="DG65" s="386"/>
      <c r="DH65" s="386"/>
      <c r="DI65" s="386"/>
      <c r="DJ65" s="386"/>
      <c r="DK65" s="386"/>
      <c r="DL65" s="386"/>
      <c r="DM65" s="392"/>
      <c r="DN65" s="399"/>
      <c r="DO65" s="81"/>
      <c r="DP65" s="386"/>
      <c r="DQ65" s="386"/>
      <c r="DR65" s="386"/>
      <c r="DS65" s="386"/>
      <c r="DT65" s="386"/>
      <c r="DU65" s="386"/>
      <c r="DV65" s="386"/>
      <c r="DW65" s="386"/>
      <c r="DX65" s="386"/>
      <c r="DY65" s="386"/>
      <c r="DZ65" s="392"/>
      <c r="EA65" s="399"/>
      <c r="EB65" s="81"/>
      <c r="EC65" s="386"/>
      <c r="ED65" s="386"/>
      <c r="EE65" s="386"/>
      <c r="EF65" s="386"/>
      <c r="EG65" s="386"/>
      <c r="EH65" s="386"/>
      <c r="EI65" s="386"/>
      <c r="EJ65" s="386"/>
      <c r="EK65" s="386"/>
      <c r="EL65" s="386"/>
      <c r="EM65" s="392"/>
      <c r="EN65" s="399"/>
      <c r="EO65" s="81"/>
      <c r="EP65" s="386"/>
      <c r="EQ65" s="386"/>
      <c r="ER65" s="386"/>
      <c r="ES65" s="386"/>
      <c r="ET65" s="386"/>
      <c r="EU65" s="386"/>
      <c r="EV65" s="386"/>
      <c r="EW65" s="386"/>
      <c r="EX65" s="386"/>
      <c r="EY65" s="386"/>
      <c r="EZ65" s="392"/>
      <c r="FA65" s="399"/>
      <c r="FB65" s="81"/>
      <c r="FC65" s="386"/>
      <c r="FD65" s="386"/>
      <c r="FE65" s="386"/>
      <c r="FF65" s="386"/>
      <c r="FG65" s="386"/>
      <c r="FH65" s="386"/>
      <c r="FI65" s="386"/>
      <c r="FJ65" s="386"/>
      <c r="FK65" s="386"/>
      <c r="FL65" s="386"/>
      <c r="FM65" s="392"/>
      <c r="FN65" s="399"/>
      <c r="FO65" s="81"/>
      <c r="FP65" s="386"/>
      <c r="FQ65" s="386"/>
      <c r="FR65" s="386"/>
      <c r="FS65" s="386"/>
      <c r="FT65" s="386"/>
      <c r="FU65" s="386"/>
      <c r="FV65" s="386"/>
      <c r="FW65" s="386"/>
      <c r="FX65" s="386"/>
      <c r="FY65" s="386"/>
      <c r="FZ65" s="392"/>
      <c r="GA65" s="399"/>
      <c r="GB65" s="81"/>
      <c r="GC65" s="386"/>
      <c r="GD65" s="386"/>
      <c r="GE65" s="386"/>
      <c r="GF65" s="386"/>
      <c r="GG65" s="386"/>
      <c r="GH65" s="386"/>
      <c r="GI65" s="386"/>
      <c r="GJ65" s="386"/>
      <c r="GK65" s="386"/>
      <c r="GL65" s="386"/>
      <c r="GM65" s="392"/>
      <c r="GN65" s="399"/>
      <c r="GO65" s="81"/>
      <c r="GP65" s="386"/>
      <c r="GQ65" s="386"/>
      <c r="GR65" s="386"/>
      <c r="GS65" s="386"/>
      <c r="GT65" s="386"/>
      <c r="GU65" s="386"/>
      <c r="GV65" s="386"/>
      <c r="GW65" s="386"/>
      <c r="GX65" s="386"/>
      <c r="GY65" s="386"/>
      <c r="GZ65" s="392"/>
      <c r="HA65" s="399"/>
      <c r="HB65" s="81"/>
      <c r="HC65" s="386"/>
      <c r="HD65" s="386"/>
      <c r="HE65" s="386"/>
      <c r="HF65" s="386"/>
      <c r="HG65" s="386"/>
      <c r="HH65" s="386"/>
      <c r="HI65" s="386"/>
      <c r="HJ65" s="386"/>
      <c r="HK65" s="386"/>
      <c r="HL65" s="386"/>
      <c r="HM65" s="392"/>
      <c r="HN65" s="399"/>
      <c r="HO65" s="81"/>
      <c r="HP65" s="386"/>
      <c r="HQ65" s="386"/>
      <c r="HR65" s="386"/>
      <c r="HS65" s="386"/>
      <c r="HT65" s="386"/>
      <c r="HU65" s="386"/>
      <c r="HV65" s="386"/>
      <c r="HW65" s="386"/>
      <c r="HX65" s="386"/>
      <c r="HY65" s="386"/>
      <c r="HZ65" s="392"/>
      <c r="IA65" s="1347"/>
      <c r="IB65" s="1347"/>
      <c r="IC65" s="1348"/>
      <c r="ID65" s="1348"/>
      <c r="IE65" s="1348"/>
      <c r="IF65" s="1348"/>
      <c r="IG65" s="1348"/>
      <c r="IH65" s="1348"/>
      <c r="II65" s="1348"/>
      <c r="IJ65" s="1348"/>
      <c r="IK65" s="1348"/>
      <c r="IL65" s="1348"/>
      <c r="IM65" s="1349"/>
      <c r="IN65" s="399"/>
      <c r="IP65" s="372"/>
      <c r="IQ65" s="351"/>
      <c r="IR65" s="352"/>
      <c r="IS65" s="350"/>
    </row>
    <row r="66" spans="1:253" ht="15" customHeight="1" x14ac:dyDescent="0.2">
      <c r="A66" s="353" t="s">
        <v>301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4"/>
      <c r="Q66" s="354"/>
      <c r="R66" s="354"/>
      <c r="S66" s="354"/>
      <c r="T66" s="354"/>
      <c r="U66" s="354"/>
      <c r="V66" s="354"/>
      <c r="W66" s="354"/>
      <c r="X66" s="354"/>
      <c r="Y66" s="354"/>
      <c r="Z66" s="354"/>
      <c r="AA66" s="354"/>
      <c r="AC66" s="365">
        <f t="shared" ref="AC66:AZ66" si="630">AC57-AC41</f>
        <v>0</v>
      </c>
      <c r="AD66" s="365">
        <f t="shared" si="630"/>
        <v>0</v>
      </c>
      <c r="AE66" s="365">
        <f t="shared" si="630"/>
        <v>0</v>
      </c>
      <c r="AF66" s="365">
        <f t="shared" si="630"/>
        <v>0</v>
      </c>
      <c r="AG66" s="365">
        <f t="shared" si="630"/>
        <v>0</v>
      </c>
      <c r="AH66" s="365">
        <f t="shared" si="630"/>
        <v>0</v>
      </c>
      <c r="AI66" s="365">
        <f t="shared" si="630"/>
        <v>0</v>
      </c>
      <c r="AJ66" s="365">
        <f t="shared" si="630"/>
        <v>0</v>
      </c>
      <c r="AK66" s="365">
        <f t="shared" si="630"/>
        <v>0</v>
      </c>
      <c r="AL66" s="365">
        <f t="shared" si="630"/>
        <v>0</v>
      </c>
      <c r="AM66" s="365">
        <f t="shared" si="630"/>
        <v>0</v>
      </c>
      <c r="AN66" s="365">
        <f t="shared" si="630"/>
        <v>0</v>
      </c>
      <c r="AO66" s="365">
        <f t="shared" si="630"/>
        <v>0</v>
      </c>
      <c r="AP66" s="365">
        <f t="shared" si="630"/>
        <v>0</v>
      </c>
      <c r="AQ66" s="365">
        <f t="shared" si="630"/>
        <v>0</v>
      </c>
      <c r="AR66" s="365">
        <f t="shared" si="630"/>
        <v>0</v>
      </c>
      <c r="AS66" s="365">
        <f t="shared" si="630"/>
        <v>0</v>
      </c>
      <c r="AT66" s="365">
        <f t="shared" si="630"/>
        <v>0</v>
      </c>
      <c r="AU66" s="365">
        <f t="shared" si="630"/>
        <v>0</v>
      </c>
      <c r="AV66" s="365">
        <f t="shared" si="630"/>
        <v>0</v>
      </c>
      <c r="AW66" s="365">
        <f t="shared" si="630"/>
        <v>0</v>
      </c>
      <c r="AX66" s="365">
        <f t="shared" si="630"/>
        <v>0</v>
      </c>
      <c r="AY66" s="365">
        <f t="shared" si="630"/>
        <v>0</v>
      </c>
      <c r="AZ66" s="365">
        <f t="shared" si="630"/>
        <v>0</v>
      </c>
      <c r="BA66" s="365"/>
      <c r="BB66" s="365"/>
      <c r="BC66" s="365"/>
      <c r="BD66" s="365"/>
      <c r="BE66" s="365"/>
      <c r="BF66" s="365"/>
      <c r="BG66" s="365"/>
      <c r="BH66" s="365"/>
      <c r="BI66" s="365"/>
      <c r="BJ66" s="365"/>
      <c r="BK66" s="365"/>
      <c r="BL66" s="365"/>
      <c r="BM66" s="365"/>
      <c r="BN66" s="365"/>
      <c r="BO66" s="365"/>
      <c r="BP66" s="365"/>
      <c r="BQ66" s="365"/>
      <c r="BR66" s="365"/>
      <c r="BS66" s="365"/>
      <c r="BT66" s="365"/>
      <c r="BU66" s="365"/>
      <c r="BV66" s="365"/>
      <c r="BW66" s="365"/>
      <c r="BX66" s="365"/>
      <c r="BY66" s="365"/>
      <c r="BZ66" s="365"/>
      <c r="CA66" s="365"/>
      <c r="CB66" s="365"/>
      <c r="CC66" s="365"/>
      <c r="CD66" s="365"/>
      <c r="CE66" s="365"/>
      <c r="CF66" s="365"/>
      <c r="CG66" s="365"/>
      <c r="CH66" s="365"/>
      <c r="CI66" s="365"/>
      <c r="CJ66" s="365"/>
      <c r="CK66" s="365"/>
      <c r="CL66" s="365"/>
      <c r="CM66" s="365"/>
      <c r="CN66" s="365"/>
      <c r="CO66" s="365"/>
      <c r="CP66" s="365"/>
      <c r="CQ66" s="365"/>
      <c r="CR66" s="365"/>
      <c r="CS66" s="365"/>
      <c r="CT66" s="365"/>
      <c r="CU66" s="365"/>
      <c r="CV66" s="365"/>
      <c r="CW66" s="365"/>
      <c r="CX66" s="365"/>
      <c r="CY66" s="365"/>
      <c r="CZ66" s="365"/>
      <c r="DA66" s="365"/>
      <c r="DB66" s="365"/>
      <c r="DC66" s="365"/>
      <c r="DD66" s="365"/>
      <c r="DE66" s="365"/>
      <c r="DF66" s="365"/>
      <c r="DG66" s="365"/>
      <c r="DH66" s="365"/>
      <c r="DI66" s="365"/>
      <c r="DJ66" s="365"/>
      <c r="DK66" s="365"/>
      <c r="DL66" s="365"/>
      <c r="DM66" s="365"/>
      <c r="DN66" s="365"/>
      <c r="DO66" s="365"/>
      <c r="DP66" s="365"/>
      <c r="DQ66" s="365"/>
      <c r="DR66" s="365"/>
      <c r="DS66" s="365"/>
      <c r="DT66" s="365"/>
      <c r="DU66" s="365"/>
      <c r="DV66" s="365"/>
      <c r="DW66" s="365"/>
      <c r="DX66" s="365"/>
      <c r="DY66" s="365"/>
      <c r="DZ66" s="365"/>
      <c r="EA66" s="365"/>
      <c r="EB66" s="365"/>
      <c r="EC66" s="365"/>
      <c r="ED66" s="365"/>
      <c r="EE66" s="365"/>
      <c r="EF66" s="365"/>
      <c r="EG66" s="365"/>
      <c r="EH66" s="365"/>
      <c r="EI66" s="365"/>
      <c r="EJ66" s="365"/>
      <c r="EK66" s="365"/>
      <c r="EL66" s="365"/>
      <c r="EM66" s="365"/>
      <c r="EN66" s="365"/>
      <c r="EO66" s="365"/>
      <c r="EP66" s="365"/>
      <c r="EQ66" s="365"/>
      <c r="ER66" s="365"/>
      <c r="ES66" s="365"/>
      <c r="ET66" s="365"/>
      <c r="EU66" s="365"/>
      <c r="EV66" s="365"/>
      <c r="EW66" s="365"/>
      <c r="EX66" s="365"/>
      <c r="EY66" s="365"/>
      <c r="EZ66" s="365"/>
      <c r="FA66" s="365"/>
      <c r="FB66" s="365"/>
      <c r="FC66" s="365"/>
      <c r="FD66" s="365"/>
      <c r="FE66" s="365"/>
      <c r="FF66" s="365"/>
      <c r="FG66" s="365"/>
      <c r="FH66" s="365"/>
      <c r="FI66" s="365"/>
      <c r="FJ66" s="365"/>
      <c r="FK66" s="365"/>
      <c r="FL66" s="365"/>
      <c r="FM66" s="365"/>
      <c r="FN66" s="365"/>
      <c r="FO66" s="365"/>
      <c r="FP66" s="365"/>
      <c r="FQ66" s="365"/>
      <c r="FR66" s="365"/>
      <c r="FS66" s="365"/>
      <c r="FT66" s="365"/>
      <c r="FU66" s="365"/>
      <c r="FV66" s="365"/>
      <c r="FW66" s="365"/>
      <c r="FX66" s="365"/>
      <c r="FY66" s="365"/>
      <c r="FZ66" s="365"/>
      <c r="GA66" s="365"/>
      <c r="GB66" s="365"/>
      <c r="GC66" s="365"/>
      <c r="GD66" s="365"/>
      <c r="GE66" s="365"/>
      <c r="GF66" s="365"/>
      <c r="GG66" s="365"/>
      <c r="GH66" s="365"/>
      <c r="GI66" s="365"/>
      <c r="GJ66" s="365"/>
      <c r="GK66" s="365"/>
      <c r="GL66" s="366"/>
      <c r="GM66" s="366"/>
      <c r="GN66" s="366"/>
      <c r="GO66" s="366"/>
      <c r="GP66" s="366"/>
      <c r="GQ66" s="366"/>
      <c r="GR66" s="366"/>
      <c r="GS66" s="367"/>
      <c r="GT66" s="366"/>
      <c r="GU66" s="366"/>
      <c r="GV66" s="366"/>
      <c r="GW66" s="366"/>
      <c r="GX66" s="366"/>
      <c r="GY66" s="366"/>
      <c r="GZ66" s="366"/>
      <c r="HA66" s="366"/>
      <c r="HB66" s="366"/>
      <c r="HC66" s="366"/>
      <c r="HD66" s="366"/>
      <c r="HE66" s="366"/>
      <c r="HF66" s="366"/>
      <c r="HG66" s="366"/>
      <c r="HH66" s="366"/>
      <c r="HI66" s="366"/>
      <c r="HJ66" s="366"/>
      <c r="HK66" s="366"/>
      <c r="HL66" s="366"/>
      <c r="HM66" s="366"/>
      <c r="HN66" s="366"/>
      <c r="HO66" s="366"/>
      <c r="HP66" s="366"/>
      <c r="HQ66" s="366"/>
      <c r="HR66" s="366"/>
      <c r="HS66" s="366"/>
      <c r="HT66" s="366"/>
      <c r="HU66" s="366"/>
      <c r="HV66" s="366"/>
      <c r="HW66" s="366"/>
      <c r="HX66" s="366"/>
      <c r="HY66" s="366"/>
      <c r="HZ66" s="366"/>
      <c r="IA66" s="366"/>
      <c r="IP66" s="365"/>
      <c r="IQ66" s="365"/>
      <c r="IR66" s="365"/>
      <c r="IS66" s="365" t="str">
        <f>A1</f>
        <v>Cuadro Nº 16</v>
      </c>
    </row>
    <row r="67" spans="1:253" ht="15" customHeight="1" x14ac:dyDescent="0.2">
      <c r="A67" s="355" t="s">
        <v>127</v>
      </c>
      <c r="B67" s="355"/>
      <c r="C67" s="355"/>
      <c r="D67" s="355"/>
      <c r="E67" s="355"/>
      <c r="F67" s="355"/>
      <c r="G67" s="355"/>
      <c r="H67" s="355"/>
      <c r="I67" s="355"/>
      <c r="J67" s="355"/>
      <c r="K67" s="355"/>
      <c r="L67" s="355"/>
      <c r="M67" s="355"/>
      <c r="N67" s="355"/>
      <c r="O67" s="355"/>
      <c r="P67" s="355"/>
      <c r="Q67" s="355"/>
      <c r="R67" s="355"/>
      <c r="S67" s="355"/>
      <c r="T67" s="355"/>
      <c r="U67" s="355"/>
      <c r="V67" s="355"/>
      <c r="W67" s="355"/>
      <c r="X67" s="355"/>
      <c r="Y67" s="355"/>
      <c r="Z67" s="355"/>
      <c r="AA67" s="355"/>
      <c r="GL67" s="316"/>
      <c r="GM67" s="316"/>
      <c r="GN67" s="316"/>
      <c r="GO67" s="316"/>
      <c r="GP67" s="316"/>
      <c r="GQ67" s="316"/>
      <c r="GR67" s="316"/>
      <c r="GS67" s="316"/>
      <c r="GT67" s="316"/>
      <c r="GU67" s="316"/>
      <c r="GV67" s="316"/>
      <c r="GW67" s="316"/>
      <c r="GX67" s="316"/>
      <c r="GY67" s="316"/>
      <c r="GZ67" s="316"/>
      <c r="HA67" s="316"/>
      <c r="HB67" s="316"/>
      <c r="HC67" s="316"/>
      <c r="HD67" s="316"/>
      <c r="HE67" s="316"/>
      <c r="HF67" s="316"/>
      <c r="HG67" s="316"/>
      <c r="HH67" s="316"/>
      <c r="HI67" s="316"/>
      <c r="HJ67" s="316"/>
      <c r="HK67" s="316"/>
      <c r="HL67" s="316"/>
      <c r="HM67" s="316"/>
      <c r="HN67" s="316"/>
      <c r="HO67" s="316"/>
      <c r="HP67" s="316"/>
      <c r="HQ67" s="316"/>
      <c r="HR67" s="316"/>
      <c r="HS67" s="316"/>
      <c r="HT67" s="316"/>
      <c r="HU67" s="316"/>
      <c r="HV67" s="316"/>
      <c r="HW67" s="316"/>
      <c r="HX67" s="316"/>
      <c r="HY67" s="316"/>
      <c r="HZ67" s="316"/>
      <c r="IA67" s="316"/>
      <c r="IP67" s="347"/>
      <c r="IQ67" s="347"/>
      <c r="IR67" s="320"/>
      <c r="IS67" s="320"/>
    </row>
    <row r="68" spans="1:253" ht="15" customHeight="1" x14ac:dyDescent="0.2">
      <c r="A68" s="354" t="s">
        <v>352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54"/>
      <c r="W68" s="354"/>
      <c r="X68" s="354"/>
      <c r="Y68" s="354"/>
      <c r="Z68" s="354"/>
      <c r="AA68" s="354"/>
      <c r="CB68" s="358">
        <f>((CB69/BZ69)-1)*100</f>
        <v>3.00000000000189E-2</v>
      </c>
      <c r="CC68" s="358">
        <f t="shared" ref="CC68:CM68" si="631">((CC69/CB69)-1)*100</f>
        <v>0.19999999999988916</v>
      </c>
      <c r="CD68" s="358">
        <f t="shared" si="631"/>
        <v>0.38035266186156047</v>
      </c>
      <c r="CE68" s="358">
        <f t="shared" si="631"/>
        <v>6.1104582843696242E-2</v>
      </c>
      <c r="CF68" s="358">
        <f t="shared" si="631"/>
        <v>0.17850432168358132</v>
      </c>
      <c r="CG68" s="358">
        <f t="shared" si="631"/>
        <v>-0.15005158023071452</v>
      </c>
      <c r="CH68" s="358">
        <f t="shared" si="631"/>
        <v>9.8619329388549559E-2</v>
      </c>
      <c r="CI68" s="358">
        <f t="shared" si="631"/>
        <v>0.2111189303307448</v>
      </c>
      <c r="CJ68" s="358">
        <f t="shared" si="631"/>
        <v>0.34176029962549315</v>
      </c>
      <c r="CK68" s="358">
        <f t="shared" si="631"/>
        <v>0.48989875425742291</v>
      </c>
      <c r="CL68" s="358">
        <f t="shared" si="631"/>
        <v>-6.9644349521780224E-2</v>
      </c>
      <c r="CM68" s="358">
        <f t="shared" si="631"/>
        <v>-0.3112948938344906</v>
      </c>
      <c r="CN68" s="358"/>
      <c r="CO68" s="358">
        <f>((CO69/CM69)-1)*100</f>
        <v>-0.30999999999998806</v>
      </c>
      <c r="CP68" s="358">
        <f t="shared" ref="CP68:CZ68" si="632">((CP69/CO69)-1)*100</f>
        <v>0.34999999999998366</v>
      </c>
      <c r="CQ68" s="358">
        <f t="shared" si="632"/>
        <v>0.69000000000001283</v>
      </c>
      <c r="CR68" s="358">
        <f t="shared" si="632"/>
        <v>-4.9999999999983391E-2</v>
      </c>
      <c r="CS68" s="358">
        <f t="shared" si="632"/>
        <v>0.37999999999998035</v>
      </c>
      <c r="CT68" s="358">
        <f t="shared" si="632"/>
        <v>0.25999999999999357</v>
      </c>
      <c r="CU68" s="358">
        <f t="shared" si="632"/>
        <v>-4.2299536598822129E-2</v>
      </c>
      <c r="CV68" s="358">
        <f t="shared" si="632"/>
        <v>0.23926474866931002</v>
      </c>
      <c r="CW68" s="358">
        <f t="shared" si="632"/>
        <v>0.21634954674387696</v>
      </c>
      <c r="CX68" s="358">
        <f t="shared" si="632"/>
        <v>1.9530980943471832E-2</v>
      </c>
      <c r="CY68" s="358">
        <f t="shared" si="632"/>
        <v>0.71619945035819033</v>
      </c>
      <c r="CZ68" s="358">
        <f t="shared" si="632"/>
        <v>8.1921521308747636E-2</v>
      </c>
      <c r="DA68" s="358"/>
      <c r="DB68" s="358">
        <f>((DB69/CZ69)-1)*100</f>
        <v>3.053448358329991E-2</v>
      </c>
      <c r="DC68" s="358">
        <f t="shared" ref="DC68:DM68" si="633">((DC69/DB69)-1)*100</f>
        <v>0.23219235243348013</v>
      </c>
      <c r="DD68" s="358">
        <f t="shared" si="633"/>
        <v>-0.28672930868928193</v>
      </c>
      <c r="DE68" s="358">
        <f t="shared" si="633"/>
        <v>-0.66892865715068028</v>
      </c>
      <c r="DF68" s="358">
        <f t="shared" si="633"/>
        <v>-7.8050303420551526E-2</v>
      </c>
      <c r="DG68" s="358">
        <f t="shared" si="633"/>
        <v>0.55896268753110601</v>
      </c>
      <c r="DH68" s="358">
        <f t="shared" si="633"/>
        <v>-0.30043095942746678</v>
      </c>
      <c r="DI68" s="358">
        <f t="shared" si="633"/>
        <v>0.43162471284821091</v>
      </c>
      <c r="DJ68" s="358">
        <f t="shared" si="633"/>
        <v>0.78869387074389508</v>
      </c>
      <c r="DK68" s="358">
        <f t="shared" si="633"/>
        <v>0.45930640210378737</v>
      </c>
      <c r="DL68" s="358">
        <f t="shared" si="633"/>
        <v>0.22347258548029991</v>
      </c>
      <c r="DM68" s="358">
        <f t="shared" si="633"/>
        <v>0.53272555389280996</v>
      </c>
      <c r="DN68" s="358"/>
      <c r="DO68" s="358">
        <f>((DO69/DM69)-1)*100</f>
        <v>3.1737347613192135E-2</v>
      </c>
      <c r="DP68" s="358">
        <f t="shared" ref="DP68:DZ68" si="634">((DP69/DO69)-1)*100</f>
        <v>-0.61843213831460631</v>
      </c>
      <c r="DQ68" s="358">
        <f t="shared" si="634"/>
        <v>0.39649345792385216</v>
      </c>
      <c r="DR68" s="358">
        <f t="shared" si="634"/>
        <v>-0.25290356996410246</v>
      </c>
      <c r="DS68" s="358">
        <f t="shared" si="634"/>
        <v>-0.13312826441995718</v>
      </c>
      <c r="DT68" s="358">
        <f t="shared" si="634"/>
        <v>-0.12688342585249757</v>
      </c>
      <c r="DU68" s="358">
        <f t="shared" si="634"/>
        <v>-0.10704403257981721</v>
      </c>
      <c r="DV68" s="358">
        <f t="shared" si="634"/>
        <v>0.18869062535811221</v>
      </c>
      <c r="DW68" s="358">
        <f t="shared" si="634"/>
        <v>0.21102217153214919</v>
      </c>
      <c r="DX68" s="358">
        <f t="shared" si="634"/>
        <v>-7.3444432088232148E-2</v>
      </c>
      <c r="DY68" s="358">
        <f t="shared" si="634"/>
        <v>-0.16134807921911465</v>
      </c>
      <c r="DZ68" s="358">
        <f t="shared" si="634"/>
        <v>6.1335741311441261E-2</v>
      </c>
      <c r="EA68" s="358"/>
      <c r="EB68" s="358">
        <f>((EB69/DZ69)-1)*100</f>
        <v>0.26357487057231399</v>
      </c>
      <c r="EC68" s="358">
        <f t="shared" ref="EC68:EM68" si="635">((EC69/EB69)-1)*100</f>
        <v>0.38205279946403881</v>
      </c>
      <c r="ED68" s="358">
        <f t="shared" si="635"/>
        <v>9.0167422404063835E-2</v>
      </c>
      <c r="EE68" s="358">
        <f t="shared" si="635"/>
        <v>-9.3202373189993359E-2</v>
      </c>
      <c r="EF68" s="358">
        <f t="shared" si="635"/>
        <v>0.70330936786742182</v>
      </c>
      <c r="EG68" s="358">
        <f t="shared" si="635"/>
        <v>0.28221574746070122</v>
      </c>
      <c r="EH68" s="358">
        <f t="shared" si="635"/>
        <v>7.206102002381698E-2</v>
      </c>
      <c r="EI68" s="358">
        <f t="shared" si="635"/>
        <v>0.13031818425595088</v>
      </c>
      <c r="EJ68" s="358">
        <f t="shared" si="635"/>
        <v>0.63274317403616553</v>
      </c>
      <c r="EK68" s="358">
        <f t="shared" si="635"/>
        <v>0.39157518161896387</v>
      </c>
      <c r="EL68" s="358">
        <f t="shared" si="635"/>
        <v>0.47741438947532799</v>
      </c>
      <c r="EM68" s="358">
        <f t="shared" si="635"/>
        <v>-0.13144839318965928</v>
      </c>
      <c r="EN68" s="358"/>
      <c r="EO68" s="358">
        <f>((EO69/EM69)-1)*100</f>
        <v>-0.33058723767540599</v>
      </c>
      <c r="EP68" s="358">
        <f t="shared" ref="EP68:EZ68" si="636">((EP69/EO69)-1)*100</f>
        <v>-0.45074289343741691</v>
      </c>
      <c r="EQ68" s="358">
        <f t="shared" si="636"/>
        <v>3.241163410994119E-2</v>
      </c>
      <c r="ER68" s="358">
        <f t="shared" si="636"/>
        <v>0.27101016981727621</v>
      </c>
      <c r="ES68" s="358">
        <f t="shared" si="636"/>
        <v>0.1812326186129587</v>
      </c>
      <c r="ET68" s="358">
        <f t="shared" si="636"/>
        <v>-8.2237010864039117E-2</v>
      </c>
      <c r="EU68" s="358">
        <f t="shared" si="636"/>
        <v>4.2854836252903539E-2</v>
      </c>
      <c r="EV68" s="358">
        <f t="shared" si="636"/>
        <v>0.30860030910426772</v>
      </c>
      <c r="EW68" s="358">
        <f t="shared" si="636"/>
        <v>-1.1282458968542297E-2</v>
      </c>
      <c r="EX68" s="358">
        <f t="shared" si="636"/>
        <v>0.12230891474163119</v>
      </c>
      <c r="EY68" s="358">
        <f t="shared" si="636"/>
        <v>-0.1368932842300552</v>
      </c>
      <c r="EZ68" s="358">
        <f t="shared" si="636"/>
        <v>-3.8332177190714134E-2</v>
      </c>
      <c r="FA68" s="358"/>
      <c r="FB68" s="358">
        <f>((FB69/EZ69)-1)*100</f>
        <v>-0.34848401419980135</v>
      </c>
      <c r="FC68" s="358">
        <f t="shared" ref="FC68:FI68" si="637">((FC69/FB69)-1)*100</f>
        <v>-0.14000000000000679</v>
      </c>
      <c r="FD68" s="358">
        <f t="shared" si="637"/>
        <v>0.27999999999999137</v>
      </c>
      <c r="FE68" s="358">
        <f t="shared" si="637"/>
        <v>-0.23000000000000798</v>
      </c>
      <c r="FF68" s="358">
        <f t="shared" si="637"/>
        <v>-0.12000000000000899</v>
      </c>
      <c r="FG68" s="358">
        <f t="shared" si="637"/>
        <v>-0.15000000000000568</v>
      </c>
      <c r="FH68" s="358">
        <f t="shared" si="637"/>
        <v>0.53000000000000824</v>
      </c>
      <c r="FI68" s="358">
        <f t="shared" si="637"/>
        <v>0.34000000000034003</v>
      </c>
      <c r="FJ68" s="358">
        <f>((FJ69/FI69)-1)*100</f>
        <v>0.11999999999927624</v>
      </c>
      <c r="FK68" s="358">
        <f>((FK69/FJ69)-1)*100</f>
        <v>0.25000000000037215</v>
      </c>
      <c r="FL68" s="358">
        <f>((FL69/FK69)-1)*100</f>
        <v>0.36000000000024901</v>
      </c>
      <c r="FM68" s="358">
        <f>((FM69/FL69)-1)*100</f>
        <v>0.64999999999955094</v>
      </c>
      <c r="FN68" s="358"/>
      <c r="FO68" s="358">
        <f>((FO69/FM69)-1)*100</f>
        <v>1.0700000000002374</v>
      </c>
      <c r="FP68" s="358">
        <f t="shared" ref="FP68:FZ68" si="638">((FP69/FO69)-1)*100</f>
        <v>1.0699999999999932</v>
      </c>
      <c r="FQ68" s="358">
        <f t="shared" si="638"/>
        <v>1.6100000000000003</v>
      </c>
      <c r="FR68" s="358">
        <f t="shared" si="638"/>
        <v>-9.9999999999988987E-3</v>
      </c>
      <c r="FS68" s="358">
        <f t="shared" si="638"/>
        <v>1.089999999999991</v>
      </c>
      <c r="FT68" s="358">
        <f t="shared" si="638"/>
        <v>1.8299999999996874</v>
      </c>
      <c r="FU68" s="358">
        <f t="shared" si="638"/>
        <v>1.5100000000002778</v>
      </c>
      <c r="FV68" s="358">
        <f t="shared" si="638"/>
        <v>1.8499999999999961</v>
      </c>
      <c r="FW68" s="358">
        <f t="shared" si="638"/>
        <v>1.1600000000000055</v>
      </c>
      <c r="FX68" s="358">
        <f t="shared" si="638"/>
        <v>0.9100000000000108</v>
      </c>
      <c r="FY68" s="358">
        <f t="shared" si="638"/>
        <v>0.37000000000000366</v>
      </c>
      <c r="FZ68" s="358">
        <f t="shared" si="638"/>
        <v>0.36000000000000476</v>
      </c>
      <c r="GA68" s="358"/>
      <c r="GB68" s="358">
        <f>((GB69/FZ69)-1)*100</f>
        <v>-0.26000000000001577</v>
      </c>
      <c r="GC68" s="358">
        <f t="shared" ref="GC68:GH68" si="639">((GC69/GB69)-1)*100</f>
        <v>0.45999999999999375</v>
      </c>
      <c r="GD68" s="358">
        <f t="shared" si="639"/>
        <v>1.7700000000000049</v>
      </c>
      <c r="GE68" s="358">
        <f t="shared" si="639"/>
        <v>1.2999999999999901</v>
      </c>
      <c r="GF68" s="358">
        <f t="shared" si="639"/>
        <v>1.6899999999999915</v>
      </c>
      <c r="GG68" s="358">
        <f t="shared" si="639"/>
        <v>0.38000000000000256</v>
      </c>
      <c r="GH68" s="358">
        <f t="shared" si="639"/>
        <v>1.9600000000000062</v>
      </c>
      <c r="GI68" s="358">
        <f>((GI69/GH69)-1)*100</f>
        <v>-0.27000000000001467</v>
      </c>
      <c r="GJ68" s="358">
        <f>((GJ69/GI69)-1)*100</f>
        <v>0.17000000000000348</v>
      </c>
      <c r="GK68" s="358">
        <f>((GK69/GJ69)-1)*100</f>
        <v>0.81999999999999851</v>
      </c>
      <c r="GL68" s="359">
        <f>((GL69/GK69)-1)*100</f>
        <v>-4.9999999999983391E-2</v>
      </c>
      <c r="GM68" s="359">
        <f>((GM69/GL69)-1)*100</f>
        <v>-1.1099999999999999</v>
      </c>
      <c r="GN68" s="359"/>
      <c r="GO68" s="358">
        <f>((GO69/GM69)-1)*100</f>
        <v>0.39000000000000146</v>
      </c>
      <c r="GP68" s="358">
        <f t="shared" ref="GP68:GY68" si="640">((GP69/GO69)-1)*100</f>
        <v>0.81999999999999851</v>
      </c>
      <c r="GQ68" s="358">
        <f t="shared" si="640"/>
        <v>-0.51000000000001044</v>
      </c>
      <c r="GR68" s="358">
        <f t="shared" si="640"/>
        <v>-8.0000000000002292E-2</v>
      </c>
      <c r="GS68" s="358">
        <f t="shared" si="640"/>
        <v>-0.8399999999999852</v>
      </c>
      <c r="GT68" s="358">
        <f t="shared" si="640"/>
        <v>-0.74999999999999512</v>
      </c>
      <c r="GU68" s="358">
        <f t="shared" si="640"/>
        <v>-0.32999999999999696</v>
      </c>
      <c r="GV68" s="358">
        <f t="shared" si="640"/>
        <v>1.3100000000000112</v>
      </c>
      <c r="GW68" s="358">
        <f t="shared" si="640"/>
        <v>0.13000000000000789</v>
      </c>
      <c r="GX68" s="358">
        <f t="shared" si="640"/>
        <v>0.48999999999999044</v>
      </c>
      <c r="GY68" s="358">
        <f t="shared" si="640"/>
        <v>-0.9299999999999975</v>
      </c>
      <c r="GZ68" s="358">
        <f>((GZ69/GY69)-1)*100</f>
        <v>-0.71999999999999842</v>
      </c>
      <c r="HA68" s="358"/>
      <c r="HB68" s="358">
        <f>((HB69/GZ69)-1)*100</f>
        <v>-0.72999999999999732</v>
      </c>
      <c r="HC68" s="358">
        <f t="shared" ref="HC68:HM68" si="641">((HC69/HB69)-1)*100</f>
        <v>0.33000000000000806</v>
      </c>
      <c r="HD68" s="358">
        <f t="shared" si="641"/>
        <v>-0.40999999999998815</v>
      </c>
      <c r="HE68" s="358">
        <f t="shared" si="641"/>
        <v>-0.12999999999999678</v>
      </c>
      <c r="HF68" s="358">
        <f t="shared" si="641"/>
        <v>-0.20999999999999908</v>
      </c>
      <c r="HG68" s="358">
        <f t="shared" si="641"/>
        <v>-9.9999999999988987E-3</v>
      </c>
      <c r="HH68" s="358">
        <f t="shared" si="641"/>
        <v>0.62999999999999723</v>
      </c>
      <c r="HI68" s="358">
        <f t="shared" si="641"/>
        <v>-0.29999999999998916</v>
      </c>
      <c r="HJ68" s="358">
        <f t="shared" si="641"/>
        <v>-0.39000000000001256</v>
      </c>
      <c r="HK68" s="358">
        <f t="shared" si="641"/>
        <v>-0.18000000000000238</v>
      </c>
      <c r="HL68" s="358">
        <f t="shared" si="641"/>
        <v>0.32000000000000917</v>
      </c>
      <c r="HM68" s="358">
        <f t="shared" si="641"/>
        <v>-0.29000000000000137</v>
      </c>
      <c r="HN68" s="358"/>
      <c r="HO68" s="358">
        <f>((HO69/HM69)-1)*100</f>
        <v>9.9999999999988987E-2</v>
      </c>
      <c r="HP68" s="358">
        <f t="shared" ref="HP68:HW68" si="642">((HP69/HO69)-1)*100</f>
        <v>-0.36000000000000476</v>
      </c>
      <c r="HQ68" s="358">
        <f t="shared" si="642"/>
        <v>-0.15000000000000568</v>
      </c>
      <c r="HR68" s="358">
        <f t="shared" si="642"/>
        <v>0.19000000000000128</v>
      </c>
      <c r="HS68" s="358">
        <f t="shared" si="642"/>
        <v>-0.40000000000000036</v>
      </c>
      <c r="HT68" s="358">
        <f t="shared" si="642"/>
        <v>-0.33999999999999586</v>
      </c>
      <c r="HU68" s="358">
        <f t="shared" si="642"/>
        <v>-0.74000000000000732</v>
      </c>
      <c r="HV68" s="358">
        <f t="shared" si="642"/>
        <v>-0.75999999999999401</v>
      </c>
      <c r="HW68" s="358">
        <f t="shared" si="642"/>
        <v>-0.35000000000000586</v>
      </c>
      <c r="HX68" s="358">
        <f>((HX69/HW69)-1)*100</f>
        <v>-0.63000000000000833</v>
      </c>
      <c r="HY68" s="358">
        <f>((HY69/HX69)-1)*100</f>
        <v>-0.39000000000000146</v>
      </c>
      <c r="HZ68" s="358">
        <f>((HZ69/HY69)-1)*100</f>
        <v>-6.9999999999659224E-2</v>
      </c>
      <c r="IA68" s="358"/>
      <c r="IB68" s="1352">
        <f>((IB69/HZ69)-1)*100</f>
        <v>6.9999999999659224E-2</v>
      </c>
      <c r="IC68" s="1352">
        <f t="shared" ref="IC68:II68" si="643">((IC69/IB69)-1)*100</f>
        <v>0.3799999999997139</v>
      </c>
      <c r="ID68" s="1352">
        <f t="shared" si="643"/>
        <v>3.1100000000002792</v>
      </c>
      <c r="IE68" s="1352">
        <f t="shared" si="643"/>
        <v>1.419999999999999</v>
      </c>
      <c r="IF68" s="1352">
        <f t="shared" si="643"/>
        <v>-0.43999999999999595</v>
      </c>
      <c r="IG68" s="1352">
        <f t="shared" si="643"/>
        <v>-0.95999999999997199</v>
      </c>
      <c r="IH68" s="1352">
        <f t="shared" si="643"/>
        <v>0.54999999999996163</v>
      </c>
      <c r="II68" s="1352">
        <f t="shared" si="643"/>
        <v>1.2199999999999989</v>
      </c>
      <c r="IP68" s="347"/>
      <c r="IQ68" s="347"/>
      <c r="IR68" s="320"/>
      <c r="IS68" s="320"/>
    </row>
    <row r="69" spans="1:253" ht="15" customHeight="1" x14ac:dyDescent="0.2">
      <c r="A69" s="1536" t="s">
        <v>302</v>
      </c>
      <c r="B69" s="1537">
        <v>103.3340852266025</v>
      </c>
      <c r="C69" s="1538">
        <v>104.49456889528352</v>
      </c>
      <c r="D69" s="1538">
        <v>105.34901169214186</v>
      </c>
      <c r="E69" s="1538">
        <v>105.64951008214622</v>
      </c>
      <c r="F69" s="1538">
        <v>106.90473710216291</v>
      </c>
      <c r="G69" s="1538">
        <v>108.71469563372538</v>
      </c>
      <c r="H69" s="1538">
        <v>109.90433774816657</v>
      </c>
      <c r="I69" s="1538">
        <v>111.43743022815431</v>
      </c>
      <c r="J69" s="1538">
        <v>112.81158402414808</v>
      </c>
      <c r="K69" s="1538">
        <v>113.16575685604862</v>
      </c>
      <c r="L69" s="1538">
        <v>113.01469994708543</v>
      </c>
      <c r="M69" s="1539">
        <v>112.10367369586885</v>
      </c>
      <c r="N69" s="1540"/>
      <c r="O69" s="1537">
        <v>110.41441603134632</v>
      </c>
      <c r="P69" s="1538">
        <v>108.70517415135956</v>
      </c>
      <c r="Q69" s="1538">
        <v>108.16369807004685</v>
      </c>
      <c r="R69" s="1538">
        <v>107.40155487337198</v>
      </c>
      <c r="S69" s="1538">
        <v>106.67042834450946</v>
      </c>
      <c r="T69" s="1538">
        <v>106.26558494227692</v>
      </c>
      <c r="U69" s="1538">
        <v>106.31915718478339</v>
      </c>
      <c r="V69" s="1538">
        <v>105.87219408270143</v>
      </c>
      <c r="W69" s="1538">
        <v>105.8094933455375</v>
      </c>
      <c r="X69" s="1538">
        <v>105.97946786970466</v>
      </c>
      <c r="Y69" s="1538">
        <v>105.90794862387742</v>
      </c>
      <c r="Z69" s="1539">
        <v>106.43855599772056</v>
      </c>
      <c r="AA69" s="1540"/>
      <c r="AB69" s="1537">
        <v>107.30665455280798</v>
      </c>
      <c r="AC69" s="1538">
        <v>107.37970057846782</v>
      </c>
      <c r="AD69" s="1538">
        <v>107.66072687923136</v>
      </c>
      <c r="AE69" s="1538">
        <v>107.91445295628694</v>
      </c>
      <c r="AF69" s="1538">
        <v>108.78453790614179</v>
      </c>
      <c r="AG69" s="1538">
        <v>108.9004506470795</v>
      </c>
      <c r="AH69" s="1538">
        <v>108.91407252705787</v>
      </c>
      <c r="AI69" s="1538">
        <v>109.31179697953843</v>
      </c>
      <c r="AJ69" s="1538">
        <v>109.55713875417746</v>
      </c>
      <c r="AK69" s="1538">
        <v>109.72815164672929</v>
      </c>
      <c r="AL69" s="1538">
        <v>110.70863395830406</v>
      </c>
      <c r="AM69" s="1539">
        <v>111.29997656613162</v>
      </c>
      <c r="AN69" s="1540"/>
      <c r="AO69" s="1537">
        <v>112.384214408372</v>
      </c>
      <c r="AP69" s="1538">
        <v>113.09828549654533</v>
      </c>
      <c r="AQ69" s="1538">
        <v>113.85224370784542</v>
      </c>
      <c r="AR69" s="1538">
        <v>115.11639369446513</v>
      </c>
      <c r="AS69" s="1538">
        <v>115.46281574723764</v>
      </c>
      <c r="AT69" s="1538">
        <v>115.81516536461176</v>
      </c>
      <c r="AU69" s="1538">
        <v>116.18433327491996</v>
      </c>
      <c r="AV69" s="1538">
        <v>116.70066322463322</v>
      </c>
      <c r="AW69" s="1538">
        <v>117.48379060980618</v>
      </c>
      <c r="AX69" s="1538">
        <v>117.73562797438393</v>
      </c>
      <c r="AY69" s="1538">
        <v>118.22886820231662</v>
      </c>
      <c r="AZ69" s="1539">
        <v>118.26928721397971</v>
      </c>
      <c r="BA69" s="1540"/>
      <c r="BB69" s="1537">
        <v>117.65587687826842</v>
      </c>
      <c r="BC69" s="1538">
        <v>117.80654757517335</v>
      </c>
      <c r="BD69" s="1538">
        <v>118.5226146569518</v>
      </c>
      <c r="BE69" s="1538">
        <v>118.66307614300121</v>
      </c>
      <c r="BF69" s="1538">
        <v>118.26491861354893</v>
      </c>
      <c r="BG69" s="1538">
        <v>118.18359104949975</v>
      </c>
      <c r="BH69" s="1538">
        <v>117.19081036827485</v>
      </c>
      <c r="BI69" s="1538">
        <v>117.47175592587421</v>
      </c>
      <c r="BJ69" s="1538">
        <v>117.94336884318255</v>
      </c>
      <c r="BK69" s="1538">
        <v>117.97209025950835</v>
      </c>
      <c r="BL69" s="1538">
        <v>117.70604774440227</v>
      </c>
      <c r="BM69" s="1539">
        <v>117.56979280781768</v>
      </c>
      <c r="BN69" s="1540"/>
      <c r="BO69" s="1537">
        <v>116.65744304627282</v>
      </c>
      <c r="BP69" s="1538">
        <v>116.74589859427418</v>
      </c>
      <c r="BQ69" s="1538">
        <v>117.07495747891343</v>
      </c>
      <c r="BR69" s="1538">
        <v>117.13098476532234</v>
      </c>
      <c r="BS69" s="1538">
        <v>116.78507483877326</v>
      </c>
      <c r="BT69" s="1538">
        <v>117.73956293320546</v>
      </c>
      <c r="BU69" s="1538">
        <v>118.8808511850266</v>
      </c>
      <c r="BV69" s="1538">
        <v>119.88543391952852</v>
      </c>
      <c r="BW69" s="1538">
        <v>120.50820763910227</v>
      </c>
      <c r="BX69" s="1538">
        <v>120.00846673949329</v>
      </c>
      <c r="BY69" s="1538">
        <v>119.52443179691967</v>
      </c>
      <c r="BZ69" s="1539">
        <v>119.39677290181862</v>
      </c>
      <c r="CA69" s="1540"/>
      <c r="CB69" s="1537">
        <v>119.43259193368918</v>
      </c>
      <c r="CC69" s="1538">
        <v>119.67145711755643</v>
      </c>
      <c r="CD69" s="1538">
        <v>120.12663069019156</v>
      </c>
      <c r="CE69" s="1538">
        <v>120.20003356675899</v>
      </c>
      <c r="CF69" s="1538">
        <v>120.41459582134078</v>
      </c>
      <c r="CG69" s="1538">
        <v>120.23391181748244</v>
      </c>
      <c r="CH69" s="1538">
        <v>120.35248569501447</v>
      </c>
      <c r="CI69" s="1538">
        <v>120.60657257544025</v>
      </c>
      <c r="CJ69" s="1538">
        <v>121.01875795924211</v>
      </c>
      <c r="CK69" s="1538">
        <v>121.61162734690225</v>
      </c>
      <c r="CL69" s="1538">
        <v>121.52693172009366</v>
      </c>
      <c r="CM69" s="1539">
        <v>121.14862458701528</v>
      </c>
      <c r="CN69" s="1540"/>
      <c r="CO69" s="1537">
        <v>120.77306385079554</v>
      </c>
      <c r="CP69" s="1538">
        <v>121.19576957427331</v>
      </c>
      <c r="CQ69" s="1538">
        <v>122.03202038433581</v>
      </c>
      <c r="CR69" s="1538">
        <v>121.97100437414366</v>
      </c>
      <c r="CS69" s="1538">
        <v>122.43449419076539</v>
      </c>
      <c r="CT69" s="1538">
        <v>122.75282387566138</v>
      </c>
      <c r="CU69" s="1538">
        <v>122.7009</v>
      </c>
      <c r="CV69" s="1538">
        <v>122.99448</v>
      </c>
      <c r="CW69" s="1538">
        <v>123.260578</v>
      </c>
      <c r="CX69" s="1538">
        <v>123.28465199999999</v>
      </c>
      <c r="CY69" s="1538">
        <v>124.167616</v>
      </c>
      <c r="CZ69" s="1539">
        <v>124.269336</v>
      </c>
      <c r="DA69" s="1540"/>
      <c r="DB69" s="1537">
        <v>124.307281</v>
      </c>
      <c r="DC69" s="1538">
        <v>124.595913</v>
      </c>
      <c r="DD69" s="1538">
        <v>124.23866</v>
      </c>
      <c r="DE69" s="1538">
        <v>123.40759199999999</v>
      </c>
      <c r="DF69" s="1538">
        <v>123.311272</v>
      </c>
      <c r="DG69" s="1538">
        <v>124.000536</v>
      </c>
      <c r="DH69" s="1538">
        <v>123.628</v>
      </c>
      <c r="DI69" s="1538">
        <v>124.161609</v>
      </c>
      <c r="DJ69" s="1538">
        <v>125.14086399999999</v>
      </c>
      <c r="DK69" s="1538">
        <v>125.715644</v>
      </c>
      <c r="DL69" s="1538">
        <v>125.996584</v>
      </c>
      <c r="DM69" s="1539">
        <v>126.66780000000001</v>
      </c>
      <c r="DN69" s="1540"/>
      <c r="DO69" s="1537">
        <v>126.708001</v>
      </c>
      <c r="DP69" s="1538">
        <v>125.924398</v>
      </c>
      <c r="DQ69" s="1538">
        <v>126.42368</v>
      </c>
      <c r="DR69" s="1538">
        <v>126.10395000000001</v>
      </c>
      <c r="DS69" s="1538">
        <v>125.93607</v>
      </c>
      <c r="DT69" s="1538">
        <v>125.776278</v>
      </c>
      <c r="DU69" s="1538">
        <v>125.641642</v>
      </c>
      <c r="DV69" s="1538">
        <v>125.878716</v>
      </c>
      <c r="DW69" s="1538">
        <v>126.14434799999999</v>
      </c>
      <c r="DX69" s="1538">
        <v>126.05170199999999</v>
      </c>
      <c r="DY69" s="1538">
        <v>125.84831999999999</v>
      </c>
      <c r="DZ69" s="1539">
        <v>125.92550999999999</v>
      </c>
      <c r="EA69" s="1540"/>
      <c r="EB69" s="1537">
        <v>126.257418</v>
      </c>
      <c r="EC69" s="1538">
        <v>126.739788</v>
      </c>
      <c r="ED69" s="1538">
        <v>126.85406599999999</v>
      </c>
      <c r="EE69" s="1538">
        <v>126.73583499999999</v>
      </c>
      <c r="EF69" s="1538">
        <v>127.62718</v>
      </c>
      <c r="EG69" s="1538">
        <v>127.987364</v>
      </c>
      <c r="EH69" s="1538">
        <v>128.07959299999999</v>
      </c>
      <c r="EI69" s="1538">
        <v>128.24650399999999</v>
      </c>
      <c r="EJ69" s="1538">
        <v>129.057975</v>
      </c>
      <c r="EK69" s="1538">
        <v>129.563334</v>
      </c>
      <c r="EL69" s="1538">
        <v>130.18188799999999</v>
      </c>
      <c r="EM69" s="1539">
        <v>130.01076600000002</v>
      </c>
      <c r="EN69" s="1540"/>
      <c r="EO69" s="1537">
        <v>129.58096699999999</v>
      </c>
      <c r="EP69" s="1538">
        <v>128.99689000000001</v>
      </c>
      <c r="EQ69" s="1538">
        <v>129.03870000000001</v>
      </c>
      <c r="ER69" s="1538">
        <v>129.388408</v>
      </c>
      <c r="ES69" s="1538">
        <v>129.62290200000001</v>
      </c>
      <c r="ET69" s="1538">
        <v>129.51630399999999</v>
      </c>
      <c r="EU69" s="1538">
        <v>129.571808</v>
      </c>
      <c r="EV69" s="1538">
        <v>129.971667</v>
      </c>
      <c r="EW69" s="1538">
        <v>129.95700299999999</v>
      </c>
      <c r="EX69" s="1538">
        <v>130.11595200000002</v>
      </c>
      <c r="EY69" s="1538">
        <v>129.93783200000001</v>
      </c>
      <c r="EZ69" s="1539">
        <v>129.888024</v>
      </c>
      <c r="FA69" s="1540"/>
      <c r="FB69" s="1537">
        <v>129.435385</v>
      </c>
      <c r="FC69" s="1538">
        <v>129.25417546099999</v>
      </c>
      <c r="FD69" s="1538">
        <v>129.61608715229079</v>
      </c>
      <c r="FE69" s="1538">
        <v>129.31797015184051</v>
      </c>
      <c r="FF69" s="1538">
        <v>129.1627885876583</v>
      </c>
      <c r="FG69" s="1538">
        <v>128.96904440477681</v>
      </c>
      <c r="FH69" s="1538">
        <v>129.65258034012214</v>
      </c>
      <c r="FI69" s="1538">
        <v>130.09339911327899</v>
      </c>
      <c r="FJ69" s="1538">
        <v>130.24951119221399</v>
      </c>
      <c r="FK69" s="1538">
        <v>130.57513497019499</v>
      </c>
      <c r="FL69" s="1538">
        <v>131.04520545608801</v>
      </c>
      <c r="FM69" s="1539">
        <v>131.89699929155199</v>
      </c>
      <c r="FN69" s="1540" t="s">
        <v>29</v>
      </c>
      <c r="FO69" s="1537">
        <v>133.30829718397192</v>
      </c>
      <c r="FP69" s="1538">
        <v>134.73469596384041</v>
      </c>
      <c r="FQ69" s="1538">
        <v>136.90392456885823</v>
      </c>
      <c r="FR69" s="1538">
        <v>136.89023417640135</v>
      </c>
      <c r="FS69" s="1538">
        <v>138.38233772892411</v>
      </c>
      <c r="FT69" s="1538">
        <v>140.914734509363</v>
      </c>
      <c r="FU69" s="1538">
        <v>143.04254700045479</v>
      </c>
      <c r="FV69" s="1538">
        <v>145.68883411996319</v>
      </c>
      <c r="FW69" s="1538">
        <v>147.37882459575476</v>
      </c>
      <c r="FX69" s="1538">
        <v>148.71997189957614</v>
      </c>
      <c r="FY69" s="1538">
        <v>149.27023579560458</v>
      </c>
      <c r="FZ69" s="1539">
        <v>149.80760864446876</v>
      </c>
      <c r="GA69" s="1540" t="s">
        <v>29</v>
      </c>
      <c r="GB69" s="1537">
        <v>149.41810886199312</v>
      </c>
      <c r="GC69" s="1538">
        <v>150.10543216275829</v>
      </c>
      <c r="GD69" s="1538">
        <v>152.76229831203912</v>
      </c>
      <c r="GE69" s="1538">
        <v>154.74820819009562</v>
      </c>
      <c r="GF69" s="1538">
        <v>157.36345290850824</v>
      </c>
      <c r="GG69" s="1538">
        <v>157.96143402956056</v>
      </c>
      <c r="GH69" s="1538">
        <v>161.05747813653997</v>
      </c>
      <c r="GI69" s="1538">
        <v>160.62262294557129</v>
      </c>
      <c r="GJ69" s="1538">
        <v>160.89568140457877</v>
      </c>
      <c r="GK69" s="1538">
        <v>162.21502599209632</v>
      </c>
      <c r="GL69" s="1538">
        <v>162.13391847910029</v>
      </c>
      <c r="GM69" s="1539">
        <v>160.33423198398228</v>
      </c>
      <c r="GN69" s="1540" t="s">
        <v>29</v>
      </c>
      <c r="GO69" s="1537">
        <v>160.95953548871981</v>
      </c>
      <c r="GP69" s="1538">
        <v>162.2794036797273</v>
      </c>
      <c r="GQ69" s="1538">
        <v>161.45177872096068</v>
      </c>
      <c r="GR69" s="1538">
        <v>161.3226172979839</v>
      </c>
      <c r="GS69" s="1538">
        <v>159.96750731268085</v>
      </c>
      <c r="GT69" s="1538">
        <v>158.76775100783576</v>
      </c>
      <c r="GU69" s="1538">
        <v>158.2438174295099</v>
      </c>
      <c r="GV69" s="1538">
        <v>160.31681143783649</v>
      </c>
      <c r="GW69" s="1538">
        <v>160.5252232927057</v>
      </c>
      <c r="GX69" s="1538">
        <v>161.31179688683994</v>
      </c>
      <c r="GY69" s="1538">
        <v>159.81159717579234</v>
      </c>
      <c r="GZ69" s="1539">
        <v>158.66095367612664</v>
      </c>
      <c r="HA69" s="1540" t="s">
        <v>29</v>
      </c>
      <c r="HB69" s="1537">
        <v>157.50272871429092</v>
      </c>
      <c r="HC69" s="1538">
        <v>158.02248771904809</v>
      </c>
      <c r="HD69" s="1538">
        <v>157.3745955194</v>
      </c>
      <c r="HE69" s="1538">
        <v>157.17000854522479</v>
      </c>
      <c r="HF69" s="1538">
        <v>156.83995152727982</v>
      </c>
      <c r="HG69" s="1538">
        <v>156.8242675321271</v>
      </c>
      <c r="HH69" s="1538">
        <v>157.81226041757949</v>
      </c>
      <c r="HI69" s="1538">
        <v>157.33882363632677</v>
      </c>
      <c r="HJ69" s="1538">
        <v>156.72520222414508</v>
      </c>
      <c r="HK69" s="1538">
        <v>156.44309686014162</v>
      </c>
      <c r="HL69" s="1538">
        <v>156.94371477009409</v>
      </c>
      <c r="HM69" s="1539">
        <v>156.48857799726082</v>
      </c>
      <c r="HN69" s="1540" t="s">
        <v>29</v>
      </c>
      <c r="HO69" s="1537">
        <v>156.64506657525806</v>
      </c>
      <c r="HP69" s="1538">
        <v>156.08114433558711</v>
      </c>
      <c r="HQ69" s="1538">
        <v>155.84702261908373</v>
      </c>
      <c r="HR69" s="1538">
        <v>156.14313196205998</v>
      </c>
      <c r="HS69" s="1538">
        <v>155.51855943421174</v>
      </c>
      <c r="HT69" s="1538">
        <v>154.98979633213543</v>
      </c>
      <c r="HU69" s="1538">
        <v>153.84287183927762</v>
      </c>
      <c r="HV69" s="1538">
        <v>152.67366601329911</v>
      </c>
      <c r="HW69" s="1538">
        <v>152.13930818225256</v>
      </c>
      <c r="HX69" s="1538">
        <v>151.18083054070436</v>
      </c>
      <c r="HY69" s="1538">
        <v>150.59122530159561</v>
      </c>
      <c r="HZ69" s="1539">
        <v>150.48581144388501</v>
      </c>
      <c r="IA69" s="1541" t="s">
        <v>29</v>
      </c>
      <c r="IB69" s="1664">
        <v>150.59115151189522</v>
      </c>
      <c r="IC69" s="1609">
        <v>151.16339788764</v>
      </c>
      <c r="ID69" s="1609">
        <v>155.86457956194604</v>
      </c>
      <c r="IE69" s="1609">
        <v>158.07785659172566</v>
      </c>
      <c r="IF69" s="1609">
        <v>157.38231402272208</v>
      </c>
      <c r="IG69" s="1609">
        <v>155.871443808104</v>
      </c>
      <c r="IH69" s="1609">
        <v>156.72873674904852</v>
      </c>
      <c r="II69" s="1338">
        <v>158.64082733738692</v>
      </c>
      <c r="IJ69" s="1338"/>
      <c r="IK69" s="1338"/>
      <c r="IL69" s="1338"/>
      <c r="IM69" s="1339"/>
      <c r="IN69" s="1320" t="s">
        <v>29</v>
      </c>
      <c r="IP69" s="1543"/>
      <c r="IQ69" s="1544"/>
      <c r="IR69" s="1545"/>
      <c r="IS69" s="1546"/>
    </row>
    <row r="70" spans="1:253" ht="15" customHeight="1" x14ac:dyDescent="0.2">
      <c r="A70" s="1547" t="s">
        <v>444</v>
      </c>
      <c r="B70" s="395">
        <f t="shared" ref="B70:M70" si="644">+B11/B69*100</f>
        <v>1831.9221540973811</v>
      </c>
      <c r="C70" s="396">
        <f t="shared" si="644"/>
        <v>2553.2427457293652</v>
      </c>
      <c r="D70" s="396">
        <f t="shared" si="644"/>
        <v>2597.0817913274095</v>
      </c>
      <c r="E70" s="396">
        <f t="shared" si="644"/>
        <v>2619.0372277624006</v>
      </c>
      <c r="F70" s="396">
        <f t="shared" si="644"/>
        <v>4552.6513903204113</v>
      </c>
      <c r="G70" s="396">
        <f t="shared" si="644"/>
        <v>2975.6786616035383</v>
      </c>
      <c r="H70" s="396">
        <f t="shared" si="644"/>
        <v>2921.6317260904161</v>
      </c>
      <c r="I70" s="396">
        <f t="shared" si="644"/>
        <v>2999.8897077540482</v>
      </c>
      <c r="J70" s="396">
        <f t="shared" si="644"/>
        <v>3044.9000691850183</v>
      </c>
      <c r="K70" s="396">
        <f t="shared" si="644"/>
        <v>4036.5567525967058</v>
      </c>
      <c r="L70" s="396">
        <f t="shared" si="644"/>
        <v>6330.1499746046939</v>
      </c>
      <c r="M70" s="396">
        <f t="shared" si="644"/>
        <v>4284.4269430726035</v>
      </c>
      <c r="N70" s="398">
        <f>SUM(B70:M70)</f>
        <v>40747.169144143998</v>
      </c>
      <c r="O70" s="395">
        <f t="shared" ref="O70:Z70" si="645">+O11/O69*100</f>
        <v>2709.7910830326541</v>
      </c>
      <c r="P70" s="396">
        <f t="shared" si="645"/>
        <v>2976.8592206054877</v>
      </c>
      <c r="Q70" s="396">
        <f t="shared" si="645"/>
        <v>3125.8176822046739</v>
      </c>
      <c r="R70" s="396">
        <f t="shared" si="645"/>
        <v>3047.4419144666158</v>
      </c>
      <c r="S70" s="396">
        <f t="shared" si="645"/>
        <v>3330.8200362006701</v>
      </c>
      <c r="T70" s="396">
        <f t="shared" si="645"/>
        <v>2665.9618930614984</v>
      </c>
      <c r="U70" s="396">
        <f t="shared" si="645"/>
        <v>3279.7475942548822</v>
      </c>
      <c r="V70" s="396">
        <f t="shared" si="645"/>
        <v>3160.4143363518965</v>
      </c>
      <c r="W70" s="396">
        <f t="shared" si="645"/>
        <v>3720.8381549877649</v>
      </c>
      <c r="X70" s="396">
        <f t="shared" si="645"/>
        <v>4622.5935065299855</v>
      </c>
      <c r="Y70" s="396">
        <f t="shared" si="645"/>
        <v>4241.4191364927055</v>
      </c>
      <c r="Z70" s="396">
        <f t="shared" si="645"/>
        <v>4704.1224423480789</v>
      </c>
      <c r="AA70" s="398">
        <f>SUM(O70:Z70)</f>
        <v>41585.827000536912</v>
      </c>
      <c r="AB70" s="395">
        <f t="shared" ref="AB70:AM70" si="646">+AB11/AB69*100</f>
        <v>12276.032697969607</v>
      </c>
      <c r="AC70" s="396">
        <f t="shared" si="646"/>
        <v>5620.242902046386</v>
      </c>
      <c r="AD70" s="396">
        <f t="shared" si="646"/>
        <v>3965.2342351252742</v>
      </c>
      <c r="AE70" s="396">
        <f t="shared" si="646"/>
        <v>14022.218141743759</v>
      </c>
      <c r="AF70" s="396">
        <f t="shared" si="646"/>
        <v>5498.023997822509</v>
      </c>
      <c r="AG70" s="396">
        <f t="shared" si="646"/>
        <v>5055.9937697995747</v>
      </c>
      <c r="AH70" s="396">
        <f t="shared" si="646"/>
        <v>13847.613673846536</v>
      </c>
      <c r="AI70" s="396">
        <f t="shared" si="646"/>
        <v>3401.2797362538604</v>
      </c>
      <c r="AJ70" s="396">
        <f t="shared" si="646"/>
        <v>3609.9883996369831</v>
      </c>
      <c r="AK70" s="396">
        <f t="shared" si="646"/>
        <v>15930.278363092279</v>
      </c>
      <c r="AL70" s="396">
        <f t="shared" si="646"/>
        <v>6156.7013847963244</v>
      </c>
      <c r="AM70" s="396">
        <f t="shared" si="646"/>
        <v>6347.7102313693267</v>
      </c>
      <c r="AN70" s="398">
        <f>SUM(AB70:AM70)</f>
        <v>95731.317533502428</v>
      </c>
      <c r="AO70" s="395">
        <f t="shared" ref="AO70:AZ70" si="647">+AO11/AO69*100</f>
        <v>10098.393319511038</v>
      </c>
      <c r="AP70" s="396">
        <f t="shared" si="647"/>
        <v>7890.4821243046972</v>
      </c>
      <c r="AQ70" s="396">
        <f t="shared" si="647"/>
        <v>5715.3023849907759</v>
      </c>
      <c r="AR70" s="396">
        <f t="shared" si="647"/>
        <v>2656.4417993464563</v>
      </c>
      <c r="AS70" s="396">
        <f t="shared" si="647"/>
        <v>12578.941459209542</v>
      </c>
      <c r="AT70" s="396">
        <f t="shared" si="647"/>
        <v>4722.1795028158685</v>
      </c>
      <c r="AU70" s="396">
        <f t="shared" si="647"/>
        <v>5345.815416699329</v>
      </c>
      <c r="AV70" s="396">
        <f t="shared" si="647"/>
        <v>13060.765533663835</v>
      </c>
      <c r="AW70" s="396">
        <f t="shared" si="647"/>
        <v>4442.3149550337876</v>
      </c>
      <c r="AX70" s="396">
        <f t="shared" si="647"/>
        <v>10506.590241903135</v>
      </c>
      <c r="AY70" s="396">
        <f t="shared" si="647"/>
        <v>6284.4211510894038</v>
      </c>
      <c r="AZ70" s="396">
        <f t="shared" si="647"/>
        <v>9799.6701197925504</v>
      </c>
      <c r="BA70" s="398">
        <f>SUM(AO70:AZ70)</f>
        <v>93101.318008360424</v>
      </c>
      <c r="BB70" s="395">
        <f t="shared" ref="BB70:BM70" si="648">+BB11/BB69*100</f>
        <v>7901.8577283810955</v>
      </c>
      <c r="BC70" s="396">
        <f t="shared" si="648"/>
        <v>2610.2114553843594</v>
      </c>
      <c r="BD70" s="396">
        <f t="shared" si="648"/>
        <v>8332.5870160600061</v>
      </c>
      <c r="BE70" s="396">
        <f t="shared" si="648"/>
        <v>927.83706253593311</v>
      </c>
      <c r="BF70" s="396">
        <f t="shared" si="648"/>
        <v>11637.432436725368</v>
      </c>
      <c r="BG70" s="396">
        <f t="shared" si="648"/>
        <v>5603.9928565261125</v>
      </c>
      <c r="BH70" s="396">
        <f t="shared" si="648"/>
        <v>3269.0276549509244</v>
      </c>
      <c r="BI70" s="396">
        <f t="shared" si="648"/>
        <v>11474.247485076648</v>
      </c>
      <c r="BJ70" s="396">
        <f t="shared" si="648"/>
        <v>5332.2200829805461</v>
      </c>
      <c r="BK70" s="396">
        <f t="shared" si="648"/>
        <v>12789.465683629296</v>
      </c>
      <c r="BL70" s="396">
        <f t="shared" si="648"/>
        <v>6341.2204751008339</v>
      </c>
      <c r="BM70" s="396">
        <f t="shared" si="648"/>
        <v>9539.014854208599</v>
      </c>
      <c r="BN70" s="398">
        <f>SUM(BB70:BM70)</f>
        <v>85759.114791559725</v>
      </c>
      <c r="BO70" s="395">
        <f t="shared" ref="BO70:BZ70" si="649">+BO11/BO69*100</f>
        <v>1886.7205919531095</v>
      </c>
      <c r="BP70" s="396">
        <f t="shared" si="649"/>
        <v>10771.256336551716</v>
      </c>
      <c r="BQ70" s="396">
        <f t="shared" si="649"/>
        <v>3811.2335003868425</v>
      </c>
      <c r="BR70" s="396">
        <f t="shared" si="649"/>
        <v>12539.807489391578</v>
      </c>
      <c r="BS70" s="396">
        <f t="shared" si="649"/>
        <v>5468.1644968898154</v>
      </c>
      <c r="BT70" s="396">
        <f t="shared" si="649"/>
        <v>4006.2999067492628</v>
      </c>
      <c r="BU70" s="396">
        <f t="shared" si="649"/>
        <v>5073.987896176629</v>
      </c>
      <c r="BV70" s="396">
        <f t="shared" si="649"/>
        <v>18601.926248162265</v>
      </c>
      <c r="BW70" s="396">
        <f t="shared" si="649"/>
        <v>14485.320412595624</v>
      </c>
      <c r="BX70" s="396">
        <f t="shared" si="649"/>
        <v>12517.450150087159</v>
      </c>
      <c r="BY70" s="396">
        <f t="shared" si="649"/>
        <v>19529.898322094836</v>
      </c>
      <c r="BZ70" s="396">
        <f t="shared" si="649"/>
        <v>10240.645289512478</v>
      </c>
      <c r="CA70" s="398">
        <f>SUM(BO70:BZ70)</f>
        <v>118932.7106405513</v>
      </c>
      <c r="CB70" s="395">
        <f t="shared" ref="CB70:CM70" si="650">+CB11/CB69*100</f>
        <v>2782.3226023973261</v>
      </c>
      <c r="CC70" s="396">
        <f t="shared" si="650"/>
        <v>11638.531305186798</v>
      </c>
      <c r="CD70" s="396">
        <f t="shared" si="650"/>
        <v>6742.8845323149244</v>
      </c>
      <c r="CE70" s="396">
        <f t="shared" si="650"/>
        <v>13359.39726762339</v>
      </c>
      <c r="CF70" s="396">
        <f t="shared" si="650"/>
        <v>6078.9972760949095</v>
      </c>
      <c r="CG70" s="396">
        <f t="shared" si="650"/>
        <v>6016.6053741820879</v>
      </c>
      <c r="CH70" s="396">
        <f t="shared" si="650"/>
        <v>13310.900815622805</v>
      </c>
      <c r="CI70" s="396">
        <f t="shared" si="650"/>
        <v>5387.7660738061813</v>
      </c>
      <c r="CJ70" s="396">
        <f t="shared" si="650"/>
        <v>5622.2689066859521</v>
      </c>
      <c r="CK70" s="396">
        <f t="shared" si="650"/>
        <v>5972.2907738764061</v>
      </c>
      <c r="CL70" s="396">
        <f t="shared" si="650"/>
        <v>6749.944134929302</v>
      </c>
      <c r="CM70" s="396">
        <f t="shared" si="650"/>
        <v>12789.249612051022</v>
      </c>
      <c r="CN70" s="398">
        <f>SUM(CB70:CM70)</f>
        <v>96451.158674771097</v>
      </c>
      <c r="CO70" s="395">
        <f t="shared" ref="CO70:CZ70" si="651">+CO11/CO69*100</f>
        <v>10191.842127319618</v>
      </c>
      <c r="CP70" s="396">
        <f t="shared" si="651"/>
        <v>5851.689398823245</v>
      </c>
      <c r="CQ70" s="396">
        <f t="shared" si="651"/>
        <v>8776.3850555528043</v>
      </c>
      <c r="CR70" s="396">
        <f t="shared" si="651"/>
        <v>5581.6544554446682</v>
      </c>
      <c r="CS70" s="396">
        <f t="shared" si="651"/>
        <v>22243.731376524214</v>
      </c>
      <c r="CT70" s="396">
        <f t="shared" si="651"/>
        <v>8710.1865866891385</v>
      </c>
      <c r="CU70" s="396">
        <f t="shared" si="651"/>
        <v>26765.084852678341</v>
      </c>
      <c r="CV70" s="396">
        <f t="shared" si="651"/>
        <v>19521.201276675183</v>
      </c>
      <c r="CW70" s="396">
        <f t="shared" si="651"/>
        <v>7908.4490419962176</v>
      </c>
      <c r="CX70" s="396">
        <f t="shared" si="651"/>
        <v>18466.2077806733</v>
      </c>
      <c r="CY70" s="396">
        <f t="shared" si="651"/>
        <v>10999.647444306251</v>
      </c>
      <c r="CZ70" s="396">
        <f t="shared" si="651"/>
        <v>23956.030472392642</v>
      </c>
      <c r="DA70" s="398">
        <f>SUM(CO70:CZ70)</f>
        <v>168972.10986907565</v>
      </c>
      <c r="DB70" s="395">
        <f t="shared" ref="DB70:DM70" si="652">+DB11/DB69*100</f>
        <v>10400.838869607323</v>
      </c>
      <c r="DC70" s="396">
        <f t="shared" si="652"/>
        <v>8112.6256524963228</v>
      </c>
      <c r="DD70" s="396">
        <f t="shared" si="652"/>
        <v>8314.6421572801901</v>
      </c>
      <c r="DE70" s="396">
        <f t="shared" si="652"/>
        <v>6792.1266950902027</v>
      </c>
      <c r="DF70" s="396">
        <f t="shared" si="652"/>
        <v>15937.715734535606</v>
      </c>
      <c r="DG70" s="396">
        <f t="shared" si="652"/>
        <v>8613.6724441255647</v>
      </c>
      <c r="DH70" s="396">
        <f t="shared" si="652"/>
        <v>7603.4555278739444</v>
      </c>
      <c r="DI70" s="396">
        <f t="shared" si="652"/>
        <v>18244.770007772691</v>
      </c>
      <c r="DJ70" s="396">
        <f t="shared" si="652"/>
        <v>10126.188676466227</v>
      </c>
      <c r="DK70" s="396">
        <f t="shared" si="652"/>
        <v>14638.591836669109</v>
      </c>
      <c r="DL70" s="396">
        <f t="shared" si="652"/>
        <v>6613.6713674713592</v>
      </c>
      <c r="DM70" s="396">
        <f t="shared" si="652"/>
        <v>38637.285876915834</v>
      </c>
      <c r="DN70" s="398">
        <f>SUM(DB70:DM70)</f>
        <v>154035.58484630438</v>
      </c>
      <c r="DO70" s="395">
        <f t="shared" ref="DO70:DZ70" si="653">+DO11/DO69*100</f>
        <v>3323.3891836080657</v>
      </c>
      <c r="DP70" s="396">
        <f t="shared" si="653"/>
        <v>5738.363744252325</v>
      </c>
      <c r="DQ70" s="396">
        <f t="shared" si="653"/>
        <v>10274.973802376264</v>
      </c>
      <c r="DR70" s="396">
        <f t="shared" si="653"/>
        <v>14747.357239800973</v>
      </c>
      <c r="DS70" s="396">
        <f t="shared" si="653"/>
        <v>19627.418895952524</v>
      </c>
      <c r="DT70" s="396">
        <f t="shared" si="653"/>
        <v>9326.8779984092071</v>
      </c>
      <c r="DU70" s="396">
        <f t="shared" si="653"/>
        <v>20402.471339876312</v>
      </c>
      <c r="DV70" s="396">
        <f t="shared" si="653"/>
        <v>11316.448445502097</v>
      </c>
      <c r="DW70" s="396">
        <f t="shared" si="653"/>
        <v>8108.9641844278276</v>
      </c>
      <c r="DX70" s="396">
        <f t="shared" si="653"/>
        <v>17612.614227136735</v>
      </c>
      <c r="DY70" s="396">
        <f t="shared" si="653"/>
        <v>9323.9226395711921</v>
      </c>
      <c r="DZ70" s="396">
        <f t="shared" si="653"/>
        <v>22207.573350308452</v>
      </c>
      <c r="EA70" s="398">
        <f>SUM(DO70:DZ70)</f>
        <v>152010.37505122198</v>
      </c>
      <c r="EB70" s="395">
        <f t="shared" ref="EB70:EM70" si="654">+EB11/EB69*100</f>
        <v>11909.003239714597</v>
      </c>
      <c r="EC70" s="396">
        <f t="shared" si="654"/>
        <v>11644.330665915268</v>
      </c>
      <c r="ED70" s="396">
        <f t="shared" si="654"/>
        <v>7972.9411274842387</v>
      </c>
      <c r="EE70" s="396">
        <f t="shared" si="654"/>
        <v>19875.988507907019</v>
      </c>
      <c r="EF70" s="396">
        <f t="shared" si="654"/>
        <v>8033.5552348645497</v>
      </c>
      <c r="EG70" s="396">
        <f t="shared" si="654"/>
        <v>7775.7676140591502</v>
      </c>
      <c r="EH70" s="396">
        <f t="shared" si="654"/>
        <v>22413.406638479872</v>
      </c>
      <c r="EI70" s="396">
        <f t="shared" si="654"/>
        <v>14005.06013013813</v>
      </c>
      <c r="EJ70" s="396">
        <f t="shared" si="654"/>
        <v>8479.1350553888678</v>
      </c>
      <c r="EK70" s="396">
        <f t="shared" si="654"/>
        <v>22291.800549065836</v>
      </c>
      <c r="EL70" s="396">
        <f t="shared" si="654"/>
        <v>9447.5507990789029</v>
      </c>
      <c r="EM70" s="396">
        <f t="shared" si="654"/>
        <v>68670.466875027865</v>
      </c>
      <c r="EN70" s="398">
        <f>SUM(EB70:EM70)</f>
        <v>212519.00643712428</v>
      </c>
      <c r="EO70" s="395">
        <f t="shared" ref="EO70:EZ70" si="655">+EO11/EO69*100</f>
        <v>17865.278007996345</v>
      </c>
      <c r="EP70" s="396">
        <f t="shared" si="655"/>
        <v>7212.5769853831362</v>
      </c>
      <c r="EQ70" s="396">
        <f t="shared" si="655"/>
        <v>9693.2160661878952</v>
      </c>
      <c r="ER70" s="396">
        <f t="shared" si="655"/>
        <v>20457.01033743301</v>
      </c>
      <c r="ES70" s="396">
        <f t="shared" si="655"/>
        <v>11084.460985142887</v>
      </c>
      <c r="ET70" s="396">
        <f t="shared" si="655"/>
        <v>9161.0087946919812</v>
      </c>
      <c r="EU70" s="396">
        <f t="shared" si="655"/>
        <v>23436.425306344416</v>
      </c>
      <c r="EV70" s="396">
        <f t="shared" si="655"/>
        <v>10821.589292995681</v>
      </c>
      <c r="EW70" s="396">
        <f t="shared" si="655"/>
        <v>8993.7438769652144</v>
      </c>
      <c r="EX70" s="396">
        <f t="shared" si="655"/>
        <v>26248.895293022946</v>
      </c>
      <c r="EY70" s="396">
        <f t="shared" si="655"/>
        <v>20711.442992214921</v>
      </c>
      <c r="EZ70" s="396">
        <f t="shared" si="655"/>
        <v>17406.531644518665</v>
      </c>
      <c r="FA70" s="398">
        <f>SUM(EO70:EZ70)</f>
        <v>183092.17958289708</v>
      </c>
      <c r="FB70" s="395">
        <f t="shared" ref="FB70:FM70" si="656">+FB11/FB69*100</f>
        <v>18909.821298094026</v>
      </c>
      <c r="FC70" s="396">
        <f t="shared" si="656"/>
        <v>9270.8803853037971</v>
      </c>
      <c r="FD70" s="396">
        <f t="shared" si="656"/>
        <v>6411.2412143997763</v>
      </c>
      <c r="FE70" s="396">
        <f t="shared" si="656"/>
        <v>21384.498973754125</v>
      </c>
      <c r="FF70" s="396">
        <f t="shared" si="656"/>
        <v>5887.1444966050958</v>
      </c>
      <c r="FG70" s="396">
        <f t="shared" si="656"/>
        <v>7137.3716402128057</v>
      </c>
      <c r="FH70" s="396">
        <f t="shared" si="656"/>
        <v>24627.354053607662</v>
      </c>
      <c r="FI70" s="396">
        <f t="shared" si="656"/>
        <v>18507.472449878045</v>
      </c>
      <c r="FJ70" s="396">
        <f t="shared" si="656"/>
        <v>7783.5224924867334</v>
      </c>
      <c r="FK70" s="396">
        <f t="shared" si="656"/>
        <v>24871.504063474989</v>
      </c>
      <c r="FL70" s="396">
        <f t="shared" si="656"/>
        <v>10714.623210465341</v>
      </c>
      <c r="FM70" s="396">
        <f t="shared" si="656"/>
        <v>20265.055417156858</v>
      </c>
      <c r="FN70" s="398">
        <f>SUM(FB70:FM70)</f>
        <v>175770.48969543926</v>
      </c>
      <c r="FO70" s="395">
        <f t="shared" ref="FO70:FZ70" si="657">+FO11/FO69*100</f>
        <v>17253.989800993033</v>
      </c>
      <c r="FP70" s="396">
        <f t="shared" si="657"/>
        <v>6201.0753356672758</v>
      </c>
      <c r="FQ70" s="396">
        <f t="shared" si="657"/>
        <v>12095.343542669123</v>
      </c>
      <c r="FR70" s="396">
        <f t="shared" si="657"/>
        <v>22147.671952208955</v>
      </c>
      <c r="FS70" s="396">
        <f t="shared" si="657"/>
        <v>15592.307771434665</v>
      </c>
      <c r="FT70" s="396">
        <f t="shared" si="657"/>
        <v>13039.800318950382</v>
      </c>
      <c r="FU70" s="396">
        <f t="shared" si="657"/>
        <v>23675.473284107789</v>
      </c>
      <c r="FV70" s="396">
        <f t="shared" si="657"/>
        <v>9227.8863244453823</v>
      </c>
      <c r="FW70" s="396">
        <f t="shared" si="657"/>
        <v>13380.483969857929</v>
      </c>
      <c r="FX70" s="396">
        <f t="shared" si="657"/>
        <v>8429.2646373447369</v>
      </c>
      <c r="FY70" s="396">
        <f t="shared" si="657"/>
        <v>22493.43268002574</v>
      </c>
      <c r="FZ70" s="396">
        <f t="shared" si="657"/>
        <v>155719.06000691187</v>
      </c>
      <c r="GA70" s="398">
        <f>SUM(FO70:FZ70)</f>
        <v>319255.78962461691</v>
      </c>
      <c r="GB70" s="395">
        <f t="shared" ref="GB70:GM70" si="658">+GB11/GB69*100</f>
        <v>16511.385526092319</v>
      </c>
      <c r="GC70" s="396">
        <f t="shared" si="658"/>
        <v>6693.2954092601431</v>
      </c>
      <c r="GD70" s="396">
        <f t="shared" si="658"/>
        <v>9568.4603868309587</v>
      </c>
      <c r="GE70" s="396">
        <f t="shared" si="658"/>
        <v>7664.0628920439267</v>
      </c>
      <c r="GF70" s="396">
        <f t="shared" si="658"/>
        <v>18823.303284544585</v>
      </c>
      <c r="GG70" s="396">
        <f t="shared" si="658"/>
        <v>6935.2371148706497</v>
      </c>
      <c r="GH70" s="396">
        <f t="shared" si="658"/>
        <v>23471.744645071176</v>
      </c>
      <c r="GI70" s="396">
        <f t="shared" si="658"/>
        <v>77780.450666862103</v>
      </c>
      <c r="GJ70" s="396">
        <f t="shared" si="658"/>
        <v>9772.7918255688655</v>
      </c>
      <c r="GK70" s="396">
        <f t="shared" si="658"/>
        <v>50915.751789864531</v>
      </c>
      <c r="GL70" s="396">
        <f t="shared" si="658"/>
        <v>22351.893015323309</v>
      </c>
      <c r="GM70" s="396">
        <f t="shared" si="658"/>
        <v>98492.37935400859</v>
      </c>
      <c r="GN70" s="398">
        <f>SUM(GB70:GM70)</f>
        <v>348980.75591034116</v>
      </c>
      <c r="GO70" s="395">
        <f t="shared" ref="GO70:GZ70" si="659">+GO11/GO69*100</f>
        <v>6819.7264403569789</v>
      </c>
      <c r="GP70" s="396">
        <f t="shared" si="659"/>
        <v>16851.183440364213</v>
      </c>
      <c r="GQ70" s="396">
        <f t="shared" si="659"/>
        <v>8497.8933702009344</v>
      </c>
      <c r="GR70" s="396">
        <f t="shared" si="659"/>
        <v>7084.5614777555638</v>
      </c>
      <c r="GS70" s="396">
        <f t="shared" si="659"/>
        <v>22909.027349140259</v>
      </c>
      <c r="GT70" s="396">
        <f t="shared" si="659"/>
        <v>11205.046293766547</v>
      </c>
      <c r="GU70" s="396">
        <f t="shared" si="659"/>
        <v>10058.528831365096</v>
      </c>
      <c r="GV70" s="396">
        <f t="shared" si="659"/>
        <v>24320.593486303544</v>
      </c>
      <c r="GW70" s="396">
        <f t="shared" si="659"/>
        <v>9234.0628444237518</v>
      </c>
      <c r="GX70" s="396">
        <f t="shared" si="659"/>
        <v>15831.452189398695</v>
      </c>
      <c r="GY70" s="396">
        <f t="shared" si="659"/>
        <v>44999.863133145263</v>
      </c>
      <c r="GZ70" s="396">
        <f t="shared" si="659"/>
        <v>15720.31392860143</v>
      </c>
      <c r="HA70" s="398">
        <f>SUM(GO70:GZ70)</f>
        <v>193532.25278482225</v>
      </c>
      <c r="HB70" s="395">
        <f t="shared" ref="HB70:HM70" si="660">+HB11/HB69*100</f>
        <v>2805.6656770791838</v>
      </c>
      <c r="HC70" s="396">
        <f t="shared" si="660"/>
        <v>87585.635435681485</v>
      </c>
      <c r="HD70" s="396">
        <f t="shared" si="660"/>
        <v>5028.7659033407454</v>
      </c>
      <c r="HE70" s="396">
        <f t="shared" si="660"/>
        <v>10288.858637649617</v>
      </c>
      <c r="HF70" s="396">
        <f t="shared" si="660"/>
        <v>17695.746351447087</v>
      </c>
      <c r="HG70" s="396">
        <f t="shared" si="660"/>
        <v>6412.2728951626841</v>
      </c>
      <c r="HH70" s="396">
        <f t="shared" si="660"/>
        <v>6070.5042654169074</v>
      </c>
      <c r="HI70" s="396">
        <f t="shared" si="660"/>
        <v>54950.836673243146</v>
      </c>
      <c r="HJ70" s="396">
        <f t="shared" si="660"/>
        <v>11458.910082831104</v>
      </c>
      <c r="HK70" s="396">
        <f t="shared" si="660"/>
        <v>9858.5366242065575</v>
      </c>
      <c r="HL70" s="396">
        <f t="shared" si="660"/>
        <v>29699.182326785227</v>
      </c>
      <c r="HM70" s="396">
        <f t="shared" si="660"/>
        <v>43659.416472680779</v>
      </c>
      <c r="HN70" s="398">
        <f>SUM(HB70:HM70)</f>
        <v>285514.33134552452</v>
      </c>
      <c r="HO70" s="395">
        <f t="shared" ref="HO70:HY70" si="661">+HO11/HO69*100</f>
        <v>4391.4565267812468</v>
      </c>
      <c r="HP70" s="396">
        <f t="shared" si="661"/>
        <v>32343.432779721046</v>
      </c>
      <c r="HQ70" s="396">
        <f t="shared" si="661"/>
        <v>16293.541944695826</v>
      </c>
      <c r="HR70" s="396">
        <f t="shared" si="661"/>
        <v>8347.4692970594642</v>
      </c>
      <c r="HS70" s="396">
        <f t="shared" si="661"/>
        <v>13609.308160389261</v>
      </c>
      <c r="HT70" s="396">
        <f t="shared" si="661"/>
        <v>19374.823833982817</v>
      </c>
      <c r="HU70" s="396">
        <f t="shared" si="661"/>
        <v>9405.7006522324064</v>
      </c>
      <c r="HV70" s="396">
        <f t="shared" si="661"/>
        <v>24329.670577743495</v>
      </c>
      <c r="HW70" s="396">
        <f t="shared" si="661"/>
        <v>11553.227242852943</v>
      </c>
      <c r="HX70" s="396">
        <f t="shared" si="661"/>
        <v>10491.409488407022</v>
      </c>
      <c r="HY70" s="396">
        <f t="shared" si="661"/>
        <v>24507.404017788383</v>
      </c>
      <c r="HZ70" s="396">
        <f>+HZ11/HZ69*100</f>
        <v>18056.851831597825</v>
      </c>
      <c r="IA70" s="395">
        <f>SUM(HO70:HZ70)</f>
        <v>192704.29635325176</v>
      </c>
      <c r="IB70" s="1347">
        <f>+IB11/IB69*100</f>
        <v>2622.9960793466598</v>
      </c>
      <c r="IC70" s="1348">
        <f t="shared" ref="IC70:ID70" si="662">+IC11/IC69*100</f>
        <v>17475.12980598323</v>
      </c>
      <c r="ID70" s="1348">
        <f t="shared" si="662"/>
        <v>8329.0251296899041</v>
      </c>
      <c r="IE70" s="1348">
        <f>+IE11/IE69*100</f>
        <v>7664.5776082936809</v>
      </c>
      <c r="IF70" s="1348">
        <f>+IF11/IF69*100</f>
        <v>10250.834155145792</v>
      </c>
      <c r="IG70" s="1348">
        <f>+IG11/IG69*100</f>
        <v>20046.64820996251</v>
      </c>
      <c r="IH70" s="1348">
        <f>+IH11/IH69*100</f>
        <v>8782.6905808858082</v>
      </c>
      <c r="II70" s="1348">
        <f>+II11/II69*100</f>
        <v>22332.83864856045</v>
      </c>
      <c r="IJ70" s="1348"/>
      <c r="IK70" s="1348"/>
      <c r="IL70" s="1348"/>
      <c r="IM70" s="1349"/>
      <c r="IN70" s="399">
        <f>SUM(IB70:IM70)</f>
        <v>97504.740217868035</v>
      </c>
      <c r="IP70" s="372">
        <f>IFERROR(((
_xlfn.XLOOKUP((DATE(YEAR($IP$5),MONTH($IP$5),1)),SMN.GGN.DATE,$B70:$IN70) /
_xlfn.XLOOKUP((DATE(YEAR($IP$5)-1,MONTH($IP$5),1)),SMN.GGN.DATE,$B70:$IN70)
)-1)*100,"")</f>
        <v>-8.2073940245196866</v>
      </c>
      <c r="IQ70" s="351">
        <f>IFERROR(((IS70/IR70)-1)*100,"-")</f>
        <v>-23.881156273992431</v>
      </c>
      <c r="IR70" s="352">
        <f>SUMIFS($B70:$IN70,SMN.GGN.DATE,"&gt;="&amp;DATE(YEAR($IP$5)-1,1,1),SMN.GGN.DATE,"&lt;="&amp;DATE(YEAR($IP$5)-1,MONTH($IP$5),1))</f>
        <v>128095.40377260557</v>
      </c>
      <c r="IS70" s="350">
        <f>SUMIFS($B70:$IN70,SMN.GGN.DATE,"&gt;="&amp;DATE(YEAR($IP$5),1,1),SMN.GGN.DATE,"&lt;="&amp;$IP$5)</f>
        <v>97504.740217868035</v>
      </c>
    </row>
    <row r="71" spans="1:253" ht="15" customHeight="1" x14ac:dyDescent="0.2">
      <c r="A71" s="355"/>
      <c r="B71" s="355"/>
      <c r="C71" s="355"/>
      <c r="D71" s="355"/>
      <c r="E71" s="355"/>
      <c r="F71" s="355"/>
      <c r="G71" s="355"/>
      <c r="H71" s="355"/>
      <c r="I71" s="355"/>
      <c r="J71" s="355"/>
      <c r="K71" s="355"/>
      <c r="L71" s="355"/>
      <c r="M71" s="355"/>
      <c r="N71" s="355"/>
      <c r="O71" s="355"/>
      <c r="P71" s="355"/>
      <c r="Q71" s="355"/>
      <c r="R71" s="355"/>
      <c r="S71" s="355"/>
      <c r="T71" s="355"/>
      <c r="U71" s="355"/>
      <c r="V71" s="355"/>
      <c r="W71" s="355"/>
      <c r="X71" s="355"/>
      <c r="Y71" s="355"/>
      <c r="Z71" s="355"/>
      <c r="AA71" s="355"/>
      <c r="FB71" s="368"/>
      <c r="FC71" s="368"/>
      <c r="FD71" s="358"/>
      <c r="FE71" s="358"/>
      <c r="FF71" s="358"/>
      <c r="FG71" s="358"/>
      <c r="FH71" s="358"/>
      <c r="FI71" s="358"/>
      <c r="FJ71" s="358"/>
      <c r="FK71" s="358"/>
      <c r="FL71" s="358"/>
      <c r="FM71" s="358"/>
      <c r="FN71" s="358"/>
      <c r="FO71" s="358"/>
      <c r="FP71" s="347"/>
      <c r="FQ71" s="347"/>
      <c r="FR71" s="347"/>
      <c r="FS71" s="347"/>
      <c r="FT71" s="347"/>
      <c r="FU71" s="347"/>
      <c r="FV71" s="347"/>
      <c r="FW71" s="347"/>
      <c r="FX71" s="347"/>
      <c r="FY71" s="347"/>
      <c r="FZ71" s="347"/>
      <c r="GA71" s="347"/>
      <c r="GB71" s="347"/>
      <c r="GC71" s="347"/>
      <c r="GD71" s="347"/>
      <c r="GE71" s="347"/>
      <c r="GF71" s="347"/>
      <c r="GG71" s="347"/>
      <c r="GH71" s="347"/>
      <c r="GI71" s="347"/>
      <c r="GJ71" s="347"/>
      <c r="GK71" s="347"/>
      <c r="GL71" s="320"/>
      <c r="GM71" s="320"/>
      <c r="GN71" s="320"/>
      <c r="GO71" s="320"/>
      <c r="GP71" s="320"/>
      <c r="GQ71" s="320"/>
      <c r="GR71" s="320"/>
      <c r="GS71" s="320"/>
      <c r="GT71" s="320"/>
      <c r="GU71" s="320"/>
      <c r="GV71" s="320"/>
      <c r="GW71" s="320"/>
      <c r="GX71" s="320"/>
      <c r="GY71" s="320"/>
      <c r="GZ71" s="320"/>
      <c r="HA71" s="320"/>
      <c r="HB71" s="320"/>
      <c r="HC71" s="320"/>
      <c r="HD71" s="320"/>
      <c r="HE71" s="320"/>
      <c r="HF71" s="320"/>
      <c r="HG71" s="320"/>
      <c r="HH71" s="320"/>
      <c r="HI71" s="320"/>
      <c r="HJ71" s="320"/>
      <c r="HK71" s="320"/>
      <c r="HL71" s="320"/>
      <c r="HM71" s="320"/>
      <c r="HN71" s="320"/>
      <c r="HO71" s="320"/>
      <c r="HP71" s="320"/>
      <c r="HQ71" s="320"/>
      <c r="HR71" s="320"/>
      <c r="HS71" s="320"/>
      <c r="HT71" s="320"/>
      <c r="HU71" s="320"/>
      <c r="HV71" s="320"/>
      <c r="HW71" s="320"/>
      <c r="HX71" s="320"/>
      <c r="HY71" s="320"/>
      <c r="HZ71" s="320"/>
      <c r="IA71" s="320"/>
    </row>
  </sheetData>
  <sortState xmlns:xlrd2="http://schemas.microsoft.com/office/spreadsheetml/2017/richdata2" ref="A16:JA17">
    <sortCondition ref="A17"/>
  </sortState>
  <mergeCells count="2">
    <mergeCell ref="IP4:IQ4"/>
    <mergeCell ref="IP38:IQ38"/>
  </mergeCells>
  <printOptions horizontalCentered="1" verticalCentered="1"/>
  <pageMargins left="0.39370078740157483" right="0.74803149606299213" top="0.98425196850393704" bottom="0.98425196850393704" header="0" footer="0"/>
  <pageSetup paperSize="9" scale="1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82B7-1EAC-4ED4-85EB-A6172856DDE4}">
  <sheetPr>
    <tabColor theme="7" tint="0.59999389629810485"/>
  </sheetPr>
  <dimension ref="A1:JD91"/>
  <sheetViews>
    <sheetView showGridLines="0" view="pageBreakPreview" zoomScale="80" zoomScaleNormal="75" zoomScaleSheetLayoutView="80" workbookViewId="0">
      <pane xSplit="1" topLeftCell="HO1" activePane="topRight" state="frozen"/>
      <selection activeCell="IB59" sqref="IB59:JB59"/>
      <selection pane="topRight" activeCell="II7" sqref="II7"/>
    </sheetView>
  </sheetViews>
  <sheetFormatPr baseColWidth="10" defaultColWidth="8.7109375" defaultRowHeight="15" customHeight="1" x14ac:dyDescent="0.2"/>
  <cols>
    <col min="1" max="1" width="30.7109375" style="105" customWidth="1"/>
    <col min="2" max="174" width="8.7109375" style="105"/>
    <col min="175" max="193" width="8.7109375" style="120"/>
    <col min="194" max="216" width="8.7109375" style="105"/>
    <col min="217" max="218" width="9.85546875" style="105" bestFit="1" customWidth="1"/>
    <col min="219" max="219" width="9.7109375" style="105" bestFit="1" customWidth="1"/>
    <col min="220" max="220" width="9.85546875" style="105" bestFit="1" customWidth="1"/>
    <col min="221" max="221" width="9.7109375" style="105" bestFit="1" customWidth="1"/>
    <col min="222" max="222" width="11.140625" style="105" bestFit="1" customWidth="1"/>
    <col min="223" max="224" width="8.7109375" style="105"/>
    <col min="225" max="225" width="9.85546875" style="105" bestFit="1" customWidth="1"/>
    <col min="226" max="227" width="8.7109375" style="105"/>
    <col min="228" max="228" width="9.85546875" style="105" bestFit="1" customWidth="1"/>
    <col min="229" max="231" width="8.7109375" style="105"/>
    <col min="232" max="232" width="9.7109375" style="105" bestFit="1" customWidth="1"/>
    <col min="233" max="233" width="8.7109375" style="105"/>
    <col min="234" max="234" width="9.7109375" style="105" bestFit="1" customWidth="1"/>
    <col min="235" max="235" width="10.7109375" style="105" customWidth="1"/>
    <col min="236" max="236" width="10" customWidth="1"/>
    <col min="237" max="238" width="9.5703125" customWidth="1"/>
    <col min="239" max="239" width="9.140625" customWidth="1"/>
    <col min="240" max="240" width="10.28515625" customWidth="1"/>
    <col min="241" max="241" width="10.85546875" customWidth="1"/>
    <col min="242" max="242" width="10.28515625" customWidth="1"/>
    <col min="243" max="243" width="9.5703125" customWidth="1"/>
    <col min="244" max="244" width="10.7109375" customWidth="1"/>
    <col min="245" max="245" width="9.5703125" customWidth="1"/>
    <col min="246" max="246" width="9.42578125" customWidth="1"/>
    <col min="247" max="247" width="11.28515625" customWidth="1"/>
    <col min="248" max="248" width="8.5703125" customWidth="1"/>
    <col min="249" max="249" width="6.28515625" customWidth="1"/>
    <col min="250" max="250" width="9.42578125" style="105" bestFit="1" customWidth="1"/>
    <col min="251" max="251" width="9.85546875" style="105" bestFit="1" customWidth="1"/>
    <col min="252" max="253" width="11.85546875" style="105" bestFit="1" customWidth="1"/>
    <col min="254" max="254" width="4" style="105" customWidth="1"/>
    <col min="255" max="255" width="10.5703125" style="105" bestFit="1" customWidth="1"/>
    <col min="265" max="16384" width="8.7109375" style="105"/>
  </cols>
  <sheetData>
    <row r="1" spans="1:264" s="317" customFormat="1" ht="15" customHeight="1" x14ac:dyDescent="0.2">
      <c r="A1" s="1524" t="s">
        <v>303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6"/>
      <c r="AC1" s="316"/>
      <c r="AD1" s="316"/>
      <c r="AE1" s="316"/>
      <c r="AF1" s="316"/>
      <c r="AG1" s="316"/>
      <c r="AH1" s="316"/>
      <c r="AI1" s="316"/>
      <c r="AJ1" s="316"/>
      <c r="AK1" s="316"/>
      <c r="AL1" s="316"/>
      <c r="AM1" s="316"/>
      <c r="AN1" s="316"/>
      <c r="AO1" s="316"/>
      <c r="AP1" s="316"/>
      <c r="AQ1" s="316"/>
      <c r="AR1" s="316"/>
      <c r="AS1" s="316"/>
      <c r="AT1" s="316"/>
      <c r="AU1" s="316"/>
      <c r="AV1" s="316"/>
      <c r="AW1" s="316"/>
      <c r="AX1" s="316"/>
      <c r="AY1" s="316"/>
      <c r="AZ1" s="316"/>
      <c r="BA1" s="316"/>
      <c r="BB1" s="316"/>
      <c r="BC1" s="316"/>
      <c r="BD1" s="316"/>
      <c r="BE1" s="316"/>
      <c r="BF1" s="316"/>
      <c r="BG1" s="316"/>
      <c r="BH1" s="316"/>
      <c r="BI1" s="316"/>
      <c r="BJ1" s="316"/>
      <c r="BK1" s="316"/>
      <c r="BL1" s="316"/>
      <c r="BM1" s="316"/>
      <c r="BN1" s="316"/>
      <c r="BO1" s="316"/>
      <c r="BP1" s="316"/>
      <c r="BQ1" s="316"/>
      <c r="BR1" s="316"/>
      <c r="BS1" s="316"/>
      <c r="BT1" s="316"/>
      <c r="BU1" s="316"/>
      <c r="BV1" s="316"/>
      <c r="BW1" s="316"/>
      <c r="BX1" s="316"/>
      <c r="BY1" s="316"/>
      <c r="BZ1" s="316"/>
      <c r="CA1" s="316"/>
      <c r="CB1" s="316"/>
      <c r="CC1" s="316"/>
      <c r="CD1" s="316"/>
      <c r="CE1" s="316"/>
      <c r="CF1" s="316"/>
      <c r="CG1" s="316"/>
      <c r="CH1" s="316"/>
      <c r="CI1" s="316"/>
      <c r="CJ1" s="316"/>
      <c r="CK1" s="316"/>
      <c r="CL1" s="316"/>
      <c r="CM1" s="316"/>
      <c r="CN1" s="316"/>
      <c r="CO1" s="316"/>
      <c r="CP1" s="316"/>
      <c r="CQ1" s="316"/>
      <c r="CR1" s="316"/>
      <c r="CS1" s="316"/>
      <c r="CT1" s="316"/>
      <c r="CU1" s="316"/>
      <c r="CV1" s="316"/>
      <c r="CW1" s="316"/>
      <c r="CX1" s="316"/>
      <c r="CY1" s="316"/>
      <c r="CZ1" s="316"/>
      <c r="DA1" s="316"/>
      <c r="DB1" s="316"/>
      <c r="DC1" s="316"/>
      <c r="DD1" s="316"/>
      <c r="DE1" s="316"/>
      <c r="DF1" s="316"/>
      <c r="DG1" s="316"/>
      <c r="DH1" s="316"/>
      <c r="DI1" s="316"/>
      <c r="DJ1" s="316"/>
      <c r="DK1" s="316"/>
      <c r="DL1" s="316"/>
      <c r="DM1" s="316"/>
      <c r="DN1" s="316"/>
      <c r="DO1" s="316"/>
      <c r="DP1" s="316"/>
      <c r="DQ1" s="316"/>
      <c r="DR1" s="316"/>
      <c r="DS1" s="316"/>
      <c r="DT1" s="316"/>
      <c r="DU1" s="316"/>
      <c r="DV1" s="316"/>
      <c r="DW1" s="316"/>
      <c r="DX1" s="316"/>
      <c r="DY1" s="316"/>
      <c r="DZ1" s="316"/>
      <c r="EA1" s="316"/>
      <c r="EB1" s="316"/>
      <c r="EC1" s="316"/>
      <c r="ED1" s="316"/>
      <c r="EE1" s="316"/>
      <c r="EF1" s="316"/>
      <c r="EG1" s="316"/>
      <c r="EH1" s="316"/>
      <c r="EI1" s="316"/>
      <c r="EJ1" s="316"/>
      <c r="IB1" s="120"/>
      <c r="IC1" s="120"/>
      <c r="ID1" s="120"/>
      <c r="IE1" s="120"/>
      <c r="IF1" s="120"/>
      <c r="IG1" s="120"/>
      <c r="IH1" s="120"/>
      <c r="II1" s="120"/>
      <c r="IJ1" s="120"/>
      <c r="IK1" s="120"/>
      <c r="IL1" s="120"/>
      <c r="IM1" s="120"/>
      <c r="IN1" s="120"/>
      <c r="IO1" s="120"/>
      <c r="IV1"/>
      <c r="IW1"/>
      <c r="IX1"/>
      <c r="IY1"/>
      <c r="IZ1"/>
      <c r="JA1"/>
      <c r="JB1"/>
      <c r="JC1"/>
      <c r="JD1"/>
    </row>
    <row r="2" spans="1:264" s="317" customFormat="1" ht="15" customHeight="1" x14ac:dyDescent="0.2">
      <c r="A2" s="1524" t="s">
        <v>428</v>
      </c>
      <c r="B2" s="318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9"/>
      <c r="BN2" s="319"/>
      <c r="BO2" s="319"/>
      <c r="BP2" s="319"/>
      <c r="BQ2" s="319"/>
      <c r="BR2" s="319"/>
      <c r="BS2" s="319"/>
      <c r="BT2" s="319"/>
      <c r="BU2" s="319"/>
      <c r="BV2" s="319"/>
      <c r="BW2" s="319"/>
      <c r="BX2" s="319"/>
      <c r="BY2" s="319"/>
      <c r="BZ2" s="319"/>
      <c r="CA2" s="319"/>
      <c r="CB2" s="319"/>
      <c r="CC2" s="319"/>
      <c r="CD2" s="319"/>
      <c r="CE2" s="319"/>
      <c r="CF2" s="319"/>
      <c r="CG2" s="319"/>
      <c r="CH2" s="319"/>
      <c r="CI2" s="319"/>
      <c r="CJ2" s="319"/>
      <c r="CK2" s="319"/>
      <c r="CL2" s="319"/>
      <c r="CM2" s="319"/>
      <c r="CN2" s="319"/>
      <c r="CO2" s="319"/>
      <c r="CP2" s="319"/>
      <c r="CQ2" s="319"/>
      <c r="CR2" s="319"/>
      <c r="CS2" s="319"/>
      <c r="CT2" s="319"/>
      <c r="CU2" s="319"/>
      <c r="CV2" s="319"/>
      <c r="CW2" s="319"/>
      <c r="CX2" s="319"/>
      <c r="CY2" s="319"/>
      <c r="CZ2" s="319"/>
      <c r="DA2" s="319"/>
      <c r="DB2" s="319"/>
      <c r="DC2" s="319"/>
      <c r="DD2" s="319"/>
      <c r="DE2" s="319"/>
      <c r="DF2" s="319"/>
      <c r="DG2" s="319"/>
      <c r="DH2" s="319"/>
      <c r="DI2" s="319"/>
      <c r="DJ2" s="319"/>
      <c r="DK2" s="319"/>
      <c r="DL2" s="319"/>
      <c r="DM2" s="319"/>
      <c r="DN2" s="319"/>
      <c r="DO2" s="319"/>
      <c r="DP2" s="319"/>
      <c r="DQ2" s="319"/>
      <c r="DR2" s="319"/>
      <c r="DS2" s="319"/>
      <c r="DT2" s="319"/>
      <c r="DU2" s="319"/>
      <c r="DV2" s="319"/>
      <c r="DW2" s="319"/>
      <c r="DX2" s="319"/>
      <c r="DY2" s="319"/>
      <c r="DZ2" s="319"/>
      <c r="EA2" s="319"/>
      <c r="EB2" s="319"/>
      <c r="EC2" s="319"/>
      <c r="ED2" s="319"/>
      <c r="EE2" s="319"/>
      <c r="EF2" s="319"/>
      <c r="EG2" s="319"/>
      <c r="EH2" s="319"/>
      <c r="EI2" s="319"/>
      <c r="EJ2" s="319"/>
      <c r="EK2" s="320"/>
      <c r="EL2" s="320"/>
      <c r="EM2" s="320"/>
      <c r="EN2" s="320"/>
      <c r="EO2" s="320"/>
      <c r="EP2" s="320"/>
      <c r="EQ2" s="320"/>
      <c r="ER2" s="320"/>
      <c r="ES2" s="320"/>
      <c r="ET2" s="320"/>
      <c r="EU2" s="320"/>
      <c r="EV2" s="320"/>
      <c r="EW2" s="320"/>
      <c r="EX2" s="320"/>
      <c r="EY2" s="320"/>
      <c r="EZ2" s="320"/>
      <c r="FA2" s="320"/>
      <c r="FB2" s="320"/>
      <c r="FC2" s="320"/>
      <c r="FD2" s="320"/>
      <c r="FE2" s="320"/>
      <c r="FF2" s="320"/>
      <c r="FG2" s="320"/>
      <c r="FH2" s="320"/>
      <c r="FI2" s="320"/>
      <c r="GB2" s="321"/>
      <c r="GC2" s="321"/>
      <c r="GD2" s="321"/>
      <c r="GE2" s="321"/>
      <c r="GF2" s="321"/>
      <c r="GG2" s="321"/>
      <c r="GH2" s="321"/>
      <c r="GI2" s="321"/>
      <c r="GJ2" s="321"/>
      <c r="GK2" s="321"/>
      <c r="GL2" s="321"/>
      <c r="GM2" s="321"/>
      <c r="GN2" s="321"/>
      <c r="GO2" s="321"/>
      <c r="GP2" s="321"/>
      <c r="GQ2" s="321"/>
      <c r="GR2" s="321"/>
      <c r="GS2" s="321"/>
      <c r="GT2" s="321"/>
      <c r="GU2" s="321"/>
      <c r="GV2" s="321"/>
      <c r="GW2" s="321"/>
      <c r="GX2" s="321"/>
      <c r="GY2" s="321"/>
      <c r="GZ2" s="321"/>
      <c r="HA2" s="321"/>
      <c r="HB2" s="321"/>
      <c r="HC2" s="321"/>
      <c r="HD2" s="321"/>
      <c r="HE2" s="321"/>
      <c r="HF2" s="321"/>
      <c r="HG2" s="321"/>
      <c r="HH2" s="321"/>
      <c r="HI2" s="321"/>
      <c r="HJ2" s="321"/>
      <c r="HK2" s="321"/>
      <c r="HL2" s="321"/>
      <c r="HM2" s="321"/>
      <c r="HN2" s="321"/>
      <c r="HO2" s="321"/>
      <c r="HP2" s="321"/>
      <c r="HQ2" s="321"/>
      <c r="HR2" s="321"/>
      <c r="HS2" s="321"/>
      <c r="HT2" s="321"/>
      <c r="HU2" s="321"/>
      <c r="HV2" s="321"/>
      <c r="HW2" s="321"/>
      <c r="HX2" s="321"/>
      <c r="HY2" s="321"/>
      <c r="HZ2" s="321"/>
      <c r="IA2" s="321"/>
      <c r="IB2" s="120"/>
      <c r="IC2" s="120"/>
      <c r="ID2" s="120"/>
      <c r="IE2" s="120"/>
      <c r="IF2" s="120"/>
      <c r="IG2" s="120"/>
      <c r="IH2" s="120"/>
      <c r="II2" s="120"/>
      <c r="IJ2" s="120"/>
      <c r="IK2" s="120"/>
      <c r="IL2" s="120"/>
      <c r="IM2" s="120"/>
      <c r="IN2" s="120"/>
      <c r="IO2" s="120"/>
      <c r="IV2"/>
      <c r="IW2"/>
      <c r="IX2"/>
      <c r="IY2"/>
      <c r="IZ2"/>
      <c r="JA2"/>
      <c r="JB2"/>
      <c r="JC2"/>
      <c r="JD2"/>
    </row>
    <row r="3" spans="1:264" s="317" customFormat="1" ht="15" customHeight="1" x14ac:dyDescent="0.2">
      <c r="A3" s="1550" t="s">
        <v>618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6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  <c r="AX3" s="316"/>
      <c r="AY3" s="316"/>
      <c r="AZ3" s="316"/>
      <c r="BA3" s="316"/>
      <c r="BB3" s="316"/>
      <c r="BC3" s="316"/>
      <c r="BD3" s="316"/>
      <c r="BE3" s="316"/>
      <c r="BF3" s="316"/>
      <c r="BG3" s="316"/>
      <c r="BH3" s="316"/>
      <c r="BI3" s="316"/>
      <c r="BJ3" s="316"/>
      <c r="BK3" s="316"/>
      <c r="BL3" s="316"/>
      <c r="BM3" s="316"/>
      <c r="BN3" s="316"/>
      <c r="BO3" s="316"/>
      <c r="BP3" s="316"/>
      <c r="BQ3" s="316"/>
      <c r="BR3" s="316"/>
      <c r="BS3" s="316"/>
      <c r="BT3" s="316"/>
      <c r="BU3" s="316"/>
      <c r="BV3" s="316"/>
      <c r="BW3" s="316"/>
      <c r="BX3" s="316"/>
      <c r="BY3" s="316"/>
      <c r="BZ3" s="316"/>
      <c r="CA3" s="316"/>
      <c r="CB3" s="316"/>
      <c r="CC3" s="316"/>
      <c r="CD3" s="316"/>
      <c r="CE3" s="316"/>
      <c r="CF3" s="316"/>
      <c r="CG3" s="316"/>
      <c r="CH3" s="316"/>
      <c r="CI3" s="316"/>
      <c r="CJ3" s="316"/>
      <c r="CK3" s="316"/>
      <c r="CL3" s="316"/>
      <c r="CM3" s="316"/>
      <c r="CN3" s="316"/>
      <c r="CO3" s="316"/>
      <c r="CP3" s="316"/>
      <c r="CQ3" s="316"/>
      <c r="CR3" s="316"/>
      <c r="CS3" s="316"/>
      <c r="CT3" s="316"/>
      <c r="CU3" s="316"/>
      <c r="CV3" s="316"/>
      <c r="CW3" s="316"/>
      <c r="CX3" s="316"/>
      <c r="CY3" s="316"/>
      <c r="CZ3" s="316"/>
      <c r="DA3" s="316"/>
      <c r="DB3" s="316"/>
      <c r="DC3" s="316"/>
      <c r="DD3" s="316"/>
      <c r="DE3" s="316"/>
      <c r="DF3" s="316"/>
      <c r="DG3" s="316"/>
      <c r="DH3" s="316"/>
      <c r="DI3" s="316"/>
      <c r="DJ3" s="316"/>
      <c r="DK3" s="316"/>
      <c r="DL3" s="316"/>
      <c r="DM3" s="316"/>
      <c r="DN3" s="316"/>
      <c r="DO3" s="316"/>
      <c r="DP3" s="316"/>
      <c r="DQ3" s="316"/>
      <c r="DR3" s="316"/>
      <c r="DS3" s="316"/>
      <c r="DT3" s="316"/>
      <c r="DU3" s="316"/>
      <c r="DV3" s="316"/>
      <c r="DW3" s="316"/>
      <c r="DX3" s="316"/>
      <c r="DY3" s="316"/>
      <c r="DZ3" s="316"/>
      <c r="EA3" s="316"/>
      <c r="EB3" s="316"/>
      <c r="EC3" s="316"/>
      <c r="ED3" s="316"/>
      <c r="EE3" s="316"/>
      <c r="EF3" s="316"/>
      <c r="EG3" s="316"/>
      <c r="EH3" s="316"/>
      <c r="EI3" s="316"/>
      <c r="EJ3" s="316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V3"/>
      <c r="IW3"/>
      <c r="IX3"/>
      <c r="IY3"/>
      <c r="IZ3"/>
      <c r="JA3"/>
      <c r="JB3"/>
      <c r="JC3"/>
      <c r="JD3"/>
    </row>
    <row r="4" spans="1:264" s="1530" customFormat="1" ht="15" customHeight="1" x14ac:dyDescent="0.2">
      <c r="A4" s="1525"/>
      <c r="B4" s="1526">
        <f>YEAR(B5)</f>
        <v>2008</v>
      </c>
      <c r="C4" s="1527"/>
      <c r="D4" s="1527"/>
      <c r="E4" s="1527"/>
      <c r="F4" s="1527"/>
      <c r="G4" s="1527"/>
      <c r="H4" s="1527"/>
      <c r="I4" s="1527"/>
      <c r="J4" s="1527"/>
      <c r="K4" s="1527"/>
      <c r="L4" s="1527"/>
      <c r="M4" s="1527"/>
      <c r="N4" s="1528" t="s">
        <v>29</v>
      </c>
      <c r="O4" s="1526">
        <f>YEAR(O5)</f>
        <v>2009</v>
      </c>
      <c r="P4" s="1527"/>
      <c r="Q4" s="1527"/>
      <c r="R4" s="1527"/>
      <c r="S4" s="1527"/>
      <c r="T4" s="1527"/>
      <c r="U4" s="1527"/>
      <c r="V4" s="1527"/>
      <c r="W4" s="1527"/>
      <c r="X4" s="1527"/>
      <c r="Y4" s="1527"/>
      <c r="Z4" s="1527"/>
      <c r="AA4" s="1528" t="s">
        <v>29</v>
      </c>
      <c r="AB4" s="1526">
        <f>YEAR(AB5)</f>
        <v>2010</v>
      </c>
      <c r="AC4" s="1527"/>
      <c r="AD4" s="1527"/>
      <c r="AE4" s="1527"/>
      <c r="AF4" s="1527"/>
      <c r="AG4" s="1527"/>
      <c r="AH4" s="1527"/>
      <c r="AI4" s="1527"/>
      <c r="AJ4" s="1527"/>
      <c r="AK4" s="1527"/>
      <c r="AL4" s="1527"/>
      <c r="AM4" s="1527"/>
      <c r="AN4" s="1528" t="s">
        <v>29</v>
      </c>
      <c r="AO4" s="1526">
        <f>YEAR(AO5)</f>
        <v>2011</v>
      </c>
      <c r="AP4" s="1527"/>
      <c r="AQ4" s="1527"/>
      <c r="AR4" s="1527"/>
      <c r="AS4" s="1527"/>
      <c r="AT4" s="1527"/>
      <c r="AU4" s="1527"/>
      <c r="AV4" s="1527"/>
      <c r="AW4" s="1527"/>
      <c r="AX4" s="1527"/>
      <c r="AY4" s="1527"/>
      <c r="AZ4" s="1527"/>
      <c r="BA4" s="1528" t="s">
        <v>29</v>
      </c>
      <c r="BB4" s="1526">
        <f>YEAR(BB5)</f>
        <v>2012</v>
      </c>
      <c r="BC4" s="1527"/>
      <c r="BD4" s="1527"/>
      <c r="BE4" s="1527"/>
      <c r="BF4" s="1527"/>
      <c r="BG4" s="1527"/>
      <c r="BH4" s="1527"/>
      <c r="BI4" s="1527"/>
      <c r="BJ4" s="1527"/>
      <c r="BK4" s="1527"/>
      <c r="BL4" s="1527"/>
      <c r="BM4" s="1527"/>
      <c r="BN4" s="1528" t="s">
        <v>29</v>
      </c>
      <c r="BO4" s="1526">
        <f>YEAR(BO5)</f>
        <v>2013</v>
      </c>
      <c r="BP4" s="1527"/>
      <c r="BQ4" s="1527"/>
      <c r="BR4" s="1527"/>
      <c r="BS4" s="1527"/>
      <c r="BT4" s="1527"/>
      <c r="BU4" s="1527"/>
      <c r="BV4" s="1527"/>
      <c r="BW4" s="1527"/>
      <c r="BX4" s="1527"/>
      <c r="BY4" s="1527"/>
      <c r="BZ4" s="1527"/>
      <c r="CA4" s="1528" t="s">
        <v>29</v>
      </c>
      <c r="CB4" s="1526">
        <f>YEAR(CB5)</f>
        <v>2014</v>
      </c>
      <c r="CC4" s="1527"/>
      <c r="CD4" s="1527"/>
      <c r="CE4" s="1527"/>
      <c r="CF4" s="1527"/>
      <c r="CG4" s="1527"/>
      <c r="CH4" s="1527"/>
      <c r="CI4" s="1527"/>
      <c r="CJ4" s="1527"/>
      <c r="CK4" s="1527"/>
      <c r="CL4" s="1527"/>
      <c r="CM4" s="1527"/>
      <c r="CN4" s="1528" t="s">
        <v>29</v>
      </c>
      <c r="CO4" s="1526">
        <f>YEAR(CO5)</f>
        <v>2015</v>
      </c>
      <c r="CP4" s="1527"/>
      <c r="CQ4" s="1527"/>
      <c r="CR4" s="1527"/>
      <c r="CS4" s="1527"/>
      <c r="CT4" s="1527"/>
      <c r="CU4" s="1527"/>
      <c r="CV4" s="1527"/>
      <c r="CW4" s="1527"/>
      <c r="CX4" s="1527"/>
      <c r="CY4" s="1527"/>
      <c r="CZ4" s="1527"/>
      <c r="DA4" s="1528" t="s">
        <v>29</v>
      </c>
      <c r="DB4" s="1526">
        <f>YEAR(DB5)</f>
        <v>2016</v>
      </c>
      <c r="DC4" s="1527"/>
      <c r="DD4" s="1527"/>
      <c r="DE4" s="1527"/>
      <c r="DF4" s="1527"/>
      <c r="DG4" s="1527"/>
      <c r="DH4" s="1527"/>
      <c r="DI4" s="1527"/>
      <c r="DJ4" s="1527"/>
      <c r="DK4" s="1527"/>
      <c r="DL4" s="1527"/>
      <c r="DM4" s="1527"/>
      <c r="DN4" s="1528" t="s">
        <v>29</v>
      </c>
      <c r="DO4" s="1526">
        <f>YEAR(DO5)</f>
        <v>2017</v>
      </c>
      <c r="DP4" s="1527"/>
      <c r="DQ4" s="1527"/>
      <c r="DR4" s="1527"/>
      <c r="DS4" s="1527"/>
      <c r="DT4" s="1527"/>
      <c r="DU4" s="1527"/>
      <c r="DV4" s="1527"/>
      <c r="DW4" s="1527"/>
      <c r="DX4" s="1527"/>
      <c r="DY4" s="1527"/>
      <c r="DZ4" s="1527"/>
      <c r="EA4" s="1528" t="s">
        <v>29</v>
      </c>
      <c r="EB4" s="1526">
        <f>YEAR(EB5)</f>
        <v>2018</v>
      </c>
      <c r="EC4" s="1527"/>
      <c r="ED4" s="1527"/>
      <c r="EE4" s="1527"/>
      <c r="EF4" s="1527"/>
      <c r="EG4" s="1527"/>
      <c r="EH4" s="1527"/>
      <c r="EI4" s="1527"/>
      <c r="EJ4" s="1527"/>
      <c r="EK4" s="1527"/>
      <c r="EL4" s="1527"/>
      <c r="EM4" s="1527"/>
      <c r="EN4" s="1528" t="s">
        <v>29</v>
      </c>
      <c r="EO4" s="1526">
        <f>YEAR(EO5)</f>
        <v>2019</v>
      </c>
      <c r="EP4" s="1527"/>
      <c r="EQ4" s="1527"/>
      <c r="ER4" s="1527"/>
      <c r="ES4" s="1527"/>
      <c r="ET4" s="1527"/>
      <c r="EU4" s="1527"/>
      <c r="EV4" s="1527"/>
      <c r="EW4" s="1527"/>
      <c r="EX4" s="1527"/>
      <c r="EY4" s="1527"/>
      <c r="EZ4" s="1527"/>
      <c r="FA4" s="1528" t="s">
        <v>29</v>
      </c>
      <c r="FB4" s="1526">
        <f>YEAR(FB5)</f>
        <v>2020</v>
      </c>
      <c r="FC4" s="1527"/>
      <c r="FD4" s="1527"/>
      <c r="FE4" s="1527"/>
      <c r="FF4" s="1527"/>
      <c r="FG4" s="1527"/>
      <c r="FH4" s="1527"/>
      <c r="FI4" s="1527"/>
      <c r="FJ4" s="1527"/>
      <c r="FK4" s="1527"/>
      <c r="FL4" s="1527"/>
      <c r="FM4" s="1527"/>
      <c r="FN4" s="1528" t="s">
        <v>29</v>
      </c>
      <c r="FO4" s="1526">
        <f>YEAR(FO5)</f>
        <v>2021</v>
      </c>
      <c r="FP4" s="1527"/>
      <c r="FQ4" s="1527"/>
      <c r="FR4" s="1527"/>
      <c r="FS4" s="1527"/>
      <c r="FT4" s="1527"/>
      <c r="FU4" s="1527"/>
      <c r="FV4" s="1527"/>
      <c r="FW4" s="1527"/>
      <c r="FX4" s="1527"/>
      <c r="FY4" s="1527"/>
      <c r="FZ4" s="1527"/>
      <c r="GA4" s="1528" t="s">
        <v>29</v>
      </c>
      <c r="GB4" s="1526">
        <f>YEAR(GB5)</f>
        <v>2022</v>
      </c>
      <c r="GC4" s="1527"/>
      <c r="GD4" s="1527"/>
      <c r="GE4" s="1527"/>
      <c r="GF4" s="1527"/>
      <c r="GG4" s="1527"/>
      <c r="GH4" s="1527"/>
      <c r="GI4" s="1527"/>
      <c r="GJ4" s="1527"/>
      <c r="GK4" s="1527"/>
      <c r="GL4" s="1527"/>
      <c r="GM4" s="1527"/>
      <c r="GN4" s="1528" t="s">
        <v>29</v>
      </c>
      <c r="GO4" s="1526">
        <f>YEAR(GO5)</f>
        <v>2023</v>
      </c>
      <c r="GP4" s="1527"/>
      <c r="GQ4" s="1527"/>
      <c r="GR4" s="1527"/>
      <c r="GS4" s="1527"/>
      <c r="GT4" s="1527"/>
      <c r="GU4" s="1527"/>
      <c r="GV4" s="1527"/>
      <c r="GW4" s="1527"/>
      <c r="GX4" s="1527"/>
      <c r="GY4" s="1527"/>
      <c r="GZ4" s="1527"/>
      <c r="HA4" s="1528" t="s">
        <v>29</v>
      </c>
      <c r="HB4" s="1526">
        <f>YEAR(HB5)</f>
        <v>2024</v>
      </c>
      <c r="HC4" s="1527"/>
      <c r="HD4" s="1527"/>
      <c r="HE4" s="1527"/>
      <c r="HF4" s="1527"/>
      <c r="HG4" s="1527"/>
      <c r="HH4" s="1527"/>
      <c r="HI4" s="1527"/>
      <c r="HJ4" s="1527"/>
      <c r="HK4" s="1527"/>
      <c r="HL4" s="1527"/>
      <c r="HM4" s="1527"/>
      <c r="HN4" s="1528" t="s">
        <v>29</v>
      </c>
      <c r="HO4" s="1526">
        <f>YEAR(HO5)</f>
        <v>2025</v>
      </c>
      <c r="HP4" s="1527"/>
      <c r="HQ4" s="1527"/>
      <c r="HR4" s="1527"/>
      <c r="HS4" s="1527"/>
      <c r="HT4" s="1527"/>
      <c r="HU4" s="1527"/>
      <c r="HV4" s="1527"/>
      <c r="HW4" s="1527"/>
      <c r="HX4" s="1527"/>
      <c r="HY4" s="1527"/>
      <c r="HZ4" s="1527"/>
      <c r="IA4" s="1529" t="s">
        <v>29</v>
      </c>
      <c r="IB4" s="1526">
        <f>YEAR(IB5)</f>
        <v>2026</v>
      </c>
      <c r="IC4" s="1527"/>
      <c r="ID4" s="1527"/>
      <c r="IE4" s="1527"/>
      <c r="IF4" s="1527"/>
      <c r="IG4" s="1527"/>
      <c r="IH4" s="1527"/>
      <c r="II4" s="1420"/>
      <c r="IJ4" s="1527"/>
      <c r="IK4" s="1527"/>
      <c r="IL4" s="1527"/>
      <c r="IM4" s="1527"/>
      <c r="IN4" s="1533" t="s">
        <v>29</v>
      </c>
      <c r="IO4" s="1422"/>
      <c r="IP4" s="1692" t="str">
        <f>CONCATENATE("Var.% ",IS4,"/",IS4-1)</f>
        <v>Var.% 2026/2025</v>
      </c>
      <c r="IQ4" s="1693"/>
      <c r="IR4" s="1534">
        <f>IS4-1</f>
        <v>2025</v>
      </c>
      <c r="IS4" s="1534">
        <f>YEAR(IP5)</f>
        <v>2026</v>
      </c>
      <c r="IV4"/>
      <c r="IW4"/>
      <c r="IX4"/>
      <c r="IY4"/>
      <c r="IZ4"/>
      <c r="JA4"/>
      <c r="JB4"/>
      <c r="JC4"/>
      <c r="JD4"/>
    </row>
    <row r="5" spans="1:264" s="1530" customFormat="1" ht="15" customHeight="1" x14ac:dyDescent="0.2">
      <c r="A5" s="1531"/>
      <c r="B5" s="1429">
        <v>39448</v>
      </c>
      <c r="C5" s="1430">
        <v>39479</v>
      </c>
      <c r="D5" s="1430">
        <v>39508</v>
      </c>
      <c r="E5" s="1430">
        <v>39539</v>
      </c>
      <c r="F5" s="1430">
        <v>39569</v>
      </c>
      <c r="G5" s="1430">
        <v>39600</v>
      </c>
      <c r="H5" s="1430">
        <v>39630</v>
      </c>
      <c r="I5" s="1430">
        <v>39661</v>
      </c>
      <c r="J5" s="1430">
        <v>39692</v>
      </c>
      <c r="K5" s="1430">
        <v>39722</v>
      </c>
      <c r="L5" s="1430">
        <v>39753</v>
      </c>
      <c r="M5" s="1430">
        <v>39783</v>
      </c>
      <c r="N5" s="1432">
        <f>YEAR(M5)</f>
        <v>2008</v>
      </c>
      <c r="O5" s="1429">
        <v>39814</v>
      </c>
      <c r="P5" s="1430">
        <v>39845</v>
      </c>
      <c r="Q5" s="1430">
        <v>39873</v>
      </c>
      <c r="R5" s="1430">
        <v>39904</v>
      </c>
      <c r="S5" s="1430">
        <v>39934</v>
      </c>
      <c r="T5" s="1430">
        <v>39965</v>
      </c>
      <c r="U5" s="1430">
        <v>39995</v>
      </c>
      <c r="V5" s="1430">
        <v>40026</v>
      </c>
      <c r="W5" s="1430">
        <v>40057</v>
      </c>
      <c r="X5" s="1430">
        <v>40087</v>
      </c>
      <c r="Y5" s="1430">
        <v>40118</v>
      </c>
      <c r="Z5" s="1430">
        <v>40148</v>
      </c>
      <c r="AA5" s="1432">
        <f>YEAR(Z5)</f>
        <v>2009</v>
      </c>
      <c r="AB5" s="1429">
        <v>40179</v>
      </c>
      <c r="AC5" s="1430">
        <v>40210</v>
      </c>
      <c r="AD5" s="1430">
        <v>40238</v>
      </c>
      <c r="AE5" s="1430">
        <v>40269</v>
      </c>
      <c r="AF5" s="1430">
        <v>40299</v>
      </c>
      <c r="AG5" s="1430">
        <v>40330</v>
      </c>
      <c r="AH5" s="1430">
        <v>40360</v>
      </c>
      <c r="AI5" s="1430">
        <v>40391</v>
      </c>
      <c r="AJ5" s="1430">
        <v>40422</v>
      </c>
      <c r="AK5" s="1430">
        <v>40452</v>
      </c>
      <c r="AL5" s="1430">
        <v>40483</v>
      </c>
      <c r="AM5" s="1430">
        <v>40513</v>
      </c>
      <c r="AN5" s="1432">
        <f>YEAR(AM5)</f>
        <v>2010</v>
      </c>
      <c r="AO5" s="1429">
        <v>40544</v>
      </c>
      <c r="AP5" s="1430">
        <v>40575</v>
      </c>
      <c r="AQ5" s="1430">
        <v>40603</v>
      </c>
      <c r="AR5" s="1430">
        <v>40634</v>
      </c>
      <c r="AS5" s="1430">
        <v>40664</v>
      </c>
      <c r="AT5" s="1430">
        <v>40695</v>
      </c>
      <c r="AU5" s="1430">
        <v>40725</v>
      </c>
      <c r="AV5" s="1430">
        <v>40756</v>
      </c>
      <c r="AW5" s="1430">
        <v>40787</v>
      </c>
      <c r="AX5" s="1430">
        <v>40817</v>
      </c>
      <c r="AY5" s="1430">
        <v>40848</v>
      </c>
      <c r="AZ5" s="1430">
        <v>40878</v>
      </c>
      <c r="BA5" s="1432">
        <f>YEAR(AZ5)</f>
        <v>2011</v>
      </c>
      <c r="BB5" s="1429">
        <v>40909</v>
      </c>
      <c r="BC5" s="1430">
        <v>40940</v>
      </c>
      <c r="BD5" s="1430">
        <v>40969</v>
      </c>
      <c r="BE5" s="1430">
        <v>41000</v>
      </c>
      <c r="BF5" s="1430">
        <v>41030</v>
      </c>
      <c r="BG5" s="1430">
        <v>41061</v>
      </c>
      <c r="BH5" s="1430">
        <v>41091</v>
      </c>
      <c r="BI5" s="1430">
        <v>41122</v>
      </c>
      <c r="BJ5" s="1430">
        <v>41153</v>
      </c>
      <c r="BK5" s="1430">
        <v>41183</v>
      </c>
      <c r="BL5" s="1430">
        <v>41214</v>
      </c>
      <c r="BM5" s="1430">
        <v>41244</v>
      </c>
      <c r="BN5" s="1432">
        <f>YEAR(BM5)</f>
        <v>2012</v>
      </c>
      <c r="BO5" s="1429">
        <v>41275</v>
      </c>
      <c r="BP5" s="1430">
        <v>41306</v>
      </c>
      <c r="BQ5" s="1430">
        <v>41334</v>
      </c>
      <c r="BR5" s="1430">
        <v>41365</v>
      </c>
      <c r="BS5" s="1430">
        <v>41395</v>
      </c>
      <c r="BT5" s="1430">
        <v>41426</v>
      </c>
      <c r="BU5" s="1430">
        <v>41456</v>
      </c>
      <c r="BV5" s="1430">
        <v>41487</v>
      </c>
      <c r="BW5" s="1430">
        <v>41518</v>
      </c>
      <c r="BX5" s="1430">
        <v>41548</v>
      </c>
      <c r="BY5" s="1430">
        <v>41579</v>
      </c>
      <c r="BZ5" s="1430">
        <v>41609</v>
      </c>
      <c r="CA5" s="1432">
        <f>YEAR(BZ5)</f>
        <v>2013</v>
      </c>
      <c r="CB5" s="1429">
        <v>41640</v>
      </c>
      <c r="CC5" s="1430">
        <v>41671</v>
      </c>
      <c r="CD5" s="1430">
        <v>41699</v>
      </c>
      <c r="CE5" s="1430">
        <v>41730</v>
      </c>
      <c r="CF5" s="1430">
        <v>41760</v>
      </c>
      <c r="CG5" s="1430">
        <v>41791</v>
      </c>
      <c r="CH5" s="1430">
        <v>41821</v>
      </c>
      <c r="CI5" s="1430">
        <v>41852</v>
      </c>
      <c r="CJ5" s="1430">
        <v>41883</v>
      </c>
      <c r="CK5" s="1430">
        <v>41913</v>
      </c>
      <c r="CL5" s="1430">
        <v>41944</v>
      </c>
      <c r="CM5" s="1430">
        <v>41974</v>
      </c>
      <c r="CN5" s="1432">
        <f>YEAR(CM5)</f>
        <v>2014</v>
      </c>
      <c r="CO5" s="1429">
        <v>42005</v>
      </c>
      <c r="CP5" s="1430">
        <v>42036</v>
      </c>
      <c r="CQ5" s="1430">
        <v>42064</v>
      </c>
      <c r="CR5" s="1430">
        <v>42095</v>
      </c>
      <c r="CS5" s="1430">
        <v>42125</v>
      </c>
      <c r="CT5" s="1430">
        <v>42156</v>
      </c>
      <c r="CU5" s="1430">
        <v>42186</v>
      </c>
      <c r="CV5" s="1430">
        <v>42217</v>
      </c>
      <c r="CW5" s="1430">
        <v>42248</v>
      </c>
      <c r="CX5" s="1430">
        <v>42278</v>
      </c>
      <c r="CY5" s="1430">
        <v>42309</v>
      </c>
      <c r="CZ5" s="1430">
        <v>42339</v>
      </c>
      <c r="DA5" s="1432">
        <f>YEAR(CZ5)</f>
        <v>2015</v>
      </c>
      <c r="DB5" s="1429">
        <v>42370</v>
      </c>
      <c r="DC5" s="1430">
        <v>42401</v>
      </c>
      <c r="DD5" s="1430">
        <v>42430</v>
      </c>
      <c r="DE5" s="1430">
        <v>42461</v>
      </c>
      <c r="DF5" s="1430">
        <v>42491</v>
      </c>
      <c r="DG5" s="1430">
        <v>42522</v>
      </c>
      <c r="DH5" s="1430">
        <v>42552</v>
      </c>
      <c r="DI5" s="1430">
        <v>42583</v>
      </c>
      <c r="DJ5" s="1430">
        <v>42614</v>
      </c>
      <c r="DK5" s="1430">
        <v>42644</v>
      </c>
      <c r="DL5" s="1430">
        <v>42675</v>
      </c>
      <c r="DM5" s="1430">
        <v>42705</v>
      </c>
      <c r="DN5" s="1432">
        <f>YEAR(DM5)</f>
        <v>2016</v>
      </c>
      <c r="DO5" s="1429">
        <v>42736</v>
      </c>
      <c r="DP5" s="1430">
        <v>42767</v>
      </c>
      <c r="DQ5" s="1430">
        <v>42795</v>
      </c>
      <c r="DR5" s="1430">
        <v>42826</v>
      </c>
      <c r="DS5" s="1430">
        <v>42856</v>
      </c>
      <c r="DT5" s="1430">
        <v>42887</v>
      </c>
      <c r="DU5" s="1430">
        <v>42917</v>
      </c>
      <c r="DV5" s="1430">
        <v>42948</v>
      </c>
      <c r="DW5" s="1430">
        <v>42979</v>
      </c>
      <c r="DX5" s="1430">
        <v>43009</v>
      </c>
      <c r="DY5" s="1430">
        <v>43040</v>
      </c>
      <c r="DZ5" s="1430">
        <v>43070</v>
      </c>
      <c r="EA5" s="1432">
        <f>YEAR(DZ5)</f>
        <v>2017</v>
      </c>
      <c r="EB5" s="1429">
        <v>43101</v>
      </c>
      <c r="EC5" s="1430">
        <v>43132</v>
      </c>
      <c r="ED5" s="1430">
        <v>43160</v>
      </c>
      <c r="EE5" s="1430">
        <v>43191</v>
      </c>
      <c r="EF5" s="1430">
        <v>43221</v>
      </c>
      <c r="EG5" s="1430">
        <v>43252</v>
      </c>
      <c r="EH5" s="1430">
        <v>43282</v>
      </c>
      <c r="EI5" s="1430">
        <v>43313</v>
      </c>
      <c r="EJ5" s="1430">
        <v>43344</v>
      </c>
      <c r="EK5" s="1430">
        <v>43374</v>
      </c>
      <c r="EL5" s="1430">
        <v>43405</v>
      </c>
      <c r="EM5" s="1430">
        <v>43435</v>
      </c>
      <c r="EN5" s="1432">
        <f>YEAR(EM5)</f>
        <v>2018</v>
      </c>
      <c r="EO5" s="1429">
        <v>43466</v>
      </c>
      <c r="EP5" s="1430">
        <v>43497</v>
      </c>
      <c r="EQ5" s="1430">
        <v>43525</v>
      </c>
      <c r="ER5" s="1430">
        <v>43556</v>
      </c>
      <c r="ES5" s="1430">
        <v>43586</v>
      </c>
      <c r="ET5" s="1430">
        <v>43617</v>
      </c>
      <c r="EU5" s="1430">
        <v>43647</v>
      </c>
      <c r="EV5" s="1430">
        <v>43678</v>
      </c>
      <c r="EW5" s="1430">
        <v>43709</v>
      </c>
      <c r="EX5" s="1430">
        <v>43739</v>
      </c>
      <c r="EY5" s="1430">
        <v>43770</v>
      </c>
      <c r="EZ5" s="1430">
        <v>43800</v>
      </c>
      <c r="FA5" s="1432">
        <f>YEAR(EZ5)</f>
        <v>2019</v>
      </c>
      <c r="FB5" s="1429">
        <v>43831</v>
      </c>
      <c r="FC5" s="1430">
        <v>43862</v>
      </c>
      <c r="FD5" s="1430">
        <v>43891</v>
      </c>
      <c r="FE5" s="1430">
        <v>43922</v>
      </c>
      <c r="FF5" s="1430">
        <v>43952</v>
      </c>
      <c r="FG5" s="1430">
        <v>43983</v>
      </c>
      <c r="FH5" s="1430">
        <v>44013</v>
      </c>
      <c r="FI5" s="1430">
        <v>44044</v>
      </c>
      <c r="FJ5" s="1430">
        <v>44075</v>
      </c>
      <c r="FK5" s="1430">
        <v>44105</v>
      </c>
      <c r="FL5" s="1430">
        <v>44136</v>
      </c>
      <c r="FM5" s="1430">
        <v>44166</v>
      </c>
      <c r="FN5" s="1432">
        <f>YEAR(FM5)</f>
        <v>2020</v>
      </c>
      <c r="FO5" s="1429">
        <v>44197</v>
      </c>
      <c r="FP5" s="1430">
        <v>44228</v>
      </c>
      <c r="FQ5" s="1430">
        <v>44256</v>
      </c>
      <c r="FR5" s="1430">
        <v>44287</v>
      </c>
      <c r="FS5" s="1430">
        <v>44317</v>
      </c>
      <c r="FT5" s="1430">
        <v>44348</v>
      </c>
      <c r="FU5" s="1430">
        <v>44378</v>
      </c>
      <c r="FV5" s="1430">
        <v>44409</v>
      </c>
      <c r="FW5" s="1430">
        <v>44440</v>
      </c>
      <c r="FX5" s="1430">
        <v>44470</v>
      </c>
      <c r="FY5" s="1430">
        <v>44501</v>
      </c>
      <c r="FZ5" s="1430">
        <v>44531</v>
      </c>
      <c r="GA5" s="1432">
        <f>YEAR(FZ5)</f>
        <v>2021</v>
      </c>
      <c r="GB5" s="1429">
        <v>44562</v>
      </c>
      <c r="GC5" s="1430">
        <v>44593</v>
      </c>
      <c r="GD5" s="1430">
        <v>44621</v>
      </c>
      <c r="GE5" s="1430">
        <v>44652</v>
      </c>
      <c r="GF5" s="1430">
        <v>44682</v>
      </c>
      <c r="GG5" s="1430">
        <v>44713</v>
      </c>
      <c r="GH5" s="1430">
        <v>44743</v>
      </c>
      <c r="GI5" s="1430">
        <v>44774</v>
      </c>
      <c r="GJ5" s="1430">
        <v>44805</v>
      </c>
      <c r="GK5" s="1430">
        <v>44835</v>
      </c>
      <c r="GL5" s="1430">
        <v>44866</v>
      </c>
      <c r="GM5" s="1430">
        <v>44896</v>
      </c>
      <c r="GN5" s="1432">
        <f>YEAR(GM5)</f>
        <v>2022</v>
      </c>
      <c r="GO5" s="1429">
        <v>44927</v>
      </c>
      <c r="GP5" s="1430">
        <v>44958</v>
      </c>
      <c r="GQ5" s="1430">
        <v>44986</v>
      </c>
      <c r="GR5" s="1430">
        <v>45017</v>
      </c>
      <c r="GS5" s="1430">
        <v>45047</v>
      </c>
      <c r="GT5" s="1430">
        <v>45078</v>
      </c>
      <c r="GU5" s="1430">
        <v>45108</v>
      </c>
      <c r="GV5" s="1430">
        <v>45139</v>
      </c>
      <c r="GW5" s="1430">
        <v>45170</v>
      </c>
      <c r="GX5" s="1430">
        <v>45200</v>
      </c>
      <c r="GY5" s="1430">
        <v>45231</v>
      </c>
      <c r="GZ5" s="1430">
        <v>45261</v>
      </c>
      <c r="HA5" s="1432">
        <f>YEAR(GZ5)</f>
        <v>2023</v>
      </c>
      <c r="HB5" s="1429">
        <v>45292</v>
      </c>
      <c r="HC5" s="1430">
        <v>45323</v>
      </c>
      <c r="HD5" s="1430">
        <v>45352</v>
      </c>
      <c r="HE5" s="1430">
        <v>45383</v>
      </c>
      <c r="HF5" s="1430">
        <v>45413</v>
      </c>
      <c r="HG5" s="1430">
        <v>45444</v>
      </c>
      <c r="HH5" s="1430">
        <v>45474</v>
      </c>
      <c r="HI5" s="1430">
        <v>45505</v>
      </c>
      <c r="HJ5" s="1430">
        <v>45536</v>
      </c>
      <c r="HK5" s="1430">
        <v>45566</v>
      </c>
      <c r="HL5" s="1430">
        <v>45597</v>
      </c>
      <c r="HM5" s="1430">
        <v>45627</v>
      </c>
      <c r="HN5" s="1432">
        <f>YEAR(HM5)</f>
        <v>2024</v>
      </c>
      <c r="HO5" s="1429">
        <v>45658</v>
      </c>
      <c r="HP5" s="1430">
        <v>45689</v>
      </c>
      <c r="HQ5" s="1430">
        <v>45717</v>
      </c>
      <c r="HR5" s="1430">
        <v>45748</v>
      </c>
      <c r="HS5" s="1430">
        <v>45778</v>
      </c>
      <c r="HT5" s="1430">
        <v>45809</v>
      </c>
      <c r="HU5" s="1430">
        <v>45839</v>
      </c>
      <c r="HV5" s="1430">
        <v>45870</v>
      </c>
      <c r="HW5" s="1430">
        <v>45901</v>
      </c>
      <c r="HX5" s="1430">
        <v>45931</v>
      </c>
      <c r="HY5" s="1430">
        <v>45962</v>
      </c>
      <c r="HZ5" s="1430">
        <v>45992</v>
      </c>
      <c r="IA5" s="1532">
        <f>YEAR(HZ5)</f>
        <v>2025</v>
      </c>
      <c r="IB5" s="1429">
        <v>46023</v>
      </c>
      <c r="IC5" s="1430">
        <v>46054</v>
      </c>
      <c r="ID5" s="1430">
        <v>46082</v>
      </c>
      <c r="IE5" s="1430">
        <v>46113</v>
      </c>
      <c r="IF5" s="1430">
        <v>46143</v>
      </c>
      <c r="IG5" s="1430">
        <v>46174</v>
      </c>
      <c r="IH5" s="1430">
        <v>46204</v>
      </c>
      <c r="II5" s="1430">
        <v>46235</v>
      </c>
      <c r="IJ5" s="1430">
        <v>46266</v>
      </c>
      <c r="IK5" s="1430">
        <v>46296</v>
      </c>
      <c r="IL5" s="1430">
        <v>46327</v>
      </c>
      <c r="IM5" s="1430">
        <v>46357</v>
      </c>
      <c r="IN5" s="1431">
        <f>YEAR(IM5)</f>
        <v>2026</v>
      </c>
      <c r="IO5" s="1422"/>
      <c r="IP5" s="1433">
        <f>II5</f>
        <v>46235</v>
      </c>
      <c r="IQ5" s="1535" t="str">
        <f>CONCATENATE("Ene.-",TEXT(IP5,"MMM."))</f>
        <v>Ene.-Ago.</v>
      </c>
      <c r="IR5" s="1535" t="str">
        <f>IQ5</f>
        <v>Ene.-Ago.</v>
      </c>
      <c r="IS5" s="1535" t="str">
        <f>IQ5</f>
        <v>Ene.-Ago.</v>
      </c>
      <c r="IV5"/>
      <c r="IW5"/>
      <c r="IX5"/>
      <c r="IY5"/>
      <c r="IZ5"/>
      <c r="JA5"/>
      <c r="JB5"/>
      <c r="JC5"/>
      <c r="JD5"/>
    </row>
    <row r="6" spans="1:264" s="317" customFormat="1" ht="15" customHeight="1" x14ac:dyDescent="0.2">
      <c r="A6" s="331"/>
      <c r="B6" s="373"/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87"/>
      <c r="N6" s="375"/>
      <c r="O6" s="373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87"/>
      <c r="AA6" s="375"/>
      <c r="AB6" s="373"/>
      <c r="AC6" s="374"/>
      <c r="AD6" s="374"/>
      <c r="AE6" s="374"/>
      <c r="AF6" s="374"/>
      <c r="AG6" s="374"/>
      <c r="AH6" s="374"/>
      <c r="AI6" s="374"/>
      <c r="AJ6" s="374"/>
      <c r="AK6" s="374"/>
      <c r="AL6" s="374"/>
      <c r="AM6" s="387"/>
      <c r="AN6" s="375"/>
      <c r="AO6" s="373"/>
      <c r="AP6" s="374"/>
      <c r="AQ6" s="374"/>
      <c r="AR6" s="374"/>
      <c r="AS6" s="374"/>
      <c r="AT6" s="374"/>
      <c r="AU6" s="374"/>
      <c r="AV6" s="374"/>
      <c r="AW6" s="374"/>
      <c r="AX6" s="374"/>
      <c r="AY6" s="374"/>
      <c r="AZ6" s="387"/>
      <c r="BA6" s="375"/>
      <c r="BB6" s="373"/>
      <c r="BC6" s="374"/>
      <c r="BD6" s="374"/>
      <c r="BE6" s="374"/>
      <c r="BF6" s="374"/>
      <c r="BG6" s="374"/>
      <c r="BH6" s="374"/>
      <c r="BI6" s="374"/>
      <c r="BJ6" s="374"/>
      <c r="BK6" s="374"/>
      <c r="BL6" s="374"/>
      <c r="BM6" s="387"/>
      <c r="BN6" s="375"/>
      <c r="BO6" s="373"/>
      <c r="BP6" s="374"/>
      <c r="BQ6" s="374"/>
      <c r="BR6" s="374"/>
      <c r="BS6" s="374"/>
      <c r="BT6" s="374"/>
      <c r="BU6" s="374"/>
      <c r="BV6" s="374"/>
      <c r="BW6" s="374"/>
      <c r="BX6" s="374"/>
      <c r="BY6" s="374"/>
      <c r="BZ6" s="387"/>
      <c r="CA6" s="375"/>
      <c r="CB6" s="373"/>
      <c r="CC6" s="374"/>
      <c r="CD6" s="374"/>
      <c r="CE6" s="374"/>
      <c r="CF6" s="374"/>
      <c r="CG6" s="374"/>
      <c r="CH6" s="374"/>
      <c r="CI6" s="374"/>
      <c r="CJ6" s="374"/>
      <c r="CK6" s="374"/>
      <c r="CL6" s="374"/>
      <c r="CM6" s="387"/>
      <c r="CN6" s="375"/>
      <c r="CO6" s="373"/>
      <c r="CP6" s="374"/>
      <c r="CQ6" s="374"/>
      <c r="CR6" s="374"/>
      <c r="CS6" s="374"/>
      <c r="CT6" s="374"/>
      <c r="CU6" s="374"/>
      <c r="CV6" s="374"/>
      <c r="CW6" s="374"/>
      <c r="CX6" s="374"/>
      <c r="CY6" s="374"/>
      <c r="CZ6" s="387"/>
      <c r="DA6" s="375"/>
      <c r="DB6" s="373"/>
      <c r="DC6" s="374"/>
      <c r="DD6" s="374"/>
      <c r="DE6" s="374"/>
      <c r="DF6" s="374"/>
      <c r="DG6" s="374"/>
      <c r="DH6" s="374"/>
      <c r="DI6" s="374"/>
      <c r="DJ6" s="374"/>
      <c r="DK6" s="374"/>
      <c r="DL6" s="374"/>
      <c r="DM6" s="387"/>
      <c r="DN6" s="375"/>
      <c r="DO6" s="373"/>
      <c r="DP6" s="374"/>
      <c r="DQ6" s="374"/>
      <c r="DR6" s="374"/>
      <c r="DS6" s="374"/>
      <c r="DT6" s="374"/>
      <c r="DU6" s="374"/>
      <c r="DV6" s="374"/>
      <c r="DW6" s="374"/>
      <c r="DX6" s="374"/>
      <c r="DY6" s="374"/>
      <c r="DZ6" s="387"/>
      <c r="EA6" s="375"/>
      <c r="EB6" s="373"/>
      <c r="EC6" s="374"/>
      <c r="ED6" s="374"/>
      <c r="EE6" s="374"/>
      <c r="EF6" s="374"/>
      <c r="EG6" s="374"/>
      <c r="EH6" s="374"/>
      <c r="EI6" s="374"/>
      <c r="EJ6" s="374"/>
      <c r="EK6" s="374"/>
      <c r="EL6" s="374"/>
      <c r="EM6" s="387"/>
      <c r="EN6" s="375"/>
      <c r="EO6" s="373"/>
      <c r="EP6" s="374"/>
      <c r="EQ6" s="374"/>
      <c r="ER6" s="374"/>
      <c r="ES6" s="374"/>
      <c r="ET6" s="374"/>
      <c r="EU6" s="374"/>
      <c r="EV6" s="374"/>
      <c r="EW6" s="374"/>
      <c r="EX6" s="374"/>
      <c r="EY6" s="374"/>
      <c r="EZ6" s="387"/>
      <c r="FA6" s="375"/>
      <c r="FB6" s="373"/>
      <c r="FC6" s="374"/>
      <c r="FD6" s="374"/>
      <c r="FE6" s="374"/>
      <c r="FF6" s="374"/>
      <c r="FG6" s="374"/>
      <c r="FH6" s="374"/>
      <c r="FI6" s="374"/>
      <c r="FJ6" s="374"/>
      <c r="FK6" s="374"/>
      <c r="FL6" s="374"/>
      <c r="FM6" s="387"/>
      <c r="FN6" s="375"/>
      <c r="FO6" s="373"/>
      <c r="FP6" s="374"/>
      <c r="FQ6" s="374"/>
      <c r="FR6" s="374"/>
      <c r="FS6" s="374"/>
      <c r="FT6" s="374"/>
      <c r="FU6" s="374"/>
      <c r="FV6" s="374"/>
      <c r="FW6" s="374"/>
      <c r="FX6" s="374"/>
      <c r="FY6" s="374"/>
      <c r="FZ6" s="387"/>
      <c r="GA6" s="375"/>
      <c r="GB6" s="373"/>
      <c r="GC6" s="374"/>
      <c r="GD6" s="374"/>
      <c r="GE6" s="374"/>
      <c r="GF6" s="374"/>
      <c r="GG6" s="374"/>
      <c r="GH6" s="374"/>
      <c r="GI6" s="374"/>
      <c r="GJ6" s="374"/>
      <c r="GK6" s="374"/>
      <c r="GL6" s="374"/>
      <c r="GM6" s="387"/>
      <c r="GN6" s="375"/>
      <c r="GO6" s="373"/>
      <c r="GP6" s="374"/>
      <c r="GQ6" s="374"/>
      <c r="GR6" s="374"/>
      <c r="GS6" s="374"/>
      <c r="GT6" s="374"/>
      <c r="GU6" s="374"/>
      <c r="GV6" s="374"/>
      <c r="GW6" s="374"/>
      <c r="GX6" s="374"/>
      <c r="GY6" s="374"/>
      <c r="GZ6" s="387"/>
      <c r="HA6" s="375"/>
      <c r="HB6" s="373"/>
      <c r="HC6" s="374"/>
      <c r="HD6" s="374"/>
      <c r="HE6" s="374"/>
      <c r="HF6" s="374"/>
      <c r="HG6" s="374"/>
      <c r="HH6" s="374"/>
      <c r="HI6" s="374"/>
      <c r="HJ6" s="374"/>
      <c r="HK6" s="374"/>
      <c r="HL6" s="374"/>
      <c r="HM6" s="387"/>
      <c r="HN6" s="375"/>
      <c r="HO6" s="1652"/>
      <c r="HP6" s="1653"/>
      <c r="HQ6" s="1653"/>
      <c r="HR6" s="1653"/>
      <c r="HS6" s="1653"/>
      <c r="HT6" s="1653"/>
      <c r="HU6" s="1653"/>
      <c r="HV6" s="1653"/>
      <c r="HW6" s="1653"/>
      <c r="HX6" s="1653"/>
      <c r="HY6" s="1653"/>
      <c r="HZ6" s="1654"/>
      <c r="IA6" s="1652"/>
      <c r="IB6" s="1354"/>
      <c r="IC6" s="1355"/>
      <c r="ID6" s="1355"/>
      <c r="IE6" s="1355"/>
      <c r="IF6" s="1355"/>
      <c r="IG6" s="1355"/>
      <c r="IH6" s="1355"/>
      <c r="II6" s="1355"/>
      <c r="IJ6" s="1355"/>
      <c r="IK6" s="1355"/>
      <c r="IL6" s="1355"/>
      <c r="IM6" s="1356"/>
      <c r="IN6" s="1357"/>
      <c r="IO6"/>
      <c r="IP6" s="1592"/>
      <c r="IQ6" s="1593"/>
      <c r="IR6" s="1594"/>
      <c r="IS6" s="1595"/>
      <c r="IT6" s="1655"/>
      <c r="IU6" s="1655"/>
      <c r="IV6"/>
      <c r="IW6"/>
      <c r="IX6"/>
      <c r="IY6"/>
      <c r="IZ6"/>
      <c r="JA6"/>
      <c r="JB6"/>
      <c r="JC6"/>
      <c r="JD6"/>
    </row>
    <row r="7" spans="1:264" s="1523" customFormat="1" ht="15" customHeight="1" x14ac:dyDescent="0.2">
      <c r="A7" s="1511" t="s">
        <v>304</v>
      </c>
      <c r="B7" s="1588">
        <f t="shared" ref="B7:M7" si="0">SUM(B8:B28)</f>
        <v>1337</v>
      </c>
      <c r="C7" s="1589">
        <f t="shared" si="0"/>
        <v>4268</v>
      </c>
      <c r="D7" s="1589">
        <f t="shared" si="0"/>
        <v>10215</v>
      </c>
      <c r="E7" s="1589">
        <f t="shared" si="0"/>
        <v>46017</v>
      </c>
      <c r="F7" s="1589">
        <f t="shared" si="0"/>
        <v>13088</v>
      </c>
      <c r="G7" s="1589">
        <f t="shared" si="0"/>
        <v>25116</v>
      </c>
      <c r="H7" s="1589">
        <f t="shared" si="0"/>
        <v>8980</v>
      </c>
      <c r="I7" s="1589">
        <f t="shared" si="0"/>
        <v>4682</v>
      </c>
      <c r="J7" s="1589">
        <f t="shared" si="0"/>
        <v>7902</v>
      </c>
      <c r="K7" s="1589">
        <f t="shared" si="0"/>
        <v>53585</v>
      </c>
      <c r="L7" s="1589">
        <f t="shared" si="0"/>
        <v>56246</v>
      </c>
      <c r="M7" s="1590">
        <f t="shared" si="0"/>
        <v>21353</v>
      </c>
      <c r="N7" s="1591">
        <f t="shared" ref="N7:N28" si="1">SUM(B7:M7)</f>
        <v>252789</v>
      </c>
      <c r="O7" s="1588">
        <f t="shared" ref="O7:Z7" si="2">SUM(O8:O28)</f>
        <v>6336</v>
      </c>
      <c r="P7" s="1589">
        <f t="shared" si="2"/>
        <v>10414</v>
      </c>
      <c r="Q7" s="1589">
        <f t="shared" si="2"/>
        <v>9219</v>
      </c>
      <c r="R7" s="1589">
        <f t="shared" si="2"/>
        <v>7907</v>
      </c>
      <c r="S7" s="1589">
        <f t="shared" si="2"/>
        <v>18077</v>
      </c>
      <c r="T7" s="1589">
        <f t="shared" si="2"/>
        <v>23474</v>
      </c>
      <c r="U7" s="1589">
        <f t="shared" si="2"/>
        <v>12783</v>
      </c>
      <c r="V7" s="1589">
        <f t="shared" si="2"/>
        <v>15754</v>
      </c>
      <c r="W7" s="1589">
        <f t="shared" si="2"/>
        <v>16269</v>
      </c>
      <c r="X7" s="1589">
        <f t="shared" si="2"/>
        <v>23350</v>
      </c>
      <c r="Y7" s="1589">
        <f t="shared" si="2"/>
        <v>16403</v>
      </c>
      <c r="Z7" s="1590">
        <f t="shared" si="2"/>
        <v>35946</v>
      </c>
      <c r="AA7" s="1591">
        <f t="shared" ref="AA7:AA28" si="3">SUM(O7:Z7)</f>
        <v>195932</v>
      </c>
      <c r="AB7" s="1588">
        <f t="shared" ref="AB7:AM7" si="4">SUM(AB8:AB28)</f>
        <v>2025</v>
      </c>
      <c r="AC7" s="1589">
        <f t="shared" si="4"/>
        <v>18593</v>
      </c>
      <c r="AD7" s="1589">
        <f t="shared" si="4"/>
        <v>8766</v>
      </c>
      <c r="AE7" s="1589">
        <f t="shared" si="4"/>
        <v>16239</v>
      </c>
      <c r="AF7" s="1589">
        <f t="shared" si="4"/>
        <v>12949</v>
      </c>
      <c r="AG7" s="1589">
        <f t="shared" si="4"/>
        <v>11078</v>
      </c>
      <c r="AH7" s="1589">
        <f t="shared" si="4"/>
        <v>13912</v>
      </c>
      <c r="AI7" s="1589">
        <f t="shared" si="4"/>
        <v>9064</v>
      </c>
      <c r="AJ7" s="1589">
        <f t="shared" si="4"/>
        <v>20133</v>
      </c>
      <c r="AK7" s="1589">
        <f t="shared" si="4"/>
        <v>15526</v>
      </c>
      <c r="AL7" s="1589">
        <f t="shared" si="4"/>
        <v>20695</v>
      </c>
      <c r="AM7" s="1590">
        <f t="shared" si="4"/>
        <v>10460</v>
      </c>
      <c r="AN7" s="1591">
        <f t="shared" ref="AN7:AN25" si="5">SUM(AB7:AM7)</f>
        <v>159440</v>
      </c>
      <c r="AO7" s="1588">
        <f t="shared" ref="AO7:AZ7" si="6">SUM(AO8:AO28)</f>
        <v>1835</v>
      </c>
      <c r="AP7" s="1589">
        <f t="shared" si="6"/>
        <v>5099</v>
      </c>
      <c r="AQ7" s="1589">
        <f t="shared" si="6"/>
        <v>8745</v>
      </c>
      <c r="AR7" s="1589">
        <f t="shared" si="6"/>
        <v>12466</v>
      </c>
      <c r="AS7" s="1589">
        <f t="shared" si="6"/>
        <v>4185</v>
      </c>
      <c r="AT7" s="1589">
        <f t="shared" si="6"/>
        <v>14027</v>
      </c>
      <c r="AU7" s="1589">
        <f t="shared" si="6"/>
        <v>16197</v>
      </c>
      <c r="AV7" s="1589">
        <f t="shared" si="6"/>
        <v>4967</v>
      </c>
      <c r="AW7" s="1589">
        <f t="shared" si="6"/>
        <v>7004</v>
      </c>
      <c r="AX7" s="1589">
        <f t="shared" si="6"/>
        <v>4841</v>
      </c>
      <c r="AY7" s="1589">
        <f t="shared" si="6"/>
        <v>4707</v>
      </c>
      <c r="AZ7" s="1590">
        <f t="shared" si="6"/>
        <v>10697</v>
      </c>
      <c r="BA7" s="1591">
        <f t="shared" ref="BA7:BA28" si="7">SUM(AO7:AZ7)</f>
        <v>94770</v>
      </c>
      <c r="BB7" s="1588">
        <f t="shared" ref="BB7:BM7" si="8">SUM(BB8:BB28)</f>
        <v>1534</v>
      </c>
      <c r="BC7" s="1589">
        <f t="shared" si="8"/>
        <v>6801</v>
      </c>
      <c r="BD7" s="1589">
        <f t="shared" si="8"/>
        <v>4799</v>
      </c>
      <c r="BE7" s="1589">
        <f t="shared" si="8"/>
        <v>4466</v>
      </c>
      <c r="BF7" s="1589">
        <f t="shared" si="8"/>
        <v>32628</v>
      </c>
      <c r="BG7" s="1589">
        <f t="shared" si="8"/>
        <v>5050</v>
      </c>
      <c r="BH7" s="1589">
        <f t="shared" si="8"/>
        <v>25652</v>
      </c>
      <c r="BI7" s="1589">
        <f t="shared" si="8"/>
        <v>14826</v>
      </c>
      <c r="BJ7" s="1589">
        <f t="shared" si="8"/>
        <v>16348</v>
      </c>
      <c r="BK7" s="1589">
        <f t="shared" si="8"/>
        <v>29158</v>
      </c>
      <c r="BL7" s="1589">
        <f t="shared" si="8"/>
        <v>50070</v>
      </c>
      <c r="BM7" s="1590">
        <f t="shared" si="8"/>
        <v>27253</v>
      </c>
      <c r="BN7" s="1591">
        <f t="shared" ref="BN7:BN26" si="9">SUM(BB7:BM7)</f>
        <v>218585</v>
      </c>
      <c r="BO7" s="1588">
        <f t="shared" ref="BO7:BZ7" si="10">SUM(BO8:BO28)</f>
        <v>7017</v>
      </c>
      <c r="BP7" s="1589">
        <f t="shared" si="10"/>
        <v>8423</v>
      </c>
      <c r="BQ7" s="1589">
        <f t="shared" si="10"/>
        <v>25851</v>
      </c>
      <c r="BR7" s="1589">
        <f t="shared" si="10"/>
        <v>12834</v>
      </c>
      <c r="BS7" s="1589">
        <f t="shared" si="10"/>
        <v>12500</v>
      </c>
      <c r="BT7" s="1589">
        <f t="shared" si="10"/>
        <v>17688</v>
      </c>
      <c r="BU7" s="1589">
        <f t="shared" si="10"/>
        <v>17995</v>
      </c>
      <c r="BV7" s="1589">
        <f t="shared" si="10"/>
        <v>14872</v>
      </c>
      <c r="BW7" s="1589">
        <f t="shared" si="10"/>
        <v>18114</v>
      </c>
      <c r="BX7" s="1589">
        <f t="shared" si="10"/>
        <v>17208</v>
      </c>
      <c r="BY7" s="1589">
        <f t="shared" si="10"/>
        <v>19388</v>
      </c>
      <c r="BZ7" s="1590">
        <f t="shared" si="10"/>
        <v>23549</v>
      </c>
      <c r="CA7" s="1591">
        <f t="shared" ref="CA7:CA28" si="11">SUM(BO7:BZ7)</f>
        <v>195439</v>
      </c>
      <c r="CB7" s="1588">
        <f t="shared" ref="CB7:CM7" si="12">SUM(CB8:CB28)</f>
        <v>11819</v>
      </c>
      <c r="CC7" s="1589">
        <f t="shared" si="12"/>
        <v>21981.919999999998</v>
      </c>
      <c r="CD7" s="1589">
        <f t="shared" si="12"/>
        <v>6959</v>
      </c>
      <c r="CE7" s="1589">
        <f t="shared" si="12"/>
        <v>14276</v>
      </c>
      <c r="CF7" s="1589">
        <f t="shared" si="12"/>
        <v>17919</v>
      </c>
      <c r="CG7" s="1589">
        <f t="shared" si="12"/>
        <v>14471</v>
      </c>
      <c r="CH7" s="1589">
        <f t="shared" si="12"/>
        <v>16059</v>
      </c>
      <c r="CI7" s="1589">
        <f t="shared" si="12"/>
        <v>11633</v>
      </c>
      <c r="CJ7" s="1589">
        <f t="shared" si="12"/>
        <v>10136</v>
      </c>
      <c r="CK7" s="1589">
        <f t="shared" si="12"/>
        <v>8306</v>
      </c>
      <c r="CL7" s="1589">
        <f t="shared" si="12"/>
        <v>9744</v>
      </c>
      <c r="CM7" s="1590">
        <f t="shared" si="12"/>
        <v>33097</v>
      </c>
      <c r="CN7" s="1591">
        <f t="shared" ref="CN7:CN28" si="13">SUM(CB7:CM7)</f>
        <v>176400.91999999998</v>
      </c>
      <c r="CO7" s="1588">
        <f t="shared" ref="CO7:CZ7" si="14">SUM(CO8:CO28)</f>
        <v>1471</v>
      </c>
      <c r="CP7" s="1589">
        <f t="shared" si="14"/>
        <v>32682</v>
      </c>
      <c r="CQ7" s="1589">
        <f t="shared" si="14"/>
        <v>3283</v>
      </c>
      <c r="CR7" s="1589">
        <f t="shared" si="14"/>
        <v>5662</v>
      </c>
      <c r="CS7" s="1589">
        <f t="shared" si="14"/>
        <v>6126</v>
      </c>
      <c r="CT7" s="1589">
        <f t="shared" si="14"/>
        <v>12141</v>
      </c>
      <c r="CU7" s="1589">
        <f t="shared" si="14"/>
        <v>12633</v>
      </c>
      <c r="CV7" s="1589">
        <f t="shared" si="14"/>
        <v>10963</v>
      </c>
      <c r="CW7" s="1589">
        <f t="shared" si="14"/>
        <v>13185</v>
      </c>
      <c r="CX7" s="1589">
        <f t="shared" si="14"/>
        <v>10434</v>
      </c>
      <c r="CY7" s="1589">
        <f t="shared" si="14"/>
        <v>16233</v>
      </c>
      <c r="CZ7" s="1590">
        <f t="shared" si="14"/>
        <v>34796</v>
      </c>
      <c r="DA7" s="1591">
        <f t="shared" ref="DA7:DA35" si="15">SUM(CO7:CZ7)</f>
        <v>159609</v>
      </c>
      <c r="DB7" s="1588">
        <f t="shared" ref="DB7:DM7" si="16">SUM(DB8:DB28)</f>
        <v>597</v>
      </c>
      <c r="DC7" s="1589">
        <f t="shared" si="16"/>
        <v>3463</v>
      </c>
      <c r="DD7" s="1589">
        <f t="shared" si="16"/>
        <v>10374</v>
      </c>
      <c r="DE7" s="1589">
        <f t="shared" si="16"/>
        <v>6459</v>
      </c>
      <c r="DF7" s="1589">
        <f t="shared" si="16"/>
        <v>6640</v>
      </c>
      <c r="DG7" s="1589">
        <f t="shared" si="16"/>
        <v>6119</v>
      </c>
      <c r="DH7" s="1589">
        <f t="shared" si="16"/>
        <v>10568</v>
      </c>
      <c r="DI7" s="1589">
        <f t="shared" si="16"/>
        <v>13474</v>
      </c>
      <c r="DJ7" s="1589">
        <f t="shared" si="16"/>
        <v>9367</v>
      </c>
      <c r="DK7" s="1589">
        <f t="shared" si="16"/>
        <v>7879</v>
      </c>
      <c r="DL7" s="1589">
        <f t="shared" si="16"/>
        <v>7735</v>
      </c>
      <c r="DM7" s="1590">
        <f t="shared" si="16"/>
        <v>18995</v>
      </c>
      <c r="DN7" s="1591">
        <f>SUM(DB7:DM7)</f>
        <v>101670</v>
      </c>
      <c r="DO7" s="1588">
        <f t="shared" ref="DO7:DZ7" si="17">SUM(DO8:DO28)</f>
        <v>826</v>
      </c>
      <c r="DP7" s="1589">
        <f t="shared" si="17"/>
        <v>5861</v>
      </c>
      <c r="DQ7" s="1589">
        <f t="shared" si="17"/>
        <v>8460</v>
      </c>
      <c r="DR7" s="1589">
        <f t="shared" si="17"/>
        <v>5379</v>
      </c>
      <c r="DS7" s="1589">
        <f t="shared" si="17"/>
        <v>86736</v>
      </c>
      <c r="DT7" s="1589">
        <f t="shared" si="17"/>
        <v>54709</v>
      </c>
      <c r="DU7" s="1589">
        <f t="shared" si="17"/>
        <v>21042</v>
      </c>
      <c r="DV7" s="1589">
        <f t="shared" si="17"/>
        <v>22781</v>
      </c>
      <c r="DW7" s="1589">
        <f t="shared" si="17"/>
        <v>22728</v>
      </c>
      <c r="DX7" s="1589">
        <f t="shared" si="17"/>
        <v>29817</v>
      </c>
      <c r="DY7" s="1589">
        <f t="shared" si="17"/>
        <v>33215</v>
      </c>
      <c r="DZ7" s="1590">
        <f t="shared" si="17"/>
        <v>49135</v>
      </c>
      <c r="EA7" s="1591">
        <f>SUM(DO7:DZ7)</f>
        <v>340689</v>
      </c>
      <c r="EB7" s="1588">
        <f t="shared" ref="EB7:EM7" si="18">SUM(EB8:EB28)</f>
        <v>14768</v>
      </c>
      <c r="EC7" s="1589">
        <f t="shared" si="18"/>
        <v>25042</v>
      </c>
      <c r="ED7" s="1589">
        <f t="shared" si="18"/>
        <v>21632</v>
      </c>
      <c r="EE7" s="1589">
        <f t="shared" si="18"/>
        <v>29419</v>
      </c>
      <c r="EF7" s="1589">
        <f t="shared" si="18"/>
        <v>38006</v>
      </c>
      <c r="EG7" s="1589">
        <f t="shared" si="18"/>
        <v>24594</v>
      </c>
      <c r="EH7" s="1589">
        <f t="shared" si="18"/>
        <v>24138</v>
      </c>
      <c r="EI7" s="1589">
        <f t="shared" si="18"/>
        <v>43164</v>
      </c>
      <c r="EJ7" s="1589">
        <f t="shared" si="18"/>
        <v>21332</v>
      </c>
      <c r="EK7" s="1589">
        <f t="shared" si="18"/>
        <v>26305</v>
      </c>
      <c r="EL7" s="1589">
        <f t="shared" si="18"/>
        <v>48193</v>
      </c>
      <c r="EM7" s="1590">
        <f t="shared" si="18"/>
        <v>63031</v>
      </c>
      <c r="EN7" s="1591">
        <f>SUM(EB7:EM7)</f>
        <v>379624</v>
      </c>
      <c r="EO7" s="1588">
        <f t="shared" ref="EO7:EZ7" si="19">SUM(EO8:EO28)</f>
        <v>15300</v>
      </c>
      <c r="EP7" s="1589">
        <f t="shared" si="19"/>
        <v>15955</v>
      </c>
      <c r="EQ7" s="1589">
        <f t="shared" si="19"/>
        <v>34169</v>
      </c>
      <c r="ER7" s="1589">
        <f t="shared" si="19"/>
        <v>5998</v>
      </c>
      <c r="ES7" s="1589">
        <f t="shared" si="19"/>
        <v>18546</v>
      </c>
      <c r="ET7" s="1589">
        <f t="shared" si="19"/>
        <v>20557</v>
      </c>
      <c r="EU7" s="1589">
        <f t="shared" si="19"/>
        <v>74437</v>
      </c>
      <c r="EV7" s="1589">
        <f t="shared" si="19"/>
        <v>32353</v>
      </c>
      <c r="EW7" s="1589">
        <f t="shared" si="19"/>
        <v>48415</v>
      </c>
      <c r="EX7" s="1589">
        <f t="shared" si="19"/>
        <v>37446</v>
      </c>
      <c r="EY7" s="1589">
        <f t="shared" si="19"/>
        <v>42317</v>
      </c>
      <c r="EZ7" s="1590">
        <f t="shared" si="19"/>
        <v>55298</v>
      </c>
      <c r="FA7" s="1591">
        <f>SUM(EO7:EZ7)</f>
        <v>400791</v>
      </c>
      <c r="FB7" s="1588">
        <f t="shared" ref="FB7:FM7" si="20">SUM(FB8:FB28)</f>
        <v>20546</v>
      </c>
      <c r="FC7" s="1589">
        <f t="shared" si="20"/>
        <v>20008</v>
      </c>
      <c r="FD7" s="1589">
        <f t="shared" si="20"/>
        <v>11347</v>
      </c>
      <c r="FE7" s="1589">
        <f t="shared" si="20"/>
        <v>12352</v>
      </c>
      <c r="FF7" s="1589">
        <f t="shared" si="20"/>
        <v>1521</v>
      </c>
      <c r="FG7" s="1589">
        <f t="shared" si="20"/>
        <v>1474</v>
      </c>
      <c r="FH7" s="1589">
        <f t="shared" si="20"/>
        <v>23019</v>
      </c>
      <c r="FI7" s="1589">
        <f t="shared" si="20"/>
        <v>13450</v>
      </c>
      <c r="FJ7" s="1589">
        <f t="shared" si="20"/>
        <v>22794</v>
      </c>
      <c r="FK7" s="1589">
        <f t="shared" si="20"/>
        <v>9360</v>
      </c>
      <c r="FL7" s="1589">
        <f t="shared" si="20"/>
        <v>24599</v>
      </c>
      <c r="FM7" s="1590">
        <f t="shared" si="20"/>
        <v>46808</v>
      </c>
      <c r="FN7" s="1591">
        <f>SUM(FB7:FM7)</f>
        <v>207278</v>
      </c>
      <c r="FO7" s="1588">
        <f t="shared" ref="FO7:FZ7" si="21">SUM(FO8:FO28)</f>
        <v>5696</v>
      </c>
      <c r="FP7" s="1589">
        <f t="shared" si="21"/>
        <v>7121</v>
      </c>
      <c r="FQ7" s="1589">
        <f t="shared" si="21"/>
        <v>27986</v>
      </c>
      <c r="FR7" s="1589">
        <f t="shared" si="21"/>
        <v>10100</v>
      </c>
      <c r="FS7" s="1589">
        <f t="shared" si="21"/>
        <v>30878</v>
      </c>
      <c r="FT7" s="1589">
        <f t="shared" si="21"/>
        <v>14251</v>
      </c>
      <c r="FU7" s="1589">
        <f t="shared" si="21"/>
        <v>15717</v>
      </c>
      <c r="FV7" s="1589">
        <f t="shared" si="21"/>
        <v>15469</v>
      </c>
      <c r="FW7" s="1589">
        <f t="shared" si="21"/>
        <v>16534</v>
      </c>
      <c r="FX7" s="1589">
        <f t="shared" si="21"/>
        <v>24925</v>
      </c>
      <c r="FY7" s="1589">
        <f t="shared" si="21"/>
        <v>32757</v>
      </c>
      <c r="FZ7" s="1590">
        <f t="shared" si="21"/>
        <v>46270</v>
      </c>
      <c r="GA7" s="1591">
        <f>SUM(FO7:FZ7)</f>
        <v>247704</v>
      </c>
      <c r="GB7" s="1588">
        <f t="shared" ref="GB7:GM7" si="22">SUM(GB8:GB28)</f>
        <v>6980</v>
      </c>
      <c r="GC7" s="1589">
        <f t="shared" si="22"/>
        <v>14865</v>
      </c>
      <c r="GD7" s="1589">
        <f t="shared" si="22"/>
        <v>12641</v>
      </c>
      <c r="GE7" s="1589">
        <f t="shared" si="22"/>
        <v>30610</v>
      </c>
      <c r="GF7" s="1589">
        <f t="shared" si="22"/>
        <v>13973</v>
      </c>
      <c r="GG7" s="1589">
        <f t="shared" si="22"/>
        <v>25979</v>
      </c>
      <c r="GH7" s="1589">
        <f t="shared" si="22"/>
        <v>37023</v>
      </c>
      <c r="GI7" s="1589">
        <f t="shared" si="22"/>
        <v>31566</v>
      </c>
      <c r="GJ7" s="1589">
        <f t="shared" si="22"/>
        <v>17828</v>
      </c>
      <c r="GK7" s="1589">
        <f t="shared" si="22"/>
        <v>16085</v>
      </c>
      <c r="GL7" s="1589">
        <f t="shared" si="22"/>
        <v>37132</v>
      </c>
      <c r="GM7" s="1590">
        <f t="shared" si="22"/>
        <v>28681</v>
      </c>
      <c r="GN7" s="1591">
        <f>SUM(GB7:GM7)</f>
        <v>273363</v>
      </c>
      <c r="GO7" s="1588">
        <f t="shared" ref="GO7:GZ7" si="23">SUM(GO8:GO28)</f>
        <v>12572</v>
      </c>
      <c r="GP7" s="1589">
        <f t="shared" si="23"/>
        <v>21218</v>
      </c>
      <c r="GQ7" s="1589">
        <f t="shared" si="23"/>
        <v>31502</v>
      </c>
      <c r="GR7" s="1589">
        <f t="shared" si="23"/>
        <v>25956</v>
      </c>
      <c r="GS7" s="1589">
        <f t="shared" si="23"/>
        <v>21435</v>
      </c>
      <c r="GT7" s="1589">
        <f t="shared" si="23"/>
        <v>26086</v>
      </c>
      <c r="GU7" s="1589">
        <f t="shared" si="23"/>
        <v>16018</v>
      </c>
      <c r="GV7" s="1589">
        <f t="shared" si="23"/>
        <v>17792</v>
      </c>
      <c r="GW7" s="1589">
        <f t="shared" si="23"/>
        <v>31226</v>
      </c>
      <c r="GX7" s="1589">
        <f t="shared" si="23"/>
        <v>30475</v>
      </c>
      <c r="GY7" s="1589">
        <f t="shared" si="23"/>
        <v>43582</v>
      </c>
      <c r="GZ7" s="1590">
        <f t="shared" si="23"/>
        <v>32783</v>
      </c>
      <c r="HA7" s="1591">
        <f>SUM(GO7:GZ7)</f>
        <v>310645</v>
      </c>
      <c r="HB7" s="1588">
        <f t="shared" ref="HB7:HM7" si="24">SUM(HB8:HB28)</f>
        <v>13245</v>
      </c>
      <c r="HC7" s="1589">
        <f t="shared" si="24"/>
        <v>17625</v>
      </c>
      <c r="HD7" s="1589">
        <f t="shared" si="24"/>
        <v>7251</v>
      </c>
      <c r="HE7" s="1589">
        <f t="shared" si="24"/>
        <v>16761</v>
      </c>
      <c r="HF7" s="1589">
        <f t="shared" si="24"/>
        <v>57786</v>
      </c>
      <c r="HG7" s="1589">
        <f t="shared" si="24"/>
        <v>36158</v>
      </c>
      <c r="HH7" s="1589">
        <f t="shared" si="24"/>
        <v>31132</v>
      </c>
      <c r="HI7" s="1589">
        <f t="shared" si="24"/>
        <v>28600</v>
      </c>
      <c r="HJ7" s="1589">
        <f t="shared" si="24"/>
        <v>36863</v>
      </c>
      <c r="HK7" s="1589">
        <f t="shared" si="24"/>
        <v>45330</v>
      </c>
      <c r="HL7" s="1589">
        <f t="shared" si="24"/>
        <v>33080</v>
      </c>
      <c r="HM7" s="1590">
        <f t="shared" si="24"/>
        <v>50014</v>
      </c>
      <c r="HN7" s="1591">
        <f>SUM(HB7:HM7)</f>
        <v>373845</v>
      </c>
      <c r="HO7" s="1588">
        <f t="shared" ref="HO7:HZ7" si="25">SUM(HO8:HO28)</f>
        <v>10769</v>
      </c>
      <c r="HP7" s="1589">
        <f t="shared" si="25"/>
        <v>23183</v>
      </c>
      <c r="HQ7" s="1589">
        <f t="shared" si="25"/>
        <v>24048</v>
      </c>
      <c r="HR7" s="1589">
        <f t="shared" si="25"/>
        <v>85789</v>
      </c>
      <c r="HS7" s="1589">
        <f t="shared" si="25"/>
        <v>15307</v>
      </c>
      <c r="HT7" s="1589">
        <f t="shared" si="25"/>
        <v>32063</v>
      </c>
      <c r="HU7" s="1589">
        <f t="shared" si="25"/>
        <v>21315</v>
      </c>
      <c r="HV7" s="1589">
        <f t="shared" si="25"/>
        <v>25317</v>
      </c>
      <c r="HW7" s="1589">
        <f t="shared" si="25"/>
        <v>15584</v>
      </c>
      <c r="HX7" s="1589">
        <f t="shared" si="25"/>
        <v>35230</v>
      </c>
      <c r="HY7" s="1589">
        <f t="shared" si="25"/>
        <v>42176</v>
      </c>
      <c r="HZ7" s="1590">
        <f t="shared" si="25"/>
        <v>22210</v>
      </c>
      <c r="IA7" s="1588">
        <f>SUM(HO7:HZ7)</f>
        <v>352991</v>
      </c>
      <c r="IB7" s="1572">
        <f t="shared" ref="IB7:II7" si="26">SUM(IB8:IB28)</f>
        <v>23517</v>
      </c>
      <c r="IC7" s="1573">
        <f t="shared" si="26"/>
        <v>13961</v>
      </c>
      <c r="ID7" s="1573">
        <f t="shared" si="26"/>
        <v>12957</v>
      </c>
      <c r="IE7" s="1573">
        <f t="shared" si="26"/>
        <v>19051</v>
      </c>
      <c r="IF7" s="1573">
        <f t="shared" si="26"/>
        <v>22819</v>
      </c>
      <c r="IG7" s="1573">
        <f t="shared" si="26"/>
        <v>24256</v>
      </c>
      <c r="IH7" s="1573">
        <f t="shared" si="26"/>
        <v>41127</v>
      </c>
      <c r="II7" s="1573">
        <f t="shared" si="26"/>
        <v>40576</v>
      </c>
      <c r="IJ7" s="1573"/>
      <c r="IK7" s="1573"/>
      <c r="IL7" s="1573"/>
      <c r="IM7" s="1574"/>
      <c r="IN7" s="1575">
        <f>SUM(IB7:IM7)</f>
        <v>198264</v>
      </c>
      <c r="IO7" s="1422"/>
      <c r="IP7" s="1596">
        <f t="shared" ref="IP7:IP36" si="27">IFERROR(((
_xlfn.XLOOKUP((DATE(YEAR($IP$5),MONTH($IP$5),1)),SMN.IGN.DATE,$B7:$IN7) /
_xlfn.XLOOKUP((DATE(YEAR($IP$5)-1,MONTH($IP$5),1)),SMN.IGN.DATE,$B7:$IN7)
)-1)*100,"")</f>
        <v>60.271754157285628</v>
      </c>
      <c r="IQ7" s="1597">
        <f>IFERROR(((IS7/IR7)-1)*100,"")</f>
        <v>-16.622580333149696</v>
      </c>
      <c r="IR7" s="1589">
        <f t="shared" ref="IR7:IR37" si="28">SUMIFS($B7:$IN7,SMN.IGN.DATE,"&gt;="&amp;DATE(YEAR($IP$5)-1,1,1),SMN.IGN.DATE,"&lt;="&amp;DATE(YEAR($IP$5)-1,MONTH($IP$5),1))</f>
        <v>237791</v>
      </c>
      <c r="IS7" s="1591">
        <f t="shared" ref="IS7:IS37" si="29">SUMIFS($B7:$IN7,SMN.IGN.DATE,"&gt;="&amp;DATE(YEAR($IP$5),1,1),SMN.IGN.DATE,"&lt;="&amp;$IP$5)</f>
        <v>198264</v>
      </c>
      <c r="IU7" s="1521">
        <f>+II7-HV7</f>
        <v>15259</v>
      </c>
      <c r="IV7"/>
      <c r="IW7"/>
      <c r="IX7"/>
      <c r="IY7"/>
      <c r="IZ7"/>
      <c r="JA7"/>
      <c r="JB7"/>
      <c r="JC7"/>
      <c r="JD7"/>
    </row>
    <row r="8" spans="1:264" ht="15" customHeight="1" x14ac:dyDescent="0.2">
      <c r="A8" s="1551" t="s">
        <v>624</v>
      </c>
      <c r="B8" s="1565">
        <v>66</v>
      </c>
      <c r="C8" s="1566">
        <v>180</v>
      </c>
      <c r="D8" s="1566">
        <v>213</v>
      </c>
      <c r="E8" s="1566">
        <v>176</v>
      </c>
      <c r="F8" s="1566">
        <v>488</v>
      </c>
      <c r="G8" s="1566">
        <v>392</v>
      </c>
      <c r="H8" s="1566">
        <v>766</v>
      </c>
      <c r="I8" s="1566">
        <v>427</v>
      </c>
      <c r="J8" s="1566">
        <v>414</v>
      </c>
      <c r="K8" s="1566">
        <v>799</v>
      </c>
      <c r="L8" s="1566">
        <v>624</v>
      </c>
      <c r="M8" s="1567">
        <v>975</v>
      </c>
      <c r="N8" s="1568">
        <f t="shared" si="1"/>
        <v>5520</v>
      </c>
      <c r="O8" s="1565">
        <v>298</v>
      </c>
      <c r="P8" s="1566">
        <v>266</v>
      </c>
      <c r="Q8" s="1566">
        <v>421</v>
      </c>
      <c r="R8" s="1566">
        <v>922</v>
      </c>
      <c r="S8" s="1566">
        <v>587</v>
      </c>
      <c r="T8" s="1566">
        <v>549</v>
      </c>
      <c r="U8" s="1566">
        <v>565</v>
      </c>
      <c r="V8" s="1566">
        <v>646</v>
      </c>
      <c r="W8" s="1566">
        <v>652</v>
      </c>
      <c r="X8" s="1566">
        <v>226</v>
      </c>
      <c r="Y8" s="1566">
        <v>215</v>
      </c>
      <c r="Z8" s="1567">
        <v>244</v>
      </c>
      <c r="AA8" s="1568">
        <f t="shared" si="3"/>
        <v>5591</v>
      </c>
      <c r="AB8" s="1565">
        <v>59</v>
      </c>
      <c r="AC8" s="1566">
        <v>160</v>
      </c>
      <c r="AD8" s="1566">
        <v>221</v>
      </c>
      <c r="AE8" s="1566">
        <v>163</v>
      </c>
      <c r="AF8" s="1566">
        <v>96</v>
      </c>
      <c r="AG8" s="1566">
        <v>140</v>
      </c>
      <c r="AH8" s="1566">
        <v>364</v>
      </c>
      <c r="AI8" s="1566">
        <v>178</v>
      </c>
      <c r="AJ8" s="1566">
        <v>235</v>
      </c>
      <c r="AK8" s="1566">
        <v>115</v>
      </c>
      <c r="AL8" s="1566">
        <v>181</v>
      </c>
      <c r="AM8" s="1567">
        <v>119</v>
      </c>
      <c r="AN8" s="1568">
        <f t="shared" si="5"/>
        <v>2031</v>
      </c>
      <c r="AO8" s="1565">
        <v>19</v>
      </c>
      <c r="AP8" s="1566">
        <v>84</v>
      </c>
      <c r="AQ8" s="1566">
        <v>105</v>
      </c>
      <c r="AR8" s="1566">
        <v>377</v>
      </c>
      <c r="AS8" s="1566">
        <v>429</v>
      </c>
      <c r="AT8" s="1566">
        <v>487</v>
      </c>
      <c r="AU8" s="1566">
        <v>313</v>
      </c>
      <c r="AV8" s="1566">
        <v>61</v>
      </c>
      <c r="AW8" s="1566">
        <v>365</v>
      </c>
      <c r="AX8" s="1566">
        <v>84</v>
      </c>
      <c r="AY8" s="1566">
        <v>133</v>
      </c>
      <c r="AZ8" s="1567">
        <v>128</v>
      </c>
      <c r="BA8" s="1568">
        <f t="shared" si="7"/>
        <v>2585</v>
      </c>
      <c r="BB8" s="1565">
        <v>17</v>
      </c>
      <c r="BC8" s="1566">
        <v>112</v>
      </c>
      <c r="BD8" s="1566">
        <v>377</v>
      </c>
      <c r="BE8" s="1566">
        <v>255</v>
      </c>
      <c r="BF8" s="1566">
        <v>209</v>
      </c>
      <c r="BG8" s="1566">
        <v>231</v>
      </c>
      <c r="BH8" s="1566">
        <v>404</v>
      </c>
      <c r="BI8" s="1566">
        <v>285</v>
      </c>
      <c r="BJ8" s="1566">
        <v>309</v>
      </c>
      <c r="BK8" s="1566">
        <v>1032</v>
      </c>
      <c r="BL8" s="1566">
        <v>892</v>
      </c>
      <c r="BM8" s="1567">
        <v>653</v>
      </c>
      <c r="BN8" s="1568">
        <f t="shared" si="9"/>
        <v>4776</v>
      </c>
      <c r="BO8" s="1565">
        <v>141</v>
      </c>
      <c r="BP8" s="1566">
        <v>198</v>
      </c>
      <c r="BQ8" s="1566">
        <v>287</v>
      </c>
      <c r="BR8" s="1566">
        <v>342</v>
      </c>
      <c r="BS8" s="1566">
        <v>301</v>
      </c>
      <c r="BT8" s="1566">
        <v>249</v>
      </c>
      <c r="BU8" s="1566">
        <v>299</v>
      </c>
      <c r="BV8" s="1566">
        <v>259</v>
      </c>
      <c r="BW8" s="1566">
        <v>493</v>
      </c>
      <c r="BX8" s="1566">
        <v>1595</v>
      </c>
      <c r="BY8" s="1566">
        <v>708</v>
      </c>
      <c r="BZ8" s="1567">
        <v>1155</v>
      </c>
      <c r="CA8" s="1568">
        <f t="shared" si="11"/>
        <v>6027</v>
      </c>
      <c r="CB8" s="1565">
        <v>0</v>
      </c>
      <c r="CC8" s="1566">
        <v>31</v>
      </c>
      <c r="CD8" s="1566">
        <v>80</v>
      </c>
      <c r="CE8" s="1566">
        <v>251</v>
      </c>
      <c r="CF8" s="1566">
        <v>216</v>
      </c>
      <c r="CG8" s="1566">
        <v>341</v>
      </c>
      <c r="CH8" s="1566">
        <v>285</v>
      </c>
      <c r="CI8" s="1566">
        <v>425</v>
      </c>
      <c r="CJ8" s="1566">
        <v>2337</v>
      </c>
      <c r="CK8" s="1566">
        <v>69</v>
      </c>
      <c r="CL8" s="1566">
        <v>691</v>
      </c>
      <c r="CM8" s="1567">
        <v>751</v>
      </c>
      <c r="CN8" s="1568">
        <f t="shared" si="13"/>
        <v>5477</v>
      </c>
      <c r="CO8" s="1565">
        <v>257</v>
      </c>
      <c r="CP8" s="1566">
        <v>2064</v>
      </c>
      <c r="CQ8" s="1566">
        <v>1088</v>
      </c>
      <c r="CR8" s="1566">
        <v>2869</v>
      </c>
      <c r="CS8" s="1566">
        <v>1731</v>
      </c>
      <c r="CT8" s="1566">
        <v>3452</v>
      </c>
      <c r="CU8" s="1566">
        <v>2475</v>
      </c>
      <c r="CV8" s="1566">
        <v>986</v>
      </c>
      <c r="CW8" s="1566">
        <v>1422</v>
      </c>
      <c r="CX8" s="1566">
        <v>1329</v>
      </c>
      <c r="CY8" s="1566">
        <v>1544</v>
      </c>
      <c r="CZ8" s="1567">
        <v>4690</v>
      </c>
      <c r="DA8" s="1568">
        <f t="shared" si="15"/>
        <v>23907</v>
      </c>
      <c r="DB8" s="1565">
        <v>252</v>
      </c>
      <c r="DC8" s="1566">
        <v>608</v>
      </c>
      <c r="DD8" s="1566">
        <v>948</v>
      </c>
      <c r="DE8" s="1566">
        <v>1198</v>
      </c>
      <c r="DF8" s="1566">
        <v>1660</v>
      </c>
      <c r="DG8" s="1566">
        <v>1789</v>
      </c>
      <c r="DH8" s="1566">
        <v>653</v>
      </c>
      <c r="DI8" s="1566">
        <v>2234</v>
      </c>
      <c r="DJ8" s="1566">
        <v>671</v>
      </c>
      <c r="DK8" s="1566">
        <v>2117</v>
      </c>
      <c r="DL8" s="1566">
        <v>1242</v>
      </c>
      <c r="DM8" s="1567">
        <v>2532</v>
      </c>
      <c r="DN8" s="1568">
        <f t="shared" ref="DN8:DN35" si="30">SUM(DB8:DM8)</f>
        <v>15904</v>
      </c>
      <c r="DO8" s="1565">
        <v>46</v>
      </c>
      <c r="DP8" s="1566">
        <v>504</v>
      </c>
      <c r="DQ8" s="1566">
        <v>1542</v>
      </c>
      <c r="DR8" s="1566">
        <v>498</v>
      </c>
      <c r="DS8" s="1566">
        <v>1210</v>
      </c>
      <c r="DT8" s="1566">
        <v>1213</v>
      </c>
      <c r="DU8" s="1566">
        <v>953</v>
      </c>
      <c r="DV8" s="1566">
        <v>2186</v>
      </c>
      <c r="DW8" s="1566">
        <v>1440</v>
      </c>
      <c r="DX8" s="1566">
        <v>3615</v>
      </c>
      <c r="DY8" s="1566">
        <v>1916</v>
      </c>
      <c r="DZ8" s="1567">
        <v>5257</v>
      </c>
      <c r="EA8" s="1568">
        <f t="shared" ref="EA8:EA28" si="31">SUM(DO8:DZ8)</f>
        <v>20380</v>
      </c>
      <c r="EB8" s="1565">
        <v>26</v>
      </c>
      <c r="EC8" s="1566">
        <v>352</v>
      </c>
      <c r="ED8" s="1566">
        <v>950</v>
      </c>
      <c r="EE8" s="1566">
        <v>1687</v>
      </c>
      <c r="EF8" s="1566">
        <v>1055</v>
      </c>
      <c r="EG8" s="1566">
        <v>956</v>
      </c>
      <c r="EH8" s="1566">
        <v>1277</v>
      </c>
      <c r="EI8" s="1566">
        <v>1473</v>
      </c>
      <c r="EJ8" s="1566">
        <v>780</v>
      </c>
      <c r="EK8" s="1566">
        <v>2211</v>
      </c>
      <c r="EL8" s="1566">
        <v>1550</v>
      </c>
      <c r="EM8" s="1567">
        <v>2293</v>
      </c>
      <c r="EN8" s="1568">
        <f t="shared" ref="EN8:EN28" si="32">SUM(EB8:EM8)</f>
        <v>14610</v>
      </c>
      <c r="EO8" s="1565">
        <v>41</v>
      </c>
      <c r="EP8" s="1566">
        <v>459</v>
      </c>
      <c r="EQ8" s="1566">
        <v>2321</v>
      </c>
      <c r="ER8" s="1566">
        <v>1232</v>
      </c>
      <c r="ES8" s="1566">
        <v>1204</v>
      </c>
      <c r="ET8" s="1566">
        <v>1335</v>
      </c>
      <c r="EU8" s="1566">
        <v>1235</v>
      </c>
      <c r="EV8" s="1566">
        <v>1755</v>
      </c>
      <c r="EW8" s="1566">
        <v>806</v>
      </c>
      <c r="EX8" s="1566">
        <v>1060</v>
      </c>
      <c r="EY8" s="1566">
        <v>3116</v>
      </c>
      <c r="EZ8" s="1567">
        <v>2095</v>
      </c>
      <c r="FA8" s="1568">
        <f t="shared" ref="FA8:FA28" si="33">SUM(EO8:EZ8)</f>
        <v>16659</v>
      </c>
      <c r="FB8" s="1565">
        <v>1886</v>
      </c>
      <c r="FC8" s="1566">
        <v>552</v>
      </c>
      <c r="FD8" s="1566">
        <v>759</v>
      </c>
      <c r="FE8" s="1566">
        <v>251</v>
      </c>
      <c r="FF8" s="1566">
        <v>442</v>
      </c>
      <c r="FG8" s="1566">
        <v>241</v>
      </c>
      <c r="FH8" s="1566">
        <v>321</v>
      </c>
      <c r="FI8" s="1566">
        <v>851</v>
      </c>
      <c r="FJ8" s="1566">
        <v>3062</v>
      </c>
      <c r="FK8" s="1566">
        <v>1165</v>
      </c>
      <c r="FL8" s="1566">
        <v>853</v>
      </c>
      <c r="FM8" s="1567">
        <v>2055</v>
      </c>
      <c r="FN8" s="1568">
        <f t="shared" ref="FN8:FN28" si="34">SUM(FB8:FM8)</f>
        <v>12438</v>
      </c>
      <c r="FO8" s="1565">
        <v>162</v>
      </c>
      <c r="FP8" s="1566">
        <v>322</v>
      </c>
      <c r="FQ8" s="1566">
        <v>1263</v>
      </c>
      <c r="FR8" s="1566">
        <v>1033</v>
      </c>
      <c r="FS8" s="1566">
        <v>856</v>
      </c>
      <c r="FT8" s="1566">
        <v>555</v>
      </c>
      <c r="FU8" s="1566">
        <v>518</v>
      </c>
      <c r="FV8" s="1566">
        <v>1385</v>
      </c>
      <c r="FW8" s="1566">
        <v>1597</v>
      </c>
      <c r="FX8" s="1566">
        <v>1263</v>
      </c>
      <c r="FY8" s="1566">
        <v>1627</v>
      </c>
      <c r="FZ8" s="1567">
        <v>1894</v>
      </c>
      <c r="GA8" s="1568">
        <f t="shared" ref="GA8:GA35" si="35">SUM(FO8:FZ8)</f>
        <v>12475</v>
      </c>
      <c r="GB8" s="1565">
        <v>221</v>
      </c>
      <c r="GC8" s="1566">
        <v>566</v>
      </c>
      <c r="GD8" s="1566">
        <v>2126</v>
      </c>
      <c r="GE8" s="1566">
        <v>2704</v>
      </c>
      <c r="GF8" s="1566">
        <v>1451</v>
      </c>
      <c r="GG8" s="1566">
        <v>4327</v>
      </c>
      <c r="GH8" s="1566">
        <v>3070</v>
      </c>
      <c r="GI8" s="1566">
        <v>5691</v>
      </c>
      <c r="GJ8" s="1566">
        <v>2441</v>
      </c>
      <c r="GK8" s="1566">
        <v>2819</v>
      </c>
      <c r="GL8" s="1566">
        <v>2102</v>
      </c>
      <c r="GM8" s="1567">
        <v>3666</v>
      </c>
      <c r="GN8" s="1568">
        <f t="shared" ref="GN8:GN34" si="36">SUM(GB8:GM8)</f>
        <v>31184</v>
      </c>
      <c r="GO8" s="1565">
        <v>2034</v>
      </c>
      <c r="GP8" s="1566">
        <v>2181</v>
      </c>
      <c r="GQ8" s="1566">
        <v>3078</v>
      </c>
      <c r="GR8" s="1566">
        <v>2597</v>
      </c>
      <c r="GS8" s="1566">
        <v>3387</v>
      </c>
      <c r="GT8" s="1566">
        <v>3303</v>
      </c>
      <c r="GU8" s="1566">
        <v>3303</v>
      </c>
      <c r="GV8" s="1566">
        <v>3590</v>
      </c>
      <c r="GW8" s="1566">
        <v>3584</v>
      </c>
      <c r="GX8" s="1566">
        <v>3880</v>
      </c>
      <c r="GY8" s="1566">
        <v>3595</v>
      </c>
      <c r="GZ8" s="1567">
        <v>4704</v>
      </c>
      <c r="HA8" s="1568">
        <f t="shared" ref="HA8:HA37" si="37">SUM(GO8:GZ8)</f>
        <v>39236</v>
      </c>
      <c r="HB8" s="1565">
        <v>240</v>
      </c>
      <c r="HC8" s="1566">
        <v>1849</v>
      </c>
      <c r="HD8" s="1566">
        <v>2096</v>
      </c>
      <c r="HE8" s="1566">
        <v>1596</v>
      </c>
      <c r="HF8" s="1566">
        <v>3159</v>
      </c>
      <c r="HG8" s="1566">
        <v>1616</v>
      </c>
      <c r="HH8" s="1566">
        <v>2226</v>
      </c>
      <c r="HI8" s="1566">
        <v>1498</v>
      </c>
      <c r="HJ8" s="1566">
        <v>2762</v>
      </c>
      <c r="HK8" s="1566">
        <v>2058</v>
      </c>
      <c r="HL8" s="1566">
        <v>5586</v>
      </c>
      <c r="HM8" s="1567">
        <v>6282</v>
      </c>
      <c r="HN8" s="1568">
        <f t="shared" ref="HN8:HN37" si="38">SUM(HB8:HM8)</f>
        <v>30968</v>
      </c>
      <c r="HO8" s="1565">
        <v>647</v>
      </c>
      <c r="HP8" s="1566">
        <v>1626</v>
      </c>
      <c r="HQ8" s="1566">
        <v>1226</v>
      </c>
      <c r="HR8" s="1566">
        <v>3790</v>
      </c>
      <c r="HS8" s="1566">
        <v>2589</v>
      </c>
      <c r="HT8" s="1566">
        <v>2385</v>
      </c>
      <c r="HU8" s="1566">
        <v>3298</v>
      </c>
      <c r="HV8" s="1566">
        <v>2321</v>
      </c>
      <c r="HW8" s="1566">
        <v>2314</v>
      </c>
      <c r="HX8" s="1566">
        <v>1988</v>
      </c>
      <c r="HY8" s="1566">
        <v>1390</v>
      </c>
      <c r="HZ8" s="1567">
        <v>5357</v>
      </c>
      <c r="IA8" s="1565">
        <f t="shared" ref="IA8:IA34" si="39">SUM(HO8:HZ8)</f>
        <v>28931</v>
      </c>
      <c r="IB8" s="1569">
        <v>252</v>
      </c>
      <c r="IC8" s="1068">
        <v>1987</v>
      </c>
      <c r="ID8" s="1068">
        <v>1608</v>
      </c>
      <c r="IE8" s="1068">
        <v>1890</v>
      </c>
      <c r="IF8" s="1068">
        <v>1596</v>
      </c>
      <c r="IG8">
        <v>1710</v>
      </c>
      <c r="IH8" s="1068">
        <v>2490</v>
      </c>
      <c r="II8" s="1068">
        <v>3056</v>
      </c>
      <c r="IJ8" s="1068"/>
      <c r="IK8" s="1068"/>
      <c r="IL8" s="1068"/>
      <c r="IM8" s="1570"/>
      <c r="IN8" s="1571">
        <f t="shared" ref="IN8:IN37" si="40">SUM(IB8:IM8)</f>
        <v>14589</v>
      </c>
      <c r="IP8" s="1656">
        <f t="shared" si="27"/>
        <v>31.667384747953477</v>
      </c>
      <c r="IQ8" s="1656">
        <f t="shared" ref="IQ8:IQ28" si="41">IFERROR(((IS8/IR8)-1)*100,"")</f>
        <v>-18.41516608880438</v>
      </c>
      <c r="IR8" s="1657">
        <f t="shared" si="28"/>
        <v>17882</v>
      </c>
      <c r="IS8" s="1657">
        <f t="shared" si="29"/>
        <v>14589</v>
      </c>
      <c r="IT8" s="1658"/>
      <c r="IU8" s="221">
        <f t="shared" ref="IU8:IU28" si="42">+II8-HV8</f>
        <v>735</v>
      </c>
    </row>
    <row r="9" spans="1:264" ht="15" customHeight="1" x14ac:dyDescent="0.2">
      <c r="A9" s="1551" t="s">
        <v>625</v>
      </c>
      <c r="B9" s="1565">
        <v>0</v>
      </c>
      <c r="C9" s="1566">
        <v>0</v>
      </c>
      <c r="D9" s="1566">
        <v>3</v>
      </c>
      <c r="E9" s="1566">
        <v>16</v>
      </c>
      <c r="F9" s="1566">
        <v>38</v>
      </c>
      <c r="G9" s="1566">
        <v>57</v>
      </c>
      <c r="H9" s="1566">
        <v>465</v>
      </c>
      <c r="I9" s="1566">
        <v>386</v>
      </c>
      <c r="J9" s="1566">
        <v>0</v>
      </c>
      <c r="K9" s="1566">
        <v>45</v>
      </c>
      <c r="L9" s="1566">
        <v>15</v>
      </c>
      <c r="M9" s="1567">
        <v>144</v>
      </c>
      <c r="N9" s="1568">
        <f t="shared" si="1"/>
        <v>1169</v>
      </c>
      <c r="O9" s="1565">
        <v>0</v>
      </c>
      <c r="P9" s="1566">
        <v>0</v>
      </c>
      <c r="Q9" s="1566">
        <v>0</v>
      </c>
      <c r="R9" s="1566">
        <v>0</v>
      </c>
      <c r="S9" s="1566">
        <v>0</v>
      </c>
      <c r="T9" s="1566">
        <v>0</v>
      </c>
      <c r="U9" s="1566">
        <v>0</v>
      </c>
      <c r="V9" s="1566">
        <v>0</v>
      </c>
      <c r="W9" s="1566">
        <v>0</v>
      </c>
      <c r="X9" s="1566">
        <v>0</v>
      </c>
      <c r="Y9" s="1566">
        <v>0</v>
      </c>
      <c r="Z9" s="1567">
        <v>0</v>
      </c>
      <c r="AA9" s="1568">
        <f t="shared" si="3"/>
        <v>0</v>
      </c>
      <c r="AB9" s="1565"/>
      <c r="AC9" s="1566"/>
      <c r="AD9" s="1566"/>
      <c r="AE9" s="1566"/>
      <c r="AF9" s="1566"/>
      <c r="AG9" s="1566"/>
      <c r="AH9" s="1566"/>
      <c r="AI9" s="1566">
        <v>0</v>
      </c>
      <c r="AJ9" s="1566"/>
      <c r="AK9" s="1566">
        <v>0</v>
      </c>
      <c r="AL9" s="1566">
        <v>0</v>
      </c>
      <c r="AM9" s="1567">
        <v>0</v>
      </c>
      <c r="AN9" s="1568">
        <f t="shared" si="5"/>
        <v>0</v>
      </c>
      <c r="AO9" s="1565">
        <v>0</v>
      </c>
      <c r="AP9" s="1566">
        <v>0</v>
      </c>
      <c r="AQ9" s="1566">
        <v>0</v>
      </c>
      <c r="AR9" s="1566">
        <v>0</v>
      </c>
      <c r="AS9" s="1566">
        <v>0</v>
      </c>
      <c r="AT9" s="1566">
        <v>0</v>
      </c>
      <c r="AU9" s="1566">
        <v>0</v>
      </c>
      <c r="AV9" s="1566">
        <v>34</v>
      </c>
      <c r="AW9" s="1566">
        <v>0</v>
      </c>
      <c r="AX9" s="1566">
        <v>0</v>
      </c>
      <c r="AY9" s="1566">
        <v>0</v>
      </c>
      <c r="AZ9" s="1567">
        <v>9</v>
      </c>
      <c r="BA9" s="1568">
        <f t="shared" si="7"/>
        <v>43</v>
      </c>
      <c r="BB9" s="1565">
        <v>0</v>
      </c>
      <c r="BC9" s="1566">
        <v>0</v>
      </c>
      <c r="BD9" s="1566">
        <v>0</v>
      </c>
      <c r="BE9" s="1566">
        <v>0</v>
      </c>
      <c r="BF9" s="1566">
        <v>0</v>
      </c>
      <c r="BG9" s="1566">
        <v>0</v>
      </c>
      <c r="BH9" s="1566">
        <v>0</v>
      </c>
      <c r="BI9" s="1566">
        <v>0</v>
      </c>
      <c r="BJ9" s="1566">
        <v>0</v>
      </c>
      <c r="BK9" s="1566">
        <v>0</v>
      </c>
      <c r="BL9" s="1566">
        <v>0</v>
      </c>
      <c r="BM9" s="1567">
        <v>0</v>
      </c>
      <c r="BN9" s="1568">
        <f t="shared" si="9"/>
        <v>0</v>
      </c>
      <c r="BO9" s="1565">
        <v>0</v>
      </c>
      <c r="BP9" s="1566">
        <v>0</v>
      </c>
      <c r="BQ9" s="1566">
        <v>0</v>
      </c>
      <c r="BR9" s="1566">
        <v>0</v>
      </c>
      <c r="BS9" s="1566">
        <v>0</v>
      </c>
      <c r="BT9" s="1566">
        <v>0</v>
      </c>
      <c r="BU9" s="1566">
        <v>0</v>
      </c>
      <c r="BV9" s="1566">
        <v>0</v>
      </c>
      <c r="BW9" s="1566">
        <v>0</v>
      </c>
      <c r="BX9" s="1566">
        <v>0</v>
      </c>
      <c r="BY9" s="1566">
        <v>0</v>
      </c>
      <c r="BZ9" s="1567">
        <v>0</v>
      </c>
      <c r="CA9" s="1568">
        <f t="shared" si="11"/>
        <v>0</v>
      </c>
      <c r="CB9" s="1565">
        <v>0</v>
      </c>
      <c r="CC9" s="1566">
        <v>7583</v>
      </c>
      <c r="CD9" s="1566">
        <v>-7583</v>
      </c>
      <c r="CE9" s="1566">
        <v>0</v>
      </c>
      <c r="CF9" s="1566">
        <v>9065</v>
      </c>
      <c r="CG9" s="1566">
        <v>347</v>
      </c>
      <c r="CH9" s="1566">
        <v>0</v>
      </c>
      <c r="CI9" s="1566">
        <v>62</v>
      </c>
      <c r="CJ9" s="1566">
        <v>0</v>
      </c>
      <c r="CK9" s="1566">
        <v>0</v>
      </c>
      <c r="CL9" s="1566">
        <v>0</v>
      </c>
      <c r="CM9" s="1567">
        <v>0</v>
      </c>
      <c r="CN9" s="1568">
        <f t="shared" si="13"/>
        <v>9474</v>
      </c>
      <c r="CO9" s="1565">
        <v>0</v>
      </c>
      <c r="CP9" s="1566">
        <v>0</v>
      </c>
      <c r="CQ9" s="1566">
        <v>0</v>
      </c>
      <c r="CR9" s="1566">
        <v>0</v>
      </c>
      <c r="CS9" s="1566">
        <v>0</v>
      </c>
      <c r="CT9" s="1566">
        <v>0</v>
      </c>
      <c r="CU9" s="1566">
        <v>0</v>
      </c>
      <c r="CV9" s="1566">
        <v>0</v>
      </c>
      <c r="CW9" s="1566">
        <v>0</v>
      </c>
      <c r="CX9" s="1566">
        <v>0</v>
      </c>
      <c r="CY9" s="1566">
        <v>0</v>
      </c>
      <c r="CZ9" s="1567">
        <v>0</v>
      </c>
      <c r="DA9" s="1568">
        <f t="shared" si="15"/>
        <v>0</v>
      </c>
      <c r="DB9" s="1565">
        <v>0</v>
      </c>
      <c r="DC9" s="1566">
        <v>0</v>
      </c>
      <c r="DD9" s="1566">
        <v>0</v>
      </c>
      <c r="DE9" s="1566">
        <v>0</v>
      </c>
      <c r="DF9" s="1566">
        <v>0</v>
      </c>
      <c r="DG9" s="1566">
        <v>0</v>
      </c>
      <c r="DH9" s="1566">
        <v>0</v>
      </c>
      <c r="DI9" s="1566">
        <v>0</v>
      </c>
      <c r="DJ9" s="1566">
        <v>86</v>
      </c>
      <c r="DK9" s="1566">
        <v>0</v>
      </c>
      <c r="DL9" s="1566">
        <v>0</v>
      </c>
      <c r="DM9" s="1567">
        <v>0</v>
      </c>
      <c r="DN9" s="1568">
        <f t="shared" si="30"/>
        <v>86</v>
      </c>
      <c r="DO9" s="1565">
        <v>0</v>
      </c>
      <c r="DP9" s="1566">
        <v>0</v>
      </c>
      <c r="DQ9" s="1566">
        <v>0</v>
      </c>
      <c r="DR9" s="1566">
        <v>0</v>
      </c>
      <c r="DS9" s="1566">
        <v>0</v>
      </c>
      <c r="DT9" s="1566">
        <v>0</v>
      </c>
      <c r="DU9" s="1566">
        <v>0</v>
      </c>
      <c r="DV9" s="1566">
        <v>0</v>
      </c>
      <c r="DW9" s="1566">
        <v>0</v>
      </c>
      <c r="DX9" s="1566">
        <v>0</v>
      </c>
      <c r="DY9" s="1566">
        <v>0</v>
      </c>
      <c r="DZ9" s="1567">
        <v>0</v>
      </c>
      <c r="EA9" s="1568">
        <f t="shared" si="31"/>
        <v>0</v>
      </c>
      <c r="EB9" s="1565">
        <v>0</v>
      </c>
      <c r="EC9" s="1566">
        <v>0</v>
      </c>
      <c r="ED9" s="1566">
        <v>0</v>
      </c>
      <c r="EE9" s="1566">
        <v>0</v>
      </c>
      <c r="EF9" s="1566">
        <v>0</v>
      </c>
      <c r="EG9" s="1566">
        <v>0</v>
      </c>
      <c r="EH9" s="1566">
        <v>0</v>
      </c>
      <c r="EI9" s="1566">
        <v>0</v>
      </c>
      <c r="EJ9" s="1566">
        <v>0</v>
      </c>
      <c r="EK9" s="1566">
        <v>0</v>
      </c>
      <c r="EL9" s="1566">
        <v>0</v>
      </c>
      <c r="EM9" s="1567">
        <v>0</v>
      </c>
      <c r="EN9" s="1568">
        <f t="shared" si="32"/>
        <v>0</v>
      </c>
      <c r="EO9" s="1565">
        <v>0</v>
      </c>
      <c r="EP9" s="1566">
        <v>0</v>
      </c>
      <c r="EQ9" s="1566">
        <v>0</v>
      </c>
      <c r="ER9" s="1566">
        <v>0</v>
      </c>
      <c r="ES9" s="1566">
        <v>0</v>
      </c>
      <c r="ET9" s="1566">
        <v>0</v>
      </c>
      <c r="EU9" s="1566">
        <v>0</v>
      </c>
      <c r="EV9" s="1566">
        <v>0</v>
      </c>
      <c r="EW9" s="1566">
        <v>0</v>
      </c>
      <c r="EX9" s="1566">
        <v>0</v>
      </c>
      <c r="EY9" s="1566">
        <v>0</v>
      </c>
      <c r="EZ9" s="1567">
        <v>0</v>
      </c>
      <c r="FA9" s="1568">
        <f t="shared" si="33"/>
        <v>0</v>
      </c>
      <c r="FB9" s="1565">
        <v>0</v>
      </c>
      <c r="FC9" s="1566">
        <v>0</v>
      </c>
      <c r="FD9" s="1566">
        <v>0</v>
      </c>
      <c r="FE9" s="1566">
        <v>0</v>
      </c>
      <c r="FF9" s="1566">
        <v>0</v>
      </c>
      <c r="FG9" s="1566">
        <v>0</v>
      </c>
      <c r="FH9" s="1566">
        <v>0</v>
      </c>
      <c r="FI9" s="1566">
        <v>0</v>
      </c>
      <c r="FJ9" s="1566">
        <v>0</v>
      </c>
      <c r="FK9" s="1566">
        <v>0</v>
      </c>
      <c r="FL9" s="1566">
        <v>0</v>
      </c>
      <c r="FM9" s="1567">
        <v>0</v>
      </c>
      <c r="FN9" s="1568">
        <f t="shared" si="34"/>
        <v>0</v>
      </c>
      <c r="FO9" s="1565">
        <v>0</v>
      </c>
      <c r="FP9" s="1566">
        <v>0</v>
      </c>
      <c r="FQ9" s="1566">
        <v>0</v>
      </c>
      <c r="FR9" s="1566">
        <v>0</v>
      </c>
      <c r="FS9" s="1566">
        <v>0</v>
      </c>
      <c r="FT9" s="1566">
        <v>0</v>
      </c>
      <c r="FU9" s="1566">
        <v>0</v>
      </c>
      <c r="FV9" s="1566">
        <v>0</v>
      </c>
      <c r="FW9" s="1566">
        <v>0</v>
      </c>
      <c r="FX9" s="1566">
        <v>0</v>
      </c>
      <c r="FY9" s="1566">
        <v>0</v>
      </c>
      <c r="FZ9" s="1567">
        <v>0</v>
      </c>
      <c r="GA9" s="1568">
        <f t="shared" si="35"/>
        <v>0</v>
      </c>
      <c r="GB9" s="1565">
        <v>0</v>
      </c>
      <c r="GC9" s="1566">
        <v>0</v>
      </c>
      <c r="GD9" s="1566">
        <v>0</v>
      </c>
      <c r="GE9" s="1566">
        <v>0</v>
      </c>
      <c r="GF9" s="1566">
        <v>0</v>
      </c>
      <c r="GG9" s="1566">
        <v>0</v>
      </c>
      <c r="GH9" s="1566">
        <v>0</v>
      </c>
      <c r="GI9" s="1566">
        <v>0</v>
      </c>
      <c r="GJ9" s="1566">
        <v>0</v>
      </c>
      <c r="GK9" s="1566">
        <v>0</v>
      </c>
      <c r="GL9" s="1566">
        <v>0</v>
      </c>
      <c r="GM9" s="1567">
        <v>0</v>
      </c>
      <c r="GN9" s="1568">
        <f t="shared" si="36"/>
        <v>0</v>
      </c>
      <c r="GO9" s="1565">
        <v>0</v>
      </c>
      <c r="GP9" s="1566">
        <v>0</v>
      </c>
      <c r="GQ9" s="1566">
        <v>0</v>
      </c>
      <c r="GR9" s="1566">
        <v>0</v>
      </c>
      <c r="GS9" s="1566">
        <v>0</v>
      </c>
      <c r="GT9" s="1566">
        <v>0</v>
      </c>
      <c r="GU9" s="1566">
        <v>0</v>
      </c>
      <c r="GV9" s="1566">
        <v>0</v>
      </c>
      <c r="GW9" s="1566">
        <v>0</v>
      </c>
      <c r="GX9" s="1566">
        <v>0</v>
      </c>
      <c r="GY9" s="1566">
        <v>0</v>
      </c>
      <c r="GZ9" s="1567">
        <v>0</v>
      </c>
      <c r="HA9" s="1568">
        <f t="shared" si="37"/>
        <v>0</v>
      </c>
      <c r="HB9" s="1565">
        <v>0</v>
      </c>
      <c r="HC9" s="1566">
        <v>0</v>
      </c>
      <c r="HD9" s="1566">
        <v>0</v>
      </c>
      <c r="HE9" s="1566">
        <v>0</v>
      </c>
      <c r="HF9" s="1566">
        <v>0</v>
      </c>
      <c r="HG9" s="1566">
        <v>0</v>
      </c>
      <c r="HH9" s="1566">
        <v>0</v>
      </c>
      <c r="HI9" s="1566">
        <v>0</v>
      </c>
      <c r="HJ9" s="1566">
        <v>0</v>
      </c>
      <c r="HK9" s="1566">
        <v>0</v>
      </c>
      <c r="HL9" s="1566">
        <v>0</v>
      </c>
      <c r="HM9" s="1567">
        <v>0</v>
      </c>
      <c r="HN9" s="1568">
        <f t="shared" si="38"/>
        <v>0</v>
      </c>
      <c r="HO9" s="1565">
        <v>0</v>
      </c>
      <c r="HP9" s="1566">
        <v>0</v>
      </c>
      <c r="HQ9" s="1566">
        <v>0</v>
      </c>
      <c r="HR9" s="1566">
        <v>0</v>
      </c>
      <c r="HS9" s="1566">
        <v>0</v>
      </c>
      <c r="HT9" s="1566">
        <v>0</v>
      </c>
      <c r="HU9" s="1566">
        <v>0</v>
      </c>
      <c r="HV9" s="1566">
        <v>0</v>
      </c>
      <c r="HW9" s="1566">
        <v>0</v>
      </c>
      <c r="HX9" s="1566">
        <v>0</v>
      </c>
      <c r="HY9" s="1566">
        <v>0</v>
      </c>
      <c r="HZ9" s="1567">
        <v>0</v>
      </c>
      <c r="IA9" s="1565">
        <f t="shared" si="39"/>
        <v>0</v>
      </c>
      <c r="IB9" s="1569">
        <v>0</v>
      </c>
      <c r="IC9" s="1068">
        <v>0</v>
      </c>
      <c r="ID9" s="1068">
        <v>0</v>
      </c>
      <c r="IE9" s="1068">
        <v>0</v>
      </c>
      <c r="IF9" s="1068">
        <v>0</v>
      </c>
      <c r="IG9">
        <v>0</v>
      </c>
      <c r="IH9" s="1068">
        <v>0</v>
      </c>
      <c r="II9" s="1068">
        <v>0</v>
      </c>
      <c r="IJ9" s="1068"/>
      <c r="IK9" s="1068"/>
      <c r="IL9" s="1068"/>
      <c r="IM9" s="1570"/>
      <c r="IN9" s="1571">
        <f t="shared" si="40"/>
        <v>0</v>
      </c>
      <c r="IP9" s="1656" t="str">
        <f t="shared" si="27"/>
        <v/>
      </c>
      <c r="IQ9" s="1656" t="str">
        <f t="shared" si="41"/>
        <v/>
      </c>
      <c r="IR9" s="1657">
        <f t="shared" si="28"/>
        <v>0</v>
      </c>
      <c r="IS9" s="1657">
        <f t="shared" si="29"/>
        <v>0</v>
      </c>
      <c r="IT9" s="1658"/>
      <c r="IU9" s="221">
        <f t="shared" si="42"/>
        <v>0</v>
      </c>
    </row>
    <row r="10" spans="1:264" ht="15" customHeight="1" x14ac:dyDescent="0.2">
      <c r="A10" s="1551" t="s">
        <v>626</v>
      </c>
      <c r="B10" s="1565">
        <v>0</v>
      </c>
      <c r="C10" s="1566">
        <v>0</v>
      </c>
      <c r="D10" s="1566">
        <v>0</v>
      </c>
      <c r="E10" s="1566">
        <v>0</v>
      </c>
      <c r="F10" s="1566">
        <v>0</v>
      </c>
      <c r="G10" s="1566">
        <v>0</v>
      </c>
      <c r="H10" s="1566">
        <v>0</v>
      </c>
      <c r="I10" s="1566">
        <v>0</v>
      </c>
      <c r="J10" s="1566">
        <v>0</v>
      </c>
      <c r="K10" s="1566">
        <v>0</v>
      </c>
      <c r="L10" s="1566">
        <v>0</v>
      </c>
      <c r="M10" s="1567">
        <v>0</v>
      </c>
      <c r="N10" s="1568">
        <f t="shared" si="1"/>
        <v>0</v>
      </c>
      <c r="O10" s="1565">
        <v>0</v>
      </c>
      <c r="P10" s="1566">
        <v>0</v>
      </c>
      <c r="Q10" s="1566">
        <v>0</v>
      </c>
      <c r="R10" s="1566">
        <v>0</v>
      </c>
      <c r="S10" s="1566">
        <v>1</v>
      </c>
      <c r="T10" s="1566">
        <v>0</v>
      </c>
      <c r="U10" s="1566">
        <v>0</v>
      </c>
      <c r="V10" s="1566">
        <v>3</v>
      </c>
      <c r="W10" s="1566">
        <v>0</v>
      </c>
      <c r="X10" s="1566">
        <v>0</v>
      </c>
      <c r="Y10" s="1566">
        <v>0</v>
      </c>
      <c r="Z10" s="1567">
        <v>0</v>
      </c>
      <c r="AA10" s="1568">
        <f t="shared" si="3"/>
        <v>4</v>
      </c>
      <c r="AB10" s="1565">
        <v>0</v>
      </c>
      <c r="AC10" s="1566">
        <v>0</v>
      </c>
      <c r="AD10" s="1566">
        <v>0</v>
      </c>
      <c r="AE10" s="1566">
        <v>0</v>
      </c>
      <c r="AF10" s="1566">
        <v>0</v>
      </c>
      <c r="AG10" s="1566">
        <v>0</v>
      </c>
      <c r="AH10" s="1566">
        <v>25</v>
      </c>
      <c r="AI10" s="1566">
        <v>0</v>
      </c>
      <c r="AJ10" s="1566">
        <v>0</v>
      </c>
      <c r="AK10" s="1566">
        <v>0</v>
      </c>
      <c r="AL10" s="1566">
        <v>88</v>
      </c>
      <c r="AM10" s="1567">
        <v>38</v>
      </c>
      <c r="AN10" s="1568">
        <f t="shared" si="5"/>
        <v>151</v>
      </c>
      <c r="AO10" s="1565">
        <v>0</v>
      </c>
      <c r="AP10" s="1566">
        <v>0</v>
      </c>
      <c r="AQ10" s="1566">
        <v>0</v>
      </c>
      <c r="AR10" s="1566">
        <v>0</v>
      </c>
      <c r="AS10" s="1566">
        <v>0</v>
      </c>
      <c r="AT10" s="1566">
        <v>0</v>
      </c>
      <c r="AU10" s="1566">
        <v>32</v>
      </c>
      <c r="AV10" s="1566">
        <v>0</v>
      </c>
      <c r="AW10" s="1566">
        <v>0</v>
      </c>
      <c r="AX10" s="1566">
        <v>0</v>
      </c>
      <c r="AY10" s="1566">
        <v>0</v>
      </c>
      <c r="AZ10" s="1567">
        <v>14</v>
      </c>
      <c r="BA10" s="1568">
        <f t="shared" si="7"/>
        <v>46</v>
      </c>
      <c r="BB10" s="1565">
        <v>0</v>
      </c>
      <c r="BC10" s="1566">
        <v>0</v>
      </c>
      <c r="BD10" s="1566">
        <v>0</v>
      </c>
      <c r="BE10" s="1566">
        <v>0</v>
      </c>
      <c r="BF10" s="1566">
        <v>0</v>
      </c>
      <c r="BG10" s="1566">
        <v>0</v>
      </c>
      <c r="BH10" s="1566">
        <v>0</v>
      </c>
      <c r="BI10" s="1566">
        <v>0</v>
      </c>
      <c r="BJ10" s="1566">
        <v>0</v>
      </c>
      <c r="BK10" s="1566">
        <v>0</v>
      </c>
      <c r="BL10" s="1566">
        <v>0</v>
      </c>
      <c r="BM10" s="1567">
        <v>0</v>
      </c>
      <c r="BN10" s="1568">
        <f t="shared" si="9"/>
        <v>0</v>
      </c>
      <c r="BO10" s="1565">
        <v>0</v>
      </c>
      <c r="BP10" s="1566">
        <v>0</v>
      </c>
      <c r="BQ10" s="1566">
        <v>0</v>
      </c>
      <c r="BR10" s="1566">
        <v>0</v>
      </c>
      <c r="BS10" s="1566">
        <v>0</v>
      </c>
      <c r="BT10" s="1566">
        <v>0</v>
      </c>
      <c r="BU10" s="1566">
        <v>0</v>
      </c>
      <c r="BV10" s="1566">
        <v>0</v>
      </c>
      <c r="BW10" s="1566">
        <v>2</v>
      </c>
      <c r="BX10" s="1566">
        <v>0</v>
      </c>
      <c r="BY10" s="1566">
        <v>23</v>
      </c>
      <c r="BZ10" s="1567">
        <v>1</v>
      </c>
      <c r="CA10" s="1568">
        <f t="shared" si="11"/>
        <v>26</v>
      </c>
      <c r="CB10" s="1565">
        <v>0</v>
      </c>
      <c r="CC10" s="1566">
        <v>0</v>
      </c>
      <c r="CD10" s="1566">
        <v>0</v>
      </c>
      <c r="CE10" s="1566">
        <v>0</v>
      </c>
      <c r="CF10" s="1566">
        <v>0</v>
      </c>
      <c r="CG10" s="1566">
        <v>0</v>
      </c>
      <c r="CH10" s="1566">
        <v>0</v>
      </c>
      <c r="CI10" s="1566">
        <v>0</v>
      </c>
      <c r="CJ10" s="1566">
        <v>0</v>
      </c>
      <c r="CK10" s="1566">
        <v>0</v>
      </c>
      <c r="CL10" s="1566">
        <v>0</v>
      </c>
      <c r="CM10" s="1567">
        <v>0</v>
      </c>
      <c r="CN10" s="1568">
        <f t="shared" si="13"/>
        <v>0</v>
      </c>
      <c r="CO10" s="1565">
        <v>0</v>
      </c>
      <c r="CP10" s="1566">
        <v>0</v>
      </c>
      <c r="CQ10" s="1566">
        <v>0</v>
      </c>
      <c r="CR10" s="1566">
        <v>0</v>
      </c>
      <c r="CS10" s="1566">
        <v>0</v>
      </c>
      <c r="CT10" s="1566">
        <v>0</v>
      </c>
      <c r="CU10" s="1566">
        <v>12</v>
      </c>
      <c r="CV10" s="1566">
        <v>0</v>
      </c>
      <c r="CW10" s="1566">
        <v>0</v>
      </c>
      <c r="CX10" s="1566">
        <v>0</v>
      </c>
      <c r="CY10" s="1566">
        <v>0</v>
      </c>
      <c r="CZ10" s="1567">
        <v>12</v>
      </c>
      <c r="DA10" s="1568">
        <f t="shared" si="15"/>
        <v>24</v>
      </c>
      <c r="DB10" s="1565">
        <v>0</v>
      </c>
      <c r="DC10" s="1566">
        <v>0</v>
      </c>
      <c r="DD10" s="1566">
        <v>0</v>
      </c>
      <c r="DE10" s="1566">
        <v>15</v>
      </c>
      <c r="DF10" s="1566">
        <v>0</v>
      </c>
      <c r="DG10" s="1566">
        <v>0</v>
      </c>
      <c r="DH10" s="1566">
        <v>0</v>
      </c>
      <c r="DI10" s="1566">
        <v>0</v>
      </c>
      <c r="DJ10" s="1566">
        <v>0</v>
      </c>
      <c r="DK10" s="1566">
        <v>15</v>
      </c>
      <c r="DL10" s="1566">
        <v>7</v>
      </c>
      <c r="DM10" s="1567">
        <v>7</v>
      </c>
      <c r="DN10" s="1568">
        <f t="shared" si="30"/>
        <v>44</v>
      </c>
      <c r="DO10" s="1565">
        <v>0</v>
      </c>
      <c r="DP10" s="1566">
        <v>0</v>
      </c>
      <c r="DQ10" s="1566">
        <v>0</v>
      </c>
      <c r="DR10" s="1566">
        <v>0</v>
      </c>
      <c r="DS10" s="1566">
        <v>0</v>
      </c>
      <c r="DT10" s="1566">
        <v>0</v>
      </c>
      <c r="DU10" s="1566">
        <v>0</v>
      </c>
      <c r="DV10" s="1566">
        <v>0</v>
      </c>
      <c r="DW10" s="1566">
        <v>0</v>
      </c>
      <c r="DX10" s="1566">
        <v>0</v>
      </c>
      <c r="DY10" s="1566">
        <v>0</v>
      </c>
      <c r="DZ10" s="1567">
        <v>0</v>
      </c>
      <c r="EA10" s="1568">
        <f t="shared" si="31"/>
        <v>0</v>
      </c>
      <c r="EB10" s="1565">
        <v>0</v>
      </c>
      <c r="EC10" s="1566">
        <v>0</v>
      </c>
      <c r="ED10" s="1566">
        <v>0</v>
      </c>
      <c r="EE10" s="1566">
        <v>0</v>
      </c>
      <c r="EF10" s="1566">
        <v>0</v>
      </c>
      <c r="EG10" s="1566">
        <v>0</v>
      </c>
      <c r="EH10" s="1566">
        <v>0</v>
      </c>
      <c r="EI10" s="1566">
        <v>0</v>
      </c>
      <c r="EJ10" s="1566">
        <v>0</v>
      </c>
      <c r="EK10" s="1566">
        <v>0</v>
      </c>
      <c r="EL10" s="1566">
        <v>0</v>
      </c>
      <c r="EM10" s="1567">
        <v>0</v>
      </c>
      <c r="EN10" s="1568">
        <f t="shared" si="32"/>
        <v>0</v>
      </c>
      <c r="EO10" s="1565">
        <v>0</v>
      </c>
      <c r="EP10" s="1566">
        <v>0</v>
      </c>
      <c r="EQ10" s="1566">
        <v>0</v>
      </c>
      <c r="ER10" s="1566">
        <v>0</v>
      </c>
      <c r="ES10" s="1566">
        <v>0</v>
      </c>
      <c r="ET10" s="1566">
        <v>0</v>
      </c>
      <c r="EU10" s="1566">
        <v>0</v>
      </c>
      <c r="EV10" s="1566">
        <v>0</v>
      </c>
      <c r="EW10" s="1566">
        <v>14</v>
      </c>
      <c r="EX10" s="1566">
        <v>54</v>
      </c>
      <c r="EY10" s="1566">
        <v>1</v>
      </c>
      <c r="EZ10" s="1567">
        <v>66</v>
      </c>
      <c r="FA10" s="1568">
        <f t="shared" si="33"/>
        <v>135</v>
      </c>
      <c r="FB10" s="1565">
        <v>0</v>
      </c>
      <c r="FC10" s="1566">
        <v>0</v>
      </c>
      <c r="FD10" s="1566">
        <v>0</v>
      </c>
      <c r="FE10" s="1566">
        <v>0</v>
      </c>
      <c r="FF10" s="1566">
        <v>0</v>
      </c>
      <c r="FG10" s="1566">
        <v>0</v>
      </c>
      <c r="FH10" s="1566">
        <v>0</v>
      </c>
      <c r="FI10" s="1566">
        <v>0</v>
      </c>
      <c r="FJ10" s="1566">
        <v>0</v>
      </c>
      <c r="FK10" s="1566">
        <v>0</v>
      </c>
      <c r="FL10" s="1566">
        <v>0</v>
      </c>
      <c r="FM10" s="1567">
        <v>0</v>
      </c>
      <c r="FN10" s="1568">
        <f t="shared" si="34"/>
        <v>0</v>
      </c>
      <c r="FO10" s="1565">
        <v>0</v>
      </c>
      <c r="FP10" s="1566">
        <v>0</v>
      </c>
      <c r="FQ10" s="1566">
        <v>0</v>
      </c>
      <c r="FR10" s="1566">
        <v>0</v>
      </c>
      <c r="FS10" s="1566">
        <v>0</v>
      </c>
      <c r="FT10" s="1566">
        <v>0</v>
      </c>
      <c r="FU10" s="1566">
        <v>0</v>
      </c>
      <c r="FV10" s="1566">
        <v>0</v>
      </c>
      <c r="FW10" s="1566">
        <v>3</v>
      </c>
      <c r="FX10" s="1566">
        <v>3</v>
      </c>
      <c r="FY10" s="1566">
        <v>0</v>
      </c>
      <c r="FZ10" s="1567">
        <v>4</v>
      </c>
      <c r="GA10" s="1568">
        <f t="shared" si="35"/>
        <v>10</v>
      </c>
      <c r="GB10" s="1565">
        <v>0</v>
      </c>
      <c r="GC10" s="1566">
        <v>0</v>
      </c>
      <c r="GD10" s="1566">
        <v>0</v>
      </c>
      <c r="GE10" s="1566">
        <v>0</v>
      </c>
      <c r="GF10" s="1566">
        <v>0</v>
      </c>
      <c r="GG10" s="1566">
        <v>0</v>
      </c>
      <c r="GH10" s="1566">
        <v>0</v>
      </c>
      <c r="GI10" s="1566">
        <v>0</v>
      </c>
      <c r="GJ10" s="1566">
        <v>0</v>
      </c>
      <c r="GK10" s="1566">
        <v>2</v>
      </c>
      <c r="GL10" s="1566">
        <v>15</v>
      </c>
      <c r="GM10" s="1567">
        <v>15</v>
      </c>
      <c r="GN10" s="1568">
        <f t="shared" si="36"/>
        <v>32</v>
      </c>
      <c r="GO10" s="1565">
        <v>0</v>
      </c>
      <c r="GP10" s="1566">
        <v>0</v>
      </c>
      <c r="GQ10" s="1566">
        <v>0</v>
      </c>
      <c r="GR10" s="1566">
        <v>5</v>
      </c>
      <c r="GS10" s="1566">
        <v>0</v>
      </c>
      <c r="GT10" s="1566">
        <v>0</v>
      </c>
      <c r="GU10" s="1566">
        <v>3</v>
      </c>
      <c r="GV10" s="1566">
        <v>3</v>
      </c>
      <c r="GW10" s="1566">
        <v>14</v>
      </c>
      <c r="GX10" s="1566">
        <v>0</v>
      </c>
      <c r="GY10" s="1566">
        <v>0</v>
      </c>
      <c r="GZ10" s="1567">
        <v>3</v>
      </c>
      <c r="HA10" s="1568">
        <f t="shared" si="37"/>
        <v>28</v>
      </c>
      <c r="HB10" s="1565">
        <v>0</v>
      </c>
      <c r="HC10" s="1566">
        <v>0</v>
      </c>
      <c r="HD10" s="1566">
        <v>0</v>
      </c>
      <c r="HE10" s="1566">
        <v>5</v>
      </c>
      <c r="HF10" s="1566">
        <v>0</v>
      </c>
      <c r="HG10" s="1566">
        <v>0</v>
      </c>
      <c r="HH10" s="1566">
        <v>0</v>
      </c>
      <c r="HI10" s="1566">
        <v>2</v>
      </c>
      <c r="HJ10" s="1566">
        <v>0</v>
      </c>
      <c r="HK10" s="1566">
        <v>0</v>
      </c>
      <c r="HL10" s="1566">
        <v>0</v>
      </c>
      <c r="HM10" s="1567">
        <v>2</v>
      </c>
      <c r="HN10" s="1568">
        <f t="shared" si="38"/>
        <v>9</v>
      </c>
      <c r="HO10" s="1565">
        <v>0</v>
      </c>
      <c r="HP10" s="1566">
        <v>0</v>
      </c>
      <c r="HQ10" s="1566">
        <v>0</v>
      </c>
      <c r="HR10" s="1566">
        <v>0</v>
      </c>
      <c r="HS10" s="1566">
        <v>9</v>
      </c>
      <c r="HT10" s="1566">
        <v>0</v>
      </c>
      <c r="HU10" s="1566">
        <v>0</v>
      </c>
      <c r="HV10" s="1566">
        <v>0</v>
      </c>
      <c r="HW10" s="1566">
        <v>8</v>
      </c>
      <c r="HX10" s="1566">
        <v>0</v>
      </c>
      <c r="HY10" s="1566">
        <v>15837</v>
      </c>
      <c r="HZ10" s="1567">
        <v>1008</v>
      </c>
      <c r="IA10" s="1565">
        <f t="shared" si="39"/>
        <v>16862</v>
      </c>
      <c r="IB10" s="1569">
        <v>754</v>
      </c>
      <c r="IC10" s="1068">
        <v>0</v>
      </c>
      <c r="ID10" s="1068">
        <v>22</v>
      </c>
      <c r="IE10" s="1068">
        <v>404</v>
      </c>
      <c r="IF10" s="1068">
        <v>0</v>
      </c>
      <c r="IG10">
        <v>1245</v>
      </c>
      <c r="IH10" s="1068">
        <v>1760</v>
      </c>
      <c r="II10" s="1068">
        <v>621</v>
      </c>
      <c r="IJ10" s="1068"/>
      <c r="IK10" s="1068"/>
      <c r="IL10" s="1068"/>
      <c r="IM10" s="1570"/>
      <c r="IN10" s="1571">
        <f t="shared" si="40"/>
        <v>4806</v>
      </c>
      <c r="IP10" s="1656" t="str">
        <f t="shared" si="27"/>
        <v/>
      </c>
      <c r="IQ10" s="1656">
        <f t="shared" si="41"/>
        <v>53300</v>
      </c>
      <c r="IR10" s="1657">
        <f t="shared" si="28"/>
        <v>9</v>
      </c>
      <c r="IS10" s="1657">
        <f t="shared" si="29"/>
        <v>4806</v>
      </c>
      <c r="IT10" s="1658"/>
      <c r="IU10" s="221">
        <f t="shared" si="42"/>
        <v>621</v>
      </c>
    </row>
    <row r="11" spans="1:264" ht="15" customHeight="1" x14ac:dyDescent="0.2">
      <c r="A11" s="1551" t="s">
        <v>627</v>
      </c>
      <c r="B11" s="1565">
        <v>273</v>
      </c>
      <c r="C11" s="1566">
        <v>643</v>
      </c>
      <c r="D11" s="1566">
        <v>318</v>
      </c>
      <c r="E11" s="1566">
        <v>2863</v>
      </c>
      <c r="F11" s="1566">
        <v>390</v>
      </c>
      <c r="G11" s="1566">
        <v>355</v>
      </c>
      <c r="H11" s="1566">
        <v>330</v>
      </c>
      <c r="I11" s="1566">
        <v>180</v>
      </c>
      <c r="J11" s="1566">
        <v>390</v>
      </c>
      <c r="K11" s="1566">
        <v>386</v>
      </c>
      <c r="L11" s="1566">
        <v>320</v>
      </c>
      <c r="M11" s="1567">
        <v>523</v>
      </c>
      <c r="N11" s="1568">
        <f t="shared" si="1"/>
        <v>6971</v>
      </c>
      <c r="O11" s="1565">
        <v>190</v>
      </c>
      <c r="P11" s="1566">
        <v>230</v>
      </c>
      <c r="Q11" s="1566">
        <v>327</v>
      </c>
      <c r="R11" s="1566">
        <v>311</v>
      </c>
      <c r="S11" s="1566">
        <v>432</v>
      </c>
      <c r="T11" s="1566">
        <v>226</v>
      </c>
      <c r="U11" s="1566">
        <v>471</v>
      </c>
      <c r="V11" s="1566">
        <v>226</v>
      </c>
      <c r="W11" s="1566">
        <v>311</v>
      </c>
      <c r="X11" s="1566">
        <v>495</v>
      </c>
      <c r="Y11" s="1566">
        <v>663</v>
      </c>
      <c r="Z11" s="1567">
        <v>404</v>
      </c>
      <c r="AA11" s="1568">
        <f t="shared" si="3"/>
        <v>4286</v>
      </c>
      <c r="AB11" s="1565">
        <v>23</v>
      </c>
      <c r="AC11" s="1566">
        <v>350</v>
      </c>
      <c r="AD11" s="1566">
        <v>380</v>
      </c>
      <c r="AE11" s="1566">
        <v>368</v>
      </c>
      <c r="AF11" s="1566">
        <v>493</v>
      </c>
      <c r="AG11" s="1566">
        <v>209</v>
      </c>
      <c r="AH11" s="1566">
        <v>533</v>
      </c>
      <c r="AI11" s="1566">
        <v>337</v>
      </c>
      <c r="AJ11" s="1566">
        <v>436</v>
      </c>
      <c r="AK11" s="1566">
        <v>48</v>
      </c>
      <c r="AL11" s="1566">
        <v>4452</v>
      </c>
      <c r="AM11" s="1567">
        <v>3561</v>
      </c>
      <c r="AN11" s="1568">
        <f t="shared" si="5"/>
        <v>11190</v>
      </c>
      <c r="AO11" s="1565">
        <v>0</v>
      </c>
      <c r="AP11" s="1566">
        <v>868</v>
      </c>
      <c r="AQ11" s="1566">
        <v>1555</v>
      </c>
      <c r="AR11" s="1566">
        <v>4628</v>
      </c>
      <c r="AS11" s="1566">
        <v>1897</v>
      </c>
      <c r="AT11" s="1566">
        <v>3213</v>
      </c>
      <c r="AU11" s="1566">
        <v>1513</v>
      </c>
      <c r="AV11" s="1566">
        <v>1925</v>
      </c>
      <c r="AW11" s="1566">
        <v>2553</v>
      </c>
      <c r="AX11" s="1566">
        <v>1686</v>
      </c>
      <c r="AY11" s="1566">
        <v>1049</v>
      </c>
      <c r="AZ11" s="1567">
        <v>3684</v>
      </c>
      <c r="BA11" s="1568">
        <f t="shared" si="7"/>
        <v>24571</v>
      </c>
      <c r="BB11" s="1565">
        <v>0</v>
      </c>
      <c r="BC11" s="1566">
        <v>1900</v>
      </c>
      <c r="BD11" s="1566">
        <v>830</v>
      </c>
      <c r="BE11" s="1566">
        <v>2587</v>
      </c>
      <c r="BF11" s="1566">
        <v>487</v>
      </c>
      <c r="BG11" s="1566">
        <v>297</v>
      </c>
      <c r="BH11" s="1566">
        <v>793</v>
      </c>
      <c r="BI11" s="1566">
        <v>214</v>
      </c>
      <c r="BJ11" s="1566">
        <v>949</v>
      </c>
      <c r="BK11" s="1566">
        <v>2207</v>
      </c>
      <c r="BL11" s="1566">
        <v>1334</v>
      </c>
      <c r="BM11" s="1567">
        <v>5614</v>
      </c>
      <c r="BN11" s="1568">
        <f t="shared" si="9"/>
        <v>17212</v>
      </c>
      <c r="BO11" s="1565">
        <v>33</v>
      </c>
      <c r="BP11" s="1566">
        <v>1421</v>
      </c>
      <c r="BQ11" s="1566">
        <v>1419</v>
      </c>
      <c r="BR11" s="1566">
        <v>1051</v>
      </c>
      <c r="BS11" s="1566">
        <v>3587</v>
      </c>
      <c r="BT11" s="1566">
        <v>2052</v>
      </c>
      <c r="BU11" s="1566">
        <v>1771</v>
      </c>
      <c r="BV11" s="1566">
        <v>1279</v>
      </c>
      <c r="BW11" s="1566">
        <v>1173</v>
      </c>
      <c r="BX11" s="1566">
        <v>1768</v>
      </c>
      <c r="BY11" s="1566">
        <v>2227</v>
      </c>
      <c r="BZ11" s="1567">
        <v>5796</v>
      </c>
      <c r="CA11" s="1568">
        <f t="shared" si="11"/>
        <v>23577</v>
      </c>
      <c r="CB11" s="1565">
        <v>1</v>
      </c>
      <c r="CC11" s="1566">
        <v>288</v>
      </c>
      <c r="CD11" s="1566">
        <v>1260</v>
      </c>
      <c r="CE11" s="1566">
        <v>3700</v>
      </c>
      <c r="CF11" s="1566">
        <v>478</v>
      </c>
      <c r="CG11" s="1566">
        <v>1371</v>
      </c>
      <c r="CH11" s="1566">
        <v>1345</v>
      </c>
      <c r="CI11" s="1566">
        <v>1177</v>
      </c>
      <c r="CJ11" s="1566">
        <v>1765</v>
      </c>
      <c r="CK11" s="1566">
        <v>3309</v>
      </c>
      <c r="CL11" s="1566">
        <v>2868</v>
      </c>
      <c r="CM11" s="1567">
        <v>19542</v>
      </c>
      <c r="CN11" s="1568">
        <f t="shared" si="13"/>
        <v>37104</v>
      </c>
      <c r="CO11" s="1565">
        <v>388</v>
      </c>
      <c r="CP11" s="1566">
        <v>7222</v>
      </c>
      <c r="CQ11" s="1566">
        <v>977</v>
      </c>
      <c r="CR11" s="1566">
        <v>1646</v>
      </c>
      <c r="CS11" s="1566">
        <v>2405</v>
      </c>
      <c r="CT11" s="1566">
        <v>2522</v>
      </c>
      <c r="CU11" s="1566">
        <v>5561</v>
      </c>
      <c r="CV11" s="1566">
        <v>3229</v>
      </c>
      <c r="CW11" s="1566">
        <v>2873</v>
      </c>
      <c r="CX11" s="1566">
        <v>2816</v>
      </c>
      <c r="CY11" s="1566">
        <v>12635</v>
      </c>
      <c r="CZ11" s="1567">
        <v>21700</v>
      </c>
      <c r="DA11" s="1568">
        <f t="shared" si="15"/>
        <v>63974</v>
      </c>
      <c r="DB11" s="1565">
        <v>345</v>
      </c>
      <c r="DC11" s="1566">
        <v>2723</v>
      </c>
      <c r="DD11" s="1566">
        <v>4095</v>
      </c>
      <c r="DE11" s="1566">
        <v>1646</v>
      </c>
      <c r="DF11" s="1566">
        <v>1668</v>
      </c>
      <c r="DG11" s="1566">
        <v>2574</v>
      </c>
      <c r="DH11" s="1566">
        <v>6533</v>
      </c>
      <c r="DI11" s="1566">
        <v>4124</v>
      </c>
      <c r="DJ11" s="1566">
        <v>3846</v>
      </c>
      <c r="DK11" s="1566">
        <v>2237</v>
      </c>
      <c r="DL11" s="1566">
        <v>3880</v>
      </c>
      <c r="DM11" s="1567">
        <v>12036</v>
      </c>
      <c r="DN11" s="1568">
        <f t="shared" si="30"/>
        <v>45707</v>
      </c>
      <c r="DO11" s="1565">
        <v>779</v>
      </c>
      <c r="DP11" s="1566">
        <v>4012</v>
      </c>
      <c r="DQ11" s="1566">
        <v>2673</v>
      </c>
      <c r="DR11" s="1566">
        <v>3843</v>
      </c>
      <c r="DS11" s="1566">
        <v>4616</v>
      </c>
      <c r="DT11" s="1566">
        <v>3368</v>
      </c>
      <c r="DU11" s="1566">
        <v>2789</v>
      </c>
      <c r="DV11" s="1566">
        <v>4503</v>
      </c>
      <c r="DW11" s="1566">
        <v>3417</v>
      </c>
      <c r="DX11" s="1566">
        <v>3395</v>
      </c>
      <c r="DY11" s="1566">
        <v>4373</v>
      </c>
      <c r="DZ11" s="1567">
        <v>5312</v>
      </c>
      <c r="EA11" s="1568">
        <f t="shared" si="31"/>
        <v>43080</v>
      </c>
      <c r="EB11" s="1565">
        <v>0</v>
      </c>
      <c r="EC11" s="1566">
        <v>1752</v>
      </c>
      <c r="ED11" s="1566">
        <v>3233</v>
      </c>
      <c r="EE11" s="1566">
        <v>174</v>
      </c>
      <c r="EF11" s="1566">
        <v>1247</v>
      </c>
      <c r="EG11" s="1566">
        <v>1693</v>
      </c>
      <c r="EH11" s="1566">
        <v>1399</v>
      </c>
      <c r="EI11" s="1566">
        <v>1509</v>
      </c>
      <c r="EJ11" s="1566">
        <v>2696</v>
      </c>
      <c r="EK11" s="1566">
        <v>1613</v>
      </c>
      <c r="EL11" s="1566">
        <v>3877</v>
      </c>
      <c r="EM11" s="1567">
        <v>13850</v>
      </c>
      <c r="EN11" s="1568">
        <f t="shared" si="32"/>
        <v>33043</v>
      </c>
      <c r="EO11" s="1565">
        <v>0</v>
      </c>
      <c r="EP11" s="1566">
        <v>10</v>
      </c>
      <c r="EQ11" s="1566">
        <v>1964</v>
      </c>
      <c r="ER11" s="1566">
        <v>1712</v>
      </c>
      <c r="ES11" s="1566">
        <v>871</v>
      </c>
      <c r="ET11" s="1566">
        <v>2602</v>
      </c>
      <c r="EU11" s="1566">
        <v>6666</v>
      </c>
      <c r="EV11" s="1566">
        <v>2449</v>
      </c>
      <c r="EW11" s="1566">
        <v>2810</v>
      </c>
      <c r="EX11" s="1566">
        <v>3218</v>
      </c>
      <c r="EY11" s="1566">
        <v>5569</v>
      </c>
      <c r="EZ11" s="1567">
        <v>11806</v>
      </c>
      <c r="FA11" s="1568">
        <f t="shared" si="33"/>
        <v>39677</v>
      </c>
      <c r="FB11" s="1565">
        <v>1041</v>
      </c>
      <c r="FC11" s="1566">
        <v>1273</v>
      </c>
      <c r="FD11" s="1566">
        <v>2606</v>
      </c>
      <c r="FE11" s="1566">
        <v>601</v>
      </c>
      <c r="FF11" s="1566">
        <v>101</v>
      </c>
      <c r="FG11" s="1566">
        <v>5</v>
      </c>
      <c r="FH11" s="1566">
        <v>2825</v>
      </c>
      <c r="FI11" s="1566">
        <v>187</v>
      </c>
      <c r="FJ11" s="1566">
        <v>6410</v>
      </c>
      <c r="FK11" s="1566">
        <v>5579</v>
      </c>
      <c r="FL11" s="1566">
        <v>6385</v>
      </c>
      <c r="FM11" s="1567">
        <v>13249</v>
      </c>
      <c r="FN11" s="1568">
        <f t="shared" si="34"/>
        <v>40262</v>
      </c>
      <c r="FO11" s="1565">
        <v>28</v>
      </c>
      <c r="FP11" s="1566">
        <v>1617</v>
      </c>
      <c r="FQ11" s="1566">
        <v>4004</v>
      </c>
      <c r="FR11" s="1566">
        <v>2035</v>
      </c>
      <c r="FS11" s="1566">
        <v>3248</v>
      </c>
      <c r="FT11" s="1566">
        <v>2710</v>
      </c>
      <c r="FU11" s="1566">
        <v>2898</v>
      </c>
      <c r="FV11" s="1566">
        <v>1663</v>
      </c>
      <c r="FW11" s="1566">
        <v>3193</v>
      </c>
      <c r="FX11" s="1566">
        <v>1610</v>
      </c>
      <c r="FY11" s="1566">
        <v>4389</v>
      </c>
      <c r="FZ11" s="1567">
        <v>7245</v>
      </c>
      <c r="GA11" s="1568">
        <f t="shared" si="35"/>
        <v>34640</v>
      </c>
      <c r="GB11" s="1565">
        <v>428</v>
      </c>
      <c r="GC11" s="1566">
        <v>2311</v>
      </c>
      <c r="GD11" s="1566">
        <v>3337</v>
      </c>
      <c r="GE11" s="1566">
        <v>2334</v>
      </c>
      <c r="GF11" s="1566">
        <v>1768</v>
      </c>
      <c r="GG11" s="1566">
        <v>2278</v>
      </c>
      <c r="GH11" s="1566">
        <v>2828</v>
      </c>
      <c r="GI11" s="1566">
        <v>761</v>
      </c>
      <c r="GJ11" s="1566">
        <v>659</v>
      </c>
      <c r="GK11" s="1566">
        <v>969</v>
      </c>
      <c r="GL11" s="1566">
        <v>4070</v>
      </c>
      <c r="GM11" s="1567">
        <v>3059</v>
      </c>
      <c r="GN11" s="1568">
        <f t="shared" si="36"/>
        <v>24802</v>
      </c>
      <c r="GO11" s="1565">
        <v>22</v>
      </c>
      <c r="GP11" s="1566">
        <v>1010</v>
      </c>
      <c r="GQ11" s="1566">
        <v>8608</v>
      </c>
      <c r="GR11" s="1566">
        <v>654</v>
      </c>
      <c r="GS11" s="1566">
        <v>502</v>
      </c>
      <c r="GT11" s="1566">
        <v>3111</v>
      </c>
      <c r="GU11" s="1566">
        <v>3614</v>
      </c>
      <c r="GV11" s="1566">
        <v>2240</v>
      </c>
      <c r="GW11" s="1566">
        <v>1943</v>
      </c>
      <c r="GX11" s="1566">
        <v>1500</v>
      </c>
      <c r="GY11" s="1566">
        <v>15309</v>
      </c>
      <c r="GZ11" s="1567">
        <v>4938</v>
      </c>
      <c r="HA11" s="1568">
        <f t="shared" si="37"/>
        <v>43451</v>
      </c>
      <c r="HB11" s="1565">
        <v>1452</v>
      </c>
      <c r="HC11" s="1566">
        <v>2688</v>
      </c>
      <c r="HD11" s="1566">
        <v>1440</v>
      </c>
      <c r="HE11" s="1566">
        <v>2852</v>
      </c>
      <c r="HF11" s="1566">
        <v>2291</v>
      </c>
      <c r="HG11" s="1566">
        <v>3399</v>
      </c>
      <c r="HH11" s="1566">
        <v>1833</v>
      </c>
      <c r="HI11" s="1566">
        <v>4531</v>
      </c>
      <c r="HJ11" s="1566">
        <v>3889</v>
      </c>
      <c r="HK11" s="1566">
        <v>7077</v>
      </c>
      <c r="HL11" s="1566">
        <v>4821</v>
      </c>
      <c r="HM11" s="1567">
        <v>6483</v>
      </c>
      <c r="HN11" s="1568">
        <f t="shared" si="38"/>
        <v>42756</v>
      </c>
      <c r="HO11" s="1565">
        <v>646</v>
      </c>
      <c r="HP11" s="1566">
        <v>1609</v>
      </c>
      <c r="HQ11" s="1566">
        <v>2410</v>
      </c>
      <c r="HR11" s="1566">
        <v>1990</v>
      </c>
      <c r="HS11" s="1566">
        <v>2462</v>
      </c>
      <c r="HT11" s="1566">
        <v>1302</v>
      </c>
      <c r="HU11" s="1566">
        <v>1740</v>
      </c>
      <c r="HV11" s="1566">
        <v>938</v>
      </c>
      <c r="HW11" s="1566">
        <v>472</v>
      </c>
      <c r="HX11" s="1566">
        <v>2919</v>
      </c>
      <c r="HY11" s="1566">
        <v>4318</v>
      </c>
      <c r="HZ11" s="1567">
        <v>3665</v>
      </c>
      <c r="IA11" s="1565">
        <f t="shared" si="39"/>
        <v>24471</v>
      </c>
      <c r="IB11" s="1569">
        <v>0</v>
      </c>
      <c r="IC11" s="1068">
        <v>14</v>
      </c>
      <c r="ID11" s="1068">
        <v>534</v>
      </c>
      <c r="IE11" s="1068">
        <v>2752</v>
      </c>
      <c r="IF11" s="1068">
        <v>329</v>
      </c>
      <c r="IG11">
        <v>341</v>
      </c>
      <c r="IH11" s="1068">
        <v>6467</v>
      </c>
      <c r="II11" s="1068">
        <v>447</v>
      </c>
      <c r="IJ11" s="1068"/>
      <c r="IK11" s="1068"/>
      <c r="IL11" s="1068"/>
      <c r="IM11" s="1570"/>
      <c r="IN11" s="1571">
        <f t="shared" si="40"/>
        <v>10884</v>
      </c>
      <c r="IP11" s="1656">
        <f t="shared" si="27"/>
        <v>-52.345415778251606</v>
      </c>
      <c r="IQ11" s="1656">
        <f t="shared" si="41"/>
        <v>-16.896999312819727</v>
      </c>
      <c r="IR11" s="1657">
        <f t="shared" si="28"/>
        <v>13097</v>
      </c>
      <c r="IS11" s="1657">
        <f t="shared" si="29"/>
        <v>10884</v>
      </c>
      <c r="IT11" s="1658"/>
      <c r="IU11" s="221">
        <f t="shared" si="42"/>
        <v>-491</v>
      </c>
    </row>
    <row r="12" spans="1:264" ht="15" customHeight="1" x14ac:dyDescent="0.2">
      <c r="A12" s="1551" t="s">
        <v>628</v>
      </c>
      <c r="B12" s="1565">
        <v>0</v>
      </c>
      <c r="C12" s="1566">
        <v>153</v>
      </c>
      <c r="D12" s="1566">
        <v>84</v>
      </c>
      <c r="E12" s="1566">
        <v>3</v>
      </c>
      <c r="F12" s="1566">
        <v>57</v>
      </c>
      <c r="G12" s="1566">
        <v>638</v>
      </c>
      <c r="H12" s="1566">
        <v>345</v>
      </c>
      <c r="I12" s="1566">
        <v>312</v>
      </c>
      <c r="J12" s="1566">
        <v>424</v>
      </c>
      <c r="K12" s="1566">
        <v>25</v>
      </c>
      <c r="L12" s="1566">
        <v>243</v>
      </c>
      <c r="M12" s="1567">
        <v>121</v>
      </c>
      <c r="N12" s="1568">
        <f t="shared" si="1"/>
        <v>2405</v>
      </c>
      <c r="O12" s="1565">
        <v>0</v>
      </c>
      <c r="P12" s="1566">
        <v>0</v>
      </c>
      <c r="Q12" s="1566">
        <v>0</v>
      </c>
      <c r="R12" s="1566">
        <v>0</v>
      </c>
      <c r="S12" s="1566">
        <v>0</v>
      </c>
      <c r="T12" s="1566">
        <v>0</v>
      </c>
      <c r="U12" s="1566">
        <v>0</v>
      </c>
      <c r="V12" s="1566">
        <v>0</v>
      </c>
      <c r="W12" s="1566">
        <v>4925</v>
      </c>
      <c r="X12" s="1566">
        <v>2</v>
      </c>
      <c r="Y12" s="1566">
        <v>126</v>
      </c>
      <c r="Z12" s="1567">
        <v>6373</v>
      </c>
      <c r="AA12" s="1568">
        <f t="shared" si="3"/>
        <v>11426</v>
      </c>
      <c r="AB12" s="1565">
        <v>770</v>
      </c>
      <c r="AC12" s="1566">
        <v>2058</v>
      </c>
      <c r="AD12" s="1566">
        <v>273</v>
      </c>
      <c r="AE12" s="1566">
        <v>1703</v>
      </c>
      <c r="AF12" s="1566">
        <v>2002</v>
      </c>
      <c r="AG12" s="1566">
        <v>1684</v>
      </c>
      <c r="AH12" s="1566">
        <v>4918</v>
      </c>
      <c r="AI12" s="1566">
        <v>2914</v>
      </c>
      <c r="AJ12" s="1566">
        <v>11859</v>
      </c>
      <c r="AK12" s="1566">
        <v>3558</v>
      </c>
      <c r="AL12" s="1566">
        <v>9296</v>
      </c>
      <c r="AM12" s="1567">
        <v>873</v>
      </c>
      <c r="AN12" s="1568">
        <f t="shared" si="5"/>
        <v>41908</v>
      </c>
      <c r="AO12" s="1565">
        <v>568</v>
      </c>
      <c r="AP12" s="1566">
        <v>2525</v>
      </c>
      <c r="AQ12" s="1566">
        <v>2871</v>
      </c>
      <c r="AR12" s="1566">
        <v>358</v>
      </c>
      <c r="AS12" s="1566">
        <v>941</v>
      </c>
      <c r="AT12" s="1566">
        <v>3609</v>
      </c>
      <c r="AU12" s="1566">
        <v>5030</v>
      </c>
      <c r="AV12" s="1566">
        <v>1179</v>
      </c>
      <c r="AW12" s="1566">
        <v>1690</v>
      </c>
      <c r="AX12" s="1566">
        <v>2615</v>
      </c>
      <c r="AY12" s="1566">
        <v>1165</v>
      </c>
      <c r="AZ12" s="1567">
        <v>4399</v>
      </c>
      <c r="BA12" s="1568">
        <f t="shared" si="7"/>
        <v>26950</v>
      </c>
      <c r="BB12" s="1565">
        <v>1166</v>
      </c>
      <c r="BC12" s="1566">
        <v>3841</v>
      </c>
      <c r="BD12" s="1566">
        <v>170</v>
      </c>
      <c r="BE12" s="1566">
        <v>694</v>
      </c>
      <c r="BF12" s="1566">
        <v>590</v>
      </c>
      <c r="BG12" s="1566">
        <v>933</v>
      </c>
      <c r="BH12" s="1566">
        <v>1542</v>
      </c>
      <c r="BI12" s="1566">
        <v>904</v>
      </c>
      <c r="BJ12" s="1566">
        <v>1346</v>
      </c>
      <c r="BK12" s="1566">
        <v>2742</v>
      </c>
      <c r="BL12" s="1566">
        <v>799</v>
      </c>
      <c r="BM12" s="1567">
        <v>3180</v>
      </c>
      <c r="BN12" s="1568">
        <f t="shared" si="9"/>
        <v>17907</v>
      </c>
      <c r="BO12" s="1565">
        <v>1146</v>
      </c>
      <c r="BP12" s="1566">
        <v>183</v>
      </c>
      <c r="BQ12" s="1566">
        <v>316</v>
      </c>
      <c r="BR12" s="1566">
        <v>1894</v>
      </c>
      <c r="BS12" s="1566">
        <v>573</v>
      </c>
      <c r="BT12" s="1566">
        <v>717</v>
      </c>
      <c r="BU12" s="1566">
        <v>237</v>
      </c>
      <c r="BV12" s="1566">
        <v>240</v>
      </c>
      <c r="BW12" s="1566">
        <v>223</v>
      </c>
      <c r="BX12" s="1566">
        <v>991</v>
      </c>
      <c r="BY12" s="1566">
        <v>312</v>
      </c>
      <c r="BZ12" s="1567">
        <v>352</v>
      </c>
      <c r="CA12" s="1568">
        <f t="shared" si="11"/>
        <v>7184</v>
      </c>
      <c r="CB12" s="1565">
        <v>1092</v>
      </c>
      <c r="CC12" s="1566">
        <v>1873</v>
      </c>
      <c r="CD12" s="1566">
        <v>127</v>
      </c>
      <c r="CE12" s="1566">
        <v>139</v>
      </c>
      <c r="CF12" s="1566">
        <v>444</v>
      </c>
      <c r="CG12" s="1566">
        <v>502</v>
      </c>
      <c r="CH12" s="1566">
        <v>885</v>
      </c>
      <c r="CI12" s="1566">
        <v>461</v>
      </c>
      <c r="CJ12" s="1566">
        <v>1420</v>
      </c>
      <c r="CK12" s="1566">
        <v>1550</v>
      </c>
      <c r="CL12" s="1566">
        <v>203</v>
      </c>
      <c r="CM12" s="1567">
        <v>896</v>
      </c>
      <c r="CN12" s="1568">
        <f t="shared" si="13"/>
        <v>9592</v>
      </c>
      <c r="CO12" s="1565">
        <v>628</v>
      </c>
      <c r="CP12" s="1566">
        <v>419</v>
      </c>
      <c r="CQ12" s="1566">
        <v>396</v>
      </c>
      <c r="CR12" s="1566">
        <v>99</v>
      </c>
      <c r="CS12" s="1566">
        <v>71</v>
      </c>
      <c r="CT12" s="1566">
        <v>2303</v>
      </c>
      <c r="CU12" s="1566">
        <v>292</v>
      </c>
      <c r="CV12" s="1566">
        <v>220</v>
      </c>
      <c r="CW12" s="1566">
        <v>197</v>
      </c>
      <c r="CX12" s="1566">
        <v>1437</v>
      </c>
      <c r="CY12" s="1566">
        <v>189</v>
      </c>
      <c r="CZ12" s="1567">
        <v>766</v>
      </c>
      <c r="DA12" s="1568">
        <f t="shared" si="15"/>
        <v>7017</v>
      </c>
      <c r="DB12" s="1565">
        <v>0</v>
      </c>
      <c r="DC12" s="1566">
        <v>87</v>
      </c>
      <c r="DD12" s="1566">
        <v>681</v>
      </c>
      <c r="DE12" s="1566">
        <v>70</v>
      </c>
      <c r="DF12" s="1566">
        <v>83</v>
      </c>
      <c r="DG12" s="1566">
        <v>0</v>
      </c>
      <c r="DH12" s="1566">
        <v>145</v>
      </c>
      <c r="DI12" s="1566">
        <v>561</v>
      </c>
      <c r="DJ12" s="1566">
        <v>363</v>
      </c>
      <c r="DK12" s="1566">
        <v>11</v>
      </c>
      <c r="DL12" s="1566">
        <v>125</v>
      </c>
      <c r="DM12" s="1567">
        <v>135</v>
      </c>
      <c r="DN12" s="1568">
        <f t="shared" si="30"/>
        <v>2261</v>
      </c>
      <c r="DO12" s="1565">
        <v>0</v>
      </c>
      <c r="DP12" s="1566">
        <v>5</v>
      </c>
      <c r="DQ12" s="1566">
        <v>112</v>
      </c>
      <c r="DR12" s="1566">
        <v>62</v>
      </c>
      <c r="DS12" s="1566">
        <v>0</v>
      </c>
      <c r="DT12" s="1566">
        <v>0</v>
      </c>
      <c r="DU12" s="1566">
        <v>0</v>
      </c>
      <c r="DV12" s="1566">
        <v>49</v>
      </c>
      <c r="DW12" s="1566">
        <v>0</v>
      </c>
      <c r="DX12" s="1566">
        <v>0</v>
      </c>
      <c r="DY12" s="1566">
        <v>85</v>
      </c>
      <c r="DZ12" s="1567">
        <v>0</v>
      </c>
      <c r="EA12" s="1568">
        <f t="shared" si="31"/>
        <v>313</v>
      </c>
      <c r="EB12" s="1565">
        <v>33</v>
      </c>
      <c r="EC12" s="1566">
        <v>0</v>
      </c>
      <c r="ED12" s="1566">
        <v>0</v>
      </c>
      <c r="EE12" s="1566"/>
      <c r="EF12" s="1566">
        <v>0</v>
      </c>
      <c r="EG12" s="1566">
        <v>8</v>
      </c>
      <c r="EH12" s="1566">
        <v>0</v>
      </c>
      <c r="EI12" s="1566"/>
      <c r="EJ12" s="1566">
        <v>33</v>
      </c>
      <c r="EK12" s="1566">
        <v>0</v>
      </c>
      <c r="EL12" s="1566">
        <v>0</v>
      </c>
      <c r="EM12" s="1567">
        <v>88</v>
      </c>
      <c r="EN12" s="1568">
        <f t="shared" si="32"/>
        <v>162</v>
      </c>
      <c r="EO12" s="1565">
        <v>0</v>
      </c>
      <c r="EP12" s="1566">
        <v>92</v>
      </c>
      <c r="EQ12" s="1566">
        <v>0</v>
      </c>
      <c r="ER12" s="1566">
        <v>5</v>
      </c>
      <c r="ES12" s="1566">
        <v>0</v>
      </c>
      <c r="ET12" s="1566">
        <v>41</v>
      </c>
      <c r="EU12" s="1566">
        <v>0</v>
      </c>
      <c r="EV12" s="1566">
        <v>0</v>
      </c>
      <c r="EW12" s="1566">
        <v>0</v>
      </c>
      <c r="EX12" s="1566">
        <v>0</v>
      </c>
      <c r="EY12" s="1566">
        <v>0</v>
      </c>
      <c r="EZ12" s="1567">
        <v>0</v>
      </c>
      <c r="FA12" s="1568">
        <f t="shared" si="33"/>
        <v>138</v>
      </c>
      <c r="FB12" s="1565">
        <v>0</v>
      </c>
      <c r="FC12" s="1566">
        <v>0</v>
      </c>
      <c r="FD12" s="1566">
        <v>0</v>
      </c>
      <c r="FE12" s="1566">
        <v>0</v>
      </c>
      <c r="FF12" s="1566">
        <v>0</v>
      </c>
      <c r="FG12" s="1566">
        <v>0</v>
      </c>
      <c r="FH12" s="1566">
        <v>0</v>
      </c>
      <c r="FI12" s="1566">
        <v>0</v>
      </c>
      <c r="FJ12" s="1566">
        <v>236</v>
      </c>
      <c r="FK12" s="1566">
        <v>64</v>
      </c>
      <c r="FL12" s="1566">
        <v>0</v>
      </c>
      <c r="FM12" s="1567">
        <v>2745</v>
      </c>
      <c r="FN12" s="1568">
        <f t="shared" si="34"/>
        <v>3045</v>
      </c>
      <c r="FO12" s="1565">
        <v>19</v>
      </c>
      <c r="FP12" s="1566">
        <v>394</v>
      </c>
      <c r="FQ12" s="1566">
        <v>184</v>
      </c>
      <c r="FR12" s="1566">
        <v>207</v>
      </c>
      <c r="FS12" s="1566">
        <v>543</v>
      </c>
      <c r="FT12" s="1566">
        <v>395</v>
      </c>
      <c r="FU12" s="1566">
        <v>2510</v>
      </c>
      <c r="FV12" s="1566">
        <v>1559</v>
      </c>
      <c r="FW12" s="1566">
        <v>1269</v>
      </c>
      <c r="FX12" s="1566">
        <v>737</v>
      </c>
      <c r="FY12" s="1566">
        <v>2096</v>
      </c>
      <c r="FZ12" s="1567">
        <v>1212</v>
      </c>
      <c r="GA12" s="1568">
        <f t="shared" si="35"/>
        <v>11125</v>
      </c>
      <c r="GB12" s="1565">
        <v>593</v>
      </c>
      <c r="GC12" s="1566">
        <v>442</v>
      </c>
      <c r="GD12" s="1566">
        <v>781</v>
      </c>
      <c r="GE12" s="1566">
        <v>25</v>
      </c>
      <c r="GF12" s="1566">
        <v>751</v>
      </c>
      <c r="GG12" s="1566">
        <v>729</v>
      </c>
      <c r="GH12" s="1566">
        <v>553</v>
      </c>
      <c r="GI12" s="1566">
        <v>904</v>
      </c>
      <c r="GJ12" s="1566">
        <v>920</v>
      </c>
      <c r="GK12" s="1566">
        <v>759</v>
      </c>
      <c r="GL12" s="1566">
        <v>457</v>
      </c>
      <c r="GM12" s="1567">
        <v>1864</v>
      </c>
      <c r="GN12" s="1568">
        <f t="shared" si="36"/>
        <v>8778</v>
      </c>
      <c r="GO12" s="1565">
        <v>24</v>
      </c>
      <c r="GP12" s="1566">
        <v>1638</v>
      </c>
      <c r="GQ12" s="1566">
        <v>663</v>
      </c>
      <c r="GR12" s="1566">
        <v>1141</v>
      </c>
      <c r="GS12" s="1566">
        <v>391</v>
      </c>
      <c r="GT12" s="1566">
        <v>686</v>
      </c>
      <c r="GU12" s="1566">
        <v>591</v>
      </c>
      <c r="GV12" s="1566">
        <v>547</v>
      </c>
      <c r="GW12" s="1566">
        <v>312</v>
      </c>
      <c r="GX12" s="1566">
        <v>989</v>
      </c>
      <c r="GY12" s="1566">
        <v>636</v>
      </c>
      <c r="GZ12" s="1567">
        <v>195</v>
      </c>
      <c r="HA12" s="1568">
        <f t="shared" si="37"/>
        <v>7813</v>
      </c>
      <c r="HB12" s="1565">
        <v>0</v>
      </c>
      <c r="HC12" s="1566">
        <v>39</v>
      </c>
      <c r="HD12" s="1566">
        <v>26</v>
      </c>
      <c r="HE12" s="1566">
        <v>71</v>
      </c>
      <c r="HF12" s="1566">
        <v>147</v>
      </c>
      <c r="HG12" s="1566">
        <v>44</v>
      </c>
      <c r="HH12" s="1566">
        <v>161</v>
      </c>
      <c r="HI12" s="1566">
        <v>220</v>
      </c>
      <c r="HJ12" s="1566">
        <v>40</v>
      </c>
      <c r="HK12" s="1566">
        <v>60</v>
      </c>
      <c r="HL12" s="1566">
        <v>1342</v>
      </c>
      <c r="HM12" s="1567">
        <v>2243</v>
      </c>
      <c r="HN12" s="1568">
        <f t="shared" si="38"/>
        <v>4393</v>
      </c>
      <c r="HO12" s="1565">
        <v>0</v>
      </c>
      <c r="HP12" s="1566">
        <v>294</v>
      </c>
      <c r="HQ12" s="1566">
        <v>537</v>
      </c>
      <c r="HR12" s="1566">
        <v>1193</v>
      </c>
      <c r="HS12" s="1566">
        <v>941</v>
      </c>
      <c r="HT12" s="1566">
        <v>1648</v>
      </c>
      <c r="HU12" s="1566">
        <v>630</v>
      </c>
      <c r="HV12" s="1566">
        <v>556</v>
      </c>
      <c r="HW12" s="1566">
        <v>1136</v>
      </c>
      <c r="HX12" s="1566">
        <v>505</v>
      </c>
      <c r="HY12" s="1566">
        <v>382</v>
      </c>
      <c r="HZ12" s="1567">
        <v>689</v>
      </c>
      <c r="IA12" s="1565">
        <f>SUM(HO12:HZ12)</f>
        <v>8511</v>
      </c>
      <c r="IB12" s="1569">
        <v>0</v>
      </c>
      <c r="IC12" s="1068">
        <v>342</v>
      </c>
      <c r="ID12" s="1068">
        <v>222</v>
      </c>
      <c r="IE12" s="1068">
        <v>145</v>
      </c>
      <c r="IF12" s="1068">
        <v>258</v>
      </c>
      <c r="IG12">
        <v>157</v>
      </c>
      <c r="IH12" s="1068">
        <v>47</v>
      </c>
      <c r="II12" s="1068">
        <v>5208</v>
      </c>
      <c r="IJ12" s="1068"/>
      <c r="IK12" s="1068"/>
      <c r="IL12" s="1068"/>
      <c r="IM12" s="1570"/>
      <c r="IN12" s="1571">
        <f t="shared" si="40"/>
        <v>6379</v>
      </c>
      <c r="IP12" s="1656">
        <f t="shared" si="27"/>
        <v>836.69064748201447</v>
      </c>
      <c r="IQ12" s="1656">
        <f t="shared" si="41"/>
        <v>10.00172443524745</v>
      </c>
      <c r="IR12" s="1657">
        <f t="shared" si="28"/>
        <v>5799</v>
      </c>
      <c r="IS12" s="1657">
        <f t="shared" si="29"/>
        <v>6379</v>
      </c>
      <c r="IT12" s="1658"/>
      <c r="IU12" s="1676">
        <f t="shared" si="42"/>
        <v>4652</v>
      </c>
    </row>
    <row r="13" spans="1:264" ht="15" customHeight="1" x14ac:dyDescent="0.2">
      <c r="A13" s="1551" t="s">
        <v>629</v>
      </c>
      <c r="B13" s="1565"/>
      <c r="C13" s="1566"/>
      <c r="D13" s="1566"/>
      <c r="E13" s="1566"/>
      <c r="F13" s="1566"/>
      <c r="G13" s="1566"/>
      <c r="H13" s="1566"/>
      <c r="I13" s="1566"/>
      <c r="J13" s="1566"/>
      <c r="K13" s="1566"/>
      <c r="L13" s="1566"/>
      <c r="M13" s="1567"/>
      <c r="N13" s="1568">
        <f t="shared" si="1"/>
        <v>0</v>
      </c>
      <c r="O13" s="1565"/>
      <c r="P13" s="1566"/>
      <c r="Q13" s="1566"/>
      <c r="R13" s="1566"/>
      <c r="S13" s="1566"/>
      <c r="T13" s="1566"/>
      <c r="U13" s="1566"/>
      <c r="V13" s="1566"/>
      <c r="W13" s="1566"/>
      <c r="X13" s="1566"/>
      <c r="Y13" s="1566"/>
      <c r="Z13" s="1567"/>
      <c r="AA13" s="1568">
        <f t="shared" si="3"/>
        <v>0</v>
      </c>
      <c r="AB13" s="1565"/>
      <c r="AC13" s="1566"/>
      <c r="AD13" s="1566"/>
      <c r="AE13" s="1566"/>
      <c r="AF13" s="1566"/>
      <c r="AG13" s="1566"/>
      <c r="AH13" s="1566"/>
      <c r="AI13" s="1566"/>
      <c r="AJ13" s="1566"/>
      <c r="AK13" s="1566"/>
      <c r="AL13" s="1566"/>
      <c r="AM13" s="1567"/>
      <c r="AN13" s="1568">
        <f t="shared" si="5"/>
        <v>0</v>
      </c>
      <c r="AO13" s="1565"/>
      <c r="AP13" s="1566"/>
      <c r="AQ13" s="1566"/>
      <c r="AR13" s="1566"/>
      <c r="AS13" s="1566"/>
      <c r="AT13" s="1566"/>
      <c r="AU13" s="1566">
        <v>0</v>
      </c>
      <c r="AV13" s="1566">
        <v>0</v>
      </c>
      <c r="AW13" s="1566">
        <v>0</v>
      </c>
      <c r="AX13" s="1566">
        <v>0</v>
      </c>
      <c r="AY13" s="1566">
        <v>0</v>
      </c>
      <c r="AZ13" s="1567">
        <v>0</v>
      </c>
      <c r="BA13" s="1568">
        <f t="shared" si="7"/>
        <v>0</v>
      </c>
      <c r="BB13" s="1565">
        <v>0</v>
      </c>
      <c r="BC13" s="1566">
        <v>0</v>
      </c>
      <c r="BD13" s="1566">
        <v>0</v>
      </c>
      <c r="BE13" s="1566">
        <v>0</v>
      </c>
      <c r="BF13" s="1566">
        <v>0</v>
      </c>
      <c r="BG13" s="1566">
        <v>0</v>
      </c>
      <c r="BH13" s="1566">
        <v>0</v>
      </c>
      <c r="BI13" s="1566">
        <v>0</v>
      </c>
      <c r="BJ13" s="1566">
        <v>0</v>
      </c>
      <c r="BK13" s="1566">
        <v>0</v>
      </c>
      <c r="BL13" s="1566">
        <v>0</v>
      </c>
      <c r="BM13" s="1567">
        <v>0</v>
      </c>
      <c r="BN13" s="1568">
        <f t="shared" si="9"/>
        <v>0</v>
      </c>
      <c r="BO13" s="1565">
        <v>0</v>
      </c>
      <c r="BP13" s="1566">
        <v>0</v>
      </c>
      <c r="BQ13" s="1566">
        <v>0</v>
      </c>
      <c r="BR13" s="1566">
        <v>0</v>
      </c>
      <c r="BS13" s="1566">
        <v>0</v>
      </c>
      <c r="BT13" s="1566">
        <v>0</v>
      </c>
      <c r="BU13" s="1566">
        <v>0</v>
      </c>
      <c r="BV13" s="1566">
        <v>0</v>
      </c>
      <c r="BW13" s="1566">
        <v>0</v>
      </c>
      <c r="BX13" s="1566">
        <v>0</v>
      </c>
      <c r="BY13" s="1566">
        <v>0</v>
      </c>
      <c r="BZ13" s="1567">
        <v>0</v>
      </c>
      <c r="CA13" s="1568">
        <f t="shared" si="11"/>
        <v>0</v>
      </c>
      <c r="CB13" s="1565">
        <v>0</v>
      </c>
      <c r="CC13" s="1566">
        <v>0</v>
      </c>
      <c r="CD13" s="1566">
        <v>0</v>
      </c>
      <c r="CE13" s="1566">
        <v>0</v>
      </c>
      <c r="CF13" s="1566">
        <v>0</v>
      </c>
      <c r="CG13" s="1566">
        <v>0</v>
      </c>
      <c r="CH13" s="1566">
        <v>0</v>
      </c>
      <c r="CI13" s="1566">
        <v>0</v>
      </c>
      <c r="CJ13" s="1566">
        <v>0</v>
      </c>
      <c r="CK13" s="1566">
        <v>0</v>
      </c>
      <c r="CL13" s="1566">
        <v>0</v>
      </c>
      <c r="CM13" s="1567">
        <v>0</v>
      </c>
      <c r="CN13" s="1568">
        <f t="shared" si="13"/>
        <v>0</v>
      </c>
      <c r="CO13" s="1565">
        <v>0</v>
      </c>
      <c r="CP13" s="1566">
        <v>0</v>
      </c>
      <c r="CQ13" s="1566">
        <v>0</v>
      </c>
      <c r="CR13" s="1566">
        <v>0</v>
      </c>
      <c r="CS13" s="1566">
        <v>0</v>
      </c>
      <c r="CT13" s="1566">
        <v>0</v>
      </c>
      <c r="CU13" s="1566">
        <v>0</v>
      </c>
      <c r="CV13" s="1566">
        <v>107</v>
      </c>
      <c r="CW13" s="1566">
        <v>0</v>
      </c>
      <c r="CX13" s="1566">
        <v>1</v>
      </c>
      <c r="CY13" s="1566">
        <v>27</v>
      </c>
      <c r="CZ13" s="1567">
        <v>2641</v>
      </c>
      <c r="DA13" s="1568">
        <f t="shared" si="15"/>
        <v>2776</v>
      </c>
      <c r="DB13" s="1565">
        <v>0</v>
      </c>
      <c r="DC13" s="1566">
        <v>1</v>
      </c>
      <c r="DD13" s="1566">
        <v>3444</v>
      </c>
      <c r="DE13" s="1566">
        <v>2639</v>
      </c>
      <c r="DF13" s="1566">
        <v>173</v>
      </c>
      <c r="DG13" s="1566">
        <v>188</v>
      </c>
      <c r="DH13" s="1566">
        <v>317</v>
      </c>
      <c r="DI13" s="1566">
        <v>317</v>
      </c>
      <c r="DJ13" s="1566">
        <v>785</v>
      </c>
      <c r="DK13" s="1566">
        <v>58</v>
      </c>
      <c r="DL13" s="1566">
        <v>685</v>
      </c>
      <c r="DM13" s="1567">
        <v>1166</v>
      </c>
      <c r="DN13" s="1568">
        <f t="shared" si="30"/>
        <v>9773</v>
      </c>
      <c r="DO13" s="1565">
        <v>1</v>
      </c>
      <c r="DP13" s="1566">
        <v>429</v>
      </c>
      <c r="DQ13" s="1566">
        <v>369</v>
      </c>
      <c r="DR13" s="1566">
        <v>492</v>
      </c>
      <c r="DS13" s="1566">
        <v>413</v>
      </c>
      <c r="DT13" s="1566">
        <v>115</v>
      </c>
      <c r="DU13" s="1566">
        <v>445</v>
      </c>
      <c r="DV13" s="1566">
        <v>109</v>
      </c>
      <c r="DW13" s="1566">
        <v>19</v>
      </c>
      <c r="DX13" s="1566">
        <v>29</v>
      </c>
      <c r="DY13" s="1566">
        <v>41</v>
      </c>
      <c r="DZ13" s="1567">
        <v>352</v>
      </c>
      <c r="EA13" s="1568">
        <f t="shared" si="31"/>
        <v>2814</v>
      </c>
      <c r="EB13" s="1565">
        <v>0</v>
      </c>
      <c r="EC13" s="1566">
        <v>0</v>
      </c>
      <c r="ED13" s="1566">
        <v>0</v>
      </c>
      <c r="EE13" s="1566">
        <v>26</v>
      </c>
      <c r="EF13" s="1566">
        <v>172</v>
      </c>
      <c r="EG13" s="1566">
        <v>47</v>
      </c>
      <c r="EH13" s="1566">
        <v>19</v>
      </c>
      <c r="EI13" s="1566">
        <v>21</v>
      </c>
      <c r="EJ13" s="1566">
        <v>18</v>
      </c>
      <c r="EK13" s="1566">
        <v>207</v>
      </c>
      <c r="EL13" s="1566">
        <v>78</v>
      </c>
      <c r="EM13" s="1567">
        <v>31</v>
      </c>
      <c r="EN13" s="1568">
        <f t="shared" si="32"/>
        <v>619</v>
      </c>
      <c r="EO13" s="1565">
        <v>0</v>
      </c>
      <c r="EP13" s="1566">
        <v>173</v>
      </c>
      <c r="EQ13" s="1566">
        <v>28</v>
      </c>
      <c r="ER13" s="1566">
        <v>172</v>
      </c>
      <c r="ES13" s="1566">
        <v>301</v>
      </c>
      <c r="ET13" s="1566">
        <v>216</v>
      </c>
      <c r="EU13" s="1566">
        <v>289</v>
      </c>
      <c r="EV13" s="1566">
        <v>96</v>
      </c>
      <c r="EW13" s="1566">
        <v>1712</v>
      </c>
      <c r="EX13" s="1566">
        <v>401</v>
      </c>
      <c r="EY13" s="1566">
        <v>416</v>
      </c>
      <c r="EZ13" s="1567">
        <v>735</v>
      </c>
      <c r="FA13" s="1568">
        <f t="shared" si="33"/>
        <v>4539</v>
      </c>
      <c r="FB13" s="1565">
        <v>0</v>
      </c>
      <c r="FC13" s="1566">
        <v>127</v>
      </c>
      <c r="FD13" s="1566">
        <v>15</v>
      </c>
      <c r="FE13" s="1566">
        <v>5</v>
      </c>
      <c r="FF13" s="1566">
        <v>17</v>
      </c>
      <c r="FG13" s="1566">
        <v>115</v>
      </c>
      <c r="FH13" s="1566">
        <v>56</v>
      </c>
      <c r="FI13" s="1566">
        <v>105</v>
      </c>
      <c r="FJ13" s="1566">
        <v>2620</v>
      </c>
      <c r="FK13" s="1566">
        <v>644</v>
      </c>
      <c r="FL13" s="1566">
        <v>478</v>
      </c>
      <c r="FM13" s="1567">
        <v>675</v>
      </c>
      <c r="FN13" s="1568">
        <f t="shared" si="34"/>
        <v>4857</v>
      </c>
      <c r="FO13" s="1565">
        <v>0</v>
      </c>
      <c r="FP13" s="1566">
        <v>283</v>
      </c>
      <c r="FQ13" s="1566">
        <v>234</v>
      </c>
      <c r="FR13" s="1566">
        <v>567</v>
      </c>
      <c r="FS13" s="1566">
        <v>1186</v>
      </c>
      <c r="FT13" s="1566">
        <v>186</v>
      </c>
      <c r="FU13" s="1566">
        <v>28</v>
      </c>
      <c r="FV13" s="1566">
        <v>77</v>
      </c>
      <c r="FW13" s="1566">
        <v>14</v>
      </c>
      <c r="FX13" s="1566">
        <v>5</v>
      </c>
      <c r="FY13" s="1566">
        <v>320</v>
      </c>
      <c r="FZ13" s="1567">
        <v>281</v>
      </c>
      <c r="GA13" s="1568">
        <f t="shared" si="35"/>
        <v>3181</v>
      </c>
      <c r="GB13" s="1565">
        <v>129</v>
      </c>
      <c r="GC13" s="1566">
        <v>169</v>
      </c>
      <c r="GD13" s="1566">
        <v>135</v>
      </c>
      <c r="GE13" s="1566">
        <v>80</v>
      </c>
      <c r="GF13" s="1566">
        <v>1128</v>
      </c>
      <c r="GG13" s="1566">
        <v>138</v>
      </c>
      <c r="GH13" s="1566">
        <v>50</v>
      </c>
      <c r="GI13" s="1566">
        <v>252</v>
      </c>
      <c r="GJ13" s="1566">
        <v>300</v>
      </c>
      <c r="GK13" s="1566">
        <v>290</v>
      </c>
      <c r="GL13" s="1566">
        <v>193</v>
      </c>
      <c r="GM13" s="1567">
        <v>325</v>
      </c>
      <c r="GN13" s="1568">
        <f t="shared" si="36"/>
        <v>3189</v>
      </c>
      <c r="GO13" s="1565">
        <v>0</v>
      </c>
      <c r="GP13" s="1566">
        <v>1297</v>
      </c>
      <c r="GQ13" s="1566">
        <v>1481</v>
      </c>
      <c r="GR13" s="1566">
        <v>47</v>
      </c>
      <c r="GS13" s="1566">
        <v>259</v>
      </c>
      <c r="GT13" s="1566">
        <v>219</v>
      </c>
      <c r="GU13" s="1566">
        <v>175</v>
      </c>
      <c r="GV13" s="1566">
        <v>133</v>
      </c>
      <c r="GW13" s="1566">
        <v>214</v>
      </c>
      <c r="GX13" s="1566">
        <v>102</v>
      </c>
      <c r="GY13" s="1566">
        <v>136</v>
      </c>
      <c r="GZ13" s="1567">
        <v>490</v>
      </c>
      <c r="HA13" s="1568">
        <f t="shared" si="37"/>
        <v>4553</v>
      </c>
      <c r="HB13" s="1565">
        <v>102</v>
      </c>
      <c r="HC13" s="1566">
        <v>263</v>
      </c>
      <c r="HD13" s="1566">
        <v>113</v>
      </c>
      <c r="HE13" s="1566">
        <v>1525</v>
      </c>
      <c r="HF13" s="1566">
        <v>46</v>
      </c>
      <c r="HG13" s="1566">
        <v>-2</v>
      </c>
      <c r="HH13" s="1566">
        <v>3</v>
      </c>
      <c r="HI13" s="1566">
        <v>74</v>
      </c>
      <c r="HJ13" s="1566">
        <v>20</v>
      </c>
      <c r="HK13" s="1566">
        <v>81</v>
      </c>
      <c r="HL13" s="1566">
        <v>160</v>
      </c>
      <c r="HM13" s="1567">
        <v>101</v>
      </c>
      <c r="HN13" s="1568">
        <f t="shared" si="38"/>
        <v>2486</v>
      </c>
      <c r="HO13" s="1565">
        <v>0</v>
      </c>
      <c r="HP13" s="1566">
        <v>0</v>
      </c>
      <c r="HQ13" s="1566">
        <v>16</v>
      </c>
      <c r="HR13" s="1566">
        <v>64</v>
      </c>
      <c r="HS13" s="1566">
        <v>138</v>
      </c>
      <c r="HT13" s="1566">
        <v>47</v>
      </c>
      <c r="HU13" s="1566">
        <v>36</v>
      </c>
      <c r="HV13" s="1566">
        <v>68</v>
      </c>
      <c r="HW13" s="1566">
        <v>40</v>
      </c>
      <c r="HX13" s="1566">
        <v>1864</v>
      </c>
      <c r="HY13" s="1566">
        <v>185</v>
      </c>
      <c r="HZ13" s="1567">
        <v>452</v>
      </c>
      <c r="IA13" s="1565">
        <f t="shared" si="39"/>
        <v>2910</v>
      </c>
      <c r="IB13" s="1569">
        <v>178</v>
      </c>
      <c r="IC13" s="1068">
        <v>96</v>
      </c>
      <c r="ID13" s="1068">
        <v>276</v>
      </c>
      <c r="IE13" s="1068">
        <v>354</v>
      </c>
      <c r="IF13" s="1068">
        <v>251</v>
      </c>
      <c r="IG13">
        <v>482</v>
      </c>
      <c r="IH13" s="1068">
        <v>1035</v>
      </c>
      <c r="II13" s="1068">
        <v>719</v>
      </c>
      <c r="IJ13" s="1068"/>
      <c r="IK13" s="1068"/>
      <c r="IL13" s="1068"/>
      <c r="IM13" s="1570"/>
      <c r="IN13" s="1571">
        <f t="shared" si="40"/>
        <v>3391</v>
      </c>
      <c r="IP13" s="1656">
        <f t="shared" si="27"/>
        <v>957.35294117647061</v>
      </c>
      <c r="IQ13" s="1656">
        <f>IFERROR(((IS13/IR13)-1)*100,"")</f>
        <v>818.97018970189708</v>
      </c>
      <c r="IR13" s="1657">
        <f t="shared" si="28"/>
        <v>369</v>
      </c>
      <c r="IS13" s="1657">
        <f t="shared" si="29"/>
        <v>3391</v>
      </c>
      <c r="IT13" s="1658"/>
      <c r="IU13" s="221">
        <f t="shared" si="42"/>
        <v>651</v>
      </c>
    </row>
    <row r="14" spans="1:264" ht="15" customHeight="1" x14ac:dyDescent="0.2">
      <c r="A14" s="1551" t="s">
        <v>630</v>
      </c>
      <c r="B14" s="1565">
        <v>15</v>
      </c>
      <c r="C14" s="1566">
        <v>3</v>
      </c>
      <c r="D14" s="1566">
        <v>4</v>
      </c>
      <c r="E14" s="1566">
        <v>20</v>
      </c>
      <c r="F14" s="1566">
        <v>53</v>
      </c>
      <c r="G14" s="1566">
        <v>25</v>
      </c>
      <c r="H14" s="1566">
        <v>3</v>
      </c>
      <c r="I14" s="1566">
        <v>0</v>
      </c>
      <c r="J14" s="1566">
        <v>0</v>
      </c>
      <c r="K14" s="1566">
        <v>30</v>
      </c>
      <c r="L14" s="1566">
        <v>0</v>
      </c>
      <c r="M14" s="1567">
        <v>10</v>
      </c>
      <c r="N14" s="1568">
        <f t="shared" si="1"/>
        <v>163</v>
      </c>
      <c r="O14" s="1565">
        <v>74</v>
      </c>
      <c r="P14" s="1566">
        <v>10</v>
      </c>
      <c r="Q14" s="1566">
        <v>31</v>
      </c>
      <c r="R14" s="1566">
        <v>15</v>
      </c>
      <c r="S14" s="1566">
        <v>61</v>
      </c>
      <c r="T14" s="1566">
        <v>55</v>
      </c>
      <c r="U14" s="1566">
        <v>74</v>
      </c>
      <c r="V14" s="1566">
        <v>6</v>
      </c>
      <c r="W14" s="1566">
        <v>81</v>
      </c>
      <c r="X14" s="1566">
        <v>10433</v>
      </c>
      <c r="Y14" s="1566">
        <v>1567</v>
      </c>
      <c r="Z14" s="1567">
        <v>1973</v>
      </c>
      <c r="AA14" s="1568">
        <f t="shared" si="3"/>
        <v>14380</v>
      </c>
      <c r="AB14" s="1565">
        <v>401</v>
      </c>
      <c r="AC14" s="1566">
        <v>2802</v>
      </c>
      <c r="AD14" s="1566">
        <v>1681</v>
      </c>
      <c r="AE14" s="1566">
        <v>3442</v>
      </c>
      <c r="AF14" s="1566">
        <v>2227</v>
      </c>
      <c r="AG14" s="1566">
        <v>2236</v>
      </c>
      <c r="AH14" s="1566">
        <v>2335</v>
      </c>
      <c r="AI14" s="1566">
        <v>1269</v>
      </c>
      <c r="AJ14" s="1566">
        <v>1464</v>
      </c>
      <c r="AK14" s="1566">
        <v>1139</v>
      </c>
      <c r="AL14" s="1566">
        <v>1254</v>
      </c>
      <c r="AM14" s="1567">
        <v>3827</v>
      </c>
      <c r="AN14" s="1568">
        <f t="shared" si="5"/>
        <v>24077</v>
      </c>
      <c r="AO14" s="1565">
        <v>1177</v>
      </c>
      <c r="AP14" s="1566">
        <v>820</v>
      </c>
      <c r="AQ14" s="1566">
        <v>432</v>
      </c>
      <c r="AR14" s="1566">
        <v>467</v>
      </c>
      <c r="AS14" s="1566">
        <v>157</v>
      </c>
      <c r="AT14" s="1566">
        <v>3193</v>
      </c>
      <c r="AU14" s="1566">
        <v>6705</v>
      </c>
      <c r="AV14" s="1566">
        <v>661</v>
      </c>
      <c r="AW14" s="1566">
        <v>505</v>
      </c>
      <c r="AX14" s="1566">
        <v>891</v>
      </c>
      <c r="AY14" s="1566">
        <v>405</v>
      </c>
      <c r="AZ14" s="1567">
        <v>1611</v>
      </c>
      <c r="BA14" s="1568">
        <f t="shared" si="7"/>
        <v>17024</v>
      </c>
      <c r="BB14" s="1565">
        <v>248</v>
      </c>
      <c r="BC14" s="1566">
        <v>403</v>
      </c>
      <c r="BD14" s="1566">
        <v>767</v>
      </c>
      <c r="BE14" s="1566">
        <v>684</v>
      </c>
      <c r="BF14" s="1566">
        <v>13</v>
      </c>
      <c r="BG14" s="1566">
        <v>319</v>
      </c>
      <c r="BH14" s="1566">
        <v>395</v>
      </c>
      <c r="BI14" s="1566">
        <v>874</v>
      </c>
      <c r="BJ14" s="1566">
        <v>610</v>
      </c>
      <c r="BK14" s="1566">
        <v>1498</v>
      </c>
      <c r="BL14" s="1566">
        <v>252</v>
      </c>
      <c r="BM14" s="1567">
        <v>1547</v>
      </c>
      <c r="BN14" s="1568">
        <f t="shared" si="9"/>
        <v>7610</v>
      </c>
      <c r="BO14" s="1565">
        <v>256</v>
      </c>
      <c r="BP14" s="1566">
        <v>382</v>
      </c>
      <c r="BQ14" s="1566">
        <v>1172</v>
      </c>
      <c r="BR14" s="1566">
        <v>106</v>
      </c>
      <c r="BS14" s="1566">
        <v>93</v>
      </c>
      <c r="BT14" s="1566">
        <v>16</v>
      </c>
      <c r="BU14" s="1566">
        <v>644</v>
      </c>
      <c r="BV14" s="1566">
        <v>525</v>
      </c>
      <c r="BW14" s="1566">
        <v>144</v>
      </c>
      <c r="BX14" s="1566">
        <v>251</v>
      </c>
      <c r="BY14" s="1566">
        <v>210</v>
      </c>
      <c r="BZ14" s="1567">
        <v>588</v>
      </c>
      <c r="CA14" s="1568">
        <f t="shared" si="11"/>
        <v>4387</v>
      </c>
      <c r="CB14" s="1565">
        <v>0</v>
      </c>
      <c r="CC14" s="1566">
        <v>2</v>
      </c>
      <c r="CD14" s="1566">
        <v>80</v>
      </c>
      <c r="CE14" s="1566">
        <v>22</v>
      </c>
      <c r="CF14" s="1566">
        <v>11</v>
      </c>
      <c r="CG14" s="1566">
        <v>19</v>
      </c>
      <c r="CH14" s="1566">
        <v>205</v>
      </c>
      <c r="CI14" s="1566">
        <v>206</v>
      </c>
      <c r="CJ14" s="1566">
        <v>137</v>
      </c>
      <c r="CK14" s="1566">
        <v>58</v>
      </c>
      <c r="CL14" s="1566">
        <v>52</v>
      </c>
      <c r="CM14" s="1567">
        <v>125</v>
      </c>
      <c r="CN14" s="1568">
        <f t="shared" si="13"/>
        <v>917</v>
      </c>
      <c r="CO14" s="1565">
        <v>0</v>
      </c>
      <c r="CP14" s="1566">
        <v>0</v>
      </c>
      <c r="CQ14" s="1566">
        <v>13</v>
      </c>
      <c r="CR14" s="1566">
        <v>16</v>
      </c>
      <c r="CS14" s="1566">
        <v>4</v>
      </c>
      <c r="CT14" s="1566">
        <v>1396</v>
      </c>
      <c r="CU14" s="1566">
        <v>78</v>
      </c>
      <c r="CV14" s="1566">
        <v>218</v>
      </c>
      <c r="CW14" s="1566">
        <v>49</v>
      </c>
      <c r="CX14" s="1566">
        <v>3</v>
      </c>
      <c r="CY14" s="1566">
        <v>118</v>
      </c>
      <c r="CZ14" s="1567">
        <v>260</v>
      </c>
      <c r="DA14" s="1568">
        <f t="shared" si="15"/>
        <v>2155</v>
      </c>
      <c r="DB14" s="1565">
        <v>0</v>
      </c>
      <c r="DC14" s="1566">
        <v>12</v>
      </c>
      <c r="DD14" s="1566">
        <v>18</v>
      </c>
      <c r="DE14" s="1566">
        <v>20</v>
      </c>
      <c r="DF14" s="1566">
        <v>49</v>
      </c>
      <c r="DG14" s="1566">
        <v>97</v>
      </c>
      <c r="DH14" s="1566">
        <v>102</v>
      </c>
      <c r="DI14" s="1566">
        <v>1839</v>
      </c>
      <c r="DJ14" s="1566">
        <v>346</v>
      </c>
      <c r="DK14" s="1566">
        <v>790</v>
      </c>
      <c r="DL14" s="1566">
        <v>789</v>
      </c>
      <c r="DM14" s="1567">
        <v>998</v>
      </c>
      <c r="DN14" s="1568">
        <f t="shared" si="30"/>
        <v>5060</v>
      </c>
      <c r="DO14" s="1565">
        <v>0</v>
      </c>
      <c r="DP14" s="1566">
        <v>86</v>
      </c>
      <c r="DQ14" s="1566">
        <v>1463</v>
      </c>
      <c r="DR14" s="1566">
        <v>69</v>
      </c>
      <c r="DS14" s="1566">
        <v>173</v>
      </c>
      <c r="DT14" s="1566">
        <v>57</v>
      </c>
      <c r="DU14" s="1566">
        <v>102</v>
      </c>
      <c r="DV14" s="1566">
        <v>87</v>
      </c>
      <c r="DW14" s="1566">
        <v>3152</v>
      </c>
      <c r="DX14" s="1566">
        <v>155</v>
      </c>
      <c r="DY14" s="1566">
        <v>165</v>
      </c>
      <c r="DZ14" s="1567">
        <v>616</v>
      </c>
      <c r="EA14" s="1568">
        <f t="shared" si="31"/>
        <v>6125</v>
      </c>
      <c r="EB14" s="1565">
        <v>0</v>
      </c>
      <c r="EC14" s="1566">
        <v>24</v>
      </c>
      <c r="ED14" s="1566">
        <v>85</v>
      </c>
      <c r="EE14" s="1566">
        <v>150</v>
      </c>
      <c r="EF14" s="1566">
        <v>133</v>
      </c>
      <c r="EG14" s="1566">
        <v>20</v>
      </c>
      <c r="EH14" s="1566">
        <v>79</v>
      </c>
      <c r="EI14" s="1566">
        <v>6</v>
      </c>
      <c r="EJ14" s="1566">
        <v>96</v>
      </c>
      <c r="EK14" s="1566">
        <v>108</v>
      </c>
      <c r="EL14" s="1566">
        <v>162</v>
      </c>
      <c r="EM14" s="1567">
        <v>646</v>
      </c>
      <c r="EN14" s="1568">
        <f t="shared" si="32"/>
        <v>1509</v>
      </c>
      <c r="EO14" s="1565">
        <v>0</v>
      </c>
      <c r="EP14" s="1566">
        <v>1</v>
      </c>
      <c r="EQ14" s="1566">
        <v>24</v>
      </c>
      <c r="ER14" s="1566">
        <v>4</v>
      </c>
      <c r="ES14" s="1566">
        <v>246</v>
      </c>
      <c r="ET14" s="1566">
        <v>16</v>
      </c>
      <c r="EU14" s="1566">
        <v>50</v>
      </c>
      <c r="EV14" s="1566">
        <v>96</v>
      </c>
      <c r="EW14" s="1566">
        <v>94</v>
      </c>
      <c r="EX14" s="1566">
        <v>109</v>
      </c>
      <c r="EY14" s="1566">
        <v>1039</v>
      </c>
      <c r="EZ14" s="1567">
        <v>3459</v>
      </c>
      <c r="FA14" s="1568">
        <f t="shared" si="33"/>
        <v>5138</v>
      </c>
      <c r="FB14" s="1565">
        <v>2</v>
      </c>
      <c r="FC14" s="1566">
        <v>188</v>
      </c>
      <c r="FD14" s="1566">
        <v>5</v>
      </c>
      <c r="FE14" s="1566">
        <v>82</v>
      </c>
      <c r="FF14" s="1566">
        <v>47</v>
      </c>
      <c r="FG14" s="1566">
        <v>274</v>
      </c>
      <c r="FH14" s="1566">
        <v>102</v>
      </c>
      <c r="FI14" s="1566">
        <v>246</v>
      </c>
      <c r="FJ14" s="1566">
        <v>432</v>
      </c>
      <c r="FK14" s="1566">
        <v>401</v>
      </c>
      <c r="FL14" s="1566">
        <v>578</v>
      </c>
      <c r="FM14" s="1567">
        <v>1632</v>
      </c>
      <c r="FN14" s="1568">
        <f t="shared" si="34"/>
        <v>3989</v>
      </c>
      <c r="FO14" s="1565">
        <v>0</v>
      </c>
      <c r="FP14" s="1566">
        <v>0</v>
      </c>
      <c r="FQ14" s="1566">
        <v>6</v>
      </c>
      <c r="FR14" s="1566">
        <v>0</v>
      </c>
      <c r="FS14" s="1566">
        <v>0</v>
      </c>
      <c r="FT14" s="1566">
        <v>75</v>
      </c>
      <c r="FU14" s="1566">
        <v>527</v>
      </c>
      <c r="FV14" s="1566">
        <v>222</v>
      </c>
      <c r="FW14" s="1566">
        <v>469</v>
      </c>
      <c r="FX14" s="1566">
        <v>170</v>
      </c>
      <c r="FY14" s="1566">
        <v>315</v>
      </c>
      <c r="FZ14" s="1567">
        <v>727</v>
      </c>
      <c r="GA14" s="1568">
        <f t="shared" si="35"/>
        <v>2511</v>
      </c>
      <c r="GB14" s="1565">
        <v>0</v>
      </c>
      <c r="GC14" s="1566">
        <v>0</v>
      </c>
      <c r="GD14" s="1566">
        <v>0</v>
      </c>
      <c r="GE14" s="1566">
        <v>26</v>
      </c>
      <c r="GF14" s="1566">
        <v>0</v>
      </c>
      <c r="GG14" s="1566">
        <v>19</v>
      </c>
      <c r="GH14" s="1566">
        <v>12</v>
      </c>
      <c r="GI14" s="1566">
        <v>50</v>
      </c>
      <c r="GJ14" s="1566">
        <v>109</v>
      </c>
      <c r="GK14" s="1566">
        <v>68</v>
      </c>
      <c r="GL14" s="1566">
        <v>247</v>
      </c>
      <c r="GM14" s="1567">
        <v>958</v>
      </c>
      <c r="GN14" s="1568">
        <f t="shared" si="36"/>
        <v>1489</v>
      </c>
      <c r="GO14" s="1565">
        <v>0</v>
      </c>
      <c r="GP14" s="1566">
        <v>0</v>
      </c>
      <c r="GQ14" s="1566">
        <v>0</v>
      </c>
      <c r="GR14" s="1566">
        <v>54</v>
      </c>
      <c r="GS14" s="1566">
        <v>6</v>
      </c>
      <c r="GT14" s="1566">
        <v>87</v>
      </c>
      <c r="GU14" s="1566">
        <v>501</v>
      </c>
      <c r="GV14" s="1566">
        <v>75</v>
      </c>
      <c r="GW14" s="1566">
        <v>219</v>
      </c>
      <c r="GX14" s="1566">
        <v>327</v>
      </c>
      <c r="GY14" s="1566">
        <v>1275</v>
      </c>
      <c r="GZ14" s="1567">
        <v>2893</v>
      </c>
      <c r="HA14" s="1568">
        <f t="shared" si="37"/>
        <v>5437</v>
      </c>
      <c r="HB14" s="1565">
        <v>584</v>
      </c>
      <c r="HC14" s="1566">
        <v>388</v>
      </c>
      <c r="HD14" s="1566">
        <v>295</v>
      </c>
      <c r="HE14" s="1566">
        <v>196</v>
      </c>
      <c r="HF14" s="1566">
        <v>367</v>
      </c>
      <c r="HG14" s="1566">
        <v>301</v>
      </c>
      <c r="HH14" s="1566">
        <v>297</v>
      </c>
      <c r="HI14" s="1566">
        <v>321</v>
      </c>
      <c r="HJ14" s="1566">
        <v>122</v>
      </c>
      <c r="HK14" s="1566">
        <v>537</v>
      </c>
      <c r="HL14" s="1566">
        <v>420</v>
      </c>
      <c r="HM14" s="1567">
        <v>1836</v>
      </c>
      <c r="HN14" s="1568">
        <f t="shared" si="38"/>
        <v>5664</v>
      </c>
      <c r="HO14" s="1565">
        <v>354</v>
      </c>
      <c r="HP14" s="1566">
        <v>41</v>
      </c>
      <c r="HQ14" s="1566">
        <v>158</v>
      </c>
      <c r="HR14" s="1566">
        <v>14</v>
      </c>
      <c r="HS14" s="1566">
        <v>106</v>
      </c>
      <c r="HT14" s="1566">
        <v>109</v>
      </c>
      <c r="HU14" s="1566">
        <v>131</v>
      </c>
      <c r="HV14" s="1566">
        <v>100</v>
      </c>
      <c r="HW14" s="1566">
        <v>904</v>
      </c>
      <c r="HX14" s="1566">
        <v>7</v>
      </c>
      <c r="HY14" s="1566">
        <v>34</v>
      </c>
      <c r="HZ14" s="1567">
        <v>890</v>
      </c>
      <c r="IA14" s="1565">
        <f t="shared" si="39"/>
        <v>2848</v>
      </c>
      <c r="IB14" s="1569">
        <v>0</v>
      </c>
      <c r="IC14" s="1068">
        <v>0</v>
      </c>
      <c r="ID14" s="1068">
        <v>0</v>
      </c>
      <c r="IE14" s="1068">
        <v>0</v>
      </c>
      <c r="IF14" s="1068">
        <v>22</v>
      </c>
      <c r="IG14">
        <v>19</v>
      </c>
      <c r="IH14" s="1068">
        <v>4</v>
      </c>
      <c r="II14" s="1068">
        <v>422</v>
      </c>
      <c r="IJ14" s="1068"/>
      <c r="IK14" s="1068"/>
      <c r="IL14" s="1068"/>
      <c r="IM14" s="1570"/>
      <c r="IN14" s="1571">
        <f t="shared" si="40"/>
        <v>467</v>
      </c>
      <c r="IP14" s="1656">
        <f t="shared" si="27"/>
        <v>322</v>
      </c>
      <c r="IQ14" s="1656">
        <f t="shared" si="41"/>
        <v>-53.899308983218162</v>
      </c>
      <c r="IR14" s="1657">
        <f t="shared" si="28"/>
        <v>1013</v>
      </c>
      <c r="IS14" s="1657">
        <f t="shared" si="29"/>
        <v>467</v>
      </c>
      <c r="IT14" s="1658"/>
      <c r="IU14" s="221">
        <f t="shared" si="42"/>
        <v>322</v>
      </c>
    </row>
    <row r="15" spans="1:264" ht="15" customHeight="1" x14ac:dyDescent="0.2">
      <c r="A15" s="1551" t="s">
        <v>631</v>
      </c>
      <c r="B15" s="1565">
        <v>0</v>
      </c>
      <c r="C15" s="1566">
        <v>0</v>
      </c>
      <c r="D15" s="1566">
        <v>0</v>
      </c>
      <c r="E15" s="1566">
        <v>0</v>
      </c>
      <c r="F15" s="1566">
        <v>0</v>
      </c>
      <c r="G15" s="1566">
        <v>0</v>
      </c>
      <c r="H15" s="1566">
        <v>0</v>
      </c>
      <c r="I15" s="1566">
        <v>0</v>
      </c>
      <c r="J15" s="1566">
        <v>0</v>
      </c>
      <c r="K15" s="1566">
        <v>0</v>
      </c>
      <c r="L15" s="1566">
        <v>0</v>
      </c>
      <c r="M15" s="1567">
        <v>0</v>
      </c>
      <c r="N15" s="1568">
        <f t="shared" si="1"/>
        <v>0</v>
      </c>
      <c r="O15" s="1565">
        <v>0</v>
      </c>
      <c r="P15" s="1566">
        <v>0</v>
      </c>
      <c r="Q15" s="1566">
        <v>85</v>
      </c>
      <c r="R15" s="1566">
        <v>0</v>
      </c>
      <c r="S15" s="1566">
        <v>0</v>
      </c>
      <c r="T15" s="1566">
        <v>0</v>
      </c>
      <c r="U15" s="1566">
        <v>0</v>
      </c>
      <c r="V15" s="1566">
        <v>0</v>
      </c>
      <c r="W15" s="1566">
        <v>0</v>
      </c>
      <c r="X15" s="1566">
        <v>0</v>
      </c>
      <c r="Y15" s="1566">
        <v>21</v>
      </c>
      <c r="Z15" s="1567">
        <v>4</v>
      </c>
      <c r="AA15" s="1568">
        <f t="shared" si="3"/>
        <v>110</v>
      </c>
      <c r="AB15" s="1565">
        <v>0</v>
      </c>
      <c r="AC15" s="1566">
        <v>43</v>
      </c>
      <c r="AD15" s="1566">
        <v>98</v>
      </c>
      <c r="AE15" s="1566">
        <v>71</v>
      </c>
      <c r="AF15" s="1566">
        <v>68</v>
      </c>
      <c r="AG15" s="1566">
        <v>62</v>
      </c>
      <c r="AH15" s="1566">
        <v>65</v>
      </c>
      <c r="AI15" s="1566">
        <v>66</v>
      </c>
      <c r="AJ15" s="1566">
        <v>100</v>
      </c>
      <c r="AK15" s="1566">
        <v>72</v>
      </c>
      <c r="AL15" s="1566">
        <v>70</v>
      </c>
      <c r="AM15" s="1567">
        <v>76</v>
      </c>
      <c r="AN15" s="1568">
        <f t="shared" si="5"/>
        <v>791</v>
      </c>
      <c r="AO15" s="1565">
        <v>23</v>
      </c>
      <c r="AP15" s="1566">
        <v>190</v>
      </c>
      <c r="AQ15" s="1566">
        <v>209</v>
      </c>
      <c r="AR15" s="1566">
        <v>250</v>
      </c>
      <c r="AS15" s="1566">
        <v>158</v>
      </c>
      <c r="AT15" s="1566">
        <v>373</v>
      </c>
      <c r="AU15" s="1566">
        <v>238</v>
      </c>
      <c r="AV15" s="1566">
        <v>312</v>
      </c>
      <c r="AW15" s="1566">
        <v>386</v>
      </c>
      <c r="AX15" s="1566">
        <v>350</v>
      </c>
      <c r="AY15" s="1566">
        <v>688</v>
      </c>
      <c r="AZ15" s="1567">
        <v>566</v>
      </c>
      <c r="BA15" s="1568">
        <f t="shared" si="7"/>
        <v>3743</v>
      </c>
      <c r="BB15" s="1565">
        <v>0</v>
      </c>
      <c r="BC15" s="1566">
        <v>131</v>
      </c>
      <c r="BD15" s="1566">
        <v>87</v>
      </c>
      <c r="BE15" s="1566">
        <v>0</v>
      </c>
      <c r="BF15" s="1566">
        <v>180</v>
      </c>
      <c r="BG15" s="1566">
        <v>199</v>
      </c>
      <c r="BH15" s="1566">
        <v>161</v>
      </c>
      <c r="BI15" s="1566">
        <v>457</v>
      </c>
      <c r="BJ15" s="1566">
        <v>160</v>
      </c>
      <c r="BK15" s="1566">
        <v>449</v>
      </c>
      <c r="BL15" s="1566">
        <v>631</v>
      </c>
      <c r="BM15" s="1567">
        <v>286</v>
      </c>
      <c r="BN15" s="1568">
        <f t="shared" si="9"/>
        <v>2741</v>
      </c>
      <c r="BO15" s="1565">
        <v>48</v>
      </c>
      <c r="BP15" s="1566">
        <v>8</v>
      </c>
      <c r="BQ15" s="1566">
        <v>157</v>
      </c>
      <c r="BR15" s="1566">
        <v>108</v>
      </c>
      <c r="BS15" s="1566">
        <v>298</v>
      </c>
      <c r="BT15" s="1566">
        <v>162</v>
      </c>
      <c r="BU15" s="1566">
        <v>210</v>
      </c>
      <c r="BV15" s="1566">
        <v>179</v>
      </c>
      <c r="BW15" s="1566">
        <v>208</v>
      </c>
      <c r="BX15" s="1566">
        <v>353</v>
      </c>
      <c r="BY15" s="1566">
        <v>253</v>
      </c>
      <c r="BZ15" s="1567">
        <v>359</v>
      </c>
      <c r="CA15" s="1568">
        <f t="shared" si="11"/>
        <v>2343</v>
      </c>
      <c r="CB15" s="1565">
        <v>232</v>
      </c>
      <c r="CC15" s="1566">
        <v>205</v>
      </c>
      <c r="CD15" s="1566">
        <v>156</v>
      </c>
      <c r="CE15" s="1566">
        <v>878</v>
      </c>
      <c r="CF15" s="1566">
        <v>259</v>
      </c>
      <c r="CG15" s="1566">
        <v>487</v>
      </c>
      <c r="CH15" s="1566">
        <v>419</v>
      </c>
      <c r="CI15" s="1566">
        <v>168</v>
      </c>
      <c r="CJ15" s="1566">
        <v>231</v>
      </c>
      <c r="CK15" s="1566">
        <v>369</v>
      </c>
      <c r="CL15" s="1566">
        <v>201</v>
      </c>
      <c r="CM15" s="1567">
        <v>284</v>
      </c>
      <c r="CN15" s="1568">
        <f t="shared" si="13"/>
        <v>3889</v>
      </c>
      <c r="CO15" s="1565">
        <v>16</v>
      </c>
      <c r="CP15" s="1566">
        <v>190</v>
      </c>
      <c r="CQ15" s="1566">
        <v>113</v>
      </c>
      <c r="CR15" s="1566">
        <v>125</v>
      </c>
      <c r="CS15" s="1566">
        <v>62</v>
      </c>
      <c r="CT15" s="1566">
        <v>11</v>
      </c>
      <c r="CU15" s="1566">
        <v>90</v>
      </c>
      <c r="CV15" s="1566">
        <v>38</v>
      </c>
      <c r="CW15" s="1566">
        <v>45</v>
      </c>
      <c r="CX15" s="1566">
        <v>22</v>
      </c>
      <c r="CY15" s="1566">
        <v>52</v>
      </c>
      <c r="CZ15" s="1567">
        <v>122</v>
      </c>
      <c r="DA15" s="1568">
        <f t="shared" si="15"/>
        <v>886</v>
      </c>
      <c r="DB15" s="1565">
        <v>0</v>
      </c>
      <c r="DC15" s="1566">
        <v>0</v>
      </c>
      <c r="DD15" s="1566">
        <v>714</v>
      </c>
      <c r="DE15" s="1566">
        <v>142</v>
      </c>
      <c r="DF15" s="1566">
        <v>6</v>
      </c>
      <c r="DG15" s="1566">
        <v>42</v>
      </c>
      <c r="DH15" s="1566">
        <v>21</v>
      </c>
      <c r="DI15" s="1566">
        <v>2164</v>
      </c>
      <c r="DJ15" s="1566">
        <v>5</v>
      </c>
      <c r="DK15" s="1566">
        <v>1</v>
      </c>
      <c r="DL15" s="1566">
        <v>1</v>
      </c>
      <c r="DM15" s="1567">
        <v>0</v>
      </c>
      <c r="DN15" s="1568">
        <f t="shared" si="30"/>
        <v>3096</v>
      </c>
      <c r="DO15" s="1565">
        <v>0</v>
      </c>
      <c r="DP15" s="1566">
        <v>12</v>
      </c>
      <c r="DQ15" s="1566">
        <v>1055</v>
      </c>
      <c r="DR15" s="1566">
        <v>13</v>
      </c>
      <c r="DS15" s="1566">
        <v>13</v>
      </c>
      <c r="DT15" s="1566">
        <v>-11</v>
      </c>
      <c r="DU15" s="1566">
        <v>26</v>
      </c>
      <c r="DV15" s="1566">
        <v>87</v>
      </c>
      <c r="DW15" s="1566">
        <v>0</v>
      </c>
      <c r="DX15" s="1566">
        <v>95</v>
      </c>
      <c r="DY15" s="1566">
        <v>3304</v>
      </c>
      <c r="DZ15" s="1567">
        <v>15</v>
      </c>
      <c r="EA15" s="1568">
        <f t="shared" si="31"/>
        <v>4609</v>
      </c>
      <c r="EB15" s="1565">
        <v>0</v>
      </c>
      <c r="EC15" s="1566">
        <v>45</v>
      </c>
      <c r="ED15" s="1566">
        <v>6</v>
      </c>
      <c r="EE15" s="1566">
        <v>71</v>
      </c>
      <c r="EF15" s="1566">
        <v>118</v>
      </c>
      <c r="EG15" s="1566">
        <v>40</v>
      </c>
      <c r="EH15" s="1566">
        <v>2368</v>
      </c>
      <c r="EI15" s="1566">
        <v>198</v>
      </c>
      <c r="EJ15" s="1566">
        <v>7</v>
      </c>
      <c r="EK15" s="1566">
        <v>693</v>
      </c>
      <c r="EL15" s="1566">
        <v>1774</v>
      </c>
      <c r="EM15" s="1567">
        <v>2906</v>
      </c>
      <c r="EN15" s="1568">
        <f t="shared" si="32"/>
        <v>8226</v>
      </c>
      <c r="EO15" s="1565">
        <v>0</v>
      </c>
      <c r="EP15" s="1566">
        <v>1045</v>
      </c>
      <c r="EQ15" s="1566">
        <v>120</v>
      </c>
      <c r="ER15" s="1566">
        <v>93</v>
      </c>
      <c r="ES15" s="1566">
        <v>896</v>
      </c>
      <c r="ET15" s="1566">
        <v>724</v>
      </c>
      <c r="EU15" s="1566">
        <v>89</v>
      </c>
      <c r="EV15" s="1566">
        <v>4131</v>
      </c>
      <c r="EW15" s="1566">
        <v>244</v>
      </c>
      <c r="EX15" s="1566">
        <v>403</v>
      </c>
      <c r="EY15" s="1566">
        <v>792</v>
      </c>
      <c r="EZ15" s="1567">
        <v>270</v>
      </c>
      <c r="FA15" s="1568">
        <f t="shared" si="33"/>
        <v>8807</v>
      </c>
      <c r="FB15" s="1565">
        <v>5</v>
      </c>
      <c r="FC15" s="1566">
        <v>337</v>
      </c>
      <c r="FD15" s="1566">
        <v>1580</v>
      </c>
      <c r="FE15" s="1566">
        <v>521</v>
      </c>
      <c r="FF15" s="1566">
        <v>65</v>
      </c>
      <c r="FG15" s="1566">
        <v>44</v>
      </c>
      <c r="FH15" s="1566">
        <v>86</v>
      </c>
      <c r="FI15" s="1566">
        <v>198</v>
      </c>
      <c r="FJ15" s="1566">
        <v>399</v>
      </c>
      <c r="FK15" s="1566">
        <v>1433</v>
      </c>
      <c r="FL15" s="1566">
        <v>968</v>
      </c>
      <c r="FM15" s="1567">
        <v>1102</v>
      </c>
      <c r="FN15" s="1568">
        <f t="shared" si="34"/>
        <v>6738</v>
      </c>
      <c r="FO15" s="1565">
        <v>256</v>
      </c>
      <c r="FP15" s="1566">
        <v>9</v>
      </c>
      <c r="FQ15" s="1566">
        <v>310</v>
      </c>
      <c r="FR15" s="1566">
        <v>85</v>
      </c>
      <c r="FS15" s="1566">
        <v>321</v>
      </c>
      <c r="FT15" s="1566">
        <v>108</v>
      </c>
      <c r="FU15" s="1566">
        <v>240</v>
      </c>
      <c r="FV15" s="1566">
        <v>612</v>
      </c>
      <c r="FW15" s="1566">
        <v>54</v>
      </c>
      <c r="FX15" s="1566">
        <v>49</v>
      </c>
      <c r="FY15" s="1566">
        <v>391</v>
      </c>
      <c r="FZ15" s="1567">
        <v>319</v>
      </c>
      <c r="GA15" s="1568">
        <f t="shared" si="35"/>
        <v>2754</v>
      </c>
      <c r="GB15" s="1565">
        <v>0</v>
      </c>
      <c r="GC15" s="1566">
        <v>3</v>
      </c>
      <c r="GD15" s="1566">
        <v>29</v>
      </c>
      <c r="GE15" s="1566">
        <v>8</v>
      </c>
      <c r="GF15" s="1566">
        <v>330</v>
      </c>
      <c r="GG15" s="1566">
        <v>119</v>
      </c>
      <c r="GH15" s="1566">
        <v>43</v>
      </c>
      <c r="GI15" s="1566">
        <v>301</v>
      </c>
      <c r="GJ15" s="1566">
        <v>151</v>
      </c>
      <c r="GK15" s="1566">
        <v>75</v>
      </c>
      <c r="GL15" s="1566">
        <v>295</v>
      </c>
      <c r="GM15" s="1567">
        <v>1007</v>
      </c>
      <c r="GN15" s="1568">
        <f t="shared" si="36"/>
        <v>2361</v>
      </c>
      <c r="GO15" s="1565">
        <v>0</v>
      </c>
      <c r="GP15" s="1566">
        <v>103</v>
      </c>
      <c r="GQ15" s="1566">
        <v>47</v>
      </c>
      <c r="GR15" s="1566">
        <v>30</v>
      </c>
      <c r="GS15" s="1566">
        <v>118</v>
      </c>
      <c r="GT15" s="1566">
        <v>98</v>
      </c>
      <c r="GU15" s="1566">
        <v>1487</v>
      </c>
      <c r="GV15" s="1566">
        <v>77</v>
      </c>
      <c r="GW15" s="1566">
        <v>2799</v>
      </c>
      <c r="GX15" s="1566">
        <v>2579</v>
      </c>
      <c r="GY15" s="1566">
        <v>4785</v>
      </c>
      <c r="GZ15" s="1567">
        <v>5671</v>
      </c>
      <c r="HA15" s="1568">
        <f t="shared" si="37"/>
        <v>17794</v>
      </c>
      <c r="HB15" s="1565">
        <v>274</v>
      </c>
      <c r="HC15" s="1566">
        <v>833</v>
      </c>
      <c r="HD15" s="1566">
        <v>492</v>
      </c>
      <c r="HE15" s="1566">
        <v>1386</v>
      </c>
      <c r="HF15" s="1566">
        <v>2480</v>
      </c>
      <c r="HG15" s="1566">
        <v>5171</v>
      </c>
      <c r="HH15" s="1566">
        <v>6670</v>
      </c>
      <c r="HI15" s="1566">
        <v>1275</v>
      </c>
      <c r="HJ15" s="1566">
        <v>2711</v>
      </c>
      <c r="HK15" s="1566">
        <v>7126</v>
      </c>
      <c r="HL15" s="1566">
        <v>4033</v>
      </c>
      <c r="HM15" s="1567">
        <v>4290</v>
      </c>
      <c r="HN15" s="1568">
        <f t="shared" si="38"/>
        <v>36741</v>
      </c>
      <c r="HO15" s="1565">
        <v>777</v>
      </c>
      <c r="HP15" s="1566">
        <v>1482</v>
      </c>
      <c r="HQ15" s="1566">
        <v>1362</v>
      </c>
      <c r="HR15" s="1566">
        <v>155</v>
      </c>
      <c r="HS15" s="1566">
        <v>1644</v>
      </c>
      <c r="HT15" s="1566">
        <v>1337</v>
      </c>
      <c r="HU15" s="1566">
        <v>1024</v>
      </c>
      <c r="HV15" s="1566">
        <v>685</v>
      </c>
      <c r="HW15" s="1566">
        <v>772</v>
      </c>
      <c r="HX15" s="1566">
        <v>539</v>
      </c>
      <c r="HY15" s="1566">
        <v>3122</v>
      </c>
      <c r="HZ15" s="1567">
        <v>2524</v>
      </c>
      <c r="IA15" s="1565">
        <f t="shared" si="39"/>
        <v>15423</v>
      </c>
      <c r="IB15" s="1569">
        <v>393</v>
      </c>
      <c r="IC15" s="1068">
        <v>659</v>
      </c>
      <c r="ID15" s="1068">
        <v>821</v>
      </c>
      <c r="IE15" s="1068">
        <v>548</v>
      </c>
      <c r="IF15" s="1068">
        <v>433</v>
      </c>
      <c r="IG15">
        <v>1248</v>
      </c>
      <c r="IH15" s="1068">
        <v>1549</v>
      </c>
      <c r="II15" s="1068">
        <v>641</v>
      </c>
      <c r="IJ15" s="1068"/>
      <c r="IK15" s="1068"/>
      <c r="IL15" s="1068"/>
      <c r="IM15" s="1570"/>
      <c r="IN15" s="1571">
        <f t="shared" si="40"/>
        <v>6292</v>
      </c>
      <c r="IP15" s="1656">
        <f t="shared" si="27"/>
        <v>-6.4233576642335759</v>
      </c>
      <c r="IQ15" s="1656">
        <f t="shared" si="41"/>
        <v>-25.679187337585642</v>
      </c>
      <c r="IR15" s="1657">
        <f t="shared" si="28"/>
        <v>8466</v>
      </c>
      <c r="IS15" s="1657">
        <f t="shared" si="29"/>
        <v>6292</v>
      </c>
      <c r="IT15" s="1658"/>
      <c r="IU15" s="221">
        <f t="shared" si="42"/>
        <v>-44</v>
      </c>
    </row>
    <row r="16" spans="1:264" ht="15" customHeight="1" x14ac:dyDescent="0.2">
      <c r="A16" s="1551" t="s">
        <v>632</v>
      </c>
      <c r="B16" s="1565"/>
      <c r="C16" s="1566"/>
      <c r="D16" s="1566"/>
      <c r="E16" s="1566"/>
      <c r="F16" s="1566"/>
      <c r="G16" s="1566"/>
      <c r="H16" s="1566"/>
      <c r="I16" s="1566"/>
      <c r="J16" s="1566"/>
      <c r="K16" s="1566"/>
      <c r="L16" s="1566"/>
      <c r="M16" s="1567"/>
      <c r="N16" s="1568">
        <f t="shared" si="1"/>
        <v>0</v>
      </c>
      <c r="O16" s="1565"/>
      <c r="P16" s="1566"/>
      <c r="Q16" s="1566"/>
      <c r="R16" s="1566"/>
      <c r="S16" s="1566"/>
      <c r="T16" s="1566"/>
      <c r="U16" s="1566"/>
      <c r="V16" s="1566"/>
      <c r="W16" s="1566"/>
      <c r="X16" s="1566"/>
      <c r="Y16" s="1566"/>
      <c r="Z16" s="1567"/>
      <c r="AA16" s="1568">
        <f t="shared" si="3"/>
        <v>0</v>
      </c>
      <c r="AB16" s="1565"/>
      <c r="AC16" s="1566"/>
      <c r="AD16" s="1566"/>
      <c r="AE16" s="1566"/>
      <c r="AF16" s="1566"/>
      <c r="AG16" s="1566"/>
      <c r="AH16" s="1566"/>
      <c r="AI16" s="1566"/>
      <c r="AJ16" s="1566"/>
      <c r="AK16" s="1566"/>
      <c r="AL16" s="1566"/>
      <c r="AM16" s="1567"/>
      <c r="AN16" s="1568">
        <f t="shared" si="5"/>
        <v>0</v>
      </c>
      <c r="AO16" s="1565"/>
      <c r="AP16" s="1566"/>
      <c r="AQ16" s="1566"/>
      <c r="AR16" s="1566"/>
      <c r="AS16" s="1566"/>
      <c r="AT16" s="1566"/>
      <c r="AU16" s="1566">
        <v>0</v>
      </c>
      <c r="AV16" s="1566">
        <v>0</v>
      </c>
      <c r="AW16" s="1566">
        <v>0</v>
      </c>
      <c r="AX16" s="1566">
        <v>0</v>
      </c>
      <c r="AY16" s="1566">
        <v>0</v>
      </c>
      <c r="AZ16" s="1567">
        <v>0</v>
      </c>
      <c r="BA16" s="1568">
        <f t="shared" si="7"/>
        <v>0</v>
      </c>
      <c r="BB16" s="1565">
        <v>0</v>
      </c>
      <c r="BC16" s="1566">
        <v>0</v>
      </c>
      <c r="BD16" s="1566">
        <v>0</v>
      </c>
      <c r="BE16" s="1566">
        <v>0</v>
      </c>
      <c r="BF16" s="1566">
        <v>0</v>
      </c>
      <c r="BG16" s="1566">
        <v>0</v>
      </c>
      <c r="BH16" s="1566">
        <v>0</v>
      </c>
      <c r="BI16" s="1566">
        <v>0</v>
      </c>
      <c r="BJ16" s="1566">
        <v>0</v>
      </c>
      <c r="BK16" s="1566">
        <v>0</v>
      </c>
      <c r="BL16" s="1566">
        <v>0</v>
      </c>
      <c r="BM16" s="1567">
        <v>0</v>
      </c>
      <c r="BN16" s="1568">
        <f t="shared" si="9"/>
        <v>0</v>
      </c>
      <c r="BO16" s="1565">
        <v>0</v>
      </c>
      <c r="BP16" s="1566">
        <v>0</v>
      </c>
      <c r="BQ16" s="1566">
        <v>0</v>
      </c>
      <c r="BR16" s="1566">
        <v>0</v>
      </c>
      <c r="BS16" s="1566">
        <v>0</v>
      </c>
      <c r="BT16" s="1566">
        <v>0</v>
      </c>
      <c r="BU16" s="1566">
        <v>0</v>
      </c>
      <c r="BV16" s="1566">
        <v>0</v>
      </c>
      <c r="BW16" s="1566">
        <v>0</v>
      </c>
      <c r="BX16" s="1566">
        <v>0</v>
      </c>
      <c r="BY16" s="1566">
        <v>0</v>
      </c>
      <c r="BZ16" s="1567">
        <v>0</v>
      </c>
      <c r="CA16" s="1568">
        <f t="shared" si="11"/>
        <v>0</v>
      </c>
      <c r="CB16" s="1565">
        <v>0</v>
      </c>
      <c r="CC16" s="1566">
        <v>0</v>
      </c>
      <c r="CD16" s="1566">
        <v>0</v>
      </c>
      <c r="CE16" s="1566">
        <v>0</v>
      </c>
      <c r="CF16" s="1566">
        <v>0</v>
      </c>
      <c r="CG16" s="1566">
        <v>0</v>
      </c>
      <c r="CH16" s="1566">
        <v>0</v>
      </c>
      <c r="CI16" s="1566">
        <v>0</v>
      </c>
      <c r="CJ16" s="1566">
        <v>0</v>
      </c>
      <c r="CK16" s="1566">
        <v>0</v>
      </c>
      <c r="CL16" s="1566">
        <v>0</v>
      </c>
      <c r="CM16" s="1567">
        <v>0</v>
      </c>
      <c r="CN16" s="1568">
        <f t="shared" si="13"/>
        <v>0</v>
      </c>
      <c r="CO16" s="1565">
        <v>0</v>
      </c>
      <c r="CP16" s="1566">
        <v>0</v>
      </c>
      <c r="CQ16" s="1566">
        <v>0</v>
      </c>
      <c r="CR16" s="1566">
        <v>0</v>
      </c>
      <c r="CS16" s="1566">
        <v>0</v>
      </c>
      <c r="CT16" s="1566">
        <v>0</v>
      </c>
      <c r="CU16" s="1566">
        <v>0</v>
      </c>
      <c r="CV16" s="1566">
        <v>0</v>
      </c>
      <c r="CW16" s="1566">
        <v>0</v>
      </c>
      <c r="CX16" s="1566">
        <v>0</v>
      </c>
      <c r="CY16" s="1566">
        <v>0</v>
      </c>
      <c r="CZ16" s="1567">
        <v>0</v>
      </c>
      <c r="DA16" s="1568">
        <f t="shared" si="15"/>
        <v>0</v>
      </c>
      <c r="DB16" s="1565">
        <v>0</v>
      </c>
      <c r="DC16" s="1566">
        <v>0</v>
      </c>
      <c r="DD16" s="1566">
        <v>0</v>
      </c>
      <c r="DE16" s="1566">
        <v>0</v>
      </c>
      <c r="DF16" s="1566">
        <v>0</v>
      </c>
      <c r="DG16" s="1566">
        <v>0</v>
      </c>
      <c r="DH16" s="1566">
        <v>0</v>
      </c>
      <c r="DI16" s="1566">
        <v>0</v>
      </c>
      <c r="DJ16" s="1566">
        <v>0</v>
      </c>
      <c r="DK16" s="1566">
        <v>0</v>
      </c>
      <c r="DL16" s="1566">
        <v>0</v>
      </c>
      <c r="DM16" s="1567">
        <v>0</v>
      </c>
      <c r="DN16" s="1568">
        <f t="shared" si="30"/>
        <v>0</v>
      </c>
      <c r="DO16" s="1565">
        <v>0</v>
      </c>
      <c r="DP16" s="1566">
        <v>0</v>
      </c>
      <c r="DQ16" s="1566">
        <v>0</v>
      </c>
      <c r="DR16" s="1566">
        <v>0</v>
      </c>
      <c r="DS16" s="1566">
        <v>0</v>
      </c>
      <c r="DT16" s="1566">
        <v>0</v>
      </c>
      <c r="DU16" s="1566">
        <v>0</v>
      </c>
      <c r="DV16" s="1566">
        <v>0</v>
      </c>
      <c r="DW16" s="1566">
        <v>0</v>
      </c>
      <c r="DX16" s="1566">
        <v>0</v>
      </c>
      <c r="DY16" s="1566">
        <v>0</v>
      </c>
      <c r="DZ16" s="1567">
        <v>0</v>
      </c>
      <c r="EA16" s="1568">
        <f t="shared" si="31"/>
        <v>0</v>
      </c>
      <c r="EB16" s="1565">
        <v>0</v>
      </c>
      <c r="EC16" s="1566">
        <v>0</v>
      </c>
      <c r="ED16" s="1566">
        <v>0</v>
      </c>
      <c r="EE16" s="1566">
        <v>0</v>
      </c>
      <c r="EF16" s="1566">
        <v>0</v>
      </c>
      <c r="EG16" s="1566">
        <v>0</v>
      </c>
      <c r="EH16" s="1566">
        <v>0</v>
      </c>
      <c r="EI16" s="1566">
        <v>0</v>
      </c>
      <c r="EJ16" s="1566">
        <v>0</v>
      </c>
      <c r="EK16" s="1566">
        <v>0</v>
      </c>
      <c r="EL16" s="1566">
        <v>0</v>
      </c>
      <c r="EM16" s="1567">
        <v>0</v>
      </c>
      <c r="EN16" s="1568">
        <f t="shared" si="32"/>
        <v>0</v>
      </c>
      <c r="EO16" s="1565">
        <v>0</v>
      </c>
      <c r="EP16" s="1566">
        <v>0</v>
      </c>
      <c r="EQ16" s="1566">
        <v>0</v>
      </c>
      <c r="ER16" s="1566">
        <v>0</v>
      </c>
      <c r="ES16" s="1566">
        <v>0</v>
      </c>
      <c r="ET16" s="1566">
        <v>0</v>
      </c>
      <c r="EU16" s="1566">
        <v>0</v>
      </c>
      <c r="EV16" s="1566">
        <v>0</v>
      </c>
      <c r="EW16" s="1566">
        <v>0</v>
      </c>
      <c r="EX16" s="1566">
        <v>0</v>
      </c>
      <c r="EY16" s="1566">
        <v>0</v>
      </c>
      <c r="EZ16" s="1567">
        <v>0</v>
      </c>
      <c r="FA16" s="1568">
        <f t="shared" si="33"/>
        <v>0</v>
      </c>
      <c r="FB16" s="1565">
        <v>0</v>
      </c>
      <c r="FC16" s="1566">
        <v>0</v>
      </c>
      <c r="FD16" s="1566">
        <v>0</v>
      </c>
      <c r="FE16" s="1566">
        <v>0</v>
      </c>
      <c r="FF16" s="1566">
        <v>0</v>
      </c>
      <c r="FG16" s="1566">
        <v>0</v>
      </c>
      <c r="FH16" s="1566">
        <v>0</v>
      </c>
      <c r="FI16" s="1566">
        <v>0</v>
      </c>
      <c r="FJ16" s="1566">
        <v>0</v>
      </c>
      <c r="FK16" s="1566">
        <v>0</v>
      </c>
      <c r="FL16" s="1566">
        <v>0</v>
      </c>
      <c r="FM16" s="1567">
        <v>0</v>
      </c>
      <c r="FN16" s="1568">
        <f t="shared" si="34"/>
        <v>0</v>
      </c>
      <c r="FO16" s="1565">
        <v>0</v>
      </c>
      <c r="FP16" s="1566">
        <v>0</v>
      </c>
      <c r="FQ16" s="1566">
        <v>0</v>
      </c>
      <c r="FR16" s="1566">
        <v>0</v>
      </c>
      <c r="FS16" s="1566">
        <v>0</v>
      </c>
      <c r="FT16" s="1566">
        <v>0</v>
      </c>
      <c r="FU16" s="1566">
        <v>0</v>
      </c>
      <c r="FV16" s="1566">
        <v>0</v>
      </c>
      <c r="FW16" s="1566">
        <v>0</v>
      </c>
      <c r="FX16" s="1566">
        <v>0</v>
      </c>
      <c r="FY16" s="1566">
        <v>0</v>
      </c>
      <c r="FZ16" s="1567">
        <v>0</v>
      </c>
      <c r="GA16" s="1568">
        <f t="shared" si="35"/>
        <v>0</v>
      </c>
      <c r="GB16" s="1565">
        <v>0</v>
      </c>
      <c r="GC16" s="1566">
        <v>0</v>
      </c>
      <c r="GD16" s="1566">
        <v>0</v>
      </c>
      <c r="GE16" s="1566">
        <v>0</v>
      </c>
      <c r="GF16" s="1566">
        <v>0</v>
      </c>
      <c r="GG16" s="1566">
        <v>0</v>
      </c>
      <c r="GH16" s="1566">
        <v>0</v>
      </c>
      <c r="GI16" s="1566">
        <v>0</v>
      </c>
      <c r="GJ16" s="1566">
        <v>0</v>
      </c>
      <c r="GK16" s="1566">
        <v>0</v>
      </c>
      <c r="GL16" s="1566">
        <v>0</v>
      </c>
      <c r="GM16" s="1567">
        <v>0</v>
      </c>
      <c r="GN16" s="1568">
        <f t="shared" si="36"/>
        <v>0</v>
      </c>
      <c r="GO16" s="1565">
        <v>0</v>
      </c>
      <c r="GP16" s="1566">
        <v>0</v>
      </c>
      <c r="GQ16" s="1566">
        <v>0</v>
      </c>
      <c r="GR16" s="1566">
        <v>0</v>
      </c>
      <c r="GS16" s="1566">
        <v>0</v>
      </c>
      <c r="GT16" s="1566">
        <v>0</v>
      </c>
      <c r="GU16" s="1566">
        <v>0</v>
      </c>
      <c r="GV16" s="1566">
        <v>0</v>
      </c>
      <c r="GW16" s="1566">
        <v>0</v>
      </c>
      <c r="GX16" s="1566">
        <v>0</v>
      </c>
      <c r="GY16" s="1566">
        <v>0</v>
      </c>
      <c r="GZ16" s="1567">
        <v>0</v>
      </c>
      <c r="HA16" s="1568">
        <f t="shared" si="37"/>
        <v>0</v>
      </c>
      <c r="HB16" s="1565">
        <v>0</v>
      </c>
      <c r="HC16" s="1566">
        <v>0</v>
      </c>
      <c r="HD16" s="1566">
        <v>0</v>
      </c>
      <c r="HE16" s="1566">
        <v>0</v>
      </c>
      <c r="HF16" s="1566">
        <v>0</v>
      </c>
      <c r="HG16" s="1566">
        <v>0</v>
      </c>
      <c r="HH16" s="1566">
        <v>0</v>
      </c>
      <c r="HI16" s="1566">
        <v>0</v>
      </c>
      <c r="HJ16" s="1566">
        <v>0</v>
      </c>
      <c r="HK16" s="1566">
        <v>0</v>
      </c>
      <c r="HL16" s="1566">
        <v>0</v>
      </c>
      <c r="HM16" s="1567">
        <v>0</v>
      </c>
      <c r="HN16" s="1568">
        <f t="shared" si="38"/>
        <v>0</v>
      </c>
      <c r="HO16" s="1565">
        <v>0</v>
      </c>
      <c r="HP16" s="1566">
        <v>0</v>
      </c>
      <c r="HQ16" s="1566">
        <v>0</v>
      </c>
      <c r="HR16" s="1566">
        <v>0</v>
      </c>
      <c r="HS16" s="1566">
        <v>0</v>
      </c>
      <c r="HT16" s="1566">
        <v>0</v>
      </c>
      <c r="HU16" s="1566">
        <v>0</v>
      </c>
      <c r="HV16" s="1566">
        <v>0</v>
      </c>
      <c r="HW16" s="1566">
        <v>0</v>
      </c>
      <c r="HX16" s="1566">
        <v>0</v>
      </c>
      <c r="HY16" s="1566">
        <v>0</v>
      </c>
      <c r="HZ16" s="1567">
        <v>0</v>
      </c>
      <c r="IA16" s="1565">
        <f t="shared" si="39"/>
        <v>0</v>
      </c>
      <c r="IB16" s="1569">
        <v>0</v>
      </c>
      <c r="IC16" s="1068">
        <v>0</v>
      </c>
      <c r="ID16" s="1068">
        <v>0</v>
      </c>
      <c r="IE16" s="1068">
        <v>0</v>
      </c>
      <c r="IF16" s="1068">
        <v>0</v>
      </c>
      <c r="IG16">
        <v>0</v>
      </c>
      <c r="IH16" s="1068">
        <v>0</v>
      </c>
      <c r="II16" s="1068">
        <v>0</v>
      </c>
      <c r="IJ16" s="1068"/>
      <c r="IK16" s="1068"/>
      <c r="IL16" s="1068"/>
      <c r="IM16" s="1570"/>
      <c r="IN16" s="1571">
        <f t="shared" si="40"/>
        <v>0</v>
      </c>
      <c r="IP16" s="1656" t="str">
        <f t="shared" si="27"/>
        <v/>
      </c>
      <c r="IQ16" s="1656" t="str">
        <f t="shared" si="41"/>
        <v/>
      </c>
      <c r="IR16" s="1657">
        <f t="shared" si="28"/>
        <v>0</v>
      </c>
      <c r="IS16" s="1657">
        <f t="shared" si="29"/>
        <v>0</v>
      </c>
      <c r="IT16" s="1658"/>
      <c r="IU16" s="221">
        <f t="shared" si="42"/>
        <v>0</v>
      </c>
    </row>
    <row r="17" spans="1:264" ht="15" customHeight="1" x14ac:dyDescent="0.2">
      <c r="A17" s="1551" t="s">
        <v>633</v>
      </c>
      <c r="B17" s="1565"/>
      <c r="C17" s="1566"/>
      <c r="D17" s="1566"/>
      <c r="E17" s="1566"/>
      <c r="F17" s="1566"/>
      <c r="G17" s="1566"/>
      <c r="H17" s="1566"/>
      <c r="I17" s="1566"/>
      <c r="J17" s="1566"/>
      <c r="K17" s="1566"/>
      <c r="L17" s="1566"/>
      <c r="M17" s="1567"/>
      <c r="N17" s="1568"/>
      <c r="O17" s="1565"/>
      <c r="P17" s="1566"/>
      <c r="Q17" s="1566"/>
      <c r="R17" s="1566"/>
      <c r="S17" s="1566"/>
      <c r="T17" s="1566"/>
      <c r="U17" s="1566"/>
      <c r="V17" s="1566"/>
      <c r="W17" s="1566"/>
      <c r="X17" s="1566"/>
      <c r="Y17" s="1566"/>
      <c r="Z17" s="1567"/>
      <c r="AA17" s="1568"/>
      <c r="AB17" s="1565"/>
      <c r="AC17" s="1566"/>
      <c r="AD17" s="1566"/>
      <c r="AE17" s="1566"/>
      <c r="AF17" s="1566"/>
      <c r="AG17" s="1566"/>
      <c r="AH17" s="1566"/>
      <c r="AI17" s="1566"/>
      <c r="AJ17" s="1566"/>
      <c r="AK17" s="1566"/>
      <c r="AL17" s="1566"/>
      <c r="AM17" s="1567"/>
      <c r="AN17" s="1568"/>
      <c r="AO17" s="1565"/>
      <c r="AP17" s="1566"/>
      <c r="AQ17" s="1566"/>
      <c r="AR17" s="1566"/>
      <c r="AS17" s="1566"/>
      <c r="AT17" s="1566"/>
      <c r="AU17" s="1566"/>
      <c r="AV17" s="1566"/>
      <c r="AW17" s="1566"/>
      <c r="AX17" s="1566"/>
      <c r="AY17" s="1566"/>
      <c r="AZ17" s="1567"/>
      <c r="BA17" s="1568"/>
      <c r="BB17" s="1565"/>
      <c r="BC17" s="1566"/>
      <c r="BD17" s="1566"/>
      <c r="BE17" s="1566"/>
      <c r="BF17" s="1566"/>
      <c r="BG17" s="1566"/>
      <c r="BH17" s="1566"/>
      <c r="BI17" s="1566"/>
      <c r="BJ17" s="1566"/>
      <c r="BK17" s="1566"/>
      <c r="BL17" s="1566"/>
      <c r="BM17" s="1567"/>
      <c r="BN17" s="1568"/>
      <c r="BO17" s="1565"/>
      <c r="BP17" s="1566"/>
      <c r="BQ17" s="1566"/>
      <c r="BR17" s="1566"/>
      <c r="BS17" s="1566"/>
      <c r="BT17" s="1566"/>
      <c r="BU17" s="1566"/>
      <c r="BV17" s="1566"/>
      <c r="BW17" s="1566"/>
      <c r="BX17" s="1566"/>
      <c r="BY17" s="1566"/>
      <c r="BZ17" s="1567"/>
      <c r="CA17" s="1568"/>
      <c r="CB17" s="1565"/>
      <c r="CC17" s="1566"/>
      <c r="CD17" s="1566"/>
      <c r="CE17" s="1566"/>
      <c r="CF17" s="1566"/>
      <c r="CG17" s="1566"/>
      <c r="CH17" s="1566"/>
      <c r="CI17" s="1566"/>
      <c r="CJ17" s="1566"/>
      <c r="CK17" s="1566"/>
      <c r="CL17" s="1566"/>
      <c r="CM17" s="1567"/>
      <c r="CN17" s="1568"/>
      <c r="CO17" s="1565"/>
      <c r="CP17" s="1566"/>
      <c r="CQ17" s="1566"/>
      <c r="CR17" s="1566"/>
      <c r="CS17" s="1566"/>
      <c r="CT17" s="1566"/>
      <c r="CU17" s="1566"/>
      <c r="CV17" s="1566"/>
      <c r="CW17" s="1566"/>
      <c r="CX17" s="1566"/>
      <c r="CY17" s="1566"/>
      <c r="CZ17" s="1567"/>
      <c r="DA17" s="1568"/>
      <c r="DB17" s="1565"/>
      <c r="DC17" s="1566"/>
      <c r="DD17" s="1566"/>
      <c r="DE17" s="1566"/>
      <c r="DF17" s="1566"/>
      <c r="DG17" s="1566"/>
      <c r="DH17" s="1566"/>
      <c r="DI17" s="1566"/>
      <c r="DJ17" s="1566"/>
      <c r="DK17" s="1566"/>
      <c r="DL17" s="1566"/>
      <c r="DM17" s="1567"/>
      <c r="DN17" s="1568"/>
      <c r="DO17" s="1565"/>
      <c r="DP17" s="1566"/>
      <c r="DQ17" s="1566"/>
      <c r="DR17" s="1566"/>
      <c r="DS17" s="1566"/>
      <c r="DT17" s="1566"/>
      <c r="DU17" s="1566"/>
      <c r="DV17" s="1566"/>
      <c r="DW17" s="1566"/>
      <c r="DX17" s="1566"/>
      <c r="DY17" s="1566"/>
      <c r="DZ17" s="1567"/>
      <c r="EA17" s="1568"/>
      <c r="EB17" s="1565"/>
      <c r="EC17" s="1566"/>
      <c r="ED17" s="1566"/>
      <c r="EE17" s="1566"/>
      <c r="EF17" s="1566"/>
      <c r="EG17" s="1566"/>
      <c r="EH17" s="1566"/>
      <c r="EI17" s="1566"/>
      <c r="EJ17" s="1566"/>
      <c r="EK17" s="1566"/>
      <c r="EL17" s="1566"/>
      <c r="EM17" s="1567"/>
      <c r="EN17" s="1568"/>
      <c r="EO17" s="1565"/>
      <c r="EP17" s="1566"/>
      <c r="EQ17" s="1566"/>
      <c r="ER17" s="1566"/>
      <c r="ES17" s="1566"/>
      <c r="ET17" s="1566"/>
      <c r="EU17" s="1566"/>
      <c r="EV17" s="1566"/>
      <c r="EW17" s="1566"/>
      <c r="EX17" s="1566"/>
      <c r="EY17" s="1566"/>
      <c r="EZ17" s="1567"/>
      <c r="FA17" s="1568"/>
      <c r="FB17" s="1565">
        <v>0</v>
      </c>
      <c r="FC17" s="1566">
        <v>0</v>
      </c>
      <c r="FD17" s="1566">
        <v>0</v>
      </c>
      <c r="FE17" s="1566">
        <v>0</v>
      </c>
      <c r="FF17" s="1566">
        <v>0</v>
      </c>
      <c r="FG17" s="1566">
        <v>0</v>
      </c>
      <c r="FH17" s="1566">
        <v>0</v>
      </c>
      <c r="FI17" s="1566">
        <v>0</v>
      </c>
      <c r="FJ17" s="1566">
        <v>0</v>
      </c>
      <c r="FK17" s="1566">
        <v>0</v>
      </c>
      <c r="FL17" s="1566">
        <v>0</v>
      </c>
      <c r="FM17" s="1567">
        <v>0</v>
      </c>
      <c r="FN17" s="1568">
        <f>SUM(FB17:FM17)</f>
        <v>0</v>
      </c>
      <c r="FO17" s="1565">
        <v>0</v>
      </c>
      <c r="FP17" s="1566">
        <v>0</v>
      </c>
      <c r="FQ17" s="1566">
        <v>0</v>
      </c>
      <c r="FR17" s="1566">
        <v>0</v>
      </c>
      <c r="FS17" s="1566">
        <v>0</v>
      </c>
      <c r="FT17" s="1566">
        <v>0</v>
      </c>
      <c r="FU17" s="1566">
        <v>0</v>
      </c>
      <c r="FV17" s="1566">
        <v>0</v>
      </c>
      <c r="FW17" s="1566">
        <v>0</v>
      </c>
      <c r="FX17" s="1566">
        <v>0</v>
      </c>
      <c r="FY17" s="1566">
        <v>0</v>
      </c>
      <c r="FZ17" s="1567">
        <v>0</v>
      </c>
      <c r="GA17" s="1568">
        <f t="shared" si="35"/>
        <v>0</v>
      </c>
      <c r="GB17" s="1565">
        <v>0</v>
      </c>
      <c r="GC17" s="1566">
        <v>0</v>
      </c>
      <c r="GD17" s="1566">
        <v>0</v>
      </c>
      <c r="GE17" s="1566">
        <v>0</v>
      </c>
      <c r="GF17" s="1566">
        <v>0</v>
      </c>
      <c r="GG17" s="1566">
        <v>0</v>
      </c>
      <c r="GH17" s="1566">
        <v>8</v>
      </c>
      <c r="GI17" s="1566">
        <v>8</v>
      </c>
      <c r="GJ17" s="1566">
        <v>29</v>
      </c>
      <c r="GK17" s="1566">
        <v>20</v>
      </c>
      <c r="GL17" s="1566">
        <v>6</v>
      </c>
      <c r="GM17" s="1567">
        <v>0</v>
      </c>
      <c r="GN17" s="1568">
        <f t="shared" si="36"/>
        <v>71</v>
      </c>
      <c r="GO17" s="1565">
        <v>0</v>
      </c>
      <c r="GP17" s="1566">
        <v>0</v>
      </c>
      <c r="GQ17" s="1566">
        <v>16</v>
      </c>
      <c r="GR17" s="1566">
        <v>18</v>
      </c>
      <c r="GS17" s="1566">
        <v>0</v>
      </c>
      <c r="GT17" s="1566">
        <v>140</v>
      </c>
      <c r="GU17" s="1566">
        <v>0</v>
      </c>
      <c r="GV17" s="1566">
        <v>71</v>
      </c>
      <c r="GW17" s="1566">
        <v>39</v>
      </c>
      <c r="GX17" s="1566">
        <v>4</v>
      </c>
      <c r="GY17" s="1566">
        <v>33</v>
      </c>
      <c r="GZ17" s="1567">
        <v>103</v>
      </c>
      <c r="HA17" s="1568">
        <f t="shared" si="37"/>
        <v>424</v>
      </c>
      <c r="HB17" s="1565">
        <v>0</v>
      </c>
      <c r="HC17" s="1566">
        <v>0</v>
      </c>
      <c r="HD17" s="1566">
        <v>70</v>
      </c>
      <c r="HE17" s="1566">
        <v>181</v>
      </c>
      <c r="HF17" s="1566">
        <v>89</v>
      </c>
      <c r="HG17" s="1566">
        <v>376</v>
      </c>
      <c r="HH17" s="1566">
        <v>57</v>
      </c>
      <c r="HI17" s="1566">
        <v>5</v>
      </c>
      <c r="HJ17" s="1566">
        <v>12</v>
      </c>
      <c r="HK17" s="1566">
        <v>4</v>
      </c>
      <c r="HL17" s="1566">
        <v>0</v>
      </c>
      <c r="HM17" s="1567">
        <v>16</v>
      </c>
      <c r="HN17" s="1568">
        <f t="shared" si="38"/>
        <v>810</v>
      </c>
      <c r="HO17" s="1565">
        <v>0</v>
      </c>
      <c r="HP17" s="1566">
        <v>0</v>
      </c>
      <c r="HQ17" s="1566">
        <v>3</v>
      </c>
      <c r="HR17" s="1566">
        <v>6</v>
      </c>
      <c r="HS17" s="1566">
        <v>12</v>
      </c>
      <c r="HT17" s="1566">
        <v>2</v>
      </c>
      <c r="HU17" s="1566">
        <v>10</v>
      </c>
      <c r="HV17" s="1566">
        <v>13</v>
      </c>
      <c r="HW17" s="1566">
        <v>29</v>
      </c>
      <c r="HX17" s="1566">
        <v>27</v>
      </c>
      <c r="HY17" s="1566">
        <v>65</v>
      </c>
      <c r="HZ17" s="1567">
        <v>295</v>
      </c>
      <c r="IA17" s="1565">
        <f t="shared" si="39"/>
        <v>462</v>
      </c>
      <c r="IB17" s="1569">
        <v>1</v>
      </c>
      <c r="IC17" s="1068">
        <v>97</v>
      </c>
      <c r="ID17" s="1068">
        <v>105</v>
      </c>
      <c r="IE17" s="1068">
        <v>271</v>
      </c>
      <c r="IF17" s="1068">
        <v>263</v>
      </c>
      <c r="IG17">
        <v>144</v>
      </c>
      <c r="IH17" s="1068">
        <v>205</v>
      </c>
      <c r="II17" s="1068">
        <v>194</v>
      </c>
      <c r="IJ17" s="1068"/>
      <c r="IK17" s="1068"/>
      <c r="IL17" s="1068"/>
      <c r="IM17" s="1570"/>
      <c r="IN17" s="1571">
        <f t="shared" si="40"/>
        <v>1280</v>
      </c>
      <c r="IP17" s="1656">
        <f t="shared" si="27"/>
        <v>1392.3076923076924</v>
      </c>
      <c r="IQ17" s="1656">
        <f t="shared" si="41"/>
        <v>2682.608695652174</v>
      </c>
      <c r="IR17" s="1657">
        <f t="shared" si="28"/>
        <v>46</v>
      </c>
      <c r="IS17" s="1657">
        <f t="shared" si="29"/>
        <v>1280</v>
      </c>
      <c r="IT17" s="1658"/>
      <c r="IU17" s="221">
        <f t="shared" si="42"/>
        <v>181</v>
      </c>
    </row>
    <row r="18" spans="1:264" ht="15" customHeight="1" x14ac:dyDescent="0.2">
      <c r="A18" s="1551" t="s">
        <v>634</v>
      </c>
      <c r="B18" s="1565">
        <v>0</v>
      </c>
      <c r="C18" s="1566">
        <v>0</v>
      </c>
      <c r="D18" s="1566">
        <v>0</v>
      </c>
      <c r="E18" s="1566">
        <v>0</v>
      </c>
      <c r="F18" s="1566">
        <v>0</v>
      </c>
      <c r="G18" s="1566">
        <v>0</v>
      </c>
      <c r="H18" s="1566">
        <v>0</v>
      </c>
      <c r="I18" s="1566">
        <v>0</v>
      </c>
      <c r="J18" s="1566">
        <v>0</v>
      </c>
      <c r="K18" s="1566">
        <v>0</v>
      </c>
      <c r="L18" s="1566">
        <v>0</v>
      </c>
      <c r="M18" s="1567">
        <v>0</v>
      </c>
      <c r="N18" s="1568">
        <f t="shared" si="1"/>
        <v>0</v>
      </c>
      <c r="O18" s="1565">
        <v>0</v>
      </c>
      <c r="P18" s="1566">
        <v>68</v>
      </c>
      <c r="Q18" s="1566">
        <v>1868</v>
      </c>
      <c r="R18" s="1566">
        <v>32</v>
      </c>
      <c r="S18" s="1566">
        <v>70</v>
      </c>
      <c r="T18" s="1566">
        <v>20</v>
      </c>
      <c r="U18" s="1566">
        <v>5</v>
      </c>
      <c r="V18" s="1566">
        <v>37</v>
      </c>
      <c r="W18" s="1566">
        <v>88</v>
      </c>
      <c r="X18" s="1566">
        <v>114</v>
      </c>
      <c r="Y18" s="1566">
        <v>71</v>
      </c>
      <c r="Z18" s="1567">
        <v>424</v>
      </c>
      <c r="AA18" s="1568">
        <f t="shared" si="3"/>
        <v>2797</v>
      </c>
      <c r="AB18" s="1565">
        <v>0</v>
      </c>
      <c r="AC18" s="1566">
        <v>30</v>
      </c>
      <c r="AD18" s="1566">
        <v>0</v>
      </c>
      <c r="AE18" s="1566">
        <v>3</v>
      </c>
      <c r="AF18" s="1566">
        <v>0</v>
      </c>
      <c r="AG18" s="1566">
        <v>0</v>
      </c>
      <c r="AH18" s="1566">
        <v>73</v>
      </c>
      <c r="AI18" s="1566">
        <v>262</v>
      </c>
      <c r="AJ18" s="1566">
        <v>13</v>
      </c>
      <c r="AK18" s="1566">
        <v>707</v>
      </c>
      <c r="AL18" s="1566">
        <v>412</v>
      </c>
      <c r="AM18" s="1567">
        <v>338</v>
      </c>
      <c r="AN18" s="1568">
        <f t="shared" si="5"/>
        <v>1838</v>
      </c>
      <c r="AO18" s="1565">
        <v>0</v>
      </c>
      <c r="AP18" s="1566">
        <v>0</v>
      </c>
      <c r="AQ18" s="1566">
        <v>0</v>
      </c>
      <c r="AR18" s="1566">
        <v>198</v>
      </c>
      <c r="AS18" s="1566">
        <v>0</v>
      </c>
      <c r="AT18" s="1566">
        <v>0</v>
      </c>
      <c r="AU18" s="1566">
        <v>3</v>
      </c>
      <c r="AV18" s="1566">
        <v>3</v>
      </c>
      <c r="AW18" s="1566">
        <v>6</v>
      </c>
      <c r="AX18" s="1566">
        <v>0</v>
      </c>
      <c r="AY18" s="1566">
        <v>0</v>
      </c>
      <c r="AZ18" s="1567">
        <v>28</v>
      </c>
      <c r="BA18" s="1568">
        <f t="shared" si="7"/>
        <v>238</v>
      </c>
      <c r="BB18" s="1565">
        <v>0</v>
      </c>
      <c r="BC18" s="1566">
        <v>0</v>
      </c>
      <c r="BD18" s="1566">
        <v>0</v>
      </c>
      <c r="BE18" s="1566">
        <v>0</v>
      </c>
      <c r="BF18" s="1566"/>
      <c r="BG18" s="1566">
        <v>7</v>
      </c>
      <c r="BH18" s="1566">
        <v>0</v>
      </c>
      <c r="BI18" s="1566">
        <v>0</v>
      </c>
      <c r="BJ18" s="1566">
        <v>0</v>
      </c>
      <c r="BK18" s="1566">
        <v>0</v>
      </c>
      <c r="BL18" s="1566">
        <v>20</v>
      </c>
      <c r="BM18" s="1567">
        <v>1228</v>
      </c>
      <c r="BN18" s="1568">
        <f t="shared" si="9"/>
        <v>1255</v>
      </c>
      <c r="BO18" s="1565">
        <v>0</v>
      </c>
      <c r="BP18" s="1566">
        <v>0</v>
      </c>
      <c r="BQ18" s="1566">
        <v>62</v>
      </c>
      <c r="BR18" s="1566">
        <v>102</v>
      </c>
      <c r="BS18" s="1566">
        <v>868</v>
      </c>
      <c r="BT18" s="1566">
        <v>838</v>
      </c>
      <c r="BU18" s="1566">
        <v>0</v>
      </c>
      <c r="BV18" s="1566">
        <v>43</v>
      </c>
      <c r="BW18" s="1566">
        <v>0</v>
      </c>
      <c r="BX18" s="1566">
        <v>16</v>
      </c>
      <c r="BY18" s="1566">
        <v>110</v>
      </c>
      <c r="BZ18" s="1567">
        <v>461</v>
      </c>
      <c r="CA18" s="1568">
        <f t="shared" si="11"/>
        <v>2500</v>
      </c>
      <c r="CB18" s="1565">
        <v>0</v>
      </c>
      <c r="CC18" s="1566">
        <v>0</v>
      </c>
      <c r="CD18" s="1566">
        <v>0</v>
      </c>
      <c r="CE18" s="1566">
        <v>0</v>
      </c>
      <c r="CF18" s="1566">
        <v>0</v>
      </c>
      <c r="CG18" s="1566">
        <v>0</v>
      </c>
      <c r="CH18" s="1566">
        <v>0</v>
      </c>
      <c r="CI18" s="1566">
        <v>264</v>
      </c>
      <c r="CJ18" s="1566">
        <v>0</v>
      </c>
      <c r="CK18" s="1566">
        <v>540</v>
      </c>
      <c r="CL18" s="1566">
        <v>65</v>
      </c>
      <c r="CM18" s="1567">
        <v>447</v>
      </c>
      <c r="CN18" s="1568">
        <f t="shared" si="13"/>
        <v>1316</v>
      </c>
      <c r="CO18" s="1565">
        <v>0</v>
      </c>
      <c r="CP18" s="1566">
        <v>110</v>
      </c>
      <c r="CQ18" s="1566">
        <v>30</v>
      </c>
      <c r="CR18" s="1566">
        <v>39</v>
      </c>
      <c r="CS18" s="1566">
        <v>15</v>
      </c>
      <c r="CT18" s="1566">
        <v>111</v>
      </c>
      <c r="CU18" s="1566">
        <v>209</v>
      </c>
      <c r="CV18" s="1566">
        <v>0</v>
      </c>
      <c r="CW18" s="1566">
        <v>37</v>
      </c>
      <c r="CX18" s="1566">
        <v>31</v>
      </c>
      <c r="CY18" s="1566">
        <v>101</v>
      </c>
      <c r="CZ18" s="1567">
        <v>273</v>
      </c>
      <c r="DA18" s="1568">
        <f t="shared" si="15"/>
        <v>956</v>
      </c>
      <c r="DB18" s="1565">
        <v>0</v>
      </c>
      <c r="DC18" s="1566">
        <v>0</v>
      </c>
      <c r="DD18" s="1566">
        <v>199</v>
      </c>
      <c r="DE18" s="1566">
        <v>76</v>
      </c>
      <c r="DF18" s="1566">
        <v>168</v>
      </c>
      <c r="DG18" s="1566">
        <v>400</v>
      </c>
      <c r="DH18" s="1566">
        <v>389</v>
      </c>
      <c r="DI18" s="1566">
        <v>132</v>
      </c>
      <c r="DJ18" s="1566">
        <v>121</v>
      </c>
      <c r="DK18" s="1566">
        <v>300</v>
      </c>
      <c r="DL18" s="1566">
        <v>315</v>
      </c>
      <c r="DM18" s="1567">
        <v>139</v>
      </c>
      <c r="DN18" s="1568">
        <f t="shared" si="30"/>
        <v>2239</v>
      </c>
      <c r="DO18" s="1565">
        <v>0</v>
      </c>
      <c r="DP18" s="1566">
        <v>279</v>
      </c>
      <c r="DQ18" s="1566">
        <v>66</v>
      </c>
      <c r="DR18" s="1566">
        <v>18</v>
      </c>
      <c r="DS18" s="1566">
        <v>9</v>
      </c>
      <c r="DT18" s="1566">
        <v>44</v>
      </c>
      <c r="DU18" s="1566">
        <v>56</v>
      </c>
      <c r="DV18" s="1566">
        <v>32</v>
      </c>
      <c r="DW18" s="1566">
        <v>159</v>
      </c>
      <c r="DX18" s="1566">
        <v>32</v>
      </c>
      <c r="DY18" s="1566">
        <v>39</v>
      </c>
      <c r="DZ18" s="1567">
        <v>217</v>
      </c>
      <c r="EA18" s="1568">
        <f t="shared" si="31"/>
        <v>951</v>
      </c>
      <c r="EB18" s="1565">
        <v>0</v>
      </c>
      <c r="EC18" s="1566">
        <v>0</v>
      </c>
      <c r="ED18" s="1566">
        <v>0</v>
      </c>
      <c r="EE18" s="1566">
        <v>0</v>
      </c>
      <c r="EF18" s="1566">
        <v>2</v>
      </c>
      <c r="EG18" s="1566">
        <v>116</v>
      </c>
      <c r="EH18" s="1566">
        <v>-14</v>
      </c>
      <c r="EI18" s="1566">
        <v>10</v>
      </c>
      <c r="EJ18" s="1566">
        <v>0</v>
      </c>
      <c r="EK18" s="1566">
        <v>1326</v>
      </c>
      <c r="EL18" s="1566">
        <v>9118</v>
      </c>
      <c r="EM18" s="1567">
        <v>4857</v>
      </c>
      <c r="EN18" s="1568">
        <f t="shared" si="32"/>
        <v>15415</v>
      </c>
      <c r="EO18" s="1565">
        <v>1073</v>
      </c>
      <c r="EP18" s="1566">
        <v>1497</v>
      </c>
      <c r="EQ18" s="1566">
        <v>14622</v>
      </c>
      <c r="ER18" s="1566">
        <v>1376</v>
      </c>
      <c r="ES18" s="1566">
        <v>1482</v>
      </c>
      <c r="ET18" s="1566">
        <v>1955</v>
      </c>
      <c r="EU18" s="1566">
        <v>4191</v>
      </c>
      <c r="EV18" s="1566">
        <v>4768</v>
      </c>
      <c r="EW18" s="1566">
        <v>6905</v>
      </c>
      <c r="EX18" s="1566">
        <v>7451</v>
      </c>
      <c r="EY18" s="1566">
        <v>5261</v>
      </c>
      <c r="EZ18" s="1567">
        <v>5604</v>
      </c>
      <c r="FA18" s="1568">
        <f t="shared" si="33"/>
        <v>56185</v>
      </c>
      <c r="FB18" s="1565">
        <v>444</v>
      </c>
      <c r="FC18" s="1566">
        <v>971</v>
      </c>
      <c r="FD18" s="1566">
        <v>1508</v>
      </c>
      <c r="FE18" s="1566">
        <v>721</v>
      </c>
      <c r="FF18" s="1566">
        <v>0</v>
      </c>
      <c r="FG18" s="1566">
        <v>7</v>
      </c>
      <c r="FH18" s="1566">
        <v>4389</v>
      </c>
      <c r="FI18" s="1566">
        <v>5136</v>
      </c>
      <c r="FJ18" s="1566">
        <v>4229</v>
      </c>
      <c r="FK18" s="1566">
        <v>5309</v>
      </c>
      <c r="FL18" s="1566">
        <v>2123</v>
      </c>
      <c r="FM18" s="1567">
        <v>5129</v>
      </c>
      <c r="FN18" s="1568">
        <f t="shared" si="34"/>
        <v>29966</v>
      </c>
      <c r="FO18" s="1565">
        <v>1257</v>
      </c>
      <c r="FP18" s="1566">
        <v>52</v>
      </c>
      <c r="FQ18" s="1566">
        <v>0</v>
      </c>
      <c r="FR18" s="1566">
        <v>83</v>
      </c>
      <c r="FS18" s="1566">
        <v>121</v>
      </c>
      <c r="FT18" s="1566">
        <v>65</v>
      </c>
      <c r="FU18" s="1566">
        <v>382</v>
      </c>
      <c r="FV18" s="1566">
        <v>247</v>
      </c>
      <c r="FW18" s="1566">
        <v>5</v>
      </c>
      <c r="FX18" s="1566">
        <v>27</v>
      </c>
      <c r="FY18" s="1566">
        <v>23</v>
      </c>
      <c r="FZ18" s="1567">
        <v>2486</v>
      </c>
      <c r="GA18" s="1568">
        <f t="shared" si="35"/>
        <v>4748</v>
      </c>
      <c r="GB18" s="1565">
        <v>0</v>
      </c>
      <c r="GC18" s="1566">
        <v>0</v>
      </c>
      <c r="GD18" s="1566">
        <v>0</v>
      </c>
      <c r="GE18" s="1566">
        <v>6</v>
      </c>
      <c r="GF18" s="1566">
        <v>471</v>
      </c>
      <c r="GG18" s="1566">
        <v>13</v>
      </c>
      <c r="GH18" s="1566">
        <v>26</v>
      </c>
      <c r="GI18" s="1566">
        <v>15</v>
      </c>
      <c r="GJ18" s="1566">
        <v>1676</v>
      </c>
      <c r="GK18" s="1566">
        <v>39</v>
      </c>
      <c r="GL18" s="1566">
        <v>33</v>
      </c>
      <c r="GM18" s="1567">
        <v>203</v>
      </c>
      <c r="GN18" s="1568">
        <f t="shared" si="36"/>
        <v>2482</v>
      </c>
      <c r="GO18" s="1565">
        <v>0</v>
      </c>
      <c r="GP18" s="1566">
        <v>0</v>
      </c>
      <c r="GQ18" s="1566">
        <v>29</v>
      </c>
      <c r="GR18" s="1566">
        <v>6</v>
      </c>
      <c r="GS18" s="1566">
        <v>242</v>
      </c>
      <c r="GT18" s="1566">
        <v>-2</v>
      </c>
      <c r="GU18" s="1566">
        <v>8</v>
      </c>
      <c r="GV18" s="1566">
        <v>63</v>
      </c>
      <c r="GW18" s="1566">
        <v>19</v>
      </c>
      <c r="GX18" s="1566">
        <v>35</v>
      </c>
      <c r="GY18" s="1566">
        <v>187</v>
      </c>
      <c r="GZ18" s="1567">
        <v>28</v>
      </c>
      <c r="HA18" s="1568">
        <f t="shared" si="37"/>
        <v>615</v>
      </c>
      <c r="HB18" s="1565">
        <v>0</v>
      </c>
      <c r="HC18" s="1566">
        <v>0</v>
      </c>
      <c r="HD18" s="1566">
        <v>13</v>
      </c>
      <c r="HE18" s="1566">
        <v>0</v>
      </c>
      <c r="HF18" s="1566">
        <v>0</v>
      </c>
      <c r="HG18" s="1566">
        <v>52</v>
      </c>
      <c r="HH18" s="1566">
        <v>8</v>
      </c>
      <c r="HI18" s="1566">
        <v>115</v>
      </c>
      <c r="HJ18" s="1566">
        <v>21</v>
      </c>
      <c r="HK18" s="1566">
        <v>45</v>
      </c>
      <c r="HL18" s="1566">
        <v>203</v>
      </c>
      <c r="HM18" s="1567">
        <v>182</v>
      </c>
      <c r="HN18" s="1568">
        <f t="shared" si="38"/>
        <v>639</v>
      </c>
      <c r="HO18" s="1565">
        <v>0</v>
      </c>
      <c r="HP18" s="1566">
        <v>482</v>
      </c>
      <c r="HQ18" s="1566">
        <v>965</v>
      </c>
      <c r="HR18" s="1566">
        <v>314</v>
      </c>
      <c r="HS18" s="1566">
        <v>324</v>
      </c>
      <c r="HT18" s="1566">
        <v>553</v>
      </c>
      <c r="HU18" s="1566">
        <v>438</v>
      </c>
      <c r="HV18" s="1566">
        <v>150</v>
      </c>
      <c r="HW18" s="1566">
        <v>746</v>
      </c>
      <c r="HX18" s="1566">
        <v>297</v>
      </c>
      <c r="HY18" s="1566">
        <v>392</v>
      </c>
      <c r="HZ18" s="1567">
        <v>1130</v>
      </c>
      <c r="IA18" s="1565">
        <f>SUM(HO18:HZ18)</f>
        <v>5791</v>
      </c>
      <c r="IB18" s="1569">
        <v>0</v>
      </c>
      <c r="IC18" s="1068">
        <v>273</v>
      </c>
      <c r="ID18" s="1068">
        <v>199</v>
      </c>
      <c r="IE18" s="1068">
        <v>0</v>
      </c>
      <c r="IF18" s="1068">
        <v>0</v>
      </c>
      <c r="IG18">
        <v>0</v>
      </c>
      <c r="IH18" s="1068">
        <v>146</v>
      </c>
      <c r="II18" s="1068">
        <v>27</v>
      </c>
      <c r="IJ18" s="1068"/>
      <c r="IK18" s="1068"/>
      <c r="IL18" s="1068"/>
      <c r="IM18" s="1570"/>
      <c r="IN18" s="1571">
        <f t="shared" si="40"/>
        <v>645</v>
      </c>
      <c r="IP18" s="1656">
        <f t="shared" si="27"/>
        <v>-82</v>
      </c>
      <c r="IQ18" s="1656">
        <f t="shared" si="41"/>
        <v>-80.006199628022316</v>
      </c>
      <c r="IR18" s="1657">
        <f t="shared" si="28"/>
        <v>3226</v>
      </c>
      <c r="IS18" s="1657">
        <f t="shared" si="29"/>
        <v>645</v>
      </c>
      <c r="IT18" s="1658"/>
      <c r="IU18" s="221">
        <f t="shared" si="42"/>
        <v>-123</v>
      </c>
    </row>
    <row r="19" spans="1:264" ht="15" customHeight="1" x14ac:dyDescent="0.2">
      <c r="A19" s="1551" t="s">
        <v>635</v>
      </c>
      <c r="B19" s="1565">
        <v>0</v>
      </c>
      <c r="C19" s="1566">
        <v>0</v>
      </c>
      <c r="D19" s="1566">
        <v>0</v>
      </c>
      <c r="E19" s="1566">
        <v>0</v>
      </c>
      <c r="F19" s="1566">
        <v>0</v>
      </c>
      <c r="G19" s="1566">
        <v>0</v>
      </c>
      <c r="H19" s="1566">
        <v>0</v>
      </c>
      <c r="I19" s="1566">
        <v>0</v>
      </c>
      <c r="J19" s="1566">
        <v>0</v>
      </c>
      <c r="K19" s="1566">
        <v>0</v>
      </c>
      <c r="L19" s="1566">
        <v>0</v>
      </c>
      <c r="M19" s="1567">
        <v>0</v>
      </c>
      <c r="N19" s="1568">
        <f t="shared" si="1"/>
        <v>0</v>
      </c>
      <c r="O19" s="1565">
        <v>0</v>
      </c>
      <c r="P19" s="1566">
        <v>0</v>
      </c>
      <c r="Q19" s="1566">
        <v>0</v>
      </c>
      <c r="R19" s="1566">
        <v>0</v>
      </c>
      <c r="S19" s="1566">
        <v>0</v>
      </c>
      <c r="T19" s="1566">
        <v>0</v>
      </c>
      <c r="U19" s="1566">
        <v>0</v>
      </c>
      <c r="V19" s="1566">
        <v>0</v>
      </c>
      <c r="W19" s="1566">
        <v>0</v>
      </c>
      <c r="X19" s="1566">
        <v>0</v>
      </c>
      <c r="Y19" s="1566">
        <v>0</v>
      </c>
      <c r="Z19" s="1567">
        <v>0</v>
      </c>
      <c r="AA19" s="1568">
        <f t="shared" si="3"/>
        <v>0</v>
      </c>
      <c r="AB19" s="1565">
        <v>0</v>
      </c>
      <c r="AC19" s="1566">
        <v>0</v>
      </c>
      <c r="AD19" s="1566">
        <v>0</v>
      </c>
      <c r="AE19" s="1566">
        <v>0</v>
      </c>
      <c r="AF19" s="1566">
        <v>0</v>
      </c>
      <c r="AG19" s="1566">
        <v>0</v>
      </c>
      <c r="AH19" s="1566">
        <v>0</v>
      </c>
      <c r="AI19" s="1566">
        <v>0</v>
      </c>
      <c r="AJ19" s="1566">
        <v>0</v>
      </c>
      <c r="AK19" s="1566">
        <v>0</v>
      </c>
      <c r="AL19" s="1566">
        <v>0</v>
      </c>
      <c r="AM19" s="1567">
        <v>0</v>
      </c>
      <c r="AN19" s="1568">
        <f t="shared" si="5"/>
        <v>0</v>
      </c>
      <c r="AO19" s="1565">
        <v>0</v>
      </c>
      <c r="AP19" s="1566">
        <v>0</v>
      </c>
      <c r="AQ19" s="1566">
        <v>0</v>
      </c>
      <c r="AR19" s="1566">
        <v>0</v>
      </c>
      <c r="AS19" s="1566">
        <v>0</v>
      </c>
      <c r="AT19" s="1566">
        <v>0</v>
      </c>
      <c r="AU19" s="1566">
        <v>0</v>
      </c>
      <c r="AV19" s="1566">
        <v>0</v>
      </c>
      <c r="AW19" s="1566">
        <v>0</v>
      </c>
      <c r="AX19" s="1566">
        <v>0</v>
      </c>
      <c r="AY19" s="1566">
        <v>0</v>
      </c>
      <c r="AZ19" s="1567">
        <v>0</v>
      </c>
      <c r="BA19" s="1568">
        <f t="shared" si="7"/>
        <v>0</v>
      </c>
      <c r="BB19" s="1565">
        <v>0</v>
      </c>
      <c r="BC19" s="1566">
        <v>0</v>
      </c>
      <c r="BD19" s="1566">
        <v>0</v>
      </c>
      <c r="BE19" s="1566">
        <v>0</v>
      </c>
      <c r="BF19" s="1566">
        <v>0</v>
      </c>
      <c r="BG19" s="1566">
        <v>0</v>
      </c>
      <c r="BH19" s="1566">
        <v>0</v>
      </c>
      <c r="BI19" s="1566">
        <v>0</v>
      </c>
      <c r="BJ19" s="1566">
        <v>0</v>
      </c>
      <c r="BK19" s="1566">
        <v>0</v>
      </c>
      <c r="BL19" s="1566">
        <v>0</v>
      </c>
      <c r="BM19" s="1567">
        <v>0</v>
      </c>
      <c r="BN19" s="1568">
        <f t="shared" si="9"/>
        <v>0</v>
      </c>
      <c r="BO19" s="1565">
        <v>0</v>
      </c>
      <c r="BP19" s="1566">
        <v>0</v>
      </c>
      <c r="BQ19" s="1566">
        <v>0</v>
      </c>
      <c r="BR19" s="1566">
        <v>0</v>
      </c>
      <c r="BS19" s="1566">
        <v>0</v>
      </c>
      <c r="BT19" s="1566">
        <v>0</v>
      </c>
      <c r="BU19" s="1566">
        <v>0</v>
      </c>
      <c r="BV19" s="1566">
        <v>0</v>
      </c>
      <c r="BW19" s="1566">
        <v>0</v>
      </c>
      <c r="BX19" s="1566">
        <v>0</v>
      </c>
      <c r="BY19" s="1566">
        <v>0</v>
      </c>
      <c r="BZ19" s="1567">
        <v>0</v>
      </c>
      <c r="CA19" s="1568">
        <f t="shared" si="11"/>
        <v>0</v>
      </c>
      <c r="CB19" s="1565">
        <v>0</v>
      </c>
      <c r="CC19" s="1566">
        <v>0</v>
      </c>
      <c r="CD19" s="1566">
        <v>0</v>
      </c>
      <c r="CE19" s="1566">
        <v>0</v>
      </c>
      <c r="CF19" s="1566">
        <v>0</v>
      </c>
      <c r="CG19" s="1566">
        <v>0</v>
      </c>
      <c r="CH19" s="1566">
        <v>0</v>
      </c>
      <c r="CI19" s="1566">
        <v>0</v>
      </c>
      <c r="CJ19" s="1566">
        <v>0</v>
      </c>
      <c r="CK19" s="1566">
        <v>0</v>
      </c>
      <c r="CL19" s="1566">
        <v>0</v>
      </c>
      <c r="CM19" s="1567">
        <v>0</v>
      </c>
      <c r="CN19" s="1568">
        <f t="shared" si="13"/>
        <v>0</v>
      </c>
      <c r="CO19" s="1565">
        <v>0</v>
      </c>
      <c r="CP19" s="1566">
        <v>0</v>
      </c>
      <c r="CQ19" s="1566">
        <v>0</v>
      </c>
      <c r="CR19" s="1566">
        <v>0</v>
      </c>
      <c r="CS19" s="1566">
        <v>0</v>
      </c>
      <c r="CT19" s="1566">
        <v>0</v>
      </c>
      <c r="CU19" s="1566">
        <v>0</v>
      </c>
      <c r="CV19" s="1566">
        <v>0</v>
      </c>
      <c r="CW19" s="1566">
        <v>0</v>
      </c>
      <c r="CX19" s="1566">
        <v>12</v>
      </c>
      <c r="CY19" s="1566">
        <v>15</v>
      </c>
      <c r="CZ19" s="1567">
        <v>7</v>
      </c>
      <c r="DA19" s="1568">
        <f t="shared" si="15"/>
        <v>34</v>
      </c>
      <c r="DB19" s="1565">
        <v>0</v>
      </c>
      <c r="DC19" s="1566">
        <v>0</v>
      </c>
      <c r="DD19" s="1566">
        <v>13</v>
      </c>
      <c r="DE19" s="1566">
        <v>11</v>
      </c>
      <c r="DF19" s="1566">
        <v>0</v>
      </c>
      <c r="DG19" s="1566">
        <v>0</v>
      </c>
      <c r="DH19" s="1566">
        <v>2</v>
      </c>
      <c r="DI19" s="1566">
        <v>1</v>
      </c>
      <c r="DJ19" s="1566">
        <v>5</v>
      </c>
      <c r="DK19" s="1566">
        <v>0</v>
      </c>
      <c r="DL19" s="1566">
        <v>0</v>
      </c>
      <c r="DM19" s="1567">
        <v>0</v>
      </c>
      <c r="DN19" s="1568">
        <f t="shared" si="30"/>
        <v>32</v>
      </c>
      <c r="DO19" s="1565">
        <v>0</v>
      </c>
      <c r="DP19" s="1566">
        <v>0</v>
      </c>
      <c r="DQ19" s="1566">
        <v>0</v>
      </c>
      <c r="DR19" s="1566">
        <v>0</v>
      </c>
      <c r="DS19" s="1566">
        <v>0</v>
      </c>
      <c r="DT19" s="1566">
        <v>0</v>
      </c>
      <c r="DU19" s="1566">
        <v>0</v>
      </c>
      <c r="DV19" s="1566">
        <v>0</v>
      </c>
      <c r="DW19" s="1566">
        <v>0</v>
      </c>
      <c r="DX19" s="1566">
        <v>0</v>
      </c>
      <c r="DY19" s="1566">
        <v>0</v>
      </c>
      <c r="DZ19" s="1567">
        <v>0</v>
      </c>
      <c r="EA19" s="1568">
        <f t="shared" si="31"/>
        <v>0</v>
      </c>
      <c r="EB19" s="1565">
        <v>0</v>
      </c>
      <c r="EC19" s="1566">
        <v>0</v>
      </c>
      <c r="ED19" s="1566">
        <v>0</v>
      </c>
      <c r="EE19" s="1566">
        <v>0</v>
      </c>
      <c r="EF19" s="1566">
        <v>0</v>
      </c>
      <c r="EG19" s="1566">
        <v>0</v>
      </c>
      <c r="EH19" s="1566">
        <v>0</v>
      </c>
      <c r="EI19" s="1566">
        <v>0</v>
      </c>
      <c r="EJ19" s="1566">
        <v>0</v>
      </c>
      <c r="EK19" s="1566">
        <v>0</v>
      </c>
      <c r="EL19" s="1566">
        <v>0</v>
      </c>
      <c r="EM19" s="1567">
        <v>0</v>
      </c>
      <c r="EN19" s="1568">
        <f t="shared" si="32"/>
        <v>0</v>
      </c>
      <c r="EO19" s="1565">
        <v>0</v>
      </c>
      <c r="EP19" s="1566">
        <v>0</v>
      </c>
      <c r="EQ19" s="1566">
        <v>0</v>
      </c>
      <c r="ER19" s="1566">
        <v>0</v>
      </c>
      <c r="ES19" s="1566">
        <v>0</v>
      </c>
      <c r="ET19" s="1566">
        <v>0</v>
      </c>
      <c r="EU19" s="1566">
        <v>0</v>
      </c>
      <c r="EV19" s="1566">
        <v>0</v>
      </c>
      <c r="EW19" s="1566">
        <v>0</v>
      </c>
      <c r="EX19" s="1566">
        <v>0</v>
      </c>
      <c r="EY19" s="1566">
        <v>0</v>
      </c>
      <c r="EZ19" s="1567">
        <v>20</v>
      </c>
      <c r="FA19" s="1568">
        <f t="shared" si="33"/>
        <v>20</v>
      </c>
      <c r="FB19" s="1565">
        <v>0</v>
      </c>
      <c r="FC19" s="1566">
        <v>0</v>
      </c>
      <c r="FD19" s="1566">
        <v>0</v>
      </c>
      <c r="FE19" s="1566">
        <v>6</v>
      </c>
      <c r="FF19" s="1566">
        <v>9</v>
      </c>
      <c r="FG19" s="1566">
        <v>0</v>
      </c>
      <c r="FH19" s="1566">
        <v>0</v>
      </c>
      <c r="FI19" s="1566">
        <v>1</v>
      </c>
      <c r="FJ19" s="1566">
        <v>12</v>
      </c>
      <c r="FK19" s="1566">
        <v>2</v>
      </c>
      <c r="FL19" s="1566">
        <v>16</v>
      </c>
      <c r="FM19" s="1567">
        <v>7</v>
      </c>
      <c r="FN19" s="1568">
        <f t="shared" si="34"/>
        <v>53</v>
      </c>
      <c r="FO19" s="1565">
        <v>0</v>
      </c>
      <c r="FP19" s="1566">
        <v>0</v>
      </c>
      <c r="FQ19" s="1566">
        <v>0</v>
      </c>
      <c r="FR19" s="1566">
        <v>0</v>
      </c>
      <c r="FS19" s="1566">
        <v>16</v>
      </c>
      <c r="FT19" s="1566">
        <v>34</v>
      </c>
      <c r="FU19" s="1566">
        <v>15</v>
      </c>
      <c r="FV19" s="1566">
        <v>4</v>
      </c>
      <c r="FW19" s="1566">
        <v>4</v>
      </c>
      <c r="FX19" s="1566">
        <v>0</v>
      </c>
      <c r="FY19" s="1566">
        <v>4</v>
      </c>
      <c r="FZ19" s="1567">
        <v>1</v>
      </c>
      <c r="GA19" s="1568">
        <f t="shared" si="35"/>
        <v>78</v>
      </c>
      <c r="GB19" s="1565">
        <v>1</v>
      </c>
      <c r="GC19" s="1566">
        <v>0</v>
      </c>
      <c r="GD19" s="1566">
        <v>0</v>
      </c>
      <c r="GE19" s="1566">
        <v>0</v>
      </c>
      <c r="GF19" s="1566">
        <v>0</v>
      </c>
      <c r="GG19" s="1566">
        <v>13</v>
      </c>
      <c r="GH19" s="1566">
        <v>0</v>
      </c>
      <c r="GI19" s="1566">
        <v>17</v>
      </c>
      <c r="GJ19" s="1566">
        <v>10</v>
      </c>
      <c r="GK19" s="1566">
        <v>0</v>
      </c>
      <c r="GL19" s="1566">
        <v>0</v>
      </c>
      <c r="GM19" s="1567">
        <v>0</v>
      </c>
      <c r="GN19" s="1568">
        <f t="shared" si="36"/>
        <v>41</v>
      </c>
      <c r="GO19" s="1565">
        <v>1</v>
      </c>
      <c r="GP19" s="1566">
        <v>0</v>
      </c>
      <c r="GQ19" s="1566">
        <v>0</v>
      </c>
      <c r="GR19" s="1566">
        <v>0</v>
      </c>
      <c r="GS19" s="1566">
        <v>0</v>
      </c>
      <c r="GT19" s="1566">
        <v>0</v>
      </c>
      <c r="GU19" s="1566">
        <v>0</v>
      </c>
      <c r="GV19" s="1566">
        <v>22</v>
      </c>
      <c r="GW19" s="1566">
        <v>0</v>
      </c>
      <c r="GX19" s="1566">
        <v>0</v>
      </c>
      <c r="GY19" s="1566">
        <v>0</v>
      </c>
      <c r="GZ19" s="1567">
        <v>10</v>
      </c>
      <c r="HA19" s="1568">
        <f t="shared" si="37"/>
        <v>33</v>
      </c>
      <c r="HB19" s="1565">
        <v>0</v>
      </c>
      <c r="HC19" s="1566">
        <v>0</v>
      </c>
      <c r="HD19" s="1566">
        <v>0</v>
      </c>
      <c r="HE19" s="1566">
        <v>0</v>
      </c>
      <c r="HF19" s="1566">
        <v>0</v>
      </c>
      <c r="HG19" s="1566">
        <v>1</v>
      </c>
      <c r="HH19" s="1566">
        <v>0</v>
      </c>
      <c r="HI19" s="1566">
        <v>0</v>
      </c>
      <c r="HJ19" s="1566">
        <v>0</v>
      </c>
      <c r="HK19" s="1566">
        <v>0</v>
      </c>
      <c r="HL19" s="1566">
        <v>0</v>
      </c>
      <c r="HM19" s="1567">
        <v>1</v>
      </c>
      <c r="HN19" s="1568">
        <f t="shared" si="38"/>
        <v>2</v>
      </c>
      <c r="HO19" s="1565">
        <v>0</v>
      </c>
      <c r="HP19" s="1566">
        <v>0</v>
      </c>
      <c r="HQ19" s="1566">
        <v>0</v>
      </c>
      <c r="HR19" s="1566">
        <v>0</v>
      </c>
      <c r="HS19" s="1566">
        <v>0</v>
      </c>
      <c r="HT19" s="1566">
        <v>0</v>
      </c>
      <c r="HU19" s="1566">
        <v>0</v>
      </c>
      <c r="HV19" s="1566">
        <v>0</v>
      </c>
      <c r="HW19" s="1566">
        <v>0</v>
      </c>
      <c r="HX19" s="1566">
        <v>0</v>
      </c>
      <c r="HY19" s="1566">
        <v>0</v>
      </c>
      <c r="HZ19" s="1567">
        <v>0</v>
      </c>
      <c r="IA19" s="1565">
        <f>SUM(HO19:HZ19)</f>
        <v>0</v>
      </c>
      <c r="IB19" s="1569">
        <v>0</v>
      </c>
      <c r="IC19" s="1068">
        <v>0</v>
      </c>
      <c r="ID19" s="1068">
        <v>0</v>
      </c>
      <c r="IE19" s="1068">
        <v>0</v>
      </c>
      <c r="IF19" s="1068">
        <v>0</v>
      </c>
      <c r="IG19">
        <v>0</v>
      </c>
      <c r="IH19" s="1068">
        <v>0</v>
      </c>
      <c r="II19" s="1068">
        <v>0</v>
      </c>
      <c r="IJ19" s="1068"/>
      <c r="IK19" s="1068"/>
      <c r="IL19" s="1068"/>
      <c r="IM19" s="1570"/>
      <c r="IN19" s="1571">
        <f t="shared" si="40"/>
        <v>0</v>
      </c>
      <c r="IP19" s="1656" t="str">
        <f t="shared" si="27"/>
        <v/>
      </c>
      <c r="IQ19" s="1656" t="str">
        <f t="shared" si="41"/>
        <v/>
      </c>
      <c r="IR19" s="1657">
        <f t="shared" si="28"/>
        <v>0</v>
      </c>
      <c r="IS19" s="1657">
        <f t="shared" si="29"/>
        <v>0</v>
      </c>
      <c r="IT19" s="1658"/>
      <c r="IU19" s="221">
        <f t="shared" si="42"/>
        <v>0</v>
      </c>
    </row>
    <row r="20" spans="1:264" ht="15" customHeight="1" x14ac:dyDescent="0.2">
      <c r="A20" s="1551" t="s">
        <v>636</v>
      </c>
      <c r="B20" s="1565">
        <v>0</v>
      </c>
      <c r="C20" s="1566">
        <v>1</v>
      </c>
      <c r="D20" s="1566">
        <v>14</v>
      </c>
      <c r="E20" s="1566">
        <v>15</v>
      </c>
      <c r="F20" s="1566">
        <v>15</v>
      </c>
      <c r="G20" s="1566">
        <v>0</v>
      </c>
      <c r="H20" s="1566">
        <v>0</v>
      </c>
      <c r="I20" s="1566">
        <v>0</v>
      </c>
      <c r="J20" s="1566">
        <v>0</v>
      </c>
      <c r="K20" s="1566">
        <v>1698</v>
      </c>
      <c r="L20" s="1566">
        <v>1345</v>
      </c>
      <c r="M20" s="1567">
        <v>154</v>
      </c>
      <c r="N20" s="1568">
        <f t="shared" si="1"/>
        <v>3242</v>
      </c>
      <c r="O20" s="1565">
        <v>0</v>
      </c>
      <c r="P20" s="1566">
        <v>0</v>
      </c>
      <c r="Q20" s="1566">
        <v>16</v>
      </c>
      <c r="R20" s="1566">
        <v>115</v>
      </c>
      <c r="S20" s="1566">
        <v>133</v>
      </c>
      <c r="T20" s="1566">
        <v>292</v>
      </c>
      <c r="U20" s="1566">
        <v>14</v>
      </c>
      <c r="V20" s="1566">
        <v>0</v>
      </c>
      <c r="W20" s="1566">
        <v>178</v>
      </c>
      <c r="X20" s="1566">
        <v>12</v>
      </c>
      <c r="Y20" s="1566">
        <v>99</v>
      </c>
      <c r="Z20" s="1567">
        <v>96</v>
      </c>
      <c r="AA20" s="1568">
        <f t="shared" si="3"/>
        <v>955</v>
      </c>
      <c r="AB20" s="1565">
        <v>0</v>
      </c>
      <c r="AC20" s="1566">
        <v>28</v>
      </c>
      <c r="AD20" s="1566">
        <v>5</v>
      </c>
      <c r="AE20" s="1566">
        <v>32</v>
      </c>
      <c r="AF20" s="1566">
        <v>33</v>
      </c>
      <c r="AG20" s="1566">
        <v>44</v>
      </c>
      <c r="AH20" s="1566">
        <v>120</v>
      </c>
      <c r="AI20" s="1566">
        <v>248</v>
      </c>
      <c r="AJ20" s="1566">
        <v>121</v>
      </c>
      <c r="AK20" s="1566">
        <v>7</v>
      </c>
      <c r="AL20" s="1566">
        <v>89</v>
      </c>
      <c r="AM20" s="1567">
        <v>104</v>
      </c>
      <c r="AN20" s="1568">
        <f t="shared" si="5"/>
        <v>831</v>
      </c>
      <c r="AO20" s="1565">
        <v>48</v>
      </c>
      <c r="AP20" s="1566">
        <v>35</v>
      </c>
      <c r="AQ20" s="1566">
        <v>101</v>
      </c>
      <c r="AR20" s="1566">
        <v>53</v>
      </c>
      <c r="AS20" s="1566">
        <v>2</v>
      </c>
      <c r="AT20" s="1566">
        <v>1250</v>
      </c>
      <c r="AU20" s="1566">
        <v>145</v>
      </c>
      <c r="AV20" s="1566">
        <v>52</v>
      </c>
      <c r="AW20" s="1566">
        <v>32</v>
      </c>
      <c r="AX20" s="1566">
        <v>89</v>
      </c>
      <c r="AY20" s="1566">
        <v>9</v>
      </c>
      <c r="AZ20" s="1567">
        <v>162</v>
      </c>
      <c r="BA20" s="1568">
        <f t="shared" si="7"/>
        <v>1978</v>
      </c>
      <c r="BB20" s="1565">
        <v>27</v>
      </c>
      <c r="BC20" s="1566">
        <v>113</v>
      </c>
      <c r="BD20" s="1566">
        <v>93</v>
      </c>
      <c r="BE20" s="1566">
        <v>152</v>
      </c>
      <c r="BF20" s="1566">
        <v>373</v>
      </c>
      <c r="BG20" s="1566">
        <v>268</v>
      </c>
      <c r="BH20" s="1566">
        <v>40</v>
      </c>
      <c r="BI20" s="1566">
        <v>28</v>
      </c>
      <c r="BJ20" s="1566">
        <v>2403</v>
      </c>
      <c r="BK20" s="1566">
        <v>217</v>
      </c>
      <c r="BL20" s="1566">
        <v>259</v>
      </c>
      <c r="BM20" s="1567">
        <v>481</v>
      </c>
      <c r="BN20" s="1568">
        <f t="shared" si="9"/>
        <v>4454</v>
      </c>
      <c r="BO20" s="1565">
        <v>201</v>
      </c>
      <c r="BP20" s="1566">
        <v>100</v>
      </c>
      <c r="BQ20" s="1566">
        <v>83</v>
      </c>
      <c r="BR20" s="1566">
        <v>43</v>
      </c>
      <c r="BS20" s="1566">
        <v>355</v>
      </c>
      <c r="BT20" s="1566">
        <v>4</v>
      </c>
      <c r="BU20" s="1566">
        <v>779</v>
      </c>
      <c r="BV20" s="1566">
        <v>623</v>
      </c>
      <c r="BW20" s="1566">
        <v>60</v>
      </c>
      <c r="BX20" s="1566">
        <v>793</v>
      </c>
      <c r="BY20" s="1566">
        <v>244</v>
      </c>
      <c r="BZ20" s="1567">
        <v>351</v>
      </c>
      <c r="CA20" s="1568">
        <f t="shared" si="11"/>
        <v>3636</v>
      </c>
      <c r="CB20" s="1565">
        <v>7</v>
      </c>
      <c r="CC20" s="1566">
        <v>-0.08</v>
      </c>
      <c r="CD20" s="1566">
        <v>0</v>
      </c>
      <c r="CE20" s="1566">
        <v>21</v>
      </c>
      <c r="CF20" s="1566">
        <v>494</v>
      </c>
      <c r="CG20" s="1566">
        <v>-393</v>
      </c>
      <c r="CH20" s="1566">
        <v>447</v>
      </c>
      <c r="CI20" s="1566">
        <v>21</v>
      </c>
      <c r="CJ20" s="1566">
        <v>41</v>
      </c>
      <c r="CK20" s="1566">
        <v>128</v>
      </c>
      <c r="CL20" s="1566">
        <v>89</v>
      </c>
      <c r="CM20" s="1567">
        <v>1038</v>
      </c>
      <c r="CN20" s="1568">
        <f t="shared" si="13"/>
        <v>1892.92</v>
      </c>
      <c r="CO20" s="1565">
        <v>0</v>
      </c>
      <c r="CP20" s="1566">
        <v>334</v>
      </c>
      <c r="CQ20" s="1566">
        <v>22</v>
      </c>
      <c r="CR20" s="1566">
        <v>0</v>
      </c>
      <c r="CS20" s="1566">
        <v>11</v>
      </c>
      <c r="CT20" s="1566">
        <v>0</v>
      </c>
      <c r="CU20" s="1566">
        <v>3</v>
      </c>
      <c r="CV20" s="1566">
        <v>113</v>
      </c>
      <c r="CW20" s="1566">
        <v>128</v>
      </c>
      <c r="CX20" s="1566">
        <v>22</v>
      </c>
      <c r="CY20" s="1566">
        <v>104</v>
      </c>
      <c r="CZ20" s="1567">
        <v>652</v>
      </c>
      <c r="DA20" s="1568">
        <f t="shared" si="15"/>
        <v>1389</v>
      </c>
      <c r="DB20" s="1565">
        <v>0</v>
      </c>
      <c r="DC20" s="1566">
        <v>5</v>
      </c>
      <c r="DD20" s="1566">
        <v>128</v>
      </c>
      <c r="DE20" s="1566">
        <v>91</v>
      </c>
      <c r="DF20" s="1566">
        <v>248</v>
      </c>
      <c r="DG20" s="1566">
        <v>225</v>
      </c>
      <c r="DH20" s="1566">
        <v>391</v>
      </c>
      <c r="DI20" s="1566">
        <v>459</v>
      </c>
      <c r="DJ20" s="1566">
        <v>56</v>
      </c>
      <c r="DK20" s="1566">
        <v>221</v>
      </c>
      <c r="DL20" s="1566">
        <v>70</v>
      </c>
      <c r="DM20" s="1567">
        <v>379</v>
      </c>
      <c r="DN20" s="1568">
        <f t="shared" si="30"/>
        <v>2273</v>
      </c>
      <c r="DO20" s="1565">
        <v>0</v>
      </c>
      <c r="DP20" s="1566">
        <v>8</v>
      </c>
      <c r="DQ20" s="1566">
        <v>428</v>
      </c>
      <c r="DR20" s="1566">
        <v>8</v>
      </c>
      <c r="DS20" s="1566">
        <v>16</v>
      </c>
      <c r="DT20" s="1566">
        <v>18</v>
      </c>
      <c r="DU20" s="1566">
        <v>1</v>
      </c>
      <c r="DV20" s="1566">
        <v>52</v>
      </c>
      <c r="DW20" s="1566">
        <v>25</v>
      </c>
      <c r="DX20" s="1566">
        <v>283</v>
      </c>
      <c r="DY20" s="1566">
        <v>364</v>
      </c>
      <c r="DZ20" s="1567">
        <v>1005</v>
      </c>
      <c r="EA20" s="1568">
        <f t="shared" si="31"/>
        <v>2208</v>
      </c>
      <c r="EB20" s="1565">
        <v>0</v>
      </c>
      <c r="EC20" s="1566">
        <v>0</v>
      </c>
      <c r="ED20" s="1566">
        <v>0</v>
      </c>
      <c r="EE20" s="1566">
        <v>2</v>
      </c>
      <c r="EF20" s="1566">
        <v>170</v>
      </c>
      <c r="EG20" s="1566">
        <v>9</v>
      </c>
      <c r="EH20" s="1566">
        <v>64</v>
      </c>
      <c r="EI20" s="1566"/>
      <c r="EJ20" s="1566">
        <v>32</v>
      </c>
      <c r="EK20" s="1566">
        <v>105</v>
      </c>
      <c r="EL20" s="1566">
        <v>70</v>
      </c>
      <c r="EM20" s="1567">
        <v>537</v>
      </c>
      <c r="EN20" s="1568">
        <f t="shared" si="32"/>
        <v>989</v>
      </c>
      <c r="EO20" s="1565">
        <v>0</v>
      </c>
      <c r="EP20" s="1566">
        <v>0</v>
      </c>
      <c r="EQ20" s="1566">
        <v>469</v>
      </c>
      <c r="ER20" s="1566">
        <v>2</v>
      </c>
      <c r="ES20" s="1566">
        <v>55</v>
      </c>
      <c r="ET20" s="1566">
        <v>104</v>
      </c>
      <c r="EU20" s="1566">
        <v>2</v>
      </c>
      <c r="EV20" s="1566">
        <v>44</v>
      </c>
      <c r="EW20" s="1566">
        <v>32</v>
      </c>
      <c r="EX20" s="1566">
        <v>8</v>
      </c>
      <c r="EY20" s="1566">
        <v>154</v>
      </c>
      <c r="EZ20" s="1567">
        <v>1252</v>
      </c>
      <c r="FA20" s="1568">
        <f t="shared" si="33"/>
        <v>2122</v>
      </c>
      <c r="FB20" s="1565">
        <v>0</v>
      </c>
      <c r="FC20" s="1566">
        <v>0</v>
      </c>
      <c r="FD20" s="1566">
        <v>0</v>
      </c>
      <c r="FE20" s="1566">
        <v>1</v>
      </c>
      <c r="FF20" s="1566">
        <v>31</v>
      </c>
      <c r="FG20" s="1566">
        <v>14</v>
      </c>
      <c r="FH20" s="1566">
        <v>46</v>
      </c>
      <c r="FI20" s="1566">
        <v>22</v>
      </c>
      <c r="FJ20" s="1566">
        <v>39</v>
      </c>
      <c r="FK20" s="1566">
        <v>1</v>
      </c>
      <c r="FL20" s="1566">
        <v>39</v>
      </c>
      <c r="FM20" s="1567">
        <v>157</v>
      </c>
      <c r="FN20" s="1568">
        <f t="shared" si="34"/>
        <v>350</v>
      </c>
      <c r="FO20" s="1565">
        <v>0</v>
      </c>
      <c r="FP20" s="1566">
        <v>0</v>
      </c>
      <c r="FQ20" s="1566">
        <v>0</v>
      </c>
      <c r="FR20" s="1566">
        <v>0</v>
      </c>
      <c r="FS20" s="1566">
        <v>0</v>
      </c>
      <c r="FT20" s="1566">
        <v>4</v>
      </c>
      <c r="FU20" s="1566">
        <v>10</v>
      </c>
      <c r="FV20" s="1566">
        <v>94</v>
      </c>
      <c r="FW20" s="1566">
        <v>42</v>
      </c>
      <c r="FX20" s="1566">
        <v>18</v>
      </c>
      <c r="FY20" s="1566">
        <v>223</v>
      </c>
      <c r="FZ20" s="1567">
        <v>593</v>
      </c>
      <c r="GA20" s="1568">
        <f t="shared" si="35"/>
        <v>984</v>
      </c>
      <c r="GB20" s="1565">
        <v>0</v>
      </c>
      <c r="GC20" s="1566">
        <v>0</v>
      </c>
      <c r="GD20" s="1566">
        <v>0</v>
      </c>
      <c r="GE20" s="1566">
        <v>4</v>
      </c>
      <c r="GF20" s="1566">
        <v>20</v>
      </c>
      <c r="GG20" s="1566">
        <v>44</v>
      </c>
      <c r="GH20" s="1566">
        <v>19</v>
      </c>
      <c r="GI20" s="1566">
        <v>124</v>
      </c>
      <c r="GJ20" s="1566">
        <v>53</v>
      </c>
      <c r="GK20" s="1566">
        <v>32</v>
      </c>
      <c r="GL20" s="1566">
        <v>452</v>
      </c>
      <c r="GM20" s="1567">
        <v>490</v>
      </c>
      <c r="GN20" s="1568">
        <f t="shared" si="36"/>
        <v>1238</v>
      </c>
      <c r="GO20" s="1565">
        <v>0</v>
      </c>
      <c r="GP20" s="1566">
        <v>0</v>
      </c>
      <c r="GQ20" s="1566">
        <v>62</v>
      </c>
      <c r="GR20" s="1566">
        <v>120</v>
      </c>
      <c r="GS20" s="1566">
        <v>35</v>
      </c>
      <c r="GT20" s="1566">
        <v>0</v>
      </c>
      <c r="GU20" s="1566">
        <v>0</v>
      </c>
      <c r="GV20" s="1566">
        <v>13</v>
      </c>
      <c r="GW20" s="1566">
        <v>70</v>
      </c>
      <c r="GX20" s="1566">
        <v>0</v>
      </c>
      <c r="GY20" s="1566">
        <v>16</v>
      </c>
      <c r="GZ20" s="1567">
        <v>3030</v>
      </c>
      <c r="HA20" s="1568">
        <f t="shared" si="37"/>
        <v>3346</v>
      </c>
      <c r="HB20" s="1565">
        <v>0</v>
      </c>
      <c r="HC20" s="1566">
        <v>0</v>
      </c>
      <c r="HD20" s="1566">
        <v>16</v>
      </c>
      <c r="HE20" s="1566">
        <v>0</v>
      </c>
      <c r="HF20" s="1566">
        <v>5</v>
      </c>
      <c r="HG20" s="1566">
        <v>10</v>
      </c>
      <c r="HH20" s="1566">
        <v>0</v>
      </c>
      <c r="HI20" s="1566">
        <v>0</v>
      </c>
      <c r="HJ20" s="1566">
        <v>139</v>
      </c>
      <c r="HK20" s="1566">
        <v>7</v>
      </c>
      <c r="HL20" s="1566">
        <v>0</v>
      </c>
      <c r="HM20" s="1567">
        <v>1158</v>
      </c>
      <c r="HN20" s="1568">
        <f t="shared" si="38"/>
        <v>1335</v>
      </c>
      <c r="HO20" s="1565">
        <v>0</v>
      </c>
      <c r="HP20" s="1566">
        <v>378</v>
      </c>
      <c r="HQ20" s="1566">
        <v>61</v>
      </c>
      <c r="HR20" s="1566">
        <v>770</v>
      </c>
      <c r="HS20" s="1566">
        <v>119</v>
      </c>
      <c r="HT20" s="1566">
        <v>161</v>
      </c>
      <c r="HU20" s="1566">
        <v>225</v>
      </c>
      <c r="HV20" s="1566">
        <v>275</v>
      </c>
      <c r="HW20" s="1566">
        <v>400</v>
      </c>
      <c r="HX20" s="1566">
        <v>477</v>
      </c>
      <c r="HY20" s="1566">
        <v>386</v>
      </c>
      <c r="HZ20" s="1567">
        <v>902</v>
      </c>
      <c r="IA20" s="1565">
        <f t="shared" si="39"/>
        <v>4154</v>
      </c>
      <c r="IB20" s="1569">
        <v>180</v>
      </c>
      <c r="IC20" s="1068">
        <v>282</v>
      </c>
      <c r="ID20" s="1068">
        <v>71</v>
      </c>
      <c r="IE20" s="1068">
        <v>59</v>
      </c>
      <c r="IF20" s="1068">
        <v>423</v>
      </c>
      <c r="IG20">
        <v>0</v>
      </c>
      <c r="IH20" s="1068">
        <v>0</v>
      </c>
      <c r="II20" s="1068">
        <v>0</v>
      </c>
      <c r="IJ20" s="1068"/>
      <c r="IK20" s="1068"/>
      <c r="IL20" s="1068"/>
      <c r="IM20" s="1570"/>
      <c r="IN20" s="1571">
        <f t="shared" si="40"/>
        <v>1015</v>
      </c>
      <c r="IP20" s="1656">
        <f t="shared" si="27"/>
        <v>-100</v>
      </c>
      <c r="IQ20" s="1656">
        <f t="shared" si="41"/>
        <v>-48.969331322272502</v>
      </c>
      <c r="IR20" s="1657">
        <f t="shared" si="28"/>
        <v>1989</v>
      </c>
      <c r="IS20" s="1657">
        <f t="shared" si="29"/>
        <v>1015</v>
      </c>
      <c r="IT20" s="1658"/>
      <c r="IU20" s="221">
        <f t="shared" si="42"/>
        <v>-275</v>
      </c>
    </row>
    <row r="21" spans="1:264" ht="15" customHeight="1" x14ac:dyDescent="0.2">
      <c r="A21" s="1551" t="s">
        <v>637</v>
      </c>
      <c r="B21" s="1565">
        <v>0</v>
      </c>
      <c r="C21" s="1566">
        <v>0</v>
      </c>
      <c r="D21" s="1566">
        <v>0</v>
      </c>
      <c r="E21" s="1566">
        <v>0</v>
      </c>
      <c r="F21" s="1566">
        <v>0</v>
      </c>
      <c r="G21" s="1566">
        <v>44</v>
      </c>
      <c r="H21" s="1566">
        <v>1212</v>
      </c>
      <c r="I21" s="1566">
        <v>579</v>
      </c>
      <c r="J21" s="1566">
        <v>112</v>
      </c>
      <c r="K21" s="1566">
        <v>0</v>
      </c>
      <c r="L21" s="1566">
        <v>0</v>
      </c>
      <c r="M21" s="1567">
        <v>82</v>
      </c>
      <c r="N21" s="1568">
        <f t="shared" si="1"/>
        <v>2029</v>
      </c>
      <c r="O21" s="1565">
        <v>0</v>
      </c>
      <c r="P21" s="1566">
        <v>0</v>
      </c>
      <c r="Q21" s="1566">
        <v>0</v>
      </c>
      <c r="R21" s="1566">
        <v>0</v>
      </c>
      <c r="S21" s="1566">
        <v>1</v>
      </c>
      <c r="T21" s="1566">
        <v>3</v>
      </c>
      <c r="U21" s="1566">
        <v>1</v>
      </c>
      <c r="V21" s="1566">
        <v>2</v>
      </c>
      <c r="W21" s="1566">
        <v>12</v>
      </c>
      <c r="X21" s="1566">
        <v>0</v>
      </c>
      <c r="Y21" s="1566">
        <v>0</v>
      </c>
      <c r="Z21" s="1567">
        <v>0</v>
      </c>
      <c r="AA21" s="1568">
        <f t="shared" si="3"/>
        <v>19</v>
      </c>
      <c r="AB21" s="1565">
        <v>0</v>
      </c>
      <c r="AC21" s="1566">
        <v>0</v>
      </c>
      <c r="AD21" s="1566">
        <v>0</v>
      </c>
      <c r="AE21" s="1566">
        <v>2</v>
      </c>
      <c r="AF21" s="1566">
        <v>1</v>
      </c>
      <c r="AG21" s="1566">
        <v>0</v>
      </c>
      <c r="AH21" s="1566">
        <v>0</v>
      </c>
      <c r="AI21" s="1566">
        <v>0</v>
      </c>
      <c r="AJ21" s="1566">
        <v>0</v>
      </c>
      <c r="AK21" s="1566">
        <v>63</v>
      </c>
      <c r="AL21" s="1566">
        <v>0</v>
      </c>
      <c r="AM21" s="1567">
        <v>21</v>
      </c>
      <c r="AN21" s="1568">
        <f t="shared" si="5"/>
        <v>87</v>
      </c>
      <c r="AO21" s="1565">
        <v>0</v>
      </c>
      <c r="AP21" s="1566">
        <v>0</v>
      </c>
      <c r="AQ21" s="1566">
        <v>0</v>
      </c>
      <c r="AR21" s="1566">
        <v>0</v>
      </c>
      <c r="AS21" s="1566">
        <v>0</v>
      </c>
      <c r="AT21" s="1566">
        <v>0</v>
      </c>
      <c r="AU21" s="1566">
        <v>0</v>
      </c>
      <c r="AV21" s="1566">
        <v>0</v>
      </c>
      <c r="AW21" s="1566">
        <v>1</v>
      </c>
      <c r="AX21" s="1566">
        <v>0</v>
      </c>
      <c r="AY21" s="1566">
        <v>0</v>
      </c>
      <c r="AZ21" s="1567">
        <v>1</v>
      </c>
      <c r="BA21" s="1568">
        <f t="shared" si="7"/>
        <v>2</v>
      </c>
      <c r="BB21" s="1565">
        <v>0</v>
      </c>
      <c r="BC21" s="1566">
        <v>0</v>
      </c>
      <c r="BD21" s="1566">
        <v>0</v>
      </c>
      <c r="BE21" s="1566">
        <v>0</v>
      </c>
      <c r="BF21" s="1566">
        <v>0</v>
      </c>
      <c r="BG21" s="1566">
        <v>0</v>
      </c>
      <c r="BH21" s="1566">
        <v>0</v>
      </c>
      <c r="BI21" s="1566">
        <v>0</v>
      </c>
      <c r="BJ21" s="1566">
        <v>0</v>
      </c>
      <c r="BK21" s="1566">
        <v>0</v>
      </c>
      <c r="BL21" s="1566">
        <v>0</v>
      </c>
      <c r="BM21" s="1567">
        <v>17</v>
      </c>
      <c r="BN21" s="1568">
        <f t="shared" si="9"/>
        <v>17</v>
      </c>
      <c r="BO21" s="1565">
        <v>0</v>
      </c>
      <c r="BP21" s="1566">
        <v>0</v>
      </c>
      <c r="BQ21" s="1566">
        <v>0</v>
      </c>
      <c r="BR21" s="1566">
        <v>0</v>
      </c>
      <c r="BS21" s="1566">
        <v>0</v>
      </c>
      <c r="BT21" s="1566">
        <v>0</v>
      </c>
      <c r="BU21" s="1566">
        <v>0</v>
      </c>
      <c r="BV21" s="1566">
        <v>7</v>
      </c>
      <c r="BW21" s="1566">
        <v>0</v>
      </c>
      <c r="BX21" s="1566">
        <v>0</v>
      </c>
      <c r="BY21" s="1566">
        <v>0</v>
      </c>
      <c r="BZ21" s="1567">
        <v>45</v>
      </c>
      <c r="CA21" s="1568">
        <f t="shared" si="11"/>
        <v>52</v>
      </c>
      <c r="CB21" s="1565">
        <v>0</v>
      </c>
      <c r="CC21" s="1566">
        <v>0</v>
      </c>
      <c r="CD21" s="1566">
        <v>20</v>
      </c>
      <c r="CE21" s="1566">
        <v>0</v>
      </c>
      <c r="CF21" s="1566">
        <v>1</v>
      </c>
      <c r="CG21" s="1566">
        <v>16</v>
      </c>
      <c r="CH21" s="1566">
        <v>2</v>
      </c>
      <c r="CI21" s="1566">
        <v>0</v>
      </c>
      <c r="CJ21" s="1566">
        <v>6</v>
      </c>
      <c r="CK21" s="1566">
        <v>8</v>
      </c>
      <c r="CL21" s="1566">
        <v>6</v>
      </c>
      <c r="CM21" s="1567">
        <v>56</v>
      </c>
      <c r="CN21" s="1568">
        <f t="shared" si="13"/>
        <v>115</v>
      </c>
      <c r="CO21" s="1565">
        <v>0</v>
      </c>
      <c r="CP21" s="1566">
        <v>0</v>
      </c>
      <c r="CQ21" s="1566">
        <v>0</v>
      </c>
      <c r="CR21" s="1566">
        <v>0</v>
      </c>
      <c r="CS21" s="1566">
        <v>0</v>
      </c>
      <c r="CT21" s="1566">
        <v>0</v>
      </c>
      <c r="CU21" s="1566">
        <v>0</v>
      </c>
      <c r="CV21" s="1566">
        <v>1</v>
      </c>
      <c r="CW21" s="1566">
        <v>0</v>
      </c>
      <c r="CX21" s="1566">
        <v>0</v>
      </c>
      <c r="CY21" s="1566">
        <v>6</v>
      </c>
      <c r="CZ21" s="1567">
        <v>20</v>
      </c>
      <c r="DA21" s="1568">
        <f t="shared" si="15"/>
        <v>27</v>
      </c>
      <c r="DB21" s="1565">
        <v>0</v>
      </c>
      <c r="DC21" s="1566">
        <v>0</v>
      </c>
      <c r="DD21" s="1566">
        <v>0</v>
      </c>
      <c r="DE21" s="1566">
        <v>0</v>
      </c>
      <c r="DF21" s="1566">
        <v>0</v>
      </c>
      <c r="DG21" s="1566">
        <v>0</v>
      </c>
      <c r="DH21" s="1566">
        <v>0</v>
      </c>
      <c r="DI21" s="1566">
        <v>0</v>
      </c>
      <c r="DJ21" s="1566">
        <v>0</v>
      </c>
      <c r="DK21" s="1566">
        <v>0</v>
      </c>
      <c r="DL21" s="1566">
        <v>0</v>
      </c>
      <c r="DM21" s="1567">
        <v>0</v>
      </c>
      <c r="DN21" s="1568">
        <f t="shared" si="30"/>
        <v>0</v>
      </c>
      <c r="DO21" s="1565">
        <v>0</v>
      </c>
      <c r="DP21" s="1566">
        <v>0</v>
      </c>
      <c r="DQ21" s="1566">
        <v>0</v>
      </c>
      <c r="DR21" s="1566">
        <v>0</v>
      </c>
      <c r="DS21" s="1566">
        <v>0</v>
      </c>
      <c r="DT21" s="1566">
        <v>0</v>
      </c>
      <c r="DU21" s="1566">
        <v>0</v>
      </c>
      <c r="DV21" s="1566">
        <v>0</v>
      </c>
      <c r="DW21" s="1566">
        <v>0</v>
      </c>
      <c r="DX21" s="1566">
        <v>0</v>
      </c>
      <c r="DY21" s="1566">
        <v>17</v>
      </c>
      <c r="DZ21" s="1567">
        <v>2</v>
      </c>
      <c r="EA21" s="1568">
        <f t="shared" si="31"/>
        <v>19</v>
      </c>
      <c r="EB21" s="1565">
        <v>0</v>
      </c>
      <c r="EC21" s="1566">
        <v>0</v>
      </c>
      <c r="ED21" s="1566">
        <v>0</v>
      </c>
      <c r="EE21" s="1566">
        <v>0</v>
      </c>
      <c r="EF21" s="1566">
        <v>0</v>
      </c>
      <c r="EG21" s="1566">
        <v>0</v>
      </c>
      <c r="EH21" s="1566">
        <v>0</v>
      </c>
      <c r="EI21" s="1566">
        <v>3</v>
      </c>
      <c r="EJ21" s="1566">
        <v>0</v>
      </c>
      <c r="EK21" s="1566">
        <v>0</v>
      </c>
      <c r="EL21" s="1566">
        <v>1</v>
      </c>
      <c r="EM21" s="1567">
        <v>0</v>
      </c>
      <c r="EN21" s="1568">
        <f t="shared" si="32"/>
        <v>4</v>
      </c>
      <c r="EO21" s="1565">
        <v>0</v>
      </c>
      <c r="EP21" s="1566">
        <v>0</v>
      </c>
      <c r="EQ21" s="1566">
        <v>0</v>
      </c>
      <c r="ER21" s="1566">
        <v>0</v>
      </c>
      <c r="ES21" s="1566">
        <v>0</v>
      </c>
      <c r="ET21" s="1566">
        <v>3</v>
      </c>
      <c r="EU21" s="1566">
        <v>0</v>
      </c>
      <c r="EV21" s="1566">
        <v>0</v>
      </c>
      <c r="EW21" s="1566">
        <v>0</v>
      </c>
      <c r="EX21" s="1566">
        <v>0</v>
      </c>
      <c r="EY21" s="1566">
        <v>0</v>
      </c>
      <c r="EZ21" s="1567">
        <v>6</v>
      </c>
      <c r="FA21" s="1568">
        <f t="shared" si="33"/>
        <v>9</v>
      </c>
      <c r="FB21" s="1565">
        <v>0</v>
      </c>
      <c r="FC21" s="1566">
        <v>0</v>
      </c>
      <c r="FD21" s="1566">
        <v>0</v>
      </c>
      <c r="FE21" s="1566">
        <v>0</v>
      </c>
      <c r="FF21" s="1566">
        <v>0</v>
      </c>
      <c r="FG21" s="1566">
        <v>0</v>
      </c>
      <c r="FH21" s="1566">
        <v>7</v>
      </c>
      <c r="FI21" s="1566">
        <v>0</v>
      </c>
      <c r="FJ21" s="1566">
        <v>0</v>
      </c>
      <c r="FK21" s="1566">
        <v>0</v>
      </c>
      <c r="FL21" s="1566">
        <v>8</v>
      </c>
      <c r="FM21" s="1567">
        <v>69</v>
      </c>
      <c r="FN21" s="1568">
        <f t="shared" si="34"/>
        <v>84</v>
      </c>
      <c r="FO21" s="1565">
        <v>0</v>
      </c>
      <c r="FP21" s="1566">
        <v>0</v>
      </c>
      <c r="FQ21" s="1566">
        <v>197</v>
      </c>
      <c r="FR21" s="1566">
        <v>192</v>
      </c>
      <c r="FS21" s="1566">
        <v>368</v>
      </c>
      <c r="FT21" s="1566">
        <v>225</v>
      </c>
      <c r="FU21" s="1566">
        <v>2</v>
      </c>
      <c r="FV21" s="1566">
        <v>29</v>
      </c>
      <c r="FW21" s="1566">
        <v>2</v>
      </c>
      <c r="FX21" s="1566">
        <v>3</v>
      </c>
      <c r="FY21" s="1566">
        <v>0</v>
      </c>
      <c r="FZ21" s="1567">
        <v>29</v>
      </c>
      <c r="GA21" s="1568">
        <f t="shared" si="35"/>
        <v>1047</v>
      </c>
      <c r="GB21" s="1565">
        <v>0</v>
      </c>
      <c r="GC21" s="1566">
        <v>0</v>
      </c>
      <c r="GD21" s="1566">
        <v>0</v>
      </c>
      <c r="GE21" s="1566">
        <v>0</v>
      </c>
      <c r="GF21" s="1566">
        <v>5</v>
      </c>
      <c r="GG21" s="1566">
        <v>0</v>
      </c>
      <c r="GH21" s="1566">
        <v>61</v>
      </c>
      <c r="GI21" s="1566">
        <v>4</v>
      </c>
      <c r="GJ21" s="1566">
        <v>22</v>
      </c>
      <c r="GK21" s="1566">
        <v>51</v>
      </c>
      <c r="GL21" s="1566">
        <v>48</v>
      </c>
      <c r="GM21" s="1567">
        <v>51</v>
      </c>
      <c r="GN21" s="1568">
        <f t="shared" si="36"/>
        <v>242</v>
      </c>
      <c r="GO21" s="1565">
        <v>0</v>
      </c>
      <c r="GP21" s="1566">
        <v>0</v>
      </c>
      <c r="GQ21" s="1566">
        <v>0</v>
      </c>
      <c r="GR21" s="1566">
        <v>1</v>
      </c>
      <c r="GS21" s="1566">
        <v>0</v>
      </c>
      <c r="GT21" s="1566">
        <v>3</v>
      </c>
      <c r="GU21" s="1566">
        <v>0</v>
      </c>
      <c r="GV21" s="1566">
        <v>0</v>
      </c>
      <c r="GW21" s="1566">
        <v>3</v>
      </c>
      <c r="GX21" s="1566">
        <v>12</v>
      </c>
      <c r="GY21" s="1566">
        <v>26</v>
      </c>
      <c r="GZ21" s="1567">
        <v>34</v>
      </c>
      <c r="HA21" s="1568">
        <f t="shared" si="37"/>
        <v>79</v>
      </c>
      <c r="HB21" s="1565">
        <v>0</v>
      </c>
      <c r="HC21" s="1566">
        <v>0</v>
      </c>
      <c r="HD21" s="1566">
        <v>0</v>
      </c>
      <c r="HE21" s="1566">
        <v>0</v>
      </c>
      <c r="HF21" s="1566">
        <v>4</v>
      </c>
      <c r="HG21" s="1566">
        <v>4</v>
      </c>
      <c r="HH21" s="1566">
        <v>0</v>
      </c>
      <c r="HI21" s="1566">
        <v>0</v>
      </c>
      <c r="HJ21" s="1566">
        <v>8</v>
      </c>
      <c r="HK21" s="1566">
        <v>0</v>
      </c>
      <c r="HL21" s="1566">
        <v>5</v>
      </c>
      <c r="HM21" s="1567">
        <v>42</v>
      </c>
      <c r="HN21" s="1568">
        <f t="shared" si="38"/>
        <v>63</v>
      </c>
      <c r="HO21" s="1565">
        <v>0</v>
      </c>
      <c r="HP21" s="1566">
        <v>0</v>
      </c>
      <c r="HQ21" s="1566">
        <v>0</v>
      </c>
      <c r="HR21" s="1566">
        <v>0</v>
      </c>
      <c r="HS21" s="1566">
        <v>0</v>
      </c>
      <c r="HT21" s="1566">
        <v>0</v>
      </c>
      <c r="HU21" s="1566">
        <v>21</v>
      </c>
      <c r="HV21" s="1566">
        <v>17</v>
      </c>
      <c r="HW21" s="1566">
        <v>0</v>
      </c>
      <c r="HX21" s="1566">
        <v>25</v>
      </c>
      <c r="HY21" s="1566">
        <v>2</v>
      </c>
      <c r="HZ21" s="1567">
        <v>81</v>
      </c>
      <c r="IA21" s="1565">
        <f t="shared" si="39"/>
        <v>146</v>
      </c>
      <c r="IB21" s="1569">
        <v>0</v>
      </c>
      <c r="IC21" s="1068">
        <v>0</v>
      </c>
      <c r="ID21" s="1068">
        <v>0</v>
      </c>
      <c r="IE21" s="1068">
        <v>0</v>
      </c>
      <c r="IF21" s="1068">
        <v>27</v>
      </c>
      <c r="IG21">
        <v>0</v>
      </c>
      <c r="IH21" s="1068">
        <v>0</v>
      </c>
      <c r="II21" s="1068">
        <v>0</v>
      </c>
      <c r="IJ21" s="1068"/>
      <c r="IK21" s="1068"/>
      <c r="IL21" s="1068"/>
      <c r="IM21" s="1570"/>
      <c r="IN21" s="1571">
        <f t="shared" si="40"/>
        <v>27</v>
      </c>
      <c r="IP21" s="1656">
        <f t="shared" si="27"/>
        <v>-100</v>
      </c>
      <c r="IQ21" s="1656">
        <f t="shared" si="41"/>
        <v>-28.947368421052634</v>
      </c>
      <c r="IR21" s="1657">
        <f t="shared" si="28"/>
        <v>38</v>
      </c>
      <c r="IS21" s="1657">
        <f t="shared" si="29"/>
        <v>27</v>
      </c>
      <c r="IT21" s="1658"/>
      <c r="IU21" s="221">
        <f t="shared" si="42"/>
        <v>-17</v>
      </c>
    </row>
    <row r="22" spans="1:264" ht="15" customHeight="1" x14ac:dyDescent="0.2">
      <c r="A22" s="1551" t="s">
        <v>638</v>
      </c>
      <c r="B22" s="1565">
        <v>0</v>
      </c>
      <c r="C22" s="1566">
        <v>0</v>
      </c>
      <c r="D22" s="1566">
        <v>0</v>
      </c>
      <c r="E22" s="1566">
        <v>0</v>
      </c>
      <c r="F22" s="1566">
        <v>0</v>
      </c>
      <c r="G22" s="1566">
        <v>0</v>
      </c>
      <c r="H22" s="1566">
        <v>0</v>
      </c>
      <c r="I22" s="1566">
        <v>0</v>
      </c>
      <c r="J22" s="1566">
        <v>0</v>
      </c>
      <c r="K22" s="1566">
        <v>0</v>
      </c>
      <c r="L22" s="1566">
        <v>0</v>
      </c>
      <c r="M22" s="1567">
        <v>0</v>
      </c>
      <c r="N22" s="1568">
        <f t="shared" si="1"/>
        <v>0</v>
      </c>
      <c r="O22" s="1565">
        <v>0</v>
      </c>
      <c r="P22" s="1566">
        <v>0</v>
      </c>
      <c r="Q22" s="1566">
        <v>0</v>
      </c>
      <c r="R22" s="1566">
        <v>0</v>
      </c>
      <c r="S22" s="1566">
        <v>0</v>
      </c>
      <c r="T22" s="1566">
        <v>0</v>
      </c>
      <c r="U22" s="1566">
        <v>6</v>
      </c>
      <c r="V22" s="1566">
        <v>595</v>
      </c>
      <c r="W22" s="1566">
        <v>0</v>
      </c>
      <c r="X22" s="1566">
        <v>0</v>
      </c>
      <c r="Y22" s="1566">
        <v>0</v>
      </c>
      <c r="Z22" s="1567">
        <v>0</v>
      </c>
      <c r="AA22" s="1568">
        <f t="shared" si="3"/>
        <v>601</v>
      </c>
      <c r="AB22" s="1565"/>
      <c r="AC22" s="1566"/>
      <c r="AD22" s="1566"/>
      <c r="AE22" s="1566"/>
      <c r="AF22" s="1566"/>
      <c r="AG22" s="1566"/>
      <c r="AH22" s="1566"/>
      <c r="AI22" s="1566"/>
      <c r="AJ22" s="1566"/>
      <c r="AK22" s="1566">
        <v>0</v>
      </c>
      <c r="AL22" s="1566">
        <v>0</v>
      </c>
      <c r="AM22" s="1567">
        <v>0</v>
      </c>
      <c r="AN22" s="1568">
        <f t="shared" si="5"/>
        <v>0</v>
      </c>
      <c r="AO22" s="1565">
        <v>0</v>
      </c>
      <c r="AP22" s="1566">
        <v>0</v>
      </c>
      <c r="AQ22" s="1566">
        <v>0</v>
      </c>
      <c r="AR22" s="1566">
        <v>0</v>
      </c>
      <c r="AS22" s="1566">
        <v>0</v>
      </c>
      <c r="AT22" s="1566">
        <v>0</v>
      </c>
      <c r="AU22" s="1566">
        <v>0</v>
      </c>
      <c r="AV22" s="1566">
        <v>0</v>
      </c>
      <c r="AW22" s="1566">
        <v>0</v>
      </c>
      <c r="AX22" s="1566">
        <v>0</v>
      </c>
      <c r="AY22" s="1566">
        <v>0</v>
      </c>
      <c r="AZ22" s="1567">
        <v>0</v>
      </c>
      <c r="BA22" s="1568">
        <f t="shared" si="7"/>
        <v>0</v>
      </c>
      <c r="BB22" s="1565">
        <v>0</v>
      </c>
      <c r="BC22" s="1566">
        <v>0</v>
      </c>
      <c r="BD22" s="1566">
        <v>2333</v>
      </c>
      <c r="BE22" s="1566">
        <v>-96</v>
      </c>
      <c r="BF22" s="1566">
        <v>0</v>
      </c>
      <c r="BG22" s="1566">
        <v>0</v>
      </c>
      <c r="BH22" s="1566">
        <v>0</v>
      </c>
      <c r="BI22" s="1566">
        <v>0</v>
      </c>
      <c r="BJ22" s="1566">
        <v>0</v>
      </c>
      <c r="BK22" s="1566">
        <v>0</v>
      </c>
      <c r="BL22" s="1566">
        <v>1316</v>
      </c>
      <c r="BM22" s="1567">
        <v>-16</v>
      </c>
      <c r="BN22" s="1568">
        <f t="shared" si="9"/>
        <v>3537</v>
      </c>
      <c r="BO22" s="1565">
        <v>0</v>
      </c>
      <c r="BP22" s="1566">
        <v>0</v>
      </c>
      <c r="BQ22" s="1566">
        <v>0</v>
      </c>
      <c r="BR22" s="1566">
        <v>0</v>
      </c>
      <c r="BS22" s="1566">
        <v>0</v>
      </c>
      <c r="BT22" s="1566">
        <v>0</v>
      </c>
      <c r="BU22" s="1566">
        <v>0</v>
      </c>
      <c r="BV22" s="1566">
        <v>589</v>
      </c>
      <c r="BW22" s="1566">
        <v>0</v>
      </c>
      <c r="BX22" s="1566">
        <v>0</v>
      </c>
      <c r="BY22" s="1566">
        <v>0</v>
      </c>
      <c r="BZ22" s="1567">
        <v>0</v>
      </c>
      <c r="CA22" s="1568">
        <f t="shared" si="11"/>
        <v>589</v>
      </c>
      <c r="CB22" s="1565">
        <v>0</v>
      </c>
      <c r="CC22" s="1566">
        <v>0</v>
      </c>
      <c r="CD22" s="1566">
        <v>0</v>
      </c>
      <c r="CE22" s="1566">
        <v>0</v>
      </c>
      <c r="CF22" s="1566">
        <v>0</v>
      </c>
      <c r="CG22" s="1566">
        <v>0</v>
      </c>
      <c r="CH22" s="1566">
        <v>1224</v>
      </c>
      <c r="CI22" s="1566">
        <v>153</v>
      </c>
      <c r="CJ22" s="1566">
        <v>0</v>
      </c>
      <c r="CK22" s="1566">
        <v>0</v>
      </c>
      <c r="CL22" s="1566">
        <v>0</v>
      </c>
      <c r="CM22" s="1567">
        <v>1092</v>
      </c>
      <c r="CN22" s="1568">
        <f t="shared" si="13"/>
        <v>2469</v>
      </c>
      <c r="CO22" s="1565">
        <v>0</v>
      </c>
      <c r="CP22" s="1566">
        <v>0</v>
      </c>
      <c r="CQ22" s="1566">
        <v>0</v>
      </c>
      <c r="CR22" s="1566">
        <v>0</v>
      </c>
      <c r="CS22" s="1566">
        <v>0</v>
      </c>
      <c r="CT22" s="1566">
        <v>0</v>
      </c>
      <c r="CU22" s="1566">
        <v>0</v>
      </c>
      <c r="CV22" s="1566">
        <v>0</v>
      </c>
      <c r="CW22" s="1566">
        <v>0</v>
      </c>
      <c r="CX22" s="1566">
        <v>0</v>
      </c>
      <c r="CY22" s="1566">
        <v>0</v>
      </c>
      <c r="CZ22" s="1567">
        <v>0</v>
      </c>
      <c r="DA22" s="1568">
        <f t="shared" si="15"/>
        <v>0</v>
      </c>
      <c r="DB22" s="1565">
        <v>0</v>
      </c>
      <c r="DC22" s="1566">
        <v>0</v>
      </c>
      <c r="DD22" s="1566">
        <v>0</v>
      </c>
      <c r="DE22" s="1566">
        <v>0</v>
      </c>
      <c r="DF22" s="1566">
        <v>0</v>
      </c>
      <c r="DG22" s="1566">
        <v>0</v>
      </c>
      <c r="DH22" s="1566">
        <v>0</v>
      </c>
      <c r="DI22" s="1566">
        <v>0</v>
      </c>
      <c r="DJ22" s="1566">
        <v>0</v>
      </c>
      <c r="DK22" s="1566">
        <v>0</v>
      </c>
      <c r="DL22" s="1566">
        <v>0</v>
      </c>
      <c r="DM22" s="1567">
        <v>0</v>
      </c>
      <c r="DN22" s="1568">
        <f t="shared" si="30"/>
        <v>0</v>
      </c>
      <c r="DO22" s="1565">
        <v>0</v>
      </c>
      <c r="DP22" s="1566">
        <v>0</v>
      </c>
      <c r="DQ22" s="1566">
        <v>0</v>
      </c>
      <c r="DR22" s="1566">
        <v>0</v>
      </c>
      <c r="DS22" s="1566">
        <v>0</v>
      </c>
      <c r="DT22" s="1566">
        <v>0</v>
      </c>
      <c r="DU22" s="1566">
        <v>0</v>
      </c>
      <c r="DV22" s="1566">
        <v>0</v>
      </c>
      <c r="DW22" s="1566">
        <v>0</v>
      </c>
      <c r="DX22" s="1566">
        <v>0</v>
      </c>
      <c r="DY22" s="1566">
        <v>0</v>
      </c>
      <c r="DZ22" s="1567">
        <v>0</v>
      </c>
      <c r="EA22" s="1568">
        <f t="shared" si="31"/>
        <v>0</v>
      </c>
      <c r="EB22" s="1565">
        <v>0</v>
      </c>
      <c r="EC22" s="1566">
        <v>0</v>
      </c>
      <c r="ED22" s="1566">
        <v>0</v>
      </c>
      <c r="EE22" s="1566">
        <v>0</v>
      </c>
      <c r="EF22" s="1566">
        <v>0</v>
      </c>
      <c r="EG22" s="1566">
        <v>0</v>
      </c>
      <c r="EH22" s="1566">
        <v>0</v>
      </c>
      <c r="EI22" s="1566">
        <v>0</v>
      </c>
      <c r="EJ22" s="1566">
        <v>0</v>
      </c>
      <c r="EK22" s="1566">
        <v>0</v>
      </c>
      <c r="EL22" s="1566">
        <v>0</v>
      </c>
      <c r="EM22" s="1567">
        <v>0</v>
      </c>
      <c r="EN22" s="1568">
        <f t="shared" si="32"/>
        <v>0</v>
      </c>
      <c r="EO22" s="1565">
        <v>0</v>
      </c>
      <c r="EP22" s="1566">
        <v>0</v>
      </c>
      <c r="EQ22" s="1566">
        <v>0</v>
      </c>
      <c r="ER22" s="1566">
        <v>0</v>
      </c>
      <c r="ES22" s="1566">
        <v>0</v>
      </c>
      <c r="ET22" s="1566">
        <v>0</v>
      </c>
      <c r="EU22" s="1566">
        <v>0</v>
      </c>
      <c r="EV22" s="1566">
        <v>0</v>
      </c>
      <c r="EW22" s="1566">
        <v>0</v>
      </c>
      <c r="EX22" s="1566">
        <v>0</v>
      </c>
      <c r="EY22" s="1566">
        <v>0</v>
      </c>
      <c r="EZ22" s="1567">
        <v>0</v>
      </c>
      <c r="FA22" s="1568">
        <f t="shared" si="33"/>
        <v>0</v>
      </c>
      <c r="FB22" s="1565">
        <v>0</v>
      </c>
      <c r="FC22" s="1566">
        <v>0</v>
      </c>
      <c r="FD22" s="1566">
        <v>0</v>
      </c>
      <c r="FE22" s="1566">
        <v>0</v>
      </c>
      <c r="FF22" s="1566">
        <v>0</v>
      </c>
      <c r="FG22" s="1566">
        <v>0</v>
      </c>
      <c r="FH22" s="1566">
        <v>0</v>
      </c>
      <c r="FI22" s="1566">
        <v>0</v>
      </c>
      <c r="FJ22" s="1566">
        <v>0</v>
      </c>
      <c r="FK22" s="1566">
        <v>0</v>
      </c>
      <c r="FL22" s="1566">
        <v>11</v>
      </c>
      <c r="FM22" s="1567">
        <v>177</v>
      </c>
      <c r="FN22" s="1568">
        <f t="shared" si="34"/>
        <v>188</v>
      </c>
      <c r="FO22" s="1565">
        <v>0</v>
      </c>
      <c r="FP22" s="1566">
        <v>0</v>
      </c>
      <c r="FQ22" s="1566">
        <v>0</v>
      </c>
      <c r="FR22" s="1566">
        <v>0</v>
      </c>
      <c r="FS22" s="1566">
        <v>455</v>
      </c>
      <c r="FT22" s="1566">
        <v>0</v>
      </c>
      <c r="FU22" s="1566">
        <v>1</v>
      </c>
      <c r="FV22" s="1566">
        <v>1</v>
      </c>
      <c r="FW22" s="1566">
        <v>52</v>
      </c>
      <c r="FX22" s="1566">
        <v>19</v>
      </c>
      <c r="FY22" s="1566">
        <v>339</v>
      </c>
      <c r="FZ22" s="1567">
        <v>1149</v>
      </c>
      <c r="GA22" s="1568">
        <f t="shared" si="35"/>
        <v>2016</v>
      </c>
      <c r="GB22" s="1565">
        <v>0</v>
      </c>
      <c r="GC22" s="1566">
        <v>0</v>
      </c>
      <c r="GD22" s="1566">
        <v>62</v>
      </c>
      <c r="GE22" s="1566">
        <v>31</v>
      </c>
      <c r="GF22" s="1566">
        <v>0</v>
      </c>
      <c r="GG22" s="1566">
        <v>0</v>
      </c>
      <c r="GH22" s="1566">
        <v>3</v>
      </c>
      <c r="GI22" s="1566">
        <v>0</v>
      </c>
      <c r="GJ22" s="1566">
        <v>72</v>
      </c>
      <c r="GK22" s="1566">
        <v>0</v>
      </c>
      <c r="GL22" s="1566">
        <v>123</v>
      </c>
      <c r="GM22" s="1567">
        <v>88</v>
      </c>
      <c r="GN22" s="1568">
        <f t="shared" si="36"/>
        <v>379</v>
      </c>
      <c r="GO22" s="1565">
        <v>0</v>
      </c>
      <c r="GP22" s="1566">
        <v>0</v>
      </c>
      <c r="GQ22" s="1566">
        <v>0</v>
      </c>
      <c r="GR22" s="1566">
        <v>0</v>
      </c>
      <c r="GS22" s="1566">
        <v>0</v>
      </c>
      <c r="GT22" s="1566">
        <v>0</v>
      </c>
      <c r="GU22" s="1566">
        <v>0</v>
      </c>
      <c r="GV22" s="1566">
        <v>0</v>
      </c>
      <c r="GW22" s="1566">
        <v>0</v>
      </c>
      <c r="GX22" s="1566">
        <v>31</v>
      </c>
      <c r="GY22" s="1566">
        <v>53</v>
      </c>
      <c r="GZ22" s="1567">
        <v>2661</v>
      </c>
      <c r="HA22" s="1568">
        <f t="shared" si="37"/>
        <v>2745</v>
      </c>
      <c r="HB22" s="1565">
        <v>0</v>
      </c>
      <c r="HC22" s="1566">
        <v>0</v>
      </c>
      <c r="HD22" s="1566">
        <v>78</v>
      </c>
      <c r="HE22" s="1566">
        <v>152</v>
      </c>
      <c r="HF22" s="1566">
        <v>0</v>
      </c>
      <c r="HG22" s="1566">
        <v>0</v>
      </c>
      <c r="HH22" s="1566">
        <v>0</v>
      </c>
      <c r="HI22" s="1566">
        <v>0</v>
      </c>
      <c r="HJ22" s="1566">
        <v>0</v>
      </c>
      <c r="HK22" s="1566">
        <v>0</v>
      </c>
      <c r="HL22" s="1566">
        <v>150</v>
      </c>
      <c r="HM22" s="1567">
        <v>668</v>
      </c>
      <c r="HN22" s="1568">
        <f t="shared" si="38"/>
        <v>1048</v>
      </c>
      <c r="HO22" s="1565">
        <v>0</v>
      </c>
      <c r="HP22" s="1566">
        <v>0</v>
      </c>
      <c r="HQ22" s="1566">
        <v>0</v>
      </c>
      <c r="HR22" s="1566">
        <v>0</v>
      </c>
      <c r="HS22" s="1566">
        <v>0</v>
      </c>
      <c r="HT22" s="1566">
        <v>0</v>
      </c>
      <c r="HU22" s="1566">
        <v>0</v>
      </c>
      <c r="HV22" s="1566">
        <v>0</v>
      </c>
      <c r="HW22" s="1566">
        <v>0</v>
      </c>
      <c r="HX22" s="1566">
        <v>0</v>
      </c>
      <c r="HY22" s="1566">
        <v>0</v>
      </c>
      <c r="HZ22" s="1567">
        <v>843</v>
      </c>
      <c r="IA22" s="1565">
        <f t="shared" si="39"/>
        <v>843</v>
      </c>
      <c r="IB22" s="1569">
        <v>0</v>
      </c>
      <c r="IC22" s="1068">
        <v>0</v>
      </c>
      <c r="ID22" s="1068">
        <v>6</v>
      </c>
      <c r="IE22" s="1068">
        <v>6</v>
      </c>
      <c r="IF22" s="1068">
        <v>6</v>
      </c>
      <c r="IG22">
        <v>0</v>
      </c>
      <c r="IH22" s="1068">
        <v>7912</v>
      </c>
      <c r="II22" s="1068">
        <v>1</v>
      </c>
      <c r="IJ22" s="1068"/>
      <c r="IK22" s="1068"/>
      <c r="IL22" s="1068"/>
      <c r="IM22" s="1570"/>
      <c r="IN22" s="1571">
        <f t="shared" si="40"/>
        <v>7931</v>
      </c>
      <c r="IP22" s="1656" t="str">
        <f t="shared" si="27"/>
        <v/>
      </c>
      <c r="IQ22" s="1656" t="str">
        <f t="shared" si="41"/>
        <v/>
      </c>
      <c r="IR22" s="1657">
        <f t="shared" si="28"/>
        <v>0</v>
      </c>
      <c r="IS22" s="1657">
        <f t="shared" si="29"/>
        <v>7931</v>
      </c>
      <c r="IT22" s="1658"/>
      <c r="IU22" s="221">
        <f t="shared" si="42"/>
        <v>1</v>
      </c>
    </row>
    <row r="23" spans="1:264" ht="15" customHeight="1" x14ac:dyDescent="0.2">
      <c r="A23" s="1551" t="s">
        <v>639</v>
      </c>
      <c r="B23" s="1565">
        <v>15</v>
      </c>
      <c r="C23" s="1566">
        <v>80</v>
      </c>
      <c r="D23" s="1566">
        <v>59</v>
      </c>
      <c r="E23" s="1566">
        <v>139</v>
      </c>
      <c r="F23" s="1566">
        <v>58</v>
      </c>
      <c r="G23" s="1566">
        <v>0</v>
      </c>
      <c r="H23" s="1566">
        <v>64</v>
      </c>
      <c r="I23" s="1566">
        <v>9</v>
      </c>
      <c r="J23" s="1566">
        <v>3</v>
      </c>
      <c r="K23" s="1566">
        <v>18</v>
      </c>
      <c r="L23" s="1566">
        <v>16</v>
      </c>
      <c r="M23" s="1567">
        <v>2</v>
      </c>
      <c r="N23" s="1568">
        <f t="shared" si="1"/>
        <v>463</v>
      </c>
      <c r="O23" s="1565">
        <v>0</v>
      </c>
      <c r="P23" s="1566">
        <v>39</v>
      </c>
      <c r="Q23" s="1566">
        <v>345</v>
      </c>
      <c r="R23" s="1566">
        <v>229</v>
      </c>
      <c r="S23" s="1566">
        <v>1148</v>
      </c>
      <c r="T23" s="1566">
        <v>58</v>
      </c>
      <c r="U23" s="1566">
        <v>295</v>
      </c>
      <c r="V23" s="1566">
        <v>2</v>
      </c>
      <c r="W23" s="1566">
        <v>89</v>
      </c>
      <c r="X23" s="1566">
        <v>54</v>
      </c>
      <c r="Y23" s="1566">
        <v>27</v>
      </c>
      <c r="Z23" s="1567">
        <v>179</v>
      </c>
      <c r="AA23" s="1568">
        <f t="shared" si="3"/>
        <v>2465</v>
      </c>
      <c r="AB23" s="1565">
        <v>2</v>
      </c>
      <c r="AC23" s="1566">
        <v>22</v>
      </c>
      <c r="AD23" s="1566">
        <v>19</v>
      </c>
      <c r="AE23" s="1566">
        <v>19</v>
      </c>
      <c r="AF23" s="1566">
        <v>113</v>
      </c>
      <c r="AG23" s="1566">
        <v>52</v>
      </c>
      <c r="AH23" s="1566">
        <v>53</v>
      </c>
      <c r="AI23" s="1566">
        <v>39</v>
      </c>
      <c r="AJ23" s="1566">
        <v>30</v>
      </c>
      <c r="AK23" s="1566">
        <v>42</v>
      </c>
      <c r="AL23" s="1566">
        <v>18</v>
      </c>
      <c r="AM23" s="1567">
        <v>32</v>
      </c>
      <c r="AN23" s="1568">
        <f t="shared" si="5"/>
        <v>441</v>
      </c>
      <c r="AO23" s="1565">
        <v>0</v>
      </c>
      <c r="AP23" s="1566">
        <v>44</v>
      </c>
      <c r="AQ23" s="1566">
        <v>64</v>
      </c>
      <c r="AR23" s="1566">
        <v>2</v>
      </c>
      <c r="AS23" s="1566">
        <v>6</v>
      </c>
      <c r="AT23" s="1566">
        <v>4</v>
      </c>
      <c r="AU23" s="1566">
        <v>3</v>
      </c>
      <c r="AV23" s="1566">
        <v>13</v>
      </c>
      <c r="AW23" s="1566">
        <v>7</v>
      </c>
      <c r="AX23" s="1566">
        <v>6</v>
      </c>
      <c r="AY23" s="1566">
        <v>1020</v>
      </c>
      <c r="AZ23" s="1567">
        <v>9</v>
      </c>
      <c r="BA23" s="1568">
        <f t="shared" si="7"/>
        <v>1178</v>
      </c>
      <c r="BB23" s="1565">
        <v>0</v>
      </c>
      <c r="BC23" s="1566">
        <v>51</v>
      </c>
      <c r="BD23" s="1566">
        <v>66</v>
      </c>
      <c r="BE23" s="1566">
        <v>50</v>
      </c>
      <c r="BF23" s="1566">
        <v>45</v>
      </c>
      <c r="BG23" s="1566">
        <v>46</v>
      </c>
      <c r="BH23" s="1566">
        <v>392</v>
      </c>
      <c r="BI23" s="1566">
        <v>252</v>
      </c>
      <c r="BJ23" s="1566">
        <v>485</v>
      </c>
      <c r="BK23" s="1566">
        <v>109</v>
      </c>
      <c r="BL23" s="1566">
        <v>919</v>
      </c>
      <c r="BM23" s="1567">
        <v>1170</v>
      </c>
      <c r="BN23" s="1568">
        <f t="shared" si="9"/>
        <v>3585</v>
      </c>
      <c r="BO23" s="1565">
        <v>12</v>
      </c>
      <c r="BP23" s="1566">
        <v>12</v>
      </c>
      <c r="BQ23" s="1566">
        <v>52</v>
      </c>
      <c r="BR23" s="1566">
        <v>0</v>
      </c>
      <c r="BS23" s="1566">
        <v>0</v>
      </c>
      <c r="BT23" s="1566">
        <v>0</v>
      </c>
      <c r="BU23" s="1566">
        <v>0</v>
      </c>
      <c r="BV23" s="1566">
        <v>0</v>
      </c>
      <c r="BW23" s="1566">
        <v>0</v>
      </c>
      <c r="BX23" s="1566">
        <v>169</v>
      </c>
      <c r="BY23" s="1566">
        <v>320</v>
      </c>
      <c r="BZ23" s="1567">
        <v>139</v>
      </c>
      <c r="CA23" s="1568">
        <f t="shared" si="11"/>
        <v>704</v>
      </c>
      <c r="CB23" s="1565">
        <v>0</v>
      </c>
      <c r="CC23" s="1566">
        <v>0</v>
      </c>
      <c r="CD23" s="1566">
        <v>0</v>
      </c>
      <c r="CE23" s="1566">
        <v>0</v>
      </c>
      <c r="CF23" s="1566">
        <v>0</v>
      </c>
      <c r="CG23" s="1566">
        <v>0</v>
      </c>
      <c r="CH23" s="1566">
        <v>0</v>
      </c>
      <c r="CI23" s="1566">
        <v>0</v>
      </c>
      <c r="CJ23" s="1566">
        <v>0</v>
      </c>
      <c r="CK23" s="1566">
        <v>92</v>
      </c>
      <c r="CL23" s="1566">
        <v>0</v>
      </c>
      <c r="CM23" s="1567">
        <v>234</v>
      </c>
      <c r="CN23" s="1568">
        <f t="shared" si="13"/>
        <v>326</v>
      </c>
      <c r="CO23" s="1565">
        <v>55</v>
      </c>
      <c r="CP23" s="1566">
        <v>128</v>
      </c>
      <c r="CQ23" s="1566">
        <v>116</v>
      </c>
      <c r="CR23" s="1566">
        <v>157</v>
      </c>
      <c r="CS23" s="1566">
        <v>89</v>
      </c>
      <c r="CT23" s="1566">
        <v>131</v>
      </c>
      <c r="CU23" s="1566">
        <v>9</v>
      </c>
      <c r="CV23" s="1566">
        <v>274</v>
      </c>
      <c r="CW23" s="1566">
        <v>67</v>
      </c>
      <c r="CX23" s="1566">
        <v>124</v>
      </c>
      <c r="CY23" s="1566">
        <v>63</v>
      </c>
      <c r="CZ23" s="1567">
        <v>1160</v>
      </c>
      <c r="DA23" s="1568">
        <f t="shared" si="15"/>
        <v>2373</v>
      </c>
      <c r="DB23" s="1565">
        <v>0</v>
      </c>
      <c r="DC23" s="1566">
        <v>0</v>
      </c>
      <c r="DD23" s="1566">
        <v>95</v>
      </c>
      <c r="DE23" s="1566">
        <v>38</v>
      </c>
      <c r="DF23" s="1566">
        <v>17</v>
      </c>
      <c r="DG23" s="1566">
        <v>291</v>
      </c>
      <c r="DH23" s="1566">
        <v>28</v>
      </c>
      <c r="DI23" s="1566">
        <v>30</v>
      </c>
      <c r="DJ23" s="1566">
        <v>641</v>
      </c>
      <c r="DK23" s="1566">
        <v>380</v>
      </c>
      <c r="DL23" s="1566">
        <v>261</v>
      </c>
      <c r="DM23" s="1567">
        <v>533</v>
      </c>
      <c r="DN23" s="1568">
        <f t="shared" si="30"/>
        <v>2314</v>
      </c>
      <c r="DO23" s="1565">
        <v>0</v>
      </c>
      <c r="DP23" s="1566">
        <v>284</v>
      </c>
      <c r="DQ23" s="1566">
        <v>444</v>
      </c>
      <c r="DR23" s="1566">
        <v>296</v>
      </c>
      <c r="DS23" s="1566">
        <v>155</v>
      </c>
      <c r="DT23" s="1566">
        <v>232</v>
      </c>
      <c r="DU23" s="1566">
        <v>8693</v>
      </c>
      <c r="DV23" s="1566">
        <v>6690</v>
      </c>
      <c r="DW23" s="1566">
        <v>3638</v>
      </c>
      <c r="DX23" s="1566">
        <v>4703</v>
      </c>
      <c r="DY23" s="1566">
        <v>5782</v>
      </c>
      <c r="DZ23" s="1567">
        <v>13945</v>
      </c>
      <c r="EA23" s="1568">
        <f t="shared" si="31"/>
        <v>44862</v>
      </c>
      <c r="EB23" s="1565">
        <v>270</v>
      </c>
      <c r="EC23" s="1566">
        <v>6444</v>
      </c>
      <c r="ED23" s="1566">
        <v>765</v>
      </c>
      <c r="EE23" s="1566">
        <v>4797</v>
      </c>
      <c r="EF23" s="1566">
        <v>3898</v>
      </c>
      <c r="EG23" s="1566">
        <v>4677</v>
      </c>
      <c r="EH23" s="1566">
        <v>4016</v>
      </c>
      <c r="EI23" s="1566">
        <v>2713</v>
      </c>
      <c r="EJ23" s="1566">
        <v>1163</v>
      </c>
      <c r="EK23" s="1566">
        <v>2247</v>
      </c>
      <c r="EL23" s="1566">
        <v>1376</v>
      </c>
      <c r="EM23" s="1567">
        <v>2470</v>
      </c>
      <c r="EN23" s="1568">
        <f t="shared" si="32"/>
        <v>34836</v>
      </c>
      <c r="EO23" s="1565">
        <v>139</v>
      </c>
      <c r="EP23" s="1566">
        <v>567</v>
      </c>
      <c r="EQ23" s="1566">
        <v>717</v>
      </c>
      <c r="ER23" s="1566">
        <v>181</v>
      </c>
      <c r="ES23" s="1566">
        <v>609</v>
      </c>
      <c r="ET23" s="1566">
        <v>826</v>
      </c>
      <c r="EU23" s="1566">
        <v>733</v>
      </c>
      <c r="EV23" s="1566">
        <v>675</v>
      </c>
      <c r="EW23" s="1566">
        <v>10791</v>
      </c>
      <c r="EX23" s="1566">
        <v>1332</v>
      </c>
      <c r="EY23" s="1566">
        <v>4735</v>
      </c>
      <c r="EZ23" s="1567">
        <v>10860</v>
      </c>
      <c r="FA23" s="1568">
        <f t="shared" si="33"/>
        <v>32165</v>
      </c>
      <c r="FB23" s="1565">
        <v>63</v>
      </c>
      <c r="FC23" s="1566">
        <v>4476</v>
      </c>
      <c r="FD23" s="1566">
        <v>3829</v>
      </c>
      <c r="FE23" s="1566">
        <v>1519</v>
      </c>
      <c r="FF23" s="1566">
        <v>78</v>
      </c>
      <c r="FG23" s="1566">
        <v>59</v>
      </c>
      <c r="FH23" s="1566">
        <v>25</v>
      </c>
      <c r="FI23" s="1566">
        <v>3099</v>
      </c>
      <c r="FJ23" s="1566">
        <v>3913</v>
      </c>
      <c r="FK23" s="1566">
        <v>4146</v>
      </c>
      <c r="FL23" s="1566">
        <v>6553</v>
      </c>
      <c r="FM23" s="1567">
        <v>9244</v>
      </c>
      <c r="FN23" s="1568">
        <f t="shared" si="34"/>
        <v>37004</v>
      </c>
      <c r="FO23" s="1565">
        <v>431</v>
      </c>
      <c r="FP23" s="1566">
        <v>1352</v>
      </c>
      <c r="FQ23" s="1566">
        <v>1168</v>
      </c>
      <c r="FR23" s="1566">
        <v>2566</v>
      </c>
      <c r="FS23" s="1566">
        <v>2634</v>
      </c>
      <c r="FT23" s="1566">
        <v>4585</v>
      </c>
      <c r="FU23" s="1566">
        <v>1917</v>
      </c>
      <c r="FV23" s="1566">
        <v>4255</v>
      </c>
      <c r="FW23" s="1566">
        <v>3757</v>
      </c>
      <c r="FX23" s="1566">
        <v>5244</v>
      </c>
      <c r="FY23" s="1566">
        <v>2980</v>
      </c>
      <c r="FZ23" s="1567">
        <v>3125</v>
      </c>
      <c r="GA23" s="1568">
        <f t="shared" si="35"/>
        <v>34014</v>
      </c>
      <c r="GB23" s="1565">
        <v>16</v>
      </c>
      <c r="GC23" s="1566">
        <v>62</v>
      </c>
      <c r="GD23" s="1566">
        <v>192</v>
      </c>
      <c r="GE23" s="1566">
        <v>499</v>
      </c>
      <c r="GF23" s="1566">
        <v>1403</v>
      </c>
      <c r="GG23" s="1566">
        <v>2660</v>
      </c>
      <c r="GH23" s="1566">
        <v>10982</v>
      </c>
      <c r="GI23" s="1566">
        <v>1255</v>
      </c>
      <c r="GJ23" s="1566">
        <v>2642</v>
      </c>
      <c r="GK23" s="1566">
        <v>2418</v>
      </c>
      <c r="GL23" s="1566">
        <v>3113</v>
      </c>
      <c r="GM23" s="1567">
        <v>2559</v>
      </c>
      <c r="GN23" s="1568">
        <f t="shared" si="36"/>
        <v>27801</v>
      </c>
      <c r="GO23" s="1565">
        <v>91</v>
      </c>
      <c r="GP23" s="1566">
        <v>670</v>
      </c>
      <c r="GQ23" s="1566">
        <v>1743</v>
      </c>
      <c r="GR23" s="1566">
        <v>599</v>
      </c>
      <c r="GS23" s="1566">
        <v>1027</v>
      </c>
      <c r="GT23" s="1566">
        <v>671</v>
      </c>
      <c r="GU23" s="1566">
        <v>209</v>
      </c>
      <c r="GV23" s="1566">
        <v>625</v>
      </c>
      <c r="GW23" s="1566">
        <v>615</v>
      </c>
      <c r="GX23" s="1566">
        <v>1652</v>
      </c>
      <c r="GY23" s="1566">
        <v>1234</v>
      </c>
      <c r="GZ23" s="1567">
        <v>1072</v>
      </c>
      <c r="HA23" s="1568">
        <f t="shared" si="37"/>
        <v>10208</v>
      </c>
      <c r="HB23" s="1565">
        <v>241</v>
      </c>
      <c r="HC23" s="1566">
        <v>286</v>
      </c>
      <c r="HD23" s="1566">
        <v>131</v>
      </c>
      <c r="HE23" s="1566">
        <v>274</v>
      </c>
      <c r="HF23" s="1566">
        <v>314</v>
      </c>
      <c r="HG23" s="1566">
        <v>555</v>
      </c>
      <c r="HH23" s="1566">
        <v>2963</v>
      </c>
      <c r="HI23" s="1566">
        <v>1131</v>
      </c>
      <c r="HJ23" s="1566">
        <v>2634</v>
      </c>
      <c r="HK23" s="1566">
        <v>5474</v>
      </c>
      <c r="HL23" s="1566">
        <v>2238</v>
      </c>
      <c r="HM23" s="1567">
        <v>7888</v>
      </c>
      <c r="HN23" s="1568">
        <f t="shared" si="38"/>
        <v>24129</v>
      </c>
      <c r="HO23" s="1565">
        <v>577</v>
      </c>
      <c r="HP23" s="1566">
        <v>383</v>
      </c>
      <c r="HQ23" s="1566">
        <v>265</v>
      </c>
      <c r="HR23" s="1566">
        <v>1494</v>
      </c>
      <c r="HS23" s="1566">
        <v>871</v>
      </c>
      <c r="HT23" s="1566">
        <v>619</v>
      </c>
      <c r="HU23" s="1566">
        <v>931</v>
      </c>
      <c r="HV23" s="1566">
        <v>151</v>
      </c>
      <c r="HW23" s="1566">
        <v>111</v>
      </c>
      <c r="HX23" s="1566">
        <v>167</v>
      </c>
      <c r="HY23" s="1566">
        <v>428</v>
      </c>
      <c r="HZ23" s="1567">
        <v>326</v>
      </c>
      <c r="IA23" s="1565">
        <f t="shared" si="39"/>
        <v>6323</v>
      </c>
      <c r="IB23" s="1569">
        <v>69</v>
      </c>
      <c r="IC23" s="1068">
        <v>106</v>
      </c>
      <c r="ID23" s="1068">
        <v>172</v>
      </c>
      <c r="IE23" s="1068">
        <v>83</v>
      </c>
      <c r="IF23" s="1068">
        <v>61</v>
      </c>
      <c r="IG23">
        <v>136</v>
      </c>
      <c r="IH23" s="1068">
        <v>237</v>
      </c>
      <c r="II23" s="1068">
        <v>2363</v>
      </c>
      <c r="IJ23" s="1068"/>
      <c r="IK23" s="1068"/>
      <c r="IL23" s="1068"/>
      <c r="IM23" s="1570"/>
      <c r="IN23" s="1571">
        <f t="shared" si="40"/>
        <v>3227</v>
      </c>
      <c r="IP23" s="1656">
        <f t="shared" si="27"/>
        <v>1464.9006622516556</v>
      </c>
      <c r="IQ23" s="1656">
        <f t="shared" si="41"/>
        <v>-39.00963900963901</v>
      </c>
      <c r="IR23" s="1657">
        <f t="shared" si="28"/>
        <v>5291</v>
      </c>
      <c r="IS23" s="1657">
        <f t="shared" si="29"/>
        <v>3227</v>
      </c>
      <c r="IT23" s="1658"/>
      <c r="IU23" s="1676">
        <f t="shared" si="42"/>
        <v>2212</v>
      </c>
    </row>
    <row r="24" spans="1:264" ht="15" customHeight="1" x14ac:dyDescent="0.2">
      <c r="A24" s="1551" t="s">
        <v>640</v>
      </c>
      <c r="B24" s="1565">
        <v>224</v>
      </c>
      <c r="C24" s="1566">
        <v>122</v>
      </c>
      <c r="D24" s="1566">
        <v>348</v>
      </c>
      <c r="E24" s="1566">
        <v>575</v>
      </c>
      <c r="F24" s="1566">
        <v>997</v>
      </c>
      <c r="G24" s="1566">
        <v>585</v>
      </c>
      <c r="H24" s="1566">
        <v>417</v>
      </c>
      <c r="I24" s="1566">
        <v>547</v>
      </c>
      <c r="J24" s="1566">
        <v>264</v>
      </c>
      <c r="K24" s="1566">
        <v>75</v>
      </c>
      <c r="L24" s="1566">
        <v>353</v>
      </c>
      <c r="M24" s="1567">
        <v>339</v>
      </c>
      <c r="N24" s="1568">
        <f t="shared" si="1"/>
        <v>4846</v>
      </c>
      <c r="O24" s="1565">
        <v>0</v>
      </c>
      <c r="P24" s="1566">
        <v>0</v>
      </c>
      <c r="Q24" s="1566">
        <v>0</v>
      </c>
      <c r="R24" s="1566">
        <v>0</v>
      </c>
      <c r="S24" s="1566">
        <v>0</v>
      </c>
      <c r="T24" s="1566">
        <v>0</v>
      </c>
      <c r="U24" s="1566">
        <v>0</v>
      </c>
      <c r="V24" s="1566">
        <v>0</v>
      </c>
      <c r="W24" s="1566">
        <v>0</v>
      </c>
      <c r="X24" s="1566">
        <v>0</v>
      </c>
      <c r="Y24" s="1566">
        <v>0</v>
      </c>
      <c r="Z24" s="1567">
        <v>0</v>
      </c>
      <c r="AA24" s="1568">
        <f t="shared" si="3"/>
        <v>0</v>
      </c>
      <c r="AB24" s="1565">
        <v>0</v>
      </c>
      <c r="AC24" s="1566">
        <v>0</v>
      </c>
      <c r="AD24" s="1566">
        <v>2</v>
      </c>
      <c r="AE24" s="1566">
        <v>0</v>
      </c>
      <c r="AF24" s="1566">
        <v>0</v>
      </c>
      <c r="AG24" s="1566">
        <v>0</v>
      </c>
      <c r="AH24" s="1566">
        <v>0</v>
      </c>
      <c r="AI24" s="1566">
        <v>0</v>
      </c>
      <c r="AJ24" s="1566">
        <v>0</v>
      </c>
      <c r="AK24" s="1566">
        <v>0</v>
      </c>
      <c r="AL24" s="1566">
        <v>0</v>
      </c>
      <c r="AM24" s="1567">
        <v>0</v>
      </c>
      <c r="AN24" s="1568">
        <f t="shared" si="5"/>
        <v>2</v>
      </c>
      <c r="AO24" s="1565">
        <v>0</v>
      </c>
      <c r="AP24" s="1566">
        <v>0</v>
      </c>
      <c r="AQ24" s="1566">
        <v>0</v>
      </c>
      <c r="AR24" s="1566">
        <v>0</v>
      </c>
      <c r="AS24" s="1566">
        <v>0</v>
      </c>
      <c r="AT24" s="1566">
        <v>0</v>
      </c>
      <c r="AU24" s="1566">
        <v>0</v>
      </c>
      <c r="AV24" s="1566">
        <v>0</v>
      </c>
      <c r="AW24" s="1566">
        <v>0</v>
      </c>
      <c r="AX24" s="1566">
        <v>0</v>
      </c>
      <c r="AY24" s="1566">
        <v>0</v>
      </c>
      <c r="AZ24" s="1567">
        <v>0</v>
      </c>
      <c r="BA24" s="1568">
        <f t="shared" si="7"/>
        <v>0</v>
      </c>
      <c r="BB24" s="1565">
        <v>0</v>
      </c>
      <c r="BC24" s="1566">
        <v>13</v>
      </c>
      <c r="BD24" s="1566">
        <v>0</v>
      </c>
      <c r="BE24" s="1566">
        <v>1</v>
      </c>
      <c r="BF24" s="1566">
        <v>0</v>
      </c>
      <c r="BG24" s="1566">
        <v>0</v>
      </c>
      <c r="BH24" s="1566">
        <v>0</v>
      </c>
      <c r="BI24" s="1566">
        <v>0</v>
      </c>
      <c r="BJ24" s="1566">
        <v>0</v>
      </c>
      <c r="BK24" s="1566">
        <v>0</v>
      </c>
      <c r="BL24" s="1566">
        <v>0</v>
      </c>
      <c r="BM24" s="1567">
        <v>5</v>
      </c>
      <c r="BN24" s="1568">
        <f t="shared" si="9"/>
        <v>19</v>
      </c>
      <c r="BO24" s="1565">
        <v>0</v>
      </c>
      <c r="BP24" s="1566">
        <v>0</v>
      </c>
      <c r="BQ24" s="1566">
        <v>0</v>
      </c>
      <c r="BR24" s="1566">
        <v>0</v>
      </c>
      <c r="BS24" s="1566">
        <v>0</v>
      </c>
      <c r="BT24" s="1566">
        <v>0</v>
      </c>
      <c r="BU24" s="1566">
        <v>0</v>
      </c>
      <c r="BV24" s="1566">
        <v>0</v>
      </c>
      <c r="BW24" s="1566">
        <v>0</v>
      </c>
      <c r="BX24" s="1566">
        <v>0</v>
      </c>
      <c r="BY24" s="1566">
        <v>0</v>
      </c>
      <c r="BZ24" s="1567">
        <v>0</v>
      </c>
      <c r="CA24" s="1568">
        <f t="shared" si="11"/>
        <v>0</v>
      </c>
      <c r="CB24" s="1565">
        <v>0</v>
      </c>
      <c r="CC24" s="1566">
        <v>0</v>
      </c>
      <c r="CD24" s="1566">
        <v>0</v>
      </c>
      <c r="CE24" s="1566">
        <v>0</v>
      </c>
      <c r="CF24" s="1566">
        <v>0</v>
      </c>
      <c r="CG24" s="1566">
        <v>0</v>
      </c>
      <c r="CH24" s="1566">
        <v>0</v>
      </c>
      <c r="CI24" s="1566">
        <v>0</v>
      </c>
      <c r="CJ24" s="1566">
        <v>0</v>
      </c>
      <c r="CK24" s="1566">
        <v>0</v>
      </c>
      <c r="CL24" s="1566">
        <v>0</v>
      </c>
      <c r="CM24" s="1567">
        <v>0</v>
      </c>
      <c r="CN24" s="1568">
        <f t="shared" si="13"/>
        <v>0</v>
      </c>
      <c r="CO24" s="1565">
        <v>0</v>
      </c>
      <c r="CP24" s="1566">
        <v>0</v>
      </c>
      <c r="CQ24" s="1566">
        <v>0</v>
      </c>
      <c r="CR24" s="1566">
        <v>0</v>
      </c>
      <c r="CS24" s="1566">
        <v>0</v>
      </c>
      <c r="CT24" s="1566">
        <v>0</v>
      </c>
      <c r="CU24" s="1566">
        <v>0</v>
      </c>
      <c r="CV24" s="1566">
        <v>0</v>
      </c>
      <c r="CW24" s="1566">
        <v>13</v>
      </c>
      <c r="CX24" s="1566">
        <v>0</v>
      </c>
      <c r="CY24" s="1566">
        <v>0</v>
      </c>
      <c r="CZ24" s="1567">
        <v>8</v>
      </c>
      <c r="DA24" s="1568">
        <f t="shared" si="15"/>
        <v>21</v>
      </c>
      <c r="DB24" s="1565">
        <v>0</v>
      </c>
      <c r="DC24" s="1566">
        <v>0</v>
      </c>
      <c r="DD24" s="1566">
        <v>0</v>
      </c>
      <c r="DE24" s="1566">
        <v>0</v>
      </c>
      <c r="DF24" s="1566">
        <v>0</v>
      </c>
      <c r="DG24" s="1566">
        <v>0</v>
      </c>
      <c r="DH24" s="1566">
        <v>0</v>
      </c>
      <c r="DI24" s="1566">
        <v>0</v>
      </c>
      <c r="DJ24" s="1566">
        <v>0</v>
      </c>
      <c r="DK24" s="1566">
        <v>0</v>
      </c>
      <c r="DL24" s="1566">
        <v>0</v>
      </c>
      <c r="DM24" s="1567">
        <v>0</v>
      </c>
      <c r="DN24" s="1568">
        <f t="shared" si="30"/>
        <v>0</v>
      </c>
      <c r="DO24" s="1565">
        <v>0</v>
      </c>
      <c r="DP24" s="1566">
        <v>0</v>
      </c>
      <c r="DQ24" s="1566">
        <v>0</v>
      </c>
      <c r="DR24" s="1566">
        <v>0</v>
      </c>
      <c r="DS24" s="1566">
        <v>0</v>
      </c>
      <c r="DT24" s="1566">
        <v>0</v>
      </c>
      <c r="DU24" s="1566">
        <v>0</v>
      </c>
      <c r="DV24" s="1566">
        <v>0</v>
      </c>
      <c r="DW24" s="1566">
        <v>0</v>
      </c>
      <c r="DX24" s="1566">
        <v>5</v>
      </c>
      <c r="DY24" s="1566">
        <v>6</v>
      </c>
      <c r="DZ24" s="1567">
        <v>10</v>
      </c>
      <c r="EA24" s="1568">
        <f t="shared" si="31"/>
        <v>21</v>
      </c>
      <c r="EB24" s="1565">
        <v>0</v>
      </c>
      <c r="EC24" s="1566">
        <v>0</v>
      </c>
      <c r="ED24" s="1566">
        <v>0</v>
      </c>
      <c r="EE24" s="1566">
        <v>169</v>
      </c>
      <c r="EF24" s="1566">
        <v>4</v>
      </c>
      <c r="EG24" s="1566">
        <v>19</v>
      </c>
      <c r="EH24" s="1566">
        <v>7</v>
      </c>
      <c r="EI24" s="1566">
        <v>72</v>
      </c>
      <c r="EJ24" s="1566">
        <v>26</v>
      </c>
      <c r="EK24" s="1566">
        <v>4</v>
      </c>
      <c r="EL24" s="1566">
        <v>8</v>
      </c>
      <c r="EM24" s="1567">
        <v>42</v>
      </c>
      <c r="EN24" s="1568">
        <f t="shared" si="32"/>
        <v>351</v>
      </c>
      <c r="EO24" s="1565">
        <v>0</v>
      </c>
      <c r="EP24" s="1566">
        <v>0</v>
      </c>
      <c r="EQ24" s="1566">
        <v>0</v>
      </c>
      <c r="ER24" s="1566">
        <v>0</v>
      </c>
      <c r="ES24" s="1566">
        <v>13</v>
      </c>
      <c r="ET24" s="1566">
        <v>82</v>
      </c>
      <c r="EU24" s="1566">
        <v>7</v>
      </c>
      <c r="EV24" s="1566">
        <v>0</v>
      </c>
      <c r="EW24" s="1566">
        <v>0</v>
      </c>
      <c r="EX24" s="1566">
        <v>0</v>
      </c>
      <c r="EY24" s="1566">
        <v>20</v>
      </c>
      <c r="EZ24" s="1567">
        <v>5</v>
      </c>
      <c r="FA24" s="1568">
        <f t="shared" si="33"/>
        <v>127</v>
      </c>
      <c r="FB24" s="1565">
        <v>0</v>
      </c>
      <c r="FC24" s="1566">
        <v>0</v>
      </c>
      <c r="FD24" s="1566">
        <v>0</v>
      </c>
      <c r="FE24" s="1566">
        <v>0</v>
      </c>
      <c r="FF24" s="1566">
        <v>0</v>
      </c>
      <c r="FG24" s="1566">
        <v>0</v>
      </c>
      <c r="FH24" s="1566">
        <v>0</v>
      </c>
      <c r="FI24" s="1566">
        <v>0</v>
      </c>
      <c r="FJ24" s="1566">
        <v>0</v>
      </c>
      <c r="FK24" s="1566">
        <v>0</v>
      </c>
      <c r="FL24" s="1566">
        <v>0</v>
      </c>
      <c r="FM24" s="1567">
        <v>2</v>
      </c>
      <c r="FN24" s="1568">
        <f t="shared" si="34"/>
        <v>2</v>
      </c>
      <c r="FO24" s="1565">
        <v>0</v>
      </c>
      <c r="FP24" s="1566">
        <v>0</v>
      </c>
      <c r="FQ24" s="1566">
        <v>0</v>
      </c>
      <c r="FR24" s="1566">
        <v>0</v>
      </c>
      <c r="FS24" s="1566">
        <v>0</v>
      </c>
      <c r="FT24" s="1566">
        <v>0</v>
      </c>
      <c r="FU24" s="1566">
        <v>0</v>
      </c>
      <c r="FV24" s="1566">
        <v>0</v>
      </c>
      <c r="FW24" s="1566">
        <v>0</v>
      </c>
      <c r="FX24" s="1566">
        <v>0</v>
      </c>
      <c r="FY24" s="1566">
        <v>0</v>
      </c>
      <c r="FZ24" s="1567">
        <v>0</v>
      </c>
      <c r="GA24" s="1568">
        <f t="shared" si="35"/>
        <v>0</v>
      </c>
      <c r="GB24" s="1565">
        <v>0</v>
      </c>
      <c r="GC24" s="1566">
        <v>0</v>
      </c>
      <c r="GD24" s="1566">
        <v>0</v>
      </c>
      <c r="GE24" s="1566">
        <v>0</v>
      </c>
      <c r="GF24" s="1566">
        <v>0</v>
      </c>
      <c r="GG24" s="1566">
        <v>0</v>
      </c>
      <c r="GH24" s="1566">
        <v>0</v>
      </c>
      <c r="GI24" s="1566">
        <v>0</v>
      </c>
      <c r="GJ24" s="1566">
        <v>0</v>
      </c>
      <c r="GK24" s="1566">
        <v>0</v>
      </c>
      <c r="GL24" s="1566">
        <v>0</v>
      </c>
      <c r="GM24" s="1567">
        <v>26</v>
      </c>
      <c r="GN24" s="1568">
        <f t="shared" si="36"/>
        <v>26</v>
      </c>
      <c r="GO24" s="1565">
        <v>0</v>
      </c>
      <c r="GP24" s="1566">
        <v>0</v>
      </c>
      <c r="GQ24" s="1566">
        <v>0</v>
      </c>
      <c r="GR24" s="1566">
        <v>0</v>
      </c>
      <c r="GS24" s="1566">
        <v>0</v>
      </c>
      <c r="GT24" s="1566">
        <v>0</v>
      </c>
      <c r="GU24" s="1566">
        <v>0</v>
      </c>
      <c r="GV24" s="1566">
        <v>0</v>
      </c>
      <c r="GW24" s="1566">
        <v>0</v>
      </c>
      <c r="GX24" s="1566">
        <v>0</v>
      </c>
      <c r="GY24" s="1566">
        <v>0</v>
      </c>
      <c r="GZ24" s="1567">
        <v>3</v>
      </c>
      <c r="HA24" s="1568">
        <f t="shared" si="37"/>
        <v>3</v>
      </c>
      <c r="HB24" s="1565">
        <v>0</v>
      </c>
      <c r="HC24" s="1566">
        <v>0</v>
      </c>
      <c r="HD24" s="1566">
        <v>0</v>
      </c>
      <c r="HE24" s="1566">
        <v>0</v>
      </c>
      <c r="HF24" s="1566">
        <v>0</v>
      </c>
      <c r="HG24" s="1566">
        <v>0</v>
      </c>
      <c r="HH24" s="1566">
        <v>0</v>
      </c>
      <c r="HI24" s="1566">
        <v>0</v>
      </c>
      <c r="HJ24" s="1566">
        <v>0</v>
      </c>
      <c r="HK24" s="1566">
        <v>0</v>
      </c>
      <c r="HL24" s="1566">
        <v>0</v>
      </c>
      <c r="HM24" s="1567">
        <v>0</v>
      </c>
      <c r="HN24" s="1568">
        <f t="shared" si="38"/>
        <v>0</v>
      </c>
      <c r="HO24" s="1565">
        <v>0</v>
      </c>
      <c r="HP24" s="1566">
        <v>0</v>
      </c>
      <c r="HQ24" s="1566">
        <v>0</v>
      </c>
      <c r="HR24" s="1566">
        <v>0</v>
      </c>
      <c r="HS24" s="1566">
        <v>0</v>
      </c>
      <c r="HT24" s="1566">
        <v>0</v>
      </c>
      <c r="HU24" s="1566">
        <v>0</v>
      </c>
      <c r="HV24" s="1566">
        <v>0</v>
      </c>
      <c r="HW24" s="1566">
        <v>0</v>
      </c>
      <c r="HX24" s="1566">
        <v>0</v>
      </c>
      <c r="HY24" s="1566">
        <v>0</v>
      </c>
      <c r="HZ24" s="1567">
        <v>0</v>
      </c>
      <c r="IA24" s="1565">
        <f t="shared" si="39"/>
        <v>0</v>
      </c>
      <c r="IB24" s="1569">
        <v>0</v>
      </c>
      <c r="IC24" s="1068">
        <v>0</v>
      </c>
      <c r="ID24" s="1068">
        <v>0</v>
      </c>
      <c r="IE24" s="1068">
        <v>0</v>
      </c>
      <c r="IF24" s="1068">
        <v>0</v>
      </c>
      <c r="IG24">
        <v>0</v>
      </c>
      <c r="IH24" s="1068">
        <v>0</v>
      </c>
      <c r="II24" s="1068">
        <v>0</v>
      </c>
      <c r="IJ24" s="1068"/>
      <c r="IK24" s="1068"/>
      <c r="IL24" s="1068"/>
      <c r="IM24" s="1570"/>
      <c r="IN24" s="1571">
        <f t="shared" si="40"/>
        <v>0</v>
      </c>
      <c r="IP24" s="1656" t="str">
        <f t="shared" si="27"/>
        <v/>
      </c>
      <c r="IQ24" s="1656" t="str">
        <f t="shared" si="41"/>
        <v/>
      </c>
      <c r="IR24" s="1657">
        <f t="shared" si="28"/>
        <v>0</v>
      </c>
      <c r="IS24" s="1657">
        <f t="shared" si="29"/>
        <v>0</v>
      </c>
      <c r="IT24" s="1658"/>
      <c r="IU24" s="221">
        <f t="shared" si="42"/>
        <v>0</v>
      </c>
    </row>
    <row r="25" spans="1:264" ht="15" customHeight="1" x14ac:dyDescent="0.2">
      <c r="A25" s="1551" t="s">
        <v>641</v>
      </c>
      <c r="B25" s="1565">
        <v>744</v>
      </c>
      <c r="C25" s="1566">
        <v>3086</v>
      </c>
      <c r="D25" s="1566">
        <v>9172</v>
      </c>
      <c r="E25" s="1566">
        <v>42210</v>
      </c>
      <c r="F25" s="1566">
        <v>10992</v>
      </c>
      <c r="G25" s="1566">
        <v>23020</v>
      </c>
      <c r="H25" s="1566">
        <v>5378</v>
      </c>
      <c r="I25" s="1566">
        <v>2242</v>
      </c>
      <c r="J25" s="1566">
        <v>6289</v>
      </c>
      <c r="K25" s="1566">
        <v>50509</v>
      </c>
      <c r="L25" s="1566">
        <v>53327</v>
      </c>
      <c r="M25" s="1567">
        <v>19003</v>
      </c>
      <c r="N25" s="1568">
        <f t="shared" si="1"/>
        <v>225972</v>
      </c>
      <c r="O25" s="1565">
        <v>5774</v>
      </c>
      <c r="P25" s="1566">
        <v>9784</v>
      </c>
      <c r="Q25" s="1566">
        <v>6126</v>
      </c>
      <c r="R25" s="1566">
        <v>6280</v>
      </c>
      <c r="S25" s="1566">
        <v>15642</v>
      </c>
      <c r="T25" s="1566">
        <v>22271</v>
      </c>
      <c r="U25" s="1566">
        <v>11352</v>
      </c>
      <c r="V25" s="1566">
        <v>14237</v>
      </c>
      <c r="W25" s="1566">
        <v>9933</v>
      </c>
      <c r="X25" s="1566">
        <v>12014</v>
      </c>
      <c r="Y25" s="1566">
        <v>13614</v>
      </c>
      <c r="Z25" s="1567">
        <v>26122</v>
      </c>
      <c r="AA25" s="1568">
        <f t="shared" si="3"/>
        <v>153149</v>
      </c>
      <c r="AB25" s="1565">
        <v>690</v>
      </c>
      <c r="AC25" s="1566">
        <v>12691</v>
      </c>
      <c r="AD25" s="1566">
        <v>5176</v>
      </c>
      <c r="AE25" s="1566">
        <v>9764</v>
      </c>
      <c r="AF25" s="1566">
        <v>7094</v>
      </c>
      <c r="AG25" s="1566">
        <v>6190</v>
      </c>
      <c r="AH25" s="1566">
        <v>5150</v>
      </c>
      <c r="AI25" s="1566">
        <v>3460</v>
      </c>
      <c r="AJ25" s="1566">
        <v>5788</v>
      </c>
      <c r="AK25" s="1566">
        <v>9432</v>
      </c>
      <c r="AL25" s="1566">
        <v>4492</v>
      </c>
      <c r="AM25" s="1567">
        <v>916</v>
      </c>
      <c r="AN25" s="1568">
        <f t="shared" si="5"/>
        <v>70843</v>
      </c>
      <c r="AO25" s="1565">
        <v>0</v>
      </c>
      <c r="AP25" s="1566">
        <v>533</v>
      </c>
      <c r="AQ25" s="1566">
        <v>3408</v>
      </c>
      <c r="AR25" s="1566">
        <v>6133</v>
      </c>
      <c r="AS25" s="1566">
        <v>595</v>
      </c>
      <c r="AT25" s="1566">
        <v>1865</v>
      </c>
      <c r="AU25" s="1566">
        <v>1929</v>
      </c>
      <c r="AV25" s="1566">
        <v>540</v>
      </c>
      <c r="AW25" s="1566">
        <v>1459</v>
      </c>
      <c r="AX25" s="1566">
        <v>-880</v>
      </c>
      <c r="AY25" s="1566">
        <v>191</v>
      </c>
      <c r="AZ25" s="1567">
        <v>79</v>
      </c>
      <c r="BA25" s="1568">
        <f t="shared" si="7"/>
        <v>15852</v>
      </c>
      <c r="BB25" s="1565">
        <v>76</v>
      </c>
      <c r="BC25" s="1566">
        <v>237</v>
      </c>
      <c r="BD25" s="1566">
        <v>51</v>
      </c>
      <c r="BE25" s="1566">
        <v>73</v>
      </c>
      <c r="BF25" s="1566">
        <v>30724</v>
      </c>
      <c r="BG25" s="1566">
        <v>2703</v>
      </c>
      <c r="BH25" s="1566">
        <v>21818</v>
      </c>
      <c r="BI25" s="1566">
        <v>11700</v>
      </c>
      <c r="BJ25" s="1566">
        <v>9987</v>
      </c>
      <c r="BK25" s="1566">
        <v>20868</v>
      </c>
      <c r="BL25" s="1566">
        <v>43553</v>
      </c>
      <c r="BM25" s="1567">
        <v>12792</v>
      </c>
      <c r="BN25" s="1568">
        <f t="shared" si="9"/>
        <v>154582</v>
      </c>
      <c r="BO25" s="1565">
        <v>5157</v>
      </c>
      <c r="BP25" s="1566">
        <v>6047</v>
      </c>
      <c r="BQ25" s="1566">
        <v>22286</v>
      </c>
      <c r="BR25" s="1566">
        <v>9187</v>
      </c>
      <c r="BS25" s="1566">
        <v>6422</v>
      </c>
      <c r="BT25" s="1566">
        <v>13649</v>
      </c>
      <c r="BU25" s="1566">
        <v>14055</v>
      </c>
      <c r="BV25" s="1566">
        <v>11112</v>
      </c>
      <c r="BW25" s="1566">
        <v>15811</v>
      </c>
      <c r="BX25" s="1566">
        <v>11270</v>
      </c>
      <c r="BY25" s="1566">
        <v>14957</v>
      </c>
      <c r="BZ25" s="1567">
        <v>14294</v>
      </c>
      <c r="CA25" s="1568">
        <f t="shared" si="11"/>
        <v>144247</v>
      </c>
      <c r="CB25" s="1565">
        <v>10487</v>
      </c>
      <c r="CC25" s="1566">
        <v>11936</v>
      </c>
      <c r="CD25" s="1566">
        <v>12530</v>
      </c>
      <c r="CE25" s="1566">
        <v>9246</v>
      </c>
      <c r="CF25" s="1566">
        <v>6779</v>
      </c>
      <c r="CG25" s="1566">
        <v>11711</v>
      </c>
      <c r="CH25" s="1566">
        <v>11242</v>
      </c>
      <c r="CI25" s="1566">
        <v>6662</v>
      </c>
      <c r="CJ25" s="1566">
        <v>4161</v>
      </c>
      <c r="CK25" s="1566">
        <v>1514</v>
      </c>
      <c r="CL25" s="1566">
        <v>4532</v>
      </c>
      <c r="CM25" s="1567">
        <v>3172</v>
      </c>
      <c r="CN25" s="1568">
        <f t="shared" si="13"/>
        <v>93972</v>
      </c>
      <c r="CO25" s="1565">
        <v>127</v>
      </c>
      <c r="CP25" s="1566">
        <v>21817</v>
      </c>
      <c r="CQ25" s="1566">
        <v>301</v>
      </c>
      <c r="CR25" s="1566">
        <v>398</v>
      </c>
      <c r="CS25" s="1566">
        <v>1452</v>
      </c>
      <c r="CT25" s="1566">
        <v>1322</v>
      </c>
      <c r="CU25" s="1566">
        <v>3895</v>
      </c>
      <c r="CV25" s="1566">
        <v>5760</v>
      </c>
      <c r="CW25" s="1566">
        <v>8342</v>
      </c>
      <c r="CX25" s="1566">
        <v>4255</v>
      </c>
      <c r="CY25" s="1566">
        <v>1346</v>
      </c>
      <c r="CZ25" s="1567">
        <v>2018</v>
      </c>
      <c r="DA25" s="1568">
        <f t="shared" si="15"/>
        <v>51033</v>
      </c>
      <c r="DB25" s="1565">
        <v>0</v>
      </c>
      <c r="DC25" s="1566">
        <v>27</v>
      </c>
      <c r="DD25" s="1566">
        <v>32</v>
      </c>
      <c r="DE25" s="1566">
        <v>506</v>
      </c>
      <c r="DF25" s="1566">
        <v>2454</v>
      </c>
      <c r="DG25" s="1566">
        <v>515</v>
      </c>
      <c r="DH25" s="1566">
        <v>1868</v>
      </c>
      <c r="DI25" s="1566">
        <v>1454</v>
      </c>
      <c r="DJ25" s="1566">
        <v>2401</v>
      </c>
      <c r="DK25" s="1566">
        <v>1678</v>
      </c>
      <c r="DL25" s="1566">
        <v>229</v>
      </c>
      <c r="DM25" s="1567">
        <v>330</v>
      </c>
      <c r="DN25" s="1568">
        <f t="shared" si="30"/>
        <v>11494</v>
      </c>
      <c r="DO25" s="1565">
        <v>0</v>
      </c>
      <c r="DP25" s="1566">
        <v>0</v>
      </c>
      <c r="DQ25" s="1566">
        <v>101</v>
      </c>
      <c r="DR25" s="1566">
        <v>115</v>
      </c>
      <c r="DS25" s="1566">
        <v>80101</v>
      </c>
      <c r="DT25" s="1566">
        <v>49513</v>
      </c>
      <c r="DU25" s="1566">
        <v>7913</v>
      </c>
      <c r="DV25" s="1566">
        <v>5249</v>
      </c>
      <c r="DW25" s="1566">
        <v>10573</v>
      </c>
      <c r="DX25" s="1566">
        <v>15856</v>
      </c>
      <c r="DY25" s="1566">
        <v>14711</v>
      </c>
      <c r="DZ25" s="1567">
        <v>17659</v>
      </c>
      <c r="EA25" s="1568">
        <f t="shared" si="31"/>
        <v>201791</v>
      </c>
      <c r="EB25" s="1565">
        <v>14402</v>
      </c>
      <c r="EC25" s="1566">
        <v>15610</v>
      </c>
      <c r="ED25" s="1566">
        <v>15430</v>
      </c>
      <c r="EE25" s="1566">
        <v>21043</v>
      </c>
      <c r="EF25" s="1566">
        <v>28915</v>
      </c>
      <c r="EG25" s="1566">
        <v>13922</v>
      </c>
      <c r="EH25" s="1566">
        <v>13134</v>
      </c>
      <c r="EI25" s="1566">
        <v>35616</v>
      </c>
      <c r="EJ25" s="1566">
        <v>14716</v>
      </c>
      <c r="EK25" s="1566">
        <v>15745</v>
      </c>
      <c r="EL25" s="1566">
        <v>28767</v>
      </c>
      <c r="EM25" s="1567">
        <v>31438</v>
      </c>
      <c r="EN25" s="1568">
        <f t="shared" si="32"/>
        <v>248738</v>
      </c>
      <c r="EO25" s="1565">
        <v>13285</v>
      </c>
      <c r="EP25" s="1566">
        <v>11340</v>
      </c>
      <c r="EQ25" s="1566">
        <v>13257</v>
      </c>
      <c r="ER25" s="1566">
        <v>641</v>
      </c>
      <c r="ES25" s="1566">
        <v>12119</v>
      </c>
      <c r="ET25" s="1566">
        <v>12057</v>
      </c>
      <c r="EU25" s="1566">
        <v>15402</v>
      </c>
      <c r="EV25" s="1566">
        <v>17560</v>
      </c>
      <c r="EW25" s="1566">
        <v>24391</v>
      </c>
      <c r="EX25" s="1566">
        <v>23133</v>
      </c>
      <c r="EY25" s="1566">
        <v>20956</v>
      </c>
      <c r="EZ25" s="1567">
        <v>18707</v>
      </c>
      <c r="FA25" s="1568">
        <f t="shared" si="33"/>
        <v>182848</v>
      </c>
      <c r="FB25" s="1565">
        <v>16974</v>
      </c>
      <c r="FC25" s="1566">
        <v>11856</v>
      </c>
      <c r="FD25" s="1566">
        <v>556</v>
      </c>
      <c r="FE25" s="1566">
        <v>8625</v>
      </c>
      <c r="FF25" s="1566">
        <v>710</v>
      </c>
      <c r="FG25" s="1566">
        <v>662</v>
      </c>
      <c r="FH25" s="1566">
        <v>15108</v>
      </c>
      <c r="FI25" s="1566">
        <v>3564</v>
      </c>
      <c r="FJ25" s="1566">
        <v>1369</v>
      </c>
      <c r="FK25" s="1566">
        <v>-10983</v>
      </c>
      <c r="FL25" s="1566">
        <v>5323</v>
      </c>
      <c r="FM25" s="1567">
        <v>8395</v>
      </c>
      <c r="FN25" s="1568">
        <f t="shared" si="34"/>
        <v>62159</v>
      </c>
      <c r="FO25" s="1565">
        <v>3167</v>
      </c>
      <c r="FP25" s="1566">
        <v>1539</v>
      </c>
      <c r="FQ25" s="1566">
        <v>19374</v>
      </c>
      <c r="FR25" s="1566">
        <v>2142</v>
      </c>
      <c r="FS25" s="1566">
        <v>19300</v>
      </c>
      <c r="FT25" s="1566">
        <v>4304</v>
      </c>
      <c r="FU25" s="1566">
        <v>5114</v>
      </c>
      <c r="FV25" s="1566">
        <v>3940</v>
      </c>
      <c r="FW25" s="1566">
        <v>5236</v>
      </c>
      <c r="FX25" s="1566">
        <v>14680</v>
      </c>
      <c r="FY25" s="1566">
        <v>18754</v>
      </c>
      <c r="FZ25" s="1567">
        <v>15834</v>
      </c>
      <c r="GA25" s="1568">
        <f t="shared" si="35"/>
        <v>113384</v>
      </c>
      <c r="GB25" s="1565">
        <v>5521</v>
      </c>
      <c r="GC25" s="1566">
        <v>11226</v>
      </c>
      <c r="GD25" s="1566">
        <v>5799</v>
      </c>
      <c r="GE25" s="1566">
        <v>13437</v>
      </c>
      <c r="GF25" s="1566">
        <v>6822</v>
      </c>
      <c r="GG25" s="1566">
        <v>6153</v>
      </c>
      <c r="GH25" s="1566">
        <v>19337</v>
      </c>
      <c r="GI25" s="1566">
        <v>9772</v>
      </c>
      <c r="GJ25" s="1566">
        <v>8339</v>
      </c>
      <c r="GK25" s="1566">
        <v>8466</v>
      </c>
      <c r="GL25" s="1566">
        <v>19597</v>
      </c>
      <c r="GM25" s="1567">
        <v>14574</v>
      </c>
      <c r="GN25" s="1568">
        <f t="shared" si="36"/>
        <v>129043</v>
      </c>
      <c r="GO25" s="1565">
        <v>10383</v>
      </c>
      <c r="GP25" s="1566">
        <v>8281</v>
      </c>
      <c r="GQ25" s="1566">
        <v>9970</v>
      </c>
      <c r="GR25" s="1566">
        <v>13473</v>
      </c>
      <c r="GS25" s="1566">
        <v>15335</v>
      </c>
      <c r="GT25" s="1566">
        <v>17248</v>
      </c>
      <c r="GU25" s="1566">
        <v>6073</v>
      </c>
      <c r="GV25" s="1566">
        <v>10245</v>
      </c>
      <c r="GW25" s="1566">
        <v>10201</v>
      </c>
      <c r="GX25" s="1566">
        <v>19043</v>
      </c>
      <c r="GY25" s="1566">
        <v>16182</v>
      </c>
      <c r="GZ25" s="1567">
        <v>6756</v>
      </c>
      <c r="HA25" s="1568">
        <f t="shared" si="37"/>
        <v>143190</v>
      </c>
      <c r="HB25" s="1565">
        <v>1072</v>
      </c>
      <c r="HC25" s="1566">
        <v>11271</v>
      </c>
      <c r="HD25" s="1566">
        <v>2378</v>
      </c>
      <c r="HE25" s="1566">
        <v>8396</v>
      </c>
      <c r="HF25" s="1566">
        <v>39688</v>
      </c>
      <c r="HG25" s="1566">
        <v>24781</v>
      </c>
      <c r="HH25" s="1566">
        <v>7739</v>
      </c>
      <c r="HI25" s="1566">
        <v>19340</v>
      </c>
      <c r="HJ25" s="1566">
        <v>15345</v>
      </c>
      <c r="HK25" s="1566">
        <v>22886</v>
      </c>
      <c r="HL25" s="1566">
        <v>14053</v>
      </c>
      <c r="HM25" s="1567">
        <v>18666</v>
      </c>
      <c r="HN25" s="1568">
        <f t="shared" si="38"/>
        <v>185615</v>
      </c>
      <c r="HO25" s="1565">
        <v>7728</v>
      </c>
      <c r="HP25" s="1566">
        <v>16846</v>
      </c>
      <c r="HQ25" s="1566">
        <v>16967</v>
      </c>
      <c r="HR25" s="1566">
        <v>75668</v>
      </c>
      <c r="HS25" s="1566">
        <v>5951</v>
      </c>
      <c r="HT25" s="1566">
        <v>23772</v>
      </c>
      <c r="HU25" s="1566">
        <v>12748</v>
      </c>
      <c r="HV25" s="1566">
        <v>18020</v>
      </c>
      <c r="HW25" s="1566">
        <v>8625</v>
      </c>
      <c r="HX25" s="1566">
        <v>19241</v>
      </c>
      <c r="HY25" s="1566">
        <v>15718</v>
      </c>
      <c r="HZ25" s="1567">
        <v>3923</v>
      </c>
      <c r="IA25" s="1565">
        <f t="shared" si="39"/>
        <v>225207</v>
      </c>
      <c r="IB25" s="1569">
        <v>21687</v>
      </c>
      <c r="IC25" s="1068">
        <v>10054</v>
      </c>
      <c r="ID25" s="1068">
        <v>8853</v>
      </c>
      <c r="IE25" s="1068">
        <v>12480</v>
      </c>
      <c r="IF25" s="1068">
        <v>19087</v>
      </c>
      <c r="IG25">
        <v>18687</v>
      </c>
      <c r="IH25" s="1068">
        <v>19130</v>
      </c>
      <c r="II25" s="1068">
        <v>24867</v>
      </c>
      <c r="IJ25" s="1068"/>
      <c r="IK25" s="1068"/>
      <c r="IL25" s="1068"/>
      <c r="IM25" s="1570"/>
      <c r="IN25" s="1571">
        <f t="shared" si="40"/>
        <v>134845</v>
      </c>
      <c r="IP25" s="1656">
        <f t="shared" si="27"/>
        <v>37.996670366259707</v>
      </c>
      <c r="IQ25" s="1656">
        <f t="shared" si="41"/>
        <v>-24.116488463702868</v>
      </c>
      <c r="IR25" s="1657">
        <f t="shared" si="28"/>
        <v>177700</v>
      </c>
      <c r="IS25" s="1657">
        <f t="shared" si="29"/>
        <v>134845</v>
      </c>
      <c r="IT25" s="1658"/>
      <c r="IU25" s="1676">
        <f t="shared" si="42"/>
        <v>6847</v>
      </c>
    </row>
    <row r="26" spans="1:264" ht="15" customHeight="1" x14ac:dyDescent="0.2">
      <c r="A26" s="1551" t="s">
        <v>642</v>
      </c>
      <c r="B26" s="1565">
        <v>0</v>
      </c>
      <c r="C26" s="1566">
        <v>0</v>
      </c>
      <c r="D26" s="1566">
        <v>0</v>
      </c>
      <c r="E26" s="1566">
        <v>0</v>
      </c>
      <c r="F26" s="1566">
        <v>0</v>
      </c>
      <c r="G26" s="1566">
        <v>0</v>
      </c>
      <c r="H26" s="1566">
        <v>0</v>
      </c>
      <c r="I26" s="1566">
        <v>0</v>
      </c>
      <c r="J26" s="1566">
        <v>6</v>
      </c>
      <c r="K26" s="1566">
        <v>0</v>
      </c>
      <c r="L26" s="1566">
        <v>3</v>
      </c>
      <c r="M26" s="1567">
        <v>0</v>
      </c>
      <c r="N26" s="1568">
        <f t="shared" si="1"/>
        <v>9</v>
      </c>
      <c r="O26" s="1565">
        <v>0</v>
      </c>
      <c r="P26" s="1566">
        <v>17</v>
      </c>
      <c r="Q26" s="1566">
        <v>0</v>
      </c>
      <c r="R26" s="1566">
        <v>3</v>
      </c>
      <c r="S26" s="1566">
        <v>2</v>
      </c>
      <c r="T26" s="1566">
        <v>0</v>
      </c>
      <c r="U26" s="1566">
        <v>0</v>
      </c>
      <c r="V26" s="1566">
        <v>0</v>
      </c>
      <c r="W26" s="1566">
        <v>0</v>
      </c>
      <c r="X26" s="1566">
        <v>0</v>
      </c>
      <c r="Y26" s="1566">
        <v>0</v>
      </c>
      <c r="Z26" s="1567">
        <v>127</v>
      </c>
      <c r="AA26" s="1568">
        <f t="shared" si="3"/>
        <v>149</v>
      </c>
      <c r="AB26" s="1565">
        <v>20</v>
      </c>
      <c r="AC26" s="1566">
        <v>16</v>
      </c>
      <c r="AD26" s="1566">
        <v>46</v>
      </c>
      <c r="AE26" s="1566">
        <v>249</v>
      </c>
      <c r="AF26" s="1566">
        <v>783</v>
      </c>
      <c r="AG26" s="1566">
        <v>52</v>
      </c>
      <c r="AH26" s="1566">
        <v>262</v>
      </c>
      <c r="AI26" s="1566">
        <v>37</v>
      </c>
      <c r="AJ26" s="1566">
        <v>54</v>
      </c>
      <c r="AK26" s="1566">
        <v>12</v>
      </c>
      <c r="AL26" s="1566">
        <v>0</v>
      </c>
      <c r="AM26" s="1567">
        <v>132</v>
      </c>
      <c r="AN26" s="1568"/>
      <c r="AO26" s="1565">
        <v>0</v>
      </c>
      <c r="AP26" s="1566">
        <v>0</v>
      </c>
      <c r="AQ26" s="1566">
        <v>0</v>
      </c>
      <c r="AR26" s="1566">
        <v>0</v>
      </c>
      <c r="AS26" s="1566">
        <v>0</v>
      </c>
      <c r="AT26" s="1566">
        <v>33</v>
      </c>
      <c r="AU26" s="1566">
        <v>286</v>
      </c>
      <c r="AV26" s="1566">
        <v>187</v>
      </c>
      <c r="AW26" s="1566">
        <v>0</v>
      </c>
      <c r="AX26" s="1566">
        <v>0</v>
      </c>
      <c r="AY26" s="1566">
        <v>47</v>
      </c>
      <c r="AZ26" s="1567">
        <v>7</v>
      </c>
      <c r="BA26" s="1568">
        <f t="shared" si="7"/>
        <v>560</v>
      </c>
      <c r="BB26" s="1565">
        <v>0</v>
      </c>
      <c r="BC26" s="1566">
        <v>0</v>
      </c>
      <c r="BD26" s="1566">
        <v>0</v>
      </c>
      <c r="BE26" s="1566">
        <v>0</v>
      </c>
      <c r="BF26" s="1566">
        <v>0</v>
      </c>
      <c r="BG26" s="1566">
        <v>0</v>
      </c>
      <c r="BH26" s="1566">
        <v>0</v>
      </c>
      <c r="BI26" s="1566">
        <v>46</v>
      </c>
      <c r="BJ26" s="1566">
        <v>0</v>
      </c>
      <c r="BK26" s="1566">
        <v>15</v>
      </c>
      <c r="BL26" s="1566">
        <v>23</v>
      </c>
      <c r="BM26" s="1567">
        <v>280</v>
      </c>
      <c r="BN26" s="1568">
        <f t="shared" si="9"/>
        <v>364</v>
      </c>
      <c r="BO26" s="1565">
        <v>23</v>
      </c>
      <c r="BP26" s="1566">
        <v>69</v>
      </c>
      <c r="BQ26" s="1566">
        <v>12</v>
      </c>
      <c r="BR26" s="1566">
        <v>0</v>
      </c>
      <c r="BS26" s="1566">
        <v>0</v>
      </c>
      <c r="BT26" s="1566">
        <v>0</v>
      </c>
      <c r="BU26" s="1566">
        <v>0</v>
      </c>
      <c r="BV26" s="1566">
        <v>7</v>
      </c>
      <c r="BW26" s="1566">
        <v>0</v>
      </c>
      <c r="BX26" s="1566">
        <v>0</v>
      </c>
      <c r="BY26" s="1566">
        <v>0</v>
      </c>
      <c r="BZ26" s="1567">
        <v>7</v>
      </c>
      <c r="CA26" s="1568">
        <f t="shared" si="11"/>
        <v>118</v>
      </c>
      <c r="CB26" s="1565">
        <v>0</v>
      </c>
      <c r="CC26" s="1566">
        <v>0</v>
      </c>
      <c r="CD26" s="1566">
        <v>15</v>
      </c>
      <c r="CE26" s="1566">
        <v>14</v>
      </c>
      <c r="CF26" s="1566">
        <v>31</v>
      </c>
      <c r="CG26" s="1566">
        <v>12</v>
      </c>
      <c r="CH26" s="1566">
        <v>0</v>
      </c>
      <c r="CI26" s="1566">
        <v>7</v>
      </c>
      <c r="CJ26" s="1566">
        <v>14</v>
      </c>
      <c r="CK26" s="1566">
        <v>99</v>
      </c>
      <c r="CL26" s="1566">
        <v>20</v>
      </c>
      <c r="CM26" s="1567">
        <v>3064</v>
      </c>
      <c r="CN26" s="1568">
        <f t="shared" si="13"/>
        <v>3276</v>
      </c>
      <c r="CO26" s="1565">
        <v>0</v>
      </c>
      <c r="CP26" s="1566">
        <v>0</v>
      </c>
      <c r="CQ26" s="1566">
        <v>0</v>
      </c>
      <c r="CR26" s="1566">
        <v>0</v>
      </c>
      <c r="CS26" s="1566">
        <v>0</v>
      </c>
      <c r="CT26" s="1566">
        <v>0</v>
      </c>
      <c r="CU26" s="1566">
        <v>0</v>
      </c>
      <c r="CV26" s="1566">
        <v>0</v>
      </c>
      <c r="CW26" s="1566">
        <v>0</v>
      </c>
      <c r="CX26" s="1566">
        <v>0</v>
      </c>
      <c r="CY26" s="1566">
        <v>0</v>
      </c>
      <c r="CZ26" s="1567">
        <v>0</v>
      </c>
      <c r="DA26" s="1568">
        <f t="shared" si="15"/>
        <v>0</v>
      </c>
      <c r="DB26" s="1565">
        <v>0</v>
      </c>
      <c r="DC26" s="1566">
        <v>0</v>
      </c>
      <c r="DD26" s="1566">
        <v>0</v>
      </c>
      <c r="DE26" s="1566">
        <v>0</v>
      </c>
      <c r="DF26" s="1566">
        <v>0</v>
      </c>
      <c r="DG26" s="1566">
        <v>0</v>
      </c>
      <c r="DH26" s="1566">
        <v>0</v>
      </c>
      <c r="DI26" s="1566">
        <v>0</v>
      </c>
      <c r="DJ26" s="1566">
        <v>0</v>
      </c>
      <c r="DK26" s="1566">
        <v>0</v>
      </c>
      <c r="DL26" s="1566">
        <v>0</v>
      </c>
      <c r="DM26" s="1567">
        <v>0</v>
      </c>
      <c r="DN26" s="1568">
        <f t="shared" si="30"/>
        <v>0</v>
      </c>
      <c r="DO26" s="1565">
        <v>0</v>
      </c>
      <c r="DP26" s="1566">
        <v>0</v>
      </c>
      <c r="DQ26" s="1566">
        <v>0</v>
      </c>
      <c r="DR26" s="1566">
        <v>0</v>
      </c>
      <c r="DS26" s="1566">
        <v>0</v>
      </c>
      <c r="DT26" s="1566">
        <v>0</v>
      </c>
      <c r="DU26" s="1566">
        <v>0</v>
      </c>
      <c r="DV26" s="1566">
        <v>0</v>
      </c>
      <c r="DW26" s="1566">
        <v>0</v>
      </c>
      <c r="DX26" s="1566">
        <v>0</v>
      </c>
      <c r="DY26" s="1566">
        <v>0</v>
      </c>
      <c r="DZ26" s="1567">
        <v>0</v>
      </c>
      <c r="EA26" s="1568">
        <f t="shared" si="31"/>
        <v>0</v>
      </c>
      <c r="EB26" s="1565">
        <v>0</v>
      </c>
      <c r="EC26" s="1566">
        <v>0</v>
      </c>
      <c r="ED26" s="1566">
        <v>0</v>
      </c>
      <c r="EE26" s="1566">
        <v>0</v>
      </c>
      <c r="EF26" s="1566">
        <v>0</v>
      </c>
      <c r="EG26" s="1566">
        <v>0</v>
      </c>
      <c r="EH26" s="1566">
        <v>0</v>
      </c>
      <c r="EI26" s="1566">
        <v>0</v>
      </c>
      <c r="EJ26" s="1566">
        <v>0</v>
      </c>
      <c r="EK26" s="1566">
        <v>0</v>
      </c>
      <c r="EL26" s="1566">
        <v>0</v>
      </c>
      <c r="EM26" s="1567">
        <v>0</v>
      </c>
      <c r="EN26" s="1568">
        <f t="shared" si="32"/>
        <v>0</v>
      </c>
      <c r="EO26" s="1565">
        <v>0</v>
      </c>
      <c r="EP26" s="1566">
        <v>0</v>
      </c>
      <c r="EQ26" s="1566">
        <v>0</v>
      </c>
      <c r="ER26" s="1566">
        <v>0</v>
      </c>
      <c r="ES26" s="1566">
        <v>0</v>
      </c>
      <c r="ET26" s="1566">
        <v>0</v>
      </c>
      <c r="EU26" s="1566">
        <v>45147</v>
      </c>
      <c r="EV26" s="1566">
        <v>0</v>
      </c>
      <c r="EW26" s="1566">
        <v>0</v>
      </c>
      <c r="EX26" s="1566">
        <v>-82</v>
      </c>
      <c r="EY26" s="1566">
        <v>0</v>
      </c>
      <c r="EZ26" s="1567">
        <v>0</v>
      </c>
      <c r="FA26" s="1568">
        <f t="shared" si="33"/>
        <v>45065</v>
      </c>
      <c r="FB26" s="1565">
        <v>4</v>
      </c>
      <c r="FC26" s="1566">
        <v>4</v>
      </c>
      <c r="FD26" s="1566">
        <v>9</v>
      </c>
      <c r="FE26" s="1566">
        <v>19</v>
      </c>
      <c r="FF26" s="1566">
        <v>10</v>
      </c>
      <c r="FG26" s="1566">
        <v>13</v>
      </c>
      <c r="FH26" s="1566">
        <v>16</v>
      </c>
      <c r="FI26" s="1566">
        <v>17</v>
      </c>
      <c r="FJ26" s="1566">
        <v>25</v>
      </c>
      <c r="FK26" s="1566">
        <v>37</v>
      </c>
      <c r="FL26" s="1566">
        <v>17</v>
      </c>
      <c r="FM26" s="1567">
        <v>66</v>
      </c>
      <c r="FN26" s="1568">
        <f t="shared" si="34"/>
        <v>237</v>
      </c>
      <c r="FO26" s="1565">
        <v>18</v>
      </c>
      <c r="FP26" s="1566">
        <v>37</v>
      </c>
      <c r="FQ26" s="1566">
        <v>56</v>
      </c>
      <c r="FR26" s="1566">
        <v>97</v>
      </c>
      <c r="FS26" s="1566">
        <v>581</v>
      </c>
      <c r="FT26" s="1566">
        <v>65</v>
      </c>
      <c r="FU26" s="1566">
        <v>43</v>
      </c>
      <c r="FV26" s="1566">
        <v>59</v>
      </c>
      <c r="FW26" s="1566">
        <v>53</v>
      </c>
      <c r="FX26" s="1566">
        <v>611</v>
      </c>
      <c r="FY26" s="1566">
        <v>53</v>
      </c>
      <c r="FZ26" s="1567">
        <v>11102</v>
      </c>
      <c r="GA26" s="1568">
        <f t="shared" si="35"/>
        <v>12775</v>
      </c>
      <c r="GB26" s="1565">
        <v>50</v>
      </c>
      <c r="GC26" s="1566">
        <v>45</v>
      </c>
      <c r="GD26" s="1566">
        <v>101</v>
      </c>
      <c r="GE26" s="1566">
        <v>10914</v>
      </c>
      <c r="GF26" s="1566">
        <v>-188</v>
      </c>
      <c r="GG26" s="1566">
        <v>9459</v>
      </c>
      <c r="GH26" s="1566">
        <v>2</v>
      </c>
      <c r="GI26" s="1566">
        <v>12394</v>
      </c>
      <c r="GJ26" s="1566">
        <v>-116</v>
      </c>
      <c r="GK26" s="1566">
        <v>58</v>
      </c>
      <c r="GL26" s="1566">
        <v>6166</v>
      </c>
      <c r="GM26" s="1567">
        <v>-70</v>
      </c>
      <c r="GN26" s="1568">
        <f t="shared" si="36"/>
        <v>38815</v>
      </c>
      <c r="GO26" s="1565">
        <v>17</v>
      </c>
      <c r="GP26" s="1566">
        <v>6031</v>
      </c>
      <c r="GQ26" s="1566">
        <v>5721</v>
      </c>
      <c r="GR26" s="1566">
        <v>7142</v>
      </c>
      <c r="GS26" s="1566">
        <v>-175</v>
      </c>
      <c r="GT26" s="1566">
        <v>483</v>
      </c>
      <c r="GU26" s="1566">
        <v>46</v>
      </c>
      <c r="GV26" s="1566">
        <v>77</v>
      </c>
      <c r="GW26" s="1566">
        <v>11173</v>
      </c>
      <c r="GX26" s="1566">
        <v>-68</v>
      </c>
      <c r="GY26" s="1566">
        <v>75</v>
      </c>
      <c r="GZ26" s="1567">
        <v>62</v>
      </c>
      <c r="HA26" s="1568">
        <f t="shared" si="37"/>
        <v>30584</v>
      </c>
      <c r="HB26" s="1565">
        <v>9280</v>
      </c>
      <c r="HC26" s="1566">
        <v>0</v>
      </c>
      <c r="HD26" s="1566">
        <v>75</v>
      </c>
      <c r="HE26" s="1566">
        <v>94</v>
      </c>
      <c r="HF26" s="1566">
        <v>9152</v>
      </c>
      <c r="HG26" s="1566">
        <v>-172</v>
      </c>
      <c r="HH26" s="1566">
        <v>9118</v>
      </c>
      <c r="HI26" s="1566">
        <v>58</v>
      </c>
      <c r="HJ26" s="1566">
        <v>9145</v>
      </c>
      <c r="HK26" s="1566">
        <v>-25</v>
      </c>
      <c r="HL26" s="1566">
        <v>69</v>
      </c>
      <c r="HM26" s="1567">
        <v>123</v>
      </c>
      <c r="HN26" s="1568">
        <f t="shared" si="38"/>
        <v>36917</v>
      </c>
      <c r="HO26" s="1565">
        <v>40</v>
      </c>
      <c r="HP26" s="1566">
        <v>42</v>
      </c>
      <c r="HQ26" s="1566">
        <v>78</v>
      </c>
      <c r="HR26" s="1566">
        <v>52</v>
      </c>
      <c r="HS26" s="1566">
        <v>92</v>
      </c>
      <c r="HT26" s="1566">
        <v>128</v>
      </c>
      <c r="HU26" s="1566">
        <v>83</v>
      </c>
      <c r="HV26" s="1566">
        <v>2023</v>
      </c>
      <c r="HW26" s="1566">
        <v>24</v>
      </c>
      <c r="HX26" s="1566">
        <v>7170</v>
      </c>
      <c r="HY26" s="1566">
        <v>-90</v>
      </c>
      <c r="HZ26" s="1567">
        <v>102</v>
      </c>
      <c r="IA26" s="1565">
        <f t="shared" si="39"/>
        <v>9744</v>
      </c>
      <c r="IB26" s="1569">
        <v>3</v>
      </c>
      <c r="IC26" s="1068">
        <v>51</v>
      </c>
      <c r="ID26" s="1068">
        <v>68</v>
      </c>
      <c r="IE26" s="1068">
        <v>52</v>
      </c>
      <c r="IF26" s="1068">
        <v>56</v>
      </c>
      <c r="IG26">
        <v>62</v>
      </c>
      <c r="IH26" s="1068">
        <v>80</v>
      </c>
      <c r="II26" s="1068">
        <v>1935</v>
      </c>
      <c r="IJ26" s="1068"/>
      <c r="IK26" s="1068"/>
      <c r="IL26" s="1068"/>
      <c r="IM26" s="1570"/>
      <c r="IN26" s="1571">
        <f t="shared" si="40"/>
        <v>2307</v>
      </c>
      <c r="IP26" s="1656">
        <f t="shared" si="27"/>
        <v>-4.3499752842313448</v>
      </c>
      <c r="IQ26" s="1656">
        <f t="shared" si="41"/>
        <v>-9.1016548463356948</v>
      </c>
      <c r="IR26" s="1657">
        <f t="shared" si="28"/>
        <v>2538</v>
      </c>
      <c r="IS26" s="1657">
        <f t="shared" si="29"/>
        <v>2307</v>
      </c>
      <c r="IT26" s="1658"/>
      <c r="IU26" s="221">
        <f t="shared" si="42"/>
        <v>-88</v>
      </c>
    </row>
    <row r="27" spans="1:264" ht="15" customHeight="1" x14ac:dyDescent="0.2">
      <c r="A27" s="1551" t="s">
        <v>643</v>
      </c>
      <c r="B27" s="1565">
        <v>0</v>
      </c>
      <c r="C27" s="1566">
        <v>0</v>
      </c>
      <c r="D27" s="1566">
        <v>0</v>
      </c>
      <c r="E27" s="1566">
        <v>0</v>
      </c>
      <c r="F27" s="1566">
        <v>0</v>
      </c>
      <c r="G27" s="1566">
        <v>0</v>
      </c>
      <c r="H27" s="1566">
        <v>0</v>
      </c>
      <c r="I27" s="1566">
        <v>0</v>
      </c>
      <c r="J27" s="1566">
        <v>0</v>
      </c>
      <c r="K27" s="1566">
        <v>0</v>
      </c>
      <c r="L27" s="1566">
        <v>0</v>
      </c>
      <c r="M27" s="1567">
        <v>0</v>
      </c>
      <c r="N27" s="1568">
        <f t="shared" si="1"/>
        <v>0</v>
      </c>
      <c r="O27" s="1565">
        <v>0</v>
      </c>
      <c r="P27" s="1566">
        <v>0</v>
      </c>
      <c r="Q27" s="1566">
        <v>0</v>
      </c>
      <c r="R27" s="1566">
        <v>0</v>
      </c>
      <c r="S27" s="1566">
        <v>0</v>
      </c>
      <c r="T27" s="1566">
        <v>0</v>
      </c>
      <c r="U27" s="1566">
        <v>0</v>
      </c>
      <c r="V27" s="1566">
        <v>0</v>
      </c>
      <c r="W27" s="1566">
        <v>0</v>
      </c>
      <c r="X27" s="1566">
        <v>0</v>
      </c>
      <c r="Y27" s="1566">
        <v>0</v>
      </c>
      <c r="Z27" s="1567">
        <v>0</v>
      </c>
      <c r="AA27" s="1568">
        <f t="shared" si="3"/>
        <v>0</v>
      </c>
      <c r="AB27" s="1565">
        <v>0</v>
      </c>
      <c r="AC27" s="1566">
        <v>0</v>
      </c>
      <c r="AD27" s="1566">
        <v>0</v>
      </c>
      <c r="AE27" s="1566">
        <v>0</v>
      </c>
      <c r="AF27" s="1566">
        <v>0</v>
      </c>
      <c r="AG27" s="1566">
        <v>0</v>
      </c>
      <c r="AH27" s="1566">
        <v>0</v>
      </c>
      <c r="AI27" s="1566">
        <v>0</v>
      </c>
      <c r="AJ27" s="1566">
        <v>0</v>
      </c>
      <c r="AK27" s="1566">
        <v>0</v>
      </c>
      <c r="AL27" s="1566">
        <v>0</v>
      </c>
      <c r="AM27" s="1567">
        <v>0</v>
      </c>
      <c r="AN27" s="1568">
        <f>SUM(AB27:AM27)</f>
        <v>0</v>
      </c>
      <c r="AO27" s="1565">
        <v>0</v>
      </c>
      <c r="AP27" s="1566">
        <v>0</v>
      </c>
      <c r="AQ27" s="1566">
        <v>0</v>
      </c>
      <c r="AR27" s="1566">
        <v>0</v>
      </c>
      <c r="AS27" s="1566">
        <v>0</v>
      </c>
      <c r="AT27" s="1566">
        <v>0</v>
      </c>
      <c r="AU27" s="1566">
        <v>0</v>
      </c>
      <c r="AV27" s="1566">
        <v>0</v>
      </c>
      <c r="AW27" s="1566">
        <v>0</v>
      </c>
      <c r="AX27" s="1566">
        <v>0</v>
      </c>
      <c r="AY27" s="1566">
        <v>0</v>
      </c>
      <c r="AZ27" s="1567">
        <v>0</v>
      </c>
      <c r="BA27" s="1568">
        <f t="shared" si="7"/>
        <v>0</v>
      </c>
      <c r="BB27" s="1565">
        <v>0</v>
      </c>
      <c r="BC27" s="1566">
        <v>0</v>
      </c>
      <c r="BD27" s="1566">
        <v>2</v>
      </c>
      <c r="BE27" s="1566">
        <v>0</v>
      </c>
      <c r="BF27" s="1566">
        <v>2</v>
      </c>
      <c r="BG27" s="1566">
        <v>0</v>
      </c>
      <c r="BH27" s="1566">
        <v>0</v>
      </c>
      <c r="BI27" s="1566">
        <v>2</v>
      </c>
      <c r="BJ27" s="1566">
        <v>2</v>
      </c>
      <c r="BK27" s="1566">
        <v>3</v>
      </c>
      <c r="BL27" s="1566">
        <v>7</v>
      </c>
      <c r="BM27" s="1567">
        <v>4</v>
      </c>
      <c r="BN27" s="1568"/>
      <c r="BO27" s="1565">
        <v>0</v>
      </c>
      <c r="BP27" s="1566">
        <v>3</v>
      </c>
      <c r="BQ27" s="1566">
        <v>5</v>
      </c>
      <c r="BR27" s="1566">
        <v>1</v>
      </c>
      <c r="BS27" s="1566">
        <v>3</v>
      </c>
      <c r="BT27" s="1566">
        <v>1</v>
      </c>
      <c r="BU27" s="1566">
        <v>0</v>
      </c>
      <c r="BV27" s="1566">
        <v>9</v>
      </c>
      <c r="BW27" s="1566">
        <v>0</v>
      </c>
      <c r="BX27" s="1566">
        <v>2</v>
      </c>
      <c r="BY27" s="1566">
        <v>24</v>
      </c>
      <c r="BZ27" s="1567">
        <v>1</v>
      </c>
      <c r="CA27" s="1568">
        <f t="shared" si="11"/>
        <v>49</v>
      </c>
      <c r="CB27" s="1565">
        <v>0</v>
      </c>
      <c r="CC27" s="1566">
        <v>64</v>
      </c>
      <c r="CD27" s="1566">
        <v>274</v>
      </c>
      <c r="CE27" s="1566">
        <v>5</v>
      </c>
      <c r="CF27" s="1566">
        <v>141</v>
      </c>
      <c r="CG27" s="1566">
        <v>58</v>
      </c>
      <c r="CH27" s="1566">
        <v>5</v>
      </c>
      <c r="CI27" s="1566">
        <v>2027</v>
      </c>
      <c r="CJ27" s="1566">
        <v>24</v>
      </c>
      <c r="CK27" s="1566">
        <v>570</v>
      </c>
      <c r="CL27" s="1566">
        <v>1017</v>
      </c>
      <c r="CM27" s="1567">
        <v>2396</v>
      </c>
      <c r="CN27" s="1568">
        <f t="shared" si="13"/>
        <v>6581</v>
      </c>
      <c r="CO27" s="1565">
        <v>0</v>
      </c>
      <c r="CP27" s="1566">
        <v>398</v>
      </c>
      <c r="CQ27" s="1566">
        <v>227</v>
      </c>
      <c r="CR27" s="1566">
        <v>313</v>
      </c>
      <c r="CS27" s="1566">
        <v>286</v>
      </c>
      <c r="CT27" s="1566">
        <v>11</v>
      </c>
      <c r="CU27" s="1566">
        <v>9</v>
      </c>
      <c r="CV27" s="1566">
        <v>17</v>
      </c>
      <c r="CW27" s="1566">
        <v>12</v>
      </c>
      <c r="CX27" s="1566">
        <v>376</v>
      </c>
      <c r="CY27" s="1566">
        <v>33</v>
      </c>
      <c r="CZ27" s="1567">
        <v>347</v>
      </c>
      <c r="DA27" s="1568">
        <f t="shared" si="15"/>
        <v>2029</v>
      </c>
      <c r="DB27" s="1565">
        <v>0</v>
      </c>
      <c r="DC27" s="1566">
        <v>0</v>
      </c>
      <c r="DD27" s="1566">
        <v>0</v>
      </c>
      <c r="DE27" s="1566">
        <v>0</v>
      </c>
      <c r="DF27" s="1566">
        <v>81</v>
      </c>
      <c r="DG27" s="1566">
        <v>0</v>
      </c>
      <c r="DH27" s="1566">
        <v>77</v>
      </c>
      <c r="DI27" s="1566">
        <v>144</v>
      </c>
      <c r="DJ27" s="1566">
        <v>16</v>
      </c>
      <c r="DK27" s="1566">
        <v>0</v>
      </c>
      <c r="DL27" s="1566">
        <v>0</v>
      </c>
      <c r="DM27" s="1567">
        <v>0</v>
      </c>
      <c r="DN27" s="1568">
        <f t="shared" si="30"/>
        <v>318</v>
      </c>
      <c r="DO27" s="1565">
        <v>0</v>
      </c>
      <c r="DP27" s="1566">
        <v>242</v>
      </c>
      <c r="DQ27" s="1566">
        <v>6</v>
      </c>
      <c r="DR27" s="1566">
        <v>1</v>
      </c>
      <c r="DS27" s="1566">
        <v>30</v>
      </c>
      <c r="DT27" s="1566">
        <v>133</v>
      </c>
      <c r="DU27" s="1566">
        <v>64</v>
      </c>
      <c r="DV27" s="1566">
        <v>3737</v>
      </c>
      <c r="DW27" s="1566">
        <v>302</v>
      </c>
      <c r="DX27" s="1566">
        <v>686</v>
      </c>
      <c r="DY27" s="1566">
        <v>1464</v>
      </c>
      <c r="DZ27" s="1567">
        <v>4325</v>
      </c>
      <c r="EA27" s="1568">
        <f t="shared" si="31"/>
        <v>10990</v>
      </c>
      <c r="EB27" s="1565">
        <v>37</v>
      </c>
      <c r="EC27" s="1566">
        <v>815</v>
      </c>
      <c r="ED27" s="1566">
        <v>1147</v>
      </c>
      <c r="EE27" s="1566">
        <v>1266</v>
      </c>
      <c r="EF27" s="1566">
        <v>2122</v>
      </c>
      <c r="EG27" s="1566">
        <v>3065</v>
      </c>
      <c r="EH27" s="1566">
        <v>1789</v>
      </c>
      <c r="EI27" s="1566">
        <v>1543</v>
      </c>
      <c r="EJ27" s="1566">
        <v>1765</v>
      </c>
      <c r="EK27" s="1566">
        <v>2038</v>
      </c>
      <c r="EL27" s="1566">
        <v>1412</v>
      </c>
      <c r="EM27" s="1567">
        <v>3870</v>
      </c>
      <c r="EN27" s="1568">
        <f t="shared" si="32"/>
        <v>20869</v>
      </c>
      <c r="EO27" s="1565">
        <v>762</v>
      </c>
      <c r="EP27" s="1566">
        <v>771</v>
      </c>
      <c r="EQ27" s="1566">
        <v>647</v>
      </c>
      <c r="ER27" s="1566">
        <v>580</v>
      </c>
      <c r="ES27" s="1566">
        <v>750</v>
      </c>
      <c r="ET27" s="1566">
        <v>596</v>
      </c>
      <c r="EU27" s="1566">
        <v>626</v>
      </c>
      <c r="EV27" s="1566">
        <v>779</v>
      </c>
      <c r="EW27" s="1566">
        <v>613</v>
      </c>
      <c r="EX27" s="1566">
        <v>355</v>
      </c>
      <c r="EY27" s="1566">
        <v>258</v>
      </c>
      <c r="EZ27" s="1567">
        <v>413</v>
      </c>
      <c r="FA27" s="1568">
        <f t="shared" si="33"/>
        <v>7150</v>
      </c>
      <c r="FB27" s="1565">
        <v>127</v>
      </c>
      <c r="FC27" s="1566">
        <v>215</v>
      </c>
      <c r="FD27" s="1566">
        <v>479</v>
      </c>
      <c r="FE27" s="1566">
        <v>0</v>
      </c>
      <c r="FF27" s="1566">
        <v>11</v>
      </c>
      <c r="FG27" s="1566">
        <v>40</v>
      </c>
      <c r="FH27" s="1566">
        <v>38</v>
      </c>
      <c r="FI27" s="1566">
        <v>24</v>
      </c>
      <c r="FJ27" s="1566">
        <v>44</v>
      </c>
      <c r="FK27" s="1566">
        <v>1562</v>
      </c>
      <c r="FL27" s="1566">
        <v>1246</v>
      </c>
      <c r="FM27" s="1567">
        <v>2078</v>
      </c>
      <c r="FN27" s="1568">
        <f t="shared" si="34"/>
        <v>5864</v>
      </c>
      <c r="FO27" s="1565">
        <v>358</v>
      </c>
      <c r="FP27" s="1566">
        <v>1516</v>
      </c>
      <c r="FQ27" s="1566">
        <v>1190</v>
      </c>
      <c r="FR27" s="1566">
        <v>1093</v>
      </c>
      <c r="FS27" s="1566">
        <v>1249</v>
      </c>
      <c r="FT27" s="1566">
        <v>940</v>
      </c>
      <c r="FU27" s="1566">
        <v>1512</v>
      </c>
      <c r="FV27" s="1566">
        <v>1322</v>
      </c>
      <c r="FW27" s="1566">
        <v>784</v>
      </c>
      <c r="FX27" s="1566">
        <v>476</v>
      </c>
      <c r="FY27" s="1566">
        <v>1235</v>
      </c>
      <c r="FZ27" s="1567">
        <v>259</v>
      </c>
      <c r="GA27" s="1568">
        <f t="shared" si="35"/>
        <v>11934</v>
      </c>
      <c r="GB27" s="1565">
        <v>21</v>
      </c>
      <c r="GC27" s="1566">
        <v>32</v>
      </c>
      <c r="GD27" s="1566">
        <v>79</v>
      </c>
      <c r="GE27" s="1566">
        <v>505</v>
      </c>
      <c r="GF27" s="1566">
        <v>12</v>
      </c>
      <c r="GG27" s="1566">
        <v>-1</v>
      </c>
      <c r="GH27" s="1566">
        <v>2</v>
      </c>
      <c r="GI27" s="1566">
        <v>2</v>
      </c>
      <c r="GJ27" s="1566">
        <v>509</v>
      </c>
      <c r="GK27" s="1566">
        <v>11</v>
      </c>
      <c r="GL27" s="1566">
        <v>199</v>
      </c>
      <c r="GM27" s="1567">
        <v>-181</v>
      </c>
      <c r="GN27" s="1568">
        <f t="shared" si="36"/>
        <v>1190</v>
      </c>
      <c r="GO27" s="1565">
        <v>0</v>
      </c>
      <c r="GP27" s="1566">
        <v>1</v>
      </c>
      <c r="GQ27" s="1566">
        <v>78</v>
      </c>
      <c r="GR27" s="1566">
        <v>63</v>
      </c>
      <c r="GS27" s="1566">
        <v>302</v>
      </c>
      <c r="GT27" s="1566">
        <v>33</v>
      </c>
      <c r="GU27" s="1566">
        <v>0</v>
      </c>
      <c r="GV27" s="1566">
        <v>3</v>
      </c>
      <c r="GW27" s="1566">
        <v>21</v>
      </c>
      <c r="GX27" s="1566">
        <v>192</v>
      </c>
      <c r="GY27" s="1566">
        <v>40</v>
      </c>
      <c r="GZ27" s="1567">
        <v>0</v>
      </c>
      <c r="HA27" s="1568">
        <f t="shared" si="37"/>
        <v>733</v>
      </c>
      <c r="HB27" s="1565">
        <v>0</v>
      </c>
      <c r="HC27" s="1566">
        <v>0</v>
      </c>
      <c r="HD27" s="1566">
        <v>8</v>
      </c>
      <c r="HE27" s="1566">
        <v>0</v>
      </c>
      <c r="HF27" s="1566">
        <v>0</v>
      </c>
      <c r="HG27" s="1566">
        <v>4</v>
      </c>
      <c r="HH27" s="1566">
        <v>8</v>
      </c>
      <c r="HI27" s="1566">
        <v>4</v>
      </c>
      <c r="HJ27" s="1566">
        <v>0</v>
      </c>
      <c r="HK27" s="1566">
        <v>0</v>
      </c>
      <c r="HL27" s="1566">
        <v>0</v>
      </c>
      <c r="HM27" s="1567">
        <v>0</v>
      </c>
      <c r="HN27" s="1568">
        <f t="shared" si="38"/>
        <v>24</v>
      </c>
      <c r="HO27" s="1565">
        <v>0</v>
      </c>
      <c r="HP27" s="1566">
        <v>0</v>
      </c>
      <c r="HQ27" s="1566">
        <v>0</v>
      </c>
      <c r="HR27" s="1566">
        <v>0</v>
      </c>
      <c r="HS27" s="1566">
        <v>0</v>
      </c>
      <c r="HT27" s="1566">
        <v>0</v>
      </c>
      <c r="HU27" s="1566">
        <v>0</v>
      </c>
      <c r="HV27" s="1566">
        <v>0</v>
      </c>
      <c r="HW27" s="1566">
        <v>0</v>
      </c>
      <c r="HX27" s="1566">
        <v>0</v>
      </c>
      <c r="HY27" s="1566">
        <v>0</v>
      </c>
      <c r="HZ27" s="1567">
        <v>0</v>
      </c>
      <c r="IA27" s="1565">
        <f t="shared" si="39"/>
        <v>0</v>
      </c>
      <c r="IB27" s="1569">
        <v>0</v>
      </c>
      <c r="IC27" s="1068">
        <v>0</v>
      </c>
      <c r="ID27" s="1068">
        <v>0</v>
      </c>
      <c r="IE27" s="1068">
        <v>7</v>
      </c>
      <c r="IF27" s="1068">
        <v>7</v>
      </c>
      <c r="IG27">
        <v>25</v>
      </c>
      <c r="IH27" s="1068">
        <v>65</v>
      </c>
      <c r="II27" s="1068">
        <v>75</v>
      </c>
      <c r="IJ27" s="1068"/>
      <c r="IK27" s="1068"/>
      <c r="IL27" s="1068"/>
      <c r="IM27" s="1570"/>
      <c r="IN27" s="1571">
        <f t="shared" si="40"/>
        <v>179</v>
      </c>
      <c r="IP27" s="1656" t="str">
        <f t="shared" si="27"/>
        <v/>
      </c>
      <c r="IQ27" s="1656" t="str">
        <f t="shared" si="41"/>
        <v/>
      </c>
      <c r="IR27" s="1657">
        <f t="shared" si="28"/>
        <v>0</v>
      </c>
      <c r="IS27" s="1657">
        <f t="shared" si="29"/>
        <v>179</v>
      </c>
      <c r="IT27" s="1658"/>
      <c r="IU27" s="221">
        <f t="shared" si="42"/>
        <v>75</v>
      </c>
    </row>
    <row r="28" spans="1:264" ht="15" customHeight="1" x14ac:dyDescent="0.2">
      <c r="A28" s="1551" t="s">
        <v>644</v>
      </c>
      <c r="B28" s="1565">
        <v>0</v>
      </c>
      <c r="C28" s="1566">
        <v>0</v>
      </c>
      <c r="D28" s="1566">
        <v>0</v>
      </c>
      <c r="E28" s="1566">
        <v>0</v>
      </c>
      <c r="F28" s="1566">
        <v>0</v>
      </c>
      <c r="G28" s="1566">
        <v>0</v>
      </c>
      <c r="H28" s="1566">
        <v>0</v>
      </c>
      <c r="I28" s="1566">
        <v>0</v>
      </c>
      <c r="J28" s="1566">
        <v>0</v>
      </c>
      <c r="K28" s="1566">
        <v>0</v>
      </c>
      <c r="L28" s="1566">
        <v>0</v>
      </c>
      <c r="M28" s="1567">
        <v>0</v>
      </c>
      <c r="N28" s="1568">
        <f t="shared" si="1"/>
        <v>0</v>
      </c>
      <c r="O28" s="1565">
        <v>0</v>
      </c>
      <c r="P28" s="1566">
        <v>0</v>
      </c>
      <c r="Q28" s="1566">
        <v>0</v>
      </c>
      <c r="R28" s="1566">
        <v>0</v>
      </c>
      <c r="S28" s="1566">
        <v>0</v>
      </c>
      <c r="T28" s="1566">
        <v>0</v>
      </c>
      <c r="U28" s="1566">
        <v>0</v>
      </c>
      <c r="V28" s="1566">
        <v>0</v>
      </c>
      <c r="W28" s="1566">
        <v>0</v>
      </c>
      <c r="X28" s="1566">
        <v>0</v>
      </c>
      <c r="Y28" s="1566">
        <v>0</v>
      </c>
      <c r="Z28" s="1567">
        <v>0</v>
      </c>
      <c r="AA28" s="1568">
        <f t="shared" si="3"/>
        <v>0</v>
      </c>
      <c r="AB28" s="1565">
        <v>60</v>
      </c>
      <c r="AC28" s="1566">
        <v>393</v>
      </c>
      <c r="AD28" s="1566">
        <v>865</v>
      </c>
      <c r="AE28" s="1566">
        <v>423</v>
      </c>
      <c r="AF28" s="1566">
        <v>39</v>
      </c>
      <c r="AG28" s="1566">
        <v>409</v>
      </c>
      <c r="AH28" s="1566">
        <v>14</v>
      </c>
      <c r="AI28" s="1566">
        <v>254</v>
      </c>
      <c r="AJ28" s="1566">
        <v>33</v>
      </c>
      <c r="AK28" s="1566">
        <v>331</v>
      </c>
      <c r="AL28" s="1566">
        <v>343</v>
      </c>
      <c r="AM28" s="1567">
        <v>423</v>
      </c>
      <c r="AN28" s="1568">
        <f>SUM(AB28:AM28)</f>
        <v>3587</v>
      </c>
      <c r="AO28" s="1565">
        <v>0</v>
      </c>
      <c r="AP28" s="1566">
        <v>0</v>
      </c>
      <c r="AQ28" s="1566">
        <v>0</v>
      </c>
      <c r="AR28" s="1566">
        <v>0</v>
      </c>
      <c r="AS28" s="1566">
        <v>0</v>
      </c>
      <c r="AT28" s="1566">
        <v>0</v>
      </c>
      <c r="AU28" s="1566">
        <v>0</v>
      </c>
      <c r="AV28" s="1566">
        <v>0</v>
      </c>
      <c r="AW28" s="1566">
        <v>0</v>
      </c>
      <c r="AX28" s="1566">
        <v>0</v>
      </c>
      <c r="AY28" s="1566">
        <v>0</v>
      </c>
      <c r="AZ28" s="1567">
        <v>0</v>
      </c>
      <c r="BA28" s="1568">
        <f t="shared" si="7"/>
        <v>0</v>
      </c>
      <c r="BB28" s="1565">
        <v>0</v>
      </c>
      <c r="BC28" s="1566">
        <v>0</v>
      </c>
      <c r="BD28" s="1566">
        <v>23</v>
      </c>
      <c r="BE28" s="1566">
        <v>66</v>
      </c>
      <c r="BF28" s="1566">
        <v>5</v>
      </c>
      <c r="BG28" s="1566">
        <v>47</v>
      </c>
      <c r="BH28" s="1566">
        <v>107</v>
      </c>
      <c r="BI28" s="1566">
        <v>64</v>
      </c>
      <c r="BJ28" s="1566">
        <v>97</v>
      </c>
      <c r="BK28" s="1566">
        <v>18</v>
      </c>
      <c r="BL28" s="1566">
        <v>65</v>
      </c>
      <c r="BM28" s="1567">
        <v>12</v>
      </c>
      <c r="BN28" s="1568">
        <f>SUM(BB28:BM28)</f>
        <v>504</v>
      </c>
      <c r="BO28" s="1565">
        <v>0</v>
      </c>
      <c r="BP28" s="1566">
        <v>0</v>
      </c>
      <c r="BQ28" s="1566">
        <v>0</v>
      </c>
      <c r="BR28" s="1566">
        <v>0</v>
      </c>
      <c r="BS28" s="1566">
        <v>0</v>
      </c>
      <c r="BT28" s="1566">
        <v>0</v>
      </c>
      <c r="BU28" s="1566">
        <v>0</v>
      </c>
      <c r="BV28" s="1566">
        <v>0</v>
      </c>
      <c r="BW28" s="1566">
        <v>0</v>
      </c>
      <c r="BX28" s="1566">
        <v>0</v>
      </c>
      <c r="BY28" s="1566">
        <v>0</v>
      </c>
      <c r="BZ28" s="1567">
        <v>0</v>
      </c>
      <c r="CA28" s="1568">
        <f t="shared" si="11"/>
        <v>0</v>
      </c>
      <c r="CB28" s="1565">
        <v>0</v>
      </c>
      <c r="CC28" s="1566">
        <v>0</v>
      </c>
      <c r="CD28" s="1566">
        <v>0</v>
      </c>
      <c r="CE28" s="1566">
        <v>0</v>
      </c>
      <c r="CF28" s="1566">
        <v>0</v>
      </c>
      <c r="CG28" s="1566">
        <v>0</v>
      </c>
      <c r="CH28" s="1566">
        <v>0</v>
      </c>
      <c r="CI28" s="1566">
        <v>0</v>
      </c>
      <c r="CJ28" s="1566">
        <v>0</v>
      </c>
      <c r="CK28" s="1566">
        <v>0</v>
      </c>
      <c r="CL28" s="1566">
        <v>0</v>
      </c>
      <c r="CM28" s="1567">
        <v>0</v>
      </c>
      <c r="CN28" s="1568">
        <f t="shared" si="13"/>
        <v>0</v>
      </c>
      <c r="CO28" s="1565">
        <v>0</v>
      </c>
      <c r="CP28" s="1566">
        <v>0</v>
      </c>
      <c r="CQ28" s="1566">
        <v>0</v>
      </c>
      <c r="CR28" s="1566">
        <v>0</v>
      </c>
      <c r="CS28" s="1566">
        <v>0</v>
      </c>
      <c r="CT28" s="1566">
        <v>882</v>
      </c>
      <c r="CU28" s="1566">
        <v>0</v>
      </c>
      <c r="CV28" s="1566">
        <v>0</v>
      </c>
      <c r="CW28" s="1566">
        <v>0</v>
      </c>
      <c r="CX28" s="1566">
        <v>6</v>
      </c>
      <c r="CY28" s="1566">
        <v>0</v>
      </c>
      <c r="CZ28" s="1567">
        <v>120</v>
      </c>
      <c r="DA28" s="1568">
        <f t="shared" si="15"/>
        <v>1008</v>
      </c>
      <c r="DB28" s="1565">
        <v>0</v>
      </c>
      <c r="DC28" s="1566">
        <v>0</v>
      </c>
      <c r="DD28" s="1566">
        <v>7</v>
      </c>
      <c r="DE28" s="1566">
        <v>7</v>
      </c>
      <c r="DF28" s="1566">
        <v>33</v>
      </c>
      <c r="DG28" s="1566">
        <v>-2</v>
      </c>
      <c r="DH28" s="1566">
        <v>42</v>
      </c>
      <c r="DI28" s="1566">
        <v>15</v>
      </c>
      <c r="DJ28" s="1566">
        <v>25</v>
      </c>
      <c r="DK28" s="1566">
        <v>71</v>
      </c>
      <c r="DL28" s="1566">
        <v>131</v>
      </c>
      <c r="DM28" s="1567">
        <v>740</v>
      </c>
      <c r="DN28" s="1568">
        <f t="shared" si="30"/>
        <v>1069</v>
      </c>
      <c r="DO28" s="1565">
        <v>0</v>
      </c>
      <c r="DP28" s="1566">
        <v>0</v>
      </c>
      <c r="DQ28" s="1566">
        <v>201</v>
      </c>
      <c r="DR28" s="1566">
        <v>-36</v>
      </c>
      <c r="DS28" s="1566">
        <v>0</v>
      </c>
      <c r="DT28" s="1566">
        <v>27</v>
      </c>
      <c r="DU28" s="1566">
        <v>0</v>
      </c>
      <c r="DV28" s="1566">
        <v>0</v>
      </c>
      <c r="DW28" s="1566">
        <v>3</v>
      </c>
      <c r="DX28" s="1566">
        <v>963</v>
      </c>
      <c r="DY28" s="1566">
        <v>948</v>
      </c>
      <c r="DZ28" s="1567">
        <v>420</v>
      </c>
      <c r="EA28" s="1568">
        <f t="shared" si="31"/>
        <v>2526</v>
      </c>
      <c r="EB28" s="1565">
        <v>0</v>
      </c>
      <c r="EC28" s="1566">
        <v>0</v>
      </c>
      <c r="ED28" s="1566">
        <v>16</v>
      </c>
      <c r="EE28" s="1566">
        <v>34</v>
      </c>
      <c r="EF28" s="1566">
        <v>170</v>
      </c>
      <c r="EG28" s="1566">
        <v>22</v>
      </c>
      <c r="EH28" s="1566">
        <v>0</v>
      </c>
      <c r="EI28" s="1566">
        <v>0</v>
      </c>
      <c r="EJ28" s="1566">
        <v>0</v>
      </c>
      <c r="EK28" s="1566">
        <v>8</v>
      </c>
      <c r="EL28" s="1566">
        <v>0</v>
      </c>
      <c r="EM28" s="1567">
        <v>3</v>
      </c>
      <c r="EN28" s="1568">
        <f t="shared" si="32"/>
        <v>253</v>
      </c>
      <c r="EO28" s="1565">
        <v>0</v>
      </c>
      <c r="EP28" s="1566">
        <v>0</v>
      </c>
      <c r="EQ28" s="1566">
        <v>0</v>
      </c>
      <c r="ER28" s="1566">
        <v>0</v>
      </c>
      <c r="ES28" s="1566">
        <v>0</v>
      </c>
      <c r="ET28" s="1566">
        <v>0</v>
      </c>
      <c r="EU28" s="1566">
        <v>0</v>
      </c>
      <c r="EV28" s="1566">
        <v>0</v>
      </c>
      <c r="EW28" s="1566">
        <v>3</v>
      </c>
      <c r="EX28" s="1566">
        <v>4</v>
      </c>
      <c r="EY28" s="1566">
        <v>0</v>
      </c>
      <c r="EZ28" s="1567">
        <v>0</v>
      </c>
      <c r="FA28" s="1568">
        <f t="shared" si="33"/>
        <v>7</v>
      </c>
      <c r="FB28" s="1565">
        <v>0</v>
      </c>
      <c r="FC28" s="1566">
        <v>9</v>
      </c>
      <c r="FD28" s="1566">
        <v>1</v>
      </c>
      <c r="FE28" s="1566">
        <v>1</v>
      </c>
      <c r="FF28" s="1566">
        <v>0</v>
      </c>
      <c r="FG28" s="1566">
        <v>0</v>
      </c>
      <c r="FH28" s="1566">
        <v>0</v>
      </c>
      <c r="FI28" s="1566">
        <v>0</v>
      </c>
      <c r="FJ28" s="1566">
        <v>4</v>
      </c>
      <c r="FK28" s="1566">
        <v>0</v>
      </c>
      <c r="FL28" s="1566">
        <v>1</v>
      </c>
      <c r="FM28" s="1567">
        <v>26</v>
      </c>
      <c r="FN28" s="1568">
        <f t="shared" si="34"/>
        <v>42</v>
      </c>
      <c r="FO28" s="1565">
        <v>0</v>
      </c>
      <c r="FP28" s="1566">
        <v>0</v>
      </c>
      <c r="FQ28" s="1566">
        <v>0</v>
      </c>
      <c r="FR28" s="1566">
        <v>0</v>
      </c>
      <c r="FS28" s="1566">
        <v>0</v>
      </c>
      <c r="FT28" s="1566">
        <v>0</v>
      </c>
      <c r="FU28" s="1566">
        <v>0</v>
      </c>
      <c r="FV28" s="1566">
        <v>0</v>
      </c>
      <c r="FW28" s="1566">
        <v>0</v>
      </c>
      <c r="FX28" s="1566">
        <v>10</v>
      </c>
      <c r="FY28" s="1566">
        <v>8</v>
      </c>
      <c r="FZ28" s="1567">
        <v>10</v>
      </c>
      <c r="GA28" s="1568">
        <f t="shared" si="35"/>
        <v>28</v>
      </c>
      <c r="GB28" s="1565">
        <v>0</v>
      </c>
      <c r="GC28" s="1566">
        <v>9</v>
      </c>
      <c r="GD28" s="1566">
        <v>0</v>
      </c>
      <c r="GE28" s="1566">
        <v>37</v>
      </c>
      <c r="GF28" s="1566">
        <v>0</v>
      </c>
      <c r="GG28" s="1566">
        <v>28</v>
      </c>
      <c r="GH28" s="1566">
        <v>27</v>
      </c>
      <c r="GI28" s="1566">
        <v>16</v>
      </c>
      <c r="GJ28" s="1566">
        <v>12</v>
      </c>
      <c r="GK28" s="1566">
        <v>8</v>
      </c>
      <c r="GL28" s="1566">
        <v>16</v>
      </c>
      <c r="GM28" s="1567">
        <v>47</v>
      </c>
      <c r="GN28" s="1568">
        <f t="shared" si="36"/>
        <v>200</v>
      </c>
      <c r="GO28" s="1565">
        <v>0</v>
      </c>
      <c r="GP28" s="1566">
        <v>6</v>
      </c>
      <c r="GQ28" s="1566">
        <v>6</v>
      </c>
      <c r="GR28" s="1566">
        <v>6</v>
      </c>
      <c r="GS28" s="1566">
        <v>6</v>
      </c>
      <c r="GT28" s="1566">
        <v>6</v>
      </c>
      <c r="GU28" s="1566">
        <v>8</v>
      </c>
      <c r="GV28" s="1566">
        <v>8</v>
      </c>
      <c r="GW28" s="1566">
        <v>0</v>
      </c>
      <c r="GX28" s="1566">
        <v>197</v>
      </c>
      <c r="GY28" s="1566">
        <v>0</v>
      </c>
      <c r="GZ28" s="1567">
        <v>130</v>
      </c>
      <c r="HA28" s="1568">
        <f t="shared" si="37"/>
        <v>373</v>
      </c>
      <c r="HB28" s="1565">
        <v>0</v>
      </c>
      <c r="HC28" s="1566">
        <v>8</v>
      </c>
      <c r="HD28" s="1566">
        <v>20</v>
      </c>
      <c r="HE28" s="1566">
        <v>33</v>
      </c>
      <c r="HF28" s="1566">
        <v>44</v>
      </c>
      <c r="HG28" s="1566">
        <v>18</v>
      </c>
      <c r="HH28" s="1566">
        <v>49</v>
      </c>
      <c r="HI28" s="1566">
        <v>26</v>
      </c>
      <c r="HJ28" s="1566">
        <v>15</v>
      </c>
      <c r="HK28" s="1566">
        <v>0</v>
      </c>
      <c r="HL28" s="1566">
        <v>0</v>
      </c>
      <c r="HM28" s="1567">
        <v>33</v>
      </c>
      <c r="HN28" s="1568">
        <f t="shared" si="38"/>
        <v>246</v>
      </c>
      <c r="HO28" s="1565">
        <v>0</v>
      </c>
      <c r="HP28" s="1566">
        <v>0</v>
      </c>
      <c r="HQ28" s="1566">
        <v>0</v>
      </c>
      <c r="HR28" s="1566">
        <v>279</v>
      </c>
      <c r="HS28" s="1566">
        <v>49</v>
      </c>
      <c r="HT28" s="1566">
        <v>0</v>
      </c>
      <c r="HU28" s="1566">
        <v>0</v>
      </c>
      <c r="HV28" s="1566">
        <v>0</v>
      </c>
      <c r="HW28" s="1566">
        <v>3</v>
      </c>
      <c r="HX28" s="1566">
        <v>4</v>
      </c>
      <c r="HY28" s="1566">
        <v>7</v>
      </c>
      <c r="HZ28" s="1567">
        <v>23</v>
      </c>
      <c r="IA28" s="1565">
        <f t="shared" si="39"/>
        <v>365</v>
      </c>
      <c r="IB28" s="1569">
        <v>0</v>
      </c>
      <c r="IC28" s="1068">
        <v>0</v>
      </c>
      <c r="ID28" s="1068">
        <v>0</v>
      </c>
      <c r="IE28" s="1068">
        <v>0</v>
      </c>
      <c r="IF28" s="1068">
        <v>0</v>
      </c>
      <c r="IG28">
        <v>0</v>
      </c>
      <c r="IH28" s="1068">
        <v>0</v>
      </c>
      <c r="II28" s="1068">
        <v>0</v>
      </c>
      <c r="IJ28" s="1068"/>
      <c r="IK28" s="1068"/>
      <c r="IL28" s="1068"/>
      <c r="IM28" s="1570"/>
      <c r="IN28" s="1571">
        <f t="shared" si="40"/>
        <v>0</v>
      </c>
      <c r="IP28" s="1656" t="str">
        <f t="shared" si="27"/>
        <v/>
      </c>
      <c r="IQ28" s="1656">
        <f t="shared" si="41"/>
        <v>-100</v>
      </c>
      <c r="IR28" s="1657">
        <f t="shared" si="28"/>
        <v>328</v>
      </c>
      <c r="IS28" s="1657">
        <f t="shared" si="29"/>
        <v>0</v>
      </c>
      <c r="IT28" s="1658"/>
      <c r="IU28" s="221">
        <f t="shared" si="42"/>
        <v>0</v>
      </c>
    </row>
    <row r="29" spans="1:264" ht="15" customHeight="1" x14ac:dyDescent="0.2">
      <c r="A29" s="342"/>
      <c r="B29" s="1565"/>
      <c r="C29" s="1566"/>
      <c r="D29" s="1566"/>
      <c r="E29" s="1566"/>
      <c r="F29" s="1566"/>
      <c r="G29" s="1566"/>
      <c r="H29" s="1566"/>
      <c r="I29" s="1566"/>
      <c r="J29" s="1566"/>
      <c r="K29" s="1566"/>
      <c r="L29" s="1566"/>
      <c r="M29" s="1567"/>
      <c r="N29" s="1568"/>
      <c r="O29" s="1565"/>
      <c r="P29" s="1566"/>
      <c r="Q29" s="1566"/>
      <c r="R29" s="1566"/>
      <c r="S29" s="1566"/>
      <c r="T29" s="1566"/>
      <c r="U29" s="1566"/>
      <c r="V29" s="1566"/>
      <c r="W29" s="1566"/>
      <c r="X29" s="1566"/>
      <c r="Y29" s="1566"/>
      <c r="Z29" s="1567"/>
      <c r="AA29" s="1568"/>
      <c r="AB29" s="1565"/>
      <c r="AC29" s="1566"/>
      <c r="AD29" s="1566"/>
      <c r="AE29" s="1566"/>
      <c r="AF29" s="1566"/>
      <c r="AG29" s="1566"/>
      <c r="AH29" s="1566"/>
      <c r="AI29" s="1566"/>
      <c r="AJ29" s="1566"/>
      <c r="AK29" s="1566"/>
      <c r="AL29" s="1566"/>
      <c r="AM29" s="1567"/>
      <c r="AN29" s="1568"/>
      <c r="AO29" s="1565"/>
      <c r="AP29" s="1566"/>
      <c r="AQ29" s="1566"/>
      <c r="AR29" s="1566"/>
      <c r="AS29" s="1566"/>
      <c r="AT29" s="1566"/>
      <c r="AU29" s="1566"/>
      <c r="AV29" s="1566"/>
      <c r="AW29" s="1566"/>
      <c r="AX29" s="1566"/>
      <c r="AY29" s="1566"/>
      <c r="AZ29" s="1567"/>
      <c r="BA29" s="1568"/>
      <c r="BB29" s="1565"/>
      <c r="BC29" s="1566"/>
      <c r="BD29" s="1566"/>
      <c r="BE29" s="1566"/>
      <c r="BF29" s="1566"/>
      <c r="BG29" s="1566"/>
      <c r="BH29" s="1566"/>
      <c r="BI29" s="1566"/>
      <c r="BJ29" s="1566"/>
      <c r="BK29" s="1566"/>
      <c r="BL29" s="1566"/>
      <c r="BM29" s="1567"/>
      <c r="BN29" s="1568"/>
      <c r="BO29" s="1565"/>
      <c r="BP29" s="1566"/>
      <c r="BQ29" s="1566"/>
      <c r="BR29" s="1566"/>
      <c r="BS29" s="1566"/>
      <c r="BT29" s="1566"/>
      <c r="BU29" s="1566"/>
      <c r="BV29" s="1566"/>
      <c r="BW29" s="1566"/>
      <c r="BX29" s="1566"/>
      <c r="BY29" s="1566"/>
      <c r="BZ29" s="1567"/>
      <c r="CA29" s="1568"/>
      <c r="CB29" s="1565"/>
      <c r="CC29" s="1566"/>
      <c r="CD29" s="1566"/>
      <c r="CE29" s="1566"/>
      <c r="CF29" s="1566"/>
      <c r="CG29" s="1566"/>
      <c r="CH29" s="1566"/>
      <c r="CI29" s="1566"/>
      <c r="CJ29" s="1566"/>
      <c r="CK29" s="1566"/>
      <c r="CL29" s="1566"/>
      <c r="CM29" s="1567"/>
      <c r="CN29" s="1568"/>
      <c r="CO29" s="1565"/>
      <c r="CP29" s="1566"/>
      <c r="CQ29" s="1566"/>
      <c r="CR29" s="1566"/>
      <c r="CS29" s="1566"/>
      <c r="CT29" s="1566"/>
      <c r="CU29" s="1566"/>
      <c r="CV29" s="1566"/>
      <c r="CW29" s="1566"/>
      <c r="CX29" s="1566"/>
      <c r="CY29" s="1566"/>
      <c r="CZ29" s="1567"/>
      <c r="DA29" s="1568"/>
      <c r="DB29" s="1565"/>
      <c r="DC29" s="1566"/>
      <c r="DD29" s="1566"/>
      <c r="DE29" s="1566"/>
      <c r="DF29" s="1566"/>
      <c r="DG29" s="1566"/>
      <c r="DH29" s="1566"/>
      <c r="DI29" s="1566"/>
      <c r="DJ29" s="1566"/>
      <c r="DK29" s="1566"/>
      <c r="DL29" s="1566"/>
      <c r="DM29" s="1567"/>
      <c r="DN29" s="1568"/>
      <c r="DO29" s="1565"/>
      <c r="DP29" s="1566"/>
      <c r="DQ29" s="1566"/>
      <c r="DR29" s="1566"/>
      <c r="DS29" s="1566"/>
      <c r="DT29" s="1566"/>
      <c r="DU29" s="1566"/>
      <c r="DV29" s="1566"/>
      <c r="DW29" s="1566"/>
      <c r="DX29" s="1566"/>
      <c r="DY29" s="1566"/>
      <c r="DZ29" s="1567"/>
      <c r="EA29" s="1568"/>
      <c r="EB29" s="1565"/>
      <c r="EC29" s="1566"/>
      <c r="ED29" s="1566"/>
      <c r="EE29" s="1566"/>
      <c r="EF29" s="1566"/>
      <c r="EG29" s="1566"/>
      <c r="EH29" s="1566"/>
      <c r="EI29" s="1566"/>
      <c r="EJ29" s="1566"/>
      <c r="EK29" s="1566"/>
      <c r="EL29" s="1566"/>
      <c r="EM29" s="1567"/>
      <c r="EN29" s="1568"/>
      <c r="EO29" s="1565"/>
      <c r="EP29" s="1566"/>
      <c r="EQ29" s="1566"/>
      <c r="ER29" s="1566"/>
      <c r="ES29" s="1566"/>
      <c r="ET29" s="1566"/>
      <c r="EU29" s="1566"/>
      <c r="EV29" s="1566"/>
      <c r="EW29" s="1566"/>
      <c r="EX29" s="1566"/>
      <c r="EY29" s="1566"/>
      <c r="EZ29" s="1567"/>
      <c r="FA29" s="1568"/>
      <c r="FB29" s="1565"/>
      <c r="FC29" s="1566"/>
      <c r="FD29" s="1566"/>
      <c r="FE29" s="1566"/>
      <c r="FF29" s="1566"/>
      <c r="FG29" s="1566"/>
      <c r="FH29" s="1566"/>
      <c r="FI29" s="1566"/>
      <c r="FJ29" s="1566"/>
      <c r="FK29" s="1566"/>
      <c r="FL29" s="1566"/>
      <c r="FM29" s="1567"/>
      <c r="FN29" s="1568"/>
      <c r="FO29" s="1565"/>
      <c r="FP29" s="1566"/>
      <c r="FQ29" s="1566"/>
      <c r="FR29" s="1566"/>
      <c r="FS29" s="1566"/>
      <c r="FT29" s="1566"/>
      <c r="FU29" s="1566"/>
      <c r="FV29" s="1566"/>
      <c r="FW29" s="1566"/>
      <c r="FX29" s="1566"/>
      <c r="FY29" s="1566"/>
      <c r="FZ29" s="1567"/>
      <c r="GA29" s="1568"/>
      <c r="GB29" s="1565"/>
      <c r="GC29" s="1566"/>
      <c r="GD29" s="1566"/>
      <c r="GE29" s="1566"/>
      <c r="GF29" s="1566"/>
      <c r="GG29" s="1566"/>
      <c r="GH29" s="1566"/>
      <c r="GI29" s="1566"/>
      <c r="GJ29" s="1566"/>
      <c r="GK29" s="1566"/>
      <c r="GL29" s="1566"/>
      <c r="GM29" s="1567"/>
      <c r="GN29" s="1568"/>
      <c r="GO29" s="1565"/>
      <c r="GP29" s="1566"/>
      <c r="GQ29" s="1566"/>
      <c r="GR29" s="1566"/>
      <c r="GS29" s="1566"/>
      <c r="GT29" s="1566"/>
      <c r="GU29" s="1566"/>
      <c r="GV29" s="1566"/>
      <c r="GW29" s="1566"/>
      <c r="GX29" s="1566"/>
      <c r="GY29" s="1566"/>
      <c r="GZ29" s="1567"/>
      <c r="HA29" s="1568"/>
      <c r="HB29" s="1565"/>
      <c r="HC29" s="1566"/>
      <c r="HD29" s="1566"/>
      <c r="HE29" s="1566"/>
      <c r="HF29" s="1566"/>
      <c r="HG29" s="1566"/>
      <c r="HH29" s="1566"/>
      <c r="HI29" s="1566"/>
      <c r="HJ29" s="1566"/>
      <c r="HK29" s="1566"/>
      <c r="HL29" s="1566"/>
      <c r="HM29" s="1567"/>
      <c r="HN29" s="1568"/>
      <c r="HO29" s="1565"/>
      <c r="HP29" s="1566"/>
      <c r="HQ29" s="1566"/>
      <c r="HR29" s="1566"/>
      <c r="HS29" s="1566"/>
      <c r="HT29" s="1566"/>
      <c r="HU29" s="1566"/>
      <c r="HV29" s="1566"/>
      <c r="HW29" s="1566"/>
      <c r="HX29" s="1566"/>
      <c r="HY29" s="1566"/>
      <c r="HZ29" s="1567"/>
      <c r="IA29" s="1565"/>
      <c r="IB29" s="1569"/>
      <c r="IC29" s="1068"/>
      <c r="ID29" s="1068"/>
      <c r="IE29" s="1068"/>
      <c r="IF29" s="1068"/>
      <c r="IH29" s="1068"/>
      <c r="II29" s="1068"/>
      <c r="IJ29" s="1068"/>
      <c r="IK29" s="1068"/>
      <c r="IL29" s="1068"/>
      <c r="IM29" s="1570"/>
      <c r="IN29" s="1571"/>
      <c r="IP29" s="1656" t="str">
        <f t="shared" si="27"/>
        <v/>
      </c>
      <c r="IQ29" s="1656"/>
      <c r="IR29" s="1657">
        <f t="shared" si="28"/>
        <v>0</v>
      </c>
      <c r="IS29" s="1657">
        <f t="shared" si="29"/>
        <v>0</v>
      </c>
      <c r="IT29" s="1658"/>
      <c r="IU29" s="1658"/>
    </row>
    <row r="30" spans="1:264" s="1564" customFormat="1" ht="15" customHeight="1" x14ac:dyDescent="0.2">
      <c r="A30" s="1563" t="s">
        <v>297</v>
      </c>
      <c r="B30" s="1572">
        <f t="shared" ref="B30:M30" si="43">SUM(B31:B37)</f>
        <v>1337</v>
      </c>
      <c r="C30" s="1573">
        <f t="shared" si="43"/>
        <v>4268</v>
      </c>
      <c r="D30" s="1573">
        <f t="shared" si="43"/>
        <v>10215</v>
      </c>
      <c r="E30" s="1573">
        <f t="shared" si="43"/>
        <v>46017</v>
      </c>
      <c r="F30" s="1573">
        <f t="shared" si="43"/>
        <v>13088</v>
      </c>
      <c r="G30" s="1573">
        <f t="shared" si="43"/>
        <v>25116</v>
      </c>
      <c r="H30" s="1573">
        <f t="shared" si="43"/>
        <v>8980</v>
      </c>
      <c r="I30" s="1573">
        <f t="shared" si="43"/>
        <v>4682</v>
      </c>
      <c r="J30" s="1573">
        <f t="shared" si="43"/>
        <v>7902</v>
      </c>
      <c r="K30" s="1573">
        <f t="shared" si="43"/>
        <v>53585</v>
      </c>
      <c r="L30" s="1573">
        <f t="shared" si="43"/>
        <v>56246</v>
      </c>
      <c r="M30" s="1574">
        <f t="shared" si="43"/>
        <v>21353</v>
      </c>
      <c r="N30" s="1575">
        <f>SUM(B30:M30)</f>
        <v>252789</v>
      </c>
      <c r="O30" s="1572">
        <f t="shared" ref="O30:Z30" si="44">SUM(O31:O37)</f>
        <v>6336</v>
      </c>
      <c r="P30" s="1573">
        <f t="shared" si="44"/>
        <v>10414</v>
      </c>
      <c r="Q30" s="1573">
        <f t="shared" si="44"/>
        <v>9219</v>
      </c>
      <c r="R30" s="1573">
        <f t="shared" si="44"/>
        <v>7907</v>
      </c>
      <c r="S30" s="1573">
        <f t="shared" si="44"/>
        <v>18077</v>
      </c>
      <c r="T30" s="1573">
        <f t="shared" si="44"/>
        <v>23474</v>
      </c>
      <c r="U30" s="1573">
        <f t="shared" si="44"/>
        <v>12783</v>
      </c>
      <c r="V30" s="1573">
        <f t="shared" si="44"/>
        <v>15754</v>
      </c>
      <c r="W30" s="1573">
        <f t="shared" si="44"/>
        <v>16269</v>
      </c>
      <c r="X30" s="1573">
        <f t="shared" si="44"/>
        <v>23350</v>
      </c>
      <c r="Y30" s="1573">
        <f t="shared" si="44"/>
        <v>16403</v>
      </c>
      <c r="Z30" s="1574">
        <f t="shared" si="44"/>
        <v>35946</v>
      </c>
      <c r="AA30" s="1575">
        <f>SUM(O30:Z30)</f>
        <v>195932</v>
      </c>
      <c r="AB30" s="1572">
        <f t="shared" ref="AB30:AM30" si="45">SUM(AB31:AB37)</f>
        <v>2025</v>
      </c>
      <c r="AC30" s="1573">
        <f t="shared" si="45"/>
        <v>18593</v>
      </c>
      <c r="AD30" s="1573">
        <f t="shared" si="45"/>
        <v>8766</v>
      </c>
      <c r="AE30" s="1573">
        <f t="shared" si="45"/>
        <v>16239</v>
      </c>
      <c r="AF30" s="1573">
        <f t="shared" si="45"/>
        <v>12949</v>
      </c>
      <c r="AG30" s="1573">
        <f t="shared" si="45"/>
        <v>11078</v>
      </c>
      <c r="AH30" s="1573">
        <f t="shared" si="45"/>
        <v>13912</v>
      </c>
      <c r="AI30" s="1573">
        <f t="shared" si="45"/>
        <v>9064</v>
      </c>
      <c r="AJ30" s="1573">
        <f t="shared" si="45"/>
        <v>20133</v>
      </c>
      <c r="AK30" s="1573">
        <f t="shared" si="45"/>
        <v>15526</v>
      </c>
      <c r="AL30" s="1573">
        <f t="shared" si="45"/>
        <v>20695</v>
      </c>
      <c r="AM30" s="1574">
        <f t="shared" si="45"/>
        <v>10460</v>
      </c>
      <c r="AN30" s="1575">
        <f>SUM(AB30:AM30)</f>
        <v>159440</v>
      </c>
      <c r="AO30" s="1572">
        <f t="shared" ref="AO30:AZ30" si="46">SUM(AO31:AO37)</f>
        <v>1835</v>
      </c>
      <c r="AP30" s="1573">
        <f t="shared" si="46"/>
        <v>5099</v>
      </c>
      <c r="AQ30" s="1573">
        <f t="shared" si="46"/>
        <v>8745</v>
      </c>
      <c r="AR30" s="1573">
        <f t="shared" si="46"/>
        <v>12466</v>
      </c>
      <c r="AS30" s="1573">
        <f t="shared" si="46"/>
        <v>4185</v>
      </c>
      <c r="AT30" s="1573">
        <f t="shared" si="46"/>
        <v>14027</v>
      </c>
      <c r="AU30" s="1573">
        <f t="shared" si="46"/>
        <v>16197</v>
      </c>
      <c r="AV30" s="1573">
        <f t="shared" si="46"/>
        <v>4967</v>
      </c>
      <c r="AW30" s="1573">
        <f t="shared" si="46"/>
        <v>7004</v>
      </c>
      <c r="AX30" s="1573">
        <f t="shared" si="46"/>
        <v>4841</v>
      </c>
      <c r="AY30" s="1573">
        <f t="shared" si="46"/>
        <v>4707</v>
      </c>
      <c r="AZ30" s="1574">
        <f t="shared" si="46"/>
        <v>10697</v>
      </c>
      <c r="BA30" s="1575">
        <f t="shared" ref="BA30:BA35" si="47">SUM(AO30:AZ30)</f>
        <v>94770</v>
      </c>
      <c r="BB30" s="1572">
        <f t="shared" ref="BB30:BM30" si="48">SUM(BB31:BB35)</f>
        <v>1534</v>
      </c>
      <c r="BC30" s="1573">
        <f t="shared" si="48"/>
        <v>6801</v>
      </c>
      <c r="BD30" s="1573">
        <f t="shared" si="48"/>
        <v>4799</v>
      </c>
      <c r="BE30" s="1573">
        <f t="shared" si="48"/>
        <v>4466</v>
      </c>
      <c r="BF30" s="1573">
        <f t="shared" si="48"/>
        <v>32628</v>
      </c>
      <c r="BG30" s="1573">
        <f t="shared" si="48"/>
        <v>5050</v>
      </c>
      <c r="BH30" s="1573">
        <f t="shared" si="48"/>
        <v>25652</v>
      </c>
      <c r="BI30" s="1573">
        <f t="shared" si="48"/>
        <v>14826</v>
      </c>
      <c r="BJ30" s="1573">
        <f t="shared" si="48"/>
        <v>16348</v>
      </c>
      <c r="BK30" s="1573">
        <f t="shared" si="48"/>
        <v>29158</v>
      </c>
      <c r="BL30" s="1573">
        <f t="shared" si="48"/>
        <v>50070</v>
      </c>
      <c r="BM30" s="1574">
        <f t="shared" si="48"/>
        <v>27253</v>
      </c>
      <c r="BN30" s="1575">
        <f t="shared" ref="BN30:BN35" si="49">SUM(BB30:BM30)</f>
        <v>218585</v>
      </c>
      <c r="BO30" s="1572">
        <f t="shared" ref="BO30:BZ30" si="50">SUM(BO31:BO35)</f>
        <v>7017</v>
      </c>
      <c r="BP30" s="1573">
        <f t="shared" si="50"/>
        <v>8423</v>
      </c>
      <c r="BQ30" s="1573">
        <f t="shared" si="50"/>
        <v>25851</v>
      </c>
      <c r="BR30" s="1573">
        <f t="shared" si="50"/>
        <v>12834</v>
      </c>
      <c r="BS30" s="1573">
        <f t="shared" si="50"/>
        <v>12500</v>
      </c>
      <c r="BT30" s="1573">
        <f t="shared" si="50"/>
        <v>17688</v>
      </c>
      <c r="BU30" s="1573">
        <f t="shared" si="50"/>
        <v>17994.802</v>
      </c>
      <c r="BV30" s="1573">
        <f t="shared" si="50"/>
        <v>14872</v>
      </c>
      <c r="BW30" s="1573">
        <f t="shared" si="50"/>
        <v>18114</v>
      </c>
      <c r="BX30" s="1573">
        <f t="shared" si="50"/>
        <v>17208</v>
      </c>
      <c r="BY30" s="1573">
        <f t="shared" si="50"/>
        <v>19387.671999999999</v>
      </c>
      <c r="BZ30" s="1574">
        <f t="shared" si="50"/>
        <v>23549</v>
      </c>
      <c r="CA30" s="1575">
        <f t="shared" ref="CA30:CA35" si="51">SUM(BO30:BZ30)</f>
        <v>195438.47399999999</v>
      </c>
      <c r="CB30" s="1572">
        <f t="shared" ref="CB30:CM30" si="52">SUM(CB31:CB35)</f>
        <v>11819</v>
      </c>
      <c r="CC30" s="1573">
        <f t="shared" si="52"/>
        <v>21982</v>
      </c>
      <c r="CD30" s="1573">
        <f t="shared" si="52"/>
        <v>6959</v>
      </c>
      <c r="CE30" s="1573">
        <f t="shared" si="52"/>
        <v>14276.3</v>
      </c>
      <c r="CF30" s="1573">
        <f t="shared" si="52"/>
        <v>17919</v>
      </c>
      <c r="CG30" s="1573">
        <f t="shared" si="52"/>
        <v>14471</v>
      </c>
      <c r="CH30" s="1573">
        <f t="shared" si="52"/>
        <v>16059</v>
      </c>
      <c r="CI30" s="1573">
        <f t="shared" si="52"/>
        <v>11633</v>
      </c>
      <c r="CJ30" s="1573">
        <f t="shared" si="52"/>
        <v>10136</v>
      </c>
      <c r="CK30" s="1573">
        <f t="shared" si="52"/>
        <v>8306</v>
      </c>
      <c r="CL30" s="1573">
        <f t="shared" si="52"/>
        <v>9743.8709999999992</v>
      </c>
      <c r="CM30" s="1574">
        <f t="shared" si="52"/>
        <v>33097</v>
      </c>
      <c r="CN30" s="1575">
        <f t="shared" ref="CN30:CN35" si="53">SUM(CB30:CM30)</f>
        <v>176401.17099999997</v>
      </c>
      <c r="CO30" s="1572">
        <f t="shared" ref="CO30:CZ30" si="54">SUM(CO31:CO35)</f>
        <v>1471</v>
      </c>
      <c r="CP30" s="1573">
        <f t="shared" si="54"/>
        <v>32682</v>
      </c>
      <c r="CQ30" s="1573">
        <f t="shared" si="54"/>
        <v>3283</v>
      </c>
      <c r="CR30" s="1573">
        <f t="shared" si="54"/>
        <v>5662</v>
      </c>
      <c r="CS30" s="1573">
        <f t="shared" si="54"/>
        <v>6126</v>
      </c>
      <c r="CT30" s="1573">
        <f t="shared" si="54"/>
        <v>12141</v>
      </c>
      <c r="CU30" s="1573">
        <f t="shared" si="54"/>
        <v>12633</v>
      </c>
      <c r="CV30" s="1573">
        <f t="shared" si="54"/>
        <v>10963</v>
      </c>
      <c r="CW30" s="1573">
        <f t="shared" si="54"/>
        <v>13185</v>
      </c>
      <c r="CX30" s="1573">
        <f t="shared" si="54"/>
        <v>10434</v>
      </c>
      <c r="CY30" s="1573">
        <f t="shared" si="54"/>
        <v>16233</v>
      </c>
      <c r="CZ30" s="1574">
        <f t="shared" si="54"/>
        <v>34796</v>
      </c>
      <c r="DA30" s="1575">
        <f t="shared" si="15"/>
        <v>159609</v>
      </c>
      <c r="DB30" s="1572">
        <f>SUM(DB31:DB35)</f>
        <v>597</v>
      </c>
      <c r="DC30" s="1573">
        <f t="shared" ref="DC30:DZ30" si="55">SUM(DC31:DC35)</f>
        <v>3463</v>
      </c>
      <c r="DD30" s="1573">
        <f t="shared" si="55"/>
        <v>10374</v>
      </c>
      <c r="DE30" s="1573">
        <f t="shared" si="55"/>
        <v>6459</v>
      </c>
      <c r="DF30" s="1573">
        <f t="shared" si="55"/>
        <v>6640</v>
      </c>
      <c r="DG30" s="1573">
        <f t="shared" si="55"/>
        <v>6119</v>
      </c>
      <c r="DH30" s="1573">
        <f t="shared" si="55"/>
        <v>10568</v>
      </c>
      <c r="DI30" s="1573">
        <f t="shared" si="55"/>
        <v>13474</v>
      </c>
      <c r="DJ30" s="1573">
        <f t="shared" si="55"/>
        <v>9367</v>
      </c>
      <c r="DK30" s="1573">
        <f t="shared" si="55"/>
        <v>7879</v>
      </c>
      <c r="DL30" s="1573">
        <f t="shared" si="55"/>
        <v>7735</v>
      </c>
      <c r="DM30" s="1574">
        <f t="shared" si="55"/>
        <v>18995</v>
      </c>
      <c r="DN30" s="1575">
        <f t="shared" si="30"/>
        <v>101670</v>
      </c>
      <c r="DO30" s="1572">
        <f t="shared" si="55"/>
        <v>826</v>
      </c>
      <c r="DP30" s="1573">
        <f t="shared" si="55"/>
        <v>5861</v>
      </c>
      <c r="DQ30" s="1573">
        <f t="shared" si="55"/>
        <v>8460</v>
      </c>
      <c r="DR30" s="1573">
        <f t="shared" si="55"/>
        <v>5379</v>
      </c>
      <c r="DS30" s="1573">
        <f t="shared" si="55"/>
        <v>86736</v>
      </c>
      <c r="DT30" s="1573">
        <f t="shared" si="55"/>
        <v>54709</v>
      </c>
      <c r="DU30" s="1573">
        <f t="shared" si="55"/>
        <v>21042</v>
      </c>
      <c r="DV30" s="1573">
        <f t="shared" si="55"/>
        <v>22781</v>
      </c>
      <c r="DW30" s="1573">
        <f t="shared" si="55"/>
        <v>22728</v>
      </c>
      <c r="DX30" s="1573">
        <f t="shared" si="55"/>
        <v>29817</v>
      </c>
      <c r="DY30" s="1573">
        <f t="shared" si="55"/>
        <v>33215</v>
      </c>
      <c r="DZ30" s="1574">
        <f t="shared" si="55"/>
        <v>49135</v>
      </c>
      <c r="EA30" s="1575">
        <f t="shared" ref="EA30:EA35" si="56">SUM(DO30:DZ30)</f>
        <v>340689</v>
      </c>
      <c r="EB30" s="1572">
        <f t="shared" ref="EB30:EM30" si="57">SUM(EB31:EB35)</f>
        <v>14768</v>
      </c>
      <c r="EC30" s="1573">
        <f t="shared" si="57"/>
        <v>25042</v>
      </c>
      <c r="ED30" s="1573">
        <f t="shared" si="57"/>
        <v>21632</v>
      </c>
      <c r="EE30" s="1573">
        <f t="shared" si="57"/>
        <v>29419</v>
      </c>
      <c r="EF30" s="1573">
        <f t="shared" si="57"/>
        <v>38006</v>
      </c>
      <c r="EG30" s="1573">
        <f t="shared" si="57"/>
        <v>24594</v>
      </c>
      <c r="EH30" s="1573">
        <f t="shared" si="57"/>
        <v>24138</v>
      </c>
      <c r="EI30" s="1573">
        <f t="shared" si="57"/>
        <v>43164</v>
      </c>
      <c r="EJ30" s="1573">
        <f t="shared" si="57"/>
        <v>21332</v>
      </c>
      <c r="EK30" s="1573">
        <f t="shared" si="57"/>
        <v>26305</v>
      </c>
      <c r="EL30" s="1573">
        <f t="shared" si="57"/>
        <v>48193</v>
      </c>
      <c r="EM30" s="1574">
        <f t="shared" si="57"/>
        <v>63031</v>
      </c>
      <c r="EN30" s="1575">
        <f t="shared" ref="EN30:EN35" si="58">SUM(EB30:EM30)</f>
        <v>379624</v>
      </c>
      <c r="EO30" s="1572">
        <f t="shared" ref="EO30:EZ30" si="59">SUM(EO31:EO35)</f>
        <v>15300</v>
      </c>
      <c r="EP30" s="1573">
        <f t="shared" si="59"/>
        <v>15955</v>
      </c>
      <c r="EQ30" s="1573">
        <f t="shared" si="59"/>
        <v>34169</v>
      </c>
      <c r="ER30" s="1573">
        <f t="shared" si="59"/>
        <v>5998</v>
      </c>
      <c r="ES30" s="1573">
        <f t="shared" si="59"/>
        <v>18546</v>
      </c>
      <c r="ET30" s="1573">
        <f t="shared" si="59"/>
        <v>20557</v>
      </c>
      <c r="EU30" s="1573">
        <f t="shared" si="59"/>
        <v>74437</v>
      </c>
      <c r="EV30" s="1573">
        <f t="shared" si="59"/>
        <v>32353</v>
      </c>
      <c r="EW30" s="1573">
        <f t="shared" si="59"/>
        <v>48415</v>
      </c>
      <c r="EX30" s="1573">
        <f t="shared" si="59"/>
        <v>37446</v>
      </c>
      <c r="EY30" s="1573">
        <f t="shared" si="59"/>
        <v>42317</v>
      </c>
      <c r="EZ30" s="1574">
        <f t="shared" si="59"/>
        <v>55298</v>
      </c>
      <c r="FA30" s="1575">
        <f t="shared" ref="FA30:FA35" si="60">SUM(EO30:EZ30)</f>
        <v>400791</v>
      </c>
      <c r="FB30" s="1572">
        <f t="shared" ref="FB30:FM30" si="61">SUM(FB31:FB35)</f>
        <v>20546</v>
      </c>
      <c r="FC30" s="1573">
        <f t="shared" si="61"/>
        <v>20008</v>
      </c>
      <c r="FD30" s="1573">
        <f t="shared" si="61"/>
        <v>11347</v>
      </c>
      <c r="FE30" s="1573">
        <f t="shared" si="61"/>
        <v>12352</v>
      </c>
      <c r="FF30" s="1573">
        <f t="shared" si="61"/>
        <v>1521</v>
      </c>
      <c r="FG30" s="1573">
        <f t="shared" si="61"/>
        <v>1474</v>
      </c>
      <c r="FH30" s="1573">
        <f t="shared" si="61"/>
        <v>23019</v>
      </c>
      <c r="FI30" s="1573">
        <f t="shared" si="61"/>
        <v>13450</v>
      </c>
      <c r="FJ30" s="1573">
        <f t="shared" si="61"/>
        <v>22794</v>
      </c>
      <c r="FK30" s="1573">
        <f t="shared" si="61"/>
        <v>9360</v>
      </c>
      <c r="FL30" s="1573">
        <f t="shared" si="61"/>
        <v>24599</v>
      </c>
      <c r="FM30" s="1574">
        <f t="shared" si="61"/>
        <v>46808</v>
      </c>
      <c r="FN30" s="1575">
        <f t="shared" ref="FN30:FN35" si="62">SUM(FB30:FM30)</f>
        <v>207278</v>
      </c>
      <c r="FO30" s="1572">
        <f t="shared" ref="FO30:GM30" si="63">SUM(FO31:FO35)</f>
        <v>5696</v>
      </c>
      <c r="FP30" s="1573">
        <f t="shared" si="63"/>
        <v>7121</v>
      </c>
      <c r="FQ30" s="1573">
        <f t="shared" si="63"/>
        <v>27986</v>
      </c>
      <c r="FR30" s="1573">
        <f t="shared" si="63"/>
        <v>10100</v>
      </c>
      <c r="FS30" s="1573">
        <f t="shared" si="63"/>
        <v>30878</v>
      </c>
      <c r="FT30" s="1573">
        <f t="shared" si="63"/>
        <v>14251</v>
      </c>
      <c r="FU30" s="1573">
        <f t="shared" si="63"/>
        <v>15717</v>
      </c>
      <c r="FV30" s="1573">
        <f t="shared" si="63"/>
        <v>15469</v>
      </c>
      <c r="FW30" s="1573">
        <f t="shared" si="63"/>
        <v>16534</v>
      </c>
      <c r="FX30" s="1573">
        <f t="shared" si="63"/>
        <v>24925</v>
      </c>
      <c r="FY30" s="1573">
        <f t="shared" si="63"/>
        <v>32757</v>
      </c>
      <c r="FZ30" s="1574">
        <f t="shared" si="63"/>
        <v>46270</v>
      </c>
      <c r="GA30" s="1575">
        <f t="shared" si="35"/>
        <v>247704</v>
      </c>
      <c r="GB30" s="1572">
        <f t="shared" si="63"/>
        <v>6980</v>
      </c>
      <c r="GC30" s="1573">
        <f t="shared" si="63"/>
        <v>14865</v>
      </c>
      <c r="GD30" s="1573">
        <f t="shared" si="63"/>
        <v>12641</v>
      </c>
      <c r="GE30" s="1573">
        <f t="shared" si="63"/>
        <v>30610</v>
      </c>
      <c r="GF30" s="1573">
        <f t="shared" si="63"/>
        <v>13973</v>
      </c>
      <c r="GG30" s="1573">
        <f t="shared" si="63"/>
        <v>25979</v>
      </c>
      <c r="GH30" s="1573">
        <f t="shared" si="63"/>
        <v>37023</v>
      </c>
      <c r="GI30" s="1573">
        <f t="shared" si="63"/>
        <v>31566</v>
      </c>
      <c r="GJ30" s="1573">
        <f t="shared" si="63"/>
        <v>17828</v>
      </c>
      <c r="GK30" s="1573">
        <f t="shared" si="63"/>
        <v>16085</v>
      </c>
      <c r="GL30" s="1573">
        <f t="shared" si="63"/>
        <v>37132</v>
      </c>
      <c r="GM30" s="1574">
        <f t="shared" si="63"/>
        <v>28681</v>
      </c>
      <c r="GN30" s="1575">
        <f t="shared" si="36"/>
        <v>273363</v>
      </c>
      <c r="GO30" s="1572">
        <f t="shared" ref="GO30:GZ30" si="64">SUM(GO31:GO35)</f>
        <v>12572</v>
      </c>
      <c r="GP30" s="1573">
        <f t="shared" si="64"/>
        <v>21218</v>
      </c>
      <c r="GQ30" s="1573">
        <f t="shared" si="64"/>
        <v>31502</v>
      </c>
      <c r="GR30" s="1573">
        <f t="shared" si="64"/>
        <v>25956</v>
      </c>
      <c r="GS30" s="1573">
        <f t="shared" si="64"/>
        <v>21435</v>
      </c>
      <c r="GT30" s="1573">
        <f t="shared" si="64"/>
        <v>26086</v>
      </c>
      <c r="GU30" s="1573">
        <f t="shared" si="64"/>
        <v>16018</v>
      </c>
      <c r="GV30" s="1573">
        <f t="shared" si="64"/>
        <v>17792</v>
      </c>
      <c r="GW30" s="1573">
        <f t="shared" si="64"/>
        <v>31226</v>
      </c>
      <c r="GX30" s="1573">
        <f t="shared" si="64"/>
        <v>30475</v>
      </c>
      <c r="GY30" s="1573">
        <f t="shared" si="64"/>
        <v>43582</v>
      </c>
      <c r="GZ30" s="1574">
        <f t="shared" si="64"/>
        <v>32783</v>
      </c>
      <c r="HA30" s="1575">
        <f t="shared" si="37"/>
        <v>310645</v>
      </c>
      <c r="HB30" s="1572">
        <f t="shared" ref="HB30:HM30" si="65">SUM(HB31:HB35)</f>
        <v>13245</v>
      </c>
      <c r="HC30" s="1573">
        <f t="shared" si="65"/>
        <v>17625</v>
      </c>
      <c r="HD30" s="1573">
        <f t="shared" si="65"/>
        <v>7251</v>
      </c>
      <c r="HE30" s="1573">
        <f t="shared" si="65"/>
        <v>16761</v>
      </c>
      <c r="HF30" s="1573">
        <f t="shared" si="65"/>
        <v>57786</v>
      </c>
      <c r="HG30" s="1573">
        <f t="shared" si="65"/>
        <v>36158</v>
      </c>
      <c r="HH30" s="1573">
        <f t="shared" si="65"/>
        <v>31132</v>
      </c>
      <c r="HI30" s="1573">
        <f t="shared" si="65"/>
        <v>28600</v>
      </c>
      <c r="HJ30" s="1573">
        <f t="shared" si="65"/>
        <v>36863</v>
      </c>
      <c r="HK30" s="1573">
        <f t="shared" si="65"/>
        <v>45330</v>
      </c>
      <c r="HL30" s="1573">
        <f t="shared" si="65"/>
        <v>33080</v>
      </c>
      <c r="HM30" s="1574">
        <f t="shared" si="65"/>
        <v>50014</v>
      </c>
      <c r="HN30" s="1575">
        <f t="shared" si="38"/>
        <v>373845</v>
      </c>
      <c r="HO30" s="1572">
        <f t="shared" ref="HO30:HZ30" si="66">SUM(HO31:HO35)</f>
        <v>10769</v>
      </c>
      <c r="HP30" s="1573">
        <f t="shared" si="66"/>
        <v>23183</v>
      </c>
      <c r="HQ30" s="1573">
        <f t="shared" si="66"/>
        <v>24048</v>
      </c>
      <c r="HR30" s="1573">
        <f t="shared" si="66"/>
        <v>85789</v>
      </c>
      <c r="HS30" s="1573">
        <f t="shared" si="66"/>
        <v>15307</v>
      </c>
      <c r="HT30" s="1573">
        <f t="shared" si="66"/>
        <v>32063</v>
      </c>
      <c r="HU30" s="1573">
        <f t="shared" si="66"/>
        <v>21315</v>
      </c>
      <c r="HV30" s="1573">
        <f t="shared" si="66"/>
        <v>25317</v>
      </c>
      <c r="HW30" s="1573">
        <f t="shared" si="66"/>
        <v>15584</v>
      </c>
      <c r="HX30" s="1573">
        <f t="shared" si="66"/>
        <v>35230</v>
      </c>
      <c r="HY30" s="1573">
        <f t="shared" si="66"/>
        <v>42176</v>
      </c>
      <c r="HZ30" s="1574">
        <f t="shared" si="66"/>
        <v>22210</v>
      </c>
      <c r="IA30" s="1572">
        <f t="shared" si="39"/>
        <v>352991</v>
      </c>
      <c r="IB30" s="1572">
        <f t="shared" ref="IB30:IH30" si="67">SUM(IB31:IB35)</f>
        <v>23517</v>
      </c>
      <c r="IC30" s="1573">
        <f t="shared" si="67"/>
        <v>13961</v>
      </c>
      <c r="ID30" s="1573">
        <f t="shared" si="67"/>
        <v>12957</v>
      </c>
      <c r="IE30" s="1573">
        <f t="shared" si="67"/>
        <v>19051</v>
      </c>
      <c r="IF30" s="1573">
        <f t="shared" ref="IF30" si="68">SUM(IF31:IF35)</f>
        <v>22819</v>
      </c>
      <c r="IG30" s="1573">
        <f t="shared" si="67"/>
        <v>24256</v>
      </c>
      <c r="IH30" s="1573">
        <f t="shared" si="67"/>
        <v>41127</v>
      </c>
      <c r="II30" s="1573">
        <f t="shared" ref="II30" si="69">SUM(II31:II35)</f>
        <v>40576</v>
      </c>
      <c r="IJ30" s="1573"/>
      <c r="IK30" s="1573"/>
      <c r="IL30" s="1573"/>
      <c r="IM30" s="1574"/>
      <c r="IN30" s="1575">
        <f t="shared" si="40"/>
        <v>198264</v>
      </c>
      <c r="IO30" s="1209"/>
      <c r="IP30" s="1598">
        <f t="shared" si="27"/>
        <v>60.271754157285628</v>
      </c>
      <c r="IQ30" s="1598">
        <f t="shared" ref="IQ30:IQ37" si="70">IFERROR(((IS30/IR30)-1)*100,"")</f>
        <v>-16.622580333149696</v>
      </c>
      <c r="IR30" s="1599">
        <f t="shared" si="28"/>
        <v>237791</v>
      </c>
      <c r="IS30" s="1599">
        <f t="shared" si="29"/>
        <v>198264</v>
      </c>
      <c r="IV30"/>
      <c r="IW30"/>
      <c r="IX30"/>
      <c r="IY30"/>
      <c r="IZ30"/>
      <c r="JA30"/>
      <c r="JB30"/>
      <c r="JC30"/>
      <c r="JD30"/>
    </row>
    <row r="31" spans="1:264" ht="15" customHeight="1" x14ac:dyDescent="0.2">
      <c r="A31" s="309" t="s">
        <v>429</v>
      </c>
      <c r="B31" s="1576">
        <v>1259</v>
      </c>
      <c r="C31" s="1577">
        <v>3627</v>
      </c>
      <c r="D31" s="1577">
        <v>9126</v>
      </c>
      <c r="E31" s="1577">
        <v>41731</v>
      </c>
      <c r="F31" s="1577">
        <v>11967</v>
      </c>
      <c r="G31" s="1577">
        <v>23573</v>
      </c>
      <c r="H31" s="1577">
        <v>6162</v>
      </c>
      <c r="I31" s="1577">
        <v>2797</v>
      </c>
      <c r="J31" s="1577">
        <v>6134</v>
      </c>
      <c r="K31" s="1577">
        <v>52676</v>
      </c>
      <c r="L31" s="1577">
        <v>55062</v>
      </c>
      <c r="M31" s="1578">
        <v>20218</v>
      </c>
      <c r="N31" s="1579">
        <f t="shared" ref="N31:N37" si="71">SUM(B31:M31)</f>
        <v>234332</v>
      </c>
      <c r="O31" s="1576">
        <v>5809</v>
      </c>
      <c r="P31" s="1577">
        <v>8712</v>
      </c>
      <c r="Q31" s="1577">
        <v>7742</v>
      </c>
      <c r="R31" s="1577">
        <v>6455</v>
      </c>
      <c r="S31" s="1577">
        <v>15876</v>
      </c>
      <c r="T31" s="1577">
        <v>22415</v>
      </c>
      <c r="U31" s="1577">
        <v>11401</v>
      </c>
      <c r="V31" s="1577">
        <v>14594</v>
      </c>
      <c r="W31" s="1577">
        <v>14405</v>
      </c>
      <c r="X31" s="1577">
        <v>22473</v>
      </c>
      <c r="Y31" s="1577">
        <v>15448</v>
      </c>
      <c r="Z31" s="1578">
        <v>32558</v>
      </c>
      <c r="AA31" s="1579">
        <f t="shared" ref="AA31:AA37" si="72">SUM(O31:Z31)</f>
        <v>177888</v>
      </c>
      <c r="AB31" s="1576">
        <v>1633</v>
      </c>
      <c r="AC31" s="1577">
        <v>16893</v>
      </c>
      <c r="AD31" s="1577">
        <v>7485</v>
      </c>
      <c r="AE31" s="1577">
        <v>14498</v>
      </c>
      <c r="AF31" s="1577">
        <v>11529</v>
      </c>
      <c r="AG31" s="1577">
        <v>10671</v>
      </c>
      <c r="AH31" s="1577">
        <v>8468</v>
      </c>
      <c r="AI31" s="1577">
        <v>5723</v>
      </c>
      <c r="AJ31" s="1577">
        <v>10524</v>
      </c>
      <c r="AK31" s="1577">
        <v>11725</v>
      </c>
      <c r="AL31" s="1577">
        <v>10737</v>
      </c>
      <c r="AM31" s="1578">
        <v>9127</v>
      </c>
      <c r="AN31" s="1579">
        <f t="shared" ref="AN31:AN37" si="73">SUM(AB31:AM31)</f>
        <v>119013</v>
      </c>
      <c r="AO31" s="1576">
        <v>1787</v>
      </c>
      <c r="AP31" s="1577">
        <v>5031</v>
      </c>
      <c r="AQ31" s="1577">
        <v>8462</v>
      </c>
      <c r="AR31" s="1577">
        <v>12175</v>
      </c>
      <c r="AS31" s="1577">
        <v>3493</v>
      </c>
      <c r="AT31" s="1577">
        <v>11986</v>
      </c>
      <c r="AU31" s="1577">
        <v>12817</v>
      </c>
      <c r="AV31" s="1577">
        <v>3891</v>
      </c>
      <c r="AW31" s="1577">
        <v>6962</v>
      </c>
      <c r="AX31" s="1577">
        <v>3221</v>
      </c>
      <c r="AY31" s="1577">
        <v>4551</v>
      </c>
      <c r="AZ31" s="1578">
        <v>8189</v>
      </c>
      <c r="BA31" s="1579">
        <f t="shared" si="47"/>
        <v>82565</v>
      </c>
      <c r="BB31" s="1576">
        <v>1447</v>
      </c>
      <c r="BC31" s="1577">
        <v>6599</v>
      </c>
      <c r="BD31" s="1577">
        <v>4572</v>
      </c>
      <c r="BE31" s="1577">
        <v>4151</v>
      </c>
      <c r="BF31" s="1577">
        <v>32237</v>
      </c>
      <c r="BG31" s="1577">
        <v>4659</v>
      </c>
      <c r="BH31" s="1577">
        <v>25175</v>
      </c>
      <c r="BI31" s="1577">
        <v>14137</v>
      </c>
      <c r="BJ31" s="1577">
        <v>12873</v>
      </c>
      <c r="BK31" s="1577">
        <v>26464</v>
      </c>
      <c r="BL31" s="1577">
        <v>48666</v>
      </c>
      <c r="BM31" s="1578">
        <v>23995</v>
      </c>
      <c r="BN31" s="1579">
        <f t="shared" si="49"/>
        <v>204975</v>
      </c>
      <c r="BO31" s="1576">
        <v>6793</v>
      </c>
      <c r="BP31" s="1577">
        <v>8254</v>
      </c>
      <c r="BQ31" s="1577">
        <v>25749</v>
      </c>
      <c r="BR31" s="1577">
        <v>12765</v>
      </c>
      <c r="BS31" s="1577">
        <v>12081</v>
      </c>
      <c r="BT31" s="1577">
        <v>17155</v>
      </c>
      <c r="BU31" s="1577">
        <v>16389</v>
      </c>
      <c r="BV31" s="1577">
        <v>13554</v>
      </c>
      <c r="BW31" s="1577">
        <v>17770</v>
      </c>
      <c r="BX31" s="1577">
        <v>15995</v>
      </c>
      <c r="BY31" s="1577">
        <v>18696</v>
      </c>
      <c r="BZ31" s="1578">
        <f>22322</f>
        <v>22322</v>
      </c>
      <c r="CA31" s="1579">
        <f t="shared" si="51"/>
        <v>187523</v>
      </c>
      <c r="CB31" s="1576">
        <v>11312</v>
      </c>
      <c r="CC31" s="1577">
        <v>14146</v>
      </c>
      <c r="CD31" s="1577">
        <v>14394</v>
      </c>
      <c r="CE31" s="1577">
        <v>13390</v>
      </c>
      <c r="CF31" s="1577">
        <v>9432</v>
      </c>
      <c r="CG31" s="1577">
        <v>14003</v>
      </c>
      <c r="CH31" s="1577">
        <v>14779</v>
      </c>
      <c r="CI31" s="1577">
        <v>10561</v>
      </c>
      <c r="CJ31" s="1577">
        <v>8496</v>
      </c>
      <c r="CK31" s="1577">
        <v>6275</v>
      </c>
      <c r="CL31" s="1577">
        <v>9333</v>
      </c>
      <c r="CM31" s="1578">
        <v>26952</v>
      </c>
      <c r="CN31" s="1579">
        <f t="shared" si="53"/>
        <v>153073</v>
      </c>
      <c r="CO31" s="1576">
        <v>841</v>
      </c>
      <c r="CP31" s="1577">
        <v>32091</v>
      </c>
      <c r="CQ31" s="1577">
        <v>2104</v>
      </c>
      <c r="CR31" s="1577">
        <v>5032</v>
      </c>
      <c r="CS31" s="1577">
        <v>4728</v>
      </c>
      <c r="CT31" s="1577">
        <v>6668</v>
      </c>
      <c r="CU31" s="1577">
        <v>6739</v>
      </c>
      <c r="CV31" s="1577">
        <v>9739</v>
      </c>
      <c r="CW31" s="1577">
        <v>11772</v>
      </c>
      <c r="CX31" s="1577">
        <v>6746</v>
      </c>
      <c r="CY31" s="1577">
        <v>4087</v>
      </c>
      <c r="CZ31" s="1578">
        <v>16090</v>
      </c>
      <c r="DA31" s="1579">
        <f t="shared" si="15"/>
        <v>106637</v>
      </c>
      <c r="DB31" s="1576">
        <v>297</v>
      </c>
      <c r="DC31" s="1577">
        <v>863</v>
      </c>
      <c r="DD31" s="1577">
        <v>4929</v>
      </c>
      <c r="DE31" s="1577">
        <v>4044</v>
      </c>
      <c r="DF31" s="1577">
        <v>3264</v>
      </c>
      <c r="DG31" s="1577">
        <v>2686</v>
      </c>
      <c r="DH31" s="1577">
        <v>4838</v>
      </c>
      <c r="DI31" s="1577">
        <v>6546</v>
      </c>
      <c r="DJ31" s="1577">
        <v>5586</v>
      </c>
      <c r="DK31" s="1577">
        <v>5201</v>
      </c>
      <c r="DL31" s="1577">
        <v>4901</v>
      </c>
      <c r="DM31" s="1578">
        <v>12946</v>
      </c>
      <c r="DN31" s="1579">
        <f t="shared" si="30"/>
        <v>56101</v>
      </c>
      <c r="DO31" s="1576">
        <v>826</v>
      </c>
      <c r="DP31" s="1577">
        <v>5540</v>
      </c>
      <c r="DQ31" s="1577">
        <v>5584</v>
      </c>
      <c r="DR31" s="1577">
        <v>4917</v>
      </c>
      <c r="DS31" s="1577">
        <v>85822</v>
      </c>
      <c r="DT31" s="1577">
        <v>54274</v>
      </c>
      <c r="DU31" s="1577">
        <v>12277</v>
      </c>
      <c r="DV31" s="1577">
        <v>15614</v>
      </c>
      <c r="DW31" s="1577">
        <v>18945</v>
      </c>
      <c r="DX31" s="1577">
        <v>24062</v>
      </c>
      <c r="DY31" s="1577">
        <v>23483</v>
      </c>
      <c r="DZ31" s="1578">
        <v>33465</v>
      </c>
      <c r="EA31" s="1579">
        <f t="shared" si="56"/>
        <v>284809</v>
      </c>
      <c r="EB31" s="1576">
        <v>14729</v>
      </c>
      <c r="EC31" s="1577">
        <v>24894</v>
      </c>
      <c r="ED31" s="1577">
        <v>21120</v>
      </c>
      <c r="EE31" s="1577">
        <v>27995</v>
      </c>
      <c r="EF31" s="1577">
        <v>36636</v>
      </c>
      <c r="EG31" s="1577">
        <v>20358</v>
      </c>
      <c r="EH31" s="1577">
        <v>18807</v>
      </c>
      <c r="EI31" s="1577">
        <v>39855</v>
      </c>
      <c r="EJ31" s="1577">
        <v>20421</v>
      </c>
      <c r="EK31" s="1577">
        <v>21929</v>
      </c>
      <c r="EL31" s="1577">
        <v>35319</v>
      </c>
      <c r="EM31" s="1578">
        <v>49832</v>
      </c>
      <c r="EN31" s="1579">
        <f t="shared" si="58"/>
        <v>331895</v>
      </c>
      <c r="EO31" s="1576">
        <v>3344</v>
      </c>
      <c r="EP31" s="1577">
        <v>5858</v>
      </c>
      <c r="EQ31" s="1577">
        <v>10124</v>
      </c>
      <c r="ER31" s="1577">
        <v>3611</v>
      </c>
      <c r="ES31" s="1577">
        <v>4014</v>
      </c>
      <c r="ET31" s="1577">
        <v>5513</v>
      </c>
      <c r="EU31" s="1577">
        <v>12782</v>
      </c>
      <c r="EV31" s="1577">
        <v>13397</v>
      </c>
      <c r="EW31" s="1577">
        <v>12463</v>
      </c>
      <c r="EX31" s="1577">
        <v>17170</v>
      </c>
      <c r="EY31" s="1577">
        <v>21820</v>
      </c>
      <c r="EZ31" s="1578">
        <v>32037</v>
      </c>
      <c r="FA31" s="1579">
        <f t="shared" si="60"/>
        <v>142133</v>
      </c>
      <c r="FB31" s="1576">
        <v>20257</v>
      </c>
      <c r="FC31" s="1577">
        <v>18887</v>
      </c>
      <c r="FD31" s="1577">
        <v>8558</v>
      </c>
      <c r="FE31" s="1577">
        <v>11341</v>
      </c>
      <c r="FF31" s="1577">
        <v>1322</v>
      </c>
      <c r="FG31" s="1577">
        <v>1395</v>
      </c>
      <c r="FH31" s="1577">
        <v>18501</v>
      </c>
      <c r="FI31" s="1577">
        <v>7442</v>
      </c>
      <c r="FJ31" s="1577">
        <v>18289</v>
      </c>
      <c r="FK31" s="1577">
        <v>4030</v>
      </c>
      <c r="FL31" s="1577">
        <v>15524</v>
      </c>
      <c r="FM31" s="1578">
        <v>33929</v>
      </c>
      <c r="FN31" s="1579">
        <f t="shared" si="62"/>
        <v>159475</v>
      </c>
      <c r="FO31" s="1576">
        <v>41</v>
      </c>
      <c r="FP31" s="1577">
        <v>1685</v>
      </c>
      <c r="FQ31" s="1577">
        <v>1441</v>
      </c>
      <c r="FR31" s="1577">
        <v>1367</v>
      </c>
      <c r="FS31" s="1577">
        <v>2271</v>
      </c>
      <c r="FT31" s="1577">
        <v>4011</v>
      </c>
      <c r="FU31" s="1577">
        <v>1519</v>
      </c>
      <c r="FV31" s="1577">
        <v>2006</v>
      </c>
      <c r="FW31" s="1577">
        <v>2092</v>
      </c>
      <c r="FX31" s="1577">
        <v>2150</v>
      </c>
      <c r="FY31" s="1577">
        <v>4240</v>
      </c>
      <c r="FZ31" s="1578">
        <v>9803</v>
      </c>
      <c r="GA31" s="1579">
        <f t="shared" si="35"/>
        <v>32626</v>
      </c>
      <c r="GB31" s="1576">
        <v>6365</v>
      </c>
      <c r="GC31" s="1577">
        <v>12814</v>
      </c>
      <c r="GD31" s="1577">
        <v>9730</v>
      </c>
      <c r="GE31" s="1577">
        <v>28741</v>
      </c>
      <c r="GF31" s="1577">
        <v>11447</v>
      </c>
      <c r="GG31" s="1577">
        <v>22794</v>
      </c>
      <c r="GH31" s="1577">
        <v>36154</v>
      </c>
      <c r="GI31" s="1577">
        <v>14185</v>
      </c>
      <c r="GJ31" s="1577">
        <v>15080</v>
      </c>
      <c r="GK31" s="1577">
        <v>13000</v>
      </c>
      <c r="GL31" s="1577">
        <v>27237</v>
      </c>
      <c r="GM31" s="1578">
        <v>22161</v>
      </c>
      <c r="GN31" s="1579">
        <f t="shared" si="36"/>
        <v>219708</v>
      </c>
      <c r="GO31" s="1576">
        <v>12416</v>
      </c>
      <c r="GP31" s="1577">
        <v>18213</v>
      </c>
      <c r="GQ31" s="1577">
        <v>29258</v>
      </c>
      <c r="GR31" s="1577">
        <v>24576</v>
      </c>
      <c r="GS31" s="1577">
        <v>19959</v>
      </c>
      <c r="GT31" s="1577">
        <v>23522</v>
      </c>
      <c r="GU31" s="1577">
        <v>10761</v>
      </c>
      <c r="GV31" s="1577">
        <v>15843</v>
      </c>
      <c r="GW31" s="1577">
        <v>27218</v>
      </c>
      <c r="GX31" s="1577">
        <v>27911</v>
      </c>
      <c r="GY31" s="1577">
        <v>39720</v>
      </c>
      <c r="GZ31" s="1578">
        <v>25595</v>
      </c>
      <c r="HA31" s="1579">
        <f t="shared" si="37"/>
        <v>274992</v>
      </c>
      <c r="HB31" s="1576">
        <v>3966</v>
      </c>
      <c r="HC31" s="1577">
        <v>17013</v>
      </c>
      <c r="HD31" s="1577">
        <v>5877</v>
      </c>
      <c r="HE31" s="1577">
        <v>16436</v>
      </c>
      <c r="HF31" s="1577">
        <v>47180</v>
      </c>
      <c r="HG31" s="1577">
        <v>36045</v>
      </c>
      <c r="HH31" s="1577">
        <v>27222</v>
      </c>
      <c r="HI31" s="1577">
        <v>27673</v>
      </c>
      <c r="HJ31" s="1577">
        <v>27341</v>
      </c>
      <c r="HK31" s="1577">
        <v>44487</v>
      </c>
      <c r="HL31" s="1577">
        <v>29762</v>
      </c>
      <c r="HM31" s="1578">
        <v>44268</v>
      </c>
      <c r="HN31" s="1579">
        <f t="shared" si="38"/>
        <v>327270</v>
      </c>
      <c r="HO31" s="1576">
        <v>10769</v>
      </c>
      <c r="HP31" s="1577">
        <v>22227</v>
      </c>
      <c r="HQ31" s="1577">
        <v>23109</v>
      </c>
      <c r="HR31" s="1577">
        <v>81083</v>
      </c>
      <c r="HS31" s="1577">
        <v>13216</v>
      </c>
      <c r="HT31" s="1577">
        <v>29256</v>
      </c>
      <c r="HU31" s="1577">
        <v>18938</v>
      </c>
      <c r="HV31" s="1577">
        <v>23795</v>
      </c>
      <c r="HW31" s="1577">
        <v>13809</v>
      </c>
      <c r="HX31" s="1577">
        <v>33416</v>
      </c>
      <c r="HY31" s="1577">
        <v>37781</v>
      </c>
      <c r="HZ31" s="1578">
        <v>17646</v>
      </c>
      <c r="IA31" s="1576">
        <f t="shared" si="39"/>
        <v>325045</v>
      </c>
      <c r="IB31" s="1569">
        <v>22873</v>
      </c>
      <c r="IC31" s="1068">
        <v>12625</v>
      </c>
      <c r="ID31" s="1068">
        <v>11678</v>
      </c>
      <c r="IE31" s="1068">
        <v>18217</v>
      </c>
      <c r="IF31" s="1068">
        <v>21591</v>
      </c>
      <c r="IG31">
        <v>23285</v>
      </c>
      <c r="IH31" s="1068">
        <v>39864</v>
      </c>
      <c r="II31" s="1068">
        <v>32015</v>
      </c>
      <c r="IJ31" s="1068"/>
      <c r="IK31" s="1068"/>
      <c r="IL31" s="1068"/>
      <c r="IM31" s="1570"/>
      <c r="IN31" s="1571">
        <f t="shared" si="40"/>
        <v>182148</v>
      </c>
      <c r="IP31" s="1656">
        <f t="shared" si="27"/>
        <v>34.545072494221472</v>
      </c>
      <c r="IQ31" s="1656">
        <f t="shared" si="70"/>
        <v>-18.096342960434907</v>
      </c>
      <c r="IR31" s="1657">
        <f t="shared" si="28"/>
        <v>222393</v>
      </c>
      <c r="IS31" s="1657">
        <f t="shared" si="29"/>
        <v>182148</v>
      </c>
      <c r="IT31" s="1659"/>
      <c r="IU31" s="1659"/>
    </row>
    <row r="32" spans="1:264" ht="15" customHeight="1" x14ac:dyDescent="0.2">
      <c r="A32" s="309" t="s">
        <v>402</v>
      </c>
      <c r="B32" s="1576">
        <v>39</v>
      </c>
      <c r="C32" s="1577">
        <v>38</v>
      </c>
      <c r="D32" s="1577">
        <v>39</v>
      </c>
      <c r="E32" s="1577">
        <v>1677</v>
      </c>
      <c r="F32" s="1577">
        <v>37</v>
      </c>
      <c r="G32" s="1577">
        <v>625</v>
      </c>
      <c r="H32" s="1577">
        <v>129</v>
      </c>
      <c r="I32" s="1577">
        <v>309</v>
      </c>
      <c r="J32" s="1577">
        <v>376</v>
      </c>
      <c r="K32" s="1577">
        <v>35</v>
      </c>
      <c r="L32" s="1577">
        <v>122</v>
      </c>
      <c r="M32" s="1578">
        <v>141</v>
      </c>
      <c r="N32" s="1579">
        <f t="shared" si="71"/>
        <v>3567</v>
      </c>
      <c r="O32" s="1576">
        <v>5</v>
      </c>
      <c r="P32" s="1577">
        <v>56</v>
      </c>
      <c r="Q32" s="1577">
        <v>25</v>
      </c>
      <c r="R32" s="1577">
        <v>127</v>
      </c>
      <c r="S32" s="1577">
        <v>200</v>
      </c>
      <c r="T32" s="1577">
        <v>305</v>
      </c>
      <c r="U32" s="1577">
        <v>269</v>
      </c>
      <c r="V32" s="1577">
        <v>114</v>
      </c>
      <c r="W32" s="1577">
        <v>210</v>
      </c>
      <c r="X32" s="1577">
        <v>44</v>
      </c>
      <c r="Y32" s="1577">
        <v>250</v>
      </c>
      <c r="Z32" s="1578">
        <v>424</v>
      </c>
      <c r="AA32" s="1579">
        <f t="shared" si="72"/>
        <v>2029</v>
      </c>
      <c r="AB32" s="1576">
        <v>20</v>
      </c>
      <c r="AC32" s="1577">
        <v>331</v>
      </c>
      <c r="AD32" s="1577">
        <v>155</v>
      </c>
      <c r="AE32" s="1577">
        <v>290</v>
      </c>
      <c r="AF32" s="1577">
        <v>848</v>
      </c>
      <c r="AG32" s="1577">
        <v>201</v>
      </c>
      <c r="AH32" s="1577">
        <v>5087</v>
      </c>
      <c r="AI32" s="1577">
        <v>1016</v>
      </c>
      <c r="AJ32" s="1577">
        <v>2830</v>
      </c>
      <c r="AK32" s="1577">
        <v>375</v>
      </c>
      <c r="AL32" s="1577">
        <v>7651</v>
      </c>
      <c r="AM32" s="1578">
        <v>750</v>
      </c>
      <c r="AN32" s="1579">
        <f t="shared" si="73"/>
        <v>19554</v>
      </c>
      <c r="AO32" s="1576">
        <v>48</v>
      </c>
      <c r="AP32" s="1577">
        <v>35</v>
      </c>
      <c r="AQ32" s="1577">
        <v>155</v>
      </c>
      <c r="AR32" s="1577">
        <v>238</v>
      </c>
      <c r="AS32" s="1577">
        <v>666</v>
      </c>
      <c r="AT32" s="1577">
        <v>2025</v>
      </c>
      <c r="AU32" s="1577">
        <v>1501</v>
      </c>
      <c r="AV32" s="1577">
        <v>867</v>
      </c>
      <c r="AW32" s="1577">
        <v>36</v>
      </c>
      <c r="AX32" s="1577">
        <v>98</v>
      </c>
      <c r="AY32" s="1577">
        <v>156</v>
      </c>
      <c r="AZ32" s="1578">
        <v>425</v>
      </c>
      <c r="BA32" s="1579">
        <f t="shared" si="47"/>
        <v>6250</v>
      </c>
      <c r="BB32" s="1576">
        <v>27</v>
      </c>
      <c r="BC32" s="1577">
        <v>113</v>
      </c>
      <c r="BD32" s="1577">
        <v>138</v>
      </c>
      <c r="BE32" s="1577">
        <v>290</v>
      </c>
      <c r="BF32" s="1577">
        <v>383</v>
      </c>
      <c r="BG32" s="1577">
        <v>360</v>
      </c>
      <c r="BH32" s="1577">
        <v>124</v>
      </c>
      <c r="BI32" s="1577">
        <v>134</v>
      </c>
      <c r="BJ32" s="1577">
        <v>2383</v>
      </c>
      <c r="BK32" s="1577">
        <v>2125</v>
      </c>
      <c r="BL32" s="1577">
        <v>375</v>
      </c>
      <c r="BM32" s="1578">
        <v>797</v>
      </c>
      <c r="BN32" s="1579">
        <f t="shared" si="49"/>
        <v>7249</v>
      </c>
      <c r="BO32" s="1576">
        <v>224</v>
      </c>
      <c r="BP32" s="1577">
        <v>169</v>
      </c>
      <c r="BQ32" s="1577">
        <v>101</v>
      </c>
      <c r="BR32" s="1577">
        <v>58</v>
      </c>
      <c r="BS32" s="1577">
        <v>365</v>
      </c>
      <c r="BT32" s="1577">
        <v>29</v>
      </c>
      <c r="BU32" s="1577">
        <v>779</v>
      </c>
      <c r="BV32" s="1577">
        <v>631</v>
      </c>
      <c r="BW32" s="1577">
        <v>63</v>
      </c>
      <c r="BX32" s="1577">
        <v>771</v>
      </c>
      <c r="BY32" s="1577">
        <v>248</v>
      </c>
      <c r="BZ32" s="1578">
        <v>851</v>
      </c>
      <c r="CA32" s="1579">
        <f t="shared" si="51"/>
        <v>4289</v>
      </c>
      <c r="CB32" s="1576">
        <v>507</v>
      </c>
      <c r="CC32" s="1577">
        <v>253</v>
      </c>
      <c r="CD32" s="1577">
        <v>89</v>
      </c>
      <c r="CE32" s="1577">
        <v>220</v>
      </c>
      <c r="CF32" s="1577">
        <v>798</v>
      </c>
      <c r="CG32" s="1577">
        <v>99</v>
      </c>
      <c r="CH32" s="1577">
        <v>1244</v>
      </c>
      <c r="CI32" s="1577">
        <v>766</v>
      </c>
      <c r="CJ32" s="1577">
        <v>719</v>
      </c>
      <c r="CK32" s="1577">
        <v>934</v>
      </c>
      <c r="CL32" s="1577">
        <v>304</v>
      </c>
      <c r="CM32" s="1578">
        <v>5471</v>
      </c>
      <c r="CN32" s="1579">
        <f t="shared" si="53"/>
        <v>11404</v>
      </c>
      <c r="CO32" s="1576">
        <v>630</v>
      </c>
      <c r="CP32" s="1577">
        <v>481</v>
      </c>
      <c r="CQ32" s="1577">
        <v>426</v>
      </c>
      <c r="CR32" s="1577">
        <v>137</v>
      </c>
      <c r="CS32" s="1577">
        <v>115</v>
      </c>
      <c r="CT32" s="1577">
        <v>1299</v>
      </c>
      <c r="CU32" s="1577">
        <v>619</v>
      </c>
      <c r="CV32" s="1577">
        <v>221</v>
      </c>
      <c r="CW32" s="1577">
        <v>364</v>
      </c>
      <c r="CX32" s="1577">
        <v>485</v>
      </c>
      <c r="CY32" s="1577">
        <v>224</v>
      </c>
      <c r="CZ32" s="1578">
        <v>1026</v>
      </c>
      <c r="DA32" s="1579">
        <f t="shared" si="15"/>
        <v>6027</v>
      </c>
      <c r="DB32" s="1576">
        <v>0</v>
      </c>
      <c r="DC32" s="1577">
        <v>113</v>
      </c>
      <c r="DD32" s="1577">
        <v>556</v>
      </c>
      <c r="DE32" s="1577">
        <v>185</v>
      </c>
      <c r="DF32" s="1577">
        <v>359</v>
      </c>
      <c r="DG32" s="1577">
        <v>338</v>
      </c>
      <c r="DH32" s="1577">
        <v>518</v>
      </c>
      <c r="DI32" s="1577">
        <v>1041</v>
      </c>
      <c r="DJ32" s="1577">
        <v>423</v>
      </c>
      <c r="DK32" s="1577">
        <v>244</v>
      </c>
      <c r="DL32" s="1577">
        <v>242</v>
      </c>
      <c r="DM32" s="1578">
        <v>529</v>
      </c>
      <c r="DN32" s="1579">
        <f t="shared" si="30"/>
        <v>4548</v>
      </c>
      <c r="DO32" s="1576">
        <v>0</v>
      </c>
      <c r="DP32" s="1577">
        <v>18</v>
      </c>
      <c r="DQ32" s="1577">
        <v>558</v>
      </c>
      <c r="DR32" s="1577">
        <v>57</v>
      </c>
      <c r="DS32" s="1577">
        <v>149</v>
      </c>
      <c r="DT32" s="1577">
        <v>71</v>
      </c>
      <c r="DU32" s="1577">
        <v>51</v>
      </c>
      <c r="DV32" s="1577">
        <v>140</v>
      </c>
      <c r="DW32" s="1577">
        <v>86</v>
      </c>
      <c r="DX32" s="1577">
        <v>368</v>
      </c>
      <c r="DY32" s="1577">
        <v>505</v>
      </c>
      <c r="DZ32" s="1578">
        <v>1171</v>
      </c>
      <c r="EA32" s="1579">
        <f t="shared" si="56"/>
        <v>3174</v>
      </c>
      <c r="EB32" s="1576">
        <v>27</v>
      </c>
      <c r="EC32" s="1577">
        <v>0</v>
      </c>
      <c r="ED32" s="1577">
        <v>0</v>
      </c>
      <c r="EE32" s="1577">
        <v>12</v>
      </c>
      <c r="EF32" s="1577">
        <v>232</v>
      </c>
      <c r="EG32" s="1577">
        <v>641</v>
      </c>
      <c r="EH32" s="1577">
        <v>65</v>
      </c>
      <c r="EI32" s="1577">
        <v>63</v>
      </c>
      <c r="EJ32" s="1577">
        <v>85</v>
      </c>
      <c r="EK32" s="1577">
        <v>128</v>
      </c>
      <c r="EL32" s="1577">
        <v>87</v>
      </c>
      <c r="EM32" s="1578">
        <v>655</v>
      </c>
      <c r="EN32" s="1579">
        <f t="shared" si="58"/>
        <v>1995</v>
      </c>
      <c r="EO32" s="1576">
        <v>4546</v>
      </c>
      <c r="EP32" s="1577">
        <v>2963</v>
      </c>
      <c r="EQ32" s="1577">
        <v>4576</v>
      </c>
      <c r="ER32" s="1577">
        <v>186</v>
      </c>
      <c r="ES32" s="1577">
        <v>51</v>
      </c>
      <c r="ET32" s="1577">
        <v>232</v>
      </c>
      <c r="EU32" s="1577">
        <v>45308</v>
      </c>
      <c r="EV32" s="1577">
        <v>269</v>
      </c>
      <c r="EW32" s="1577">
        <v>3228</v>
      </c>
      <c r="EX32" s="1577">
        <v>206</v>
      </c>
      <c r="EY32" s="1577">
        <v>2456</v>
      </c>
      <c r="EZ32" s="1578">
        <v>2636</v>
      </c>
      <c r="FA32" s="1579">
        <f t="shared" si="60"/>
        <v>66657</v>
      </c>
      <c r="FB32" s="1576">
        <v>12</v>
      </c>
      <c r="FC32" s="1577">
        <v>141</v>
      </c>
      <c r="FD32" s="1577">
        <v>24</v>
      </c>
      <c r="FE32" s="1577">
        <v>33</v>
      </c>
      <c r="FF32" s="1577">
        <v>0</v>
      </c>
      <c r="FG32" s="1577">
        <v>18</v>
      </c>
      <c r="FH32" s="1577">
        <v>83</v>
      </c>
      <c r="FI32" s="1577">
        <v>72</v>
      </c>
      <c r="FJ32" s="1577">
        <v>593</v>
      </c>
      <c r="FK32" s="1577">
        <v>213</v>
      </c>
      <c r="FL32" s="1577">
        <v>77</v>
      </c>
      <c r="FM32" s="1578">
        <v>501</v>
      </c>
      <c r="FN32" s="1579">
        <f t="shared" si="62"/>
        <v>1767</v>
      </c>
      <c r="FO32" s="1576">
        <v>37</v>
      </c>
      <c r="FP32" s="1577">
        <v>166</v>
      </c>
      <c r="FQ32" s="1577">
        <v>251</v>
      </c>
      <c r="FR32" s="1577">
        <v>304</v>
      </c>
      <c r="FS32" s="1577">
        <v>1017</v>
      </c>
      <c r="FT32" s="1577">
        <v>284</v>
      </c>
      <c r="FU32" s="1577">
        <v>2464</v>
      </c>
      <c r="FV32" s="1577">
        <v>1458</v>
      </c>
      <c r="FW32" s="1577">
        <v>246</v>
      </c>
      <c r="FX32" s="1577">
        <v>845</v>
      </c>
      <c r="FY32" s="1577">
        <v>1065</v>
      </c>
      <c r="FZ32" s="1578">
        <v>15308</v>
      </c>
      <c r="GA32" s="1579">
        <f t="shared" si="35"/>
        <v>23445</v>
      </c>
      <c r="GB32" s="1576">
        <v>219</v>
      </c>
      <c r="GC32" s="1577">
        <v>449</v>
      </c>
      <c r="GD32" s="1577">
        <v>856</v>
      </c>
      <c r="GE32" s="1577">
        <v>212</v>
      </c>
      <c r="GF32" s="1577">
        <v>469</v>
      </c>
      <c r="GG32" s="1577">
        <v>243</v>
      </c>
      <c r="GH32" s="1577">
        <v>540</v>
      </c>
      <c r="GI32" s="1577">
        <v>11843</v>
      </c>
      <c r="GJ32" s="1577">
        <v>858</v>
      </c>
      <c r="GK32" s="1577">
        <v>82</v>
      </c>
      <c r="GL32" s="1577">
        <v>6844</v>
      </c>
      <c r="GM32" s="1578">
        <v>1227</v>
      </c>
      <c r="GN32" s="1579">
        <f t="shared" si="36"/>
        <v>23842</v>
      </c>
      <c r="GO32" s="1576">
        <v>0</v>
      </c>
      <c r="GP32" s="1577">
        <v>4</v>
      </c>
      <c r="GQ32" s="1577">
        <v>162</v>
      </c>
      <c r="GR32" s="1577">
        <v>41</v>
      </c>
      <c r="GS32" s="1577">
        <v>61</v>
      </c>
      <c r="GT32" s="1577">
        <v>145</v>
      </c>
      <c r="GU32" s="1577">
        <v>236</v>
      </c>
      <c r="GV32" s="1577">
        <v>38</v>
      </c>
      <c r="GW32" s="1577">
        <v>19</v>
      </c>
      <c r="GX32" s="1577">
        <v>567</v>
      </c>
      <c r="GY32" s="1577">
        <v>241</v>
      </c>
      <c r="GZ32" s="1578">
        <v>318</v>
      </c>
      <c r="HA32" s="1579">
        <f t="shared" si="37"/>
        <v>1832</v>
      </c>
      <c r="HB32" s="1576">
        <v>9279</v>
      </c>
      <c r="HC32" s="1577">
        <v>0</v>
      </c>
      <c r="HD32" s="1577">
        <v>89</v>
      </c>
      <c r="HE32" s="1577">
        <v>197</v>
      </c>
      <c r="HF32" s="1577">
        <v>8720</v>
      </c>
      <c r="HG32" s="1577">
        <v>-12</v>
      </c>
      <c r="HH32" s="1577">
        <v>3601</v>
      </c>
      <c r="HI32" s="1577">
        <v>132</v>
      </c>
      <c r="HJ32" s="1577">
        <v>9171</v>
      </c>
      <c r="HK32" s="1577">
        <v>55</v>
      </c>
      <c r="HL32" s="1577">
        <v>1358</v>
      </c>
      <c r="HM32" s="1578">
        <v>2404</v>
      </c>
      <c r="HN32" s="1579">
        <f t="shared" si="38"/>
        <v>34994</v>
      </c>
      <c r="HO32" s="1576">
        <v>0</v>
      </c>
      <c r="HP32" s="1577">
        <v>48</v>
      </c>
      <c r="HQ32" s="1577">
        <v>87</v>
      </c>
      <c r="HR32" s="1577">
        <v>406</v>
      </c>
      <c r="HS32" s="1577">
        <v>56</v>
      </c>
      <c r="HT32" s="1577">
        <v>50</v>
      </c>
      <c r="HU32" s="1577">
        <v>95</v>
      </c>
      <c r="HV32" s="1577">
        <v>94</v>
      </c>
      <c r="HW32" s="1577">
        <v>907</v>
      </c>
      <c r="HX32" s="1577">
        <v>680</v>
      </c>
      <c r="HY32" s="1577">
        <v>271</v>
      </c>
      <c r="HZ32" s="1578">
        <v>1082</v>
      </c>
      <c r="IA32" s="1576">
        <f t="shared" si="39"/>
        <v>3776</v>
      </c>
      <c r="IB32" s="1569">
        <v>0</v>
      </c>
      <c r="IC32" s="1068">
        <v>0</v>
      </c>
      <c r="ID32" s="1068">
        <v>17</v>
      </c>
      <c r="IE32" s="1068">
        <v>66</v>
      </c>
      <c r="IF32" s="1068">
        <v>50</v>
      </c>
      <c r="IG32">
        <v>73</v>
      </c>
      <c r="IH32" s="1068">
        <v>90</v>
      </c>
      <c r="II32" s="1068">
        <v>3896</v>
      </c>
      <c r="IJ32" s="1068"/>
      <c r="IK32" s="1068"/>
      <c r="IL32" s="1068"/>
      <c r="IM32" s="1570"/>
      <c r="IN32" s="1571">
        <f t="shared" si="40"/>
        <v>4192</v>
      </c>
      <c r="IP32" s="1656">
        <f t="shared" si="27"/>
        <v>4044.6808510638298</v>
      </c>
      <c r="IQ32" s="1656">
        <f t="shared" si="70"/>
        <v>401.43540669856463</v>
      </c>
      <c r="IR32" s="1657">
        <f t="shared" si="28"/>
        <v>836</v>
      </c>
      <c r="IS32" s="1657">
        <f t="shared" si="29"/>
        <v>4192</v>
      </c>
      <c r="IT32" s="1659"/>
      <c r="IU32" s="1659"/>
    </row>
    <row r="33" spans="1:255" ht="15" customHeight="1" x14ac:dyDescent="0.2">
      <c r="A33" s="309" t="s">
        <v>403</v>
      </c>
      <c r="B33" s="1576">
        <v>39</v>
      </c>
      <c r="C33" s="1577">
        <v>73</v>
      </c>
      <c r="D33" s="1577">
        <v>217</v>
      </c>
      <c r="E33" s="1577">
        <v>300</v>
      </c>
      <c r="F33" s="1577">
        <v>747</v>
      </c>
      <c r="G33" s="1577">
        <v>374</v>
      </c>
      <c r="H33" s="1577">
        <v>1023</v>
      </c>
      <c r="I33" s="1577">
        <v>735</v>
      </c>
      <c r="J33" s="1577">
        <v>746</v>
      </c>
      <c r="K33" s="1577">
        <v>189</v>
      </c>
      <c r="L33" s="1577">
        <v>736</v>
      </c>
      <c r="M33" s="1578">
        <v>880</v>
      </c>
      <c r="N33" s="1579">
        <f t="shared" si="71"/>
        <v>6059</v>
      </c>
      <c r="O33" s="1576">
        <v>522</v>
      </c>
      <c r="P33" s="1577">
        <v>1636</v>
      </c>
      <c r="Q33" s="1577">
        <v>1367</v>
      </c>
      <c r="R33" s="1577">
        <v>1232</v>
      </c>
      <c r="S33" s="1577">
        <v>1970</v>
      </c>
      <c r="T33" s="1577">
        <v>737</v>
      </c>
      <c r="U33" s="1577">
        <v>1095</v>
      </c>
      <c r="V33" s="1577">
        <v>1046</v>
      </c>
      <c r="W33" s="1577">
        <v>1646</v>
      </c>
      <c r="X33" s="1577">
        <v>831</v>
      </c>
      <c r="Y33" s="1577">
        <v>449</v>
      </c>
      <c r="Z33" s="1578">
        <v>1494</v>
      </c>
      <c r="AA33" s="1579">
        <f t="shared" si="72"/>
        <v>14025</v>
      </c>
      <c r="AB33" s="1576">
        <v>372</v>
      </c>
      <c r="AC33" s="1577">
        <v>1303</v>
      </c>
      <c r="AD33" s="1577">
        <v>1101</v>
      </c>
      <c r="AE33" s="1577">
        <v>1451</v>
      </c>
      <c r="AF33" s="1577">
        <v>572</v>
      </c>
      <c r="AG33" s="1577">
        <v>206</v>
      </c>
      <c r="AH33" s="1577">
        <v>332</v>
      </c>
      <c r="AI33" s="1577">
        <v>92</v>
      </c>
      <c r="AJ33" s="1577">
        <v>156</v>
      </c>
      <c r="AK33" s="1577">
        <v>138</v>
      </c>
      <c r="AL33" s="1577">
        <v>121</v>
      </c>
      <c r="AM33" s="1578">
        <v>108</v>
      </c>
      <c r="AN33" s="1579">
        <f t="shared" si="73"/>
        <v>5952</v>
      </c>
      <c r="AO33" s="1576">
        <v>0</v>
      </c>
      <c r="AP33" s="1577">
        <v>33</v>
      </c>
      <c r="AQ33" s="1577">
        <v>128</v>
      </c>
      <c r="AR33" s="1577">
        <v>53</v>
      </c>
      <c r="AS33" s="1577">
        <v>26</v>
      </c>
      <c r="AT33" s="1577">
        <v>16</v>
      </c>
      <c r="AU33" s="1577">
        <v>163</v>
      </c>
      <c r="AV33" s="1577">
        <v>154</v>
      </c>
      <c r="AW33" s="1577">
        <v>6</v>
      </c>
      <c r="AX33" s="1577">
        <v>0</v>
      </c>
      <c r="AY33" s="1577">
        <v>0</v>
      </c>
      <c r="AZ33" s="1578">
        <v>4</v>
      </c>
      <c r="BA33" s="1579">
        <f t="shared" si="47"/>
        <v>583</v>
      </c>
      <c r="BB33" s="1576">
        <v>60</v>
      </c>
      <c r="BC33" s="1577">
        <v>89</v>
      </c>
      <c r="BD33" s="1577">
        <v>8</v>
      </c>
      <c r="BE33" s="1577">
        <v>25</v>
      </c>
      <c r="BF33" s="1577">
        <v>8</v>
      </c>
      <c r="BG33" s="1577">
        <v>31</v>
      </c>
      <c r="BH33" s="1577">
        <v>353</v>
      </c>
      <c r="BI33" s="1577">
        <v>245</v>
      </c>
      <c r="BJ33" s="1577">
        <v>480</v>
      </c>
      <c r="BK33" s="1577">
        <v>101</v>
      </c>
      <c r="BL33" s="1577">
        <v>886</v>
      </c>
      <c r="BM33" s="1578">
        <v>1077</v>
      </c>
      <c r="BN33" s="1579">
        <f t="shared" si="49"/>
        <v>3363</v>
      </c>
      <c r="BO33" s="1576">
        <v>0</v>
      </c>
      <c r="BP33" s="1577">
        <v>0</v>
      </c>
      <c r="BQ33" s="1577">
        <v>0</v>
      </c>
      <c r="BR33" s="1577">
        <v>11</v>
      </c>
      <c r="BS33" s="1577">
        <v>50</v>
      </c>
      <c r="BT33" s="1577">
        <v>0</v>
      </c>
      <c r="BU33" s="1577">
        <v>0.80200000000000005</v>
      </c>
      <c r="BV33" s="1577">
        <v>2</v>
      </c>
      <c r="BW33" s="1577">
        <v>4</v>
      </c>
      <c r="BX33" s="1577">
        <v>267</v>
      </c>
      <c r="BY33" s="1577">
        <v>0.67200000000000004</v>
      </c>
      <c r="BZ33" s="1578">
        <v>20</v>
      </c>
      <c r="CA33" s="1579">
        <f t="shared" si="51"/>
        <v>355.47400000000005</v>
      </c>
      <c r="CB33" s="1576">
        <v>0</v>
      </c>
      <c r="CC33" s="1577">
        <v>7583</v>
      </c>
      <c r="CD33" s="1577">
        <v>-7532</v>
      </c>
      <c r="CE33" s="1577">
        <v>666</v>
      </c>
      <c r="CF33" s="1577">
        <v>7685</v>
      </c>
      <c r="CG33" s="1577">
        <v>347</v>
      </c>
      <c r="CH33" s="1577">
        <v>32</v>
      </c>
      <c r="CI33" s="1577">
        <v>0</v>
      </c>
      <c r="CJ33" s="1577">
        <v>69</v>
      </c>
      <c r="CK33" s="1577">
        <v>60</v>
      </c>
      <c r="CL33" s="1577">
        <v>0</v>
      </c>
      <c r="CM33" s="1578">
        <v>91</v>
      </c>
      <c r="CN33" s="1579">
        <f t="shared" si="53"/>
        <v>9001</v>
      </c>
      <c r="CO33" s="1576">
        <v>0</v>
      </c>
      <c r="CP33" s="1577">
        <v>0</v>
      </c>
      <c r="CQ33" s="1577">
        <v>749</v>
      </c>
      <c r="CR33" s="1577">
        <v>471</v>
      </c>
      <c r="CS33" s="1577">
        <v>1268</v>
      </c>
      <c r="CT33" s="1577">
        <v>2881</v>
      </c>
      <c r="CU33" s="1577">
        <v>5237</v>
      </c>
      <c r="CV33" s="1577">
        <v>1003</v>
      </c>
      <c r="CW33" s="1577">
        <v>1018</v>
      </c>
      <c r="CX33" s="1577">
        <v>1955</v>
      </c>
      <c r="CY33" s="1577">
        <v>11901</v>
      </c>
      <c r="CZ33" s="1578">
        <v>17058</v>
      </c>
      <c r="DA33" s="1579">
        <f t="shared" si="15"/>
        <v>43541</v>
      </c>
      <c r="DB33" s="1576">
        <v>300</v>
      </c>
      <c r="DC33" s="1577">
        <v>2487</v>
      </c>
      <c r="DD33" s="1577">
        <v>4405</v>
      </c>
      <c r="DE33" s="1577">
        <v>2045</v>
      </c>
      <c r="DF33" s="1577">
        <v>2672</v>
      </c>
      <c r="DG33" s="1577">
        <v>2614</v>
      </c>
      <c r="DH33" s="1577">
        <v>4770</v>
      </c>
      <c r="DI33" s="1577">
        <v>5707</v>
      </c>
      <c r="DJ33" s="1577">
        <v>3137</v>
      </c>
      <c r="DK33" s="1577">
        <v>2153</v>
      </c>
      <c r="DL33" s="1577">
        <v>2292</v>
      </c>
      <c r="DM33" s="1578">
        <v>5010</v>
      </c>
      <c r="DN33" s="1579">
        <f t="shared" si="30"/>
        <v>37592</v>
      </c>
      <c r="DO33" s="1576">
        <v>0</v>
      </c>
      <c r="DP33" s="1577">
        <v>301</v>
      </c>
      <c r="DQ33" s="1577">
        <v>2269</v>
      </c>
      <c r="DR33" s="1577">
        <v>305</v>
      </c>
      <c r="DS33" s="1577">
        <v>734</v>
      </c>
      <c r="DT33" s="1577">
        <v>360</v>
      </c>
      <c r="DU33" s="1577">
        <v>8652</v>
      </c>
      <c r="DV33" s="1577">
        <v>7026</v>
      </c>
      <c r="DW33" s="1577">
        <v>3614</v>
      </c>
      <c r="DX33" s="1577">
        <v>5342</v>
      </c>
      <c r="DY33" s="1577">
        <v>9047</v>
      </c>
      <c r="DZ33" s="1578">
        <v>14266</v>
      </c>
      <c r="EA33" s="1579">
        <f t="shared" si="56"/>
        <v>51916</v>
      </c>
      <c r="EB33" s="1576">
        <v>5</v>
      </c>
      <c r="EC33" s="1577">
        <v>148</v>
      </c>
      <c r="ED33" s="1577">
        <v>488</v>
      </c>
      <c r="EE33" s="1577">
        <v>1230</v>
      </c>
      <c r="EF33" s="1577">
        <v>1049</v>
      </c>
      <c r="EG33" s="1577">
        <v>3443</v>
      </c>
      <c r="EH33" s="1577">
        <v>5020</v>
      </c>
      <c r="EI33" s="1577">
        <v>3193</v>
      </c>
      <c r="EJ33" s="1577">
        <v>241</v>
      </c>
      <c r="EK33" s="1577">
        <v>2764</v>
      </c>
      <c r="EL33" s="1577">
        <v>3890</v>
      </c>
      <c r="EM33" s="1578">
        <v>7288</v>
      </c>
      <c r="EN33" s="1579">
        <f t="shared" si="58"/>
        <v>28759</v>
      </c>
      <c r="EO33" s="1576">
        <v>6337</v>
      </c>
      <c r="EP33" s="1577">
        <v>5551</v>
      </c>
      <c r="EQ33" s="1577">
        <v>4777</v>
      </c>
      <c r="ER33" s="1577">
        <v>319</v>
      </c>
      <c r="ES33" s="1577">
        <v>12655</v>
      </c>
      <c r="ET33" s="1577">
        <v>12492</v>
      </c>
      <c r="EU33" s="1577">
        <v>12081</v>
      </c>
      <c r="EV33" s="1577">
        <v>13971</v>
      </c>
      <c r="EW33" s="1577">
        <v>25999</v>
      </c>
      <c r="EX33" s="1577">
        <v>12954</v>
      </c>
      <c r="EY33" s="1577">
        <v>12967</v>
      </c>
      <c r="EZ33" s="1578">
        <v>14526</v>
      </c>
      <c r="FA33" s="1579">
        <f t="shared" si="60"/>
        <v>134629</v>
      </c>
      <c r="FB33" s="1576">
        <v>24</v>
      </c>
      <c r="FC33" s="1577">
        <v>176</v>
      </c>
      <c r="FD33" s="1577">
        <v>1420</v>
      </c>
      <c r="FE33" s="1577">
        <v>316</v>
      </c>
      <c r="FF33" s="1577">
        <v>148</v>
      </c>
      <c r="FG33" s="1577">
        <v>34</v>
      </c>
      <c r="FH33" s="1577">
        <v>13</v>
      </c>
      <c r="FI33" s="1577">
        <v>901</v>
      </c>
      <c r="FJ33" s="1577">
        <v>661</v>
      </c>
      <c r="FK33" s="1577">
        <v>1106</v>
      </c>
      <c r="FL33" s="1577">
        <v>6112</v>
      </c>
      <c r="FM33" s="1578">
        <v>6820</v>
      </c>
      <c r="FN33" s="1579">
        <f t="shared" si="62"/>
        <v>17731</v>
      </c>
      <c r="FO33" s="1576">
        <v>4361</v>
      </c>
      <c r="FP33" s="1577">
        <v>4944</v>
      </c>
      <c r="FQ33" s="1577">
        <v>26209</v>
      </c>
      <c r="FR33" s="1577">
        <v>8307</v>
      </c>
      <c r="FS33" s="1577">
        <v>27240</v>
      </c>
      <c r="FT33" s="1577">
        <v>9650</v>
      </c>
      <c r="FU33" s="1577">
        <v>11186</v>
      </c>
      <c r="FV33" s="1577">
        <v>10767</v>
      </c>
      <c r="FW33" s="1577">
        <v>12981</v>
      </c>
      <c r="FX33" s="1577">
        <v>21299</v>
      </c>
      <c r="FY33" s="1577">
        <v>25798</v>
      </c>
      <c r="FZ33" s="1578">
        <v>20178</v>
      </c>
      <c r="GA33" s="1579">
        <f t="shared" si="35"/>
        <v>182920</v>
      </c>
      <c r="GB33" s="1576">
        <v>8</v>
      </c>
      <c r="GC33" s="1577">
        <v>1590</v>
      </c>
      <c r="GD33" s="1577">
        <v>1991</v>
      </c>
      <c r="GE33" s="1577">
        <v>1645</v>
      </c>
      <c r="GF33" s="1577">
        <v>1019</v>
      </c>
      <c r="GG33" s="1577">
        <v>2203</v>
      </c>
      <c r="GH33" s="1577">
        <v>28</v>
      </c>
      <c r="GI33" s="1577">
        <v>5165</v>
      </c>
      <c r="GJ33" s="1577">
        <v>1838</v>
      </c>
      <c r="GK33" s="1577">
        <v>2244</v>
      </c>
      <c r="GL33" s="1577">
        <v>2606</v>
      </c>
      <c r="GM33" s="1578">
        <v>3171</v>
      </c>
      <c r="GN33" s="1579">
        <f t="shared" si="36"/>
        <v>23508</v>
      </c>
      <c r="GO33" s="1576">
        <v>132</v>
      </c>
      <c r="GP33" s="1577">
        <v>1357</v>
      </c>
      <c r="GQ33" s="1577">
        <v>1540</v>
      </c>
      <c r="GR33" s="1577">
        <v>168</v>
      </c>
      <c r="GS33" s="1577">
        <v>756</v>
      </c>
      <c r="GT33" s="1577">
        <v>1784</v>
      </c>
      <c r="GU33" s="1577">
        <v>4411</v>
      </c>
      <c r="GV33" s="1577">
        <v>1336</v>
      </c>
      <c r="GW33" s="1577">
        <v>3671</v>
      </c>
      <c r="GX33" s="1577">
        <v>1469</v>
      </c>
      <c r="GY33" s="1577">
        <v>2363</v>
      </c>
      <c r="GZ33" s="1578">
        <v>5372</v>
      </c>
      <c r="HA33" s="1579">
        <f t="shared" si="37"/>
        <v>24359</v>
      </c>
      <c r="HB33" s="1576">
        <v>0</v>
      </c>
      <c r="HC33" s="1577">
        <v>475</v>
      </c>
      <c r="HD33" s="1577">
        <v>1258</v>
      </c>
      <c r="HE33" s="1577">
        <v>30</v>
      </c>
      <c r="HF33" s="1577">
        <v>1720</v>
      </c>
      <c r="HG33" s="1577">
        <v>42</v>
      </c>
      <c r="HH33" s="1577">
        <v>95</v>
      </c>
      <c r="HI33" s="1577">
        <v>440</v>
      </c>
      <c r="HJ33" s="1577">
        <v>107</v>
      </c>
      <c r="HK33" s="1577">
        <v>647</v>
      </c>
      <c r="HL33" s="1577">
        <v>1808</v>
      </c>
      <c r="HM33" s="1578">
        <v>595</v>
      </c>
      <c r="HN33" s="1579">
        <f t="shared" si="38"/>
        <v>7217</v>
      </c>
      <c r="HO33" s="1576">
        <v>0</v>
      </c>
      <c r="HP33" s="1577">
        <v>200</v>
      </c>
      <c r="HQ33" s="1577">
        <v>226</v>
      </c>
      <c r="HR33" s="1577">
        <v>2758</v>
      </c>
      <c r="HS33" s="1577">
        <v>193</v>
      </c>
      <c r="HT33" s="1577">
        <v>946</v>
      </c>
      <c r="HU33" s="1577">
        <v>168</v>
      </c>
      <c r="HV33" s="1577">
        <v>142</v>
      </c>
      <c r="HW33" s="1577">
        <v>63</v>
      </c>
      <c r="HX33" s="1577">
        <v>116</v>
      </c>
      <c r="HY33" s="1577">
        <v>3455</v>
      </c>
      <c r="HZ33" s="1578">
        <v>2208</v>
      </c>
      <c r="IA33" s="1576">
        <f t="shared" si="39"/>
        <v>10475</v>
      </c>
      <c r="IB33" s="1569">
        <v>464</v>
      </c>
      <c r="IC33" s="1068">
        <v>422</v>
      </c>
      <c r="ID33" s="1068">
        <v>803</v>
      </c>
      <c r="IE33" s="1068">
        <v>173</v>
      </c>
      <c r="IF33" s="1068">
        <v>189</v>
      </c>
      <c r="IG33">
        <v>431</v>
      </c>
      <c r="IH33" s="1068">
        <v>981</v>
      </c>
      <c r="II33" s="1068">
        <v>2551</v>
      </c>
      <c r="IJ33" s="1068"/>
      <c r="IK33" s="1068"/>
      <c r="IL33" s="1068"/>
      <c r="IM33" s="1570"/>
      <c r="IN33" s="1571">
        <f t="shared" si="40"/>
        <v>6014</v>
      </c>
      <c r="IP33" s="1656">
        <f t="shared" si="27"/>
        <v>1696.4788732394368</v>
      </c>
      <c r="IQ33" s="1656">
        <f t="shared" si="70"/>
        <v>29.80789984890999</v>
      </c>
      <c r="IR33" s="1657">
        <f t="shared" si="28"/>
        <v>4633</v>
      </c>
      <c r="IS33" s="1657">
        <f t="shared" si="29"/>
        <v>6014</v>
      </c>
      <c r="IT33" s="1659"/>
      <c r="IU33" s="1659"/>
    </row>
    <row r="34" spans="1:255" ht="15" customHeight="1" x14ac:dyDescent="0.2">
      <c r="A34" s="309" t="s">
        <v>328</v>
      </c>
      <c r="B34" s="1576">
        <v>0</v>
      </c>
      <c r="C34" s="1577">
        <v>530</v>
      </c>
      <c r="D34" s="1577">
        <v>833</v>
      </c>
      <c r="E34" s="1577">
        <v>2309</v>
      </c>
      <c r="F34" s="1577">
        <v>337</v>
      </c>
      <c r="G34" s="1577">
        <v>544</v>
      </c>
      <c r="H34" s="1577">
        <v>1666</v>
      </c>
      <c r="I34" s="1577">
        <v>841</v>
      </c>
      <c r="J34" s="1577">
        <v>646</v>
      </c>
      <c r="K34" s="1577">
        <v>685</v>
      </c>
      <c r="L34" s="1577">
        <v>326</v>
      </c>
      <c r="M34" s="1578">
        <v>114</v>
      </c>
      <c r="N34" s="1579">
        <f t="shared" si="71"/>
        <v>8831</v>
      </c>
      <c r="O34" s="1576">
        <v>0</v>
      </c>
      <c r="P34" s="1577">
        <v>10</v>
      </c>
      <c r="Q34" s="1577">
        <v>85</v>
      </c>
      <c r="R34" s="1577">
        <v>93</v>
      </c>
      <c r="S34" s="1577">
        <v>31</v>
      </c>
      <c r="T34" s="1577">
        <v>17</v>
      </c>
      <c r="U34" s="1577">
        <v>18</v>
      </c>
      <c r="V34" s="1577">
        <v>0</v>
      </c>
      <c r="W34" s="1577">
        <v>8</v>
      </c>
      <c r="X34" s="1577">
        <v>2</v>
      </c>
      <c r="Y34" s="1577">
        <v>109</v>
      </c>
      <c r="Z34" s="1578">
        <v>18</v>
      </c>
      <c r="AA34" s="1579">
        <f t="shared" si="72"/>
        <v>391</v>
      </c>
      <c r="AB34" s="1576"/>
      <c r="AC34" s="1577">
        <v>66</v>
      </c>
      <c r="AD34" s="1577">
        <v>25</v>
      </c>
      <c r="AE34" s="1577">
        <v>0</v>
      </c>
      <c r="AF34" s="1577">
        <v>0</v>
      </c>
      <c r="AG34" s="1577">
        <v>0</v>
      </c>
      <c r="AH34" s="1577">
        <v>25</v>
      </c>
      <c r="AI34" s="1577">
        <v>0</v>
      </c>
      <c r="AJ34" s="1577">
        <v>0</v>
      </c>
      <c r="AK34" s="1577">
        <v>0</v>
      </c>
      <c r="AL34" s="1577">
        <v>0</v>
      </c>
      <c r="AM34" s="1578">
        <v>33</v>
      </c>
      <c r="AN34" s="1579">
        <f t="shared" si="73"/>
        <v>149</v>
      </c>
      <c r="AO34" s="1576">
        <v>0</v>
      </c>
      <c r="AP34" s="1577">
        <v>0</v>
      </c>
      <c r="AQ34" s="1577">
        <v>0</v>
      </c>
      <c r="AR34" s="1577">
        <v>0</v>
      </c>
      <c r="AS34" s="1577">
        <v>0</v>
      </c>
      <c r="AT34" s="1577">
        <v>0</v>
      </c>
      <c r="AU34" s="1577">
        <v>32</v>
      </c>
      <c r="AV34" s="1577">
        <v>0</v>
      </c>
      <c r="AW34" s="1577">
        <v>0</v>
      </c>
      <c r="AX34" s="1577">
        <v>0</v>
      </c>
      <c r="AY34" s="1577">
        <v>0</v>
      </c>
      <c r="AZ34" s="1578">
        <v>10</v>
      </c>
      <c r="BA34" s="1579">
        <f t="shared" si="47"/>
        <v>42</v>
      </c>
      <c r="BB34" s="1576">
        <v>0</v>
      </c>
      <c r="BC34" s="1577">
        <v>0</v>
      </c>
      <c r="BD34" s="1577">
        <v>0</v>
      </c>
      <c r="BE34" s="1577">
        <v>0</v>
      </c>
      <c r="BF34" s="1577">
        <v>0</v>
      </c>
      <c r="BG34" s="1577">
        <v>0</v>
      </c>
      <c r="BH34" s="1577">
        <v>0</v>
      </c>
      <c r="BI34" s="1577">
        <v>282</v>
      </c>
      <c r="BJ34" s="1577">
        <v>586</v>
      </c>
      <c r="BK34" s="1577">
        <v>468</v>
      </c>
      <c r="BL34" s="1577">
        <v>100</v>
      </c>
      <c r="BM34" s="1578">
        <v>393</v>
      </c>
      <c r="BN34" s="1579">
        <f t="shared" si="49"/>
        <v>1829</v>
      </c>
      <c r="BO34" s="1576">
        <v>0</v>
      </c>
      <c r="BP34" s="1577">
        <v>0</v>
      </c>
      <c r="BQ34" s="1577">
        <v>1</v>
      </c>
      <c r="BR34" s="1577">
        <v>0</v>
      </c>
      <c r="BS34" s="1577">
        <v>4</v>
      </c>
      <c r="BT34" s="1577">
        <v>504</v>
      </c>
      <c r="BU34" s="1577">
        <v>826</v>
      </c>
      <c r="BV34" s="1577">
        <v>685</v>
      </c>
      <c r="BW34" s="1577">
        <v>277</v>
      </c>
      <c r="BX34" s="1577">
        <v>175</v>
      </c>
      <c r="BY34" s="1577">
        <v>443</v>
      </c>
      <c r="BZ34" s="1578">
        <v>308</v>
      </c>
      <c r="CA34" s="1579">
        <f t="shared" si="51"/>
        <v>3223</v>
      </c>
      <c r="CB34" s="1576">
        <v>0</v>
      </c>
      <c r="CC34" s="1577">
        <v>0</v>
      </c>
      <c r="CD34" s="1577">
        <v>8</v>
      </c>
      <c r="CE34" s="1577">
        <v>0.3</v>
      </c>
      <c r="CF34" s="1577">
        <v>0</v>
      </c>
      <c r="CG34" s="1577">
        <v>0</v>
      </c>
      <c r="CH34" s="1577">
        <v>0</v>
      </c>
      <c r="CI34" s="1577">
        <v>55</v>
      </c>
      <c r="CJ34" s="1577">
        <v>0</v>
      </c>
      <c r="CK34" s="1577">
        <v>3</v>
      </c>
      <c r="CL34" s="1577">
        <v>0.871</v>
      </c>
      <c r="CM34" s="1578">
        <v>7</v>
      </c>
      <c r="CN34" s="1579">
        <f t="shared" si="53"/>
        <v>74.170999999999992</v>
      </c>
      <c r="CO34" s="1576">
        <v>0</v>
      </c>
      <c r="CP34" s="1577">
        <v>0</v>
      </c>
      <c r="CQ34" s="1577">
        <v>4</v>
      </c>
      <c r="CR34" s="1577">
        <v>0</v>
      </c>
      <c r="CS34" s="1577">
        <v>0</v>
      </c>
      <c r="CT34" s="1577">
        <v>0</v>
      </c>
      <c r="CU34" s="1577">
        <v>3</v>
      </c>
      <c r="CV34" s="1577">
        <v>0</v>
      </c>
      <c r="CW34" s="1577">
        <v>0</v>
      </c>
      <c r="CX34" s="1577">
        <v>12</v>
      </c>
      <c r="CY34" s="1577">
        <v>14</v>
      </c>
      <c r="CZ34" s="1578">
        <v>29</v>
      </c>
      <c r="DA34" s="1579">
        <f t="shared" si="15"/>
        <v>62</v>
      </c>
      <c r="DB34" s="1576">
        <v>0</v>
      </c>
      <c r="DC34" s="1577">
        <v>0</v>
      </c>
      <c r="DD34" s="1577">
        <v>23</v>
      </c>
      <c r="DE34" s="1577">
        <v>110</v>
      </c>
      <c r="DF34" s="1577">
        <v>95</v>
      </c>
      <c r="DG34" s="1577">
        <v>81</v>
      </c>
      <c r="DH34" s="1577">
        <v>27</v>
      </c>
      <c r="DI34" s="1577">
        <v>44</v>
      </c>
      <c r="DJ34" s="1577">
        <v>26</v>
      </c>
      <c r="DK34" s="1577">
        <v>0</v>
      </c>
      <c r="DL34" s="1577">
        <v>72</v>
      </c>
      <c r="DM34" s="1578">
        <v>246</v>
      </c>
      <c r="DN34" s="1579">
        <f t="shared" si="30"/>
        <v>724</v>
      </c>
      <c r="DO34" s="1576">
        <v>0</v>
      </c>
      <c r="DP34" s="1577">
        <v>2</v>
      </c>
      <c r="DQ34" s="1577">
        <v>49</v>
      </c>
      <c r="DR34" s="1577">
        <v>38</v>
      </c>
      <c r="DS34" s="1577">
        <v>31</v>
      </c>
      <c r="DT34" s="1577">
        <v>4</v>
      </c>
      <c r="DU34" s="1577">
        <v>62</v>
      </c>
      <c r="DV34" s="1577">
        <v>1</v>
      </c>
      <c r="DW34" s="1577">
        <v>81</v>
      </c>
      <c r="DX34" s="1577">
        <v>45</v>
      </c>
      <c r="DY34" s="1577">
        <v>169</v>
      </c>
      <c r="DZ34" s="1578">
        <v>155</v>
      </c>
      <c r="EA34" s="1579">
        <f t="shared" si="56"/>
        <v>637</v>
      </c>
      <c r="EB34" s="1576">
        <v>0</v>
      </c>
      <c r="EC34" s="1577">
        <v>0</v>
      </c>
      <c r="ED34" s="1577">
        <v>24</v>
      </c>
      <c r="EE34" s="1577">
        <v>146</v>
      </c>
      <c r="EF34" s="1577">
        <v>89</v>
      </c>
      <c r="EG34" s="1577">
        <v>144</v>
      </c>
      <c r="EH34" s="1577">
        <v>21</v>
      </c>
      <c r="EI34" s="1577">
        <v>53</v>
      </c>
      <c r="EJ34" s="1577">
        <v>552</v>
      </c>
      <c r="EK34" s="1577">
        <v>201</v>
      </c>
      <c r="EL34" s="1577">
        <v>119</v>
      </c>
      <c r="EM34" s="1578">
        <v>237</v>
      </c>
      <c r="EN34" s="1579">
        <f t="shared" si="58"/>
        <v>1586</v>
      </c>
      <c r="EO34" s="1576">
        <v>0</v>
      </c>
      <c r="EP34" s="1577">
        <v>0</v>
      </c>
      <c r="EQ34" s="1577">
        <v>83</v>
      </c>
      <c r="ER34" s="1577">
        <v>226</v>
      </c>
      <c r="ES34" s="1577">
        <v>374</v>
      </c>
      <c r="ET34" s="1577">
        <v>454</v>
      </c>
      <c r="EU34" s="1577">
        <v>102</v>
      </c>
      <c r="EV34" s="1577">
        <v>288</v>
      </c>
      <c r="EW34" s="1577">
        <v>114</v>
      </c>
      <c r="EX34" s="1577">
        <v>234</v>
      </c>
      <c r="EY34" s="1577">
        <v>67</v>
      </c>
      <c r="EZ34" s="1578">
        <v>887</v>
      </c>
      <c r="FA34" s="1579">
        <f t="shared" si="60"/>
        <v>2829</v>
      </c>
      <c r="FB34" s="1576">
        <v>1</v>
      </c>
      <c r="FC34" s="1577">
        <v>14</v>
      </c>
      <c r="FD34" s="1577">
        <v>9</v>
      </c>
      <c r="FE34" s="1577">
        <v>28</v>
      </c>
      <c r="FF34" s="1577">
        <v>45</v>
      </c>
      <c r="FG34" s="1577">
        <v>27</v>
      </c>
      <c r="FH34" s="1577">
        <v>33</v>
      </c>
      <c r="FI34" s="1577">
        <v>34</v>
      </c>
      <c r="FJ34" s="1577">
        <v>42</v>
      </c>
      <c r="FK34" s="1577">
        <v>62</v>
      </c>
      <c r="FL34" s="1577">
        <v>788</v>
      </c>
      <c r="FM34" s="1578">
        <v>1332</v>
      </c>
      <c r="FN34" s="1579">
        <f t="shared" si="62"/>
        <v>2415</v>
      </c>
      <c r="FO34" s="1576">
        <v>0</v>
      </c>
      <c r="FP34" s="1577">
        <v>9</v>
      </c>
      <c r="FQ34" s="1577">
        <v>85</v>
      </c>
      <c r="FR34" s="1577">
        <v>121</v>
      </c>
      <c r="FS34" s="1577">
        <v>207</v>
      </c>
      <c r="FT34" s="1577">
        <v>124</v>
      </c>
      <c r="FU34" s="1577">
        <v>394</v>
      </c>
      <c r="FV34" s="1577">
        <v>409</v>
      </c>
      <c r="FW34" s="1577">
        <v>81</v>
      </c>
      <c r="FX34" s="1577">
        <v>74</v>
      </c>
      <c r="FY34" s="1577">
        <v>149</v>
      </c>
      <c r="FZ34" s="1578">
        <v>245</v>
      </c>
      <c r="GA34" s="1579">
        <f t="shared" si="35"/>
        <v>1898</v>
      </c>
      <c r="GB34" s="1576">
        <v>0</v>
      </c>
      <c r="GC34" s="1577">
        <v>0</v>
      </c>
      <c r="GD34" s="1577">
        <v>4</v>
      </c>
      <c r="GE34" s="1577">
        <v>5</v>
      </c>
      <c r="GF34" s="1577">
        <v>588</v>
      </c>
      <c r="GG34" s="1577">
        <v>12</v>
      </c>
      <c r="GH34" s="1577">
        <v>31</v>
      </c>
      <c r="GI34" s="1577">
        <v>20</v>
      </c>
      <c r="GJ34" s="1577">
        <v>30</v>
      </c>
      <c r="GK34" s="1577">
        <v>0</v>
      </c>
      <c r="GL34" s="1577">
        <v>186</v>
      </c>
      <c r="GM34" s="1578">
        <v>376</v>
      </c>
      <c r="GN34" s="1579">
        <f t="shared" si="36"/>
        <v>1252</v>
      </c>
      <c r="GO34" s="1576">
        <v>0</v>
      </c>
      <c r="GP34" s="1577">
        <v>6</v>
      </c>
      <c r="GQ34" s="1577">
        <v>0</v>
      </c>
      <c r="GR34" s="1577">
        <v>30</v>
      </c>
      <c r="GS34" s="1577">
        <v>268</v>
      </c>
      <c r="GT34" s="1577">
        <v>34</v>
      </c>
      <c r="GU34" s="1577">
        <v>19</v>
      </c>
      <c r="GV34" s="1577">
        <v>27</v>
      </c>
      <c r="GW34" s="1577">
        <v>6</v>
      </c>
      <c r="GX34" s="1577">
        <v>62</v>
      </c>
      <c r="GY34" s="1577">
        <v>425</v>
      </c>
      <c r="GZ34" s="1578">
        <v>1269</v>
      </c>
      <c r="HA34" s="1579">
        <f t="shared" si="37"/>
        <v>2146</v>
      </c>
      <c r="HB34" s="1576">
        <v>0</v>
      </c>
      <c r="HC34" s="1577">
        <v>98</v>
      </c>
      <c r="HD34" s="1577">
        <v>0</v>
      </c>
      <c r="HE34" s="1577">
        <v>17</v>
      </c>
      <c r="HF34" s="1577">
        <v>9</v>
      </c>
      <c r="HG34" s="1577">
        <v>22</v>
      </c>
      <c r="HH34" s="1577">
        <v>18</v>
      </c>
      <c r="HI34" s="1577">
        <v>111</v>
      </c>
      <c r="HJ34" s="1577">
        <v>183</v>
      </c>
      <c r="HK34" s="1577">
        <v>31</v>
      </c>
      <c r="HL34" s="1577">
        <v>36</v>
      </c>
      <c r="HM34" s="1578">
        <v>1264</v>
      </c>
      <c r="HN34" s="1579">
        <f t="shared" si="38"/>
        <v>1789</v>
      </c>
      <c r="HO34" s="1576">
        <v>0</v>
      </c>
      <c r="HP34" s="1577">
        <v>52</v>
      </c>
      <c r="HQ34" s="1577">
        <v>90</v>
      </c>
      <c r="HR34" s="1577">
        <v>222</v>
      </c>
      <c r="HS34" s="1577">
        <v>160</v>
      </c>
      <c r="HT34" s="1577">
        <v>145</v>
      </c>
      <c r="HU34" s="1577">
        <v>219</v>
      </c>
      <c r="HV34" s="1577">
        <v>287</v>
      </c>
      <c r="HW34" s="1577">
        <v>403</v>
      </c>
      <c r="HX34" s="1577">
        <v>478</v>
      </c>
      <c r="HY34" s="1577">
        <v>485</v>
      </c>
      <c r="HZ34" s="1578">
        <v>1164</v>
      </c>
      <c r="IA34" s="1576">
        <f t="shared" si="39"/>
        <v>3705</v>
      </c>
      <c r="IB34" s="1569">
        <v>180</v>
      </c>
      <c r="IC34" s="1068">
        <v>572</v>
      </c>
      <c r="ID34" s="1068">
        <v>237</v>
      </c>
      <c r="IE34" s="1068">
        <v>450</v>
      </c>
      <c r="IF34" s="1068">
        <v>731</v>
      </c>
      <c r="IG34">
        <v>310</v>
      </c>
      <c r="IH34" s="1068">
        <v>71</v>
      </c>
      <c r="II34" s="1068">
        <v>105</v>
      </c>
      <c r="IJ34" s="1068"/>
      <c r="IK34" s="1068"/>
      <c r="IL34" s="1068"/>
      <c r="IM34" s="1570"/>
      <c r="IN34" s="1571">
        <f t="shared" si="40"/>
        <v>2656</v>
      </c>
      <c r="IP34" s="1656">
        <f t="shared" si="27"/>
        <v>-63.414634146341463</v>
      </c>
      <c r="IQ34" s="1656">
        <f t="shared" si="70"/>
        <v>126.04255319148936</v>
      </c>
      <c r="IR34" s="1657">
        <f t="shared" si="28"/>
        <v>1175</v>
      </c>
      <c r="IS34" s="1657">
        <f t="shared" si="29"/>
        <v>2656</v>
      </c>
      <c r="IT34" s="1659"/>
      <c r="IU34" s="1659"/>
    </row>
    <row r="35" spans="1:255" ht="15" customHeight="1" x14ac:dyDescent="0.2">
      <c r="A35" s="309" t="s">
        <v>401</v>
      </c>
      <c r="B35" s="1576">
        <v>0</v>
      </c>
      <c r="C35" s="1577">
        <v>0</v>
      </c>
      <c r="D35" s="1577">
        <v>0</v>
      </c>
      <c r="E35" s="1577">
        <v>0</v>
      </c>
      <c r="F35" s="1577">
        <v>0</v>
      </c>
      <c r="G35" s="1577">
        <v>0</v>
      </c>
      <c r="H35" s="1577">
        <v>0</v>
      </c>
      <c r="I35" s="1577">
        <v>0</v>
      </c>
      <c r="J35" s="1577">
        <v>0</v>
      </c>
      <c r="K35" s="1577">
        <v>0</v>
      </c>
      <c r="L35" s="1577">
        <v>0</v>
      </c>
      <c r="M35" s="1578">
        <v>0</v>
      </c>
      <c r="N35" s="1579">
        <f t="shared" si="71"/>
        <v>0</v>
      </c>
      <c r="O35" s="1576">
        <v>0</v>
      </c>
      <c r="P35" s="1577">
        <v>0</v>
      </c>
      <c r="Q35" s="1577">
        <v>0</v>
      </c>
      <c r="R35" s="1577">
        <v>0</v>
      </c>
      <c r="S35" s="1577">
        <v>0</v>
      </c>
      <c r="T35" s="1577">
        <v>0</v>
      </c>
      <c r="U35" s="1577">
        <v>0</v>
      </c>
      <c r="V35" s="1577">
        <v>0</v>
      </c>
      <c r="W35" s="1577">
        <v>0</v>
      </c>
      <c r="X35" s="1577">
        <v>0</v>
      </c>
      <c r="Y35" s="1577">
        <v>147</v>
      </c>
      <c r="Z35" s="1578">
        <v>1452</v>
      </c>
      <c r="AA35" s="1579">
        <f t="shared" si="72"/>
        <v>1599</v>
      </c>
      <c r="AB35" s="1576"/>
      <c r="AC35" s="1577"/>
      <c r="AD35" s="1577">
        <v>0</v>
      </c>
      <c r="AE35" s="1577">
        <v>0</v>
      </c>
      <c r="AF35" s="1577">
        <v>0</v>
      </c>
      <c r="AG35" s="1577">
        <v>0</v>
      </c>
      <c r="AH35" s="1577">
        <v>0</v>
      </c>
      <c r="AI35" s="1577">
        <v>2233</v>
      </c>
      <c r="AJ35" s="1577">
        <v>6623</v>
      </c>
      <c r="AK35" s="1577">
        <v>3288</v>
      </c>
      <c r="AL35" s="1577">
        <v>2186</v>
      </c>
      <c r="AM35" s="1578">
        <v>442</v>
      </c>
      <c r="AN35" s="1579">
        <f t="shared" si="73"/>
        <v>14772</v>
      </c>
      <c r="AO35" s="1576">
        <v>0</v>
      </c>
      <c r="AP35" s="1577">
        <v>0</v>
      </c>
      <c r="AQ35" s="1577">
        <v>0</v>
      </c>
      <c r="AR35" s="1577">
        <v>0</v>
      </c>
      <c r="AS35" s="1577">
        <v>0</v>
      </c>
      <c r="AT35" s="1577">
        <v>0</v>
      </c>
      <c r="AU35" s="1577">
        <v>1684</v>
      </c>
      <c r="AV35" s="1577">
        <v>55</v>
      </c>
      <c r="AW35" s="1577">
        <v>0</v>
      </c>
      <c r="AX35" s="1577">
        <v>1522</v>
      </c>
      <c r="AY35" s="1577">
        <v>0</v>
      </c>
      <c r="AZ35" s="1578">
        <v>2069</v>
      </c>
      <c r="BA35" s="1579">
        <f t="shared" si="47"/>
        <v>5330</v>
      </c>
      <c r="BB35" s="1576">
        <v>0</v>
      </c>
      <c r="BC35" s="1577">
        <v>0</v>
      </c>
      <c r="BD35" s="1577">
        <v>81</v>
      </c>
      <c r="BE35" s="1577">
        <v>0</v>
      </c>
      <c r="BF35" s="1577">
        <v>0</v>
      </c>
      <c r="BG35" s="1577">
        <v>0</v>
      </c>
      <c r="BH35" s="1577">
        <v>0</v>
      </c>
      <c r="BI35" s="1577">
        <v>28</v>
      </c>
      <c r="BJ35" s="1577">
        <v>26</v>
      </c>
      <c r="BK35" s="1577">
        <v>0</v>
      </c>
      <c r="BL35" s="1577">
        <v>43</v>
      </c>
      <c r="BM35" s="1578">
        <v>991</v>
      </c>
      <c r="BN35" s="1579">
        <f t="shared" si="49"/>
        <v>1169</v>
      </c>
      <c r="BO35" s="1576">
        <v>0</v>
      </c>
      <c r="BP35" s="1577">
        <v>0</v>
      </c>
      <c r="BQ35" s="1577">
        <v>0</v>
      </c>
      <c r="BR35" s="1577">
        <v>0</v>
      </c>
      <c r="BS35" s="1577">
        <v>0</v>
      </c>
      <c r="BT35" s="1577">
        <v>0</v>
      </c>
      <c r="BU35" s="1577">
        <v>0</v>
      </c>
      <c r="BV35" s="1577">
        <v>0</v>
      </c>
      <c r="BW35" s="1577">
        <v>0</v>
      </c>
      <c r="BX35" s="1577">
        <v>0</v>
      </c>
      <c r="BY35" s="1577">
        <v>0</v>
      </c>
      <c r="BZ35" s="1578">
        <v>48</v>
      </c>
      <c r="CA35" s="1579">
        <f t="shared" si="51"/>
        <v>48</v>
      </c>
      <c r="CB35" s="1576">
        <v>0</v>
      </c>
      <c r="CC35" s="1577">
        <v>0</v>
      </c>
      <c r="CD35" s="1577">
        <v>0</v>
      </c>
      <c r="CE35" s="1577">
        <v>0</v>
      </c>
      <c r="CF35" s="1577">
        <v>4</v>
      </c>
      <c r="CG35" s="1577">
        <v>22</v>
      </c>
      <c r="CH35" s="1577">
        <v>4</v>
      </c>
      <c r="CI35" s="1577">
        <v>251</v>
      </c>
      <c r="CJ35" s="1577">
        <v>852</v>
      </c>
      <c r="CK35" s="1577">
        <v>1034</v>
      </c>
      <c r="CL35" s="1577">
        <v>106</v>
      </c>
      <c r="CM35" s="1578">
        <v>576</v>
      </c>
      <c r="CN35" s="1579">
        <f t="shared" si="53"/>
        <v>2849</v>
      </c>
      <c r="CO35" s="1576">
        <v>0</v>
      </c>
      <c r="CP35" s="1577">
        <v>110</v>
      </c>
      <c r="CQ35" s="1577">
        <v>0</v>
      </c>
      <c r="CR35" s="1577">
        <v>22</v>
      </c>
      <c r="CS35" s="1577">
        <v>15</v>
      </c>
      <c r="CT35" s="1577">
        <v>1293</v>
      </c>
      <c r="CU35" s="1577">
        <v>35</v>
      </c>
      <c r="CV35" s="1577">
        <v>0</v>
      </c>
      <c r="CW35" s="1577">
        <v>31</v>
      </c>
      <c r="CX35" s="1577">
        <v>1236</v>
      </c>
      <c r="CY35" s="1577">
        <v>7</v>
      </c>
      <c r="CZ35" s="1578">
        <v>593</v>
      </c>
      <c r="DA35" s="1579">
        <f t="shared" si="15"/>
        <v>3342</v>
      </c>
      <c r="DB35" s="1576">
        <v>0</v>
      </c>
      <c r="DC35" s="1577">
        <v>0</v>
      </c>
      <c r="DD35" s="1577">
        <v>461</v>
      </c>
      <c r="DE35" s="1577">
        <v>75</v>
      </c>
      <c r="DF35" s="1577">
        <v>250</v>
      </c>
      <c r="DG35" s="1577">
        <v>400</v>
      </c>
      <c r="DH35" s="1577">
        <v>415</v>
      </c>
      <c r="DI35" s="1577">
        <v>136</v>
      </c>
      <c r="DJ35" s="1577">
        <v>195</v>
      </c>
      <c r="DK35" s="1577">
        <v>281</v>
      </c>
      <c r="DL35" s="1577">
        <v>228</v>
      </c>
      <c r="DM35" s="1578">
        <v>264</v>
      </c>
      <c r="DN35" s="1579">
        <f t="shared" si="30"/>
        <v>2705</v>
      </c>
      <c r="DO35" s="1576">
        <v>0</v>
      </c>
      <c r="DP35" s="1577">
        <v>0</v>
      </c>
      <c r="DQ35" s="1577">
        <v>0</v>
      </c>
      <c r="DR35" s="1577">
        <v>62</v>
      </c>
      <c r="DS35" s="1577">
        <v>0</v>
      </c>
      <c r="DT35" s="1577">
        <v>0</v>
      </c>
      <c r="DU35" s="1577">
        <v>0</v>
      </c>
      <c r="DV35" s="1577">
        <v>0</v>
      </c>
      <c r="DW35" s="1577">
        <v>2</v>
      </c>
      <c r="DX35" s="1577">
        <v>0</v>
      </c>
      <c r="DY35" s="1577">
        <v>11</v>
      </c>
      <c r="DZ35" s="1578">
        <v>78</v>
      </c>
      <c r="EA35" s="1579">
        <f t="shared" si="56"/>
        <v>153</v>
      </c>
      <c r="EB35" s="1576">
        <v>7</v>
      </c>
      <c r="EC35" s="1577">
        <v>0</v>
      </c>
      <c r="ED35" s="1577">
        <v>0</v>
      </c>
      <c r="EE35" s="1577">
        <v>36</v>
      </c>
      <c r="EF35" s="1577">
        <v>0</v>
      </c>
      <c r="EG35" s="1577">
        <v>8</v>
      </c>
      <c r="EH35" s="1577">
        <v>225</v>
      </c>
      <c r="EI35" s="1577">
        <v>0</v>
      </c>
      <c r="EJ35" s="1577">
        <v>33</v>
      </c>
      <c r="EK35" s="1577">
        <v>1283</v>
      </c>
      <c r="EL35" s="1577">
        <v>8778</v>
      </c>
      <c r="EM35" s="1578">
        <v>5019</v>
      </c>
      <c r="EN35" s="1579">
        <f t="shared" si="58"/>
        <v>15389</v>
      </c>
      <c r="EO35" s="1576">
        <v>1073</v>
      </c>
      <c r="EP35" s="1577">
        <v>1583</v>
      </c>
      <c r="EQ35" s="1577">
        <v>14609</v>
      </c>
      <c r="ER35" s="1577">
        <v>1656</v>
      </c>
      <c r="ES35" s="1577">
        <v>1452</v>
      </c>
      <c r="ET35" s="1577">
        <v>1866</v>
      </c>
      <c r="EU35" s="1577">
        <v>4164</v>
      </c>
      <c r="EV35" s="1577">
        <v>4428</v>
      </c>
      <c r="EW35" s="1577">
        <v>6611</v>
      </c>
      <c r="EX35" s="1577">
        <v>6882</v>
      </c>
      <c r="EY35" s="1577">
        <v>5007</v>
      </c>
      <c r="EZ35" s="1578">
        <v>5212</v>
      </c>
      <c r="FA35" s="1579">
        <f t="shared" si="60"/>
        <v>54543</v>
      </c>
      <c r="FB35" s="1576">
        <v>252</v>
      </c>
      <c r="FC35" s="1577">
        <v>790</v>
      </c>
      <c r="FD35" s="1577">
        <v>1336</v>
      </c>
      <c r="FE35" s="1577">
        <v>634</v>
      </c>
      <c r="FF35" s="1577">
        <v>6</v>
      </c>
      <c r="FG35" s="1577">
        <v>0</v>
      </c>
      <c r="FH35" s="1577">
        <v>4389</v>
      </c>
      <c r="FI35" s="1577">
        <v>5001</v>
      </c>
      <c r="FJ35" s="1577">
        <v>3209</v>
      </c>
      <c r="FK35" s="1577">
        <v>3949</v>
      </c>
      <c r="FL35" s="1577">
        <v>2098</v>
      </c>
      <c r="FM35" s="1578">
        <v>4226</v>
      </c>
      <c r="FN35" s="1579">
        <f t="shared" si="62"/>
        <v>25890</v>
      </c>
      <c r="FO35" s="1576">
        <v>1257</v>
      </c>
      <c r="FP35" s="1577">
        <v>317</v>
      </c>
      <c r="FQ35" s="1577">
        <v>0</v>
      </c>
      <c r="FR35" s="1577">
        <v>1</v>
      </c>
      <c r="FS35" s="1577">
        <v>143</v>
      </c>
      <c r="FT35" s="1577">
        <v>182</v>
      </c>
      <c r="FU35" s="1577">
        <v>154</v>
      </c>
      <c r="FV35" s="1577">
        <v>829</v>
      </c>
      <c r="FW35" s="1577">
        <v>1134</v>
      </c>
      <c r="FX35" s="1577">
        <v>557</v>
      </c>
      <c r="FY35" s="1577">
        <v>1505</v>
      </c>
      <c r="FZ35" s="1578">
        <v>736</v>
      </c>
      <c r="GA35" s="1579">
        <f t="shared" si="35"/>
        <v>6815</v>
      </c>
      <c r="GB35" s="1576">
        <v>388</v>
      </c>
      <c r="GC35" s="1577">
        <v>12</v>
      </c>
      <c r="GD35" s="1577">
        <v>60</v>
      </c>
      <c r="GE35" s="1577">
        <v>7</v>
      </c>
      <c r="GF35" s="1577">
        <v>450</v>
      </c>
      <c r="GG35" s="1577">
        <v>727</v>
      </c>
      <c r="GH35" s="1577">
        <v>270</v>
      </c>
      <c r="GI35" s="1577">
        <v>353</v>
      </c>
      <c r="GJ35" s="1577">
        <v>22</v>
      </c>
      <c r="GK35" s="1577">
        <v>759</v>
      </c>
      <c r="GL35" s="1577">
        <v>259</v>
      </c>
      <c r="GM35" s="1578">
        <v>1746</v>
      </c>
      <c r="GN35" s="1579">
        <f>SUM(GB35:GM35)</f>
        <v>5053</v>
      </c>
      <c r="GO35" s="1576">
        <v>24</v>
      </c>
      <c r="GP35" s="1577">
        <v>1638</v>
      </c>
      <c r="GQ35" s="1577">
        <v>542</v>
      </c>
      <c r="GR35" s="1577">
        <v>1141</v>
      </c>
      <c r="GS35" s="1577">
        <v>391</v>
      </c>
      <c r="GT35" s="1577">
        <v>601</v>
      </c>
      <c r="GU35" s="1577">
        <v>591</v>
      </c>
      <c r="GV35" s="1577">
        <v>548</v>
      </c>
      <c r="GW35" s="1577">
        <v>312</v>
      </c>
      <c r="GX35" s="1577">
        <v>466</v>
      </c>
      <c r="GY35" s="1577">
        <v>833</v>
      </c>
      <c r="GZ35" s="1578">
        <v>229</v>
      </c>
      <c r="HA35" s="1579">
        <f t="shared" si="37"/>
        <v>7316</v>
      </c>
      <c r="HB35" s="1576">
        <v>0</v>
      </c>
      <c r="HC35" s="1577">
        <v>39</v>
      </c>
      <c r="HD35" s="1577">
        <v>27</v>
      </c>
      <c r="HE35" s="1577">
        <v>81</v>
      </c>
      <c r="HF35" s="1577">
        <v>157</v>
      </c>
      <c r="HG35" s="1577">
        <v>61</v>
      </c>
      <c r="HH35" s="1577">
        <v>196</v>
      </c>
      <c r="HI35" s="1577">
        <v>244</v>
      </c>
      <c r="HJ35" s="1577">
        <v>61</v>
      </c>
      <c r="HK35" s="1577">
        <v>110</v>
      </c>
      <c r="HL35" s="1577">
        <v>116</v>
      </c>
      <c r="HM35" s="1578">
        <v>1483</v>
      </c>
      <c r="HN35" s="1579">
        <f t="shared" si="38"/>
        <v>2575</v>
      </c>
      <c r="HO35" s="1576">
        <v>0</v>
      </c>
      <c r="HP35" s="1577">
        <v>656</v>
      </c>
      <c r="HQ35" s="1577">
        <v>536</v>
      </c>
      <c r="HR35" s="1577">
        <v>1320</v>
      </c>
      <c r="HS35" s="1577">
        <v>1682</v>
      </c>
      <c r="HT35" s="1577">
        <v>1666</v>
      </c>
      <c r="HU35" s="1577">
        <v>1895</v>
      </c>
      <c r="HV35" s="1577">
        <v>999</v>
      </c>
      <c r="HW35" s="1577">
        <v>402</v>
      </c>
      <c r="HX35" s="1577">
        <v>540</v>
      </c>
      <c r="HY35" s="1577">
        <v>184</v>
      </c>
      <c r="HZ35" s="1578">
        <v>110</v>
      </c>
      <c r="IA35" s="1576">
        <f>SUM(HO35:HZ35)</f>
        <v>9990</v>
      </c>
      <c r="IB35" s="1569">
        <v>0</v>
      </c>
      <c r="IC35" s="1068">
        <v>342</v>
      </c>
      <c r="ID35" s="1068">
        <v>222</v>
      </c>
      <c r="IE35" s="1068">
        <v>145</v>
      </c>
      <c r="IF35" s="1068">
        <v>258</v>
      </c>
      <c r="IG35">
        <v>157</v>
      </c>
      <c r="IH35" s="1068">
        <v>121</v>
      </c>
      <c r="II35" s="1068">
        <v>2009</v>
      </c>
      <c r="IJ35" s="1068"/>
      <c r="IK35" s="1068"/>
      <c r="IL35" s="1068"/>
      <c r="IM35" s="1570"/>
      <c r="IN35" s="1571">
        <f t="shared" si="40"/>
        <v>3254</v>
      </c>
      <c r="IP35" s="1656">
        <f t="shared" si="27"/>
        <v>101.10110110110111</v>
      </c>
      <c r="IQ35" s="1656">
        <f t="shared" si="70"/>
        <v>-62.828421293123135</v>
      </c>
      <c r="IR35" s="1657">
        <f t="shared" si="28"/>
        <v>8754</v>
      </c>
      <c r="IS35" s="1657">
        <f t="shared" si="29"/>
        <v>3254</v>
      </c>
      <c r="IT35" s="1659"/>
      <c r="IU35" s="1659"/>
    </row>
    <row r="36" spans="1:255" ht="15" customHeight="1" x14ac:dyDescent="0.2">
      <c r="A36" s="309" t="s">
        <v>430</v>
      </c>
      <c r="B36" s="1576"/>
      <c r="C36" s="1577"/>
      <c r="D36" s="1577"/>
      <c r="E36" s="1577"/>
      <c r="F36" s="1577"/>
      <c r="G36" s="1577"/>
      <c r="H36" s="1577"/>
      <c r="I36" s="1577"/>
      <c r="J36" s="1577"/>
      <c r="K36" s="1577"/>
      <c r="L36" s="1577"/>
      <c r="M36" s="1578"/>
      <c r="N36" s="1579">
        <f t="shared" si="71"/>
        <v>0</v>
      </c>
      <c r="O36" s="1576"/>
      <c r="P36" s="1577"/>
      <c r="Q36" s="1577"/>
      <c r="R36" s="1577"/>
      <c r="S36" s="1577"/>
      <c r="T36" s="1577"/>
      <c r="U36" s="1577"/>
      <c r="V36" s="1577"/>
      <c r="W36" s="1577"/>
      <c r="X36" s="1577"/>
      <c r="Y36" s="1577"/>
      <c r="Z36" s="1578"/>
      <c r="AA36" s="1579">
        <f t="shared" si="72"/>
        <v>0</v>
      </c>
      <c r="AB36" s="1576"/>
      <c r="AC36" s="1577"/>
      <c r="AD36" s="1577"/>
      <c r="AE36" s="1577"/>
      <c r="AF36" s="1577"/>
      <c r="AG36" s="1577"/>
      <c r="AH36" s="1577"/>
      <c r="AI36" s="1577"/>
      <c r="AJ36" s="1577"/>
      <c r="AK36" s="1577"/>
      <c r="AL36" s="1577"/>
      <c r="AM36" s="1578"/>
      <c r="AN36" s="1579">
        <f t="shared" si="73"/>
        <v>0</v>
      </c>
      <c r="AO36" s="1576"/>
      <c r="AP36" s="1577"/>
      <c r="AQ36" s="1577"/>
      <c r="AR36" s="1577"/>
      <c r="AS36" s="1577"/>
      <c r="AT36" s="1577"/>
      <c r="AU36" s="1577"/>
      <c r="AV36" s="1577"/>
      <c r="AW36" s="1577"/>
      <c r="AX36" s="1577"/>
      <c r="AY36" s="1577"/>
      <c r="AZ36" s="1578"/>
      <c r="BA36" s="1579"/>
      <c r="BB36" s="1576"/>
      <c r="BC36" s="1577"/>
      <c r="BD36" s="1577"/>
      <c r="BE36" s="1577"/>
      <c r="BF36" s="1577"/>
      <c r="BG36" s="1577"/>
      <c r="BH36" s="1577"/>
      <c r="BI36" s="1577"/>
      <c r="BJ36" s="1577"/>
      <c r="BK36" s="1577"/>
      <c r="BL36" s="1577"/>
      <c r="BM36" s="1578"/>
      <c r="BN36" s="1579"/>
      <c r="BO36" s="1576"/>
      <c r="BP36" s="1577"/>
      <c r="BQ36" s="1577"/>
      <c r="BR36" s="1577"/>
      <c r="BS36" s="1577"/>
      <c r="BT36" s="1577"/>
      <c r="BU36" s="1577"/>
      <c r="BV36" s="1577"/>
      <c r="BW36" s="1577"/>
      <c r="BX36" s="1577"/>
      <c r="BY36" s="1577"/>
      <c r="BZ36" s="1578"/>
      <c r="CA36" s="1579"/>
      <c r="CB36" s="1576"/>
      <c r="CC36" s="1577"/>
      <c r="CD36" s="1577"/>
      <c r="CE36" s="1577"/>
      <c r="CF36" s="1577"/>
      <c r="CG36" s="1577"/>
      <c r="CH36" s="1577"/>
      <c r="CI36" s="1577"/>
      <c r="CJ36" s="1577"/>
      <c r="CK36" s="1577"/>
      <c r="CL36" s="1577"/>
      <c r="CM36" s="1578"/>
      <c r="CN36" s="1579"/>
      <c r="CO36" s="1576"/>
      <c r="CP36" s="1577"/>
      <c r="CQ36" s="1577"/>
      <c r="CR36" s="1577"/>
      <c r="CS36" s="1577"/>
      <c r="CT36" s="1577"/>
      <c r="CU36" s="1577"/>
      <c r="CV36" s="1577"/>
      <c r="CW36" s="1577"/>
      <c r="CX36" s="1577"/>
      <c r="CY36" s="1577"/>
      <c r="CZ36" s="1578"/>
      <c r="DA36" s="1579"/>
      <c r="DB36" s="1576"/>
      <c r="DC36" s="1577"/>
      <c r="DD36" s="1577"/>
      <c r="DE36" s="1577"/>
      <c r="DF36" s="1577"/>
      <c r="DG36" s="1577"/>
      <c r="DH36" s="1577"/>
      <c r="DI36" s="1577"/>
      <c r="DJ36" s="1577"/>
      <c r="DK36" s="1577"/>
      <c r="DL36" s="1577"/>
      <c r="DM36" s="1578"/>
      <c r="DN36" s="1579"/>
      <c r="DO36" s="1576"/>
      <c r="DP36" s="1577"/>
      <c r="DQ36" s="1577"/>
      <c r="DR36" s="1577"/>
      <c r="DS36" s="1577"/>
      <c r="DT36" s="1577"/>
      <c r="DU36" s="1577"/>
      <c r="DV36" s="1577"/>
      <c r="DW36" s="1577"/>
      <c r="DX36" s="1577"/>
      <c r="DY36" s="1577"/>
      <c r="DZ36" s="1578"/>
      <c r="EA36" s="1579"/>
      <c r="EB36" s="1576"/>
      <c r="EC36" s="1577"/>
      <c r="ED36" s="1577"/>
      <c r="EE36" s="1577"/>
      <c r="EF36" s="1577"/>
      <c r="EG36" s="1577"/>
      <c r="EH36" s="1577"/>
      <c r="EI36" s="1577"/>
      <c r="EJ36" s="1577"/>
      <c r="EK36" s="1577"/>
      <c r="EL36" s="1577"/>
      <c r="EM36" s="1578"/>
      <c r="EN36" s="1579"/>
      <c r="EO36" s="1576"/>
      <c r="EP36" s="1577"/>
      <c r="EQ36" s="1577"/>
      <c r="ER36" s="1577"/>
      <c r="ES36" s="1577"/>
      <c r="ET36" s="1577"/>
      <c r="EU36" s="1577"/>
      <c r="EV36" s="1577"/>
      <c r="EW36" s="1577"/>
      <c r="EX36" s="1577"/>
      <c r="EY36" s="1577"/>
      <c r="EZ36" s="1578"/>
      <c r="FA36" s="1579"/>
      <c r="FB36" s="1576"/>
      <c r="FC36" s="1577"/>
      <c r="FD36" s="1577"/>
      <c r="FE36" s="1577"/>
      <c r="FF36" s="1577"/>
      <c r="FG36" s="1577"/>
      <c r="FH36" s="1577"/>
      <c r="FI36" s="1577"/>
      <c r="FJ36" s="1577"/>
      <c r="FK36" s="1577"/>
      <c r="FL36" s="1577"/>
      <c r="FM36" s="1578"/>
      <c r="FN36" s="1579"/>
      <c r="FO36" s="1576"/>
      <c r="FP36" s="1577"/>
      <c r="FQ36" s="1577"/>
      <c r="FR36" s="1577"/>
      <c r="FS36" s="1577"/>
      <c r="FT36" s="1577"/>
      <c r="FU36" s="1577"/>
      <c r="FV36" s="1577"/>
      <c r="FW36" s="1577"/>
      <c r="FX36" s="1577"/>
      <c r="FY36" s="1577"/>
      <c r="FZ36" s="1578"/>
      <c r="GA36" s="1579"/>
      <c r="GB36" s="1576"/>
      <c r="GC36" s="1577"/>
      <c r="GD36" s="1577"/>
      <c r="GE36" s="1577"/>
      <c r="GF36" s="1577"/>
      <c r="GG36" s="1577"/>
      <c r="GH36" s="1577"/>
      <c r="GI36" s="1577"/>
      <c r="GJ36" s="1577"/>
      <c r="GK36" s="1577"/>
      <c r="GL36" s="1577"/>
      <c r="GM36" s="1578"/>
      <c r="GN36" s="1579"/>
      <c r="GO36" s="1576"/>
      <c r="GP36" s="1577"/>
      <c r="GQ36" s="1577"/>
      <c r="GR36" s="1577"/>
      <c r="GS36" s="1577"/>
      <c r="GT36" s="1577"/>
      <c r="GU36" s="1577"/>
      <c r="GV36" s="1577"/>
      <c r="GW36" s="1577"/>
      <c r="GX36" s="1577"/>
      <c r="GY36" s="1577"/>
      <c r="GZ36" s="1578"/>
      <c r="HA36" s="1579">
        <f t="shared" si="37"/>
        <v>0</v>
      </c>
      <c r="HB36" s="1576"/>
      <c r="HC36" s="1577"/>
      <c r="HD36" s="1577"/>
      <c r="HE36" s="1577"/>
      <c r="HF36" s="1577"/>
      <c r="HG36" s="1577"/>
      <c r="HH36" s="1577"/>
      <c r="HI36" s="1577"/>
      <c r="HJ36" s="1577"/>
      <c r="HK36" s="1577"/>
      <c r="HL36" s="1577"/>
      <c r="HM36" s="1578"/>
      <c r="HN36" s="1579">
        <f t="shared" si="38"/>
        <v>0</v>
      </c>
      <c r="HO36" s="1576"/>
      <c r="HP36" s="1577"/>
      <c r="HQ36" s="1577"/>
      <c r="HR36" s="1577"/>
      <c r="HS36" s="1577"/>
      <c r="HT36" s="1577"/>
      <c r="HU36" s="1577"/>
      <c r="HV36" s="1577"/>
      <c r="HW36" s="1577"/>
      <c r="HX36" s="1577"/>
      <c r="HY36" s="1577"/>
      <c r="HZ36" s="1578"/>
      <c r="IA36" s="1576">
        <f>SUM(HO36:HZ36)</f>
        <v>0</v>
      </c>
      <c r="IB36" s="1569"/>
      <c r="IC36" s="1068"/>
      <c r="ID36" s="1068"/>
      <c r="IE36" s="1068"/>
      <c r="IF36" s="1068"/>
      <c r="IG36" s="1068"/>
      <c r="IH36" s="1068"/>
      <c r="II36" s="1068"/>
      <c r="IJ36" s="1068"/>
      <c r="IK36" s="1068"/>
      <c r="IL36" s="1068"/>
      <c r="IM36" s="1570"/>
      <c r="IN36" s="1571">
        <f t="shared" si="40"/>
        <v>0</v>
      </c>
      <c r="IP36" s="1656" t="str">
        <f t="shared" si="27"/>
        <v/>
      </c>
      <c r="IQ36" s="1656" t="str">
        <f t="shared" si="70"/>
        <v/>
      </c>
      <c r="IR36" s="1657">
        <f t="shared" si="28"/>
        <v>0</v>
      </c>
      <c r="IS36" s="1657">
        <f t="shared" si="29"/>
        <v>0</v>
      </c>
      <c r="IT36" s="1659"/>
      <c r="IU36" s="1659"/>
    </row>
    <row r="37" spans="1:255" ht="15" customHeight="1" x14ac:dyDescent="0.2">
      <c r="A37" s="309" t="s">
        <v>405</v>
      </c>
      <c r="B37" s="1576"/>
      <c r="C37" s="1577"/>
      <c r="D37" s="1577"/>
      <c r="E37" s="1577"/>
      <c r="F37" s="1577"/>
      <c r="G37" s="1577"/>
      <c r="H37" s="1577"/>
      <c r="I37" s="1577"/>
      <c r="J37" s="1577"/>
      <c r="K37" s="1577"/>
      <c r="L37" s="1577"/>
      <c r="M37" s="1578"/>
      <c r="N37" s="1579">
        <f t="shared" si="71"/>
        <v>0</v>
      </c>
      <c r="O37" s="1576"/>
      <c r="P37" s="1577"/>
      <c r="Q37" s="1577"/>
      <c r="R37" s="1577"/>
      <c r="S37" s="1577"/>
      <c r="T37" s="1577"/>
      <c r="U37" s="1577"/>
      <c r="V37" s="1577"/>
      <c r="W37" s="1577"/>
      <c r="X37" s="1577"/>
      <c r="Y37" s="1577"/>
      <c r="Z37" s="1578"/>
      <c r="AA37" s="1579">
        <f t="shared" si="72"/>
        <v>0</v>
      </c>
      <c r="AB37" s="1576"/>
      <c r="AC37" s="1577"/>
      <c r="AD37" s="1577"/>
      <c r="AE37" s="1577"/>
      <c r="AF37" s="1577"/>
      <c r="AG37" s="1577"/>
      <c r="AH37" s="1577"/>
      <c r="AI37" s="1577"/>
      <c r="AJ37" s="1577"/>
      <c r="AK37" s="1577"/>
      <c r="AL37" s="1577"/>
      <c r="AM37" s="1578"/>
      <c r="AN37" s="1579">
        <f t="shared" si="73"/>
        <v>0</v>
      </c>
      <c r="AO37" s="1576"/>
      <c r="AP37" s="1577"/>
      <c r="AQ37" s="1577"/>
      <c r="AR37" s="1577"/>
      <c r="AS37" s="1577"/>
      <c r="AT37" s="1577"/>
      <c r="AU37" s="1577"/>
      <c r="AV37" s="1577"/>
      <c r="AW37" s="1577"/>
      <c r="AX37" s="1577"/>
      <c r="AY37" s="1577"/>
      <c r="AZ37" s="1578"/>
      <c r="BA37" s="1579"/>
      <c r="BB37" s="1576"/>
      <c r="BC37" s="1577"/>
      <c r="BD37" s="1577"/>
      <c r="BE37" s="1577"/>
      <c r="BF37" s="1577"/>
      <c r="BG37" s="1577"/>
      <c r="BH37" s="1577"/>
      <c r="BI37" s="1577"/>
      <c r="BJ37" s="1577"/>
      <c r="BK37" s="1577"/>
      <c r="BL37" s="1577"/>
      <c r="BM37" s="1578"/>
      <c r="BN37" s="1579"/>
      <c r="BO37" s="1576"/>
      <c r="BP37" s="1577"/>
      <c r="BQ37" s="1577"/>
      <c r="BR37" s="1577"/>
      <c r="BS37" s="1577"/>
      <c r="BT37" s="1577"/>
      <c r="BU37" s="1577"/>
      <c r="BV37" s="1577"/>
      <c r="BW37" s="1577"/>
      <c r="BX37" s="1577"/>
      <c r="BY37" s="1577"/>
      <c r="BZ37" s="1578"/>
      <c r="CA37" s="1579"/>
      <c r="CB37" s="1576"/>
      <c r="CC37" s="1577"/>
      <c r="CD37" s="1577"/>
      <c r="CE37" s="1577"/>
      <c r="CF37" s="1577"/>
      <c r="CG37" s="1577"/>
      <c r="CH37" s="1577"/>
      <c r="CI37" s="1577"/>
      <c r="CJ37" s="1577"/>
      <c r="CK37" s="1577"/>
      <c r="CL37" s="1577"/>
      <c r="CM37" s="1578"/>
      <c r="CN37" s="1579"/>
      <c r="CO37" s="1576"/>
      <c r="CP37" s="1577"/>
      <c r="CQ37" s="1577"/>
      <c r="CR37" s="1577"/>
      <c r="CS37" s="1577"/>
      <c r="CT37" s="1577"/>
      <c r="CU37" s="1577"/>
      <c r="CV37" s="1577"/>
      <c r="CW37" s="1577"/>
      <c r="CX37" s="1577"/>
      <c r="CY37" s="1577"/>
      <c r="CZ37" s="1578"/>
      <c r="DA37" s="1579"/>
      <c r="DB37" s="1576"/>
      <c r="DC37" s="1577"/>
      <c r="DD37" s="1577"/>
      <c r="DE37" s="1577"/>
      <c r="DF37" s="1577"/>
      <c r="DG37" s="1577"/>
      <c r="DH37" s="1577"/>
      <c r="DI37" s="1577"/>
      <c r="DJ37" s="1577"/>
      <c r="DK37" s="1577"/>
      <c r="DL37" s="1577"/>
      <c r="DM37" s="1578"/>
      <c r="DN37" s="1579"/>
      <c r="DO37" s="1576"/>
      <c r="DP37" s="1577"/>
      <c r="DQ37" s="1577"/>
      <c r="DR37" s="1577"/>
      <c r="DS37" s="1577"/>
      <c r="DT37" s="1577"/>
      <c r="DU37" s="1577"/>
      <c r="DV37" s="1577"/>
      <c r="DW37" s="1577"/>
      <c r="DX37" s="1577"/>
      <c r="DY37" s="1577"/>
      <c r="DZ37" s="1578"/>
      <c r="EA37" s="1579"/>
      <c r="EB37" s="1576"/>
      <c r="EC37" s="1577"/>
      <c r="ED37" s="1577"/>
      <c r="EE37" s="1577"/>
      <c r="EF37" s="1577"/>
      <c r="EG37" s="1577"/>
      <c r="EH37" s="1577"/>
      <c r="EI37" s="1577"/>
      <c r="EJ37" s="1577"/>
      <c r="EK37" s="1577"/>
      <c r="EL37" s="1577"/>
      <c r="EM37" s="1578"/>
      <c r="EN37" s="1579"/>
      <c r="EO37" s="1576"/>
      <c r="EP37" s="1577"/>
      <c r="EQ37" s="1577"/>
      <c r="ER37" s="1577"/>
      <c r="ES37" s="1577"/>
      <c r="ET37" s="1577"/>
      <c r="EU37" s="1577"/>
      <c r="EV37" s="1577"/>
      <c r="EW37" s="1577"/>
      <c r="EX37" s="1577"/>
      <c r="EY37" s="1577"/>
      <c r="EZ37" s="1578"/>
      <c r="FA37" s="1579"/>
      <c r="FB37" s="1576"/>
      <c r="FC37" s="1577"/>
      <c r="FD37" s="1577"/>
      <c r="FE37" s="1577"/>
      <c r="FF37" s="1577"/>
      <c r="FG37" s="1577"/>
      <c r="FH37" s="1577"/>
      <c r="FI37" s="1577"/>
      <c r="FJ37" s="1577"/>
      <c r="FK37" s="1577"/>
      <c r="FL37" s="1577"/>
      <c r="FM37" s="1578"/>
      <c r="FN37" s="1579"/>
      <c r="FO37" s="1576"/>
      <c r="FP37" s="1577"/>
      <c r="FQ37" s="1577"/>
      <c r="FR37" s="1577"/>
      <c r="FS37" s="1577"/>
      <c r="FT37" s="1577"/>
      <c r="FU37" s="1577"/>
      <c r="FV37" s="1577"/>
      <c r="FW37" s="1577"/>
      <c r="FX37" s="1577"/>
      <c r="FY37" s="1577"/>
      <c r="FZ37" s="1578"/>
      <c r="GA37" s="1579"/>
      <c r="GB37" s="1576"/>
      <c r="GC37" s="1577"/>
      <c r="GD37" s="1577"/>
      <c r="GE37" s="1577"/>
      <c r="GF37" s="1577"/>
      <c r="GG37" s="1577"/>
      <c r="GH37" s="1577"/>
      <c r="GI37" s="1577"/>
      <c r="GJ37" s="1577"/>
      <c r="GK37" s="1577"/>
      <c r="GL37" s="1577"/>
      <c r="GM37" s="1578"/>
      <c r="GN37" s="1579"/>
      <c r="GO37" s="1576"/>
      <c r="GP37" s="1577"/>
      <c r="GQ37" s="1577"/>
      <c r="GR37" s="1577"/>
      <c r="GS37" s="1577"/>
      <c r="GT37" s="1577"/>
      <c r="GU37" s="1577"/>
      <c r="GV37" s="1577"/>
      <c r="GW37" s="1577"/>
      <c r="GX37" s="1577"/>
      <c r="GY37" s="1577"/>
      <c r="GZ37" s="1578"/>
      <c r="HA37" s="1579">
        <f t="shared" si="37"/>
        <v>0</v>
      </c>
      <c r="HB37" s="1576"/>
      <c r="HC37" s="1577"/>
      <c r="HD37" s="1577"/>
      <c r="HE37" s="1577"/>
      <c r="HF37" s="1577"/>
      <c r="HG37" s="1577"/>
      <c r="HH37" s="1577"/>
      <c r="HI37" s="1577"/>
      <c r="HJ37" s="1577"/>
      <c r="HK37" s="1577"/>
      <c r="HL37" s="1577"/>
      <c r="HM37" s="1578"/>
      <c r="HN37" s="1579">
        <f t="shared" si="38"/>
        <v>0</v>
      </c>
      <c r="HO37" s="1576"/>
      <c r="HP37" s="1577"/>
      <c r="HQ37" s="1577"/>
      <c r="HR37" s="1577"/>
      <c r="HS37" s="1577"/>
      <c r="HT37" s="1577"/>
      <c r="HU37" s="1577"/>
      <c r="HV37" s="1577"/>
      <c r="HW37" s="1577"/>
      <c r="HX37" s="1577"/>
      <c r="HY37" s="1577"/>
      <c r="HZ37" s="1578"/>
      <c r="IA37" s="1576">
        <f>SUM(HO37:HZ37)</f>
        <v>0</v>
      </c>
      <c r="IB37" s="1569"/>
      <c r="IC37" s="1068"/>
      <c r="ID37" s="1068"/>
      <c r="IE37" s="1068"/>
      <c r="IF37" s="1068"/>
      <c r="IG37" s="1068"/>
      <c r="IH37" s="1068"/>
      <c r="II37" s="1068"/>
      <c r="IJ37" s="1068"/>
      <c r="IK37" s="1068"/>
      <c r="IL37" s="1068"/>
      <c r="IM37" s="1570"/>
      <c r="IN37" s="1571">
        <f t="shared" si="40"/>
        <v>0</v>
      </c>
      <c r="IP37" s="1656" t="str">
        <f t="shared" ref="IP37" si="74">IFERROR(((II37/HV37)-1)*100,"")</f>
        <v/>
      </c>
      <c r="IQ37" s="1656" t="str">
        <f t="shared" si="70"/>
        <v/>
      </c>
      <c r="IR37" s="1657">
        <f t="shared" si="28"/>
        <v>0</v>
      </c>
      <c r="IS37" s="1657">
        <f t="shared" si="29"/>
        <v>0</v>
      </c>
      <c r="IT37" s="1659"/>
      <c r="IU37" s="1659"/>
    </row>
    <row r="38" spans="1:255" ht="15" customHeight="1" x14ac:dyDescent="0.2">
      <c r="A38" s="310"/>
      <c r="B38" s="1580"/>
      <c r="C38" s="1581"/>
      <c r="D38" s="1581"/>
      <c r="E38" s="1581"/>
      <c r="F38" s="1581"/>
      <c r="G38" s="1581"/>
      <c r="H38" s="1581"/>
      <c r="I38" s="1581"/>
      <c r="J38" s="1581"/>
      <c r="K38" s="1581"/>
      <c r="L38" s="1581"/>
      <c r="M38" s="1582"/>
      <c r="N38" s="1583"/>
      <c r="O38" s="1580"/>
      <c r="P38" s="1581"/>
      <c r="Q38" s="1581"/>
      <c r="R38" s="1581"/>
      <c r="S38" s="1581"/>
      <c r="T38" s="1581"/>
      <c r="U38" s="1581"/>
      <c r="V38" s="1581"/>
      <c r="W38" s="1581"/>
      <c r="X38" s="1581"/>
      <c r="Y38" s="1581"/>
      <c r="Z38" s="1582"/>
      <c r="AA38" s="1583"/>
      <c r="AB38" s="1580"/>
      <c r="AC38" s="1581"/>
      <c r="AD38" s="1581"/>
      <c r="AE38" s="1581"/>
      <c r="AF38" s="1581"/>
      <c r="AG38" s="1581"/>
      <c r="AH38" s="1581"/>
      <c r="AI38" s="1581"/>
      <c r="AJ38" s="1581"/>
      <c r="AK38" s="1581"/>
      <c r="AL38" s="1581"/>
      <c r="AM38" s="1582"/>
      <c r="AN38" s="1583"/>
      <c r="AO38" s="1580"/>
      <c r="AP38" s="1581"/>
      <c r="AQ38" s="1581"/>
      <c r="AR38" s="1581"/>
      <c r="AS38" s="1581"/>
      <c r="AT38" s="1581"/>
      <c r="AU38" s="1581"/>
      <c r="AV38" s="1581"/>
      <c r="AW38" s="1581"/>
      <c r="AX38" s="1581"/>
      <c r="AY38" s="1581"/>
      <c r="AZ38" s="1582"/>
      <c r="BA38" s="1583"/>
      <c r="BB38" s="1580"/>
      <c r="BC38" s="1581"/>
      <c r="BD38" s="1581"/>
      <c r="BE38" s="1581"/>
      <c r="BF38" s="1581"/>
      <c r="BG38" s="1581"/>
      <c r="BH38" s="1581"/>
      <c r="BI38" s="1581"/>
      <c r="BJ38" s="1581"/>
      <c r="BK38" s="1581"/>
      <c r="BL38" s="1581"/>
      <c r="BM38" s="1582"/>
      <c r="BN38" s="1583"/>
      <c r="BO38" s="1580"/>
      <c r="BP38" s="1581"/>
      <c r="BQ38" s="1581"/>
      <c r="BR38" s="1581"/>
      <c r="BS38" s="1581"/>
      <c r="BT38" s="1581"/>
      <c r="BU38" s="1581"/>
      <c r="BV38" s="1581"/>
      <c r="BW38" s="1581"/>
      <c r="BX38" s="1581"/>
      <c r="BY38" s="1581"/>
      <c r="BZ38" s="1582"/>
      <c r="CA38" s="1583"/>
      <c r="CB38" s="1580"/>
      <c r="CC38" s="1581"/>
      <c r="CD38" s="1581"/>
      <c r="CE38" s="1581"/>
      <c r="CF38" s="1581"/>
      <c r="CG38" s="1581"/>
      <c r="CH38" s="1581"/>
      <c r="CI38" s="1581"/>
      <c r="CJ38" s="1581"/>
      <c r="CK38" s="1581"/>
      <c r="CL38" s="1581"/>
      <c r="CM38" s="1582"/>
      <c r="CN38" s="1583"/>
      <c r="CO38" s="1580"/>
      <c r="CP38" s="1581"/>
      <c r="CQ38" s="1581"/>
      <c r="CR38" s="1581"/>
      <c r="CS38" s="1581"/>
      <c r="CT38" s="1581"/>
      <c r="CU38" s="1581"/>
      <c r="CV38" s="1581"/>
      <c r="CW38" s="1581"/>
      <c r="CX38" s="1581"/>
      <c r="CY38" s="1581"/>
      <c r="CZ38" s="1582"/>
      <c r="DA38" s="1583"/>
      <c r="DB38" s="1580"/>
      <c r="DC38" s="1581"/>
      <c r="DD38" s="1581"/>
      <c r="DE38" s="1581"/>
      <c r="DF38" s="1581"/>
      <c r="DG38" s="1581"/>
      <c r="DH38" s="1581"/>
      <c r="DI38" s="1581"/>
      <c r="DJ38" s="1581"/>
      <c r="DK38" s="1581"/>
      <c r="DL38" s="1581"/>
      <c r="DM38" s="1582"/>
      <c r="DN38" s="1583"/>
      <c r="DO38" s="1580"/>
      <c r="DP38" s="1581"/>
      <c r="DQ38" s="1581"/>
      <c r="DR38" s="1581"/>
      <c r="DS38" s="1581"/>
      <c r="DT38" s="1581"/>
      <c r="DU38" s="1581"/>
      <c r="DV38" s="1581"/>
      <c r="DW38" s="1581"/>
      <c r="DX38" s="1581"/>
      <c r="DY38" s="1581"/>
      <c r="DZ38" s="1582"/>
      <c r="EA38" s="1583"/>
      <c r="EB38" s="1580"/>
      <c r="EC38" s="1581"/>
      <c r="ED38" s="1581"/>
      <c r="EE38" s="1581"/>
      <c r="EF38" s="1581"/>
      <c r="EG38" s="1581"/>
      <c r="EH38" s="1581"/>
      <c r="EI38" s="1581"/>
      <c r="EJ38" s="1581"/>
      <c r="EK38" s="1581"/>
      <c r="EL38" s="1581"/>
      <c r="EM38" s="1582"/>
      <c r="EN38" s="1583"/>
      <c r="EO38" s="1580"/>
      <c r="EP38" s="1581"/>
      <c r="EQ38" s="1581"/>
      <c r="ER38" s="1581"/>
      <c r="ES38" s="1581"/>
      <c r="ET38" s="1581"/>
      <c r="EU38" s="1581"/>
      <c r="EV38" s="1581"/>
      <c r="EW38" s="1581"/>
      <c r="EX38" s="1581"/>
      <c r="EY38" s="1581"/>
      <c r="EZ38" s="1582"/>
      <c r="FA38" s="1583"/>
      <c r="FB38" s="1580"/>
      <c r="FC38" s="1581"/>
      <c r="FD38" s="1581"/>
      <c r="FE38" s="1581"/>
      <c r="FF38" s="1581"/>
      <c r="FG38" s="1581"/>
      <c r="FH38" s="1581"/>
      <c r="FI38" s="1581"/>
      <c r="FJ38" s="1581"/>
      <c r="FK38" s="1581"/>
      <c r="FL38" s="1581"/>
      <c r="FM38" s="1582"/>
      <c r="FN38" s="1583"/>
      <c r="FO38" s="1580"/>
      <c r="FP38" s="1581"/>
      <c r="FQ38" s="1581"/>
      <c r="FR38" s="1581"/>
      <c r="FS38" s="1581"/>
      <c r="FT38" s="1581"/>
      <c r="FU38" s="1581"/>
      <c r="FV38" s="1581"/>
      <c r="FW38" s="1581"/>
      <c r="FX38" s="1581"/>
      <c r="FY38" s="1581"/>
      <c r="FZ38" s="1582"/>
      <c r="GA38" s="1583"/>
      <c r="GB38" s="1580"/>
      <c r="GC38" s="1581"/>
      <c r="GD38" s="1581"/>
      <c r="GE38" s="1581"/>
      <c r="GF38" s="1581"/>
      <c r="GG38" s="1581"/>
      <c r="GH38" s="1581"/>
      <c r="GI38" s="1581"/>
      <c r="GJ38" s="1581"/>
      <c r="GK38" s="1581"/>
      <c r="GL38" s="1581"/>
      <c r="GM38" s="1582"/>
      <c r="GN38" s="1583"/>
      <c r="GO38" s="1580"/>
      <c r="GP38" s="1581"/>
      <c r="GQ38" s="1581"/>
      <c r="GR38" s="1581"/>
      <c r="GS38" s="1581"/>
      <c r="GT38" s="1581"/>
      <c r="GU38" s="1581"/>
      <c r="GV38" s="1581"/>
      <c r="GW38" s="1581"/>
      <c r="GX38" s="1581"/>
      <c r="GY38" s="1581"/>
      <c r="GZ38" s="1582"/>
      <c r="HA38" s="1583"/>
      <c r="HB38" s="1580"/>
      <c r="HC38" s="1581"/>
      <c r="HD38" s="1581"/>
      <c r="HE38" s="1581"/>
      <c r="HF38" s="1581"/>
      <c r="HG38" s="1581"/>
      <c r="HH38" s="1581"/>
      <c r="HI38" s="1581"/>
      <c r="HJ38" s="1581"/>
      <c r="HK38" s="1581"/>
      <c r="HL38" s="1581"/>
      <c r="HM38" s="1582"/>
      <c r="HN38" s="1583"/>
      <c r="HO38" s="1584"/>
      <c r="HP38" s="1585"/>
      <c r="HQ38" s="1585"/>
      <c r="HR38" s="1585"/>
      <c r="HS38" s="1585"/>
      <c r="HT38" s="1585"/>
      <c r="HU38" s="1585"/>
      <c r="HV38" s="1585"/>
      <c r="HW38" s="1585"/>
      <c r="HX38" s="1585"/>
      <c r="HY38" s="1585"/>
      <c r="HZ38" s="1586"/>
      <c r="IA38" s="1584"/>
      <c r="IB38" s="1584"/>
      <c r="IC38" s="1585"/>
      <c r="ID38" s="1585"/>
      <c r="IE38" s="1585"/>
      <c r="IF38" s="1585"/>
      <c r="IG38" s="1585"/>
      <c r="IH38" s="1585"/>
      <c r="II38" s="1585"/>
      <c r="IJ38" s="1585"/>
      <c r="IK38" s="1585"/>
      <c r="IL38" s="1585"/>
      <c r="IM38" s="1586"/>
      <c r="IN38" s="1587"/>
      <c r="IP38" s="1660" t="str">
        <f t="shared" ref="IP38" si="75">IFERROR(((IE38/HR38)-1)*100,"")</f>
        <v/>
      </c>
      <c r="IQ38" s="1661"/>
      <c r="IR38" s="1661"/>
      <c r="IS38" s="1661"/>
      <c r="IT38" s="1659"/>
      <c r="IU38" s="1659"/>
    </row>
    <row r="39" spans="1:255" ht="15" customHeight="1" x14ac:dyDescent="0.2">
      <c r="A39" s="311" t="s">
        <v>301</v>
      </c>
      <c r="B39" s="314">
        <f t="shared" ref="B39:AN39" si="76">B30-B7</f>
        <v>0</v>
      </c>
      <c r="C39" s="314">
        <f t="shared" si="76"/>
        <v>0</v>
      </c>
      <c r="D39" s="314">
        <f t="shared" si="76"/>
        <v>0</v>
      </c>
      <c r="E39" s="314">
        <f t="shared" si="76"/>
        <v>0</v>
      </c>
      <c r="F39" s="314">
        <f t="shared" si="76"/>
        <v>0</v>
      </c>
      <c r="G39" s="314">
        <f t="shared" si="76"/>
        <v>0</v>
      </c>
      <c r="H39" s="314">
        <f t="shared" si="76"/>
        <v>0</v>
      </c>
      <c r="I39" s="314">
        <f t="shared" si="76"/>
        <v>0</v>
      </c>
      <c r="J39" s="314">
        <f t="shared" si="76"/>
        <v>0</v>
      </c>
      <c r="K39" s="314">
        <f t="shared" si="76"/>
        <v>0</v>
      </c>
      <c r="L39" s="314">
        <f t="shared" si="76"/>
        <v>0</v>
      </c>
      <c r="M39" s="314">
        <f t="shared" si="76"/>
        <v>0</v>
      </c>
      <c r="N39" s="314">
        <f t="shared" si="76"/>
        <v>0</v>
      </c>
      <c r="O39" s="314">
        <f t="shared" si="76"/>
        <v>0</v>
      </c>
      <c r="P39" s="314">
        <f t="shared" si="76"/>
        <v>0</v>
      </c>
      <c r="Q39" s="314">
        <f t="shared" si="76"/>
        <v>0</v>
      </c>
      <c r="R39" s="314">
        <f t="shared" si="76"/>
        <v>0</v>
      </c>
      <c r="S39" s="314">
        <f t="shared" si="76"/>
        <v>0</v>
      </c>
      <c r="T39" s="314">
        <f t="shared" si="76"/>
        <v>0</v>
      </c>
      <c r="U39" s="314">
        <f t="shared" si="76"/>
        <v>0</v>
      </c>
      <c r="V39" s="314">
        <f t="shared" si="76"/>
        <v>0</v>
      </c>
      <c r="W39" s="314">
        <f t="shared" si="76"/>
        <v>0</v>
      </c>
      <c r="X39" s="314">
        <f t="shared" si="76"/>
        <v>0</v>
      </c>
      <c r="Y39" s="314">
        <f t="shared" si="76"/>
        <v>0</v>
      </c>
      <c r="Z39" s="314">
        <f t="shared" si="76"/>
        <v>0</v>
      </c>
      <c r="AA39" s="314">
        <f t="shared" si="76"/>
        <v>0</v>
      </c>
      <c r="AB39" s="314">
        <f t="shared" si="76"/>
        <v>0</v>
      </c>
      <c r="AC39" s="314">
        <f t="shared" si="76"/>
        <v>0</v>
      </c>
      <c r="AD39" s="314">
        <f t="shared" si="76"/>
        <v>0</v>
      </c>
      <c r="AE39" s="314">
        <f t="shared" si="76"/>
        <v>0</v>
      </c>
      <c r="AF39" s="314">
        <f t="shared" si="76"/>
        <v>0</v>
      </c>
      <c r="AG39" s="314">
        <f t="shared" si="76"/>
        <v>0</v>
      </c>
      <c r="AH39" s="314">
        <f t="shared" si="76"/>
        <v>0</v>
      </c>
      <c r="AI39" s="314">
        <f t="shared" si="76"/>
        <v>0</v>
      </c>
      <c r="AJ39" s="314">
        <f t="shared" si="76"/>
        <v>0</v>
      </c>
      <c r="AK39" s="314">
        <f t="shared" si="76"/>
        <v>0</v>
      </c>
      <c r="AL39" s="314">
        <f t="shared" si="76"/>
        <v>0</v>
      </c>
      <c r="AM39" s="314">
        <f t="shared" si="76"/>
        <v>0</v>
      </c>
      <c r="AN39" s="314">
        <f t="shared" si="76"/>
        <v>0</v>
      </c>
      <c r="AO39" s="314"/>
      <c r="AP39" s="314"/>
      <c r="AQ39" s="314"/>
      <c r="AR39" s="314"/>
      <c r="AS39" s="314"/>
      <c r="AT39" s="314"/>
      <c r="AU39" s="314"/>
      <c r="AV39" s="314"/>
      <c r="AW39" s="314"/>
      <c r="AX39" s="314"/>
      <c r="AY39" s="314"/>
      <c r="AZ39" s="314"/>
      <c r="BA39" s="314"/>
      <c r="BB39" s="314"/>
      <c r="BC39" s="314"/>
      <c r="BD39" s="314"/>
      <c r="BE39" s="314"/>
      <c r="BF39" s="314"/>
      <c r="BG39" s="314"/>
      <c r="BH39" s="314"/>
      <c r="BI39" s="314"/>
      <c r="BJ39" s="314"/>
      <c r="BK39" s="314"/>
      <c r="BL39" s="314"/>
      <c r="BM39" s="314"/>
      <c r="BN39" s="314"/>
      <c r="BO39" s="314"/>
      <c r="BP39" s="314"/>
      <c r="BQ39" s="314"/>
      <c r="BR39" s="314"/>
      <c r="BS39" s="314"/>
      <c r="BT39" s="314"/>
      <c r="BU39" s="314"/>
      <c r="BV39" s="314"/>
      <c r="BW39" s="314"/>
      <c r="BX39" s="314"/>
      <c r="BY39" s="314"/>
      <c r="BZ39" s="314"/>
      <c r="CA39" s="314"/>
      <c r="CB39" s="314"/>
      <c r="CC39" s="314"/>
      <c r="CD39" s="314"/>
      <c r="CE39" s="314"/>
      <c r="CF39" s="314"/>
      <c r="CG39" s="314"/>
      <c r="CH39" s="314"/>
      <c r="CI39" s="314"/>
      <c r="CJ39" s="314"/>
      <c r="CK39" s="314"/>
      <c r="CL39" s="314"/>
      <c r="CM39" s="314"/>
      <c r="CN39" s="314"/>
      <c r="CO39" s="314"/>
      <c r="CP39" s="314"/>
      <c r="CQ39" s="314"/>
      <c r="CR39" s="314"/>
      <c r="CS39" s="314"/>
      <c r="CT39" s="314"/>
      <c r="CU39" s="314"/>
      <c r="CV39" s="314"/>
      <c r="CW39" s="314"/>
      <c r="CX39" s="314"/>
      <c r="CY39" s="314"/>
      <c r="CZ39" s="314"/>
      <c r="DA39" s="314"/>
      <c r="DB39" s="314"/>
      <c r="DC39" s="314"/>
      <c r="DD39" s="314"/>
      <c r="DE39" s="314"/>
      <c r="DF39" s="314"/>
      <c r="DG39" s="314"/>
      <c r="DH39" s="314"/>
      <c r="DI39" s="314"/>
      <c r="DJ39" s="314"/>
      <c r="DK39" s="314"/>
      <c r="DL39" s="314"/>
      <c r="DM39" s="314"/>
      <c r="DN39" s="314"/>
      <c r="DO39" s="314"/>
      <c r="DP39" s="314"/>
      <c r="DQ39" s="314"/>
      <c r="DR39" s="314"/>
      <c r="DS39" s="314"/>
      <c r="DT39" s="314"/>
      <c r="DU39" s="314"/>
      <c r="DV39" s="314"/>
      <c r="DW39" s="314"/>
      <c r="DX39" s="314"/>
      <c r="DY39" s="314"/>
      <c r="DZ39" s="314"/>
      <c r="EA39" s="314"/>
      <c r="EB39" s="314"/>
      <c r="EC39" s="314"/>
      <c r="ED39" s="314"/>
      <c r="EE39" s="314"/>
      <c r="EF39" s="314"/>
      <c r="EG39" s="314"/>
      <c r="EH39" s="314"/>
      <c r="EI39" s="314"/>
      <c r="EJ39" s="314"/>
      <c r="EK39" s="314"/>
      <c r="EL39" s="314"/>
      <c r="EM39" s="314"/>
      <c r="EN39" s="314"/>
      <c r="EO39" s="314"/>
      <c r="EP39" s="314"/>
      <c r="EQ39" s="314"/>
      <c r="ER39" s="314"/>
      <c r="ES39" s="314"/>
      <c r="ET39" s="314"/>
      <c r="EU39" s="314"/>
      <c r="EV39" s="314"/>
      <c r="EW39" s="314"/>
      <c r="EX39" s="314"/>
      <c r="EY39" s="314"/>
      <c r="EZ39" s="314"/>
      <c r="FA39" s="314"/>
      <c r="FB39" s="314"/>
      <c r="FC39" s="314"/>
      <c r="FD39" s="314"/>
      <c r="FE39" s="314"/>
      <c r="FF39" s="314"/>
      <c r="FG39" s="314"/>
      <c r="FH39" s="314"/>
      <c r="FI39" s="314"/>
      <c r="FJ39" s="400"/>
      <c r="FK39" s="400"/>
      <c r="FL39" s="400"/>
      <c r="FM39" s="401"/>
    </row>
    <row r="40" spans="1:255" ht="15" customHeight="1" x14ac:dyDescent="0.2">
      <c r="A40" s="112" t="s">
        <v>127</v>
      </c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</row>
    <row r="41" spans="1:255" customFormat="1" ht="15" customHeight="1" x14ac:dyDescent="0.2"/>
    <row r="42" spans="1:255" customFormat="1" ht="15" customHeight="1" x14ac:dyDescent="0.2"/>
    <row r="43" spans="1:255" customFormat="1" ht="15" customHeight="1" x14ac:dyDescent="0.2"/>
    <row r="44" spans="1:255" customFormat="1" ht="15" customHeight="1" x14ac:dyDescent="0.2"/>
    <row r="45" spans="1:255" customFormat="1" ht="15" customHeight="1" x14ac:dyDescent="0.2"/>
    <row r="46" spans="1:255" customFormat="1" ht="15" customHeight="1" x14ac:dyDescent="0.2"/>
    <row r="47" spans="1:255" customFormat="1" ht="15" customHeight="1" x14ac:dyDescent="0.2"/>
    <row r="48" spans="1:255" customFormat="1" ht="15" customHeight="1" x14ac:dyDescent="0.2"/>
    <row r="49" customFormat="1" ht="15" customHeight="1" x14ac:dyDescent="0.2"/>
    <row r="50" customFormat="1" ht="15" customHeight="1" x14ac:dyDescent="0.2"/>
    <row r="51" customFormat="1" ht="15" customHeight="1" x14ac:dyDescent="0.2"/>
    <row r="52" customFormat="1" ht="15" customHeight="1" x14ac:dyDescent="0.2"/>
    <row r="53" customFormat="1" ht="15" customHeight="1" x14ac:dyDescent="0.2"/>
    <row r="54" customFormat="1" ht="15" customHeight="1" x14ac:dyDescent="0.2"/>
    <row r="55" customFormat="1" ht="15" customHeight="1" x14ac:dyDescent="0.2"/>
    <row r="56" customFormat="1" ht="15" customHeight="1" x14ac:dyDescent="0.2"/>
    <row r="57" customFormat="1" ht="15" customHeight="1" x14ac:dyDescent="0.2"/>
    <row r="58" customFormat="1" ht="15" customHeight="1" x14ac:dyDescent="0.2"/>
    <row r="59" customFormat="1" ht="15" customHeight="1" x14ac:dyDescent="0.2"/>
    <row r="60" customFormat="1" ht="15" customHeight="1" x14ac:dyDescent="0.2"/>
    <row r="61" customFormat="1" ht="15" customHeight="1" x14ac:dyDescent="0.2"/>
    <row r="62" customFormat="1" ht="15" customHeight="1" x14ac:dyDescent="0.2"/>
    <row r="63" customFormat="1" ht="15" customHeight="1" x14ac:dyDescent="0.2"/>
    <row r="64" customFormat="1" ht="15" customHeight="1" x14ac:dyDescent="0.2"/>
    <row r="65" customFormat="1" ht="15" customHeight="1" x14ac:dyDescent="0.2"/>
    <row r="66" customFormat="1" ht="15" customHeight="1" x14ac:dyDescent="0.2"/>
    <row r="67" customFormat="1" ht="15" customHeight="1" x14ac:dyDescent="0.2"/>
    <row r="68" customFormat="1" ht="15" customHeight="1" x14ac:dyDescent="0.2"/>
    <row r="69" customFormat="1" ht="15" customHeight="1" x14ac:dyDescent="0.2"/>
    <row r="70" customFormat="1" ht="15" customHeight="1" x14ac:dyDescent="0.2"/>
    <row r="71" customFormat="1" ht="15" customHeight="1" x14ac:dyDescent="0.2"/>
    <row r="72" customFormat="1" ht="15" customHeight="1" x14ac:dyDescent="0.2"/>
    <row r="73" customFormat="1" ht="15" customHeight="1" x14ac:dyDescent="0.2"/>
    <row r="74" customFormat="1" ht="15" customHeight="1" x14ac:dyDescent="0.2"/>
    <row r="75" customFormat="1" ht="15" customHeight="1" x14ac:dyDescent="0.2"/>
    <row r="76" customFormat="1" ht="15" customHeight="1" x14ac:dyDescent="0.2"/>
    <row r="77" customFormat="1" ht="15" customHeight="1" x14ac:dyDescent="0.2"/>
    <row r="78" customFormat="1" ht="15" customHeight="1" x14ac:dyDescent="0.2"/>
    <row r="79" customFormat="1" ht="15" customHeight="1" x14ac:dyDescent="0.2"/>
    <row r="80" customFormat="1" ht="15" customHeight="1" x14ac:dyDescent="0.2"/>
    <row r="81" customFormat="1" ht="15" customHeight="1" x14ac:dyDescent="0.2"/>
    <row r="82" customFormat="1" ht="15" customHeight="1" x14ac:dyDescent="0.2"/>
    <row r="83" customFormat="1" ht="15" customHeight="1" x14ac:dyDescent="0.2"/>
    <row r="84" customFormat="1" ht="15" customHeight="1" x14ac:dyDescent="0.2"/>
    <row r="85" customFormat="1" ht="15" customHeight="1" x14ac:dyDescent="0.2"/>
    <row r="86" customFormat="1" ht="15" customHeight="1" x14ac:dyDescent="0.2"/>
    <row r="87" customFormat="1" ht="15" customHeight="1" x14ac:dyDescent="0.2"/>
    <row r="88" customFormat="1" ht="15" customHeight="1" x14ac:dyDescent="0.2"/>
    <row r="89" customFormat="1" ht="15" customHeight="1" x14ac:dyDescent="0.2"/>
    <row r="90" customFormat="1" ht="15" customHeight="1" x14ac:dyDescent="0.2"/>
    <row r="91" customFormat="1" ht="15" customHeight="1" x14ac:dyDescent="0.2"/>
  </sheetData>
  <mergeCells count="1">
    <mergeCell ref="IP4:IQ4"/>
  </mergeCells>
  <printOptions horizontalCentered="1" verticalCentered="1"/>
  <pageMargins left="0.19685039370078741" right="0.15748031496062992" top="0.82677165354330717" bottom="0.98425196850393704" header="0" footer="0"/>
  <pageSetup paperSize="9" scale="10" orientation="landscape" r:id="rId1"/>
  <headerFooter alignWithMargins="0"/>
  <colBreaks count="1" manualBreakCount="1">
    <brk id="183" max="39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30F97-9354-4A4C-A4C5-9FCEEFBDF7EA}">
  <sheetPr>
    <tabColor theme="7" tint="0.59999389629810485"/>
    <pageSetUpPr fitToPage="1"/>
  </sheetPr>
  <dimension ref="A1:JS81"/>
  <sheetViews>
    <sheetView showGridLines="0" view="pageBreakPreview" zoomScale="80" zoomScaleNormal="75" zoomScaleSheetLayoutView="80" workbookViewId="0">
      <pane xSplit="1" topLeftCell="IO1" activePane="topRight" state="frozen"/>
      <selection activeCell="IB59" sqref="IB59:JB59"/>
      <selection pane="topRight" activeCell="JI7" sqref="JI7"/>
    </sheetView>
  </sheetViews>
  <sheetFormatPr baseColWidth="10" defaultColWidth="8.7109375" defaultRowHeight="13.9" customHeight="1" x14ac:dyDescent="0.2"/>
  <cols>
    <col min="1" max="1" width="30.7109375" style="405" customWidth="1"/>
    <col min="2" max="247" width="8.7109375" style="405"/>
    <col min="248" max="248" width="11.140625" style="405" bestFit="1" customWidth="1"/>
    <col min="249" max="249" width="10.5703125" style="405" bestFit="1" customWidth="1"/>
    <col min="250" max="250" width="11.140625" style="405" bestFit="1" customWidth="1"/>
    <col min="251" max="251" width="8.7109375" style="405"/>
    <col min="252" max="252" width="10.42578125" style="405" bestFit="1" customWidth="1"/>
    <col min="253" max="255" width="8.7109375" style="403"/>
    <col min="256" max="256" width="8.7109375" style="403" customWidth="1"/>
    <col min="257" max="260" width="8.7109375" style="403"/>
    <col min="261" max="261" width="12" style="403" bestFit="1" customWidth="1"/>
    <col min="262" max="262" width="10.140625" customWidth="1"/>
    <col min="263" max="263" width="10" customWidth="1"/>
    <col min="264" max="264" width="10.140625" customWidth="1"/>
    <col min="265" max="265" width="8.5703125" customWidth="1"/>
    <col min="266" max="266" width="10.28515625" customWidth="1"/>
    <col min="267" max="267" width="11" customWidth="1"/>
    <col min="268" max="268" width="10.7109375" customWidth="1"/>
    <col min="269" max="270" width="10.28515625" customWidth="1"/>
    <col min="271" max="272" width="10.140625" customWidth="1"/>
    <col min="273" max="273" width="9.5703125" customWidth="1"/>
    <col min="274" max="274" width="10.42578125" customWidth="1"/>
    <col min="275" max="275" width="4.5703125" customWidth="1"/>
    <col min="276" max="276" width="9.28515625" style="405" bestFit="1" customWidth="1"/>
    <col min="277" max="277" width="8.7109375" style="405"/>
    <col min="278" max="279" width="11.85546875" style="405" bestFit="1" customWidth="1"/>
    <col min="280" max="16384" width="8.7109375" style="405"/>
  </cols>
  <sheetData>
    <row r="1" spans="1:279" ht="13.9" customHeight="1" x14ac:dyDescent="0.2">
      <c r="A1" s="402" t="s">
        <v>305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403"/>
      <c r="M1" s="403"/>
      <c r="N1" s="403"/>
      <c r="O1" s="403"/>
      <c r="P1" s="403"/>
      <c r="Q1" s="403"/>
      <c r="R1" s="403"/>
      <c r="S1" s="403"/>
      <c r="T1" s="403"/>
      <c r="U1" s="403"/>
      <c r="V1" s="403"/>
      <c r="W1" s="403"/>
      <c r="X1" s="403"/>
      <c r="Y1" s="403"/>
      <c r="Z1" s="403"/>
      <c r="AA1" s="403"/>
      <c r="AB1" s="403"/>
      <c r="AC1" s="403"/>
      <c r="AD1" s="403"/>
      <c r="AE1" s="403"/>
      <c r="AF1" s="403"/>
      <c r="AG1" s="403"/>
      <c r="AH1" s="403"/>
      <c r="AI1" s="403"/>
      <c r="AJ1" s="403"/>
      <c r="AK1" s="403"/>
      <c r="AL1" s="403"/>
      <c r="AM1" s="403"/>
      <c r="AN1" s="403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  <c r="CJ1" s="403"/>
      <c r="CK1" s="403"/>
      <c r="CL1" s="403"/>
      <c r="CM1" s="403"/>
      <c r="CN1" s="403"/>
      <c r="CO1" s="403"/>
      <c r="CP1" s="403"/>
      <c r="CQ1" s="403"/>
      <c r="CR1" s="403"/>
      <c r="CS1" s="403"/>
      <c r="CT1" s="403"/>
      <c r="CU1" s="403"/>
      <c r="CV1" s="403"/>
      <c r="CW1" s="403"/>
      <c r="CX1" s="404"/>
      <c r="CY1" s="403"/>
      <c r="CZ1" s="403"/>
      <c r="DA1" s="403"/>
      <c r="DB1" s="403"/>
      <c r="DC1" s="403"/>
      <c r="DD1" s="403"/>
      <c r="DE1" s="403"/>
      <c r="DF1" s="403"/>
      <c r="DG1" s="403"/>
      <c r="DH1" s="403"/>
      <c r="DI1" s="403"/>
      <c r="DJ1" s="403"/>
      <c r="DK1" s="403"/>
      <c r="DL1" s="403"/>
      <c r="DM1" s="403"/>
      <c r="DN1" s="403"/>
      <c r="DO1" s="403"/>
      <c r="DP1" s="403"/>
      <c r="DQ1" s="403"/>
      <c r="DR1" s="403"/>
      <c r="DS1" s="403"/>
      <c r="DT1" s="403"/>
      <c r="DU1" s="403"/>
      <c r="DV1" s="403"/>
      <c r="DW1" s="403"/>
      <c r="DX1" s="403"/>
      <c r="DY1" s="403"/>
      <c r="DZ1" s="403"/>
      <c r="EA1" s="403"/>
      <c r="EB1" s="403"/>
      <c r="EC1" s="403"/>
      <c r="ED1" s="403"/>
      <c r="EE1" s="403"/>
      <c r="EF1" s="403"/>
      <c r="EG1" s="403"/>
      <c r="EH1" s="403"/>
      <c r="EI1" s="403"/>
      <c r="EJ1" s="403"/>
      <c r="EK1" s="403"/>
      <c r="EL1" s="403"/>
      <c r="EM1" s="403"/>
      <c r="EN1" s="403"/>
      <c r="EO1" s="403"/>
      <c r="EP1" s="403"/>
      <c r="EQ1" s="403"/>
      <c r="ER1" s="403"/>
      <c r="ES1" s="403"/>
      <c r="ET1" s="403"/>
      <c r="EU1" s="403"/>
      <c r="EV1" s="403"/>
      <c r="EW1" s="403"/>
      <c r="EX1" s="403"/>
      <c r="EY1" s="403"/>
      <c r="EZ1" s="403"/>
      <c r="FA1" s="403"/>
      <c r="FB1" s="403"/>
      <c r="FC1" s="403"/>
      <c r="FD1" s="403"/>
      <c r="FE1" s="403"/>
      <c r="FF1" s="403"/>
      <c r="FG1" s="403"/>
      <c r="FH1" s="403"/>
      <c r="FI1" s="403"/>
      <c r="FJ1" s="403"/>
      <c r="FK1" s="403"/>
      <c r="GC1" s="406"/>
    </row>
    <row r="2" spans="1:279" ht="13.9" customHeight="1" x14ac:dyDescent="0.2">
      <c r="A2" s="402" t="s">
        <v>385</v>
      </c>
      <c r="B2" s="403"/>
      <c r="C2" s="403"/>
      <c r="D2" s="403"/>
      <c r="E2" s="403"/>
      <c r="F2" s="403"/>
      <c r="G2" s="403"/>
      <c r="H2" s="403"/>
      <c r="I2" s="403"/>
      <c r="J2" s="403"/>
      <c r="K2" s="403"/>
      <c r="L2" s="403"/>
      <c r="M2" s="403"/>
      <c r="N2" s="403"/>
      <c r="O2" s="403"/>
      <c r="P2" s="403"/>
      <c r="Q2" s="403"/>
      <c r="R2" s="403"/>
      <c r="S2" s="403"/>
      <c r="T2" s="403"/>
      <c r="U2" s="403"/>
      <c r="V2" s="403"/>
      <c r="W2" s="403"/>
      <c r="X2" s="403"/>
      <c r="Y2" s="403"/>
      <c r="Z2" s="403"/>
      <c r="AA2" s="403"/>
      <c r="AB2" s="403"/>
      <c r="AC2" s="403"/>
      <c r="AD2" s="403"/>
      <c r="AE2" s="403"/>
      <c r="AF2" s="403"/>
      <c r="AG2" s="403"/>
      <c r="AH2" s="403"/>
      <c r="AI2" s="403"/>
      <c r="AJ2" s="403"/>
      <c r="AK2" s="403"/>
      <c r="AL2" s="403"/>
      <c r="AM2" s="403"/>
      <c r="AN2" s="403"/>
      <c r="AO2" s="403"/>
      <c r="AP2" s="403"/>
      <c r="AQ2" s="403"/>
      <c r="AR2" s="403"/>
      <c r="AS2" s="403"/>
      <c r="AT2" s="403"/>
      <c r="AU2" s="403"/>
      <c r="AV2" s="403"/>
      <c r="AW2" s="403"/>
      <c r="AX2" s="403"/>
      <c r="AY2" s="403"/>
      <c r="AZ2" s="403"/>
      <c r="BA2" s="403"/>
      <c r="BB2" s="403"/>
      <c r="BC2" s="403"/>
      <c r="BD2" s="403"/>
      <c r="BE2" s="403"/>
      <c r="BF2" s="403"/>
      <c r="BG2" s="403"/>
      <c r="BH2" s="403"/>
      <c r="BI2" s="403"/>
      <c r="BJ2" s="403"/>
      <c r="BK2" s="403"/>
      <c r="BL2" s="403"/>
      <c r="BM2" s="403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  <c r="CJ2" s="403"/>
      <c r="CK2" s="403"/>
      <c r="CL2" s="403"/>
      <c r="CM2" s="403"/>
      <c r="CN2" s="403"/>
      <c r="CO2" s="403"/>
      <c r="CP2" s="403"/>
      <c r="CQ2" s="403"/>
      <c r="CR2" s="403"/>
      <c r="CS2" s="403"/>
      <c r="CT2" s="403"/>
      <c r="CU2" s="403"/>
      <c r="CV2" s="403"/>
      <c r="CW2" s="403"/>
      <c r="CX2" s="403"/>
      <c r="CY2" s="403"/>
      <c r="CZ2" s="403"/>
      <c r="DA2" s="403"/>
      <c r="DB2" s="403"/>
      <c r="DC2" s="403"/>
      <c r="DD2" s="403"/>
      <c r="DE2" s="403"/>
      <c r="DF2" s="403"/>
      <c r="DG2" s="403"/>
      <c r="DH2" s="403"/>
      <c r="DI2" s="403"/>
      <c r="DJ2" s="403"/>
      <c r="DK2" s="403"/>
      <c r="DL2" s="403"/>
      <c r="DM2" s="403"/>
      <c r="DN2" s="403"/>
      <c r="DO2" s="403"/>
      <c r="DP2" s="403"/>
      <c r="DQ2" s="403"/>
      <c r="DR2" s="403"/>
      <c r="DS2" s="403"/>
      <c r="DT2" s="403"/>
      <c r="DU2" s="403"/>
      <c r="DV2" s="403"/>
      <c r="DW2" s="403"/>
      <c r="DX2" s="403"/>
      <c r="DY2" s="403"/>
      <c r="DZ2" s="403"/>
      <c r="EA2" s="403"/>
      <c r="EB2" s="403"/>
      <c r="EC2" s="403"/>
      <c r="ED2" s="403"/>
      <c r="EE2" s="403"/>
      <c r="EF2" s="403"/>
      <c r="EG2" s="403"/>
      <c r="EH2" s="403"/>
      <c r="EI2" s="403"/>
      <c r="EJ2" s="403"/>
      <c r="EK2" s="403"/>
      <c r="EL2" s="403"/>
      <c r="EM2" s="403"/>
      <c r="EN2" s="403"/>
      <c r="EO2" s="403"/>
      <c r="EP2" s="403"/>
      <c r="EQ2" s="403"/>
      <c r="ER2" s="403"/>
      <c r="ES2" s="403"/>
      <c r="ET2" s="403"/>
      <c r="EU2" s="403"/>
      <c r="EV2" s="403"/>
      <c r="EW2" s="403"/>
      <c r="EX2" s="403"/>
      <c r="EY2" s="403"/>
      <c r="EZ2" s="403"/>
      <c r="FA2" s="403"/>
      <c r="FB2" s="404"/>
      <c r="FC2" s="404"/>
      <c r="FD2" s="404"/>
      <c r="FE2" s="404"/>
      <c r="FF2" s="404"/>
      <c r="FG2" s="404"/>
      <c r="FH2" s="404"/>
      <c r="FI2" s="404"/>
      <c r="FJ2" s="404"/>
      <c r="FK2" s="404"/>
      <c r="FL2" s="406"/>
      <c r="FM2" s="406"/>
      <c r="FN2" s="406"/>
      <c r="FO2" s="406"/>
      <c r="FP2" s="406"/>
      <c r="FQ2" s="406"/>
      <c r="FR2" s="406"/>
      <c r="FS2" s="406"/>
      <c r="FT2" s="406"/>
      <c r="FU2" s="406"/>
      <c r="FV2" s="406"/>
      <c r="FW2" s="406"/>
      <c r="FX2" s="406"/>
      <c r="FY2" s="406"/>
      <c r="FZ2" s="406"/>
      <c r="GA2" s="406"/>
      <c r="GB2" s="406"/>
      <c r="GC2" s="407"/>
      <c r="GD2" s="406"/>
      <c r="GE2" s="406"/>
      <c r="GF2" s="406"/>
      <c r="GG2" s="406"/>
      <c r="GH2" s="406"/>
      <c r="GI2" s="406"/>
      <c r="HB2" s="321"/>
      <c r="HC2" s="321"/>
      <c r="HD2" s="321"/>
      <c r="HE2" s="321"/>
      <c r="HF2" s="321"/>
      <c r="HG2" s="321"/>
      <c r="HH2" s="321"/>
      <c r="HI2" s="321"/>
      <c r="HJ2" s="321"/>
      <c r="HK2" s="321"/>
      <c r="HL2" s="321"/>
      <c r="HM2" s="321"/>
      <c r="HN2" s="321"/>
      <c r="HO2" s="321"/>
      <c r="HP2" s="321"/>
      <c r="HQ2" s="321"/>
      <c r="HR2" s="321"/>
      <c r="HS2" s="321"/>
      <c r="HT2" s="321"/>
      <c r="HU2" s="321"/>
      <c r="HV2" s="321"/>
      <c r="HW2" s="321"/>
      <c r="HX2" s="321"/>
      <c r="HY2" s="321"/>
      <c r="HZ2" s="321"/>
      <c r="IA2" s="321"/>
      <c r="IB2" s="321"/>
      <c r="IC2" s="321"/>
      <c r="ID2" s="321"/>
      <c r="IE2" s="321"/>
      <c r="IF2" s="321"/>
      <c r="IG2" s="321"/>
      <c r="IH2" s="321"/>
      <c r="II2" s="321"/>
      <c r="IJ2" s="321"/>
      <c r="IK2" s="321"/>
      <c r="IL2" s="321"/>
      <c r="IM2" s="321"/>
      <c r="IN2" s="321"/>
      <c r="IO2" s="321"/>
      <c r="IP2" s="321"/>
      <c r="IQ2" s="321"/>
      <c r="IR2" s="321"/>
      <c r="IS2" s="321"/>
      <c r="IT2" s="321"/>
      <c r="IU2" s="321"/>
      <c r="IV2" s="321"/>
      <c r="IW2" s="321"/>
      <c r="IX2" s="321"/>
      <c r="IY2" s="321"/>
      <c r="IZ2" s="408"/>
      <c r="JA2" s="408"/>
      <c r="JP2" s="321"/>
    </row>
    <row r="3" spans="1:279" ht="13.9" customHeight="1" x14ac:dyDescent="0.2">
      <c r="A3" s="402" t="s">
        <v>384</v>
      </c>
      <c r="B3" s="403"/>
      <c r="C3" s="403"/>
      <c r="D3" s="403"/>
      <c r="E3" s="403"/>
      <c r="F3" s="403"/>
      <c r="G3" s="403"/>
      <c r="H3" s="403"/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3"/>
      <c r="T3" s="403"/>
      <c r="U3" s="403"/>
      <c r="V3" s="403"/>
      <c r="W3" s="403"/>
      <c r="X3" s="403"/>
      <c r="Y3" s="403"/>
      <c r="Z3" s="403"/>
      <c r="AA3" s="403"/>
      <c r="AB3" s="403"/>
      <c r="AC3" s="403"/>
      <c r="AD3" s="403"/>
      <c r="AE3" s="403"/>
      <c r="AF3" s="403"/>
      <c r="AG3" s="403"/>
      <c r="AH3" s="403"/>
      <c r="AI3" s="403"/>
      <c r="AJ3" s="403"/>
      <c r="AK3" s="403"/>
      <c r="AL3" s="403"/>
      <c r="AM3" s="403"/>
      <c r="AN3" s="403"/>
      <c r="AO3" s="409"/>
      <c r="AP3" s="403"/>
      <c r="AQ3" s="409"/>
      <c r="AR3" s="409"/>
      <c r="AS3" s="403"/>
      <c r="AT3" s="403"/>
      <c r="AU3" s="403"/>
      <c r="AV3" s="403"/>
      <c r="AW3" s="403"/>
      <c r="AX3" s="403"/>
      <c r="AY3" s="403"/>
      <c r="AZ3" s="403"/>
      <c r="BA3" s="403"/>
      <c r="BB3" s="403"/>
      <c r="BC3" s="403"/>
      <c r="BD3" s="403"/>
      <c r="BE3" s="403"/>
      <c r="BF3" s="403"/>
      <c r="BG3" s="403"/>
      <c r="BH3" s="403"/>
      <c r="BI3" s="403"/>
      <c r="BJ3" s="403"/>
      <c r="BK3" s="403"/>
      <c r="BL3" s="403"/>
      <c r="BM3" s="403"/>
      <c r="BN3" s="403"/>
      <c r="BO3" s="403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  <c r="CJ3" s="403"/>
      <c r="CK3" s="403"/>
      <c r="CL3" s="403"/>
      <c r="CM3" s="403"/>
      <c r="CN3" s="403"/>
      <c r="CO3" s="403"/>
      <c r="CP3" s="403"/>
      <c r="CQ3" s="403"/>
      <c r="CR3" s="403"/>
      <c r="CS3" s="403"/>
      <c r="CT3" s="403"/>
      <c r="CU3" s="403"/>
      <c r="CV3" s="403"/>
      <c r="CW3" s="403"/>
      <c r="CX3" s="403"/>
      <c r="CY3" s="403"/>
      <c r="CZ3" s="403"/>
      <c r="DA3" s="403"/>
      <c r="DB3" s="403"/>
      <c r="DC3" s="403"/>
      <c r="DD3" s="403"/>
      <c r="DE3" s="403"/>
      <c r="DF3" s="403"/>
      <c r="DG3" s="403"/>
      <c r="DH3" s="403"/>
      <c r="DI3" s="403"/>
      <c r="DJ3" s="403"/>
      <c r="DK3" s="403"/>
      <c r="DL3" s="403"/>
      <c r="DM3" s="403"/>
      <c r="DN3" s="403"/>
      <c r="DO3" s="403"/>
      <c r="DP3" s="403"/>
      <c r="DQ3" s="403"/>
      <c r="DR3" s="403"/>
      <c r="DS3" s="403"/>
      <c r="DT3" s="403"/>
      <c r="DU3" s="403"/>
      <c r="DV3" s="403"/>
      <c r="DW3" s="403"/>
      <c r="DX3" s="403"/>
      <c r="DY3" s="403"/>
      <c r="DZ3" s="403"/>
      <c r="EA3" s="403"/>
      <c r="EB3" s="403"/>
      <c r="EC3" s="403"/>
      <c r="ED3" s="403"/>
      <c r="EE3" s="403"/>
      <c r="EF3" s="403"/>
      <c r="EG3" s="403"/>
      <c r="EH3" s="403"/>
      <c r="EI3" s="403"/>
      <c r="EJ3" s="403"/>
      <c r="EK3" s="403"/>
      <c r="EL3" s="403"/>
      <c r="EM3" s="403"/>
      <c r="EN3" s="403"/>
      <c r="EO3" s="403"/>
      <c r="EP3" s="403"/>
      <c r="EQ3" s="403"/>
      <c r="ER3" s="403"/>
      <c r="ES3" s="403"/>
      <c r="ET3" s="403"/>
      <c r="EU3" s="403"/>
      <c r="EV3" s="403"/>
      <c r="EW3" s="403"/>
      <c r="EX3" s="403"/>
      <c r="EY3" s="403"/>
      <c r="EZ3" s="403"/>
      <c r="FA3" s="403"/>
      <c r="FB3" s="403"/>
      <c r="FC3" s="403"/>
      <c r="FD3" s="403"/>
      <c r="FE3" s="403"/>
      <c r="FF3" s="403"/>
      <c r="FG3" s="403"/>
      <c r="FH3" s="403"/>
      <c r="FI3" s="403"/>
      <c r="FJ3" s="403"/>
      <c r="FK3" s="403"/>
      <c r="GM3" s="410"/>
      <c r="GN3" s="410"/>
      <c r="GO3" s="410"/>
    </row>
    <row r="4" spans="1:279" ht="13.9" customHeight="1" x14ac:dyDescent="0.2">
      <c r="A4" s="411" t="s">
        <v>352</v>
      </c>
      <c r="B4" s="39">
        <f>YEAR(B5)</f>
        <v>2006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103" t="s">
        <v>29</v>
      </c>
      <c r="O4" s="39">
        <f>YEAR(O5)</f>
        <v>2007</v>
      </c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03" t="s">
        <v>29</v>
      </c>
      <c r="AB4" s="39">
        <f>YEAR(AB5)</f>
        <v>2008</v>
      </c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103" t="s">
        <v>29</v>
      </c>
      <c r="AO4" s="39">
        <f>YEAR(AO5)</f>
        <v>2009</v>
      </c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103" t="s">
        <v>29</v>
      </c>
      <c r="BB4" s="39">
        <f>YEAR(BB5)</f>
        <v>2010</v>
      </c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103" t="s">
        <v>29</v>
      </c>
      <c r="BO4" s="39">
        <f>YEAR(BO5)</f>
        <v>2011</v>
      </c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103" t="s">
        <v>29</v>
      </c>
      <c r="CB4" s="39">
        <f>YEAR(CB5)</f>
        <v>2012</v>
      </c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103" t="s">
        <v>29</v>
      </c>
      <c r="CO4" s="39">
        <f>YEAR(CO5)</f>
        <v>2013</v>
      </c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103" t="s">
        <v>29</v>
      </c>
      <c r="DB4" s="39">
        <f>YEAR(DB5)</f>
        <v>2014</v>
      </c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103" t="s">
        <v>29</v>
      </c>
      <c r="DO4" s="39">
        <f>YEAR(DO5)</f>
        <v>2015</v>
      </c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103" t="s">
        <v>29</v>
      </c>
      <c r="EB4" s="39">
        <f>YEAR(EB5)</f>
        <v>2016</v>
      </c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103" t="s">
        <v>29</v>
      </c>
      <c r="EO4" s="39">
        <f>YEAR(EO5)</f>
        <v>2017</v>
      </c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103" t="s">
        <v>29</v>
      </c>
      <c r="FB4" s="39">
        <f>YEAR(FB5)</f>
        <v>2018</v>
      </c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103" t="s">
        <v>29</v>
      </c>
      <c r="FO4" s="39">
        <f>YEAR(FO5)</f>
        <v>2019</v>
      </c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103" t="s">
        <v>29</v>
      </c>
      <c r="GB4" s="39">
        <f>YEAR(GB5)</f>
        <v>2020</v>
      </c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103" t="s">
        <v>29</v>
      </c>
      <c r="GO4" s="39">
        <f>YEAR(GO5)</f>
        <v>2021</v>
      </c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103" t="s">
        <v>29</v>
      </c>
      <c r="HB4" s="39">
        <f>YEAR(HB5)</f>
        <v>2022</v>
      </c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103" t="s">
        <v>29</v>
      </c>
      <c r="HO4" s="39">
        <f>YEAR(HO5)</f>
        <v>2023</v>
      </c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103" t="s">
        <v>29</v>
      </c>
      <c r="IB4" s="39">
        <f>YEAR(IB5)</f>
        <v>2024</v>
      </c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103" t="s">
        <v>29</v>
      </c>
      <c r="IO4" s="39">
        <f>YEAR(IO5)</f>
        <v>2025</v>
      </c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1318" t="s">
        <v>29</v>
      </c>
      <c r="JB4" s="1689">
        <v>2026</v>
      </c>
      <c r="JC4" s="1690"/>
      <c r="JD4" s="1690"/>
      <c r="JE4" s="1690"/>
      <c r="JF4" s="1690"/>
      <c r="JG4" s="1690"/>
      <c r="JH4" s="1690"/>
      <c r="JI4" s="1690"/>
      <c r="JJ4" s="1690"/>
      <c r="JK4" s="1690"/>
      <c r="JL4" s="1690"/>
      <c r="JM4" s="1691"/>
      <c r="JN4" s="1320" t="s">
        <v>29</v>
      </c>
      <c r="JP4" s="1683" t="str">
        <f>CONCATENATE("Var.% ",JS4,"/",JS4-1)</f>
        <v>Var.% 2026/2025</v>
      </c>
      <c r="JQ4" s="1684"/>
      <c r="JR4" s="41">
        <f>JS4-1</f>
        <v>2025</v>
      </c>
      <c r="JS4" s="41">
        <f>JN5</f>
        <v>2026</v>
      </c>
    </row>
    <row r="5" spans="1:279" ht="13.9" customHeight="1" x14ac:dyDescent="0.2">
      <c r="A5" s="429" t="s">
        <v>352</v>
      </c>
      <c r="B5" s="68">
        <v>38718</v>
      </c>
      <c r="C5" s="69">
        <v>38749</v>
      </c>
      <c r="D5" s="69">
        <v>38777</v>
      </c>
      <c r="E5" s="69">
        <v>38808</v>
      </c>
      <c r="F5" s="69">
        <v>38838</v>
      </c>
      <c r="G5" s="69">
        <v>38869</v>
      </c>
      <c r="H5" s="69">
        <v>38899</v>
      </c>
      <c r="I5" s="69">
        <v>38930</v>
      </c>
      <c r="J5" s="69">
        <v>38961</v>
      </c>
      <c r="K5" s="69">
        <v>38991</v>
      </c>
      <c r="L5" s="69">
        <v>39022</v>
      </c>
      <c r="M5" s="69">
        <v>39052</v>
      </c>
      <c r="N5" s="70">
        <f>YEAR(M5)</f>
        <v>2006</v>
      </c>
      <c r="O5" s="68">
        <v>39083</v>
      </c>
      <c r="P5" s="69">
        <v>39114</v>
      </c>
      <c r="Q5" s="69">
        <v>39142</v>
      </c>
      <c r="R5" s="69">
        <v>39173</v>
      </c>
      <c r="S5" s="69">
        <v>39203</v>
      </c>
      <c r="T5" s="69">
        <v>39234</v>
      </c>
      <c r="U5" s="69">
        <v>39264</v>
      </c>
      <c r="V5" s="69">
        <v>39295</v>
      </c>
      <c r="W5" s="69">
        <v>39326</v>
      </c>
      <c r="X5" s="69">
        <v>39356</v>
      </c>
      <c r="Y5" s="69">
        <v>39387</v>
      </c>
      <c r="Z5" s="69">
        <v>39417</v>
      </c>
      <c r="AA5" s="70">
        <f>YEAR(Z5)</f>
        <v>2007</v>
      </c>
      <c r="AB5" s="68">
        <v>39448</v>
      </c>
      <c r="AC5" s="69">
        <v>39479</v>
      </c>
      <c r="AD5" s="69">
        <v>39508</v>
      </c>
      <c r="AE5" s="69">
        <v>39539</v>
      </c>
      <c r="AF5" s="69">
        <v>39569</v>
      </c>
      <c r="AG5" s="69">
        <v>39600</v>
      </c>
      <c r="AH5" s="69">
        <v>39630</v>
      </c>
      <c r="AI5" s="69">
        <v>39661</v>
      </c>
      <c r="AJ5" s="69">
        <v>39692</v>
      </c>
      <c r="AK5" s="69">
        <v>39722</v>
      </c>
      <c r="AL5" s="69">
        <v>39753</v>
      </c>
      <c r="AM5" s="69">
        <v>39783</v>
      </c>
      <c r="AN5" s="70">
        <f>YEAR(AM5)</f>
        <v>2008</v>
      </c>
      <c r="AO5" s="68">
        <v>39814</v>
      </c>
      <c r="AP5" s="69">
        <v>39845</v>
      </c>
      <c r="AQ5" s="69">
        <v>39873</v>
      </c>
      <c r="AR5" s="69">
        <v>39904</v>
      </c>
      <c r="AS5" s="69">
        <v>39934</v>
      </c>
      <c r="AT5" s="69">
        <v>39965</v>
      </c>
      <c r="AU5" s="69">
        <v>39995</v>
      </c>
      <c r="AV5" s="69">
        <v>40026</v>
      </c>
      <c r="AW5" s="69">
        <v>40057</v>
      </c>
      <c r="AX5" s="69">
        <v>40087</v>
      </c>
      <c r="AY5" s="69">
        <v>40118</v>
      </c>
      <c r="AZ5" s="69">
        <v>40148</v>
      </c>
      <c r="BA5" s="70">
        <f>YEAR(AZ5)</f>
        <v>2009</v>
      </c>
      <c r="BB5" s="68">
        <v>40179</v>
      </c>
      <c r="BC5" s="69">
        <v>40210</v>
      </c>
      <c r="BD5" s="69">
        <v>40238</v>
      </c>
      <c r="BE5" s="69">
        <v>40269</v>
      </c>
      <c r="BF5" s="69">
        <v>40299</v>
      </c>
      <c r="BG5" s="69">
        <v>40330</v>
      </c>
      <c r="BH5" s="69">
        <v>40360</v>
      </c>
      <c r="BI5" s="69">
        <v>40391</v>
      </c>
      <c r="BJ5" s="69">
        <v>40422</v>
      </c>
      <c r="BK5" s="69">
        <v>40452</v>
      </c>
      <c r="BL5" s="69">
        <v>40483</v>
      </c>
      <c r="BM5" s="69">
        <v>40513</v>
      </c>
      <c r="BN5" s="70">
        <f>YEAR(BM5)</f>
        <v>2010</v>
      </c>
      <c r="BO5" s="68">
        <v>40544</v>
      </c>
      <c r="BP5" s="69">
        <v>40575</v>
      </c>
      <c r="BQ5" s="69">
        <v>40603</v>
      </c>
      <c r="BR5" s="69">
        <v>40634</v>
      </c>
      <c r="BS5" s="69">
        <v>40664</v>
      </c>
      <c r="BT5" s="69">
        <v>40695</v>
      </c>
      <c r="BU5" s="69">
        <v>40725</v>
      </c>
      <c r="BV5" s="69">
        <v>40756</v>
      </c>
      <c r="BW5" s="69">
        <v>40787</v>
      </c>
      <c r="BX5" s="69">
        <v>40817</v>
      </c>
      <c r="BY5" s="69">
        <v>40848</v>
      </c>
      <c r="BZ5" s="69">
        <v>40878</v>
      </c>
      <c r="CA5" s="70">
        <f>YEAR(BZ5)</f>
        <v>2011</v>
      </c>
      <c r="CB5" s="68">
        <v>40909</v>
      </c>
      <c r="CC5" s="69">
        <v>40940</v>
      </c>
      <c r="CD5" s="69">
        <v>40969</v>
      </c>
      <c r="CE5" s="69">
        <v>41000</v>
      </c>
      <c r="CF5" s="69">
        <v>41030</v>
      </c>
      <c r="CG5" s="69">
        <v>41061</v>
      </c>
      <c r="CH5" s="69">
        <v>41091</v>
      </c>
      <c r="CI5" s="69">
        <v>41122</v>
      </c>
      <c r="CJ5" s="69">
        <v>41153</v>
      </c>
      <c r="CK5" s="69">
        <v>41183</v>
      </c>
      <c r="CL5" s="69">
        <v>41214</v>
      </c>
      <c r="CM5" s="69">
        <v>41244</v>
      </c>
      <c r="CN5" s="70">
        <f>YEAR(CM5)</f>
        <v>2012</v>
      </c>
      <c r="CO5" s="68">
        <v>41275</v>
      </c>
      <c r="CP5" s="69">
        <v>41306</v>
      </c>
      <c r="CQ5" s="69">
        <v>41334</v>
      </c>
      <c r="CR5" s="69">
        <v>41365</v>
      </c>
      <c r="CS5" s="69">
        <v>41395</v>
      </c>
      <c r="CT5" s="69">
        <v>41426</v>
      </c>
      <c r="CU5" s="69">
        <v>41456</v>
      </c>
      <c r="CV5" s="69">
        <v>41487</v>
      </c>
      <c r="CW5" s="69">
        <v>41518</v>
      </c>
      <c r="CX5" s="69">
        <v>41548</v>
      </c>
      <c r="CY5" s="69">
        <v>41579</v>
      </c>
      <c r="CZ5" s="69">
        <v>41609</v>
      </c>
      <c r="DA5" s="70">
        <f>YEAR(CZ5)</f>
        <v>2013</v>
      </c>
      <c r="DB5" s="68">
        <v>41640</v>
      </c>
      <c r="DC5" s="69">
        <v>41671</v>
      </c>
      <c r="DD5" s="69">
        <v>41699</v>
      </c>
      <c r="DE5" s="69">
        <v>41730</v>
      </c>
      <c r="DF5" s="69">
        <v>41760</v>
      </c>
      <c r="DG5" s="69">
        <v>41791</v>
      </c>
      <c r="DH5" s="69">
        <v>41821</v>
      </c>
      <c r="DI5" s="69">
        <v>41852</v>
      </c>
      <c r="DJ5" s="69">
        <v>41883</v>
      </c>
      <c r="DK5" s="69">
        <v>41913</v>
      </c>
      <c r="DL5" s="69">
        <v>41944</v>
      </c>
      <c r="DM5" s="69">
        <v>41974</v>
      </c>
      <c r="DN5" s="70">
        <f>YEAR(DM5)</f>
        <v>2014</v>
      </c>
      <c r="DO5" s="68">
        <v>42005</v>
      </c>
      <c r="DP5" s="69">
        <v>42036</v>
      </c>
      <c r="DQ5" s="69">
        <v>42064</v>
      </c>
      <c r="DR5" s="69">
        <v>42095</v>
      </c>
      <c r="DS5" s="69">
        <v>42125</v>
      </c>
      <c r="DT5" s="69">
        <v>42156</v>
      </c>
      <c r="DU5" s="69">
        <v>42186</v>
      </c>
      <c r="DV5" s="69">
        <v>42217</v>
      </c>
      <c r="DW5" s="69">
        <v>42248</v>
      </c>
      <c r="DX5" s="69">
        <v>42278</v>
      </c>
      <c r="DY5" s="69">
        <v>42309</v>
      </c>
      <c r="DZ5" s="69">
        <v>42339</v>
      </c>
      <c r="EA5" s="70">
        <f>YEAR(DZ5)</f>
        <v>2015</v>
      </c>
      <c r="EB5" s="68">
        <v>42370</v>
      </c>
      <c r="EC5" s="69">
        <v>42401</v>
      </c>
      <c r="ED5" s="69">
        <v>42430</v>
      </c>
      <c r="EE5" s="69">
        <v>42461</v>
      </c>
      <c r="EF5" s="69">
        <v>42491</v>
      </c>
      <c r="EG5" s="69">
        <v>42522</v>
      </c>
      <c r="EH5" s="69">
        <v>42552</v>
      </c>
      <c r="EI5" s="69">
        <v>42583</v>
      </c>
      <c r="EJ5" s="69">
        <v>42614</v>
      </c>
      <c r="EK5" s="69">
        <v>42644</v>
      </c>
      <c r="EL5" s="69">
        <v>42675</v>
      </c>
      <c r="EM5" s="69">
        <v>42705</v>
      </c>
      <c r="EN5" s="70">
        <f>YEAR(EM5)</f>
        <v>2016</v>
      </c>
      <c r="EO5" s="68">
        <v>42736</v>
      </c>
      <c r="EP5" s="69">
        <v>42767</v>
      </c>
      <c r="EQ5" s="69">
        <v>42795</v>
      </c>
      <c r="ER5" s="69">
        <v>42826</v>
      </c>
      <c r="ES5" s="69">
        <v>42856</v>
      </c>
      <c r="ET5" s="69">
        <v>42887</v>
      </c>
      <c r="EU5" s="69">
        <v>42917</v>
      </c>
      <c r="EV5" s="69">
        <v>42948</v>
      </c>
      <c r="EW5" s="69">
        <v>42979</v>
      </c>
      <c r="EX5" s="69">
        <v>43009</v>
      </c>
      <c r="EY5" s="69">
        <v>43040</v>
      </c>
      <c r="EZ5" s="69">
        <v>43070</v>
      </c>
      <c r="FA5" s="70">
        <f>YEAR(EZ5)</f>
        <v>2017</v>
      </c>
      <c r="FB5" s="68">
        <v>43101</v>
      </c>
      <c r="FC5" s="69">
        <v>43132</v>
      </c>
      <c r="FD5" s="69">
        <v>43160</v>
      </c>
      <c r="FE5" s="69">
        <v>43191</v>
      </c>
      <c r="FF5" s="69">
        <v>43221</v>
      </c>
      <c r="FG5" s="69">
        <v>43252</v>
      </c>
      <c r="FH5" s="69">
        <v>43282</v>
      </c>
      <c r="FI5" s="69">
        <v>43313</v>
      </c>
      <c r="FJ5" s="69">
        <v>43344</v>
      </c>
      <c r="FK5" s="69">
        <v>43374</v>
      </c>
      <c r="FL5" s="69">
        <v>43405</v>
      </c>
      <c r="FM5" s="69">
        <v>43435</v>
      </c>
      <c r="FN5" s="70">
        <f>YEAR(FM5)</f>
        <v>2018</v>
      </c>
      <c r="FO5" s="68">
        <v>43466</v>
      </c>
      <c r="FP5" s="69">
        <v>43497</v>
      </c>
      <c r="FQ5" s="69">
        <v>43525</v>
      </c>
      <c r="FR5" s="69">
        <v>43556</v>
      </c>
      <c r="FS5" s="69">
        <v>43586</v>
      </c>
      <c r="FT5" s="69">
        <v>43617</v>
      </c>
      <c r="FU5" s="69">
        <v>43647</v>
      </c>
      <c r="FV5" s="69">
        <v>43678</v>
      </c>
      <c r="FW5" s="69">
        <v>43709</v>
      </c>
      <c r="FX5" s="69">
        <v>43739</v>
      </c>
      <c r="FY5" s="69">
        <v>43770</v>
      </c>
      <c r="FZ5" s="69">
        <v>43800</v>
      </c>
      <c r="GA5" s="70">
        <f>YEAR(FZ5)</f>
        <v>2019</v>
      </c>
      <c r="GB5" s="68">
        <v>43831</v>
      </c>
      <c r="GC5" s="69">
        <v>43862</v>
      </c>
      <c r="GD5" s="69">
        <v>43891</v>
      </c>
      <c r="GE5" s="69">
        <v>43922</v>
      </c>
      <c r="GF5" s="69">
        <v>43952</v>
      </c>
      <c r="GG5" s="69">
        <v>43983</v>
      </c>
      <c r="GH5" s="69">
        <v>44013</v>
      </c>
      <c r="GI5" s="69">
        <v>44044</v>
      </c>
      <c r="GJ5" s="69">
        <v>44075</v>
      </c>
      <c r="GK5" s="69">
        <v>44105</v>
      </c>
      <c r="GL5" s="69">
        <v>44136</v>
      </c>
      <c r="GM5" s="69">
        <v>44166</v>
      </c>
      <c r="GN5" s="70">
        <f>YEAR(GM5)</f>
        <v>2020</v>
      </c>
      <c r="GO5" s="68">
        <v>44197</v>
      </c>
      <c r="GP5" s="69">
        <v>44228</v>
      </c>
      <c r="GQ5" s="69">
        <v>44256</v>
      </c>
      <c r="GR5" s="69">
        <v>44287</v>
      </c>
      <c r="GS5" s="69">
        <v>44317</v>
      </c>
      <c r="GT5" s="69">
        <v>44348</v>
      </c>
      <c r="GU5" s="69">
        <v>44378</v>
      </c>
      <c r="GV5" s="69">
        <v>44409</v>
      </c>
      <c r="GW5" s="69">
        <v>44440</v>
      </c>
      <c r="GX5" s="69">
        <v>44470</v>
      </c>
      <c r="GY5" s="69">
        <v>44501</v>
      </c>
      <c r="GZ5" s="69">
        <v>44531</v>
      </c>
      <c r="HA5" s="70">
        <f>YEAR(GZ5)</f>
        <v>2021</v>
      </c>
      <c r="HB5" s="68">
        <v>44562</v>
      </c>
      <c r="HC5" s="69">
        <v>44593</v>
      </c>
      <c r="HD5" s="69">
        <v>44621</v>
      </c>
      <c r="HE5" s="69">
        <v>44652</v>
      </c>
      <c r="HF5" s="69">
        <v>44682</v>
      </c>
      <c r="HG5" s="69">
        <v>44713</v>
      </c>
      <c r="HH5" s="69">
        <v>44743</v>
      </c>
      <c r="HI5" s="69">
        <v>44774</v>
      </c>
      <c r="HJ5" s="69">
        <v>44805</v>
      </c>
      <c r="HK5" s="69">
        <v>44835</v>
      </c>
      <c r="HL5" s="69">
        <v>44866</v>
      </c>
      <c r="HM5" s="69">
        <v>44896</v>
      </c>
      <c r="HN5" s="70">
        <f>YEAR(HM5)</f>
        <v>2022</v>
      </c>
      <c r="HO5" s="68">
        <v>44927</v>
      </c>
      <c r="HP5" s="69">
        <v>44958</v>
      </c>
      <c r="HQ5" s="69">
        <v>44986</v>
      </c>
      <c r="HR5" s="69">
        <v>45017</v>
      </c>
      <c r="HS5" s="69">
        <v>45047</v>
      </c>
      <c r="HT5" s="69">
        <v>45078</v>
      </c>
      <c r="HU5" s="69">
        <v>45108</v>
      </c>
      <c r="HV5" s="69">
        <v>45139</v>
      </c>
      <c r="HW5" s="69">
        <v>45170</v>
      </c>
      <c r="HX5" s="69">
        <v>45200</v>
      </c>
      <c r="HY5" s="69">
        <v>45231</v>
      </c>
      <c r="HZ5" s="69">
        <v>45261</v>
      </c>
      <c r="IA5" s="70">
        <f>YEAR(HZ5)</f>
        <v>2023</v>
      </c>
      <c r="IB5" s="68">
        <v>45292</v>
      </c>
      <c r="IC5" s="69">
        <v>45323</v>
      </c>
      <c r="ID5" s="69">
        <v>45352</v>
      </c>
      <c r="IE5" s="69">
        <v>45383</v>
      </c>
      <c r="IF5" s="69">
        <v>45413</v>
      </c>
      <c r="IG5" s="69">
        <v>45444</v>
      </c>
      <c r="IH5" s="69">
        <v>45474</v>
      </c>
      <c r="II5" s="69">
        <v>45505</v>
      </c>
      <c r="IJ5" s="69">
        <v>45536</v>
      </c>
      <c r="IK5" s="69">
        <v>45566</v>
      </c>
      <c r="IL5" s="69">
        <v>45597</v>
      </c>
      <c r="IM5" s="69">
        <v>45627</v>
      </c>
      <c r="IN5" s="70">
        <f>YEAR(IM5)</f>
        <v>2024</v>
      </c>
      <c r="IO5" s="68">
        <v>45658</v>
      </c>
      <c r="IP5" s="69">
        <v>45689</v>
      </c>
      <c r="IQ5" s="69">
        <v>45717</v>
      </c>
      <c r="IR5" s="69">
        <v>45748</v>
      </c>
      <c r="IS5" s="69">
        <v>45778</v>
      </c>
      <c r="IT5" s="69">
        <v>45809</v>
      </c>
      <c r="IU5" s="69">
        <v>45839</v>
      </c>
      <c r="IV5" s="69">
        <v>45870</v>
      </c>
      <c r="IW5" s="69">
        <v>45901</v>
      </c>
      <c r="IX5" s="69">
        <v>45931</v>
      </c>
      <c r="IY5" s="69">
        <v>45962</v>
      </c>
      <c r="IZ5" s="69">
        <v>45992</v>
      </c>
      <c r="JA5" s="1319">
        <f>YEAR(IZ5)</f>
        <v>2025</v>
      </c>
      <c r="JB5" s="1321" t="s">
        <v>652</v>
      </c>
      <c r="JC5" s="1322" t="s">
        <v>653</v>
      </c>
      <c r="JD5" s="1322" t="s">
        <v>654</v>
      </c>
      <c r="JE5" s="1322" t="s">
        <v>655</v>
      </c>
      <c r="JF5" s="1322" t="s">
        <v>656</v>
      </c>
      <c r="JG5" s="1322" t="s">
        <v>657</v>
      </c>
      <c r="JH5" s="1322" t="s">
        <v>658</v>
      </c>
      <c r="JI5" s="1322" t="s">
        <v>659</v>
      </c>
      <c r="JJ5" s="1322" t="s">
        <v>660</v>
      </c>
      <c r="JK5" s="1322" t="s">
        <v>661</v>
      </c>
      <c r="JL5" s="1322" t="s">
        <v>662</v>
      </c>
      <c r="JM5" s="1336" t="s">
        <v>663</v>
      </c>
      <c r="JN5" s="1323">
        <v>2026</v>
      </c>
      <c r="JP5" s="42" t="str">
        <f>JI5</f>
        <v>ago.</v>
      </c>
      <c r="JQ5" s="43" t="str">
        <f>CONCATENATE("Ene.-",TEXT(JP5,"MMM."))</f>
        <v>Ene.-ago.</v>
      </c>
      <c r="JR5" s="43" t="str">
        <f>JQ5</f>
        <v>Ene.-ago.</v>
      </c>
      <c r="JS5" s="43" t="str">
        <f>JQ5</f>
        <v>Ene.-ago.</v>
      </c>
    </row>
    <row r="6" spans="1:279" ht="13.9" customHeight="1" x14ac:dyDescent="0.2">
      <c r="A6" s="435" t="s">
        <v>352</v>
      </c>
      <c r="B6" s="596"/>
      <c r="C6" s="597"/>
      <c r="D6" s="597"/>
      <c r="E6" s="597"/>
      <c r="F6" s="598"/>
      <c r="G6" s="598"/>
      <c r="H6" s="598"/>
      <c r="I6" s="598"/>
      <c r="J6" s="598"/>
      <c r="K6" s="598"/>
      <c r="L6" s="598"/>
      <c r="M6" s="598"/>
      <c r="N6" s="611"/>
      <c r="O6" s="596"/>
      <c r="P6" s="597"/>
      <c r="Q6" s="597"/>
      <c r="R6" s="597"/>
      <c r="S6" s="598"/>
      <c r="T6" s="598"/>
      <c r="U6" s="598"/>
      <c r="V6" s="598"/>
      <c r="W6" s="598"/>
      <c r="X6" s="598"/>
      <c r="Y6" s="598"/>
      <c r="Z6" s="598"/>
      <c r="AA6" s="611"/>
      <c r="AB6" s="596"/>
      <c r="AC6" s="597"/>
      <c r="AD6" s="597"/>
      <c r="AE6" s="597"/>
      <c r="AF6" s="598"/>
      <c r="AG6" s="598"/>
      <c r="AH6" s="598"/>
      <c r="AI6" s="598"/>
      <c r="AJ6" s="598"/>
      <c r="AK6" s="598"/>
      <c r="AL6" s="598"/>
      <c r="AM6" s="598"/>
      <c r="AN6" s="611"/>
      <c r="AO6" s="596"/>
      <c r="AP6" s="597"/>
      <c r="AQ6" s="597"/>
      <c r="AR6" s="597"/>
      <c r="AS6" s="598"/>
      <c r="AT6" s="598"/>
      <c r="AU6" s="598"/>
      <c r="AV6" s="598"/>
      <c r="AW6" s="598"/>
      <c r="AX6" s="598"/>
      <c r="AY6" s="598"/>
      <c r="AZ6" s="598"/>
      <c r="BA6" s="611"/>
      <c r="BB6" s="596"/>
      <c r="BC6" s="597"/>
      <c r="BD6" s="597"/>
      <c r="BE6" s="597"/>
      <c r="BF6" s="598"/>
      <c r="BG6" s="598"/>
      <c r="BH6" s="598"/>
      <c r="BI6" s="598"/>
      <c r="BJ6" s="598"/>
      <c r="BK6" s="598"/>
      <c r="BL6" s="598"/>
      <c r="BM6" s="598"/>
      <c r="BN6" s="611"/>
      <c r="BO6" s="596"/>
      <c r="BP6" s="597"/>
      <c r="BQ6" s="597"/>
      <c r="BR6" s="597"/>
      <c r="BS6" s="598"/>
      <c r="BT6" s="598"/>
      <c r="BU6" s="598"/>
      <c r="BV6" s="598"/>
      <c r="BW6" s="598"/>
      <c r="BX6" s="598"/>
      <c r="BY6" s="598"/>
      <c r="BZ6" s="598"/>
      <c r="CA6" s="611"/>
      <c r="CB6" s="596"/>
      <c r="CC6" s="597"/>
      <c r="CD6" s="597"/>
      <c r="CE6" s="597"/>
      <c r="CF6" s="598"/>
      <c r="CG6" s="598"/>
      <c r="CH6" s="598"/>
      <c r="CI6" s="598"/>
      <c r="CJ6" s="598"/>
      <c r="CK6" s="598"/>
      <c r="CL6" s="598"/>
      <c r="CM6" s="598"/>
      <c r="CN6" s="611"/>
      <c r="CO6" s="596"/>
      <c r="CP6" s="597"/>
      <c r="CQ6" s="597"/>
      <c r="CR6" s="597"/>
      <c r="CS6" s="598"/>
      <c r="CT6" s="598"/>
      <c r="CU6" s="598"/>
      <c r="CV6" s="598"/>
      <c r="CW6" s="598"/>
      <c r="CX6" s="598"/>
      <c r="CY6" s="598"/>
      <c r="CZ6" s="598"/>
      <c r="DA6" s="611"/>
      <c r="DB6" s="596"/>
      <c r="DC6" s="597"/>
      <c r="DD6" s="597"/>
      <c r="DE6" s="597"/>
      <c r="DF6" s="598"/>
      <c r="DG6" s="598"/>
      <c r="DH6" s="598"/>
      <c r="DI6" s="598"/>
      <c r="DJ6" s="598"/>
      <c r="DK6" s="598"/>
      <c r="DL6" s="598"/>
      <c r="DM6" s="598"/>
      <c r="DN6" s="611"/>
      <c r="DO6" s="596"/>
      <c r="DP6" s="597"/>
      <c r="DQ6" s="597"/>
      <c r="DR6" s="597"/>
      <c r="DS6" s="598"/>
      <c r="DT6" s="598"/>
      <c r="DU6" s="598"/>
      <c r="DV6" s="598"/>
      <c r="DW6" s="598"/>
      <c r="DX6" s="598"/>
      <c r="DY6" s="598"/>
      <c r="DZ6" s="598"/>
      <c r="EA6" s="611"/>
      <c r="EB6" s="596"/>
      <c r="EC6" s="597"/>
      <c r="ED6" s="597"/>
      <c r="EE6" s="597"/>
      <c r="EF6" s="598"/>
      <c r="EG6" s="598"/>
      <c r="EH6" s="598"/>
      <c r="EI6" s="598"/>
      <c r="EJ6" s="598"/>
      <c r="EK6" s="598"/>
      <c r="EL6" s="598"/>
      <c r="EM6" s="598"/>
      <c r="EN6" s="611"/>
      <c r="EO6" s="596"/>
      <c r="EP6" s="597"/>
      <c r="EQ6" s="597"/>
      <c r="ER6" s="597"/>
      <c r="ES6" s="598"/>
      <c r="ET6" s="598"/>
      <c r="EU6" s="598"/>
      <c r="EV6" s="598"/>
      <c r="EW6" s="598"/>
      <c r="EX6" s="598"/>
      <c r="EY6" s="598"/>
      <c r="EZ6" s="598"/>
      <c r="FA6" s="611"/>
      <c r="FB6" s="596"/>
      <c r="FC6" s="597"/>
      <c r="FD6" s="597"/>
      <c r="FE6" s="597"/>
      <c r="FF6" s="598"/>
      <c r="FG6" s="598"/>
      <c r="FH6" s="598"/>
      <c r="FI6" s="598"/>
      <c r="FJ6" s="598"/>
      <c r="FK6" s="598"/>
      <c r="FL6" s="598"/>
      <c r="FM6" s="598"/>
      <c r="FN6" s="611"/>
      <c r="FO6" s="596"/>
      <c r="FP6" s="597"/>
      <c r="FQ6" s="597"/>
      <c r="FR6" s="597"/>
      <c r="FS6" s="598"/>
      <c r="FT6" s="598"/>
      <c r="FU6" s="598"/>
      <c r="FV6" s="598"/>
      <c r="FW6" s="598"/>
      <c r="FX6" s="598"/>
      <c r="FY6" s="598"/>
      <c r="FZ6" s="598"/>
      <c r="GA6" s="611"/>
      <c r="GB6" s="596"/>
      <c r="GC6" s="597"/>
      <c r="GD6" s="597"/>
      <c r="GE6" s="597"/>
      <c r="GF6" s="598"/>
      <c r="GG6" s="598"/>
      <c r="GH6" s="598"/>
      <c r="GI6" s="598"/>
      <c r="GJ6" s="598"/>
      <c r="GK6" s="598"/>
      <c r="GL6" s="598"/>
      <c r="GM6" s="598"/>
      <c r="GN6" s="611"/>
      <c r="GO6" s="596"/>
      <c r="GP6" s="597"/>
      <c r="GQ6" s="597"/>
      <c r="GR6" s="597"/>
      <c r="GS6" s="598"/>
      <c r="GT6" s="598"/>
      <c r="GU6" s="598"/>
      <c r="GV6" s="598"/>
      <c r="GW6" s="598"/>
      <c r="GX6" s="598"/>
      <c r="GY6" s="598"/>
      <c r="GZ6" s="598"/>
      <c r="HA6" s="611"/>
      <c r="HB6" s="596"/>
      <c r="HC6" s="597"/>
      <c r="HD6" s="597"/>
      <c r="HE6" s="597"/>
      <c r="HF6" s="598"/>
      <c r="HG6" s="598"/>
      <c r="HH6" s="598"/>
      <c r="HI6" s="598"/>
      <c r="HJ6" s="598"/>
      <c r="HK6" s="598"/>
      <c r="HL6" s="598"/>
      <c r="HM6" s="598"/>
      <c r="HN6" s="611"/>
      <c r="HO6" s="596"/>
      <c r="HP6" s="597"/>
      <c r="HQ6" s="597"/>
      <c r="HR6" s="597"/>
      <c r="HS6" s="598"/>
      <c r="HT6" s="598"/>
      <c r="HU6" s="598"/>
      <c r="HV6" s="598"/>
      <c r="HW6" s="598"/>
      <c r="HX6" s="598"/>
      <c r="HY6" s="598"/>
      <c r="HZ6" s="598"/>
      <c r="IA6" s="611"/>
      <c r="IB6" s="596"/>
      <c r="IC6" s="597"/>
      <c r="ID6" s="597"/>
      <c r="IE6" s="597"/>
      <c r="IF6" s="598"/>
      <c r="IG6" s="598"/>
      <c r="IH6" s="598"/>
      <c r="II6" s="598"/>
      <c r="IJ6" s="598"/>
      <c r="IK6" s="598"/>
      <c r="IL6" s="598"/>
      <c r="IM6" s="598"/>
      <c r="IN6" s="611"/>
      <c r="IO6" s="596"/>
      <c r="IP6" s="597"/>
      <c r="IQ6" s="597"/>
      <c r="IR6" s="597"/>
      <c r="IS6" s="598"/>
      <c r="IT6" s="598"/>
      <c r="IU6" s="598"/>
      <c r="IV6" s="598"/>
      <c r="IW6" s="598"/>
      <c r="IX6" s="598"/>
      <c r="IY6" s="598"/>
      <c r="IZ6" s="598"/>
      <c r="JA6" s="1359"/>
      <c r="JB6" s="1354"/>
      <c r="JC6" s="1355"/>
      <c r="JD6" s="1355"/>
      <c r="JE6" s="1355"/>
      <c r="JF6" s="1355"/>
      <c r="JG6" s="1355"/>
      <c r="JH6" s="1355"/>
      <c r="JI6" s="1355"/>
      <c r="JJ6" s="1355"/>
      <c r="JK6" s="1355"/>
      <c r="JL6" s="1355"/>
      <c r="JM6" s="1356"/>
      <c r="JN6" s="1357"/>
      <c r="JP6" s="616"/>
      <c r="JQ6" s="616"/>
      <c r="JR6" s="445"/>
      <c r="JS6" s="445"/>
    </row>
    <row r="7" spans="1:279" s="594" customFormat="1" ht="13.9" customHeight="1" x14ac:dyDescent="0.2">
      <c r="A7" s="454" t="s">
        <v>386</v>
      </c>
      <c r="B7" s="599">
        <f>+B8+B17+B20</f>
        <v>3167</v>
      </c>
      <c r="C7" s="600">
        <f t="shared" ref="C7:M7" si="0">+C8+C17+C20</f>
        <v>781</v>
      </c>
      <c r="D7" s="600">
        <f t="shared" si="0"/>
        <v>5516</v>
      </c>
      <c r="E7" s="600">
        <f t="shared" si="0"/>
        <v>1262</v>
      </c>
      <c r="F7" s="600">
        <f t="shared" si="0"/>
        <v>1058</v>
      </c>
      <c r="G7" s="600">
        <f t="shared" si="0"/>
        <v>2028</v>
      </c>
      <c r="H7" s="600">
        <f t="shared" si="0"/>
        <v>2100</v>
      </c>
      <c r="I7" s="600">
        <f t="shared" si="0"/>
        <v>1761</v>
      </c>
      <c r="J7" s="600">
        <f t="shared" si="0"/>
        <v>1040</v>
      </c>
      <c r="K7" s="600">
        <f t="shared" si="0"/>
        <v>1368</v>
      </c>
      <c r="L7" s="600">
        <f t="shared" si="0"/>
        <v>1715</v>
      </c>
      <c r="M7" s="600">
        <f t="shared" si="0"/>
        <v>557</v>
      </c>
      <c r="N7" s="612">
        <f>SUM(B7:M7)</f>
        <v>22353</v>
      </c>
      <c r="O7" s="599">
        <f>+O8+O17+O20</f>
        <v>4690</v>
      </c>
      <c r="P7" s="600">
        <f t="shared" ref="P7:Z7" si="1">+P8+P17+P20</f>
        <v>5409</v>
      </c>
      <c r="Q7" s="600">
        <f t="shared" si="1"/>
        <v>55016</v>
      </c>
      <c r="R7" s="600">
        <f t="shared" si="1"/>
        <v>5046</v>
      </c>
      <c r="S7" s="600">
        <f t="shared" si="1"/>
        <v>5189</v>
      </c>
      <c r="T7" s="600">
        <f t="shared" si="1"/>
        <v>5046</v>
      </c>
      <c r="U7" s="600">
        <f t="shared" si="1"/>
        <v>5399</v>
      </c>
      <c r="V7" s="600">
        <f t="shared" si="1"/>
        <v>5541</v>
      </c>
      <c r="W7" s="600">
        <f t="shared" si="1"/>
        <v>6053</v>
      </c>
      <c r="X7" s="600">
        <f t="shared" si="1"/>
        <v>5191</v>
      </c>
      <c r="Y7" s="600">
        <f t="shared" si="1"/>
        <v>4616</v>
      </c>
      <c r="Z7" s="600">
        <f t="shared" si="1"/>
        <v>72360</v>
      </c>
      <c r="AA7" s="612">
        <f>SUM(O7:Z7)</f>
        <v>179556</v>
      </c>
      <c r="AB7" s="599">
        <f t="shared" ref="AB7:AM7" si="2">SUM(AB8+AB17+AB20)</f>
        <v>4034</v>
      </c>
      <c r="AC7" s="600">
        <f t="shared" si="2"/>
        <v>6506</v>
      </c>
      <c r="AD7" s="600">
        <f t="shared" si="2"/>
        <v>154821</v>
      </c>
      <c r="AE7" s="600">
        <f t="shared" si="2"/>
        <v>6003</v>
      </c>
      <c r="AF7" s="600">
        <f t="shared" si="2"/>
        <v>7772</v>
      </c>
      <c r="AG7" s="600">
        <f t="shared" si="2"/>
        <v>5465</v>
      </c>
      <c r="AH7" s="600">
        <f t="shared" si="2"/>
        <v>7659</v>
      </c>
      <c r="AI7" s="600">
        <f t="shared" si="2"/>
        <v>7242</v>
      </c>
      <c r="AJ7" s="600">
        <f t="shared" si="2"/>
        <v>12176</v>
      </c>
      <c r="AK7" s="600">
        <f t="shared" si="2"/>
        <v>6037</v>
      </c>
      <c r="AL7" s="600">
        <f t="shared" si="2"/>
        <v>6909</v>
      </c>
      <c r="AM7" s="600">
        <f t="shared" si="2"/>
        <v>9182</v>
      </c>
      <c r="AN7" s="612">
        <f>SUM(AB7:AM7)</f>
        <v>233806</v>
      </c>
      <c r="AO7" s="599">
        <f t="shared" ref="AO7:AZ7" si="3">SUM(AO8+AO17+AO20)</f>
        <v>5376</v>
      </c>
      <c r="AP7" s="600">
        <f t="shared" si="3"/>
        <v>7273</v>
      </c>
      <c r="AQ7" s="600">
        <f t="shared" si="3"/>
        <v>84035</v>
      </c>
      <c r="AR7" s="600">
        <f t="shared" si="3"/>
        <v>10603</v>
      </c>
      <c r="AS7" s="600">
        <f t="shared" si="3"/>
        <v>5199</v>
      </c>
      <c r="AT7" s="600">
        <f t="shared" si="3"/>
        <v>5172</v>
      </c>
      <c r="AU7" s="600">
        <f t="shared" si="3"/>
        <v>6146</v>
      </c>
      <c r="AV7" s="600">
        <f t="shared" si="3"/>
        <v>5511</v>
      </c>
      <c r="AW7" s="600">
        <f t="shared" si="3"/>
        <v>7425</v>
      </c>
      <c r="AX7" s="600">
        <f t="shared" si="3"/>
        <v>43251</v>
      </c>
      <c r="AY7" s="600">
        <f t="shared" si="3"/>
        <v>2033</v>
      </c>
      <c r="AZ7" s="600">
        <f t="shared" si="3"/>
        <v>5770</v>
      </c>
      <c r="BA7" s="612">
        <f>SUM(AO7:AZ7)</f>
        <v>187794</v>
      </c>
      <c r="BB7" s="599">
        <f t="shared" ref="BB7:BM7" si="4">SUM(BB8+BB17+BB20)</f>
        <v>11706</v>
      </c>
      <c r="BC7" s="600">
        <f t="shared" si="4"/>
        <v>6508</v>
      </c>
      <c r="BD7" s="600">
        <f t="shared" si="4"/>
        <v>36793</v>
      </c>
      <c r="BE7" s="600">
        <f t="shared" si="4"/>
        <v>6490</v>
      </c>
      <c r="BF7" s="600">
        <f t="shared" si="4"/>
        <v>18032</v>
      </c>
      <c r="BG7" s="600">
        <f t="shared" si="4"/>
        <v>29464</v>
      </c>
      <c r="BH7" s="600">
        <f t="shared" si="4"/>
        <v>18900</v>
      </c>
      <c r="BI7" s="600">
        <f t="shared" si="4"/>
        <v>13014</v>
      </c>
      <c r="BJ7" s="600">
        <f t="shared" si="4"/>
        <v>8218</v>
      </c>
      <c r="BK7" s="600">
        <f t="shared" si="4"/>
        <v>10883</v>
      </c>
      <c r="BL7" s="600">
        <f t="shared" si="4"/>
        <v>8000</v>
      </c>
      <c r="BM7" s="600">
        <f t="shared" si="4"/>
        <v>9341</v>
      </c>
      <c r="BN7" s="612">
        <f>SUM(BB7:BM7)</f>
        <v>177349</v>
      </c>
      <c r="BO7" s="599">
        <f t="shared" ref="BO7:BZ7" si="5">SUM(BO8+BO17+BO20)</f>
        <v>62806</v>
      </c>
      <c r="BP7" s="600">
        <f t="shared" si="5"/>
        <v>8681</v>
      </c>
      <c r="BQ7" s="600">
        <f t="shared" si="5"/>
        <v>19478</v>
      </c>
      <c r="BR7" s="600">
        <f t="shared" si="5"/>
        <v>16938</v>
      </c>
      <c r="BS7" s="600">
        <f t="shared" si="5"/>
        <v>11220</v>
      </c>
      <c r="BT7" s="600">
        <f t="shared" si="5"/>
        <v>12989</v>
      </c>
      <c r="BU7" s="600">
        <f t="shared" si="5"/>
        <v>21031</v>
      </c>
      <c r="BV7" s="600">
        <f t="shared" si="5"/>
        <v>62930</v>
      </c>
      <c r="BW7" s="600">
        <f t="shared" si="5"/>
        <v>15454</v>
      </c>
      <c r="BX7" s="600">
        <f t="shared" si="5"/>
        <v>7837</v>
      </c>
      <c r="BY7" s="600">
        <f t="shared" si="5"/>
        <v>32552</v>
      </c>
      <c r="BZ7" s="600">
        <f t="shared" si="5"/>
        <v>-58949</v>
      </c>
      <c r="CA7" s="612">
        <f>SUM(BO7:BZ7)</f>
        <v>212967</v>
      </c>
      <c r="CB7" s="599">
        <f t="shared" ref="CB7:CM7" si="6">+CB8+CB17+CB20</f>
        <v>65174</v>
      </c>
      <c r="CC7" s="600">
        <f t="shared" si="6"/>
        <v>2109</v>
      </c>
      <c r="CD7" s="600">
        <f t="shared" si="6"/>
        <v>6874</v>
      </c>
      <c r="CE7" s="600">
        <f t="shared" si="6"/>
        <v>13290</v>
      </c>
      <c r="CF7" s="600">
        <f t="shared" si="6"/>
        <v>4508</v>
      </c>
      <c r="CG7" s="600">
        <f t="shared" si="6"/>
        <v>16623</v>
      </c>
      <c r="CH7" s="600">
        <f t="shared" si="6"/>
        <v>10530</v>
      </c>
      <c r="CI7" s="600">
        <f t="shared" si="6"/>
        <v>46342</v>
      </c>
      <c r="CJ7" s="600">
        <f t="shared" si="6"/>
        <v>15554</v>
      </c>
      <c r="CK7" s="600">
        <f t="shared" si="6"/>
        <v>15238</v>
      </c>
      <c r="CL7" s="600">
        <f t="shared" si="6"/>
        <v>12398</v>
      </c>
      <c r="CM7" s="600">
        <f t="shared" si="6"/>
        <v>46795</v>
      </c>
      <c r="CN7" s="612">
        <f>SUM(CB7:CM7)</f>
        <v>255435</v>
      </c>
      <c r="CO7" s="599">
        <f t="shared" ref="CO7:CZ7" si="7">+CO8+CO17+CO20</f>
        <v>104656</v>
      </c>
      <c r="CP7" s="600">
        <f t="shared" si="7"/>
        <v>11893</v>
      </c>
      <c r="CQ7" s="600">
        <f t="shared" si="7"/>
        <v>6760</v>
      </c>
      <c r="CR7" s="600">
        <f t="shared" si="7"/>
        <v>14552</v>
      </c>
      <c r="CS7" s="600">
        <f t="shared" si="7"/>
        <v>8417</v>
      </c>
      <c r="CT7" s="600">
        <f t="shared" si="7"/>
        <v>30338</v>
      </c>
      <c r="CU7" s="600">
        <f t="shared" si="7"/>
        <v>13697</v>
      </c>
      <c r="CV7" s="600">
        <f t="shared" si="7"/>
        <v>8364</v>
      </c>
      <c r="CW7" s="600">
        <f t="shared" si="7"/>
        <v>9064</v>
      </c>
      <c r="CX7" s="600">
        <f t="shared" si="7"/>
        <v>16316</v>
      </c>
      <c r="CY7" s="600">
        <f t="shared" si="7"/>
        <v>6138</v>
      </c>
      <c r="CZ7" s="600">
        <f t="shared" si="7"/>
        <v>11655</v>
      </c>
      <c r="DA7" s="612">
        <f>SUM(CO7:CZ7)</f>
        <v>241850</v>
      </c>
      <c r="DB7" s="599">
        <f t="shared" ref="DB7:DM7" si="8">+DB8+DB17+DB20</f>
        <v>75663</v>
      </c>
      <c r="DC7" s="600">
        <f t="shared" si="8"/>
        <v>17403</v>
      </c>
      <c r="DD7" s="600">
        <f t="shared" si="8"/>
        <v>12692</v>
      </c>
      <c r="DE7" s="600">
        <f t="shared" si="8"/>
        <v>20967</v>
      </c>
      <c r="DF7" s="600">
        <f t="shared" si="8"/>
        <v>5940</v>
      </c>
      <c r="DG7" s="600">
        <f t="shared" si="8"/>
        <v>8977.41</v>
      </c>
      <c r="DH7" s="600">
        <f t="shared" si="8"/>
        <v>11007</v>
      </c>
      <c r="DI7" s="600">
        <f t="shared" si="8"/>
        <v>13087.599999999999</v>
      </c>
      <c r="DJ7" s="600">
        <f t="shared" si="8"/>
        <v>16256</v>
      </c>
      <c r="DK7" s="600">
        <f t="shared" si="8"/>
        <v>9292</v>
      </c>
      <c r="DL7" s="600">
        <f t="shared" si="8"/>
        <v>14635</v>
      </c>
      <c r="DM7" s="600">
        <f t="shared" si="8"/>
        <v>11341</v>
      </c>
      <c r="DN7" s="612">
        <f>SUM(DB7:DM7)</f>
        <v>217261.01</v>
      </c>
      <c r="DO7" s="599">
        <f t="shared" ref="DO7:DZ7" si="9">+DO8+DO17+DO20</f>
        <v>68087</v>
      </c>
      <c r="DP7" s="600">
        <f t="shared" si="9"/>
        <v>5481</v>
      </c>
      <c r="DQ7" s="600">
        <f t="shared" si="9"/>
        <v>49035</v>
      </c>
      <c r="DR7" s="600">
        <f t="shared" si="9"/>
        <v>8114</v>
      </c>
      <c r="DS7" s="600">
        <f t="shared" si="9"/>
        <v>8540</v>
      </c>
      <c r="DT7" s="600">
        <f t="shared" si="9"/>
        <v>9456</v>
      </c>
      <c r="DU7" s="600">
        <f t="shared" si="9"/>
        <v>131004</v>
      </c>
      <c r="DV7" s="600">
        <f t="shared" si="9"/>
        <v>13202</v>
      </c>
      <c r="DW7" s="600">
        <f t="shared" si="9"/>
        <v>24508</v>
      </c>
      <c r="DX7" s="600">
        <f t="shared" si="9"/>
        <v>10479</v>
      </c>
      <c r="DY7" s="600">
        <f t="shared" si="9"/>
        <v>8498</v>
      </c>
      <c r="DZ7" s="600">
        <f t="shared" si="9"/>
        <v>17033</v>
      </c>
      <c r="EA7" s="612">
        <f>SUM(DO7:DZ7)</f>
        <v>353437</v>
      </c>
      <c r="EB7" s="599">
        <f t="shared" ref="EB7:EM7" si="10">+EB8+EB17+EB20</f>
        <v>77402</v>
      </c>
      <c r="EC7" s="600">
        <f t="shared" si="10"/>
        <v>9281</v>
      </c>
      <c r="ED7" s="600">
        <f t="shared" si="10"/>
        <v>13919</v>
      </c>
      <c r="EE7" s="600">
        <f t="shared" si="10"/>
        <v>16242</v>
      </c>
      <c r="EF7" s="600">
        <f t="shared" si="10"/>
        <v>49823</v>
      </c>
      <c r="EG7" s="600">
        <f t="shared" si="10"/>
        <v>7019</v>
      </c>
      <c r="EH7" s="600">
        <f t="shared" si="10"/>
        <v>41463</v>
      </c>
      <c r="EI7" s="600">
        <f t="shared" si="10"/>
        <v>23868</v>
      </c>
      <c r="EJ7" s="600">
        <f t="shared" si="10"/>
        <v>10233</v>
      </c>
      <c r="EK7" s="600">
        <f t="shared" si="10"/>
        <v>17026</v>
      </c>
      <c r="EL7" s="600">
        <f t="shared" si="10"/>
        <v>15868</v>
      </c>
      <c r="EM7" s="600">
        <f t="shared" si="10"/>
        <v>16308</v>
      </c>
      <c r="EN7" s="612">
        <f>SUM(EB7:EM7)</f>
        <v>298452</v>
      </c>
      <c r="EO7" s="599">
        <f t="shared" ref="EO7:EZ7" si="11">+EO8+EO17+EO20</f>
        <v>50867</v>
      </c>
      <c r="EP7" s="600">
        <f t="shared" si="11"/>
        <v>16183</v>
      </c>
      <c r="EQ7" s="600">
        <f t="shared" si="11"/>
        <v>31237</v>
      </c>
      <c r="ER7" s="600">
        <f t="shared" si="11"/>
        <v>7487</v>
      </c>
      <c r="ES7" s="600">
        <f t="shared" si="11"/>
        <v>9987</v>
      </c>
      <c r="ET7" s="600">
        <f t="shared" si="11"/>
        <v>12300</v>
      </c>
      <c r="EU7" s="600">
        <f t="shared" si="11"/>
        <v>8494</v>
      </c>
      <c r="EV7" s="600">
        <f t="shared" si="11"/>
        <v>19215</v>
      </c>
      <c r="EW7" s="600">
        <f t="shared" si="11"/>
        <v>6100</v>
      </c>
      <c r="EX7" s="600">
        <f t="shared" si="11"/>
        <v>6435</v>
      </c>
      <c r="EY7" s="600">
        <f t="shared" si="11"/>
        <v>7218</v>
      </c>
      <c r="EZ7" s="600">
        <f t="shared" si="11"/>
        <v>11675</v>
      </c>
      <c r="FA7" s="612">
        <f>SUM(EO7:EZ7)</f>
        <v>187198</v>
      </c>
      <c r="FB7" s="599">
        <f t="shared" ref="FB7:FM7" si="12">+FB8+FB17+FB20</f>
        <v>47637</v>
      </c>
      <c r="FC7" s="600">
        <f t="shared" si="12"/>
        <v>11040</v>
      </c>
      <c r="FD7" s="600">
        <f t="shared" si="12"/>
        <v>34959</v>
      </c>
      <c r="FE7" s="600">
        <f t="shared" si="12"/>
        <v>35761</v>
      </c>
      <c r="FF7" s="600">
        <f t="shared" si="12"/>
        <v>3484</v>
      </c>
      <c r="FG7" s="600">
        <f t="shared" si="12"/>
        <v>12565</v>
      </c>
      <c r="FH7" s="600">
        <f t="shared" si="12"/>
        <v>16025</v>
      </c>
      <c r="FI7" s="600">
        <f t="shared" si="12"/>
        <v>8675</v>
      </c>
      <c r="FJ7" s="600">
        <f t="shared" si="12"/>
        <v>15820</v>
      </c>
      <c r="FK7" s="600">
        <f t="shared" si="12"/>
        <v>14697</v>
      </c>
      <c r="FL7" s="600">
        <f t="shared" si="12"/>
        <v>18110</v>
      </c>
      <c r="FM7" s="600">
        <f t="shared" si="12"/>
        <v>35285</v>
      </c>
      <c r="FN7" s="612">
        <f>SUM(FB7:FM7)</f>
        <v>254058</v>
      </c>
      <c r="FO7" s="599">
        <f t="shared" ref="FO7:FZ7" si="13">+FO8+FO17+FO20</f>
        <v>110274</v>
      </c>
      <c r="FP7" s="600">
        <f t="shared" si="13"/>
        <v>5546</v>
      </c>
      <c r="FQ7" s="600">
        <f t="shared" si="13"/>
        <v>52384</v>
      </c>
      <c r="FR7" s="600">
        <f t="shared" si="13"/>
        <v>9131</v>
      </c>
      <c r="FS7" s="600">
        <f t="shared" si="13"/>
        <v>8102</v>
      </c>
      <c r="FT7" s="600">
        <f t="shared" si="13"/>
        <v>26749</v>
      </c>
      <c r="FU7" s="600">
        <f t="shared" si="13"/>
        <v>9406</v>
      </c>
      <c r="FV7" s="600">
        <f t="shared" si="13"/>
        <v>7423</v>
      </c>
      <c r="FW7" s="600">
        <f t="shared" si="13"/>
        <v>10176</v>
      </c>
      <c r="FX7" s="600">
        <f t="shared" si="13"/>
        <v>6488</v>
      </c>
      <c r="FY7" s="600">
        <f t="shared" si="13"/>
        <v>6985</v>
      </c>
      <c r="FZ7" s="600">
        <f t="shared" si="13"/>
        <v>16798</v>
      </c>
      <c r="GA7" s="612">
        <f>SUM(FO7:FZ7)</f>
        <v>269462</v>
      </c>
      <c r="GB7" s="599">
        <f t="shared" ref="GB7:GM7" si="14">+GB8+GB17+GB20</f>
        <v>91294</v>
      </c>
      <c r="GC7" s="600">
        <f t="shared" si="14"/>
        <v>38582</v>
      </c>
      <c r="GD7" s="600">
        <f t="shared" si="14"/>
        <v>6290</v>
      </c>
      <c r="GE7" s="600">
        <f t="shared" si="14"/>
        <v>4179</v>
      </c>
      <c r="GF7" s="600">
        <f t="shared" si="14"/>
        <v>5668</v>
      </c>
      <c r="GG7" s="600">
        <f t="shared" si="14"/>
        <v>6188</v>
      </c>
      <c r="GH7" s="600">
        <f t="shared" si="14"/>
        <v>21971</v>
      </c>
      <c r="GI7" s="600">
        <f t="shared" si="14"/>
        <v>8854</v>
      </c>
      <c r="GJ7" s="600">
        <f t="shared" si="14"/>
        <v>17103</v>
      </c>
      <c r="GK7" s="600">
        <f t="shared" si="14"/>
        <v>11753</v>
      </c>
      <c r="GL7" s="600">
        <f t="shared" si="14"/>
        <v>7290</v>
      </c>
      <c r="GM7" s="600">
        <f t="shared" si="14"/>
        <v>47424</v>
      </c>
      <c r="GN7" s="612">
        <f>SUM(GB7:GM7)</f>
        <v>266596</v>
      </c>
      <c r="GO7" s="599">
        <f t="shared" ref="GO7:GZ7" si="15">+GO8+GO17+GO20</f>
        <v>98618</v>
      </c>
      <c r="GP7" s="600">
        <f t="shared" si="15"/>
        <v>100510</v>
      </c>
      <c r="GQ7" s="600">
        <f t="shared" si="15"/>
        <v>10947</v>
      </c>
      <c r="GR7" s="600">
        <f t="shared" si="15"/>
        <v>14280</v>
      </c>
      <c r="GS7" s="600">
        <f t="shared" si="15"/>
        <v>9152</v>
      </c>
      <c r="GT7" s="600">
        <f t="shared" si="15"/>
        <v>20488</v>
      </c>
      <c r="GU7" s="600">
        <f t="shared" si="15"/>
        <v>60998</v>
      </c>
      <c r="GV7" s="600">
        <f t="shared" si="15"/>
        <v>17110</v>
      </c>
      <c r="GW7" s="600">
        <f t="shared" si="15"/>
        <v>29461</v>
      </c>
      <c r="GX7" s="600">
        <f t="shared" si="15"/>
        <v>17785</v>
      </c>
      <c r="GY7" s="600">
        <f t="shared" si="15"/>
        <v>55997</v>
      </c>
      <c r="GZ7" s="600">
        <f t="shared" si="15"/>
        <v>49604</v>
      </c>
      <c r="HA7" s="612">
        <f>SUM(GO7:GZ7)</f>
        <v>484950</v>
      </c>
      <c r="HB7" s="599">
        <f t="shared" ref="HB7:HM7" si="16">+HB8+HB17+HB20</f>
        <v>115747</v>
      </c>
      <c r="HC7" s="600">
        <f t="shared" si="16"/>
        <v>13945</v>
      </c>
      <c r="HD7" s="600">
        <f t="shared" si="16"/>
        <v>82744</v>
      </c>
      <c r="HE7" s="600">
        <f t="shared" si="16"/>
        <v>24558</v>
      </c>
      <c r="HF7" s="600">
        <f t="shared" si="16"/>
        <v>27855</v>
      </c>
      <c r="HG7" s="600">
        <f t="shared" si="16"/>
        <v>35859</v>
      </c>
      <c r="HH7" s="600">
        <f t="shared" si="16"/>
        <v>43604</v>
      </c>
      <c r="HI7" s="600">
        <f t="shared" si="16"/>
        <v>57399</v>
      </c>
      <c r="HJ7" s="600">
        <f t="shared" si="16"/>
        <v>45382</v>
      </c>
      <c r="HK7" s="600">
        <f t="shared" si="16"/>
        <v>32458</v>
      </c>
      <c r="HL7" s="600">
        <f t="shared" si="16"/>
        <v>40618</v>
      </c>
      <c r="HM7" s="600">
        <f t="shared" si="16"/>
        <v>31724</v>
      </c>
      <c r="HN7" s="612">
        <f>SUM(HB7:HM7)</f>
        <v>551893</v>
      </c>
      <c r="HO7" s="599">
        <f t="shared" ref="HO7:HZ7" si="17">+HO8+HO17+HO20</f>
        <v>147797</v>
      </c>
      <c r="HP7" s="600">
        <f t="shared" si="17"/>
        <v>54041</v>
      </c>
      <c r="HQ7" s="600">
        <f t="shared" si="17"/>
        <v>33814</v>
      </c>
      <c r="HR7" s="600">
        <f t="shared" si="17"/>
        <v>29457</v>
      </c>
      <c r="HS7" s="600">
        <f t="shared" si="17"/>
        <v>34918</v>
      </c>
      <c r="HT7" s="600">
        <f t="shared" si="17"/>
        <v>31658</v>
      </c>
      <c r="HU7" s="600">
        <f t="shared" si="17"/>
        <v>42653</v>
      </c>
      <c r="HV7" s="600">
        <f t="shared" si="17"/>
        <v>27736</v>
      </c>
      <c r="HW7" s="600">
        <f t="shared" si="17"/>
        <v>29652</v>
      </c>
      <c r="HX7" s="600">
        <f t="shared" si="17"/>
        <v>29254</v>
      </c>
      <c r="HY7" s="600">
        <f t="shared" si="17"/>
        <v>41085</v>
      </c>
      <c r="HZ7" s="600">
        <f t="shared" si="17"/>
        <v>31974</v>
      </c>
      <c r="IA7" s="612">
        <f>SUM(HO7:HZ7)</f>
        <v>534039</v>
      </c>
      <c r="IB7" s="599">
        <f t="shared" ref="IB7:IM7" si="18">+IB8+IB17+IB20</f>
        <v>137016</v>
      </c>
      <c r="IC7" s="600">
        <f t="shared" si="18"/>
        <v>110840</v>
      </c>
      <c r="ID7" s="600">
        <f t="shared" si="18"/>
        <v>38942</v>
      </c>
      <c r="IE7" s="600">
        <f t="shared" si="18"/>
        <v>26829</v>
      </c>
      <c r="IF7" s="600">
        <f t="shared" si="18"/>
        <v>36546</v>
      </c>
      <c r="IG7" s="600">
        <f t="shared" si="18"/>
        <v>43213</v>
      </c>
      <c r="IH7" s="600">
        <f t="shared" si="18"/>
        <v>44683</v>
      </c>
      <c r="II7" s="600">
        <f t="shared" si="18"/>
        <v>41673</v>
      </c>
      <c r="IJ7" s="600">
        <f t="shared" si="18"/>
        <v>40777</v>
      </c>
      <c r="IK7" s="600">
        <f t="shared" si="18"/>
        <v>44527</v>
      </c>
      <c r="IL7" s="600">
        <f t="shared" si="18"/>
        <v>37883</v>
      </c>
      <c r="IM7" s="600">
        <f t="shared" si="18"/>
        <v>71004</v>
      </c>
      <c r="IN7" s="612">
        <f>SUM(IB7:IM7)</f>
        <v>673933</v>
      </c>
      <c r="IO7" s="599">
        <f>+IO8+IO17+IO20</f>
        <v>155495</v>
      </c>
      <c r="IP7" s="600">
        <f t="shared" ref="IP7:IU7" si="19">+IP8+IP17+IP20</f>
        <v>105529</v>
      </c>
      <c r="IQ7" s="600">
        <f t="shared" si="19"/>
        <v>42971</v>
      </c>
      <c r="IR7" s="600">
        <f t="shared" si="19"/>
        <v>37924</v>
      </c>
      <c r="IS7" s="600">
        <f t="shared" si="19"/>
        <v>43610</v>
      </c>
      <c r="IT7" s="600">
        <f>+IT8+IT17+IT20</f>
        <v>49171</v>
      </c>
      <c r="IU7" s="600">
        <f t="shared" si="19"/>
        <v>57764</v>
      </c>
      <c r="IV7" s="600">
        <f>+IV8+IV17+IV20</f>
        <v>41888</v>
      </c>
      <c r="IW7" s="600">
        <f>+IW8+IW17+IW20</f>
        <v>45201</v>
      </c>
      <c r="IX7" s="600">
        <f>+IX8+IX17+IX20</f>
        <v>45524</v>
      </c>
      <c r="IY7" s="600">
        <f>+IY8+IY17+IY20</f>
        <v>47410</v>
      </c>
      <c r="IZ7" s="600">
        <f>+IZ8+IZ17+IZ20</f>
        <v>40869</v>
      </c>
      <c r="JA7" s="599">
        <f>SUM(IO7:IZ7)</f>
        <v>713356</v>
      </c>
      <c r="JB7" s="1326">
        <f>+JB8+JB17+JB20</f>
        <v>140658</v>
      </c>
      <c r="JC7" s="130">
        <f>+JC8+JC17+JC20</f>
        <v>49906</v>
      </c>
      <c r="JD7" s="130">
        <f>+JD8+JD17+JD20</f>
        <v>38798</v>
      </c>
      <c r="JE7" s="130">
        <f>+JE8+JE17+JE20</f>
        <v>36414</v>
      </c>
      <c r="JF7" s="130">
        <f>+JF8+JF17+JF20</f>
        <v>89285</v>
      </c>
      <c r="JG7" s="130">
        <v>43444</v>
      </c>
      <c r="JH7" s="130">
        <f>+JH8+JH17+JH20</f>
        <v>55572</v>
      </c>
      <c r="JI7" s="130">
        <v>92393</v>
      </c>
      <c r="JJ7" s="130"/>
      <c r="JK7" s="130"/>
      <c r="JL7" s="130"/>
      <c r="JM7" s="1341"/>
      <c r="JN7" s="1342">
        <f>SUM(JB7:JM7)</f>
        <v>546470</v>
      </c>
      <c r="JO7"/>
      <c r="JP7" s="452">
        <f>IFERROR(((JI7/IV7)-1)*100,"")</f>
        <v>120.57152406417111</v>
      </c>
      <c r="JQ7" s="452">
        <f>IFERROR(((JS7/JR7)-1)*100,"")</f>
        <v>2.2677935143875283</v>
      </c>
      <c r="JR7" s="453">
        <f>IFERROR(SUM(IO7:IV7),"-")</f>
        <v>534352</v>
      </c>
      <c r="JS7" s="453">
        <f>IFERROR(SUM(JB7:JM7),"-")</f>
        <v>546470</v>
      </c>
    </row>
    <row r="8" spans="1:279" ht="13.9" customHeight="1" x14ac:dyDescent="0.2">
      <c r="A8" s="457" t="s">
        <v>387</v>
      </c>
      <c r="B8" s="601">
        <f t="shared" ref="B8:Z8" si="20">SUM(B11:B16)</f>
        <v>703</v>
      </c>
      <c r="C8" s="602">
        <f t="shared" si="20"/>
        <v>738</v>
      </c>
      <c r="D8" s="602">
        <f t="shared" si="20"/>
        <v>3429</v>
      </c>
      <c r="E8" s="602">
        <f t="shared" si="20"/>
        <v>896</v>
      </c>
      <c r="F8" s="603">
        <f t="shared" si="20"/>
        <v>590</v>
      </c>
      <c r="G8" s="603">
        <f t="shared" si="20"/>
        <v>939</v>
      </c>
      <c r="H8" s="603">
        <f t="shared" si="20"/>
        <v>799</v>
      </c>
      <c r="I8" s="603">
        <f t="shared" si="20"/>
        <v>871</v>
      </c>
      <c r="J8" s="603">
        <f t="shared" si="20"/>
        <v>978</v>
      </c>
      <c r="K8" s="603">
        <f t="shared" si="20"/>
        <v>1072</v>
      </c>
      <c r="L8" s="603">
        <f t="shared" si="20"/>
        <v>1188</v>
      </c>
      <c r="M8" s="603">
        <f t="shared" si="20"/>
        <v>527</v>
      </c>
      <c r="N8" s="613">
        <f t="shared" ref="N8:N30" si="21">SUM(B8:M8)</f>
        <v>12730</v>
      </c>
      <c r="O8" s="601">
        <f t="shared" si="20"/>
        <v>4632</v>
      </c>
      <c r="P8" s="602">
        <f t="shared" si="20"/>
        <v>5037</v>
      </c>
      <c r="Q8" s="602">
        <f t="shared" si="20"/>
        <v>5290</v>
      </c>
      <c r="R8" s="602">
        <f t="shared" si="20"/>
        <v>4926</v>
      </c>
      <c r="S8" s="603">
        <f t="shared" si="20"/>
        <v>4979</v>
      </c>
      <c r="T8" s="603">
        <f t="shared" si="20"/>
        <v>4662</v>
      </c>
      <c r="U8" s="603">
        <f t="shared" si="20"/>
        <v>5123</v>
      </c>
      <c r="V8" s="603">
        <f t="shared" si="20"/>
        <v>5148</v>
      </c>
      <c r="W8" s="603">
        <f t="shared" si="20"/>
        <v>5114</v>
      </c>
      <c r="X8" s="603">
        <f t="shared" si="20"/>
        <v>5111</v>
      </c>
      <c r="Y8" s="603">
        <f t="shared" si="20"/>
        <v>4348</v>
      </c>
      <c r="Z8" s="603">
        <f t="shared" si="20"/>
        <v>72308</v>
      </c>
      <c r="AA8" s="613">
        <f t="shared" ref="AA8:AA30" si="22">SUM(O8:Z8)</f>
        <v>126678</v>
      </c>
      <c r="AB8" s="601">
        <f t="shared" ref="AB8:AM8" si="23">SUM(AB11:AB15)</f>
        <v>3961</v>
      </c>
      <c r="AC8" s="602">
        <f t="shared" si="23"/>
        <v>6287</v>
      </c>
      <c r="AD8" s="602">
        <f t="shared" si="23"/>
        <v>6808</v>
      </c>
      <c r="AE8" s="602">
        <f t="shared" si="23"/>
        <v>5956</v>
      </c>
      <c r="AF8" s="603">
        <f t="shared" si="23"/>
        <v>5917</v>
      </c>
      <c r="AG8" s="603">
        <f t="shared" si="23"/>
        <v>5451</v>
      </c>
      <c r="AH8" s="603">
        <f t="shared" si="23"/>
        <v>6784</v>
      </c>
      <c r="AI8" s="603">
        <f t="shared" si="23"/>
        <v>6813</v>
      </c>
      <c r="AJ8" s="603">
        <f t="shared" si="23"/>
        <v>12152</v>
      </c>
      <c r="AK8" s="603">
        <f t="shared" si="23"/>
        <v>6031</v>
      </c>
      <c r="AL8" s="603">
        <f t="shared" si="23"/>
        <v>6909</v>
      </c>
      <c r="AM8" s="603">
        <f t="shared" si="23"/>
        <v>7753</v>
      </c>
      <c r="AN8" s="613">
        <f t="shared" ref="AN8:AN15" si="24">SUM(AB8:AM8)</f>
        <v>80822</v>
      </c>
      <c r="AO8" s="601">
        <f t="shared" ref="AO8:AZ8" si="25">SUM(AO9:AO15)</f>
        <v>4995</v>
      </c>
      <c r="AP8" s="602">
        <f t="shared" si="25"/>
        <v>7250</v>
      </c>
      <c r="AQ8" s="602">
        <f t="shared" si="25"/>
        <v>5837</v>
      </c>
      <c r="AR8" s="602">
        <f t="shared" si="25"/>
        <v>10601</v>
      </c>
      <c r="AS8" s="603">
        <f t="shared" si="25"/>
        <v>5198</v>
      </c>
      <c r="AT8" s="603">
        <f t="shared" si="25"/>
        <v>5171</v>
      </c>
      <c r="AU8" s="603">
        <f t="shared" si="25"/>
        <v>6145</v>
      </c>
      <c r="AV8" s="603">
        <f t="shared" si="25"/>
        <v>5499</v>
      </c>
      <c r="AW8" s="603">
        <f t="shared" si="25"/>
        <v>5837</v>
      </c>
      <c r="AX8" s="603">
        <f t="shared" si="25"/>
        <v>9835</v>
      </c>
      <c r="AY8" s="603">
        <f t="shared" si="25"/>
        <v>5914</v>
      </c>
      <c r="AZ8" s="603">
        <f t="shared" si="25"/>
        <v>17245</v>
      </c>
      <c r="BA8" s="613">
        <f t="shared" ref="BA8:BA15" si="26">SUM(AO8:AZ8)</f>
        <v>89527</v>
      </c>
      <c r="BB8" s="601">
        <f t="shared" ref="BB8:BM8" si="27">SUM(BB9:BB15)</f>
        <v>8476</v>
      </c>
      <c r="BC8" s="602">
        <f t="shared" si="27"/>
        <v>6506</v>
      </c>
      <c r="BD8" s="602">
        <f t="shared" si="27"/>
        <v>6004</v>
      </c>
      <c r="BE8" s="602">
        <f t="shared" si="27"/>
        <v>6475</v>
      </c>
      <c r="BF8" s="603">
        <f t="shared" si="27"/>
        <v>6033</v>
      </c>
      <c r="BG8" s="603">
        <f t="shared" si="27"/>
        <v>15486</v>
      </c>
      <c r="BH8" s="603">
        <f t="shared" si="27"/>
        <v>20274</v>
      </c>
      <c r="BI8" s="603">
        <f t="shared" si="27"/>
        <v>5765</v>
      </c>
      <c r="BJ8" s="603">
        <f t="shared" si="27"/>
        <v>6857</v>
      </c>
      <c r="BK8" s="603">
        <f t="shared" si="27"/>
        <v>6588</v>
      </c>
      <c r="BL8" s="603">
        <f t="shared" si="27"/>
        <v>6189</v>
      </c>
      <c r="BM8" s="603">
        <f t="shared" si="27"/>
        <v>6331</v>
      </c>
      <c r="BN8" s="613">
        <f t="shared" ref="BN8:BN15" si="28">SUM(BB8:BM8)</f>
        <v>100984</v>
      </c>
      <c r="BO8" s="601">
        <f t="shared" ref="BO8:BZ8" si="29">SUM(BO9:BO15)</f>
        <v>16998</v>
      </c>
      <c r="BP8" s="602">
        <f t="shared" si="29"/>
        <v>5965</v>
      </c>
      <c r="BQ8" s="602">
        <f t="shared" si="29"/>
        <v>7114</v>
      </c>
      <c r="BR8" s="602">
        <f t="shared" si="29"/>
        <v>6200</v>
      </c>
      <c r="BS8" s="603">
        <f t="shared" si="29"/>
        <v>8974</v>
      </c>
      <c r="BT8" s="603">
        <f t="shared" si="29"/>
        <v>9581</v>
      </c>
      <c r="BU8" s="603">
        <f t="shared" si="29"/>
        <v>20959</v>
      </c>
      <c r="BV8" s="603">
        <f t="shared" si="29"/>
        <v>29171</v>
      </c>
      <c r="BW8" s="603">
        <f t="shared" si="29"/>
        <v>15613</v>
      </c>
      <c r="BX8" s="603">
        <f t="shared" si="29"/>
        <v>4874</v>
      </c>
      <c r="BY8" s="603">
        <f t="shared" si="29"/>
        <v>6159</v>
      </c>
      <c r="BZ8" s="603">
        <f t="shared" si="29"/>
        <v>3694</v>
      </c>
      <c r="CA8" s="613">
        <f t="shared" ref="CA8:CA15" si="30">SUM(BO8:BZ8)</f>
        <v>135302</v>
      </c>
      <c r="CB8" s="601">
        <f t="shared" ref="CB8:CM8" si="31">SUM(CB9:CB15)</f>
        <v>2424</v>
      </c>
      <c r="CC8" s="602">
        <f t="shared" si="31"/>
        <v>4163</v>
      </c>
      <c r="CD8" s="602">
        <f t="shared" si="31"/>
        <v>3046</v>
      </c>
      <c r="CE8" s="602">
        <f t="shared" si="31"/>
        <v>1288</v>
      </c>
      <c r="CF8" s="603">
        <f t="shared" si="31"/>
        <v>7073</v>
      </c>
      <c r="CG8" s="603">
        <f t="shared" si="31"/>
        <v>4990</v>
      </c>
      <c r="CH8" s="603">
        <f t="shared" si="31"/>
        <v>8527</v>
      </c>
      <c r="CI8" s="603">
        <f t="shared" si="31"/>
        <v>37937</v>
      </c>
      <c r="CJ8" s="603">
        <f t="shared" si="31"/>
        <v>17438</v>
      </c>
      <c r="CK8" s="603">
        <f t="shared" si="31"/>
        <v>4159</v>
      </c>
      <c r="CL8" s="603">
        <f t="shared" si="31"/>
        <v>15697</v>
      </c>
      <c r="CM8" s="603">
        <f t="shared" si="31"/>
        <v>58679</v>
      </c>
      <c r="CN8" s="613">
        <f t="shared" ref="CN8:CN15" si="32">SUM(CB8:CM8)</f>
        <v>165421</v>
      </c>
      <c r="CO8" s="601">
        <f t="shared" ref="CO8:CZ8" si="33">SUM(CO9:CO15)</f>
        <v>5283</v>
      </c>
      <c r="CP8" s="602">
        <f t="shared" si="33"/>
        <v>14289</v>
      </c>
      <c r="CQ8" s="602">
        <f t="shared" si="33"/>
        <v>10369</v>
      </c>
      <c r="CR8" s="602">
        <f t="shared" si="33"/>
        <v>15624</v>
      </c>
      <c r="CS8" s="603">
        <f t="shared" si="33"/>
        <v>10593</v>
      </c>
      <c r="CT8" s="603">
        <f t="shared" si="33"/>
        <v>14775</v>
      </c>
      <c r="CU8" s="603">
        <f t="shared" si="33"/>
        <v>17001</v>
      </c>
      <c r="CV8" s="603">
        <f t="shared" si="33"/>
        <v>10739</v>
      </c>
      <c r="CW8" s="603">
        <f t="shared" si="33"/>
        <v>10738</v>
      </c>
      <c r="CX8" s="603">
        <f t="shared" si="33"/>
        <v>38355</v>
      </c>
      <c r="CY8" s="603">
        <f t="shared" si="33"/>
        <v>23752</v>
      </c>
      <c r="CZ8" s="603">
        <f t="shared" si="33"/>
        <v>12666</v>
      </c>
      <c r="DA8" s="613">
        <f t="shared" ref="DA8:DA15" si="34">SUM(CO8:CZ8)</f>
        <v>184184</v>
      </c>
      <c r="DB8" s="601">
        <f t="shared" ref="DB8:DM8" si="35">SUM(DB9:DB16)</f>
        <v>22473</v>
      </c>
      <c r="DC8" s="602">
        <f t="shared" si="35"/>
        <v>18399</v>
      </c>
      <c r="DD8" s="602">
        <f t="shared" si="35"/>
        <v>12161</v>
      </c>
      <c r="DE8" s="602">
        <f t="shared" si="35"/>
        <v>21079</v>
      </c>
      <c r="DF8" s="603">
        <f t="shared" si="35"/>
        <v>10076</v>
      </c>
      <c r="DG8" s="603">
        <f t="shared" si="35"/>
        <v>14894</v>
      </c>
      <c r="DH8" s="603">
        <f t="shared" si="35"/>
        <v>12900</v>
      </c>
      <c r="DI8" s="603">
        <f t="shared" si="35"/>
        <v>23163</v>
      </c>
      <c r="DJ8" s="603">
        <f t="shared" si="35"/>
        <v>16740</v>
      </c>
      <c r="DK8" s="603">
        <f t="shared" si="35"/>
        <v>9289</v>
      </c>
      <c r="DL8" s="603">
        <f t="shared" si="35"/>
        <v>14635</v>
      </c>
      <c r="DM8" s="603">
        <f t="shared" si="35"/>
        <v>9440</v>
      </c>
      <c r="DN8" s="613">
        <f t="shared" ref="DN8:DN15" si="36">SUM(DB8:DM8)</f>
        <v>185249</v>
      </c>
      <c r="DO8" s="601">
        <f t="shared" ref="DO8:EY8" si="37">SUM(DO9:DO16)</f>
        <v>12089</v>
      </c>
      <c r="DP8" s="602">
        <f t="shared" si="37"/>
        <v>5481</v>
      </c>
      <c r="DQ8" s="602">
        <f t="shared" si="37"/>
        <v>41682</v>
      </c>
      <c r="DR8" s="602">
        <f t="shared" si="37"/>
        <v>7894</v>
      </c>
      <c r="DS8" s="603">
        <f t="shared" si="37"/>
        <v>7783</v>
      </c>
      <c r="DT8" s="603">
        <f t="shared" si="37"/>
        <v>44777</v>
      </c>
      <c r="DU8" s="603">
        <f t="shared" si="37"/>
        <v>9925</v>
      </c>
      <c r="DV8" s="603">
        <f t="shared" si="37"/>
        <v>13188</v>
      </c>
      <c r="DW8" s="603">
        <f t="shared" si="37"/>
        <v>25288</v>
      </c>
      <c r="DX8" s="603">
        <f t="shared" si="37"/>
        <v>10478</v>
      </c>
      <c r="DY8" s="603">
        <f t="shared" si="37"/>
        <v>8499</v>
      </c>
      <c r="DZ8" s="603">
        <f t="shared" si="37"/>
        <v>17033</v>
      </c>
      <c r="EA8" s="613">
        <f t="shared" ref="EA8:EA15" si="38">SUM(DO8:DZ8)</f>
        <v>204117</v>
      </c>
      <c r="EB8" s="601">
        <f t="shared" si="37"/>
        <v>22121</v>
      </c>
      <c r="EC8" s="602">
        <f t="shared" si="37"/>
        <v>8695</v>
      </c>
      <c r="ED8" s="602">
        <f t="shared" si="37"/>
        <v>14336</v>
      </c>
      <c r="EE8" s="602">
        <f t="shared" si="37"/>
        <v>11969</v>
      </c>
      <c r="EF8" s="603">
        <f t="shared" si="37"/>
        <v>9993</v>
      </c>
      <c r="EG8" s="603">
        <f t="shared" si="37"/>
        <v>8358</v>
      </c>
      <c r="EH8" s="603">
        <f t="shared" si="37"/>
        <v>14256</v>
      </c>
      <c r="EI8" s="603">
        <f t="shared" si="37"/>
        <v>9881</v>
      </c>
      <c r="EJ8" s="603">
        <f t="shared" si="37"/>
        <v>10353</v>
      </c>
      <c r="EK8" s="603">
        <f t="shared" si="37"/>
        <v>16108</v>
      </c>
      <c r="EL8" s="603">
        <f t="shared" si="37"/>
        <v>15374</v>
      </c>
      <c r="EM8" s="603">
        <f t="shared" si="37"/>
        <v>15254</v>
      </c>
      <c r="EN8" s="613">
        <f t="shared" ref="EN8:EN15" si="39">SUM(EB8:EM8)</f>
        <v>156698</v>
      </c>
      <c r="EO8" s="601">
        <f t="shared" si="37"/>
        <v>2110</v>
      </c>
      <c r="EP8" s="602">
        <f t="shared" si="37"/>
        <v>18371</v>
      </c>
      <c r="EQ8" s="602">
        <f t="shared" si="37"/>
        <v>27282</v>
      </c>
      <c r="ER8" s="602">
        <f t="shared" si="37"/>
        <v>10559</v>
      </c>
      <c r="ES8" s="603">
        <f t="shared" si="37"/>
        <v>5522</v>
      </c>
      <c r="ET8" s="603">
        <f t="shared" si="37"/>
        <v>14076</v>
      </c>
      <c r="EU8" s="603">
        <f t="shared" si="37"/>
        <v>9490</v>
      </c>
      <c r="EV8" s="603">
        <f t="shared" si="37"/>
        <v>16564</v>
      </c>
      <c r="EW8" s="603">
        <f t="shared" si="37"/>
        <v>5602</v>
      </c>
      <c r="EX8" s="603">
        <f t="shared" si="37"/>
        <v>5912</v>
      </c>
      <c r="EY8" s="603">
        <f t="shared" si="37"/>
        <v>6838</v>
      </c>
      <c r="EZ8" s="603">
        <f>SUM(EZ9:EZ15)</f>
        <v>12074</v>
      </c>
      <c r="FA8" s="613">
        <f t="shared" ref="FA8:FA15" si="40">SUM(EO8:EZ8)</f>
        <v>134400</v>
      </c>
      <c r="FB8" s="601">
        <f>SUM(FB9:FB16)</f>
        <v>9474</v>
      </c>
      <c r="FC8" s="602">
        <f>SUM(FC9:FC16)</f>
        <v>11953</v>
      </c>
      <c r="FD8" s="602">
        <f t="shared" ref="FD8:FL8" si="41">SUM(FD9:FD16)</f>
        <v>10496</v>
      </c>
      <c r="FE8" s="602">
        <f t="shared" si="41"/>
        <v>28693</v>
      </c>
      <c r="FF8" s="603">
        <f t="shared" si="41"/>
        <v>3850</v>
      </c>
      <c r="FG8" s="603">
        <f t="shared" si="41"/>
        <v>11658</v>
      </c>
      <c r="FH8" s="603">
        <f t="shared" si="41"/>
        <v>15238</v>
      </c>
      <c r="FI8" s="603">
        <f t="shared" si="41"/>
        <v>7135</v>
      </c>
      <c r="FJ8" s="603">
        <f t="shared" si="41"/>
        <v>9582</v>
      </c>
      <c r="FK8" s="603">
        <f t="shared" si="41"/>
        <v>6291</v>
      </c>
      <c r="FL8" s="603">
        <f t="shared" si="41"/>
        <v>11067</v>
      </c>
      <c r="FM8" s="603">
        <f>SUM(FM9:FM15)</f>
        <v>7527</v>
      </c>
      <c r="FN8" s="613">
        <f t="shared" ref="FN8:FN15" si="42">SUM(FB8:FM8)</f>
        <v>132964</v>
      </c>
      <c r="FO8" s="601">
        <f>SUM(FO9:FO16)</f>
        <v>31648</v>
      </c>
      <c r="FP8" s="602">
        <f>SUM(FP9:FP16)</f>
        <v>5651</v>
      </c>
      <c r="FQ8" s="602">
        <f t="shared" ref="FQ8:FY8" si="43">SUM(FQ9:FQ16)</f>
        <v>9109</v>
      </c>
      <c r="FR8" s="602">
        <f t="shared" si="43"/>
        <v>6234</v>
      </c>
      <c r="FS8" s="603">
        <f t="shared" si="43"/>
        <v>8528</v>
      </c>
      <c r="FT8" s="603">
        <f t="shared" si="43"/>
        <v>6058</v>
      </c>
      <c r="FU8" s="603">
        <f t="shared" si="43"/>
        <v>9636</v>
      </c>
      <c r="FV8" s="603">
        <f t="shared" si="43"/>
        <v>7552</v>
      </c>
      <c r="FW8" s="603">
        <f t="shared" si="43"/>
        <v>11169</v>
      </c>
      <c r="FX8" s="603">
        <f t="shared" si="43"/>
        <v>7942</v>
      </c>
      <c r="FY8" s="603">
        <f t="shared" si="43"/>
        <v>9008</v>
      </c>
      <c r="FZ8" s="603">
        <f>SUM(FZ9:FZ15)</f>
        <v>12964</v>
      </c>
      <c r="GA8" s="613">
        <f t="shared" ref="GA8:GA15" si="44">SUM(FO8:FZ8)</f>
        <v>125499</v>
      </c>
      <c r="GB8" s="601">
        <f t="shared" ref="GB8:GM8" si="45">SUM(GB9:GB15)</f>
        <v>19805</v>
      </c>
      <c r="GC8" s="602">
        <f t="shared" si="45"/>
        <v>24054</v>
      </c>
      <c r="GD8" s="602">
        <f t="shared" si="45"/>
        <v>5918</v>
      </c>
      <c r="GE8" s="602">
        <f t="shared" si="45"/>
        <v>4995</v>
      </c>
      <c r="GF8" s="603">
        <f t="shared" si="45"/>
        <v>5852</v>
      </c>
      <c r="GG8" s="603">
        <f t="shared" si="45"/>
        <v>5417</v>
      </c>
      <c r="GH8" s="603">
        <f t="shared" si="45"/>
        <v>20260</v>
      </c>
      <c r="GI8" s="603">
        <f t="shared" si="45"/>
        <v>9752</v>
      </c>
      <c r="GJ8" s="603">
        <f t="shared" si="45"/>
        <v>13926</v>
      </c>
      <c r="GK8" s="603">
        <f t="shared" si="45"/>
        <v>19483</v>
      </c>
      <c r="GL8" s="603">
        <f t="shared" si="45"/>
        <v>13971</v>
      </c>
      <c r="GM8" s="603">
        <f t="shared" si="45"/>
        <v>16202</v>
      </c>
      <c r="GN8" s="613">
        <f t="shared" ref="GN8:GN28" si="46">SUM(GB8:GM8)</f>
        <v>159635</v>
      </c>
      <c r="GO8" s="601">
        <f t="shared" ref="GO8:GZ8" si="47">SUM(GO9:GO15)</f>
        <v>24835</v>
      </c>
      <c r="GP8" s="602">
        <f t="shared" si="47"/>
        <v>89621</v>
      </c>
      <c r="GQ8" s="602">
        <f t="shared" si="47"/>
        <v>10703</v>
      </c>
      <c r="GR8" s="602">
        <f t="shared" si="47"/>
        <v>10657</v>
      </c>
      <c r="GS8" s="603">
        <f t="shared" si="47"/>
        <v>11304</v>
      </c>
      <c r="GT8" s="603">
        <f t="shared" si="47"/>
        <v>17074</v>
      </c>
      <c r="GU8" s="603">
        <f t="shared" si="47"/>
        <v>44543</v>
      </c>
      <c r="GV8" s="603">
        <f t="shared" si="47"/>
        <v>12482</v>
      </c>
      <c r="GW8" s="603">
        <f t="shared" si="47"/>
        <v>7074</v>
      </c>
      <c r="GX8" s="603">
        <f t="shared" si="47"/>
        <v>8120</v>
      </c>
      <c r="GY8" s="603">
        <f t="shared" si="47"/>
        <v>23504</v>
      </c>
      <c r="GZ8" s="603">
        <f t="shared" si="47"/>
        <v>8396</v>
      </c>
      <c r="HA8" s="613">
        <f t="shared" ref="HA8:HA28" si="48">SUM(GO8:GZ8)</f>
        <v>268313</v>
      </c>
      <c r="HB8" s="601">
        <f t="shared" ref="HB8:HM8" si="49">SUM(HB9:HB15)</f>
        <v>25312</v>
      </c>
      <c r="HC8" s="602">
        <f t="shared" si="49"/>
        <v>15698</v>
      </c>
      <c r="HD8" s="602">
        <f t="shared" si="49"/>
        <v>79373</v>
      </c>
      <c r="HE8" s="602">
        <f t="shared" si="49"/>
        <v>27539</v>
      </c>
      <c r="HF8" s="603">
        <f t="shared" si="49"/>
        <v>36314</v>
      </c>
      <c r="HG8" s="603">
        <f t="shared" si="49"/>
        <v>37606</v>
      </c>
      <c r="HH8" s="603">
        <f t="shared" si="49"/>
        <v>45653</v>
      </c>
      <c r="HI8" s="603">
        <f t="shared" si="49"/>
        <v>32481</v>
      </c>
      <c r="HJ8" s="603">
        <f t="shared" si="49"/>
        <v>45855</v>
      </c>
      <c r="HK8" s="603">
        <f t="shared" si="49"/>
        <v>32461</v>
      </c>
      <c r="HL8" s="603">
        <f t="shared" si="49"/>
        <v>40527</v>
      </c>
      <c r="HM8" s="603">
        <f t="shared" si="49"/>
        <v>31752</v>
      </c>
      <c r="HN8" s="613">
        <f t="shared" ref="HN8:HN27" si="50">SUM(HB8:HM8)</f>
        <v>450571</v>
      </c>
      <c r="HO8" s="601">
        <f t="shared" ref="HO8:HZ8" si="51">SUM(HO9:HO15)</f>
        <v>52550</v>
      </c>
      <c r="HP8" s="602">
        <f t="shared" si="51"/>
        <v>54746</v>
      </c>
      <c r="HQ8" s="602">
        <f t="shared" si="51"/>
        <v>33409</v>
      </c>
      <c r="HR8" s="602">
        <f t="shared" si="51"/>
        <v>31367</v>
      </c>
      <c r="HS8" s="603">
        <f t="shared" si="51"/>
        <v>34919</v>
      </c>
      <c r="HT8" s="603">
        <f t="shared" si="51"/>
        <v>31870</v>
      </c>
      <c r="HU8" s="603">
        <f t="shared" si="51"/>
        <v>42658</v>
      </c>
      <c r="HV8" s="603">
        <f t="shared" si="51"/>
        <v>27736</v>
      </c>
      <c r="HW8" s="603">
        <f t="shared" si="51"/>
        <v>29652</v>
      </c>
      <c r="HX8" s="603">
        <f t="shared" si="51"/>
        <v>35394</v>
      </c>
      <c r="HY8" s="603">
        <f t="shared" si="51"/>
        <v>41140</v>
      </c>
      <c r="HZ8" s="603">
        <f t="shared" si="51"/>
        <v>31912</v>
      </c>
      <c r="IA8" s="613">
        <f t="shared" ref="IA8:IA28" si="52">SUM(HO8:HZ8)</f>
        <v>447353</v>
      </c>
      <c r="IB8" s="601">
        <f t="shared" ref="IB8:IM8" si="53">SUM(IB9:IB15)</f>
        <v>26305</v>
      </c>
      <c r="IC8" s="602">
        <f t="shared" si="53"/>
        <v>110840</v>
      </c>
      <c r="ID8" s="602">
        <f t="shared" si="53"/>
        <v>39500</v>
      </c>
      <c r="IE8" s="602">
        <f t="shared" si="53"/>
        <v>34208</v>
      </c>
      <c r="IF8" s="603">
        <f t="shared" si="53"/>
        <v>36546</v>
      </c>
      <c r="IG8" s="603">
        <f t="shared" si="53"/>
        <v>42765</v>
      </c>
      <c r="IH8" s="603">
        <f t="shared" si="53"/>
        <v>44683</v>
      </c>
      <c r="II8" s="603">
        <f t="shared" si="53"/>
        <v>41684</v>
      </c>
      <c r="IJ8" s="603">
        <f t="shared" si="53"/>
        <v>40777</v>
      </c>
      <c r="IK8" s="603">
        <f t="shared" si="53"/>
        <v>44527</v>
      </c>
      <c r="IL8" s="603">
        <f t="shared" si="53"/>
        <v>37883</v>
      </c>
      <c r="IM8" s="603">
        <f t="shared" si="53"/>
        <v>70992</v>
      </c>
      <c r="IN8" s="613">
        <f t="shared" ref="IN8:IN30" si="54">SUM(IB8:IM8)</f>
        <v>570710</v>
      </c>
      <c r="IO8" s="601">
        <f t="shared" ref="IO8:IZ8" si="55">SUM(IO9:IO15)</f>
        <v>48167</v>
      </c>
      <c r="IP8" s="602">
        <f t="shared" si="55"/>
        <v>105526</v>
      </c>
      <c r="IQ8" s="602">
        <f t="shared" si="55"/>
        <v>42971</v>
      </c>
      <c r="IR8" s="602">
        <f t="shared" si="55"/>
        <v>38071</v>
      </c>
      <c r="IS8" s="603">
        <f t="shared" si="55"/>
        <v>43610</v>
      </c>
      <c r="IT8" s="603">
        <f t="shared" si="55"/>
        <v>49160</v>
      </c>
      <c r="IU8" s="603">
        <f t="shared" si="55"/>
        <v>57774</v>
      </c>
      <c r="IV8" s="603">
        <f t="shared" si="55"/>
        <v>41808</v>
      </c>
      <c r="IW8" s="603">
        <f t="shared" si="55"/>
        <v>42745</v>
      </c>
      <c r="IX8" s="603">
        <f t="shared" si="55"/>
        <v>45124</v>
      </c>
      <c r="IY8" s="603">
        <f t="shared" si="55"/>
        <v>47410</v>
      </c>
      <c r="IZ8" s="603">
        <f t="shared" si="55"/>
        <v>40910</v>
      </c>
      <c r="JA8" s="1360">
        <f t="shared" ref="JA8:JA30" si="56">SUM(IO8:IZ8)</f>
        <v>603276</v>
      </c>
      <c r="JB8" s="1328">
        <f t="shared" ref="JB8:JH8" si="57">SUM(JB9:JB15)</f>
        <v>111477</v>
      </c>
      <c r="JC8" s="129">
        <f t="shared" si="57"/>
        <v>49897</v>
      </c>
      <c r="JD8" s="129">
        <f t="shared" si="57"/>
        <v>38698</v>
      </c>
      <c r="JE8" s="129">
        <f t="shared" si="57"/>
        <v>36564</v>
      </c>
      <c r="JF8" s="129">
        <f t="shared" si="57"/>
        <v>59239</v>
      </c>
      <c r="JG8" s="129">
        <v>43444</v>
      </c>
      <c r="JH8" s="129">
        <f t="shared" si="57"/>
        <v>55572</v>
      </c>
      <c r="JI8" s="129">
        <v>92393</v>
      </c>
      <c r="JJ8" s="129"/>
      <c r="JK8" s="129"/>
      <c r="JL8" s="129"/>
      <c r="JM8" s="1268"/>
      <c r="JN8" s="1343">
        <f t="shared" ref="JN8:JN30" si="58">SUM(JB8:JM8)</f>
        <v>487284</v>
      </c>
      <c r="JP8" s="455">
        <f t="shared" ref="JP8:JP30" si="59">IFERROR(((JI8/IV8)-1)*100,"")</f>
        <v>120.99358974358974</v>
      </c>
      <c r="JQ8" s="455">
        <f t="shared" ref="JQ8:JQ30" si="60">IFERROR(((JS8/JR8)-1)*100,"")</f>
        <v>14.094786308176088</v>
      </c>
      <c r="JR8" s="456">
        <f t="shared" ref="JR8:JR30" si="61">IFERROR(SUM(IO8:IV8),"-")</f>
        <v>427087</v>
      </c>
      <c r="JS8" s="456">
        <f t="shared" ref="JS8:JS30" si="62">IFERROR(SUM(JB8:JM8),"-")</f>
        <v>487284</v>
      </c>
    </row>
    <row r="9" spans="1:279" ht="13.9" customHeight="1" x14ac:dyDescent="0.2">
      <c r="A9" s="459" t="s">
        <v>388</v>
      </c>
      <c r="B9" s="604"/>
      <c r="C9" s="605"/>
      <c r="D9" s="605"/>
      <c r="E9" s="605"/>
      <c r="F9" s="606"/>
      <c r="G9" s="606"/>
      <c r="H9" s="606"/>
      <c r="I9" s="606"/>
      <c r="J9" s="606"/>
      <c r="K9" s="606"/>
      <c r="L9" s="606"/>
      <c r="M9" s="606"/>
      <c r="N9" s="614">
        <f t="shared" si="21"/>
        <v>0</v>
      </c>
      <c r="O9" s="604"/>
      <c r="P9" s="605"/>
      <c r="Q9" s="605"/>
      <c r="R9" s="605"/>
      <c r="S9" s="606"/>
      <c r="T9" s="606"/>
      <c r="U9" s="606"/>
      <c r="V9" s="606"/>
      <c r="W9" s="606"/>
      <c r="X9" s="606"/>
      <c r="Y9" s="606"/>
      <c r="Z9" s="606"/>
      <c r="AA9" s="614">
        <f t="shared" si="22"/>
        <v>0</v>
      </c>
      <c r="AB9" s="604">
        <v>0</v>
      </c>
      <c r="AC9" s="605">
        <v>0</v>
      </c>
      <c r="AD9" s="605">
        <v>0</v>
      </c>
      <c r="AE9" s="605">
        <v>0</v>
      </c>
      <c r="AF9" s="606">
        <v>0</v>
      </c>
      <c r="AG9" s="606">
        <v>0</v>
      </c>
      <c r="AH9" s="606">
        <v>0</v>
      </c>
      <c r="AI9" s="606">
        <v>0</v>
      </c>
      <c r="AJ9" s="606">
        <v>0</v>
      </c>
      <c r="AK9" s="606">
        <v>0</v>
      </c>
      <c r="AL9" s="606">
        <v>0</v>
      </c>
      <c r="AM9" s="606">
        <v>0</v>
      </c>
      <c r="AN9" s="614">
        <f t="shared" si="24"/>
        <v>0</v>
      </c>
      <c r="AO9" s="604">
        <v>0</v>
      </c>
      <c r="AP9" s="605">
        <v>0</v>
      </c>
      <c r="AQ9" s="605">
        <v>0</v>
      </c>
      <c r="AR9" s="605">
        <v>30</v>
      </c>
      <c r="AS9" s="606">
        <v>0</v>
      </c>
      <c r="AT9" s="606">
        <v>0</v>
      </c>
      <c r="AU9" s="606">
        <v>0</v>
      </c>
      <c r="AV9" s="606">
        <v>0</v>
      </c>
      <c r="AW9" s="606">
        <v>1</v>
      </c>
      <c r="AX9" s="606">
        <v>0</v>
      </c>
      <c r="AY9" s="606">
        <v>0</v>
      </c>
      <c r="AZ9" s="606">
        <v>0</v>
      </c>
      <c r="BA9" s="614">
        <f t="shared" si="26"/>
        <v>31</v>
      </c>
      <c r="BB9" s="604">
        <v>0</v>
      </c>
      <c r="BC9" s="605">
        <v>0</v>
      </c>
      <c r="BD9" s="605">
        <v>1</v>
      </c>
      <c r="BE9" s="605">
        <v>4</v>
      </c>
      <c r="BF9" s="606">
        <v>0</v>
      </c>
      <c r="BG9" s="606">
        <v>0</v>
      </c>
      <c r="BH9" s="606">
        <v>0</v>
      </c>
      <c r="BI9" s="606">
        <v>0</v>
      </c>
      <c r="BJ9" s="606">
        <v>6</v>
      </c>
      <c r="BK9" s="606">
        <v>4</v>
      </c>
      <c r="BL9" s="606">
        <v>2</v>
      </c>
      <c r="BM9" s="606">
        <v>97</v>
      </c>
      <c r="BN9" s="614">
        <f t="shared" si="28"/>
        <v>114</v>
      </c>
      <c r="BO9" s="604">
        <v>3</v>
      </c>
      <c r="BP9" s="605">
        <v>0</v>
      </c>
      <c r="BQ9" s="605">
        <v>14</v>
      </c>
      <c r="BR9" s="605">
        <v>0</v>
      </c>
      <c r="BS9" s="606">
        <v>13</v>
      </c>
      <c r="BT9" s="606">
        <v>1</v>
      </c>
      <c r="BU9" s="606">
        <v>0</v>
      </c>
      <c r="BV9" s="606">
        <v>19</v>
      </c>
      <c r="BW9" s="606">
        <v>0</v>
      </c>
      <c r="BX9" s="606">
        <v>152</v>
      </c>
      <c r="BY9" s="606">
        <v>0</v>
      </c>
      <c r="BZ9" s="606">
        <v>0</v>
      </c>
      <c r="CA9" s="614">
        <f t="shared" si="30"/>
        <v>202</v>
      </c>
      <c r="CB9" s="604">
        <v>4</v>
      </c>
      <c r="CC9" s="605">
        <v>10</v>
      </c>
      <c r="CD9" s="605">
        <v>13</v>
      </c>
      <c r="CE9" s="605">
        <v>17</v>
      </c>
      <c r="CF9" s="606">
        <v>0</v>
      </c>
      <c r="CG9" s="606">
        <v>0</v>
      </c>
      <c r="CH9" s="606">
        <v>0</v>
      </c>
      <c r="CI9" s="606">
        <v>8</v>
      </c>
      <c r="CJ9" s="606">
        <v>0</v>
      </c>
      <c r="CK9" s="606">
        <v>0</v>
      </c>
      <c r="CL9" s="606">
        <v>0</v>
      </c>
      <c r="CM9" s="606">
        <v>0</v>
      </c>
      <c r="CN9" s="614">
        <f t="shared" si="32"/>
        <v>52</v>
      </c>
      <c r="CO9" s="604">
        <v>0</v>
      </c>
      <c r="CP9" s="605">
        <v>0</v>
      </c>
      <c r="CQ9" s="605">
        <v>0</v>
      </c>
      <c r="CR9" s="605">
        <v>0</v>
      </c>
      <c r="CS9" s="606">
        <v>0</v>
      </c>
      <c r="CT9" s="606">
        <v>0</v>
      </c>
      <c r="CU9" s="606">
        <v>0</v>
      </c>
      <c r="CV9" s="606">
        <v>0</v>
      </c>
      <c r="CW9" s="606">
        <v>0</v>
      </c>
      <c r="CX9" s="606">
        <v>0</v>
      </c>
      <c r="CY9" s="606">
        <v>0</v>
      </c>
      <c r="CZ9" s="606">
        <v>0</v>
      </c>
      <c r="DA9" s="614">
        <f t="shared" si="34"/>
        <v>0</v>
      </c>
      <c r="DB9" s="604">
        <v>0</v>
      </c>
      <c r="DC9" s="605">
        <v>0</v>
      </c>
      <c r="DD9" s="605">
        <v>0</v>
      </c>
      <c r="DE9" s="605">
        <v>0</v>
      </c>
      <c r="DF9" s="606">
        <v>0</v>
      </c>
      <c r="DG9" s="606">
        <v>0</v>
      </c>
      <c r="DH9" s="606">
        <v>0</v>
      </c>
      <c r="DI9" s="606">
        <v>0</v>
      </c>
      <c r="DJ9" s="606">
        <v>0</v>
      </c>
      <c r="DK9" s="606">
        <v>0</v>
      </c>
      <c r="DL9" s="606">
        <v>0</v>
      </c>
      <c r="DM9" s="606">
        <v>0</v>
      </c>
      <c r="DN9" s="614">
        <f t="shared" si="36"/>
        <v>0</v>
      </c>
      <c r="DO9" s="604">
        <v>0</v>
      </c>
      <c r="DP9" s="605">
        <v>0</v>
      </c>
      <c r="DQ9" s="605">
        <v>0</v>
      </c>
      <c r="DR9" s="605">
        <v>0</v>
      </c>
      <c r="DS9" s="606">
        <v>0</v>
      </c>
      <c r="DT9" s="606">
        <v>0</v>
      </c>
      <c r="DU9" s="606">
        <v>0</v>
      </c>
      <c r="DV9" s="606">
        <v>0</v>
      </c>
      <c r="DW9" s="606">
        <v>0</v>
      </c>
      <c r="DX9" s="606">
        <v>0</v>
      </c>
      <c r="DY9" s="606">
        <v>0</v>
      </c>
      <c r="DZ9" s="606"/>
      <c r="EA9" s="614">
        <f t="shared" si="38"/>
        <v>0</v>
      </c>
      <c r="EB9" s="604"/>
      <c r="EC9" s="605"/>
      <c r="ED9" s="605"/>
      <c r="EE9" s="605"/>
      <c r="EF9" s="606"/>
      <c r="EG9" s="606"/>
      <c r="EH9" s="606"/>
      <c r="EI9" s="606"/>
      <c r="EJ9" s="606"/>
      <c r="EK9" s="606"/>
      <c r="EL9" s="606"/>
      <c r="EM9" s="606"/>
      <c r="EN9" s="614">
        <f t="shared" si="39"/>
        <v>0</v>
      </c>
      <c r="EO9" s="604"/>
      <c r="EP9" s="605"/>
      <c r="EQ9" s="605"/>
      <c r="ER9" s="605"/>
      <c r="ES9" s="606"/>
      <c r="ET9" s="606"/>
      <c r="EU9" s="606"/>
      <c r="EV9" s="606"/>
      <c r="EW9" s="606"/>
      <c r="EX9" s="606"/>
      <c r="EY9" s="606"/>
      <c r="EZ9" s="606"/>
      <c r="FA9" s="614">
        <f t="shared" si="40"/>
        <v>0</v>
      </c>
      <c r="FB9" s="604"/>
      <c r="FC9" s="605"/>
      <c r="FD9" s="605"/>
      <c r="FE9" s="605"/>
      <c r="FF9" s="606"/>
      <c r="FG9" s="606"/>
      <c r="FH9" s="606"/>
      <c r="FI9" s="606"/>
      <c r="FJ9" s="606"/>
      <c r="FK9" s="606"/>
      <c r="FL9" s="606"/>
      <c r="FM9" s="606"/>
      <c r="FN9" s="614">
        <f t="shared" si="42"/>
        <v>0</v>
      </c>
      <c r="FO9" s="604"/>
      <c r="FP9" s="605"/>
      <c r="FQ9" s="605"/>
      <c r="FR9" s="605"/>
      <c r="FS9" s="606"/>
      <c r="FT9" s="606"/>
      <c r="FU9" s="606"/>
      <c r="FV9" s="606"/>
      <c r="FW9" s="606"/>
      <c r="FX9" s="606"/>
      <c r="FY9" s="606"/>
      <c r="FZ9" s="606"/>
      <c r="GA9" s="614">
        <f t="shared" si="44"/>
        <v>0</v>
      </c>
      <c r="GB9" s="604"/>
      <c r="GC9" s="605"/>
      <c r="GD9" s="605"/>
      <c r="GE9" s="605"/>
      <c r="GF9" s="606"/>
      <c r="GG9" s="606"/>
      <c r="GH9" s="606"/>
      <c r="GI9" s="606"/>
      <c r="GJ9" s="606"/>
      <c r="GK9" s="606"/>
      <c r="GL9" s="606"/>
      <c r="GM9" s="606"/>
      <c r="GN9" s="614">
        <f t="shared" si="46"/>
        <v>0</v>
      </c>
      <c r="GO9" s="604"/>
      <c r="GP9" s="605"/>
      <c r="GQ9" s="605"/>
      <c r="GR9" s="605"/>
      <c r="GS9" s="606"/>
      <c r="GT9" s="606"/>
      <c r="GU9" s="606"/>
      <c r="GV9" s="606"/>
      <c r="GW9" s="606"/>
      <c r="GX9" s="606"/>
      <c r="GY9" s="606"/>
      <c r="GZ9" s="606"/>
      <c r="HA9" s="614">
        <f t="shared" si="48"/>
        <v>0</v>
      </c>
      <c r="HB9" s="604"/>
      <c r="HC9" s="605"/>
      <c r="HD9" s="605"/>
      <c r="HE9" s="605"/>
      <c r="HF9" s="606"/>
      <c r="HG9" s="606"/>
      <c r="HH9" s="606"/>
      <c r="HI9" s="606"/>
      <c r="HJ9" s="606"/>
      <c r="HK9" s="606"/>
      <c r="HL9" s="606"/>
      <c r="HM9" s="606"/>
      <c r="HN9" s="614">
        <f t="shared" si="50"/>
        <v>0</v>
      </c>
      <c r="HO9" s="604"/>
      <c r="HP9" s="605"/>
      <c r="HQ9" s="605"/>
      <c r="HR9" s="605"/>
      <c r="HS9" s="606"/>
      <c r="HT9" s="606"/>
      <c r="HU9" s="606"/>
      <c r="HV9" s="606"/>
      <c r="HW9" s="606"/>
      <c r="HX9" s="606"/>
      <c r="HY9" s="606"/>
      <c r="HZ9" s="606"/>
      <c r="IA9" s="614">
        <f t="shared" si="52"/>
        <v>0</v>
      </c>
      <c r="IB9" s="604"/>
      <c r="IC9" s="605"/>
      <c r="ID9" s="605"/>
      <c r="IE9" s="605"/>
      <c r="IF9" s="606"/>
      <c r="IG9" s="606"/>
      <c r="IH9" s="606"/>
      <c r="II9" s="606"/>
      <c r="IJ9" s="606"/>
      <c r="IK9" s="606"/>
      <c r="IL9" s="606"/>
      <c r="IM9" s="606"/>
      <c r="IN9" s="614">
        <f t="shared" si="54"/>
        <v>0</v>
      </c>
      <c r="IO9" s="604">
        <v>0</v>
      </c>
      <c r="IP9" s="605">
        <v>0</v>
      </c>
      <c r="IQ9" s="605">
        <v>0</v>
      </c>
      <c r="IR9" s="605">
        <v>0</v>
      </c>
      <c r="IS9" s="606">
        <v>0</v>
      </c>
      <c r="IT9" s="606">
        <v>0</v>
      </c>
      <c r="IU9" s="606">
        <v>0</v>
      </c>
      <c r="IV9" s="606">
        <v>0</v>
      </c>
      <c r="IW9" s="606">
        <v>0</v>
      </c>
      <c r="IX9" s="606">
        <v>0</v>
      </c>
      <c r="IY9" s="606">
        <v>0</v>
      </c>
      <c r="IZ9" s="606">
        <v>0</v>
      </c>
      <c r="JA9" s="607">
        <f>SUM(IO9:IZ9)</f>
        <v>0</v>
      </c>
      <c r="JB9" s="1324">
        <v>0</v>
      </c>
      <c r="JC9">
        <v>0</v>
      </c>
      <c r="JD9">
        <v>0</v>
      </c>
      <c r="JE9">
        <v>0</v>
      </c>
      <c r="JM9" s="1266"/>
      <c r="JN9" s="1059">
        <f t="shared" si="58"/>
        <v>0</v>
      </c>
      <c r="JP9" s="455" t="str">
        <f t="shared" si="59"/>
        <v/>
      </c>
      <c r="JQ9" s="455" t="str">
        <f>IFERROR(((JS9/JR9)-1)*100,"")</f>
        <v/>
      </c>
      <c r="JR9" s="456">
        <f t="shared" si="61"/>
        <v>0</v>
      </c>
      <c r="JS9" s="456">
        <f t="shared" si="62"/>
        <v>0</v>
      </c>
    </row>
    <row r="10" spans="1:279" ht="13.9" customHeight="1" x14ac:dyDescent="0.2">
      <c r="A10" s="459" t="s">
        <v>389</v>
      </c>
      <c r="B10" s="604"/>
      <c r="C10" s="605"/>
      <c r="D10" s="605"/>
      <c r="E10" s="605"/>
      <c r="F10" s="606"/>
      <c r="G10" s="606"/>
      <c r="H10" s="606"/>
      <c r="I10" s="606"/>
      <c r="J10" s="606"/>
      <c r="K10" s="606"/>
      <c r="L10" s="606"/>
      <c r="M10" s="606"/>
      <c r="N10" s="614">
        <f t="shared" si="21"/>
        <v>0</v>
      </c>
      <c r="O10" s="604"/>
      <c r="P10" s="605"/>
      <c r="Q10" s="605"/>
      <c r="R10" s="605"/>
      <c r="S10" s="606"/>
      <c r="T10" s="606"/>
      <c r="U10" s="606"/>
      <c r="V10" s="606"/>
      <c r="W10" s="606"/>
      <c r="X10" s="606"/>
      <c r="Y10" s="606"/>
      <c r="Z10" s="606"/>
      <c r="AA10" s="614">
        <f t="shared" si="22"/>
        <v>0</v>
      </c>
      <c r="AB10" s="604">
        <f>95+197+372</f>
        <v>664</v>
      </c>
      <c r="AC10" s="605">
        <f>77+293+506</f>
        <v>876</v>
      </c>
      <c r="AD10" s="605">
        <f>189+489+538</f>
        <v>1216</v>
      </c>
      <c r="AE10" s="605">
        <f>120+421+583</f>
        <v>1124</v>
      </c>
      <c r="AF10" s="606">
        <f>81+479+471</f>
        <v>1031</v>
      </c>
      <c r="AG10" s="606">
        <f>99+267+441</f>
        <v>807</v>
      </c>
      <c r="AH10" s="606">
        <f>101+286+532</f>
        <v>919</v>
      </c>
      <c r="AI10" s="606">
        <f>92+327+455</f>
        <v>874</v>
      </c>
      <c r="AJ10" s="606">
        <f>135+171+516</f>
        <v>822</v>
      </c>
      <c r="AK10" s="606">
        <f>121+214+625</f>
        <v>960</v>
      </c>
      <c r="AL10" s="606">
        <f>123+344+672</f>
        <v>1139</v>
      </c>
      <c r="AM10" s="606">
        <f>199+358+562</f>
        <v>1119</v>
      </c>
      <c r="AN10" s="614">
        <f t="shared" si="24"/>
        <v>11551</v>
      </c>
      <c r="AO10" s="604">
        <v>831</v>
      </c>
      <c r="AP10" s="605">
        <v>879</v>
      </c>
      <c r="AQ10" s="605">
        <v>1002</v>
      </c>
      <c r="AR10" s="605">
        <v>1097</v>
      </c>
      <c r="AS10" s="606">
        <v>1016</v>
      </c>
      <c r="AT10" s="606">
        <v>878</v>
      </c>
      <c r="AU10" s="606">
        <v>977</v>
      </c>
      <c r="AV10" s="606">
        <v>1167</v>
      </c>
      <c r="AW10" s="606">
        <v>1348</v>
      </c>
      <c r="AX10" s="606">
        <v>1157</v>
      </c>
      <c r="AY10" s="606">
        <v>1240</v>
      </c>
      <c r="AZ10" s="606">
        <v>1433</v>
      </c>
      <c r="BA10" s="614">
        <f t="shared" si="26"/>
        <v>13025</v>
      </c>
      <c r="BB10" s="604">
        <v>1187</v>
      </c>
      <c r="BC10" s="605">
        <v>657</v>
      </c>
      <c r="BD10" s="605">
        <v>1439</v>
      </c>
      <c r="BE10" s="605">
        <v>776</v>
      </c>
      <c r="BF10" s="606">
        <v>1295</v>
      </c>
      <c r="BG10" s="606">
        <v>933</v>
      </c>
      <c r="BH10" s="606">
        <v>1343</v>
      </c>
      <c r="BI10" s="606">
        <v>1171</v>
      </c>
      <c r="BJ10" s="606">
        <v>977</v>
      </c>
      <c r="BK10" s="606">
        <v>1452</v>
      </c>
      <c r="BL10" s="606">
        <v>1224</v>
      </c>
      <c r="BM10" s="606">
        <v>1487</v>
      </c>
      <c r="BN10" s="614">
        <f t="shared" si="28"/>
        <v>13941</v>
      </c>
      <c r="BO10" s="604">
        <v>1028</v>
      </c>
      <c r="BP10" s="605">
        <v>715</v>
      </c>
      <c r="BQ10" s="605">
        <v>1051</v>
      </c>
      <c r="BR10" s="605">
        <v>652</v>
      </c>
      <c r="BS10" s="606">
        <v>986</v>
      </c>
      <c r="BT10" s="606">
        <v>1835</v>
      </c>
      <c r="BU10" s="606">
        <v>1089</v>
      </c>
      <c r="BV10" s="606">
        <v>1190</v>
      </c>
      <c r="BW10" s="606">
        <v>1121</v>
      </c>
      <c r="BX10" s="606">
        <v>1404</v>
      </c>
      <c r="BY10" s="606">
        <v>893</v>
      </c>
      <c r="BZ10" s="606">
        <v>1024</v>
      </c>
      <c r="CA10" s="614">
        <f t="shared" si="30"/>
        <v>12988</v>
      </c>
      <c r="CB10" s="604">
        <v>1190</v>
      </c>
      <c r="CC10" s="605">
        <v>1135</v>
      </c>
      <c r="CD10" s="605">
        <v>1515</v>
      </c>
      <c r="CE10" s="605">
        <v>667</v>
      </c>
      <c r="CF10" s="606">
        <v>705</v>
      </c>
      <c r="CG10" s="606">
        <v>2622</v>
      </c>
      <c r="CH10" s="606">
        <v>660</v>
      </c>
      <c r="CI10" s="606">
        <v>1015</v>
      </c>
      <c r="CJ10" s="606">
        <v>1417</v>
      </c>
      <c r="CK10" s="606">
        <v>1223</v>
      </c>
      <c r="CL10" s="606">
        <v>1527</v>
      </c>
      <c r="CM10" s="606">
        <v>859</v>
      </c>
      <c r="CN10" s="614">
        <f t="shared" si="32"/>
        <v>14535</v>
      </c>
      <c r="CO10" s="604">
        <v>780</v>
      </c>
      <c r="CP10" s="605">
        <v>946</v>
      </c>
      <c r="CQ10" s="605">
        <v>808</v>
      </c>
      <c r="CR10" s="605">
        <v>1276</v>
      </c>
      <c r="CS10" s="606">
        <v>1006</v>
      </c>
      <c r="CT10" s="606">
        <v>1376</v>
      </c>
      <c r="CU10" s="606">
        <v>1708</v>
      </c>
      <c r="CV10" s="606">
        <v>1251</v>
      </c>
      <c r="CW10" s="606">
        <v>1123</v>
      </c>
      <c r="CX10" s="606">
        <v>1090</v>
      </c>
      <c r="CY10" s="606">
        <v>1207</v>
      </c>
      <c r="CZ10" s="606">
        <v>4173</v>
      </c>
      <c r="DA10" s="614">
        <f t="shared" si="34"/>
        <v>16744</v>
      </c>
      <c r="DB10" s="604">
        <v>2303</v>
      </c>
      <c r="DC10" s="605">
        <v>734</v>
      </c>
      <c r="DD10" s="605">
        <v>1288</v>
      </c>
      <c r="DE10" s="605">
        <v>3118</v>
      </c>
      <c r="DF10" s="606">
        <v>1455</v>
      </c>
      <c r="DG10" s="606">
        <v>918</v>
      </c>
      <c r="DH10" s="606">
        <v>1692</v>
      </c>
      <c r="DI10" s="606">
        <v>1631</v>
      </c>
      <c r="DJ10" s="606">
        <v>1306</v>
      </c>
      <c r="DK10" s="606">
        <v>2907</v>
      </c>
      <c r="DL10" s="606">
        <v>1529</v>
      </c>
      <c r="DM10" s="606">
        <v>2902</v>
      </c>
      <c r="DN10" s="614">
        <f t="shared" si="36"/>
        <v>21783</v>
      </c>
      <c r="DO10" s="604">
        <v>1141</v>
      </c>
      <c r="DP10" s="605">
        <v>903</v>
      </c>
      <c r="DQ10" s="605">
        <v>1028</v>
      </c>
      <c r="DR10" s="605">
        <v>2243</v>
      </c>
      <c r="DS10" s="606">
        <v>1317</v>
      </c>
      <c r="DT10" s="606">
        <v>1889</v>
      </c>
      <c r="DU10" s="606">
        <v>1689</v>
      </c>
      <c r="DV10" s="606">
        <v>2479</v>
      </c>
      <c r="DW10" s="606">
        <v>2351</v>
      </c>
      <c r="DX10" s="606">
        <v>1378</v>
      </c>
      <c r="DY10" s="606">
        <v>974</v>
      </c>
      <c r="DZ10" s="606">
        <v>3005</v>
      </c>
      <c r="EA10" s="614">
        <f t="shared" si="38"/>
        <v>20397</v>
      </c>
      <c r="EB10" s="604">
        <v>1565</v>
      </c>
      <c r="EC10" s="605">
        <v>704</v>
      </c>
      <c r="ED10" s="605">
        <v>2656</v>
      </c>
      <c r="EE10" s="605">
        <v>3521</v>
      </c>
      <c r="EF10" s="606">
        <v>3103</v>
      </c>
      <c r="EG10" s="606">
        <v>928</v>
      </c>
      <c r="EH10" s="606">
        <v>1692</v>
      </c>
      <c r="EI10" s="606">
        <v>1112</v>
      </c>
      <c r="EJ10" s="606">
        <v>2136</v>
      </c>
      <c r="EK10" s="606">
        <v>1517</v>
      </c>
      <c r="EL10" s="606">
        <v>1338</v>
      </c>
      <c r="EM10" s="606">
        <v>3908</v>
      </c>
      <c r="EN10" s="614">
        <f t="shared" si="39"/>
        <v>24180</v>
      </c>
      <c r="EO10" s="604">
        <v>1698</v>
      </c>
      <c r="EP10" s="605">
        <v>1436</v>
      </c>
      <c r="EQ10" s="605">
        <v>967</v>
      </c>
      <c r="ER10" s="605">
        <v>2046</v>
      </c>
      <c r="ES10" s="606">
        <v>1186</v>
      </c>
      <c r="ET10" s="606">
        <v>644</v>
      </c>
      <c r="EU10" s="606">
        <v>1243</v>
      </c>
      <c r="EV10" s="606">
        <v>1084</v>
      </c>
      <c r="EW10" s="606">
        <v>1396</v>
      </c>
      <c r="EX10" s="606">
        <v>1158</v>
      </c>
      <c r="EY10" s="606">
        <v>1294</v>
      </c>
      <c r="EZ10" s="606">
        <v>894</v>
      </c>
      <c r="FA10" s="614">
        <f t="shared" si="40"/>
        <v>15046</v>
      </c>
      <c r="FB10" s="604">
        <v>850</v>
      </c>
      <c r="FC10" s="605">
        <v>725</v>
      </c>
      <c r="FD10" s="605">
        <v>703</v>
      </c>
      <c r="FE10" s="605">
        <v>1693</v>
      </c>
      <c r="FF10" s="606">
        <v>937</v>
      </c>
      <c r="FG10" s="606">
        <v>852</v>
      </c>
      <c r="FH10" s="606">
        <v>792</v>
      </c>
      <c r="FI10" s="606">
        <v>1540</v>
      </c>
      <c r="FJ10" s="606">
        <v>949</v>
      </c>
      <c r="FK10" s="606">
        <v>834</v>
      </c>
      <c r="FL10" s="606">
        <v>1750</v>
      </c>
      <c r="FM10" s="606">
        <v>0</v>
      </c>
      <c r="FN10" s="614">
        <f t="shared" si="42"/>
        <v>11625</v>
      </c>
      <c r="FO10" s="604">
        <v>1068</v>
      </c>
      <c r="FP10" s="605">
        <v>924</v>
      </c>
      <c r="FQ10" s="605">
        <v>1122</v>
      </c>
      <c r="FR10" s="605">
        <v>743</v>
      </c>
      <c r="FS10" s="606">
        <v>851</v>
      </c>
      <c r="FT10" s="606">
        <v>866</v>
      </c>
      <c r="FU10" s="606">
        <v>799</v>
      </c>
      <c r="FV10" s="606">
        <v>867</v>
      </c>
      <c r="FW10" s="606">
        <v>933</v>
      </c>
      <c r="FX10" s="606">
        <v>1095</v>
      </c>
      <c r="FY10" s="606">
        <v>1024</v>
      </c>
      <c r="FZ10" s="606">
        <v>853</v>
      </c>
      <c r="GA10" s="614">
        <f t="shared" si="44"/>
        <v>11145</v>
      </c>
      <c r="GB10" s="604">
        <v>1012</v>
      </c>
      <c r="GC10" s="605">
        <v>936</v>
      </c>
      <c r="GD10" s="605">
        <v>847</v>
      </c>
      <c r="GE10" s="605">
        <v>321</v>
      </c>
      <c r="GF10" s="606">
        <v>424</v>
      </c>
      <c r="GG10" s="606">
        <v>637</v>
      </c>
      <c r="GH10" s="606">
        <v>617</v>
      </c>
      <c r="GI10" s="606">
        <v>692</v>
      </c>
      <c r="GJ10" s="606">
        <v>825</v>
      </c>
      <c r="GK10" s="606">
        <v>973</v>
      </c>
      <c r="GL10" s="606">
        <v>1085</v>
      </c>
      <c r="GM10" s="606">
        <v>1218</v>
      </c>
      <c r="GN10" s="614">
        <f t="shared" si="46"/>
        <v>9587</v>
      </c>
      <c r="GO10" s="604">
        <v>987</v>
      </c>
      <c r="GP10" s="605">
        <v>1117</v>
      </c>
      <c r="GQ10" s="605">
        <v>1515</v>
      </c>
      <c r="GR10" s="605">
        <v>1466</v>
      </c>
      <c r="GS10" s="606">
        <v>1179</v>
      </c>
      <c r="GT10" s="606">
        <v>1333</v>
      </c>
      <c r="GU10" s="606">
        <v>1249</v>
      </c>
      <c r="GV10" s="606">
        <v>1804</v>
      </c>
      <c r="GW10" s="606">
        <v>1437</v>
      </c>
      <c r="GX10" s="606">
        <v>1162</v>
      </c>
      <c r="GY10" s="606">
        <v>1503</v>
      </c>
      <c r="GZ10" s="606">
        <v>1872</v>
      </c>
      <c r="HA10" s="614">
        <f t="shared" si="48"/>
        <v>16624</v>
      </c>
      <c r="HB10" s="604">
        <v>2758</v>
      </c>
      <c r="HC10" s="605">
        <v>1705</v>
      </c>
      <c r="HD10" s="605">
        <v>2624</v>
      </c>
      <c r="HE10" s="605">
        <v>899</v>
      </c>
      <c r="HF10" s="606">
        <v>1287</v>
      </c>
      <c r="HG10" s="606">
        <v>1571</v>
      </c>
      <c r="HH10" s="606">
        <v>1179</v>
      </c>
      <c r="HI10" s="606">
        <v>1576</v>
      </c>
      <c r="HJ10" s="606">
        <v>1150</v>
      </c>
      <c r="HK10" s="606">
        <v>1129</v>
      </c>
      <c r="HL10" s="606">
        <v>1113</v>
      </c>
      <c r="HM10" s="606">
        <v>1075</v>
      </c>
      <c r="HN10" s="614">
        <f t="shared" si="50"/>
        <v>18066</v>
      </c>
      <c r="HO10" s="604">
        <v>1438</v>
      </c>
      <c r="HP10" s="605">
        <v>898</v>
      </c>
      <c r="HQ10" s="605">
        <v>931</v>
      </c>
      <c r="HR10" s="605">
        <v>781</v>
      </c>
      <c r="HS10" s="606">
        <v>1196</v>
      </c>
      <c r="HT10" s="606">
        <v>1210</v>
      </c>
      <c r="HU10" s="606">
        <v>817</v>
      </c>
      <c r="HV10" s="606">
        <v>1117</v>
      </c>
      <c r="HW10" s="606">
        <v>1217</v>
      </c>
      <c r="HX10" s="606">
        <v>1340</v>
      </c>
      <c r="HY10" s="606">
        <v>990</v>
      </c>
      <c r="HZ10" s="606">
        <v>890</v>
      </c>
      <c r="IA10" s="614">
        <f t="shared" si="52"/>
        <v>12825</v>
      </c>
      <c r="IB10" s="604">
        <v>1543</v>
      </c>
      <c r="IC10" s="605">
        <v>1127</v>
      </c>
      <c r="ID10" s="605">
        <v>907</v>
      </c>
      <c r="IE10" s="605">
        <v>1481</v>
      </c>
      <c r="IF10" s="606">
        <v>1030</v>
      </c>
      <c r="IG10" s="606">
        <v>969</v>
      </c>
      <c r="IH10" s="606">
        <v>1563</v>
      </c>
      <c r="II10" s="606">
        <v>878</v>
      </c>
      <c r="IJ10" s="606">
        <v>1310</v>
      </c>
      <c r="IK10" s="606">
        <v>1309</v>
      </c>
      <c r="IL10" s="606">
        <v>1317</v>
      </c>
      <c r="IM10" s="606">
        <v>977</v>
      </c>
      <c r="IN10" s="614">
        <f t="shared" si="54"/>
        <v>14411</v>
      </c>
      <c r="IO10" s="604">
        <v>915</v>
      </c>
      <c r="IP10" s="605">
        <v>965</v>
      </c>
      <c r="IQ10" s="605">
        <v>1439</v>
      </c>
      <c r="IR10" s="605">
        <v>1515</v>
      </c>
      <c r="IS10" s="606">
        <v>915</v>
      </c>
      <c r="IT10" s="606">
        <v>985</v>
      </c>
      <c r="IU10" s="606">
        <v>965</v>
      </c>
      <c r="IV10" s="606">
        <v>1120</v>
      </c>
      <c r="IW10" s="606">
        <v>1863</v>
      </c>
      <c r="IX10" s="606">
        <v>2039</v>
      </c>
      <c r="IY10" s="606">
        <v>2105</v>
      </c>
      <c r="IZ10" s="606">
        <v>2162</v>
      </c>
      <c r="JA10" s="607">
        <f t="shared" si="56"/>
        <v>16988</v>
      </c>
      <c r="JB10" s="1324">
        <v>2451</v>
      </c>
      <c r="JC10">
        <v>1307</v>
      </c>
      <c r="JD10">
        <v>2304</v>
      </c>
      <c r="JE10">
        <v>2102</v>
      </c>
      <c r="JF10">
        <v>11546</v>
      </c>
      <c r="JG10">
        <v>864</v>
      </c>
      <c r="JH10">
        <v>1841</v>
      </c>
      <c r="JI10">
        <v>3250</v>
      </c>
      <c r="JM10" s="1266"/>
      <c r="JN10" s="1059">
        <f t="shared" si="58"/>
        <v>25665</v>
      </c>
      <c r="JP10" s="464">
        <f t="shared" si="59"/>
        <v>190.17857142857144</v>
      </c>
      <c r="JQ10" s="464">
        <f t="shared" si="60"/>
        <v>191.01938995350949</v>
      </c>
      <c r="JR10" s="465">
        <f t="shared" si="61"/>
        <v>8819</v>
      </c>
      <c r="JS10" s="465">
        <f t="shared" si="62"/>
        <v>25665</v>
      </c>
    </row>
    <row r="11" spans="1:279" ht="13.9" customHeight="1" x14ac:dyDescent="0.2">
      <c r="A11" s="459" t="s">
        <v>390</v>
      </c>
      <c r="B11" s="604">
        <v>45</v>
      </c>
      <c r="C11" s="605">
        <v>36</v>
      </c>
      <c r="D11" s="605">
        <v>22</v>
      </c>
      <c r="E11" s="605">
        <v>74</v>
      </c>
      <c r="F11" s="606">
        <v>36</v>
      </c>
      <c r="G11" s="606">
        <v>35</v>
      </c>
      <c r="H11" s="606">
        <v>52</v>
      </c>
      <c r="I11" s="606">
        <v>35</v>
      </c>
      <c r="J11" s="606">
        <v>59</v>
      </c>
      <c r="K11" s="606">
        <v>26</v>
      </c>
      <c r="L11" s="606">
        <v>112</v>
      </c>
      <c r="M11" s="606">
        <v>21</v>
      </c>
      <c r="N11" s="614">
        <f t="shared" si="21"/>
        <v>553</v>
      </c>
      <c r="O11" s="604">
        <v>43</v>
      </c>
      <c r="P11" s="605">
        <v>105</v>
      </c>
      <c r="Q11" s="605">
        <v>65</v>
      </c>
      <c r="R11" s="605">
        <v>24</v>
      </c>
      <c r="S11" s="606">
        <v>48</v>
      </c>
      <c r="T11" s="606">
        <v>13</v>
      </c>
      <c r="U11" s="606">
        <v>50</v>
      </c>
      <c r="V11" s="606">
        <v>120</v>
      </c>
      <c r="W11" s="606">
        <v>102</v>
      </c>
      <c r="X11" s="606">
        <v>35</v>
      </c>
      <c r="Y11" s="606">
        <v>18</v>
      </c>
      <c r="Z11" s="606">
        <v>28</v>
      </c>
      <c r="AA11" s="614">
        <f t="shared" si="22"/>
        <v>651</v>
      </c>
      <c r="AB11" s="604">
        <v>95</v>
      </c>
      <c r="AC11" s="605">
        <v>77</v>
      </c>
      <c r="AD11" s="605">
        <v>189</v>
      </c>
      <c r="AE11" s="605">
        <v>120</v>
      </c>
      <c r="AF11" s="606">
        <v>81</v>
      </c>
      <c r="AG11" s="606">
        <v>99</v>
      </c>
      <c r="AH11" s="606">
        <v>101</v>
      </c>
      <c r="AI11" s="606">
        <v>92</v>
      </c>
      <c r="AJ11" s="606">
        <v>135</v>
      </c>
      <c r="AK11" s="606">
        <v>121</v>
      </c>
      <c r="AL11" s="606">
        <v>123</v>
      </c>
      <c r="AM11" s="606">
        <v>199</v>
      </c>
      <c r="AN11" s="614">
        <f t="shared" si="24"/>
        <v>1432</v>
      </c>
      <c r="AO11" s="604"/>
      <c r="AP11" s="605"/>
      <c r="AQ11" s="605"/>
      <c r="AR11" s="605"/>
      <c r="AS11" s="606"/>
      <c r="AT11" s="606"/>
      <c r="AU11" s="606"/>
      <c r="AV11" s="606"/>
      <c r="AW11" s="606"/>
      <c r="AX11" s="606"/>
      <c r="AY11" s="606"/>
      <c r="AZ11" s="606"/>
      <c r="BA11" s="614">
        <f t="shared" si="26"/>
        <v>0</v>
      </c>
      <c r="BB11" s="604"/>
      <c r="BC11" s="605"/>
      <c r="BD11" s="605"/>
      <c r="BE11" s="605"/>
      <c r="BF11" s="606"/>
      <c r="BG11" s="606"/>
      <c r="BH11" s="606"/>
      <c r="BI11" s="606"/>
      <c r="BJ11" s="606"/>
      <c r="BK11" s="606"/>
      <c r="BL11" s="606"/>
      <c r="BM11" s="606"/>
      <c r="BN11" s="614">
        <f t="shared" si="28"/>
        <v>0</v>
      </c>
      <c r="BO11" s="604"/>
      <c r="BP11" s="605"/>
      <c r="BQ11" s="605"/>
      <c r="BR11" s="605"/>
      <c r="BS11" s="606"/>
      <c r="BT11" s="606"/>
      <c r="BU11" s="606"/>
      <c r="BV11" s="606"/>
      <c r="BW11" s="606"/>
      <c r="BX11" s="606"/>
      <c r="BY11" s="606"/>
      <c r="BZ11" s="606"/>
      <c r="CA11" s="614">
        <f t="shared" si="30"/>
        <v>0</v>
      </c>
      <c r="CB11" s="604"/>
      <c r="CC11" s="605"/>
      <c r="CD11" s="605"/>
      <c r="CE11" s="605"/>
      <c r="CF11" s="606"/>
      <c r="CG11" s="606"/>
      <c r="CH11" s="606"/>
      <c r="CI11" s="606"/>
      <c r="CJ11" s="606"/>
      <c r="CK11" s="606"/>
      <c r="CL11" s="606"/>
      <c r="CM11" s="606"/>
      <c r="CN11" s="614">
        <f t="shared" si="32"/>
        <v>0</v>
      </c>
      <c r="CO11" s="604"/>
      <c r="CP11" s="605"/>
      <c r="CQ11" s="605"/>
      <c r="CR11" s="605"/>
      <c r="CS11" s="606"/>
      <c r="CT11" s="606"/>
      <c r="CU11" s="606"/>
      <c r="CV11" s="606"/>
      <c r="CW11" s="606"/>
      <c r="CX11" s="606"/>
      <c r="CY11" s="606"/>
      <c r="CZ11" s="606"/>
      <c r="DA11" s="614">
        <f t="shared" si="34"/>
        <v>0</v>
      </c>
      <c r="DB11" s="604"/>
      <c r="DC11" s="605"/>
      <c r="DD11" s="605"/>
      <c r="DE11" s="605"/>
      <c r="DF11" s="606"/>
      <c r="DG11" s="606"/>
      <c r="DH11" s="606"/>
      <c r="DI11" s="606"/>
      <c r="DJ11" s="606"/>
      <c r="DK11" s="606"/>
      <c r="DL11" s="606"/>
      <c r="DM11" s="606"/>
      <c r="DN11" s="614">
        <f t="shared" si="36"/>
        <v>0</v>
      </c>
      <c r="DO11" s="604"/>
      <c r="DP11" s="605"/>
      <c r="DQ11" s="605"/>
      <c r="DR11" s="605"/>
      <c r="DS11" s="606"/>
      <c r="DT11" s="606"/>
      <c r="DU11" s="606"/>
      <c r="DV11" s="606"/>
      <c r="DW11" s="606"/>
      <c r="DX11" s="606"/>
      <c r="DY11" s="606"/>
      <c r="DZ11" s="606"/>
      <c r="EA11" s="614">
        <f t="shared" si="38"/>
        <v>0</v>
      </c>
      <c r="EB11" s="604"/>
      <c r="EC11" s="605"/>
      <c r="ED11" s="605"/>
      <c r="EE11" s="605"/>
      <c r="EF11" s="606"/>
      <c r="EG11" s="606"/>
      <c r="EH11" s="606"/>
      <c r="EI11" s="606"/>
      <c r="EJ11" s="606"/>
      <c r="EK11" s="606"/>
      <c r="EL11" s="606"/>
      <c r="EM11" s="606"/>
      <c r="EN11" s="614">
        <f t="shared" si="39"/>
        <v>0</v>
      </c>
      <c r="EO11" s="604"/>
      <c r="EP11" s="605"/>
      <c r="EQ11" s="605"/>
      <c r="ER11" s="605"/>
      <c r="ES11" s="606"/>
      <c r="ET11" s="606"/>
      <c r="EU11" s="606"/>
      <c r="EV11" s="606"/>
      <c r="EW11" s="606"/>
      <c r="EX11" s="606"/>
      <c r="EY11" s="606"/>
      <c r="EZ11" s="606"/>
      <c r="FA11" s="614">
        <f t="shared" si="40"/>
        <v>0</v>
      </c>
      <c r="FB11" s="604"/>
      <c r="FC11" s="605"/>
      <c r="FD11" s="605"/>
      <c r="FE11" s="605"/>
      <c r="FF11" s="606"/>
      <c r="FG11" s="606"/>
      <c r="FH11" s="606"/>
      <c r="FI11" s="606"/>
      <c r="FJ11" s="606"/>
      <c r="FK11" s="606"/>
      <c r="FL11" s="606"/>
      <c r="FM11" s="606"/>
      <c r="FN11" s="614">
        <f t="shared" si="42"/>
        <v>0</v>
      </c>
      <c r="FO11" s="604"/>
      <c r="FP11" s="605"/>
      <c r="FQ11" s="605"/>
      <c r="FR11" s="605"/>
      <c r="FS11" s="606"/>
      <c r="FT11" s="606"/>
      <c r="FU11" s="606"/>
      <c r="FV11" s="606"/>
      <c r="FW11" s="606"/>
      <c r="FX11" s="606"/>
      <c r="FY11" s="606"/>
      <c r="FZ11" s="606"/>
      <c r="GA11" s="614">
        <f t="shared" si="44"/>
        <v>0</v>
      </c>
      <c r="GB11" s="604"/>
      <c r="GC11" s="605"/>
      <c r="GD11" s="605"/>
      <c r="GE11" s="605"/>
      <c r="GF11" s="606"/>
      <c r="GG11" s="606"/>
      <c r="GH11" s="606"/>
      <c r="GI11" s="606">
        <v>0</v>
      </c>
      <c r="GJ11" s="606">
        <v>0</v>
      </c>
      <c r="GK11" s="606">
        <v>0</v>
      </c>
      <c r="GL11" s="606">
        <v>0</v>
      </c>
      <c r="GM11" s="606">
        <v>0</v>
      </c>
      <c r="GN11" s="614">
        <f t="shared" si="46"/>
        <v>0</v>
      </c>
      <c r="GO11" s="604"/>
      <c r="GP11" s="605"/>
      <c r="GQ11" s="605"/>
      <c r="GR11" s="605"/>
      <c r="GS11" s="606"/>
      <c r="GT11" s="606"/>
      <c r="GU11" s="606"/>
      <c r="GV11" s="606"/>
      <c r="GW11" s="606"/>
      <c r="GX11" s="606"/>
      <c r="GY11" s="606"/>
      <c r="GZ11" s="606"/>
      <c r="HA11" s="614">
        <f t="shared" si="48"/>
        <v>0</v>
      </c>
      <c r="HB11" s="604"/>
      <c r="HC11" s="605"/>
      <c r="HD11" s="605"/>
      <c r="HE11" s="605"/>
      <c r="HF11" s="606"/>
      <c r="HG11" s="606"/>
      <c r="HH11" s="606"/>
      <c r="HI11" s="606"/>
      <c r="HJ11" s="606"/>
      <c r="HK11" s="606"/>
      <c r="HL11" s="606"/>
      <c r="HM11" s="606"/>
      <c r="HN11" s="614">
        <f t="shared" si="50"/>
        <v>0</v>
      </c>
      <c r="HO11" s="604"/>
      <c r="HP11" s="605"/>
      <c r="HQ11" s="605"/>
      <c r="HR11" s="605"/>
      <c r="HS11" s="606"/>
      <c r="HT11" s="606"/>
      <c r="HU11" s="606"/>
      <c r="HV11" s="606"/>
      <c r="HW11" s="606"/>
      <c r="HX11" s="606"/>
      <c r="HY11" s="606"/>
      <c r="HZ11" s="606"/>
      <c r="IA11" s="614">
        <f t="shared" si="52"/>
        <v>0</v>
      </c>
      <c r="IB11" s="604"/>
      <c r="IC11" s="605"/>
      <c r="ID11" s="605"/>
      <c r="IE11" s="605"/>
      <c r="IF11" s="606"/>
      <c r="IG11" s="606"/>
      <c r="IH11" s="606"/>
      <c r="II11" s="606"/>
      <c r="IJ11" s="606"/>
      <c r="IK11" s="606"/>
      <c r="IL11" s="606"/>
      <c r="IM11" s="606"/>
      <c r="IN11" s="614">
        <f t="shared" si="54"/>
        <v>0</v>
      </c>
      <c r="IO11" s="604"/>
      <c r="IP11" s="605"/>
      <c r="IQ11" s="605"/>
      <c r="IR11" s="605"/>
      <c r="IS11" s="606"/>
      <c r="IT11" s="606"/>
      <c r="IU11" s="606"/>
      <c r="IV11" s="606"/>
      <c r="IW11" s="606"/>
      <c r="IX11" s="606"/>
      <c r="IY11" s="606"/>
      <c r="IZ11" s="606"/>
      <c r="JA11" s="607">
        <f t="shared" si="56"/>
        <v>0</v>
      </c>
      <c r="JB11" s="1324"/>
      <c r="JM11" s="1266"/>
      <c r="JN11" s="1059">
        <f t="shared" si="58"/>
        <v>0</v>
      </c>
      <c r="JP11" s="464" t="str">
        <f t="shared" si="59"/>
        <v/>
      </c>
      <c r="JQ11" s="464" t="str">
        <f t="shared" si="60"/>
        <v/>
      </c>
      <c r="JR11" s="465">
        <f t="shared" si="61"/>
        <v>0</v>
      </c>
      <c r="JS11" s="465">
        <f t="shared" si="62"/>
        <v>0</v>
      </c>
    </row>
    <row r="12" spans="1:279" ht="13.9" customHeight="1" x14ac:dyDescent="0.2">
      <c r="A12" s="459" t="s">
        <v>391</v>
      </c>
      <c r="B12" s="604">
        <v>151</v>
      </c>
      <c r="C12" s="605">
        <v>387</v>
      </c>
      <c r="D12" s="605">
        <v>2918</v>
      </c>
      <c r="E12" s="605">
        <v>254</v>
      </c>
      <c r="F12" s="606">
        <v>101</v>
      </c>
      <c r="G12" s="606">
        <v>345</v>
      </c>
      <c r="H12" s="606">
        <v>234</v>
      </c>
      <c r="I12" s="606">
        <v>279</v>
      </c>
      <c r="J12" s="606">
        <v>311</v>
      </c>
      <c r="K12" s="606">
        <v>528</v>
      </c>
      <c r="L12" s="606">
        <v>589</v>
      </c>
      <c r="M12" s="606">
        <v>172</v>
      </c>
      <c r="N12" s="614">
        <f t="shared" si="21"/>
        <v>6269</v>
      </c>
      <c r="O12" s="604">
        <v>287</v>
      </c>
      <c r="P12" s="605">
        <v>405</v>
      </c>
      <c r="Q12" s="605">
        <v>563</v>
      </c>
      <c r="R12" s="605">
        <v>510</v>
      </c>
      <c r="S12" s="606">
        <v>401</v>
      </c>
      <c r="T12" s="606">
        <v>282</v>
      </c>
      <c r="U12" s="606">
        <v>511</v>
      </c>
      <c r="V12" s="606">
        <v>461</v>
      </c>
      <c r="W12" s="606">
        <v>460</v>
      </c>
      <c r="X12" s="606">
        <v>419</v>
      </c>
      <c r="Y12" s="606">
        <v>126</v>
      </c>
      <c r="Z12" s="606">
        <v>53</v>
      </c>
      <c r="AA12" s="614">
        <f t="shared" si="22"/>
        <v>4478</v>
      </c>
      <c r="AB12" s="604">
        <v>197</v>
      </c>
      <c r="AC12" s="605">
        <v>293</v>
      </c>
      <c r="AD12" s="605">
        <v>489</v>
      </c>
      <c r="AE12" s="605">
        <v>421</v>
      </c>
      <c r="AF12" s="606">
        <v>479</v>
      </c>
      <c r="AG12" s="606">
        <v>267</v>
      </c>
      <c r="AH12" s="606">
        <v>286</v>
      </c>
      <c r="AI12" s="606">
        <v>327</v>
      </c>
      <c r="AJ12" s="606">
        <v>171</v>
      </c>
      <c r="AK12" s="606">
        <v>214</v>
      </c>
      <c r="AL12" s="606">
        <v>344</v>
      </c>
      <c r="AM12" s="606">
        <v>358</v>
      </c>
      <c r="AN12" s="614">
        <f t="shared" si="24"/>
        <v>3846</v>
      </c>
      <c r="AO12" s="604"/>
      <c r="AP12" s="605"/>
      <c r="AQ12" s="605"/>
      <c r="AR12" s="605"/>
      <c r="AS12" s="606"/>
      <c r="AT12" s="606"/>
      <c r="AU12" s="606"/>
      <c r="AV12" s="606"/>
      <c r="AW12" s="606"/>
      <c r="AX12" s="606"/>
      <c r="AY12" s="606"/>
      <c r="AZ12" s="606"/>
      <c r="BA12" s="614">
        <f t="shared" si="26"/>
        <v>0</v>
      </c>
      <c r="BB12" s="604"/>
      <c r="BC12" s="605"/>
      <c r="BD12" s="605"/>
      <c r="BE12" s="605"/>
      <c r="BF12" s="606"/>
      <c r="BG12" s="606"/>
      <c r="BH12" s="606"/>
      <c r="BI12" s="606"/>
      <c r="BJ12" s="606"/>
      <c r="BK12" s="606"/>
      <c r="BL12" s="606"/>
      <c r="BM12" s="606"/>
      <c r="BN12" s="614">
        <f t="shared" si="28"/>
        <v>0</v>
      </c>
      <c r="BO12" s="604"/>
      <c r="BP12" s="605"/>
      <c r="BQ12" s="605"/>
      <c r="BR12" s="605"/>
      <c r="BS12" s="606"/>
      <c r="BT12" s="606"/>
      <c r="BU12" s="606"/>
      <c r="BV12" s="606"/>
      <c r="BW12" s="606"/>
      <c r="BX12" s="606"/>
      <c r="BY12" s="606"/>
      <c r="BZ12" s="606"/>
      <c r="CA12" s="614">
        <f t="shared" si="30"/>
        <v>0</v>
      </c>
      <c r="CB12" s="604"/>
      <c r="CC12" s="605"/>
      <c r="CD12" s="605"/>
      <c r="CE12" s="605"/>
      <c r="CF12" s="606"/>
      <c r="CG12" s="606"/>
      <c r="CH12" s="606"/>
      <c r="CI12" s="606"/>
      <c r="CJ12" s="606"/>
      <c r="CK12" s="606"/>
      <c r="CL12" s="606"/>
      <c r="CM12" s="606"/>
      <c r="CN12" s="614">
        <f t="shared" si="32"/>
        <v>0</v>
      </c>
      <c r="CO12" s="604"/>
      <c r="CP12" s="605"/>
      <c r="CQ12" s="605"/>
      <c r="CR12" s="605"/>
      <c r="CS12" s="606"/>
      <c r="CT12" s="606"/>
      <c r="CU12" s="606"/>
      <c r="CV12" s="606"/>
      <c r="CW12" s="606"/>
      <c r="CX12" s="606"/>
      <c r="CY12" s="606"/>
      <c r="CZ12" s="606"/>
      <c r="DA12" s="614">
        <f t="shared" si="34"/>
        <v>0</v>
      </c>
      <c r="DB12" s="604"/>
      <c r="DC12" s="605"/>
      <c r="DD12" s="605"/>
      <c r="DE12" s="605"/>
      <c r="DF12" s="606"/>
      <c r="DG12" s="606"/>
      <c r="DH12" s="606"/>
      <c r="DI12" s="606"/>
      <c r="DJ12" s="606"/>
      <c r="DK12" s="606"/>
      <c r="DL12" s="606"/>
      <c r="DM12" s="606"/>
      <c r="DN12" s="614">
        <f t="shared" si="36"/>
        <v>0</v>
      </c>
      <c r="DO12" s="604"/>
      <c r="DP12" s="605"/>
      <c r="DQ12" s="605"/>
      <c r="DR12" s="605"/>
      <c r="DS12" s="606"/>
      <c r="DT12" s="606"/>
      <c r="DU12" s="606"/>
      <c r="DV12" s="606"/>
      <c r="DW12" s="606"/>
      <c r="DX12" s="606"/>
      <c r="DY12" s="606"/>
      <c r="DZ12" s="606"/>
      <c r="EA12" s="614">
        <f t="shared" si="38"/>
        <v>0</v>
      </c>
      <c r="EB12" s="604"/>
      <c r="EC12" s="605"/>
      <c r="ED12" s="605"/>
      <c r="EE12" s="605"/>
      <c r="EF12" s="606"/>
      <c r="EG12" s="606"/>
      <c r="EH12" s="606"/>
      <c r="EI12" s="606"/>
      <c r="EJ12" s="606"/>
      <c r="EK12" s="606"/>
      <c r="EL12" s="606"/>
      <c r="EM12" s="606"/>
      <c r="EN12" s="614">
        <f t="shared" si="39"/>
        <v>0</v>
      </c>
      <c r="EO12" s="604"/>
      <c r="EP12" s="605"/>
      <c r="EQ12" s="605"/>
      <c r="ER12" s="605"/>
      <c r="ES12" s="606"/>
      <c r="ET12" s="606"/>
      <c r="EU12" s="606"/>
      <c r="EV12" s="606"/>
      <c r="EW12" s="606"/>
      <c r="EX12" s="606"/>
      <c r="EY12" s="606"/>
      <c r="EZ12" s="606"/>
      <c r="FA12" s="614">
        <f t="shared" si="40"/>
        <v>0</v>
      </c>
      <c r="FB12" s="604"/>
      <c r="FC12" s="605"/>
      <c r="FD12" s="605"/>
      <c r="FE12" s="605"/>
      <c r="FF12" s="606"/>
      <c r="FG12" s="606"/>
      <c r="FH12" s="606"/>
      <c r="FI12" s="606"/>
      <c r="FJ12" s="606"/>
      <c r="FK12" s="606"/>
      <c r="FL12" s="606"/>
      <c r="FM12" s="606"/>
      <c r="FN12" s="614">
        <f t="shared" si="42"/>
        <v>0</v>
      </c>
      <c r="FO12" s="604"/>
      <c r="FP12" s="605"/>
      <c r="FQ12" s="605"/>
      <c r="FR12" s="605"/>
      <c r="FS12" s="606"/>
      <c r="FT12" s="606"/>
      <c r="FU12" s="606"/>
      <c r="FV12" s="606"/>
      <c r="FW12" s="606"/>
      <c r="FX12" s="606"/>
      <c r="FY12" s="606"/>
      <c r="FZ12" s="606"/>
      <c r="GA12" s="614">
        <f t="shared" si="44"/>
        <v>0</v>
      </c>
      <c r="GB12" s="604"/>
      <c r="GC12" s="605"/>
      <c r="GD12" s="605"/>
      <c r="GE12" s="605"/>
      <c r="GF12" s="606"/>
      <c r="GG12" s="606"/>
      <c r="GH12" s="606"/>
      <c r="GI12" s="606">
        <v>0</v>
      </c>
      <c r="GJ12" s="606">
        <v>0</v>
      </c>
      <c r="GK12" s="606">
        <v>0</v>
      </c>
      <c r="GL12" s="606">
        <v>0</v>
      </c>
      <c r="GM12" s="606">
        <v>0</v>
      </c>
      <c r="GN12" s="614">
        <f t="shared" si="46"/>
        <v>0</v>
      </c>
      <c r="GO12" s="604"/>
      <c r="GP12" s="605"/>
      <c r="GQ12" s="605"/>
      <c r="GR12" s="605"/>
      <c r="GS12" s="606"/>
      <c r="GT12" s="606"/>
      <c r="GU12" s="606"/>
      <c r="GV12" s="606"/>
      <c r="GW12" s="606"/>
      <c r="GX12" s="606"/>
      <c r="GY12" s="606"/>
      <c r="GZ12" s="606"/>
      <c r="HA12" s="614">
        <f t="shared" si="48"/>
        <v>0</v>
      </c>
      <c r="HB12" s="604"/>
      <c r="HC12" s="605"/>
      <c r="HD12" s="605"/>
      <c r="HE12" s="605"/>
      <c r="HF12" s="606"/>
      <c r="HG12" s="606"/>
      <c r="HH12" s="606"/>
      <c r="HI12" s="606"/>
      <c r="HJ12" s="606"/>
      <c r="HK12" s="606"/>
      <c r="HL12" s="606"/>
      <c r="HM12" s="606"/>
      <c r="HN12" s="614">
        <f t="shared" si="50"/>
        <v>0</v>
      </c>
      <c r="HO12" s="604"/>
      <c r="HP12" s="605"/>
      <c r="HQ12" s="605"/>
      <c r="HR12" s="605"/>
      <c r="HS12" s="606"/>
      <c r="HT12" s="606"/>
      <c r="HU12" s="606"/>
      <c r="HV12" s="606"/>
      <c r="HW12" s="606"/>
      <c r="HX12" s="606"/>
      <c r="HY12" s="606"/>
      <c r="HZ12" s="606"/>
      <c r="IA12" s="614">
        <f t="shared" si="52"/>
        <v>0</v>
      </c>
      <c r="IB12" s="604"/>
      <c r="IC12" s="605"/>
      <c r="ID12" s="605"/>
      <c r="IE12" s="605"/>
      <c r="IF12" s="606"/>
      <c r="IG12" s="606"/>
      <c r="IH12" s="606"/>
      <c r="II12" s="606"/>
      <c r="IJ12" s="606"/>
      <c r="IK12" s="606"/>
      <c r="IL12" s="606"/>
      <c r="IM12" s="606"/>
      <c r="IN12" s="614">
        <f t="shared" si="54"/>
        <v>0</v>
      </c>
      <c r="IO12" s="604"/>
      <c r="IP12" s="605"/>
      <c r="IQ12" s="605"/>
      <c r="IR12" s="605"/>
      <c r="IS12" s="606"/>
      <c r="IT12" s="606"/>
      <c r="IU12" s="606"/>
      <c r="IV12" s="606"/>
      <c r="IW12" s="606"/>
      <c r="IX12" s="606"/>
      <c r="IY12" s="606"/>
      <c r="IZ12" s="606"/>
      <c r="JA12" s="607">
        <f t="shared" si="56"/>
        <v>0</v>
      </c>
      <c r="JB12" s="1324"/>
      <c r="JM12" s="1266"/>
      <c r="JN12" s="1059">
        <f t="shared" si="58"/>
        <v>0</v>
      </c>
      <c r="JP12" s="464" t="str">
        <f t="shared" si="59"/>
        <v/>
      </c>
      <c r="JQ12" s="464" t="str">
        <f t="shared" si="60"/>
        <v/>
      </c>
      <c r="JR12" s="465">
        <f t="shared" si="61"/>
        <v>0</v>
      </c>
      <c r="JS12" s="465">
        <f t="shared" si="62"/>
        <v>0</v>
      </c>
    </row>
    <row r="13" spans="1:279" ht="13.9" customHeight="1" x14ac:dyDescent="0.2">
      <c r="A13" s="459" t="s">
        <v>392</v>
      </c>
      <c r="B13" s="604">
        <v>265</v>
      </c>
      <c r="C13" s="605">
        <v>215</v>
      </c>
      <c r="D13" s="605">
        <v>360</v>
      </c>
      <c r="E13" s="605">
        <v>359</v>
      </c>
      <c r="F13" s="606">
        <v>342</v>
      </c>
      <c r="G13" s="606">
        <v>457</v>
      </c>
      <c r="H13" s="606">
        <v>408</v>
      </c>
      <c r="I13" s="606">
        <v>469</v>
      </c>
      <c r="J13" s="606">
        <v>478</v>
      </c>
      <c r="K13" s="606">
        <v>459</v>
      </c>
      <c r="L13" s="606">
        <v>462</v>
      </c>
      <c r="M13" s="606">
        <v>318</v>
      </c>
      <c r="N13" s="614">
        <f t="shared" si="21"/>
        <v>4592</v>
      </c>
      <c r="O13" s="604">
        <v>304</v>
      </c>
      <c r="P13" s="605">
        <v>472</v>
      </c>
      <c r="Q13" s="605">
        <v>645</v>
      </c>
      <c r="R13" s="605">
        <v>366</v>
      </c>
      <c r="S13" s="606">
        <v>490</v>
      </c>
      <c r="T13" s="606">
        <v>314</v>
      </c>
      <c r="U13" s="606">
        <v>510</v>
      </c>
      <c r="V13" s="606">
        <v>501</v>
      </c>
      <c r="W13" s="606">
        <v>476</v>
      </c>
      <c r="X13" s="606">
        <v>496</v>
      </c>
      <c r="Y13" s="606">
        <v>192</v>
      </c>
      <c r="Z13" s="606">
        <v>215</v>
      </c>
      <c r="AA13" s="614">
        <f t="shared" si="22"/>
        <v>4981</v>
      </c>
      <c r="AB13" s="604">
        <v>372</v>
      </c>
      <c r="AC13" s="605">
        <v>506</v>
      </c>
      <c r="AD13" s="605">
        <v>538</v>
      </c>
      <c r="AE13" s="605">
        <v>583</v>
      </c>
      <c r="AF13" s="606">
        <v>471</v>
      </c>
      <c r="AG13" s="606">
        <v>441</v>
      </c>
      <c r="AH13" s="606">
        <v>532</v>
      </c>
      <c r="AI13" s="606">
        <v>455</v>
      </c>
      <c r="AJ13" s="606">
        <v>516</v>
      </c>
      <c r="AK13" s="606">
        <v>625</v>
      </c>
      <c r="AL13" s="606">
        <v>672</v>
      </c>
      <c r="AM13" s="606">
        <v>562</v>
      </c>
      <c r="AN13" s="614">
        <f t="shared" si="24"/>
        <v>6273</v>
      </c>
      <c r="AO13" s="604"/>
      <c r="AP13" s="605"/>
      <c r="AQ13" s="605"/>
      <c r="AR13" s="605"/>
      <c r="AS13" s="606"/>
      <c r="AT13" s="606"/>
      <c r="AU13" s="606"/>
      <c r="AV13" s="606"/>
      <c r="AW13" s="606"/>
      <c r="AX13" s="606"/>
      <c r="AY13" s="606"/>
      <c r="AZ13" s="606"/>
      <c r="BA13" s="614">
        <f t="shared" si="26"/>
        <v>0</v>
      </c>
      <c r="BB13" s="604"/>
      <c r="BC13" s="605"/>
      <c r="BD13" s="605"/>
      <c r="BE13" s="605"/>
      <c r="BF13" s="606"/>
      <c r="BG13" s="606"/>
      <c r="BH13" s="606"/>
      <c r="BI13" s="606"/>
      <c r="BJ13" s="606"/>
      <c r="BK13" s="606"/>
      <c r="BL13" s="606"/>
      <c r="BM13" s="606"/>
      <c r="BN13" s="614">
        <f t="shared" si="28"/>
        <v>0</v>
      </c>
      <c r="BO13" s="604"/>
      <c r="BP13" s="605"/>
      <c r="BQ13" s="605"/>
      <c r="BR13" s="605"/>
      <c r="BS13" s="606"/>
      <c r="BT13" s="606"/>
      <c r="BU13" s="606"/>
      <c r="BV13" s="606"/>
      <c r="BW13" s="606"/>
      <c r="BX13" s="606"/>
      <c r="BY13" s="606"/>
      <c r="BZ13" s="606"/>
      <c r="CA13" s="614">
        <f t="shared" si="30"/>
        <v>0</v>
      </c>
      <c r="CB13" s="604"/>
      <c r="CC13" s="605"/>
      <c r="CD13" s="605"/>
      <c r="CE13" s="605"/>
      <c r="CF13" s="606"/>
      <c r="CG13" s="606"/>
      <c r="CH13" s="606"/>
      <c r="CI13" s="606"/>
      <c r="CJ13" s="606"/>
      <c r="CK13" s="606"/>
      <c r="CL13" s="606"/>
      <c r="CM13" s="606"/>
      <c r="CN13" s="614">
        <f t="shared" si="32"/>
        <v>0</v>
      </c>
      <c r="CO13" s="604"/>
      <c r="CP13" s="605"/>
      <c r="CQ13" s="605"/>
      <c r="CR13" s="605"/>
      <c r="CS13" s="606"/>
      <c r="CT13" s="606"/>
      <c r="CU13" s="606"/>
      <c r="CV13" s="606"/>
      <c r="CW13" s="606"/>
      <c r="CX13" s="606"/>
      <c r="CY13" s="606"/>
      <c r="CZ13" s="606"/>
      <c r="DA13" s="614">
        <f t="shared" si="34"/>
        <v>0</v>
      </c>
      <c r="DB13" s="604"/>
      <c r="DC13" s="605"/>
      <c r="DD13" s="605"/>
      <c r="DE13" s="605"/>
      <c r="DF13" s="606"/>
      <c r="DG13" s="606"/>
      <c r="DH13" s="606"/>
      <c r="DI13" s="606"/>
      <c r="DJ13" s="606"/>
      <c r="DK13" s="606"/>
      <c r="DL13" s="606"/>
      <c r="DM13" s="606"/>
      <c r="DN13" s="614">
        <f t="shared" si="36"/>
        <v>0</v>
      </c>
      <c r="DO13" s="604"/>
      <c r="DP13" s="605"/>
      <c r="DQ13" s="605"/>
      <c r="DR13" s="605"/>
      <c r="DS13" s="606"/>
      <c r="DT13" s="606"/>
      <c r="DU13" s="606"/>
      <c r="DV13" s="606"/>
      <c r="DW13" s="606"/>
      <c r="DX13" s="606"/>
      <c r="DY13" s="606"/>
      <c r="DZ13" s="606"/>
      <c r="EA13" s="614">
        <f t="shared" si="38"/>
        <v>0</v>
      </c>
      <c r="EB13" s="604"/>
      <c r="EC13" s="605"/>
      <c r="ED13" s="605"/>
      <c r="EE13" s="605"/>
      <c r="EF13" s="606"/>
      <c r="EG13" s="606"/>
      <c r="EH13" s="606"/>
      <c r="EI13" s="606"/>
      <c r="EJ13" s="606"/>
      <c r="EK13" s="606"/>
      <c r="EL13" s="606"/>
      <c r="EM13" s="606"/>
      <c r="EN13" s="614">
        <f t="shared" si="39"/>
        <v>0</v>
      </c>
      <c r="EO13" s="604"/>
      <c r="EP13" s="605"/>
      <c r="EQ13" s="605"/>
      <c r="ER13" s="605"/>
      <c r="ES13" s="606"/>
      <c r="ET13" s="606"/>
      <c r="EU13" s="606"/>
      <c r="EV13" s="606"/>
      <c r="EW13" s="606"/>
      <c r="EX13" s="606"/>
      <c r="EY13" s="606"/>
      <c r="EZ13" s="606"/>
      <c r="FA13" s="614">
        <f t="shared" si="40"/>
        <v>0</v>
      </c>
      <c r="FB13" s="604"/>
      <c r="FC13" s="605"/>
      <c r="FD13" s="605"/>
      <c r="FE13" s="605"/>
      <c r="FF13" s="606"/>
      <c r="FG13" s="606"/>
      <c r="FH13" s="606"/>
      <c r="FI13" s="606"/>
      <c r="FJ13" s="606"/>
      <c r="FK13" s="606"/>
      <c r="FL13" s="606"/>
      <c r="FM13" s="606"/>
      <c r="FN13" s="614">
        <f t="shared" si="42"/>
        <v>0</v>
      </c>
      <c r="FO13" s="604"/>
      <c r="FP13" s="605"/>
      <c r="FQ13" s="605"/>
      <c r="FR13" s="605"/>
      <c r="FS13" s="606"/>
      <c r="FT13" s="606"/>
      <c r="FU13" s="606"/>
      <c r="FV13" s="606"/>
      <c r="FW13" s="606"/>
      <c r="FX13" s="606"/>
      <c r="FY13" s="606"/>
      <c r="FZ13" s="606"/>
      <c r="GA13" s="614">
        <f t="shared" si="44"/>
        <v>0</v>
      </c>
      <c r="GB13" s="604"/>
      <c r="GC13" s="605"/>
      <c r="GD13" s="605"/>
      <c r="GE13" s="605"/>
      <c r="GF13" s="606"/>
      <c r="GG13" s="606"/>
      <c r="GH13" s="606"/>
      <c r="GI13" s="606">
        <v>0</v>
      </c>
      <c r="GJ13" s="606">
        <v>0</v>
      </c>
      <c r="GK13" s="606">
        <v>0</v>
      </c>
      <c r="GL13" s="606">
        <v>0</v>
      </c>
      <c r="GM13" s="606">
        <v>0</v>
      </c>
      <c r="GN13" s="614">
        <f t="shared" si="46"/>
        <v>0</v>
      </c>
      <c r="GO13" s="604"/>
      <c r="GP13" s="605"/>
      <c r="GQ13" s="605"/>
      <c r="GR13" s="605"/>
      <c r="GS13" s="606"/>
      <c r="GT13" s="606"/>
      <c r="GU13" s="606"/>
      <c r="GV13" s="606"/>
      <c r="GW13" s="606"/>
      <c r="GX13" s="606"/>
      <c r="GY13" s="606"/>
      <c r="GZ13" s="606"/>
      <c r="HA13" s="614">
        <f t="shared" si="48"/>
        <v>0</v>
      </c>
      <c r="HB13" s="604"/>
      <c r="HC13" s="605"/>
      <c r="HD13" s="605"/>
      <c r="HE13" s="605"/>
      <c r="HF13" s="606"/>
      <c r="HG13" s="606"/>
      <c r="HH13" s="606"/>
      <c r="HI13" s="606"/>
      <c r="HJ13" s="606"/>
      <c r="HK13" s="606"/>
      <c r="HL13" s="606"/>
      <c r="HM13" s="606"/>
      <c r="HN13" s="614">
        <f t="shared" si="50"/>
        <v>0</v>
      </c>
      <c r="HO13" s="604"/>
      <c r="HP13" s="605"/>
      <c r="HQ13" s="605"/>
      <c r="HR13" s="605"/>
      <c r="HS13" s="606"/>
      <c r="HT13" s="606"/>
      <c r="HU13" s="606"/>
      <c r="HV13" s="606"/>
      <c r="HW13" s="606"/>
      <c r="HX13" s="606"/>
      <c r="HY13" s="606"/>
      <c r="HZ13" s="606"/>
      <c r="IA13" s="614">
        <f t="shared" si="52"/>
        <v>0</v>
      </c>
      <c r="IB13" s="604"/>
      <c r="IC13" s="605"/>
      <c r="ID13" s="605"/>
      <c r="IE13" s="605"/>
      <c r="IF13" s="606"/>
      <c r="IG13" s="606"/>
      <c r="IH13" s="606"/>
      <c r="II13" s="606"/>
      <c r="IJ13" s="606"/>
      <c r="IK13" s="606"/>
      <c r="IL13" s="606"/>
      <c r="IM13" s="606"/>
      <c r="IN13" s="614">
        <f t="shared" si="54"/>
        <v>0</v>
      </c>
      <c r="IO13" s="604"/>
      <c r="IP13" s="605"/>
      <c r="IQ13" s="605"/>
      <c r="IR13" s="605"/>
      <c r="IS13" s="606"/>
      <c r="IT13" s="606"/>
      <c r="IU13" s="606"/>
      <c r="IV13" s="606"/>
      <c r="IW13" s="606"/>
      <c r="IX13" s="606"/>
      <c r="IY13" s="606"/>
      <c r="IZ13" s="606"/>
      <c r="JA13" s="607">
        <f t="shared" si="56"/>
        <v>0</v>
      </c>
      <c r="JB13" s="1324"/>
      <c r="JM13" s="1266"/>
      <c r="JN13" s="1059">
        <f t="shared" si="58"/>
        <v>0</v>
      </c>
      <c r="JP13" s="464" t="str">
        <f t="shared" si="59"/>
        <v/>
      </c>
      <c r="JQ13" s="464" t="str">
        <f t="shared" si="60"/>
        <v/>
      </c>
      <c r="JR13" s="465">
        <f t="shared" si="61"/>
        <v>0</v>
      </c>
      <c r="JS13" s="465">
        <f t="shared" si="62"/>
        <v>0</v>
      </c>
    </row>
    <row r="14" spans="1:279" ht="13.9" customHeight="1" x14ac:dyDescent="0.2">
      <c r="A14" s="459" t="s">
        <v>328</v>
      </c>
      <c r="B14" s="604">
        <v>69</v>
      </c>
      <c r="C14" s="605">
        <v>63</v>
      </c>
      <c r="D14" s="605">
        <v>88</v>
      </c>
      <c r="E14" s="605">
        <v>104</v>
      </c>
      <c r="F14" s="606">
        <v>82</v>
      </c>
      <c r="G14" s="606">
        <v>33</v>
      </c>
      <c r="H14" s="606">
        <v>73</v>
      </c>
      <c r="I14" s="606">
        <v>66</v>
      </c>
      <c r="J14" s="606">
        <v>118</v>
      </c>
      <c r="K14" s="606">
        <v>46</v>
      </c>
      <c r="L14" s="606">
        <v>2</v>
      </c>
      <c r="M14" s="606">
        <v>0</v>
      </c>
      <c r="N14" s="614">
        <f t="shared" si="21"/>
        <v>744</v>
      </c>
      <c r="O14" s="604">
        <v>38</v>
      </c>
      <c r="P14" s="605">
        <v>49</v>
      </c>
      <c r="Q14" s="605">
        <v>51</v>
      </c>
      <c r="R14" s="605">
        <v>45</v>
      </c>
      <c r="S14" s="606">
        <v>47</v>
      </c>
      <c r="T14" s="606">
        <v>106</v>
      </c>
      <c r="U14" s="606">
        <v>93</v>
      </c>
      <c r="V14" s="606">
        <v>82</v>
      </c>
      <c r="W14" s="606">
        <v>87</v>
      </c>
      <c r="X14" s="606">
        <v>101</v>
      </c>
      <c r="Y14" s="606">
        <v>47</v>
      </c>
      <c r="Z14" s="606">
        <v>63</v>
      </c>
      <c r="AA14" s="614">
        <f t="shared" si="22"/>
        <v>809</v>
      </c>
      <c r="AB14" s="604">
        <f>35+289</f>
        <v>324</v>
      </c>
      <c r="AC14" s="605">
        <f>35+2383</f>
        <v>2418</v>
      </c>
      <c r="AD14" s="605">
        <f>26+2574</f>
        <v>2600</v>
      </c>
      <c r="AE14" s="605">
        <f>52+1815</f>
        <v>1867</v>
      </c>
      <c r="AF14" s="606">
        <f>41+1867</f>
        <v>1908</v>
      </c>
      <c r="AG14" s="606">
        <f>20+1663</f>
        <v>1683</v>
      </c>
      <c r="AH14" s="606">
        <f>18+2878</f>
        <v>2896</v>
      </c>
      <c r="AI14" s="606">
        <f>113+2863</f>
        <v>2976</v>
      </c>
      <c r="AJ14" s="606">
        <f>3113+5218</f>
        <v>8331</v>
      </c>
      <c r="AK14" s="606">
        <f>41+2061</f>
        <v>2102</v>
      </c>
      <c r="AL14" s="606">
        <f>34+2590</f>
        <v>2624</v>
      </c>
      <c r="AM14" s="606">
        <f>34+3596</f>
        <v>3630</v>
      </c>
      <c r="AN14" s="614">
        <f t="shared" si="24"/>
        <v>33359</v>
      </c>
      <c r="AO14" s="604">
        <v>4139</v>
      </c>
      <c r="AP14" s="605">
        <v>6261</v>
      </c>
      <c r="AQ14" s="605">
        <v>4810</v>
      </c>
      <c r="AR14" s="605">
        <v>9396</v>
      </c>
      <c r="AS14" s="606">
        <v>4152</v>
      </c>
      <c r="AT14" s="606">
        <v>4168</v>
      </c>
      <c r="AU14" s="606">
        <v>5130</v>
      </c>
      <c r="AV14" s="606">
        <v>4306</v>
      </c>
      <c r="AW14" s="606">
        <v>4451</v>
      </c>
      <c r="AX14" s="606">
        <v>8503</v>
      </c>
      <c r="AY14" s="606">
        <v>4606</v>
      </c>
      <c r="AZ14" s="606">
        <v>15792</v>
      </c>
      <c r="BA14" s="614">
        <f t="shared" si="26"/>
        <v>75714</v>
      </c>
      <c r="BB14" s="604">
        <v>7257</v>
      </c>
      <c r="BC14" s="605">
        <v>5679</v>
      </c>
      <c r="BD14" s="605">
        <v>4514</v>
      </c>
      <c r="BE14" s="605">
        <v>5613</v>
      </c>
      <c r="BF14" s="606">
        <v>4704</v>
      </c>
      <c r="BG14" s="606">
        <v>4960</v>
      </c>
      <c r="BH14" s="606">
        <v>3933</v>
      </c>
      <c r="BI14" s="606">
        <v>4556</v>
      </c>
      <c r="BJ14" s="606">
        <v>5838</v>
      </c>
      <c r="BK14" s="606">
        <v>5093</v>
      </c>
      <c r="BL14" s="606">
        <v>4580</v>
      </c>
      <c r="BM14" s="606">
        <v>3497</v>
      </c>
      <c r="BN14" s="614">
        <f t="shared" si="28"/>
        <v>60224</v>
      </c>
      <c r="BO14" s="604">
        <v>15899</v>
      </c>
      <c r="BP14" s="605">
        <v>5180</v>
      </c>
      <c r="BQ14" s="605">
        <v>6005</v>
      </c>
      <c r="BR14" s="605">
        <v>5502</v>
      </c>
      <c r="BS14" s="606">
        <v>7958</v>
      </c>
      <c r="BT14" s="606">
        <v>7605</v>
      </c>
      <c r="BU14" s="606">
        <v>4860</v>
      </c>
      <c r="BV14" s="606">
        <v>27940</v>
      </c>
      <c r="BW14" s="606">
        <v>14353</v>
      </c>
      <c r="BX14" s="606">
        <v>3309</v>
      </c>
      <c r="BY14" s="606">
        <v>5162</v>
      </c>
      <c r="BZ14" s="606">
        <v>2646</v>
      </c>
      <c r="CA14" s="614">
        <f t="shared" si="30"/>
        <v>106419</v>
      </c>
      <c r="CB14" s="604">
        <v>1218</v>
      </c>
      <c r="CC14" s="605">
        <v>2539</v>
      </c>
      <c r="CD14" s="605">
        <v>1401</v>
      </c>
      <c r="CE14" s="605">
        <v>511</v>
      </c>
      <c r="CF14" s="606">
        <v>6112</v>
      </c>
      <c r="CG14" s="606">
        <v>2262</v>
      </c>
      <c r="CH14" s="606">
        <v>7827</v>
      </c>
      <c r="CI14" s="606">
        <v>36841</v>
      </c>
      <c r="CJ14" s="606">
        <v>15620</v>
      </c>
      <c r="CK14" s="606">
        <v>2870</v>
      </c>
      <c r="CL14" s="606">
        <v>14125</v>
      </c>
      <c r="CM14" s="606">
        <v>24464</v>
      </c>
      <c r="CN14" s="614">
        <f t="shared" si="32"/>
        <v>115790</v>
      </c>
      <c r="CO14" s="604">
        <v>4471</v>
      </c>
      <c r="CP14" s="605">
        <v>13277</v>
      </c>
      <c r="CQ14" s="605">
        <v>9507</v>
      </c>
      <c r="CR14" s="605">
        <v>14240</v>
      </c>
      <c r="CS14" s="606">
        <v>9518</v>
      </c>
      <c r="CT14" s="606">
        <v>12066</v>
      </c>
      <c r="CU14" s="606">
        <v>14299</v>
      </c>
      <c r="CV14" s="606">
        <v>9274</v>
      </c>
      <c r="CW14" s="606">
        <v>9275</v>
      </c>
      <c r="CX14" s="606">
        <v>37099</v>
      </c>
      <c r="CY14" s="606">
        <v>22444</v>
      </c>
      <c r="CZ14" s="606">
        <v>8364</v>
      </c>
      <c r="DA14" s="614">
        <f t="shared" si="34"/>
        <v>163834</v>
      </c>
      <c r="DB14" s="604">
        <v>20061</v>
      </c>
      <c r="DC14" s="605">
        <v>17347</v>
      </c>
      <c r="DD14" s="605">
        <v>10603</v>
      </c>
      <c r="DE14" s="605">
        <v>15969</v>
      </c>
      <c r="DF14" s="606">
        <v>8475</v>
      </c>
      <c r="DG14" s="606">
        <v>13902</v>
      </c>
      <c r="DH14" s="606">
        <v>11066</v>
      </c>
      <c r="DI14" s="606">
        <v>14255</v>
      </c>
      <c r="DJ14" s="606">
        <v>15304</v>
      </c>
      <c r="DK14" s="606">
        <v>6276</v>
      </c>
      <c r="DL14" s="606">
        <v>12679</v>
      </c>
      <c r="DM14" s="606">
        <v>6424</v>
      </c>
      <c r="DN14" s="614">
        <f t="shared" si="36"/>
        <v>152361</v>
      </c>
      <c r="DO14" s="604">
        <v>10804</v>
      </c>
      <c r="DP14" s="605">
        <v>4447</v>
      </c>
      <c r="DQ14" s="605">
        <v>39665</v>
      </c>
      <c r="DR14" s="605">
        <v>5505</v>
      </c>
      <c r="DS14" s="606">
        <v>6285</v>
      </c>
      <c r="DT14" s="606">
        <v>41255</v>
      </c>
      <c r="DU14" s="606">
        <v>8081</v>
      </c>
      <c r="DV14" s="606">
        <v>10550</v>
      </c>
      <c r="DW14" s="606">
        <v>22039</v>
      </c>
      <c r="DX14" s="606">
        <v>8489</v>
      </c>
      <c r="DY14" s="606">
        <v>5926</v>
      </c>
      <c r="DZ14" s="606">
        <v>13783</v>
      </c>
      <c r="EA14" s="614">
        <f t="shared" si="38"/>
        <v>176829</v>
      </c>
      <c r="EB14" s="604">
        <v>20378</v>
      </c>
      <c r="EC14" s="605">
        <v>7866</v>
      </c>
      <c r="ED14" s="605">
        <v>9413</v>
      </c>
      <c r="EE14" s="605">
        <v>8192</v>
      </c>
      <c r="EF14" s="606">
        <v>6633</v>
      </c>
      <c r="EG14" s="606">
        <v>7327</v>
      </c>
      <c r="EH14" s="606">
        <v>11855</v>
      </c>
      <c r="EI14" s="606">
        <v>7682</v>
      </c>
      <c r="EJ14" s="606">
        <v>6724</v>
      </c>
      <c r="EK14" s="606">
        <v>7647</v>
      </c>
      <c r="EL14" s="606">
        <v>14543</v>
      </c>
      <c r="EM14" s="606">
        <v>10890</v>
      </c>
      <c r="EN14" s="614">
        <f t="shared" si="39"/>
        <v>119150</v>
      </c>
      <c r="EO14" s="604">
        <v>243</v>
      </c>
      <c r="EP14" s="605">
        <v>16509</v>
      </c>
      <c r="EQ14" s="605">
        <v>21650</v>
      </c>
      <c r="ER14" s="605">
        <v>8204</v>
      </c>
      <c r="ES14" s="606">
        <v>4164</v>
      </c>
      <c r="ET14" s="606">
        <v>13111</v>
      </c>
      <c r="EU14" s="606">
        <v>8083</v>
      </c>
      <c r="EV14" s="606">
        <v>14732</v>
      </c>
      <c r="EW14" s="606">
        <v>4094</v>
      </c>
      <c r="EX14" s="606">
        <v>4289</v>
      </c>
      <c r="EY14" s="606">
        <v>5165</v>
      </c>
      <c r="EZ14" s="606">
        <v>9182</v>
      </c>
      <c r="FA14" s="614">
        <f t="shared" si="40"/>
        <v>109426</v>
      </c>
      <c r="FB14" s="604">
        <v>5738</v>
      </c>
      <c r="FC14" s="605">
        <v>8875</v>
      </c>
      <c r="FD14" s="605">
        <v>9400</v>
      </c>
      <c r="FE14" s="605">
        <v>26770</v>
      </c>
      <c r="FF14" s="606">
        <v>2554</v>
      </c>
      <c r="FG14" s="606">
        <v>9351</v>
      </c>
      <c r="FH14" s="606">
        <v>14011</v>
      </c>
      <c r="FI14" s="606">
        <v>4404</v>
      </c>
      <c r="FJ14" s="606">
        <v>7680</v>
      </c>
      <c r="FK14" s="606">
        <v>4557</v>
      </c>
      <c r="FL14" s="606">
        <v>8330</v>
      </c>
      <c r="FM14" s="606">
        <v>6730</v>
      </c>
      <c r="FN14" s="614">
        <f t="shared" si="42"/>
        <v>108400</v>
      </c>
      <c r="FO14" s="604">
        <v>30242</v>
      </c>
      <c r="FP14" s="605">
        <v>4606</v>
      </c>
      <c r="FQ14" s="605">
        <v>6955</v>
      </c>
      <c r="FR14" s="605">
        <v>5122</v>
      </c>
      <c r="FS14" s="606">
        <v>6727</v>
      </c>
      <c r="FT14" s="606">
        <v>5014</v>
      </c>
      <c r="FU14" s="606">
        <v>8715</v>
      </c>
      <c r="FV14" s="606">
        <v>4709</v>
      </c>
      <c r="FW14" s="606">
        <v>9102</v>
      </c>
      <c r="FX14" s="606">
        <v>5703</v>
      </c>
      <c r="FY14" s="606">
        <v>7821</v>
      </c>
      <c r="FZ14" s="606">
        <v>11407</v>
      </c>
      <c r="GA14" s="614">
        <f t="shared" si="44"/>
        <v>106123</v>
      </c>
      <c r="GB14" s="604">
        <v>18612</v>
      </c>
      <c r="GC14" s="605">
        <v>22657</v>
      </c>
      <c r="GD14" s="605">
        <v>4984</v>
      </c>
      <c r="GE14" s="605">
        <v>4646</v>
      </c>
      <c r="GF14" s="606">
        <v>5396</v>
      </c>
      <c r="GG14" s="606">
        <v>4763</v>
      </c>
      <c r="GH14" s="606">
        <v>19638</v>
      </c>
      <c r="GI14" s="606">
        <v>9019</v>
      </c>
      <c r="GJ14" s="606">
        <v>12222</v>
      </c>
      <c r="GK14" s="606">
        <v>18453</v>
      </c>
      <c r="GL14" s="606">
        <v>12135</v>
      </c>
      <c r="GM14" s="606">
        <v>13468</v>
      </c>
      <c r="GN14" s="614">
        <f t="shared" si="46"/>
        <v>145993</v>
      </c>
      <c r="GO14" s="604">
        <v>23598</v>
      </c>
      <c r="GP14" s="605">
        <v>87983</v>
      </c>
      <c r="GQ14" s="605">
        <v>8475</v>
      </c>
      <c r="GR14" s="605">
        <v>9016</v>
      </c>
      <c r="GS14" s="606">
        <v>10049</v>
      </c>
      <c r="GT14" s="606">
        <v>15654</v>
      </c>
      <c r="GU14" s="606">
        <v>29969</v>
      </c>
      <c r="GV14" s="606">
        <v>11475</v>
      </c>
      <c r="GW14" s="606">
        <v>5726</v>
      </c>
      <c r="GX14" s="606">
        <v>5655</v>
      </c>
      <c r="GY14" s="606">
        <v>13065</v>
      </c>
      <c r="GZ14" s="606">
        <v>6345</v>
      </c>
      <c r="HA14" s="614">
        <f t="shared" si="48"/>
        <v>227010</v>
      </c>
      <c r="HB14" s="604">
        <v>22215</v>
      </c>
      <c r="HC14" s="605">
        <v>8867</v>
      </c>
      <c r="HD14" s="605">
        <v>76250</v>
      </c>
      <c r="HE14" s="605">
        <v>26429</v>
      </c>
      <c r="HF14" s="606">
        <v>34141</v>
      </c>
      <c r="HG14" s="606">
        <v>35228</v>
      </c>
      <c r="HH14" s="606">
        <v>44129</v>
      </c>
      <c r="HI14" s="606">
        <v>30408</v>
      </c>
      <c r="HJ14" s="606">
        <v>44289</v>
      </c>
      <c r="HK14" s="606">
        <v>30349</v>
      </c>
      <c r="HL14" s="606">
        <v>36573</v>
      </c>
      <c r="HM14" s="606">
        <v>30035</v>
      </c>
      <c r="HN14" s="614">
        <f t="shared" si="50"/>
        <v>418913</v>
      </c>
      <c r="HO14" s="604">
        <v>50277</v>
      </c>
      <c r="HP14" s="605">
        <v>53592</v>
      </c>
      <c r="HQ14" s="605">
        <v>32161</v>
      </c>
      <c r="HR14" s="605">
        <v>30203</v>
      </c>
      <c r="HS14" s="606">
        <v>32924</v>
      </c>
      <c r="HT14" s="606">
        <v>29680</v>
      </c>
      <c r="HU14" s="606">
        <v>41197</v>
      </c>
      <c r="HV14" s="606">
        <v>25917</v>
      </c>
      <c r="HW14" s="606">
        <v>27450</v>
      </c>
      <c r="HX14" s="606">
        <v>33392</v>
      </c>
      <c r="HY14" s="606">
        <v>39428</v>
      </c>
      <c r="HZ14" s="606">
        <v>30290</v>
      </c>
      <c r="IA14" s="614">
        <f t="shared" si="52"/>
        <v>426511</v>
      </c>
      <c r="IB14" s="604">
        <v>23801</v>
      </c>
      <c r="IC14" s="605">
        <v>109078</v>
      </c>
      <c r="ID14" s="605">
        <v>37998</v>
      </c>
      <c r="IE14" s="605">
        <v>31706</v>
      </c>
      <c r="IF14" s="606">
        <v>34930</v>
      </c>
      <c r="IG14" s="606">
        <v>40494</v>
      </c>
      <c r="IH14" s="606">
        <v>41763</v>
      </c>
      <c r="II14" s="606">
        <v>39924</v>
      </c>
      <c r="IJ14" s="606">
        <v>38480</v>
      </c>
      <c r="IK14" s="606">
        <v>42327</v>
      </c>
      <c r="IL14" s="606">
        <v>35805</v>
      </c>
      <c r="IM14" s="606">
        <v>68857</v>
      </c>
      <c r="IN14" s="614">
        <f t="shared" si="54"/>
        <v>545163</v>
      </c>
      <c r="IO14" s="604">
        <v>46452</v>
      </c>
      <c r="IP14" s="605">
        <v>103977</v>
      </c>
      <c r="IQ14" s="605">
        <v>41076</v>
      </c>
      <c r="IR14" s="605">
        <v>36070</v>
      </c>
      <c r="IS14" s="606">
        <v>35691</v>
      </c>
      <c r="IT14" s="606">
        <v>47570</v>
      </c>
      <c r="IU14" s="606">
        <v>56023</v>
      </c>
      <c r="IV14" s="606">
        <v>40381</v>
      </c>
      <c r="IW14" s="606">
        <v>40188</v>
      </c>
      <c r="IX14" s="606">
        <v>42556</v>
      </c>
      <c r="IY14" s="606">
        <v>44400</v>
      </c>
      <c r="IZ14" s="606">
        <v>35151</v>
      </c>
      <c r="JA14" s="607">
        <f t="shared" si="56"/>
        <v>569535</v>
      </c>
      <c r="JB14" s="1324">
        <v>108331</v>
      </c>
      <c r="JC14">
        <v>48163</v>
      </c>
      <c r="JD14">
        <v>36127</v>
      </c>
      <c r="JE14">
        <v>33599</v>
      </c>
      <c r="JF14">
        <v>43967</v>
      </c>
      <c r="JG14">
        <v>42011</v>
      </c>
      <c r="JH14">
        <v>53104</v>
      </c>
      <c r="JI14">
        <v>88756</v>
      </c>
      <c r="JM14" s="1266"/>
      <c r="JN14" s="1059">
        <f t="shared" si="58"/>
        <v>454058</v>
      </c>
      <c r="JP14" s="464">
        <f t="shared" si="59"/>
        <v>119.79643891929372</v>
      </c>
      <c r="JQ14" s="464">
        <f t="shared" si="60"/>
        <v>11.496414890482276</v>
      </c>
      <c r="JR14" s="465">
        <f t="shared" si="61"/>
        <v>407240</v>
      </c>
      <c r="JS14" s="465">
        <f t="shared" si="62"/>
        <v>454058</v>
      </c>
    </row>
    <row r="15" spans="1:279" ht="13.9" customHeight="1" x14ac:dyDescent="0.2">
      <c r="A15" s="459" t="s">
        <v>393</v>
      </c>
      <c r="B15" s="604">
        <v>21</v>
      </c>
      <c r="C15" s="605">
        <v>23</v>
      </c>
      <c r="D15" s="605">
        <v>16</v>
      </c>
      <c r="E15" s="605">
        <v>57</v>
      </c>
      <c r="F15" s="606">
        <v>17</v>
      </c>
      <c r="G15" s="606">
        <v>16</v>
      </c>
      <c r="H15" s="606">
        <v>13</v>
      </c>
      <c r="I15" s="606">
        <v>11</v>
      </c>
      <c r="J15" s="606">
        <v>0</v>
      </c>
      <c r="K15" s="606">
        <v>0</v>
      </c>
      <c r="L15" s="606">
        <v>13</v>
      </c>
      <c r="M15" s="606">
        <v>3</v>
      </c>
      <c r="N15" s="614">
        <f t="shared" si="21"/>
        <v>190</v>
      </c>
      <c r="O15" s="604">
        <v>12</v>
      </c>
      <c r="P15" s="605">
        <v>63</v>
      </c>
      <c r="Q15" s="605">
        <v>16</v>
      </c>
      <c r="R15" s="605">
        <v>35</v>
      </c>
      <c r="S15" s="606">
        <v>50</v>
      </c>
      <c r="T15" s="606">
        <v>1</v>
      </c>
      <c r="U15" s="606">
        <v>12</v>
      </c>
      <c r="V15" s="606">
        <v>43</v>
      </c>
      <c r="W15" s="606">
        <v>38</v>
      </c>
      <c r="X15" s="606">
        <v>32</v>
      </c>
      <c r="Y15" s="606">
        <v>19</v>
      </c>
      <c r="Z15" s="606">
        <v>8</v>
      </c>
      <c r="AA15" s="614">
        <f t="shared" si="22"/>
        <v>329</v>
      </c>
      <c r="AB15" s="604">
        <f>20+2953</f>
        <v>2973</v>
      </c>
      <c r="AC15" s="605">
        <f>37+2956</f>
        <v>2993</v>
      </c>
      <c r="AD15" s="605">
        <f>44+2948</f>
        <v>2992</v>
      </c>
      <c r="AE15" s="605">
        <f>12+2953</f>
        <v>2965</v>
      </c>
      <c r="AF15" s="606">
        <f>27+2951</f>
        <v>2978</v>
      </c>
      <c r="AG15" s="606">
        <f>12+2949</f>
        <v>2961</v>
      </c>
      <c r="AH15" s="606">
        <f>14+2955</f>
        <v>2969</v>
      </c>
      <c r="AI15" s="606">
        <f>10+2953</f>
        <v>2963</v>
      </c>
      <c r="AJ15" s="606">
        <f>48+2951</f>
        <v>2999</v>
      </c>
      <c r="AK15" s="606">
        <f>14+2955</f>
        <v>2969</v>
      </c>
      <c r="AL15" s="606">
        <f>42+3104</f>
        <v>3146</v>
      </c>
      <c r="AM15" s="606">
        <f>26+2978</f>
        <v>3004</v>
      </c>
      <c r="AN15" s="614">
        <f t="shared" si="24"/>
        <v>35912</v>
      </c>
      <c r="AO15" s="604">
        <v>25</v>
      </c>
      <c r="AP15" s="605">
        <v>110</v>
      </c>
      <c r="AQ15" s="605">
        <v>25</v>
      </c>
      <c r="AR15" s="605">
        <v>78</v>
      </c>
      <c r="AS15" s="606">
        <v>30</v>
      </c>
      <c r="AT15" s="606">
        <v>125</v>
      </c>
      <c r="AU15" s="606">
        <v>38</v>
      </c>
      <c r="AV15" s="606">
        <v>26</v>
      </c>
      <c r="AW15" s="606">
        <v>37</v>
      </c>
      <c r="AX15" s="606">
        <v>175</v>
      </c>
      <c r="AY15" s="606">
        <v>68</v>
      </c>
      <c r="AZ15" s="606">
        <v>20</v>
      </c>
      <c r="BA15" s="614">
        <f t="shared" si="26"/>
        <v>757</v>
      </c>
      <c r="BB15" s="604">
        <v>32</v>
      </c>
      <c r="BC15" s="605">
        <v>170</v>
      </c>
      <c r="BD15" s="605">
        <v>50</v>
      </c>
      <c r="BE15" s="605">
        <v>82</v>
      </c>
      <c r="BF15" s="606">
        <v>34</v>
      </c>
      <c r="BG15" s="606">
        <v>9593</v>
      </c>
      <c r="BH15" s="606">
        <v>14998</v>
      </c>
      <c r="BI15" s="606">
        <v>38</v>
      </c>
      <c r="BJ15" s="606">
        <v>36</v>
      </c>
      <c r="BK15" s="606">
        <v>39</v>
      </c>
      <c r="BL15" s="606">
        <v>383</v>
      </c>
      <c r="BM15" s="606">
        <v>1250</v>
      </c>
      <c r="BN15" s="614">
        <f t="shared" si="28"/>
        <v>26705</v>
      </c>
      <c r="BO15" s="604">
        <v>68</v>
      </c>
      <c r="BP15" s="605">
        <v>70</v>
      </c>
      <c r="BQ15" s="605">
        <v>44</v>
      </c>
      <c r="BR15" s="605">
        <v>46</v>
      </c>
      <c r="BS15" s="606">
        <v>17</v>
      </c>
      <c r="BT15" s="606">
        <v>140</v>
      </c>
      <c r="BU15" s="606">
        <v>15010</v>
      </c>
      <c r="BV15" s="606">
        <v>22</v>
      </c>
      <c r="BW15" s="606">
        <v>139</v>
      </c>
      <c r="BX15" s="606">
        <v>9</v>
      </c>
      <c r="BY15" s="606">
        <v>104</v>
      </c>
      <c r="BZ15" s="606">
        <v>24</v>
      </c>
      <c r="CA15" s="614">
        <f t="shared" si="30"/>
        <v>15693</v>
      </c>
      <c r="CB15" s="604">
        <v>12</v>
      </c>
      <c r="CC15" s="605">
        <v>479</v>
      </c>
      <c r="CD15" s="605">
        <v>117</v>
      </c>
      <c r="CE15" s="605">
        <v>93</v>
      </c>
      <c r="CF15" s="606">
        <v>256</v>
      </c>
      <c r="CG15" s="606">
        <v>106</v>
      </c>
      <c r="CH15" s="606">
        <v>40</v>
      </c>
      <c r="CI15" s="606">
        <v>73</v>
      </c>
      <c r="CJ15" s="606">
        <v>401</v>
      </c>
      <c r="CK15" s="606">
        <v>66</v>
      </c>
      <c r="CL15" s="606">
        <v>45</v>
      </c>
      <c r="CM15" s="606">
        <v>33356</v>
      </c>
      <c r="CN15" s="614">
        <f t="shared" si="32"/>
        <v>35044</v>
      </c>
      <c r="CO15" s="604">
        <v>32</v>
      </c>
      <c r="CP15" s="605">
        <v>66</v>
      </c>
      <c r="CQ15" s="605">
        <v>54</v>
      </c>
      <c r="CR15" s="605">
        <v>108</v>
      </c>
      <c r="CS15" s="606">
        <v>69</v>
      </c>
      <c r="CT15" s="606">
        <v>1333</v>
      </c>
      <c r="CU15" s="606">
        <v>994</v>
      </c>
      <c r="CV15" s="606">
        <v>214</v>
      </c>
      <c r="CW15" s="606">
        <v>340</v>
      </c>
      <c r="CX15" s="606">
        <v>166</v>
      </c>
      <c r="CY15" s="606">
        <v>101</v>
      </c>
      <c r="CZ15" s="606">
        <v>129</v>
      </c>
      <c r="DA15" s="614">
        <f t="shared" si="34"/>
        <v>3606</v>
      </c>
      <c r="DB15" s="604">
        <v>109</v>
      </c>
      <c r="DC15" s="605">
        <v>318</v>
      </c>
      <c r="DD15" s="605">
        <v>270</v>
      </c>
      <c r="DE15" s="605">
        <v>1992</v>
      </c>
      <c r="DF15" s="606">
        <v>146</v>
      </c>
      <c r="DG15" s="606">
        <v>74</v>
      </c>
      <c r="DH15" s="606">
        <v>142</v>
      </c>
      <c r="DI15" s="606">
        <v>7277</v>
      </c>
      <c r="DJ15" s="606">
        <v>130</v>
      </c>
      <c r="DK15" s="606">
        <v>106</v>
      </c>
      <c r="DL15" s="606">
        <v>427</v>
      </c>
      <c r="DM15" s="606">
        <v>114</v>
      </c>
      <c r="DN15" s="614">
        <f t="shared" si="36"/>
        <v>11105</v>
      </c>
      <c r="DO15" s="604">
        <v>144</v>
      </c>
      <c r="DP15" s="605">
        <v>131</v>
      </c>
      <c r="DQ15" s="605">
        <v>989</v>
      </c>
      <c r="DR15" s="605">
        <v>146</v>
      </c>
      <c r="DS15" s="606">
        <v>181</v>
      </c>
      <c r="DT15" s="606">
        <v>1633</v>
      </c>
      <c r="DU15" s="606">
        <v>155</v>
      </c>
      <c r="DV15" s="606">
        <v>159</v>
      </c>
      <c r="DW15" s="606">
        <v>898</v>
      </c>
      <c r="DX15" s="606">
        <v>611</v>
      </c>
      <c r="DY15" s="606">
        <v>1599</v>
      </c>
      <c r="DZ15" s="606">
        <v>245</v>
      </c>
      <c r="EA15" s="614">
        <f t="shared" si="38"/>
        <v>6891</v>
      </c>
      <c r="EB15" s="604">
        <v>178</v>
      </c>
      <c r="EC15" s="605">
        <v>125</v>
      </c>
      <c r="ED15" s="605">
        <v>2267</v>
      </c>
      <c r="EE15" s="605">
        <v>256</v>
      </c>
      <c r="EF15" s="606">
        <v>257</v>
      </c>
      <c r="EG15" s="606">
        <v>103</v>
      </c>
      <c r="EH15" s="606">
        <v>709</v>
      </c>
      <c r="EI15" s="606">
        <v>1087</v>
      </c>
      <c r="EJ15" s="606">
        <v>1493</v>
      </c>
      <c r="EK15" s="606">
        <v>6944</v>
      </c>
      <c r="EL15" s="606">
        <v>-507</v>
      </c>
      <c r="EM15" s="606">
        <v>456</v>
      </c>
      <c r="EN15" s="614">
        <f t="shared" si="39"/>
        <v>13368</v>
      </c>
      <c r="EO15" s="604">
        <v>169</v>
      </c>
      <c r="EP15" s="605">
        <v>426</v>
      </c>
      <c r="EQ15" s="605">
        <v>4665</v>
      </c>
      <c r="ER15" s="605">
        <v>309</v>
      </c>
      <c r="ES15" s="606">
        <v>172</v>
      </c>
      <c r="ET15" s="606">
        <v>321</v>
      </c>
      <c r="EU15" s="606">
        <v>164</v>
      </c>
      <c r="EV15" s="606">
        <v>748</v>
      </c>
      <c r="EW15" s="606">
        <v>112</v>
      </c>
      <c r="EX15" s="606">
        <v>465</v>
      </c>
      <c r="EY15" s="606">
        <v>379</v>
      </c>
      <c r="EZ15" s="606">
        <v>1998</v>
      </c>
      <c r="FA15" s="614">
        <f t="shared" si="40"/>
        <v>9928</v>
      </c>
      <c r="FB15" s="604">
        <v>2886</v>
      </c>
      <c r="FC15" s="605">
        <v>2353</v>
      </c>
      <c r="FD15" s="605">
        <v>393</v>
      </c>
      <c r="FE15" s="605">
        <v>230</v>
      </c>
      <c r="FF15" s="606">
        <v>359</v>
      </c>
      <c r="FG15" s="606">
        <v>1455</v>
      </c>
      <c r="FH15" s="606">
        <v>435</v>
      </c>
      <c r="FI15" s="606">
        <v>1191</v>
      </c>
      <c r="FJ15" s="606">
        <v>953</v>
      </c>
      <c r="FK15" s="606">
        <v>900</v>
      </c>
      <c r="FL15" s="606">
        <v>987</v>
      </c>
      <c r="FM15" s="606">
        <v>797</v>
      </c>
      <c r="FN15" s="614">
        <f t="shared" si="42"/>
        <v>12939</v>
      </c>
      <c r="FO15" s="604">
        <v>338</v>
      </c>
      <c r="FP15" s="605">
        <v>121</v>
      </c>
      <c r="FQ15" s="605">
        <v>1032</v>
      </c>
      <c r="FR15" s="605">
        <v>369</v>
      </c>
      <c r="FS15" s="606">
        <v>950</v>
      </c>
      <c r="FT15" s="606">
        <v>178</v>
      </c>
      <c r="FU15" s="606">
        <v>122</v>
      </c>
      <c r="FV15" s="606">
        <v>1976</v>
      </c>
      <c r="FW15" s="606">
        <v>1134</v>
      </c>
      <c r="FX15" s="606">
        <v>1144</v>
      </c>
      <c r="FY15" s="606">
        <v>163</v>
      </c>
      <c r="FZ15" s="606">
        <v>704</v>
      </c>
      <c r="GA15" s="614">
        <f t="shared" si="44"/>
        <v>8231</v>
      </c>
      <c r="GB15" s="604">
        <v>181</v>
      </c>
      <c r="GC15" s="605">
        <v>461</v>
      </c>
      <c r="GD15" s="605">
        <v>87</v>
      </c>
      <c r="GE15" s="605">
        <v>28</v>
      </c>
      <c r="GF15" s="606">
        <v>32</v>
      </c>
      <c r="GG15" s="606">
        <v>17</v>
      </c>
      <c r="GH15" s="606">
        <v>5</v>
      </c>
      <c r="GI15" s="606">
        <v>41</v>
      </c>
      <c r="GJ15" s="606">
        <v>879</v>
      </c>
      <c r="GK15" s="606">
        <v>57</v>
      </c>
      <c r="GL15" s="606">
        <v>751</v>
      </c>
      <c r="GM15" s="606">
        <v>1516</v>
      </c>
      <c r="GN15" s="614">
        <f t="shared" si="46"/>
        <v>4055</v>
      </c>
      <c r="GO15" s="604">
        <v>250</v>
      </c>
      <c r="GP15" s="605">
        <v>521</v>
      </c>
      <c r="GQ15" s="605">
        <v>713</v>
      </c>
      <c r="GR15" s="605">
        <v>175</v>
      </c>
      <c r="GS15" s="606">
        <v>76</v>
      </c>
      <c r="GT15" s="606">
        <v>87</v>
      </c>
      <c r="GU15" s="606">
        <v>13325</v>
      </c>
      <c r="GV15" s="606">
        <v>-797</v>
      </c>
      <c r="GW15" s="606">
        <v>-89</v>
      </c>
      <c r="GX15" s="606">
        <v>1303</v>
      </c>
      <c r="GY15" s="606">
        <v>8936</v>
      </c>
      <c r="GZ15" s="606">
        <v>179</v>
      </c>
      <c r="HA15" s="614">
        <f t="shared" si="48"/>
        <v>24679</v>
      </c>
      <c r="HB15" s="604">
        <v>339</v>
      </c>
      <c r="HC15" s="605">
        <v>5126</v>
      </c>
      <c r="HD15" s="605">
        <v>499</v>
      </c>
      <c r="HE15" s="605">
        <v>211</v>
      </c>
      <c r="HF15" s="606">
        <v>886</v>
      </c>
      <c r="HG15" s="606">
        <v>807</v>
      </c>
      <c r="HH15" s="606">
        <v>345</v>
      </c>
      <c r="HI15" s="606">
        <v>497</v>
      </c>
      <c r="HJ15" s="606">
        <v>416</v>
      </c>
      <c r="HK15" s="606">
        <v>983</v>
      </c>
      <c r="HL15" s="606">
        <v>2841</v>
      </c>
      <c r="HM15" s="606">
        <v>642</v>
      </c>
      <c r="HN15" s="614">
        <f t="shared" si="50"/>
        <v>13592</v>
      </c>
      <c r="HO15" s="604">
        <v>835</v>
      </c>
      <c r="HP15" s="605">
        <v>256</v>
      </c>
      <c r="HQ15" s="605">
        <v>317</v>
      </c>
      <c r="HR15" s="605">
        <v>383</v>
      </c>
      <c r="HS15" s="606">
        <v>799</v>
      </c>
      <c r="HT15" s="606">
        <v>980</v>
      </c>
      <c r="HU15" s="606">
        <v>644</v>
      </c>
      <c r="HV15" s="606">
        <v>702</v>
      </c>
      <c r="HW15" s="606">
        <v>985</v>
      </c>
      <c r="HX15" s="606">
        <v>662</v>
      </c>
      <c r="HY15" s="606">
        <v>722</v>
      </c>
      <c r="HZ15" s="606">
        <v>732</v>
      </c>
      <c r="IA15" s="614">
        <f t="shared" si="52"/>
        <v>8017</v>
      </c>
      <c r="IB15" s="604">
        <v>961</v>
      </c>
      <c r="IC15" s="605">
        <v>635</v>
      </c>
      <c r="ID15" s="605">
        <v>595</v>
      </c>
      <c r="IE15" s="605">
        <v>1021</v>
      </c>
      <c r="IF15" s="606">
        <v>586</v>
      </c>
      <c r="IG15" s="606">
        <v>1302</v>
      </c>
      <c r="IH15" s="606">
        <v>1357</v>
      </c>
      <c r="II15" s="606">
        <v>882</v>
      </c>
      <c r="IJ15" s="606">
        <v>987</v>
      </c>
      <c r="IK15" s="606">
        <v>891</v>
      </c>
      <c r="IL15" s="606">
        <v>761</v>
      </c>
      <c r="IM15" s="606">
        <v>1158</v>
      </c>
      <c r="IN15" s="614">
        <f t="shared" si="54"/>
        <v>11136</v>
      </c>
      <c r="IO15" s="604">
        <v>800</v>
      </c>
      <c r="IP15" s="605">
        <v>584</v>
      </c>
      <c r="IQ15" s="605">
        <v>456</v>
      </c>
      <c r="IR15" s="605">
        <v>486</v>
      </c>
      <c r="IS15" s="606">
        <v>7004</v>
      </c>
      <c r="IT15" s="606">
        <v>605</v>
      </c>
      <c r="IU15" s="606">
        <v>786</v>
      </c>
      <c r="IV15" s="606">
        <v>307</v>
      </c>
      <c r="IW15" s="606">
        <v>694</v>
      </c>
      <c r="IX15" s="606">
        <v>529</v>
      </c>
      <c r="IY15" s="606">
        <v>905</v>
      </c>
      <c r="IZ15" s="606">
        <v>3597</v>
      </c>
      <c r="JA15" s="607">
        <f t="shared" si="56"/>
        <v>16753</v>
      </c>
      <c r="JB15" s="1324">
        <v>695</v>
      </c>
      <c r="JC15">
        <v>427</v>
      </c>
      <c r="JD15">
        <v>267</v>
      </c>
      <c r="JE15">
        <v>863</v>
      </c>
      <c r="JF15">
        <v>3726</v>
      </c>
      <c r="JG15">
        <v>569</v>
      </c>
      <c r="JH15">
        <v>627</v>
      </c>
      <c r="JI15">
        <v>387</v>
      </c>
      <c r="JM15" s="1266"/>
      <c r="JN15" s="1059">
        <f t="shared" si="58"/>
        <v>7561</v>
      </c>
      <c r="JP15" s="464">
        <f t="shared" si="59"/>
        <v>26.058631921824094</v>
      </c>
      <c r="JQ15" s="464">
        <f t="shared" si="60"/>
        <v>-31.43815741748277</v>
      </c>
      <c r="JR15" s="465">
        <f t="shared" si="61"/>
        <v>11028</v>
      </c>
      <c r="JS15" s="465">
        <f t="shared" si="62"/>
        <v>7561</v>
      </c>
    </row>
    <row r="16" spans="1:279" ht="13.9" customHeight="1" x14ac:dyDescent="0.2">
      <c r="A16" s="437" t="s">
        <v>352</v>
      </c>
      <c r="B16" s="604">
        <v>152</v>
      </c>
      <c r="C16" s="605">
        <v>14</v>
      </c>
      <c r="D16" s="605">
        <v>25</v>
      </c>
      <c r="E16" s="605">
        <v>48</v>
      </c>
      <c r="F16" s="606">
        <v>12</v>
      </c>
      <c r="G16" s="606">
        <v>53</v>
      </c>
      <c r="H16" s="606">
        <v>19</v>
      </c>
      <c r="I16" s="606">
        <v>11</v>
      </c>
      <c r="J16" s="606">
        <v>12</v>
      </c>
      <c r="K16" s="606">
        <v>13</v>
      </c>
      <c r="L16" s="606">
        <v>10</v>
      </c>
      <c r="M16" s="606">
        <v>13</v>
      </c>
      <c r="N16" s="614">
        <f t="shared" si="21"/>
        <v>382</v>
      </c>
      <c r="O16" s="604">
        <v>3948</v>
      </c>
      <c r="P16" s="605">
        <v>3943</v>
      </c>
      <c r="Q16" s="605">
        <v>3950</v>
      </c>
      <c r="R16" s="605">
        <v>3946</v>
      </c>
      <c r="S16" s="606">
        <v>3943</v>
      </c>
      <c r="T16" s="606">
        <v>3946</v>
      </c>
      <c r="U16" s="606">
        <v>3947</v>
      </c>
      <c r="V16" s="606">
        <v>3941</v>
      </c>
      <c r="W16" s="606">
        <v>3951</v>
      </c>
      <c r="X16" s="606">
        <v>4028</v>
      </c>
      <c r="Y16" s="606">
        <v>3946</v>
      </c>
      <c r="Z16" s="606">
        <v>71941</v>
      </c>
      <c r="AA16" s="614">
        <f t="shared" si="22"/>
        <v>115430</v>
      </c>
      <c r="AB16" s="604"/>
      <c r="AC16" s="605"/>
      <c r="AD16" s="605"/>
      <c r="AE16" s="605"/>
      <c r="AF16" s="606"/>
      <c r="AG16" s="606"/>
      <c r="AH16" s="606"/>
      <c r="AI16" s="606"/>
      <c r="AJ16" s="606"/>
      <c r="AK16" s="606"/>
      <c r="AL16" s="606"/>
      <c r="AM16" s="606"/>
      <c r="AN16" s="614"/>
      <c r="AO16" s="604"/>
      <c r="AP16" s="605"/>
      <c r="AQ16" s="605"/>
      <c r="AR16" s="605"/>
      <c r="AS16" s="606"/>
      <c r="AT16" s="606"/>
      <c r="AU16" s="606"/>
      <c r="AV16" s="606"/>
      <c r="AW16" s="606"/>
      <c r="AX16" s="606"/>
      <c r="AY16" s="606"/>
      <c r="AZ16" s="606"/>
      <c r="BA16" s="614"/>
      <c r="BB16" s="604"/>
      <c r="BC16" s="605"/>
      <c r="BD16" s="605"/>
      <c r="BE16" s="605"/>
      <c r="BF16" s="606"/>
      <c r="BG16" s="606"/>
      <c r="BH16" s="606"/>
      <c r="BI16" s="606"/>
      <c r="BJ16" s="606"/>
      <c r="BK16" s="606"/>
      <c r="BL16" s="606"/>
      <c r="BM16" s="606"/>
      <c r="BN16" s="614"/>
      <c r="BO16" s="604"/>
      <c r="BP16" s="605"/>
      <c r="BQ16" s="605"/>
      <c r="BR16" s="605"/>
      <c r="BS16" s="606"/>
      <c r="BT16" s="606"/>
      <c r="BU16" s="606"/>
      <c r="BV16" s="606"/>
      <c r="BW16" s="606"/>
      <c r="BX16" s="606"/>
      <c r="BY16" s="606"/>
      <c r="BZ16" s="606"/>
      <c r="CA16" s="614"/>
      <c r="CB16" s="604"/>
      <c r="CC16" s="605"/>
      <c r="CD16" s="605"/>
      <c r="CE16" s="605"/>
      <c r="CF16" s="606"/>
      <c r="CG16" s="606"/>
      <c r="CH16" s="606"/>
      <c r="CI16" s="606"/>
      <c r="CJ16" s="606"/>
      <c r="CK16" s="606"/>
      <c r="CL16" s="606"/>
      <c r="CM16" s="606"/>
      <c r="CN16" s="614"/>
      <c r="CO16" s="604"/>
      <c r="CP16" s="605"/>
      <c r="CQ16" s="605"/>
      <c r="CR16" s="605"/>
      <c r="CS16" s="606"/>
      <c r="CT16" s="606"/>
      <c r="CU16" s="606"/>
      <c r="CV16" s="606"/>
      <c r="CW16" s="606"/>
      <c r="CX16" s="606"/>
      <c r="CY16" s="606"/>
      <c r="CZ16" s="606"/>
      <c r="DA16" s="614"/>
      <c r="DB16" s="604"/>
      <c r="DC16" s="605"/>
      <c r="DD16" s="605"/>
      <c r="DE16" s="605"/>
      <c r="DF16" s="606"/>
      <c r="DG16" s="606"/>
      <c r="DH16" s="606"/>
      <c r="DI16" s="606"/>
      <c r="DJ16" s="606"/>
      <c r="DK16" s="606"/>
      <c r="DL16" s="606"/>
      <c r="DM16" s="606"/>
      <c r="DN16" s="614"/>
      <c r="DO16" s="604"/>
      <c r="DP16" s="605"/>
      <c r="DQ16" s="605"/>
      <c r="DR16" s="605"/>
      <c r="DS16" s="606"/>
      <c r="DT16" s="606"/>
      <c r="DU16" s="606"/>
      <c r="DV16" s="606"/>
      <c r="DW16" s="606"/>
      <c r="DX16" s="606"/>
      <c r="DY16" s="606"/>
      <c r="DZ16" s="606"/>
      <c r="EA16" s="614"/>
      <c r="EB16" s="604"/>
      <c r="EC16" s="605"/>
      <c r="ED16" s="605"/>
      <c r="EE16" s="605"/>
      <c r="EF16" s="606"/>
      <c r="EG16" s="606"/>
      <c r="EH16" s="606"/>
      <c r="EI16" s="606"/>
      <c r="EJ16" s="606"/>
      <c r="EK16" s="606"/>
      <c r="EL16" s="606"/>
      <c r="EM16" s="606"/>
      <c r="EN16" s="614"/>
      <c r="EO16" s="604"/>
      <c r="EP16" s="605"/>
      <c r="EQ16" s="605"/>
      <c r="ER16" s="605"/>
      <c r="ES16" s="606"/>
      <c r="ET16" s="606"/>
      <c r="EU16" s="606"/>
      <c r="EV16" s="606"/>
      <c r="EW16" s="606"/>
      <c r="EX16" s="606"/>
      <c r="EY16" s="606"/>
      <c r="EZ16" s="606"/>
      <c r="FA16" s="614"/>
      <c r="FB16" s="604"/>
      <c r="FC16" s="605"/>
      <c r="FD16" s="605"/>
      <c r="FE16" s="605"/>
      <c r="FF16" s="606"/>
      <c r="FG16" s="606"/>
      <c r="FH16" s="606"/>
      <c r="FI16" s="606"/>
      <c r="FJ16" s="606"/>
      <c r="FK16" s="606"/>
      <c r="FL16" s="606"/>
      <c r="FM16" s="606"/>
      <c r="FN16" s="614"/>
      <c r="FO16" s="604"/>
      <c r="FP16" s="605"/>
      <c r="FQ16" s="605"/>
      <c r="FR16" s="605"/>
      <c r="FS16" s="606"/>
      <c r="FT16" s="606"/>
      <c r="FU16" s="606"/>
      <c r="FV16" s="606"/>
      <c r="FW16" s="606"/>
      <c r="FX16" s="606"/>
      <c r="FY16" s="606"/>
      <c r="FZ16" s="606"/>
      <c r="GA16" s="614"/>
      <c r="GB16" s="604"/>
      <c r="GC16" s="605"/>
      <c r="GD16" s="605"/>
      <c r="GE16" s="605"/>
      <c r="GF16" s="606"/>
      <c r="GG16" s="606"/>
      <c r="GH16" s="606"/>
      <c r="GI16" s="606"/>
      <c r="GJ16" s="606"/>
      <c r="GK16" s="606"/>
      <c r="GL16" s="606"/>
      <c r="GM16" s="606"/>
      <c r="GN16" s="614"/>
      <c r="GO16" s="604"/>
      <c r="GP16" s="605"/>
      <c r="GQ16" s="605"/>
      <c r="GR16" s="605"/>
      <c r="GS16" s="606"/>
      <c r="GT16" s="606"/>
      <c r="GU16" s="606"/>
      <c r="GV16" s="606"/>
      <c r="GW16" s="606"/>
      <c r="GX16" s="606"/>
      <c r="GY16" s="606"/>
      <c r="GZ16" s="606"/>
      <c r="HA16" s="614"/>
      <c r="HB16" s="604"/>
      <c r="HC16" s="605"/>
      <c r="HD16" s="605"/>
      <c r="HE16" s="605"/>
      <c r="HF16" s="606"/>
      <c r="HG16" s="606"/>
      <c r="HH16" s="606"/>
      <c r="HI16" s="606"/>
      <c r="HJ16" s="606"/>
      <c r="HK16" s="606"/>
      <c r="HL16" s="606"/>
      <c r="HM16" s="606"/>
      <c r="HN16" s="614"/>
      <c r="HO16" s="604"/>
      <c r="HP16" s="605"/>
      <c r="HQ16" s="605"/>
      <c r="HR16" s="605"/>
      <c r="HS16" s="606"/>
      <c r="HT16" s="606"/>
      <c r="HU16" s="606"/>
      <c r="HV16" s="606"/>
      <c r="HW16" s="606"/>
      <c r="HX16" s="606"/>
      <c r="HY16" s="606"/>
      <c r="HZ16" s="606"/>
      <c r="IA16" s="614"/>
      <c r="IB16" s="604"/>
      <c r="IC16" s="605"/>
      <c r="ID16" s="605"/>
      <c r="IE16" s="605"/>
      <c r="IF16" s="606"/>
      <c r="IG16" s="606"/>
      <c r="IH16" s="606"/>
      <c r="II16" s="606"/>
      <c r="IJ16" s="606"/>
      <c r="IK16" s="606"/>
      <c r="IL16" s="606"/>
      <c r="IM16" s="606"/>
      <c r="IN16" s="614">
        <f t="shared" si="54"/>
        <v>0</v>
      </c>
      <c r="IO16" s="604"/>
      <c r="IP16" s="605"/>
      <c r="IQ16" s="605"/>
      <c r="IR16" s="605"/>
      <c r="IS16" s="606"/>
      <c r="IT16" s="606"/>
      <c r="IU16" s="606"/>
      <c r="IV16" s="606"/>
      <c r="IW16" s="606"/>
      <c r="IX16" s="606"/>
      <c r="IY16" s="606"/>
      <c r="IZ16" s="606"/>
      <c r="JA16" s="607"/>
      <c r="JB16" s="1324"/>
      <c r="JM16" s="1266"/>
      <c r="JN16" s="1059"/>
      <c r="JP16" s="464" t="str">
        <f t="shared" si="59"/>
        <v/>
      </c>
      <c r="JQ16" s="464"/>
      <c r="JR16" s="465">
        <f t="shared" si="61"/>
        <v>0</v>
      </c>
      <c r="JS16" s="465"/>
    </row>
    <row r="17" spans="1:279" ht="13.9" customHeight="1" x14ac:dyDescent="0.2">
      <c r="A17" s="457" t="s">
        <v>394</v>
      </c>
      <c r="B17" s="601">
        <f t="shared" ref="B17:AM17" si="63">SUM(B18:B19)</f>
        <v>84</v>
      </c>
      <c r="C17" s="602">
        <f t="shared" si="63"/>
        <v>43</v>
      </c>
      <c r="D17" s="602">
        <f t="shared" si="63"/>
        <v>40</v>
      </c>
      <c r="E17" s="602">
        <f t="shared" si="63"/>
        <v>115</v>
      </c>
      <c r="F17" s="603">
        <f t="shared" si="63"/>
        <v>216</v>
      </c>
      <c r="G17" s="603">
        <f t="shared" si="63"/>
        <v>205</v>
      </c>
      <c r="H17" s="603">
        <f t="shared" si="63"/>
        <v>131</v>
      </c>
      <c r="I17" s="603">
        <f t="shared" si="63"/>
        <v>53</v>
      </c>
      <c r="J17" s="603">
        <f t="shared" si="63"/>
        <v>62</v>
      </c>
      <c r="K17" s="603">
        <f t="shared" si="63"/>
        <v>52</v>
      </c>
      <c r="L17" s="603">
        <f t="shared" si="63"/>
        <v>159</v>
      </c>
      <c r="M17" s="603">
        <f t="shared" si="63"/>
        <v>30</v>
      </c>
      <c r="N17" s="613">
        <f t="shared" si="21"/>
        <v>1190</v>
      </c>
      <c r="O17" s="601">
        <f t="shared" si="63"/>
        <v>54</v>
      </c>
      <c r="P17" s="602">
        <f t="shared" si="63"/>
        <v>102</v>
      </c>
      <c r="Q17" s="602">
        <f t="shared" si="63"/>
        <v>88</v>
      </c>
      <c r="R17" s="602">
        <f t="shared" si="63"/>
        <v>120</v>
      </c>
      <c r="S17" s="603">
        <f t="shared" si="63"/>
        <v>210</v>
      </c>
      <c r="T17" s="603">
        <f t="shared" si="63"/>
        <v>168</v>
      </c>
      <c r="U17" s="603">
        <f t="shared" si="63"/>
        <v>276</v>
      </c>
      <c r="V17" s="603">
        <f t="shared" si="63"/>
        <v>109</v>
      </c>
      <c r="W17" s="603">
        <f t="shared" si="63"/>
        <v>67</v>
      </c>
      <c r="X17" s="603">
        <f t="shared" si="63"/>
        <v>80</v>
      </c>
      <c r="Y17" s="603">
        <f t="shared" si="63"/>
        <v>58</v>
      </c>
      <c r="Z17" s="603">
        <f t="shared" si="63"/>
        <v>52</v>
      </c>
      <c r="AA17" s="613">
        <f t="shared" si="22"/>
        <v>1384</v>
      </c>
      <c r="AB17" s="601">
        <f t="shared" si="63"/>
        <v>27</v>
      </c>
      <c r="AC17" s="602">
        <f t="shared" si="63"/>
        <v>25</v>
      </c>
      <c r="AD17" s="602">
        <f t="shared" si="63"/>
        <v>27</v>
      </c>
      <c r="AE17" s="602">
        <f t="shared" si="63"/>
        <v>47</v>
      </c>
      <c r="AF17" s="603">
        <f t="shared" si="63"/>
        <v>61</v>
      </c>
      <c r="AG17" s="603">
        <f t="shared" si="63"/>
        <v>14</v>
      </c>
      <c r="AH17" s="603">
        <f t="shared" si="63"/>
        <v>35</v>
      </c>
      <c r="AI17" s="603">
        <f t="shared" si="63"/>
        <v>20</v>
      </c>
      <c r="AJ17" s="603">
        <f t="shared" si="63"/>
        <v>24</v>
      </c>
      <c r="AK17" s="603">
        <f t="shared" si="63"/>
        <v>6</v>
      </c>
      <c r="AL17" s="603">
        <f t="shared" si="63"/>
        <v>0</v>
      </c>
      <c r="AM17" s="603">
        <f t="shared" si="63"/>
        <v>0</v>
      </c>
      <c r="AN17" s="613">
        <f>SUM(AB17:AM17)</f>
        <v>286</v>
      </c>
      <c r="AO17" s="601">
        <f t="shared" ref="AO17:AZ17" si="64">SUM(AO18:AO19)</f>
        <v>17</v>
      </c>
      <c r="AP17" s="602">
        <f t="shared" si="64"/>
        <v>1</v>
      </c>
      <c r="AQ17" s="602">
        <f t="shared" si="64"/>
        <v>1</v>
      </c>
      <c r="AR17" s="602">
        <f t="shared" si="64"/>
        <v>1</v>
      </c>
      <c r="AS17" s="603">
        <f t="shared" si="64"/>
        <v>0</v>
      </c>
      <c r="AT17" s="603">
        <f t="shared" si="64"/>
        <v>1</v>
      </c>
      <c r="AU17" s="603">
        <f t="shared" si="64"/>
        <v>1</v>
      </c>
      <c r="AV17" s="603">
        <f t="shared" si="64"/>
        <v>12</v>
      </c>
      <c r="AW17" s="603">
        <f t="shared" si="64"/>
        <v>41</v>
      </c>
      <c r="AX17" s="603">
        <f t="shared" si="64"/>
        <v>0</v>
      </c>
      <c r="AY17" s="603">
        <f t="shared" si="64"/>
        <v>1</v>
      </c>
      <c r="AZ17" s="603">
        <f t="shared" si="64"/>
        <v>29</v>
      </c>
      <c r="BA17" s="613">
        <f t="shared" ref="BA17:BA22" si="65">SUM(AO17:AZ17)</f>
        <v>105</v>
      </c>
      <c r="BB17" s="601">
        <f t="shared" ref="BB17:BM17" si="66">SUM(BB18:BB19)</f>
        <v>14</v>
      </c>
      <c r="BC17" s="602">
        <f t="shared" si="66"/>
        <v>1</v>
      </c>
      <c r="BD17" s="602">
        <f t="shared" si="66"/>
        <v>8</v>
      </c>
      <c r="BE17" s="602">
        <f t="shared" si="66"/>
        <v>4</v>
      </c>
      <c r="BF17" s="603">
        <f t="shared" si="66"/>
        <v>0</v>
      </c>
      <c r="BG17" s="603">
        <f t="shared" si="66"/>
        <v>11</v>
      </c>
      <c r="BH17" s="603">
        <f t="shared" si="66"/>
        <v>6</v>
      </c>
      <c r="BI17" s="603">
        <f t="shared" si="66"/>
        <v>1</v>
      </c>
      <c r="BJ17" s="603">
        <f t="shared" si="66"/>
        <v>63</v>
      </c>
      <c r="BK17" s="603">
        <f t="shared" si="66"/>
        <v>12</v>
      </c>
      <c r="BL17" s="603">
        <f t="shared" si="66"/>
        <v>3</v>
      </c>
      <c r="BM17" s="603">
        <f t="shared" si="66"/>
        <v>10</v>
      </c>
      <c r="BN17" s="613">
        <f t="shared" ref="BN17:BN22" si="67">SUM(BB17:BM17)</f>
        <v>133</v>
      </c>
      <c r="BO17" s="601">
        <f t="shared" ref="BO17:BZ17" si="68">SUM(BO18:BO19)</f>
        <v>7</v>
      </c>
      <c r="BP17" s="602">
        <f t="shared" si="68"/>
        <v>1</v>
      </c>
      <c r="BQ17" s="602">
        <f t="shared" si="68"/>
        <v>2</v>
      </c>
      <c r="BR17" s="602">
        <f t="shared" si="68"/>
        <v>2</v>
      </c>
      <c r="BS17" s="603">
        <f t="shared" si="68"/>
        <v>5</v>
      </c>
      <c r="BT17" s="603">
        <f t="shared" si="68"/>
        <v>1</v>
      </c>
      <c r="BU17" s="603">
        <f t="shared" si="68"/>
        <v>6</v>
      </c>
      <c r="BV17" s="603">
        <f t="shared" si="68"/>
        <v>3</v>
      </c>
      <c r="BW17" s="603">
        <f t="shared" si="68"/>
        <v>81</v>
      </c>
      <c r="BX17" s="603">
        <f t="shared" si="68"/>
        <v>1</v>
      </c>
      <c r="BY17" s="603">
        <f t="shared" si="68"/>
        <v>1</v>
      </c>
      <c r="BZ17" s="603">
        <f t="shared" si="68"/>
        <v>16</v>
      </c>
      <c r="CA17" s="613">
        <f t="shared" ref="CA17:CA22" si="69">SUM(BO17:BZ17)</f>
        <v>126</v>
      </c>
      <c r="CB17" s="601">
        <f t="shared" ref="CB17:CM17" si="70">SUM(CB18:CB19)</f>
        <v>4</v>
      </c>
      <c r="CC17" s="602">
        <f t="shared" si="70"/>
        <v>1</v>
      </c>
      <c r="CD17" s="602">
        <f t="shared" si="70"/>
        <v>0</v>
      </c>
      <c r="CE17" s="602">
        <f t="shared" si="70"/>
        <v>10</v>
      </c>
      <c r="CF17" s="603">
        <f t="shared" si="70"/>
        <v>0</v>
      </c>
      <c r="CG17" s="603">
        <f t="shared" si="70"/>
        <v>1</v>
      </c>
      <c r="CH17" s="603">
        <f t="shared" si="70"/>
        <v>8</v>
      </c>
      <c r="CI17" s="603">
        <f t="shared" si="70"/>
        <v>0</v>
      </c>
      <c r="CJ17" s="603">
        <f t="shared" si="70"/>
        <v>0</v>
      </c>
      <c r="CK17" s="603">
        <f t="shared" si="70"/>
        <v>99</v>
      </c>
      <c r="CL17" s="603">
        <f t="shared" si="70"/>
        <v>0</v>
      </c>
      <c r="CM17" s="603">
        <f t="shared" si="70"/>
        <v>4</v>
      </c>
      <c r="CN17" s="613">
        <f t="shared" ref="CN17:CN22" si="71">SUM(CB17:CM17)</f>
        <v>127</v>
      </c>
      <c r="CO17" s="601">
        <f t="shared" ref="CO17:CZ17" si="72">SUM(CO18:CO19)</f>
        <v>0</v>
      </c>
      <c r="CP17" s="602">
        <f t="shared" si="72"/>
        <v>0</v>
      </c>
      <c r="CQ17" s="602">
        <f t="shared" si="72"/>
        <v>1</v>
      </c>
      <c r="CR17" s="602">
        <f t="shared" si="72"/>
        <v>0</v>
      </c>
      <c r="CS17" s="603">
        <f t="shared" si="72"/>
        <v>1</v>
      </c>
      <c r="CT17" s="603">
        <f t="shared" si="72"/>
        <v>0</v>
      </c>
      <c r="CU17" s="603">
        <f t="shared" si="72"/>
        <v>1</v>
      </c>
      <c r="CV17" s="603">
        <f t="shared" si="72"/>
        <v>3</v>
      </c>
      <c r="CW17" s="603">
        <f t="shared" si="72"/>
        <v>98</v>
      </c>
      <c r="CX17" s="603">
        <f t="shared" si="72"/>
        <v>21</v>
      </c>
      <c r="CY17" s="603">
        <f t="shared" si="72"/>
        <v>1</v>
      </c>
      <c r="CZ17" s="603">
        <f t="shared" si="72"/>
        <v>0</v>
      </c>
      <c r="DA17" s="613">
        <f t="shared" ref="DA17:DA22" si="73">SUM(CO17:CZ17)</f>
        <v>126</v>
      </c>
      <c r="DB17" s="601">
        <f t="shared" ref="DB17:DM17" si="74">SUM(DB18:DB19)</f>
        <v>0</v>
      </c>
      <c r="DC17" s="602">
        <f t="shared" si="74"/>
        <v>0</v>
      </c>
      <c r="DD17" s="602">
        <f t="shared" si="74"/>
        <v>28</v>
      </c>
      <c r="DE17" s="602">
        <f t="shared" si="74"/>
        <v>0</v>
      </c>
      <c r="DF17" s="603">
        <f t="shared" si="74"/>
        <v>0</v>
      </c>
      <c r="DG17" s="603">
        <f t="shared" si="74"/>
        <v>0.41</v>
      </c>
      <c r="DH17" s="603">
        <f t="shared" si="74"/>
        <v>0</v>
      </c>
      <c r="DI17" s="603">
        <f t="shared" si="74"/>
        <v>0.6</v>
      </c>
      <c r="DJ17" s="603">
        <f t="shared" si="74"/>
        <v>3</v>
      </c>
      <c r="DK17" s="603">
        <f t="shared" si="74"/>
        <v>3</v>
      </c>
      <c r="DL17" s="603">
        <f t="shared" si="74"/>
        <v>0</v>
      </c>
      <c r="DM17" s="603">
        <f t="shared" si="74"/>
        <v>5</v>
      </c>
      <c r="DN17" s="613">
        <f t="shared" ref="DN17:DN22" si="75">SUM(DB17:DM17)</f>
        <v>40.010000000000005</v>
      </c>
      <c r="DO17" s="601">
        <f t="shared" ref="DO17:EZ17" si="76">SUM(DO18:DO19)</f>
        <v>1</v>
      </c>
      <c r="DP17" s="602">
        <f t="shared" si="76"/>
        <v>0</v>
      </c>
      <c r="DQ17" s="602">
        <f t="shared" si="76"/>
        <v>1</v>
      </c>
      <c r="DR17" s="602">
        <f t="shared" si="76"/>
        <v>0</v>
      </c>
      <c r="DS17" s="603">
        <f t="shared" si="76"/>
        <v>0</v>
      </c>
      <c r="DT17" s="603">
        <f t="shared" si="76"/>
        <v>0</v>
      </c>
      <c r="DU17" s="603">
        <f t="shared" si="76"/>
        <v>0</v>
      </c>
      <c r="DV17" s="603">
        <f t="shared" si="76"/>
        <v>0</v>
      </c>
      <c r="DW17" s="603">
        <f t="shared" si="76"/>
        <v>2</v>
      </c>
      <c r="DX17" s="603">
        <f t="shared" si="76"/>
        <v>0</v>
      </c>
      <c r="DY17" s="603">
        <f t="shared" si="76"/>
        <v>0</v>
      </c>
      <c r="DZ17" s="603">
        <f t="shared" si="76"/>
        <v>0</v>
      </c>
      <c r="EA17" s="613">
        <f t="shared" ref="EA17:EA22" si="77">SUM(DO17:DZ17)</f>
        <v>4</v>
      </c>
      <c r="EB17" s="601">
        <f t="shared" si="76"/>
        <v>0</v>
      </c>
      <c r="EC17" s="602">
        <f t="shared" si="76"/>
        <v>0</v>
      </c>
      <c r="ED17" s="602">
        <f t="shared" si="76"/>
        <v>0</v>
      </c>
      <c r="EE17" s="602">
        <f t="shared" si="76"/>
        <v>0</v>
      </c>
      <c r="EF17" s="603">
        <f t="shared" si="76"/>
        <v>0</v>
      </c>
      <c r="EG17" s="603">
        <f t="shared" si="76"/>
        <v>0</v>
      </c>
      <c r="EH17" s="603">
        <f t="shared" si="76"/>
        <v>0</v>
      </c>
      <c r="EI17" s="603">
        <f t="shared" si="76"/>
        <v>0</v>
      </c>
      <c r="EJ17" s="603">
        <f t="shared" si="76"/>
        <v>0</v>
      </c>
      <c r="EK17" s="603">
        <f t="shared" si="76"/>
        <v>0</v>
      </c>
      <c r="EL17" s="603">
        <f t="shared" si="76"/>
        <v>0</v>
      </c>
      <c r="EM17" s="603">
        <f t="shared" si="76"/>
        <v>0</v>
      </c>
      <c r="EN17" s="613">
        <f t="shared" ref="EN17:EN22" si="78">SUM(EB17:EM17)</f>
        <v>0</v>
      </c>
      <c r="EO17" s="601">
        <f t="shared" si="76"/>
        <v>0</v>
      </c>
      <c r="EP17" s="602">
        <f t="shared" si="76"/>
        <v>0</v>
      </c>
      <c r="EQ17" s="602">
        <f t="shared" si="76"/>
        <v>0</v>
      </c>
      <c r="ER17" s="602">
        <f t="shared" si="76"/>
        <v>0</v>
      </c>
      <c r="ES17" s="603">
        <f t="shared" si="76"/>
        <v>0</v>
      </c>
      <c r="ET17" s="603">
        <f t="shared" si="76"/>
        <v>0</v>
      </c>
      <c r="EU17" s="603">
        <f t="shared" si="76"/>
        <v>0</v>
      </c>
      <c r="EV17" s="603">
        <f t="shared" si="76"/>
        <v>0</v>
      </c>
      <c r="EW17" s="603">
        <f t="shared" si="76"/>
        <v>0</v>
      </c>
      <c r="EX17" s="603">
        <f t="shared" si="76"/>
        <v>0</v>
      </c>
      <c r="EY17" s="603">
        <f t="shared" si="76"/>
        <v>0</v>
      </c>
      <c r="EZ17" s="603">
        <f t="shared" si="76"/>
        <v>0</v>
      </c>
      <c r="FA17" s="613">
        <f t="shared" ref="FA17:FA22" si="79">SUM(EO17:EZ17)</f>
        <v>0</v>
      </c>
      <c r="FB17" s="601">
        <f t="shared" ref="FB17:FM17" si="80">SUM(FB18:FB19)</f>
        <v>0</v>
      </c>
      <c r="FC17" s="602">
        <f t="shared" si="80"/>
        <v>0</v>
      </c>
      <c r="FD17" s="602">
        <f t="shared" si="80"/>
        <v>1</v>
      </c>
      <c r="FE17" s="602">
        <f t="shared" si="80"/>
        <v>0</v>
      </c>
      <c r="FF17" s="603">
        <f t="shared" si="80"/>
        <v>0</v>
      </c>
      <c r="FG17" s="603">
        <f t="shared" si="80"/>
        <v>0</v>
      </c>
      <c r="FH17" s="603">
        <f t="shared" si="80"/>
        <v>0</v>
      </c>
      <c r="FI17" s="603">
        <f t="shared" si="80"/>
        <v>0</v>
      </c>
      <c r="FJ17" s="603">
        <f t="shared" si="80"/>
        <v>0</v>
      </c>
      <c r="FK17" s="603">
        <f t="shared" si="80"/>
        <v>0</v>
      </c>
      <c r="FL17" s="603">
        <f t="shared" si="80"/>
        <v>0</v>
      </c>
      <c r="FM17" s="603">
        <f t="shared" si="80"/>
        <v>0</v>
      </c>
      <c r="FN17" s="613">
        <f t="shared" ref="FN17:FN22" si="81">SUM(FB17:FM17)</f>
        <v>1</v>
      </c>
      <c r="FO17" s="601">
        <f t="shared" ref="FO17:FZ17" si="82">SUM(FO18:FO19)</f>
        <v>0</v>
      </c>
      <c r="FP17" s="602">
        <f t="shared" si="82"/>
        <v>0</v>
      </c>
      <c r="FQ17" s="602">
        <f t="shared" si="82"/>
        <v>0</v>
      </c>
      <c r="FR17" s="602">
        <f t="shared" si="82"/>
        <v>0</v>
      </c>
      <c r="FS17" s="603">
        <f t="shared" si="82"/>
        <v>0</v>
      </c>
      <c r="FT17" s="603">
        <f t="shared" si="82"/>
        <v>0</v>
      </c>
      <c r="FU17" s="603">
        <f t="shared" si="82"/>
        <v>1</v>
      </c>
      <c r="FV17" s="603">
        <f t="shared" si="82"/>
        <v>0</v>
      </c>
      <c r="FW17" s="603">
        <f t="shared" si="82"/>
        <v>0</v>
      </c>
      <c r="FX17" s="603">
        <f t="shared" si="82"/>
        <v>0</v>
      </c>
      <c r="FY17" s="603">
        <f t="shared" si="82"/>
        <v>0</v>
      </c>
      <c r="FZ17" s="603">
        <f t="shared" si="82"/>
        <v>1</v>
      </c>
      <c r="GA17" s="613">
        <f t="shared" ref="GA17:GA22" si="83">SUM(FO17:FZ17)</f>
        <v>2</v>
      </c>
      <c r="GB17" s="601">
        <f>SUM(GB18:GB19)</f>
        <v>0</v>
      </c>
      <c r="GC17" s="602">
        <f>SUM(GC18:GC19)</f>
        <v>0</v>
      </c>
      <c r="GD17" s="602">
        <v>0</v>
      </c>
      <c r="GE17" s="602">
        <v>0</v>
      </c>
      <c r="GF17" s="603">
        <v>0</v>
      </c>
      <c r="GG17" s="603">
        <v>0</v>
      </c>
      <c r="GH17" s="603">
        <v>0</v>
      </c>
      <c r="GI17" s="603">
        <v>0</v>
      </c>
      <c r="GJ17" s="603">
        <v>0</v>
      </c>
      <c r="GK17" s="603">
        <v>0</v>
      </c>
      <c r="GL17" s="603">
        <v>0</v>
      </c>
      <c r="GM17" s="603">
        <v>0</v>
      </c>
      <c r="GN17" s="613">
        <f t="shared" si="46"/>
        <v>0</v>
      </c>
      <c r="GO17" s="601">
        <f>SUM(GO18:GO19)</f>
        <v>0</v>
      </c>
      <c r="GP17" s="602">
        <f>SUM(GP18:GP19)</f>
        <v>0</v>
      </c>
      <c r="GQ17" s="602">
        <v>0</v>
      </c>
      <c r="GR17" s="602">
        <v>0</v>
      </c>
      <c r="GS17" s="603">
        <v>0</v>
      </c>
      <c r="GT17" s="603">
        <v>0</v>
      </c>
      <c r="GU17" s="603">
        <v>0</v>
      </c>
      <c r="GV17" s="603">
        <v>0</v>
      </c>
      <c r="GW17" s="603">
        <v>0</v>
      </c>
      <c r="GX17" s="603">
        <v>0</v>
      </c>
      <c r="GY17" s="603">
        <v>0</v>
      </c>
      <c r="GZ17" s="603">
        <v>0</v>
      </c>
      <c r="HA17" s="613">
        <f t="shared" si="48"/>
        <v>0</v>
      </c>
      <c r="HB17" s="601">
        <v>0</v>
      </c>
      <c r="HC17" s="602">
        <v>0</v>
      </c>
      <c r="HD17" s="602">
        <v>0</v>
      </c>
      <c r="HE17" s="602">
        <v>0</v>
      </c>
      <c r="HF17" s="603">
        <v>0</v>
      </c>
      <c r="HG17" s="603">
        <v>0</v>
      </c>
      <c r="HH17" s="603">
        <v>0</v>
      </c>
      <c r="HI17" s="603">
        <v>0</v>
      </c>
      <c r="HJ17" s="603">
        <v>0</v>
      </c>
      <c r="HK17" s="603">
        <v>0</v>
      </c>
      <c r="HL17" s="603">
        <v>0</v>
      </c>
      <c r="HM17" s="603">
        <v>0</v>
      </c>
      <c r="HN17" s="613">
        <f t="shared" si="50"/>
        <v>0</v>
      </c>
      <c r="HO17" s="601">
        <v>0</v>
      </c>
      <c r="HP17" s="602">
        <v>0</v>
      </c>
      <c r="HQ17" s="602">
        <v>0</v>
      </c>
      <c r="HR17" s="602">
        <v>0</v>
      </c>
      <c r="HS17" s="603">
        <v>0</v>
      </c>
      <c r="HT17" s="603">
        <v>0</v>
      </c>
      <c r="HU17" s="603">
        <v>0</v>
      </c>
      <c r="HV17" s="603">
        <v>0</v>
      </c>
      <c r="HW17" s="603">
        <v>0</v>
      </c>
      <c r="HX17" s="603">
        <v>0</v>
      </c>
      <c r="HY17" s="603">
        <v>0</v>
      </c>
      <c r="HZ17" s="603">
        <v>0</v>
      </c>
      <c r="IA17" s="613">
        <f t="shared" si="52"/>
        <v>0</v>
      </c>
      <c r="IB17" s="601">
        <v>0</v>
      </c>
      <c r="IC17" s="602">
        <v>0</v>
      </c>
      <c r="ID17" s="602">
        <v>0</v>
      </c>
      <c r="IE17" s="602">
        <v>0</v>
      </c>
      <c r="IF17" s="603">
        <v>0</v>
      </c>
      <c r="IG17" s="603">
        <v>0</v>
      </c>
      <c r="IH17" s="603">
        <v>0</v>
      </c>
      <c r="II17" s="603">
        <v>0</v>
      </c>
      <c r="IJ17" s="603">
        <v>0</v>
      </c>
      <c r="IK17" s="603">
        <v>0</v>
      </c>
      <c r="IL17" s="603">
        <v>0</v>
      </c>
      <c r="IM17" s="603">
        <v>0</v>
      </c>
      <c r="IN17" s="613">
        <f t="shared" si="54"/>
        <v>0</v>
      </c>
      <c r="IO17" s="601">
        <f t="shared" ref="IO17:IZ17" si="84">SUM(IO18:IO19)</f>
        <v>0</v>
      </c>
      <c r="IP17" s="602">
        <f t="shared" si="84"/>
        <v>0</v>
      </c>
      <c r="IQ17" s="602">
        <f t="shared" si="84"/>
        <v>0</v>
      </c>
      <c r="IR17" s="602">
        <f t="shared" si="84"/>
        <v>0</v>
      </c>
      <c r="IS17" s="603">
        <f t="shared" si="84"/>
        <v>0</v>
      </c>
      <c r="IT17" s="603">
        <f t="shared" si="84"/>
        <v>0</v>
      </c>
      <c r="IU17" s="603">
        <f t="shared" si="84"/>
        <v>0</v>
      </c>
      <c r="IV17" s="603">
        <f t="shared" si="84"/>
        <v>0</v>
      </c>
      <c r="IW17" s="603">
        <f t="shared" si="84"/>
        <v>0</v>
      </c>
      <c r="IX17" s="603">
        <f t="shared" si="84"/>
        <v>0</v>
      </c>
      <c r="IY17" s="603">
        <f t="shared" si="84"/>
        <v>0</v>
      </c>
      <c r="IZ17" s="603">
        <f t="shared" si="84"/>
        <v>0</v>
      </c>
      <c r="JA17" s="1360">
        <f t="shared" si="56"/>
        <v>0</v>
      </c>
      <c r="JB17" s="1328">
        <f>SUM(JB18:JB19)</f>
        <v>0</v>
      </c>
      <c r="JC17" s="129">
        <f>SUM(JC18:JC19)</f>
        <v>0</v>
      </c>
      <c r="JD17" s="129">
        <f>SUM(JD18:JD19)</f>
        <v>0</v>
      </c>
      <c r="JE17" s="129">
        <f>SUM(JE18:JE19)</f>
        <v>0</v>
      </c>
      <c r="JF17" s="129">
        <f>SUM(JF18:JF19)</f>
        <v>0</v>
      </c>
      <c r="JG17" s="129">
        <v>0</v>
      </c>
      <c r="JH17" s="129">
        <v>0</v>
      </c>
      <c r="JI17" s="129">
        <v>0</v>
      </c>
      <c r="JJ17" s="129"/>
      <c r="JK17" s="129"/>
      <c r="JL17" s="129"/>
      <c r="JM17" s="1268"/>
      <c r="JN17" s="1343">
        <f t="shared" si="58"/>
        <v>0</v>
      </c>
      <c r="JP17" s="464" t="str">
        <f t="shared" si="59"/>
        <v/>
      </c>
      <c r="JQ17" s="455" t="str">
        <f t="shared" si="60"/>
        <v/>
      </c>
      <c r="JR17" s="465">
        <f t="shared" si="61"/>
        <v>0</v>
      </c>
      <c r="JS17" s="465">
        <f t="shared" si="62"/>
        <v>0</v>
      </c>
    </row>
    <row r="18" spans="1:279" ht="13.9" customHeight="1" x14ac:dyDescent="0.2">
      <c r="A18" s="459" t="s">
        <v>395</v>
      </c>
      <c r="B18" s="604" t="s">
        <v>306</v>
      </c>
      <c r="C18" s="605" t="s">
        <v>306</v>
      </c>
      <c r="D18" s="605" t="s">
        <v>306</v>
      </c>
      <c r="E18" s="605" t="s">
        <v>306</v>
      </c>
      <c r="F18" s="606" t="s">
        <v>306</v>
      </c>
      <c r="G18" s="606" t="s">
        <v>306</v>
      </c>
      <c r="H18" s="606" t="s">
        <v>306</v>
      </c>
      <c r="I18" s="606" t="s">
        <v>306</v>
      </c>
      <c r="J18" s="606" t="s">
        <v>306</v>
      </c>
      <c r="K18" s="606" t="s">
        <v>306</v>
      </c>
      <c r="L18" s="606" t="s">
        <v>306</v>
      </c>
      <c r="M18" s="606" t="s">
        <v>306</v>
      </c>
      <c r="N18" s="614">
        <f t="shared" si="21"/>
        <v>0</v>
      </c>
      <c r="O18" s="604" t="s">
        <v>306</v>
      </c>
      <c r="P18" s="605" t="s">
        <v>306</v>
      </c>
      <c r="Q18" s="605" t="s">
        <v>306</v>
      </c>
      <c r="R18" s="605" t="s">
        <v>306</v>
      </c>
      <c r="S18" s="606" t="s">
        <v>306</v>
      </c>
      <c r="T18" s="606" t="s">
        <v>306</v>
      </c>
      <c r="U18" s="606" t="s">
        <v>306</v>
      </c>
      <c r="V18" s="606" t="s">
        <v>306</v>
      </c>
      <c r="W18" s="606" t="s">
        <v>306</v>
      </c>
      <c r="X18" s="606" t="s">
        <v>306</v>
      </c>
      <c r="Y18" s="606" t="s">
        <v>306</v>
      </c>
      <c r="Z18" s="606" t="s">
        <v>306</v>
      </c>
      <c r="AA18" s="614">
        <f t="shared" si="22"/>
        <v>0</v>
      </c>
      <c r="AB18" s="604" t="s">
        <v>306</v>
      </c>
      <c r="AC18" s="605" t="s">
        <v>306</v>
      </c>
      <c r="AD18" s="605" t="s">
        <v>306</v>
      </c>
      <c r="AE18" s="605" t="s">
        <v>306</v>
      </c>
      <c r="AF18" s="606" t="s">
        <v>306</v>
      </c>
      <c r="AG18" s="606" t="s">
        <v>306</v>
      </c>
      <c r="AH18" s="606" t="s">
        <v>306</v>
      </c>
      <c r="AI18" s="606" t="s">
        <v>306</v>
      </c>
      <c r="AJ18" s="606" t="s">
        <v>306</v>
      </c>
      <c r="AK18" s="606" t="s">
        <v>306</v>
      </c>
      <c r="AL18" s="606" t="s">
        <v>306</v>
      </c>
      <c r="AM18" s="606" t="s">
        <v>306</v>
      </c>
      <c r="AN18" s="614" t="s">
        <v>306</v>
      </c>
      <c r="AO18" s="604">
        <v>0</v>
      </c>
      <c r="AP18" s="605">
        <v>0</v>
      </c>
      <c r="AQ18" s="605">
        <v>0</v>
      </c>
      <c r="AR18" s="605">
        <v>0</v>
      </c>
      <c r="AS18" s="606">
        <v>0</v>
      </c>
      <c r="AT18" s="606">
        <v>0</v>
      </c>
      <c r="AU18" s="606">
        <v>0</v>
      </c>
      <c r="AV18" s="606">
        <v>0</v>
      </c>
      <c r="AW18" s="606">
        <v>0</v>
      </c>
      <c r="AX18" s="606">
        <v>0</v>
      </c>
      <c r="AY18" s="606">
        <v>0</v>
      </c>
      <c r="AZ18" s="606">
        <v>9</v>
      </c>
      <c r="BA18" s="614">
        <f t="shared" si="65"/>
        <v>9</v>
      </c>
      <c r="BB18" s="604">
        <v>0</v>
      </c>
      <c r="BC18" s="605">
        <v>0</v>
      </c>
      <c r="BD18" s="605">
        <v>1</v>
      </c>
      <c r="BE18" s="605">
        <v>0</v>
      </c>
      <c r="BF18" s="606">
        <v>0</v>
      </c>
      <c r="BG18" s="606">
        <v>0</v>
      </c>
      <c r="BH18" s="606">
        <v>0</v>
      </c>
      <c r="BI18" s="606">
        <v>0</v>
      </c>
      <c r="BJ18" s="606">
        <v>0</v>
      </c>
      <c r="BK18" s="606">
        <v>0</v>
      </c>
      <c r="BL18" s="606">
        <v>0</v>
      </c>
      <c r="BM18" s="606">
        <v>0</v>
      </c>
      <c r="BN18" s="614">
        <f t="shared" si="67"/>
        <v>1</v>
      </c>
      <c r="BO18" s="604">
        <v>4</v>
      </c>
      <c r="BP18" s="605">
        <v>0</v>
      </c>
      <c r="BQ18" s="605">
        <v>0</v>
      </c>
      <c r="BR18" s="605">
        <v>2</v>
      </c>
      <c r="BS18" s="606">
        <v>0</v>
      </c>
      <c r="BT18" s="606">
        <v>0</v>
      </c>
      <c r="BU18" s="606">
        <v>0</v>
      </c>
      <c r="BV18" s="606">
        <v>0</v>
      </c>
      <c r="BW18" s="606">
        <v>0</v>
      </c>
      <c r="BX18" s="606">
        <v>0</v>
      </c>
      <c r="BY18" s="606">
        <v>0</v>
      </c>
      <c r="BZ18" s="606">
        <v>0</v>
      </c>
      <c r="CA18" s="614">
        <f t="shared" si="69"/>
        <v>6</v>
      </c>
      <c r="CB18" s="604">
        <v>0</v>
      </c>
      <c r="CC18" s="605">
        <v>0</v>
      </c>
      <c r="CD18" s="605">
        <v>0</v>
      </c>
      <c r="CE18" s="605">
        <v>0</v>
      </c>
      <c r="CF18" s="606">
        <v>0</v>
      </c>
      <c r="CG18" s="606">
        <v>0</v>
      </c>
      <c r="CH18" s="606">
        <v>7</v>
      </c>
      <c r="CI18" s="606">
        <v>0</v>
      </c>
      <c r="CJ18" s="606">
        <v>0</v>
      </c>
      <c r="CK18" s="606">
        <v>16</v>
      </c>
      <c r="CL18" s="606">
        <v>0</v>
      </c>
      <c r="CM18" s="606">
        <v>0</v>
      </c>
      <c r="CN18" s="614">
        <f t="shared" si="71"/>
        <v>23</v>
      </c>
      <c r="CO18" s="604">
        <v>0</v>
      </c>
      <c r="CP18" s="605">
        <v>0</v>
      </c>
      <c r="CQ18" s="605">
        <v>0</v>
      </c>
      <c r="CR18" s="605">
        <v>0</v>
      </c>
      <c r="CS18" s="606">
        <v>0</v>
      </c>
      <c r="CT18" s="606">
        <v>0</v>
      </c>
      <c r="CU18" s="606">
        <v>0</v>
      </c>
      <c r="CV18" s="606">
        <v>0</v>
      </c>
      <c r="CW18" s="606">
        <v>0</v>
      </c>
      <c r="CX18" s="606">
        <v>0</v>
      </c>
      <c r="CY18" s="606">
        <v>0</v>
      </c>
      <c r="CZ18" s="606">
        <v>0</v>
      </c>
      <c r="DA18" s="614">
        <f t="shared" si="73"/>
        <v>0</v>
      </c>
      <c r="DB18" s="604">
        <v>0</v>
      </c>
      <c r="DC18" s="605">
        <v>0</v>
      </c>
      <c r="DD18" s="605">
        <v>28</v>
      </c>
      <c r="DE18" s="605">
        <v>0</v>
      </c>
      <c r="DF18" s="606">
        <v>0</v>
      </c>
      <c r="DG18" s="606">
        <v>0</v>
      </c>
      <c r="DH18" s="606">
        <v>0</v>
      </c>
      <c r="DI18" s="606">
        <v>0</v>
      </c>
      <c r="DJ18" s="606">
        <v>0</v>
      </c>
      <c r="DK18" s="606">
        <v>0</v>
      </c>
      <c r="DL18" s="606">
        <v>0</v>
      </c>
      <c r="DM18" s="606">
        <v>0</v>
      </c>
      <c r="DN18" s="614">
        <f t="shared" si="75"/>
        <v>28</v>
      </c>
      <c r="DO18" s="604">
        <v>0</v>
      </c>
      <c r="DP18" s="605">
        <v>0</v>
      </c>
      <c r="DQ18" s="605">
        <v>0</v>
      </c>
      <c r="DR18" s="605">
        <v>0</v>
      </c>
      <c r="DS18" s="606">
        <v>0</v>
      </c>
      <c r="DT18" s="606">
        <v>0</v>
      </c>
      <c r="DU18" s="606">
        <v>0</v>
      </c>
      <c r="DV18" s="606">
        <v>0</v>
      </c>
      <c r="DW18" s="606">
        <v>0</v>
      </c>
      <c r="DX18" s="606">
        <v>0</v>
      </c>
      <c r="DY18" s="606">
        <v>0</v>
      </c>
      <c r="DZ18" s="606">
        <v>0</v>
      </c>
      <c r="EA18" s="614">
        <f t="shared" si="77"/>
        <v>0</v>
      </c>
      <c r="EB18" s="604">
        <v>0</v>
      </c>
      <c r="EC18" s="605">
        <v>0</v>
      </c>
      <c r="ED18" s="605">
        <v>0</v>
      </c>
      <c r="EE18" s="605">
        <v>0</v>
      </c>
      <c r="EF18" s="606">
        <v>0</v>
      </c>
      <c r="EG18" s="606">
        <v>0</v>
      </c>
      <c r="EH18" s="606">
        <v>0</v>
      </c>
      <c r="EI18" s="606">
        <v>0</v>
      </c>
      <c r="EJ18" s="606">
        <v>0</v>
      </c>
      <c r="EK18" s="606">
        <v>0</v>
      </c>
      <c r="EL18" s="606">
        <v>0</v>
      </c>
      <c r="EM18" s="606">
        <v>0</v>
      </c>
      <c r="EN18" s="614">
        <f t="shared" si="78"/>
        <v>0</v>
      </c>
      <c r="EO18" s="604">
        <v>0</v>
      </c>
      <c r="EP18" s="605">
        <v>0</v>
      </c>
      <c r="EQ18" s="605">
        <v>0</v>
      </c>
      <c r="ER18" s="605">
        <v>0</v>
      </c>
      <c r="ES18" s="606">
        <v>0</v>
      </c>
      <c r="ET18" s="606">
        <v>0</v>
      </c>
      <c r="EU18" s="606">
        <v>0</v>
      </c>
      <c r="EV18" s="606">
        <v>0</v>
      </c>
      <c r="EW18" s="606">
        <v>0</v>
      </c>
      <c r="EX18" s="606">
        <v>0</v>
      </c>
      <c r="EY18" s="606">
        <v>0</v>
      </c>
      <c r="EZ18" s="606">
        <v>0</v>
      </c>
      <c r="FA18" s="614">
        <f t="shared" si="79"/>
        <v>0</v>
      </c>
      <c r="FB18" s="604">
        <v>0</v>
      </c>
      <c r="FC18" s="605">
        <v>0</v>
      </c>
      <c r="FD18" s="605">
        <v>0</v>
      </c>
      <c r="FE18" s="605">
        <v>0</v>
      </c>
      <c r="FF18" s="606">
        <v>0</v>
      </c>
      <c r="FG18" s="606">
        <v>0</v>
      </c>
      <c r="FH18" s="606">
        <v>0</v>
      </c>
      <c r="FI18" s="606">
        <v>0</v>
      </c>
      <c r="FJ18" s="606">
        <v>0</v>
      </c>
      <c r="FK18" s="606">
        <v>0</v>
      </c>
      <c r="FL18" s="606">
        <v>0</v>
      </c>
      <c r="FM18" s="606">
        <v>0</v>
      </c>
      <c r="FN18" s="614">
        <f t="shared" si="81"/>
        <v>0</v>
      </c>
      <c r="FO18" s="604">
        <v>0</v>
      </c>
      <c r="FP18" s="605">
        <v>0</v>
      </c>
      <c r="FQ18" s="605">
        <v>0</v>
      </c>
      <c r="FR18" s="605">
        <v>0</v>
      </c>
      <c r="FS18" s="606">
        <v>0</v>
      </c>
      <c r="FT18" s="606">
        <v>0</v>
      </c>
      <c r="FU18" s="606">
        <v>1</v>
      </c>
      <c r="FV18" s="606">
        <v>0</v>
      </c>
      <c r="FW18" s="606">
        <v>0</v>
      </c>
      <c r="FX18" s="606">
        <v>0</v>
      </c>
      <c r="FY18" s="606">
        <v>0</v>
      </c>
      <c r="FZ18" s="606">
        <v>1</v>
      </c>
      <c r="GA18" s="614">
        <f t="shared" si="83"/>
        <v>2</v>
      </c>
      <c r="GB18" s="604">
        <v>0</v>
      </c>
      <c r="GC18" s="605">
        <v>0</v>
      </c>
      <c r="GD18" s="605">
        <v>0</v>
      </c>
      <c r="GE18" s="605">
        <v>0</v>
      </c>
      <c r="GF18" s="606">
        <v>0</v>
      </c>
      <c r="GG18" s="606">
        <v>0</v>
      </c>
      <c r="GH18" s="606">
        <v>0</v>
      </c>
      <c r="GI18" s="606">
        <v>0</v>
      </c>
      <c r="GJ18" s="606">
        <v>0</v>
      </c>
      <c r="GK18" s="606">
        <v>0</v>
      </c>
      <c r="GL18" s="606">
        <v>0</v>
      </c>
      <c r="GM18" s="606">
        <v>0</v>
      </c>
      <c r="GN18" s="614">
        <f t="shared" si="46"/>
        <v>0</v>
      </c>
      <c r="GO18" s="604">
        <v>0</v>
      </c>
      <c r="GP18" s="605">
        <v>0</v>
      </c>
      <c r="GQ18" s="605">
        <v>0</v>
      </c>
      <c r="GR18" s="605">
        <v>0</v>
      </c>
      <c r="GS18" s="606">
        <v>0</v>
      </c>
      <c r="GT18" s="606">
        <v>0</v>
      </c>
      <c r="GU18" s="606">
        <v>0</v>
      </c>
      <c r="GV18" s="606">
        <v>0</v>
      </c>
      <c r="GW18" s="606">
        <v>0</v>
      </c>
      <c r="GX18" s="606">
        <v>0</v>
      </c>
      <c r="GY18" s="606">
        <v>0</v>
      </c>
      <c r="GZ18" s="606">
        <v>0</v>
      </c>
      <c r="HA18" s="614">
        <f t="shared" si="48"/>
        <v>0</v>
      </c>
      <c r="HB18" s="604">
        <v>0</v>
      </c>
      <c r="HC18" s="605">
        <v>0</v>
      </c>
      <c r="HD18" s="605">
        <v>0</v>
      </c>
      <c r="HE18" s="605">
        <v>0</v>
      </c>
      <c r="HF18" s="606">
        <v>0</v>
      </c>
      <c r="HG18" s="606">
        <v>0</v>
      </c>
      <c r="HH18" s="606">
        <v>0</v>
      </c>
      <c r="HI18" s="606">
        <v>0</v>
      </c>
      <c r="HJ18" s="606">
        <v>0</v>
      </c>
      <c r="HK18" s="606">
        <v>0</v>
      </c>
      <c r="HL18" s="606">
        <v>0</v>
      </c>
      <c r="HM18" s="606">
        <v>0</v>
      </c>
      <c r="HN18" s="614">
        <f t="shared" si="50"/>
        <v>0</v>
      </c>
      <c r="HO18" s="604">
        <v>0</v>
      </c>
      <c r="HP18" s="605">
        <v>0</v>
      </c>
      <c r="HQ18" s="605">
        <v>0</v>
      </c>
      <c r="HR18" s="605">
        <v>0</v>
      </c>
      <c r="HS18" s="606">
        <v>0</v>
      </c>
      <c r="HT18" s="606">
        <v>0</v>
      </c>
      <c r="HU18" s="606">
        <v>0</v>
      </c>
      <c r="HV18" s="606">
        <v>0</v>
      </c>
      <c r="HW18" s="606">
        <v>0</v>
      </c>
      <c r="HX18" s="606">
        <v>0</v>
      </c>
      <c r="HY18" s="606">
        <v>0</v>
      </c>
      <c r="HZ18" s="606">
        <v>0</v>
      </c>
      <c r="IA18" s="614">
        <f t="shared" si="52"/>
        <v>0</v>
      </c>
      <c r="IB18" s="604">
        <v>0</v>
      </c>
      <c r="IC18" s="605">
        <v>0</v>
      </c>
      <c r="ID18" s="605">
        <v>0</v>
      </c>
      <c r="IE18" s="605">
        <v>0</v>
      </c>
      <c r="IF18" s="606">
        <v>0</v>
      </c>
      <c r="IG18" s="606">
        <v>0</v>
      </c>
      <c r="IH18" s="606">
        <v>0</v>
      </c>
      <c r="II18" s="606">
        <v>0</v>
      </c>
      <c r="IJ18" s="606">
        <v>0</v>
      </c>
      <c r="IK18" s="606">
        <v>0</v>
      </c>
      <c r="IL18" s="606">
        <v>0</v>
      </c>
      <c r="IM18" s="606">
        <v>0</v>
      </c>
      <c r="IN18" s="614">
        <f t="shared" si="54"/>
        <v>0</v>
      </c>
      <c r="IO18" s="604">
        <v>0</v>
      </c>
      <c r="IP18" s="605">
        <v>0</v>
      </c>
      <c r="IQ18" s="605">
        <v>0</v>
      </c>
      <c r="IR18" s="605">
        <v>0</v>
      </c>
      <c r="IS18" s="606">
        <v>0</v>
      </c>
      <c r="IT18" s="606">
        <v>0</v>
      </c>
      <c r="IU18" s="606">
        <v>0</v>
      </c>
      <c r="IV18" s="606">
        <v>0</v>
      </c>
      <c r="IW18" s="606">
        <v>0</v>
      </c>
      <c r="IX18" s="606">
        <v>0</v>
      </c>
      <c r="IY18" s="606">
        <v>0</v>
      </c>
      <c r="IZ18" s="606">
        <v>0</v>
      </c>
      <c r="JA18" s="607">
        <f t="shared" si="56"/>
        <v>0</v>
      </c>
      <c r="JB18" s="1324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M18" s="1266"/>
      <c r="JN18" s="1059">
        <f t="shared" si="58"/>
        <v>0</v>
      </c>
      <c r="JP18" s="464" t="str">
        <f t="shared" si="59"/>
        <v/>
      </c>
      <c r="JQ18" s="464" t="str">
        <f t="shared" si="60"/>
        <v/>
      </c>
      <c r="JR18" s="465">
        <f t="shared" si="61"/>
        <v>0</v>
      </c>
      <c r="JS18" s="465">
        <f t="shared" si="62"/>
        <v>0</v>
      </c>
    </row>
    <row r="19" spans="1:279" ht="13.9" customHeight="1" x14ac:dyDescent="0.2">
      <c r="A19" s="459" t="s">
        <v>396</v>
      </c>
      <c r="B19" s="604">
        <v>84</v>
      </c>
      <c r="C19" s="605">
        <v>43</v>
      </c>
      <c r="D19" s="605">
        <v>40</v>
      </c>
      <c r="E19" s="605">
        <v>115</v>
      </c>
      <c r="F19" s="606">
        <v>216</v>
      </c>
      <c r="G19" s="606">
        <v>205</v>
      </c>
      <c r="H19" s="606">
        <v>131</v>
      </c>
      <c r="I19" s="606">
        <v>53</v>
      </c>
      <c r="J19" s="606">
        <v>62</v>
      </c>
      <c r="K19" s="606">
        <v>52</v>
      </c>
      <c r="L19" s="606">
        <v>159</v>
      </c>
      <c r="M19" s="606">
        <v>30</v>
      </c>
      <c r="N19" s="614">
        <f t="shared" si="21"/>
        <v>1190</v>
      </c>
      <c r="O19" s="604">
        <v>54</v>
      </c>
      <c r="P19" s="605">
        <v>102</v>
      </c>
      <c r="Q19" s="605">
        <v>88</v>
      </c>
      <c r="R19" s="605">
        <v>120</v>
      </c>
      <c r="S19" s="606">
        <v>210</v>
      </c>
      <c r="T19" s="606">
        <v>168</v>
      </c>
      <c r="U19" s="606">
        <v>276</v>
      </c>
      <c r="V19" s="606">
        <v>109</v>
      </c>
      <c r="W19" s="606">
        <v>67</v>
      </c>
      <c r="X19" s="606">
        <v>80</v>
      </c>
      <c r="Y19" s="606">
        <v>58</v>
      </c>
      <c r="Z19" s="606">
        <v>52</v>
      </c>
      <c r="AA19" s="614">
        <f t="shared" si="22"/>
        <v>1384</v>
      </c>
      <c r="AB19" s="604">
        <v>27</v>
      </c>
      <c r="AC19" s="605">
        <v>25</v>
      </c>
      <c r="AD19" s="605">
        <v>27</v>
      </c>
      <c r="AE19" s="605">
        <v>47</v>
      </c>
      <c r="AF19" s="606">
        <v>61</v>
      </c>
      <c r="AG19" s="606">
        <v>14</v>
      </c>
      <c r="AH19" s="606">
        <v>35</v>
      </c>
      <c r="AI19" s="606">
        <v>20</v>
      </c>
      <c r="AJ19" s="606">
        <v>24</v>
      </c>
      <c r="AK19" s="606">
        <v>6</v>
      </c>
      <c r="AL19" s="606">
        <v>0</v>
      </c>
      <c r="AM19" s="606">
        <v>0</v>
      </c>
      <c r="AN19" s="614">
        <f>SUM(AB19:AM19)</f>
        <v>286</v>
      </c>
      <c r="AO19" s="604">
        <v>17</v>
      </c>
      <c r="AP19" s="605">
        <v>1</v>
      </c>
      <c r="AQ19" s="605">
        <v>1</v>
      </c>
      <c r="AR19" s="605">
        <v>1</v>
      </c>
      <c r="AS19" s="606">
        <v>0</v>
      </c>
      <c r="AT19" s="606">
        <v>1</v>
      </c>
      <c r="AU19" s="606">
        <v>1</v>
      </c>
      <c r="AV19" s="606">
        <v>12</v>
      </c>
      <c r="AW19" s="606">
        <v>41</v>
      </c>
      <c r="AX19" s="606">
        <v>0</v>
      </c>
      <c r="AY19" s="606">
        <v>1</v>
      </c>
      <c r="AZ19" s="606">
        <v>20</v>
      </c>
      <c r="BA19" s="614">
        <f t="shared" si="65"/>
        <v>96</v>
      </c>
      <c r="BB19" s="604">
        <v>14</v>
      </c>
      <c r="BC19" s="605">
        <v>1</v>
      </c>
      <c r="BD19" s="605">
        <v>7</v>
      </c>
      <c r="BE19" s="605">
        <v>4</v>
      </c>
      <c r="BF19" s="606">
        <v>0</v>
      </c>
      <c r="BG19" s="606">
        <v>11</v>
      </c>
      <c r="BH19" s="606">
        <v>6</v>
      </c>
      <c r="BI19" s="606">
        <v>1</v>
      </c>
      <c r="BJ19" s="606">
        <v>63</v>
      </c>
      <c r="BK19" s="606">
        <v>12</v>
      </c>
      <c r="BL19" s="606">
        <v>3</v>
      </c>
      <c r="BM19" s="606">
        <v>10</v>
      </c>
      <c r="BN19" s="614">
        <f t="shared" si="67"/>
        <v>132</v>
      </c>
      <c r="BO19" s="604">
        <v>3</v>
      </c>
      <c r="BP19" s="605">
        <v>1</v>
      </c>
      <c r="BQ19" s="605">
        <v>2</v>
      </c>
      <c r="BR19" s="605">
        <v>0</v>
      </c>
      <c r="BS19" s="606">
        <v>5</v>
      </c>
      <c r="BT19" s="606">
        <v>1</v>
      </c>
      <c r="BU19" s="606">
        <v>6</v>
      </c>
      <c r="BV19" s="606">
        <v>3</v>
      </c>
      <c r="BW19" s="606">
        <v>81</v>
      </c>
      <c r="BX19" s="606">
        <v>1</v>
      </c>
      <c r="BY19" s="606">
        <v>1</v>
      </c>
      <c r="BZ19" s="606">
        <v>16</v>
      </c>
      <c r="CA19" s="614">
        <f t="shared" si="69"/>
        <v>120</v>
      </c>
      <c r="CB19" s="604">
        <v>4</v>
      </c>
      <c r="CC19" s="605">
        <v>1</v>
      </c>
      <c r="CD19" s="605">
        <v>0</v>
      </c>
      <c r="CE19" s="605">
        <v>10</v>
      </c>
      <c r="CF19" s="606">
        <v>0</v>
      </c>
      <c r="CG19" s="606">
        <v>1</v>
      </c>
      <c r="CH19" s="606">
        <v>1</v>
      </c>
      <c r="CI19" s="606">
        <v>0</v>
      </c>
      <c r="CJ19" s="606">
        <v>0</v>
      </c>
      <c r="CK19" s="606">
        <v>83</v>
      </c>
      <c r="CL19" s="606">
        <v>0</v>
      </c>
      <c r="CM19" s="606">
        <v>4</v>
      </c>
      <c r="CN19" s="614">
        <f t="shared" si="71"/>
        <v>104</v>
      </c>
      <c r="CO19" s="604">
        <v>0</v>
      </c>
      <c r="CP19" s="605">
        <v>0</v>
      </c>
      <c r="CQ19" s="605">
        <v>1</v>
      </c>
      <c r="CR19" s="605">
        <v>0</v>
      </c>
      <c r="CS19" s="606">
        <v>1</v>
      </c>
      <c r="CT19" s="606">
        <v>0</v>
      </c>
      <c r="CU19" s="606">
        <v>1</v>
      </c>
      <c r="CV19" s="606">
        <v>3</v>
      </c>
      <c r="CW19" s="606">
        <v>98</v>
      </c>
      <c r="CX19" s="606">
        <v>21</v>
      </c>
      <c r="CY19" s="606">
        <v>1</v>
      </c>
      <c r="CZ19" s="606">
        <v>0</v>
      </c>
      <c r="DA19" s="614">
        <f t="shared" si="73"/>
        <v>126</v>
      </c>
      <c r="DB19" s="604">
        <v>0</v>
      </c>
      <c r="DC19" s="605">
        <v>0</v>
      </c>
      <c r="DD19" s="605">
        <v>0</v>
      </c>
      <c r="DE19" s="605">
        <v>0</v>
      </c>
      <c r="DF19" s="606">
        <v>0</v>
      </c>
      <c r="DG19" s="606">
        <v>0.41</v>
      </c>
      <c r="DH19" s="606">
        <v>0</v>
      </c>
      <c r="DI19" s="606">
        <v>0.6</v>
      </c>
      <c r="DJ19" s="606">
        <v>3</v>
      </c>
      <c r="DK19" s="606">
        <v>3</v>
      </c>
      <c r="DL19" s="606">
        <v>0</v>
      </c>
      <c r="DM19" s="606">
        <v>5</v>
      </c>
      <c r="DN19" s="614">
        <f t="shared" si="75"/>
        <v>12.01</v>
      </c>
      <c r="DO19" s="604">
        <v>1</v>
      </c>
      <c r="DP19" s="605">
        <v>0</v>
      </c>
      <c r="DQ19" s="605">
        <v>1</v>
      </c>
      <c r="DR19" s="605">
        <v>0</v>
      </c>
      <c r="DS19" s="606">
        <v>0</v>
      </c>
      <c r="DT19" s="606">
        <v>0</v>
      </c>
      <c r="DU19" s="606">
        <v>0</v>
      </c>
      <c r="DV19" s="606">
        <v>0</v>
      </c>
      <c r="DW19" s="606">
        <v>2</v>
      </c>
      <c r="DX19" s="606">
        <v>0</v>
      </c>
      <c r="DY19" s="606">
        <v>0</v>
      </c>
      <c r="DZ19" s="606">
        <v>0</v>
      </c>
      <c r="EA19" s="614">
        <f t="shared" si="77"/>
        <v>4</v>
      </c>
      <c r="EB19" s="604">
        <v>0</v>
      </c>
      <c r="EC19" s="605">
        <v>0</v>
      </c>
      <c r="ED19" s="605">
        <v>0</v>
      </c>
      <c r="EE19" s="605">
        <v>0</v>
      </c>
      <c r="EF19" s="606">
        <v>0</v>
      </c>
      <c r="EG19" s="606">
        <v>0</v>
      </c>
      <c r="EH19" s="606">
        <v>0</v>
      </c>
      <c r="EI19" s="606">
        <v>0</v>
      </c>
      <c r="EJ19" s="606">
        <v>0</v>
      </c>
      <c r="EK19" s="606">
        <v>0</v>
      </c>
      <c r="EL19" s="606">
        <v>0</v>
      </c>
      <c r="EM19" s="606">
        <v>0</v>
      </c>
      <c r="EN19" s="614">
        <f t="shared" si="78"/>
        <v>0</v>
      </c>
      <c r="EO19" s="604">
        <v>0</v>
      </c>
      <c r="EP19" s="605">
        <v>0</v>
      </c>
      <c r="EQ19" s="605">
        <v>0</v>
      </c>
      <c r="ER19" s="605">
        <v>0</v>
      </c>
      <c r="ES19" s="606">
        <v>0</v>
      </c>
      <c r="ET19" s="606">
        <v>0</v>
      </c>
      <c r="EU19" s="606">
        <v>0</v>
      </c>
      <c r="EV19" s="606">
        <v>0</v>
      </c>
      <c r="EW19" s="606">
        <v>0</v>
      </c>
      <c r="EX19" s="606">
        <v>0</v>
      </c>
      <c r="EY19" s="606">
        <v>0</v>
      </c>
      <c r="EZ19" s="606">
        <v>0</v>
      </c>
      <c r="FA19" s="614">
        <f t="shared" si="79"/>
        <v>0</v>
      </c>
      <c r="FB19" s="604">
        <v>0</v>
      </c>
      <c r="FC19" s="605">
        <v>0</v>
      </c>
      <c r="FD19" s="605">
        <v>1</v>
      </c>
      <c r="FE19" s="605">
        <v>0</v>
      </c>
      <c r="FF19" s="606">
        <v>0</v>
      </c>
      <c r="FG19" s="606">
        <v>0</v>
      </c>
      <c r="FH19" s="606">
        <v>0</v>
      </c>
      <c r="FI19" s="606">
        <v>0</v>
      </c>
      <c r="FJ19" s="606">
        <v>0</v>
      </c>
      <c r="FK19" s="606">
        <v>0</v>
      </c>
      <c r="FL19" s="606">
        <v>0</v>
      </c>
      <c r="FM19" s="606">
        <v>0</v>
      </c>
      <c r="FN19" s="614">
        <f t="shared" si="81"/>
        <v>1</v>
      </c>
      <c r="FO19" s="604">
        <v>0</v>
      </c>
      <c r="FP19" s="605">
        <v>0</v>
      </c>
      <c r="FQ19" s="605">
        <v>0</v>
      </c>
      <c r="FR19" s="605">
        <v>0</v>
      </c>
      <c r="FS19" s="606">
        <v>0</v>
      </c>
      <c r="FT19" s="606">
        <v>0</v>
      </c>
      <c r="FU19" s="606">
        <v>0</v>
      </c>
      <c r="FV19" s="606">
        <v>0</v>
      </c>
      <c r="FW19" s="606">
        <v>0</v>
      </c>
      <c r="FX19" s="606">
        <v>0</v>
      </c>
      <c r="FY19" s="606">
        <v>0</v>
      </c>
      <c r="FZ19" s="606">
        <v>0</v>
      </c>
      <c r="GA19" s="614">
        <f t="shared" si="83"/>
        <v>0</v>
      </c>
      <c r="GB19" s="604">
        <v>0</v>
      </c>
      <c r="GC19" s="605">
        <v>0</v>
      </c>
      <c r="GD19" s="605">
        <v>0</v>
      </c>
      <c r="GE19" s="605">
        <v>0</v>
      </c>
      <c r="GF19" s="606">
        <v>0</v>
      </c>
      <c r="GG19" s="606">
        <v>0</v>
      </c>
      <c r="GH19" s="606">
        <v>0</v>
      </c>
      <c r="GI19" s="606">
        <v>0</v>
      </c>
      <c r="GJ19" s="606">
        <v>0</v>
      </c>
      <c r="GK19" s="606">
        <v>0</v>
      </c>
      <c r="GL19" s="606">
        <v>0</v>
      </c>
      <c r="GM19" s="606">
        <v>0</v>
      </c>
      <c r="GN19" s="614">
        <f t="shared" si="46"/>
        <v>0</v>
      </c>
      <c r="GO19" s="604">
        <v>0</v>
      </c>
      <c r="GP19" s="605">
        <v>0</v>
      </c>
      <c r="GQ19" s="605">
        <v>0</v>
      </c>
      <c r="GR19" s="605">
        <v>0</v>
      </c>
      <c r="GS19" s="606">
        <v>0</v>
      </c>
      <c r="GT19" s="606">
        <v>0</v>
      </c>
      <c r="GU19" s="606">
        <v>0</v>
      </c>
      <c r="GV19" s="606">
        <v>0</v>
      </c>
      <c r="GW19" s="606">
        <v>0</v>
      </c>
      <c r="GX19" s="606">
        <v>0</v>
      </c>
      <c r="GY19" s="606">
        <v>0</v>
      </c>
      <c r="GZ19" s="606">
        <v>0</v>
      </c>
      <c r="HA19" s="614">
        <f t="shared" si="48"/>
        <v>0</v>
      </c>
      <c r="HB19" s="604">
        <v>0</v>
      </c>
      <c r="HC19" s="605">
        <v>0</v>
      </c>
      <c r="HD19" s="605">
        <v>0</v>
      </c>
      <c r="HE19" s="605">
        <v>0</v>
      </c>
      <c r="HF19" s="606">
        <v>0</v>
      </c>
      <c r="HG19" s="606">
        <v>0</v>
      </c>
      <c r="HH19" s="606">
        <v>0</v>
      </c>
      <c r="HI19" s="606">
        <v>0</v>
      </c>
      <c r="HJ19" s="606">
        <v>0</v>
      </c>
      <c r="HK19" s="606">
        <v>0</v>
      </c>
      <c r="HL19" s="606">
        <v>0</v>
      </c>
      <c r="HM19" s="606">
        <v>0</v>
      </c>
      <c r="HN19" s="614">
        <f t="shared" si="50"/>
        <v>0</v>
      </c>
      <c r="HO19" s="604">
        <v>0</v>
      </c>
      <c r="HP19" s="605">
        <v>0</v>
      </c>
      <c r="HQ19" s="605">
        <v>0</v>
      </c>
      <c r="HR19" s="605">
        <v>0</v>
      </c>
      <c r="HS19" s="606">
        <v>0</v>
      </c>
      <c r="HT19" s="606">
        <v>0</v>
      </c>
      <c r="HU19" s="606">
        <v>0</v>
      </c>
      <c r="HV19" s="606">
        <v>0</v>
      </c>
      <c r="HW19" s="606">
        <v>0</v>
      </c>
      <c r="HX19" s="606">
        <v>0</v>
      </c>
      <c r="HY19" s="606">
        <v>0</v>
      </c>
      <c r="HZ19" s="606">
        <v>0</v>
      </c>
      <c r="IA19" s="614">
        <f t="shared" si="52"/>
        <v>0</v>
      </c>
      <c r="IB19" s="604">
        <v>0</v>
      </c>
      <c r="IC19" s="605">
        <v>0</v>
      </c>
      <c r="ID19" s="605">
        <v>0</v>
      </c>
      <c r="IE19" s="605">
        <v>0</v>
      </c>
      <c r="IF19" s="606">
        <v>0</v>
      </c>
      <c r="IG19" s="606">
        <v>0</v>
      </c>
      <c r="IH19" s="606">
        <v>0</v>
      </c>
      <c r="II19" s="606">
        <v>0</v>
      </c>
      <c r="IJ19" s="606">
        <v>0</v>
      </c>
      <c r="IK19" s="606">
        <v>0</v>
      </c>
      <c r="IL19" s="606">
        <v>0</v>
      </c>
      <c r="IM19" s="606">
        <v>0</v>
      </c>
      <c r="IN19" s="614">
        <f t="shared" si="54"/>
        <v>0</v>
      </c>
      <c r="IO19" s="604">
        <v>0</v>
      </c>
      <c r="IP19" s="605">
        <v>0</v>
      </c>
      <c r="IQ19" s="605">
        <v>0</v>
      </c>
      <c r="IR19" s="605">
        <v>0</v>
      </c>
      <c r="IS19" s="606">
        <v>0</v>
      </c>
      <c r="IT19" s="606">
        <v>0</v>
      </c>
      <c r="IU19" s="606">
        <v>0</v>
      </c>
      <c r="IV19" s="606">
        <v>0</v>
      </c>
      <c r="IW19" s="606">
        <v>0</v>
      </c>
      <c r="IX19" s="606">
        <v>0</v>
      </c>
      <c r="IY19" s="606">
        <v>0</v>
      </c>
      <c r="IZ19" s="606">
        <v>0</v>
      </c>
      <c r="JA19" s="607">
        <f>SUM(IO19:IZ19)</f>
        <v>0</v>
      </c>
      <c r="JB19" s="1324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M19" s="1266"/>
      <c r="JN19" s="1059">
        <f t="shared" si="58"/>
        <v>0</v>
      </c>
      <c r="JP19" s="464" t="str">
        <f t="shared" si="59"/>
        <v/>
      </c>
      <c r="JQ19" s="464" t="str">
        <f t="shared" si="60"/>
        <v/>
      </c>
      <c r="JR19" s="465">
        <f t="shared" si="61"/>
        <v>0</v>
      </c>
      <c r="JS19" s="465">
        <f t="shared" si="62"/>
        <v>0</v>
      </c>
    </row>
    <row r="20" spans="1:279" ht="13.9" customHeight="1" x14ac:dyDescent="0.2">
      <c r="A20" s="457" t="s">
        <v>397</v>
      </c>
      <c r="B20" s="601">
        <f t="shared" ref="B20:AM20" si="85">SUM(B21:B22)</f>
        <v>2380</v>
      </c>
      <c r="C20" s="602">
        <f t="shared" si="85"/>
        <v>0</v>
      </c>
      <c r="D20" s="602">
        <f t="shared" si="85"/>
        <v>2047</v>
      </c>
      <c r="E20" s="602">
        <f t="shared" si="85"/>
        <v>251</v>
      </c>
      <c r="F20" s="603">
        <f t="shared" si="85"/>
        <v>252</v>
      </c>
      <c r="G20" s="603">
        <f t="shared" si="85"/>
        <v>884</v>
      </c>
      <c r="H20" s="603">
        <f t="shared" si="85"/>
        <v>1170</v>
      </c>
      <c r="I20" s="603">
        <f t="shared" si="85"/>
        <v>837</v>
      </c>
      <c r="J20" s="603">
        <f t="shared" si="85"/>
        <v>0</v>
      </c>
      <c r="K20" s="603">
        <f t="shared" si="85"/>
        <v>244</v>
      </c>
      <c r="L20" s="603">
        <f t="shared" si="85"/>
        <v>368</v>
      </c>
      <c r="M20" s="603">
        <f t="shared" si="85"/>
        <v>0</v>
      </c>
      <c r="N20" s="613">
        <f t="shared" si="21"/>
        <v>8433</v>
      </c>
      <c r="O20" s="601">
        <f t="shared" si="85"/>
        <v>4</v>
      </c>
      <c r="P20" s="602">
        <f t="shared" si="85"/>
        <v>270</v>
      </c>
      <c r="Q20" s="602">
        <f t="shared" si="85"/>
        <v>49638</v>
      </c>
      <c r="R20" s="602">
        <f t="shared" si="85"/>
        <v>0</v>
      </c>
      <c r="S20" s="603">
        <f t="shared" si="85"/>
        <v>0</v>
      </c>
      <c r="T20" s="603">
        <f t="shared" si="85"/>
        <v>216</v>
      </c>
      <c r="U20" s="603">
        <f t="shared" si="85"/>
        <v>0</v>
      </c>
      <c r="V20" s="603">
        <f t="shared" si="85"/>
        <v>284</v>
      </c>
      <c r="W20" s="603">
        <f t="shared" si="85"/>
        <v>872</v>
      </c>
      <c r="X20" s="603">
        <f t="shared" si="85"/>
        <v>0</v>
      </c>
      <c r="Y20" s="603">
        <f t="shared" si="85"/>
        <v>210</v>
      </c>
      <c r="Z20" s="603">
        <f t="shared" si="85"/>
        <v>0</v>
      </c>
      <c r="AA20" s="613">
        <f t="shared" si="22"/>
        <v>51494</v>
      </c>
      <c r="AB20" s="601">
        <f t="shared" si="85"/>
        <v>46</v>
      </c>
      <c r="AC20" s="602">
        <f t="shared" si="85"/>
        <v>194</v>
      </c>
      <c r="AD20" s="602">
        <f t="shared" si="85"/>
        <v>147986</v>
      </c>
      <c r="AE20" s="602">
        <f t="shared" si="85"/>
        <v>0</v>
      </c>
      <c r="AF20" s="603">
        <f t="shared" si="85"/>
        <v>1794</v>
      </c>
      <c r="AG20" s="603">
        <f t="shared" si="85"/>
        <v>0</v>
      </c>
      <c r="AH20" s="603">
        <f t="shared" si="85"/>
        <v>840</v>
      </c>
      <c r="AI20" s="603">
        <f t="shared" si="85"/>
        <v>409</v>
      </c>
      <c r="AJ20" s="603">
        <f t="shared" si="85"/>
        <v>0</v>
      </c>
      <c r="AK20" s="603">
        <f t="shared" si="85"/>
        <v>0</v>
      </c>
      <c r="AL20" s="603">
        <f t="shared" si="85"/>
        <v>0</v>
      </c>
      <c r="AM20" s="603">
        <f t="shared" si="85"/>
        <v>1429</v>
      </c>
      <c r="AN20" s="613">
        <f>SUM(AB20:AM20)</f>
        <v>152698</v>
      </c>
      <c r="AO20" s="601">
        <f t="shared" ref="AO20:AZ20" si="86">SUM(AO21:AO22)</f>
        <v>364</v>
      </c>
      <c r="AP20" s="602">
        <f t="shared" si="86"/>
        <v>22</v>
      </c>
      <c r="AQ20" s="602">
        <f t="shared" si="86"/>
        <v>78197</v>
      </c>
      <c r="AR20" s="602">
        <f t="shared" si="86"/>
        <v>1</v>
      </c>
      <c r="AS20" s="603">
        <f t="shared" si="86"/>
        <v>1</v>
      </c>
      <c r="AT20" s="603">
        <f t="shared" si="86"/>
        <v>0</v>
      </c>
      <c r="AU20" s="603">
        <f t="shared" si="86"/>
        <v>0</v>
      </c>
      <c r="AV20" s="603">
        <f t="shared" si="86"/>
        <v>0</v>
      </c>
      <c r="AW20" s="603">
        <f t="shared" si="86"/>
        <v>1547</v>
      </c>
      <c r="AX20" s="603">
        <f t="shared" si="86"/>
        <v>33416</v>
      </c>
      <c r="AY20" s="603">
        <f t="shared" si="86"/>
        <v>-3882</v>
      </c>
      <c r="AZ20" s="603">
        <f t="shared" si="86"/>
        <v>-11504</v>
      </c>
      <c r="BA20" s="613">
        <f t="shared" si="65"/>
        <v>98162</v>
      </c>
      <c r="BB20" s="601">
        <f t="shared" ref="BB20:BM20" si="87">SUM(BB21:BB22)</f>
        <v>3216</v>
      </c>
      <c r="BC20" s="602">
        <f t="shared" si="87"/>
        <v>1</v>
      </c>
      <c r="BD20" s="602">
        <f t="shared" si="87"/>
        <v>30781</v>
      </c>
      <c r="BE20" s="602">
        <f t="shared" si="87"/>
        <v>11</v>
      </c>
      <c r="BF20" s="603">
        <f t="shared" si="87"/>
        <v>11999</v>
      </c>
      <c r="BG20" s="603">
        <f t="shared" si="87"/>
        <v>13967</v>
      </c>
      <c r="BH20" s="603">
        <f t="shared" si="87"/>
        <v>-1380</v>
      </c>
      <c r="BI20" s="603">
        <f t="shared" si="87"/>
        <v>7248</v>
      </c>
      <c r="BJ20" s="603">
        <f t="shared" si="87"/>
        <v>1298</v>
      </c>
      <c r="BK20" s="603">
        <f t="shared" si="87"/>
        <v>4283</v>
      </c>
      <c r="BL20" s="603">
        <f t="shared" si="87"/>
        <v>1808</v>
      </c>
      <c r="BM20" s="603">
        <f t="shared" si="87"/>
        <v>3000</v>
      </c>
      <c r="BN20" s="613">
        <f t="shared" si="67"/>
        <v>76232</v>
      </c>
      <c r="BO20" s="601">
        <f t="shared" ref="BO20:BZ20" si="88">SUM(BO21:BO22)</f>
        <v>45801</v>
      </c>
      <c r="BP20" s="602">
        <f t="shared" si="88"/>
        <v>2715</v>
      </c>
      <c r="BQ20" s="602">
        <f t="shared" si="88"/>
        <v>12362</v>
      </c>
      <c r="BR20" s="602">
        <f t="shared" si="88"/>
        <v>10736</v>
      </c>
      <c r="BS20" s="603">
        <f t="shared" si="88"/>
        <v>2241</v>
      </c>
      <c r="BT20" s="603">
        <f t="shared" si="88"/>
        <v>3407</v>
      </c>
      <c r="BU20" s="603">
        <f t="shared" si="88"/>
        <v>66</v>
      </c>
      <c r="BV20" s="603">
        <f t="shared" si="88"/>
        <v>33756</v>
      </c>
      <c r="BW20" s="603">
        <f t="shared" si="88"/>
        <v>-240</v>
      </c>
      <c r="BX20" s="603">
        <f t="shared" si="88"/>
        <v>2962</v>
      </c>
      <c r="BY20" s="603">
        <f t="shared" si="88"/>
        <v>26392</v>
      </c>
      <c r="BZ20" s="603">
        <f t="shared" si="88"/>
        <v>-62659</v>
      </c>
      <c r="CA20" s="613">
        <f t="shared" si="69"/>
        <v>77539</v>
      </c>
      <c r="CB20" s="601">
        <f t="shared" ref="CB20:CM20" si="89">SUM(CB21:CB22)</f>
        <v>62746</v>
      </c>
      <c r="CC20" s="602">
        <f t="shared" si="89"/>
        <v>-2055</v>
      </c>
      <c r="CD20" s="602">
        <f t="shared" si="89"/>
        <v>3828</v>
      </c>
      <c r="CE20" s="602">
        <f t="shared" si="89"/>
        <v>11992</v>
      </c>
      <c r="CF20" s="603">
        <f t="shared" si="89"/>
        <v>-2565</v>
      </c>
      <c r="CG20" s="603">
        <f t="shared" si="89"/>
        <v>11632</v>
      </c>
      <c r="CH20" s="603">
        <f t="shared" si="89"/>
        <v>1995</v>
      </c>
      <c r="CI20" s="603">
        <f t="shared" si="89"/>
        <v>8405</v>
      </c>
      <c r="CJ20" s="603">
        <f t="shared" si="89"/>
        <v>-1884</v>
      </c>
      <c r="CK20" s="603">
        <f t="shared" si="89"/>
        <v>10980</v>
      </c>
      <c r="CL20" s="603">
        <f t="shared" si="89"/>
        <v>-3299</v>
      </c>
      <c r="CM20" s="603">
        <f t="shared" si="89"/>
        <v>-11888</v>
      </c>
      <c r="CN20" s="613">
        <f t="shared" si="71"/>
        <v>89887</v>
      </c>
      <c r="CO20" s="601">
        <f t="shared" ref="CO20:CZ20" si="90">SUM(CO21:CO22)</f>
        <v>99373</v>
      </c>
      <c r="CP20" s="602">
        <f t="shared" si="90"/>
        <v>-2396</v>
      </c>
      <c r="CQ20" s="602">
        <f t="shared" si="90"/>
        <v>-3610</v>
      </c>
      <c r="CR20" s="602">
        <f t="shared" si="90"/>
        <v>-1072</v>
      </c>
      <c r="CS20" s="603">
        <f t="shared" si="90"/>
        <v>-2177</v>
      </c>
      <c r="CT20" s="603">
        <f t="shared" si="90"/>
        <v>15563</v>
      </c>
      <c r="CU20" s="603">
        <f t="shared" si="90"/>
        <v>-3305</v>
      </c>
      <c r="CV20" s="603">
        <f t="shared" si="90"/>
        <v>-2378</v>
      </c>
      <c r="CW20" s="603">
        <f t="shared" si="90"/>
        <v>-1772</v>
      </c>
      <c r="CX20" s="603">
        <f t="shared" si="90"/>
        <v>-22060</v>
      </c>
      <c r="CY20" s="603">
        <f t="shared" si="90"/>
        <v>-17615</v>
      </c>
      <c r="CZ20" s="603">
        <f t="shared" si="90"/>
        <v>-1011</v>
      </c>
      <c r="DA20" s="613">
        <f t="shared" si="73"/>
        <v>57540</v>
      </c>
      <c r="DB20" s="601">
        <f t="shared" ref="DB20:DM20" si="91">SUM(DB21:DB22)</f>
        <v>53190</v>
      </c>
      <c r="DC20" s="602">
        <f t="shared" si="91"/>
        <v>-996</v>
      </c>
      <c r="DD20" s="602">
        <f t="shared" si="91"/>
        <v>503</v>
      </c>
      <c r="DE20" s="602">
        <f t="shared" si="91"/>
        <v>-112</v>
      </c>
      <c r="DF20" s="603">
        <f t="shared" si="91"/>
        <v>-4136</v>
      </c>
      <c r="DG20" s="603">
        <f t="shared" si="91"/>
        <v>-5917</v>
      </c>
      <c r="DH20" s="603">
        <f t="shared" si="91"/>
        <v>-1893</v>
      </c>
      <c r="DI20" s="603">
        <f t="shared" si="91"/>
        <v>-10076</v>
      </c>
      <c r="DJ20" s="603">
        <f t="shared" si="91"/>
        <v>-487</v>
      </c>
      <c r="DK20" s="603">
        <f t="shared" si="91"/>
        <v>0</v>
      </c>
      <c r="DL20" s="603">
        <f t="shared" si="91"/>
        <v>0</v>
      </c>
      <c r="DM20" s="603">
        <f t="shared" si="91"/>
        <v>1896</v>
      </c>
      <c r="DN20" s="613">
        <f t="shared" si="75"/>
        <v>31972</v>
      </c>
      <c r="DO20" s="601">
        <f t="shared" ref="DO20:EZ20" si="92">SUM(DO21:DO22)</f>
        <v>55997</v>
      </c>
      <c r="DP20" s="602">
        <f t="shared" si="92"/>
        <v>0</v>
      </c>
      <c r="DQ20" s="602">
        <f t="shared" si="92"/>
        <v>7352</v>
      </c>
      <c r="DR20" s="602">
        <f t="shared" si="92"/>
        <v>220</v>
      </c>
      <c r="DS20" s="603">
        <f t="shared" si="92"/>
        <v>757</v>
      </c>
      <c r="DT20" s="603">
        <f t="shared" si="92"/>
        <v>-35321</v>
      </c>
      <c r="DU20" s="603">
        <f t="shared" si="92"/>
        <v>121079</v>
      </c>
      <c r="DV20" s="603">
        <f t="shared" si="92"/>
        <v>14</v>
      </c>
      <c r="DW20" s="603">
        <f t="shared" si="92"/>
        <v>-782</v>
      </c>
      <c r="DX20" s="603">
        <f t="shared" si="92"/>
        <v>1</v>
      </c>
      <c r="DY20" s="603">
        <f t="shared" si="92"/>
        <v>-1</v>
      </c>
      <c r="DZ20" s="603">
        <f t="shared" si="92"/>
        <v>0</v>
      </c>
      <c r="EA20" s="613">
        <f t="shared" si="77"/>
        <v>149316</v>
      </c>
      <c r="EB20" s="601">
        <f t="shared" si="92"/>
        <v>55281</v>
      </c>
      <c r="EC20" s="602">
        <f t="shared" si="92"/>
        <v>586</v>
      </c>
      <c r="ED20" s="602">
        <f t="shared" si="92"/>
        <v>-417</v>
      </c>
      <c r="EE20" s="602">
        <f t="shared" si="92"/>
        <v>4273</v>
      </c>
      <c r="EF20" s="603">
        <f t="shared" si="92"/>
        <v>39830</v>
      </c>
      <c r="EG20" s="603">
        <f t="shared" si="92"/>
        <v>-1339</v>
      </c>
      <c r="EH20" s="603">
        <f t="shared" si="92"/>
        <v>27207</v>
      </c>
      <c r="EI20" s="603">
        <f t="shared" si="92"/>
        <v>13987</v>
      </c>
      <c r="EJ20" s="603">
        <f t="shared" si="92"/>
        <v>-120</v>
      </c>
      <c r="EK20" s="603">
        <f t="shared" si="92"/>
        <v>918</v>
      </c>
      <c r="EL20" s="603">
        <f t="shared" si="92"/>
        <v>494</v>
      </c>
      <c r="EM20" s="603">
        <f t="shared" si="92"/>
        <v>1054</v>
      </c>
      <c r="EN20" s="613">
        <f t="shared" si="78"/>
        <v>141754</v>
      </c>
      <c r="EO20" s="601">
        <f t="shared" si="92"/>
        <v>48757</v>
      </c>
      <c r="EP20" s="602">
        <f t="shared" si="92"/>
        <v>-2188</v>
      </c>
      <c r="EQ20" s="602">
        <f t="shared" si="92"/>
        <v>3955</v>
      </c>
      <c r="ER20" s="602">
        <f t="shared" si="92"/>
        <v>-3072</v>
      </c>
      <c r="ES20" s="603">
        <f t="shared" si="92"/>
        <v>4465</v>
      </c>
      <c r="ET20" s="603">
        <f t="shared" si="92"/>
        <v>-1776</v>
      </c>
      <c r="EU20" s="603">
        <f t="shared" si="92"/>
        <v>-996</v>
      </c>
      <c r="EV20" s="603">
        <f t="shared" si="92"/>
        <v>2651</v>
      </c>
      <c r="EW20" s="603">
        <f t="shared" si="92"/>
        <v>498</v>
      </c>
      <c r="EX20" s="603">
        <f t="shared" si="92"/>
        <v>523</v>
      </c>
      <c r="EY20" s="603">
        <f t="shared" si="92"/>
        <v>380</v>
      </c>
      <c r="EZ20" s="603">
        <f t="shared" si="92"/>
        <v>-399</v>
      </c>
      <c r="FA20" s="613">
        <f t="shared" si="79"/>
        <v>52798</v>
      </c>
      <c r="FB20" s="601">
        <f t="shared" ref="FB20:FM20" si="93">SUM(FB21:FB22)</f>
        <v>38163</v>
      </c>
      <c r="FC20" s="602">
        <f t="shared" si="93"/>
        <v>-913</v>
      </c>
      <c r="FD20" s="602">
        <f t="shared" si="93"/>
        <v>24462</v>
      </c>
      <c r="FE20" s="602">
        <f t="shared" si="93"/>
        <v>7068</v>
      </c>
      <c r="FF20" s="603">
        <f t="shared" si="93"/>
        <v>-366</v>
      </c>
      <c r="FG20" s="603">
        <f t="shared" si="93"/>
        <v>907</v>
      </c>
      <c r="FH20" s="603">
        <f t="shared" si="93"/>
        <v>787</v>
      </c>
      <c r="FI20" s="603">
        <f t="shared" si="93"/>
        <v>1540</v>
      </c>
      <c r="FJ20" s="603">
        <f t="shared" si="93"/>
        <v>6238</v>
      </c>
      <c r="FK20" s="603">
        <f t="shared" si="93"/>
        <v>8406</v>
      </c>
      <c r="FL20" s="603">
        <f t="shared" si="93"/>
        <v>7043</v>
      </c>
      <c r="FM20" s="603">
        <f t="shared" si="93"/>
        <v>27758</v>
      </c>
      <c r="FN20" s="613">
        <f t="shared" si="81"/>
        <v>121093</v>
      </c>
      <c r="FO20" s="601">
        <f t="shared" ref="FO20:FY20" si="94">SUM(FO21:FO22)</f>
        <v>78626</v>
      </c>
      <c r="FP20" s="602">
        <f t="shared" si="94"/>
        <v>-105</v>
      </c>
      <c r="FQ20" s="602">
        <f t="shared" si="94"/>
        <v>43275</v>
      </c>
      <c r="FR20" s="602">
        <f t="shared" si="94"/>
        <v>2897</v>
      </c>
      <c r="FS20" s="603">
        <f t="shared" si="94"/>
        <v>-426</v>
      </c>
      <c r="FT20" s="603">
        <f t="shared" si="94"/>
        <v>20691</v>
      </c>
      <c r="FU20" s="603">
        <f t="shared" si="94"/>
        <v>-231</v>
      </c>
      <c r="FV20" s="603">
        <f t="shared" si="94"/>
        <v>-129</v>
      </c>
      <c r="FW20" s="603">
        <f t="shared" si="94"/>
        <v>-993</v>
      </c>
      <c r="FX20" s="603">
        <f t="shared" si="94"/>
        <v>-1454</v>
      </c>
      <c r="FY20" s="603">
        <f t="shared" si="94"/>
        <v>-2023</v>
      </c>
      <c r="FZ20" s="603">
        <f>SUM(FZ21:FZ22)</f>
        <v>3833</v>
      </c>
      <c r="GA20" s="613">
        <f t="shared" si="83"/>
        <v>143961</v>
      </c>
      <c r="GB20" s="601">
        <f t="shared" ref="GB20:GM20" si="95">SUM(GB21:GB22)</f>
        <v>71489</v>
      </c>
      <c r="GC20" s="602">
        <f t="shared" si="95"/>
        <v>14528</v>
      </c>
      <c r="GD20" s="602">
        <f t="shared" si="95"/>
        <v>372</v>
      </c>
      <c r="GE20" s="602">
        <f t="shared" si="95"/>
        <v>-816</v>
      </c>
      <c r="GF20" s="603">
        <f t="shared" si="95"/>
        <v>-184</v>
      </c>
      <c r="GG20" s="603">
        <f t="shared" si="95"/>
        <v>771</v>
      </c>
      <c r="GH20" s="603">
        <f t="shared" si="95"/>
        <v>1711</v>
      </c>
      <c r="GI20" s="603">
        <f t="shared" si="95"/>
        <v>-898</v>
      </c>
      <c r="GJ20" s="603">
        <f t="shared" si="95"/>
        <v>3177</v>
      </c>
      <c r="GK20" s="603">
        <f t="shared" si="95"/>
        <v>-7730</v>
      </c>
      <c r="GL20" s="603">
        <f t="shared" si="95"/>
        <v>-6681</v>
      </c>
      <c r="GM20" s="603">
        <f t="shared" si="95"/>
        <v>31222</v>
      </c>
      <c r="GN20" s="613">
        <f t="shared" si="46"/>
        <v>106961</v>
      </c>
      <c r="GO20" s="601">
        <f t="shared" ref="GO20:GZ20" si="96">SUM(GO21:GO22)</f>
        <v>73783</v>
      </c>
      <c r="GP20" s="602">
        <f t="shared" si="96"/>
        <v>10889</v>
      </c>
      <c r="GQ20" s="602">
        <f t="shared" si="96"/>
        <v>244</v>
      </c>
      <c r="GR20" s="602">
        <f t="shared" si="96"/>
        <v>3623</v>
      </c>
      <c r="GS20" s="603">
        <f t="shared" si="96"/>
        <v>-2152</v>
      </c>
      <c r="GT20" s="603">
        <f t="shared" si="96"/>
        <v>3414</v>
      </c>
      <c r="GU20" s="603">
        <f t="shared" si="96"/>
        <v>16455</v>
      </c>
      <c r="GV20" s="603">
        <f t="shared" si="96"/>
        <v>4628</v>
      </c>
      <c r="GW20" s="603">
        <f t="shared" si="96"/>
        <v>22387</v>
      </c>
      <c r="GX20" s="603">
        <f t="shared" si="96"/>
        <v>9665</v>
      </c>
      <c r="GY20" s="603">
        <f t="shared" si="96"/>
        <v>32493</v>
      </c>
      <c r="GZ20" s="603">
        <f t="shared" si="96"/>
        <v>41208</v>
      </c>
      <c r="HA20" s="613">
        <f t="shared" si="48"/>
        <v>216637</v>
      </c>
      <c r="HB20" s="601">
        <f t="shared" ref="HB20:HM20" si="97">SUM(HB21:HB22)</f>
        <v>90435</v>
      </c>
      <c r="HC20" s="602">
        <f t="shared" si="97"/>
        <v>-1753</v>
      </c>
      <c r="HD20" s="602">
        <f t="shared" si="97"/>
        <v>3371</v>
      </c>
      <c r="HE20" s="602">
        <f t="shared" si="97"/>
        <v>-2981</v>
      </c>
      <c r="HF20" s="603">
        <f t="shared" si="97"/>
        <v>-8459</v>
      </c>
      <c r="HG20" s="603">
        <f t="shared" si="97"/>
        <v>-1747</v>
      </c>
      <c r="HH20" s="603">
        <f t="shared" si="97"/>
        <v>-2049</v>
      </c>
      <c r="HI20" s="603">
        <f t="shared" si="97"/>
        <v>24918</v>
      </c>
      <c r="HJ20" s="603">
        <f t="shared" si="97"/>
        <v>-473</v>
      </c>
      <c r="HK20" s="603">
        <f t="shared" si="97"/>
        <v>-3</v>
      </c>
      <c r="HL20" s="603">
        <f t="shared" si="97"/>
        <v>91</v>
      </c>
      <c r="HM20" s="603">
        <f t="shared" si="97"/>
        <v>-28</v>
      </c>
      <c r="HN20" s="613">
        <f t="shared" si="50"/>
        <v>101322</v>
      </c>
      <c r="HO20" s="601">
        <f t="shared" ref="HO20:HZ20" si="98">SUM(HO21:HO22)</f>
        <v>95247</v>
      </c>
      <c r="HP20" s="602">
        <f t="shared" si="98"/>
        <v>-705</v>
      </c>
      <c r="HQ20" s="602">
        <f t="shared" si="98"/>
        <v>405</v>
      </c>
      <c r="HR20" s="602">
        <f t="shared" si="98"/>
        <v>-1910</v>
      </c>
      <c r="HS20" s="603">
        <f t="shared" si="98"/>
        <v>-1</v>
      </c>
      <c r="HT20" s="603">
        <f t="shared" si="98"/>
        <v>-212</v>
      </c>
      <c r="HU20" s="603">
        <f t="shared" si="98"/>
        <v>-5</v>
      </c>
      <c r="HV20" s="603">
        <f t="shared" si="98"/>
        <v>0</v>
      </c>
      <c r="HW20" s="603">
        <f t="shared" si="98"/>
        <v>0</v>
      </c>
      <c r="HX20" s="603">
        <f t="shared" si="98"/>
        <v>-6140</v>
      </c>
      <c r="HY20" s="603">
        <f t="shared" si="98"/>
        <v>-55</v>
      </c>
      <c r="HZ20" s="603">
        <f t="shared" si="98"/>
        <v>62</v>
      </c>
      <c r="IA20" s="613">
        <f t="shared" si="52"/>
        <v>86686</v>
      </c>
      <c r="IB20" s="601">
        <f t="shared" ref="IB20:IM20" si="99">SUM(IB21:IB22)</f>
        <v>110711</v>
      </c>
      <c r="IC20" s="602">
        <f t="shared" si="99"/>
        <v>0</v>
      </c>
      <c r="ID20" s="602">
        <f t="shared" si="99"/>
        <v>-558</v>
      </c>
      <c r="IE20" s="602">
        <f t="shared" si="99"/>
        <v>-7379</v>
      </c>
      <c r="IF20" s="603">
        <f t="shared" si="99"/>
        <v>0</v>
      </c>
      <c r="IG20" s="603">
        <f t="shared" si="99"/>
        <v>448</v>
      </c>
      <c r="IH20" s="603">
        <f t="shared" si="99"/>
        <v>0</v>
      </c>
      <c r="II20" s="603">
        <f t="shared" si="99"/>
        <v>-11</v>
      </c>
      <c r="IJ20" s="603">
        <f t="shared" si="99"/>
        <v>0</v>
      </c>
      <c r="IK20" s="603">
        <f t="shared" si="99"/>
        <v>0</v>
      </c>
      <c r="IL20" s="603">
        <f t="shared" si="99"/>
        <v>0</v>
      </c>
      <c r="IM20" s="603">
        <f t="shared" si="99"/>
        <v>12</v>
      </c>
      <c r="IN20" s="613">
        <f t="shared" si="54"/>
        <v>103223</v>
      </c>
      <c r="IO20" s="601">
        <f t="shared" ref="IO20:IZ20" si="100">SUM(IO21:IO22)</f>
        <v>107328</v>
      </c>
      <c r="IP20" s="602">
        <f t="shared" si="100"/>
        <v>3</v>
      </c>
      <c r="IQ20" s="602">
        <f t="shared" si="100"/>
        <v>0</v>
      </c>
      <c r="IR20" s="602">
        <f t="shared" si="100"/>
        <v>-147</v>
      </c>
      <c r="IS20" s="603">
        <f t="shared" si="100"/>
        <v>0</v>
      </c>
      <c r="IT20" s="603">
        <f t="shared" si="100"/>
        <v>11</v>
      </c>
      <c r="IU20" s="603">
        <f t="shared" si="100"/>
        <v>-10</v>
      </c>
      <c r="IV20" s="603">
        <f t="shared" si="100"/>
        <v>80</v>
      </c>
      <c r="IW20" s="603">
        <f t="shared" si="100"/>
        <v>2456</v>
      </c>
      <c r="IX20" s="603">
        <f t="shared" si="100"/>
        <v>400</v>
      </c>
      <c r="IY20" s="603">
        <f t="shared" si="100"/>
        <v>0</v>
      </c>
      <c r="IZ20" s="603">
        <f t="shared" si="100"/>
        <v>-41</v>
      </c>
      <c r="JA20" s="1360">
        <f t="shared" si="56"/>
        <v>110080</v>
      </c>
      <c r="JB20" s="1328">
        <f t="shared" ref="JB20:JG20" si="101">SUM(JB21:JB22)</f>
        <v>29181</v>
      </c>
      <c r="JC20" s="129">
        <f t="shared" si="101"/>
        <v>9</v>
      </c>
      <c r="JD20" s="129">
        <f t="shared" si="101"/>
        <v>100</v>
      </c>
      <c r="JE20" s="129">
        <f t="shared" si="101"/>
        <v>-150</v>
      </c>
      <c r="JF20" s="129">
        <f t="shared" ref="JF20:JH20" si="102">SUM(JF21:JF22)</f>
        <v>30046</v>
      </c>
      <c r="JG20" s="129">
        <f t="shared" si="101"/>
        <v>0</v>
      </c>
      <c r="JH20" s="129">
        <f t="shared" si="102"/>
        <v>0</v>
      </c>
      <c r="JI20" s="129">
        <v>0</v>
      </c>
      <c r="JJ20" s="129"/>
      <c r="JK20" s="129"/>
      <c r="JL20" s="129"/>
      <c r="JM20" s="1268"/>
      <c r="JN20" s="1343">
        <f t="shared" si="58"/>
        <v>59186</v>
      </c>
      <c r="JP20" s="455">
        <f t="shared" si="59"/>
        <v>-100</v>
      </c>
      <c r="JQ20" s="455">
        <f t="shared" si="60"/>
        <v>-44.822635528830467</v>
      </c>
      <c r="JR20" s="456">
        <f t="shared" si="61"/>
        <v>107265</v>
      </c>
      <c r="JS20" s="456">
        <f t="shared" si="62"/>
        <v>59186</v>
      </c>
    </row>
    <row r="21" spans="1:279" ht="13.9" customHeight="1" x14ac:dyDescent="0.2">
      <c r="A21" s="435" t="s">
        <v>398</v>
      </c>
      <c r="B21" s="604">
        <v>2380</v>
      </c>
      <c r="C21" s="605">
        <v>0</v>
      </c>
      <c r="D21" s="605">
        <v>226</v>
      </c>
      <c r="E21" s="605">
        <v>251</v>
      </c>
      <c r="F21" s="606">
        <v>252</v>
      </c>
      <c r="G21" s="606">
        <v>884</v>
      </c>
      <c r="H21" s="606">
        <v>1170</v>
      </c>
      <c r="I21" s="606">
        <v>837</v>
      </c>
      <c r="J21" s="606">
        <v>0</v>
      </c>
      <c r="K21" s="606">
        <v>244</v>
      </c>
      <c r="L21" s="606">
        <v>368</v>
      </c>
      <c r="M21" s="606">
        <v>0</v>
      </c>
      <c r="N21" s="614">
        <f t="shared" si="21"/>
        <v>6612</v>
      </c>
      <c r="O21" s="604">
        <v>0</v>
      </c>
      <c r="P21" s="605">
        <v>0</v>
      </c>
      <c r="Q21" s="605">
        <v>165</v>
      </c>
      <c r="R21" s="605">
        <v>0</v>
      </c>
      <c r="S21" s="606">
        <v>0</v>
      </c>
      <c r="T21" s="606">
        <v>216</v>
      </c>
      <c r="U21" s="606">
        <v>0</v>
      </c>
      <c r="V21" s="606">
        <v>284</v>
      </c>
      <c r="W21" s="606">
        <v>872</v>
      </c>
      <c r="X21" s="606">
        <v>0</v>
      </c>
      <c r="Y21" s="606">
        <v>210</v>
      </c>
      <c r="Z21" s="606">
        <v>0</v>
      </c>
      <c r="AA21" s="614">
        <f t="shared" si="22"/>
        <v>1747</v>
      </c>
      <c r="AB21" s="604">
        <v>0</v>
      </c>
      <c r="AC21" s="605">
        <v>0</v>
      </c>
      <c r="AD21" s="605">
        <v>0</v>
      </c>
      <c r="AE21" s="605">
        <v>0</v>
      </c>
      <c r="AF21" s="606">
        <v>389</v>
      </c>
      <c r="AG21" s="606">
        <v>0</v>
      </c>
      <c r="AH21" s="606">
        <v>840</v>
      </c>
      <c r="AI21" s="606">
        <v>409</v>
      </c>
      <c r="AJ21" s="606">
        <v>0</v>
      </c>
      <c r="AK21" s="606">
        <v>0</v>
      </c>
      <c r="AL21" s="606">
        <v>0</v>
      </c>
      <c r="AM21" s="606">
        <v>1429</v>
      </c>
      <c r="AN21" s="614">
        <f>SUM(AB21:AM21)</f>
        <v>3067</v>
      </c>
      <c r="AO21" s="604">
        <v>0</v>
      </c>
      <c r="AP21" s="605">
        <v>0</v>
      </c>
      <c r="AQ21" s="605">
        <v>127</v>
      </c>
      <c r="AR21" s="605">
        <v>0</v>
      </c>
      <c r="AS21" s="606">
        <v>0</v>
      </c>
      <c r="AT21" s="606">
        <v>0</v>
      </c>
      <c r="AU21" s="606">
        <v>0</v>
      </c>
      <c r="AV21" s="606">
        <v>0</v>
      </c>
      <c r="AW21" s="606">
        <v>1793</v>
      </c>
      <c r="AX21" s="606">
        <v>33416</v>
      </c>
      <c r="AY21" s="606">
        <v>-3864</v>
      </c>
      <c r="AZ21" s="606">
        <v>-11276</v>
      </c>
      <c r="BA21" s="614">
        <f t="shared" si="65"/>
        <v>20196</v>
      </c>
      <c r="BB21" s="604">
        <v>0</v>
      </c>
      <c r="BC21" s="605">
        <v>0</v>
      </c>
      <c r="BD21" s="605">
        <v>0</v>
      </c>
      <c r="BE21" s="605">
        <v>0</v>
      </c>
      <c r="BF21" s="606">
        <v>12000</v>
      </c>
      <c r="BG21" s="606">
        <v>13950</v>
      </c>
      <c r="BH21" s="606">
        <v>-1380</v>
      </c>
      <c r="BI21" s="606">
        <v>6753</v>
      </c>
      <c r="BJ21" s="606">
        <v>1298</v>
      </c>
      <c r="BK21" s="606">
        <v>4283</v>
      </c>
      <c r="BL21" s="606">
        <v>1808</v>
      </c>
      <c r="BM21" s="606">
        <v>2656</v>
      </c>
      <c r="BN21" s="614">
        <f t="shared" si="67"/>
        <v>41368</v>
      </c>
      <c r="BO21" s="604">
        <v>0</v>
      </c>
      <c r="BP21" s="605">
        <v>2715</v>
      </c>
      <c r="BQ21" s="605">
        <v>10965</v>
      </c>
      <c r="BR21" s="605">
        <v>10734</v>
      </c>
      <c r="BS21" s="606">
        <v>2481</v>
      </c>
      <c r="BT21" s="606">
        <v>3407</v>
      </c>
      <c r="BU21" s="606">
        <v>0</v>
      </c>
      <c r="BV21" s="606">
        <v>31190</v>
      </c>
      <c r="BW21" s="606">
        <v>0</v>
      </c>
      <c r="BX21" s="606">
        <v>2961</v>
      </c>
      <c r="BY21" s="606">
        <v>26392</v>
      </c>
      <c r="BZ21" s="606">
        <v>-18207</v>
      </c>
      <c r="CA21" s="614">
        <f t="shared" si="69"/>
        <v>72638</v>
      </c>
      <c r="CB21" s="604">
        <v>998</v>
      </c>
      <c r="CC21" s="605">
        <v>1958</v>
      </c>
      <c r="CD21" s="605">
        <v>6276</v>
      </c>
      <c r="CE21" s="605">
        <v>4482</v>
      </c>
      <c r="CF21" s="606">
        <v>659</v>
      </c>
      <c r="CG21" s="606">
        <v>12984</v>
      </c>
      <c r="CH21" s="606">
        <v>2228</v>
      </c>
      <c r="CI21" s="606">
        <v>7734</v>
      </c>
      <c r="CJ21" s="606">
        <v>3053</v>
      </c>
      <c r="CK21" s="606">
        <v>11477</v>
      </c>
      <c r="CL21" s="606">
        <v>4227</v>
      </c>
      <c r="CM21" s="606">
        <v>14159</v>
      </c>
      <c r="CN21" s="614">
        <f t="shared" si="71"/>
        <v>70235</v>
      </c>
      <c r="CO21" s="604">
        <v>0</v>
      </c>
      <c r="CP21" s="605">
        <v>6704</v>
      </c>
      <c r="CQ21" s="605">
        <v>887</v>
      </c>
      <c r="CR21" s="605">
        <v>3363</v>
      </c>
      <c r="CS21" s="606">
        <v>449</v>
      </c>
      <c r="CT21" s="606">
        <v>18588</v>
      </c>
      <c r="CU21" s="606">
        <v>1656</v>
      </c>
      <c r="CV21" s="606">
        <v>2966</v>
      </c>
      <c r="CW21" s="606">
        <v>2816</v>
      </c>
      <c r="CX21" s="606">
        <v>590</v>
      </c>
      <c r="CY21" s="606">
        <v>629</v>
      </c>
      <c r="CZ21" s="606">
        <v>721</v>
      </c>
      <c r="DA21" s="614">
        <f t="shared" si="73"/>
        <v>39369</v>
      </c>
      <c r="DB21" s="604">
        <v>1993</v>
      </c>
      <c r="DC21" s="605">
        <v>488</v>
      </c>
      <c r="DD21" s="605">
        <v>2130</v>
      </c>
      <c r="DE21" s="605">
        <v>499</v>
      </c>
      <c r="DF21" s="606">
        <v>1736</v>
      </c>
      <c r="DG21" s="606">
        <v>2640</v>
      </c>
      <c r="DH21" s="606">
        <v>575</v>
      </c>
      <c r="DI21" s="606">
        <v>98</v>
      </c>
      <c r="DJ21" s="606">
        <v>500</v>
      </c>
      <c r="DK21" s="606">
        <v>700</v>
      </c>
      <c r="DL21" s="606">
        <v>206</v>
      </c>
      <c r="DM21" s="606">
        <v>1163</v>
      </c>
      <c r="DN21" s="614">
        <f t="shared" si="75"/>
        <v>12728</v>
      </c>
      <c r="DO21" s="604">
        <v>0</v>
      </c>
      <c r="DP21" s="605">
        <v>0</v>
      </c>
      <c r="DQ21" s="605">
        <v>0</v>
      </c>
      <c r="DR21" s="605">
        <v>0</v>
      </c>
      <c r="DS21" s="606">
        <v>756</v>
      </c>
      <c r="DT21" s="606">
        <v>0</v>
      </c>
      <c r="DU21" s="606">
        <v>121744</v>
      </c>
      <c r="DV21" s="606">
        <v>188</v>
      </c>
      <c r="DW21" s="606">
        <v>123</v>
      </c>
      <c r="DX21" s="606">
        <v>316</v>
      </c>
      <c r="DY21" s="606">
        <v>0</v>
      </c>
      <c r="DZ21" s="606">
        <v>0</v>
      </c>
      <c r="EA21" s="614">
        <f t="shared" si="77"/>
        <v>123127</v>
      </c>
      <c r="EB21" s="604">
        <v>0</v>
      </c>
      <c r="EC21" s="605">
        <v>0</v>
      </c>
      <c r="ED21" s="605">
        <v>0</v>
      </c>
      <c r="EE21" s="605">
        <v>0</v>
      </c>
      <c r="EF21" s="606">
        <v>43070</v>
      </c>
      <c r="EG21" s="606">
        <v>1895</v>
      </c>
      <c r="EH21" s="606">
        <v>31300</v>
      </c>
      <c r="EI21" s="606">
        <v>15774</v>
      </c>
      <c r="EJ21" s="606">
        <v>1300</v>
      </c>
      <c r="EK21" s="606">
        <v>4133</v>
      </c>
      <c r="EL21" s="606">
        <v>5515</v>
      </c>
      <c r="EM21" s="606">
        <v>1200</v>
      </c>
      <c r="EN21" s="614">
        <f t="shared" si="78"/>
        <v>104187</v>
      </c>
      <c r="EO21" s="604">
        <v>0</v>
      </c>
      <c r="EP21" s="605">
        <v>0</v>
      </c>
      <c r="EQ21" s="605">
        <v>0</v>
      </c>
      <c r="ER21" s="605">
        <v>0</v>
      </c>
      <c r="ES21" s="606">
        <v>7465</v>
      </c>
      <c r="ET21" s="606">
        <v>1329</v>
      </c>
      <c r="EU21" s="606">
        <v>755</v>
      </c>
      <c r="EV21" s="606">
        <v>2783</v>
      </c>
      <c r="EW21" s="606">
        <v>521</v>
      </c>
      <c r="EX21" s="606">
        <v>523</v>
      </c>
      <c r="EY21" s="606">
        <v>469</v>
      </c>
      <c r="EZ21" s="606">
        <v>465</v>
      </c>
      <c r="FA21" s="614">
        <f t="shared" si="79"/>
        <v>14310</v>
      </c>
      <c r="FB21" s="604">
        <v>0</v>
      </c>
      <c r="FC21" s="605">
        <v>0</v>
      </c>
      <c r="FD21" s="605">
        <v>23047</v>
      </c>
      <c r="FE21" s="605">
        <v>7425</v>
      </c>
      <c r="FF21" s="606">
        <v>-366</v>
      </c>
      <c r="FG21" s="606">
        <v>956</v>
      </c>
      <c r="FH21" s="606">
        <v>787</v>
      </c>
      <c r="FI21" s="606">
        <v>1540</v>
      </c>
      <c r="FJ21" s="606">
        <v>6215</v>
      </c>
      <c r="FK21" s="606">
        <v>8406</v>
      </c>
      <c r="FL21" s="606">
        <v>7054</v>
      </c>
      <c r="FM21" s="606">
        <v>27725</v>
      </c>
      <c r="FN21" s="614">
        <f t="shared" si="81"/>
        <v>82789</v>
      </c>
      <c r="FO21" s="604">
        <v>0</v>
      </c>
      <c r="FP21" s="605">
        <v>0</v>
      </c>
      <c r="FQ21" s="605">
        <v>41743</v>
      </c>
      <c r="FR21" s="605">
        <v>0</v>
      </c>
      <c r="FS21" s="606">
        <v>491</v>
      </c>
      <c r="FT21" s="606">
        <v>21237</v>
      </c>
      <c r="FU21" s="606">
        <v>0</v>
      </c>
      <c r="FV21" s="606">
        <v>0</v>
      </c>
      <c r="FW21" s="606">
        <v>0</v>
      </c>
      <c r="FX21" s="606">
        <v>0</v>
      </c>
      <c r="FY21" s="606">
        <v>0</v>
      </c>
      <c r="FZ21" s="606">
        <v>4896</v>
      </c>
      <c r="GA21" s="614">
        <f t="shared" si="83"/>
        <v>68367</v>
      </c>
      <c r="GB21" s="604">
        <v>0</v>
      </c>
      <c r="GC21" s="605">
        <v>4250</v>
      </c>
      <c r="GD21" s="605">
        <v>0</v>
      </c>
      <c r="GE21" s="605">
        <v>0</v>
      </c>
      <c r="GF21" s="606">
        <v>0</v>
      </c>
      <c r="GG21" s="606">
        <v>771</v>
      </c>
      <c r="GH21" s="606">
        <v>2270</v>
      </c>
      <c r="GI21" s="606">
        <v>0</v>
      </c>
      <c r="GJ21" s="606">
        <v>5315</v>
      </c>
      <c r="GK21" s="606">
        <v>5036</v>
      </c>
      <c r="GL21" s="606">
        <v>0</v>
      </c>
      <c r="GM21" s="606">
        <v>31893</v>
      </c>
      <c r="GN21" s="614">
        <f t="shared" si="46"/>
        <v>49535</v>
      </c>
      <c r="GO21" s="604">
        <v>1360</v>
      </c>
      <c r="GP21" s="605">
        <v>16305</v>
      </c>
      <c r="GQ21" s="605">
        <v>4411</v>
      </c>
      <c r="GR21" s="605">
        <v>7918</v>
      </c>
      <c r="GS21" s="606">
        <v>3215</v>
      </c>
      <c r="GT21" s="606">
        <v>3414</v>
      </c>
      <c r="GU21" s="606">
        <v>24778</v>
      </c>
      <c r="GV21" s="606">
        <v>4628</v>
      </c>
      <c r="GW21" s="606">
        <v>22387</v>
      </c>
      <c r="GX21" s="606">
        <v>9644</v>
      </c>
      <c r="GY21" s="606">
        <v>32899</v>
      </c>
      <c r="GZ21" s="606">
        <v>40971</v>
      </c>
      <c r="HA21" s="614">
        <f t="shared" si="48"/>
        <v>171930</v>
      </c>
      <c r="HB21" s="604">
        <v>29636</v>
      </c>
      <c r="HC21" s="605">
        <v>0</v>
      </c>
      <c r="HD21" s="605">
        <v>8093</v>
      </c>
      <c r="HE21" s="605">
        <v>0</v>
      </c>
      <c r="HF21" s="606">
        <v>0</v>
      </c>
      <c r="HG21" s="606">
        <v>0</v>
      </c>
      <c r="HH21" s="606">
        <v>0</v>
      </c>
      <c r="HI21" s="606">
        <v>26676</v>
      </c>
      <c r="HJ21" s="606">
        <v>0</v>
      </c>
      <c r="HK21" s="606">
        <v>0</v>
      </c>
      <c r="HL21" s="606">
        <v>0</v>
      </c>
      <c r="HM21" s="606">
        <v>0</v>
      </c>
      <c r="HN21" s="614">
        <f t="shared" si="50"/>
        <v>64405</v>
      </c>
      <c r="HO21" s="604">
        <v>0</v>
      </c>
      <c r="HP21" s="605">
        <v>0</v>
      </c>
      <c r="HQ21" s="605">
        <v>0</v>
      </c>
      <c r="HR21" s="605">
        <v>0</v>
      </c>
      <c r="HS21" s="606">
        <v>0</v>
      </c>
      <c r="HT21" s="606">
        <v>0</v>
      </c>
      <c r="HU21" s="606">
        <v>0</v>
      </c>
      <c r="HV21" s="606">
        <v>0</v>
      </c>
      <c r="HW21" s="606">
        <v>0</v>
      </c>
      <c r="HX21" s="606">
        <v>0</v>
      </c>
      <c r="HY21" s="606">
        <v>0</v>
      </c>
      <c r="HZ21" s="606">
        <v>0</v>
      </c>
      <c r="IA21" s="614">
        <f t="shared" si="52"/>
        <v>0</v>
      </c>
      <c r="IB21" s="604">
        <v>0</v>
      </c>
      <c r="IC21" s="605">
        <v>0</v>
      </c>
      <c r="ID21" s="605">
        <v>0</v>
      </c>
      <c r="IE21" s="605">
        <v>0</v>
      </c>
      <c r="IF21" s="606">
        <v>0</v>
      </c>
      <c r="IG21" s="606">
        <v>448</v>
      </c>
      <c r="IH21" s="606">
        <v>0</v>
      </c>
      <c r="II21" s="606">
        <v>0</v>
      </c>
      <c r="IJ21" s="606">
        <v>0</v>
      </c>
      <c r="IK21" s="606">
        <v>0</v>
      </c>
      <c r="IL21" s="606">
        <v>0</v>
      </c>
      <c r="IM21" s="606">
        <v>0</v>
      </c>
      <c r="IN21" s="614">
        <f t="shared" si="54"/>
        <v>448</v>
      </c>
      <c r="IO21" s="604">
        <v>0</v>
      </c>
      <c r="IP21" s="605">
        <v>0</v>
      </c>
      <c r="IQ21" s="605">
        <v>0</v>
      </c>
      <c r="IR21" s="605">
        <v>0</v>
      </c>
      <c r="IS21" s="606">
        <v>0</v>
      </c>
      <c r="IT21" s="606">
        <v>0</v>
      </c>
      <c r="IU21" s="606">
        <v>0</v>
      </c>
      <c r="IV21" s="606">
        <v>0</v>
      </c>
      <c r="IW21" s="606">
        <v>0</v>
      </c>
      <c r="IX21" s="606">
        <v>0</v>
      </c>
      <c r="IY21" s="606">
        <v>0</v>
      </c>
      <c r="IZ21" s="606">
        <v>0</v>
      </c>
      <c r="JA21" s="607">
        <f t="shared" si="56"/>
        <v>0</v>
      </c>
      <c r="JB21" s="1324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M21" s="1266"/>
      <c r="JN21" s="1059">
        <f t="shared" si="58"/>
        <v>0</v>
      </c>
      <c r="JP21" s="464" t="str">
        <f t="shared" si="59"/>
        <v/>
      </c>
      <c r="JQ21" s="464" t="str">
        <f t="shared" si="60"/>
        <v/>
      </c>
      <c r="JR21" s="465">
        <f t="shared" si="61"/>
        <v>0</v>
      </c>
      <c r="JS21" s="465">
        <f t="shared" si="62"/>
        <v>0</v>
      </c>
    </row>
    <row r="22" spans="1:279" ht="13.9" customHeight="1" x14ac:dyDescent="0.2">
      <c r="A22" s="459" t="s">
        <v>399</v>
      </c>
      <c r="B22" s="604">
        <v>0</v>
      </c>
      <c r="C22" s="605">
        <v>0</v>
      </c>
      <c r="D22" s="605">
        <v>1821</v>
      </c>
      <c r="E22" s="605">
        <v>0</v>
      </c>
      <c r="F22" s="606">
        <v>0</v>
      </c>
      <c r="G22" s="606">
        <v>0</v>
      </c>
      <c r="H22" s="606">
        <v>0</v>
      </c>
      <c r="I22" s="606">
        <v>0</v>
      </c>
      <c r="J22" s="606">
        <v>0</v>
      </c>
      <c r="K22" s="606">
        <v>0</v>
      </c>
      <c r="L22" s="606">
        <v>0</v>
      </c>
      <c r="M22" s="606">
        <v>0</v>
      </c>
      <c r="N22" s="614">
        <f t="shared" si="21"/>
        <v>1821</v>
      </c>
      <c r="O22" s="604">
        <v>4</v>
      </c>
      <c r="P22" s="605">
        <v>270</v>
      </c>
      <c r="Q22" s="605">
        <v>49473</v>
      </c>
      <c r="R22" s="605">
        <v>0</v>
      </c>
      <c r="S22" s="606">
        <v>0</v>
      </c>
      <c r="T22" s="606">
        <v>0</v>
      </c>
      <c r="U22" s="606">
        <v>0</v>
      </c>
      <c r="V22" s="606">
        <v>0</v>
      </c>
      <c r="W22" s="606">
        <v>0</v>
      </c>
      <c r="X22" s="606">
        <v>0</v>
      </c>
      <c r="Y22" s="606">
        <v>0</v>
      </c>
      <c r="Z22" s="606">
        <v>0</v>
      </c>
      <c r="AA22" s="614">
        <f t="shared" si="22"/>
        <v>49747</v>
      </c>
      <c r="AB22" s="604">
        <v>46</v>
      </c>
      <c r="AC22" s="605">
        <v>194</v>
      </c>
      <c r="AD22" s="605">
        <v>147986</v>
      </c>
      <c r="AE22" s="605">
        <v>0</v>
      </c>
      <c r="AF22" s="606">
        <v>1405</v>
      </c>
      <c r="AG22" s="606">
        <v>0</v>
      </c>
      <c r="AH22" s="606">
        <v>0</v>
      </c>
      <c r="AI22" s="606">
        <v>0</v>
      </c>
      <c r="AJ22" s="606">
        <v>0</v>
      </c>
      <c r="AK22" s="606">
        <v>0</v>
      </c>
      <c r="AL22" s="606">
        <v>0</v>
      </c>
      <c r="AM22" s="606">
        <v>0</v>
      </c>
      <c r="AN22" s="614">
        <f>SUM(AB22:AM22)</f>
        <v>149631</v>
      </c>
      <c r="AO22" s="604">
        <v>364</v>
      </c>
      <c r="AP22" s="605">
        <v>22</v>
      </c>
      <c r="AQ22" s="605">
        <v>78070</v>
      </c>
      <c r="AR22" s="605">
        <v>1</v>
      </c>
      <c r="AS22" s="606">
        <v>1</v>
      </c>
      <c r="AT22" s="606">
        <v>0</v>
      </c>
      <c r="AU22" s="606">
        <v>0</v>
      </c>
      <c r="AV22" s="606">
        <v>0</v>
      </c>
      <c r="AW22" s="606">
        <v>-246</v>
      </c>
      <c r="AX22" s="606">
        <v>0</v>
      </c>
      <c r="AY22" s="606">
        <v>-18</v>
      </c>
      <c r="AZ22" s="606">
        <v>-228</v>
      </c>
      <c r="BA22" s="614">
        <f t="shared" si="65"/>
        <v>77966</v>
      </c>
      <c r="BB22" s="604">
        <v>3216</v>
      </c>
      <c r="BC22" s="605">
        <v>1</v>
      </c>
      <c r="BD22" s="605">
        <v>30781</v>
      </c>
      <c r="BE22" s="605">
        <v>11</v>
      </c>
      <c r="BF22" s="606">
        <v>-1</v>
      </c>
      <c r="BG22" s="606">
        <v>17</v>
      </c>
      <c r="BH22" s="606">
        <v>0</v>
      </c>
      <c r="BI22" s="606">
        <v>495</v>
      </c>
      <c r="BJ22" s="606">
        <v>0</v>
      </c>
      <c r="BK22" s="606">
        <v>0</v>
      </c>
      <c r="BL22" s="606">
        <v>0</v>
      </c>
      <c r="BM22" s="606">
        <v>344</v>
      </c>
      <c r="BN22" s="614">
        <f t="shared" si="67"/>
        <v>34864</v>
      </c>
      <c r="BO22" s="604">
        <v>45801</v>
      </c>
      <c r="BP22" s="605">
        <v>0</v>
      </c>
      <c r="BQ22" s="605">
        <v>1397</v>
      </c>
      <c r="BR22" s="605">
        <v>2</v>
      </c>
      <c r="BS22" s="606">
        <v>-240</v>
      </c>
      <c r="BT22" s="606">
        <v>0</v>
      </c>
      <c r="BU22" s="606">
        <v>66</v>
      </c>
      <c r="BV22" s="606">
        <v>2566</v>
      </c>
      <c r="BW22" s="606">
        <v>-240</v>
      </c>
      <c r="BX22" s="606">
        <v>1</v>
      </c>
      <c r="BY22" s="606">
        <v>0</v>
      </c>
      <c r="BZ22" s="606">
        <v>-44452</v>
      </c>
      <c r="CA22" s="614">
        <f t="shared" si="69"/>
        <v>4901</v>
      </c>
      <c r="CB22" s="604">
        <v>61748</v>
      </c>
      <c r="CC22" s="605">
        <v>-4013</v>
      </c>
      <c r="CD22" s="605">
        <v>-2448</v>
      </c>
      <c r="CE22" s="605">
        <v>7510</v>
      </c>
      <c r="CF22" s="606">
        <v>-3224</v>
      </c>
      <c r="CG22" s="606">
        <v>-1352</v>
      </c>
      <c r="CH22" s="606">
        <v>-233</v>
      </c>
      <c r="CI22" s="606">
        <v>671</v>
      </c>
      <c r="CJ22" s="606">
        <v>-4937</v>
      </c>
      <c r="CK22" s="606">
        <v>-497</v>
      </c>
      <c r="CL22" s="606">
        <v>-7526</v>
      </c>
      <c r="CM22" s="606">
        <v>-26047</v>
      </c>
      <c r="CN22" s="614">
        <f t="shared" si="71"/>
        <v>19652</v>
      </c>
      <c r="CO22" s="604">
        <v>99373</v>
      </c>
      <c r="CP22" s="605">
        <v>-9100</v>
      </c>
      <c r="CQ22" s="605">
        <v>-4497</v>
      </c>
      <c r="CR22" s="605">
        <v>-4435</v>
      </c>
      <c r="CS22" s="606">
        <v>-2626</v>
      </c>
      <c r="CT22" s="606">
        <v>-3025</v>
      </c>
      <c r="CU22" s="606">
        <v>-4961</v>
      </c>
      <c r="CV22" s="606">
        <v>-5344</v>
      </c>
      <c r="CW22" s="606">
        <v>-4588</v>
      </c>
      <c r="CX22" s="606">
        <v>-22650</v>
      </c>
      <c r="CY22" s="606">
        <v>-18244</v>
      </c>
      <c r="CZ22" s="606">
        <v>-1732</v>
      </c>
      <c r="DA22" s="614">
        <f t="shared" si="73"/>
        <v>18171</v>
      </c>
      <c r="DB22" s="604">
        <v>51197</v>
      </c>
      <c r="DC22" s="605">
        <v>-1484</v>
      </c>
      <c r="DD22" s="605">
        <v>-1627</v>
      </c>
      <c r="DE22" s="605">
        <v>-611</v>
      </c>
      <c r="DF22" s="606">
        <v>-5872</v>
      </c>
      <c r="DG22" s="606">
        <v>-8557</v>
      </c>
      <c r="DH22" s="606">
        <v>-2468</v>
      </c>
      <c r="DI22" s="606">
        <v>-10174</v>
      </c>
      <c r="DJ22" s="606">
        <v>-987</v>
      </c>
      <c r="DK22" s="606">
        <v>-700</v>
      </c>
      <c r="DL22" s="606">
        <v>-206</v>
      </c>
      <c r="DM22" s="606">
        <v>733</v>
      </c>
      <c r="DN22" s="614">
        <f t="shared" si="75"/>
        <v>19244</v>
      </c>
      <c r="DO22" s="604">
        <v>55997</v>
      </c>
      <c r="DP22" s="605">
        <v>0</v>
      </c>
      <c r="DQ22" s="605">
        <v>7352</v>
      </c>
      <c r="DR22" s="605">
        <v>220</v>
      </c>
      <c r="DS22" s="606">
        <v>1</v>
      </c>
      <c r="DT22" s="606">
        <v>-35321</v>
      </c>
      <c r="DU22" s="606">
        <v>-665</v>
      </c>
      <c r="DV22" s="606">
        <v>-174</v>
      </c>
      <c r="DW22" s="606">
        <v>-905</v>
      </c>
      <c r="DX22" s="606">
        <v>-315</v>
      </c>
      <c r="DY22" s="606">
        <v>-1</v>
      </c>
      <c r="DZ22" s="606">
        <v>0</v>
      </c>
      <c r="EA22" s="614">
        <f t="shared" si="77"/>
        <v>26189</v>
      </c>
      <c r="EB22" s="604">
        <v>55281</v>
      </c>
      <c r="EC22" s="605">
        <v>586</v>
      </c>
      <c r="ED22" s="605">
        <v>-417</v>
      </c>
      <c r="EE22" s="605">
        <v>4273</v>
      </c>
      <c r="EF22" s="606">
        <v>-3240</v>
      </c>
      <c r="EG22" s="606">
        <v>-3234</v>
      </c>
      <c r="EH22" s="606">
        <v>-4093</v>
      </c>
      <c r="EI22" s="606">
        <v>-1787</v>
      </c>
      <c r="EJ22" s="606">
        <v>-1420</v>
      </c>
      <c r="EK22" s="606">
        <v>-3215</v>
      </c>
      <c r="EL22" s="606">
        <v>-5021</v>
      </c>
      <c r="EM22" s="606">
        <v>-146</v>
      </c>
      <c r="EN22" s="614">
        <f t="shared" si="78"/>
        <v>37567</v>
      </c>
      <c r="EO22" s="604">
        <v>48757</v>
      </c>
      <c r="EP22" s="605">
        <v>-2188</v>
      </c>
      <c r="EQ22" s="605">
        <v>3955</v>
      </c>
      <c r="ER22" s="605">
        <v>-3072</v>
      </c>
      <c r="ES22" s="606">
        <v>-3000</v>
      </c>
      <c r="ET22" s="606">
        <v>-3105</v>
      </c>
      <c r="EU22" s="606">
        <v>-1751</v>
      </c>
      <c r="EV22" s="606">
        <v>-132</v>
      </c>
      <c r="EW22" s="606">
        <v>-23</v>
      </c>
      <c r="EX22" s="606">
        <v>0</v>
      </c>
      <c r="EY22" s="606">
        <v>-89</v>
      </c>
      <c r="EZ22" s="606">
        <v>-864</v>
      </c>
      <c r="FA22" s="614">
        <f t="shared" si="79"/>
        <v>38488</v>
      </c>
      <c r="FB22" s="604">
        <v>38163</v>
      </c>
      <c r="FC22" s="605">
        <v>-913</v>
      </c>
      <c r="FD22" s="605">
        <v>1415</v>
      </c>
      <c r="FE22" s="605">
        <v>-357</v>
      </c>
      <c r="FF22" s="606">
        <v>0</v>
      </c>
      <c r="FG22" s="606">
        <v>-49</v>
      </c>
      <c r="FH22" s="606">
        <v>0</v>
      </c>
      <c r="FI22" s="606">
        <v>0</v>
      </c>
      <c r="FJ22" s="606">
        <v>23</v>
      </c>
      <c r="FK22" s="606">
        <v>0</v>
      </c>
      <c r="FL22" s="606">
        <v>-11</v>
      </c>
      <c r="FM22" s="606">
        <v>33</v>
      </c>
      <c r="FN22" s="614">
        <f t="shared" si="81"/>
        <v>38304</v>
      </c>
      <c r="FO22" s="604">
        <v>78626</v>
      </c>
      <c r="FP22" s="605">
        <v>-105</v>
      </c>
      <c r="FQ22" s="605">
        <v>1532</v>
      </c>
      <c r="FR22" s="605">
        <v>2897</v>
      </c>
      <c r="FS22" s="606">
        <v>-917</v>
      </c>
      <c r="FT22" s="606">
        <v>-546</v>
      </c>
      <c r="FU22" s="606">
        <v>-231</v>
      </c>
      <c r="FV22" s="606">
        <v>-129</v>
      </c>
      <c r="FW22" s="606">
        <v>-993</v>
      </c>
      <c r="FX22" s="606">
        <v>-1454</v>
      </c>
      <c r="FY22" s="606">
        <v>-2023</v>
      </c>
      <c r="FZ22" s="606">
        <v>-1063</v>
      </c>
      <c r="GA22" s="614">
        <f t="shared" si="83"/>
        <v>75594</v>
      </c>
      <c r="GB22" s="604">
        <v>71489</v>
      </c>
      <c r="GC22" s="605">
        <v>10278</v>
      </c>
      <c r="GD22" s="605">
        <v>372</v>
      </c>
      <c r="GE22" s="605">
        <v>-816</v>
      </c>
      <c r="GF22" s="606">
        <v>-184</v>
      </c>
      <c r="GG22" s="606">
        <v>0</v>
      </c>
      <c r="GH22" s="606">
        <v>-559</v>
      </c>
      <c r="GI22" s="606">
        <v>-898</v>
      </c>
      <c r="GJ22" s="606">
        <v>-2138</v>
      </c>
      <c r="GK22" s="606">
        <v>-12766</v>
      </c>
      <c r="GL22" s="606">
        <v>-6681</v>
      </c>
      <c r="GM22" s="606">
        <v>-671</v>
      </c>
      <c r="GN22" s="614">
        <f t="shared" si="46"/>
        <v>57426</v>
      </c>
      <c r="GO22" s="604">
        <v>72423</v>
      </c>
      <c r="GP22" s="605">
        <v>-5416</v>
      </c>
      <c r="GQ22" s="605">
        <v>-4167</v>
      </c>
      <c r="GR22" s="605">
        <v>-4295</v>
      </c>
      <c r="GS22" s="606">
        <v>-5367</v>
      </c>
      <c r="GT22" s="606">
        <v>0</v>
      </c>
      <c r="GU22" s="606">
        <v>-8323</v>
      </c>
      <c r="GV22" s="606">
        <v>0</v>
      </c>
      <c r="GW22" s="606">
        <v>0</v>
      </c>
      <c r="GX22" s="606">
        <v>21</v>
      </c>
      <c r="GY22" s="606">
        <v>-406</v>
      </c>
      <c r="GZ22" s="606">
        <v>237</v>
      </c>
      <c r="HA22" s="614">
        <f t="shared" si="48"/>
        <v>44707</v>
      </c>
      <c r="HB22" s="604">
        <v>60799</v>
      </c>
      <c r="HC22" s="605">
        <v>-1753</v>
      </c>
      <c r="HD22" s="605">
        <v>-4722</v>
      </c>
      <c r="HE22" s="605">
        <v>-2981</v>
      </c>
      <c r="HF22" s="606">
        <v>-8459</v>
      </c>
      <c r="HG22" s="606">
        <v>-1747</v>
      </c>
      <c r="HH22" s="606">
        <v>-2049</v>
      </c>
      <c r="HI22" s="606">
        <v>-1758</v>
      </c>
      <c r="HJ22" s="606">
        <v>-473</v>
      </c>
      <c r="HK22" s="606">
        <v>-3</v>
      </c>
      <c r="HL22" s="606">
        <v>91</v>
      </c>
      <c r="HM22" s="606">
        <v>-28</v>
      </c>
      <c r="HN22" s="614">
        <f t="shared" si="50"/>
        <v>36917</v>
      </c>
      <c r="HO22" s="604">
        <v>95247</v>
      </c>
      <c r="HP22" s="605">
        <v>-705</v>
      </c>
      <c r="HQ22" s="605">
        <v>405</v>
      </c>
      <c r="HR22" s="605">
        <v>-1910</v>
      </c>
      <c r="HS22" s="606">
        <v>-1</v>
      </c>
      <c r="HT22" s="606">
        <v>-212</v>
      </c>
      <c r="HU22" s="606">
        <v>-5</v>
      </c>
      <c r="HV22" s="606">
        <v>0</v>
      </c>
      <c r="HW22" s="606">
        <v>0</v>
      </c>
      <c r="HX22" s="606">
        <v>-6140</v>
      </c>
      <c r="HY22" s="606">
        <v>-55</v>
      </c>
      <c r="HZ22" s="606">
        <v>62</v>
      </c>
      <c r="IA22" s="614">
        <f t="shared" si="52"/>
        <v>86686</v>
      </c>
      <c r="IB22" s="604">
        <v>110711</v>
      </c>
      <c r="IC22" s="605">
        <v>0</v>
      </c>
      <c r="ID22" s="605">
        <v>-558</v>
      </c>
      <c r="IE22" s="605">
        <v>-7379</v>
      </c>
      <c r="IF22" s="606">
        <v>0</v>
      </c>
      <c r="IG22" s="606">
        <v>0</v>
      </c>
      <c r="IH22" s="606">
        <v>0</v>
      </c>
      <c r="II22" s="606">
        <v>-11</v>
      </c>
      <c r="IJ22" s="606">
        <v>0</v>
      </c>
      <c r="IK22" s="606">
        <v>0</v>
      </c>
      <c r="IL22" s="606">
        <v>0</v>
      </c>
      <c r="IM22" s="606">
        <v>12</v>
      </c>
      <c r="IN22" s="614">
        <f t="shared" si="54"/>
        <v>102775</v>
      </c>
      <c r="IO22" s="604">
        <v>107328</v>
      </c>
      <c r="IP22" s="605">
        <v>3</v>
      </c>
      <c r="IQ22" s="605">
        <v>0</v>
      </c>
      <c r="IR22" s="605">
        <v>-147</v>
      </c>
      <c r="IS22" s="606">
        <v>0</v>
      </c>
      <c r="IT22" s="606">
        <v>11</v>
      </c>
      <c r="IU22" s="606">
        <v>-10</v>
      </c>
      <c r="IV22" s="606">
        <v>80</v>
      </c>
      <c r="IW22" s="606">
        <v>2456</v>
      </c>
      <c r="IX22" s="606">
        <v>400</v>
      </c>
      <c r="IY22" s="606">
        <v>0</v>
      </c>
      <c r="IZ22" s="606">
        <v>-41</v>
      </c>
      <c r="JA22" s="607">
        <f t="shared" si="56"/>
        <v>110080</v>
      </c>
      <c r="JB22" s="1324">
        <v>29181</v>
      </c>
      <c r="JC22">
        <v>9</v>
      </c>
      <c r="JD22">
        <v>100</v>
      </c>
      <c r="JE22">
        <v>-150</v>
      </c>
      <c r="JF22">
        <v>30046</v>
      </c>
      <c r="JG22">
        <v>0</v>
      </c>
      <c r="JH22">
        <v>0</v>
      </c>
      <c r="JI22">
        <v>0</v>
      </c>
      <c r="JM22" s="1266"/>
      <c r="JN22" s="1059">
        <f t="shared" si="58"/>
        <v>59186</v>
      </c>
      <c r="JP22" s="464">
        <f t="shared" si="59"/>
        <v>-100</v>
      </c>
      <c r="JQ22" s="464">
        <f t="shared" si="60"/>
        <v>-44.822635528830467</v>
      </c>
      <c r="JR22" s="465">
        <f t="shared" si="61"/>
        <v>107265</v>
      </c>
      <c r="JS22" s="465">
        <f t="shared" si="62"/>
        <v>59186</v>
      </c>
    </row>
    <row r="23" spans="1:279" ht="13.9" customHeight="1" x14ac:dyDescent="0.2">
      <c r="A23" s="457" t="s">
        <v>352</v>
      </c>
      <c r="B23" s="604"/>
      <c r="C23" s="605"/>
      <c r="D23" s="605"/>
      <c r="E23" s="605"/>
      <c r="F23" s="606"/>
      <c r="G23" s="606"/>
      <c r="H23" s="606"/>
      <c r="I23" s="606"/>
      <c r="J23" s="606"/>
      <c r="K23" s="606"/>
      <c r="L23" s="606"/>
      <c r="M23" s="606"/>
      <c r="N23" s="614"/>
      <c r="O23" s="604"/>
      <c r="P23" s="605"/>
      <c r="Q23" s="605"/>
      <c r="R23" s="605"/>
      <c r="S23" s="606"/>
      <c r="T23" s="606"/>
      <c r="U23" s="606"/>
      <c r="V23" s="606"/>
      <c r="W23" s="606"/>
      <c r="X23" s="606"/>
      <c r="Y23" s="606"/>
      <c r="Z23" s="606"/>
      <c r="AA23" s="614"/>
      <c r="AB23" s="604"/>
      <c r="AC23" s="605"/>
      <c r="AD23" s="605"/>
      <c r="AE23" s="605"/>
      <c r="AF23" s="606"/>
      <c r="AG23" s="606"/>
      <c r="AH23" s="606"/>
      <c r="AI23" s="606"/>
      <c r="AJ23" s="606"/>
      <c r="AK23" s="606"/>
      <c r="AL23" s="606"/>
      <c r="AM23" s="606"/>
      <c r="AN23" s="614"/>
      <c r="AO23" s="604"/>
      <c r="AP23" s="605"/>
      <c r="AQ23" s="605"/>
      <c r="AR23" s="605"/>
      <c r="AS23" s="606"/>
      <c r="AT23" s="606"/>
      <c r="AU23" s="606"/>
      <c r="AV23" s="606"/>
      <c r="AW23" s="606"/>
      <c r="AX23" s="606"/>
      <c r="AY23" s="606"/>
      <c r="AZ23" s="606"/>
      <c r="BA23" s="614"/>
      <c r="BB23" s="604"/>
      <c r="BC23" s="605"/>
      <c r="BD23" s="605"/>
      <c r="BE23" s="605"/>
      <c r="BF23" s="606"/>
      <c r="BG23" s="606"/>
      <c r="BH23" s="606"/>
      <c r="BI23" s="606"/>
      <c r="BJ23" s="606"/>
      <c r="BK23" s="606"/>
      <c r="BL23" s="606"/>
      <c r="BM23" s="606"/>
      <c r="BN23" s="614"/>
      <c r="BO23" s="604"/>
      <c r="BP23" s="605"/>
      <c r="BQ23" s="605"/>
      <c r="BR23" s="605"/>
      <c r="BS23" s="606"/>
      <c r="BT23" s="606"/>
      <c r="BU23" s="606"/>
      <c r="BV23" s="606"/>
      <c r="BW23" s="606"/>
      <c r="BX23" s="606"/>
      <c r="BY23" s="606"/>
      <c r="BZ23" s="606"/>
      <c r="CA23" s="614"/>
      <c r="CB23" s="604"/>
      <c r="CC23" s="605"/>
      <c r="CD23" s="605"/>
      <c r="CE23" s="605"/>
      <c r="CF23" s="606"/>
      <c r="CG23" s="606"/>
      <c r="CH23" s="606"/>
      <c r="CI23" s="606"/>
      <c r="CJ23" s="606"/>
      <c r="CK23" s="606"/>
      <c r="CL23" s="606"/>
      <c r="CM23" s="606"/>
      <c r="CN23" s="614"/>
      <c r="CO23" s="604"/>
      <c r="CP23" s="605"/>
      <c r="CQ23" s="605"/>
      <c r="CR23" s="605"/>
      <c r="CS23" s="606"/>
      <c r="CT23" s="606"/>
      <c r="CU23" s="606"/>
      <c r="CV23" s="606"/>
      <c r="CW23" s="606"/>
      <c r="CX23" s="606"/>
      <c r="CY23" s="606"/>
      <c r="CZ23" s="606"/>
      <c r="DA23" s="614"/>
      <c r="DB23" s="604"/>
      <c r="DC23" s="605"/>
      <c r="DD23" s="605"/>
      <c r="DE23" s="605"/>
      <c r="DF23" s="606"/>
      <c r="DG23" s="606"/>
      <c r="DH23" s="606"/>
      <c r="DI23" s="606"/>
      <c r="DJ23" s="606"/>
      <c r="DK23" s="606"/>
      <c r="DL23" s="606"/>
      <c r="DM23" s="606"/>
      <c r="DN23" s="614"/>
      <c r="DO23" s="604"/>
      <c r="DP23" s="605"/>
      <c r="DQ23" s="605"/>
      <c r="DR23" s="605"/>
      <c r="DS23" s="606"/>
      <c r="DT23" s="606"/>
      <c r="DU23" s="606"/>
      <c r="DV23" s="606"/>
      <c r="DW23" s="606"/>
      <c r="DX23" s="606"/>
      <c r="DY23" s="606"/>
      <c r="DZ23" s="606"/>
      <c r="EA23" s="614"/>
      <c r="EB23" s="604"/>
      <c r="EC23" s="605"/>
      <c r="ED23" s="605"/>
      <c r="EE23" s="605"/>
      <c r="EF23" s="606"/>
      <c r="EG23" s="606"/>
      <c r="EH23" s="606"/>
      <c r="EI23" s="606"/>
      <c r="EJ23" s="606"/>
      <c r="EK23" s="606"/>
      <c r="EL23" s="606"/>
      <c r="EM23" s="606"/>
      <c r="EN23" s="614"/>
      <c r="EO23" s="604"/>
      <c r="EP23" s="605"/>
      <c r="EQ23" s="605"/>
      <c r="ER23" s="605"/>
      <c r="ES23" s="606"/>
      <c r="ET23" s="606"/>
      <c r="EU23" s="606"/>
      <c r="EV23" s="606"/>
      <c r="EW23" s="606"/>
      <c r="EX23" s="606"/>
      <c r="EY23" s="606"/>
      <c r="EZ23" s="606"/>
      <c r="FA23" s="614"/>
      <c r="FB23" s="604"/>
      <c r="FC23" s="605"/>
      <c r="FD23" s="605"/>
      <c r="FE23" s="605"/>
      <c r="FF23" s="606"/>
      <c r="FG23" s="606"/>
      <c r="FH23" s="606"/>
      <c r="FI23" s="606"/>
      <c r="FJ23" s="606"/>
      <c r="FK23" s="606"/>
      <c r="FL23" s="606"/>
      <c r="FM23" s="606"/>
      <c r="FN23" s="614"/>
      <c r="FO23" s="604"/>
      <c r="FP23" s="605"/>
      <c r="FQ23" s="605"/>
      <c r="FR23" s="605"/>
      <c r="FS23" s="606"/>
      <c r="FT23" s="606"/>
      <c r="FU23" s="606"/>
      <c r="FV23" s="606"/>
      <c r="FW23" s="606"/>
      <c r="FX23" s="606"/>
      <c r="FY23" s="606"/>
      <c r="FZ23" s="606"/>
      <c r="GA23" s="614"/>
      <c r="GB23" s="604"/>
      <c r="GC23" s="605"/>
      <c r="GD23" s="605"/>
      <c r="GE23" s="605"/>
      <c r="GF23" s="606"/>
      <c r="GG23" s="606"/>
      <c r="GH23" s="606"/>
      <c r="GI23" s="606"/>
      <c r="GJ23" s="606"/>
      <c r="GK23" s="606"/>
      <c r="GL23" s="606"/>
      <c r="GM23" s="606"/>
      <c r="GN23" s="614"/>
      <c r="GO23" s="604"/>
      <c r="GP23" s="605"/>
      <c r="GQ23" s="605"/>
      <c r="GR23" s="605"/>
      <c r="GS23" s="606"/>
      <c r="GT23" s="606"/>
      <c r="GU23" s="606"/>
      <c r="GV23" s="606"/>
      <c r="GW23" s="606"/>
      <c r="GX23" s="606"/>
      <c r="GY23" s="606"/>
      <c r="GZ23" s="606"/>
      <c r="HA23" s="614"/>
      <c r="HB23" s="604"/>
      <c r="HC23" s="605"/>
      <c r="HD23" s="605"/>
      <c r="HE23" s="605"/>
      <c r="HF23" s="606"/>
      <c r="HG23" s="606"/>
      <c r="HH23" s="606"/>
      <c r="HI23" s="606"/>
      <c r="HJ23" s="606"/>
      <c r="HK23" s="606"/>
      <c r="HL23" s="606"/>
      <c r="HM23" s="606"/>
      <c r="HN23" s="614"/>
      <c r="HO23" s="604"/>
      <c r="HP23" s="605"/>
      <c r="HQ23" s="605"/>
      <c r="HR23" s="605"/>
      <c r="HS23" s="606"/>
      <c r="HT23" s="606"/>
      <c r="HU23" s="606"/>
      <c r="HV23" s="606"/>
      <c r="HW23" s="606"/>
      <c r="HX23" s="606"/>
      <c r="HY23" s="606"/>
      <c r="HZ23" s="606"/>
      <c r="IA23" s="614"/>
      <c r="IB23" s="604"/>
      <c r="IC23" s="605"/>
      <c r="ID23" s="605"/>
      <c r="IE23" s="605"/>
      <c r="IF23" s="606"/>
      <c r="IG23" s="606"/>
      <c r="IH23" s="606"/>
      <c r="II23" s="606"/>
      <c r="IJ23" s="606"/>
      <c r="IK23" s="606"/>
      <c r="IL23" s="606"/>
      <c r="IM23" s="606"/>
      <c r="IN23" s="614"/>
      <c r="IO23" s="604"/>
      <c r="IP23" s="605"/>
      <c r="IQ23" s="605"/>
      <c r="IR23" s="605"/>
      <c r="IS23" s="606"/>
      <c r="IT23" s="606"/>
      <c r="IU23" s="606"/>
      <c r="IV23" s="606"/>
      <c r="IW23" s="606"/>
      <c r="IX23" s="606"/>
      <c r="IY23" s="606"/>
      <c r="IZ23" s="606"/>
      <c r="JA23" s="607"/>
      <c r="JB23" s="1324"/>
      <c r="JM23" s="1266"/>
      <c r="JN23" s="1059"/>
      <c r="JP23" s="464" t="str">
        <f t="shared" si="59"/>
        <v/>
      </c>
      <c r="JQ23" s="464"/>
      <c r="JR23" s="465">
        <f t="shared" si="61"/>
        <v>0</v>
      </c>
      <c r="JS23" s="465"/>
    </row>
    <row r="24" spans="1:279" s="594" customFormat="1" ht="13.9" customHeight="1" x14ac:dyDescent="0.2">
      <c r="A24" s="466" t="s">
        <v>400</v>
      </c>
      <c r="B24" s="599">
        <f t="shared" ref="B24:M24" si="103">SUM(B25:B30)</f>
        <v>3516</v>
      </c>
      <c r="C24" s="600">
        <f t="shared" si="103"/>
        <v>1264</v>
      </c>
      <c r="D24" s="600">
        <f t="shared" si="103"/>
        <v>6745</v>
      </c>
      <c r="E24" s="600">
        <f t="shared" si="103"/>
        <v>1858</v>
      </c>
      <c r="F24" s="600">
        <f t="shared" si="103"/>
        <v>1490</v>
      </c>
      <c r="G24" s="600">
        <f t="shared" si="103"/>
        <v>2507</v>
      </c>
      <c r="H24" s="600">
        <f t="shared" si="103"/>
        <v>2547</v>
      </c>
      <c r="I24" s="600">
        <f t="shared" si="103"/>
        <v>2218</v>
      </c>
      <c r="J24" s="600">
        <f t="shared" si="103"/>
        <v>1821</v>
      </c>
      <c r="K24" s="600">
        <f t="shared" si="103"/>
        <v>1826</v>
      </c>
      <c r="L24" s="600">
        <f t="shared" si="103"/>
        <v>2341</v>
      </c>
      <c r="M24" s="600">
        <f t="shared" si="103"/>
        <v>1077</v>
      </c>
      <c r="N24" s="612">
        <f t="shared" si="21"/>
        <v>29210</v>
      </c>
      <c r="O24" s="599">
        <f t="shared" ref="O24:Z24" si="104">SUM(O25:O30)</f>
        <v>12409</v>
      </c>
      <c r="P24" s="600">
        <f t="shared" si="104"/>
        <v>8462</v>
      </c>
      <c r="Q24" s="600">
        <f t="shared" si="104"/>
        <v>55704</v>
      </c>
      <c r="R24" s="600">
        <f t="shared" si="104"/>
        <v>14048</v>
      </c>
      <c r="S24" s="600">
        <f t="shared" si="104"/>
        <v>6603</v>
      </c>
      <c r="T24" s="600">
        <f t="shared" si="104"/>
        <v>6207</v>
      </c>
      <c r="U24" s="600">
        <f t="shared" si="104"/>
        <v>8063</v>
      </c>
      <c r="V24" s="600">
        <f t="shared" si="104"/>
        <v>9617</v>
      </c>
      <c r="W24" s="600">
        <f t="shared" si="104"/>
        <v>7220</v>
      </c>
      <c r="X24" s="600">
        <f t="shared" si="104"/>
        <v>5622</v>
      </c>
      <c r="Y24" s="600">
        <f t="shared" si="104"/>
        <v>7495</v>
      </c>
      <c r="Z24" s="600">
        <f t="shared" si="104"/>
        <v>73767</v>
      </c>
      <c r="AA24" s="612">
        <f t="shared" si="22"/>
        <v>215217</v>
      </c>
      <c r="AB24" s="599">
        <f t="shared" ref="AB24:AM24" si="105">SUM(AB25:AB30)</f>
        <v>4034</v>
      </c>
      <c r="AC24" s="600">
        <f t="shared" si="105"/>
        <v>6506</v>
      </c>
      <c r="AD24" s="600">
        <f t="shared" si="105"/>
        <v>154821</v>
      </c>
      <c r="AE24" s="600">
        <f t="shared" si="105"/>
        <v>6003</v>
      </c>
      <c r="AF24" s="600">
        <f t="shared" si="105"/>
        <v>7772</v>
      </c>
      <c r="AG24" s="600">
        <f t="shared" si="105"/>
        <v>5465</v>
      </c>
      <c r="AH24" s="600">
        <f t="shared" si="105"/>
        <v>7659</v>
      </c>
      <c r="AI24" s="600">
        <f t="shared" si="105"/>
        <v>7242</v>
      </c>
      <c r="AJ24" s="600">
        <f t="shared" si="105"/>
        <v>12176</v>
      </c>
      <c r="AK24" s="600">
        <f t="shared" si="105"/>
        <v>6037</v>
      </c>
      <c r="AL24" s="600">
        <f t="shared" si="105"/>
        <v>6909</v>
      </c>
      <c r="AM24" s="600">
        <f t="shared" si="105"/>
        <v>9182</v>
      </c>
      <c r="AN24" s="612">
        <f t="shared" ref="AN24:AN29" si="106">SUM(AB24:AM24)</f>
        <v>233806</v>
      </c>
      <c r="AO24" s="599">
        <f t="shared" ref="AO24:AZ24" si="107">SUM(AO25:AO30)</f>
        <v>3112</v>
      </c>
      <c r="AP24" s="600">
        <f t="shared" si="107"/>
        <v>7273</v>
      </c>
      <c r="AQ24" s="600">
        <f t="shared" si="107"/>
        <v>84035</v>
      </c>
      <c r="AR24" s="600">
        <f t="shared" si="107"/>
        <v>10603</v>
      </c>
      <c r="AS24" s="600">
        <f t="shared" si="107"/>
        <v>5199</v>
      </c>
      <c r="AT24" s="600">
        <f t="shared" si="107"/>
        <v>5172</v>
      </c>
      <c r="AU24" s="600">
        <f t="shared" si="107"/>
        <v>6146</v>
      </c>
      <c r="AV24" s="600">
        <f t="shared" si="107"/>
        <v>5511</v>
      </c>
      <c r="AW24" s="600">
        <f t="shared" si="107"/>
        <v>7425</v>
      </c>
      <c r="AX24" s="600">
        <f t="shared" si="107"/>
        <v>43251</v>
      </c>
      <c r="AY24" s="600">
        <f t="shared" si="107"/>
        <v>2033</v>
      </c>
      <c r="AZ24" s="600">
        <f t="shared" si="107"/>
        <v>5770</v>
      </c>
      <c r="BA24" s="612">
        <f>SUM(AO24:AZ24)</f>
        <v>185530</v>
      </c>
      <c r="BB24" s="599">
        <f t="shared" ref="BB24:BM24" si="108">SUM(BB25:BB30)</f>
        <v>11706</v>
      </c>
      <c r="BC24" s="600">
        <f t="shared" si="108"/>
        <v>6508</v>
      </c>
      <c r="BD24" s="600">
        <f t="shared" si="108"/>
        <v>36793</v>
      </c>
      <c r="BE24" s="600">
        <f t="shared" si="108"/>
        <v>6490</v>
      </c>
      <c r="BF24" s="600">
        <f t="shared" si="108"/>
        <v>18032</v>
      </c>
      <c r="BG24" s="600">
        <f t="shared" si="108"/>
        <v>29464</v>
      </c>
      <c r="BH24" s="600">
        <f t="shared" si="108"/>
        <v>18900</v>
      </c>
      <c r="BI24" s="600">
        <f t="shared" si="108"/>
        <v>13014</v>
      </c>
      <c r="BJ24" s="600">
        <f t="shared" si="108"/>
        <v>8218</v>
      </c>
      <c r="BK24" s="600">
        <f t="shared" si="108"/>
        <v>10883</v>
      </c>
      <c r="BL24" s="600">
        <f t="shared" si="108"/>
        <v>8000</v>
      </c>
      <c r="BM24" s="600">
        <f t="shared" si="108"/>
        <v>9341</v>
      </c>
      <c r="BN24" s="612">
        <f>SUM(BB24:BM24)</f>
        <v>177349</v>
      </c>
      <c r="BO24" s="599">
        <f t="shared" ref="BO24:BZ24" si="109">SUM(BO25:BO30)</f>
        <v>62806</v>
      </c>
      <c r="BP24" s="600">
        <f t="shared" si="109"/>
        <v>8681</v>
      </c>
      <c r="BQ24" s="600">
        <f t="shared" si="109"/>
        <v>19478</v>
      </c>
      <c r="BR24" s="600">
        <f t="shared" si="109"/>
        <v>16938</v>
      </c>
      <c r="BS24" s="600">
        <f t="shared" si="109"/>
        <v>11220</v>
      </c>
      <c r="BT24" s="600">
        <f t="shared" si="109"/>
        <v>12989</v>
      </c>
      <c r="BU24" s="600">
        <f t="shared" si="109"/>
        <v>21031</v>
      </c>
      <c r="BV24" s="600">
        <f t="shared" si="109"/>
        <v>62930</v>
      </c>
      <c r="BW24" s="600">
        <f t="shared" si="109"/>
        <v>15454</v>
      </c>
      <c r="BX24" s="600">
        <f t="shared" si="109"/>
        <v>7837</v>
      </c>
      <c r="BY24" s="600">
        <f t="shared" si="109"/>
        <v>32552</v>
      </c>
      <c r="BZ24" s="600">
        <f t="shared" si="109"/>
        <v>-58949</v>
      </c>
      <c r="CA24" s="612">
        <f t="shared" ref="CA24:CA29" si="110">SUM(BO24:BZ24)</f>
        <v>212967</v>
      </c>
      <c r="CB24" s="599">
        <f t="shared" ref="CB24:CM24" si="111">SUM(CB25:CB30)</f>
        <v>65174</v>
      </c>
      <c r="CC24" s="600">
        <f t="shared" si="111"/>
        <v>2109</v>
      </c>
      <c r="CD24" s="600">
        <f t="shared" si="111"/>
        <v>6874</v>
      </c>
      <c r="CE24" s="600">
        <f t="shared" si="111"/>
        <v>13290</v>
      </c>
      <c r="CF24" s="600">
        <f t="shared" si="111"/>
        <v>4508</v>
      </c>
      <c r="CG24" s="600">
        <f t="shared" si="111"/>
        <v>16623</v>
      </c>
      <c r="CH24" s="600">
        <f t="shared" si="111"/>
        <v>10530</v>
      </c>
      <c r="CI24" s="600">
        <f t="shared" si="111"/>
        <v>46342</v>
      </c>
      <c r="CJ24" s="600">
        <f t="shared" si="111"/>
        <v>15554</v>
      </c>
      <c r="CK24" s="600">
        <f t="shared" si="111"/>
        <v>15238</v>
      </c>
      <c r="CL24" s="600">
        <f t="shared" si="111"/>
        <v>12398</v>
      </c>
      <c r="CM24" s="600">
        <f t="shared" si="111"/>
        <v>46795</v>
      </c>
      <c r="CN24" s="612">
        <f t="shared" ref="CN24:CN29" si="112">SUM(CB24:CM24)</f>
        <v>255435</v>
      </c>
      <c r="CO24" s="599">
        <f t="shared" ref="CO24:CZ24" si="113">SUM(CO25:CO30)</f>
        <v>104656</v>
      </c>
      <c r="CP24" s="600">
        <f t="shared" si="113"/>
        <v>11893</v>
      </c>
      <c r="CQ24" s="600">
        <f t="shared" si="113"/>
        <v>6760</v>
      </c>
      <c r="CR24" s="600">
        <f t="shared" si="113"/>
        <v>14552</v>
      </c>
      <c r="CS24" s="600">
        <f t="shared" si="113"/>
        <v>8417</v>
      </c>
      <c r="CT24" s="600">
        <f t="shared" si="113"/>
        <v>30338</v>
      </c>
      <c r="CU24" s="600">
        <f t="shared" si="113"/>
        <v>13697</v>
      </c>
      <c r="CV24" s="600">
        <f t="shared" si="113"/>
        <v>8364</v>
      </c>
      <c r="CW24" s="600">
        <f t="shared" si="113"/>
        <v>9064</v>
      </c>
      <c r="CX24" s="600">
        <f t="shared" si="113"/>
        <v>16316</v>
      </c>
      <c r="CY24" s="600">
        <f t="shared" si="113"/>
        <v>6138</v>
      </c>
      <c r="CZ24" s="600">
        <f t="shared" si="113"/>
        <v>11655</v>
      </c>
      <c r="DA24" s="612">
        <f t="shared" ref="DA24:DA29" si="114">SUM(CO24:CZ24)</f>
        <v>241850</v>
      </c>
      <c r="DB24" s="599">
        <f t="shared" ref="DB24:DM24" si="115">SUM(DB25:DB30)</f>
        <v>75663</v>
      </c>
      <c r="DC24" s="600">
        <f t="shared" si="115"/>
        <v>17403</v>
      </c>
      <c r="DD24" s="600">
        <f t="shared" si="115"/>
        <v>12692</v>
      </c>
      <c r="DE24" s="600">
        <f t="shared" si="115"/>
        <v>20967</v>
      </c>
      <c r="DF24" s="600">
        <f t="shared" si="115"/>
        <v>5940</v>
      </c>
      <c r="DG24" s="600">
        <f t="shared" si="115"/>
        <v>8977</v>
      </c>
      <c r="DH24" s="600">
        <f t="shared" si="115"/>
        <v>11007</v>
      </c>
      <c r="DI24" s="600">
        <f t="shared" si="115"/>
        <v>13088</v>
      </c>
      <c r="DJ24" s="600">
        <f t="shared" si="115"/>
        <v>16256</v>
      </c>
      <c r="DK24" s="600">
        <f t="shared" si="115"/>
        <v>9292</v>
      </c>
      <c r="DL24" s="600">
        <f t="shared" si="115"/>
        <v>14635</v>
      </c>
      <c r="DM24" s="600">
        <f t="shared" si="115"/>
        <v>11341</v>
      </c>
      <c r="DN24" s="612">
        <f t="shared" ref="DN24:DN29" si="116">SUM(DB24:DM24)</f>
        <v>217261</v>
      </c>
      <c r="DO24" s="599">
        <f t="shared" ref="DO24:DZ24" si="117">SUM(DO25:DO30)</f>
        <v>68087</v>
      </c>
      <c r="DP24" s="600">
        <f t="shared" si="117"/>
        <v>5481</v>
      </c>
      <c r="DQ24" s="600">
        <f t="shared" si="117"/>
        <v>49035</v>
      </c>
      <c r="DR24" s="600">
        <f t="shared" si="117"/>
        <v>8114</v>
      </c>
      <c r="DS24" s="600">
        <f t="shared" si="117"/>
        <v>8540</v>
      </c>
      <c r="DT24" s="600">
        <f t="shared" si="117"/>
        <v>9456</v>
      </c>
      <c r="DU24" s="600">
        <f t="shared" si="117"/>
        <v>131004</v>
      </c>
      <c r="DV24" s="600">
        <f t="shared" si="117"/>
        <v>13202</v>
      </c>
      <c r="DW24" s="600">
        <f t="shared" si="117"/>
        <v>24508</v>
      </c>
      <c r="DX24" s="600">
        <f t="shared" si="117"/>
        <v>10479</v>
      </c>
      <c r="DY24" s="600">
        <f t="shared" si="117"/>
        <v>8498</v>
      </c>
      <c r="DZ24" s="600">
        <f t="shared" si="117"/>
        <v>17033</v>
      </c>
      <c r="EA24" s="612">
        <f t="shared" ref="EA24:EA29" si="118">SUM(DO24:DZ24)</f>
        <v>353437</v>
      </c>
      <c r="EB24" s="599">
        <f t="shared" ref="EB24:EM24" si="119">SUM(EB25:EB30)</f>
        <v>77402</v>
      </c>
      <c r="EC24" s="600">
        <f t="shared" si="119"/>
        <v>9281</v>
      </c>
      <c r="ED24" s="600">
        <f t="shared" si="119"/>
        <v>13919</v>
      </c>
      <c r="EE24" s="600">
        <f t="shared" si="119"/>
        <v>16242</v>
      </c>
      <c r="EF24" s="600">
        <f t="shared" si="119"/>
        <v>49823</v>
      </c>
      <c r="EG24" s="600">
        <f t="shared" si="119"/>
        <v>7019</v>
      </c>
      <c r="EH24" s="600">
        <f t="shared" si="119"/>
        <v>41463</v>
      </c>
      <c r="EI24" s="600">
        <f t="shared" si="119"/>
        <v>23868</v>
      </c>
      <c r="EJ24" s="600">
        <f t="shared" si="119"/>
        <v>10233</v>
      </c>
      <c r="EK24" s="600">
        <f t="shared" si="119"/>
        <v>17026</v>
      </c>
      <c r="EL24" s="600">
        <f t="shared" si="119"/>
        <v>15868</v>
      </c>
      <c r="EM24" s="600">
        <f t="shared" si="119"/>
        <v>16308</v>
      </c>
      <c r="EN24" s="612">
        <f>SUM(EB24:EM24)</f>
        <v>298452</v>
      </c>
      <c r="EO24" s="599">
        <f t="shared" ref="EO24:EZ24" si="120">SUM(EO25:EO30)</f>
        <v>50867</v>
      </c>
      <c r="EP24" s="600">
        <f t="shared" si="120"/>
        <v>16183</v>
      </c>
      <c r="EQ24" s="600">
        <f t="shared" si="120"/>
        <v>31237</v>
      </c>
      <c r="ER24" s="600">
        <f t="shared" si="120"/>
        <v>7487</v>
      </c>
      <c r="ES24" s="600">
        <f t="shared" si="120"/>
        <v>9987</v>
      </c>
      <c r="ET24" s="600">
        <f t="shared" si="120"/>
        <v>12300</v>
      </c>
      <c r="EU24" s="600">
        <f t="shared" si="120"/>
        <v>8494</v>
      </c>
      <c r="EV24" s="600">
        <f t="shared" si="120"/>
        <v>19215</v>
      </c>
      <c r="EW24" s="600">
        <f t="shared" si="120"/>
        <v>6100</v>
      </c>
      <c r="EX24" s="600">
        <f t="shared" si="120"/>
        <v>6435</v>
      </c>
      <c r="EY24" s="600">
        <f t="shared" si="120"/>
        <v>7218</v>
      </c>
      <c r="EZ24" s="600">
        <f t="shared" si="120"/>
        <v>11675</v>
      </c>
      <c r="FA24" s="612">
        <f>SUM(EO24:EZ24)</f>
        <v>187198</v>
      </c>
      <c r="FB24" s="599">
        <f t="shared" ref="FB24:FM24" si="121">SUM(FB25:FB30)</f>
        <v>47637</v>
      </c>
      <c r="FC24" s="600">
        <f t="shared" si="121"/>
        <v>11040</v>
      </c>
      <c r="FD24" s="600">
        <f t="shared" si="121"/>
        <v>34959</v>
      </c>
      <c r="FE24" s="600">
        <f t="shared" si="121"/>
        <v>35761</v>
      </c>
      <c r="FF24" s="600">
        <f t="shared" si="121"/>
        <v>3484</v>
      </c>
      <c r="FG24" s="600">
        <f t="shared" si="121"/>
        <v>12565</v>
      </c>
      <c r="FH24" s="600">
        <f t="shared" si="121"/>
        <v>16025</v>
      </c>
      <c r="FI24" s="600">
        <f t="shared" si="121"/>
        <v>8675</v>
      </c>
      <c r="FJ24" s="600">
        <f t="shared" si="121"/>
        <v>15820</v>
      </c>
      <c r="FK24" s="600">
        <f t="shared" si="121"/>
        <v>14697</v>
      </c>
      <c r="FL24" s="600">
        <f t="shared" si="121"/>
        <v>18110</v>
      </c>
      <c r="FM24" s="600">
        <f t="shared" si="121"/>
        <v>35285</v>
      </c>
      <c r="FN24" s="612">
        <f>SUM(FB24:FM24)</f>
        <v>254058</v>
      </c>
      <c r="FO24" s="599">
        <f t="shared" ref="FO24:FZ24" si="122">SUM(FO25:FO30)</f>
        <v>110274</v>
      </c>
      <c r="FP24" s="600">
        <f t="shared" si="122"/>
        <v>5546</v>
      </c>
      <c r="FQ24" s="600">
        <f t="shared" si="122"/>
        <v>52384</v>
      </c>
      <c r="FR24" s="600">
        <f t="shared" si="122"/>
        <v>9131</v>
      </c>
      <c r="FS24" s="600">
        <f t="shared" si="122"/>
        <v>8102</v>
      </c>
      <c r="FT24" s="600">
        <f t="shared" si="122"/>
        <v>26749</v>
      </c>
      <c r="FU24" s="600">
        <f t="shared" si="122"/>
        <v>9406</v>
      </c>
      <c r="FV24" s="600">
        <f t="shared" si="122"/>
        <v>7423</v>
      </c>
      <c r="FW24" s="600">
        <f t="shared" si="122"/>
        <v>10176</v>
      </c>
      <c r="FX24" s="600">
        <f t="shared" si="122"/>
        <v>6488</v>
      </c>
      <c r="FY24" s="600">
        <f t="shared" si="122"/>
        <v>6985</v>
      </c>
      <c r="FZ24" s="600">
        <f t="shared" si="122"/>
        <v>16798</v>
      </c>
      <c r="GA24" s="612">
        <f>SUM(FO24:FZ24)</f>
        <v>269462</v>
      </c>
      <c r="GB24" s="599">
        <f t="shared" ref="GB24:GM24" si="123">SUM(GB25:GB30)</f>
        <v>91294</v>
      </c>
      <c r="GC24" s="600">
        <f t="shared" si="123"/>
        <v>38582</v>
      </c>
      <c r="GD24" s="600">
        <f t="shared" si="123"/>
        <v>6290</v>
      </c>
      <c r="GE24" s="600">
        <f t="shared" si="123"/>
        <v>4179</v>
      </c>
      <c r="GF24" s="600">
        <f t="shared" si="123"/>
        <v>5668</v>
      </c>
      <c r="GG24" s="600">
        <f t="shared" si="123"/>
        <v>6188</v>
      </c>
      <c r="GH24" s="600">
        <f t="shared" si="123"/>
        <v>21971</v>
      </c>
      <c r="GI24" s="600">
        <f t="shared" si="123"/>
        <v>8854</v>
      </c>
      <c r="GJ24" s="600">
        <f t="shared" si="123"/>
        <v>17103</v>
      </c>
      <c r="GK24" s="600">
        <f t="shared" si="123"/>
        <v>11753</v>
      </c>
      <c r="GL24" s="600">
        <f t="shared" si="123"/>
        <v>7290</v>
      </c>
      <c r="GM24" s="600">
        <f t="shared" si="123"/>
        <v>47424</v>
      </c>
      <c r="GN24" s="612">
        <f t="shared" si="46"/>
        <v>266596</v>
      </c>
      <c r="GO24" s="599">
        <f t="shared" ref="GO24:GZ24" si="124">SUM(GO25:GO30)</f>
        <v>98618</v>
      </c>
      <c r="GP24" s="600">
        <f t="shared" si="124"/>
        <v>100510</v>
      </c>
      <c r="GQ24" s="600">
        <f t="shared" si="124"/>
        <v>10947</v>
      </c>
      <c r="GR24" s="600">
        <f t="shared" si="124"/>
        <v>14280</v>
      </c>
      <c r="GS24" s="600">
        <f t="shared" si="124"/>
        <v>9152</v>
      </c>
      <c r="GT24" s="600">
        <f t="shared" si="124"/>
        <v>20488</v>
      </c>
      <c r="GU24" s="600">
        <f t="shared" si="124"/>
        <v>60998</v>
      </c>
      <c r="GV24" s="600">
        <f t="shared" si="124"/>
        <v>17110</v>
      </c>
      <c r="GW24" s="600">
        <f t="shared" si="124"/>
        <v>29461</v>
      </c>
      <c r="GX24" s="600">
        <f t="shared" si="124"/>
        <v>17785</v>
      </c>
      <c r="GY24" s="600">
        <f t="shared" si="124"/>
        <v>55997</v>
      </c>
      <c r="GZ24" s="600">
        <f t="shared" si="124"/>
        <v>49604</v>
      </c>
      <c r="HA24" s="612">
        <f t="shared" si="48"/>
        <v>484950</v>
      </c>
      <c r="HB24" s="599">
        <f t="shared" ref="HB24:HM24" si="125">SUM(HB25:HB30)</f>
        <v>115747</v>
      </c>
      <c r="HC24" s="600">
        <f t="shared" si="125"/>
        <v>13945</v>
      </c>
      <c r="HD24" s="600">
        <f t="shared" si="125"/>
        <v>82744</v>
      </c>
      <c r="HE24" s="600">
        <f t="shared" si="125"/>
        <v>24558</v>
      </c>
      <c r="HF24" s="600">
        <f t="shared" si="125"/>
        <v>27855</v>
      </c>
      <c r="HG24" s="600">
        <f t="shared" si="125"/>
        <v>35859</v>
      </c>
      <c r="HH24" s="600">
        <f t="shared" si="125"/>
        <v>43604</v>
      </c>
      <c r="HI24" s="600">
        <f t="shared" si="125"/>
        <v>57399</v>
      </c>
      <c r="HJ24" s="600">
        <f t="shared" si="125"/>
        <v>45382</v>
      </c>
      <c r="HK24" s="600">
        <f t="shared" si="125"/>
        <v>32458</v>
      </c>
      <c r="HL24" s="600">
        <f t="shared" si="125"/>
        <v>40618</v>
      </c>
      <c r="HM24" s="600">
        <f t="shared" si="125"/>
        <v>31724</v>
      </c>
      <c r="HN24" s="612">
        <f t="shared" si="50"/>
        <v>551893</v>
      </c>
      <c r="HO24" s="599">
        <f t="shared" ref="HO24:HZ24" si="126">SUM(HO25:HO30)</f>
        <v>147797</v>
      </c>
      <c r="HP24" s="600">
        <f t="shared" si="126"/>
        <v>54041</v>
      </c>
      <c r="HQ24" s="600">
        <f t="shared" si="126"/>
        <v>33814</v>
      </c>
      <c r="HR24" s="600">
        <f t="shared" si="126"/>
        <v>29457</v>
      </c>
      <c r="HS24" s="600">
        <f t="shared" si="126"/>
        <v>34918</v>
      </c>
      <c r="HT24" s="600">
        <f t="shared" si="126"/>
        <v>31658</v>
      </c>
      <c r="HU24" s="600">
        <f t="shared" si="126"/>
        <v>42653</v>
      </c>
      <c r="HV24" s="600">
        <f t="shared" si="126"/>
        <v>27736</v>
      </c>
      <c r="HW24" s="600">
        <f t="shared" si="126"/>
        <v>29652</v>
      </c>
      <c r="HX24" s="600">
        <f t="shared" si="126"/>
        <v>29254</v>
      </c>
      <c r="HY24" s="600">
        <f t="shared" si="126"/>
        <v>41085</v>
      </c>
      <c r="HZ24" s="600">
        <f t="shared" si="126"/>
        <v>31974</v>
      </c>
      <c r="IA24" s="612">
        <f t="shared" si="52"/>
        <v>534039</v>
      </c>
      <c r="IB24" s="599">
        <f t="shared" ref="IB24:IM24" si="127">SUM(IB25:IB30)</f>
        <v>137016</v>
      </c>
      <c r="IC24" s="600">
        <f t="shared" si="127"/>
        <v>110840</v>
      </c>
      <c r="ID24" s="600">
        <f t="shared" si="127"/>
        <v>38942</v>
      </c>
      <c r="IE24" s="600">
        <f t="shared" si="127"/>
        <v>26829</v>
      </c>
      <c r="IF24" s="600">
        <f t="shared" si="127"/>
        <v>36546</v>
      </c>
      <c r="IG24" s="600">
        <f t="shared" si="127"/>
        <v>43213</v>
      </c>
      <c r="IH24" s="600">
        <f t="shared" si="127"/>
        <v>44683</v>
      </c>
      <c r="II24" s="600">
        <f t="shared" si="127"/>
        <v>41673</v>
      </c>
      <c r="IJ24" s="600">
        <f t="shared" si="127"/>
        <v>40777</v>
      </c>
      <c r="IK24" s="600">
        <f t="shared" si="127"/>
        <v>44527</v>
      </c>
      <c r="IL24" s="600">
        <f t="shared" si="127"/>
        <v>37883</v>
      </c>
      <c r="IM24" s="600">
        <f t="shared" si="127"/>
        <v>71004</v>
      </c>
      <c r="IN24" s="612">
        <f t="shared" si="54"/>
        <v>673933</v>
      </c>
      <c r="IO24" s="599">
        <f>SUM(IO25:IO30)</f>
        <v>155495</v>
      </c>
      <c r="IP24" s="600">
        <f>SUM(IP25:IP30)</f>
        <v>105529</v>
      </c>
      <c r="IQ24" s="600">
        <f>SUM(IQ25:IQ30)</f>
        <v>42971</v>
      </c>
      <c r="IR24" s="600">
        <f>SUM(IR25:IR30)</f>
        <v>37924</v>
      </c>
      <c r="IS24" s="600">
        <f>SUM(IS25:IS30)</f>
        <v>43610</v>
      </c>
      <c r="IT24" s="600">
        <f t="shared" ref="IT24:IX24" si="128">SUM(IT25:IT30)</f>
        <v>49171</v>
      </c>
      <c r="IU24" s="600">
        <f t="shared" si="128"/>
        <v>57764</v>
      </c>
      <c r="IV24" s="600">
        <f t="shared" si="128"/>
        <v>41888</v>
      </c>
      <c r="IW24" s="600">
        <f t="shared" si="128"/>
        <v>45201</v>
      </c>
      <c r="IX24" s="600">
        <f t="shared" si="128"/>
        <v>45524</v>
      </c>
      <c r="IY24" s="600">
        <f>SUM(IY25:IY30)</f>
        <v>47410</v>
      </c>
      <c r="IZ24" s="600">
        <f>SUM(IZ25:IZ30)</f>
        <v>40869</v>
      </c>
      <c r="JA24" s="599">
        <f t="shared" si="56"/>
        <v>713356</v>
      </c>
      <c r="JB24" s="1326">
        <f>SUM(JB25:JB30)</f>
        <v>140658</v>
      </c>
      <c r="JC24" s="130">
        <f>SUM(JC25:JC30)</f>
        <v>49906</v>
      </c>
      <c r="JD24" s="130">
        <f>SUM(JD25:JD30)</f>
        <v>38798</v>
      </c>
      <c r="JE24" s="130">
        <f>SUM(JE25:JE30)</f>
        <v>36414</v>
      </c>
      <c r="JF24" s="130">
        <f>SUM(JF25:JF30)</f>
        <v>89285</v>
      </c>
      <c r="JG24" s="130">
        <v>43444</v>
      </c>
      <c r="JH24" s="130">
        <f>SUM(JH25:JH30)</f>
        <v>55572</v>
      </c>
      <c r="JI24" s="130">
        <v>92393</v>
      </c>
      <c r="JJ24" s="130"/>
      <c r="JK24" s="130"/>
      <c r="JL24" s="130"/>
      <c r="JM24" s="1341"/>
      <c r="JN24" s="1342">
        <f t="shared" si="58"/>
        <v>546470</v>
      </c>
      <c r="JO24"/>
      <c r="JP24" s="452">
        <f t="shared" si="59"/>
        <v>120.57152406417111</v>
      </c>
      <c r="JQ24" s="452">
        <f t="shared" si="60"/>
        <v>2.2677935143875283</v>
      </c>
      <c r="JR24" s="453">
        <f t="shared" si="61"/>
        <v>534352</v>
      </c>
      <c r="JS24" s="453">
        <f t="shared" si="62"/>
        <v>546470</v>
      </c>
    </row>
    <row r="25" spans="1:279" ht="13.9" customHeight="1" x14ac:dyDescent="0.2">
      <c r="A25" s="459" t="s">
        <v>401</v>
      </c>
      <c r="B25" s="604">
        <v>10</v>
      </c>
      <c r="C25" s="605">
        <v>11</v>
      </c>
      <c r="D25" s="605">
        <v>87</v>
      </c>
      <c r="E25" s="605">
        <v>49</v>
      </c>
      <c r="F25" s="606">
        <v>11</v>
      </c>
      <c r="G25" s="606">
        <v>2</v>
      </c>
      <c r="H25" s="606">
        <v>2</v>
      </c>
      <c r="I25" s="606">
        <v>2</v>
      </c>
      <c r="J25" s="606">
        <v>44</v>
      </c>
      <c r="K25" s="606">
        <v>0</v>
      </c>
      <c r="L25" s="606">
        <v>2</v>
      </c>
      <c r="M25" s="606">
        <v>0</v>
      </c>
      <c r="N25" s="614">
        <f t="shared" si="21"/>
        <v>220</v>
      </c>
      <c r="O25" s="604">
        <v>3942</v>
      </c>
      <c r="P25" s="605">
        <v>3941</v>
      </c>
      <c r="Q25" s="605">
        <v>50020</v>
      </c>
      <c r="R25" s="605">
        <v>3942</v>
      </c>
      <c r="S25" s="606">
        <v>3942</v>
      </c>
      <c r="T25" s="606">
        <v>4023</v>
      </c>
      <c r="U25" s="606">
        <v>3940</v>
      </c>
      <c r="V25" s="606">
        <v>3940</v>
      </c>
      <c r="W25" s="606">
        <v>3940</v>
      </c>
      <c r="X25" s="606">
        <v>3975</v>
      </c>
      <c r="Y25" s="606">
        <v>3940</v>
      </c>
      <c r="Z25" s="606">
        <v>71939</v>
      </c>
      <c r="AA25" s="614">
        <f t="shared" si="22"/>
        <v>161484</v>
      </c>
      <c r="AB25" s="604">
        <v>2947</v>
      </c>
      <c r="AC25" s="605">
        <v>2947</v>
      </c>
      <c r="AD25" s="605">
        <v>139964</v>
      </c>
      <c r="AE25" s="605">
        <v>2947</v>
      </c>
      <c r="AF25" s="606">
        <v>2947</v>
      </c>
      <c r="AG25" s="606">
        <v>2947</v>
      </c>
      <c r="AH25" s="606">
        <v>2947</v>
      </c>
      <c r="AI25" s="606">
        <v>2948</v>
      </c>
      <c r="AJ25" s="606">
        <v>6013</v>
      </c>
      <c r="AK25" s="606">
        <v>2947</v>
      </c>
      <c r="AL25" s="606">
        <v>2947</v>
      </c>
      <c r="AM25" s="606">
        <v>2947</v>
      </c>
      <c r="AN25" s="614">
        <f t="shared" si="106"/>
        <v>175448</v>
      </c>
      <c r="AO25" s="604">
        <v>1</v>
      </c>
      <c r="AP25" s="605">
        <v>3913</v>
      </c>
      <c r="AQ25" s="605">
        <v>68012</v>
      </c>
      <c r="AR25" s="605">
        <v>7912</v>
      </c>
      <c r="AS25" s="606">
        <v>3089</v>
      </c>
      <c r="AT25" s="606">
        <v>3088</v>
      </c>
      <c r="AU25" s="606">
        <v>3216</v>
      </c>
      <c r="AV25" s="606">
        <v>3088</v>
      </c>
      <c r="AW25" s="606">
        <v>4882</v>
      </c>
      <c r="AX25" s="606">
        <v>40494</v>
      </c>
      <c r="AY25" s="606">
        <v>-344</v>
      </c>
      <c r="AZ25" s="606">
        <v>3087</v>
      </c>
      <c r="BA25" s="614">
        <f>SUM(AO25:AZ25)</f>
        <v>140438</v>
      </c>
      <c r="BB25" s="604">
        <v>6327</v>
      </c>
      <c r="BC25" s="605">
        <v>3149</v>
      </c>
      <c r="BD25" s="605">
        <v>28804</v>
      </c>
      <c r="BE25" s="605">
        <v>3149</v>
      </c>
      <c r="BF25" s="606">
        <v>15149</v>
      </c>
      <c r="BG25" s="606">
        <v>26677</v>
      </c>
      <c r="BH25" s="606">
        <v>16879</v>
      </c>
      <c r="BI25" s="606">
        <v>10902</v>
      </c>
      <c r="BJ25" s="606">
        <v>4447</v>
      </c>
      <c r="BK25" s="606">
        <v>9146</v>
      </c>
      <c r="BL25" s="606">
        <v>4958</v>
      </c>
      <c r="BM25" s="606">
        <v>4573</v>
      </c>
      <c r="BN25" s="614">
        <f>SUM(BB25:BM25)</f>
        <v>134160</v>
      </c>
      <c r="BO25" s="604">
        <v>59959</v>
      </c>
      <c r="BP25" s="605">
        <v>6867</v>
      </c>
      <c r="BQ25" s="605">
        <v>16200</v>
      </c>
      <c r="BR25" s="605">
        <v>15759</v>
      </c>
      <c r="BS25" s="606">
        <v>8536</v>
      </c>
      <c r="BT25" s="606">
        <v>10692</v>
      </c>
      <c r="BU25" s="606">
        <v>18532</v>
      </c>
      <c r="BV25" s="606">
        <v>26367</v>
      </c>
      <c r="BW25" s="606">
        <v>11545</v>
      </c>
      <c r="BX25" s="606">
        <v>2611</v>
      </c>
      <c r="BY25" s="606">
        <v>4486</v>
      </c>
      <c r="BZ25" s="606">
        <v>-47652</v>
      </c>
      <c r="CA25" s="614">
        <f t="shared" si="110"/>
        <v>133902</v>
      </c>
      <c r="CB25" s="604">
        <v>53095</v>
      </c>
      <c r="CC25" s="605">
        <v>11</v>
      </c>
      <c r="CD25" s="605">
        <v>164</v>
      </c>
      <c r="CE25" s="605">
        <v>64</v>
      </c>
      <c r="CF25" s="606">
        <v>5071</v>
      </c>
      <c r="CG25" s="606">
        <v>0</v>
      </c>
      <c r="CH25" s="606">
        <v>5614</v>
      </c>
      <c r="CI25" s="606">
        <v>35034</v>
      </c>
      <c r="CJ25" s="606">
        <v>5647</v>
      </c>
      <c r="CK25" s="606">
        <v>-363</v>
      </c>
      <c r="CL25" s="606">
        <v>4831</v>
      </c>
      <c r="CM25" s="606">
        <v>25857</v>
      </c>
      <c r="CN25" s="614">
        <f t="shared" si="112"/>
        <v>135025</v>
      </c>
      <c r="CO25" s="604">
        <v>85098</v>
      </c>
      <c r="CP25" s="605">
        <v>3823</v>
      </c>
      <c r="CQ25" s="605">
        <v>3872</v>
      </c>
      <c r="CR25" s="605">
        <v>3899</v>
      </c>
      <c r="CS25" s="606">
        <v>3</v>
      </c>
      <c r="CT25" s="606">
        <v>7728</v>
      </c>
      <c r="CU25" s="606">
        <v>3977</v>
      </c>
      <c r="CV25" s="606">
        <v>3864</v>
      </c>
      <c r="CW25" s="606">
        <v>3864</v>
      </c>
      <c r="CX25" s="606">
        <v>4028</v>
      </c>
      <c r="CY25" s="606">
        <v>3707</v>
      </c>
      <c r="CZ25" s="606">
        <v>3863</v>
      </c>
      <c r="DA25" s="614">
        <f t="shared" si="114"/>
        <v>127726</v>
      </c>
      <c r="DB25" s="604">
        <v>51199</v>
      </c>
      <c r="DC25" s="605">
        <v>3969</v>
      </c>
      <c r="DD25" s="605">
        <v>3952</v>
      </c>
      <c r="DE25" s="605">
        <v>3931</v>
      </c>
      <c r="DF25" s="606">
        <v>3941</v>
      </c>
      <c r="DG25" s="606">
        <v>4175</v>
      </c>
      <c r="DH25" s="606">
        <v>3985</v>
      </c>
      <c r="DI25" s="606">
        <v>11052</v>
      </c>
      <c r="DJ25" s="606">
        <v>3941</v>
      </c>
      <c r="DK25" s="606">
        <v>3959</v>
      </c>
      <c r="DL25" s="606">
        <v>12533</v>
      </c>
      <c r="DM25" s="606">
        <v>4068</v>
      </c>
      <c r="DN25" s="614">
        <f t="shared" si="116"/>
        <v>110705</v>
      </c>
      <c r="DO25" s="604">
        <v>49591</v>
      </c>
      <c r="DP25" s="605">
        <v>4020</v>
      </c>
      <c r="DQ25" s="605">
        <v>3923</v>
      </c>
      <c r="DR25" s="605">
        <v>4724</v>
      </c>
      <c r="DS25" s="606">
        <v>4329</v>
      </c>
      <c r="DT25" s="606">
        <v>5797</v>
      </c>
      <c r="DU25" s="606">
        <v>4821</v>
      </c>
      <c r="DV25" s="606">
        <v>5452</v>
      </c>
      <c r="DW25" s="606">
        <v>18560</v>
      </c>
      <c r="DX25" s="606">
        <v>4370</v>
      </c>
      <c r="DY25" s="606">
        <v>4750</v>
      </c>
      <c r="DZ25" s="606">
        <v>5019</v>
      </c>
      <c r="EA25" s="614">
        <f t="shared" si="118"/>
        <v>115356</v>
      </c>
      <c r="EB25" s="604">
        <v>45877</v>
      </c>
      <c r="EC25" s="605">
        <v>4686</v>
      </c>
      <c r="ED25" s="605">
        <v>5317</v>
      </c>
      <c r="EE25" s="605">
        <v>7111</v>
      </c>
      <c r="EF25" s="606">
        <v>2763</v>
      </c>
      <c r="EG25" s="606">
        <v>3964</v>
      </c>
      <c r="EH25" s="606">
        <v>5321</v>
      </c>
      <c r="EI25" s="606">
        <v>5099</v>
      </c>
      <c r="EJ25" s="606">
        <v>4219</v>
      </c>
      <c r="EK25" s="606">
        <v>3930</v>
      </c>
      <c r="EL25" s="606">
        <v>4637</v>
      </c>
      <c r="EM25" s="606">
        <v>7813</v>
      </c>
      <c r="EN25" s="614">
        <f>SUM(EB25:EM25)</f>
        <v>100737</v>
      </c>
      <c r="EO25" s="604">
        <v>27233</v>
      </c>
      <c r="EP25" s="605">
        <v>8462</v>
      </c>
      <c r="EQ25" s="605">
        <v>8873</v>
      </c>
      <c r="ER25" s="605">
        <v>4276</v>
      </c>
      <c r="ES25" s="606">
        <v>20</v>
      </c>
      <c r="ET25" s="606">
        <v>8491</v>
      </c>
      <c r="EU25" s="606">
        <v>4652</v>
      </c>
      <c r="EV25" s="606">
        <v>6357</v>
      </c>
      <c r="EW25" s="606">
        <v>4014</v>
      </c>
      <c r="EX25" s="606">
        <v>4521</v>
      </c>
      <c r="EY25" s="606">
        <v>4589</v>
      </c>
      <c r="EZ25" s="606">
        <v>8064</v>
      </c>
      <c r="FA25" s="614">
        <f>SUM(EO25:EZ25)</f>
        <v>89552</v>
      </c>
      <c r="FB25" s="604">
        <v>16885</v>
      </c>
      <c r="FC25" s="605">
        <v>212</v>
      </c>
      <c r="FD25" s="605">
        <v>9156</v>
      </c>
      <c r="FE25" s="605">
        <v>4389</v>
      </c>
      <c r="FF25" s="606">
        <v>19</v>
      </c>
      <c r="FG25" s="606">
        <v>8720</v>
      </c>
      <c r="FH25" s="606">
        <v>5975</v>
      </c>
      <c r="FI25" s="606">
        <v>4394</v>
      </c>
      <c r="FJ25" s="606">
        <v>4361</v>
      </c>
      <c r="FK25" s="606">
        <v>4382</v>
      </c>
      <c r="FL25" s="606">
        <v>8089</v>
      </c>
      <c r="FM25" s="606">
        <v>4587</v>
      </c>
      <c r="FN25" s="614">
        <f>SUM(FB25:FM25)</f>
        <v>71169</v>
      </c>
      <c r="FO25" s="604">
        <v>23233</v>
      </c>
      <c r="FP25" s="605">
        <v>3837</v>
      </c>
      <c r="FQ25" s="605">
        <v>6102</v>
      </c>
      <c r="FR25" s="605">
        <v>4720</v>
      </c>
      <c r="FS25" s="606">
        <v>4485</v>
      </c>
      <c r="FT25" s="606">
        <v>4470</v>
      </c>
      <c r="FU25" s="606">
        <v>4609</v>
      </c>
      <c r="FV25" s="606">
        <v>4212</v>
      </c>
      <c r="FW25" s="606">
        <v>7903</v>
      </c>
      <c r="FX25" s="606">
        <v>4479</v>
      </c>
      <c r="FY25" s="606">
        <v>0</v>
      </c>
      <c r="FZ25" s="606">
        <v>10031</v>
      </c>
      <c r="GA25" s="614">
        <f>SUM(FO25:FZ25)</f>
        <v>78081</v>
      </c>
      <c r="GB25" s="604">
        <v>49321</v>
      </c>
      <c r="GC25" s="605">
        <v>4466</v>
      </c>
      <c r="GD25" s="605">
        <v>4581</v>
      </c>
      <c r="GE25" s="605">
        <v>3773</v>
      </c>
      <c r="GF25" s="606">
        <v>5212</v>
      </c>
      <c r="GG25" s="606">
        <v>4763</v>
      </c>
      <c r="GH25" s="606">
        <v>17583</v>
      </c>
      <c r="GI25" s="606">
        <v>4592</v>
      </c>
      <c r="GJ25" s="606">
        <v>5346</v>
      </c>
      <c r="GK25" s="606">
        <v>4592</v>
      </c>
      <c r="GL25" s="606">
        <v>4592</v>
      </c>
      <c r="GM25" s="606">
        <v>6668</v>
      </c>
      <c r="GN25" s="614">
        <f t="shared" si="46"/>
        <v>115489</v>
      </c>
      <c r="GO25" s="604">
        <v>66689</v>
      </c>
      <c r="GP25" s="605">
        <v>62227</v>
      </c>
      <c r="GQ25" s="605">
        <v>5318</v>
      </c>
      <c r="GR25" s="605">
        <v>4695</v>
      </c>
      <c r="GS25" s="606">
        <v>4688</v>
      </c>
      <c r="GT25" s="606">
        <v>6498</v>
      </c>
      <c r="GU25" s="606">
        <v>17995</v>
      </c>
      <c r="GV25" s="606">
        <v>4690</v>
      </c>
      <c r="GW25" s="606">
        <v>4040</v>
      </c>
      <c r="GX25" s="606">
        <v>5345</v>
      </c>
      <c r="GY25" s="606">
        <v>5046</v>
      </c>
      <c r="GZ25" s="606">
        <v>4617</v>
      </c>
      <c r="HA25" s="614">
        <f t="shared" si="48"/>
        <v>191848</v>
      </c>
      <c r="HB25" s="604">
        <v>51252</v>
      </c>
      <c r="HC25" s="605">
        <v>8013</v>
      </c>
      <c r="HD25" s="605">
        <v>42380</v>
      </c>
      <c r="HE25" s="605">
        <v>22636</v>
      </c>
      <c r="HF25" s="606">
        <v>25805</v>
      </c>
      <c r="HG25" s="606">
        <v>29621</v>
      </c>
      <c r="HH25" s="606">
        <v>42471</v>
      </c>
      <c r="HI25" s="606">
        <v>28271</v>
      </c>
      <c r="HJ25" s="606">
        <v>30576</v>
      </c>
      <c r="HK25" s="606">
        <v>30153</v>
      </c>
      <c r="HL25" s="606">
        <v>29546</v>
      </c>
      <c r="HM25" s="606">
        <v>28290</v>
      </c>
      <c r="HN25" s="614">
        <f t="shared" si="50"/>
        <v>369014</v>
      </c>
      <c r="HO25" s="604">
        <v>90884</v>
      </c>
      <c r="HP25" s="605">
        <v>29470</v>
      </c>
      <c r="HQ25" s="605">
        <v>30828</v>
      </c>
      <c r="HR25" s="605">
        <v>26379</v>
      </c>
      <c r="HS25" s="606">
        <v>28159</v>
      </c>
      <c r="HT25" s="606">
        <v>29066</v>
      </c>
      <c r="HU25" s="606">
        <v>41442</v>
      </c>
      <c r="HV25" s="606">
        <v>25252</v>
      </c>
      <c r="HW25" s="606">
        <v>27924</v>
      </c>
      <c r="HX25" s="606">
        <v>33466</v>
      </c>
      <c r="HY25" s="606">
        <v>38058</v>
      </c>
      <c r="HZ25" s="606">
        <v>30373</v>
      </c>
      <c r="IA25" s="614">
        <f t="shared" si="52"/>
        <v>431301</v>
      </c>
      <c r="IB25" s="604">
        <v>112267</v>
      </c>
      <c r="IC25" s="605">
        <v>65916</v>
      </c>
      <c r="ID25" s="605">
        <v>33891</v>
      </c>
      <c r="IE25" s="605">
        <v>31560</v>
      </c>
      <c r="IF25" s="606">
        <v>30678</v>
      </c>
      <c r="IG25" s="606">
        <v>39574</v>
      </c>
      <c r="IH25" s="606">
        <v>41166</v>
      </c>
      <c r="II25" s="606">
        <v>40438</v>
      </c>
      <c r="IJ25" s="606">
        <v>38892</v>
      </c>
      <c r="IK25" s="606">
        <v>41678</v>
      </c>
      <c r="IL25" s="606">
        <v>36210</v>
      </c>
      <c r="IM25" s="606">
        <v>68541</v>
      </c>
      <c r="IN25" s="614">
        <f t="shared" si="54"/>
        <v>580811</v>
      </c>
      <c r="IO25" s="604">
        <v>140549</v>
      </c>
      <c r="IP25" s="605">
        <v>66448</v>
      </c>
      <c r="IQ25" s="605">
        <v>38560</v>
      </c>
      <c r="IR25" s="605">
        <v>36296</v>
      </c>
      <c r="IS25" s="606">
        <v>36044</v>
      </c>
      <c r="IT25" s="606">
        <v>39285</v>
      </c>
      <c r="IU25" s="606">
        <v>55546</v>
      </c>
      <c r="IV25" s="606">
        <v>40383</v>
      </c>
      <c r="IW25" s="606">
        <v>39949</v>
      </c>
      <c r="IX25" s="606">
        <v>42620</v>
      </c>
      <c r="IY25" s="606">
        <v>44676</v>
      </c>
      <c r="IZ25" s="606">
        <v>34107</v>
      </c>
      <c r="JA25" s="607">
        <f t="shared" si="56"/>
        <v>614463</v>
      </c>
      <c r="JB25" s="1324">
        <v>72603</v>
      </c>
      <c r="JC25">
        <v>48393</v>
      </c>
      <c r="JD25">
        <v>35500</v>
      </c>
      <c r="JE25">
        <v>33941</v>
      </c>
      <c r="JF25">
        <v>73666</v>
      </c>
      <c r="JG25">
        <v>42393</v>
      </c>
      <c r="JH25">
        <v>53515</v>
      </c>
      <c r="JI25">
        <v>82128</v>
      </c>
      <c r="JM25" s="1266"/>
      <c r="JN25" s="1059">
        <f t="shared" si="58"/>
        <v>442139</v>
      </c>
      <c r="JP25" s="464">
        <f t="shared" si="59"/>
        <v>103.37270633682492</v>
      </c>
      <c r="JQ25" s="464">
        <f t="shared" si="60"/>
        <v>-2.4214817119866838</v>
      </c>
      <c r="JR25" s="465">
        <f t="shared" si="61"/>
        <v>453111</v>
      </c>
      <c r="JS25" s="465">
        <f t="shared" si="62"/>
        <v>442139</v>
      </c>
    </row>
    <row r="26" spans="1:279" ht="13.9" customHeight="1" x14ac:dyDescent="0.2">
      <c r="A26" s="459" t="s">
        <v>402</v>
      </c>
      <c r="B26" s="604">
        <v>776</v>
      </c>
      <c r="C26" s="605">
        <v>771</v>
      </c>
      <c r="D26" s="605">
        <v>5110</v>
      </c>
      <c r="E26" s="605">
        <v>962</v>
      </c>
      <c r="F26" s="606">
        <v>795</v>
      </c>
      <c r="G26" s="606">
        <v>1141</v>
      </c>
      <c r="H26" s="606">
        <v>926</v>
      </c>
      <c r="I26" s="606">
        <v>922</v>
      </c>
      <c r="J26" s="606">
        <v>995</v>
      </c>
      <c r="K26" s="606">
        <v>1122</v>
      </c>
      <c r="L26" s="606">
        <v>1345</v>
      </c>
      <c r="M26" s="606">
        <v>557</v>
      </c>
      <c r="N26" s="614">
        <f t="shared" si="21"/>
        <v>15422</v>
      </c>
      <c r="O26" s="604">
        <v>748</v>
      </c>
      <c r="P26" s="605">
        <v>1196</v>
      </c>
      <c r="Q26" s="605">
        <v>4205</v>
      </c>
      <c r="R26" s="605">
        <v>1104</v>
      </c>
      <c r="S26" s="606">
        <v>1247</v>
      </c>
      <c r="T26" s="606">
        <v>808</v>
      </c>
      <c r="U26" s="606">
        <v>1421</v>
      </c>
      <c r="V26" s="606">
        <v>1320</v>
      </c>
      <c r="W26" s="606">
        <v>1227</v>
      </c>
      <c r="X26" s="606">
        <v>1206</v>
      </c>
      <c r="Y26" s="606">
        <v>458</v>
      </c>
      <c r="Z26" s="606">
        <v>413</v>
      </c>
      <c r="AA26" s="614">
        <f t="shared" si="22"/>
        <v>15353</v>
      </c>
      <c r="AB26" s="604">
        <f>790+1</f>
        <v>791</v>
      </c>
      <c r="AC26" s="605">
        <v>975</v>
      </c>
      <c r="AD26" s="605">
        <v>3896</v>
      </c>
      <c r="AE26" s="605">
        <f>1239-1</f>
        <v>1238</v>
      </c>
      <c r="AF26" s="606">
        <f>2136+1</f>
        <v>2137</v>
      </c>
      <c r="AG26" s="606">
        <v>855</v>
      </c>
      <c r="AH26" s="606">
        <v>993</v>
      </c>
      <c r="AI26" s="606">
        <v>1005</v>
      </c>
      <c r="AJ26" s="606">
        <v>936</v>
      </c>
      <c r="AK26" s="606">
        <v>1021</v>
      </c>
      <c r="AL26" s="606">
        <v>1366</v>
      </c>
      <c r="AM26" s="606">
        <v>1203</v>
      </c>
      <c r="AN26" s="614">
        <f t="shared" si="106"/>
        <v>16416</v>
      </c>
      <c r="AO26" s="604">
        <v>913</v>
      </c>
      <c r="AP26" s="605">
        <v>983</v>
      </c>
      <c r="AQ26" s="605">
        <v>5129</v>
      </c>
      <c r="AR26" s="605">
        <v>1199</v>
      </c>
      <c r="AS26" s="606">
        <v>1042</v>
      </c>
      <c r="AT26" s="606">
        <v>999</v>
      </c>
      <c r="AU26" s="606">
        <v>1013</v>
      </c>
      <c r="AV26" s="606">
        <v>1203</v>
      </c>
      <c r="AW26" s="606">
        <v>1425</v>
      </c>
      <c r="AX26" s="606">
        <v>1331</v>
      </c>
      <c r="AY26" s="606">
        <v>1309</v>
      </c>
      <c r="AZ26" s="606">
        <v>1487</v>
      </c>
      <c r="BA26" s="614">
        <f>SUM(AO26:AZ26)</f>
        <v>18033</v>
      </c>
      <c r="BB26" s="604">
        <v>1266</v>
      </c>
      <c r="BC26" s="605">
        <v>825</v>
      </c>
      <c r="BD26" s="605">
        <v>3127</v>
      </c>
      <c r="BE26" s="605">
        <v>928</v>
      </c>
      <c r="BF26" s="606">
        <v>1328</v>
      </c>
      <c r="BG26" s="606">
        <v>989</v>
      </c>
      <c r="BH26" s="606">
        <v>1347</v>
      </c>
      <c r="BI26" s="606">
        <v>1709</v>
      </c>
      <c r="BJ26" s="606">
        <v>1082</v>
      </c>
      <c r="BK26" s="606">
        <v>1508</v>
      </c>
      <c r="BL26" s="606">
        <v>1611</v>
      </c>
      <c r="BM26" s="606">
        <v>1833</v>
      </c>
      <c r="BN26" s="614">
        <f>SUM(BB26:BM26)</f>
        <v>17553</v>
      </c>
      <c r="BO26" s="604">
        <v>1729</v>
      </c>
      <c r="BP26" s="605">
        <v>786</v>
      </c>
      <c r="BQ26" s="605">
        <v>1861</v>
      </c>
      <c r="BR26" s="605">
        <v>701</v>
      </c>
      <c r="BS26" s="606">
        <v>1026</v>
      </c>
      <c r="BT26" s="606">
        <v>1977</v>
      </c>
      <c r="BU26" s="606">
        <v>1161</v>
      </c>
      <c r="BV26" s="606">
        <v>3297</v>
      </c>
      <c r="BW26" s="606">
        <v>1341</v>
      </c>
      <c r="BX26" s="606">
        <v>1566</v>
      </c>
      <c r="BY26" s="606">
        <v>998</v>
      </c>
      <c r="BZ26" s="606">
        <v>1060</v>
      </c>
      <c r="CA26" s="614">
        <f t="shared" si="110"/>
        <v>17503</v>
      </c>
      <c r="CB26" s="604">
        <v>1693</v>
      </c>
      <c r="CC26" s="605">
        <v>1625</v>
      </c>
      <c r="CD26" s="605">
        <v>3008</v>
      </c>
      <c r="CE26" s="605">
        <v>1097</v>
      </c>
      <c r="CF26" s="606">
        <v>801</v>
      </c>
      <c r="CG26" s="606">
        <v>2795</v>
      </c>
      <c r="CH26" s="606">
        <v>727</v>
      </c>
      <c r="CI26" s="606">
        <v>1096</v>
      </c>
      <c r="CJ26" s="606">
        <v>1819</v>
      </c>
      <c r="CK26" s="606">
        <v>2143</v>
      </c>
      <c r="CL26" s="606">
        <v>1562</v>
      </c>
      <c r="CM26" s="606">
        <v>909</v>
      </c>
      <c r="CN26" s="614">
        <f t="shared" si="112"/>
        <v>19275</v>
      </c>
      <c r="CO26" s="604">
        <v>4143</v>
      </c>
      <c r="CP26" s="605">
        <v>1012</v>
      </c>
      <c r="CQ26" s="605">
        <v>881</v>
      </c>
      <c r="CR26" s="605">
        <v>1385</v>
      </c>
      <c r="CS26" s="606">
        <v>1575</v>
      </c>
      <c r="CT26" s="606">
        <v>2707</v>
      </c>
      <c r="CU26" s="606">
        <v>3154</v>
      </c>
      <c r="CV26" s="606">
        <v>1467</v>
      </c>
      <c r="CW26" s="606">
        <v>1561</v>
      </c>
      <c r="CX26" s="606">
        <v>1274</v>
      </c>
      <c r="CY26" s="606">
        <v>1319</v>
      </c>
      <c r="CZ26" s="606">
        <v>4301</v>
      </c>
      <c r="DA26" s="614">
        <f t="shared" si="114"/>
        <v>24779</v>
      </c>
      <c r="DB26" s="604">
        <v>5672</v>
      </c>
      <c r="DC26" s="605">
        <v>1784</v>
      </c>
      <c r="DD26" s="605">
        <v>3479</v>
      </c>
      <c r="DE26" s="605">
        <v>5084</v>
      </c>
      <c r="DF26" s="606">
        <v>1600</v>
      </c>
      <c r="DG26" s="606">
        <v>992</v>
      </c>
      <c r="DH26" s="606">
        <v>1845</v>
      </c>
      <c r="DI26" s="606">
        <v>1758</v>
      </c>
      <c r="DJ26" s="606">
        <v>1437</v>
      </c>
      <c r="DK26" s="606">
        <v>3014</v>
      </c>
      <c r="DL26" s="606">
        <v>1956</v>
      </c>
      <c r="DM26" s="606">
        <v>3105</v>
      </c>
      <c r="DN26" s="614">
        <f t="shared" si="116"/>
        <v>31726</v>
      </c>
      <c r="DO26" s="604">
        <v>4350</v>
      </c>
      <c r="DP26" s="605">
        <v>1033</v>
      </c>
      <c r="DQ26" s="605">
        <v>7382</v>
      </c>
      <c r="DR26" s="605">
        <v>2590</v>
      </c>
      <c r="DS26" s="606">
        <v>1495</v>
      </c>
      <c r="DT26" s="606">
        <v>2073</v>
      </c>
      <c r="DU26" s="606">
        <v>2567</v>
      </c>
      <c r="DV26" s="606">
        <v>2649</v>
      </c>
      <c r="DW26" s="606">
        <v>2465</v>
      </c>
      <c r="DX26" s="606">
        <v>1936</v>
      </c>
      <c r="DY26" s="606">
        <v>2572</v>
      </c>
      <c r="DZ26" s="606">
        <v>3251</v>
      </c>
      <c r="EA26" s="614">
        <f t="shared" si="118"/>
        <v>34363</v>
      </c>
      <c r="EB26" s="604">
        <v>4603</v>
      </c>
      <c r="EC26" s="605">
        <v>829</v>
      </c>
      <c r="ED26" s="605">
        <v>5185</v>
      </c>
      <c r="EE26" s="605">
        <v>6451</v>
      </c>
      <c r="EF26" s="606">
        <v>3367</v>
      </c>
      <c r="EG26" s="606">
        <v>2207</v>
      </c>
      <c r="EH26" s="606">
        <v>2402</v>
      </c>
      <c r="EI26" s="606">
        <v>2199</v>
      </c>
      <c r="EJ26" s="606">
        <v>3629</v>
      </c>
      <c r="EK26" s="606">
        <v>8461</v>
      </c>
      <c r="EL26" s="606">
        <v>831</v>
      </c>
      <c r="EM26" s="606">
        <v>4355</v>
      </c>
      <c r="EN26" s="614">
        <f>SUM(EB26:EM26)</f>
        <v>44519</v>
      </c>
      <c r="EO26" s="604">
        <v>5686</v>
      </c>
      <c r="EP26" s="605">
        <v>1862</v>
      </c>
      <c r="EQ26" s="605">
        <v>5616</v>
      </c>
      <c r="ER26" s="605">
        <v>2286</v>
      </c>
      <c r="ES26" s="606">
        <v>1357</v>
      </c>
      <c r="ET26" s="606">
        <v>885</v>
      </c>
      <c r="EU26" s="606">
        <v>1408</v>
      </c>
      <c r="EV26" s="606">
        <v>1257</v>
      </c>
      <c r="EW26" s="606">
        <v>1485</v>
      </c>
      <c r="EX26" s="606">
        <v>1371</v>
      </c>
      <c r="EY26" s="606">
        <v>1651</v>
      </c>
      <c r="EZ26" s="606">
        <v>2027</v>
      </c>
      <c r="FA26" s="614">
        <f>SUM(EO26:EZ26)</f>
        <v>26891</v>
      </c>
      <c r="FB26" s="604">
        <v>12671</v>
      </c>
      <c r="FC26" s="605">
        <v>1871</v>
      </c>
      <c r="FD26" s="605">
        <v>1434</v>
      </c>
      <c r="FE26" s="605">
        <v>3782</v>
      </c>
      <c r="FF26" s="606">
        <v>1968</v>
      </c>
      <c r="FG26" s="606">
        <v>2304</v>
      </c>
      <c r="FH26" s="606">
        <v>1227</v>
      </c>
      <c r="FI26" s="606">
        <v>2732</v>
      </c>
      <c r="FJ26" s="606">
        <v>1822</v>
      </c>
      <c r="FK26" s="606">
        <v>1734</v>
      </c>
      <c r="FL26" s="606">
        <v>2714</v>
      </c>
      <c r="FM26" s="606">
        <v>425</v>
      </c>
      <c r="FN26" s="614">
        <f>SUM(FB26:FM26)</f>
        <v>34684</v>
      </c>
      <c r="FO26" s="604">
        <v>15160</v>
      </c>
      <c r="FP26" s="605">
        <v>1065</v>
      </c>
      <c r="FQ26" s="605">
        <v>1584</v>
      </c>
      <c r="FR26" s="605">
        <v>855</v>
      </c>
      <c r="FS26" s="606">
        <v>1798</v>
      </c>
      <c r="FT26" s="606">
        <v>1041</v>
      </c>
      <c r="FU26" s="606">
        <v>918</v>
      </c>
      <c r="FV26" s="606">
        <v>3111</v>
      </c>
      <c r="FW26" s="606">
        <v>2094</v>
      </c>
      <c r="FX26" s="606">
        <v>1378</v>
      </c>
      <c r="FY26" s="606">
        <v>3465</v>
      </c>
      <c r="FZ26" s="606">
        <v>4368</v>
      </c>
      <c r="GA26" s="614">
        <f>SUM(FO26:FZ26)</f>
        <v>36837</v>
      </c>
      <c r="GB26" s="604">
        <v>10777</v>
      </c>
      <c r="GC26" s="605">
        <v>7249</v>
      </c>
      <c r="GD26" s="605">
        <v>1132</v>
      </c>
      <c r="GE26" s="605">
        <v>347</v>
      </c>
      <c r="GF26" s="606">
        <v>456</v>
      </c>
      <c r="GG26" s="606">
        <v>654</v>
      </c>
      <c r="GH26" s="606">
        <v>622</v>
      </c>
      <c r="GI26" s="606">
        <v>736</v>
      </c>
      <c r="GJ26" s="606">
        <v>1053</v>
      </c>
      <c r="GK26" s="606">
        <v>1026</v>
      </c>
      <c r="GL26" s="606">
        <v>1680</v>
      </c>
      <c r="GM26" s="606">
        <v>2731</v>
      </c>
      <c r="GN26" s="614">
        <f t="shared" si="46"/>
        <v>28463</v>
      </c>
      <c r="GO26" s="604">
        <v>8384</v>
      </c>
      <c r="GP26" s="605">
        <v>1197</v>
      </c>
      <c r="GQ26" s="605">
        <v>1144</v>
      </c>
      <c r="GR26" s="605">
        <v>1538</v>
      </c>
      <c r="GS26" s="606">
        <v>1243</v>
      </c>
      <c r="GT26" s="606">
        <v>963</v>
      </c>
      <c r="GU26" s="606">
        <v>13989</v>
      </c>
      <c r="GV26" s="606">
        <v>1003</v>
      </c>
      <c r="GW26" s="606">
        <v>1325</v>
      </c>
      <c r="GX26" s="606">
        <v>2285</v>
      </c>
      <c r="GY26" s="606">
        <v>10419</v>
      </c>
      <c r="GZ26" s="606">
        <v>2296</v>
      </c>
      <c r="HA26" s="614">
        <f t="shared" si="48"/>
        <v>45786</v>
      </c>
      <c r="HB26" s="604">
        <v>17058</v>
      </c>
      <c r="HC26" s="605">
        <v>3213</v>
      </c>
      <c r="HD26" s="605">
        <v>3138</v>
      </c>
      <c r="HE26" s="605">
        <v>1055</v>
      </c>
      <c r="HF26" s="606">
        <v>2047</v>
      </c>
      <c r="HG26" s="606">
        <v>2117</v>
      </c>
      <c r="HH26" s="606">
        <v>1327</v>
      </c>
      <c r="HI26" s="606">
        <v>1290</v>
      </c>
      <c r="HJ26" s="606">
        <v>918</v>
      </c>
      <c r="HK26" s="606">
        <v>1937</v>
      </c>
      <c r="HL26" s="606">
        <v>3849</v>
      </c>
      <c r="HM26" s="606">
        <v>1547</v>
      </c>
      <c r="HN26" s="614">
        <f t="shared" si="50"/>
        <v>39496</v>
      </c>
      <c r="HO26" s="604">
        <v>11917</v>
      </c>
      <c r="HP26" s="605">
        <v>1013</v>
      </c>
      <c r="HQ26" s="605">
        <v>1541</v>
      </c>
      <c r="HR26" s="605">
        <v>1042</v>
      </c>
      <c r="HS26" s="606">
        <v>1614</v>
      </c>
      <c r="HT26" s="606">
        <v>1410</v>
      </c>
      <c r="HU26" s="606">
        <v>986</v>
      </c>
      <c r="HV26" s="606">
        <v>1312</v>
      </c>
      <c r="HW26" s="606">
        <v>1728</v>
      </c>
      <c r="HX26" s="606">
        <v>1562</v>
      </c>
      <c r="HY26" s="606">
        <v>1184</v>
      </c>
      <c r="HZ26" s="606">
        <v>1174</v>
      </c>
      <c r="IA26" s="614">
        <f t="shared" si="52"/>
        <v>26483</v>
      </c>
      <c r="IB26" s="604">
        <v>9324</v>
      </c>
      <c r="IC26" s="605">
        <v>1386</v>
      </c>
      <c r="ID26" s="605">
        <v>642</v>
      </c>
      <c r="IE26" s="605">
        <v>2007</v>
      </c>
      <c r="IF26" s="606">
        <v>1108</v>
      </c>
      <c r="IG26" s="606">
        <v>1801</v>
      </c>
      <c r="IH26" s="606">
        <v>2438</v>
      </c>
      <c r="II26" s="606">
        <v>1246</v>
      </c>
      <c r="IJ26" s="606">
        <v>1886</v>
      </c>
      <c r="IK26" s="606">
        <v>1797</v>
      </c>
      <c r="IL26" s="606">
        <v>1591</v>
      </c>
      <c r="IM26" s="606">
        <v>1739</v>
      </c>
      <c r="IN26" s="614">
        <f t="shared" si="54"/>
        <v>26965</v>
      </c>
      <c r="IO26" s="604">
        <v>9632</v>
      </c>
      <c r="IP26" s="605">
        <v>1238</v>
      </c>
      <c r="IQ26" s="605">
        <v>1620</v>
      </c>
      <c r="IR26" s="605">
        <v>1630</v>
      </c>
      <c r="IS26" s="606">
        <v>7566</v>
      </c>
      <c r="IT26" s="606">
        <v>1310</v>
      </c>
      <c r="IU26" s="606">
        <v>1530</v>
      </c>
      <c r="IV26" s="606">
        <v>1257</v>
      </c>
      <c r="IW26" s="606">
        <v>4762</v>
      </c>
      <c r="IX26" s="606">
        <v>2725</v>
      </c>
      <c r="IY26" s="606">
        <v>2734</v>
      </c>
      <c r="IZ26" s="606">
        <v>6032</v>
      </c>
      <c r="JA26" s="607">
        <f t="shared" si="56"/>
        <v>42036</v>
      </c>
      <c r="JB26" s="1324">
        <v>13428</v>
      </c>
      <c r="JC26">
        <v>1513</v>
      </c>
      <c r="JD26">
        <v>2397</v>
      </c>
      <c r="JE26">
        <v>2728</v>
      </c>
      <c r="JF26">
        <v>14645</v>
      </c>
      <c r="JG26">
        <v>1051</v>
      </c>
      <c r="JH26">
        <v>2057</v>
      </c>
      <c r="JI26">
        <v>3376</v>
      </c>
      <c r="JM26" s="1266"/>
      <c r="JN26" s="1059">
        <f t="shared" si="58"/>
        <v>41195</v>
      </c>
      <c r="JP26" s="464">
        <f t="shared" si="59"/>
        <v>168.57597454256162</v>
      </c>
      <c r="JQ26" s="464">
        <f t="shared" si="60"/>
        <v>59.775821277586004</v>
      </c>
      <c r="JR26" s="465">
        <f t="shared" si="61"/>
        <v>25783</v>
      </c>
      <c r="JS26" s="465">
        <f t="shared" si="62"/>
        <v>41195</v>
      </c>
    </row>
    <row r="27" spans="1:279" ht="13.9" customHeight="1" x14ac:dyDescent="0.2">
      <c r="A27" s="459" t="s">
        <v>328</v>
      </c>
      <c r="B27" s="604">
        <v>349</v>
      </c>
      <c r="C27" s="605">
        <v>482</v>
      </c>
      <c r="D27" s="605">
        <v>1252</v>
      </c>
      <c r="E27" s="605">
        <v>596</v>
      </c>
      <c r="F27" s="606">
        <v>432</v>
      </c>
      <c r="G27" s="606">
        <v>480</v>
      </c>
      <c r="H27" s="606">
        <v>448</v>
      </c>
      <c r="I27" s="606">
        <v>457</v>
      </c>
      <c r="J27" s="606">
        <v>782</v>
      </c>
      <c r="K27" s="606">
        <v>458</v>
      </c>
      <c r="L27" s="606">
        <v>626</v>
      </c>
      <c r="M27" s="606">
        <v>520</v>
      </c>
      <c r="N27" s="614">
        <f t="shared" si="21"/>
        <v>6882</v>
      </c>
      <c r="O27" s="604">
        <v>7719</v>
      </c>
      <c r="P27" s="605">
        <v>3325</v>
      </c>
      <c r="Q27" s="605">
        <v>1251</v>
      </c>
      <c r="R27" s="605">
        <v>9002</v>
      </c>
      <c r="S27" s="606">
        <v>1414</v>
      </c>
      <c r="T27" s="606">
        <v>1161</v>
      </c>
      <c r="U27" s="606">
        <v>2701</v>
      </c>
      <c r="V27" s="606">
        <v>4074</v>
      </c>
      <c r="W27" s="606">
        <v>1180</v>
      </c>
      <c r="X27" s="606">
        <v>441</v>
      </c>
      <c r="Y27" s="606">
        <v>2887</v>
      </c>
      <c r="Z27" s="606">
        <v>1415</v>
      </c>
      <c r="AA27" s="614">
        <f t="shared" si="22"/>
        <v>36570</v>
      </c>
      <c r="AB27" s="604">
        <v>296</v>
      </c>
      <c r="AC27" s="605">
        <v>2584</v>
      </c>
      <c r="AD27" s="605">
        <v>10423</v>
      </c>
      <c r="AE27" s="605">
        <v>1818</v>
      </c>
      <c r="AF27" s="606">
        <v>2299</v>
      </c>
      <c r="AG27" s="606">
        <v>1663</v>
      </c>
      <c r="AH27" s="606">
        <v>2878</v>
      </c>
      <c r="AI27" s="606">
        <v>2879</v>
      </c>
      <c r="AJ27" s="606">
        <v>5225</v>
      </c>
      <c r="AK27" s="606">
        <v>2069</v>
      </c>
      <c r="AL27" s="606">
        <v>2596</v>
      </c>
      <c r="AM27" s="606">
        <v>3603</v>
      </c>
      <c r="AN27" s="614">
        <f t="shared" si="106"/>
        <v>38333</v>
      </c>
      <c r="AO27" s="604">
        <v>2198</v>
      </c>
      <c r="AP27" s="605">
        <v>2377</v>
      </c>
      <c r="AQ27" s="605">
        <v>10445</v>
      </c>
      <c r="AR27" s="605">
        <v>1492</v>
      </c>
      <c r="AS27" s="606">
        <v>1068</v>
      </c>
      <c r="AT27" s="606">
        <v>1085</v>
      </c>
      <c r="AU27" s="606">
        <v>1917</v>
      </c>
      <c r="AV27" s="606">
        <v>1220</v>
      </c>
      <c r="AW27" s="606">
        <v>1118</v>
      </c>
      <c r="AX27" s="606">
        <v>1426</v>
      </c>
      <c r="AY27" s="606">
        <v>1068</v>
      </c>
      <c r="AZ27" s="606">
        <v>1199</v>
      </c>
      <c r="BA27" s="614">
        <f>SUM(AO27:AZ27)</f>
        <v>26613</v>
      </c>
      <c r="BB27" s="604">
        <v>4113</v>
      </c>
      <c r="BC27" s="605">
        <v>2534</v>
      </c>
      <c r="BD27" s="605">
        <v>4652</v>
      </c>
      <c r="BE27" s="605">
        <v>2413</v>
      </c>
      <c r="BF27" s="606">
        <v>1555</v>
      </c>
      <c r="BG27" s="606">
        <v>1796</v>
      </c>
      <c r="BH27" s="606">
        <v>674</v>
      </c>
      <c r="BI27" s="606">
        <v>403</v>
      </c>
      <c r="BJ27" s="606">
        <v>2689</v>
      </c>
      <c r="BK27" s="606">
        <v>229</v>
      </c>
      <c r="BL27" s="606">
        <v>1431</v>
      </c>
      <c r="BM27" s="606">
        <v>2936</v>
      </c>
      <c r="BN27" s="614">
        <f>SUM(BB27:BM27)</f>
        <v>25425</v>
      </c>
      <c r="BO27" s="604">
        <v>1118</v>
      </c>
      <c r="BP27" s="605">
        <v>1028</v>
      </c>
      <c r="BQ27" s="605">
        <v>1333</v>
      </c>
      <c r="BR27" s="605">
        <v>478</v>
      </c>
      <c r="BS27" s="606">
        <v>1658</v>
      </c>
      <c r="BT27" s="606">
        <v>320</v>
      </c>
      <c r="BU27" s="606">
        <v>1338</v>
      </c>
      <c r="BV27" s="606">
        <v>2719</v>
      </c>
      <c r="BW27" s="606">
        <v>2568</v>
      </c>
      <c r="BX27" s="606">
        <v>1538</v>
      </c>
      <c r="BY27" s="606">
        <v>1120</v>
      </c>
      <c r="BZ27" s="606">
        <v>5971</v>
      </c>
      <c r="CA27" s="614">
        <f t="shared" si="110"/>
        <v>21189</v>
      </c>
      <c r="CB27" s="604">
        <v>1036</v>
      </c>
      <c r="CC27" s="605">
        <v>1051</v>
      </c>
      <c r="CD27" s="605">
        <v>539</v>
      </c>
      <c r="CE27" s="605">
        <v>7731</v>
      </c>
      <c r="CF27" s="606">
        <v>666</v>
      </c>
      <c r="CG27" s="606">
        <v>844</v>
      </c>
      <c r="CH27" s="606">
        <v>1961</v>
      </c>
      <c r="CI27" s="606">
        <v>2478</v>
      </c>
      <c r="CJ27" s="606">
        <v>5153</v>
      </c>
      <c r="CK27" s="606">
        <v>1981</v>
      </c>
      <c r="CL27" s="606">
        <v>2139</v>
      </c>
      <c r="CM27" s="606">
        <v>5870</v>
      </c>
      <c r="CN27" s="614">
        <f t="shared" si="112"/>
        <v>31449</v>
      </c>
      <c r="CO27" s="604">
        <v>5145</v>
      </c>
      <c r="CP27" s="605">
        <v>3350</v>
      </c>
      <c r="CQ27" s="605">
        <v>2007</v>
      </c>
      <c r="CR27" s="605">
        <v>6530</v>
      </c>
      <c r="CS27" s="606">
        <v>6839</v>
      </c>
      <c r="CT27" s="606">
        <v>1379</v>
      </c>
      <c r="CU27" s="606">
        <v>5150</v>
      </c>
      <c r="CV27" s="606">
        <v>594</v>
      </c>
      <c r="CW27" s="606">
        <v>1056</v>
      </c>
      <c r="CX27" s="606">
        <v>11014</v>
      </c>
      <c r="CY27" s="606">
        <v>1112</v>
      </c>
      <c r="CZ27" s="606">
        <v>3491</v>
      </c>
      <c r="DA27" s="614">
        <f t="shared" si="114"/>
        <v>47667</v>
      </c>
      <c r="DB27" s="604">
        <v>16122</v>
      </c>
      <c r="DC27" s="605">
        <v>11650</v>
      </c>
      <c r="DD27" s="605">
        <v>4830</v>
      </c>
      <c r="DE27" s="605">
        <v>11943</v>
      </c>
      <c r="DF27" s="606">
        <v>399</v>
      </c>
      <c r="DG27" s="606">
        <v>3385</v>
      </c>
      <c r="DH27" s="606">
        <v>5177</v>
      </c>
      <c r="DI27" s="606">
        <v>278</v>
      </c>
      <c r="DJ27" s="606">
        <v>10878</v>
      </c>
      <c r="DK27" s="606">
        <v>2319</v>
      </c>
      <c r="DL27" s="606">
        <v>146</v>
      </c>
      <c r="DM27" s="606">
        <v>3193</v>
      </c>
      <c r="DN27" s="614">
        <f t="shared" si="116"/>
        <v>70320</v>
      </c>
      <c r="DO27" s="604">
        <v>8944</v>
      </c>
      <c r="DP27" s="605">
        <v>428</v>
      </c>
      <c r="DQ27" s="605">
        <v>37730</v>
      </c>
      <c r="DR27" s="605">
        <v>800</v>
      </c>
      <c r="DS27" s="606">
        <v>1960</v>
      </c>
      <c r="DT27" s="606">
        <v>1586</v>
      </c>
      <c r="DU27" s="606">
        <v>3466</v>
      </c>
      <c r="DV27" s="606">
        <v>5101</v>
      </c>
      <c r="DW27" s="606">
        <v>3483</v>
      </c>
      <c r="DX27" s="606">
        <v>4173</v>
      </c>
      <c r="DY27" s="606">
        <v>1176</v>
      </c>
      <c r="DZ27" s="606">
        <v>8763</v>
      </c>
      <c r="EA27" s="614">
        <f t="shared" si="118"/>
        <v>77610</v>
      </c>
      <c r="EB27" s="604">
        <v>16812</v>
      </c>
      <c r="EC27" s="605">
        <v>3766</v>
      </c>
      <c r="ED27" s="605">
        <v>3417</v>
      </c>
      <c r="EE27" s="605">
        <v>2680</v>
      </c>
      <c r="EF27" s="606">
        <v>623</v>
      </c>
      <c r="EG27" s="606">
        <v>848</v>
      </c>
      <c r="EH27" s="606">
        <v>2559</v>
      </c>
      <c r="EI27" s="606">
        <v>796</v>
      </c>
      <c r="EJ27" s="606">
        <v>1085</v>
      </c>
      <c r="EK27" s="606">
        <v>502</v>
      </c>
      <c r="EL27" s="606">
        <v>4885</v>
      </c>
      <c r="EM27" s="606">
        <v>2940</v>
      </c>
      <c r="EN27" s="614">
        <f>SUM(EB27:EM27)</f>
        <v>40913</v>
      </c>
      <c r="EO27" s="604">
        <v>864</v>
      </c>
      <c r="EP27" s="605">
        <v>5859</v>
      </c>
      <c r="EQ27" s="605">
        <v>16748</v>
      </c>
      <c r="ER27" s="605">
        <v>925</v>
      </c>
      <c r="ES27" s="606">
        <v>1145</v>
      </c>
      <c r="ET27" s="606">
        <v>1595</v>
      </c>
      <c r="EU27" s="606">
        <v>1679</v>
      </c>
      <c r="EV27" s="606">
        <v>8818</v>
      </c>
      <c r="EW27" s="606">
        <v>80</v>
      </c>
      <c r="EX27" s="606">
        <v>20</v>
      </c>
      <c r="EY27" s="606">
        <v>509</v>
      </c>
      <c r="EZ27" s="606">
        <v>1119</v>
      </c>
      <c r="FA27" s="614">
        <f>SUM(EO27:EZ27)</f>
        <v>39361</v>
      </c>
      <c r="FB27" s="604">
        <v>8916</v>
      </c>
      <c r="FC27" s="605">
        <v>8957</v>
      </c>
      <c r="FD27" s="605">
        <v>1322</v>
      </c>
      <c r="FE27" s="605">
        <v>20165</v>
      </c>
      <c r="FF27" s="606">
        <v>1862</v>
      </c>
      <c r="FG27" s="606">
        <v>585</v>
      </c>
      <c r="FH27" s="606">
        <v>8036</v>
      </c>
      <c r="FI27" s="606">
        <v>10</v>
      </c>
      <c r="FJ27" s="606">
        <v>3422</v>
      </c>
      <c r="FK27" s="606">
        <v>175</v>
      </c>
      <c r="FL27" s="606">
        <v>253</v>
      </c>
      <c r="FM27" s="606">
        <v>2548</v>
      </c>
      <c r="FN27" s="614">
        <f>SUM(FB27:FM27)</f>
        <v>56251</v>
      </c>
      <c r="FO27" s="604">
        <v>41157</v>
      </c>
      <c r="FP27" s="605">
        <v>84</v>
      </c>
      <c r="FQ27" s="605">
        <v>2684</v>
      </c>
      <c r="FR27" s="605">
        <v>3556</v>
      </c>
      <c r="FS27" s="606">
        <v>1845</v>
      </c>
      <c r="FT27" s="606">
        <v>1</v>
      </c>
      <c r="FU27" s="606">
        <v>3879</v>
      </c>
      <c r="FV27" s="606">
        <v>100</v>
      </c>
      <c r="FW27" s="606">
        <v>179</v>
      </c>
      <c r="FX27" s="606">
        <v>631</v>
      </c>
      <c r="FY27" s="606">
        <v>3520</v>
      </c>
      <c r="FZ27" s="606">
        <v>-2497</v>
      </c>
      <c r="GA27" s="614">
        <f>SUM(FO27:FZ27)</f>
        <v>55139</v>
      </c>
      <c r="GB27" s="604">
        <v>15174</v>
      </c>
      <c r="GC27" s="605">
        <v>22617</v>
      </c>
      <c r="GD27" s="605">
        <v>431</v>
      </c>
      <c r="GE27" s="605">
        <v>59</v>
      </c>
      <c r="GF27" s="606">
        <v>0</v>
      </c>
      <c r="GG27" s="606">
        <v>0</v>
      </c>
      <c r="GH27" s="606">
        <v>1496</v>
      </c>
      <c r="GI27" s="606">
        <v>3526</v>
      </c>
      <c r="GJ27" s="606">
        <v>5389</v>
      </c>
      <c r="GK27" s="606">
        <v>1094</v>
      </c>
      <c r="GL27" s="606">
        <v>861</v>
      </c>
      <c r="GM27" s="606">
        <v>6131</v>
      </c>
      <c r="GN27" s="614">
        <f t="shared" si="46"/>
        <v>56778</v>
      </c>
      <c r="GO27" s="604">
        <v>13743</v>
      </c>
      <c r="GP27" s="605">
        <v>25148</v>
      </c>
      <c r="GQ27" s="605">
        <v>67</v>
      </c>
      <c r="GR27" s="605">
        <v>137</v>
      </c>
      <c r="GS27" s="606">
        <v>6</v>
      </c>
      <c r="GT27" s="606">
        <v>29</v>
      </c>
      <c r="GU27" s="606">
        <v>4236</v>
      </c>
      <c r="GV27" s="606">
        <v>1454</v>
      </c>
      <c r="GW27" s="606">
        <v>22387</v>
      </c>
      <c r="GX27" s="606">
        <v>490</v>
      </c>
      <c r="GY27" s="606">
        <v>8039</v>
      </c>
      <c r="GZ27" s="606">
        <v>1745</v>
      </c>
      <c r="HA27" s="614">
        <f t="shared" si="48"/>
        <v>77481</v>
      </c>
      <c r="HB27" s="604">
        <v>6016</v>
      </c>
      <c r="HC27" s="605">
        <v>1871</v>
      </c>
      <c r="HD27" s="605">
        <v>31945</v>
      </c>
      <c r="HE27" s="605">
        <v>867</v>
      </c>
      <c r="HF27" s="606">
        <v>3</v>
      </c>
      <c r="HG27" s="606">
        <v>4121</v>
      </c>
      <c r="HH27" s="606">
        <v>1113</v>
      </c>
      <c r="HI27" s="606">
        <v>2376</v>
      </c>
      <c r="HJ27" s="606">
        <v>13888</v>
      </c>
      <c r="HK27" s="606">
        <v>368</v>
      </c>
      <c r="HL27" s="606">
        <v>7223</v>
      </c>
      <c r="HM27" s="606">
        <v>1887</v>
      </c>
      <c r="HN27" s="614">
        <f t="shared" si="50"/>
        <v>71678</v>
      </c>
      <c r="HO27" s="604">
        <v>29775</v>
      </c>
      <c r="HP27" s="605">
        <v>24263</v>
      </c>
      <c r="HQ27" s="605">
        <v>1445</v>
      </c>
      <c r="HR27" s="605">
        <v>2036</v>
      </c>
      <c r="HS27" s="606">
        <v>5145</v>
      </c>
      <c r="HT27" s="606">
        <v>1240</v>
      </c>
      <c r="HU27" s="606">
        <v>225</v>
      </c>
      <c r="HV27" s="606">
        <v>1172</v>
      </c>
      <c r="HW27" s="606">
        <v>0</v>
      </c>
      <c r="HX27" s="606">
        <v>366</v>
      </c>
      <c r="HY27" s="606">
        <v>1843</v>
      </c>
      <c r="HZ27" s="606">
        <v>362</v>
      </c>
      <c r="IA27" s="614">
        <f t="shared" si="52"/>
        <v>67872</v>
      </c>
      <c r="IB27" s="604">
        <v>7878</v>
      </c>
      <c r="IC27" s="605">
        <v>43538</v>
      </c>
      <c r="ID27" s="605">
        <v>4394</v>
      </c>
      <c r="IE27" s="605">
        <v>622</v>
      </c>
      <c r="IF27" s="606">
        <v>4760</v>
      </c>
      <c r="IG27" s="606">
        <v>1391</v>
      </c>
      <c r="IH27" s="606">
        <v>1079</v>
      </c>
      <c r="II27" s="606">
        <v>-11</v>
      </c>
      <c r="IJ27" s="606">
        <v>-1</v>
      </c>
      <c r="IK27" s="606">
        <v>1052</v>
      </c>
      <c r="IL27" s="606">
        <v>82</v>
      </c>
      <c r="IM27" s="606">
        <v>724</v>
      </c>
      <c r="IN27" s="614">
        <f t="shared" si="54"/>
        <v>65508</v>
      </c>
      <c r="IO27" s="604">
        <v>5104</v>
      </c>
      <c r="IP27" s="605">
        <v>37843</v>
      </c>
      <c r="IQ27" s="605">
        <v>2791</v>
      </c>
      <c r="IR27" s="605">
        <v>-2</v>
      </c>
      <c r="IS27" s="606">
        <v>0</v>
      </c>
      <c r="IT27" s="606">
        <v>8576</v>
      </c>
      <c r="IU27" s="606">
        <v>688</v>
      </c>
      <c r="IV27" s="606">
        <v>248</v>
      </c>
      <c r="IW27" s="606">
        <v>490</v>
      </c>
      <c r="IX27" s="606">
        <v>179</v>
      </c>
      <c r="IY27" s="606">
        <v>0</v>
      </c>
      <c r="IZ27" s="606">
        <v>730</v>
      </c>
      <c r="JA27" s="607">
        <f>SUM(IO27:IZ27)</f>
        <v>56647</v>
      </c>
      <c r="JB27" s="1324">
        <v>54417</v>
      </c>
      <c r="JC27">
        <v>0</v>
      </c>
      <c r="JD27">
        <v>901</v>
      </c>
      <c r="JE27">
        <v>-255</v>
      </c>
      <c r="JF27">
        <v>764</v>
      </c>
      <c r="JG27">
        <v>0</v>
      </c>
      <c r="JH27">
        <v>0</v>
      </c>
      <c r="JI27">
        <v>6889</v>
      </c>
      <c r="JM27" s="1266"/>
      <c r="JN27" s="1059">
        <f t="shared" si="58"/>
        <v>62716</v>
      </c>
      <c r="JP27" s="464">
        <f t="shared" si="59"/>
        <v>2677.822580645161</v>
      </c>
      <c r="JQ27" s="464">
        <f t="shared" si="60"/>
        <v>13.51723139299159</v>
      </c>
      <c r="JR27" s="465">
        <f t="shared" si="61"/>
        <v>55248</v>
      </c>
      <c r="JS27" s="465">
        <f t="shared" si="62"/>
        <v>62716</v>
      </c>
    </row>
    <row r="28" spans="1:279" ht="13.9" customHeight="1" x14ac:dyDescent="0.2">
      <c r="A28" s="459" t="s">
        <v>403</v>
      </c>
      <c r="B28" s="604">
        <v>2381</v>
      </c>
      <c r="C28" s="605">
        <v>0</v>
      </c>
      <c r="D28" s="605">
        <v>296</v>
      </c>
      <c r="E28" s="605">
        <v>251</v>
      </c>
      <c r="F28" s="606">
        <v>252</v>
      </c>
      <c r="G28" s="606">
        <v>884</v>
      </c>
      <c r="H28" s="606">
        <v>1171</v>
      </c>
      <c r="I28" s="606">
        <v>837</v>
      </c>
      <c r="J28" s="606">
        <v>0</v>
      </c>
      <c r="K28" s="606">
        <v>246</v>
      </c>
      <c r="L28" s="606">
        <v>368</v>
      </c>
      <c r="M28" s="606">
        <v>0</v>
      </c>
      <c r="N28" s="614">
        <f t="shared" si="21"/>
        <v>6686</v>
      </c>
      <c r="O28" s="604">
        <v>0</v>
      </c>
      <c r="P28" s="605">
        <v>0</v>
      </c>
      <c r="Q28" s="605">
        <v>228</v>
      </c>
      <c r="R28" s="605">
        <v>0</v>
      </c>
      <c r="S28" s="606">
        <v>0</v>
      </c>
      <c r="T28" s="606">
        <v>215</v>
      </c>
      <c r="U28" s="606">
        <v>1</v>
      </c>
      <c r="V28" s="606">
        <v>283</v>
      </c>
      <c r="W28" s="606">
        <v>873</v>
      </c>
      <c r="X28" s="606">
        <v>0</v>
      </c>
      <c r="Y28" s="606">
        <v>210</v>
      </c>
      <c r="Z28" s="606">
        <v>0</v>
      </c>
      <c r="AA28" s="614">
        <f t="shared" si="22"/>
        <v>1810</v>
      </c>
      <c r="AB28" s="604">
        <v>0</v>
      </c>
      <c r="AC28" s="605">
        <v>0</v>
      </c>
      <c r="AD28" s="605">
        <v>538</v>
      </c>
      <c r="AE28" s="605">
        <v>0</v>
      </c>
      <c r="AF28" s="606">
        <v>389</v>
      </c>
      <c r="AG28" s="606">
        <v>0</v>
      </c>
      <c r="AH28" s="606">
        <v>841</v>
      </c>
      <c r="AI28" s="606">
        <v>410</v>
      </c>
      <c r="AJ28" s="606">
        <v>2</v>
      </c>
      <c r="AK28" s="606">
        <v>0</v>
      </c>
      <c r="AL28" s="606">
        <v>0</v>
      </c>
      <c r="AM28" s="606">
        <v>1429</v>
      </c>
      <c r="AN28" s="614">
        <f t="shared" si="106"/>
        <v>3609</v>
      </c>
      <c r="AO28" s="604">
        <v>0</v>
      </c>
      <c r="AP28" s="605">
        <v>0</v>
      </c>
      <c r="AQ28" s="605">
        <v>449</v>
      </c>
      <c r="AR28" s="605">
        <v>0</v>
      </c>
      <c r="AS28" s="606">
        <v>0</v>
      </c>
      <c r="AT28" s="606">
        <v>0</v>
      </c>
      <c r="AU28" s="606">
        <v>0</v>
      </c>
      <c r="AV28" s="606">
        <v>0</v>
      </c>
      <c r="AW28" s="606">
        <v>0</v>
      </c>
      <c r="AX28" s="606">
        <v>0</v>
      </c>
      <c r="AY28" s="606">
        <v>0</v>
      </c>
      <c r="AZ28" s="606">
        <v>-3</v>
      </c>
      <c r="BA28" s="614">
        <f>SUM(AO28:AZ28)</f>
        <v>446</v>
      </c>
      <c r="BB28" s="604">
        <v>0</v>
      </c>
      <c r="BC28" s="605">
        <v>0</v>
      </c>
      <c r="BD28" s="605">
        <v>210</v>
      </c>
      <c r="BE28" s="605">
        <v>0</v>
      </c>
      <c r="BF28" s="606">
        <v>0</v>
      </c>
      <c r="BG28" s="606">
        <v>2</v>
      </c>
      <c r="BH28" s="606">
        <v>0</v>
      </c>
      <c r="BI28" s="606">
        <v>0</v>
      </c>
      <c r="BJ28" s="606">
        <v>0</v>
      </c>
      <c r="BK28" s="606">
        <v>0</v>
      </c>
      <c r="BL28" s="606">
        <v>0</v>
      </c>
      <c r="BM28" s="606">
        <v>-1</v>
      </c>
      <c r="BN28" s="614">
        <f>SUM(BB28:BM28)</f>
        <v>211</v>
      </c>
      <c r="BO28" s="604">
        <v>0</v>
      </c>
      <c r="BP28" s="605">
        <v>0</v>
      </c>
      <c r="BQ28" s="605">
        <v>84</v>
      </c>
      <c r="BR28" s="605">
        <v>0</v>
      </c>
      <c r="BS28" s="606">
        <v>0</v>
      </c>
      <c r="BT28" s="606">
        <v>0</v>
      </c>
      <c r="BU28" s="606">
        <v>0</v>
      </c>
      <c r="BV28" s="606">
        <v>30547</v>
      </c>
      <c r="BW28" s="606">
        <v>0</v>
      </c>
      <c r="BX28" s="606">
        <v>2122</v>
      </c>
      <c r="BY28" s="606">
        <v>25948</v>
      </c>
      <c r="BZ28" s="606">
        <v>-18328</v>
      </c>
      <c r="CA28" s="614">
        <f t="shared" si="110"/>
        <v>40373</v>
      </c>
      <c r="CB28" s="604">
        <v>9350</v>
      </c>
      <c r="CC28" s="605">
        <v>-578</v>
      </c>
      <c r="CD28" s="605">
        <v>3163</v>
      </c>
      <c r="CE28" s="605">
        <v>4398</v>
      </c>
      <c r="CF28" s="606">
        <v>-2030</v>
      </c>
      <c r="CG28" s="606">
        <v>12984</v>
      </c>
      <c r="CH28" s="606">
        <v>2228</v>
      </c>
      <c r="CI28" s="606">
        <v>7734</v>
      </c>
      <c r="CJ28" s="606">
        <v>2935</v>
      </c>
      <c r="CK28" s="606">
        <v>11477</v>
      </c>
      <c r="CL28" s="606">
        <v>3866</v>
      </c>
      <c r="CM28" s="606">
        <v>14159</v>
      </c>
      <c r="CN28" s="614">
        <f t="shared" si="112"/>
        <v>69686</v>
      </c>
      <c r="CO28" s="604">
        <v>10270</v>
      </c>
      <c r="CP28" s="605">
        <v>3708</v>
      </c>
      <c r="CQ28" s="605">
        <v>0</v>
      </c>
      <c r="CR28" s="605">
        <v>2738</v>
      </c>
      <c r="CS28" s="606">
        <v>0</v>
      </c>
      <c r="CT28" s="606">
        <v>18524</v>
      </c>
      <c r="CU28" s="606">
        <v>1416</v>
      </c>
      <c r="CV28" s="606">
        <v>2439</v>
      </c>
      <c r="CW28" s="606">
        <v>2583</v>
      </c>
      <c r="CX28" s="606">
        <v>0</v>
      </c>
      <c r="CY28" s="606">
        <v>0</v>
      </c>
      <c r="CZ28" s="606">
        <v>0</v>
      </c>
      <c r="DA28" s="614">
        <f t="shared" si="114"/>
        <v>41678</v>
      </c>
      <c r="DB28" s="604">
        <v>2670</v>
      </c>
      <c r="DC28" s="605">
        <v>0</v>
      </c>
      <c r="DD28" s="605">
        <v>431</v>
      </c>
      <c r="DE28" s="605">
        <v>9</v>
      </c>
      <c r="DF28" s="606">
        <v>0</v>
      </c>
      <c r="DG28" s="606">
        <v>425</v>
      </c>
      <c r="DH28" s="606">
        <v>0</v>
      </c>
      <c r="DI28" s="606">
        <v>0</v>
      </c>
      <c r="DJ28" s="606">
        <v>0</v>
      </c>
      <c r="DK28" s="606">
        <v>0</v>
      </c>
      <c r="DL28" s="606">
        <v>0</v>
      </c>
      <c r="DM28" s="606">
        <v>975</v>
      </c>
      <c r="DN28" s="614">
        <f t="shared" si="116"/>
        <v>4510</v>
      </c>
      <c r="DO28" s="604">
        <v>5202</v>
      </c>
      <c r="DP28" s="605">
        <v>0</v>
      </c>
      <c r="DQ28" s="605">
        <v>0</v>
      </c>
      <c r="DR28" s="605">
        <v>0</v>
      </c>
      <c r="DS28" s="606">
        <v>756</v>
      </c>
      <c r="DT28" s="606">
        <v>0</v>
      </c>
      <c r="DU28" s="606">
        <v>120150</v>
      </c>
      <c r="DV28" s="606">
        <v>0</v>
      </c>
      <c r="DW28" s="606">
        <v>0</v>
      </c>
      <c r="DX28" s="606">
        <v>0</v>
      </c>
      <c r="DY28" s="606">
        <v>0</v>
      </c>
      <c r="DZ28" s="606"/>
      <c r="EA28" s="614">
        <f t="shared" si="118"/>
        <v>126108</v>
      </c>
      <c r="EB28" s="604">
        <v>10110</v>
      </c>
      <c r="EC28" s="605">
        <v>0</v>
      </c>
      <c r="ED28" s="605">
        <v>0</v>
      </c>
      <c r="EE28" s="605">
        <v>0</v>
      </c>
      <c r="EF28" s="606">
        <v>43070</v>
      </c>
      <c r="EG28" s="606">
        <v>0</v>
      </c>
      <c r="EH28" s="606">
        <v>31181</v>
      </c>
      <c r="EI28" s="606">
        <v>15774</v>
      </c>
      <c r="EJ28" s="606">
        <v>1300</v>
      </c>
      <c r="EK28" s="606">
        <v>4133</v>
      </c>
      <c r="EL28" s="606">
        <v>5515</v>
      </c>
      <c r="EM28" s="606">
        <v>1200</v>
      </c>
      <c r="EN28" s="614">
        <f>SUM(EB28:EM28)</f>
        <v>112283</v>
      </c>
      <c r="EO28" s="604">
        <v>17084</v>
      </c>
      <c r="EP28" s="605">
        <v>0</v>
      </c>
      <c r="EQ28" s="605">
        <v>0</v>
      </c>
      <c r="ER28" s="605">
        <v>0</v>
      </c>
      <c r="ES28" s="606">
        <v>7465</v>
      </c>
      <c r="ET28" s="606">
        <v>1329</v>
      </c>
      <c r="EU28" s="606">
        <v>755</v>
      </c>
      <c r="EV28" s="606">
        <v>2783</v>
      </c>
      <c r="EW28" s="606">
        <v>521</v>
      </c>
      <c r="EX28" s="606">
        <v>523</v>
      </c>
      <c r="EY28" s="606">
        <v>469</v>
      </c>
      <c r="EZ28" s="606">
        <v>465</v>
      </c>
      <c r="FA28" s="614">
        <f>SUM(EO28:EZ28)</f>
        <v>31394</v>
      </c>
      <c r="FB28" s="604">
        <v>9165</v>
      </c>
      <c r="FC28" s="605">
        <v>0</v>
      </c>
      <c r="FD28" s="605">
        <v>23047</v>
      </c>
      <c r="FE28" s="605">
        <v>7425</v>
      </c>
      <c r="FF28" s="606">
        <v>-365</v>
      </c>
      <c r="FG28" s="606">
        <v>956</v>
      </c>
      <c r="FH28" s="606">
        <v>787</v>
      </c>
      <c r="FI28" s="606">
        <v>1539</v>
      </c>
      <c r="FJ28" s="606">
        <v>6215</v>
      </c>
      <c r="FK28" s="606">
        <v>8406</v>
      </c>
      <c r="FL28" s="606">
        <v>7054</v>
      </c>
      <c r="FM28" s="606">
        <v>27725</v>
      </c>
      <c r="FN28" s="614">
        <f>SUM(FB28:FM28)</f>
        <v>91954</v>
      </c>
      <c r="FO28" s="604">
        <v>30724</v>
      </c>
      <c r="FP28" s="605">
        <v>560</v>
      </c>
      <c r="FQ28" s="605">
        <v>42014</v>
      </c>
      <c r="FR28" s="605">
        <v>0</v>
      </c>
      <c r="FS28" s="606">
        <v>-26</v>
      </c>
      <c r="FT28" s="606">
        <v>21237</v>
      </c>
      <c r="FU28" s="606">
        <v>0</v>
      </c>
      <c r="FV28" s="606">
        <v>0</v>
      </c>
      <c r="FW28" s="606">
        <v>0</v>
      </c>
      <c r="FX28" s="606">
        <v>0</v>
      </c>
      <c r="FY28" s="606">
        <v>0</v>
      </c>
      <c r="FZ28" s="606">
        <v>4896</v>
      </c>
      <c r="GA28" s="614">
        <f>SUM(FO28:FZ28)</f>
        <v>99405</v>
      </c>
      <c r="GB28" s="604">
        <v>16022</v>
      </c>
      <c r="GC28" s="605">
        <v>4250</v>
      </c>
      <c r="GD28" s="605">
        <v>146</v>
      </c>
      <c r="GE28" s="605">
        <v>0</v>
      </c>
      <c r="GF28" s="606">
        <v>0</v>
      </c>
      <c r="GG28" s="606">
        <v>771</v>
      </c>
      <c r="GH28" s="606">
        <v>2270</v>
      </c>
      <c r="GI28" s="606">
        <v>0</v>
      </c>
      <c r="GJ28" s="606">
        <v>5315</v>
      </c>
      <c r="GK28" s="606">
        <v>5041</v>
      </c>
      <c r="GL28" s="606">
        <v>157</v>
      </c>
      <c r="GM28" s="606">
        <v>31894</v>
      </c>
      <c r="GN28" s="614">
        <f t="shared" si="46"/>
        <v>65866</v>
      </c>
      <c r="GO28" s="604">
        <v>9802</v>
      </c>
      <c r="GP28" s="605">
        <v>11938</v>
      </c>
      <c r="GQ28" s="605">
        <v>4418</v>
      </c>
      <c r="GR28" s="605">
        <v>7910</v>
      </c>
      <c r="GS28" s="606">
        <v>3215</v>
      </c>
      <c r="GT28" s="606">
        <v>12998</v>
      </c>
      <c r="GU28" s="606">
        <v>24778</v>
      </c>
      <c r="GV28" s="606">
        <v>9963</v>
      </c>
      <c r="GW28" s="606">
        <v>1709</v>
      </c>
      <c r="GX28" s="606">
        <v>9665</v>
      </c>
      <c r="GY28" s="606">
        <v>32493</v>
      </c>
      <c r="GZ28" s="606">
        <v>40946</v>
      </c>
      <c r="HA28" s="614">
        <f t="shared" si="48"/>
        <v>169835</v>
      </c>
      <c r="HB28" s="604">
        <v>41421</v>
      </c>
      <c r="HC28" s="605">
        <v>848</v>
      </c>
      <c r="HD28" s="605">
        <v>5281</v>
      </c>
      <c r="HE28" s="605">
        <v>0</v>
      </c>
      <c r="HF28" s="606">
        <v>0</v>
      </c>
      <c r="HG28" s="606">
        <v>0</v>
      </c>
      <c r="HH28" s="606">
        <v>-1307</v>
      </c>
      <c r="HI28" s="606">
        <v>25462</v>
      </c>
      <c r="HJ28" s="606">
        <v>0</v>
      </c>
      <c r="HK28" s="606">
        <v>0</v>
      </c>
      <c r="HL28" s="606">
        <v>0</v>
      </c>
      <c r="HM28" s="606">
        <v>0</v>
      </c>
      <c r="HN28" s="614">
        <f>SUM(HB28:HM28)</f>
        <v>71705</v>
      </c>
      <c r="HO28" s="604">
        <v>15221</v>
      </c>
      <c r="HP28" s="605">
        <v>-705</v>
      </c>
      <c r="HQ28" s="605">
        <v>0</v>
      </c>
      <c r="HR28" s="605">
        <v>0</v>
      </c>
      <c r="HS28" s="606">
        <v>0</v>
      </c>
      <c r="HT28" s="606">
        <v>-58</v>
      </c>
      <c r="HU28" s="606">
        <v>0</v>
      </c>
      <c r="HV28" s="606">
        <v>0</v>
      </c>
      <c r="HW28" s="606">
        <v>0</v>
      </c>
      <c r="HX28" s="606">
        <v>-6140</v>
      </c>
      <c r="HY28" s="606">
        <v>0</v>
      </c>
      <c r="HZ28" s="606">
        <v>65</v>
      </c>
      <c r="IA28" s="614">
        <f t="shared" si="52"/>
        <v>8383</v>
      </c>
      <c r="IB28" s="604">
        <v>7547</v>
      </c>
      <c r="IC28" s="605">
        <v>0</v>
      </c>
      <c r="ID28" s="605">
        <v>15</v>
      </c>
      <c r="IE28" s="605">
        <v>-7360</v>
      </c>
      <c r="IF28" s="606">
        <v>0</v>
      </c>
      <c r="IG28" s="606">
        <v>447</v>
      </c>
      <c r="IH28" s="606">
        <v>0</v>
      </c>
      <c r="II28" s="606">
        <v>0</v>
      </c>
      <c r="IJ28" s="606">
        <v>0</v>
      </c>
      <c r="IK28" s="606">
        <v>0</v>
      </c>
      <c r="IL28" s="606">
        <v>0</v>
      </c>
      <c r="IM28" s="606">
        <v>0</v>
      </c>
      <c r="IN28" s="614">
        <f t="shared" si="54"/>
        <v>649</v>
      </c>
      <c r="IO28" s="604">
        <v>210</v>
      </c>
      <c r="IP28" s="605">
        <v>0</v>
      </c>
      <c r="IQ28" s="605">
        <v>0</v>
      </c>
      <c r="IR28" s="605">
        <v>0</v>
      </c>
      <c r="IS28" s="606">
        <v>0</v>
      </c>
      <c r="IT28" s="606">
        <v>0</v>
      </c>
      <c r="IU28" s="606">
        <v>0</v>
      </c>
      <c r="IV28" s="606">
        <v>0</v>
      </c>
      <c r="IW28" s="606">
        <v>0</v>
      </c>
      <c r="IX28" s="606">
        <v>0</v>
      </c>
      <c r="IY28" s="606">
        <v>0</v>
      </c>
      <c r="IZ28" s="606">
        <v>0</v>
      </c>
      <c r="JA28" s="607">
        <f>SUM(IO28:IZ28)</f>
        <v>210</v>
      </c>
      <c r="JB28" s="1324">
        <v>210</v>
      </c>
      <c r="JC28">
        <v>0</v>
      </c>
      <c r="JD28">
        <v>0</v>
      </c>
      <c r="JE28">
        <v>0</v>
      </c>
      <c r="JF28">
        <v>210</v>
      </c>
      <c r="JG28">
        <v>0</v>
      </c>
      <c r="JH28">
        <v>0</v>
      </c>
      <c r="JI28">
        <v>0</v>
      </c>
      <c r="JM28" s="1266"/>
      <c r="JN28" s="1059">
        <f t="shared" si="58"/>
        <v>420</v>
      </c>
      <c r="JP28" s="464" t="str">
        <f t="shared" si="59"/>
        <v/>
      </c>
      <c r="JQ28" s="464">
        <f>IFERROR(((JS28/JR28)-1)*100,"")</f>
        <v>100</v>
      </c>
      <c r="JR28" s="465">
        <f t="shared" si="61"/>
        <v>210</v>
      </c>
      <c r="JS28" s="465">
        <f t="shared" si="62"/>
        <v>420</v>
      </c>
    </row>
    <row r="29" spans="1:279" ht="13.9" customHeight="1" x14ac:dyDescent="0.2">
      <c r="A29" s="459" t="s">
        <v>404</v>
      </c>
      <c r="B29" s="607">
        <v>0</v>
      </c>
      <c r="C29" s="606">
        <v>0</v>
      </c>
      <c r="D29" s="606">
        <v>0</v>
      </c>
      <c r="E29" s="606">
        <v>0</v>
      </c>
      <c r="F29" s="606">
        <v>0</v>
      </c>
      <c r="G29" s="606">
        <v>0</v>
      </c>
      <c r="H29" s="606">
        <v>0</v>
      </c>
      <c r="I29" s="606">
        <v>0</v>
      </c>
      <c r="J29" s="606">
        <v>0</v>
      </c>
      <c r="K29" s="606">
        <v>0</v>
      </c>
      <c r="L29" s="606">
        <v>0</v>
      </c>
      <c r="M29" s="606">
        <v>0</v>
      </c>
      <c r="N29" s="614">
        <f t="shared" si="21"/>
        <v>0</v>
      </c>
      <c r="O29" s="607">
        <v>0</v>
      </c>
      <c r="P29" s="606">
        <v>0</v>
      </c>
      <c r="Q29" s="606">
        <v>0</v>
      </c>
      <c r="R29" s="606">
        <v>0</v>
      </c>
      <c r="S29" s="606">
        <v>0</v>
      </c>
      <c r="T29" s="606">
        <v>0</v>
      </c>
      <c r="U29" s="606">
        <v>0</v>
      </c>
      <c r="V29" s="606">
        <v>0</v>
      </c>
      <c r="W29" s="606">
        <v>0</v>
      </c>
      <c r="X29" s="606">
        <v>0</v>
      </c>
      <c r="Y29" s="606">
        <v>0</v>
      </c>
      <c r="Z29" s="606">
        <v>0</v>
      </c>
      <c r="AA29" s="614">
        <f t="shared" si="22"/>
        <v>0</v>
      </c>
      <c r="AB29" s="607">
        <v>0</v>
      </c>
      <c r="AC29" s="606">
        <v>0</v>
      </c>
      <c r="AD29" s="606">
        <v>0</v>
      </c>
      <c r="AE29" s="606">
        <v>0</v>
      </c>
      <c r="AF29" s="606">
        <v>0</v>
      </c>
      <c r="AG29" s="606">
        <v>0</v>
      </c>
      <c r="AH29" s="606">
        <v>0</v>
      </c>
      <c r="AI29" s="606">
        <v>0</v>
      </c>
      <c r="AJ29" s="606">
        <v>0</v>
      </c>
      <c r="AK29" s="606">
        <v>0</v>
      </c>
      <c r="AL29" s="606">
        <v>0</v>
      </c>
      <c r="AM29" s="606">
        <v>0</v>
      </c>
      <c r="AN29" s="614">
        <f t="shared" si="106"/>
        <v>0</v>
      </c>
      <c r="AO29" s="607"/>
      <c r="AP29" s="606"/>
      <c r="AQ29" s="606"/>
      <c r="AR29" s="606"/>
      <c r="AS29" s="606"/>
      <c r="AT29" s="606"/>
      <c r="AU29" s="606"/>
      <c r="AV29" s="606"/>
      <c r="AW29" s="606"/>
      <c r="AX29" s="606"/>
      <c r="AY29" s="606"/>
      <c r="AZ29" s="606"/>
      <c r="BA29" s="614"/>
      <c r="BB29" s="607"/>
      <c r="BC29" s="606"/>
      <c r="BD29" s="606"/>
      <c r="BE29" s="606"/>
      <c r="BF29" s="606"/>
      <c r="BG29" s="606"/>
      <c r="BH29" s="606"/>
      <c r="BI29" s="606"/>
      <c r="BJ29" s="606"/>
      <c r="BK29" s="606"/>
      <c r="BL29" s="606"/>
      <c r="BM29" s="606"/>
      <c r="BN29" s="614"/>
      <c r="BO29" s="607">
        <v>0</v>
      </c>
      <c r="BP29" s="606">
        <v>0</v>
      </c>
      <c r="BQ29" s="606">
        <v>0</v>
      </c>
      <c r="BR29" s="606">
        <v>0</v>
      </c>
      <c r="BS29" s="606">
        <v>0</v>
      </c>
      <c r="BT29" s="606">
        <v>0</v>
      </c>
      <c r="BU29" s="606">
        <v>0</v>
      </c>
      <c r="BV29" s="606">
        <v>0</v>
      </c>
      <c r="BW29" s="606">
        <v>0</v>
      </c>
      <c r="BX29" s="606">
        <v>0</v>
      </c>
      <c r="BY29" s="606">
        <v>0</v>
      </c>
      <c r="BZ29" s="606">
        <v>0</v>
      </c>
      <c r="CA29" s="614">
        <f t="shared" si="110"/>
        <v>0</v>
      </c>
      <c r="CB29" s="607">
        <v>0</v>
      </c>
      <c r="CC29" s="606">
        <v>0</v>
      </c>
      <c r="CD29" s="606">
        <v>0</v>
      </c>
      <c r="CE29" s="606">
        <v>0</v>
      </c>
      <c r="CF29" s="606">
        <v>0</v>
      </c>
      <c r="CG29" s="606">
        <v>0</v>
      </c>
      <c r="CH29" s="606">
        <v>0</v>
      </c>
      <c r="CI29" s="606">
        <v>0</v>
      </c>
      <c r="CJ29" s="606">
        <v>0</v>
      </c>
      <c r="CK29" s="606">
        <v>0</v>
      </c>
      <c r="CL29" s="606">
        <v>0</v>
      </c>
      <c r="CM29" s="606">
        <v>0</v>
      </c>
      <c r="CN29" s="614">
        <f t="shared" si="112"/>
        <v>0</v>
      </c>
      <c r="CO29" s="607">
        <v>0</v>
      </c>
      <c r="CP29" s="606">
        <v>0</v>
      </c>
      <c r="CQ29" s="606">
        <v>0</v>
      </c>
      <c r="CR29" s="606">
        <v>0</v>
      </c>
      <c r="CS29" s="606">
        <v>0</v>
      </c>
      <c r="CT29" s="606">
        <v>0</v>
      </c>
      <c r="CU29" s="606">
        <v>0</v>
      </c>
      <c r="CV29" s="606">
        <v>0</v>
      </c>
      <c r="CW29" s="606">
        <v>0</v>
      </c>
      <c r="CX29" s="606">
        <v>0</v>
      </c>
      <c r="CY29" s="606">
        <v>0</v>
      </c>
      <c r="CZ29" s="606">
        <v>0</v>
      </c>
      <c r="DA29" s="614">
        <f t="shared" si="114"/>
        <v>0</v>
      </c>
      <c r="DB29" s="607">
        <v>0</v>
      </c>
      <c r="DC29" s="606">
        <v>0</v>
      </c>
      <c r="DD29" s="606">
        <v>0</v>
      </c>
      <c r="DE29" s="606">
        <v>0</v>
      </c>
      <c r="DF29" s="606">
        <v>0</v>
      </c>
      <c r="DG29" s="606">
        <v>0</v>
      </c>
      <c r="DH29" s="606">
        <v>0</v>
      </c>
      <c r="DI29" s="606">
        <v>0</v>
      </c>
      <c r="DJ29" s="606">
        <v>0</v>
      </c>
      <c r="DK29" s="606">
        <v>0</v>
      </c>
      <c r="DL29" s="606">
        <v>0</v>
      </c>
      <c r="DM29" s="606">
        <v>0</v>
      </c>
      <c r="DN29" s="614">
        <f t="shared" si="116"/>
        <v>0</v>
      </c>
      <c r="DO29" s="607">
        <v>0</v>
      </c>
      <c r="DP29" s="606">
        <v>0</v>
      </c>
      <c r="DQ29" s="606">
        <v>0</v>
      </c>
      <c r="DR29" s="606">
        <v>0</v>
      </c>
      <c r="DS29" s="606">
        <v>0</v>
      </c>
      <c r="DT29" s="606">
        <v>0</v>
      </c>
      <c r="DU29" s="606">
        <v>0</v>
      </c>
      <c r="DV29" s="606"/>
      <c r="DW29" s="606"/>
      <c r="DX29" s="606"/>
      <c r="DY29" s="606"/>
      <c r="DZ29" s="606"/>
      <c r="EA29" s="614">
        <f t="shared" si="118"/>
        <v>0</v>
      </c>
      <c r="EB29" s="607"/>
      <c r="EC29" s="606"/>
      <c r="ED29" s="606"/>
      <c r="EE29" s="606"/>
      <c r="EF29" s="606"/>
      <c r="EG29" s="606"/>
      <c r="EH29" s="606"/>
      <c r="EI29" s="606"/>
      <c r="EJ29" s="606"/>
      <c r="EK29" s="606"/>
      <c r="EL29" s="606"/>
      <c r="EM29" s="606"/>
      <c r="EN29" s="614"/>
      <c r="EO29" s="607"/>
      <c r="EP29" s="606"/>
      <c r="EQ29" s="606"/>
      <c r="ER29" s="606"/>
      <c r="ES29" s="606"/>
      <c r="ET29" s="606"/>
      <c r="EU29" s="606"/>
      <c r="EV29" s="606"/>
      <c r="EW29" s="606"/>
      <c r="EX29" s="606"/>
      <c r="EY29" s="606"/>
      <c r="EZ29" s="606"/>
      <c r="FA29" s="614"/>
      <c r="FB29" s="607"/>
      <c r="FC29" s="606"/>
      <c r="FD29" s="606"/>
      <c r="FE29" s="606"/>
      <c r="FF29" s="606"/>
      <c r="FG29" s="606"/>
      <c r="FH29" s="606"/>
      <c r="FI29" s="606"/>
      <c r="FJ29" s="606"/>
      <c r="FK29" s="606"/>
      <c r="FL29" s="606"/>
      <c r="FM29" s="606"/>
      <c r="FN29" s="614"/>
      <c r="FO29" s="607"/>
      <c r="FP29" s="606"/>
      <c r="FQ29" s="606"/>
      <c r="FR29" s="606"/>
      <c r="FS29" s="606"/>
      <c r="FT29" s="606"/>
      <c r="FU29" s="606"/>
      <c r="FV29" s="606"/>
      <c r="FW29" s="606"/>
      <c r="FX29" s="606"/>
      <c r="FY29" s="606"/>
      <c r="FZ29" s="606"/>
      <c r="GA29" s="614"/>
      <c r="GB29" s="607"/>
      <c r="GC29" s="606"/>
      <c r="GD29" s="606"/>
      <c r="GE29" s="606"/>
      <c r="GF29" s="606"/>
      <c r="GG29" s="606"/>
      <c r="GH29" s="606"/>
      <c r="GI29" s="606"/>
      <c r="GJ29" s="606"/>
      <c r="GK29" s="606"/>
      <c r="GL29" s="606"/>
      <c r="GM29" s="606"/>
      <c r="GN29" s="614"/>
      <c r="GO29" s="607"/>
      <c r="GP29" s="606"/>
      <c r="GQ29" s="606"/>
      <c r="GR29" s="606"/>
      <c r="GS29" s="606"/>
      <c r="GT29" s="606"/>
      <c r="GU29" s="606"/>
      <c r="GV29" s="606"/>
      <c r="GW29" s="606"/>
      <c r="GX29" s="606"/>
      <c r="GY29" s="606"/>
      <c r="GZ29" s="606"/>
      <c r="HA29" s="614"/>
      <c r="HB29" s="607"/>
      <c r="HC29" s="606"/>
      <c r="HD29" s="606"/>
      <c r="HE29" s="606"/>
      <c r="HF29" s="606"/>
      <c r="HG29" s="606"/>
      <c r="HH29" s="606"/>
      <c r="HI29" s="606"/>
      <c r="HJ29" s="606"/>
      <c r="HK29" s="606"/>
      <c r="HL29" s="606"/>
      <c r="HM29" s="606"/>
      <c r="HN29" s="614"/>
      <c r="HO29" s="607"/>
      <c r="HP29" s="606"/>
      <c r="HQ29" s="606"/>
      <c r="HR29" s="606"/>
      <c r="HS29" s="606"/>
      <c r="HT29" s="606"/>
      <c r="HU29" s="606"/>
      <c r="HV29" s="606"/>
      <c r="HW29" s="606"/>
      <c r="HX29" s="606"/>
      <c r="HY29" s="606"/>
      <c r="HZ29" s="606"/>
      <c r="IA29" s="614"/>
      <c r="IB29" s="607"/>
      <c r="IC29" s="606"/>
      <c r="ID29" s="606"/>
      <c r="IE29" s="606"/>
      <c r="IF29" s="606"/>
      <c r="IG29" s="606"/>
      <c r="IH29" s="606"/>
      <c r="II29" s="606"/>
      <c r="IJ29" s="606"/>
      <c r="IK29" s="606"/>
      <c r="IL29" s="606"/>
      <c r="IM29" s="606"/>
      <c r="IN29" s="614">
        <f t="shared" si="54"/>
        <v>0</v>
      </c>
      <c r="IO29" s="607">
        <v>0</v>
      </c>
      <c r="IP29" s="606">
        <v>0</v>
      </c>
      <c r="IQ29" s="606">
        <v>0</v>
      </c>
      <c r="IR29" s="606">
        <v>0</v>
      </c>
      <c r="IS29" s="606">
        <v>0</v>
      </c>
      <c r="IT29" s="606">
        <v>0</v>
      </c>
      <c r="IU29" s="606">
        <v>0</v>
      </c>
      <c r="IV29" s="606">
        <v>0</v>
      </c>
      <c r="IW29" s="606">
        <v>0</v>
      </c>
      <c r="IX29" s="606">
        <v>0</v>
      </c>
      <c r="IY29" s="606">
        <v>0</v>
      </c>
      <c r="IZ29" s="606">
        <v>0</v>
      </c>
      <c r="JA29" s="607">
        <f t="shared" si="56"/>
        <v>0</v>
      </c>
      <c r="JB29" s="1324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M29" s="1266"/>
      <c r="JN29" s="1059">
        <f t="shared" si="58"/>
        <v>0</v>
      </c>
      <c r="JP29" s="455" t="str">
        <f t="shared" si="59"/>
        <v/>
      </c>
      <c r="JQ29" s="455" t="str">
        <f>IFERROR(((JS29/JR29)-1)*100,"")</f>
        <v/>
      </c>
      <c r="JR29" s="456">
        <f t="shared" si="61"/>
        <v>0</v>
      </c>
      <c r="JS29" s="456">
        <f t="shared" si="62"/>
        <v>0</v>
      </c>
    </row>
    <row r="30" spans="1:279" ht="13.9" customHeight="1" x14ac:dyDescent="0.2">
      <c r="A30" s="459" t="s">
        <v>405</v>
      </c>
      <c r="B30" s="607">
        <v>0</v>
      </c>
      <c r="C30" s="606">
        <v>0</v>
      </c>
      <c r="D30" s="606">
        <v>0</v>
      </c>
      <c r="E30" s="606">
        <v>0</v>
      </c>
      <c r="F30" s="606">
        <v>0</v>
      </c>
      <c r="G30" s="606">
        <v>0</v>
      </c>
      <c r="H30" s="606">
        <v>0</v>
      </c>
      <c r="I30" s="606">
        <v>0</v>
      </c>
      <c r="J30" s="606">
        <v>0</v>
      </c>
      <c r="K30" s="606">
        <v>0</v>
      </c>
      <c r="L30" s="606">
        <v>0</v>
      </c>
      <c r="M30" s="606">
        <v>0</v>
      </c>
      <c r="N30" s="614">
        <f t="shared" si="21"/>
        <v>0</v>
      </c>
      <c r="O30" s="607">
        <v>0</v>
      </c>
      <c r="P30" s="606">
        <v>0</v>
      </c>
      <c r="Q30" s="606">
        <v>0</v>
      </c>
      <c r="R30" s="606">
        <v>0</v>
      </c>
      <c r="S30" s="606">
        <v>0</v>
      </c>
      <c r="T30" s="606">
        <v>0</v>
      </c>
      <c r="U30" s="606">
        <v>0</v>
      </c>
      <c r="V30" s="606">
        <v>0</v>
      </c>
      <c r="W30" s="606">
        <v>0</v>
      </c>
      <c r="X30" s="606">
        <v>0</v>
      </c>
      <c r="Y30" s="606">
        <v>0</v>
      </c>
      <c r="Z30" s="606">
        <v>0</v>
      </c>
      <c r="AA30" s="614">
        <f t="shared" si="22"/>
        <v>0</v>
      </c>
      <c r="AB30" s="607">
        <v>0</v>
      </c>
      <c r="AC30" s="606">
        <v>0</v>
      </c>
      <c r="AD30" s="606">
        <v>0</v>
      </c>
      <c r="AE30" s="606">
        <v>0</v>
      </c>
      <c r="AF30" s="606">
        <v>0</v>
      </c>
      <c r="AG30" s="606">
        <v>0</v>
      </c>
      <c r="AH30" s="606">
        <v>0</v>
      </c>
      <c r="AI30" s="606">
        <v>0</v>
      </c>
      <c r="AJ30" s="606">
        <v>0</v>
      </c>
      <c r="AK30" s="606">
        <v>0</v>
      </c>
      <c r="AL30" s="606">
        <v>0</v>
      </c>
      <c r="AM30" s="606">
        <v>0</v>
      </c>
      <c r="AN30" s="614">
        <f>SUM(AB30:AM30)</f>
        <v>0</v>
      </c>
      <c r="AO30" s="607"/>
      <c r="AP30" s="606"/>
      <c r="AQ30" s="606"/>
      <c r="AR30" s="606"/>
      <c r="AS30" s="606"/>
      <c r="AT30" s="606"/>
      <c r="AU30" s="606"/>
      <c r="AV30" s="606"/>
      <c r="AW30" s="606"/>
      <c r="AX30" s="606"/>
      <c r="AY30" s="606"/>
      <c r="AZ30" s="606"/>
      <c r="BA30" s="614"/>
      <c r="BB30" s="607"/>
      <c r="BC30" s="606"/>
      <c r="BD30" s="606"/>
      <c r="BE30" s="606"/>
      <c r="BF30" s="606"/>
      <c r="BG30" s="606"/>
      <c r="BH30" s="606"/>
      <c r="BI30" s="606"/>
      <c r="BJ30" s="606"/>
      <c r="BK30" s="606"/>
      <c r="BL30" s="606"/>
      <c r="BM30" s="606"/>
      <c r="BN30" s="614"/>
      <c r="BO30" s="607">
        <v>0</v>
      </c>
      <c r="BP30" s="606">
        <v>0</v>
      </c>
      <c r="BQ30" s="606">
        <v>0</v>
      </c>
      <c r="BR30" s="606">
        <v>0</v>
      </c>
      <c r="BS30" s="606">
        <v>0</v>
      </c>
      <c r="BT30" s="606">
        <v>0</v>
      </c>
      <c r="BU30" s="606">
        <v>0</v>
      </c>
      <c r="BV30" s="606">
        <v>0</v>
      </c>
      <c r="BW30" s="606">
        <v>0</v>
      </c>
      <c r="BX30" s="606">
        <v>0</v>
      </c>
      <c r="BY30" s="606">
        <v>0</v>
      </c>
      <c r="BZ30" s="606">
        <v>0</v>
      </c>
      <c r="CA30" s="614">
        <f>SUM(BO30:BZ30)</f>
        <v>0</v>
      </c>
      <c r="CB30" s="607">
        <v>0</v>
      </c>
      <c r="CC30" s="606">
        <v>0</v>
      </c>
      <c r="CD30" s="606">
        <v>0</v>
      </c>
      <c r="CE30" s="606">
        <v>0</v>
      </c>
      <c r="CF30" s="606">
        <v>0</v>
      </c>
      <c r="CG30" s="606">
        <v>0</v>
      </c>
      <c r="CH30" s="606">
        <v>0</v>
      </c>
      <c r="CI30" s="606">
        <v>0</v>
      </c>
      <c r="CJ30" s="606">
        <v>0</v>
      </c>
      <c r="CK30" s="606">
        <v>0</v>
      </c>
      <c r="CL30" s="606">
        <v>0</v>
      </c>
      <c r="CM30" s="606">
        <v>0</v>
      </c>
      <c r="CN30" s="614">
        <f>SUM(CB30:CM30)</f>
        <v>0</v>
      </c>
      <c r="CO30" s="607">
        <v>0</v>
      </c>
      <c r="CP30" s="606">
        <v>0</v>
      </c>
      <c r="CQ30" s="606">
        <v>0</v>
      </c>
      <c r="CR30" s="606">
        <v>0</v>
      </c>
      <c r="CS30" s="606">
        <v>0</v>
      </c>
      <c r="CT30" s="606">
        <v>0</v>
      </c>
      <c r="CU30" s="606">
        <v>0</v>
      </c>
      <c r="CV30" s="606">
        <v>0</v>
      </c>
      <c r="CW30" s="606">
        <v>0</v>
      </c>
      <c r="CX30" s="606">
        <v>0</v>
      </c>
      <c r="CY30" s="606">
        <v>0</v>
      </c>
      <c r="CZ30" s="606">
        <v>0</v>
      </c>
      <c r="DA30" s="614">
        <f>SUM(CO30:CZ30)</f>
        <v>0</v>
      </c>
      <c r="DB30" s="607">
        <v>0</v>
      </c>
      <c r="DC30" s="606">
        <v>0</v>
      </c>
      <c r="DD30" s="606">
        <v>0</v>
      </c>
      <c r="DE30" s="606">
        <v>0</v>
      </c>
      <c r="DF30" s="606">
        <v>0</v>
      </c>
      <c r="DG30" s="606">
        <v>0</v>
      </c>
      <c r="DH30" s="606">
        <v>0</v>
      </c>
      <c r="DI30" s="606">
        <v>0</v>
      </c>
      <c r="DJ30" s="606">
        <v>0</v>
      </c>
      <c r="DK30" s="606">
        <v>0</v>
      </c>
      <c r="DL30" s="606">
        <v>0</v>
      </c>
      <c r="DM30" s="606">
        <v>0</v>
      </c>
      <c r="DN30" s="614">
        <f>SUM(DB30:DM30)</f>
        <v>0</v>
      </c>
      <c r="DO30" s="607">
        <v>0</v>
      </c>
      <c r="DP30" s="606">
        <v>0</v>
      </c>
      <c r="DQ30" s="606">
        <v>0</v>
      </c>
      <c r="DR30" s="606">
        <v>0</v>
      </c>
      <c r="DS30" s="606">
        <v>0</v>
      </c>
      <c r="DT30" s="606">
        <v>0</v>
      </c>
      <c r="DU30" s="606">
        <v>0</v>
      </c>
      <c r="DV30" s="606"/>
      <c r="DW30" s="606"/>
      <c r="DX30" s="606"/>
      <c r="DY30" s="606"/>
      <c r="DZ30" s="606"/>
      <c r="EA30" s="614">
        <f>SUM(DO30:DZ30)</f>
        <v>0</v>
      </c>
      <c r="EB30" s="607"/>
      <c r="EC30" s="606"/>
      <c r="ED30" s="606"/>
      <c r="EE30" s="606"/>
      <c r="EF30" s="606"/>
      <c r="EG30" s="606"/>
      <c r="EH30" s="606"/>
      <c r="EI30" s="606"/>
      <c r="EJ30" s="606"/>
      <c r="EK30" s="606"/>
      <c r="EL30" s="606"/>
      <c r="EM30" s="606"/>
      <c r="EN30" s="614"/>
      <c r="EO30" s="607"/>
      <c r="EP30" s="606"/>
      <c r="EQ30" s="606"/>
      <c r="ER30" s="606"/>
      <c r="ES30" s="606"/>
      <c r="ET30" s="606"/>
      <c r="EU30" s="606"/>
      <c r="EV30" s="606"/>
      <c r="EW30" s="606"/>
      <c r="EX30" s="606"/>
      <c r="EY30" s="606"/>
      <c r="EZ30" s="606"/>
      <c r="FA30" s="614"/>
      <c r="FB30" s="607"/>
      <c r="FC30" s="606"/>
      <c r="FD30" s="606"/>
      <c r="FE30" s="606"/>
      <c r="FF30" s="606"/>
      <c r="FG30" s="606"/>
      <c r="FH30" s="606"/>
      <c r="FI30" s="606"/>
      <c r="FJ30" s="606"/>
      <c r="FK30" s="606"/>
      <c r="FL30" s="606"/>
      <c r="FM30" s="606"/>
      <c r="FN30" s="614"/>
      <c r="FO30" s="607"/>
      <c r="FP30" s="606"/>
      <c r="FQ30" s="606"/>
      <c r="FR30" s="606"/>
      <c r="FS30" s="606"/>
      <c r="FT30" s="606"/>
      <c r="FU30" s="606"/>
      <c r="FV30" s="606"/>
      <c r="FW30" s="606"/>
      <c r="FX30" s="606"/>
      <c r="FY30" s="606"/>
      <c r="FZ30" s="606"/>
      <c r="GA30" s="614"/>
      <c r="GB30" s="607"/>
      <c r="GC30" s="606"/>
      <c r="GD30" s="606"/>
      <c r="GE30" s="606"/>
      <c r="GF30" s="606"/>
      <c r="GG30" s="606"/>
      <c r="GH30" s="606"/>
      <c r="GI30" s="606"/>
      <c r="GJ30" s="606"/>
      <c r="GK30" s="606"/>
      <c r="GL30" s="606"/>
      <c r="GM30" s="606"/>
      <c r="GN30" s="614"/>
      <c r="GO30" s="607"/>
      <c r="GP30" s="606"/>
      <c r="GQ30" s="606"/>
      <c r="GR30" s="606"/>
      <c r="GS30" s="606"/>
      <c r="GT30" s="606"/>
      <c r="GU30" s="606"/>
      <c r="GV30" s="606"/>
      <c r="GW30" s="606"/>
      <c r="GX30" s="606"/>
      <c r="GY30" s="606"/>
      <c r="GZ30" s="606"/>
      <c r="HA30" s="614"/>
      <c r="HB30" s="607"/>
      <c r="HC30" s="606"/>
      <c r="HD30" s="606"/>
      <c r="HE30" s="606"/>
      <c r="HF30" s="606"/>
      <c r="HG30" s="606"/>
      <c r="HH30" s="606"/>
      <c r="HI30" s="606"/>
      <c r="HJ30" s="606"/>
      <c r="HK30" s="606"/>
      <c r="HL30" s="606"/>
      <c r="HM30" s="606"/>
      <c r="HN30" s="614"/>
      <c r="HO30" s="607"/>
      <c r="HP30" s="606"/>
      <c r="HQ30" s="606"/>
      <c r="HR30" s="606"/>
      <c r="HS30" s="606"/>
      <c r="HT30" s="606"/>
      <c r="HU30" s="606"/>
      <c r="HV30" s="606"/>
      <c r="HW30" s="606"/>
      <c r="HX30" s="606"/>
      <c r="HY30" s="606"/>
      <c r="HZ30" s="606"/>
      <c r="IA30" s="614"/>
      <c r="IB30" s="607"/>
      <c r="IC30" s="606"/>
      <c r="ID30" s="606"/>
      <c r="IE30" s="606"/>
      <c r="IF30" s="606"/>
      <c r="IG30" s="606"/>
      <c r="IH30" s="606"/>
      <c r="II30" s="606"/>
      <c r="IJ30" s="606"/>
      <c r="IK30" s="606"/>
      <c r="IL30" s="606"/>
      <c r="IM30" s="606"/>
      <c r="IN30" s="614">
        <f t="shared" si="54"/>
        <v>0</v>
      </c>
      <c r="IO30" s="607">
        <v>0</v>
      </c>
      <c r="IP30" s="606">
        <v>0</v>
      </c>
      <c r="IQ30" s="606">
        <v>0</v>
      </c>
      <c r="IR30" s="606">
        <v>0</v>
      </c>
      <c r="IS30" s="606">
        <v>0</v>
      </c>
      <c r="IT30" s="606">
        <v>0</v>
      </c>
      <c r="IU30" s="606">
        <v>0</v>
      </c>
      <c r="IV30" s="606">
        <v>0</v>
      </c>
      <c r="IW30" s="606">
        <v>0</v>
      </c>
      <c r="IX30" s="606">
        <v>0</v>
      </c>
      <c r="IY30" s="606">
        <v>0</v>
      </c>
      <c r="IZ30" s="606">
        <v>0</v>
      </c>
      <c r="JA30" s="607">
        <f t="shared" si="56"/>
        <v>0</v>
      </c>
      <c r="JB30" s="1324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M30" s="1266"/>
      <c r="JN30" s="1059">
        <f t="shared" si="58"/>
        <v>0</v>
      </c>
      <c r="JP30" s="455" t="str">
        <f t="shared" si="59"/>
        <v/>
      </c>
      <c r="JQ30" s="455" t="str">
        <f t="shared" si="60"/>
        <v/>
      </c>
      <c r="JR30" s="456">
        <f t="shared" si="61"/>
        <v>0</v>
      </c>
      <c r="JS30" s="456">
        <f t="shared" si="62"/>
        <v>0</v>
      </c>
    </row>
    <row r="31" spans="1:279" ht="13.9" customHeight="1" x14ac:dyDescent="0.2">
      <c r="A31" s="439" t="s">
        <v>352</v>
      </c>
      <c r="B31" s="608"/>
      <c r="C31" s="609"/>
      <c r="D31" s="609"/>
      <c r="E31" s="609"/>
      <c r="F31" s="610"/>
      <c r="G31" s="610"/>
      <c r="H31" s="610"/>
      <c r="I31" s="610"/>
      <c r="J31" s="610"/>
      <c r="K31" s="610"/>
      <c r="L31" s="610"/>
      <c r="M31" s="610"/>
      <c r="N31" s="615"/>
      <c r="O31" s="608"/>
      <c r="P31" s="609"/>
      <c r="Q31" s="609"/>
      <c r="R31" s="609"/>
      <c r="S31" s="610"/>
      <c r="T31" s="610"/>
      <c r="U31" s="610"/>
      <c r="V31" s="610"/>
      <c r="W31" s="610"/>
      <c r="X31" s="610"/>
      <c r="Y31" s="610"/>
      <c r="Z31" s="610"/>
      <c r="AA31" s="615"/>
      <c r="AB31" s="608"/>
      <c r="AC31" s="609"/>
      <c r="AD31" s="609"/>
      <c r="AE31" s="609"/>
      <c r="AF31" s="610"/>
      <c r="AG31" s="610"/>
      <c r="AH31" s="610"/>
      <c r="AI31" s="610"/>
      <c r="AJ31" s="610"/>
      <c r="AK31" s="610"/>
      <c r="AL31" s="610"/>
      <c r="AM31" s="610"/>
      <c r="AN31" s="615"/>
      <c r="AO31" s="608"/>
      <c r="AP31" s="609"/>
      <c r="AQ31" s="609"/>
      <c r="AR31" s="609"/>
      <c r="AS31" s="610"/>
      <c r="AT31" s="610"/>
      <c r="AU31" s="610"/>
      <c r="AV31" s="610"/>
      <c r="AW31" s="610"/>
      <c r="AX31" s="610"/>
      <c r="AY31" s="610"/>
      <c r="AZ31" s="610"/>
      <c r="BA31" s="615"/>
      <c r="BB31" s="608"/>
      <c r="BC31" s="609"/>
      <c r="BD31" s="609"/>
      <c r="BE31" s="609"/>
      <c r="BF31" s="610"/>
      <c r="BG31" s="610"/>
      <c r="BH31" s="610"/>
      <c r="BI31" s="610"/>
      <c r="BJ31" s="610"/>
      <c r="BK31" s="610"/>
      <c r="BL31" s="610"/>
      <c r="BM31" s="610"/>
      <c r="BN31" s="615"/>
      <c r="BO31" s="608"/>
      <c r="BP31" s="609"/>
      <c r="BQ31" s="609"/>
      <c r="BR31" s="609"/>
      <c r="BS31" s="610"/>
      <c r="BT31" s="610"/>
      <c r="BU31" s="610"/>
      <c r="BV31" s="610"/>
      <c r="BW31" s="610"/>
      <c r="BX31" s="610"/>
      <c r="BY31" s="610"/>
      <c r="BZ31" s="610"/>
      <c r="CA31" s="615"/>
      <c r="CB31" s="608"/>
      <c r="CC31" s="609"/>
      <c r="CD31" s="609"/>
      <c r="CE31" s="609"/>
      <c r="CF31" s="610"/>
      <c r="CG31" s="610"/>
      <c r="CH31" s="610"/>
      <c r="CI31" s="610"/>
      <c r="CJ31" s="610"/>
      <c r="CK31" s="610"/>
      <c r="CL31" s="610"/>
      <c r="CM31" s="610"/>
      <c r="CN31" s="615"/>
      <c r="CO31" s="608"/>
      <c r="CP31" s="609"/>
      <c r="CQ31" s="609"/>
      <c r="CR31" s="609"/>
      <c r="CS31" s="610"/>
      <c r="CT31" s="610"/>
      <c r="CU31" s="610"/>
      <c r="CV31" s="610"/>
      <c r="CW31" s="610"/>
      <c r="CX31" s="610"/>
      <c r="CY31" s="610"/>
      <c r="CZ31" s="610"/>
      <c r="DA31" s="615"/>
      <c r="DB31" s="608"/>
      <c r="DC31" s="609"/>
      <c r="DD31" s="609"/>
      <c r="DE31" s="609"/>
      <c r="DF31" s="610"/>
      <c r="DG31" s="610"/>
      <c r="DH31" s="610"/>
      <c r="DI31" s="610"/>
      <c r="DJ31" s="610"/>
      <c r="DK31" s="610"/>
      <c r="DL31" s="610"/>
      <c r="DM31" s="610"/>
      <c r="DN31" s="615"/>
      <c r="DO31" s="608"/>
      <c r="DP31" s="609"/>
      <c r="DQ31" s="609"/>
      <c r="DR31" s="609"/>
      <c r="DS31" s="610"/>
      <c r="DT31" s="610"/>
      <c r="DU31" s="610"/>
      <c r="DV31" s="610"/>
      <c r="DW31" s="610"/>
      <c r="DX31" s="610"/>
      <c r="DY31" s="610"/>
      <c r="DZ31" s="610"/>
      <c r="EA31" s="615"/>
      <c r="EB31" s="608"/>
      <c r="EC31" s="609"/>
      <c r="ED31" s="609"/>
      <c r="EE31" s="609"/>
      <c r="EF31" s="610"/>
      <c r="EG31" s="610"/>
      <c r="EH31" s="610"/>
      <c r="EI31" s="610"/>
      <c r="EJ31" s="610"/>
      <c r="EK31" s="610"/>
      <c r="EL31" s="610"/>
      <c r="EM31" s="610"/>
      <c r="EN31" s="615"/>
      <c r="EO31" s="608"/>
      <c r="EP31" s="609"/>
      <c r="EQ31" s="609"/>
      <c r="ER31" s="609"/>
      <c r="ES31" s="610"/>
      <c r="ET31" s="610"/>
      <c r="EU31" s="610"/>
      <c r="EV31" s="610"/>
      <c r="EW31" s="610"/>
      <c r="EX31" s="610"/>
      <c r="EY31" s="610"/>
      <c r="EZ31" s="610"/>
      <c r="FA31" s="615"/>
      <c r="FB31" s="608"/>
      <c r="FC31" s="609"/>
      <c r="FD31" s="609"/>
      <c r="FE31" s="609"/>
      <c r="FF31" s="610"/>
      <c r="FG31" s="610"/>
      <c r="FH31" s="610"/>
      <c r="FI31" s="610"/>
      <c r="FJ31" s="610"/>
      <c r="FK31" s="610"/>
      <c r="FL31" s="610"/>
      <c r="FM31" s="610"/>
      <c r="FN31" s="615"/>
      <c r="FO31" s="608"/>
      <c r="FP31" s="609"/>
      <c r="FQ31" s="609"/>
      <c r="FR31" s="609"/>
      <c r="FS31" s="610"/>
      <c r="FT31" s="610"/>
      <c r="FU31" s="610"/>
      <c r="FV31" s="610"/>
      <c r="FW31" s="610"/>
      <c r="FX31" s="610"/>
      <c r="FY31" s="610"/>
      <c r="FZ31" s="610"/>
      <c r="GA31" s="615"/>
      <c r="GB31" s="608"/>
      <c r="GC31" s="609"/>
      <c r="GD31" s="609"/>
      <c r="GE31" s="609"/>
      <c r="GF31" s="610"/>
      <c r="GG31" s="610"/>
      <c r="GH31" s="610"/>
      <c r="GI31" s="610"/>
      <c r="GJ31" s="610"/>
      <c r="GK31" s="610"/>
      <c r="GL31" s="610"/>
      <c r="GM31" s="610"/>
      <c r="GN31" s="615"/>
      <c r="GO31" s="608"/>
      <c r="GP31" s="609"/>
      <c r="GQ31" s="609"/>
      <c r="GR31" s="609"/>
      <c r="GS31" s="610"/>
      <c r="GT31" s="610"/>
      <c r="GU31" s="610"/>
      <c r="GV31" s="610"/>
      <c r="GW31" s="610"/>
      <c r="GX31" s="610"/>
      <c r="GY31" s="610"/>
      <c r="GZ31" s="610"/>
      <c r="HA31" s="615"/>
      <c r="HB31" s="608"/>
      <c r="HC31" s="609"/>
      <c r="HD31" s="609"/>
      <c r="HE31" s="609"/>
      <c r="HF31" s="610"/>
      <c r="HG31" s="610"/>
      <c r="HH31" s="610"/>
      <c r="HI31" s="610"/>
      <c r="HJ31" s="610"/>
      <c r="HK31" s="610"/>
      <c r="HL31" s="610"/>
      <c r="HM31" s="610"/>
      <c r="HN31" s="615"/>
      <c r="HO31" s="608"/>
      <c r="HP31" s="609"/>
      <c r="HQ31" s="609"/>
      <c r="HR31" s="609"/>
      <c r="HS31" s="610"/>
      <c r="HT31" s="610"/>
      <c r="HU31" s="610"/>
      <c r="HV31" s="610"/>
      <c r="HW31" s="610"/>
      <c r="HX31" s="610"/>
      <c r="HY31" s="610"/>
      <c r="HZ31" s="610"/>
      <c r="IA31" s="615"/>
      <c r="IB31" s="608"/>
      <c r="IC31" s="609"/>
      <c r="ID31" s="609"/>
      <c r="IE31" s="609"/>
      <c r="IF31" s="610"/>
      <c r="IG31" s="610"/>
      <c r="IH31" s="610"/>
      <c r="II31" s="610"/>
      <c r="IJ31" s="610"/>
      <c r="IK31" s="610"/>
      <c r="IL31" s="610"/>
      <c r="IM31" s="610"/>
      <c r="IN31" s="615"/>
      <c r="IO31" s="608"/>
      <c r="IP31" s="609"/>
      <c r="IQ31" s="609"/>
      <c r="IR31" s="609"/>
      <c r="IS31" s="610"/>
      <c r="IT31" s="610"/>
      <c r="IU31" s="610"/>
      <c r="IV31" s="610"/>
      <c r="IW31" s="610"/>
      <c r="IX31" s="610"/>
      <c r="IY31" s="610"/>
      <c r="IZ31" s="610"/>
      <c r="JA31" s="1361"/>
      <c r="JB31" s="1331"/>
      <c r="JC31" s="1332"/>
      <c r="JD31" s="1332"/>
      <c r="JE31" s="1332"/>
      <c r="JF31" s="1332"/>
      <c r="JG31" s="1332"/>
      <c r="JH31" s="1332"/>
      <c r="JI31" s="1332"/>
      <c r="JJ31" s="1332"/>
      <c r="JK31" s="1332"/>
      <c r="JL31" s="1332"/>
      <c r="JM31" s="1290"/>
      <c r="JN31" s="1358"/>
      <c r="JP31" s="429"/>
      <c r="JQ31" s="429"/>
      <c r="JR31" s="429"/>
      <c r="JS31" s="429"/>
    </row>
    <row r="32" spans="1:279" ht="13.9" customHeight="1" x14ac:dyDescent="0.2">
      <c r="A32" s="595" t="s">
        <v>298</v>
      </c>
      <c r="HM32" s="403"/>
      <c r="HN32" s="403"/>
      <c r="HO32" s="403"/>
      <c r="HP32" s="403"/>
      <c r="HQ32" s="403"/>
      <c r="HR32" s="403"/>
      <c r="HS32" s="403"/>
      <c r="HT32" s="403"/>
      <c r="HU32" s="403"/>
      <c r="HV32" s="403"/>
      <c r="HW32" s="403"/>
      <c r="HX32" s="403"/>
      <c r="HY32" s="403"/>
      <c r="HZ32" s="403"/>
      <c r="IA32" s="403"/>
      <c r="IB32" s="403"/>
      <c r="IC32" s="403"/>
      <c r="ID32" s="403"/>
      <c r="IE32" s="403"/>
      <c r="IF32" s="403"/>
      <c r="IG32" s="403"/>
      <c r="IH32" s="403"/>
      <c r="II32" s="403"/>
      <c r="IJ32" s="403"/>
      <c r="IK32" s="403"/>
      <c r="IL32" s="403"/>
      <c r="IM32" s="403"/>
      <c r="IN32" s="403"/>
      <c r="IO32" s="403"/>
      <c r="IP32" s="403"/>
      <c r="IQ32" s="403"/>
      <c r="IR32" s="403"/>
    </row>
    <row r="33" spans="1:279" ht="13.9" customHeight="1" x14ac:dyDescent="0.2">
      <c r="A33" s="473" t="s">
        <v>127</v>
      </c>
      <c r="FS33" s="406"/>
      <c r="FU33" s="406"/>
      <c r="FV33" s="406"/>
      <c r="FW33" s="406"/>
      <c r="FX33" s="406"/>
      <c r="FY33" s="406"/>
      <c r="FZ33" s="406"/>
      <c r="GA33" s="406"/>
      <c r="GB33" s="406"/>
      <c r="GC33" s="406"/>
      <c r="GD33" s="406"/>
      <c r="GE33" s="406"/>
      <c r="GF33" s="406"/>
      <c r="GG33" s="406"/>
      <c r="GH33" s="406"/>
      <c r="GI33" s="406"/>
      <c r="GJ33" s="406"/>
      <c r="GK33" s="406"/>
      <c r="GL33" s="406"/>
      <c r="GM33" s="406"/>
      <c r="GN33" s="406"/>
      <c r="GO33" s="406"/>
      <c r="GP33" s="406"/>
      <c r="GQ33" s="406"/>
      <c r="GR33" s="406"/>
      <c r="GS33" s="406"/>
      <c r="GT33" s="406"/>
      <c r="GU33" s="406"/>
      <c r="GV33" s="406"/>
      <c r="GW33" s="406"/>
      <c r="GX33" s="406"/>
      <c r="GY33" s="406"/>
      <c r="GZ33" s="406"/>
      <c r="HA33" s="406"/>
      <c r="HB33" s="406"/>
      <c r="HC33" s="406"/>
      <c r="HD33" s="406"/>
      <c r="HE33" s="406"/>
      <c r="HF33" s="406"/>
      <c r="HG33" s="406"/>
      <c r="HH33" s="406"/>
      <c r="HI33" s="406"/>
      <c r="HJ33" s="406"/>
      <c r="HK33" s="406"/>
      <c r="HM33" s="403"/>
      <c r="HN33" s="403"/>
      <c r="HO33" s="403"/>
      <c r="HP33" s="403"/>
      <c r="HQ33" s="403"/>
      <c r="HR33" s="403"/>
      <c r="HS33" s="403"/>
      <c r="HT33" s="403"/>
      <c r="HU33" s="403"/>
      <c r="HV33" s="403"/>
      <c r="HW33" s="403"/>
      <c r="HX33" s="403"/>
      <c r="HY33" s="403"/>
      <c r="HZ33" s="403"/>
      <c r="IA33" s="403"/>
      <c r="IB33" s="403"/>
      <c r="IC33" s="403"/>
      <c r="ID33" s="403"/>
      <c r="IE33" s="403"/>
      <c r="IF33" s="403"/>
      <c r="IG33" s="403"/>
      <c r="IH33" s="403"/>
      <c r="II33" s="403"/>
      <c r="IJ33" s="403"/>
      <c r="IK33" s="403"/>
      <c r="IL33" s="403"/>
      <c r="IM33" s="403"/>
      <c r="IN33" s="403"/>
      <c r="IO33" s="403"/>
      <c r="IP33" s="403"/>
      <c r="IQ33" s="403"/>
      <c r="IR33" s="403"/>
    </row>
    <row r="34" spans="1:279" ht="13.9" customHeight="1" x14ac:dyDescent="0.2">
      <c r="A34" s="473" t="s">
        <v>352</v>
      </c>
      <c r="EB34" s="405">
        <f t="shared" ref="EB34:EM34" si="129">EB7-EB20</f>
        <v>22121</v>
      </c>
      <c r="EC34" s="405">
        <f t="shared" si="129"/>
        <v>8695</v>
      </c>
      <c r="ED34" s="405">
        <f t="shared" si="129"/>
        <v>14336</v>
      </c>
      <c r="EE34" s="405">
        <f t="shared" si="129"/>
        <v>11969</v>
      </c>
      <c r="EF34" s="405">
        <f t="shared" si="129"/>
        <v>9993</v>
      </c>
      <c r="EG34" s="405">
        <f t="shared" si="129"/>
        <v>8358</v>
      </c>
      <c r="EH34" s="405">
        <f t="shared" si="129"/>
        <v>14256</v>
      </c>
      <c r="EI34" s="405">
        <f t="shared" si="129"/>
        <v>9881</v>
      </c>
      <c r="EJ34" s="405">
        <f t="shared" si="129"/>
        <v>10353</v>
      </c>
      <c r="EK34" s="405">
        <f t="shared" si="129"/>
        <v>16108</v>
      </c>
      <c r="EL34" s="405">
        <f t="shared" si="129"/>
        <v>15374</v>
      </c>
      <c r="EM34" s="405">
        <f t="shared" si="129"/>
        <v>15254</v>
      </c>
      <c r="EO34" s="406">
        <f t="shared" ref="EO34:EZ34" si="130">EO7-EO20</f>
        <v>2110</v>
      </c>
      <c r="EP34" s="406">
        <f t="shared" si="130"/>
        <v>18371</v>
      </c>
      <c r="EQ34" s="406">
        <f t="shared" si="130"/>
        <v>27282</v>
      </c>
      <c r="ER34" s="406">
        <f t="shared" si="130"/>
        <v>10559</v>
      </c>
      <c r="ES34" s="406">
        <f t="shared" si="130"/>
        <v>5522</v>
      </c>
      <c r="ET34" s="406">
        <f t="shared" si="130"/>
        <v>14076</v>
      </c>
      <c r="EU34" s="406">
        <f t="shared" si="130"/>
        <v>9490</v>
      </c>
      <c r="EV34" s="406">
        <f t="shared" si="130"/>
        <v>16564</v>
      </c>
      <c r="EW34" s="406">
        <f t="shared" si="130"/>
        <v>5602</v>
      </c>
      <c r="EX34" s="406">
        <f t="shared" si="130"/>
        <v>5912</v>
      </c>
      <c r="EY34" s="406">
        <f t="shared" si="130"/>
        <v>6838</v>
      </c>
      <c r="EZ34" s="406">
        <f t="shared" si="130"/>
        <v>12074</v>
      </c>
      <c r="FB34" s="406">
        <f t="shared" ref="FB34:FM34" si="131">FB7-FB20</f>
        <v>9474</v>
      </c>
      <c r="FC34" s="406">
        <f t="shared" si="131"/>
        <v>11953</v>
      </c>
      <c r="FD34" s="406">
        <f t="shared" si="131"/>
        <v>10497</v>
      </c>
      <c r="FE34" s="406">
        <f t="shared" si="131"/>
        <v>28693</v>
      </c>
      <c r="FF34" s="406">
        <f t="shared" si="131"/>
        <v>3850</v>
      </c>
      <c r="FG34" s="406">
        <f t="shared" si="131"/>
        <v>11658</v>
      </c>
      <c r="FH34" s="406">
        <f t="shared" si="131"/>
        <v>15238</v>
      </c>
      <c r="FI34" s="406">
        <f t="shared" si="131"/>
        <v>7135</v>
      </c>
      <c r="FJ34" s="406">
        <f t="shared" si="131"/>
        <v>9582</v>
      </c>
      <c r="FK34" s="406">
        <f t="shared" si="131"/>
        <v>6291</v>
      </c>
      <c r="FL34" s="406">
        <f t="shared" si="131"/>
        <v>11067</v>
      </c>
      <c r="FM34" s="406">
        <f t="shared" si="131"/>
        <v>7527</v>
      </c>
      <c r="FN34" s="406"/>
      <c r="FO34" s="406">
        <f t="shared" ref="FO34:FZ34" si="132">FO7-FO20</f>
        <v>31648</v>
      </c>
      <c r="FP34" s="406">
        <f t="shared" si="132"/>
        <v>5651</v>
      </c>
      <c r="FQ34" s="406">
        <f t="shared" si="132"/>
        <v>9109</v>
      </c>
      <c r="FR34" s="406">
        <f t="shared" si="132"/>
        <v>6234</v>
      </c>
      <c r="FS34" s="406">
        <f t="shared" si="132"/>
        <v>8528</v>
      </c>
      <c r="FT34" s="406">
        <f t="shared" si="132"/>
        <v>6058</v>
      </c>
      <c r="FU34" s="406">
        <f t="shared" si="132"/>
        <v>9637</v>
      </c>
      <c r="FV34" s="406">
        <f t="shared" si="132"/>
        <v>7552</v>
      </c>
      <c r="FW34" s="406">
        <f t="shared" si="132"/>
        <v>11169</v>
      </c>
      <c r="FX34" s="406">
        <f t="shared" si="132"/>
        <v>7942</v>
      </c>
      <c r="FY34" s="406">
        <f t="shared" si="132"/>
        <v>9008</v>
      </c>
      <c r="FZ34" s="406">
        <f t="shared" si="132"/>
        <v>12965</v>
      </c>
      <c r="GA34" s="406"/>
      <c r="GB34" s="406">
        <f t="shared" ref="GB34:GM34" si="133">GB7-GB20</f>
        <v>19805</v>
      </c>
      <c r="GC34" s="406">
        <f t="shared" si="133"/>
        <v>24054</v>
      </c>
      <c r="GD34" s="406">
        <f t="shared" si="133"/>
        <v>5918</v>
      </c>
      <c r="GE34" s="406">
        <f t="shared" si="133"/>
        <v>4995</v>
      </c>
      <c r="GF34" s="406">
        <f t="shared" si="133"/>
        <v>5852</v>
      </c>
      <c r="GG34" s="406">
        <f t="shared" si="133"/>
        <v>5417</v>
      </c>
      <c r="GH34" s="406">
        <f t="shared" si="133"/>
        <v>20260</v>
      </c>
      <c r="GI34" s="406">
        <f t="shared" si="133"/>
        <v>9752</v>
      </c>
      <c r="GJ34" s="406">
        <f t="shared" si="133"/>
        <v>13926</v>
      </c>
      <c r="GK34" s="406">
        <f t="shared" si="133"/>
        <v>19483</v>
      </c>
      <c r="GL34" s="406">
        <f t="shared" si="133"/>
        <v>13971</v>
      </c>
      <c r="GM34" s="406">
        <f t="shared" si="133"/>
        <v>16202</v>
      </c>
      <c r="GN34" s="406"/>
      <c r="GO34" s="406">
        <f t="shared" ref="GO34:GZ34" si="134">GO7-GO20</f>
        <v>24835</v>
      </c>
      <c r="GP34" s="406">
        <f t="shared" si="134"/>
        <v>89621</v>
      </c>
      <c r="GQ34" s="406">
        <f t="shared" si="134"/>
        <v>10703</v>
      </c>
      <c r="GR34" s="406">
        <f t="shared" si="134"/>
        <v>10657</v>
      </c>
      <c r="GS34" s="406">
        <f t="shared" si="134"/>
        <v>11304</v>
      </c>
      <c r="GT34" s="406">
        <f t="shared" si="134"/>
        <v>17074</v>
      </c>
      <c r="GU34" s="406">
        <f t="shared" si="134"/>
        <v>44543</v>
      </c>
      <c r="GV34" s="406">
        <f t="shared" si="134"/>
        <v>12482</v>
      </c>
      <c r="GW34" s="406">
        <f t="shared" si="134"/>
        <v>7074</v>
      </c>
      <c r="GX34" s="406">
        <f t="shared" si="134"/>
        <v>8120</v>
      </c>
      <c r="GY34" s="406">
        <f t="shared" si="134"/>
        <v>23504</v>
      </c>
      <c r="GZ34" s="406">
        <f t="shared" si="134"/>
        <v>8396</v>
      </c>
      <c r="HA34" s="406"/>
      <c r="HB34" s="406">
        <f t="shared" ref="HB34:HM34" si="135">HB7-HB20</f>
        <v>25312</v>
      </c>
      <c r="HC34" s="406">
        <f t="shared" si="135"/>
        <v>15698</v>
      </c>
      <c r="HD34" s="406">
        <f t="shared" si="135"/>
        <v>79373</v>
      </c>
      <c r="HE34" s="406">
        <f t="shared" si="135"/>
        <v>27539</v>
      </c>
      <c r="HF34" s="406">
        <f t="shared" si="135"/>
        <v>36314</v>
      </c>
      <c r="HG34" s="406">
        <f t="shared" si="135"/>
        <v>37606</v>
      </c>
      <c r="HH34" s="406">
        <f t="shared" si="135"/>
        <v>45653</v>
      </c>
      <c r="HI34" s="406">
        <f t="shared" si="135"/>
        <v>32481</v>
      </c>
      <c r="HJ34" s="406">
        <f t="shared" si="135"/>
        <v>45855</v>
      </c>
      <c r="HK34" s="406">
        <f t="shared" si="135"/>
        <v>32461</v>
      </c>
      <c r="HL34" s="404">
        <f t="shared" si="135"/>
        <v>40527</v>
      </c>
      <c r="HM34" s="404">
        <f t="shared" si="135"/>
        <v>31752</v>
      </c>
      <c r="HN34" s="404"/>
      <c r="HO34" s="404">
        <f t="shared" ref="HO34:HZ34" si="136">HO7-HO20</f>
        <v>52550</v>
      </c>
      <c r="HP34" s="404">
        <f t="shared" si="136"/>
        <v>54746</v>
      </c>
      <c r="HQ34" s="404">
        <f t="shared" si="136"/>
        <v>33409</v>
      </c>
      <c r="HR34" s="404">
        <f t="shared" si="136"/>
        <v>31367</v>
      </c>
      <c r="HS34" s="404">
        <f t="shared" si="136"/>
        <v>34919</v>
      </c>
      <c r="HT34" s="404">
        <f t="shared" si="136"/>
        <v>31870</v>
      </c>
      <c r="HU34" s="404">
        <f t="shared" si="136"/>
        <v>42658</v>
      </c>
      <c r="HV34" s="404">
        <f t="shared" si="136"/>
        <v>27736</v>
      </c>
      <c r="HW34" s="404">
        <f t="shared" si="136"/>
        <v>29652</v>
      </c>
      <c r="HX34" s="404">
        <f t="shared" si="136"/>
        <v>35394</v>
      </c>
      <c r="HY34" s="404">
        <f t="shared" si="136"/>
        <v>41140</v>
      </c>
      <c r="HZ34" s="404">
        <f t="shared" si="136"/>
        <v>31912</v>
      </c>
      <c r="IA34" s="404"/>
      <c r="IB34" s="404">
        <f t="shared" ref="IB34:IM34" si="137">IB7-IB20</f>
        <v>26305</v>
      </c>
      <c r="IC34" s="404">
        <f t="shared" si="137"/>
        <v>110840</v>
      </c>
      <c r="ID34" s="404">
        <f t="shared" si="137"/>
        <v>39500</v>
      </c>
      <c r="IE34" s="404">
        <f t="shared" si="137"/>
        <v>34208</v>
      </c>
      <c r="IF34" s="404">
        <f t="shared" si="137"/>
        <v>36546</v>
      </c>
      <c r="IG34" s="404">
        <f t="shared" si="137"/>
        <v>42765</v>
      </c>
      <c r="IH34" s="404">
        <f t="shared" si="137"/>
        <v>44683</v>
      </c>
      <c r="II34" s="404">
        <f t="shared" si="137"/>
        <v>41684</v>
      </c>
      <c r="IJ34" s="404">
        <f t="shared" si="137"/>
        <v>40777</v>
      </c>
      <c r="IK34" s="404">
        <f t="shared" si="137"/>
        <v>44527</v>
      </c>
      <c r="IL34" s="404">
        <f t="shared" si="137"/>
        <v>37883</v>
      </c>
      <c r="IM34" s="404">
        <f t="shared" si="137"/>
        <v>70992</v>
      </c>
      <c r="IN34" s="404"/>
      <c r="IO34" s="404">
        <f t="shared" ref="IO34:IZ34" si="138">IO7-IO20</f>
        <v>48167</v>
      </c>
      <c r="IP34" s="404">
        <f t="shared" si="138"/>
        <v>105526</v>
      </c>
      <c r="IQ34" s="404">
        <f t="shared" si="138"/>
        <v>42971</v>
      </c>
      <c r="IR34" s="404">
        <f t="shared" si="138"/>
        <v>38071</v>
      </c>
      <c r="IS34" s="404">
        <f t="shared" si="138"/>
        <v>43610</v>
      </c>
      <c r="IT34" s="404">
        <f t="shared" si="138"/>
        <v>49160</v>
      </c>
      <c r="IU34" s="404">
        <f t="shared" si="138"/>
        <v>57774</v>
      </c>
      <c r="IV34" s="404">
        <f t="shared" si="138"/>
        <v>41808</v>
      </c>
      <c r="IW34" s="404">
        <f t="shared" si="138"/>
        <v>42745</v>
      </c>
      <c r="IX34" s="404">
        <f t="shared" si="138"/>
        <v>45124</v>
      </c>
      <c r="IY34" s="404">
        <f t="shared" si="138"/>
        <v>47410</v>
      </c>
      <c r="IZ34" s="404">
        <f t="shared" si="138"/>
        <v>40910</v>
      </c>
      <c r="JA34" s="404"/>
      <c r="JB34" s="404">
        <f t="shared" ref="JB34:JE34" si="139">JB7-JB20</f>
        <v>111477</v>
      </c>
      <c r="JC34">
        <f t="shared" si="139"/>
        <v>49897</v>
      </c>
      <c r="JD34">
        <f t="shared" si="139"/>
        <v>38698</v>
      </c>
      <c r="JE34">
        <f t="shared" si="139"/>
        <v>36564</v>
      </c>
      <c r="JF34">
        <f>JF7-JF20</f>
        <v>59239</v>
      </c>
      <c r="JG34">
        <f>JG7-JG20</f>
        <v>43444</v>
      </c>
      <c r="JH34">
        <f>JH7-JH20</f>
        <v>55572</v>
      </c>
      <c r="JI34">
        <f>JI7-JI20</f>
        <v>92393</v>
      </c>
    </row>
    <row r="35" spans="1:279" ht="13.9" customHeight="1" x14ac:dyDescent="0.2">
      <c r="A35" s="405" t="s">
        <v>352</v>
      </c>
      <c r="AV35" s="406">
        <f t="shared" ref="AV35:CA35" si="140">+AV24-AV7</f>
        <v>0</v>
      </c>
      <c r="AW35" s="406">
        <f t="shared" si="140"/>
        <v>0</v>
      </c>
      <c r="AX35" s="406">
        <f t="shared" si="140"/>
        <v>0</v>
      </c>
      <c r="AY35" s="406">
        <f t="shared" si="140"/>
        <v>0</v>
      </c>
      <c r="AZ35" s="406">
        <f t="shared" si="140"/>
        <v>0</v>
      </c>
      <c r="BA35" s="406">
        <f t="shared" si="140"/>
        <v>-2264</v>
      </c>
      <c r="BB35" s="406">
        <f t="shared" si="140"/>
        <v>0</v>
      </c>
      <c r="BC35" s="406">
        <f t="shared" si="140"/>
        <v>0</v>
      </c>
      <c r="BD35" s="406">
        <f t="shared" si="140"/>
        <v>0</v>
      </c>
      <c r="BE35" s="406">
        <f t="shared" si="140"/>
        <v>0</v>
      </c>
      <c r="BF35" s="406">
        <f t="shared" si="140"/>
        <v>0</v>
      </c>
      <c r="BG35" s="406">
        <f t="shared" si="140"/>
        <v>0</v>
      </c>
      <c r="BH35" s="406">
        <f t="shared" si="140"/>
        <v>0</v>
      </c>
      <c r="BI35" s="406">
        <f t="shared" si="140"/>
        <v>0</v>
      </c>
      <c r="BJ35" s="406">
        <f t="shared" si="140"/>
        <v>0</v>
      </c>
      <c r="BK35" s="406">
        <f t="shared" si="140"/>
        <v>0</v>
      </c>
      <c r="BL35" s="406">
        <f t="shared" si="140"/>
        <v>0</v>
      </c>
      <c r="BM35" s="406">
        <f t="shared" si="140"/>
        <v>0</v>
      </c>
      <c r="BN35" s="406">
        <f t="shared" si="140"/>
        <v>0</v>
      </c>
      <c r="BO35" s="406">
        <f t="shared" si="140"/>
        <v>0</v>
      </c>
      <c r="BP35" s="406">
        <f t="shared" si="140"/>
        <v>0</v>
      </c>
      <c r="BQ35" s="406">
        <f t="shared" si="140"/>
        <v>0</v>
      </c>
      <c r="BR35" s="406">
        <f t="shared" si="140"/>
        <v>0</v>
      </c>
      <c r="BS35" s="406">
        <f t="shared" si="140"/>
        <v>0</v>
      </c>
      <c r="BT35" s="406">
        <f t="shared" si="140"/>
        <v>0</v>
      </c>
      <c r="BU35" s="406">
        <f t="shared" si="140"/>
        <v>0</v>
      </c>
      <c r="BV35" s="406">
        <f t="shared" si="140"/>
        <v>0</v>
      </c>
      <c r="BW35" s="406">
        <f t="shared" si="140"/>
        <v>0</v>
      </c>
      <c r="BX35" s="406">
        <f t="shared" si="140"/>
        <v>0</v>
      </c>
      <c r="BY35" s="406">
        <f t="shared" si="140"/>
        <v>0</v>
      </c>
      <c r="BZ35" s="406">
        <f t="shared" si="140"/>
        <v>0</v>
      </c>
      <c r="CA35" s="406">
        <f t="shared" si="140"/>
        <v>0</v>
      </c>
      <c r="CB35" s="406"/>
      <c r="CC35" s="406"/>
      <c r="CD35" s="406"/>
      <c r="CE35" s="406"/>
      <c r="CF35" s="406"/>
      <c r="CG35" s="406"/>
      <c r="CH35" s="406"/>
      <c r="CI35" s="406"/>
      <c r="CJ35" s="406"/>
      <c r="CK35" s="406"/>
      <c r="CL35" s="406"/>
      <c r="CM35" s="406"/>
      <c r="CN35" s="406"/>
      <c r="CO35" s="431"/>
      <c r="CP35" s="431"/>
      <c r="CQ35" s="431"/>
      <c r="CR35" s="431"/>
      <c r="CS35" s="431"/>
      <c r="CT35" s="431"/>
      <c r="CU35" s="431"/>
      <c r="CV35" s="431"/>
      <c r="CW35" s="431"/>
      <c r="CX35" s="431"/>
      <c r="CY35" s="431"/>
      <c r="CZ35" s="431"/>
      <c r="DA35" s="410"/>
      <c r="DB35" s="431"/>
      <c r="DC35" s="431"/>
      <c r="DD35" s="431"/>
      <c r="DE35" s="431"/>
      <c r="DF35" s="431"/>
      <c r="DG35" s="431"/>
      <c r="DH35" s="431"/>
      <c r="DI35" s="431"/>
      <c r="DJ35" s="431"/>
      <c r="DK35" s="431"/>
      <c r="DL35" s="431"/>
      <c r="DM35" s="431"/>
      <c r="DN35" s="431"/>
      <c r="DO35" s="431"/>
      <c r="DP35" s="431"/>
      <c r="DQ35" s="431"/>
      <c r="DR35" s="431"/>
      <c r="DS35" s="431"/>
      <c r="DT35" s="431"/>
      <c r="DU35" s="431"/>
      <c r="DV35" s="431"/>
      <c r="DW35" s="431"/>
      <c r="DX35" s="431"/>
      <c r="DY35" s="431"/>
      <c r="DZ35" s="431"/>
      <c r="EA35" s="431"/>
      <c r="EB35" s="431">
        <f t="shared" ref="EB35:EM35" si="141">EB34-EB38</f>
        <v>0</v>
      </c>
      <c r="EC35" s="431">
        <f t="shared" si="141"/>
        <v>0</v>
      </c>
      <c r="ED35" s="431">
        <f t="shared" si="141"/>
        <v>0</v>
      </c>
      <c r="EE35" s="431">
        <f t="shared" si="141"/>
        <v>0</v>
      </c>
      <c r="EF35" s="431">
        <f t="shared" si="141"/>
        <v>0</v>
      </c>
      <c r="EG35" s="431">
        <f t="shared" si="141"/>
        <v>0</v>
      </c>
      <c r="EH35" s="431">
        <f t="shared" si="141"/>
        <v>0</v>
      </c>
      <c r="EI35" s="431">
        <f t="shared" si="141"/>
        <v>0</v>
      </c>
      <c r="EJ35" s="431">
        <f t="shared" si="141"/>
        <v>0</v>
      </c>
      <c r="EK35" s="431">
        <f t="shared" si="141"/>
        <v>0</v>
      </c>
      <c r="EL35" s="431">
        <f t="shared" si="141"/>
        <v>0</v>
      </c>
      <c r="EM35" s="431">
        <f t="shared" si="141"/>
        <v>0</v>
      </c>
      <c r="EN35" s="431"/>
      <c r="EO35" s="467">
        <f t="shared" ref="EO35:EZ35" si="142">EO34-EO38</f>
        <v>0</v>
      </c>
      <c r="EP35" s="467">
        <f t="shared" si="142"/>
        <v>0</v>
      </c>
      <c r="EQ35" s="467">
        <f t="shared" si="142"/>
        <v>0</v>
      </c>
      <c r="ER35" s="467">
        <f t="shared" si="142"/>
        <v>0</v>
      </c>
      <c r="ES35" s="467">
        <f t="shared" si="142"/>
        <v>0</v>
      </c>
      <c r="ET35" s="467">
        <f t="shared" si="142"/>
        <v>0</v>
      </c>
      <c r="EU35" s="467">
        <f t="shared" si="142"/>
        <v>0</v>
      </c>
      <c r="EV35" s="467">
        <f t="shared" si="142"/>
        <v>0</v>
      </c>
      <c r="EW35" s="467">
        <f t="shared" si="142"/>
        <v>0</v>
      </c>
      <c r="EX35" s="467">
        <f t="shared" si="142"/>
        <v>3</v>
      </c>
      <c r="EY35" s="467">
        <f t="shared" si="142"/>
        <v>-1011</v>
      </c>
      <c r="EZ35" s="467">
        <f t="shared" si="142"/>
        <v>421</v>
      </c>
      <c r="FA35" s="431"/>
      <c r="FB35" s="467">
        <f t="shared" ref="FB35:FM35" si="143">FB34-FB38</f>
        <v>0</v>
      </c>
      <c r="FC35" s="467">
        <f t="shared" si="143"/>
        <v>-45</v>
      </c>
      <c r="FD35" s="467">
        <f t="shared" si="143"/>
        <v>0</v>
      </c>
      <c r="FE35" s="467">
        <f t="shared" si="143"/>
        <v>0</v>
      </c>
      <c r="FF35" s="467">
        <f t="shared" si="143"/>
        <v>-400</v>
      </c>
      <c r="FG35" s="467">
        <f t="shared" si="143"/>
        <v>0</v>
      </c>
      <c r="FH35" s="467">
        <f t="shared" si="143"/>
        <v>0</v>
      </c>
      <c r="FI35" s="467">
        <f t="shared" si="143"/>
        <v>-20</v>
      </c>
      <c r="FJ35" s="467">
        <f t="shared" si="143"/>
        <v>0</v>
      </c>
      <c r="FK35" s="467">
        <f t="shared" si="143"/>
        <v>133</v>
      </c>
      <c r="FL35" s="467">
        <f t="shared" si="143"/>
        <v>0</v>
      </c>
      <c r="FM35" s="467">
        <f t="shared" si="143"/>
        <v>218</v>
      </c>
      <c r="FN35" s="467"/>
      <c r="FO35" s="467">
        <f t="shared" ref="FO35:FZ35" si="144">FO34-FO38</f>
        <v>0</v>
      </c>
      <c r="FP35" s="467">
        <f t="shared" si="144"/>
        <v>0</v>
      </c>
      <c r="FQ35" s="467">
        <f t="shared" si="144"/>
        <v>0</v>
      </c>
      <c r="FR35" s="467">
        <f t="shared" si="144"/>
        <v>0</v>
      </c>
      <c r="FS35" s="467">
        <f t="shared" si="144"/>
        <v>0</v>
      </c>
      <c r="FT35" s="467">
        <f>FT34-FT38</f>
        <v>0</v>
      </c>
      <c r="FU35" s="467">
        <f t="shared" si="144"/>
        <v>0</v>
      </c>
      <c r="FV35" s="467">
        <f t="shared" si="144"/>
        <v>0</v>
      </c>
      <c r="FW35" s="467">
        <f t="shared" si="144"/>
        <v>0</v>
      </c>
      <c r="FX35" s="467">
        <f t="shared" si="144"/>
        <v>0</v>
      </c>
      <c r="FY35" s="467">
        <f t="shared" si="144"/>
        <v>1</v>
      </c>
      <c r="FZ35" s="467">
        <f t="shared" si="144"/>
        <v>0</v>
      </c>
      <c r="GA35" s="467"/>
      <c r="GB35" s="467">
        <f t="shared" ref="GB35:GM35" si="145">GB34-GB38</f>
        <v>0</v>
      </c>
      <c r="GC35" s="467">
        <f t="shared" si="145"/>
        <v>0</v>
      </c>
      <c r="GD35" s="467">
        <f t="shared" si="145"/>
        <v>0</v>
      </c>
      <c r="GE35" s="467">
        <f t="shared" si="145"/>
        <v>0</v>
      </c>
      <c r="GF35" s="467">
        <f t="shared" si="145"/>
        <v>0</v>
      </c>
      <c r="GG35" s="467">
        <f t="shared" si="145"/>
        <v>0</v>
      </c>
      <c r="GH35" s="467">
        <f t="shared" si="145"/>
        <v>0</v>
      </c>
      <c r="GI35" s="467">
        <f t="shared" si="145"/>
        <v>0</v>
      </c>
      <c r="GJ35" s="467">
        <f t="shared" si="145"/>
        <v>0</v>
      </c>
      <c r="GK35" s="467">
        <f t="shared" si="145"/>
        <v>0</v>
      </c>
      <c r="GL35" s="467">
        <f t="shared" si="145"/>
        <v>0</v>
      </c>
      <c r="GM35" s="467">
        <f t="shared" si="145"/>
        <v>0</v>
      </c>
      <c r="GN35" s="467"/>
      <c r="GO35" s="467">
        <f>GO34-GO38</f>
        <v>0</v>
      </c>
      <c r="GP35" s="467">
        <f>GP34-GP38</f>
        <v>0</v>
      </c>
      <c r="GQ35" s="467">
        <f>GQ34-GQ38</f>
        <v>0</v>
      </c>
      <c r="GR35" s="467">
        <v>0</v>
      </c>
      <c r="GS35" s="472">
        <f t="shared" ref="GS35:GZ36" si="146">GS34-GS38</f>
        <v>0</v>
      </c>
      <c r="GT35" s="467">
        <f t="shared" si="146"/>
        <v>0</v>
      </c>
      <c r="GU35" s="467">
        <f t="shared" si="146"/>
        <v>0</v>
      </c>
      <c r="GV35" s="467">
        <f t="shared" si="146"/>
        <v>0</v>
      </c>
      <c r="GW35" s="467">
        <f t="shared" si="146"/>
        <v>0</v>
      </c>
      <c r="GX35" s="467">
        <f t="shared" si="146"/>
        <v>0</v>
      </c>
      <c r="GY35" s="467">
        <f t="shared" si="146"/>
        <v>0</v>
      </c>
      <c r="GZ35" s="467">
        <f t="shared" si="146"/>
        <v>0</v>
      </c>
      <c r="HA35" s="467"/>
      <c r="HB35" s="467">
        <f t="shared" ref="HB35:HK35" si="147">HB34-HB38</f>
        <v>0</v>
      </c>
      <c r="HC35" s="467">
        <f t="shared" si="147"/>
        <v>0</v>
      </c>
      <c r="HD35" s="467">
        <f t="shared" si="147"/>
        <v>0</v>
      </c>
      <c r="HE35" s="467">
        <f t="shared" si="147"/>
        <v>0</v>
      </c>
      <c r="HF35" s="467">
        <f t="shared" si="147"/>
        <v>0</v>
      </c>
      <c r="HG35" s="467">
        <f t="shared" si="147"/>
        <v>0</v>
      </c>
      <c r="HH35" s="467">
        <f t="shared" si="147"/>
        <v>0</v>
      </c>
      <c r="HI35" s="467">
        <f t="shared" si="147"/>
        <v>0</v>
      </c>
      <c r="HJ35" s="467">
        <f t="shared" si="147"/>
        <v>0</v>
      </c>
      <c r="HK35" s="467">
        <f t="shared" si="147"/>
        <v>0</v>
      </c>
      <c r="HL35" s="474">
        <f>HL34-HL38</f>
        <v>0</v>
      </c>
      <c r="HM35" s="474">
        <f>HM34-HM38</f>
        <v>0</v>
      </c>
      <c r="HN35" s="474"/>
      <c r="HO35" s="474">
        <f t="shared" ref="HO35:HZ35" si="148">HO34-HO38</f>
        <v>0</v>
      </c>
      <c r="HP35" s="474">
        <f t="shared" si="148"/>
        <v>0</v>
      </c>
      <c r="HQ35" s="474">
        <f t="shared" si="148"/>
        <v>0</v>
      </c>
      <c r="HR35" s="474">
        <f t="shared" si="148"/>
        <v>0</v>
      </c>
      <c r="HS35" s="474">
        <f t="shared" si="148"/>
        <v>0</v>
      </c>
      <c r="HT35" s="474">
        <f t="shared" si="148"/>
        <v>0</v>
      </c>
      <c r="HU35" s="474">
        <f t="shared" si="148"/>
        <v>0</v>
      </c>
      <c r="HV35" s="474">
        <f t="shared" si="148"/>
        <v>0</v>
      </c>
      <c r="HW35" s="474">
        <f t="shared" si="148"/>
        <v>0</v>
      </c>
      <c r="HX35" s="474">
        <f t="shared" si="148"/>
        <v>0</v>
      </c>
      <c r="HY35" s="474">
        <f t="shared" si="148"/>
        <v>0</v>
      </c>
      <c r="HZ35" s="474">
        <f t="shared" si="148"/>
        <v>0</v>
      </c>
      <c r="IA35" s="474"/>
      <c r="IB35" s="474">
        <f t="shared" ref="IB35:IM35" si="149">IB34-IB38</f>
        <v>0</v>
      </c>
      <c r="IC35" s="474">
        <f t="shared" si="149"/>
        <v>0</v>
      </c>
      <c r="ID35" s="474">
        <f t="shared" si="149"/>
        <v>0</v>
      </c>
      <c r="IE35" s="474">
        <f t="shared" si="149"/>
        <v>0</v>
      </c>
      <c r="IF35" s="474">
        <f t="shared" si="149"/>
        <v>0</v>
      </c>
      <c r="IG35" s="474">
        <f t="shared" si="149"/>
        <v>0</v>
      </c>
      <c r="IH35" s="474">
        <f t="shared" si="149"/>
        <v>0</v>
      </c>
      <c r="II35" s="474">
        <f t="shared" si="149"/>
        <v>0</v>
      </c>
      <c r="IJ35" s="474">
        <f t="shared" si="149"/>
        <v>0</v>
      </c>
      <c r="IK35" s="474">
        <f t="shared" si="149"/>
        <v>0</v>
      </c>
      <c r="IL35" s="474">
        <f t="shared" si="149"/>
        <v>0</v>
      </c>
      <c r="IM35" s="474">
        <f t="shared" si="149"/>
        <v>0</v>
      </c>
      <c r="IN35" s="474"/>
      <c r="IO35" s="474">
        <f t="shared" ref="IO35:IZ35" si="150">IO34-IO38</f>
        <v>0</v>
      </c>
      <c r="IP35" s="474">
        <f t="shared" si="150"/>
        <v>0</v>
      </c>
      <c r="IQ35" s="474">
        <f t="shared" si="150"/>
        <v>0</v>
      </c>
      <c r="IR35" s="474">
        <f t="shared" si="150"/>
        <v>0</v>
      </c>
      <c r="IS35" s="474">
        <f t="shared" si="150"/>
        <v>0</v>
      </c>
      <c r="IT35" s="474">
        <f t="shared" si="150"/>
        <v>0</v>
      </c>
      <c r="IU35" s="474">
        <f t="shared" si="150"/>
        <v>0</v>
      </c>
      <c r="IV35" s="474">
        <f t="shared" si="150"/>
        <v>0</v>
      </c>
      <c r="IW35" s="474">
        <f t="shared" si="150"/>
        <v>0</v>
      </c>
      <c r="IX35" s="474">
        <f t="shared" si="150"/>
        <v>0</v>
      </c>
      <c r="IY35" s="474">
        <f t="shared" si="150"/>
        <v>0</v>
      </c>
      <c r="IZ35" s="474">
        <f t="shared" si="150"/>
        <v>0</v>
      </c>
      <c r="JA35" s="474"/>
      <c r="JB35" s="474">
        <f t="shared" ref="JB35:JC35" si="151">JB34-JB38</f>
        <v>0</v>
      </c>
      <c r="JC35">
        <f t="shared" si="151"/>
        <v>0</v>
      </c>
      <c r="JD35">
        <f t="shared" ref="JD35:JI35" si="152">JD34-JD38</f>
        <v>0</v>
      </c>
      <c r="JE35">
        <f t="shared" si="152"/>
        <v>0</v>
      </c>
      <c r="JF35">
        <f t="shared" si="152"/>
        <v>0</v>
      </c>
      <c r="JG35">
        <f t="shared" si="152"/>
        <v>0</v>
      </c>
      <c r="JH35">
        <f t="shared" si="152"/>
        <v>0</v>
      </c>
      <c r="JI35">
        <f t="shared" si="152"/>
        <v>0</v>
      </c>
      <c r="JP35" s="406"/>
    </row>
    <row r="36" spans="1:279" ht="13.9" customHeight="1" x14ac:dyDescent="0.2">
      <c r="A36" s="412" t="s">
        <v>352</v>
      </c>
      <c r="B36" s="413"/>
      <c r="C36" s="413"/>
      <c r="D36" s="413"/>
      <c r="E36" s="413"/>
      <c r="F36" s="413"/>
      <c r="G36" s="413"/>
      <c r="H36" s="413"/>
      <c r="I36" s="413"/>
      <c r="J36" s="413"/>
      <c r="K36" s="413"/>
      <c r="L36" s="413"/>
      <c r="M36" s="413"/>
      <c r="N36" s="413"/>
      <c r="O36" s="413"/>
      <c r="P36" s="413"/>
      <c r="Q36" s="413"/>
      <c r="R36" s="413"/>
      <c r="S36" s="413"/>
      <c r="T36" s="413"/>
      <c r="U36" s="413"/>
      <c r="V36" s="413"/>
      <c r="W36" s="413"/>
      <c r="X36" s="413"/>
      <c r="Y36" s="413"/>
      <c r="Z36" s="413"/>
      <c r="AA36" s="413"/>
      <c r="AB36" s="413"/>
      <c r="AC36" s="413"/>
      <c r="AD36" s="413"/>
      <c r="AE36" s="413"/>
      <c r="AF36" s="413"/>
      <c r="AG36" s="413"/>
      <c r="AH36" s="413"/>
      <c r="AI36" s="413"/>
      <c r="AJ36" s="413"/>
      <c r="AK36" s="413"/>
      <c r="AL36" s="413"/>
      <c r="AM36" s="413"/>
      <c r="AN36" s="413"/>
      <c r="AO36" s="413"/>
      <c r="AP36" s="413"/>
      <c r="AQ36" s="413"/>
      <c r="AR36" s="413"/>
      <c r="AS36" s="413"/>
      <c r="AT36" s="413"/>
      <c r="AU36" s="413"/>
      <c r="AV36" s="475"/>
      <c r="AW36" s="475"/>
      <c r="AX36" s="475"/>
      <c r="AY36" s="475"/>
      <c r="AZ36" s="475"/>
      <c r="BA36" s="475"/>
      <c r="BB36" s="475"/>
      <c r="BC36" s="475"/>
      <c r="BD36" s="475"/>
      <c r="BE36" s="475"/>
      <c r="BF36" s="475"/>
      <c r="BG36" s="475"/>
      <c r="BH36" s="475"/>
      <c r="BI36" s="475"/>
      <c r="BJ36" s="475"/>
      <c r="BK36" s="475"/>
      <c r="BL36" s="475"/>
      <c r="BM36" s="475"/>
      <c r="BN36" s="475"/>
      <c r="BO36" s="475"/>
      <c r="BP36" s="475"/>
      <c r="BQ36" s="475"/>
      <c r="BR36" s="475"/>
      <c r="BS36" s="475"/>
      <c r="BT36" s="475"/>
      <c r="BU36" s="475"/>
      <c r="BV36" s="475"/>
      <c r="BW36" s="475"/>
      <c r="BX36" s="475"/>
      <c r="BY36" s="475"/>
      <c r="BZ36" s="475"/>
      <c r="CA36" s="475"/>
      <c r="CB36" s="475"/>
      <c r="CC36" s="475"/>
      <c r="CD36" s="475"/>
      <c r="CE36" s="475"/>
      <c r="CF36" s="475"/>
      <c r="CG36" s="475"/>
      <c r="CH36" s="475"/>
      <c r="CI36" s="475"/>
      <c r="CJ36" s="475"/>
      <c r="CK36" s="475"/>
      <c r="CL36" s="475"/>
      <c r="CM36" s="475"/>
      <c r="CN36" s="475"/>
      <c r="CO36" s="440">
        <v>2013</v>
      </c>
      <c r="CP36" s="440"/>
      <c r="CQ36" s="440"/>
      <c r="CR36" s="440"/>
      <c r="CS36" s="440"/>
      <c r="CT36" s="440"/>
      <c r="CU36" s="440"/>
      <c r="CV36" s="440"/>
      <c r="CW36" s="440"/>
      <c r="CX36" s="440"/>
      <c r="CY36" s="440"/>
      <c r="CZ36" s="440"/>
      <c r="DA36" s="414" t="s">
        <v>22</v>
      </c>
      <c r="DB36" s="476">
        <v>2014</v>
      </c>
      <c r="DC36" s="440"/>
      <c r="DD36" s="440"/>
      <c r="DE36" s="440"/>
      <c r="DF36" s="440"/>
      <c r="DG36" s="440"/>
      <c r="DH36" s="440"/>
      <c r="DI36" s="440"/>
      <c r="DJ36" s="440"/>
      <c r="DK36" s="440"/>
      <c r="DL36" s="440"/>
      <c r="DM36" s="440"/>
      <c r="DN36" s="428" t="s">
        <v>22</v>
      </c>
      <c r="DO36" s="476">
        <v>2015</v>
      </c>
      <c r="DP36" s="440"/>
      <c r="DQ36" s="440"/>
      <c r="DR36" s="440"/>
      <c r="DS36" s="440"/>
      <c r="DT36" s="440"/>
      <c r="DU36" s="440"/>
      <c r="DV36" s="440"/>
      <c r="DW36" s="440"/>
      <c r="DX36" s="440"/>
      <c r="DY36" s="440"/>
      <c r="DZ36" s="477"/>
      <c r="EA36" s="441" t="s">
        <v>29</v>
      </c>
      <c r="EB36" s="476">
        <v>2016</v>
      </c>
      <c r="EC36" s="440"/>
      <c r="ED36" s="440"/>
      <c r="EE36" s="440"/>
      <c r="EF36" s="440"/>
      <c r="EG36" s="441"/>
      <c r="EH36" s="441"/>
      <c r="EI36" s="441"/>
      <c r="EJ36" s="441"/>
      <c r="EK36" s="441"/>
      <c r="EL36" s="441"/>
      <c r="EM36" s="441"/>
      <c r="EN36" s="442" t="s">
        <v>29</v>
      </c>
      <c r="EO36" s="442">
        <v>2017</v>
      </c>
      <c r="EP36" s="441"/>
      <c r="EQ36" s="441"/>
      <c r="ER36" s="441"/>
      <c r="ES36" s="441"/>
      <c r="ET36" s="441"/>
      <c r="EU36" s="441"/>
      <c r="EV36" s="441"/>
      <c r="EW36" s="441"/>
      <c r="EX36" s="441"/>
      <c r="EY36" s="441"/>
      <c r="EZ36" s="441"/>
      <c r="FA36" s="428" t="s">
        <v>29</v>
      </c>
      <c r="FB36" s="476">
        <v>2018</v>
      </c>
      <c r="FC36" s="440"/>
      <c r="FD36" s="440"/>
      <c r="FE36" s="440"/>
      <c r="FF36" s="440"/>
      <c r="FG36" s="440"/>
      <c r="FH36" s="440"/>
      <c r="FI36" s="440"/>
      <c r="FJ36" s="440"/>
      <c r="FK36" s="440"/>
      <c r="FL36" s="440"/>
      <c r="FM36" s="477"/>
      <c r="FN36" s="441" t="s">
        <v>29</v>
      </c>
      <c r="FO36" s="476">
        <v>2019</v>
      </c>
      <c r="FP36" s="440"/>
      <c r="FQ36" s="440"/>
      <c r="FR36" s="440"/>
      <c r="FS36" s="440"/>
      <c r="FT36" s="440"/>
      <c r="FU36" s="440"/>
      <c r="FV36" s="441"/>
      <c r="FW36" s="441"/>
      <c r="FX36" s="441"/>
      <c r="FY36" s="441"/>
      <c r="FZ36" s="441"/>
      <c r="GA36" s="428" t="s">
        <v>29</v>
      </c>
      <c r="GB36" s="441">
        <v>2020</v>
      </c>
      <c r="GC36" s="441"/>
      <c r="GD36" s="441"/>
      <c r="GE36" s="441"/>
      <c r="GF36" s="441"/>
      <c r="GG36" s="441"/>
      <c r="GH36" s="441"/>
      <c r="GI36" s="441"/>
      <c r="GJ36" s="441"/>
      <c r="GK36" s="441"/>
      <c r="GL36" s="441"/>
      <c r="GM36" s="441"/>
      <c r="GN36" s="428" t="s">
        <v>307</v>
      </c>
      <c r="GO36" s="441">
        <v>2021</v>
      </c>
      <c r="GP36" s="441"/>
      <c r="GQ36" s="441"/>
      <c r="GR36" s="441"/>
      <c r="GS36" s="478">
        <f t="shared" si="146"/>
        <v>0</v>
      </c>
      <c r="GT36" s="441"/>
      <c r="GU36" s="441"/>
      <c r="GV36" s="441"/>
      <c r="GW36" s="441"/>
      <c r="GX36" s="441"/>
      <c r="GY36" s="415"/>
      <c r="GZ36" s="415"/>
      <c r="HA36" s="428" t="s">
        <v>307</v>
      </c>
      <c r="HB36" s="415">
        <v>2022</v>
      </c>
      <c r="HC36" s="441"/>
      <c r="HD36" s="441"/>
      <c r="HE36" s="441"/>
      <c r="HF36" s="441"/>
      <c r="HG36" s="415"/>
      <c r="HH36" s="415"/>
      <c r="HI36" s="415"/>
      <c r="HJ36" s="415"/>
      <c r="HK36" s="415"/>
      <c r="HL36" s="479"/>
      <c r="HM36" s="480"/>
      <c r="HN36" s="428" t="s">
        <v>307</v>
      </c>
      <c r="HO36" s="481">
        <v>2023</v>
      </c>
      <c r="HP36" s="482"/>
      <c r="HQ36" s="482"/>
      <c r="HR36" s="483"/>
      <c r="HS36" s="479"/>
      <c r="HT36" s="479"/>
      <c r="HU36" s="479"/>
      <c r="HV36" s="479"/>
      <c r="HW36" s="479"/>
      <c r="HX36" s="479"/>
      <c r="HY36" s="479"/>
      <c r="HZ36" s="479"/>
      <c r="IA36" s="484" t="s">
        <v>307</v>
      </c>
      <c r="IB36" s="485">
        <v>2024</v>
      </c>
      <c r="IC36" s="479"/>
      <c r="ID36" s="479"/>
      <c r="IE36" s="479"/>
      <c r="IF36" s="479"/>
      <c r="IG36" s="479"/>
      <c r="IH36" s="479"/>
      <c r="II36" s="479"/>
      <c r="IJ36" s="479"/>
      <c r="IK36" s="479"/>
      <c r="IL36" s="479"/>
      <c r="IM36" s="480"/>
      <c r="IN36" s="486" t="s">
        <v>307</v>
      </c>
      <c r="IO36" s="481">
        <v>2025</v>
      </c>
      <c r="IP36" s="482"/>
      <c r="IQ36" s="482"/>
      <c r="IR36" s="482"/>
      <c r="IS36" s="493"/>
      <c r="IT36" s="493"/>
      <c r="IU36" s="493"/>
      <c r="IV36" s="493"/>
      <c r="IW36" s="493"/>
      <c r="IX36" s="493"/>
      <c r="IY36" s="493"/>
      <c r="IZ36" s="493"/>
      <c r="JA36" s="1362" t="s">
        <v>307</v>
      </c>
      <c r="JB36" s="1694">
        <v>2026</v>
      </c>
      <c r="JC36" s="1695"/>
      <c r="JD36" s="1695"/>
      <c r="JE36" s="1695"/>
      <c r="JF36" s="1695"/>
      <c r="JG36" s="1695"/>
      <c r="JH36" s="1695"/>
      <c r="JI36" s="1695"/>
      <c r="JJ36" s="1695"/>
      <c r="JK36" s="1695"/>
      <c r="JL36" s="1695"/>
      <c r="JM36" s="1696"/>
      <c r="JN36" s="1353" t="s">
        <v>307</v>
      </c>
      <c r="JP36" s="488" t="s">
        <v>184</v>
      </c>
      <c r="JQ36" s="427"/>
      <c r="JR36" s="414">
        <f>JR4</f>
        <v>2025</v>
      </c>
      <c r="JS36" s="428">
        <f>JS4</f>
        <v>2026</v>
      </c>
    </row>
    <row r="37" spans="1:279" ht="13.9" customHeight="1" x14ac:dyDescent="0.2">
      <c r="A37" s="476" t="s">
        <v>352</v>
      </c>
      <c r="B37" s="440"/>
      <c r="C37" s="440"/>
      <c r="D37" s="440"/>
      <c r="E37" s="440"/>
      <c r="F37" s="440"/>
      <c r="G37" s="440"/>
      <c r="H37" s="440"/>
      <c r="I37" s="440"/>
      <c r="J37" s="440"/>
      <c r="K37" s="440"/>
      <c r="L37" s="440"/>
      <c r="M37" s="440"/>
      <c r="N37" s="440"/>
      <c r="O37" s="440"/>
      <c r="P37" s="440"/>
      <c r="Q37" s="440"/>
      <c r="R37" s="440"/>
      <c r="S37" s="440"/>
      <c r="T37" s="440"/>
      <c r="U37" s="440"/>
      <c r="V37" s="440"/>
      <c r="W37" s="440"/>
      <c r="X37" s="440"/>
      <c r="Y37" s="440"/>
      <c r="Z37" s="440"/>
      <c r="AA37" s="440"/>
      <c r="AB37" s="440"/>
      <c r="AC37" s="440"/>
      <c r="AD37" s="440"/>
      <c r="AE37" s="440"/>
      <c r="AF37" s="440"/>
      <c r="AG37" s="440"/>
      <c r="AH37" s="440"/>
      <c r="AI37" s="440"/>
      <c r="AJ37" s="440"/>
      <c r="AK37" s="440"/>
      <c r="AL37" s="440"/>
      <c r="AM37" s="440"/>
      <c r="AN37" s="440"/>
      <c r="AO37" s="440"/>
      <c r="AP37" s="440"/>
      <c r="AQ37" s="440"/>
      <c r="AR37" s="440"/>
      <c r="AS37" s="440"/>
      <c r="AT37" s="440"/>
      <c r="AU37" s="440"/>
      <c r="AV37" s="489"/>
      <c r="AW37" s="489"/>
      <c r="AX37" s="489"/>
      <c r="AY37" s="489"/>
      <c r="AZ37" s="489"/>
      <c r="BA37" s="489"/>
      <c r="BB37" s="489"/>
      <c r="BC37" s="489"/>
      <c r="BD37" s="489"/>
      <c r="BE37" s="489"/>
      <c r="BF37" s="489"/>
      <c r="BG37" s="489"/>
      <c r="BH37" s="489"/>
      <c r="BI37" s="489"/>
      <c r="BJ37" s="489"/>
      <c r="BK37" s="489"/>
      <c r="BL37" s="489"/>
      <c r="BM37" s="489"/>
      <c r="BN37" s="489"/>
      <c r="BO37" s="489"/>
      <c r="BP37" s="489"/>
      <c r="BQ37" s="489"/>
      <c r="BR37" s="489"/>
      <c r="BS37" s="489"/>
      <c r="BT37" s="489"/>
      <c r="BU37" s="489"/>
      <c r="BV37" s="489"/>
      <c r="BW37" s="489"/>
      <c r="BX37" s="489"/>
      <c r="BY37" s="489"/>
      <c r="BZ37" s="489"/>
      <c r="CA37" s="489"/>
      <c r="CB37" s="489"/>
      <c r="CC37" s="489"/>
      <c r="CD37" s="489"/>
      <c r="CE37" s="489"/>
      <c r="CF37" s="489"/>
      <c r="CG37" s="489"/>
      <c r="CH37" s="489"/>
      <c r="CI37" s="489"/>
      <c r="CJ37" s="489"/>
      <c r="CK37" s="489"/>
      <c r="CL37" s="489"/>
      <c r="CM37" s="489"/>
      <c r="CN37" s="489"/>
      <c r="CO37" s="490" t="s">
        <v>0</v>
      </c>
      <c r="CP37" s="491" t="s">
        <v>1</v>
      </c>
      <c r="CQ37" s="491" t="s">
        <v>2</v>
      </c>
      <c r="CR37" s="491" t="s">
        <v>3</v>
      </c>
      <c r="CS37" s="491" t="s">
        <v>4</v>
      </c>
      <c r="CT37" s="491" t="s">
        <v>5</v>
      </c>
      <c r="CU37" s="491" t="s">
        <v>6</v>
      </c>
      <c r="CV37" s="491" t="s">
        <v>7</v>
      </c>
      <c r="CW37" s="491" t="s">
        <v>8</v>
      </c>
      <c r="CX37" s="491" t="s">
        <v>9</v>
      </c>
      <c r="CY37" s="491" t="s">
        <v>10</v>
      </c>
      <c r="CZ37" s="491" t="s">
        <v>11</v>
      </c>
      <c r="DA37" s="428">
        <v>2013</v>
      </c>
      <c r="DB37" s="491" t="s">
        <v>0</v>
      </c>
      <c r="DC37" s="491" t="s">
        <v>1</v>
      </c>
      <c r="DD37" s="491" t="s">
        <v>2</v>
      </c>
      <c r="DE37" s="491" t="s">
        <v>3</v>
      </c>
      <c r="DF37" s="491" t="s">
        <v>4</v>
      </c>
      <c r="DG37" s="491" t="s">
        <v>5</v>
      </c>
      <c r="DH37" s="491" t="s">
        <v>6</v>
      </c>
      <c r="DI37" s="491" t="s">
        <v>7</v>
      </c>
      <c r="DJ37" s="491" t="s">
        <v>8</v>
      </c>
      <c r="DK37" s="491" t="s">
        <v>9</v>
      </c>
      <c r="DL37" s="491" t="s">
        <v>10</v>
      </c>
      <c r="DM37" s="491" t="s">
        <v>11</v>
      </c>
      <c r="DN37" s="428">
        <v>2014</v>
      </c>
      <c r="DO37" s="441">
        <f t="shared" ref="DO37:DX37" si="153">DO5</f>
        <v>42005</v>
      </c>
      <c r="DP37" s="441">
        <f t="shared" si="153"/>
        <v>42036</v>
      </c>
      <c r="DQ37" s="441">
        <f t="shared" si="153"/>
        <v>42064</v>
      </c>
      <c r="DR37" s="441">
        <f t="shared" si="153"/>
        <v>42095</v>
      </c>
      <c r="DS37" s="441">
        <f t="shared" si="153"/>
        <v>42125</v>
      </c>
      <c r="DT37" s="441">
        <f t="shared" si="153"/>
        <v>42156</v>
      </c>
      <c r="DU37" s="441">
        <f t="shared" si="153"/>
        <v>42186</v>
      </c>
      <c r="DV37" s="441">
        <f t="shared" si="153"/>
        <v>42217</v>
      </c>
      <c r="DW37" s="441">
        <f t="shared" si="153"/>
        <v>42248</v>
      </c>
      <c r="DX37" s="441">
        <f t="shared" si="153"/>
        <v>42278</v>
      </c>
      <c r="DY37" s="441" t="s">
        <v>10</v>
      </c>
      <c r="DZ37" s="441" t="s">
        <v>11</v>
      </c>
      <c r="EA37" s="428">
        <v>2015</v>
      </c>
      <c r="EB37" s="442" t="s">
        <v>0</v>
      </c>
      <c r="EC37" s="441" t="s">
        <v>1</v>
      </c>
      <c r="ED37" s="441" t="s">
        <v>2</v>
      </c>
      <c r="EE37" s="441" t="s">
        <v>3</v>
      </c>
      <c r="EF37" s="441" t="s">
        <v>96</v>
      </c>
      <c r="EG37" s="441" t="s">
        <v>5</v>
      </c>
      <c r="EH37" s="441" t="s">
        <v>6</v>
      </c>
      <c r="EI37" s="441" t="s">
        <v>7</v>
      </c>
      <c r="EJ37" s="441" t="s">
        <v>8</v>
      </c>
      <c r="EK37" s="441" t="s">
        <v>9</v>
      </c>
      <c r="EL37" s="441" t="s">
        <v>10</v>
      </c>
      <c r="EM37" s="433" t="s">
        <v>11</v>
      </c>
      <c r="EN37" s="441">
        <v>2016</v>
      </c>
      <c r="EO37" s="442" t="s">
        <v>0</v>
      </c>
      <c r="EP37" s="441" t="s">
        <v>1</v>
      </c>
      <c r="EQ37" s="441" t="s">
        <v>2</v>
      </c>
      <c r="ER37" s="441" t="s">
        <v>3</v>
      </c>
      <c r="ES37" s="441" t="s">
        <v>4</v>
      </c>
      <c r="ET37" s="441" t="s">
        <v>5</v>
      </c>
      <c r="EU37" s="441" t="s">
        <v>6</v>
      </c>
      <c r="EV37" s="441" t="s">
        <v>7</v>
      </c>
      <c r="EW37" s="441" t="s">
        <v>8</v>
      </c>
      <c r="EX37" s="441" t="s">
        <v>9</v>
      </c>
      <c r="EY37" s="441" t="s">
        <v>10</v>
      </c>
      <c r="EZ37" s="441" t="s">
        <v>11</v>
      </c>
      <c r="FA37" s="428">
        <v>2017</v>
      </c>
      <c r="FB37" s="442" t="s">
        <v>0</v>
      </c>
      <c r="FC37" s="441" t="s">
        <v>1</v>
      </c>
      <c r="FD37" s="441" t="s">
        <v>2</v>
      </c>
      <c r="FE37" s="441" t="s">
        <v>3</v>
      </c>
      <c r="FF37" s="441" t="s">
        <v>4</v>
      </c>
      <c r="FG37" s="441" t="s">
        <v>5</v>
      </c>
      <c r="FH37" s="441" t="s">
        <v>6</v>
      </c>
      <c r="FI37" s="441" t="s">
        <v>7</v>
      </c>
      <c r="FJ37" s="441" t="s">
        <v>8</v>
      </c>
      <c r="FK37" s="441" t="s">
        <v>9</v>
      </c>
      <c r="FL37" s="441" t="s">
        <v>10</v>
      </c>
      <c r="FM37" s="433" t="s">
        <v>11</v>
      </c>
      <c r="FN37" s="433">
        <v>2018</v>
      </c>
      <c r="FO37" s="441" t="s">
        <v>0</v>
      </c>
      <c r="FP37" s="441" t="s">
        <v>1</v>
      </c>
      <c r="FQ37" s="441" t="s">
        <v>2</v>
      </c>
      <c r="FR37" s="441" t="s">
        <v>3</v>
      </c>
      <c r="FS37" s="441" t="s">
        <v>4</v>
      </c>
      <c r="FT37" s="441" t="s">
        <v>5</v>
      </c>
      <c r="FU37" s="441" t="s">
        <v>6</v>
      </c>
      <c r="FV37" s="441" t="s">
        <v>7</v>
      </c>
      <c r="FW37" s="441" t="s">
        <v>8</v>
      </c>
      <c r="FX37" s="441" t="s">
        <v>9</v>
      </c>
      <c r="FY37" s="441" t="s">
        <v>10</v>
      </c>
      <c r="FZ37" s="441" t="s">
        <v>11</v>
      </c>
      <c r="GA37" s="428">
        <v>2019</v>
      </c>
      <c r="GB37" s="441" t="s">
        <v>0</v>
      </c>
      <c r="GC37" s="441" t="s">
        <v>1</v>
      </c>
      <c r="GD37" s="492" t="s">
        <v>2</v>
      </c>
      <c r="GE37" s="492" t="s">
        <v>3</v>
      </c>
      <c r="GF37" s="432" t="s">
        <v>4</v>
      </c>
      <c r="GG37" s="432" t="s">
        <v>5</v>
      </c>
      <c r="GH37" s="432" t="s">
        <v>6</v>
      </c>
      <c r="GI37" s="432" t="s">
        <v>7</v>
      </c>
      <c r="GJ37" s="432" t="s">
        <v>8</v>
      </c>
      <c r="GK37" s="432" t="s">
        <v>9</v>
      </c>
      <c r="GL37" s="432" t="s">
        <v>10</v>
      </c>
      <c r="GM37" s="432" t="s">
        <v>11</v>
      </c>
      <c r="GN37" s="430">
        <v>2020</v>
      </c>
      <c r="GO37" s="432" t="s">
        <v>0</v>
      </c>
      <c r="GP37" s="432" t="s">
        <v>1</v>
      </c>
      <c r="GQ37" s="432" t="s">
        <v>2</v>
      </c>
      <c r="GR37" s="432" t="s">
        <v>3</v>
      </c>
      <c r="GS37" s="432" t="s">
        <v>4</v>
      </c>
      <c r="GT37" s="432" t="s">
        <v>5</v>
      </c>
      <c r="GU37" s="432" t="s">
        <v>6</v>
      </c>
      <c r="GV37" s="432" t="s">
        <v>7</v>
      </c>
      <c r="GW37" s="410" t="s">
        <v>8</v>
      </c>
      <c r="GX37" s="415" t="s">
        <v>9</v>
      </c>
      <c r="GY37" s="415" t="s">
        <v>10</v>
      </c>
      <c r="GZ37" s="433" t="s">
        <v>11</v>
      </c>
      <c r="HA37" s="433">
        <v>2021</v>
      </c>
      <c r="HB37" s="441" t="s">
        <v>0</v>
      </c>
      <c r="HC37" s="441" t="s">
        <v>1</v>
      </c>
      <c r="HD37" s="432" t="s">
        <v>2</v>
      </c>
      <c r="HE37" s="441" t="s">
        <v>3</v>
      </c>
      <c r="HF37" s="441" t="s">
        <v>4</v>
      </c>
      <c r="HG37" s="441" t="s">
        <v>5</v>
      </c>
      <c r="HH37" s="441" t="s">
        <v>6</v>
      </c>
      <c r="HI37" s="441" t="s">
        <v>99</v>
      </c>
      <c r="HJ37" s="441" t="s">
        <v>8</v>
      </c>
      <c r="HK37" s="441" t="s">
        <v>9</v>
      </c>
      <c r="HL37" s="493" t="s">
        <v>179</v>
      </c>
      <c r="HM37" s="487" t="s">
        <v>11</v>
      </c>
      <c r="HN37" s="433">
        <v>2022</v>
      </c>
      <c r="HO37" s="328" t="str">
        <f t="shared" ref="HO37:HZ37" si="154">HB37</f>
        <v>Ene.</v>
      </c>
      <c r="HP37" s="327" t="str">
        <f t="shared" si="154"/>
        <v>Feb.</v>
      </c>
      <c r="HQ37" s="327" t="str">
        <f t="shared" si="154"/>
        <v>Mar.</v>
      </c>
      <c r="HR37" s="494" t="str">
        <f t="shared" si="154"/>
        <v>Abr.</v>
      </c>
      <c r="HS37" s="494" t="str">
        <f t="shared" si="154"/>
        <v>May.</v>
      </c>
      <c r="HT37" s="494" t="str">
        <f t="shared" si="154"/>
        <v>Jun.</v>
      </c>
      <c r="HU37" s="494" t="str">
        <f t="shared" si="154"/>
        <v>Jul.</v>
      </c>
      <c r="HV37" s="494" t="str">
        <f t="shared" si="154"/>
        <v>Ago</v>
      </c>
      <c r="HW37" s="494" t="str">
        <f t="shared" si="154"/>
        <v>Set.</v>
      </c>
      <c r="HX37" s="494" t="str">
        <f t="shared" si="154"/>
        <v>Oct.</v>
      </c>
      <c r="HY37" s="494" t="str">
        <f t="shared" si="154"/>
        <v>Nov</v>
      </c>
      <c r="HZ37" s="494" t="str">
        <f t="shared" si="154"/>
        <v>Dic.</v>
      </c>
      <c r="IA37" s="323">
        <v>2023</v>
      </c>
      <c r="IB37" s="495" t="str">
        <f t="shared" ref="IB37:IM37" si="155">HO37</f>
        <v>Ene.</v>
      </c>
      <c r="IC37" s="494" t="str">
        <f t="shared" si="155"/>
        <v>Feb.</v>
      </c>
      <c r="ID37" s="494" t="str">
        <f t="shared" si="155"/>
        <v>Mar.</v>
      </c>
      <c r="IE37" s="494" t="str">
        <f t="shared" si="155"/>
        <v>Abr.</v>
      </c>
      <c r="IF37" s="494" t="str">
        <f t="shared" si="155"/>
        <v>May.</v>
      </c>
      <c r="IG37" s="494" t="str">
        <f t="shared" si="155"/>
        <v>Jun.</v>
      </c>
      <c r="IH37" s="494" t="str">
        <f t="shared" si="155"/>
        <v>Jul.</v>
      </c>
      <c r="II37" s="494" t="str">
        <f t="shared" si="155"/>
        <v>Ago</v>
      </c>
      <c r="IJ37" s="494" t="str">
        <f t="shared" si="155"/>
        <v>Set.</v>
      </c>
      <c r="IK37" s="494" t="str">
        <f t="shared" si="155"/>
        <v>Oct.</v>
      </c>
      <c r="IL37" s="494" t="str">
        <f t="shared" si="155"/>
        <v>Nov</v>
      </c>
      <c r="IM37" s="329" t="str">
        <f t="shared" si="155"/>
        <v>Dic.</v>
      </c>
      <c r="IN37" s="329">
        <v>2024</v>
      </c>
      <c r="IO37" s="494" t="s">
        <v>652</v>
      </c>
      <c r="IP37" s="494" t="s">
        <v>653</v>
      </c>
      <c r="IQ37" s="494" t="s">
        <v>654</v>
      </c>
      <c r="IR37" s="494" t="s">
        <v>655</v>
      </c>
      <c r="IS37" s="1043" t="s">
        <v>656</v>
      </c>
      <c r="IT37" s="1043" t="s">
        <v>657</v>
      </c>
      <c r="IU37" s="1043" t="s">
        <v>658</v>
      </c>
      <c r="IV37" s="1043" t="s">
        <v>659</v>
      </c>
      <c r="IW37" s="1043" t="s">
        <v>660</v>
      </c>
      <c r="IX37" s="1043" t="s">
        <v>661</v>
      </c>
      <c r="IY37" s="1043" t="s">
        <v>662</v>
      </c>
      <c r="IZ37" s="1043" t="s">
        <v>663</v>
      </c>
      <c r="JA37" s="1363">
        <v>2025</v>
      </c>
      <c r="JB37" s="1364" t="s">
        <v>652</v>
      </c>
      <c r="JC37" s="1365" t="s">
        <v>653</v>
      </c>
      <c r="JD37" s="1365" t="s">
        <v>654</v>
      </c>
      <c r="JE37" s="1365" t="s">
        <v>655</v>
      </c>
      <c r="JF37" s="1365" t="s">
        <v>656</v>
      </c>
      <c r="JG37" s="1365" t="s">
        <v>657</v>
      </c>
      <c r="JH37" s="1365" t="s">
        <v>658</v>
      </c>
      <c r="JI37" s="1365" t="s">
        <v>659</v>
      </c>
      <c r="JJ37" s="1365" t="s">
        <v>660</v>
      </c>
      <c r="JK37" s="1365" t="s">
        <v>661</v>
      </c>
      <c r="JL37" s="1365" t="s">
        <v>662</v>
      </c>
      <c r="JM37" s="1366" t="s">
        <v>663</v>
      </c>
      <c r="JN37" s="1367">
        <v>2026</v>
      </c>
      <c r="JP37" s="434" t="s">
        <v>7</v>
      </c>
      <c r="JQ37" s="496" t="str">
        <f>JQ5</f>
        <v>Ene.-ago.</v>
      </c>
      <c r="JR37" s="434" t="str">
        <f>JQ37</f>
        <v>Ene.-ago.</v>
      </c>
      <c r="JS37" s="434" t="str">
        <f>JR37</f>
        <v>Ene.-ago.</v>
      </c>
    </row>
    <row r="38" spans="1:279" ht="13.9" customHeight="1" x14ac:dyDescent="0.2">
      <c r="A38" s="497" t="s">
        <v>335</v>
      </c>
      <c r="B38" s="498"/>
      <c r="C38" s="498"/>
      <c r="D38" s="498"/>
      <c r="E38" s="498"/>
      <c r="F38" s="498"/>
      <c r="G38" s="498"/>
      <c r="H38" s="498"/>
      <c r="I38" s="498"/>
      <c r="J38" s="498"/>
      <c r="K38" s="498"/>
      <c r="L38" s="498"/>
      <c r="M38" s="498"/>
      <c r="N38" s="498"/>
      <c r="O38" s="498"/>
      <c r="P38" s="498"/>
      <c r="Q38" s="498"/>
      <c r="R38" s="498"/>
      <c r="S38" s="498"/>
      <c r="T38" s="498"/>
      <c r="U38" s="498"/>
      <c r="V38" s="498"/>
      <c r="W38" s="498"/>
      <c r="X38" s="498"/>
      <c r="Y38" s="498"/>
      <c r="Z38" s="498"/>
      <c r="AA38" s="498"/>
      <c r="AB38" s="498"/>
      <c r="AC38" s="498"/>
      <c r="AD38" s="498"/>
      <c r="AE38" s="498"/>
      <c r="AF38" s="498"/>
      <c r="AG38" s="498"/>
      <c r="AH38" s="498"/>
      <c r="AI38" s="498"/>
      <c r="AJ38" s="498"/>
      <c r="AK38" s="498"/>
      <c r="AL38" s="498"/>
      <c r="AM38" s="498"/>
      <c r="AN38" s="498"/>
      <c r="AO38" s="498"/>
      <c r="AP38" s="498"/>
      <c r="AQ38" s="498"/>
      <c r="AR38" s="498"/>
      <c r="AS38" s="498"/>
      <c r="AT38" s="498"/>
      <c r="AU38" s="498"/>
      <c r="AV38" s="446"/>
      <c r="AW38" s="446"/>
      <c r="AX38" s="446"/>
      <c r="AY38" s="446"/>
      <c r="AZ38" s="446"/>
      <c r="BA38" s="446"/>
      <c r="BB38" s="446"/>
      <c r="BC38" s="446"/>
      <c r="BD38" s="446"/>
      <c r="BE38" s="446"/>
      <c r="BF38" s="446"/>
      <c r="BG38" s="446"/>
      <c r="BH38" s="446"/>
      <c r="BI38" s="446"/>
      <c r="BJ38" s="446"/>
      <c r="BK38" s="446"/>
      <c r="BL38" s="446"/>
      <c r="BM38" s="446"/>
      <c r="BN38" s="446"/>
      <c r="BO38" s="446"/>
      <c r="BP38" s="446"/>
      <c r="BQ38" s="446"/>
      <c r="BR38" s="446"/>
      <c r="BS38" s="446"/>
      <c r="BT38" s="446"/>
      <c r="BU38" s="446"/>
      <c r="BV38" s="446"/>
      <c r="BW38" s="446"/>
      <c r="BX38" s="446"/>
      <c r="BY38" s="446"/>
      <c r="BZ38" s="446"/>
      <c r="CA38" s="446"/>
      <c r="CB38" s="446"/>
      <c r="CC38" s="446"/>
      <c r="CD38" s="446"/>
      <c r="CE38" s="446"/>
      <c r="CF38" s="446"/>
      <c r="CG38" s="446"/>
      <c r="CH38" s="446"/>
      <c r="CI38" s="446"/>
      <c r="CJ38" s="446"/>
      <c r="CK38" s="446"/>
      <c r="CL38" s="446"/>
      <c r="CM38" s="446"/>
      <c r="CN38" s="446"/>
      <c r="CO38" s="446">
        <f t="shared" ref="CO38:EZ38" si="156">+CO40+CO47</f>
        <v>5283</v>
      </c>
      <c r="CP38" s="446">
        <f t="shared" si="156"/>
        <v>14289</v>
      </c>
      <c r="CQ38" s="446">
        <f t="shared" si="156"/>
        <v>10370</v>
      </c>
      <c r="CR38" s="446">
        <f t="shared" si="156"/>
        <v>15624</v>
      </c>
      <c r="CS38" s="446">
        <f t="shared" si="156"/>
        <v>10594</v>
      </c>
      <c r="CT38" s="446">
        <f t="shared" si="156"/>
        <v>14775.04</v>
      </c>
      <c r="CU38" s="446">
        <f t="shared" si="156"/>
        <v>17002</v>
      </c>
      <c r="CV38" s="446">
        <f t="shared" si="156"/>
        <v>10742.2</v>
      </c>
      <c r="CW38" s="446">
        <f t="shared" si="156"/>
        <v>10836</v>
      </c>
      <c r="CX38" s="446">
        <f t="shared" si="156"/>
        <v>38376</v>
      </c>
      <c r="CY38" s="446">
        <f t="shared" si="156"/>
        <v>23753.200000000001</v>
      </c>
      <c r="CZ38" s="446">
        <f t="shared" si="156"/>
        <v>12666.1</v>
      </c>
      <c r="DA38" s="447">
        <f t="shared" si="156"/>
        <v>184310.54</v>
      </c>
      <c r="DB38" s="446">
        <f t="shared" si="156"/>
        <v>22473</v>
      </c>
      <c r="DC38" s="446">
        <f t="shared" si="156"/>
        <v>18399</v>
      </c>
      <c r="DD38" s="446">
        <f t="shared" si="156"/>
        <v>12189.05</v>
      </c>
      <c r="DE38" s="446">
        <f t="shared" si="156"/>
        <v>21079.040000000001</v>
      </c>
      <c r="DF38" s="446">
        <f t="shared" si="156"/>
        <v>10076.115</v>
      </c>
      <c r="DG38" s="446">
        <f t="shared" si="156"/>
        <v>14894.44</v>
      </c>
      <c r="DH38" s="446">
        <f t="shared" si="156"/>
        <v>12899.62</v>
      </c>
      <c r="DI38" s="446">
        <f t="shared" si="156"/>
        <v>23163.159999999996</v>
      </c>
      <c r="DJ38" s="446">
        <f t="shared" si="156"/>
        <v>16743.036</v>
      </c>
      <c r="DK38" s="339">
        <f t="shared" si="156"/>
        <v>9292.0810000000001</v>
      </c>
      <c r="DL38" s="446">
        <f t="shared" si="156"/>
        <v>14634.880000000001</v>
      </c>
      <c r="DM38" s="446">
        <f t="shared" si="156"/>
        <v>9445.4320000000007</v>
      </c>
      <c r="DN38" s="447">
        <f t="shared" si="156"/>
        <v>185288.85400000002</v>
      </c>
      <c r="DO38" s="449">
        <f t="shared" si="156"/>
        <v>12089.929</v>
      </c>
      <c r="DP38" s="499">
        <f t="shared" si="156"/>
        <v>5480.7529999999997</v>
      </c>
      <c r="DQ38" s="499">
        <f t="shared" si="156"/>
        <v>41682.964</v>
      </c>
      <c r="DR38" s="499">
        <f t="shared" si="156"/>
        <v>7204.1469999999999</v>
      </c>
      <c r="DS38" s="499">
        <f t="shared" si="156"/>
        <v>7783</v>
      </c>
      <c r="DT38" s="499">
        <f t="shared" si="156"/>
        <v>44777</v>
      </c>
      <c r="DU38" s="499">
        <f t="shared" si="156"/>
        <v>9945</v>
      </c>
      <c r="DV38" s="499">
        <f t="shared" si="156"/>
        <v>12286</v>
      </c>
      <c r="DW38" s="499">
        <f t="shared" si="156"/>
        <v>24910</v>
      </c>
      <c r="DX38" s="499">
        <f t="shared" si="156"/>
        <v>10478</v>
      </c>
      <c r="DY38" s="499">
        <f t="shared" si="156"/>
        <v>7349</v>
      </c>
      <c r="DZ38" s="499">
        <f t="shared" si="156"/>
        <v>17033</v>
      </c>
      <c r="EA38" s="447">
        <f t="shared" si="156"/>
        <v>201018.79300000001</v>
      </c>
      <c r="EB38" s="449">
        <f t="shared" si="156"/>
        <v>22121</v>
      </c>
      <c r="EC38" s="499">
        <f t="shared" si="156"/>
        <v>8695</v>
      </c>
      <c r="ED38" s="499">
        <f t="shared" si="156"/>
        <v>14336</v>
      </c>
      <c r="EE38" s="499">
        <f t="shared" si="156"/>
        <v>11969</v>
      </c>
      <c r="EF38" s="499">
        <f t="shared" si="156"/>
        <v>9993</v>
      </c>
      <c r="EG38" s="499">
        <f t="shared" si="156"/>
        <v>8358</v>
      </c>
      <c r="EH38" s="499">
        <f t="shared" si="156"/>
        <v>14256</v>
      </c>
      <c r="EI38" s="499">
        <f t="shared" si="156"/>
        <v>9881</v>
      </c>
      <c r="EJ38" s="499">
        <f t="shared" si="156"/>
        <v>10353</v>
      </c>
      <c r="EK38" s="499">
        <f t="shared" si="156"/>
        <v>16108</v>
      </c>
      <c r="EL38" s="499">
        <f t="shared" si="156"/>
        <v>15374</v>
      </c>
      <c r="EM38" s="500">
        <f t="shared" si="156"/>
        <v>15254</v>
      </c>
      <c r="EN38" s="446">
        <f t="shared" si="156"/>
        <v>156698</v>
      </c>
      <c r="EO38" s="449">
        <f t="shared" si="156"/>
        <v>2110</v>
      </c>
      <c r="EP38" s="446">
        <f t="shared" si="156"/>
        <v>18371</v>
      </c>
      <c r="EQ38" s="446">
        <f t="shared" si="156"/>
        <v>27282</v>
      </c>
      <c r="ER38" s="446">
        <f t="shared" si="156"/>
        <v>10559</v>
      </c>
      <c r="ES38" s="446">
        <f t="shared" si="156"/>
        <v>5522</v>
      </c>
      <c r="ET38" s="446">
        <f t="shared" si="156"/>
        <v>14076</v>
      </c>
      <c r="EU38" s="446">
        <f t="shared" si="156"/>
        <v>9490</v>
      </c>
      <c r="EV38" s="446">
        <f t="shared" si="156"/>
        <v>16564</v>
      </c>
      <c r="EW38" s="446">
        <f t="shared" si="156"/>
        <v>5602</v>
      </c>
      <c r="EX38" s="446">
        <f t="shared" si="156"/>
        <v>5909</v>
      </c>
      <c r="EY38" s="446">
        <f t="shared" si="156"/>
        <v>7849</v>
      </c>
      <c r="EZ38" s="446">
        <f t="shared" si="156"/>
        <v>11653</v>
      </c>
      <c r="FA38" s="447">
        <f t="shared" ref="FA38:GM38" si="157">+FA40+FA47</f>
        <v>134987</v>
      </c>
      <c r="FB38" s="449">
        <f t="shared" si="157"/>
        <v>9474</v>
      </c>
      <c r="FC38" s="446">
        <f t="shared" si="157"/>
        <v>11998</v>
      </c>
      <c r="FD38" s="446">
        <f t="shared" si="157"/>
        <v>10497</v>
      </c>
      <c r="FE38" s="446">
        <f t="shared" si="157"/>
        <v>28693</v>
      </c>
      <c r="FF38" s="446">
        <f t="shared" si="157"/>
        <v>4250</v>
      </c>
      <c r="FG38" s="446">
        <f t="shared" si="157"/>
        <v>11658</v>
      </c>
      <c r="FH38" s="446">
        <f t="shared" si="157"/>
        <v>15238</v>
      </c>
      <c r="FI38" s="446">
        <f t="shared" si="157"/>
        <v>7155</v>
      </c>
      <c r="FJ38" s="446">
        <f t="shared" si="157"/>
        <v>9582</v>
      </c>
      <c r="FK38" s="446">
        <f t="shared" si="157"/>
        <v>6158</v>
      </c>
      <c r="FL38" s="446">
        <f t="shared" si="157"/>
        <v>11067</v>
      </c>
      <c r="FM38" s="458">
        <f t="shared" si="157"/>
        <v>7309</v>
      </c>
      <c r="FN38" s="458">
        <f t="shared" si="157"/>
        <v>133079</v>
      </c>
      <c r="FO38" s="446">
        <f t="shared" si="157"/>
        <v>31648</v>
      </c>
      <c r="FP38" s="446">
        <f t="shared" si="157"/>
        <v>5651</v>
      </c>
      <c r="FQ38" s="446">
        <f t="shared" si="157"/>
        <v>9109</v>
      </c>
      <c r="FR38" s="446">
        <f t="shared" si="157"/>
        <v>6234</v>
      </c>
      <c r="FS38" s="446">
        <f t="shared" si="157"/>
        <v>8528</v>
      </c>
      <c r="FT38" s="446">
        <f t="shared" si="157"/>
        <v>6058</v>
      </c>
      <c r="FU38" s="446">
        <f t="shared" si="157"/>
        <v>9637</v>
      </c>
      <c r="FV38" s="446">
        <f t="shared" si="157"/>
        <v>7552</v>
      </c>
      <c r="FW38" s="446">
        <f t="shared" si="157"/>
        <v>11169</v>
      </c>
      <c r="FX38" s="446">
        <f t="shared" si="157"/>
        <v>7942</v>
      </c>
      <c r="FY38" s="446">
        <f t="shared" si="157"/>
        <v>9007</v>
      </c>
      <c r="FZ38" s="458">
        <f t="shared" si="157"/>
        <v>12965</v>
      </c>
      <c r="GA38" s="458">
        <f t="shared" si="157"/>
        <v>125500</v>
      </c>
      <c r="GB38" s="446">
        <f t="shared" si="157"/>
        <v>19805</v>
      </c>
      <c r="GC38" s="446">
        <f t="shared" si="157"/>
        <v>24054</v>
      </c>
      <c r="GD38" s="446">
        <f t="shared" si="157"/>
        <v>5918</v>
      </c>
      <c r="GE38" s="446">
        <f t="shared" si="157"/>
        <v>4995</v>
      </c>
      <c r="GF38" s="446">
        <f t="shared" si="157"/>
        <v>5852</v>
      </c>
      <c r="GG38" s="446">
        <f t="shared" si="157"/>
        <v>5417</v>
      </c>
      <c r="GH38" s="446">
        <f t="shared" si="157"/>
        <v>20260</v>
      </c>
      <c r="GI38" s="446">
        <f t="shared" si="157"/>
        <v>9752</v>
      </c>
      <c r="GJ38" s="446">
        <f t="shared" si="157"/>
        <v>13926</v>
      </c>
      <c r="GK38" s="446">
        <f t="shared" si="157"/>
        <v>19483</v>
      </c>
      <c r="GL38" s="446">
        <f t="shared" si="157"/>
        <v>13971</v>
      </c>
      <c r="GM38" s="446">
        <f t="shared" si="157"/>
        <v>16202</v>
      </c>
      <c r="GN38" s="447">
        <f>SUM(GB38:GM38)</f>
        <v>159635</v>
      </c>
      <c r="GO38" s="446">
        <f t="shared" ref="GO38:GZ38" si="158">+GO40+GO47</f>
        <v>24835</v>
      </c>
      <c r="GP38" s="446">
        <f t="shared" si="158"/>
        <v>89621</v>
      </c>
      <c r="GQ38" s="446">
        <f t="shared" si="158"/>
        <v>10703</v>
      </c>
      <c r="GR38" s="446">
        <f t="shared" si="158"/>
        <v>10657</v>
      </c>
      <c r="GS38" s="446">
        <f t="shared" si="158"/>
        <v>11304</v>
      </c>
      <c r="GT38" s="446">
        <f t="shared" si="158"/>
        <v>17074</v>
      </c>
      <c r="GU38" s="446">
        <f t="shared" si="158"/>
        <v>44543</v>
      </c>
      <c r="GV38" s="499">
        <f t="shared" si="158"/>
        <v>12482</v>
      </c>
      <c r="GW38" s="499">
        <f t="shared" si="158"/>
        <v>7074</v>
      </c>
      <c r="GX38" s="499">
        <f t="shared" si="158"/>
        <v>8120</v>
      </c>
      <c r="GY38" s="499">
        <f t="shared" si="158"/>
        <v>23504</v>
      </c>
      <c r="GZ38" s="500">
        <f t="shared" si="158"/>
        <v>8396</v>
      </c>
      <c r="HA38" s="458">
        <f>SUM(GO38:GZ38)</f>
        <v>268313</v>
      </c>
      <c r="HB38" s="501">
        <f t="shared" ref="HB38:HM38" si="159">+HB40+HB47</f>
        <v>25312</v>
      </c>
      <c r="HC38" s="446">
        <f t="shared" si="159"/>
        <v>15698</v>
      </c>
      <c r="HD38" s="499">
        <f t="shared" si="159"/>
        <v>79373</v>
      </c>
      <c r="HE38" s="446">
        <f t="shared" si="159"/>
        <v>27539</v>
      </c>
      <c r="HF38" s="446">
        <f t="shared" si="159"/>
        <v>36314</v>
      </c>
      <c r="HG38" s="499">
        <f t="shared" si="159"/>
        <v>37606</v>
      </c>
      <c r="HH38" s="499">
        <f t="shared" si="159"/>
        <v>45653</v>
      </c>
      <c r="HI38" s="499">
        <f t="shared" si="159"/>
        <v>32481</v>
      </c>
      <c r="HJ38" s="499">
        <f t="shared" si="159"/>
        <v>45855</v>
      </c>
      <c r="HK38" s="499">
        <f t="shared" si="159"/>
        <v>32461</v>
      </c>
      <c r="HL38" s="502">
        <f t="shared" si="159"/>
        <v>40527</v>
      </c>
      <c r="HM38" s="503">
        <f t="shared" si="159"/>
        <v>31752</v>
      </c>
      <c r="HN38" s="458">
        <f>SUM(HB38:HM38)</f>
        <v>450571</v>
      </c>
      <c r="HO38" s="501">
        <f t="shared" ref="HO38:HZ38" si="160">+HO40+HO47</f>
        <v>52550</v>
      </c>
      <c r="HP38" s="446">
        <f t="shared" si="160"/>
        <v>54746</v>
      </c>
      <c r="HQ38" s="446">
        <f t="shared" si="160"/>
        <v>33409</v>
      </c>
      <c r="HR38" s="446">
        <f t="shared" si="160"/>
        <v>31367</v>
      </c>
      <c r="HS38" s="446">
        <f t="shared" si="160"/>
        <v>34919</v>
      </c>
      <c r="HT38" s="446">
        <f t="shared" si="160"/>
        <v>31870</v>
      </c>
      <c r="HU38" s="446">
        <f t="shared" si="160"/>
        <v>42658</v>
      </c>
      <c r="HV38" s="446">
        <f t="shared" si="160"/>
        <v>27736</v>
      </c>
      <c r="HW38" s="446">
        <f t="shared" si="160"/>
        <v>29652</v>
      </c>
      <c r="HX38" s="446">
        <f t="shared" si="160"/>
        <v>35394</v>
      </c>
      <c r="HY38" s="446">
        <f t="shared" si="160"/>
        <v>41140</v>
      </c>
      <c r="HZ38" s="446">
        <f t="shared" si="160"/>
        <v>31912</v>
      </c>
      <c r="IA38" s="447">
        <f>SUM(HO38:HZ38)</f>
        <v>447353</v>
      </c>
      <c r="IB38" s="449">
        <f t="shared" ref="IB38:IM38" si="161">+IB40+IB47</f>
        <v>26305</v>
      </c>
      <c r="IC38" s="446">
        <f t="shared" si="161"/>
        <v>110840</v>
      </c>
      <c r="ID38" s="446">
        <f t="shared" si="161"/>
        <v>39500</v>
      </c>
      <c r="IE38" s="446">
        <f t="shared" si="161"/>
        <v>34208</v>
      </c>
      <c r="IF38" s="446">
        <f t="shared" si="161"/>
        <v>36546</v>
      </c>
      <c r="IG38" s="446">
        <f t="shared" si="161"/>
        <v>42765</v>
      </c>
      <c r="IH38" s="446">
        <f t="shared" si="161"/>
        <v>44683</v>
      </c>
      <c r="II38" s="446">
        <f t="shared" si="161"/>
        <v>41684</v>
      </c>
      <c r="IJ38" s="446">
        <f t="shared" si="161"/>
        <v>40777</v>
      </c>
      <c r="IK38" s="446">
        <f t="shared" si="161"/>
        <v>44527</v>
      </c>
      <c r="IL38" s="446">
        <f t="shared" si="161"/>
        <v>37883</v>
      </c>
      <c r="IM38" s="458">
        <f t="shared" si="161"/>
        <v>70992</v>
      </c>
      <c r="IN38" s="458">
        <f>SUM(IB38:IM38)</f>
        <v>570710</v>
      </c>
      <c r="IO38" s="446">
        <f t="shared" ref="IO38:IZ38" si="162">+IO40+IO47</f>
        <v>48167</v>
      </c>
      <c r="IP38" s="446">
        <f t="shared" si="162"/>
        <v>105526</v>
      </c>
      <c r="IQ38" s="446">
        <f t="shared" si="162"/>
        <v>42971</v>
      </c>
      <c r="IR38" s="446">
        <f t="shared" si="162"/>
        <v>38071</v>
      </c>
      <c r="IS38" s="450">
        <f t="shared" si="162"/>
        <v>43610</v>
      </c>
      <c r="IT38" s="502">
        <f t="shared" si="162"/>
        <v>49160</v>
      </c>
      <c r="IU38" s="502">
        <f t="shared" si="162"/>
        <v>57774</v>
      </c>
      <c r="IV38" s="450">
        <f t="shared" si="162"/>
        <v>41808</v>
      </c>
      <c r="IW38" s="502">
        <f t="shared" si="162"/>
        <v>42745</v>
      </c>
      <c r="IX38" s="502">
        <f t="shared" si="162"/>
        <v>45124</v>
      </c>
      <c r="IY38" s="502">
        <f t="shared" si="162"/>
        <v>47410</v>
      </c>
      <c r="IZ38" s="502">
        <f t="shared" si="162"/>
        <v>40910</v>
      </c>
      <c r="JA38" s="1368">
        <f>SUM(IO38:IZ38)</f>
        <v>603276</v>
      </c>
      <c r="JB38" s="1369">
        <f t="shared" ref="JB38:JE38" si="163">+JB40+JB47</f>
        <v>111477</v>
      </c>
      <c r="JC38" s="1370">
        <f t="shared" si="163"/>
        <v>49897</v>
      </c>
      <c r="JD38" s="1370">
        <f t="shared" si="163"/>
        <v>38698</v>
      </c>
      <c r="JE38" s="1370">
        <f t="shared" si="163"/>
        <v>36564</v>
      </c>
      <c r="JF38" s="1370">
        <f t="shared" ref="JF38" si="164">+JF40+JF47</f>
        <v>59239</v>
      </c>
      <c r="JG38" s="1370">
        <f>+JG40+JG47</f>
        <v>43444</v>
      </c>
      <c r="JH38" s="1370">
        <f>+JH40+JH47</f>
        <v>55572</v>
      </c>
      <c r="JI38" s="1370">
        <f>+JI40+JI47</f>
        <v>92393</v>
      </c>
      <c r="JJ38" s="1370"/>
      <c r="JK38" s="1370"/>
      <c r="JL38" s="1370"/>
      <c r="JM38" s="1371"/>
      <c r="JN38" s="1372">
        <f>SUM(JB38:JM38)</f>
        <v>487284</v>
      </c>
      <c r="JP38" s="455">
        <f>IFERROR(((JI38/IV38)-1)*100,"-")</f>
        <v>120.99358974358974</v>
      </c>
      <c r="JQ38" s="504">
        <f>IFERROR(((JS38/JR38)-1)*100,"-")</f>
        <v>14.094786308176088</v>
      </c>
      <c r="JR38" s="456">
        <f>IFERROR(SUM(IO38:IV38),"-")</f>
        <v>427087</v>
      </c>
      <c r="JS38" s="505">
        <f>IFERROR(SUM(JB38:JM38),"-")</f>
        <v>487284</v>
      </c>
    </row>
    <row r="39" spans="1:279" ht="13.9" customHeight="1" x14ac:dyDescent="0.2">
      <c r="A39" s="436" t="s">
        <v>352</v>
      </c>
      <c r="AV39" s="406"/>
      <c r="AW39" s="406"/>
      <c r="AX39" s="406"/>
      <c r="AY39" s="406"/>
      <c r="AZ39" s="406"/>
      <c r="BA39" s="406"/>
      <c r="BB39" s="406"/>
      <c r="BC39" s="406"/>
      <c r="BD39" s="406"/>
      <c r="BE39" s="406"/>
      <c r="BF39" s="406"/>
      <c r="BG39" s="406"/>
      <c r="BH39" s="406"/>
      <c r="BI39" s="406"/>
      <c r="BJ39" s="406"/>
      <c r="BK39" s="406"/>
      <c r="BL39" s="406"/>
      <c r="BM39" s="406"/>
      <c r="BN39" s="406"/>
      <c r="BO39" s="406"/>
      <c r="BP39" s="406"/>
      <c r="BQ39" s="406"/>
      <c r="BR39" s="406"/>
      <c r="BS39" s="406"/>
      <c r="BT39" s="406"/>
      <c r="BU39" s="406"/>
      <c r="BV39" s="406"/>
      <c r="BW39" s="406"/>
      <c r="BX39" s="406"/>
      <c r="BY39" s="406"/>
      <c r="BZ39" s="406"/>
      <c r="CA39" s="406"/>
      <c r="CB39" s="406"/>
      <c r="CC39" s="406"/>
      <c r="CD39" s="406"/>
      <c r="CE39" s="406"/>
      <c r="CF39" s="406"/>
      <c r="CG39" s="406"/>
      <c r="CH39" s="406"/>
      <c r="CI39" s="406"/>
      <c r="CJ39" s="406"/>
      <c r="CK39" s="406"/>
      <c r="CL39" s="406"/>
      <c r="CM39" s="406"/>
      <c r="CN39" s="406"/>
      <c r="CO39" s="406"/>
      <c r="CP39" s="406"/>
      <c r="CQ39" s="406"/>
      <c r="CR39" s="406"/>
      <c r="CS39" s="406"/>
      <c r="CT39" s="406"/>
      <c r="CU39" s="406"/>
      <c r="CV39" s="406"/>
      <c r="CW39" s="406"/>
      <c r="CX39" s="406"/>
      <c r="CY39" s="406"/>
      <c r="CZ39" s="406"/>
      <c r="DA39" s="461"/>
      <c r="DB39" s="406"/>
      <c r="DC39" s="406"/>
      <c r="DD39" s="406"/>
      <c r="DE39" s="406"/>
      <c r="DF39" s="406"/>
      <c r="DG39" s="406"/>
      <c r="DH39" s="406"/>
      <c r="DI39" s="406"/>
      <c r="DJ39" s="406"/>
      <c r="DK39" s="406"/>
      <c r="DL39" s="406"/>
      <c r="DM39" s="406"/>
      <c r="DN39" s="461"/>
      <c r="DO39" s="460"/>
      <c r="DP39" s="406"/>
      <c r="DQ39" s="406"/>
      <c r="DR39" s="406"/>
      <c r="DS39" s="406"/>
      <c r="DT39" s="406"/>
      <c r="DU39" s="406"/>
      <c r="DV39" s="406"/>
      <c r="DW39" s="406"/>
      <c r="DX39" s="406"/>
      <c r="DY39" s="406"/>
      <c r="DZ39" s="462"/>
      <c r="EA39" s="462"/>
      <c r="EB39" s="406"/>
      <c r="EC39" s="406"/>
      <c r="ED39" s="406"/>
      <c r="EE39" s="406"/>
      <c r="EF39" s="406"/>
      <c r="EG39" s="406"/>
      <c r="EH39" s="406"/>
      <c r="EI39" s="406"/>
      <c r="EJ39" s="406"/>
      <c r="EK39" s="406"/>
      <c r="EL39" s="406"/>
      <c r="EM39" s="462"/>
      <c r="EN39" s="406"/>
      <c r="EO39" s="460"/>
      <c r="EP39" s="406"/>
      <c r="EQ39" s="406"/>
      <c r="ER39" s="406"/>
      <c r="ES39" s="406"/>
      <c r="ET39" s="406"/>
      <c r="EU39" s="406"/>
      <c r="EV39" s="406"/>
      <c r="EW39" s="406"/>
      <c r="EX39" s="406"/>
      <c r="EY39" s="406"/>
      <c r="EZ39" s="406"/>
      <c r="FA39" s="461"/>
      <c r="FB39" s="460"/>
      <c r="FC39" s="406"/>
      <c r="FD39" s="406"/>
      <c r="FE39" s="406"/>
      <c r="FF39" s="406"/>
      <c r="FG39" s="406"/>
      <c r="FH39" s="406"/>
      <c r="FI39" s="406"/>
      <c r="FJ39" s="406"/>
      <c r="FK39" s="406"/>
      <c r="FL39" s="406"/>
      <c r="FM39" s="462"/>
      <c r="FN39" s="462"/>
      <c r="FO39" s="406"/>
      <c r="FP39" s="406"/>
      <c r="FQ39" s="406"/>
      <c r="FR39" s="406"/>
      <c r="FS39" s="406"/>
      <c r="FT39" s="406"/>
      <c r="FU39" s="406"/>
      <c r="FV39" s="406"/>
      <c r="FW39" s="406"/>
      <c r="FX39" s="406"/>
      <c r="FY39" s="406"/>
      <c r="FZ39" s="462"/>
      <c r="GA39" s="462"/>
      <c r="GB39" s="406"/>
      <c r="GC39" s="406"/>
      <c r="GD39" s="506"/>
      <c r="GE39" s="506"/>
      <c r="GF39" s="506"/>
      <c r="GG39" s="506"/>
      <c r="GH39" s="506"/>
      <c r="GI39" s="506"/>
      <c r="GJ39" s="506"/>
      <c r="GK39" s="506"/>
      <c r="GL39" s="506"/>
      <c r="GM39" s="506"/>
      <c r="GN39" s="447"/>
      <c r="GO39" s="506"/>
      <c r="GP39" s="506"/>
      <c r="GQ39" s="506"/>
      <c r="GR39" s="506"/>
      <c r="GS39" s="506"/>
      <c r="GT39" s="506"/>
      <c r="GU39" s="506"/>
      <c r="GV39" s="506"/>
      <c r="GW39" s="506"/>
      <c r="GX39" s="506"/>
      <c r="GY39" s="506"/>
      <c r="GZ39" s="507"/>
      <c r="HA39" s="507"/>
      <c r="HB39" s="508"/>
      <c r="HC39" s="506"/>
      <c r="HD39" s="506"/>
      <c r="HE39" s="506"/>
      <c r="HF39" s="506"/>
      <c r="HG39" s="506"/>
      <c r="HH39" s="506"/>
      <c r="HI39" s="506"/>
      <c r="HJ39" s="506"/>
      <c r="HK39" s="506"/>
      <c r="HL39" s="509"/>
      <c r="HM39" s="510"/>
      <c r="HN39" s="507"/>
      <c r="HO39" s="508"/>
      <c r="HP39" s="506"/>
      <c r="HQ39" s="506"/>
      <c r="HR39" s="506"/>
      <c r="HS39" s="506"/>
      <c r="HT39" s="506"/>
      <c r="HU39" s="506"/>
      <c r="HV39" s="506"/>
      <c r="HW39" s="506"/>
      <c r="HX39" s="506"/>
      <c r="HY39" s="506"/>
      <c r="HZ39" s="506"/>
      <c r="IA39" s="511"/>
      <c r="IB39" s="508"/>
      <c r="IC39" s="506"/>
      <c r="ID39" s="506"/>
      <c r="IE39" s="506"/>
      <c r="IF39" s="506"/>
      <c r="IG39" s="506"/>
      <c r="IH39" s="506"/>
      <c r="II39" s="506"/>
      <c r="IJ39" s="506"/>
      <c r="IK39" s="506"/>
      <c r="IL39" s="506"/>
      <c r="IM39" s="507"/>
      <c r="IN39" s="507"/>
      <c r="IO39" s="506"/>
      <c r="IP39" s="506"/>
      <c r="IQ39" s="506"/>
      <c r="IR39" s="506"/>
      <c r="IS39" s="509"/>
      <c r="IT39" s="509"/>
      <c r="IU39" s="509"/>
      <c r="IV39" s="509"/>
      <c r="IW39" s="509"/>
      <c r="IX39" s="509"/>
      <c r="IY39" s="509"/>
      <c r="IZ39" s="509"/>
      <c r="JA39" s="1373"/>
      <c r="JB39" s="1328"/>
      <c r="JC39" s="129"/>
      <c r="JD39" s="129"/>
      <c r="JE39" s="129"/>
      <c r="JF39" s="129"/>
      <c r="JG39" s="129"/>
      <c r="JH39" s="129"/>
      <c r="JI39" s="129"/>
      <c r="JJ39" s="129"/>
      <c r="JK39" s="129"/>
      <c r="JL39" s="129"/>
      <c r="JM39" s="1268"/>
      <c r="JN39" s="1343"/>
      <c r="JP39" s="455" t="str">
        <f t="shared" ref="JP39:JP45" si="165">IFERROR(((JI39/IV39)-1)*100,"-")</f>
        <v>-</v>
      </c>
      <c r="JQ39" s="504"/>
      <c r="JR39" s="456"/>
      <c r="JS39" s="505"/>
    </row>
    <row r="40" spans="1:279" ht="13.9" customHeight="1" x14ac:dyDescent="0.2">
      <c r="A40" s="497" t="s">
        <v>308</v>
      </c>
      <c r="B40" s="498"/>
      <c r="C40" s="498"/>
      <c r="D40" s="498"/>
      <c r="E40" s="498"/>
      <c r="F40" s="498"/>
      <c r="G40" s="498"/>
      <c r="H40" s="498"/>
      <c r="I40" s="498"/>
      <c r="J40" s="498"/>
      <c r="K40" s="498"/>
      <c r="L40" s="498"/>
      <c r="M40" s="498"/>
      <c r="N40" s="498"/>
      <c r="O40" s="498"/>
      <c r="P40" s="498"/>
      <c r="Q40" s="498"/>
      <c r="R40" s="498"/>
      <c r="S40" s="498"/>
      <c r="T40" s="498"/>
      <c r="U40" s="498"/>
      <c r="V40" s="498"/>
      <c r="W40" s="498"/>
      <c r="X40" s="498"/>
      <c r="Y40" s="498"/>
      <c r="Z40" s="498"/>
      <c r="AA40" s="498"/>
      <c r="AB40" s="498"/>
      <c r="AC40" s="498"/>
      <c r="AD40" s="498"/>
      <c r="AE40" s="498"/>
      <c r="AF40" s="498"/>
      <c r="AG40" s="498"/>
      <c r="AH40" s="498"/>
      <c r="AI40" s="498"/>
      <c r="AJ40" s="498"/>
      <c r="AK40" s="498"/>
      <c r="AL40" s="498"/>
      <c r="AM40" s="498"/>
      <c r="AN40" s="498"/>
      <c r="AO40" s="498"/>
      <c r="AP40" s="498"/>
      <c r="AQ40" s="498"/>
      <c r="AR40" s="498"/>
      <c r="AS40" s="498"/>
      <c r="AT40" s="498"/>
      <c r="AU40" s="498"/>
      <c r="AV40" s="446"/>
      <c r="AW40" s="446"/>
      <c r="AX40" s="446"/>
      <c r="AY40" s="446"/>
      <c r="AZ40" s="446"/>
      <c r="BA40" s="446"/>
      <c r="BB40" s="446"/>
      <c r="BC40" s="446"/>
      <c r="BD40" s="446"/>
      <c r="BE40" s="446"/>
      <c r="BF40" s="446"/>
      <c r="BG40" s="446"/>
      <c r="BH40" s="446"/>
      <c r="BI40" s="446"/>
      <c r="BJ40" s="446"/>
      <c r="BK40" s="446"/>
      <c r="BL40" s="446"/>
      <c r="BM40" s="446"/>
      <c r="BN40" s="446"/>
      <c r="BO40" s="446"/>
      <c r="BP40" s="446"/>
      <c r="BQ40" s="446"/>
      <c r="BR40" s="446"/>
      <c r="BS40" s="446"/>
      <c r="BT40" s="446"/>
      <c r="BU40" s="446"/>
      <c r="BV40" s="446"/>
      <c r="BW40" s="446"/>
      <c r="BX40" s="446"/>
      <c r="BY40" s="446"/>
      <c r="BZ40" s="446"/>
      <c r="CA40" s="446"/>
      <c r="CB40" s="446"/>
      <c r="CC40" s="446"/>
      <c r="CD40" s="446"/>
      <c r="CE40" s="446"/>
      <c r="CF40" s="446"/>
      <c r="CG40" s="446"/>
      <c r="CH40" s="446"/>
      <c r="CI40" s="446"/>
      <c r="CJ40" s="446"/>
      <c r="CK40" s="446"/>
      <c r="CL40" s="446"/>
      <c r="CM40" s="446"/>
      <c r="CN40" s="446"/>
      <c r="CO40" s="446">
        <f t="shared" ref="CO40:EZ40" si="166">+CO41+CO42</f>
        <v>5283</v>
      </c>
      <c r="CP40" s="446">
        <f t="shared" si="166"/>
        <v>14289</v>
      </c>
      <c r="CQ40" s="446">
        <f t="shared" si="166"/>
        <v>10369</v>
      </c>
      <c r="CR40" s="446">
        <f t="shared" si="166"/>
        <v>15624</v>
      </c>
      <c r="CS40" s="446">
        <f t="shared" si="166"/>
        <v>10593</v>
      </c>
      <c r="CT40" s="446">
        <f t="shared" si="166"/>
        <v>14775.04</v>
      </c>
      <c r="CU40" s="446">
        <f t="shared" si="166"/>
        <v>17001</v>
      </c>
      <c r="CV40" s="446">
        <f t="shared" si="166"/>
        <v>10739.2</v>
      </c>
      <c r="CW40" s="446">
        <f t="shared" si="166"/>
        <v>10738</v>
      </c>
      <c r="CX40" s="446">
        <f t="shared" si="166"/>
        <v>38355</v>
      </c>
      <c r="CY40" s="446">
        <f t="shared" si="166"/>
        <v>23752.2</v>
      </c>
      <c r="CZ40" s="446">
        <f t="shared" si="166"/>
        <v>12666.1</v>
      </c>
      <c r="DA40" s="447">
        <f t="shared" si="166"/>
        <v>184184.54</v>
      </c>
      <c r="DB40" s="446">
        <f t="shared" si="166"/>
        <v>22473</v>
      </c>
      <c r="DC40" s="446">
        <f t="shared" si="166"/>
        <v>18399</v>
      </c>
      <c r="DD40" s="446">
        <f t="shared" si="166"/>
        <v>12161.05</v>
      </c>
      <c r="DE40" s="446">
        <f t="shared" si="166"/>
        <v>21079.040000000001</v>
      </c>
      <c r="DF40" s="446">
        <f t="shared" si="166"/>
        <v>10076.115</v>
      </c>
      <c r="DG40" s="446">
        <f t="shared" si="166"/>
        <v>14894.03</v>
      </c>
      <c r="DH40" s="446">
        <f t="shared" si="166"/>
        <v>12899.62</v>
      </c>
      <c r="DI40" s="446">
        <f t="shared" si="166"/>
        <v>23162.559999999998</v>
      </c>
      <c r="DJ40" s="446">
        <f t="shared" si="166"/>
        <v>16740.036</v>
      </c>
      <c r="DK40" s="446">
        <f t="shared" si="166"/>
        <v>9289.0810000000001</v>
      </c>
      <c r="DL40" s="446">
        <f t="shared" si="166"/>
        <v>14634.880000000001</v>
      </c>
      <c r="DM40" s="446">
        <f t="shared" si="166"/>
        <v>9440.4320000000007</v>
      </c>
      <c r="DN40" s="447">
        <f t="shared" si="166"/>
        <v>185248.84400000001</v>
      </c>
      <c r="DO40" s="449">
        <f t="shared" si="166"/>
        <v>12088.929</v>
      </c>
      <c r="DP40" s="446">
        <f t="shared" si="166"/>
        <v>5480.7529999999997</v>
      </c>
      <c r="DQ40" s="446">
        <f t="shared" si="166"/>
        <v>41681.964</v>
      </c>
      <c r="DR40" s="446">
        <f t="shared" si="166"/>
        <v>7204.1469999999999</v>
      </c>
      <c r="DS40" s="446">
        <f t="shared" si="166"/>
        <v>7783</v>
      </c>
      <c r="DT40" s="446">
        <f t="shared" si="166"/>
        <v>44777</v>
      </c>
      <c r="DU40" s="446">
        <f t="shared" si="166"/>
        <v>9945</v>
      </c>
      <c r="DV40" s="446">
        <f t="shared" si="166"/>
        <v>12286</v>
      </c>
      <c r="DW40" s="446">
        <f t="shared" si="166"/>
        <v>24908</v>
      </c>
      <c r="DX40" s="446">
        <f t="shared" si="166"/>
        <v>10478</v>
      </c>
      <c r="DY40" s="446">
        <f t="shared" si="166"/>
        <v>7349</v>
      </c>
      <c r="DZ40" s="458">
        <f t="shared" si="166"/>
        <v>17033</v>
      </c>
      <c r="EA40" s="458">
        <f t="shared" si="166"/>
        <v>201014.79300000001</v>
      </c>
      <c r="EB40" s="446">
        <f t="shared" si="166"/>
        <v>22121</v>
      </c>
      <c r="EC40" s="446">
        <f t="shared" si="166"/>
        <v>8695</v>
      </c>
      <c r="ED40" s="446">
        <f t="shared" si="166"/>
        <v>14336</v>
      </c>
      <c r="EE40" s="446">
        <f t="shared" si="166"/>
        <v>11969</v>
      </c>
      <c r="EF40" s="446">
        <f t="shared" si="166"/>
        <v>9993</v>
      </c>
      <c r="EG40" s="446">
        <f t="shared" si="166"/>
        <v>8358</v>
      </c>
      <c r="EH40" s="446">
        <f t="shared" si="166"/>
        <v>14256</v>
      </c>
      <c r="EI40" s="446">
        <f t="shared" si="166"/>
        <v>9881</v>
      </c>
      <c r="EJ40" s="446">
        <f t="shared" si="166"/>
        <v>10353</v>
      </c>
      <c r="EK40" s="446">
        <f t="shared" si="166"/>
        <v>16108</v>
      </c>
      <c r="EL40" s="446">
        <f t="shared" si="166"/>
        <v>15374</v>
      </c>
      <c r="EM40" s="458">
        <f t="shared" si="166"/>
        <v>15254</v>
      </c>
      <c r="EN40" s="446">
        <f t="shared" si="166"/>
        <v>156698</v>
      </c>
      <c r="EO40" s="449">
        <f t="shared" si="166"/>
        <v>2110</v>
      </c>
      <c r="EP40" s="446">
        <f t="shared" si="166"/>
        <v>18371</v>
      </c>
      <c r="EQ40" s="446">
        <f t="shared" si="166"/>
        <v>27282</v>
      </c>
      <c r="ER40" s="446">
        <f t="shared" si="166"/>
        <v>10559</v>
      </c>
      <c r="ES40" s="446">
        <f t="shared" si="166"/>
        <v>5522</v>
      </c>
      <c r="ET40" s="446">
        <f t="shared" si="166"/>
        <v>14076</v>
      </c>
      <c r="EU40" s="446">
        <f t="shared" si="166"/>
        <v>9490</v>
      </c>
      <c r="EV40" s="446">
        <f t="shared" si="166"/>
        <v>16564</v>
      </c>
      <c r="EW40" s="446">
        <f t="shared" si="166"/>
        <v>5602</v>
      </c>
      <c r="EX40" s="446">
        <f t="shared" si="166"/>
        <v>5909</v>
      </c>
      <c r="EY40" s="446">
        <f t="shared" si="166"/>
        <v>7849</v>
      </c>
      <c r="EZ40" s="446">
        <f t="shared" si="166"/>
        <v>11653</v>
      </c>
      <c r="FA40" s="447">
        <f t="shared" ref="FA40:GM40" si="167">+FA41+FA42</f>
        <v>134987</v>
      </c>
      <c r="FB40" s="449">
        <f t="shared" si="167"/>
        <v>9474</v>
      </c>
      <c r="FC40" s="446">
        <f t="shared" si="167"/>
        <v>11998</v>
      </c>
      <c r="FD40" s="446">
        <f t="shared" si="167"/>
        <v>10496</v>
      </c>
      <c r="FE40" s="446">
        <f t="shared" si="167"/>
        <v>28693</v>
      </c>
      <c r="FF40" s="446">
        <f t="shared" si="167"/>
        <v>4250</v>
      </c>
      <c r="FG40" s="446">
        <f t="shared" si="167"/>
        <v>11658</v>
      </c>
      <c r="FH40" s="446">
        <f t="shared" si="167"/>
        <v>15238</v>
      </c>
      <c r="FI40" s="446">
        <f t="shared" si="167"/>
        <v>7155</v>
      </c>
      <c r="FJ40" s="446">
        <f t="shared" si="167"/>
        <v>9582</v>
      </c>
      <c r="FK40" s="446">
        <f t="shared" si="167"/>
        <v>6158</v>
      </c>
      <c r="FL40" s="446">
        <f t="shared" si="167"/>
        <v>11067</v>
      </c>
      <c r="FM40" s="458">
        <f t="shared" si="167"/>
        <v>7309</v>
      </c>
      <c r="FN40" s="458">
        <f t="shared" si="167"/>
        <v>133078</v>
      </c>
      <c r="FO40" s="446">
        <f t="shared" si="167"/>
        <v>31648</v>
      </c>
      <c r="FP40" s="446">
        <f t="shared" si="167"/>
        <v>5651</v>
      </c>
      <c r="FQ40" s="446">
        <f t="shared" si="167"/>
        <v>9109</v>
      </c>
      <c r="FR40" s="446">
        <f t="shared" si="167"/>
        <v>6234</v>
      </c>
      <c r="FS40" s="446">
        <f t="shared" si="167"/>
        <v>8528</v>
      </c>
      <c r="FT40" s="446">
        <f t="shared" si="167"/>
        <v>6058</v>
      </c>
      <c r="FU40" s="446">
        <f t="shared" si="167"/>
        <v>9636</v>
      </c>
      <c r="FV40" s="446">
        <f t="shared" si="167"/>
        <v>7552</v>
      </c>
      <c r="FW40" s="446">
        <f t="shared" si="167"/>
        <v>11169</v>
      </c>
      <c r="FX40" s="446">
        <f t="shared" si="167"/>
        <v>7942</v>
      </c>
      <c r="FY40" s="446">
        <f t="shared" si="167"/>
        <v>9007</v>
      </c>
      <c r="FZ40" s="458">
        <f t="shared" si="167"/>
        <v>12964</v>
      </c>
      <c r="GA40" s="458">
        <f t="shared" si="167"/>
        <v>125498</v>
      </c>
      <c r="GB40" s="446">
        <f t="shared" si="167"/>
        <v>19805</v>
      </c>
      <c r="GC40" s="446">
        <f t="shared" si="167"/>
        <v>24054</v>
      </c>
      <c r="GD40" s="446">
        <f t="shared" si="167"/>
        <v>5918</v>
      </c>
      <c r="GE40" s="446">
        <f t="shared" si="167"/>
        <v>4995</v>
      </c>
      <c r="GF40" s="446">
        <f t="shared" si="167"/>
        <v>5852</v>
      </c>
      <c r="GG40" s="446">
        <f t="shared" si="167"/>
        <v>5417</v>
      </c>
      <c r="GH40" s="446">
        <f t="shared" si="167"/>
        <v>20260</v>
      </c>
      <c r="GI40" s="446">
        <f t="shared" si="167"/>
        <v>9752</v>
      </c>
      <c r="GJ40" s="446">
        <f t="shared" si="167"/>
        <v>13926</v>
      </c>
      <c r="GK40" s="446">
        <f t="shared" si="167"/>
        <v>19483</v>
      </c>
      <c r="GL40" s="446">
        <f t="shared" si="167"/>
        <v>13971</v>
      </c>
      <c r="GM40" s="446">
        <f t="shared" si="167"/>
        <v>16202</v>
      </c>
      <c r="GN40" s="447">
        <f t="shared" ref="GN40:GN79" si="168">SUM(GB40:GM40)</f>
        <v>159635</v>
      </c>
      <c r="GO40" s="446">
        <f t="shared" ref="GO40:GZ40" si="169">+GO41+GO42</f>
        <v>24835</v>
      </c>
      <c r="GP40" s="446">
        <f t="shared" si="169"/>
        <v>89621</v>
      </c>
      <c r="GQ40" s="446">
        <f t="shared" si="169"/>
        <v>10703</v>
      </c>
      <c r="GR40" s="446">
        <f t="shared" si="169"/>
        <v>10657</v>
      </c>
      <c r="GS40" s="446">
        <f t="shared" si="169"/>
        <v>11304</v>
      </c>
      <c r="GT40" s="446">
        <f t="shared" si="169"/>
        <v>17074</v>
      </c>
      <c r="GU40" s="446">
        <f t="shared" si="169"/>
        <v>44543</v>
      </c>
      <c r="GV40" s="446">
        <f t="shared" si="169"/>
        <v>12482</v>
      </c>
      <c r="GW40" s="446">
        <f t="shared" si="169"/>
        <v>7074</v>
      </c>
      <c r="GX40" s="446">
        <f t="shared" si="169"/>
        <v>8120</v>
      </c>
      <c r="GY40" s="446">
        <f t="shared" si="169"/>
        <v>23504</v>
      </c>
      <c r="GZ40" s="458">
        <f t="shared" si="169"/>
        <v>8396</v>
      </c>
      <c r="HA40" s="458">
        <f t="shared" ref="HA40:HA47" si="170">SUM(GO40:GZ40)</f>
        <v>268313</v>
      </c>
      <c r="HB40" s="449">
        <f t="shared" ref="HB40:HM40" si="171">+HB41+HB42</f>
        <v>25312</v>
      </c>
      <c r="HC40" s="446">
        <f t="shared" si="171"/>
        <v>15698</v>
      </c>
      <c r="HD40" s="446">
        <f t="shared" si="171"/>
        <v>79373</v>
      </c>
      <c r="HE40" s="446">
        <f t="shared" si="171"/>
        <v>27539</v>
      </c>
      <c r="HF40" s="446">
        <f t="shared" si="171"/>
        <v>36314</v>
      </c>
      <c r="HG40" s="446">
        <f t="shared" si="171"/>
        <v>37606</v>
      </c>
      <c r="HH40" s="446">
        <f t="shared" si="171"/>
        <v>45653</v>
      </c>
      <c r="HI40" s="446">
        <f t="shared" si="171"/>
        <v>32481</v>
      </c>
      <c r="HJ40" s="446">
        <f t="shared" si="171"/>
        <v>45855</v>
      </c>
      <c r="HK40" s="446">
        <f t="shared" si="171"/>
        <v>32461</v>
      </c>
      <c r="HL40" s="450">
        <f t="shared" si="171"/>
        <v>40527</v>
      </c>
      <c r="HM40" s="451">
        <f t="shared" si="171"/>
        <v>31752</v>
      </c>
      <c r="HN40" s="458">
        <f t="shared" ref="HN40:HN45" si="172">SUM(HB40:HM40)</f>
        <v>450571</v>
      </c>
      <c r="HO40" s="449">
        <f t="shared" ref="HO40:HZ40" si="173">+HO41+HO42</f>
        <v>52550</v>
      </c>
      <c r="HP40" s="446">
        <f t="shared" si="173"/>
        <v>54746</v>
      </c>
      <c r="HQ40" s="446">
        <f t="shared" si="173"/>
        <v>33409</v>
      </c>
      <c r="HR40" s="446">
        <f t="shared" si="173"/>
        <v>31367</v>
      </c>
      <c r="HS40" s="446">
        <f t="shared" si="173"/>
        <v>34919</v>
      </c>
      <c r="HT40" s="446">
        <f t="shared" si="173"/>
        <v>31870</v>
      </c>
      <c r="HU40" s="446">
        <f t="shared" si="173"/>
        <v>42658</v>
      </c>
      <c r="HV40" s="446">
        <f t="shared" si="173"/>
        <v>27736</v>
      </c>
      <c r="HW40" s="446">
        <f t="shared" si="173"/>
        <v>29652</v>
      </c>
      <c r="HX40" s="446">
        <f t="shared" si="173"/>
        <v>35394</v>
      </c>
      <c r="HY40" s="446">
        <f t="shared" si="173"/>
        <v>41140</v>
      </c>
      <c r="HZ40" s="446">
        <f t="shared" si="173"/>
        <v>31912</v>
      </c>
      <c r="IA40" s="447">
        <f t="shared" ref="IA40:IA47" si="174">SUM(HO40:HZ40)</f>
        <v>447353</v>
      </c>
      <c r="IB40" s="449">
        <f t="shared" ref="IB40:IM40" si="175">+IB41+IB42</f>
        <v>26305</v>
      </c>
      <c r="IC40" s="446">
        <f t="shared" si="175"/>
        <v>110840</v>
      </c>
      <c r="ID40" s="446">
        <f t="shared" si="175"/>
        <v>39500</v>
      </c>
      <c r="IE40" s="446">
        <f t="shared" si="175"/>
        <v>34208</v>
      </c>
      <c r="IF40" s="446">
        <f t="shared" si="175"/>
        <v>36546</v>
      </c>
      <c r="IG40" s="446">
        <f t="shared" si="175"/>
        <v>42765</v>
      </c>
      <c r="IH40" s="446">
        <f t="shared" si="175"/>
        <v>44683</v>
      </c>
      <c r="II40" s="446">
        <f t="shared" si="175"/>
        <v>41684</v>
      </c>
      <c r="IJ40" s="446">
        <f t="shared" si="175"/>
        <v>40777</v>
      </c>
      <c r="IK40" s="446">
        <f t="shared" si="175"/>
        <v>44527</v>
      </c>
      <c r="IL40" s="446">
        <f t="shared" si="175"/>
        <v>37883</v>
      </c>
      <c r="IM40" s="458">
        <f t="shared" si="175"/>
        <v>70992</v>
      </c>
      <c r="IN40" s="458">
        <f t="shared" ref="IN40:IN47" si="176">SUM(IB40:IM40)</f>
        <v>570710</v>
      </c>
      <c r="IO40" s="446">
        <f t="shared" ref="IO40:IZ40" si="177">+IO41+IO42</f>
        <v>48167</v>
      </c>
      <c r="IP40" s="446">
        <f t="shared" si="177"/>
        <v>105526</v>
      </c>
      <c r="IQ40" s="446">
        <f t="shared" si="177"/>
        <v>42971</v>
      </c>
      <c r="IR40" s="446">
        <f t="shared" si="177"/>
        <v>38071</v>
      </c>
      <c r="IS40" s="450">
        <f t="shared" si="177"/>
        <v>43610</v>
      </c>
      <c r="IT40" s="450">
        <f t="shared" si="177"/>
        <v>49160</v>
      </c>
      <c r="IU40" s="450">
        <f t="shared" si="177"/>
        <v>57774</v>
      </c>
      <c r="IV40" s="450">
        <f t="shared" si="177"/>
        <v>41808</v>
      </c>
      <c r="IW40" s="450">
        <f t="shared" si="177"/>
        <v>42745</v>
      </c>
      <c r="IX40" s="450">
        <f t="shared" si="177"/>
        <v>45124</v>
      </c>
      <c r="IY40" s="450">
        <f t="shared" si="177"/>
        <v>47410</v>
      </c>
      <c r="IZ40" s="450">
        <f t="shared" si="177"/>
        <v>40910</v>
      </c>
      <c r="JA40" s="1368">
        <f t="shared" ref="JA40:JA47" si="178">SUM(IO40:IZ40)</f>
        <v>603276</v>
      </c>
      <c r="JB40" s="1328">
        <f t="shared" ref="JB40:JG40" si="179">+JB41+JB42</f>
        <v>111477</v>
      </c>
      <c r="JC40" s="129">
        <f t="shared" si="179"/>
        <v>49897</v>
      </c>
      <c r="JD40" s="129">
        <f t="shared" si="179"/>
        <v>38698</v>
      </c>
      <c r="JE40" s="129">
        <f t="shared" si="179"/>
        <v>36564</v>
      </c>
      <c r="JF40" s="129">
        <f t="shared" si="179"/>
        <v>59239</v>
      </c>
      <c r="JG40" s="129">
        <f t="shared" si="179"/>
        <v>43444</v>
      </c>
      <c r="JH40" s="129">
        <f t="shared" ref="JH40" si="180">+JH41+JH42</f>
        <v>55572</v>
      </c>
      <c r="JI40" s="129">
        <f>+JI41+JI42</f>
        <v>92393</v>
      </c>
      <c r="JJ40" s="129"/>
      <c r="JK40" s="129"/>
      <c r="JL40" s="129"/>
      <c r="JM40" s="1268"/>
      <c r="JN40" s="1343">
        <f t="shared" ref="JN40:JN47" si="181">SUM(JB40:JM40)</f>
        <v>487284</v>
      </c>
      <c r="JP40" s="455">
        <f t="shared" si="165"/>
        <v>120.99358974358974</v>
      </c>
      <c r="JQ40" s="504">
        <f t="shared" ref="JQ40:JQ45" si="182">IFERROR(((JS40/JR40)-1)*100,"-")</f>
        <v>14.094786308176088</v>
      </c>
      <c r="JR40" s="456">
        <f t="shared" ref="JR40:JR47" si="183">IFERROR(SUM(IO40:IV40),"-")</f>
        <v>427087</v>
      </c>
      <c r="JS40" s="505">
        <f t="shared" ref="JS40:JS47" si="184">IFERROR(SUM(JB40:JM40),"-")</f>
        <v>487284</v>
      </c>
    </row>
    <row r="41" spans="1:279" ht="13.9" customHeight="1" x14ac:dyDescent="0.2">
      <c r="A41" s="436" t="s">
        <v>309</v>
      </c>
      <c r="AV41" s="406"/>
      <c r="AW41" s="406"/>
      <c r="AX41" s="406"/>
      <c r="AY41" s="406"/>
      <c r="AZ41" s="406"/>
      <c r="BA41" s="406"/>
      <c r="BB41" s="406"/>
      <c r="BC41" s="406"/>
      <c r="BD41" s="406"/>
      <c r="BE41" s="406"/>
      <c r="BF41" s="406"/>
      <c r="BG41" s="406"/>
      <c r="BH41" s="406"/>
      <c r="BI41" s="406"/>
      <c r="BJ41" s="406"/>
      <c r="BK41" s="406"/>
      <c r="BL41" s="406"/>
      <c r="BM41" s="406"/>
      <c r="BN41" s="406"/>
      <c r="BO41" s="406"/>
      <c r="BP41" s="406"/>
      <c r="BQ41" s="406"/>
      <c r="BR41" s="406"/>
      <c r="BS41" s="406"/>
      <c r="BT41" s="406"/>
      <c r="BU41" s="406"/>
      <c r="BV41" s="406"/>
      <c r="BW41" s="406"/>
      <c r="BX41" s="406"/>
      <c r="BY41" s="406"/>
      <c r="BZ41" s="406"/>
      <c r="CA41" s="406"/>
      <c r="CB41" s="406"/>
      <c r="CC41" s="406"/>
      <c r="CD41" s="406"/>
      <c r="CE41" s="406"/>
      <c r="CF41" s="406"/>
      <c r="CG41" s="406"/>
      <c r="CH41" s="406"/>
      <c r="CI41" s="406"/>
      <c r="CJ41" s="406"/>
      <c r="CK41" s="406"/>
      <c r="CL41" s="406"/>
      <c r="CM41" s="406"/>
      <c r="CN41" s="406"/>
      <c r="CO41" s="406">
        <f t="shared" ref="CO41:EZ41" si="185">+CO10+CO15</f>
        <v>812</v>
      </c>
      <c r="CP41" s="406">
        <f t="shared" si="185"/>
        <v>1012</v>
      </c>
      <c r="CQ41" s="406">
        <f t="shared" si="185"/>
        <v>862</v>
      </c>
      <c r="CR41" s="406">
        <f t="shared" si="185"/>
        <v>1384</v>
      </c>
      <c r="CS41" s="406">
        <f t="shared" si="185"/>
        <v>1075</v>
      </c>
      <c r="CT41" s="406">
        <f t="shared" si="185"/>
        <v>2709</v>
      </c>
      <c r="CU41" s="406">
        <f t="shared" si="185"/>
        <v>2702</v>
      </c>
      <c r="CV41" s="406">
        <f t="shared" si="185"/>
        <v>1465</v>
      </c>
      <c r="CW41" s="406">
        <f t="shared" si="185"/>
        <v>1463</v>
      </c>
      <c r="CX41" s="406">
        <f t="shared" si="185"/>
        <v>1256</v>
      </c>
      <c r="CY41" s="406">
        <f t="shared" si="185"/>
        <v>1308</v>
      </c>
      <c r="CZ41" s="406">
        <f t="shared" si="185"/>
        <v>4302</v>
      </c>
      <c r="DA41" s="461">
        <f t="shared" si="185"/>
        <v>20350</v>
      </c>
      <c r="DB41" s="406">
        <f t="shared" si="185"/>
        <v>2412</v>
      </c>
      <c r="DC41" s="406">
        <f t="shared" si="185"/>
        <v>1052</v>
      </c>
      <c r="DD41" s="406">
        <f t="shared" si="185"/>
        <v>1558</v>
      </c>
      <c r="DE41" s="406">
        <f t="shared" si="185"/>
        <v>5110</v>
      </c>
      <c r="DF41" s="406">
        <f t="shared" si="185"/>
        <v>1601</v>
      </c>
      <c r="DG41" s="406">
        <f t="shared" si="185"/>
        <v>992</v>
      </c>
      <c r="DH41" s="406">
        <f t="shared" si="185"/>
        <v>1834</v>
      </c>
      <c r="DI41" s="406">
        <f t="shared" si="185"/>
        <v>8908</v>
      </c>
      <c r="DJ41" s="406">
        <f t="shared" si="185"/>
        <v>1436</v>
      </c>
      <c r="DK41" s="406">
        <f t="shared" si="185"/>
        <v>3013</v>
      </c>
      <c r="DL41" s="406">
        <f t="shared" si="185"/>
        <v>1956</v>
      </c>
      <c r="DM41" s="406">
        <f t="shared" si="185"/>
        <v>3016</v>
      </c>
      <c r="DN41" s="461">
        <f t="shared" si="185"/>
        <v>32888</v>
      </c>
      <c r="DO41" s="460">
        <f t="shared" si="185"/>
        <v>1285</v>
      </c>
      <c r="DP41" s="406">
        <f t="shared" si="185"/>
        <v>1034</v>
      </c>
      <c r="DQ41" s="406">
        <f t="shared" si="185"/>
        <v>2017</v>
      </c>
      <c r="DR41" s="406">
        <f t="shared" si="185"/>
        <v>2389</v>
      </c>
      <c r="DS41" s="406">
        <f t="shared" si="185"/>
        <v>1498</v>
      </c>
      <c r="DT41" s="406">
        <f t="shared" si="185"/>
        <v>3522</v>
      </c>
      <c r="DU41" s="406">
        <f t="shared" si="185"/>
        <v>1844</v>
      </c>
      <c r="DV41" s="406">
        <f t="shared" si="185"/>
        <v>2638</v>
      </c>
      <c r="DW41" s="406">
        <f t="shared" si="185"/>
        <v>3249</v>
      </c>
      <c r="DX41" s="406">
        <f t="shared" si="185"/>
        <v>1989</v>
      </c>
      <c r="DY41" s="406">
        <f t="shared" si="185"/>
        <v>2573</v>
      </c>
      <c r="DZ41" s="462">
        <f t="shared" si="185"/>
        <v>3250</v>
      </c>
      <c r="EA41" s="462">
        <f t="shared" si="185"/>
        <v>27288</v>
      </c>
      <c r="EB41" s="406">
        <f t="shared" si="185"/>
        <v>1743</v>
      </c>
      <c r="EC41" s="406">
        <f t="shared" si="185"/>
        <v>829</v>
      </c>
      <c r="ED41" s="406">
        <f t="shared" si="185"/>
        <v>4923</v>
      </c>
      <c r="EE41" s="406">
        <f t="shared" si="185"/>
        <v>3777</v>
      </c>
      <c r="EF41" s="406">
        <f t="shared" si="185"/>
        <v>3360</v>
      </c>
      <c r="EG41" s="406">
        <f t="shared" si="185"/>
        <v>1031</v>
      </c>
      <c r="EH41" s="406">
        <f t="shared" si="185"/>
        <v>2401</v>
      </c>
      <c r="EI41" s="406">
        <f t="shared" si="185"/>
        <v>2199</v>
      </c>
      <c r="EJ41" s="406">
        <f t="shared" si="185"/>
        <v>3629</v>
      </c>
      <c r="EK41" s="406">
        <f t="shared" si="185"/>
        <v>8461</v>
      </c>
      <c r="EL41" s="406">
        <f t="shared" si="185"/>
        <v>831</v>
      </c>
      <c r="EM41" s="462">
        <f t="shared" si="185"/>
        <v>4364</v>
      </c>
      <c r="EN41" s="406">
        <f t="shared" si="185"/>
        <v>37548</v>
      </c>
      <c r="EO41" s="460">
        <f t="shared" si="185"/>
        <v>1867</v>
      </c>
      <c r="EP41" s="406">
        <f t="shared" si="185"/>
        <v>1862</v>
      </c>
      <c r="EQ41" s="406">
        <f t="shared" si="185"/>
        <v>5632</v>
      </c>
      <c r="ER41" s="406">
        <f t="shared" si="185"/>
        <v>2355</v>
      </c>
      <c r="ES41" s="406">
        <f t="shared" si="185"/>
        <v>1358</v>
      </c>
      <c r="ET41" s="406">
        <f t="shared" si="185"/>
        <v>965</v>
      </c>
      <c r="EU41" s="406">
        <f t="shared" si="185"/>
        <v>1407</v>
      </c>
      <c r="EV41" s="406">
        <f t="shared" si="185"/>
        <v>1832</v>
      </c>
      <c r="EW41" s="406">
        <f t="shared" si="185"/>
        <v>1508</v>
      </c>
      <c r="EX41" s="406">
        <f t="shared" si="185"/>
        <v>1623</v>
      </c>
      <c r="EY41" s="406">
        <f t="shared" si="185"/>
        <v>1673</v>
      </c>
      <c r="EZ41" s="406">
        <f t="shared" si="185"/>
        <v>2892</v>
      </c>
      <c r="FA41" s="461">
        <f t="shared" ref="FA41:GM41" si="186">+FA10+FA15</f>
        <v>24974</v>
      </c>
      <c r="FB41" s="460">
        <f t="shared" si="186"/>
        <v>3736</v>
      </c>
      <c r="FC41" s="406">
        <f t="shared" si="186"/>
        <v>3078</v>
      </c>
      <c r="FD41" s="406">
        <f t="shared" si="186"/>
        <v>1096</v>
      </c>
      <c r="FE41" s="406">
        <f t="shared" si="186"/>
        <v>1923</v>
      </c>
      <c r="FF41" s="406">
        <f t="shared" si="186"/>
        <v>1296</v>
      </c>
      <c r="FG41" s="406">
        <f t="shared" si="186"/>
        <v>2307</v>
      </c>
      <c r="FH41" s="406">
        <f t="shared" si="186"/>
        <v>1227</v>
      </c>
      <c r="FI41" s="406">
        <f t="shared" si="186"/>
        <v>2731</v>
      </c>
      <c r="FJ41" s="406">
        <f t="shared" si="186"/>
        <v>1902</v>
      </c>
      <c r="FK41" s="406">
        <f t="shared" si="186"/>
        <v>1734</v>
      </c>
      <c r="FL41" s="406">
        <f t="shared" si="186"/>
        <v>2737</v>
      </c>
      <c r="FM41" s="462">
        <f t="shared" si="186"/>
        <v>797</v>
      </c>
      <c r="FN41" s="462">
        <f t="shared" si="186"/>
        <v>24564</v>
      </c>
      <c r="FO41" s="406">
        <f t="shared" si="186"/>
        <v>1406</v>
      </c>
      <c r="FP41" s="406">
        <f t="shared" si="186"/>
        <v>1045</v>
      </c>
      <c r="FQ41" s="406">
        <f t="shared" si="186"/>
        <v>2154</v>
      </c>
      <c r="FR41" s="406">
        <f t="shared" si="186"/>
        <v>1112</v>
      </c>
      <c r="FS41" s="406">
        <f t="shared" si="186"/>
        <v>1801</v>
      </c>
      <c r="FT41" s="406">
        <f t="shared" si="186"/>
        <v>1044</v>
      </c>
      <c r="FU41" s="406">
        <f t="shared" si="186"/>
        <v>921</v>
      </c>
      <c r="FV41" s="406">
        <f t="shared" si="186"/>
        <v>2843</v>
      </c>
      <c r="FW41" s="406">
        <f t="shared" si="186"/>
        <v>2067</v>
      </c>
      <c r="FX41" s="406">
        <f t="shared" si="186"/>
        <v>2239</v>
      </c>
      <c r="FY41" s="406">
        <f t="shared" si="186"/>
        <v>1187</v>
      </c>
      <c r="FZ41" s="462">
        <f t="shared" si="186"/>
        <v>1557</v>
      </c>
      <c r="GA41" s="462">
        <f t="shared" si="186"/>
        <v>19376</v>
      </c>
      <c r="GB41" s="406">
        <f t="shared" si="186"/>
        <v>1193</v>
      </c>
      <c r="GC41" s="406">
        <f t="shared" si="186"/>
        <v>1397</v>
      </c>
      <c r="GD41" s="406">
        <f t="shared" si="186"/>
        <v>934</v>
      </c>
      <c r="GE41" s="406">
        <f t="shared" si="186"/>
        <v>349</v>
      </c>
      <c r="GF41" s="406">
        <f t="shared" si="186"/>
        <v>456</v>
      </c>
      <c r="GG41" s="406">
        <f t="shared" si="186"/>
        <v>654</v>
      </c>
      <c r="GH41" s="406">
        <f t="shared" si="186"/>
        <v>622</v>
      </c>
      <c r="GI41" s="406">
        <f t="shared" si="186"/>
        <v>733</v>
      </c>
      <c r="GJ41" s="406">
        <f t="shared" si="186"/>
        <v>1704</v>
      </c>
      <c r="GK41" s="406">
        <f t="shared" si="186"/>
        <v>1030</v>
      </c>
      <c r="GL41" s="406">
        <f t="shared" si="186"/>
        <v>1836</v>
      </c>
      <c r="GM41" s="406">
        <f t="shared" si="186"/>
        <v>2734</v>
      </c>
      <c r="GN41" s="447">
        <f t="shared" si="168"/>
        <v>13642</v>
      </c>
      <c r="GO41" s="406">
        <f t="shared" ref="GO41:GZ41" si="187">+GO10+GO15</f>
        <v>1237</v>
      </c>
      <c r="GP41" s="406">
        <f t="shared" si="187"/>
        <v>1638</v>
      </c>
      <c r="GQ41" s="406">
        <f t="shared" si="187"/>
        <v>2228</v>
      </c>
      <c r="GR41" s="406">
        <f t="shared" si="187"/>
        <v>1641</v>
      </c>
      <c r="GS41" s="406">
        <f t="shared" si="187"/>
        <v>1255</v>
      </c>
      <c r="GT41" s="406">
        <f t="shared" si="187"/>
        <v>1420</v>
      </c>
      <c r="GU41" s="406">
        <f t="shared" si="187"/>
        <v>14574</v>
      </c>
      <c r="GV41" s="406">
        <f t="shared" si="187"/>
        <v>1007</v>
      </c>
      <c r="GW41" s="406">
        <f t="shared" si="187"/>
        <v>1348</v>
      </c>
      <c r="GX41" s="406">
        <f t="shared" si="187"/>
        <v>2465</v>
      </c>
      <c r="GY41" s="406">
        <f t="shared" si="187"/>
        <v>10439</v>
      </c>
      <c r="GZ41" s="462">
        <f t="shared" si="187"/>
        <v>2051</v>
      </c>
      <c r="HA41" s="462">
        <f t="shared" si="170"/>
        <v>41303</v>
      </c>
      <c r="HB41" s="460">
        <f t="shared" ref="HB41:HM41" si="188">+HB10+HB15</f>
        <v>3097</v>
      </c>
      <c r="HC41" s="406">
        <f t="shared" si="188"/>
        <v>6831</v>
      </c>
      <c r="HD41" s="406">
        <f t="shared" si="188"/>
        <v>3123</v>
      </c>
      <c r="HE41" s="406">
        <f t="shared" si="188"/>
        <v>1110</v>
      </c>
      <c r="HF41" s="406">
        <f t="shared" si="188"/>
        <v>2173</v>
      </c>
      <c r="HG41" s="406">
        <f t="shared" si="188"/>
        <v>2378</v>
      </c>
      <c r="HH41" s="406">
        <f t="shared" si="188"/>
        <v>1524</v>
      </c>
      <c r="HI41" s="406">
        <f t="shared" si="188"/>
        <v>2073</v>
      </c>
      <c r="HJ41" s="406">
        <f t="shared" si="188"/>
        <v>1566</v>
      </c>
      <c r="HK41" s="406">
        <f t="shared" si="188"/>
        <v>2112</v>
      </c>
      <c r="HL41" s="404">
        <f t="shared" si="188"/>
        <v>3954</v>
      </c>
      <c r="HM41" s="463">
        <f t="shared" si="188"/>
        <v>1717</v>
      </c>
      <c r="HN41" s="462">
        <f t="shared" si="172"/>
        <v>31658</v>
      </c>
      <c r="HO41" s="460">
        <f t="shared" ref="HO41:HZ41" si="189">+HO10+HO15</f>
        <v>2273</v>
      </c>
      <c r="HP41" s="406">
        <f t="shared" si="189"/>
        <v>1154</v>
      </c>
      <c r="HQ41" s="406">
        <f t="shared" si="189"/>
        <v>1248</v>
      </c>
      <c r="HR41" s="406">
        <f t="shared" si="189"/>
        <v>1164</v>
      </c>
      <c r="HS41" s="406">
        <f t="shared" si="189"/>
        <v>1995</v>
      </c>
      <c r="HT41" s="406">
        <f t="shared" si="189"/>
        <v>2190</v>
      </c>
      <c r="HU41" s="406">
        <f t="shared" si="189"/>
        <v>1461</v>
      </c>
      <c r="HV41" s="406">
        <f t="shared" si="189"/>
        <v>1819</v>
      </c>
      <c r="HW41" s="406">
        <f t="shared" si="189"/>
        <v>2202</v>
      </c>
      <c r="HX41" s="406">
        <f t="shared" si="189"/>
        <v>2002</v>
      </c>
      <c r="HY41" s="406">
        <f t="shared" si="189"/>
        <v>1712</v>
      </c>
      <c r="HZ41" s="406">
        <f t="shared" si="189"/>
        <v>1622</v>
      </c>
      <c r="IA41" s="461">
        <f t="shared" si="174"/>
        <v>20842</v>
      </c>
      <c r="IB41" s="460">
        <f t="shared" ref="IB41:IM41" si="190">+IB10+IB15</f>
        <v>2504</v>
      </c>
      <c r="IC41" s="406">
        <f t="shared" si="190"/>
        <v>1762</v>
      </c>
      <c r="ID41" s="406">
        <f t="shared" si="190"/>
        <v>1502</v>
      </c>
      <c r="IE41" s="406">
        <f t="shared" si="190"/>
        <v>2502</v>
      </c>
      <c r="IF41" s="406">
        <f t="shared" si="190"/>
        <v>1616</v>
      </c>
      <c r="IG41" s="406">
        <f t="shared" si="190"/>
        <v>2271</v>
      </c>
      <c r="IH41" s="406">
        <f t="shared" si="190"/>
        <v>2920</v>
      </c>
      <c r="II41" s="406">
        <f t="shared" si="190"/>
        <v>1760</v>
      </c>
      <c r="IJ41" s="406">
        <f t="shared" si="190"/>
        <v>2297</v>
      </c>
      <c r="IK41" s="406">
        <f t="shared" si="190"/>
        <v>2200</v>
      </c>
      <c r="IL41" s="406">
        <f t="shared" si="190"/>
        <v>2078</v>
      </c>
      <c r="IM41" s="462">
        <f t="shared" si="190"/>
        <v>2135</v>
      </c>
      <c r="IN41" s="462">
        <f t="shared" si="176"/>
        <v>25547</v>
      </c>
      <c r="IO41" s="406">
        <f t="shared" ref="IO41:IZ41" si="191">+IO10+IO15</f>
        <v>1715</v>
      </c>
      <c r="IP41" s="406">
        <f t="shared" si="191"/>
        <v>1549</v>
      </c>
      <c r="IQ41" s="406">
        <f t="shared" si="191"/>
        <v>1895</v>
      </c>
      <c r="IR41" s="406">
        <f t="shared" si="191"/>
        <v>2001</v>
      </c>
      <c r="IS41" s="404">
        <f t="shared" si="191"/>
        <v>7919</v>
      </c>
      <c r="IT41" s="404">
        <f t="shared" si="191"/>
        <v>1590</v>
      </c>
      <c r="IU41" s="404">
        <f t="shared" si="191"/>
        <v>1751</v>
      </c>
      <c r="IV41" s="404">
        <f t="shared" si="191"/>
        <v>1427</v>
      </c>
      <c r="IW41" s="404">
        <f t="shared" si="191"/>
        <v>2557</v>
      </c>
      <c r="IX41" s="404">
        <f t="shared" si="191"/>
        <v>2568</v>
      </c>
      <c r="IY41" s="404">
        <f t="shared" si="191"/>
        <v>3010</v>
      </c>
      <c r="IZ41" s="404">
        <f t="shared" si="191"/>
        <v>5759</v>
      </c>
      <c r="JA41" s="1374">
        <f t="shared" si="178"/>
        <v>33741</v>
      </c>
      <c r="JB41" s="1324">
        <f t="shared" ref="JB41:JG41" si="192">+JB10+JB15</f>
        <v>3146</v>
      </c>
      <c r="JC41">
        <f t="shared" si="192"/>
        <v>1734</v>
      </c>
      <c r="JD41">
        <f t="shared" si="192"/>
        <v>2571</v>
      </c>
      <c r="JE41">
        <f t="shared" si="192"/>
        <v>2965</v>
      </c>
      <c r="JF41">
        <f t="shared" si="192"/>
        <v>15272</v>
      </c>
      <c r="JG41">
        <f t="shared" si="192"/>
        <v>1433</v>
      </c>
      <c r="JH41">
        <f t="shared" ref="JH41" si="193">+JH10+JH15</f>
        <v>2468</v>
      </c>
      <c r="JI41">
        <f t="shared" ref="JI41" si="194">+JI10+JI15</f>
        <v>3637</v>
      </c>
      <c r="JM41" s="1266"/>
      <c r="JN41" s="1059">
        <f t="shared" si="181"/>
        <v>33226</v>
      </c>
      <c r="JP41" s="464">
        <f t="shared" si="165"/>
        <v>154.87035739313245</v>
      </c>
      <c r="JQ41" s="512">
        <f t="shared" si="182"/>
        <v>67.410691792210415</v>
      </c>
      <c r="JR41" s="465">
        <f t="shared" si="183"/>
        <v>19847</v>
      </c>
      <c r="JS41" s="513">
        <f t="shared" si="184"/>
        <v>33226</v>
      </c>
    </row>
    <row r="42" spans="1:279" ht="13.9" customHeight="1" x14ac:dyDescent="0.2">
      <c r="A42" s="436" t="s">
        <v>310</v>
      </c>
      <c r="AV42" s="406"/>
      <c r="AW42" s="406"/>
      <c r="AX42" s="406"/>
      <c r="AY42" s="406"/>
      <c r="AZ42" s="406"/>
      <c r="BA42" s="406"/>
      <c r="BB42" s="406"/>
      <c r="BC42" s="406"/>
      <c r="BD42" s="406"/>
      <c r="BE42" s="406"/>
      <c r="BF42" s="406"/>
      <c r="BG42" s="406"/>
      <c r="BH42" s="406"/>
      <c r="BI42" s="406"/>
      <c r="BJ42" s="406"/>
      <c r="BK42" s="406"/>
      <c r="BL42" s="406"/>
      <c r="BM42" s="406"/>
      <c r="BN42" s="406"/>
      <c r="BO42" s="406"/>
      <c r="BP42" s="406"/>
      <c r="BQ42" s="406"/>
      <c r="BR42" s="406"/>
      <c r="BS42" s="406"/>
      <c r="BT42" s="406"/>
      <c r="BU42" s="406"/>
      <c r="BV42" s="406"/>
      <c r="BW42" s="406"/>
      <c r="BX42" s="406"/>
      <c r="BY42" s="406"/>
      <c r="BZ42" s="406"/>
      <c r="CA42" s="406"/>
      <c r="CB42" s="406"/>
      <c r="CC42" s="406"/>
      <c r="CD42" s="406"/>
      <c r="CE42" s="406"/>
      <c r="CF42" s="406"/>
      <c r="CG42" s="406"/>
      <c r="CH42" s="406"/>
      <c r="CI42" s="406"/>
      <c r="CJ42" s="406"/>
      <c r="CK42" s="406"/>
      <c r="CL42" s="406"/>
      <c r="CM42" s="406"/>
      <c r="CN42" s="406"/>
      <c r="CO42" s="406">
        <f t="shared" ref="CO42:DW42" si="195">SUM(CO43:CO45)</f>
        <v>4471</v>
      </c>
      <c r="CP42" s="406">
        <f t="shared" si="195"/>
        <v>13277</v>
      </c>
      <c r="CQ42" s="406">
        <f t="shared" si="195"/>
        <v>9507</v>
      </c>
      <c r="CR42" s="406">
        <f t="shared" si="195"/>
        <v>14240</v>
      </c>
      <c r="CS42" s="406">
        <f t="shared" si="195"/>
        <v>9518</v>
      </c>
      <c r="CT42" s="406">
        <f t="shared" si="195"/>
        <v>12066.04</v>
      </c>
      <c r="CU42" s="406">
        <f t="shared" si="195"/>
        <v>14299</v>
      </c>
      <c r="CV42" s="406">
        <f t="shared" si="195"/>
        <v>9274.2000000000007</v>
      </c>
      <c r="CW42" s="406">
        <f t="shared" si="195"/>
        <v>9275</v>
      </c>
      <c r="CX42" s="406">
        <f t="shared" si="195"/>
        <v>37099</v>
      </c>
      <c r="CY42" s="406">
        <f t="shared" si="195"/>
        <v>22444.2</v>
      </c>
      <c r="CZ42" s="406">
        <f t="shared" si="195"/>
        <v>8364.1</v>
      </c>
      <c r="DA42" s="461">
        <f t="shared" si="195"/>
        <v>163834.54</v>
      </c>
      <c r="DB42" s="406">
        <f t="shared" si="195"/>
        <v>20061</v>
      </c>
      <c r="DC42" s="406">
        <f t="shared" si="195"/>
        <v>17347</v>
      </c>
      <c r="DD42" s="406">
        <f t="shared" si="195"/>
        <v>10603.05</v>
      </c>
      <c r="DE42" s="406">
        <f t="shared" si="195"/>
        <v>15969.04</v>
      </c>
      <c r="DF42" s="406">
        <f t="shared" si="195"/>
        <v>8475.1149999999998</v>
      </c>
      <c r="DG42" s="406">
        <f t="shared" si="195"/>
        <v>13902.03</v>
      </c>
      <c r="DH42" s="406">
        <f t="shared" si="195"/>
        <v>11065.62</v>
      </c>
      <c r="DI42" s="406">
        <f t="shared" si="195"/>
        <v>14254.56</v>
      </c>
      <c r="DJ42" s="320">
        <f t="shared" si="195"/>
        <v>15304.036</v>
      </c>
      <c r="DK42" s="320">
        <f t="shared" si="195"/>
        <v>6276.0810000000001</v>
      </c>
      <c r="DL42" s="406">
        <f t="shared" si="195"/>
        <v>12678.880000000001</v>
      </c>
      <c r="DM42" s="406">
        <f t="shared" si="195"/>
        <v>6424.4319999999998</v>
      </c>
      <c r="DN42" s="461">
        <f t="shared" si="195"/>
        <v>152360.84400000001</v>
      </c>
      <c r="DO42" s="460">
        <f t="shared" si="195"/>
        <v>10803.929</v>
      </c>
      <c r="DP42" s="406">
        <f t="shared" si="195"/>
        <v>4446.7529999999997</v>
      </c>
      <c r="DQ42" s="406">
        <f t="shared" si="195"/>
        <v>39664.964</v>
      </c>
      <c r="DR42" s="406">
        <f t="shared" si="195"/>
        <v>4815.1469999999999</v>
      </c>
      <c r="DS42" s="406">
        <f t="shared" si="195"/>
        <v>6285</v>
      </c>
      <c r="DT42" s="406">
        <f t="shared" si="195"/>
        <v>41255</v>
      </c>
      <c r="DU42" s="406">
        <f t="shared" si="195"/>
        <v>8101</v>
      </c>
      <c r="DV42" s="406">
        <f t="shared" si="195"/>
        <v>9648</v>
      </c>
      <c r="DW42" s="406">
        <f t="shared" si="195"/>
        <v>21659</v>
      </c>
      <c r="DX42" s="406">
        <f t="shared" ref="DX42:GI42" si="196">SUM(DX43:DX45)</f>
        <v>8489</v>
      </c>
      <c r="DY42" s="406">
        <f t="shared" si="196"/>
        <v>4776</v>
      </c>
      <c r="DZ42" s="462">
        <f t="shared" si="196"/>
        <v>13783</v>
      </c>
      <c r="EA42" s="462">
        <f t="shared" si="196"/>
        <v>173726.79300000001</v>
      </c>
      <c r="EB42" s="406">
        <f t="shared" si="196"/>
        <v>20378</v>
      </c>
      <c r="EC42" s="406">
        <f t="shared" si="196"/>
        <v>7866</v>
      </c>
      <c r="ED42" s="406">
        <f t="shared" si="196"/>
        <v>9413</v>
      </c>
      <c r="EE42" s="406">
        <f t="shared" si="196"/>
        <v>8192</v>
      </c>
      <c r="EF42" s="406">
        <f t="shared" si="196"/>
        <v>6633</v>
      </c>
      <c r="EG42" s="406">
        <f t="shared" si="196"/>
        <v>7327</v>
      </c>
      <c r="EH42" s="406">
        <f t="shared" si="196"/>
        <v>11855</v>
      </c>
      <c r="EI42" s="406">
        <f t="shared" si="196"/>
        <v>7682</v>
      </c>
      <c r="EJ42" s="406">
        <f t="shared" si="196"/>
        <v>6724</v>
      </c>
      <c r="EK42" s="406">
        <f t="shared" si="196"/>
        <v>7647</v>
      </c>
      <c r="EL42" s="406">
        <f t="shared" si="196"/>
        <v>14543</v>
      </c>
      <c r="EM42" s="462">
        <f t="shared" si="196"/>
        <v>10890</v>
      </c>
      <c r="EN42" s="406">
        <f t="shared" si="196"/>
        <v>119150</v>
      </c>
      <c r="EO42" s="460">
        <f t="shared" si="196"/>
        <v>243</v>
      </c>
      <c r="EP42" s="406">
        <f t="shared" si="196"/>
        <v>16509</v>
      </c>
      <c r="EQ42" s="406">
        <f t="shared" si="196"/>
        <v>21650</v>
      </c>
      <c r="ER42" s="406">
        <f t="shared" si="196"/>
        <v>8204</v>
      </c>
      <c r="ES42" s="406">
        <f t="shared" si="196"/>
        <v>4164</v>
      </c>
      <c r="ET42" s="406">
        <f t="shared" si="196"/>
        <v>13111</v>
      </c>
      <c r="EU42" s="406">
        <f t="shared" si="196"/>
        <v>8083</v>
      </c>
      <c r="EV42" s="406">
        <f t="shared" si="196"/>
        <v>14732</v>
      </c>
      <c r="EW42" s="406">
        <f t="shared" si="196"/>
        <v>4094</v>
      </c>
      <c r="EX42" s="406">
        <f t="shared" si="196"/>
        <v>4286</v>
      </c>
      <c r="EY42" s="406">
        <f t="shared" si="196"/>
        <v>6176</v>
      </c>
      <c r="EZ42" s="406">
        <f t="shared" si="196"/>
        <v>8761</v>
      </c>
      <c r="FA42" s="461">
        <f t="shared" si="196"/>
        <v>110013</v>
      </c>
      <c r="FB42" s="460">
        <f t="shared" si="196"/>
        <v>5738</v>
      </c>
      <c r="FC42" s="406">
        <f t="shared" si="196"/>
        <v>8920</v>
      </c>
      <c r="FD42" s="406">
        <f t="shared" si="196"/>
        <v>9400</v>
      </c>
      <c r="FE42" s="406">
        <f t="shared" si="196"/>
        <v>26770</v>
      </c>
      <c r="FF42" s="406">
        <f t="shared" si="196"/>
        <v>2954</v>
      </c>
      <c r="FG42" s="406">
        <f t="shared" si="196"/>
        <v>9351</v>
      </c>
      <c r="FH42" s="406">
        <f t="shared" si="196"/>
        <v>14011</v>
      </c>
      <c r="FI42" s="406">
        <f t="shared" si="196"/>
        <v>4424</v>
      </c>
      <c r="FJ42" s="406">
        <f t="shared" si="196"/>
        <v>7680</v>
      </c>
      <c r="FK42" s="406">
        <f t="shared" si="196"/>
        <v>4424</v>
      </c>
      <c r="FL42" s="406">
        <f t="shared" si="196"/>
        <v>8330</v>
      </c>
      <c r="FM42" s="462">
        <f t="shared" si="196"/>
        <v>6512</v>
      </c>
      <c r="FN42" s="462">
        <f t="shared" si="196"/>
        <v>108514</v>
      </c>
      <c r="FO42" s="406">
        <f t="shared" si="196"/>
        <v>30242</v>
      </c>
      <c r="FP42" s="406">
        <f t="shared" si="196"/>
        <v>4606</v>
      </c>
      <c r="FQ42" s="406">
        <f t="shared" si="196"/>
        <v>6955</v>
      </c>
      <c r="FR42" s="406">
        <f t="shared" si="196"/>
        <v>5122</v>
      </c>
      <c r="FS42" s="406">
        <f t="shared" si="196"/>
        <v>6727</v>
      </c>
      <c r="FT42" s="406">
        <f>SUM(FT43:FT45)</f>
        <v>5014</v>
      </c>
      <c r="FU42" s="406">
        <f t="shared" si="196"/>
        <v>8715</v>
      </c>
      <c r="FV42" s="406">
        <f t="shared" si="196"/>
        <v>4709</v>
      </c>
      <c r="FW42" s="406">
        <f t="shared" si="196"/>
        <v>9102</v>
      </c>
      <c r="FX42" s="406">
        <f t="shared" si="196"/>
        <v>5703</v>
      </c>
      <c r="FY42" s="406">
        <f t="shared" si="196"/>
        <v>7820</v>
      </c>
      <c r="FZ42" s="462">
        <f t="shared" si="196"/>
        <v>11407</v>
      </c>
      <c r="GA42" s="462">
        <f t="shared" si="196"/>
        <v>106122</v>
      </c>
      <c r="GB42" s="406">
        <f t="shared" si="196"/>
        <v>18612</v>
      </c>
      <c r="GC42" s="406">
        <f t="shared" si="196"/>
        <v>22657</v>
      </c>
      <c r="GD42" s="406">
        <f t="shared" si="196"/>
        <v>4984</v>
      </c>
      <c r="GE42" s="406">
        <f t="shared" si="196"/>
        <v>4646</v>
      </c>
      <c r="GF42" s="406">
        <f t="shared" si="196"/>
        <v>5396</v>
      </c>
      <c r="GG42" s="406">
        <f t="shared" si="196"/>
        <v>4763</v>
      </c>
      <c r="GH42" s="406">
        <f t="shared" si="196"/>
        <v>19638</v>
      </c>
      <c r="GI42" s="406">
        <f t="shared" si="196"/>
        <v>9019</v>
      </c>
      <c r="GJ42" s="406">
        <f>SUM(GJ43:GJ45)</f>
        <v>12222</v>
      </c>
      <c r="GK42" s="406">
        <f>SUM(GK43:GK45)</f>
        <v>18453</v>
      </c>
      <c r="GL42" s="406">
        <f>SUM(GL43:GL45)</f>
        <v>12135</v>
      </c>
      <c r="GM42" s="406">
        <f>SUM(GM43:GM45)</f>
        <v>13468</v>
      </c>
      <c r="GN42" s="447">
        <f t="shared" si="168"/>
        <v>145993</v>
      </c>
      <c r="GO42" s="406">
        <f t="shared" ref="GO42:GZ42" si="197">SUM(GO43:GO45)</f>
        <v>23598</v>
      </c>
      <c r="GP42" s="406">
        <f t="shared" si="197"/>
        <v>87983</v>
      </c>
      <c r="GQ42" s="406">
        <f t="shared" si="197"/>
        <v>8475</v>
      </c>
      <c r="GR42" s="406">
        <f t="shared" si="197"/>
        <v>9016</v>
      </c>
      <c r="GS42" s="406">
        <f t="shared" si="197"/>
        <v>10049</v>
      </c>
      <c r="GT42" s="406">
        <f t="shared" si="197"/>
        <v>15654</v>
      </c>
      <c r="GU42" s="406">
        <f t="shared" si="197"/>
        <v>29969</v>
      </c>
      <c r="GV42" s="406">
        <f t="shared" si="197"/>
        <v>11475</v>
      </c>
      <c r="GW42" s="406">
        <f t="shared" si="197"/>
        <v>5726</v>
      </c>
      <c r="GX42" s="406">
        <f t="shared" si="197"/>
        <v>5655</v>
      </c>
      <c r="GY42" s="406">
        <f t="shared" si="197"/>
        <v>13065</v>
      </c>
      <c r="GZ42" s="462">
        <f t="shared" si="197"/>
        <v>6345</v>
      </c>
      <c r="HA42" s="462">
        <f t="shared" si="170"/>
        <v>227010</v>
      </c>
      <c r="HB42" s="460">
        <f t="shared" ref="HB42:HM42" si="198">SUM(HB43:HB45)</f>
        <v>22215</v>
      </c>
      <c r="HC42" s="406">
        <f t="shared" si="198"/>
        <v>8867</v>
      </c>
      <c r="HD42" s="406">
        <f t="shared" si="198"/>
        <v>76250</v>
      </c>
      <c r="HE42" s="406">
        <f t="shared" si="198"/>
        <v>26429</v>
      </c>
      <c r="HF42" s="406">
        <f t="shared" si="198"/>
        <v>34141</v>
      </c>
      <c r="HG42" s="406">
        <f t="shared" si="198"/>
        <v>35228</v>
      </c>
      <c r="HH42" s="406">
        <f t="shared" si="198"/>
        <v>44129</v>
      </c>
      <c r="HI42" s="406">
        <f t="shared" si="198"/>
        <v>30408</v>
      </c>
      <c r="HJ42" s="406">
        <f t="shared" si="198"/>
        <v>44289</v>
      </c>
      <c r="HK42" s="406">
        <f t="shared" si="198"/>
        <v>30349</v>
      </c>
      <c r="HL42" s="404">
        <f t="shared" si="198"/>
        <v>36573</v>
      </c>
      <c r="HM42" s="463">
        <f t="shared" si="198"/>
        <v>30035</v>
      </c>
      <c r="HN42" s="462">
        <f t="shared" si="172"/>
        <v>418913</v>
      </c>
      <c r="HO42" s="460">
        <f t="shared" ref="HO42:HZ42" si="199">SUM(HO43:HO45)</f>
        <v>50277</v>
      </c>
      <c r="HP42" s="406">
        <f t="shared" si="199"/>
        <v>53592</v>
      </c>
      <c r="HQ42" s="406">
        <f t="shared" si="199"/>
        <v>32161</v>
      </c>
      <c r="HR42" s="406">
        <f t="shared" si="199"/>
        <v>30203</v>
      </c>
      <c r="HS42" s="406">
        <f t="shared" si="199"/>
        <v>32924</v>
      </c>
      <c r="HT42" s="406">
        <f t="shared" si="199"/>
        <v>29680</v>
      </c>
      <c r="HU42" s="406">
        <f t="shared" si="199"/>
        <v>41197</v>
      </c>
      <c r="HV42" s="406">
        <f t="shared" si="199"/>
        <v>25917</v>
      </c>
      <c r="HW42" s="406">
        <f t="shared" si="199"/>
        <v>27450</v>
      </c>
      <c r="HX42" s="406">
        <f t="shared" si="199"/>
        <v>33392</v>
      </c>
      <c r="HY42" s="406">
        <f t="shared" si="199"/>
        <v>39428</v>
      </c>
      <c r="HZ42" s="406">
        <f t="shared" si="199"/>
        <v>30290</v>
      </c>
      <c r="IA42" s="461">
        <f t="shared" si="174"/>
        <v>426511</v>
      </c>
      <c r="IB42" s="460">
        <f t="shared" ref="IB42:IM42" si="200">SUM(IB43:IB45)</f>
        <v>23801</v>
      </c>
      <c r="IC42" s="406">
        <f t="shared" si="200"/>
        <v>109078</v>
      </c>
      <c r="ID42" s="406">
        <f t="shared" si="200"/>
        <v>37998</v>
      </c>
      <c r="IE42" s="406">
        <f t="shared" si="200"/>
        <v>31706</v>
      </c>
      <c r="IF42" s="406">
        <f t="shared" si="200"/>
        <v>34930</v>
      </c>
      <c r="IG42" s="406">
        <f t="shared" si="200"/>
        <v>40494</v>
      </c>
      <c r="IH42" s="406">
        <f t="shared" si="200"/>
        <v>41763</v>
      </c>
      <c r="II42" s="406">
        <f t="shared" si="200"/>
        <v>39924</v>
      </c>
      <c r="IJ42" s="406">
        <f t="shared" si="200"/>
        <v>38480</v>
      </c>
      <c r="IK42" s="406">
        <f t="shared" si="200"/>
        <v>42327</v>
      </c>
      <c r="IL42" s="406">
        <f t="shared" si="200"/>
        <v>35805</v>
      </c>
      <c r="IM42" s="462">
        <f t="shared" si="200"/>
        <v>68857</v>
      </c>
      <c r="IN42" s="462">
        <f t="shared" si="176"/>
        <v>545163</v>
      </c>
      <c r="IO42" s="406">
        <f t="shared" ref="IO42:IW42" si="201">SUM(IO43:IO45)</f>
        <v>46452</v>
      </c>
      <c r="IP42" s="406">
        <f t="shared" si="201"/>
        <v>103977</v>
      </c>
      <c r="IQ42" s="406">
        <f t="shared" si="201"/>
        <v>41076</v>
      </c>
      <c r="IR42" s="406">
        <f t="shared" si="201"/>
        <v>36070</v>
      </c>
      <c r="IS42" s="404">
        <f t="shared" si="201"/>
        <v>35691</v>
      </c>
      <c r="IT42" s="404">
        <f t="shared" si="201"/>
        <v>47570</v>
      </c>
      <c r="IU42" s="404">
        <f t="shared" si="201"/>
        <v>56023</v>
      </c>
      <c r="IV42" s="404">
        <f t="shared" si="201"/>
        <v>40381</v>
      </c>
      <c r="IW42" s="404">
        <f t="shared" si="201"/>
        <v>40188</v>
      </c>
      <c r="IX42" s="404">
        <f>SUM(IX43:IX45)</f>
        <v>42556</v>
      </c>
      <c r="IY42" s="404">
        <f>SUM(IY43:IY45)</f>
        <v>44400</v>
      </c>
      <c r="IZ42" s="404">
        <f>SUM(IZ43:IZ45)</f>
        <v>35151</v>
      </c>
      <c r="JA42" s="1374">
        <f t="shared" si="178"/>
        <v>569535</v>
      </c>
      <c r="JB42" s="1324">
        <f t="shared" ref="JB42:JG42" si="202">SUM(JB43:JB45)</f>
        <v>108331</v>
      </c>
      <c r="JC42">
        <f t="shared" si="202"/>
        <v>48163</v>
      </c>
      <c r="JD42">
        <f t="shared" si="202"/>
        <v>36127</v>
      </c>
      <c r="JE42">
        <f t="shared" si="202"/>
        <v>33599</v>
      </c>
      <c r="JF42">
        <f t="shared" si="202"/>
        <v>43967</v>
      </c>
      <c r="JG42">
        <f t="shared" si="202"/>
        <v>42011</v>
      </c>
      <c r="JH42">
        <f t="shared" ref="JH42" si="203">SUM(JH43:JH45)</f>
        <v>53104</v>
      </c>
      <c r="JI42">
        <f t="shared" ref="JI42" si="204">SUM(JI43:JI45)</f>
        <v>88756</v>
      </c>
      <c r="JM42" s="1266"/>
      <c r="JN42" s="1059">
        <f t="shared" si="181"/>
        <v>454058</v>
      </c>
      <c r="JP42" s="464">
        <f t="shared" si="165"/>
        <v>119.79643891929372</v>
      </c>
      <c r="JQ42" s="512">
        <f t="shared" si="182"/>
        <v>11.496414890482276</v>
      </c>
      <c r="JR42" s="465">
        <f>IFERROR(SUM(IO42:IV42),"-")</f>
        <v>407240</v>
      </c>
      <c r="JS42" s="513">
        <f t="shared" si="184"/>
        <v>454058</v>
      </c>
    </row>
    <row r="43" spans="1:279" ht="13.9" customHeight="1" x14ac:dyDescent="0.2">
      <c r="A43" s="436" t="s">
        <v>406</v>
      </c>
      <c r="AV43" s="406"/>
      <c r="AW43" s="406"/>
      <c r="AX43" s="406"/>
      <c r="AY43" s="406"/>
      <c r="AZ43" s="406"/>
      <c r="BA43" s="406"/>
      <c r="BB43" s="406"/>
      <c r="BC43" s="406"/>
      <c r="BD43" s="406"/>
      <c r="BE43" s="406"/>
      <c r="BF43" s="406"/>
      <c r="BG43" s="406"/>
      <c r="BH43" s="406"/>
      <c r="BI43" s="406"/>
      <c r="BJ43" s="406"/>
      <c r="BK43" s="406"/>
      <c r="BL43" s="406"/>
      <c r="BM43" s="406"/>
      <c r="BN43" s="406"/>
      <c r="BO43" s="406"/>
      <c r="BP43" s="406"/>
      <c r="BQ43" s="406"/>
      <c r="BR43" s="406"/>
      <c r="BS43" s="406"/>
      <c r="BT43" s="406"/>
      <c r="BU43" s="406"/>
      <c r="BV43" s="406"/>
      <c r="BW43" s="406"/>
      <c r="BX43" s="406"/>
      <c r="BY43" s="406"/>
      <c r="BZ43" s="406"/>
      <c r="CA43" s="406"/>
      <c r="CB43" s="406"/>
      <c r="CC43" s="406"/>
      <c r="CD43" s="406"/>
      <c r="CE43" s="406"/>
      <c r="CF43" s="406"/>
      <c r="CG43" s="406"/>
      <c r="CH43" s="406"/>
      <c r="CI43" s="406"/>
      <c r="CJ43" s="406"/>
      <c r="CK43" s="406"/>
      <c r="CL43" s="406"/>
      <c r="CM43" s="406"/>
      <c r="CN43" s="406"/>
      <c r="CO43" s="406">
        <f t="shared" ref="CO43:EZ43" si="205">+CO57+CO75</f>
        <v>206</v>
      </c>
      <c r="CP43" s="406">
        <f t="shared" si="205"/>
        <v>3096</v>
      </c>
      <c r="CQ43" s="406">
        <f t="shared" si="205"/>
        <v>964</v>
      </c>
      <c r="CR43" s="406">
        <f t="shared" si="205"/>
        <v>5671</v>
      </c>
      <c r="CS43" s="406">
        <f t="shared" si="205"/>
        <v>6376</v>
      </c>
      <c r="CT43" s="406">
        <f t="shared" si="205"/>
        <v>417.04</v>
      </c>
      <c r="CU43" s="406">
        <f t="shared" si="205"/>
        <v>4711</v>
      </c>
      <c r="CV43" s="406">
        <f t="shared" si="205"/>
        <v>190.1</v>
      </c>
      <c r="CW43" s="406">
        <f t="shared" si="205"/>
        <v>913</v>
      </c>
      <c r="CX43" s="406">
        <f t="shared" si="205"/>
        <v>10746</v>
      </c>
      <c r="CY43" s="406">
        <f t="shared" si="205"/>
        <v>685.2</v>
      </c>
      <c r="CZ43" s="406">
        <f t="shared" si="205"/>
        <v>3320.1</v>
      </c>
      <c r="DA43" s="461">
        <f t="shared" si="205"/>
        <v>37295.440000000002</v>
      </c>
      <c r="DB43" s="406">
        <f t="shared" si="205"/>
        <v>0</v>
      </c>
      <c r="DC43" s="406">
        <f t="shared" si="205"/>
        <v>9248</v>
      </c>
      <c r="DD43" s="406">
        <f t="shared" si="205"/>
        <v>2376</v>
      </c>
      <c r="DE43" s="406">
        <f t="shared" si="205"/>
        <v>10229</v>
      </c>
      <c r="DF43" s="406">
        <f t="shared" si="205"/>
        <v>3</v>
      </c>
      <c r="DG43" s="406">
        <f t="shared" si="205"/>
        <v>1868</v>
      </c>
      <c r="DH43" s="406">
        <f t="shared" si="205"/>
        <v>4433</v>
      </c>
      <c r="DI43" s="406">
        <f t="shared" si="205"/>
        <v>0</v>
      </c>
      <c r="DJ43" s="406">
        <f t="shared" si="205"/>
        <v>10554</v>
      </c>
      <c r="DK43" s="406">
        <f t="shared" si="205"/>
        <v>2029</v>
      </c>
      <c r="DL43" s="406">
        <f t="shared" si="205"/>
        <v>8602.4050000000007</v>
      </c>
      <c r="DM43" s="406">
        <f t="shared" si="205"/>
        <v>558</v>
      </c>
      <c r="DN43" s="461">
        <f t="shared" si="205"/>
        <v>49900.404999999999</v>
      </c>
      <c r="DO43" s="460">
        <f t="shared" si="205"/>
        <v>6547</v>
      </c>
      <c r="DP43" s="406">
        <f t="shared" si="205"/>
        <v>0.109</v>
      </c>
      <c r="DQ43" s="406">
        <f t="shared" si="205"/>
        <v>35160</v>
      </c>
      <c r="DR43" s="406">
        <f t="shared" si="205"/>
        <v>0</v>
      </c>
      <c r="DS43" s="406">
        <f t="shared" si="205"/>
        <v>2264</v>
      </c>
      <c r="DT43" s="406">
        <f t="shared" si="205"/>
        <v>718</v>
      </c>
      <c r="DU43" s="406">
        <f t="shared" si="205"/>
        <v>3639</v>
      </c>
      <c r="DV43" s="406">
        <f t="shared" si="205"/>
        <v>5617</v>
      </c>
      <c r="DW43" s="406">
        <f t="shared" si="205"/>
        <v>17583</v>
      </c>
      <c r="DX43" s="406">
        <f t="shared" si="205"/>
        <v>3869</v>
      </c>
      <c r="DY43" s="406">
        <f t="shared" si="205"/>
        <v>669</v>
      </c>
      <c r="DZ43" s="462">
        <f t="shared" si="205"/>
        <v>9946</v>
      </c>
      <c r="EA43" s="462">
        <f t="shared" si="205"/>
        <v>86012.108999999997</v>
      </c>
      <c r="EB43" s="406">
        <f t="shared" si="205"/>
        <v>15986</v>
      </c>
      <c r="EC43" s="406">
        <f t="shared" si="205"/>
        <v>3737</v>
      </c>
      <c r="ED43" s="406">
        <f t="shared" si="205"/>
        <v>1234</v>
      </c>
      <c r="EE43" s="406">
        <f t="shared" si="205"/>
        <v>902</v>
      </c>
      <c r="EF43" s="406">
        <f t="shared" si="205"/>
        <v>531</v>
      </c>
      <c r="EG43" s="406">
        <f t="shared" si="205"/>
        <v>102</v>
      </c>
      <c r="EH43" s="406">
        <f t="shared" si="205"/>
        <v>4278</v>
      </c>
      <c r="EI43" s="406">
        <f t="shared" si="205"/>
        <v>1017</v>
      </c>
      <c r="EJ43" s="406">
        <f t="shared" si="205"/>
        <v>142</v>
      </c>
      <c r="EK43" s="406">
        <f t="shared" si="205"/>
        <v>70</v>
      </c>
      <c r="EL43" s="406">
        <f t="shared" si="205"/>
        <v>4953</v>
      </c>
      <c r="EM43" s="462">
        <f t="shared" si="205"/>
        <v>6362</v>
      </c>
      <c r="EN43" s="406">
        <f t="shared" si="205"/>
        <v>39314</v>
      </c>
      <c r="EO43" s="460">
        <f t="shared" si="205"/>
        <v>0</v>
      </c>
      <c r="EP43" s="406">
        <f t="shared" si="205"/>
        <v>5444</v>
      </c>
      <c r="EQ43" s="406">
        <f t="shared" si="205"/>
        <v>14678</v>
      </c>
      <c r="ER43" s="406">
        <f t="shared" si="205"/>
        <v>0</v>
      </c>
      <c r="ES43" s="406">
        <f t="shared" si="205"/>
        <v>728</v>
      </c>
      <c r="ET43" s="406">
        <f t="shared" si="205"/>
        <v>766</v>
      </c>
      <c r="EU43" s="406">
        <f t="shared" si="205"/>
        <v>206</v>
      </c>
      <c r="EV43" s="406">
        <f t="shared" si="205"/>
        <v>9231</v>
      </c>
      <c r="EW43" s="406">
        <f t="shared" si="205"/>
        <v>80</v>
      </c>
      <c r="EX43" s="406">
        <f t="shared" si="205"/>
        <v>17</v>
      </c>
      <c r="EY43" s="406">
        <f t="shared" si="205"/>
        <v>1634</v>
      </c>
      <c r="EZ43" s="406">
        <f t="shared" si="205"/>
        <v>3860</v>
      </c>
      <c r="FA43" s="461">
        <f t="shared" ref="FA43:GM43" si="206">+FA57+FA75</f>
        <v>36644</v>
      </c>
      <c r="FB43" s="460">
        <f t="shared" si="206"/>
        <v>0</v>
      </c>
      <c r="FC43" s="406">
        <f t="shared" si="206"/>
        <v>8920</v>
      </c>
      <c r="FD43" s="406">
        <f t="shared" si="206"/>
        <v>88</v>
      </c>
      <c r="FE43" s="406">
        <f t="shared" si="206"/>
        <v>20166</v>
      </c>
      <c r="FF43" s="406">
        <f t="shared" si="206"/>
        <v>308</v>
      </c>
      <c r="FG43" s="406">
        <f t="shared" si="206"/>
        <v>135</v>
      </c>
      <c r="FH43" s="406">
        <f t="shared" si="206"/>
        <v>9143</v>
      </c>
      <c r="FI43" s="406">
        <f t="shared" si="206"/>
        <v>50</v>
      </c>
      <c r="FJ43" s="406">
        <f t="shared" si="206"/>
        <v>857</v>
      </c>
      <c r="FK43" s="406">
        <f t="shared" si="206"/>
        <v>42</v>
      </c>
      <c r="FL43" s="406">
        <f t="shared" si="206"/>
        <v>3994</v>
      </c>
      <c r="FM43" s="462">
        <f t="shared" si="206"/>
        <v>1033</v>
      </c>
      <c r="FN43" s="462">
        <f t="shared" si="206"/>
        <v>44736</v>
      </c>
      <c r="FO43" s="406">
        <f t="shared" si="206"/>
        <v>25751</v>
      </c>
      <c r="FP43" s="406">
        <f t="shared" si="206"/>
        <v>0</v>
      </c>
      <c r="FQ43" s="406">
        <f t="shared" si="206"/>
        <v>0</v>
      </c>
      <c r="FR43" s="406">
        <f t="shared" si="206"/>
        <v>145</v>
      </c>
      <c r="FS43" s="406">
        <f t="shared" si="206"/>
        <v>45</v>
      </c>
      <c r="FT43" s="406">
        <f t="shared" si="206"/>
        <v>0</v>
      </c>
      <c r="FU43" s="406">
        <f t="shared" si="206"/>
        <v>1066</v>
      </c>
      <c r="FV43" s="406">
        <f t="shared" si="206"/>
        <v>100</v>
      </c>
      <c r="FW43" s="406">
        <f t="shared" si="206"/>
        <v>3483</v>
      </c>
      <c r="FX43" s="406">
        <f t="shared" si="206"/>
        <v>630</v>
      </c>
      <c r="FY43" s="406">
        <f t="shared" si="206"/>
        <v>3520</v>
      </c>
      <c r="FZ43" s="462">
        <f t="shared" si="206"/>
        <v>943</v>
      </c>
      <c r="GA43" s="462">
        <f t="shared" si="206"/>
        <v>35683</v>
      </c>
      <c r="GB43" s="406">
        <f t="shared" si="206"/>
        <v>858</v>
      </c>
      <c r="GC43" s="406">
        <f t="shared" si="206"/>
        <v>17468</v>
      </c>
      <c r="GD43" s="406">
        <f t="shared" si="206"/>
        <v>405</v>
      </c>
      <c r="GE43" s="406">
        <f t="shared" si="206"/>
        <v>59</v>
      </c>
      <c r="GF43" s="406">
        <f t="shared" si="206"/>
        <v>0</v>
      </c>
      <c r="GG43" s="406">
        <f t="shared" si="206"/>
        <v>0</v>
      </c>
      <c r="GH43" s="406">
        <f t="shared" si="206"/>
        <v>416</v>
      </c>
      <c r="GI43" s="406">
        <f t="shared" si="206"/>
        <v>3524</v>
      </c>
      <c r="GJ43" s="406">
        <f t="shared" si="206"/>
        <v>2869</v>
      </c>
      <c r="GK43" s="406">
        <f t="shared" si="206"/>
        <v>1094</v>
      </c>
      <c r="GL43" s="406">
        <f t="shared" si="206"/>
        <v>861</v>
      </c>
      <c r="GM43" s="406">
        <f t="shared" si="206"/>
        <v>8203</v>
      </c>
      <c r="GN43" s="447">
        <f t="shared" si="168"/>
        <v>35757</v>
      </c>
      <c r="GO43" s="406">
        <f t="shared" ref="GO43:GZ43" si="207">+GO57+GO75</f>
        <v>994</v>
      </c>
      <c r="GP43" s="406">
        <f t="shared" si="207"/>
        <v>24429</v>
      </c>
      <c r="GQ43" s="406">
        <f t="shared" si="207"/>
        <v>84</v>
      </c>
      <c r="GR43" s="406">
        <f t="shared" si="207"/>
        <v>137</v>
      </c>
      <c r="GS43" s="406">
        <f t="shared" si="207"/>
        <v>0</v>
      </c>
      <c r="GT43" s="406">
        <f t="shared" si="207"/>
        <v>1852</v>
      </c>
      <c r="GU43" s="406">
        <f t="shared" si="207"/>
        <v>4236</v>
      </c>
      <c r="GV43" s="406">
        <f t="shared" si="207"/>
        <v>1454</v>
      </c>
      <c r="GW43" s="406">
        <f t="shared" si="207"/>
        <v>1698</v>
      </c>
      <c r="GX43" s="406">
        <f t="shared" si="207"/>
        <v>456</v>
      </c>
      <c r="GY43" s="406">
        <f t="shared" si="207"/>
        <v>7140</v>
      </c>
      <c r="GZ43" s="462">
        <f t="shared" si="207"/>
        <v>1482</v>
      </c>
      <c r="HA43" s="462">
        <f t="shared" si="170"/>
        <v>43962</v>
      </c>
      <c r="HB43" s="460">
        <f t="shared" ref="HB43:HM43" si="208">+HB57+HB75</f>
        <v>0</v>
      </c>
      <c r="HC43" s="406">
        <f t="shared" si="208"/>
        <v>1003</v>
      </c>
      <c r="HD43" s="406">
        <f t="shared" si="208"/>
        <v>31948</v>
      </c>
      <c r="HE43" s="406">
        <f t="shared" si="208"/>
        <v>868</v>
      </c>
      <c r="HF43" s="406">
        <f t="shared" si="208"/>
        <v>3</v>
      </c>
      <c r="HG43" s="406">
        <f t="shared" si="208"/>
        <v>4042</v>
      </c>
      <c r="HH43" s="406">
        <f t="shared" si="208"/>
        <v>2474</v>
      </c>
      <c r="HI43" s="406">
        <f t="shared" si="208"/>
        <v>2300</v>
      </c>
      <c r="HJ43" s="406">
        <f t="shared" si="208"/>
        <v>13903</v>
      </c>
      <c r="HK43" s="406">
        <f t="shared" si="208"/>
        <v>367</v>
      </c>
      <c r="HL43" s="404">
        <f t="shared" si="208"/>
        <v>9546</v>
      </c>
      <c r="HM43" s="463">
        <f t="shared" si="208"/>
        <v>1463</v>
      </c>
      <c r="HN43" s="462">
        <f t="shared" si="172"/>
        <v>67917</v>
      </c>
      <c r="HO43" s="460">
        <f t="shared" ref="HO43:HZ43" si="209">+HO57+HO75</f>
        <v>10522</v>
      </c>
      <c r="HP43" s="406">
        <f t="shared" si="209"/>
        <v>24263</v>
      </c>
      <c r="HQ43" s="406">
        <f t="shared" si="209"/>
        <v>1445</v>
      </c>
      <c r="HR43" s="406">
        <f t="shared" si="209"/>
        <v>2036</v>
      </c>
      <c r="HS43" s="406">
        <f t="shared" si="209"/>
        <v>5145</v>
      </c>
      <c r="HT43" s="406">
        <f t="shared" si="209"/>
        <v>1240</v>
      </c>
      <c r="HU43" s="406">
        <f t="shared" si="209"/>
        <v>897</v>
      </c>
      <c r="HV43" s="406">
        <f t="shared" si="209"/>
        <v>1171</v>
      </c>
      <c r="HW43" s="406">
        <f t="shared" si="209"/>
        <v>0</v>
      </c>
      <c r="HX43" s="406">
        <f t="shared" si="209"/>
        <v>366</v>
      </c>
      <c r="HY43" s="406">
        <f t="shared" si="209"/>
        <v>3535</v>
      </c>
      <c r="HZ43" s="406">
        <f t="shared" si="209"/>
        <v>363</v>
      </c>
      <c r="IA43" s="461">
        <f t="shared" si="174"/>
        <v>50983</v>
      </c>
      <c r="IB43" s="460">
        <f t="shared" ref="IB43:IM43" si="210">+IB57+IB75</f>
        <v>0</v>
      </c>
      <c r="IC43" s="406">
        <f t="shared" si="210"/>
        <v>43538</v>
      </c>
      <c r="ID43" s="406">
        <f t="shared" si="210"/>
        <v>4469</v>
      </c>
      <c r="IE43" s="406">
        <f t="shared" si="210"/>
        <v>639</v>
      </c>
      <c r="IF43" s="406">
        <f t="shared" si="210"/>
        <v>4750</v>
      </c>
      <c r="IG43" s="406">
        <f t="shared" si="210"/>
        <v>1391</v>
      </c>
      <c r="IH43" s="406">
        <f t="shared" si="210"/>
        <v>1080</v>
      </c>
      <c r="II43" s="406">
        <f t="shared" si="210"/>
        <v>1565</v>
      </c>
      <c r="IJ43" s="406">
        <f t="shared" si="210"/>
        <v>0</v>
      </c>
      <c r="IK43" s="406">
        <f t="shared" si="210"/>
        <v>1052</v>
      </c>
      <c r="IL43" s="406">
        <f t="shared" si="210"/>
        <v>14</v>
      </c>
      <c r="IM43" s="462">
        <f t="shared" si="210"/>
        <v>2290</v>
      </c>
      <c r="IN43" s="462">
        <f t="shared" si="176"/>
        <v>60788</v>
      </c>
      <c r="IO43" s="406">
        <f t="shared" ref="IO43:IZ43" si="211">+IO57+IO75</f>
        <v>1822</v>
      </c>
      <c r="IP43" s="406">
        <f t="shared" si="211"/>
        <v>37844</v>
      </c>
      <c r="IQ43" s="406">
        <f t="shared" si="211"/>
        <v>2790</v>
      </c>
      <c r="IR43" s="406">
        <f t="shared" si="211"/>
        <v>0</v>
      </c>
      <c r="IS43" s="404">
        <f t="shared" si="211"/>
        <v>0</v>
      </c>
      <c r="IT43" s="404">
        <f t="shared" si="211"/>
        <v>8576</v>
      </c>
      <c r="IU43" s="404">
        <f t="shared" si="211"/>
        <v>688</v>
      </c>
      <c r="IV43" s="404">
        <f t="shared" si="211"/>
        <v>249</v>
      </c>
      <c r="IW43" s="404">
        <f t="shared" si="211"/>
        <v>490</v>
      </c>
      <c r="IX43" s="404">
        <f t="shared" si="211"/>
        <v>179</v>
      </c>
      <c r="IY43" s="404">
        <f t="shared" si="211"/>
        <v>2372</v>
      </c>
      <c r="IZ43" s="404">
        <f t="shared" si="211"/>
        <v>730</v>
      </c>
      <c r="JA43" s="1374">
        <f t="shared" si="178"/>
        <v>55740</v>
      </c>
      <c r="JB43" s="1324">
        <f t="shared" ref="JB43:JE43" si="212">+JB57+JB75</f>
        <v>51111</v>
      </c>
      <c r="JC43">
        <f t="shared" si="212"/>
        <v>0</v>
      </c>
      <c r="JD43">
        <f t="shared" si="212"/>
        <v>910</v>
      </c>
      <c r="JE43">
        <f t="shared" si="212"/>
        <v>-85</v>
      </c>
      <c r="JF43">
        <f t="shared" ref="JF43" si="213">+JF57+JF75</f>
        <v>0</v>
      </c>
      <c r="JG43">
        <f t="shared" ref="JG43" si="214">+JG57+JG75</f>
        <v>0</v>
      </c>
      <c r="JH43">
        <f t="shared" ref="JH43" si="215">+JH57+JH75</f>
        <v>0</v>
      </c>
      <c r="JI43">
        <f t="shared" ref="JI43" si="216">+JI57+JI75</f>
        <v>6889</v>
      </c>
      <c r="JM43" s="1266"/>
      <c r="JN43" s="1059">
        <f t="shared" si="181"/>
        <v>58825</v>
      </c>
      <c r="JP43" s="464">
        <f t="shared" si="165"/>
        <v>2666.666666666667</v>
      </c>
      <c r="JQ43" s="512">
        <f t="shared" si="182"/>
        <v>13.192480132386608</v>
      </c>
      <c r="JR43" s="465">
        <f t="shared" si="183"/>
        <v>51969</v>
      </c>
      <c r="JS43" s="513">
        <f t="shared" si="184"/>
        <v>58825</v>
      </c>
    </row>
    <row r="44" spans="1:279" ht="13.9" customHeight="1" x14ac:dyDescent="0.2">
      <c r="A44" s="436" t="s">
        <v>407</v>
      </c>
      <c r="AV44" s="406"/>
      <c r="AW44" s="406"/>
      <c r="AX44" s="406"/>
      <c r="AY44" s="406"/>
      <c r="AZ44" s="406"/>
      <c r="BA44" s="406"/>
      <c r="BB44" s="406"/>
      <c r="BC44" s="406"/>
      <c r="BD44" s="406"/>
      <c r="BE44" s="406"/>
      <c r="BF44" s="406"/>
      <c r="BG44" s="406"/>
      <c r="BH44" s="406"/>
      <c r="BI44" s="406"/>
      <c r="BJ44" s="406"/>
      <c r="BK44" s="406"/>
      <c r="BL44" s="406"/>
      <c r="BM44" s="406"/>
      <c r="BN44" s="406"/>
      <c r="BO44" s="406"/>
      <c r="BP44" s="406"/>
      <c r="BQ44" s="406"/>
      <c r="BR44" s="406"/>
      <c r="BS44" s="406"/>
      <c r="BT44" s="406"/>
      <c r="BU44" s="406"/>
      <c r="BV44" s="406"/>
      <c r="BW44" s="406"/>
      <c r="BX44" s="406"/>
      <c r="BY44" s="406"/>
      <c r="BZ44" s="406"/>
      <c r="CA44" s="406"/>
      <c r="CB44" s="406"/>
      <c r="CC44" s="406"/>
      <c r="CD44" s="406"/>
      <c r="CE44" s="406"/>
      <c r="CF44" s="406"/>
      <c r="CG44" s="406"/>
      <c r="CH44" s="406"/>
      <c r="CI44" s="406"/>
      <c r="CJ44" s="406"/>
      <c r="CK44" s="406"/>
      <c r="CL44" s="406"/>
      <c r="CM44" s="406"/>
      <c r="CN44" s="406"/>
      <c r="CO44" s="406">
        <f t="shared" ref="CO44:EZ44" si="217">+CO70</f>
        <v>3863</v>
      </c>
      <c r="CP44" s="406">
        <f t="shared" si="217"/>
        <v>9927</v>
      </c>
      <c r="CQ44" s="406">
        <f t="shared" si="217"/>
        <v>7509</v>
      </c>
      <c r="CR44" s="406">
        <f t="shared" si="217"/>
        <v>7722</v>
      </c>
      <c r="CS44" s="406">
        <f t="shared" si="217"/>
        <v>3005</v>
      </c>
      <c r="CT44" s="406">
        <f t="shared" si="217"/>
        <v>10688</v>
      </c>
      <c r="CU44" s="406">
        <f t="shared" si="217"/>
        <v>9037</v>
      </c>
      <c r="CV44" s="406">
        <f t="shared" si="217"/>
        <v>8680</v>
      </c>
      <c r="CW44" s="406">
        <f t="shared" si="217"/>
        <v>8219</v>
      </c>
      <c r="CX44" s="406">
        <f t="shared" si="217"/>
        <v>26080</v>
      </c>
      <c r="CY44" s="406">
        <f t="shared" si="217"/>
        <v>21333</v>
      </c>
      <c r="CZ44" s="406">
        <f t="shared" si="217"/>
        <v>4874</v>
      </c>
      <c r="DA44" s="461">
        <f t="shared" si="217"/>
        <v>120937</v>
      </c>
      <c r="DB44" s="406">
        <f t="shared" si="217"/>
        <v>19890</v>
      </c>
      <c r="DC44" s="406">
        <f t="shared" si="217"/>
        <v>6655</v>
      </c>
      <c r="DD44" s="406">
        <f t="shared" si="217"/>
        <v>8226</v>
      </c>
      <c r="DE44" s="406">
        <f t="shared" si="217"/>
        <v>4018</v>
      </c>
      <c r="DF44" s="406">
        <f t="shared" si="217"/>
        <v>8077</v>
      </c>
      <c r="DG44" s="406">
        <f t="shared" si="217"/>
        <v>10158</v>
      </c>
      <c r="DH44" s="406">
        <f t="shared" si="217"/>
        <v>5895</v>
      </c>
      <c r="DI44" s="406">
        <f t="shared" si="217"/>
        <v>13981</v>
      </c>
      <c r="DJ44" s="406">
        <f t="shared" si="217"/>
        <v>4428</v>
      </c>
      <c r="DK44" s="406">
        <f t="shared" si="217"/>
        <v>3950</v>
      </c>
      <c r="DL44" s="406">
        <f t="shared" si="217"/>
        <v>3931</v>
      </c>
      <c r="DM44" s="406">
        <f t="shared" si="217"/>
        <v>4560</v>
      </c>
      <c r="DN44" s="461">
        <f t="shared" si="217"/>
        <v>93769</v>
      </c>
      <c r="DO44" s="460">
        <f t="shared" si="217"/>
        <v>4020</v>
      </c>
      <c r="DP44" s="406">
        <f t="shared" si="217"/>
        <v>4019</v>
      </c>
      <c r="DQ44" s="406">
        <f t="shared" si="217"/>
        <v>4019</v>
      </c>
      <c r="DR44" s="406">
        <f t="shared" si="217"/>
        <v>4020</v>
      </c>
      <c r="DS44" s="406">
        <f t="shared" si="217"/>
        <v>4020</v>
      </c>
      <c r="DT44" s="406">
        <f t="shared" si="217"/>
        <v>39386</v>
      </c>
      <c r="DU44" s="406">
        <f t="shared" si="217"/>
        <v>4019</v>
      </c>
      <c r="DV44" s="406">
        <f t="shared" si="217"/>
        <v>4020</v>
      </c>
      <c r="DW44" s="406">
        <f t="shared" si="217"/>
        <v>4065</v>
      </c>
      <c r="DX44" s="406">
        <f t="shared" si="217"/>
        <v>4091</v>
      </c>
      <c r="DY44" s="406">
        <f t="shared" si="217"/>
        <v>4096</v>
      </c>
      <c r="DZ44" s="462">
        <f t="shared" si="217"/>
        <v>3826</v>
      </c>
      <c r="EA44" s="462">
        <f t="shared" si="217"/>
        <v>83601</v>
      </c>
      <c r="EB44" s="406">
        <f t="shared" si="217"/>
        <v>4120</v>
      </c>
      <c r="EC44" s="406">
        <f t="shared" si="217"/>
        <v>4120</v>
      </c>
      <c r="ED44" s="406">
        <f t="shared" si="217"/>
        <v>7126</v>
      </c>
      <c r="EE44" s="406">
        <f t="shared" si="217"/>
        <v>6989</v>
      </c>
      <c r="EF44" s="406">
        <f t="shared" si="217"/>
        <v>6080</v>
      </c>
      <c r="EG44" s="406">
        <f t="shared" si="217"/>
        <v>6398</v>
      </c>
      <c r="EH44" s="406">
        <f t="shared" si="217"/>
        <v>7335</v>
      </c>
      <c r="EI44" s="406">
        <f t="shared" si="217"/>
        <v>6243</v>
      </c>
      <c r="EJ44" s="406">
        <f t="shared" si="217"/>
        <v>5540</v>
      </c>
      <c r="EK44" s="406">
        <f t="shared" si="217"/>
        <v>7046</v>
      </c>
      <c r="EL44" s="406">
        <f t="shared" si="217"/>
        <v>9082</v>
      </c>
      <c r="EM44" s="462">
        <f t="shared" si="217"/>
        <v>4222</v>
      </c>
      <c r="EN44" s="406">
        <f t="shared" si="217"/>
        <v>74301</v>
      </c>
      <c r="EO44" s="460">
        <f t="shared" si="217"/>
        <v>0</v>
      </c>
      <c r="EP44" s="406">
        <f t="shared" si="217"/>
        <v>10628</v>
      </c>
      <c r="EQ44" s="406">
        <f t="shared" si="217"/>
        <v>6135</v>
      </c>
      <c r="ER44" s="406">
        <f t="shared" si="217"/>
        <v>7246</v>
      </c>
      <c r="ES44" s="406">
        <f t="shared" si="217"/>
        <v>3000</v>
      </c>
      <c r="ET44" s="406">
        <f t="shared" si="217"/>
        <v>11542</v>
      </c>
      <c r="EU44" s="406">
        <f t="shared" si="217"/>
        <v>5995</v>
      </c>
      <c r="EV44" s="406">
        <f t="shared" si="217"/>
        <v>4243</v>
      </c>
      <c r="EW44" s="406">
        <f t="shared" si="217"/>
        <v>3997</v>
      </c>
      <c r="EX44" s="406">
        <f t="shared" si="217"/>
        <v>4244</v>
      </c>
      <c r="EY44" s="406">
        <f t="shared" si="217"/>
        <v>4244</v>
      </c>
      <c r="EZ44" s="406">
        <f t="shared" si="217"/>
        <v>4244</v>
      </c>
      <c r="FA44" s="461">
        <f t="shared" ref="FA44:GM44" si="218">+FA70</f>
        <v>65518</v>
      </c>
      <c r="FB44" s="460">
        <f t="shared" si="218"/>
        <v>5712</v>
      </c>
      <c r="FC44" s="406">
        <f t="shared" si="218"/>
        <v>0</v>
      </c>
      <c r="FD44" s="406">
        <f t="shared" si="218"/>
        <v>9295</v>
      </c>
      <c r="FE44" s="406">
        <f t="shared" si="218"/>
        <v>6576</v>
      </c>
      <c r="FF44" s="406">
        <f t="shared" si="218"/>
        <v>675</v>
      </c>
      <c r="FG44" s="406">
        <f t="shared" si="218"/>
        <v>8716</v>
      </c>
      <c r="FH44" s="406">
        <f t="shared" si="218"/>
        <v>4358</v>
      </c>
      <c r="FI44" s="406">
        <f t="shared" si="218"/>
        <v>4359</v>
      </c>
      <c r="FJ44" s="406">
        <f t="shared" si="218"/>
        <v>4286</v>
      </c>
      <c r="FK44" s="406">
        <f t="shared" si="218"/>
        <v>4358</v>
      </c>
      <c r="FL44" s="406">
        <f t="shared" si="218"/>
        <v>4142</v>
      </c>
      <c r="FM44" s="462">
        <f t="shared" si="218"/>
        <v>4166</v>
      </c>
      <c r="FN44" s="462">
        <f t="shared" si="218"/>
        <v>56643</v>
      </c>
      <c r="FO44" s="406">
        <f t="shared" si="218"/>
        <v>4467</v>
      </c>
      <c r="FP44" s="406">
        <f t="shared" si="218"/>
        <v>4476</v>
      </c>
      <c r="FQ44" s="406">
        <f t="shared" si="218"/>
        <v>6940</v>
      </c>
      <c r="FR44" s="406">
        <f t="shared" si="218"/>
        <v>4955</v>
      </c>
      <c r="FS44" s="406">
        <f t="shared" si="218"/>
        <v>4867</v>
      </c>
      <c r="FT44" s="406">
        <f t="shared" si="218"/>
        <v>5014</v>
      </c>
      <c r="FU44" s="406">
        <f t="shared" si="218"/>
        <v>4699</v>
      </c>
      <c r="FV44" s="406">
        <f t="shared" si="218"/>
        <v>4595</v>
      </c>
      <c r="FW44" s="406">
        <f t="shared" si="218"/>
        <v>5562</v>
      </c>
      <c r="FX44" s="406">
        <f t="shared" si="218"/>
        <v>5064</v>
      </c>
      <c r="FY44" s="406">
        <f t="shared" si="218"/>
        <v>4300</v>
      </c>
      <c r="FZ44" s="462">
        <f t="shared" si="218"/>
        <v>10464</v>
      </c>
      <c r="GA44" s="462">
        <f t="shared" si="218"/>
        <v>65403</v>
      </c>
      <c r="GB44" s="406">
        <f t="shared" si="218"/>
        <v>17579</v>
      </c>
      <c r="GC44" s="406">
        <f t="shared" si="218"/>
        <v>5189</v>
      </c>
      <c r="GD44" s="406">
        <f t="shared" si="218"/>
        <v>4579</v>
      </c>
      <c r="GE44" s="406">
        <f t="shared" si="218"/>
        <v>4579</v>
      </c>
      <c r="GF44" s="406">
        <f t="shared" si="218"/>
        <v>5396</v>
      </c>
      <c r="GG44" s="406">
        <f t="shared" si="218"/>
        <v>4763</v>
      </c>
      <c r="GH44" s="406">
        <f t="shared" si="218"/>
        <v>18138</v>
      </c>
      <c r="GI44" s="406">
        <f t="shared" si="218"/>
        <v>5495</v>
      </c>
      <c r="GJ44" s="406">
        <f t="shared" si="218"/>
        <v>6717</v>
      </c>
      <c r="GK44" s="406">
        <f t="shared" si="218"/>
        <v>17346</v>
      </c>
      <c r="GL44" s="406">
        <f t="shared" si="218"/>
        <v>11261</v>
      </c>
      <c r="GM44" s="406">
        <f t="shared" si="218"/>
        <v>5252</v>
      </c>
      <c r="GN44" s="447">
        <f t="shared" si="168"/>
        <v>106294</v>
      </c>
      <c r="GO44" s="406">
        <f t="shared" ref="GO44:GZ44" si="219">+GO70</f>
        <v>22494</v>
      </c>
      <c r="GP44" s="406">
        <f t="shared" si="219"/>
        <v>62821</v>
      </c>
      <c r="GQ44" s="406">
        <f t="shared" si="219"/>
        <v>8375</v>
      </c>
      <c r="GR44" s="406">
        <f t="shared" si="219"/>
        <v>8861</v>
      </c>
      <c r="GS44" s="406">
        <f t="shared" si="219"/>
        <v>10036</v>
      </c>
      <c r="GT44" s="406">
        <f t="shared" si="219"/>
        <v>13802</v>
      </c>
      <c r="GU44" s="406">
        <f t="shared" si="219"/>
        <v>25673</v>
      </c>
      <c r="GV44" s="406">
        <f t="shared" si="219"/>
        <v>10005</v>
      </c>
      <c r="GW44" s="406">
        <f t="shared" si="219"/>
        <v>4024</v>
      </c>
      <c r="GX44" s="406">
        <f t="shared" si="219"/>
        <v>5184</v>
      </c>
      <c r="GY44" s="406">
        <f t="shared" si="219"/>
        <v>4640</v>
      </c>
      <c r="GZ44" s="462">
        <f t="shared" si="219"/>
        <v>4857</v>
      </c>
      <c r="HA44" s="462">
        <f t="shared" si="170"/>
        <v>180772</v>
      </c>
      <c r="HB44" s="460">
        <f t="shared" ref="HB44:HM44" si="220">+HB70</f>
        <v>22088</v>
      </c>
      <c r="HC44" s="406">
        <f t="shared" si="220"/>
        <v>7859</v>
      </c>
      <c r="HD44" s="406">
        <f t="shared" si="220"/>
        <v>44297</v>
      </c>
      <c r="HE44" s="406">
        <f t="shared" si="220"/>
        <v>25544</v>
      </c>
      <c r="HF44" s="406">
        <f t="shared" si="220"/>
        <v>34130</v>
      </c>
      <c r="HG44" s="406">
        <f t="shared" si="220"/>
        <v>31184</v>
      </c>
      <c r="HH44" s="406">
        <f t="shared" si="220"/>
        <v>41461</v>
      </c>
      <c r="HI44" s="406">
        <f t="shared" si="220"/>
        <v>28103</v>
      </c>
      <c r="HJ44" s="406">
        <f t="shared" si="220"/>
        <v>30381</v>
      </c>
      <c r="HK44" s="406">
        <f t="shared" si="220"/>
        <v>29968</v>
      </c>
      <c r="HL44" s="404">
        <f t="shared" si="220"/>
        <v>27010</v>
      </c>
      <c r="HM44" s="463">
        <f t="shared" si="220"/>
        <v>28108</v>
      </c>
      <c r="HN44" s="462">
        <f t="shared" si="172"/>
        <v>350133</v>
      </c>
      <c r="HO44" s="460">
        <f t="shared" ref="HO44:HZ44" si="221">+HO70</f>
        <v>39600</v>
      </c>
      <c r="HP44" s="406">
        <f t="shared" si="221"/>
        <v>29329</v>
      </c>
      <c r="HQ44" s="406">
        <f t="shared" si="221"/>
        <v>30706</v>
      </c>
      <c r="HR44" s="406">
        <f t="shared" si="221"/>
        <v>28151</v>
      </c>
      <c r="HS44" s="406">
        <f t="shared" si="221"/>
        <v>27774</v>
      </c>
      <c r="HT44" s="406">
        <f t="shared" si="221"/>
        <v>28436</v>
      </c>
      <c r="HU44" s="406">
        <f t="shared" si="221"/>
        <v>40133</v>
      </c>
      <c r="HV44" s="406">
        <f t="shared" si="221"/>
        <v>24742</v>
      </c>
      <c r="HW44" s="406">
        <f t="shared" si="221"/>
        <v>27446</v>
      </c>
      <c r="HX44" s="406">
        <f t="shared" si="221"/>
        <v>33013</v>
      </c>
      <c r="HY44" s="406">
        <f t="shared" si="221"/>
        <v>35888</v>
      </c>
      <c r="HZ44" s="406">
        <f t="shared" si="221"/>
        <v>29924</v>
      </c>
      <c r="IA44" s="461">
        <f t="shared" si="174"/>
        <v>375142</v>
      </c>
      <c r="IB44" s="460">
        <f t="shared" ref="IB44:IM44" si="222">+IB70</f>
        <v>23645</v>
      </c>
      <c r="IC44" s="406">
        <f t="shared" si="222"/>
        <v>65536</v>
      </c>
      <c r="ID44" s="406">
        <f t="shared" si="222"/>
        <v>33525</v>
      </c>
      <c r="IE44" s="406">
        <f t="shared" si="222"/>
        <v>31049</v>
      </c>
      <c r="IF44" s="406">
        <f t="shared" si="222"/>
        <v>30178</v>
      </c>
      <c r="IG44" s="406">
        <f t="shared" si="222"/>
        <v>39099</v>
      </c>
      <c r="IH44" s="406">
        <f t="shared" si="222"/>
        <v>40538</v>
      </c>
      <c r="II44" s="406">
        <f t="shared" si="222"/>
        <v>38355</v>
      </c>
      <c r="IJ44" s="406">
        <f t="shared" si="222"/>
        <v>38476</v>
      </c>
      <c r="IK44" s="406">
        <f t="shared" si="222"/>
        <v>41261</v>
      </c>
      <c r="IL44" s="406">
        <f t="shared" si="222"/>
        <v>35787</v>
      </c>
      <c r="IM44" s="462">
        <f t="shared" si="222"/>
        <v>66564</v>
      </c>
      <c r="IN44" s="462">
        <f t="shared" si="176"/>
        <v>484013</v>
      </c>
      <c r="IO44" s="406">
        <f t="shared" ref="IO44:IX44" si="223">+IO70</f>
        <v>44583</v>
      </c>
      <c r="IP44" s="406">
        <f t="shared" si="223"/>
        <v>66130</v>
      </c>
      <c r="IQ44" s="406">
        <f t="shared" si="223"/>
        <v>38283</v>
      </c>
      <c r="IR44" s="406">
        <f t="shared" si="223"/>
        <v>36048</v>
      </c>
      <c r="IS44" s="404">
        <f t="shared" si="223"/>
        <v>35689</v>
      </c>
      <c r="IT44" s="404">
        <f t="shared" si="223"/>
        <v>38663</v>
      </c>
      <c r="IU44" s="404">
        <f t="shared" si="223"/>
        <v>55320</v>
      </c>
      <c r="IV44" s="404">
        <f t="shared" si="223"/>
        <v>40131</v>
      </c>
      <c r="IW44" s="404">
        <f t="shared" si="223"/>
        <v>39695</v>
      </c>
      <c r="IX44" s="404">
        <f t="shared" si="223"/>
        <v>42364</v>
      </c>
      <c r="IY44" s="404">
        <f>+IY70</f>
        <v>42027</v>
      </c>
      <c r="IZ44" s="404">
        <f>+IZ70</f>
        <v>34420</v>
      </c>
      <c r="JA44" s="1374">
        <f t="shared" si="178"/>
        <v>513353</v>
      </c>
      <c r="JB44" s="1324">
        <f t="shared" ref="JB44:JG44" si="224">+JB70</f>
        <v>57168</v>
      </c>
      <c r="JC44">
        <f t="shared" si="224"/>
        <v>48149</v>
      </c>
      <c r="JD44">
        <f t="shared" si="224"/>
        <v>35216</v>
      </c>
      <c r="JE44">
        <f t="shared" si="224"/>
        <v>33683</v>
      </c>
      <c r="JF44">
        <f t="shared" si="224"/>
        <v>43947</v>
      </c>
      <c r="JG44">
        <f t="shared" si="224"/>
        <v>42011</v>
      </c>
      <c r="JH44">
        <f t="shared" ref="JH44" si="225">+JH70</f>
        <v>52711</v>
      </c>
      <c r="JI44">
        <f t="shared" ref="JI44" si="226">+JI70</f>
        <v>81855</v>
      </c>
      <c r="JM44" s="1266"/>
      <c r="JN44" s="1059">
        <f t="shared" si="181"/>
        <v>394740</v>
      </c>
      <c r="JP44" s="464">
        <f t="shared" si="165"/>
        <v>103.96949988786726</v>
      </c>
      <c r="JQ44" s="512">
        <f t="shared" si="182"/>
        <v>11.242310066028448</v>
      </c>
      <c r="JR44" s="465">
        <f t="shared" si="183"/>
        <v>354847</v>
      </c>
      <c r="JS44" s="513">
        <f t="shared" si="184"/>
        <v>394740</v>
      </c>
    </row>
    <row r="45" spans="1:279" ht="13.9" customHeight="1" x14ac:dyDescent="0.2">
      <c r="A45" s="436" t="s">
        <v>408</v>
      </c>
      <c r="AV45" s="406"/>
      <c r="AW45" s="406"/>
      <c r="AX45" s="406"/>
      <c r="AY45" s="406"/>
      <c r="AZ45" s="406"/>
      <c r="BA45" s="406"/>
      <c r="BB45" s="406"/>
      <c r="BC45" s="406"/>
      <c r="BD45" s="406"/>
      <c r="BE45" s="406"/>
      <c r="BF45" s="406"/>
      <c r="BG45" s="406"/>
      <c r="BH45" s="406"/>
      <c r="BI45" s="406"/>
      <c r="BJ45" s="406"/>
      <c r="BK45" s="406"/>
      <c r="BL45" s="406"/>
      <c r="BM45" s="406"/>
      <c r="BN45" s="406"/>
      <c r="BO45" s="406"/>
      <c r="BP45" s="406"/>
      <c r="BQ45" s="406"/>
      <c r="BR45" s="406"/>
      <c r="BS45" s="406"/>
      <c r="BT45" s="406"/>
      <c r="BU45" s="406"/>
      <c r="BV45" s="406"/>
      <c r="BW45" s="406"/>
      <c r="BX45" s="406"/>
      <c r="BY45" s="406"/>
      <c r="BZ45" s="406"/>
      <c r="CA45" s="406"/>
      <c r="CB45" s="406"/>
      <c r="CC45" s="406"/>
      <c r="CD45" s="406"/>
      <c r="CE45" s="406"/>
      <c r="CF45" s="406"/>
      <c r="CG45" s="406"/>
      <c r="CH45" s="406"/>
      <c r="CI45" s="406"/>
      <c r="CJ45" s="406"/>
      <c r="CK45" s="406"/>
      <c r="CL45" s="406"/>
      <c r="CM45" s="406"/>
      <c r="CN45" s="406"/>
      <c r="CO45" s="406">
        <f t="shared" ref="CO45:EZ45" si="227">+CO55+CO56+CO64+CO65+CO66+CO67+CO68+CO69+CO72+CO73</f>
        <v>402</v>
      </c>
      <c r="CP45" s="406">
        <f t="shared" si="227"/>
        <v>254</v>
      </c>
      <c r="CQ45" s="406">
        <f t="shared" si="227"/>
        <v>1034</v>
      </c>
      <c r="CR45" s="406">
        <f t="shared" si="227"/>
        <v>847</v>
      </c>
      <c r="CS45" s="406">
        <f t="shared" si="227"/>
        <v>137</v>
      </c>
      <c r="CT45" s="406">
        <f t="shared" si="227"/>
        <v>961</v>
      </c>
      <c r="CU45" s="406">
        <f t="shared" si="227"/>
        <v>551</v>
      </c>
      <c r="CV45" s="406">
        <f t="shared" si="227"/>
        <v>404.1</v>
      </c>
      <c r="CW45" s="406">
        <f t="shared" si="227"/>
        <v>143</v>
      </c>
      <c r="CX45" s="406">
        <f t="shared" si="227"/>
        <v>273</v>
      </c>
      <c r="CY45" s="406">
        <f t="shared" si="227"/>
        <v>426</v>
      </c>
      <c r="CZ45" s="406">
        <f t="shared" si="227"/>
        <v>170</v>
      </c>
      <c r="DA45" s="461">
        <f t="shared" si="227"/>
        <v>5602.1</v>
      </c>
      <c r="DB45" s="406">
        <f t="shared" si="227"/>
        <v>171</v>
      </c>
      <c r="DC45" s="406">
        <f t="shared" si="227"/>
        <v>1444</v>
      </c>
      <c r="DD45" s="406">
        <f t="shared" si="227"/>
        <v>1.05</v>
      </c>
      <c r="DE45" s="406">
        <f t="shared" si="227"/>
        <v>1722.04</v>
      </c>
      <c r="DF45" s="406">
        <f t="shared" si="227"/>
        <v>395.11500000000001</v>
      </c>
      <c r="DG45" s="406">
        <f t="shared" si="227"/>
        <v>1876.03</v>
      </c>
      <c r="DH45" s="406">
        <f t="shared" si="227"/>
        <v>737.62</v>
      </c>
      <c r="DI45" s="406">
        <f t="shared" si="227"/>
        <v>273.56</v>
      </c>
      <c r="DJ45" s="406">
        <f t="shared" si="227"/>
        <v>322.036</v>
      </c>
      <c r="DK45" s="406">
        <f t="shared" si="227"/>
        <v>297.08100000000002</v>
      </c>
      <c r="DL45" s="406">
        <f t="shared" si="227"/>
        <v>145.47499999999999</v>
      </c>
      <c r="DM45" s="406">
        <f t="shared" si="227"/>
        <v>1306.432</v>
      </c>
      <c r="DN45" s="461">
        <f t="shared" si="227"/>
        <v>8691.4390000000003</v>
      </c>
      <c r="DO45" s="460">
        <f t="shared" si="227"/>
        <v>236.929</v>
      </c>
      <c r="DP45" s="406">
        <f t="shared" si="227"/>
        <v>427.64400000000001</v>
      </c>
      <c r="DQ45" s="406">
        <f t="shared" si="227"/>
        <v>485.964</v>
      </c>
      <c r="DR45" s="406">
        <f t="shared" si="227"/>
        <v>795.14700000000005</v>
      </c>
      <c r="DS45" s="406">
        <f t="shared" si="227"/>
        <v>1</v>
      </c>
      <c r="DT45" s="406">
        <f t="shared" si="227"/>
        <v>1151</v>
      </c>
      <c r="DU45" s="406">
        <f t="shared" si="227"/>
        <v>443</v>
      </c>
      <c r="DV45" s="406">
        <f t="shared" si="227"/>
        <v>11</v>
      </c>
      <c r="DW45" s="406">
        <f t="shared" si="227"/>
        <v>11</v>
      </c>
      <c r="DX45" s="406">
        <f t="shared" si="227"/>
        <v>529</v>
      </c>
      <c r="DY45" s="406">
        <f t="shared" si="227"/>
        <v>11</v>
      </c>
      <c r="DZ45" s="462">
        <f t="shared" si="227"/>
        <v>11</v>
      </c>
      <c r="EA45" s="462">
        <f t="shared" si="227"/>
        <v>4113.6840000000002</v>
      </c>
      <c r="EB45" s="406">
        <f t="shared" si="227"/>
        <v>272</v>
      </c>
      <c r="EC45" s="406">
        <f t="shared" si="227"/>
        <v>9</v>
      </c>
      <c r="ED45" s="406">
        <f t="shared" si="227"/>
        <v>1053</v>
      </c>
      <c r="EE45" s="406">
        <f t="shared" si="227"/>
        <v>301</v>
      </c>
      <c r="EF45" s="406">
        <f t="shared" si="227"/>
        <v>22</v>
      </c>
      <c r="EG45" s="406">
        <f t="shared" si="227"/>
        <v>827</v>
      </c>
      <c r="EH45" s="406">
        <f t="shared" si="227"/>
        <v>242</v>
      </c>
      <c r="EI45" s="406">
        <f t="shared" si="227"/>
        <v>422</v>
      </c>
      <c r="EJ45" s="406">
        <f t="shared" si="227"/>
        <v>1042</v>
      </c>
      <c r="EK45" s="406">
        <f t="shared" si="227"/>
        <v>531</v>
      </c>
      <c r="EL45" s="406">
        <f t="shared" si="227"/>
        <v>508</v>
      </c>
      <c r="EM45" s="462">
        <f t="shared" si="227"/>
        <v>306</v>
      </c>
      <c r="EN45" s="406">
        <f t="shared" si="227"/>
        <v>5535</v>
      </c>
      <c r="EO45" s="460">
        <f t="shared" si="227"/>
        <v>243</v>
      </c>
      <c r="EP45" s="406">
        <f t="shared" si="227"/>
        <v>437</v>
      </c>
      <c r="EQ45" s="406">
        <f t="shared" si="227"/>
        <v>837</v>
      </c>
      <c r="ER45" s="406">
        <f t="shared" si="227"/>
        <v>958</v>
      </c>
      <c r="ES45" s="406">
        <f t="shared" si="227"/>
        <v>436</v>
      </c>
      <c r="ET45" s="406">
        <f t="shared" si="227"/>
        <v>803</v>
      </c>
      <c r="EU45" s="406">
        <f t="shared" si="227"/>
        <v>1882</v>
      </c>
      <c r="EV45" s="406">
        <f t="shared" si="227"/>
        <v>1258</v>
      </c>
      <c r="EW45" s="406">
        <f t="shared" si="227"/>
        <v>17</v>
      </c>
      <c r="EX45" s="406">
        <f t="shared" si="227"/>
        <v>25</v>
      </c>
      <c r="EY45" s="406">
        <f t="shared" si="227"/>
        <v>298</v>
      </c>
      <c r="EZ45" s="406">
        <f t="shared" si="227"/>
        <v>657</v>
      </c>
      <c r="FA45" s="461">
        <f t="shared" ref="FA45:GM45" si="228">+FA55+FA56+FA64+FA65+FA66+FA67+FA68+FA69+FA72+FA73</f>
        <v>7851</v>
      </c>
      <c r="FB45" s="460">
        <f t="shared" si="228"/>
        <v>26</v>
      </c>
      <c r="FC45" s="406">
        <f t="shared" si="228"/>
        <v>0</v>
      </c>
      <c r="FD45" s="406">
        <f t="shared" si="228"/>
        <v>17</v>
      </c>
      <c r="FE45" s="406">
        <f t="shared" si="228"/>
        <v>28</v>
      </c>
      <c r="FF45" s="406">
        <f t="shared" si="228"/>
        <v>1971</v>
      </c>
      <c r="FG45" s="406">
        <f t="shared" si="228"/>
        <v>500</v>
      </c>
      <c r="FH45" s="406">
        <f t="shared" si="228"/>
        <v>510</v>
      </c>
      <c r="FI45" s="406">
        <f t="shared" si="228"/>
        <v>15</v>
      </c>
      <c r="FJ45" s="406">
        <f t="shared" si="228"/>
        <v>2537</v>
      </c>
      <c r="FK45" s="406">
        <f t="shared" si="228"/>
        <v>24</v>
      </c>
      <c r="FL45" s="406">
        <f t="shared" si="228"/>
        <v>194</v>
      </c>
      <c r="FM45" s="462">
        <f t="shared" si="228"/>
        <v>1313</v>
      </c>
      <c r="FN45" s="462">
        <f t="shared" si="228"/>
        <v>7135</v>
      </c>
      <c r="FO45" s="406">
        <f t="shared" si="228"/>
        <v>24</v>
      </c>
      <c r="FP45" s="406">
        <f t="shared" si="228"/>
        <v>130</v>
      </c>
      <c r="FQ45" s="406">
        <f t="shared" si="228"/>
        <v>15</v>
      </c>
      <c r="FR45" s="406">
        <f t="shared" si="228"/>
        <v>22</v>
      </c>
      <c r="FS45" s="406">
        <f t="shared" si="228"/>
        <v>1815</v>
      </c>
      <c r="FT45" s="406">
        <f>+FT55+FT56+FT64+FT65+FT66+FT67+FT68+FT69+FT72+FT73</f>
        <v>0</v>
      </c>
      <c r="FU45" s="406">
        <f t="shared" si="228"/>
        <v>2950</v>
      </c>
      <c r="FV45" s="406">
        <f t="shared" si="228"/>
        <v>14</v>
      </c>
      <c r="FW45" s="406">
        <f t="shared" si="228"/>
        <v>57</v>
      </c>
      <c r="FX45" s="406">
        <f t="shared" si="228"/>
        <v>9</v>
      </c>
      <c r="FY45" s="406">
        <f t="shared" si="228"/>
        <v>0</v>
      </c>
      <c r="FZ45" s="462">
        <f t="shared" si="228"/>
        <v>0</v>
      </c>
      <c r="GA45" s="462">
        <f t="shared" si="228"/>
        <v>5036</v>
      </c>
      <c r="GB45" s="406">
        <f t="shared" si="228"/>
        <v>175</v>
      </c>
      <c r="GC45" s="406">
        <f t="shared" si="228"/>
        <v>0</v>
      </c>
      <c r="GD45" s="406">
        <f t="shared" si="228"/>
        <v>0</v>
      </c>
      <c r="GE45" s="406">
        <f t="shared" si="228"/>
        <v>8</v>
      </c>
      <c r="GF45" s="406">
        <f t="shared" si="228"/>
        <v>0</v>
      </c>
      <c r="GG45" s="406">
        <f t="shared" si="228"/>
        <v>0</v>
      </c>
      <c r="GH45" s="406">
        <f t="shared" si="228"/>
        <v>1084</v>
      </c>
      <c r="GI45" s="406">
        <f t="shared" si="228"/>
        <v>0</v>
      </c>
      <c r="GJ45" s="406">
        <f t="shared" si="228"/>
        <v>2636</v>
      </c>
      <c r="GK45" s="406">
        <f t="shared" si="228"/>
        <v>13</v>
      </c>
      <c r="GL45" s="406">
        <f t="shared" si="228"/>
        <v>13</v>
      </c>
      <c r="GM45" s="406">
        <f t="shared" si="228"/>
        <v>13</v>
      </c>
      <c r="GN45" s="447">
        <f t="shared" si="168"/>
        <v>3942</v>
      </c>
      <c r="GO45" s="406">
        <f t="shared" ref="GO45:GZ45" si="229">+GO55+GO56+GO64+GO65+GO66+GO67+GO68+GO69+GO72+GO73</f>
        <v>110</v>
      </c>
      <c r="GP45" s="406">
        <f t="shared" si="229"/>
        <v>733</v>
      </c>
      <c r="GQ45" s="406">
        <f t="shared" si="229"/>
        <v>16</v>
      </c>
      <c r="GR45" s="406">
        <f t="shared" si="229"/>
        <v>18</v>
      </c>
      <c r="GS45" s="406">
        <f t="shared" si="229"/>
        <v>13</v>
      </c>
      <c r="GT45" s="406">
        <f t="shared" si="229"/>
        <v>0</v>
      </c>
      <c r="GU45" s="406">
        <f t="shared" si="229"/>
        <v>60</v>
      </c>
      <c r="GV45" s="406">
        <f t="shared" si="229"/>
        <v>16</v>
      </c>
      <c r="GW45" s="406">
        <f t="shared" si="229"/>
        <v>4</v>
      </c>
      <c r="GX45" s="406">
        <f t="shared" si="229"/>
        <v>15</v>
      </c>
      <c r="GY45" s="406">
        <f t="shared" si="229"/>
        <v>1285</v>
      </c>
      <c r="GZ45" s="462">
        <f t="shared" si="229"/>
        <v>6</v>
      </c>
      <c r="HA45" s="462">
        <f t="shared" si="170"/>
        <v>2276</v>
      </c>
      <c r="HB45" s="460">
        <f>+HB55+HB56+HB64+HB65+HB66+HB67+HB68+HB69+HB72+HB73</f>
        <v>127</v>
      </c>
      <c r="HC45" s="406">
        <f>+HC55+HC56+HC64+HC65+HC66+HC67+HC68+HC69+HC72+HC73</f>
        <v>5</v>
      </c>
      <c r="HD45" s="406">
        <f>+HD55+HD56+HD64+HD65+HD66+HD67+HD68+HD69+HD72+HD73</f>
        <v>5</v>
      </c>
      <c r="HE45" s="406">
        <f>+HE55+HE56+HE64+HE65+HE66+HE67+HE68+HE69+HE72+HE73</f>
        <v>17</v>
      </c>
      <c r="HF45" s="406">
        <f t="shared" ref="HF45:HM45" si="230">+HF55+HF56+HF64+HF65+HF66+HF67+HF68+HF69+HF72+HF73</f>
        <v>8</v>
      </c>
      <c r="HG45" s="406">
        <f t="shared" si="230"/>
        <v>2</v>
      </c>
      <c r="HH45" s="406">
        <f t="shared" si="230"/>
        <v>194</v>
      </c>
      <c r="HI45" s="406">
        <f t="shared" si="230"/>
        <v>5</v>
      </c>
      <c r="HJ45" s="406">
        <f t="shared" si="230"/>
        <v>5</v>
      </c>
      <c r="HK45" s="406">
        <f t="shared" si="230"/>
        <v>14</v>
      </c>
      <c r="HL45" s="404">
        <f t="shared" si="230"/>
        <v>17</v>
      </c>
      <c r="HM45" s="463">
        <f t="shared" si="230"/>
        <v>464</v>
      </c>
      <c r="HN45" s="462">
        <f t="shared" si="172"/>
        <v>863</v>
      </c>
      <c r="HO45" s="460">
        <f t="shared" ref="HO45:HZ45" si="231">+HO55+HO56+HO64+HO65+HO66+HO67+HO68+HO69+HO72+HO73</f>
        <v>155</v>
      </c>
      <c r="HP45" s="406">
        <f t="shared" si="231"/>
        <v>0</v>
      </c>
      <c r="HQ45" s="406">
        <f t="shared" si="231"/>
        <v>10</v>
      </c>
      <c r="HR45" s="406">
        <f t="shared" si="231"/>
        <v>16</v>
      </c>
      <c r="HS45" s="406">
        <f t="shared" si="231"/>
        <v>5</v>
      </c>
      <c r="HT45" s="406">
        <f t="shared" si="231"/>
        <v>4</v>
      </c>
      <c r="HU45" s="406">
        <f t="shared" si="231"/>
        <v>167</v>
      </c>
      <c r="HV45" s="406">
        <f t="shared" si="231"/>
        <v>4</v>
      </c>
      <c r="HW45" s="406">
        <f t="shared" si="231"/>
        <v>4</v>
      </c>
      <c r="HX45" s="406">
        <f t="shared" si="231"/>
        <v>13</v>
      </c>
      <c r="HY45" s="406">
        <f t="shared" si="231"/>
        <v>5</v>
      </c>
      <c r="HZ45" s="406">
        <f t="shared" si="231"/>
        <v>3</v>
      </c>
      <c r="IA45" s="461">
        <f t="shared" si="174"/>
        <v>386</v>
      </c>
      <c r="IB45" s="460">
        <f t="shared" ref="IB45:IM45" si="232">+IB55+IB56+IB64+IB65+IB66+IB67+IB68+IB69+IB72+IB73</f>
        <v>156</v>
      </c>
      <c r="IC45" s="406">
        <f t="shared" si="232"/>
        <v>4</v>
      </c>
      <c r="ID45" s="406">
        <f t="shared" si="232"/>
        <v>4</v>
      </c>
      <c r="IE45" s="406">
        <f t="shared" si="232"/>
        <v>18</v>
      </c>
      <c r="IF45" s="406">
        <f t="shared" si="232"/>
        <v>2</v>
      </c>
      <c r="IG45" s="406">
        <f t="shared" si="232"/>
        <v>4</v>
      </c>
      <c r="IH45" s="406">
        <f t="shared" si="232"/>
        <v>145</v>
      </c>
      <c r="II45" s="406">
        <f t="shared" si="232"/>
        <v>4</v>
      </c>
      <c r="IJ45" s="406">
        <f t="shared" si="232"/>
        <v>4</v>
      </c>
      <c r="IK45" s="406">
        <f t="shared" si="232"/>
        <v>14</v>
      </c>
      <c r="IL45" s="406">
        <f t="shared" si="232"/>
        <v>4</v>
      </c>
      <c r="IM45" s="462">
        <f t="shared" si="232"/>
        <v>3</v>
      </c>
      <c r="IN45" s="462">
        <f t="shared" si="176"/>
        <v>362</v>
      </c>
      <c r="IO45" s="406">
        <f t="shared" ref="IO45:IZ45" si="233">+IO55+IO56+IO64+IO65+IO66+IO67+IO68+IO69+IO72+IO73</f>
        <v>47</v>
      </c>
      <c r="IP45" s="406">
        <f t="shared" si="233"/>
        <v>3</v>
      </c>
      <c r="IQ45" s="406">
        <f t="shared" si="233"/>
        <v>3</v>
      </c>
      <c r="IR45" s="406">
        <f t="shared" si="233"/>
        <v>22</v>
      </c>
      <c r="IS45" s="404">
        <f t="shared" si="233"/>
        <v>2</v>
      </c>
      <c r="IT45" s="404">
        <f t="shared" si="233"/>
        <v>331</v>
      </c>
      <c r="IU45" s="404">
        <f t="shared" si="233"/>
        <v>15</v>
      </c>
      <c r="IV45" s="404">
        <f t="shared" si="233"/>
        <v>1</v>
      </c>
      <c r="IW45" s="404">
        <f t="shared" si="233"/>
        <v>3</v>
      </c>
      <c r="IX45" s="404">
        <f t="shared" si="233"/>
        <v>13</v>
      </c>
      <c r="IY45" s="404">
        <f t="shared" si="233"/>
        <v>1</v>
      </c>
      <c r="IZ45" s="404">
        <f t="shared" si="233"/>
        <v>1</v>
      </c>
      <c r="JA45" s="1374">
        <f t="shared" si="178"/>
        <v>442</v>
      </c>
      <c r="JB45" s="1324">
        <f t="shared" ref="JB45:JE45" si="234">+JB55+JB56+JB64+JB65+JB66+JB67+JB68+JB69+JB72+JB73</f>
        <v>52</v>
      </c>
      <c r="JC45">
        <f t="shared" si="234"/>
        <v>14</v>
      </c>
      <c r="JD45">
        <f t="shared" si="234"/>
        <v>1</v>
      </c>
      <c r="JE45">
        <f t="shared" si="234"/>
        <v>1</v>
      </c>
      <c r="JF45">
        <f t="shared" ref="JF45" si="235">+JF55+JF56+JF64+JF65+JF66+JF67+JF68+JF69+JF72+JF73</f>
        <v>20</v>
      </c>
      <c r="JG45">
        <f t="shared" ref="JG45" si="236">+JG55+JG56+JG64+JG65+JG66+JG67+JG68+JG69+JG72+JG73</f>
        <v>0</v>
      </c>
      <c r="JH45">
        <f t="shared" ref="JH45" si="237">+JH55+JH56+JH64+JH65+JH66+JH67+JH68+JH69+JH72+JH73</f>
        <v>393</v>
      </c>
      <c r="JI45">
        <f t="shared" ref="JI45" si="238">+JI55+JI56+JI64+JI65+JI66+JI67+JI68+JI69+JI72+JI73</f>
        <v>12</v>
      </c>
      <c r="JM45" s="1266"/>
      <c r="JN45" s="1059">
        <f t="shared" si="181"/>
        <v>493</v>
      </c>
      <c r="JP45" s="464">
        <f t="shared" si="165"/>
        <v>1100</v>
      </c>
      <c r="JQ45" s="512">
        <f t="shared" si="182"/>
        <v>16.273584905660378</v>
      </c>
      <c r="JR45" s="465">
        <f t="shared" si="183"/>
        <v>424</v>
      </c>
      <c r="JS45" s="513">
        <f t="shared" si="184"/>
        <v>493</v>
      </c>
    </row>
    <row r="46" spans="1:279" ht="13.9" customHeight="1" x14ac:dyDescent="0.2">
      <c r="A46" s="436" t="s">
        <v>352</v>
      </c>
      <c r="AV46" s="406"/>
      <c r="AW46" s="406"/>
      <c r="AX46" s="406"/>
      <c r="AY46" s="406"/>
      <c r="AZ46" s="406"/>
      <c r="BA46" s="406"/>
      <c r="BB46" s="406"/>
      <c r="BC46" s="406"/>
      <c r="BD46" s="406"/>
      <c r="BE46" s="406"/>
      <c r="BF46" s="406"/>
      <c r="BG46" s="406"/>
      <c r="BH46" s="406"/>
      <c r="BI46" s="406"/>
      <c r="BJ46" s="406"/>
      <c r="BK46" s="406"/>
      <c r="BL46" s="406"/>
      <c r="BM46" s="406"/>
      <c r="BN46" s="406"/>
      <c r="BO46" s="406"/>
      <c r="BP46" s="406"/>
      <c r="BQ46" s="406"/>
      <c r="BR46" s="406"/>
      <c r="BS46" s="406"/>
      <c r="BT46" s="406"/>
      <c r="BU46" s="406"/>
      <c r="BV46" s="406"/>
      <c r="BW46" s="406"/>
      <c r="BX46" s="406"/>
      <c r="BY46" s="406"/>
      <c r="BZ46" s="406"/>
      <c r="CA46" s="406"/>
      <c r="CB46" s="406"/>
      <c r="CC46" s="406"/>
      <c r="CD46" s="406"/>
      <c r="CE46" s="406"/>
      <c r="CF46" s="406"/>
      <c r="CG46" s="406"/>
      <c r="CH46" s="406"/>
      <c r="CI46" s="406"/>
      <c r="CJ46" s="406"/>
      <c r="CK46" s="406"/>
      <c r="CL46" s="406"/>
      <c r="CM46" s="406"/>
      <c r="CN46" s="406"/>
      <c r="CO46" s="406"/>
      <c r="CP46" s="406"/>
      <c r="CQ46" s="406"/>
      <c r="CR46" s="406"/>
      <c r="CS46" s="406"/>
      <c r="CT46" s="406"/>
      <c r="CU46" s="406"/>
      <c r="CV46" s="406"/>
      <c r="CW46" s="406"/>
      <c r="CX46" s="406"/>
      <c r="CY46" s="406"/>
      <c r="CZ46" s="406"/>
      <c r="DA46" s="461"/>
      <c r="DB46" s="406"/>
      <c r="DC46" s="406"/>
      <c r="DD46" s="406"/>
      <c r="DE46" s="406"/>
      <c r="DF46" s="406"/>
      <c r="DG46" s="406"/>
      <c r="DH46" s="406"/>
      <c r="DI46" s="406"/>
      <c r="DJ46" s="406"/>
      <c r="DK46" s="406"/>
      <c r="DL46" s="406"/>
      <c r="DM46" s="406"/>
      <c r="DN46" s="461"/>
      <c r="DO46" s="460"/>
      <c r="DP46" s="406"/>
      <c r="DQ46" s="406"/>
      <c r="DR46" s="406"/>
      <c r="DS46" s="406"/>
      <c r="DT46" s="406"/>
      <c r="DU46" s="406"/>
      <c r="DV46" s="406"/>
      <c r="DW46" s="406"/>
      <c r="DX46" s="406"/>
      <c r="DY46" s="406"/>
      <c r="DZ46" s="462"/>
      <c r="EA46" s="462"/>
      <c r="EB46" s="406"/>
      <c r="EC46" s="406"/>
      <c r="ED46" s="406"/>
      <c r="EE46" s="406"/>
      <c r="EF46" s="406"/>
      <c r="EG46" s="406"/>
      <c r="EH46" s="406"/>
      <c r="EI46" s="406"/>
      <c r="EJ46" s="406"/>
      <c r="EK46" s="406"/>
      <c r="EL46" s="406"/>
      <c r="EM46" s="462"/>
      <c r="EN46" s="406"/>
      <c r="EO46" s="460"/>
      <c r="EP46" s="406"/>
      <c r="EQ46" s="406"/>
      <c r="ER46" s="406"/>
      <c r="ES46" s="406"/>
      <c r="ET46" s="406"/>
      <c r="EU46" s="406"/>
      <c r="EV46" s="406"/>
      <c r="EW46" s="406"/>
      <c r="EX46" s="406"/>
      <c r="EY46" s="406"/>
      <c r="EZ46" s="406"/>
      <c r="FA46" s="461"/>
      <c r="FB46" s="460"/>
      <c r="FC46" s="406"/>
      <c r="FD46" s="406"/>
      <c r="FE46" s="406"/>
      <c r="FF46" s="406"/>
      <c r="FG46" s="406"/>
      <c r="FH46" s="406"/>
      <c r="FI46" s="406"/>
      <c r="FJ46" s="406"/>
      <c r="FK46" s="406"/>
      <c r="FL46" s="406"/>
      <c r="FM46" s="462"/>
      <c r="FN46" s="462"/>
      <c r="FO46" s="406"/>
      <c r="FP46" s="406"/>
      <c r="FQ46" s="406"/>
      <c r="FR46" s="406"/>
      <c r="FS46" s="406"/>
      <c r="FT46" s="406"/>
      <c r="FU46" s="406"/>
      <c r="FV46" s="406"/>
      <c r="FW46" s="406"/>
      <c r="FX46" s="406"/>
      <c r="FY46" s="406"/>
      <c r="FZ46" s="462"/>
      <c r="GA46" s="462"/>
      <c r="GB46" s="406"/>
      <c r="GC46" s="406"/>
      <c r="GD46" s="506"/>
      <c r="GE46" s="506"/>
      <c r="GF46" s="506"/>
      <c r="GG46" s="506"/>
      <c r="GH46" s="506"/>
      <c r="GI46" s="506"/>
      <c r="GJ46" s="506"/>
      <c r="GK46" s="506"/>
      <c r="GL46" s="506"/>
      <c r="GM46" s="506"/>
      <c r="GN46" s="447"/>
      <c r="GO46" s="506"/>
      <c r="GP46" s="506"/>
      <c r="GQ46" s="506"/>
      <c r="GR46" s="506"/>
      <c r="GS46" s="506"/>
      <c r="GT46" s="506"/>
      <c r="GU46" s="506"/>
      <c r="GV46" s="506"/>
      <c r="GW46" s="506"/>
      <c r="GX46" s="506"/>
      <c r="GY46" s="506"/>
      <c r="GZ46" s="507"/>
      <c r="HA46" s="507"/>
      <c r="HB46" s="508"/>
      <c r="HC46" s="506"/>
      <c r="HD46" s="506"/>
      <c r="HE46" s="506"/>
      <c r="HF46" s="506"/>
      <c r="HG46" s="506"/>
      <c r="HH46" s="506"/>
      <c r="HI46" s="506"/>
      <c r="HJ46" s="506"/>
      <c r="HK46" s="506"/>
      <c r="HL46" s="509"/>
      <c r="HM46" s="510"/>
      <c r="HN46" s="507"/>
      <c r="HO46" s="508"/>
      <c r="HP46" s="506"/>
      <c r="HQ46" s="506"/>
      <c r="HR46" s="506"/>
      <c r="HS46" s="506"/>
      <c r="HT46" s="506"/>
      <c r="HU46" s="506"/>
      <c r="HV46" s="506"/>
      <c r="HW46" s="506"/>
      <c r="HX46" s="506"/>
      <c r="HY46" s="506"/>
      <c r="HZ46" s="506"/>
      <c r="IA46" s="511"/>
      <c r="IB46" s="508"/>
      <c r="IC46" s="506"/>
      <c r="ID46" s="506"/>
      <c r="IE46" s="506"/>
      <c r="IF46" s="506"/>
      <c r="IG46" s="506"/>
      <c r="IH46" s="506"/>
      <c r="II46" s="506"/>
      <c r="IJ46" s="506"/>
      <c r="IK46" s="506"/>
      <c r="IL46" s="506"/>
      <c r="IM46" s="507"/>
      <c r="IN46" s="507"/>
      <c r="IO46" s="506"/>
      <c r="IP46" s="506"/>
      <c r="IQ46" s="506"/>
      <c r="IR46" s="506"/>
      <c r="IS46" s="509"/>
      <c r="IT46" s="509"/>
      <c r="IU46" s="509"/>
      <c r="IV46" s="509"/>
      <c r="IW46" s="509"/>
      <c r="IX46" s="509"/>
      <c r="IY46" s="509"/>
      <c r="IZ46" s="509"/>
      <c r="JA46" s="1373"/>
      <c r="JB46" s="1324"/>
      <c r="JM46" s="1266"/>
      <c r="JN46" s="1059">
        <f t="shared" si="181"/>
        <v>0</v>
      </c>
      <c r="JP46" s="464"/>
      <c r="JQ46" s="512"/>
      <c r="JR46" s="456"/>
      <c r="JS46" s="513"/>
    </row>
    <row r="47" spans="1:279" ht="13.9" customHeight="1" x14ac:dyDescent="0.2">
      <c r="A47" s="497" t="s">
        <v>311</v>
      </c>
      <c r="B47" s="498"/>
      <c r="C47" s="498"/>
      <c r="D47" s="498"/>
      <c r="E47" s="498"/>
      <c r="F47" s="498"/>
      <c r="G47" s="498"/>
      <c r="H47" s="498"/>
      <c r="I47" s="498"/>
      <c r="J47" s="498"/>
      <c r="K47" s="498"/>
      <c r="L47" s="498"/>
      <c r="M47" s="498"/>
      <c r="N47" s="498"/>
      <c r="O47" s="498"/>
      <c r="P47" s="498"/>
      <c r="Q47" s="498"/>
      <c r="R47" s="498"/>
      <c r="S47" s="498"/>
      <c r="T47" s="498"/>
      <c r="U47" s="498"/>
      <c r="V47" s="498"/>
      <c r="W47" s="498"/>
      <c r="X47" s="498"/>
      <c r="Y47" s="498"/>
      <c r="Z47" s="498"/>
      <c r="AA47" s="498"/>
      <c r="AB47" s="498"/>
      <c r="AC47" s="498"/>
      <c r="AD47" s="498"/>
      <c r="AE47" s="498"/>
      <c r="AF47" s="498"/>
      <c r="AG47" s="498"/>
      <c r="AH47" s="498"/>
      <c r="AI47" s="498"/>
      <c r="AJ47" s="498"/>
      <c r="AK47" s="498"/>
      <c r="AL47" s="498"/>
      <c r="AM47" s="498"/>
      <c r="AN47" s="498"/>
      <c r="AO47" s="498"/>
      <c r="AP47" s="498"/>
      <c r="AQ47" s="498"/>
      <c r="AR47" s="498"/>
      <c r="AS47" s="498"/>
      <c r="AT47" s="498"/>
      <c r="AU47" s="498"/>
      <c r="AV47" s="446"/>
      <c r="AW47" s="446"/>
      <c r="AX47" s="446"/>
      <c r="AY47" s="446"/>
      <c r="AZ47" s="446"/>
      <c r="BA47" s="446"/>
      <c r="BB47" s="446"/>
      <c r="BC47" s="446"/>
      <c r="BD47" s="446"/>
      <c r="BE47" s="446"/>
      <c r="BF47" s="446"/>
      <c r="BG47" s="446"/>
      <c r="BH47" s="446"/>
      <c r="BI47" s="446"/>
      <c r="BJ47" s="446"/>
      <c r="BK47" s="446"/>
      <c r="BL47" s="446"/>
      <c r="BM47" s="446"/>
      <c r="BN47" s="446"/>
      <c r="BO47" s="446"/>
      <c r="BP47" s="446"/>
      <c r="BQ47" s="446"/>
      <c r="BR47" s="446"/>
      <c r="BS47" s="446"/>
      <c r="BT47" s="446"/>
      <c r="BU47" s="446"/>
      <c r="BV47" s="446"/>
      <c r="BW47" s="446"/>
      <c r="BX47" s="446"/>
      <c r="BY47" s="446"/>
      <c r="BZ47" s="446"/>
      <c r="CA47" s="446"/>
      <c r="CB47" s="446"/>
      <c r="CC47" s="446"/>
      <c r="CD47" s="446"/>
      <c r="CE47" s="446"/>
      <c r="CF47" s="446"/>
      <c r="CG47" s="446"/>
      <c r="CH47" s="446"/>
      <c r="CI47" s="446"/>
      <c r="CJ47" s="446"/>
      <c r="CK47" s="446"/>
      <c r="CL47" s="446"/>
      <c r="CM47" s="446"/>
      <c r="CN47" s="446"/>
      <c r="CO47" s="446">
        <f t="shared" ref="CO47:EZ47" si="239">+CO17</f>
        <v>0</v>
      </c>
      <c r="CP47" s="446">
        <f t="shared" si="239"/>
        <v>0</v>
      </c>
      <c r="CQ47" s="446">
        <f t="shared" si="239"/>
        <v>1</v>
      </c>
      <c r="CR47" s="446">
        <f t="shared" si="239"/>
        <v>0</v>
      </c>
      <c r="CS47" s="446">
        <f t="shared" si="239"/>
        <v>1</v>
      </c>
      <c r="CT47" s="446">
        <f t="shared" si="239"/>
        <v>0</v>
      </c>
      <c r="CU47" s="446">
        <f t="shared" si="239"/>
        <v>1</v>
      </c>
      <c r="CV47" s="446">
        <f t="shared" si="239"/>
        <v>3</v>
      </c>
      <c r="CW47" s="446">
        <f t="shared" si="239"/>
        <v>98</v>
      </c>
      <c r="CX47" s="446">
        <f t="shared" si="239"/>
        <v>21</v>
      </c>
      <c r="CY47" s="446">
        <f t="shared" si="239"/>
        <v>1</v>
      </c>
      <c r="CZ47" s="446">
        <f t="shared" si="239"/>
        <v>0</v>
      </c>
      <c r="DA47" s="447">
        <f t="shared" si="239"/>
        <v>126</v>
      </c>
      <c r="DB47" s="446">
        <f t="shared" si="239"/>
        <v>0</v>
      </c>
      <c r="DC47" s="446">
        <f t="shared" si="239"/>
        <v>0</v>
      </c>
      <c r="DD47" s="446">
        <f t="shared" si="239"/>
        <v>28</v>
      </c>
      <c r="DE47" s="446">
        <f t="shared" si="239"/>
        <v>0</v>
      </c>
      <c r="DF47" s="446">
        <f t="shared" si="239"/>
        <v>0</v>
      </c>
      <c r="DG47" s="446">
        <f t="shared" si="239"/>
        <v>0.41</v>
      </c>
      <c r="DH47" s="446">
        <f t="shared" si="239"/>
        <v>0</v>
      </c>
      <c r="DI47" s="446">
        <f t="shared" si="239"/>
        <v>0.6</v>
      </c>
      <c r="DJ47" s="446">
        <f t="shared" si="239"/>
        <v>3</v>
      </c>
      <c r="DK47" s="446">
        <f t="shared" si="239"/>
        <v>3</v>
      </c>
      <c r="DL47" s="446">
        <f t="shared" si="239"/>
        <v>0</v>
      </c>
      <c r="DM47" s="446">
        <f t="shared" si="239"/>
        <v>5</v>
      </c>
      <c r="DN47" s="447">
        <f t="shared" si="239"/>
        <v>40.010000000000005</v>
      </c>
      <c r="DO47" s="449">
        <f t="shared" si="239"/>
        <v>1</v>
      </c>
      <c r="DP47" s="446">
        <f t="shared" si="239"/>
        <v>0</v>
      </c>
      <c r="DQ47" s="446">
        <f t="shared" si="239"/>
        <v>1</v>
      </c>
      <c r="DR47" s="446">
        <f t="shared" si="239"/>
        <v>0</v>
      </c>
      <c r="DS47" s="446">
        <f t="shared" si="239"/>
        <v>0</v>
      </c>
      <c r="DT47" s="446">
        <f t="shared" si="239"/>
        <v>0</v>
      </c>
      <c r="DU47" s="446">
        <f t="shared" si="239"/>
        <v>0</v>
      </c>
      <c r="DV47" s="446">
        <f t="shared" si="239"/>
        <v>0</v>
      </c>
      <c r="DW47" s="446">
        <f t="shared" si="239"/>
        <v>2</v>
      </c>
      <c r="DX47" s="446">
        <f t="shared" si="239"/>
        <v>0</v>
      </c>
      <c r="DY47" s="446">
        <f t="shared" si="239"/>
        <v>0</v>
      </c>
      <c r="DZ47" s="458">
        <f t="shared" si="239"/>
        <v>0</v>
      </c>
      <c r="EA47" s="458">
        <f t="shared" si="239"/>
        <v>4</v>
      </c>
      <c r="EB47" s="446">
        <f t="shared" si="239"/>
        <v>0</v>
      </c>
      <c r="EC47" s="446">
        <f t="shared" si="239"/>
        <v>0</v>
      </c>
      <c r="ED47" s="446">
        <f t="shared" si="239"/>
        <v>0</v>
      </c>
      <c r="EE47" s="446">
        <f t="shared" si="239"/>
        <v>0</v>
      </c>
      <c r="EF47" s="446">
        <f t="shared" si="239"/>
        <v>0</v>
      </c>
      <c r="EG47" s="446">
        <f t="shared" si="239"/>
        <v>0</v>
      </c>
      <c r="EH47" s="446">
        <f t="shared" si="239"/>
        <v>0</v>
      </c>
      <c r="EI47" s="446">
        <f t="shared" si="239"/>
        <v>0</v>
      </c>
      <c r="EJ47" s="446">
        <f t="shared" si="239"/>
        <v>0</v>
      </c>
      <c r="EK47" s="446">
        <f t="shared" si="239"/>
        <v>0</v>
      </c>
      <c r="EL47" s="446">
        <f t="shared" si="239"/>
        <v>0</v>
      </c>
      <c r="EM47" s="458">
        <f t="shared" si="239"/>
        <v>0</v>
      </c>
      <c r="EN47" s="446">
        <f t="shared" si="239"/>
        <v>0</v>
      </c>
      <c r="EO47" s="449">
        <f t="shared" si="239"/>
        <v>0</v>
      </c>
      <c r="EP47" s="446">
        <f t="shared" si="239"/>
        <v>0</v>
      </c>
      <c r="EQ47" s="446">
        <f t="shared" si="239"/>
        <v>0</v>
      </c>
      <c r="ER47" s="446">
        <f t="shared" si="239"/>
        <v>0</v>
      </c>
      <c r="ES47" s="446">
        <f t="shared" si="239"/>
        <v>0</v>
      </c>
      <c r="ET47" s="446">
        <f t="shared" si="239"/>
        <v>0</v>
      </c>
      <c r="EU47" s="446">
        <f t="shared" si="239"/>
        <v>0</v>
      </c>
      <c r="EV47" s="446">
        <f t="shared" si="239"/>
        <v>0</v>
      </c>
      <c r="EW47" s="446">
        <f t="shared" si="239"/>
        <v>0</v>
      </c>
      <c r="EX47" s="446">
        <f t="shared" si="239"/>
        <v>0</v>
      </c>
      <c r="EY47" s="446">
        <f t="shared" si="239"/>
        <v>0</v>
      </c>
      <c r="EZ47" s="446">
        <f t="shared" si="239"/>
        <v>0</v>
      </c>
      <c r="FA47" s="447">
        <f t="shared" ref="FA47:GM47" si="240">+FA17</f>
        <v>0</v>
      </c>
      <c r="FB47" s="449">
        <f t="shared" si="240"/>
        <v>0</v>
      </c>
      <c r="FC47" s="446">
        <f t="shared" si="240"/>
        <v>0</v>
      </c>
      <c r="FD47" s="446">
        <f t="shared" si="240"/>
        <v>1</v>
      </c>
      <c r="FE47" s="446">
        <f t="shared" si="240"/>
        <v>0</v>
      </c>
      <c r="FF47" s="446">
        <f t="shared" si="240"/>
        <v>0</v>
      </c>
      <c r="FG47" s="446">
        <f t="shared" si="240"/>
        <v>0</v>
      </c>
      <c r="FH47" s="446">
        <f t="shared" si="240"/>
        <v>0</v>
      </c>
      <c r="FI47" s="446">
        <f t="shared" si="240"/>
        <v>0</v>
      </c>
      <c r="FJ47" s="446">
        <f t="shared" si="240"/>
        <v>0</v>
      </c>
      <c r="FK47" s="446">
        <f t="shared" si="240"/>
        <v>0</v>
      </c>
      <c r="FL47" s="446">
        <f t="shared" si="240"/>
        <v>0</v>
      </c>
      <c r="FM47" s="458">
        <f t="shared" si="240"/>
        <v>0</v>
      </c>
      <c r="FN47" s="458">
        <f t="shared" si="240"/>
        <v>1</v>
      </c>
      <c r="FO47" s="446">
        <f t="shared" si="240"/>
        <v>0</v>
      </c>
      <c r="FP47" s="446">
        <f t="shared" si="240"/>
        <v>0</v>
      </c>
      <c r="FQ47" s="446">
        <f t="shared" si="240"/>
        <v>0</v>
      </c>
      <c r="FR47" s="446">
        <f t="shared" si="240"/>
        <v>0</v>
      </c>
      <c r="FS47" s="446">
        <f t="shared" si="240"/>
        <v>0</v>
      </c>
      <c r="FT47" s="446">
        <f t="shared" si="240"/>
        <v>0</v>
      </c>
      <c r="FU47" s="446">
        <f t="shared" si="240"/>
        <v>1</v>
      </c>
      <c r="FV47" s="446">
        <f t="shared" si="240"/>
        <v>0</v>
      </c>
      <c r="FW47" s="446">
        <f t="shared" si="240"/>
        <v>0</v>
      </c>
      <c r="FX47" s="446">
        <f t="shared" si="240"/>
        <v>0</v>
      </c>
      <c r="FY47" s="446">
        <f t="shared" si="240"/>
        <v>0</v>
      </c>
      <c r="FZ47" s="458">
        <f t="shared" si="240"/>
        <v>1</v>
      </c>
      <c r="GA47" s="458">
        <f t="shared" si="240"/>
        <v>2</v>
      </c>
      <c r="GB47" s="446">
        <f t="shared" si="240"/>
        <v>0</v>
      </c>
      <c r="GC47" s="446">
        <f t="shared" si="240"/>
        <v>0</v>
      </c>
      <c r="GD47" s="446">
        <f t="shared" si="240"/>
        <v>0</v>
      </c>
      <c r="GE47" s="446">
        <f t="shared" si="240"/>
        <v>0</v>
      </c>
      <c r="GF47" s="446">
        <f t="shared" si="240"/>
        <v>0</v>
      </c>
      <c r="GG47" s="446">
        <f t="shared" si="240"/>
        <v>0</v>
      </c>
      <c r="GH47" s="446">
        <f t="shared" si="240"/>
        <v>0</v>
      </c>
      <c r="GI47" s="446">
        <f t="shared" si="240"/>
        <v>0</v>
      </c>
      <c r="GJ47" s="446">
        <f t="shared" si="240"/>
        <v>0</v>
      </c>
      <c r="GK47" s="446">
        <f t="shared" si="240"/>
        <v>0</v>
      </c>
      <c r="GL47" s="446">
        <f t="shared" si="240"/>
        <v>0</v>
      </c>
      <c r="GM47" s="446">
        <f t="shared" si="240"/>
        <v>0</v>
      </c>
      <c r="GN47" s="447">
        <f t="shared" si="168"/>
        <v>0</v>
      </c>
      <c r="GO47" s="446">
        <f t="shared" ref="GO47:GZ47" si="241">+GO17</f>
        <v>0</v>
      </c>
      <c r="GP47" s="446">
        <f t="shared" si="241"/>
        <v>0</v>
      </c>
      <c r="GQ47" s="446">
        <f t="shared" si="241"/>
        <v>0</v>
      </c>
      <c r="GR47" s="446">
        <f t="shared" si="241"/>
        <v>0</v>
      </c>
      <c r="GS47" s="446">
        <f t="shared" si="241"/>
        <v>0</v>
      </c>
      <c r="GT47" s="446">
        <f t="shared" si="241"/>
        <v>0</v>
      </c>
      <c r="GU47" s="446">
        <f t="shared" si="241"/>
        <v>0</v>
      </c>
      <c r="GV47" s="446">
        <f t="shared" si="241"/>
        <v>0</v>
      </c>
      <c r="GW47" s="446">
        <f t="shared" si="241"/>
        <v>0</v>
      </c>
      <c r="GX47" s="446">
        <f t="shared" si="241"/>
        <v>0</v>
      </c>
      <c r="GY47" s="446">
        <f t="shared" si="241"/>
        <v>0</v>
      </c>
      <c r="GZ47" s="458">
        <f t="shared" si="241"/>
        <v>0</v>
      </c>
      <c r="HA47" s="458">
        <f t="shared" si="170"/>
        <v>0</v>
      </c>
      <c r="HB47" s="449">
        <f t="shared" ref="HB47:HM47" si="242">+HB17</f>
        <v>0</v>
      </c>
      <c r="HC47" s="446">
        <f t="shared" si="242"/>
        <v>0</v>
      </c>
      <c r="HD47" s="446">
        <f t="shared" si="242"/>
        <v>0</v>
      </c>
      <c r="HE47" s="446">
        <f t="shared" si="242"/>
        <v>0</v>
      </c>
      <c r="HF47" s="446">
        <f t="shared" si="242"/>
        <v>0</v>
      </c>
      <c r="HG47" s="446">
        <f t="shared" si="242"/>
        <v>0</v>
      </c>
      <c r="HH47" s="446">
        <f t="shared" si="242"/>
        <v>0</v>
      </c>
      <c r="HI47" s="446">
        <f t="shared" si="242"/>
        <v>0</v>
      </c>
      <c r="HJ47" s="446">
        <f t="shared" si="242"/>
        <v>0</v>
      </c>
      <c r="HK47" s="446">
        <f t="shared" si="242"/>
        <v>0</v>
      </c>
      <c r="HL47" s="450">
        <f t="shared" si="242"/>
        <v>0</v>
      </c>
      <c r="HM47" s="451">
        <f t="shared" si="242"/>
        <v>0</v>
      </c>
      <c r="HN47" s="458">
        <f>SUM(HB47:HM47)</f>
        <v>0</v>
      </c>
      <c r="HO47" s="449">
        <f t="shared" ref="HO47:HZ47" si="243">+HO17</f>
        <v>0</v>
      </c>
      <c r="HP47" s="446">
        <f t="shared" si="243"/>
        <v>0</v>
      </c>
      <c r="HQ47" s="446">
        <f t="shared" si="243"/>
        <v>0</v>
      </c>
      <c r="HR47" s="446">
        <f t="shared" si="243"/>
        <v>0</v>
      </c>
      <c r="HS47" s="446">
        <f t="shared" si="243"/>
        <v>0</v>
      </c>
      <c r="HT47" s="446">
        <f t="shared" si="243"/>
        <v>0</v>
      </c>
      <c r="HU47" s="446">
        <f t="shared" si="243"/>
        <v>0</v>
      </c>
      <c r="HV47" s="446">
        <f t="shared" si="243"/>
        <v>0</v>
      </c>
      <c r="HW47" s="446">
        <f t="shared" si="243"/>
        <v>0</v>
      </c>
      <c r="HX47" s="446">
        <f t="shared" si="243"/>
        <v>0</v>
      </c>
      <c r="HY47" s="446">
        <f t="shared" si="243"/>
        <v>0</v>
      </c>
      <c r="HZ47" s="446">
        <f t="shared" si="243"/>
        <v>0</v>
      </c>
      <c r="IA47" s="447">
        <f t="shared" si="174"/>
        <v>0</v>
      </c>
      <c r="IB47" s="449">
        <f t="shared" ref="IB47:IM47" si="244">+IB17</f>
        <v>0</v>
      </c>
      <c r="IC47" s="446">
        <f t="shared" si="244"/>
        <v>0</v>
      </c>
      <c r="ID47" s="446">
        <f t="shared" si="244"/>
        <v>0</v>
      </c>
      <c r="IE47" s="446">
        <f t="shared" si="244"/>
        <v>0</v>
      </c>
      <c r="IF47" s="446">
        <f t="shared" si="244"/>
        <v>0</v>
      </c>
      <c r="IG47" s="446">
        <f t="shared" si="244"/>
        <v>0</v>
      </c>
      <c r="IH47" s="446">
        <f t="shared" si="244"/>
        <v>0</v>
      </c>
      <c r="II47" s="446">
        <f t="shared" si="244"/>
        <v>0</v>
      </c>
      <c r="IJ47" s="446">
        <f t="shared" si="244"/>
        <v>0</v>
      </c>
      <c r="IK47" s="446">
        <f t="shared" si="244"/>
        <v>0</v>
      </c>
      <c r="IL47" s="446">
        <f t="shared" si="244"/>
        <v>0</v>
      </c>
      <c r="IM47" s="458">
        <f t="shared" si="244"/>
        <v>0</v>
      </c>
      <c r="IN47" s="458">
        <f t="shared" si="176"/>
        <v>0</v>
      </c>
      <c r="IO47" s="446">
        <f t="shared" ref="IO47:IZ47" si="245">+IO17</f>
        <v>0</v>
      </c>
      <c r="IP47" s="446">
        <f t="shared" si="245"/>
        <v>0</v>
      </c>
      <c r="IQ47" s="446">
        <f t="shared" si="245"/>
        <v>0</v>
      </c>
      <c r="IR47" s="446">
        <f t="shared" si="245"/>
        <v>0</v>
      </c>
      <c r="IS47" s="450">
        <f t="shared" si="245"/>
        <v>0</v>
      </c>
      <c r="IT47" s="450">
        <f t="shared" si="245"/>
        <v>0</v>
      </c>
      <c r="IU47" s="450">
        <f t="shared" si="245"/>
        <v>0</v>
      </c>
      <c r="IV47" s="450">
        <f t="shared" si="245"/>
        <v>0</v>
      </c>
      <c r="IW47" s="450">
        <f t="shared" si="245"/>
        <v>0</v>
      </c>
      <c r="IX47" s="450">
        <f t="shared" si="245"/>
        <v>0</v>
      </c>
      <c r="IY47" s="450">
        <f t="shared" si="245"/>
        <v>0</v>
      </c>
      <c r="IZ47" s="450">
        <f t="shared" si="245"/>
        <v>0</v>
      </c>
      <c r="JA47" s="1368">
        <f t="shared" si="178"/>
        <v>0</v>
      </c>
      <c r="JB47" s="1328">
        <f t="shared" ref="JB47:JE47" si="246">+JB17</f>
        <v>0</v>
      </c>
      <c r="JC47" s="129">
        <f t="shared" si="246"/>
        <v>0</v>
      </c>
      <c r="JD47" s="129">
        <f t="shared" si="246"/>
        <v>0</v>
      </c>
      <c r="JE47" s="129">
        <f t="shared" si="246"/>
        <v>0</v>
      </c>
      <c r="JF47" s="129">
        <f t="shared" ref="JF47" si="247">+JF17</f>
        <v>0</v>
      </c>
      <c r="JG47" s="129">
        <f t="shared" ref="JG47" si="248">+JG17</f>
        <v>0</v>
      </c>
      <c r="JH47" s="129">
        <f t="shared" ref="JH47" si="249">+JH17</f>
        <v>0</v>
      </c>
      <c r="JI47" s="129">
        <f t="shared" ref="JI47" si="250">+JI17</f>
        <v>0</v>
      </c>
      <c r="JJ47" s="129"/>
      <c r="JK47" s="129"/>
      <c r="JL47" s="129"/>
      <c r="JM47" s="1268"/>
      <c r="JN47" s="1343">
        <f t="shared" si="181"/>
        <v>0</v>
      </c>
      <c r="JP47" s="464" t="str">
        <f t="shared" ref="JP47" si="251">IFERROR(((JH47/IU47)-1)*100,"-")</f>
        <v>-</v>
      </c>
      <c r="JQ47" s="504" t="str">
        <f>IFERROR(((JS47/JR47)-1)*100,"-")</f>
        <v>-</v>
      </c>
      <c r="JR47" s="456">
        <f t="shared" si="183"/>
        <v>0</v>
      </c>
      <c r="JS47" s="505">
        <f t="shared" si="184"/>
        <v>0</v>
      </c>
    </row>
    <row r="48" spans="1:279" ht="13.9" customHeight="1" x14ac:dyDescent="0.2">
      <c r="A48" s="438" t="s">
        <v>352</v>
      </c>
      <c r="B48" s="439"/>
      <c r="C48" s="439"/>
      <c r="D48" s="439"/>
      <c r="E48" s="439"/>
      <c r="F48" s="439"/>
      <c r="G48" s="439"/>
      <c r="H48" s="439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  <c r="AA48" s="439"/>
      <c r="AB48" s="439"/>
      <c r="AC48" s="439"/>
      <c r="AD48" s="439"/>
      <c r="AE48" s="439"/>
      <c r="AF48" s="439"/>
      <c r="AG48" s="439"/>
      <c r="AH48" s="439"/>
      <c r="AI48" s="439"/>
      <c r="AJ48" s="439"/>
      <c r="AK48" s="439"/>
      <c r="AL48" s="439"/>
      <c r="AM48" s="439"/>
      <c r="AN48" s="439"/>
      <c r="AO48" s="439"/>
      <c r="AP48" s="439"/>
      <c r="AQ48" s="439"/>
      <c r="AR48" s="439"/>
      <c r="AS48" s="439"/>
      <c r="AT48" s="439"/>
      <c r="AU48" s="439"/>
      <c r="AV48" s="469"/>
      <c r="AW48" s="469"/>
      <c r="AX48" s="469"/>
      <c r="AY48" s="469"/>
      <c r="AZ48" s="469"/>
      <c r="BA48" s="469"/>
      <c r="BB48" s="469"/>
      <c r="BC48" s="469"/>
      <c r="BD48" s="469"/>
      <c r="BE48" s="469"/>
      <c r="BF48" s="469"/>
      <c r="BG48" s="469"/>
      <c r="BH48" s="469"/>
      <c r="BI48" s="469"/>
      <c r="BJ48" s="469"/>
      <c r="BK48" s="469"/>
      <c r="BL48" s="469"/>
      <c r="BM48" s="469"/>
      <c r="BN48" s="469"/>
      <c r="BO48" s="469"/>
      <c r="BP48" s="469"/>
      <c r="BQ48" s="469"/>
      <c r="BR48" s="469"/>
      <c r="BS48" s="469"/>
      <c r="BT48" s="469"/>
      <c r="BU48" s="469"/>
      <c r="BV48" s="469"/>
      <c r="BW48" s="469"/>
      <c r="BX48" s="469"/>
      <c r="BY48" s="469"/>
      <c r="BZ48" s="469"/>
      <c r="CA48" s="469"/>
      <c r="CB48" s="469"/>
      <c r="CC48" s="469"/>
      <c r="CD48" s="469"/>
      <c r="CE48" s="469"/>
      <c r="CF48" s="469"/>
      <c r="CG48" s="469"/>
      <c r="CH48" s="469"/>
      <c r="CI48" s="469"/>
      <c r="CJ48" s="469"/>
      <c r="CK48" s="469"/>
      <c r="CL48" s="469"/>
      <c r="CM48" s="469"/>
      <c r="CN48" s="469"/>
      <c r="CO48" s="469"/>
      <c r="CP48" s="469"/>
      <c r="CQ48" s="469"/>
      <c r="CR48" s="469"/>
      <c r="CS48" s="469"/>
      <c r="CT48" s="469"/>
      <c r="CU48" s="469"/>
      <c r="CV48" s="469"/>
      <c r="CW48" s="469"/>
      <c r="CX48" s="469"/>
      <c r="CY48" s="469"/>
      <c r="CZ48" s="469"/>
      <c r="DA48" s="471"/>
      <c r="DB48" s="469"/>
      <c r="DC48" s="469"/>
      <c r="DD48" s="469"/>
      <c r="DE48" s="469"/>
      <c r="DF48" s="469"/>
      <c r="DG48" s="469"/>
      <c r="DH48" s="469"/>
      <c r="DI48" s="469"/>
      <c r="DJ48" s="469"/>
      <c r="DK48" s="469"/>
      <c r="DL48" s="469"/>
      <c r="DM48" s="469"/>
      <c r="DN48" s="471"/>
      <c r="DO48" s="468"/>
      <c r="DP48" s="469"/>
      <c r="DQ48" s="469"/>
      <c r="DR48" s="469"/>
      <c r="DS48" s="469"/>
      <c r="DT48" s="469"/>
      <c r="DU48" s="469"/>
      <c r="DV48" s="469"/>
      <c r="DW48" s="469"/>
      <c r="DX48" s="469"/>
      <c r="DY48" s="469"/>
      <c r="DZ48" s="470"/>
      <c r="EA48" s="470"/>
      <c r="EB48" s="469"/>
      <c r="EC48" s="469"/>
      <c r="ED48" s="469"/>
      <c r="EE48" s="469"/>
      <c r="EF48" s="469"/>
      <c r="EG48" s="469"/>
      <c r="EH48" s="469"/>
      <c r="EI48" s="469"/>
      <c r="EJ48" s="469"/>
      <c r="EK48" s="469"/>
      <c r="EL48" s="469"/>
      <c r="EM48" s="470"/>
      <c r="EN48" s="469"/>
      <c r="EO48" s="468"/>
      <c r="EP48" s="469"/>
      <c r="EQ48" s="469"/>
      <c r="ER48" s="469"/>
      <c r="ES48" s="469"/>
      <c r="ET48" s="469"/>
      <c r="EU48" s="469"/>
      <c r="EV48" s="469"/>
      <c r="EW48" s="469"/>
      <c r="EX48" s="469"/>
      <c r="EY48" s="469"/>
      <c r="EZ48" s="469"/>
      <c r="FA48" s="471"/>
      <c r="FB48" s="468"/>
      <c r="FC48" s="469"/>
      <c r="FD48" s="469"/>
      <c r="FE48" s="469"/>
      <c r="FF48" s="469"/>
      <c r="FG48" s="469"/>
      <c r="FH48" s="469"/>
      <c r="FI48" s="469"/>
      <c r="FJ48" s="469"/>
      <c r="FK48" s="469"/>
      <c r="FL48" s="469"/>
      <c r="FM48" s="470"/>
      <c r="FN48" s="470"/>
      <c r="FO48" s="469"/>
      <c r="FP48" s="469"/>
      <c r="FQ48" s="469"/>
      <c r="FR48" s="469"/>
      <c r="FS48" s="469"/>
      <c r="FT48" s="469"/>
      <c r="FU48" s="469"/>
      <c r="FV48" s="469"/>
      <c r="FW48" s="469"/>
      <c r="FX48" s="469"/>
      <c r="FY48" s="469"/>
      <c r="FZ48" s="470"/>
      <c r="GA48" s="470"/>
      <c r="GB48" s="469"/>
      <c r="GC48" s="469"/>
      <c r="GD48" s="514"/>
      <c r="GE48" s="514"/>
      <c r="GF48" s="514"/>
      <c r="GG48" s="514"/>
      <c r="GH48" s="514"/>
      <c r="GI48" s="514"/>
      <c r="GJ48" s="514"/>
      <c r="GK48" s="514"/>
      <c r="GL48" s="514"/>
      <c r="GM48" s="514"/>
      <c r="GN48" s="448"/>
      <c r="GO48" s="514"/>
      <c r="GP48" s="514"/>
      <c r="GQ48" s="514"/>
      <c r="GR48" s="514"/>
      <c r="GS48" s="514"/>
      <c r="GT48" s="514"/>
      <c r="GU48" s="514"/>
      <c r="GV48" s="514"/>
      <c r="GW48" s="514"/>
      <c r="GX48" s="514"/>
      <c r="GY48" s="514"/>
      <c r="GZ48" s="515"/>
      <c r="HA48" s="515"/>
      <c r="HB48" s="514"/>
      <c r="HC48" s="514"/>
      <c r="HD48" s="514"/>
      <c r="HE48" s="514"/>
      <c r="HF48" s="514"/>
      <c r="HG48" s="514"/>
      <c r="HH48" s="514"/>
      <c r="HI48" s="514"/>
      <c r="HJ48" s="514"/>
      <c r="HK48" s="514"/>
      <c r="HL48" s="516"/>
      <c r="HM48" s="517"/>
      <c r="HN48" s="517"/>
      <c r="HO48" s="516"/>
      <c r="HP48" s="516"/>
      <c r="HQ48" s="516"/>
      <c r="HR48" s="516"/>
      <c r="HS48" s="516"/>
      <c r="HT48" s="516"/>
      <c r="HU48" s="516"/>
      <c r="HV48" s="516"/>
      <c r="HW48" s="516"/>
      <c r="HX48" s="516"/>
      <c r="HY48" s="516"/>
      <c r="HZ48" s="516"/>
      <c r="IA48" s="518"/>
      <c r="IB48" s="519"/>
      <c r="IC48" s="516"/>
      <c r="ID48" s="516"/>
      <c r="IE48" s="516"/>
      <c r="IF48" s="516"/>
      <c r="IG48" s="516"/>
      <c r="IH48" s="516"/>
      <c r="II48" s="516"/>
      <c r="IJ48" s="516"/>
      <c r="IK48" s="516"/>
      <c r="IL48" s="516"/>
      <c r="IM48" s="517"/>
      <c r="IN48" s="517"/>
      <c r="IO48" s="516"/>
      <c r="IP48" s="516"/>
      <c r="IQ48" s="516"/>
      <c r="IR48" s="516"/>
      <c r="IS48" s="516"/>
      <c r="IT48" s="516"/>
      <c r="IU48" s="516"/>
      <c r="IV48" s="516"/>
      <c r="IW48" s="516"/>
      <c r="IX48" s="516"/>
      <c r="IY48" s="516"/>
      <c r="IZ48" s="516"/>
      <c r="JA48" s="519"/>
      <c r="JB48" s="1331"/>
      <c r="JC48" s="1332"/>
      <c r="JD48" s="1332"/>
      <c r="JE48" s="1332"/>
      <c r="JF48" s="1332"/>
      <c r="JG48" s="1332"/>
      <c r="JH48" s="1332"/>
      <c r="JI48" s="1332"/>
      <c r="JJ48" s="1332"/>
      <c r="JK48" s="1332"/>
      <c r="JL48" s="1332"/>
      <c r="JM48" s="1290"/>
      <c r="JN48" s="1358"/>
      <c r="JP48" s="471"/>
      <c r="JQ48" s="520"/>
      <c r="JR48" s="429"/>
      <c r="JS48" s="520"/>
    </row>
    <row r="49" spans="1:279" ht="13.9" customHeight="1" x14ac:dyDescent="0.2">
      <c r="A49" s="405" t="s">
        <v>352</v>
      </c>
      <c r="AV49" s="406"/>
      <c r="AW49" s="406"/>
      <c r="AX49" s="406"/>
      <c r="AY49" s="406"/>
      <c r="AZ49" s="406"/>
      <c r="BA49" s="406"/>
      <c r="BB49" s="406"/>
      <c r="BC49" s="406"/>
      <c r="BD49" s="406"/>
      <c r="BE49" s="406"/>
      <c r="BF49" s="406"/>
      <c r="BG49" s="406"/>
      <c r="BH49" s="406"/>
      <c r="BI49" s="406"/>
      <c r="BJ49" s="406"/>
      <c r="BK49" s="406"/>
      <c r="BL49" s="406"/>
      <c r="BM49" s="406"/>
      <c r="BN49" s="406"/>
      <c r="BO49" s="406"/>
      <c r="BP49" s="406"/>
      <c r="BQ49" s="406"/>
      <c r="BR49" s="406"/>
      <c r="BS49" s="406"/>
      <c r="BT49" s="406"/>
      <c r="BU49" s="406"/>
      <c r="BV49" s="406"/>
      <c r="BW49" s="406"/>
      <c r="BX49" s="406"/>
      <c r="BY49" s="406"/>
      <c r="BZ49" s="406"/>
      <c r="CA49" s="406"/>
      <c r="CB49" s="406"/>
      <c r="CC49" s="406"/>
      <c r="CD49" s="406"/>
      <c r="CE49" s="406"/>
      <c r="CF49" s="406"/>
      <c r="CG49" s="406"/>
      <c r="CH49" s="406"/>
      <c r="CI49" s="406"/>
      <c r="CJ49" s="406"/>
      <c r="CK49" s="406"/>
      <c r="CL49" s="406"/>
      <c r="CM49" s="406"/>
      <c r="CN49" s="406"/>
      <c r="CO49" s="406"/>
      <c r="CP49" s="406"/>
      <c r="CQ49" s="406"/>
      <c r="CR49" s="406"/>
      <c r="CS49" s="406"/>
      <c r="CT49" s="406"/>
      <c r="CU49" s="406"/>
      <c r="CV49" s="406"/>
      <c r="CW49" s="406"/>
      <c r="CX49" s="406"/>
      <c r="CY49" s="406"/>
      <c r="CZ49" s="406"/>
      <c r="DA49" s="406"/>
      <c r="DB49" s="406"/>
      <c r="DC49" s="406"/>
      <c r="DD49" s="406"/>
      <c r="DE49" s="406"/>
      <c r="DF49" s="406"/>
      <c r="DG49" s="406"/>
      <c r="DH49" s="406"/>
      <c r="DI49" s="406"/>
      <c r="DJ49" s="406"/>
      <c r="DK49" s="406"/>
      <c r="DL49" s="406"/>
      <c r="DM49" s="406"/>
      <c r="DN49" s="406"/>
      <c r="DO49" s="406"/>
      <c r="DP49" s="406"/>
      <c r="DQ49" s="406"/>
      <c r="DR49" s="406"/>
      <c r="DS49" s="406"/>
      <c r="DT49" s="406"/>
      <c r="DU49" s="406"/>
      <c r="DV49" s="406"/>
      <c r="DW49" s="406"/>
      <c r="DX49" s="406"/>
      <c r="DY49" s="406"/>
      <c r="DZ49" s="406"/>
      <c r="EA49" s="406"/>
      <c r="EB49" s="406"/>
      <c r="EC49" s="406"/>
      <c r="ED49" s="406"/>
      <c r="EE49" s="406"/>
      <c r="EF49" s="406"/>
      <c r="EG49" s="406"/>
      <c r="EH49" s="406"/>
      <c r="EI49" s="406"/>
      <c r="EJ49" s="406"/>
      <c r="EK49" s="406"/>
      <c r="EL49" s="406"/>
      <c r="EM49" s="406"/>
      <c r="EN49" s="406"/>
      <c r="EO49" s="406"/>
      <c r="EP49" s="406"/>
      <c r="EQ49" s="406"/>
      <c r="ER49" s="406"/>
      <c r="ES49" s="406"/>
      <c r="ET49" s="406"/>
      <c r="EU49" s="406"/>
      <c r="EV49" s="406"/>
      <c r="EW49" s="406"/>
      <c r="EX49" s="406"/>
      <c r="EY49" s="406"/>
      <c r="EZ49" s="406"/>
      <c r="FA49" s="406"/>
      <c r="FB49" s="406"/>
      <c r="FC49" s="406"/>
      <c r="FD49" s="406"/>
      <c r="FE49" s="406"/>
      <c r="FF49" s="406"/>
      <c r="FG49" s="406"/>
      <c r="FH49" s="406"/>
      <c r="FI49" s="406"/>
      <c r="FJ49" s="406"/>
      <c r="FK49" s="406"/>
      <c r="FL49" s="406"/>
      <c r="FM49" s="406"/>
      <c r="FN49" s="406"/>
      <c r="FO49" s="406"/>
      <c r="FP49" s="406"/>
      <c r="FQ49" s="406"/>
      <c r="FR49" s="406"/>
      <c r="FS49" s="406"/>
      <c r="FT49" s="406"/>
      <c r="FU49" s="406"/>
      <c r="FV49" s="406"/>
      <c r="FW49" s="406"/>
      <c r="FX49" s="406"/>
      <c r="FY49" s="406"/>
      <c r="FZ49" s="406"/>
      <c r="GA49" s="406"/>
      <c r="GB49" s="406"/>
      <c r="GC49" s="406"/>
      <c r="GD49" s="406"/>
      <c r="GE49" s="406"/>
      <c r="GF49" s="406"/>
      <c r="GG49" s="406"/>
      <c r="GH49" s="406"/>
      <c r="GI49" s="406"/>
      <c r="GJ49" s="406"/>
      <c r="GK49" s="406"/>
      <c r="GL49" s="406"/>
      <c r="GM49" s="406"/>
      <c r="GN49" s="446"/>
      <c r="GO49" s="406"/>
      <c r="GP49" s="406"/>
      <c r="GQ49" s="406"/>
      <c r="GR49" s="406"/>
      <c r="GS49" s="406"/>
      <c r="GT49" s="406"/>
      <c r="GU49" s="406"/>
      <c r="GV49" s="406"/>
      <c r="GW49" s="406"/>
      <c r="GX49" s="406"/>
      <c r="GY49" s="406"/>
      <c r="GZ49" s="406"/>
      <c r="HA49" s="406"/>
      <c r="HB49" s="406"/>
      <c r="HC49" s="406"/>
      <c r="HD49" s="406"/>
      <c r="HE49" s="406"/>
      <c r="HF49" s="406"/>
      <c r="HG49" s="406"/>
      <c r="HH49" s="406"/>
      <c r="HI49" s="406"/>
      <c r="HJ49" s="406"/>
      <c r="HK49" s="406"/>
      <c r="HL49" s="404"/>
      <c r="HM49" s="404"/>
      <c r="HN49" s="404"/>
      <c r="HO49" s="404"/>
      <c r="HP49" s="404"/>
      <c r="HQ49" s="404"/>
      <c r="HR49" s="404"/>
      <c r="HS49" s="404"/>
      <c r="HT49" s="404"/>
      <c r="HU49" s="404"/>
      <c r="HV49" s="404"/>
      <c r="HW49" s="404"/>
      <c r="HX49" s="521"/>
      <c r="HY49" s="404"/>
      <c r="HZ49" s="404"/>
      <c r="IA49" s="404"/>
      <c r="IB49" s="404"/>
      <c r="IC49" s="404"/>
      <c r="ID49" s="404"/>
      <c r="IE49" s="404"/>
      <c r="IF49" s="404"/>
      <c r="IG49" s="404"/>
      <c r="IH49" s="404"/>
      <c r="II49" s="404"/>
      <c r="IJ49" s="404"/>
      <c r="IK49" s="404"/>
      <c r="IL49" s="404"/>
      <c r="IM49" s="404"/>
      <c r="IN49" s="404"/>
      <c r="IO49" s="404"/>
      <c r="IP49" s="404"/>
      <c r="IQ49" s="404"/>
      <c r="IR49" s="404"/>
      <c r="IS49" s="404"/>
      <c r="IT49" s="404"/>
      <c r="IU49" s="404"/>
      <c r="IV49" s="404"/>
      <c r="IW49" s="404"/>
      <c r="IX49" s="404"/>
      <c r="IY49" s="404"/>
      <c r="IZ49" s="404"/>
      <c r="JA49" s="404"/>
      <c r="JP49" s="406"/>
    </row>
    <row r="50" spans="1:279" ht="13.9" customHeight="1" x14ac:dyDescent="0.2">
      <c r="A50" s="522" t="s">
        <v>352</v>
      </c>
      <c r="CO50" s="406">
        <f t="shared" ref="CO50:EZ50" si="252">CO14</f>
        <v>4471</v>
      </c>
      <c r="CP50" s="406">
        <f t="shared" si="252"/>
        <v>13277</v>
      </c>
      <c r="CQ50" s="406">
        <f t="shared" si="252"/>
        <v>9507</v>
      </c>
      <c r="CR50" s="406">
        <f t="shared" si="252"/>
        <v>14240</v>
      </c>
      <c r="CS50" s="406">
        <f t="shared" si="252"/>
        <v>9518</v>
      </c>
      <c r="CT50" s="406">
        <f t="shared" si="252"/>
        <v>12066</v>
      </c>
      <c r="CU50" s="406">
        <f t="shared" si="252"/>
        <v>14299</v>
      </c>
      <c r="CV50" s="406">
        <f t="shared" si="252"/>
        <v>9274</v>
      </c>
      <c r="CW50" s="406">
        <f t="shared" si="252"/>
        <v>9275</v>
      </c>
      <c r="CX50" s="406">
        <f t="shared" si="252"/>
        <v>37099</v>
      </c>
      <c r="CY50" s="406">
        <f t="shared" si="252"/>
        <v>22444</v>
      </c>
      <c r="CZ50" s="406">
        <f t="shared" si="252"/>
        <v>8364</v>
      </c>
      <c r="DA50" s="406">
        <f t="shared" si="252"/>
        <v>163834</v>
      </c>
      <c r="DB50" s="406">
        <f t="shared" si="252"/>
        <v>20061</v>
      </c>
      <c r="DC50" s="406">
        <f t="shared" si="252"/>
        <v>17347</v>
      </c>
      <c r="DD50" s="406">
        <f t="shared" si="252"/>
        <v>10603</v>
      </c>
      <c r="DE50" s="406">
        <f t="shared" si="252"/>
        <v>15969</v>
      </c>
      <c r="DF50" s="406">
        <f t="shared" si="252"/>
        <v>8475</v>
      </c>
      <c r="DG50" s="406">
        <f t="shared" si="252"/>
        <v>13902</v>
      </c>
      <c r="DH50" s="406">
        <f t="shared" si="252"/>
        <v>11066</v>
      </c>
      <c r="DI50" s="406">
        <f t="shared" si="252"/>
        <v>14255</v>
      </c>
      <c r="DJ50" s="406">
        <f t="shared" si="252"/>
        <v>15304</v>
      </c>
      <c r="DK50" s="406">
        <f t="shared" si="252"/>
        <v>6276</v>
      </c>
      <c r="DL50" s="406">
        <f t="shared" si="252"/>
        <v>12679</v>
      </c>
      <c r="DM50" s="406">
        <f t="shared" si="252"/>
        <v>6424</v>
      </c>
      <c r="DN50" s="406">
        <f t="shared" si="252"/>
        <v>152361</v>
      </c>
      <c r="DO50" s="406">
        <f t="shared" si="252"/>
        <v>10804</v>
      </c>
      <c r="DP50" s="406">
        <f t="shared" si="252"/>
        <v>4447</v>
      </c>
      <c r="DQ50" s="406">
        <f t="shared" si="252"/>
        <v>39665</v>
      </c>
      <c r="DR50" s="406">
        <f t="shared" si="252"/>
        <v>5505</v>
      </c>
      <c r="DS50" s="406">
        <f t="shared" si="252"/>
        <v>6285</v>
      </c>
      <c r="DT50" s="406">
        <f t="shared" si="252"/>
        <v>41255</v>
      </c>
      <c r="DU50" s="406">
        <f t="shared" si="252"/>
        <v>8081</v>
      </c>
      <c r="DV50" s="406">
        <f t="shared" si="252"/>
        <v>10550</v>
      </c>
      <c r="DW50" s="406">
        <f t="shared" si="252"/>
        <v>22039</v>
      </c>
      <c r="DX50" s="406">
        <f t="shared" si="252"/>
        <v>8489</v>
      </c>
      <c r="DY50" s="406">
        <f t="shared" si="252"/>
        <v>5926</v>
      </c>
      <c r="DZ50" s="406">
        <f t="shared" si="252"/>
        <v>13783</v>
      </c>
      <c r="EA50" s="406">
        <f t="shared" si="252"/>
        <v>176829</v>
      </c>
      <c r="EB50" s="406">
        <f t="shared" si="252"/>
        <v>20378</v>
      </c>
      <c r="EC50" s="406">
        <f t="shared" si="252"/>
        <v>7866</v>
      </c>
      <c r="ED50" s="406">
        <f t="shared" si="252"/>
        <v>9413</v>
      </c>
      <c r="EE50" s="406">
        <f t="shared" si="252"/>
        <v>8192</v>
      </c>
      <c r="EF50" s="406">
        <f t="shared" si="252"/>
        <v>6633</v>
      </c>
      <c r="EG50" s="406">
        <f t="shared" si="252"/>
        <v>7327</v>
      </c>
      <c r="EH50" s="406">
        <f t="shared" si="252"/>
        <v>11855</v>
      </c>
      <c r="EI50" s="406">
        <f t="shared" si="252"/>
        <v>7682</v>
      </c>
      <c r="EJ50" s="406">
        <f t="shared" si="252"/>
        <v>6724</v>
      </c>
      <c r="EK50" s="406">
        <f t="shared" si="252"/>
        <v>7647</v>
      </c>
      <c r="EL50" s="406">
        <f t="shared" si="252"/>
        <v>14543</v>
      </c>
      <c r="EM50" s="406">
        <f t="shared" si="252"/>
        <v>10890</v>
      </c>
      <c r="EN50" s="406">
        <f t="shared" si="252"/>
        <v>119150</v>
      </c>
      <c r="EO50" s="406">
        <f t="shared" si="252"/>
        <v>243</v>
      </c>
      <c r="EP50" s="406">
        <f t="shared" si="252"/>
        <v>16509</v>
      </c>
      <c r="EQ50" s="406">
        <f t="shared" si="252"/>
        <v>21650</v>
      </c>
      <c r="ER50" s="406">
        <f t="shared" si="252"/>
        <v>8204</v>
      </c>
      <c r="ES50" s="406">
        <f t="shared" si="252"/>
        <v>4164</v>
      </c>
      <c r="ET50" s="406">
        <f t="shared" si="252"/>
        <v>13111</v>
      </c>
      <c r="EU50" s="406">
        <f t="shared" si="252"/>
        <v>8083</v>
      </c>
      <c r="EV50" s="406">
        <f t="shared" si="252"/>
        <v>14732</v>
      </c>
      <c r="EW50" s="406">
        <f t="shared" si="252"/>
        <v>4094</v>
      </c>
      <c r="EX50" s="406">
        <f t="shared" si="252"/>
        <v>4289</v>
      </c>
      <c r="EY50" s="406">
        <f t="shared" si="252"/>
        <v>5165</v>
      </c>
      <c r="EZ50" s="406">
        <f t="shared" si="252"/>
        <v>9182</v>
      </c>
      <c r="FA50" s="406">
        <f t="shared" ref="FA50:GM50" si="253">FA14</f>
        <v>109426</v>
      </c>
      <c r="FB50" s="406">
        <f t="shared" si="253"/>
        <v>5738</v>
      </c>
      <c r="FC50" s="406">
        <f t="shared" si="253"/>
        <v>8875</v>
      </c>
      <c r="FD50" s="406">
        <f t="shared" si="253"/>
        <v>9400</v>
      </c>
      <c r="FE50" s="406">
        <f t="shared" si="253"/>
        <v>26770</v>
      </c>
      <c r="FF50" s="406">
        <f t="shared" si="253"/>
        <v>2554</v>
      </c>
      <c r="FG50" s="406">
        <f t="shared" si="253"/>
        <v>9351</v>
      </c>
      <c r="FH50" s="406">
        <f t="shared" si="253"/>
        <v>14011</v>
      </c>
      <c r="FI50" s="406">
        <f t="shared" si="253"/>
        <v>4404</v>
      </c>
      <c r="FJ50" s="406">
        <f t="shared" si="253"/>
        <v>7680</v>
      </c>
      <c r="FK50" s="406">
        <f t="shared" si="253"/>
        <v>4557</v>
      </c>
      <c r="FL50" s="406">
        <f t="shared" si="253"/>
        <v>8330</v>
      </c>
      <c r="FM50" s="406">
        <f t="shared" si="253"/>
        <v>6730</v>
      </c>
      <c r="FN50" s="406">
        <f t="shared" si="253"/>
        <v>108400</v>
      </c>
      <c r="FO50" s="406">
        <f t="shared" si="253"/>
        <v>30242</v>
      </c>
      <c r="FP50" s="406">
        <f t="shared" si="253"/>
        <v>4606</v>
      </c>
      <c r="FQ50" s="406">
        <f t="shared" si="253"/>
        <v>6955</v>
      </c>
      <c r="FR50" s="406">
        <f t="shared" si="253"/>
        <v>5122</v>
      </c>
      <c r="FS50" s="406">
        <f t="shared" si="253"/>
        <v>6727</v>
      </c>
      <c r="FT50" s="406">
        <f t="shared" si="253"/>
        <v>5014</v>
      </c>
      <c r="FU50" s="406">
        <f t="shared" si="253"/>
        <v>8715</v>
      </c>
      <c r="FV50" s="406">
        <f t="shared" si="253"/>
        <v>4709</v>
      </c>
      <c r="FW50" s="406">
        <f t="shared" si="253"/>
        <v>9102</v>
      </c>
      <c r="FX50" s="406">
        <f t="shared" si="253"/>
        <v>5703</v>
      </c>
      <c r="FY50" s="406">
        <f t="shared" si="253"/>
        <v>7821</v>
      </c>
      <c r="FZ50" s="406">
        <f t="shared" si="253"/>
        <v>11407</v>
      </c>
      <c r="GA50" s="406">
        <f t="shared" si="253"/>
        <v>106123</v>
      </c>
      <c r="GB50" s="406">
        <f t="shared" si="253"/>
        <v>18612</v>
      </c>
      <c r="GC50" s="406">
        <f t="shared" si="253"/>
        <v>22657</v>
      </c>
      <c r="GD50" s="406">
        <f t="shared" si="253"/>
        <v>4984</v>
      </c>
      <c r="GE50" s="406">
        <f t="shared" si="253"/>
        <v>4646</v>
      </c>
      <c r="GF50" s="406">
        <f t="shared" si="253"/>
        <v>5396</v>
      </c>
      <c r="GG50" s="406">
        <f t="shared" si="253"/>
        <v>4763</v>
      </c>
      <c r="GH50" s="406">
        <f t="shared" si="253"/>
        <v>19638</v>
      </c>
      <c r="GI50" s="406">
        <f t="shared" si="253"/>
        <v>9019</v>
      </c>
      <c r="GJ50" s="406">
        <f t="shared" si="253"/>
        <v>12222</v>
      </c>
      <c r="GK50" s="406">
        <f t="shared" si="253"/>
        <v>18453</v>
      </c>
      <c r="GL50" s="406">
        <f t="shared" si="253"/>
        <v>12135</v>
      </c>
      <c r="GM50" s="406">
        <f t="shared" si="253"/>
        <v>13468</v>
      </c>
      <c r="GN50" s="446"/>
      <c r="GO50" s="406">
        <f t="shared" ref="GO50:GZ50" si="254">GO14</f>
        <v>23598</v>
      </c>
      <c r="GP50" s="406">
        <f t="shared" si="254"/>
        <v>87983</v>
      </c>
      <c r="GQ50" s="406">
        <f t="shared" si="254"/>
        <v>8475</v>
      </c>
      <c r="GR50" s="406">
        <f t="shared" si="254"/>
        <v>9016</v>
      </c>
      <c r="GS50" s="406">
        <f t="shared" si="254"/>
        <v>10049</v>
      </c>
      <c r="GT50" s="406">
        <f t="shared" si="254"/>
        <v>15654</v>
      </c>
      <c r="GU50" s="406">
        <f t="shared" si="254"/>
        <v>29969</v>
      </c>
      <c r="GV50" s="406">
        <f t="shared" si="254"/>
        <v>11475</v>
      </c>
      <c r="GW50" s="406">
        <f t="shared" si="254"/>
        <v>5726</v>
      </c>
      <c r="GX50" s="406">
        <f t="shared" si="254"/>
        <v>5655</v>
      </c>
      <c r="GY50" s="406">
        <f t="shared" si="254"/>
        <v>13065</v>
      </c>
      <c r="GZ50" s="406">
        <f t="shared" si="254"/>
        <v>6345</v>
      </c>
      <c r="HA50" s="406"/>
      <c r="HB50" s="406">
        <f t="shared" ref="HB50:HM50" si="255">HB14</f>
        <v>22215</v>
      </c>
      <c r="HC50" s="406">
        <f t="shared" si="255"/>
        <v>8867</v>
      </c>
      <c r="HD50" s="406">
        <f t="shared" si="255"/>
        <v>76250</v>
      </c>
      <c r="HE50" s="406">
        <f t="shared" si="255"/>
        <v>26429</v>
      </c>
      <c r="HF50" s="406">
        <f t="shared" si="255"/>
        <v>34141</v>
      </c>
      <c r="HG50" s="406">
        <f t="shared" si="255"/>
        <v>35228</v>
      </c>
      <c r="HH50" s="406">
        <f t="shared" si="255"/>
        <v>44129</v>
      </c>
      <c r="HI50" s="406">
        <f t="shared" si="255"/>
        <v>30408</v>
      </c>
      <c r="HJ50" s="406">
        <f t="shared" si="255"/>
        <v>44289</v>
      </c>
      <c r="HK50" s="406">
        <f t="shared" si="255"/>
        <v>30349</v>
      </c>
      <c r="HL50" s="404">
        <f t="shared" si="255"/>
        <v>36573</v>
      </c>
      <c r="HM50" s="404">
        <f t="shared" si="255"/>
        <v>30035</v>
      </c>
      <c r="HN50" s="404"/>
      <c r="HO50" s="404">
        <f t="shared" ref="HO50:HZ50" si="256">HO14</f>
        <v>50277</v>
      </c>
      <c r="HP50" s="404">
        <f t="shared" si="256"/>
        <v>53592</v>
      </c>
      <c r="HQ50" s="404">
        <f t="shared" si="256"/>
        <v>32161</v>
      </c>
      <c r="HR50" s="404">
        <f t="shared" si="256"/>
        <v>30203</v>
      </c>
      <c r="HS50" s="404">
        <f t="shared" si="256"/>
        <v>32924</v>
      </c>
      <c r="HT50" s="404">
        <f t="shared" si="256"/>
        <v>29680</v>
      </c>
      <c r="HU50" s="404">
        <f t="shared" si="256"/>
        <v>41197</v>
      </c>
      <c r="HV50" s="404">
        <f t="shared" si="256"/>
        <v>25917</v>
      </c>
      <c r="HW50" s="404">
        <f t="shared" si="256"/>
        <v>27450</v>
      </c>
      <c r="HX50" s="404">
        <f t="shared" si="256"/>
        <v>33392</v>
      </c>
      <c r="HY50" s="404">
        <f t="shared" si="256"/>
        <v>39428</v>
      </c>
      <c r="HZ50" s="404">
        <f t="shared" si="256"/>
        <v>30290</v>
      </c>
      <c r="IA50" s="404"/>
      <c r="IB50" s="404">
        <f t="shared" ref="IB50:IM50" si="257">IB14</f>
        <v>23801</v>
      </c>
      <c r="IC50" s="404">
        <f t="shared" si="257"/>
        <v>109078</v>
      </c>
      <c r="ID50" s="404">
        <f t="shared" si="257"/>
        <v>37998</v>
      </c>
      <c r="IE50" s="404">
        <f t="shared" si="257"/>
        <v>31706</v>
      </c>
      <c r="IF50" s="404">
        <f t="shared" si="257"/>
        <v>34930</v>
      </c>
      <c r="IG50" s="404">
        <f t="shared" si="257"/>
        <v>40494</v>
      </c>
      <c r="IH50" s="404">
        <f t="shared" si="257"/>
        <v>41763</v>
      </c>
      <c r="II50" s="404">
        <f t="shared" si="257"/>
        <v>39924</v>
      </c>
      <c r="IJ50" s="404">
        <f t="shared" si="257"/>
        <v>38480</v>
      </c>
      <c r="IK50" s="404">
        <f t="shared" si="257"/>
        <v>42327</v>
      </c>
      <c r="IL50" s="404">
        <f t="shared" si="257"/>
        <v>35805</v>
      </c>
      <c r="IM50" s="404">
        <f t="shared" si="257"/>
        <v>68857</v>
      </c>
      <c r="IN50" s="404"/>
      <c r="IO50" s="404">
        <f t="shared" ref="IO50:IZ50" si="258">IO14</f>
        <v>46452</v>
      </c>
      <c r="IP50" s="404">
        <f t="shared" si="258"/>
        <v>103977</v>
      </c>
      <c r="IQ50" s="404">
        <f t="shared" si="258"/>
        <v>41076</v>
      </c>
      <c r="IR50" s="404">
        <f t="shared" si="258"/>
        <v>36070</v>
      </c>
      <c r="IS50" s="404">
        <f t="shared" si="258"/>
        <v>35691</v>
      </c>
      <c r="IT50" s="404">
        <f t="shared" si="258"/>
        <v>47570</v>
      </c>
      <c r="IU50" s="404">
        <f t="shared" si="258"/>
        <v>56023</v>
      </c>
      <c r="IV50" s="404">
        <f t="shared" si="258"/>
        <v>40381</v>
      </c>
      <c r="IW50" s="404">
        <f t="shared" si="258"/>
        <v>40188</v>
      </c>
      <c r="IX50" s="404">
        <f t="shared" si="258"/>
        <v>42556</v>
      </c>
      <c r="IY50" s="404">
        <f t="shared" si="258"/>
        <v>44400</v>
      </c>
      <c r="IZ50" s="404">
        <f t="shared" si="258"/>
        <v>35151</v>
      </c>
      <c r="JA50" s="404"/>
      <c r="JB50" s="404">
        <f t="shared" ref="JB50:JF50" si="259">JB14</f>
        <v>108331</v>
      </c>
      <c r="JC50">
        <f t="shared" si="259"/>
        <v>48163</v>
      </c>
      <c r="JD50">
        <f t="shared" si="259"/>
        <v>36127</v>
      </c>
      <c r="JE50">
        <f t="shared" si="259"/>
        <v>33599</v>
      </c>
      <c r="JF50">
        <f t="shared" si="259"/>
        <v>43967</v>
      </c>
      <c r="JG50">
        <f>JG14</f>
        <v>42011</v>
      </c>
      <c r="JH50">
        <f>JH14</f>
        <v>53104</v>
      </c>
      <c r="JI50">
        <f>JI14</f>
        <v>88756</v>
      </c>
      <c r="JP50" s="406"/>
      <c r="JQ50" s="406"/>
      <c r="JR50" s="406">
        <f>JR14</f>
        <v>407240</v>
      </c>
      <c r="JS50" s="406">
        <f>JS14</f>
        <v>454058</v>
      </c>
    </row>
    <row r="51" spans="1:279" ht="13.9" customHeight="1" x14ac:dyDescent="0.2">
      <c r="A51" s="523" t="s">
        <v>312</v>
      </c>
      <c r="CO51" s="417">
        <v>2013</v>
      </c>
      <c r="CP51" s="418"/>
      <c r="CQ51" s="418"/>
      <c r="CR51" s="418"/>
      <c r="CS51" s="418"/>
      <c r="CT51" s="418"/>
      <c r="CU51" s="418"/>
      <c r="CV51" s="418"/>
      <c r="CW51" s="418"/>
      <c r="CX51" s="418"/>
      <c r="CY51" s="418"/>
      <c r="CZ51" s="418"/>
      <c r="DA51" s="416" t="s">
        <v>29</v>
      </c>
      <c r="DB51" s="417">
        <v>2014</v>
      </c>
      <c r="DC51" s="418"/>
      <c r="DD51" s="418"/>
      <c r="DE51" s="418"/>
      <c r="DF51" s="418"/>
      <c r="DG51" s="418"/>
      <c r="DH51" s="418"/>
      <c r="DI51" s="418"/>
      <c r="DJ51" s="418"/>
      <c r="DK51" s="418"/>
      <c r="DL51" s="418"/>
      <c r="DM51" s="421"/>
      <c r="DN51" s="416" t="s">
        <v>29</v>
      </c>
      <c r="DO51" s="417">
        <v>2015</v>
      </c>
      <c r="DP51" s="418"/>
      <c r="DQ51" s="418"/>
      <c r="DR51" s="418"/>
      <c r="DS51" s="418"/>
      <c r="DT51" s="418"/>
      <c r="DU51" s="418"/>
      <c r="DV51" s="418"/>
      <c r="DW51" s="418"/>
      <c r="DX51" s="418"/>
      <c r="DY51" s="418"/>
      <c r="DZ51" s="419"/>
      <c r="EA51" s="420" t="s">
        <v>29</v>
      </c>
      <c r="EB51" s="524">
        <v>2016</v>
      </c>
      <c r="EC51" s="420"/>
      <c r="ED51" s="420"/>
      <c r="EE51" s="420"/>
      <c r="EF51" s="420"/>
      <c r="EG51" s="420"/>
      <c r="EH51" s="420"/>
      <c r="EI51" s="420"/>
      <c r="EJ51" s="420"/>
      <c r="EK51" s="420"/>
      <c r="EL51" s="420"/>
      <c r="EM51" s="420"/>
      <c r="EN51" s="524" t="s">
        <v>29</v>
      </c>
      <c r="EO51" s="524">
        <v>2017</v>
      </c>
      <c r="EP51" s="420"/>
      <c r="EQ51" s="420"/>
      <c r="ER51" s="420"/>
      <c r="ES51" s="420"/>
      <c r="ET51" s="420"/>
      <c r="EU51" s="420"/>
      <c r="EV51" s="420"/>
      <c r="EW51" s="420"/>
      <c r="EX51" s="420"/>
      <c r="EY51" s="420"/>
      <c r="EZ51" s="420"/>
      <c r="FA51" s="416" t="s">
        <v>29</v>
      </c>
      <c r="FB51" s="417">
        <v>2018</v>
      </c>
      <c r="FC51" s="418"/>
      <c r="FD51" s="418"/>
      <c r="FE51" s="418"/>
      <c r="FF51" s="418"/>
      <c r="FG51" s="418"/>
      <c r="FH51" s="418"/>
      <c r="FI51" s="418"/>
      <c r="FJ51" s="418"/>
      <c r="FK51" s="418"/>
      <c r="FL51" s="418"/>
      <c r="FM51" s="419"/>
      <c r="FN51" s="420" t="s">
        <v>29</v>
      </c>
      <c r="FO51" s="417">
        <v>2019</v>
      </c>
      <c r="FP51" s="418"/>
      <c r="FQ51" s="418"/>
      <c r="FR51" s="418"/>
      <c r="FS51" s="418"/>
      <c r="FT51" s="418"/>
      <c r="FU51" s="418"/>
      <c r="FV51" s="420"/>
      <c r="FW51" s="420"/>
      <c r="FX51" s="420"/>
      <c r="FY51" s="420"/>
      <c r="FZ51" s="420"/>
      <c r="GA51" s="416" t="s">
        <v>29</v>
      </c>
      <c r="GB51" s="420">
        <v>2020</v>
      </c>
      <c r="GC51" s="420"/>
      <c r="GD51" s="420"/>
      <c r="GE51" s="420"/>
      <c r="GF51" s="420"/>
      <c r="GG51" s="420"/>
      <c r="GH51" s="420"/>
      <c r="GI51" s="420"/>
      <c r="GJ51" s="420"/>
      <c r="GK51" s="420"/>
      <c r="GL51" s="420"/>
      <c r="GM51" s="420"/>
      <c r="GN51" s="525">
        <f t="shared" si="168"/>
        <v>2020</v>
      </c>
      <c r="GO51" s="420">
        <v>2021</v>
      </c>
      <c r="GP51" s="420"/>
      <c r="GQ51" s="420"/>
      <c r="GR51" s="420"/>
      <c r="GS51" s="420"/>
      <c r="GT51" s="420"/>
      <c r="GU51" s="420"/>
      <c r="GV51" s="420"/>
      <c r="GW51" s="420"/>
      <c r="GX51" s="420"/>
      <c r="GY51" s="420"/>
      <c r="GZ51" s="420"/>
      <c r="HA51" s="416">
        <v>2021</v>
      </c>
      <c r="HB51" s="420">
        <v>2022</v>
      </c>
      <c r="HC51" s="420"/>
      <c r="HD51" s="420"/>
      <c r="HE51" s="420"/>
      <c r="HF51" s="420"/>
      <c r="HG51" s="420"/>
      <c r="HH51" s="420"/>
      <c r="HI51" s="420"/>
      <c r="HJ51" s="420"/>
      <c r="HK51" s="420"/>
      <c r="HL51" s="422"/>
      <c r="HM51" s="423"/>
      <c r="HN51" s="416">
        <v>2022</v>
      </c>
      <c r="HO51" s="424">
        <v>2023</v>
      </c>
      <c r="HP51" s="425"/>
      <c r="HQ51" s="425"/>
      <c r="HR51" s="425"/>
      <c r="HS51" s="422"/>
      <c r="HT51" s="422"/>
      <c r="HU51" s="422"/>
      <c r="HV51" s="422"/>
      <c r="HW51" s="422"/>
      <c r="HX51" s="422"/>
      <c r="HY51" s="422"/>
      <c r="HZ51" s="422"/>
      <c r="IA51" s="426">
        <v>2023</v>
      </c>
      <c r="IB51" s="526">
        <v>2024</v>
      </c>
      <c r="IC51" s="422"/>
      <c r="ID51" s="422"/>
      <c r="IE51" s="422"/>
      <c r="IF51" s="422"/>
      <c r="IG51" s="422"/>
      <c r="IH51" s="422"/>
      <c r="II51" s="422"/>
      <c r="IJ51" s="422"/>
      <c r="IK51" s="422"/>
      <c r="IL51" s="422"/>
      <c r="IM51" s="422"/>
      <c r="IN51" s="426">
        <v>2024</v>
      </c>
      <c r="IO51" s="424">
        <v>2025</v>
      </c>
      <c r="IP51" s="425"/>
      <c r="IQ51" s="425"/>
      <c r="IR51" s="425"/>
      <c r="IS51" s="422"/>
      <c r="IT51" s="422"/>
      <c r="IU51" s="422"/>
      <c r="IV51" s="422"/>
      <c r="IW51" s="422"/>
      <c r="IX51" s="422"/>
      <c r="IY51" s="422"/>
      <c r="IZ51" s="422"/>
      <c r="JA51" s="526">
        <v>2025</v>
      </c>
      <c r="JB51" s="1354"/>
      <c r="JC51" s="1355"/>
      <c r="JD51" s="1355"/>
      <c r="JE51" s="1355"/>
      <c r="JF51" s="1355"/>
      <c r="JG51" s="1355"/>
      <c r="JH51" s="1355"/>
      <c r="JI51" s="1355"/>
      <c r="JJ51" s="1355"/>
      <c r="JK51" s="1355"/>
      <c r="JL51" s="1355"/>
      <c r="JM51" s="1356"/>
      <c r="JN51" s="1375">
        <v>2026</v>
      </c>
      <c r="JP51" s="488" t="s">
        <v>184</v>
      </c>
      <c r="JQ51" s="427"/>
      <c r="JR51" s="416">
        <f>JR4</f>
        <v>2025</v>
      </c>
      <c r="JS51" s="416">
        <f>JS4</f>
        <v>2026</v>
      </c>
    </row>
    <row r="52" spans="1:279" ht="13.9" customHeight="1" x14ac:dyDescent="0.2">
      <c r="A52" s="527" t="s">
        <v>352</v>
      </c>
      <c r="CO52" s="528" t="s">
        <v>0</v>
      </c>
      <c r="CP52" s="528" t="s">
        <v>1</v>
      </c>
      <c r="CQ52" s="528" t="s">
        <v>2</v>
      </c>
      <c r="CR52" s="528" t="s">
        <v>3</v>
      </c>
      <c r="CS52" s="529" t="s">
        <v>4</v>
      </c>
      <c r="CT52" s="528" t="s">
        <v>5</v>
      </c>
      <c r="CU52" s="528" t="s">
        <v>6</v>
      </c>
      <c r="CV52" s="528" t="s">
        <v>7</v>
      </c>
      <c r="CW52" s="528" t="s">
        <v>8</v>
      </c>
      <c r="CX52" s="528" t="s">
        <v>9</v>
      </c>
      <c r="CY52" s="528" t="s">
        <v>10</v>
      </c>
      <c r="CZ52" s="528" t="s">
        <v>11</v>
      </c>
      <c r="DA52" s="530">
        <v>2013</v>
      </c>
      <c r="DB52" s="531" t="s">
        <v>0</v>
      </c>
      <c r="DC52" s="532" t="s">
        <v>1</v>
      </c>
      <c r="DD52" s="532" t="s">
        <v>2</v>
      </c>
      <c r="DE52" s="532" t="s">
        <v>3</v>
      </c>
      <c r="DF52" s="532" t="s">
        <v>4</v>
      </c>
      <c r="DG52" s="532" t="s">
        <v>5</v>
      </c>
      <c r="DH52" s="532" t="s">
        <v>6</v>
      </c>
      <c r="DI52" s="532" t="s">
        <v>7</v>
      </c>
      <c r="DJ52" s="532" t="s">
        <v>8</v>
      </c>
      <c r="DK52" s="532" t="s">
        <v>9</v>
      </c>
      <c r="DL52" s="532" t="s">
        <v>10</v>
      </c>
      <c r="DM52" s="533" t="s">
        <v>11</v>
      </c>
      <c r="DN52" s="534">
        <v>2014</v>
      </c>
      <c r="DO52" s="535">
        <f t="shared" ref="DO52:DX52" si="260">DO5</f>
        <v>42005</v>
      </c>
      <c r="DP52" s="535">
        <f t="shared" si="260"/>
        <v>42036</v>
      </c>
      <c r="DQ52" s="535">
        <f t="shared" si="260"/>
        <v>42064</v>
      </c>
      <c r="DR52" s="535">
        <f t="shared" si="260"/>
        <v>42095</v>
      </c>
      <c r="DS52" s="535">
        <f t="shared" si="260"/>
        <v>42125</v>
      </c>
      <c r="DT52" s="535">
        <f t="shared" si="260"/>
        <v>42156</v>
      </c>
      <c r="DU52" s="535">
        <f t="shared" si="260"/>
        <v>42186</v>
      </c>
      <c r="DV52" s="535">
        <f t="shared" si="260"/>
        <v>42217</v>
      </c>
      <c r="DW52" s="535">
        <f t="shared" si="260"/>
        <v>42248</v>
      </c>
      <c r="DX52" s="535">
        <f t="shared" si="260"/>
        <v>42278</v>
      </c>
      <c r="DY52" s="535" t="s">
        <v>10</v>
      </c>
      <c r="DZ52" s="535" t="s">
        <v>11</v>
      </c>
      <c r="EA52" s="536">
        <v>2015</v>
      </c>
      <c r="EB52" s="537" t="s">
        <v>0</v>
      </c>
      <c r="EC52" s="535" t="s">
        <v>1</v>
      </c>
      <c r="ED52" s="535" t="s">
        <v>2</v>
      </c>
      <c r="EE52" s="535" t="s">
        <v>3</v>
      </c>
      <c r="EF52" s="535" t="s">
        <v>4</v>
      </c>
      <c r="EG52" s="535" t="s">
        <v>5</v>
      </c>
      <c r="EH52" s="535" t="s">
        <v>6</v>
      </c>
      <c r="EI52" s="535" t="s">
        <v>7</v>
      </c>
      <c r="EJ52" s="535" t="s">
        <v>8</v>
      </c>
      <c r="EK52" s="535" t="s">
        <v>9</v>
      </c>
      <c r="EL52" s="535" t="s">
        <v>10</v>
      </c>
      <c r="EM52" s="534" t="s">
        <v>11</v>
      </c>
      <c r="EN52" s="535">
        <v>2016</v>
      </c>
      <c r="EO52" s="537" t="s">
        <v>0</v>
      </c>
      <c r="EP52" s="535" t="s">
        <v>1</v>
      </c>
      <c r="EQ52" s="535" t="s">
        <v>2</v>
      </c>
      <c r="ER52" s="535" t="s">
        <v>3</v>
      </c>
      <c r="ES52" s="535" t="s">
        <v>4</v>
      </c>
      <c r="ET52" s="535" t="s">
        <v>5</v>
      </c>
      <c r="EU52" s="535" t="s">
        <v>6</v>
      </c>
      <c r="EV52" s="535" t="s">
        <v>7</v>
      </c>
      <c r="EW52" s="535" t="s">
        <v>8</v>
      </c>
      <c r="EX52" s="535" t="s">
        <v>9</v>
      </c>
      <c r="EY52" s="535" t="s">
        <v>10</v>
      </c>
      <c r="EZ52" s="535" t="s">
        <v>11</v>
      </c>
      <c r="FA52" s="536">
        <v>2017</v>
      </c>
      <c r="FB52" s="537" t="s">
        <v>0</v>
      </c>
      <c r="FC52" s="535" t="s">
        <v>1</v>
      </c>
      <c r="FD52" s="535" t="s">
        <v>2</v>
      </c>
      <c r="FE52" s="535" t="s">
        <v>3</v>
      </c>
      <c r="FF52" s="535" t="s">
        <v>4</v>
      </c>
      <c r="FG52" s="535" t="s">
        <v>5</v>
      </c>
      <c r="FH52" s="535" t="s">
        <v>6</v>
      </c>
      <c r="FI52" s="535" t="s">
        <v>7</v>
      </c>
      <c r="FJ52" s="535" t="s">
        <v>8</v>
      </c>
      <c r="FK52" s="535" t="s">
        <v>9</v>
      </c>
      <c r="FL52" s="535" t="s">
        <v>10</v>
      </c>
      <c r="FM52" s="534" t="s">
        <v>11</v>
      </c>
      <c r="FN52" s="534">
        <v>2018</v>
      </c>
      <c r="FO52" s="535" t="s">
        <v>0</v>
      </c>
      <c r="FP52" s="535" t="s">
        <v>1</v>
      </c>
      <c r="FQ52" s="535" t="s">
        <v>2</v>
      </c>
      <c r="FR52" s="538" t="s">
        <v>3</v>
      </c>
      <c r="FS52" s="538" t="s">
        <v>4</v>
      </c>
      <c r="FT52" s="538" t="s">
        <v>4</v>
      </c>
      <c r="FU52" s="538" t="s">
        <v>6</v>
      </c>
      <c r="FV52" s="538" t="s">
        <v>7</v>
      </c>
      <c r="FW52" s="538" t="s">
        <v>8</v>
      </c>
      <c r="FX52" s="538" t="s">
        <v>9</v>
      </c>
      <c r="FY52" s="538" t="s">
        <v>10</v>
      </c>
      <c r="FZ52" s="539" t="s">
        <v>11</v>
      </c>
      <c r="GA52" s="539">
        <v>2019</v>
      </c>
      <c r="GB52" s="538" t="s">
        <v>0</v>
      </c>
      <c r="GC52" s="538" t="s">
        <v>1</v>
      </c>
      <c r="GD52" s="538" t="s">
        <v>2</v>
      </c>
      <c r="GE52" s="538" t="s">
        <v>3</v>
      </c>
      <c r="GF52" s="432" t="s">
        <v>4</v>
      </c>
      <c r="GG52" s="432" t="s">
        <v>5</v>
      </c>
      <c r="GH52" s="432" t="s">
        <v>6</v>
      </c>
      <c r="GI52" s="432" t="s">
        <v>7</v>
      </c>
      <c r="GJ52" s="432" t="s">
        <v>8</v>
      </c>
      <c r="GK52" s="432" t="s">
        <v>9</v>
      </c>
      <c r="GL52" s="432" t="s">
        <v>10</v>
      </c>
      <c r="GM52" s="432" t="s">
        <v>11</v>
      </c>
      <c r="GN52" s="448"/>
      <c r="GO52" s="432" t="s">
        <v>0</v>
      </c>
      <c r="GP52" s="432" t="s">
        <v>1</v>
      </c>
      <c r="GQ52" s="432" t="s">
        <v>2</v>
      </c>
      <c r="GR52" s="432" t="s">
        <v>3</v>
      </c>
      <c r="GS52" s="432" t="s">
        <v>4</v>
      </c>
      <c r="GT52" s="432" t="s">
        <v>5</v>
      </c>
      <c r="GU52" s="432" t="s">
        <v>6</v>
      </c>
      <c r="GV52" s="432" t="s">
        <v>7</v>
      </c>
      <c r="GW52" s="410" t="s">
        <v>126</v>
      </c>
      <c r="GX52" s="410" t="s">
        <v>9</v>
      </c>
      <c r="GY52" s="410" t="s">
        <v>10</v>
      </c>
      <c r="GZ52" s="410" t="s">
        <v>11</v>
      </c>
      <c r="HA52" s="430"/>
      <c r="HB52" s="410" t="s">
        <v>0</v>
      </c>
      <c r="HC52" s="410" t="s">
        <v>1</v>
      </c>
      <c r="HD52" s="410" t="s">
        <v>2</v>
      </c>
      <c r="HE52" s="410" t="s">
        <v>3</v>
      </c>
      <c r="HF52" s="410" t="s">
        <v>4</v>
      </c>
      <c r="HG52" s="410" t="s">
        <v>5</v>
      </c>
      <c r="HH52" s="410" t="s">
        <v>6</v>
      </c>
      <c r="HI52" s="410" t="s">
        <v>7</v>
      </c>
      <c r="HJ52" s="410" t="s">
        <v>8</v>
      </c>
      <c r="HK52" s="410" t="s">
        <v>9</v>
      </c>
      <c r="HL52" s="443" t="s">
        <v>10</v>
      </c>
      <c r="HM52" s="444" t="s">
        <v>11</v>
      </c>
      <c r="HN52" s="430"/>
      <c r="HO52" s="328" t="str">
        <f t="shared" ref="HO52:HZ52" si="261">HB52</f>
        <v>Ene.</v>
      </c>
      <c r="HP52" s="327" t="str">
        <f t="shared" si="261"/>
        <v>Feb.</v>
      </c>
      <c r="HQ52" s="327" t="str">
        <f t="shared" si="261"/>
        <v>Mar.</v>
      </c>
      <c r="HR52" s="327" t="str">
        <f t="shared" si="261"/>
        <v>Abr.</v>
      </c>
      <c r="HS52" s="327" t="str">
        <f t="shared" si="261"/>
        <v>May.</v>
      </c>
      <c r="HT52" s="327" t="str">
        <f t="shared" si="261"/>
        <v>Jun.</v>
      </c>
      <c r="HU52" s="327" t="str">
        <f t="shared" si="261"/>
        <v>Jul.</v>
      </c>
      <c r="HV52" s="327" t="str">
        <f t="shared" si="261"/>
        <v>Ago.</v>
      </c>
      <c r="HW52" s="327" t="str">
        <f t="shared" si="261"/>
        <v>Set.</v>
      </c>
      <c r="HX52" s="327" t="str">
        <f t="shared" si="261"/>
        <v>Oct.</v>
      </c>
      <c r="HY52" s="327" t="str">
        <f t="shared" si="261"/>
        <v>Nov.</v>
      </c>
      <c r="HZ52" s="327" t="str">
        <f t="shared" si="261"/>
        <v>Dic.</v>
      </c>
      <c r="IA52" s="325"/>
      <c r="IB52" s="328" t="str">
        <f t="shared" ref="IB52:IM52" si="262">HO52</f>
        <v>Ene.</v>
      </c>
      <c r="IC52" s="327" t="str">
        <f t="shared" si="262"/>
        <v>Feb.</v>
      </c>
      <c r="ID52" s="327" t="str">
        <f t="shared" si="262"/>
        <v>Mar.</v>
      </c>
      <c r="IE52" s="327" t="str">
        <f t="shared" si="262"/>
        <v>Abr.</v>
      </c>
      <c r="IF52" s="327" t="str">
        <f t="shared" si="262"/>
        <v>May.</v>
      </c>
      <c r="IG52" s="327" t="str">
        <f t="shared" si="262"/>
        <v>Jun.</v>
      </c>
      <c r="IH52" s="327" t="str">
        <f t="shared" si="262"/>
        <v>Jul.</v>
      </c>
      <c r="II52" s="327" t="str">
        <f t="shared" si="262"/>
        <v>Ago.</v>
      </c>
      <c r="IJ52" s="327" t="str">
        <f t="shared" si="262"/>
        <v>Set.</v>
      </c>
      <c r="IK52" s="327" t="str">
        <f t="shared" si="262"/>
        <v>Oct.</v>
      </c>
      <c r="IL52" s="327" t="str">
        <f t="shared" si="262"/>
        <v>Nov.</v>
      </c>
      <c r="IM52" s="327" t="str">
        <f t="shared" si="262"/>
        <v>Dic.</v>
      </c>
      <c r="IN52" s="325"/>
      <c r="IO52" s="327" t="s">
        <v>652</v>
      </c>
      <c r="IP52" s="327" t="s">
        <v>653</v>
      </c>
      <c r="IQ52" s="327" t="s">
        <v>654</v>
      </c>
      <c r="IR52" s="327" t="s">
        <v>655</v>
      </c>
      <c r="IS52" s="1044" t="s">
        <v>656</v>
      </c>
      <c r="IT52" s="1044" t="s">
        <v>657</v>
      </c>
      <c r="IU52" s="1044" t="s">
        <v>658</v>
      </c>
      <c r="IV52" s="1044" t="s">
        <v>659</v>
      </c>
      <c r="IW52" s="1044" t="s">
        <v>660</v>
      </c>
      <c r="IX52" s="1044" t="s">
        <v>661</v>
      </c>
      <c r="IY52" s="1044" t="s">
        <v>662</v>
      </c>
      <c r="IZ52" s="1044" t="s">
        <v>663</v>
      </c>
      <c r="JA52" s="1376"/>
      <c r="JB52" s="1321" t="s">
        <v>652</v>
      </c>
      <c r="JC52" s="1322" t="s">
        <v>653</v>
      </c>
      <c r="JD52" s="1322" t="s">
        <v>654</v>
      </c>
      <c r="JE52" s="1322" t="s">
        <v>655</v>
      </c>
      <c r="JF52" s="1322" t="s">
        <v>656</v>
      </c>
      <c r="JG52" s="1322" t="s">
        <v>657</v>
      </c>
      <c r="JH52" s="1322" t="s">
        <v>658</v>
      </c>
      <c r="JI52" s="1322" t="s">
        <v>659</v>
      </c>
      <c r="JJ52" s="1322" t="s">
        <v>660</v>
      </c>
      <c r="JK52" s="1322" t="s">
        <v>661</v>
      </c>
      <c r="JL52" s="1322" t="s">
        <v>662</v>
      </c>
      <c r="JM52" s="1336" t="s">
        <v>663</v>
      </c>
      <c r="JN52" s="1059"/>
      <c r="JP52" s="434" t="s">
        <v>7</v>
      </c>
      <c r="JQ52" s="434" t="str">
        <f>JQ5</f>
        <v>Ene.-ago.</v>
      </c>
      <c r="JR52" s="434" t="str">
        <f>JQ52</f>
        <v>Ene.-ago.</v>
      </c>
      <c r="JS52" s="434" t="str">
        <f>JR52</f>
        <v>Ene.-ago.</v>
      </c>
    </row>
    <row r="53" spans="1:279" ht="13.9" customHeight="1" x14ac:dyDescent="0.2">
      <c r="A53" s="540" t="s">
        <v>22</v>
      </c>
      <c r="CO53" s="541">
        <f t="shared" ref="CO53:CZ53" si="263">SUM(CO54+CO71)</f>
        <v>4471</v>
      </c>
      <c r="CP53" s="541">
        <f t="shared" si="263"/>
        <v>13277</v>
      </c>
      <c r="CQ53" s="541">
        <f t="shared" si="263"/>
        <v>9507</v>
      </c>
      <c r="CR53" s="541">
        <f t="shared" si="263"/>
        <v>14240</v>
      </c>
      <c r="CS53" s="541">
        <f t="shared" si="263"/>
        <v>9518</v>
      </c>
      <c r="CT53" s="541">
        <f t="shared" si="263"/>
        <v>12066.04</v>
      </c>
      <c r="CU53" s="541">
        <f t="shared" si="263"/>
        <v>14299</v>
      </c>
      <c r="CV53" s="541">
        <f t="shared" si="263"/>
        <v>9274.2000000000007</v>
      </c>
      <c r="CW53" s="541">
        <f t="shared" si="263"/>
        <v>9275</v>
      </c>
      <c r="CX53" s="541">
        <f t="shared" si="263"/>
        <v>37099</v>
      </c>
      <c r="CY53" s="541">
        <f t="shared" si="263"/>
        <v>22444.2</v>
      </c>
      <c r="CZ53" s="541">
        <f t="shared" si="263"/>
        <v>8364.1</v>
      </c>
      <c r="DA53" s="542">
        <f t="shared" ref="DA53:DA79" si="264">SUM(CO53:CZ53)</f>
        <v>163834.54</v>
      </c>
      <c r="DB53" s="541">
        <f t="shared" ref="DB53:DM53" si="265">SUM(DB54+DB71)</f>
        <v>20061</v>
      </c>
      <c r="DC53" s="541">
        <f t="shared" si="265"/>
        <v>17347</v>
      </c>
      <c r="DD53" s="541">
        <f t="shared" si="265"/>
        <v>10603.05</v>
      </c>
      <c r="DE53" s="541">
        <f t="shared" si="265"/>
        <v>15969.04</v>
      </c>
      <c r="DF53" s="541">
        <f t="shared" si="265"/>
        <v>8475.1149999999998</v>
      </c>
      <c r="DG53" s="541">
        <f t="shared" si="265"/>
        <v>13902.03</v>
      </c>
      <c r="DH53" s="541">
        <f t="shared" si="265"/>
        <v>11065.619999999999</v>
      </c>
      <c r="DI53" s="541">
        <f t="shared" si="265"/>
        <v>14254.56</v>
      </c>
      <c r="DJ53" s="541">
        <f t="shared" si="265"/>
        <v>15304.036</v>
      </c>
      <c r="DK53" s="541">
        <f t="shared" si="265"/>
        <v>6276.0810000000001</v>
      </c>
      <c r="DL53" s="541">
        <f t="shared" si="265"/>
        <v>12678.880000000001</v>
      </c>
      <c r="DM53" s="543">
        <f t="shared" si="265"/>
        <v>6424.4319999999998</v>
      </c>
      <c r="DN53" s="543">
        <f t="shared" ref="DN53:DN79" si="266">SUM(DB53:DM53)</f>
        <v>152360.84400000001</v>
      </c>
      <c r="DO53" s="544">
        <f t="shared" ref="DO53:DX53" si="267">SUM(DO54+DO71)</f>
        <v>10803.929</v>
      </c>
      <c r="DP53" s="541">
        <f t="shared" si="267"/>
        <v>4446.7529999999997</v>
      </c>
      <c r="DQ53" s="541">
        <f t="shared" si="267"/>
        <v>39664.964</v>
      </c>
      <c r="DR53" s="541">
        <f t="shared" si="267"/>
        <v>4815.1469999999999</v>
      </c>
      <c r="DS53" s="541">
        <f t="shared" si="267"/>
        <v>6285</v>
      </c>
      <c r="DT53" s="541">
        <f t="shared" si="267"/>
        <v>41255</v>
      </c>
      <c r="DU53" s="541">
        <f t="shared" si="267"/>
        <v>8101</v>
      </c>
      <c r="DV53" s="541">
        <f t="shared" si="267"/>
        <v>10550</v>
      </c>
      <c r="DW53" s="541">
        <f t="shared" si="267"/>
        <v>22039</v>
      </c>
      <c r="DX53" s="541">
        <f t="shared" si="267"/>
        <v>8489</v>
      </c>
      <c r="DY53" s="541">
        <f>SUM(DY54+DY71)</f>
        <v>5926</v>
      </c>
      <c r="DZ53" s="541">
        <f>SUM(DZ54+DZ71)</f>
        <v>13783</v>
      </c>
      <c r="EA53" s="542">
        <f t="shared" ref="EA53:EA79" si="268">SUM(DO53:DZ53)</f>
        <v>176158.79300000001</v>
      </c>
      <c r="EB53" s="544">
        <f t="shared" ref="EB53:EM53" si="269">SUM(EB54+EB71)</f>
        <v>20378</v>
      </c>
      <c r="EC53" s="541">
        <f t="shared" si="269"/>
        <v>7866</v>
      </c>
      <c r="ED53" s="541">
        <f t="shared" si="269"/>
        <v>9413</v>
      </c>
      <c r="EE53" s="541">
        <f t="shared" si="269"/>
        <v>8192</v>
      </c>
      <c r="EF53" s="541">
        <f t="shared" si="269"/>
        <v>6633</v>
      </c>
      <c r="EG53" s="541">
        <f t="shared" si="269"/>
        <v>7327</v>
      </c>
      <c r="EH53" s="541">
        <f t="shared" si="269"/>
        <v>11855</v>
      </c>
      <c r="EI53" s="541">
        <f t="shared" si="269"/>
        <v>7682</v>
      </c>
      <c r="EJ53" s="541">
        <f t="shared" si="269"/>
        <v>6724</v>
      </c>
      <c r="EK53" s="541">
        <f t="shared" si="269"/>
        <v>7647</v>
      </c>
      <c r="EL53" s="541">
        <f t="shared" si="269"/>
        <v>14543</v>
      </c>
      <c r="EM53" s="543">
        <f t="shared" si="269"/>
        <v>10890</v>
      </c>
      <c r="EN53" s="541">
        <f t="shared" ref="EN53:EN61" si="270">SUM(EB53:EM53)</f>
        <v>119150</v>
      </c>
      <c r="EO53" s="544">
        <f t="shared" ref="EO53:EZ53" si="271">SUM(EO54+EO71)</f>
        <v>243</v>
      </c>
      <c r="EP53" s="541">
        <f t="shared" si="271"/>
        <v>16509</v>
      </c>
      <c r="EQ53" s="541">
        <f t="shared" si="271"/>
        <v>21650</v>
      </c>
      <c r="ER53" s="541">
        <f t="shared" si="271"/>
        <v>8204</v>
      </c>
      <c r="ES53" s="541">
        <f t="shared" si="271"/>
        <v>4164</v>
      </c>
      <c r="ET53" s="541">
        <f t="shared" si="271"/>
        <v>13111</v>
      </c>
      <c r="EU53" s="541">
        <f t="shared" si="271"/>
        <v>8083</v>
      </c>
      <c r="EV53" s="541">
        <f t="shared" si="271"/>
        <v>14732</v>
      </c>
      <c r="EW53" s="541">
        <f t="shared" si="271"/>
        <v>4094</v>
      </c>
      <c r="EX53" s="541">
        <f t="shared" si="271"/>
        <v>4286</v>
      </c>
      <c r="EY53" s="541">
        <f t="shared" si="271"/>
        <v>6176</v>
      </c>
      <c r="EZ53" s="541">
        <f t="shared" si="271"/>
        <v>8761</v>
      </c>
      <c r="FA53" s="542">
        <f t="shared" ref="FA53:FA61" si="272">SUM(EO53:EZ53)</f>
        <v>110013</v>
      </c>
      <c r="FB53" s="544">
        <f t="shared" ref="FB53:FM53" si="273">SUM(FB54+FB71)</f>
        <v>5738</v>
      </c>
      <c r="FC53" s="541">
        <f t="shared" si="273"/>
        <v>8920</v>
      </c>
      <c r="FD53" s="541">
        <f t="shared" si="273"/>
        <v>9400</v>
      </c>
      <c r="FE53" s="541">
        <f t="shared" si="273"/>
        <v>26770</v>
      </c>
      <c r="FF53" s="541">
        <f t="shared" si="273"/>
        <v>2554</v>
      </c>
      <c r="FG53" s="541">
        <f t="shared" si="273"/>
        <v>9351</v>
      </c>
      <c r="FH53" s="541">
        <f t="shared" si="273"/>
        <v>14011</v>
      </c>
      <c r="FI53" s="541">
        <f t="shared" si="273"/>
        <v>4424</v>
      </c>
      <c r="FJ53" s="541">
        <f t="shared" si="273"/>
        <v>7680</v>
      </c>
      <c r="FK53" s="541">
        <f t="shared" si="273"/>
        <v>4557</v>
      </c>
      <c r="FL53" s="541">
        <f t="shared" si="273"/>
        <v>8330</v>
      </c>
      <c r="FM53" s="543">
        <f t="shared" si="273"/>
        <v>6512</v>
      </c>
      <c r="FN53" s="543">
        <f t="shared" ref="FN53:FN61" si="274">SUM(FB53:FM53)</f>
        <v>108247</v>
      </c>
      <c r="FO53" s="541">
        <f>SUM(FO54+FO71)</f>
        <v>30242</v>
      </c>
      <c r="FP53" s="541">
        <f>SUM(FP54+FP71)</f>
        <v>4606</v>
      </c>
      <c r="FQ53" s="541">
        <f>SUM(FQ54+FQ71)</f>
        <v>6955</v>
      </c>
      <c r="FR53" s="541">
        <f t="shared" ref="FR53:FZ53" si="275">SUM(FR54+FR71)</f>
        <v>5122</v>
      </c>
      <c r="FS53" s="541">
        <f t="shared" si="275"/>
        <v>6727</v>
      </c>
      <c r="FT53" s="541">
        <f t="shared" si="275"/>
        <v>5014</v>
      </c>
      <c r="FU53" s="541">
        <f t="shared" si="275"/>
        <v>8715</v>
      </c>
      <c r="FV53" s="541">
        <f t="shared" si="275"/>
        <v>4709</v>
      </c>
      <c r="FW53" s="541">
        <f t="shared" si="275"/>
        <v>9102</v>
      </c>
      <c r="FX53" s="541">
        <f t="shared" si="275"/>
        <v>5703</v>
      </c>
      <c r="FY53" s="541">
        <f t="shared" si="275"/>
        <v>7820</v>
      </c>
      <c r="FZ53" s="543">
        <f t="shared" si="275"/>
        <v>11407</v>
      </c>
      <c r="GA53" s="543">
        <f t="shared" ref="GA53:GA61" si="276">SUM(FO53:FZ53)</f>
        <v>106122</v>
      </c>
      <c r="GB53" s="541">
        <f t="shared" ref="GB53:GM53" si="277">SUM(GB54+GB71)</f>
        <v>18612</v>
      </c>
      <c r="GC53" s="541">
        <f t="shared" si="277"/>
        <v>22657</v>
      </c>
      <c r="GD53" s="541">
        <f t="shared" si="277"/>
        <v>4984</v>
      </c>
      <c r="GE53" s="541">
        <f t="shared" si="277"/>
        <v>4646</v>
      </c>
      <c r="GF53" s="541">
        <f t="shared" si="277"/>
        <v>5396</v>
      </c>
      <c r="GG53" s="541">
        <f t="shared" si="277"/>
        <v>4763</v>
      </c>
      <c r="GH53" s="541">
        <f t="shared" si="277"/>
        <v>19638</v>
      </c>
      <c r="GI53" s="541">
        <f t="shared" si="277"/>
        <v>9019</v>
      </c>
      <c r="GJ53" s="541">
        <f t="shared" si="277"/>
        <v>12222</v>
      </c>
      <c r="GK53" s="541">
        <f t="shared" si="277"/>
        <v>18453</v>
      </c>
      <c r="GL53" s="541">
        <f t="shared" si="277"/>
        <v>12135</v>
      </c>
      <c r="GM53" s="541">
        <f t="shared" si="277"/>
        <v>13468</v>
      </c>
      <c r="GN53" s="447">
        <f t="shared" si="168"/>
        <v>145993</v>
      </c>
      <c r="GO53" s="541">
        <f t="shared" ref="GO53:GZ53" si="278">SUM(GO54+GO71)</f>
        <v>23598</v>
      </c>
      <c r="GP53" s="541">
        <f t="shared" si="278"/>
        <v>87983</v>
      </c>
      <c r="GQ53" s="541">
        <f t="shared" si="278"/>
        <v>8475</v>
      </c>
      <c r="GR53" s="541">
        <f t="shared" si="278"/>
        <v>9016</v>
      </c>
      <c r="GS53" s="541">
        <f t="shared" si="278"/>
        <v>10049</v>
      </c>
      <c r="GT53" s="541">
        <f t="shared" si="278"/>
        <v>15654</v>
      </c>
      <c r="GU53" s="541">
        <f t="shared" si="278"/>
        <v>29969</v>
      </c>
      <c r="GV53" s="541">
        <f t="shared" si="278"/>
        <v>11475</v>
      </c>
      <c r="GW53" s="541">
        <f t="shared" si="278"/>
        <v>5726</v>
      </c>
      <c r="GX53" s="541">
        <f t="shared" si="278"/>
        <v>5655</v>
      </c>
      <c r="GY53" s="541">
        <f t="shared" si="278"/>
        <v>13065</v>
      </c>
      <c r="GZ53" s="543">
        <f t="shared" si="278"/>
        <v>6345</v>
      </c>
      <c r="HA53" s="545">
        <f>SUM(GO53:GZ53)</f>
        <v>227010</v>
      </c>
      <c r="HB53" s="544">
        <f t="shared" ref="HB53:HI53" si="279">SUM(HB54+HB71)</f>
        <v>22215</v>
      </c>
      <c r="HC53" s="541">
        <f t="shared" si="279"/>
        <v>8867</v>
      </c>
      <c r="HD53" s="541">
        <f t="shared" si="279"/>
        <v>76250</v>
      </c>
      <c r="HE53" s="541">
        <f t="shared" si="279"/>
        <v>26429</v>
      </c>
      <c r="HF53" s="541">
        <f t="shared" si="279"/>
        <v>34141</v>
      </c>
      <c r="HG53" s="541">
        <f t="shared" si="279"/>
        <v>35228</v>
      </c>
      <c r="HH53" s="541">
        <f t="shared" si="279"/>
        <v>44129</v>
      </c>
      <c r="HI53" s="541">
        <f t="shared" si="279"/>
        <v>30408</v>
      </c>
      <c r="HJ53" s="541">
        <f>SUM(HJ54+HJ71)</f>
        <v>44289</v>
      </c>
      <c r="HK53" s="541">
        <f>SUM(HK54+HK71)</f>
        <v>30349</v>
      </c>
      <c r="HL53" s="546">
        <f>SUM(HL54+HL71)</f>
        <v>36573</v>
      </c>
      <c r="HM53" s="547">
        <f>SUM(HM54+HM71)</f>
        <v>30035</v>
      </c>
      <c r="HN53" s="548">
        <f>SUM(HB53:HM53)</f>
        <v>418913</v>
      </c>
      <c r="HO53" s="544">
        <f t="shared" ref="HO53:HZ53" si="280">SUM(HO54+HO71)</f>
        <v>50277</v>
      </c>
      <c r="HP53" s="541">
        <f t="shared" si="280"/>
        <v>53592</v>
      </c>
      <c r="HQ53" s="541">
        <f t="shared" si="280"/>
        <v>32161</v>
      </c>
      <c r="HR53" s="541">
        <f t="shared" si="280"/>
        <v>30203</v>
      </c>
      <c r="HS53" s="541">
        <f t="shared" si="280"/>
        <v>32924</v>
      </c>
      <c r="HT53" s="541">
        <f t="shared" si="280"/>
        <v>29680</v>
      </c>
      <c r="HU53" s="541">
        <f>SUM(HU54+HU71)</f>
        <v>41197</v>
      </c>
      <c r="HV53" s="541">
        <f t="shared" si="280"/>
        <v>25917</v>
      </c>
      <c r="HW53" s="541">
        <f t="shared" si="280"/>
        <v>27450</v>
      </c>
      <c r="HX53" s="541">
        <f t="shared" si="280"/>
        <v>33392</v>
      </c>
      <c r="HY53" s="541">
        <f t="shared" si="280"/>
        <v>39428</v>
      </c>
      <c r="HZ53" s="541">
        <f t="shared" si="280"/>
        <v>30290</v>
      </c>
      <c r="IA53" s="542">
        <f>SUM(HO53:HZ53)</f>
        <v>426511</v>
      </c>
      <c r="IB53" s="544">
        <f t="shared" ref="IB53:IM53" si="281">SUM(IB54+IB71)</f>
        <v>23801</v>
      </c>
      <c r="IC53" s="541">
        <f t="shared" si="281"/>
        <v>109078</v>
      </c>
      <c r="ID53" s="541">
        <f t="shared" si="281"/>
        <v>37998</v>
      </c>
      <c r="IE53" s="541">
        <f t="shared" si="281"/>
        <v>31706</v>
      </c>
      <c r="IF53" s="541">
        <f t="shared" si="281"/>
        <v>34930</v>
      </c>
      <c r="IG53" s="541">
        <f t="shared" si="281"/>
        <v>40494</v>
      </c>
      <c r="IH53" s="541">
        <f t="shared" si="281"/>
        <v>41763</v>
      </c>
      <c r="II53" s="541">
        <f t="shared" si="281"/>
        <v>39924</v>
      </c>
      <c r="IJ53" s="541">
        <f t="shared" si="281"/>
        <v>38480</v>
      </c>
      <c r="IK53" s="541">
        <f t="shared" si="281"/>
        <v>42327</v>
      </c>
      <c r="IL53" s="541">
        <f t="shared" si="281"/>
        <v>35805</v>
      </c>
      <c r="IM53" s="541">
        <f t="shared" si="281"/>
        <v>68857</v>
      </c>
      <c r="IN53" s="542">
        <f>SUM(IB53:IM53)</f>
        <v>545163</v>
      </c>
      <c r="IO53" s="541">
        <f t="shared" ref="IO53:IZ53" si="282">SUM(IO54+IO71)</f>
        <v>46452</v>
      </c>
      <c r="IP53" s="541">
        <f t="shared" si="282"/>
        <v>103977</v>
      </c>
      <c r="IQ53" s="541">
        <f t="shared" si="282"/>
        <v>41076</v>
      </c>
      <c r="IR53" s="541">
        <f t="shared" si="282"/>
        <v>36070</v>
      </c>
      <c r="IS53" s="546">
        <f t="shared" si="282"/>
        <v>35691</v>
      </c>
      <c r="IT53" s="546">
        <f t="shared" si="282"/>
        <v>47570</v>
      </c>
      <c r="IU53" s="546">
        <f t="shared" si="282"/>
        <v>56023</v>
      </c>
      <c r="IV53" s="546">
        <f t="shared" si="282"/>
        <v>40381</v>
      </c>
      <c r="IW53" s="546">
        <f t="shared" si="282"/>
        <v>40188</v>
      </c>
      <c r="IX53" s="546">
        <f t="shared" si="282"/>
        <v>42556</v>
      </c>
      <c r="IY53" s="546">
        <f t="shared" si="282"/>
        <v>44400</v>
      </c>
      <c r="IZ53" s="546">
        <f t="shared" si="282"/>
        <v>35151</v>
      </c>
      <c r="JA53" s="1377">
        <f>SUM(IO53:IZ53)</f>
        <v>569535</v>
      </c>
      <c r="JB53" s="1378">
        <f t="shared" ref="JB53:JF53" si="283">SUM(JB54+JB71)</f>
        <v>108331</v>
      </c>
      <c r="JC53" s="1379">
        <f t="shared" si="283"/>
        <v>48163</v>
      </c>
      <c r="JD53" s="1379">
        <f t="shared" si="283"/>
        <v>36127</v>
      </c>
      <c r="JE53" s="1379">
        <f t="shared" si="283"/>
        <v>33599</v>
      </c>
      <c r="JF53" s="1379">
        <f t="shared" si="283"/>
        <v>44963</v>
      </c>
      <c r="JG53" s="1379">
        <f t="shared" ref="JG53:JI53" si="284">SUM(JG54+JG71)</f>
        <v>42011</v>
      </c>
      <c r="JH53" s="1379">
        <f t="shared" si="284"/>
        <v>53104</v>
      </c>
      <c r="JI53" s="1379">
        <f t="shared" si="284"/>
        <v>88756</v>
      </c>
      <c r="JJ53" s="1379"/>
      <c r="JK53" s="1379"/>
      <c r="JL53" s="1379"/>
      <c r="JM53" s="1380"/>
      <c r="JN53" s="1381">
        <f>SUM(JB53:JM53)</f>
        <v>455054</v>
      </c>
      <c r="JP53" s="1053">
        <f>IFERROR(((JI53/IV53)-1)*100,"-")</f>
        <v>119.79643891929372</v>
      </c>
      <c r="JQ53" s="549">
        <f>IFERROR(((JS53/JR53)-1)*100,"-")</f>
        <v>-61.57204596797957</v>
      </c>
      <c r="JR53" s="542">
        <f>IFERROR(SUM(IO53:IV53),"-")</f>
        <v>407240</v>
      </c>
      <c r="JS53" s="542">
        <f>IFERROR(SUM(JB53:JC53),"-")</f>
        <v>156494</v>
      </c>
    </row>
    <row r="54" spans="1:279" ht="13.9" customHeight="1" x14ac:dyDescent="0.2">
      <c r="A54" s="550" t="s">
        <v>409</v>
      </c>
      <c r="CO54" s="551">
        <f t="shared" ref="CO54:CZ54" si="285">SUM(CO55:CO57,CO62)</f>
        <v>3864</v>
      </c>
      <c r="CP54" s="551">
        <f t="shared" si="285"/>
        <v>13023</v>
      </c>
      <c r="CQ54" s="551">
        <f t="shared" si="285"/>
        <v>8472</v>
      </c>
      <c r="CR54" s="551">
        <f t="shared" si="285"/>
        <v>13388</v>
      </c>
      <c r="CS54" s="551">
        <f t="shared" si="285"/>
        <v>9381</v>
      </c>
      <c r="CT54" s="551">
        <f t="shared" si="285"/>
        <v>11105</v>
      </c>
      <c r="CU54" s="551">
        <f t="shared" si="285"/>
        <v>13635</v>
      </c>
      <c r="CV54" s="551">
        <f t="shared" si="285"/>
        <v>8870</v>
      </c>
      <c r="CW54" s="551">
        <f t="shared" si="285"/>
        <v>9132</v>
      </c>
      <c r="CX54" s="551">
        <f t="shared" si="285"/>
        <v>36819</v>
      </c>
      <c r="CY54" s="551">
        <f t="shared" si="285"/>
        <v>22018</v>
      </c>
      <c r="CZ54" s="551">
        <f t="shared" si="285"/>
        <v>8194</v>
      </c>
      <c r="DA54" s="552">
        <f t="shared" si="264"/>
        <v>157901</v>
      </c>
      <c r="DB54" s="551">
        <f t="shared" ref="DB54:DM54" si="286">SUM(DB55:DB57,DB62)</f>
        <v>19923</v>
      </c>
      <c r="DC54" s="551">
        <f t="shared" si="286"/>
        <v>15903</v>
      </c>
      <c r="DD54" s="551">
        <f t="shared" si="286"/>
        <v>10603.05</v>
      </c>
      <c r="DE54" s="551">
        <f t="shared" si="286"/>
        <v>14255.04</v>
      </c>
      <c r="DF54" s="551">
        <f t="shared" si="286"/>
        <v>8080.1149999999998</v>
      </c>
      <c r="DG54" s="551">
        <f t="shared" si="286"/>
        <v>12008.03</v>
      </c>
      <c r="DH54" s="551">
        <f t="shared" si="286"/>
        <v>10333.619999999999</v>
      </c>
      <c r="DI54" s="551">
        <f t="shared" si="286"/>
        <v>13981.56</v>
      </c>
      <c r="DJ54" s="551">
        <f t="shared" si="286"/>
        <v>14982.036</v>
      </c>
      <c r="DK54" s="551">
        <f t="shared" si="286"/>
        <v>5988.0810000000001</v>
      </c>
      <c r="DL54" s="551">
        <f t="shared" si="286"/>
        <v>3931.88</v>
      </c>
      <c r="DM54" s="553">
        <f t="shared" si="286"/>
        <v>4991.4319999999998</v>
      </c>
      <c r="DN54" s="553">
        <f t="shared" si="266"/>
        <v>134980.84400000001</v>
      </c>
      <c r="DO54" s="554">
        <f t="shared" ref="DO54:EM54" si="287">SUM(DO55:DO57,DO62)</f>
        <v>10579.929</v>
      </c>
      <c r="DP54" s="555">
        <f t="shared" si="287"/>
        <v>4019.7529999999997</v>
      </c>
      <c r="DQ54" s="555">
        <f t="shared" si="287"/>
        <v>39306.964</v>
      </c>
      <c r="DR54" s="555">
        <f t="shared" si="287"/>
        <v>4034.1469999999999</v>
      </c>
      <c r="DS54" s="555">
        <f t="shared" si="287"/>
        <v>6285</v>
      </c>
      <c r="DT54" s="555">
        <f t="shared" si="287"/>
        <v>40105</v>
      </c>
      <c r="DU54" s="555">
        <f t="shared" si="287"/>
        <v>7851</v>
      </c>
      <c r="DV54" s="555">
        <f t="shared" si="287"/>
        <v>9648</v>
      </c>
      <c r="DW54" s="555">
        <f t="shared" si="287"/>
        <v>7371</v>
      </c>
      <c r="DX54" s="555">
        <f t="shared" si="287"/>
        <v>7983</v>
      </c>
      <c r="DY54" s="555">
        <f t="shared" si="287"/>
        <v>4776</v>
      </c>
      <c r="DZ54" s="555">
        <f t="shared" si="287"/>
        <v>13783</v>
      </c>
      <c r="EA54" s="556">
        <f t="shared" si="268"/>
        <v>155742.79300000001</v>
      </c>
      <c r="EB54" s="554">
        <f t="shared" si="287"/>
        <v>20128</v>
      </c>
      <c r="EC54" s="555">
        <f t="shared" si="287"/>
        <v>7858</v>
      </c>
      <c r="ED54" s="555">
        <f t="shared" si="287"/>
        <v>8371</v>
      </c>
      <c r="EE54" s="555">
        <f t="shared" si="287"/>
        <v>7916</v>
      </c>
      <c r="EF54" s="555">
        <f t="shared" si="287"/>
        <v>6633</v>
      </c>
      <c r="EG54" s="555">
        <f t="shared" si="287"/>
        <v>6500</v>
      </c>
      <c r="EH54" s="555">
        <f t="shared" si="287"/>
        <v>11815</v>
      </c>
      <c r="EI54" s="555">
        <f t="shared" si="287"/>
        <v>7309</v>
      </c>
      <c r="EJ54" s="555">
        <f t="shared" si="287"/>
        <v>6088</v>
      </c>
      <c r="EK54" s="555">
        <f t="shared" si="287"/>
        <v>7256</v>
      </c>
      <c r="EL54" s="555">
        <f t="shared" si="287"/>
        <v>14054</v>
      </c>
      <c r="EM54" s="553">
        <f t="shared" si="287"/>
        <v>10600</v>
      </c>
      <c r="EN54" s="555">
        <f t="shared" si="270"/>
        <v>114528</v>
      </c>
      <c r="EO54" s="557">
        <f t="shared" ref="EO54:EZ54" si="288">SUM(EO55:EO57,EO62)</f>
        <v>27</v>
      </c>
      <c r="EP54" s="551">
        <f t="shared" si="288"/>
        <v>15445</v>
      </c>
      <c r="EQ54" s="551">
        <f t="shared" si="288"/>
        <v>20832</v>
      </c>
      <c r="ER54" s="551">
        <f t="shared" si="288"/>
        <v>7742</v>
      </c>
      <c r="ES54" s="551">
        <f t="shared" si="288"/>
        <v>3020</v>
      </c>
      <c r="ET54" s="551">
        <f t="shared" si="288"/>
        <v>12311</v>
      </c>
      <c r="EU54" s="551">
        <f t="shared" si="288"/>
        <v>8083</v>
      </c>
      <c r="EV54" s="551">
        <f t="shared" si="288"/>
        <v>13494</v>
      </c>
      <c r="EW54" s="551">
        <f t="shared" si="288"/>
        <v>4094</v>
      </c>
      <c r="EX54" s="551">
        <f t="shared" si="288"/>
        <v>4286</v>
      </c>
      <c r="EY54" s="551">
        <f t="shared" si="288"/>
        <v>5897</v>
      </c>
      <c r="EZ54" s="551">
        <f t="shared" si="288"/>
        <v>8122</v>
      </c>
      <c r="FA54" s="556">
        <f t="shared" si="272"/>
        <v>103353</v>
      </c>
      <c r="FB54" s="557">
        <f t="shared" ref="FB54:FM54" si="289">SUM(FB55:FB57,FB62)</f>
        <v>5738</v>
      </c>
      <c r="FC54" s="551">
        <f t="shared" si="289"/>
        <v>8920</v>
      </c>
      <c r="FD54" s="551">
        <f t="shared" si="289"/>
        <v>9400</v>
      </c>
      <c r="FE54" s="551">
        <f t="shared" si="289"/>
        <v>26770</v>
      </c>
      <c r="FF54" s="551">
        <f t="shared" si="289"/>
        <v>2554</v>
      </c>
      <c r="FG54" s="551">
        <f t="shared" si="289"/>
        <v>9351</v>
      </c>
      <c r="FH54" s="551">
        <f t="shared" si="289"/>
        <v>14011</v>
      </c>
      <c r="FI54" s="551">
        <f t="shared" si="289"/>
        <v>4414</v>
      </c>
      <c r="FJ54" s="551">
        <f t="shared" si="289"/>
        <v>7680</v>
      </c>
      <c r="FK54" s="551">
        <f t="shared" si="289"/>
        <v>4424</v>
      </c>
      <c r="FL54" s="551">
        <f t="shared" si="289"/>
        <v>8330</v>
      </c>
      <c r="FM54" s="558">
        <f t="shared" si="289"/>
        <v>6471</v>
      </c>
      <c r="FN54" s="558">
        <f t="shared" si="274"/>
        <v>108063</v>
      </c>
      <c r="FO54" s="551">
        <f t="shared" ref="FO54:FZ54" si="290">SUM(FO55:FO57,FO62)</f>
        <v>30242</v>
      </c>
      <c r="FP54" s="551">
        <f t="shared" si="290"/>
        <v>4606</v>
      </c>
      <c r="FQ54" s="551">
        <f t="shared" si="290"/>
        <v>6955</v>
      </c>
      <c r="FR54" s="551">
        <f t="shared" si="290"/>
        <v>5122</v>
      </c>
      <c r="FS54" s="551">
        <f t="shared" si="290"/>
        <v>6727</v>
      </c>
      <c r="FT54" s="551">
        <f t="shared" si="290"/>
        <v>5014</v>
      </c>
      <c r="FU54" s="551">
        <f t="shared" si="290"/>
        <v>8715</v>
      </c>
      <c r="FV54" s="551">
        <f t="shared" si="290"/>
        <v>4709</v>
      </c>
      <c r="FW54" s="551">
        <f t="shared" si="290"/>
        <v>9102</v>
      </c>
      <c r="FX54" s="551">
        <f t="shared" si="290"/>
        <v>5223</v>
      </c>
      <c r="FY54" s="551">
        <f t="shared" si="290"/>
        <v>7820</v>
      </c>
      <c r="FZ54" s="558">
        <f t="shared" si="290"/>
        <v>11407</v>
      </c>
      <c r="GA54" s="558">
        <f t="shared" si="276"/>
        <v>105642</v>
      </c>
      <c r="GB54" s="551">
        <f t="shared" ref="GB54:GM54" si="291">SUM(GB55:GB57,GB62)</f>
        <v>18612</v>
      </c>
      <c r="GC54" s="551">
        <f t="shared" si="291"/>
        <v>22657</v>
      </c>
      <c r="GD54" s="551">
        <f t="shared" si="291"/>
        <v>4984</v>
      </c>
      <c r="GE54" s="551">
        <f t="shared" si="291"/>
        <v>4646</v>
      </c>
      <c r="GF54" s="551">
        <f t="shared" si="291"/>
        <v>5396</v>
      </c>
      <c r="GG54" s="551">
        <f t="shared" si="291"/>
        <v>4763</v>
      </c>
      <c r="GH54" s="551">
        <f t="shared" si="291"/>
        <v>19638</v>
      </c>
      <c r="GI54" s="551">
        <f t="shared" si="291"/>
        <v>9019</v>
      </c>
      <c r="GJ54" s="551">
        <f t="shared" si="291"/>
        <v>12222</v>
      </c>
      <c r="GK54" s="551">
        <f t="shared" si="291"/>
        <v>18453</v>
      </c>
      <c r="GL54" s="551">
        <f t="shared" si="291"/>
        <v>11895</v>
      </c>
      <c r="GM54" s="551">
        <f t="shared" si="291"/>
        <v>13468</v>
      </c>
      <c r="GN54" s="447">
        <f t="shared" si="168"/>
        <v>145753</v>
      </c>
      <c r="GO54" s="551">
        <f t="shared" ref="GO54:GZ54" si="292">SUM(GO55:GO57,GO62)</f>
        <v>23598</v>
      </c>
      <c r="GP54" s="551">
        <f t="shared" si="292"/>
        <v>87983</v>
      </c>
      <c r="GQ54" s="551">
        <f t="shared" si="292"/>
        <v>8475</v>
      </c>
      <c r="GR54" s="551">
        <f t="shared" si="292"/>
        <v>9016</v>
      </c>
      <c r="GS54" s="551">
        <f t="shared" si="292"/>
        <v>10049</v>
      </c>
      <c r="GT54" s="551">
        <f t="shared" si="292"/>
        <v>15654</v>
      </c>
      <c r="GU54" s="551">
        <f t="shared" si="292"/>
        <v>29969</v>
      </c>
      <c r="GV54" s="551">
        <f t="shared" si="292"/>
        <v>11475</v>
      </c>
      <c r="GW54" s="551">
        <f t="shared" si="292"/>
        <v>5726</v>
      </c>
      <c r="GX54" s="551">
        <f t="shared" si="292"/>
        <v>5655</v>
      </c>
      <c r="GY54" s="551">
        <f t="shared" si="292"/>
        <v>13065</v>
      </c>
      <c r="GZ54" s="558">
        <f t="shared" si="292"/>
        <v>6345</v>
      </c>
      <c r="HA54" s="558">
        <f t="shared" ref="HA54:HA79" si="293">SUM(GO54:GZ54)</f>
        <v>227010</v>
      </c>
      <c r="HB54" s="557">
        <f t="shared" ref="HB54:HM54" si="294">SUM(HB55:HB57,HB62)</f>
        <v>22215</v>
      </c>
      <c r="HC54" s="551">
        <f t="shared" si="294"/>
        <v>8867</v>
      </c>
      <c r="HD54" s="551">
        <f t="shared" si="294"/>
        <v>76250</v>
      </c>
      <c r="HE54" s="551">
        <f t="shared" si="294"/>
        <v>26429</v>
      </c>
      <c r="HF54" s="551">
        <f t="shared" si="294"/>
        <v>34141</v>
      </c>
      <c r="HG54" s="551">
        <f t="shared" si="294"/>
        <v>35228</v>
      </c>
      <c r="HH54" s="551">
        <f t="shared" si="294"/>
        <v>44129</v>
      </c>
      <c r="HI54" s="551">
        <f t="shared" si="294"/>
        <v>30408</v>
      </c>
      <c r="HJ54" s="551">
        <f t="shared" si="294"/>
        <v>44209</v>
      </c>
      <c r="HK54" s="551">
        <f t="shared" si="294"/>
        <v>30349</v>
      </c>
      <c r="HL54" s="559">
        <f t="shared" si="294"/>
        <v>36573</v>
      </c>
      <c r="HM54" s="560">
        <f t="shared" si="294"/>
        <v>29600</v>
      </c>
      <c r="HN54" s="561">
        <f>SUM(HB54:HM54)</f>
        <v>418398</v>
      </c>
      <c r="HO54" s="557">
        <f t="shared" ref="HO54:HZ54" si="295">SUM(HO55:HO57,HO62)</f>
        <v>50277</v>
      </c>
      <c r="HP54" s="551">
        <f t="shared" si="295"/>
        <v>53592</v>
      </c>
      <c r="HQ54" s="551">
        <f t="shared" si="295"/>
        <v>32161</v>
      </c>
      <c r="HR54" s="551">
        <f t="shared" si="295"/>
        <v>29203</v>
      </c>
      <c r="HS54" s="551">
        <f t="shared" si="295"/>
        <v>32924</v>
      </c>
      <c r="HT54" s="551">
        <f t="shared" si="295"/>
        <v>29660</v>
      </c>
      <c r="HU54" s="551">
        <f>SUM(HU55:HU57,HU62)</f>
        <v>41198</v>
      </c>
      <c r="HV54" s="551">
        <f t="shared" si="295"/>
        <v>25917</v>
      </c>
      <c r="HW54" s="551">
        <f t="shared" si="295"/>
        <v>27450</v>
      </c>
      <c r="HX54" s="551">
        <f t="shared" si="295"/>
        <v>33392</v>
      </c>
      <c r="HY54" s="551">
        <f t="shared" si="295"/>
        <v>39428</v>
      </c>
      <c r="HZ54" s="551">
        <f t="shared" si="295"/>
        <v>30290</v>
      </c>
      <c r="IA54" s="561">
        <f t="shared" ref="IA54:IA79" si="296">SUM(HO54:HZ54)</f>
        <v>425492</v>
      </c>
      <c r="IB54" s="557">
        <f t="shared" ref="IB54:IM54" si="297">SUM(IB55:IB57,IB62)</f>
        <v>23801</v>
      </c>
      <c r="IC54" s="551">
        <f t="shared" si="297"/>
        <v>109078</v>
      </c>
      <c r="ID54" s="551">
        <f t="shared" si="297"/>
        <v>37998</v>
      </c>
      <c r="IE54" s="551">
        <f t="shared" si="297"/>
        <v>31706</v>
      </c>
      <c r="IF54" s="551">
        <f t="shared" si="297"/>
        <v>34930</v>
      </c>
      <c r="IG54" s="551">
        <f t="shared" si="297"/>
        <v>40494</v>
      </c>
      <c r="IH54" s="551">
        <f t="shared" si="297"/>
        <v>41763</v>
      </c>
      <c r="II54" s="551">
        <f t="shared" si="297"/>
        <v>39924</v>
      </c>
      <c r="IJ54" s="551">
        <f t="shared" si="297"/>
        <v>38480</v>
      </c>
      <c r="IK54" s="551">
        <f t="shared" si="297"/>
        <v>42327</v>
      </c>
      <c r="IL54" s="551">
        <f t="shared" si="297"/>
        <v>35805</v>
      </c>
      <c r="IM54" s="551">
        <f t="shared" si="297"/>
        <v>68857</v>
      </c>
      <c r="IN54" s="561">
        <f t="shared" ref="IN54:IN79" si="298">SUM(IB54:IM54)</f>
        <v>545163</v>
      </c>
      <c r="IO54" s="551">
        <f t="shared" ref="IO54:IZ54" si="299">SUM(IO55:IO57,IO62)</f>
        <v>46433</v>
      </c>
      <c r="IP54" s="551">
        <f t="shared" si="299"/>
        <v>103977</v>
      </c>
      <c r="IQ54" s="551">
        <f t="shared" si="299"/>
        <v>41076</v>
      </c>
      <c r="IR54" s="551">
        <f t="shared" si="299"/>
        <v>36070</v>
      </c>
      <c r="IS54" s="559">
        <f t="shared" si="299"/>
        <v>35691</v>
      </c>
      <c r="IT54" s="1045">
        <f t="shared" si="299"/>
        <v>47570</v>
      </c>
      <c r="IU54" s="1045">
        <f t="shared" si="299"/>
        <v>56023</v>
      </c>
      <c r="IV54" s="559">
        <f t="shared" si="299"/>
        <v>40381</v>
      </c>
      <c r="IW54" s="559">
        <f t="shared" si="299"/>
        <v>40188</v>
      </c>
      <c r="IX54" s="559">
        <f t="shared" si="299"/>
        <v>42556</v>
      </c>
      <c r="IY54" s="559">
        <f t="shared" si="299"/>
        <v>44400</v>
      </c>
      <c r="IZ54" s="559">
        <f t="shared" si="299"/>
        <v>35151</v>
      </c>
      <c r="JA54" s="1382">
        <f t="shared" ref="JA54:JA79" si="300">SUM(IO54:IZ54)</f>
        <v>569516</v>
      </c>
      <c r="JB54" s="1369">
        <f t="shared" ref="JB54:JC54" si="301">SUM(JB55:JB57,JB62)</f>
        <v>108160</v>
      </c>
      <c r="JC54" s="1370">
        <f t="shared" si="301"/>
        <v>48163</v>
      </c>
      <c r="JD54" s="1370">
        <f>SUM(JD55:JD57,JD62)</f>
        <v>36127</v>
      </c>
      <c r="JE54" s="1370">
        <f>SUM(JE55:JE57,JE62)</f>
        <v>33599</v>
      </c>
      <c r="JF54" s="1370">
        <f>SUM(JF55:JF57,JF62)</f>
        <v>44963</v>
      </c>
      <c r="JG54" s="1370">
        <f t="shared" ref="JG54:JH54" si="302">SUM(JG55:JG57,JG62)</f>
        <v>42011</v>
      </c>
      <c r="JH54" s="1370">
        <f t="shared" si="302"/>
        <v>53104</v>
      </c>
      <c r="JI54" s="1370">
        <f>SUM(JI55:JI57,JI62)</f>
        <v>88756</v>
      </c>
      <c r="JJ54" s="1370"/>
      <c r="JK54" s="1370"/>
      <c r="JL54" s="1370"/>
      <c r="JM54" s="1370"/>
      <c r="JN54" s="1372">
        <f t="shared" ref="JN54:JN79" si="303">SUM(JB54:JM54)</f>
        <v>454883</v>
      </c>
      <c r="JP54" s="1054">
        <f t="shared" ref="JP54:JP80" si="304">IFERROR(((JI54/IV54)-1)*100,"-")</f>
        <v>119.79643891929372</v>
      </c>
      <c r="JQ54" s="562">
        <f>IFERROR(((JS54/JR54)-1)*100,"-")</f>
        <v>-61.612244948074881</v>
      </c>
      <c r="JR54" s="552">
        <f t="shared" ref="JR54:JR79" si="305">IFERROR(SUM(IO54:IV54),"-")</f>
        <v>407221</v>
      </c>
      <c r="JS54" s="552">
        <f t="shared" ref="JS54:JS79" si="306">IFERROR(SUM(JB54:JC54),"-")</f>
        <v>156323</v>
      </c>
    </row>
    <row r="55" spans="1:279" ht="13.9" customHeight="1" x14ac:dyDescent="0.2">
      <c r="A55" s="563" t="s">
        <v>410</v>
      </c>
      <c r="CO55" s="564">
        <v>0</v>
      </c>
      <c r="CP55" s="564">
        <v>0</v>
      </c>
      <c r="CQ55" s="564">
        <v>0</v>
      </c>
      <c r="CR55" s="564">
        <v>0</v>
      </c>
      <c r="CS55" s="564">
        <v>0</v>
      </c>
      <c r="CT55" s="564">
        <v>0</v>
      </c>
      <c r="CU55" s="564">
        <v>0</v>
      </c>
      <c r="CV55" s="564">
        <v>0</v>
      </c>
      <c r="CW55" s="564">
        <v>0</v>
      </c>
      <c r="CX55" s="564">
        <v>0</v>
      </c>
      <c r="CY55" s="564">
        <v>0</v>
      </c>
      <c r="CZ55" s="564">
        <v>0</v>
      </c>
      <c r="DA55" s="565">
        <f t="shared" si="264"/>
        <v>0</v>
      </c>
      <c r="DB55" s="564">
        <v>0</v>
      </c>
      <c r="DC55" s="564">
        <v>0</v>
      </c>
      <c r="DD55" s="564">
        <v>0</v>
      </c>
      <c r="DE55" s="564">
        <v>0</v>
      </c>
      <c r="DF55" s="564">
        <v>0</v>
      </c>
      <c r="DG55" s="564">
        <v>0</v>
      </c>
      <c r="DH55" s="564">
        <v>0</v>
      </c>
      <c r="DI55" s="564">
        <v>0</v>
      </c>
      <c r="DJ55" s="564">
        <v>0</v>
      </c>
      <c r="DK55" s="564">
        <v>0</v>
      </c>
      <c r="DL55" s="564">
        <v>0</v>
      </c>
      <c r="DM55" s="566">
        <v>0</v>
      </c>
      <c r="DN55" s="566">
        <f t="shared" si="266"/>
        <v>0</v>
      </c>
      <c r="DO55" s="567">
        <v>0</v>
      </c>
      <c r="DP55" s="564">
        <v>0</v>
      </c>
      <c r="DQ55" s="564">
        <v>0</v>
      </c>
      <c r="DR55" s="564">
        <v>0</v>
      </c>
      <c r="DS55" s="564">
        <v>0</v>
      </c>
      <c r="DT55" s="564">
        <v>0</v>
      </c>
      <c r="DU55" s="564">
        <v>0</v>
      </c>
      <c r="DV55" s="564">
        <v>0</v>
      </c>
      <c r="DW55" s="564">
        <v>0</v>
      </c>
      <c r="DX55" s="564">
        <v>0</v>
      </c>
      <c r="DY55" s="564">
        <v>0</v>
      </c>
      <c r="DZ55" s="564">
        <v>0</v>
      </c>
      <c r="EA55" s="568">
        <f t="shared" si="268"/>
        <v>0</v>
      </c>
      <c r="EB55" s="567">
        <v>0</v>
      </c>
      <c r="EC55" s="564">
        <v>0</v>
      </c>
      <c r="ED55" s="564">
        <v>0</v>
      </c>
      <c r="EE55" s="564">
        <v>0</v>
      </c>
      <c r="EF55" s="564">
        <v>0</v>
      </c>
      <c r="EG55" s="564">
        <v>0</v>
      </c>
      <c r="EH55" s="564">
        <v>0</v>
      </c>
      <c r="EI55" s="564">
        <v>0</v>
      </c>
      <c r="EJ55" s="564">
        <v>0</v>
      </c>
      <c r="EK55" s="564">
        <v>0</v>
      </c>
      <c r="EL55" s="564">
        <v>0</v>
      </c>
      <c r="EM55" s="566">
        <v>0</v>
      </c>
      <c r="EN55" s="564">
        <f t="shared" si="270"/>
        <v>0</v>
      </c>
      <c r="EO55" s="567">
        <v>0</v>
      </c>
      <c r="EP55" s="564">
        <v>0</v>
      </c>
      <c r="EQ55" s="564">
        <v>0</v>
      </c>
      <c r="ER55" s="564">
        <v>0</v>
      </c>
      <c r="ES55" s="564">
        <v>0</v>
      </c>
      <c r="ET55" s="564">
        <v>0</v>
      </c>
      <c r="EU55" s="564">
        <v>0</v>
      </c>
      <c r="EV55" s="564">
        <v>0</v>
      </c>
      <c r="EW55" s="564">
        <v>0</v>
      </c>
      <c r="EX55" s="564">
        <v>0</v>
      </c>
      <c r="EY55" s="564">
        <v>0</v>
      </c>
      <c r="EZ55" s="564">
        <v>0</v>
      </c>
      <c r="FA55" s="568">
        <f t="shared" si="272"/>
        <v>0</v>
      </c>
      <c r="FB55" s="567">
        <v>0</v>
      </c>
      <c r="FC55" s="564">
        <v>0</v>
      </c>
      <c r="FD55" s="564">
        <v>0</v>
      </c>
      <c r="FE55" s="564">
        <v>0</v>
      </c>
      <c r="FF55" s="564">
        <v>0</v>
      </c>
      <c r="FG55" s="564">
        <v>0</v>
      </c>
      <c r="FH55" s="564">
        <v>0</v>
      </c>
      <c r="FI55" s="564">
        <v>0</v>
      </c>
      <c r="FJ55" s="564">
        <v>0</v>
      </c>
      <c r="FK55" s="564">
        <v>0</v>
      </c>
      <c r="FL55" s="564">
        <v>0</v>
      </c>
      <c r="FM55" s="566">
        <v>0</v>
      </c>
      <c r="FN55" s="566">
        <f t="shared" si="274"/>
        <v>0</v>
      </c>
      <c r="FO55" s="564">
        <v>0</v>
      </c>
      <c r="FP55" s="564">
        <v>0</v>
      </c>
      <c r="FQ55" s="564">
        <v>0</v>
      </c>
      <c r="FR55" s="564">
        <v>0</v>
      </c>
      <c r="FS55" s="564">
        <v>0</v>
      </c>
      <c r="FT55" s="564">
        <v>0</v>
      </c>
      <c r="FU55" s="564">
        <v>0</v>
      </c>
      <c r="FV55" s="564">
        <v>0</v>
      </c>
      <c r="FW55" s="564">
        <v>0</v>
      </c>
      <c r="FX55" s="564">
        <v>0</v>
      </c>
      <c r="FY55" s="564">
        <v>0</v>
      </c>
      <c r="FZ55" s="566">
        <v>0</v>
      </c>
      <c r="GA55" s="566">
        <f t="shared" si="276"/>
        <v>0</v>
      </c>
      <c r="GB55" s="564">
        <v>0</v>
      </c>
      <c r="GC55" s="564">
        <v>0</v>
      </c>
      <c r="GD55" s="564">
        <v>0</v>
      </c>
      <c r="GE55" s="564">
        <v>0</v>
      </c>
      <c r="GF55" s="564">
        <v>0</v>
      </c>
      <c r="GG55" s="564">
        <v>0</v>
      </c>
      <c r="GH55" s="564">
        <v>0</v>
      </c>
      <c r="GI55" s="564">
        <v>0</v>
      </c>
      <c r="GJ55" s="564">
        <v>0</v>
      </c>
      <c r="GK55" s="564">
        <v>0</v>
      </c>
      <c r="GL55" s="564">
        <v>0</v>
      </c>
      <c r="GM55" s="564">
        <v>0</v>
      </c>
      <c r="GN55" s="447">
        <f t="shared" si="168"/>
        <v>0</v>
      </c>
      <c r="GO55" s="564">
        <v>0</v>
      </c>
      <c r="GP55" s="564">
        <v>0</v>
      </c>
      <c r="GQ55" s="564">
        <v>0</v>
      </c>
      <c r="GR55" s="564">
        <v>0</v>
      </c>
      <c r="GS55" s="564">
        <v>0</v>
      </c>
      <c r="GT55" s="564">
        <v>0</v>
      </c>
      <c r="GU55" s="564">
        <v>0</v>
      </c>
      <c r="GV55" s="564">
        <v>0</v>
      </c>
      <c r="GW55" s="564">
        <v>0</v>
      </c>
      <c r="GX55" s="564">
        <v>0</v>
      </c>
      <c r="GY55" s="564">
        <v>0</v>
      </c>
      <c r="GZ55" s="566">
        <v>0</v>
      </c>
      <c r="HA55" s="566">
        <f t="shared" si="293"/>
        <v>0</v>
      </c>
      <c r="HB55" s="567">
        <v>0</v>
      </c>
      <c r="HC55" s="564">
        <v>0</v>
      </c>
      <c r="HD55" s="564">
        <v>0</v>
      </c>
      <c r="HE55" s="564">
        <v>0</v>
      </c>
      <c r="HF55" s="564">
        <v>0</v>
      </c>
      <c r="HG55" s="564">
        <v>0</v>
      </c>
      <c r="HH55" s="564">
        <v>0</v>
      </c>
      <c r="HI55" s="564">
        <v>0</v>
      </c>
      <c r="HJ55" s="564">
        <v>0</v>
      </c>
      <c r="HK55" s="564">
        <v>0</v>
      </c>
      <c r="HL55" s="569">
        <v>0</v>
      </c>
      <c r="HM55" s="570">
        <v>0</v>
      </c>
      <c r="HN55" s="568">
        <f t="shared" ref="HN55:HN78" si="307">SUM(HB55:HM55)</f>
        <v>0</v>
      </c>
      <c r="HO55" s="567">
        <v>0</v>
      </c>
      <c r="HP55" s="564">
        <v>0</v>
      </c>
      <c r="HQ55" s="564">
        <v>0</v>
      </c>
      <c r="HR55" s="564">
        <v>0</v>
      </c>
      <c r="HS55" s="564">
        <v>0</v>
      </c>
      <c r="HT55" s="564">
        <v>0</v>
      </c>
      <c r="HU55" s="564">
        <v>0</v>
      </c>
      <c r="HV55" s="564">
        <v>0</v>
      </c>
      <c r="HW55" s="564">
        <v>0</v>
      </c>
      <c r="HX55" s="564">
        <v>0</v>
      </c>
      <c r="HY55" s="564">
        <v>0</v>
      </c>
      <c r="HZ55" s="564">
        <v>0</v>
      </c>
      <c r="IA55" s="568">
        <f t="shared" si="296"/>
        <v>0</v>
      </c>
      <c r="IB55" s="567">
        <v>0</v>
      </c>
      <c r="IC55" s="564">
        <v>0</v>
      </c>
      <c r="ID55" s="564">
        <v>0</v>
      </c>
      <c r="IE55" s="564">
        <v>0</v>
      </c>
      <c r="IF55" s="564">
        <v>0</v>
      </c>
      <c r="IG55" s="564">
        <v>0</v>
      </c>
      <c r="IH55" s="564">
        <v>0</v>
      </c>
      <c r="II55" s="564">
        <v>0</v>
      </c>
      <c r="IJ55" s="564">
        <v>0</v>
      </c>
      <c r="IK55" s="564">
        <v>0</v>
      </c>
      <c r="IL55" s="564">
        <v>0</v>
      </c>
      <c r="IM55" s="564">
        <v>0</v>
      </c>
      <c r="IN55" s="568">
        <f t="shared" si="298"/>
        <v>0</v>
      </c>
      <c r="IO55" s="564">
        <v>0</v>
      </c>
      <c r="IP55" s="564">
        <v>0</v>
      </c>
      <c r="IQ55" s="564">
        <v>0</v>
      </c>
      <c r="IR55" s="564">
        <v>0</v>
      </c>
      <c r="IS55" s="569">
        <v>0</v>
      </c>
      <c r="IT55" s="569">
        <v>0</v>
      </c>
      <c r="IU55" s="569">
        <v>0</v>
      </c>
      <c r="IV55" s="569">
        <v>0</v>
      </c>
      <c r="IW55" s="569">
        <v>0</v>
      </c>
      <c r="IX55" s="569">
        <v>0</v>
      </c>
      <c r="IY55" s="569">
        <v>0</v>
      </c>
      <c r="IZ55" s="569">
        <v>0</v>
      </c>
      <c r="JA55" s="1383">
        <f t="shared" si="300"/>
        <v>0</v>
      </c>
      <c r="JB55" s="1324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N55" s="1059">
        <f t="shared" si="303"/>
        <v>0</v>
      </c>
      <c r="JP55" s="1055" t="str">
        <f t="shared" si="304"/>
        <v>-</v>
      </c>
      <c r="JQ55" s="572" t="str">
        <f>IFERROR(((JS55/JR55)-1)*100,"-")</f>
        <v>-</v>
      </c>
      <c r="JR55" s="565">
        <f t="shared" si="305"/>
        <v>0</v>
      </c>
      <c r="JS55" s="565">
        <f t="shared" si="306"/>
        <v>0</v>
      </c>
    </row>
    <row r="56" spans="1:279" ht="13.9" customHeight="1" x14ac:dyDescent="0.2">
      <c r="A56" s="563" t="s">
        <v>411</v>
      </c>
      <c r="CO56" s="564">
        <v>0</v>
      </c>
      <c r="CP56" s="564">
        <v>0</v>
      </c>
      <c r="CQ56" s="564">
        <v>0</v>
      </c>
      <c r="CR56" s="564">
        <v>0</v>
      </c>
      <c r="CS56" s="564">
        <v>0</v>
      </c>
      <c r="CT56" s="564">
        <v>0</v>
      </c>
      <c r="CU56" s="564">
        <v>0</v>
      </c>
      <c r="CV56" s="564">
        <v>0</v>
      </c>
      <c r="CW56" s="564">
        <v>0</v>
      </c>
      <c r="CX56" s="564">
        <v>0</v>
      </c>
      <c r="CY56" s="564">
        <v>0</v>
      </c>
      <c r="CZ56" s="564">
        <v>0</v>
      </c>
      <c r="DA56" s="565">
        <f t="shared" si="264"/>
        <v>0</v>
      </c>
      <c r="DB56" s="564">
        <v>0</v>
      </c>
      <c r="DC56" s="564">
        <v>0</v>
      </c>
      <c r="DD56" s="564">
        <v>0</v>
      </c>
      <c r="DE56" s="564">
        <v>0</v>
      </c>
      <c r="DF56" s="564">
        <v>0</v>
      </c>
      <c r="DG56" s="564">
        <v>0</v>
      </c>
      <c r="DH56" s="564">
        <v>0</v>
      </c>
      <c r="DI56" s="564">
        <v>0</v>
      </c>
      <c r="DJ56" s="564">
        <v>0</v>
      </c>
      <c r="DK56" s="564">
        <v>0</v>
      </c>
      <c r="DL56" s="564">
        <v>0</v>
      </c>
      <c r="DM56" s="566">
        <v>0</v>
      </c>
      <c r="DN56" s="566">
        <f t="shared" si="266"/>
        <v>0</v>
      </c>
      <c r="DO56" s="567">
        <v>0</v>
      </c>
      <c r="DP56" s="564">
        <v>0</v>
      </c>
      <c r="DQ56" s="564">
        <v>0</v>
      </c>
      <c r="DR56" s="564">
        <v>0</v>
      </c>
      <c r="DS56" s="564">
        <v>0</v>
      </c>
      <c r="DT56" s="564">
        <v>0</v>
      </c>
      <c r="DU56" s="564">
        <v>0</v>
      </c>
      <c r="DV56" s="564">
        <v>0</v>
      </c>
      <c r="DW56" s="564">
        <v>0</v>
      </c>
      <c r="DX56" s="564">
        <v>0</v>
      </c>
      <c r="DY56" s="564">
        <v>0</v>
      </c>
      <c r="DZ56" s="564">
        <v>0</v>
      </c>
      <c r="EA56" s="568">
        <f t="shared" si="268"/>
        <v>0</v>
      </c>
      <c r="EB56" s="567">
        <v>0</v>
      </c>
      <c r="EC56" s="564">
        <v>0</v>
      </c>
      <c r="ED56" s="564">
        <v>0</v>
      </c>
      <c r="EE56" s="564">
        <v>0</v>
      </c>
      <c r="EF56" s="564">
        <v>0</v>
      </c>
      <c r="EG56" s="564">
        <v>0</v>
      </c>
      <c r="EH56" s="564">
        <v>0</v>
      </c>
      <c r="EI56" s="564">
        <v>0</v>
      </c>
      <c r="EJ56" s="564">
        <v>386</v>
      </c>
      <c r="EK56" s="564">
        <v>110</v>
      </c>
      <c r="EL56" s="564">
        <v>0</v>
      </c>
      <c r="EM56" s="566">
        <v>0</v>
      </c>
      <c r="EN56" s="564">
        <f t="shared" si="270"/>
        <v>496</v>
      </c>
      <c r="EO56" s="567">
        <v>0</v>
      </c>
      <c r="EP56" s="564">
        <v>0</v>
      </c>
      <c r="EQ56" s="564">
        <v>0</v>
      </c>
      <c r="ER56" s="564">
        <v>464</v>
      </c>
      <c r="ES56" s="564">
        <v>0</v>
      </c>
      <c r="ET56" s="564">
        <v>0</v>
      </c>
      <c r="EU56" s="564">
        <v>1623</v>
      </c>
      <c r="EV56" s="564">
        <v>0</v>
      </c>
      <c r="EW56" s="564">
        <v>0</v>
      </c>
      <c r="EX56" s="564">
        <v>0</v>
      </c>
      <c r="EY56" s="564">
        <v>0</v>
      </c>
      <c r="EZ56" s="564">
        <v>0</v>
      </c>
      <c r="FA56" s="568">
        <f t="shared" si="272"/>
        <v>2087</v>
      </c>
      <c r="FB56" s="567">
        <v>0</v>
      </c>
      <c r="FC56" s="564">
        <v>0</v>
      </c>
      <c r="FD56" s="564">
        <v>0</v>
      </c>
      <c r="FE56" s="564"/>
      <c r="FF56" s="564">
        <v>1554</v>
      </c>
      <c r="FG56" s="564">
        <v>500</v>
      </c>
      <c r="FH56" s="564">
        <v>255</v>
      </c>
      <c r="FI56" s="564">
        <v>0</v>
      </c>
      <c r="FJ56" s="564">
        <v>2522</v>
      </c>
      <c r="FK56" s="564">
        <v>0</v>
      </c>
      <c r="FL56" s="564">
        <v>178</v>
      </c>
      <c r="FM56" s="566">
        <v>1298</v>
      </c>
      <c r="FN56" s="566">
        <f t="shared" si="274"/>
        <v>6307</v>
      </c>
      <c r="FO56" s="564">
        <v>0</v>
      </c>
      <c r="FP56" s="564">
        <v>0</v>
      </c>
      <c r="FQ56" s="564">
        <v>0</v>
      </c>
      <c r="FR56" s="564">
        <v>0</v>
      </c>
      <c r="FS56" s="564">
        <v>1800</v>
      </c>
      <c r="FT56" s="564">
        <v>0</v>
      </c>
      <c r="FU56" s="564">
        <v>2813</v>
      </c>
      <c r="FV56" s="564">
        <v>0</v>
      </c>
      <c r="FW56" s="564">
        <v>0</v>
      </c>
      <c r="FX56" s="564">
        <v>0</v>
      </c>
      <c r="FY56" s="564">
        <v>0</v>
      </c>
      <c r="FZ56" s="566">
        <v>0</v>
      </c>
      <c r="GA56" s="566">
        <f t="shared" si="276"/>
        <v>4613</v>
      </c>
      <c r="GB56" s="564">
        <v>0</v>
      </c>
      <c r="GC56" s="564">
        <v>0</v>
      </c>
      <c r="GD56" s="564">
        <v>0</v>
      </c>
      <c r="GE56" s="564">
        <v>0</v>
      </c>
      <c r="GF56" s="564">
        <v>0</v>
      </c>
      <c r="GG56" s="564">
        <v>0</v>
      </c>
      <c r="GH56" s="564">
        <v>1080</v>
      </c>
      <c r="GI56" s="564">
        <v>0</v>
      </c>
      <c r="GJ56" s="564">
        <v>2520</v>
      </c>
      <c r="GK56" s="564">
        <v>0</v>
      </c>
      <c r="GL56" s="564">
        <v>0</v>
      </c>
      <c r="GM56" s="564">
        <v>0</v>
      </c>
      <c r="GN56" s="447">
        <f t="shared" si="168"/>
        <v>3600</v>
      </c>
      <c r="GO56" s="564">
        <v>0</v>
      </c>
      <c r="GP56" s="564">
        <v>720</v>
      </c>
      <c r="GQ56" s="564">
        <v>0</v>
      </c>
      <c r="GR56" s="564">
        <v>0</v>
      </c>
      <c r="GS56" s="564">
        <v>0</v>
      </c>
      <c r="GT56" s="564">
        <v>0</v>
      </c>
      <c r="GU56" s="564">
        <v>0</v>
      </c>
      <c r="GV56" s="564">
        <v>0</v>
      </c>
      <c r="GW56" s="564">
        <v>0</v>
      </c>
      <c r="GX56" s="564">
        <v>0</v>
      </c>
      <c r="GY56" s="564">
        <v>1280</v>
      </c>
      <c r="GZ56" s="566">
        <v>0</v>
      </c>
      <c r="HA56" s="566">
        <f t="shared" si="293"/>
        <v>2000</v>
      </c>
      <c r="HB56" s="567">
        <v>0</v>
      </c>
      <c r="HC56" s="564">
        <v>0</v>
      </c>
      <c r="HD56" s="564">
        <v>0</v>
      </c>
      <c r="HE56" s="564">
        <v>0</v>
      </c>
      <c r="HF56" s="564">
        <v>0</v>
      </c>
      <c r="HG56" s="564">
        <v>0</v>
      </c>
      <c r="HH56" s="564">
        <v>0</v>
      </c>
      <c r="HI56" s="564">
        <v>0</v>
      </c>
      <c r="HJ56" s="564">
        <v>0</v>
      </c>
      <c r="HK56" s="564">
        <v>0</v>
      </c>
      <c r="HL56" s="569">
        <v>12</v>
      </c>
      <c r="HM56" s="570">
        <v>24</v>
      </c>
      <c r="HN56" s="568">
        <f t="shared" si="307"/>
        <v>36</v>
      </c>
      <c r="HO56" s="567">
        <v>0</v>
      </c>
      <c r="HP56" s="564">
        <v>0</v>
      </c>
      <c r="HQ56" s="564">
        <v>0</v>
      </c>
      <c r="HR56" s="564">
        <v>0</v>
      </c>
      <c r="HS56" s="564">
        <v>0</v>
      </c>
      <c r="HT56" s="564">
        <v>0</v>
      </c>
      <c r="HU56" s="564">
        <v>0</v>
      </c>
      <c r="HV56" s="564">
        <v>0</v>
      </c>
      <c r="HW56" s="564">
        <v>0</v>
      </c>
      <c r="HX56" s="564">
        <v>0</v>
      </c>
      <c r="HY56" s="564">
        <v>0</v>
      </c>
      <c r="HZ56" s="564">
        <v>0</v>
      </c>
      <c r="IA56" s="568">
        <f t="shared" si="296"/>
        <v>0</v>
      </c>
      <c r="IB56" s="567">
        <v>0</v>
      </c>
      <c r="IC56" s="564">
        <v>0</v>
      </c>
      <c r="ID56" s="564">
        <v>0</v>
      </c>
      <c r="IE56" s="564">
        <v>0</v>
      </c>
      <c r="IF56" s="564">
        <v>0</v>
      </c>
      <c r="IG56" s="564">
        <v>0</v>
      </c>
      <c r="IH56" s="564">
        <v>0</v>
      </c>
      <c r="II56" s="564">
        <v>0</v>
      </c>
      <c r="IJ56" s="564">
        <v>0</v>
      </c>
      <c r="IK56" s="564">
        <v>0</v>
      </c>
      <c r="IL56" s="564">
        <v>0</v>
      </c>
      <c r="IM56" s="564">
        <v>0</v>
      </c>
      <c r="IN56" s="568">
        <f t="shared" si="298"/>
        <v>0</v>
      </c>
      <c r="IO56" s="564">
        <v>0</v>
      </c>
      <c r="IP56" s="564">
        <v>0</v>
      </c>
      <c r="IQ56" s="564">
        <v>0</v>
      </c>
      <c r="IR56" s="564">
        <v>0</v>
      </c>
      <c r="IS56" s="569">
        <v>0</v>
      </c>
      <c r="IT56" s="569">
        <v>0</v>
      </c>
      <c r="IU56" s="569">
        <v>0</v>
      </c>
      <c r="IV56" s="569">
        <v>0</v>
      </c>
      <c r="IW56" s="569">
        <v>0</v>
      </c>
      <c r="IX56" s="569">
        <v>0</v>
      </c>
      <c r="IY56" s="569">
        <v>0</v>
      </c>
      <c r="IZ56" s="569">
        <v>0</v>
      </c>
      <c r="JA56" s="1383">
        <f t="shared" si="300"/>
        <v>0</v>
      </c>
      <c r="JB56" s="1324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N56" s="1059">
        <f t="shared" si="303"/>
        <v>0</v>
      </c>
      <c r="JP56" s="1056" t="str">
        <f t="shared" si="304"/>
        <v>-</v>
      </c>
      <c r="JQ56" s="572" t="str">
        <f t="shared" ref="JQ56:JQ78" si="308">IFERROR(((JS56/JR56)-1)*100,"-")</f>
        <v>-</v>
      </c>
      <c r="JR56" s="565">
        <f t="shared" si="305"/>
        <v>0</v>
      </c>
      <c r="JS56" s="565">
        <f t="shared" si="306"/>
        <v>0</v>
      </c>
    </row>
    <row r="57" spans="1:279" s="498" customFormat="1" ht="13.9" customHeight="1" x14ac:dyDescent="0.2">
      <c r="A57" s="573" t="s">
        <v>412</v>
      </c>
      <c r="CO57" s="574">
        <f t="shared" ref="CO57:CZ57" si="309">SUM(CO58:CO60)</f>
        <v>1</v>
      </c>
      <c r="CP57" s="574">
        <f t="shared" si="309"/>
        <v>3096</v>
      </c>
      <c r="CQ57" s="574">
        <f t="shared" si="309"/>
        <v>963</v>
      </c>
      <c r="CR57" s="574">
        <f t="shared" si="309"/>
        <v>5666</v>
      </c>
      <c r="CS57" s="574">
        <f t="shared" si="309"/>
        <v>6376</v>
      </c>
      <c r="CT57" s="574">
        <f t="shared" si="309"/>
        <v>417</v>
      </c>
      <c r="CU57" s="574">
        <f t="shared" si="309"/>
        <v>4598</v>
      </c>
      <c r="CV57" s="574">
        <f t="shared" si="309"/>
        <v>190</v>
      </c>
      <c r="CW57" s="574">
        <f t="shared" si="309"/>
        <v>913</v>
      </c>
      <c r="CX57" s="574">
        <f t="shared" si="309"/>
        <v>10739</v>
      </c>
      <c r="CY57" s="574">
        <f t="shared" si="309"/>
        <v>685</v>
      </c>
      <c r="CZ57" s="574">
        <f t="shared" si="309"/>
        <v>3320</v>
      </c>
      <c r="DA57" s="575">
        <f t="shared" si="264"/>
        <v>36964</v>
      </c>
      <c r="DB57" s="574">
        <f t="shared" ref="DB57:DM57" si="310">SUM(DB58:DB60)</f>
        <v>0</v>
      </c>
      <c r="DC57" s="574">
        <f t="shared" si="310"/>
        <v>9248</v>
      </c>
      <c r="DD57" s="574">
        <f t="shared" si="310"/>
        <v>2376</v>
      </c>
      <c r="DE57" s="574">
        <f t="shared" si="310"/>
        <v>10229</v>
      </c>
      <c r="DF57" s="574">
        <f t="shared" si="310"/>
        <v>3</v>
      </c>
      <c r="DG57" s="574">
        <f t="shared" si="310"/>
        <v>1679</v>
      </c>
      <c r="DH57" s="574">
        <f t="shared" si="310"/>
        <v>4433</v>
      </c>
      <c r="DI57" s="574">
        <f t="shared" si="310"/>
        <v>0</v>
      </c>
      <c r="DJ57" s="574">
        <f t="shared" si="310"/>
        <v>10554</v>
      </c>
      <c r="DK57" s="574">
        <f t="shared" si="310"/>
        <v>2029</v>
      </c>
      <c r="DL57" s="574">
        <f t="shared" si="310"/>
        <v>0.40500000000000003</v>
      </c>
      <c r="DM57" s="576">
        <f t="shared" si="310"/>
        <v>431</v>
      </c>
      <c r="DN57" s="576">
        <f t="shared" si="266"/>
        <v>40982.404999999999</v>
      </c>
      <c r="DO57" s="577">
        <f t="shared" ref="DO57:EJ57" si="311">SUM(DO58:DO60)</f>
        <v>6547</v>
      </c>
      <c r="DP57" s="574">
        <f t="shared" si="311"/>
        <v>0.109</v>
      </c>
      <c r="DQ57" s="574">
        <f t="shared" si="311"/>
        <v>35287</v>
      </c>
      <c r="DR57" s="574">
        <f t="shared" si="311"/>
        <v>0</v>
      </c>
      <c r="DS57" s="574">
        <f t="shared" si="311"/>
        <v>2264</v>
      </c>
      <c r="DT57" s="574">
        <f t="shared" si="311"/>
        <v>718</v>
      </c>
      <c r="DU57" s="574">
        <f t="shared" si="311"/>
        <v>3639</v>
      </c>
      <c r="DV57" s="574">
        <f t="shared" si="311"/>
        <v>5617</v>
      </c>
      <c r="DW57" s="574">
        <f t="shared" si="311"/>
        <v>3295</v>
      </c>
      <c r="DX57" s="574">
        <f t="shared" si="311"/>
        <v>3869</v>
      </c>
      <c r="DY57" s="574">
        <f t="shared" si="311"/>
        <v>669</v>
      </c>
      <c r="DZ57" s="574">
        <f t="shared" si="311"/>
        <v>9946</v>
      </c>
      <c r="EA57" s="578">
        <f t="shared" si="268"/>
        <v>71851.108999999997</v>
      </c>
      <c r="EB57" s="577">
        <f t="shared" si="311"/>
        <v>15986</v>
      </c>
      <c r="EC57" s="574">
        <f t="shared" si="311"/>
        <v>3737</v>
      </c>
      <c r="ED57" s="574">
        <f t="shared" si="311"/>
        <v>1234</v>
      </c>
      <c r="EE57" s="574">
        <f t="shared" si="311"/>
        <v>902</v>
      </c>
      <c r="EF57" s="574">
        <f t="shared" si="311"/>
        <v>531</v>
      </c>
      <c r="EG57" s="574">
        <f t="shared" si="311"/>
        <v>102</v>
      </c>
      <c r="EH57" s="574">
        <f>SUM(EH58:EH61)</f>
        <v>4278</v>
      </c>
      <c r="EI57" s="574">
        <f t="shared" si="311"/>
        <v>1017</v>
      </c>
      <c r="EJ57" s="574">
        <f t="shared" si="311"/>
        <v>142</v>
      </c>
      <c r="EK57" s="574">
        <f>SUM(EK58:EK61)</f>
        <v>70</v>
      </c>
      <c r="EL57" s="574">
        <f>SUM(EL58:EL61)</f>
        <v>4953</v>
      </c>
      <c r="EM57" s="576">
        <f>SUM(EM58:EM61)</f>
        <v>6362</v>
      </c>
      <c r="EN57" s="574">
        <f t="shared" si="270"/>
        <v>39314</v>
      </c>
      <c r="EO57" s="577">
        <f t="shared" ref="EO57:EZ57" si="312">SUM(EO58:EO61)</f>
        <v>0</v>
      </c>
      <c r="EP57" s="574">
        <f t="shared" si="312"/>
        <v>4795</v>
      </c>
      <c r="EQ57" s="574">
        <f t="shared" si="312"/>
        <v>14678</v>
      </c>
      <c r="ER57" s="574">
        <f t="shared" si="312"/>
        <v>0</v>
      </c>
      <c r="ES57" s="574">
        <f t="shared" si="312"/>
        <v>0</v>
      </c>
      <c r="ET57" s="574">
        <f t="shared" si="312"/>
        <v>766</v>
      </c>
      <c r="EU57" s="574">
        <f t="shared" si="312"/>
        <v>206</v>
      </c>
      <c r="EV57" s="574">
        <f t="shared" si="312"/>
        <v>9231</v>
      </c>
      <c r="EW57" s="574">
        <f t="shared" si="312"/>
        <v>80</v>
      </c>
      <c r="EX57" s="574">
        <f t="shared" si="312"/>
        <v>17</v>
      </c>
      <c r="EY57" s="574">
        <f t="shared" si="312"/>
        <v>1634</v>
      </c>
      <c r="EZ57" s="574">
        <f t="shared" si="312"/>
        <v>3860</v>
      </c>
      <c r="FA57" s="578">
        <f t="shared" si="272"/>
        <v>35267</v>
      </c>
      <c r="FB57" s="577">
        <f t="shared" ref="FB57:FM57" si="313">SUM(FB58:FB61)</f>
        <v>0</v>
      </c>
      <c r="FC57" s="574">
        <f t="shared" si="313"/>
        <v>8920</v>
      </c>
      <c r="FD57" s="574">
        <f t="shared" si="313"/>
        <v>88</v>
      </c>
      <c r="FE57" s="574">
        <f t="shared" si="313"/>
        <v>20166</v>
      </c>
      <c r="FF57" s="574">
        <f t="shared" si="313"/>
        <v>308</v>
      </c>
      <c r="FG57" s="574">
        <f t="shared" si="313"/>
        <v>135</v>
      </c>
      <c r="FH57" s="574">
        <f t="shared" si="313"/>
        <v>9143</v>
      </c>
      <c r="FI57" s="574">
        <f t="shared" si="313"/>
        <v>40</v>
      </c>
      <c r="FJ57" s="574">
        <f t="shared" si="313"/>
        <v>857</v>
      </c>
      <c r="FK57" s="574">
        <f t="shared" si="313"/>
        <v>42</v>
      </c>
      <c r="FL57" s="574">
        <f t="shared" si="313"/>
        <v>3994</v>
      </c>
      <c r="FM57" s="576">
        <f t="shared" si="313"/>
        <v>992</v>
      </c>
      <c r="FN57" s="576">
        <f t="shared" si="274"/>
        <v>44685</v>
      </c>
      <c r="FO57" s="574">
        <f t="shared" ref="FO57:FZ57" si="314">SUM(FO58:FO61)</f>
        <v>25751</v>
      </c>
      <c r="FP57" s="574">
        <f t="shared" si="314"/>
        <v>0</v>
      </c>
      <c r="FQ57" s="574">
        <f t="shared" si="314"/>
        <v>0</v>
      </c>
      <c r="FR57" s="574">
        <f t="shared" si="314"/>
        <v>145</v>
      </c>
      <c r="FS57" s="574">
        <f t="shared" si="314"/>
        <v>45</v>
      </c>
      <c r="FT57" s="574">
        <f t="shared" si="314"/>
        <v>0</v>
      </c>
      <c r="FU57" s="574">
        <f t="shared" si="314"/>
        <v>1066</v>
      </c>
      <c r="FV57" s="574">
        <f t="shared" si="314"/>
        <v>100</v>
      </c>
      <c r="FW57" s="574">
        <f t="shared" si="314"/>
        <v>3483</v>
      </c>
      <c r="FX57" s="574">
        <f t="shared" si="314"/>
        <v>150</v>
      </c>
      <c r="FY57" s="574">
        <f t="shared" si="314"/>
        <v>3520</v>
      </c>
      <c r="FZ57" s="576">
        <f t="shared" si="314"/>
        <v>943</v>
      </c>
      <c r="GA57" s="576">
        <f t="shared" si="276"/>
        <v>35203</v>
      </c>
      <c r="GB57" s="574">
        <f t="shared" ref="GB57:GM57" si="315">SUM(GB58:GB61)</f>
        <v>858</v>
      </c>
      <c r="GC57" s="574">
        <f t="shared" si="315"/>
        <v>17468</v>
      </c>
      <c r="GD57" s="574">
        <f t="shared" si="315"/>
        <v>405</v>
      </c>
      <c r="GE57" s="574">
        <f t="shared" si="315"/>
        <v>59</v>
      </c>
      <c r="GF57" s="574">
        <f t="shared" si="315"/>
        <v>0</v>
      </c>
      <c r="GG57" s="574">
        <f t="shared" si="315"/>
        <v>0</v>
      </c>
      <c r="GH57" s="574">
        <f t="shared" si="315"/>
        <v>416</v>
      </c>
      <c r="GI57" s="574">
        <f t="shared" si="315"/>
        <v>3524</v>
      </c>
      <c r="GJ57" s="574">
        <f t="shared" si="315"/>
        <v>2869</v>
      </c>
      <c r="GK57" s="574">
        <f t="shared" si="315"/>
        <v>1094</v>
      </c>
      <c r="GL57" s="574">
        <f t="shared" si="315"/>
        <v>621</v>
      </c>
      <c r="GM57" s="574">
        <f t="shared" si="315"/>
        <v>8203</v>
      </c>
      <c r="GN57" s="447">
        <f t="shared" si="168"/>
        <v>35517</v>
      </c>
      <c r="GO57" s="574">
        <f t="shared" ref="GO57:GZ57" si="316">SUM(GO58:GO61)</f>
        <v>994</v>
      </c>
      <c r="GP57" s="574">
        <f t="shared" si="316"/>
        <v>24429</v>
      </c>
      <c r="GQ57" s="574">
        <f t="shared" si="316"/>
        <v>84</v>
      </c>
      <c r="GR57" s="574">
        <f t="shared" si="316"/>
        <v>137</v>
      </c>
      <c r="GS57" s="574">
        <f t="shared" si="316"/>
        <v>0</v>
      </c>
      <c r="GT57" s="574">
        <f t="shared" si="316"/>
        <v>1852</v>
      </c>
      <c r="GU57" s="574">
        <f t="shared" si="316"/>
        <v>4236</v>
      </c>
      <c r="GV57" s="574">
        <f t="shared" si="316"/>
        <v>1454</v>
      </c>
      <c r="GW57" s="574">
        <f t="shared" si="316"/>
        <v>1698</v>
      </c>
      <c r="GX57" s="574">
        <f t="shared" si="316"/>
        <v>456</v>
      </c>
      <c r="GY57" s="574">
        <f t="shared" si="316"/>
        <v>7140</v>
      </c>
      <c r="GZ57" s="576">
        <f t="shared" si="316"/>
        <v>1482</v>
      </c>
      <c r="HA57" s="576">
        <f t="shared" si="293"/>
        <v>43962</v>
      </c>
      <c r="HB57" s="577">
        <f t="shared" ref="HB57:HM57" si="317">SUM(HB58:HB61)</f>
        <v>0</v>
      </c>
      <c r="HC57" s="574">
        <f t="shared" si="317"/>
        <v>1003</v>
      </c>
      <c r="HD57" s="574">
        <f t="shared" si="317"/>
        <v>31948</v>
      </c>
      <c r="HE57" s="574">
        <f t="shared" si="317"/>
        <v>868</v>
      </c>
      <c r="HF57" s="574">
        <f t="shared" si="317"/>
        <v>3</v>
      </c>
      <c r="HG57" s="574">
        <f t="shared" si="317"/>
        <v>4042</v>
      </c>
      <c r="HH57" s="574">
        <f t="shared" si="317"/>
        <v>2474</v>
      </c>
      <c r="HI57" s="574">
        <f t="shared" si="317"/>
        <v>2300</v>
      </c>
      <c r="HJ57" s="574">
        <f t="shared" si="317"/>
        <v>13823</v>
      </c>
      <c r="HK57" s="574">
        <f t="shared" si="317"/>
        <v>367</v>
      </c>
      <c r="HL57" s="579">
        <f t="shared" si="317"/>
        <v>9546</v>
      </c>
      <c r="HM57" s="580">
        <f t="shared" si="317"/>
        <v>1463</v>
      </c>
      <c r="HN57" s="578">
        <f t="shared" si="307"/>
        <v>67837</v>
      </c>
      <c r="HO57" s="577">
        <f t="shared" ref="HO57:HZ57" si="318">SUM(HO58:HO61)</f>
        <v>10522</v>
      </c>
      <c r="HP57" s="574">
        <f t="shared" si="318"/>
        <v>24263</v>
      </c>
      <c r="HQ57" s="574">
        <f t="shared" si="318"/>
        <v>1445</v>
      </c>
      <c r="HR57" s="574">
        <f t="shared" si="318"/>
        <v>1036</v>
      </c>
      <c r="HS57" s="574">
        <f t="shared" si="318"/>
        <v>5145</v>
      </c>
      <c r="HT57" s="574">
        <f t="shared" si="318"/>
        <v>1220</v>
      </c>
      <c r="HU57" s="574">
        <f t="shared" si="318"/>
        <v>898</v>
      </c>
      <c r="HV57" s="574">
        <f t="shared" si="318"/>
        <v>1171</v>
      </c>
      <c r="HW57" s="574">
        <f t="shared" si="318"/>
        <v>0</v>
      </c>
      <c r="HX57" s="574">
        <f t="shared" si="318"/>
        <v>366</v>
      </c>
      <c r="HY57" s="574">
        <f t="shared" si="318"/>
        <v>3535</v>
      </c>
      <c r="HZ57" s="574">
        <f t="shared" si="318"/>
        <v>363</v>
      </c>
      <c r="IA57" s="578">
        <f t="shared" si="296"/>
        <v>49964</v>
      </c>
      <c r="IB57" s="577">
        <f t="shared" ref="IB57:IM57" si="319">SUM(IB58:IB61)</f>
        <v>0</v>
      </c>
      <c r="IC57" s="574">
        <f t="shared" si="319"/>
        <v>43538</v>
      </c>
      <c r="ID57" s="574">
        <f t="shared" si="319"/>
        <v>4469</v>
      </c>
      <c r="IE57" s="574">
        <f t="shared" si="319"/>
        <v>639</v>
      </c>
      <c r="IF57" s="574">
        <f t="shared" si="319"/>
        <v>4750</v>
      </c>
      <c r="IG57" s="574">
        <f t="shared" si="319"/>
        <v>1391</v>
      </c>
      <c r="IH57" s="574">
        <f t="shared" si="319"/>
        <v>1080</v>
      </c>
      <c r="II57" s="574">
        <f t="shared" si="319"/>
        <v>1565</v>
      </c>
      <c r="IJ57" s="574">
        <f t="shared" si="319"/>
        <v>0</v>
      </c>
      <c r="IK57" s="574">
        <f t="shared" si="319"/>
        <v>1052</v>
      </c>
      <c r="IL57" s="574">
        <f t="shared" si="319"/>
        <v>14</v>
      </c>
      <c r="IM57" s="574">
        <f t="shared" si="319"/>
        <v>2290</v>
      </c>
      <c r="IN57" s="578">
        <f t="shared" si="298"/>
        <v>60788</v>
      </c>
      <c r="IO57" s="574">
        <f t="shared" ref="IO57:IZ57" si="320">SUM(IO58:IO61)</f>
        <v>1803</v>
      </c>
      <c r="IP57" s="574">
        <f t="shared" si="320"/>
        <v>37844</v>
      </c>
      <c r="IQ57" s="574">
        <f t="shared" si="320"/>
        <v>2790</v>
      </c>
      <c r="IR57" s="574">
        <f t="shared" si="320"/>
        <v>0</v>
      </c>
      <c r="IS57" s="579">
        <f t="shared" si="320"/>
        <v>0</v>
      </c>
      <c r="IT57" s="579">
        <f t="shared" si="320"/>
        <v>8576</v>
      </c>
      <c r="IU57" s="579">
        <f t="shared" si="320"/>
        <v>688</v>
      </c>
      <c r="IV57" s="579">
        <f t="shared" si="320"/>
        <v>249</v>
      </c>
      <c r="IW57" s="579">
        <f t="shared" si="320"/>
        <v>490</v>
      </c>
      <c r="IX57" s="579">
        <f t="shared" si="320"/>
        <v>179</v>
      </c>
      <c r="IY57" s="579">
        <f t="shared" si="320"/>
        <v>2372</v>
      </c>
      <c r="IZ57" s="579">
        <f t="shared" si="320"/>
        <v>730</v>
      </c>
      <c r="JA57" s="1384">
        <f>SUM(IO57:IZ57)</f>
        <v>55721</v>
      </c>
      <c r="JB57" s="1328">
        <f t="shared" ref="JB57:JF57" si="321">SUM(JB58:JB61)</f>
        <v>50940</v>
      </c>
      <c r="JC57" s="129">
        <f t="shared" si="321"/>
        <v>0</v>
      </c>
      <c r="JD57" s="129">
        <f t="shared" si="321"/>
        <v>910</v>
      </c>
      <c r="JE57" s="129">
        <f t="shared" si="321"/>
        <v>-85</v>
      </c>
      <c r="JF57" s="129">
        <f t="shared" si="321"/>
        <v>0</v>
      </c>
      <c r="JG57" s="129">
        <v>0</v>
      </c>
      <c r="JH57" s="129">
        <v>0</v>
      </c>
      <c r="JI57" s="129">
        <v>6889</v>
      </c>
      <c r="JJ57" s="129"/>
      <c r="JK57" s="129"/>
      <c r="JL57" s="129"/>
      <c r="JM57" s="129"/>
      <c r="JN57" s="1343">
        <f t="shared" si="303"/>
        <v>58654</v>
      </c>
      <c r="JO57"/>
      <c r="JP57" s="1057">
        <f t="shared" si="304"/>
        <v>2666.666666666667</v>
      </c>
      <c r="JQ57" s="581">
        <f t="shared" si="308"/>
        <v>-1.9441770933590008</v>
      </c>
      <c r="JR57" s="575">
        <f t="shared" si="305"/>
        <v>51950</v>
      </c>
      <c r="JS57" s="575">
        <f t="shared" si="306"/>
        <v>50940</v>
      </c>
    </row>
    <row r="58" spans="1:279" ht="13.9" customHeight="1" x14ac:dyDescent="0.2">
      <c r="A58" s="563" t="s">
        <v>413</v>
      </c>
      <c r="CO58" s="564">
        <v>1</v>
      </c>
      <c r="CP58" s="564">
        <v>3096</v>
      </c>
      <c r="CQ58" s="564">
        <v>963</v>
      </c>
      <c r="CR58" s="564">
        <v>4746</v>
      </c>
      <c r="CS58" s="564">
        <v>6376</v>
      </c>
      <c r="CT58" s="564">
        <v>417</v>
      </c>
      <c r="CU58" s="564">
        <v>3643</v>
      </c>
      <c r="CV58" s="564">
        <v>190</v>
      </c>
      <c r="CW58" s="564">
        <v>413</v>
      </c>
      <c r="CX58" s="564">
        <v>10739</v>
      </c>
      <c r="CY58" s="564">
        <v>185</v>
      </c>
      <c r="CZ58" s="564">
        <v>3320</v>
      </c>
      <c r="DA58" s="565">
        <f t="shared" si="264"/>
        <v>34089</v>
      </c>
      <c r="DB58" s="564">
        <v>0</v>
      </c>
      <c r="DC58" s="564">
        <v>9248</v>
      </c>
      <c r="DD58" s="564">
        <v>2376</v>
      </c>
      <c r="DE58" s="564">
        <v>10229</v>
      </c>
      <c r="DF58" s="564">
        <v>3</v>
      </c>
      <c r="DG58" s="564">
        <v>1679</v>
      </c>
      <c r="DH58" s="564">
        <v>4433</v>
      </c>
      <c r="DI58" s="564">
        <v>0</v>
      </c>
      <c r="DJ58" s="564">
        <v>10554</v>
      </c>
      <c r="DK58" s="564">
        <v>2029</v>
      </c>
      <c r="DL58" s="564">
        <v>0.40500000000000003</v>
      </c>
      <c r="DM58" s="566">
        <v>431</v>
      </c>
      <c r="DN58" s="566">
        <f t="shared" si="266"/>
        <v>40982.404999999999</v>
      </c>
      <c r="DO58" s="567">
        <v>6547</v>
      </c>
      <c r="DP58" s="564">
        <v>0.109</v>
      </c>
      <c r="DQ58" s="564">
        <v>34942</v>
      </c>
      <c r="DR58" s="564">
        <v>0</v>
      </c>
      <c r="DS58" s="564">
        <v>1956</v>
      </c>
      <c r="DT58" s="564">
        <v>434</v>
      </c>
      <c r="DU58" s="564">
        <v>3031</v>
      </c>
      <c r="DV58" s="564">
        <v>4196</v>
      </c>
      <c r="DW58" s="564">
        <v>3099</v>
      </c>
      <c r="DX58" s="564">
        <v>3665</v>
      </c>
      <c r="DY58" s="564">
        <v>669</v>
      </c>
      <c r="DZ58" s="564">
        <v>8763</v>
      </c>
      <c r="EA58" s="568">
        <f t="shared" si="268"/>
        <v>67302.108999999997</v>
      </c>
      <c r="EB58" s="567">
        <v>15986</v>
      </c>
      <c r="EC58" s="564">
        <v>3737</v>
      </c>
      <c r="ED58" s="564">
        <v>1234</v>
      </c>
      <c r="EE58" s="564">
        <v>902</v>
      </c>
      <c r="EF58" s="564">
        <v>531</v>
      </c>
      <c r="EG58" s="564">
        <v>102</v>
      </c>
      <c r="EH58" s="564">
        <v>2519</v>
      </c>
      <c r="EI58" s="564">
        <v>423</v>
      </c>
      <c r="EJ58" s="564">
        <v>62</v>
      </c>
      <c r="EK58" s="564">
        <v>0</v>
      </c>
      <c r="EL58" s="564">
        <v>4456</v>
      </c>
      <c r="EM58" s="566">
        <v>2686</v>
      </c>
      <c r="EN58" s="564">
        <f t="shared" si="270"/>
        <v>32638</v>
      </c>
      <c r="EO58" s="567">
        <v>0</v>
      </c>
      <c r="EP58" s="564">
        <v>4795</v>
      </c>
      <c r="EQ58" s="564">
        <v>14678</v>
      </c>
      <c r="ER58" s="564">
        <v>0</v>
      </c>
      <c r="ES58" s="564">
        <v>0</v>
      </c>
      <c r="ET58" s="564">
        <v>766</v>
      </c>
      <c r="EU58" s="564">
        <v>56</v>
      </c>
      <c r="EV58" s="564">
        <v>7581</v>
      </c>
      <c r="EW58" s="564">
        <v>80</v>
      </c>
      <c r="EX58" s="564">
        <v>17</v>
      </c>
      <c r="EY58" s="564">
        <v>1235</v>
      </c>
      <c r="EZ58" s="564">
        <v>59</v>
      </c>
      <c r="FA58" s="568">
        <f t="shared" si="272"/>
        <v>29267</v>
      </c>
      <c r="FB58" s="567">
        <v>0</v>
      </c>
      <c r="FC58" s="564">
        <v>8920</v>
      </c>
      <c r="FD58" s="564">
        <v>88</v>
      </c>
      <c r="FE58" s="564">
        <v>20166</v>
      </c>
      <c r="FF58" s="564">
        <v>308</v>
      </c>
      <c r="FG58" s="564">
        <v>135</v>
      </c>
      <c r="FH58" s="564">
        <v>7780</v>
      </c>
      <c r="FI58" s="564">
        <v>0</v>
      </c>
      <c r="FJ58" s="564">
        <v>857</v>
      </c>
      <c r="FK58" s="564">
        <v>42</v>
      </c>
      <c r="FL58" s="564">
        <v>75</v>
      </c>
      <c r="FM58" s="566">
        <v>992</v>
      </c>
      <c r="FN58" s="566">
        <f t="shared" si="274"/>
        <v>39363</v>
      </c>
      <c r="FO58" s="564">
        <v>25723</v>
      </c>
      <c r="FP58" s="564">
        <v>0</v>
      </c>
      <c r="FQ58" s="564">
        <v>0</v>
      </c>
      <c r="FR58" s="564">
        <v>145</v>
      </c>
      <c r="FS58" s="564">
        <v>45</v>
      </c>
      <c r="FT58" s="564">
        <v>0</v>
      </c>
      <c r="FU58" s="564">
        <v>1066</v>
      </c>
      <c r="FV58" s="564">
        <v>100</v>
      </c>
      <c r="FW58" s="564">
        <v>109</v>
      </c>
      <c r="FX58" s="564">
        <v>150</v>
      </c>
      <c r="FY58" s="564">
        <v>3520</v>
      </c>
      <c r="FZ58" s="566">
        <v>943</v>
      </c>
      <c r="GA58" s="566">
        <f t="shared" si="276"/>
        <v>31801</v>
      </c>
      <c r="GB58" s="564">
        <v>858</v>
      </c>
      <c r="GC58" s="564">
        <v>17468</v>
      </c>
      <c r="GD58" s="564">
        <v>405</v>
      </c>
      <c r="GE58" s="564">
        <v>59</v>
      </c>
      <c r="GF58" s="564">
        <v>0</v>
      </c>
      <c r="GG58" s="564">
        <v>0</v>
      </c>
      <c r="GH58" s="564">
        <v>416</v>
      </c>
      <c r="GI58" s="564">
        <v>3524</v>
      </c>
      <c r="GJ58" s="564">
        <v>2869</v>
      </c>
      <c r="GK58" s="564">
        <v>1094</v>
      </c>
      <c r="GL58" s="564">
        <v>621</v>
      </c>
      <c r="GM58" s="564">
        <v>6129</v>
      </c>
      <c r="GN58" s="447">
        <f t="shared" si="168"/>
        <v>33443</v>
      </c>
      <c r="GO58" s="564">
        <v>994</v>
      </c>
      <c r="GP58" s="564">
        <v>24429</v>
      </c>
      <c r="GQ58" s="564">
        <v>84</v>
      </c>
      <c r="GR58" s="564">
        <v>137</v>
      </c>
      <c r="GS58" s="564">
        <v>0</v>
      </c>
      <c r="GT58" s="564">
        <v>1852</v>
      </c>
      <c r="GU58" s="564">
        <v>4236</v>
      </c>
      <c r="GV58" s="564">
        <v>1454</v>
      </c>
      <c r="GW58" s="564">
        <v>1698</v>
      </c>
      <c r="GX58" s="564">
        <v>456</v>
      </c>
      <c r="GY58" s="564">
        <v>7140</v>
      </c>
      <c r="GZ58" s="566">
        <v>1482</v>
      </c>
      <c r="HA58" s="566">
        <f t="shared" si="293"/>
        <v>43962</v>
      </c>
      <c r="HB58" s="567">
        <v>0</v>
      </c>
      <c r="HC58" s="564">
        <v>1003</v>
      </c>
      <c r="HD58" s="564">
        <v>31948</v>
      </c>
      <c r="HE58" s="564">
        <v>868</v>
      </c>
      <c r="HF58" s="564">
        <v>3</v>
      </c>
      <c r="HG58" s="564">
        <v>4042</v>
      </c>
      <c r="HH58" s="564">
        <v>1113</v>
      </c>
      <c r="HI58" s="564">
        <v>2300</v>
      </c>
      <c r="HJ58" s="564">
        <v>13823</v>
      </c>
      <c r="HK58" s="564">
        <v>367</v>
      </c>
      <c r="HL58" s="569">
        <v>7208</v>
      </c>
      <c r="HM58" s="570">
        <v>1463</v>
      </c>
      <c r="HN58" s="568">
        <f t="shared" si="307"/>
        <v>64138</v>
      </c>
      <c r="HO58" s="567">
        <v>10522</v>
      </c>
      <c r="HP58" s="564">
        <v>24263</v>
      </c>
      <c r="HQ58" s="564">
        <v>1445</v>
      </c>
      <c r="HR58" s="564">
        <v>1036</v>
      </c>
      <c r="HS58" s="564">
        <v>5145</v>
      </c>
      <c r="HT58" s="564">
        <v>1220</v>
      </c>
      <c r="HU58" s="564">
        <v>226</v>
      </c>
      <c r="HV58" s="564">
        <v>1171</v>
      </c>
      <c r="HW58" s="564">
        <v>0</v>
      </c>
      <c r="HX58" s="564">
        <v>366</v>
      </c>
      <c r="HY58" s="564">
        <v>3535</v>
      </c>
      <c r="HZ58" s="564">
        <v>363</v>
      </c>
      <c r="IA58" s="568">
        <f t="shared" si="296"/>
        <v>49292</v>
      </c>
      <c r="IB58" s="567">
        <v>0</v>
      </c>
      <c r="IC58" s="564">
        <v>43538</v>
      </c>
      <c r="ID58" s="564">
        <v>4469</v>
      </c>
      <c r="IE58" s="564">
        <v>639</v>
      </c>
      <c r="IF58" s="564">
        <v>4750</v>
      </c>
      <c r="IG58" s="564">
        <v>1391</v>
      </c>
      <c r="IH58" s="564">
        <v>1080</v>
      </c>
      <c r="II58" s="564">
        <v>1565</v>
      </c>
      <c r="IJ58" s="564">
        <v>0</v>
      </c>
      <c r="IK58" s="564">
        <v>1052</v>
      </c>
      <c r="IL58" s="564">
        <v>14</v>
      </c>
      <c r="IM58" s="564">
        <v>724</v>
      </c>
      <c r="IN58" s="568">
        <f t="shared" si="298"/>
        <v>59222</v>
      </c>
      <c r="IO58" s="564">
        <v>1803</v>
      </c>
      <c r="IP58" s="564">
        <v>37844</v>
      </c>
      <c r="IQ58" s="564">
        <v>2790</v>
      </c>
      <c r="IR58" s="564">
        <v>0</v>
      </c>
      <c r="IS58" s="569">
        <v>0</v>
      </c>
      <c r="IT58" s="569">
        <v>8576</v>
      </c>
      <c r="IU58" s="569">
        <v>688</v>
      </c>
      <c r="IV58" s="569">
        <v>249</v>
      </c>
      <c r="IW58" s="569">
        <v>490</v>
      </c>
      <c r="IX58" s="569">
        <v>179</v>
      </c>
      <c r="IY58" s="569">
        <v>0</v>
      </c>
      <c r="IZ58" s="569">
        <v>730</v>
      </c>
      <c r="JA58" s="1383">
        <f t="shared" si="300"/>
        <v>53349</v>
      </c>
      <c r="JB58" s="1324">
        <v>50940</v>
      </c>
      <c r="JC58">
        <v>0</v>
      </c>
      <c r="JD58">
        <v>910</v>
      </c>
      <c r="JE58">
        <v>-85</v>
      </c>
      <c r="JG58">
        <v>0</v>
      </c>
      <c r="JH58">
        <v>0</v>
      </c>
      <c r="JI58">
        <v>6889</v>
      </c>
      <c r="JN58" s="1059">
        <f t="shared" si="303"/>
        <v>58654</v>
      </c>
      <c r="JP58" s="1056">
        <f t="shared" si="304"/>
        <v>2666.666666666667</v>
      </c>
      <c r="JQ58" s="572">
        <f t="shared" si="308"/>
        <v>-1.9441770933590008</v>
      </c>
      <c r="JR58" s="565">
        <f t="shared" si="305"/>
        <v>51950</v>
      </c>
      <c r="JS58" s="565">
        <f t="shared" si="306"/>
        <v>50940</v>
      </c>
    </row>
    <row r="59" spans="1:279" ht="13.9" customHeight="1" x14ac:dyDescent="0.2">
      <c r="A59" s="563" t="s">
        <v>414</v>
      </c>
      <c r="CO59" s="564">
        <v>0</v>
      </c>
      <c r="CP59" s="564">
        <v>0</v>
      </c>
      <c r="CQ59" s="564">
        <v>0</v>
      </c>
      <c r="CR59" s="564">
        <v>0</v>
      </c>
      <c r="CS59" s="564">
        <v>0</v>
      </c>
      <c r="CT59" s="564">
        <v>0</v>
      </c>
      <c r="CU59" s="564">
        <v>0</v>
      </c>
      <c r="CV59" s="564">
        <v>0</v>
      </c>
      <c r="CW59" s="564">
        <v>0</v>
      </c>
      <c r="CX59" s="564">
        <v>0</v>
      </c>
      <c r="CY59" s="564">
        <v>0</v>
      </c>
      <c r="CZ59" s="564">
        <v>0</v>
      </c>
      <c r="DA59" s="565">
        <f t="shared" si="264"/>
        <v>0</v>
      </c>
      <c r="DB59" s="564">
        <v>0</v>
      </c>
      <c r="DC59" s="564">
        <v>0</v>
      </c>
      <c r="DD59" s="564">
        <v>0</v>
      </c>
      <c r="DE59" s="564">
        <v>0</v>
      </c>
      <c r="DF59" s="564">
        <v>0</v>
      </c>
      <c r="DG59" s="564">
        <v>0</v>
      </c>
      <c r="DH59" s="564">
        <v>0</v>
      </c>
      <c r="DI59" s="564">
        <v>0</v>
      </c>
      <c r="DJ59" s="564">
        <v>0</v>
      </c>
      <c r="DK59" s="564">
        <v>0</v>
      </c>
      <c r="DL59" s="564">
        <v>0</v>
      </c>
      <c r="DM59" s="566">
        <v>0</v>
      </c>
      <c r="DN59" s="566">
        <f t="shared" si="266"/>
        <v>0</v>
      </c>
      <c r="DO59" s="567">
        <v>0</v>
      </c>
      <c r="DP59" s="564">
        <v>0</v>
      </c>
      <c r="DQ59" s="564">
        <v>0</v>
      </c>
      <c r="DR59" s="564">
        <v>0</v>
      </c>
      <c r="DS59" s="564">
        <v>0</v>
      </c>
      <c r="DT59" s="564">
        <v>0</v>
      </c>
      <c r="DU59" s="564">
        <v>0</v>
      </c>
      <c r="DV59" s="564">
        <v>0</v>
      </c>
      <c r="DW59" s="564">
        <v>0</v>
      </c>
      <c r="DX59" s="564">
        <v>0</v>
      </c>
      <c r="DY59" s="564">
        <v>0</v>
      </c>
      <c r="DZ59" s="564">
        <v>0</v>
      </c>
      <c r="EA59" s="568">
        <f t="shared" si="268"/>
        <v>0</v>
      </c>
      <c r="EB59" s="567">
        <v>0</v>
      </c>
      <c r="EC59" s="564">
        <v>0</v>
      </c>
      <c r="ED59" s="564">
        <v>0</v>
      </c>
      <c r="EE59" s="564">
        <v>0</v>
      </c>
      <c r="EF59" s="564">
        <v>0</v>
      </c>
      <c r="EG59" s="564">
        <v>0</v>
      </c>
      <c r="EH59" s="564">
        <v>0</v>
      </c>
      <c r="EI59" s="564">
        <v>0</v>
      </c>
      <c r="EJ59" s="564">
        <v>0</v>
      </c>
      <c r="EK59" s="564">
        <v>0</v>
      </c>
      <c r="EL59" s="564">
        <v>0</v>
      </c>
      <c r="EM59" s="566">
        <v>0</v>
      </c>
      <c r="EN59" s="564">
        <f t="shared" si="270"/>
        <v>0</v>
      </c>
      <c r="EO59" s="567">
        <v>0</v>
      </c>
      <c r="EP59" s="564">
        <v>0</v>
      </c>
      <c r="EQ59" s="564">
        <v>0</v>
      </c>
      <c r="ER59" s="564">
        <v>0</v>
      </c>
      <c r="ES59" s="564">
        <v>0</v>
      </c>
      <c r="ET59" s="564">
        <v>0</v>
      </c>
      <c r="EU59" s="564">
        <v>0</v>
      </c>
      <c r="EV59" s="564">
        <v>0</v>
      </c>
      <c r="EW59" s="564">
        <v>0</v>
      </c>
      <c r="EX59" s="564">
        <v>0</v>
      </c>
      <c r="EY59" s="564">
        <v>0</v>
      </c>
      <c r="EZ59" s="564">
        <v>0</v>
      </c>
      <c r="FA59" s="568">
        <f t="shared" si="272"/>
        <v>0</v>
      </c>
      <c r="FB59" s="567">
        <v>0</v>
      </c>
      <c r="FC59" s="564">
        <v>0</v>
      </c>
      <c r="FD59" s="564">
        <v>0</v>
      </c>
      <c r="FE59" s="564">
        <v>0</v>
      </c>
      <c r="FF59" s="564">
        <v>0</v>
      </c>
      <c r="FG59" s="564">
        <v>0</v>
      </c>
      <c r="FH59" s="564">
        <v>0</v>
      </c>
      <c r="FI59" s="564">
        <v>0</v>
      </c>
      <c r="FJ59" s="564">
        <v>0</v>
      </c>
      <c r="FK59" s="564">
        <v>0</v>
      </c>
      <c r="FL59" s="564">
        <v>0</v>
      </c>
      <c r="FM59" s="566">
        <v>0</v>
      </c>
      <c r="FN59" s="566">
        <f t="shared" si="274"/>
        <v>0</v>
      </c>
      <c r="FO59" s="564">
        <v>28</v>
      </c>
      <c r="FP59" s="564">
        <v>0</v>
      </c>
      <c r="FQ59" s="564">
        <v>0</v>
      </c>
      <c r="FR59" s="564">
        <v>0</v>
      </c>
      <c r="FS59" s="564">
        <v>0</v>
      </c>
      <c r="FT59" s="564">
        <v>0</v>
      </c>
      <c r="FU59" s="564">
        <v>0</v>
      </c>
      <c r="FV59" s="564">
        <v>0</v>
      </c>
      <c r="FW59" s="564">
        <v>0</v>
      </c>
      <c r="FX59" s="564">
        <v>0</v>
      </c>
      <c r="FY59" s="564">
        <v>0</v>
      </c>
      <c r="FZ59" s="566">
        <v>0</v>
      </c>
      <c r="GA59" s="566">
        <f t="shared" si="276"/>
        <v>28</v>
      </c>
      <c r="GB59" s="564">
        <v>0</v>
      </c>
      <c r="GC59" s="564">
        <v>0</v>
      </c>
      <c r="GD59" s="564">
        <v>0</v>
      </c>
      <c r="GE59" s="564">
        <v>0</v>
      </c>
      <c r="GF59" s="564">
        <v>0</v>
      </c>
      <c r="GG59" s="564">
        <v>0</v>
      </c>
      <c r="GH59" s="564">
        <v>0</v>
      </c>
      <c r="GI59" s="564">
        <v>0</v>
      </c>
      <c r="GJ59" s="564">
        <v>0</v>
      </c>
      <c r="GK59" s="564">
        <v>0</v>
      </c>
      <c r="GL59" s="564">
        <v>0</v>
      </c>
      <c r="GM59" s="564">
        <v>0</v>
      </c>
      <c r="GN59" s="447">
        <f t="shared" si="168"/>
        <v>0</v>
      </c>
      <c r="GO59" s="564">
        <v>0</v>
      </c>
      <c r="GP59" s="564">
        <v>0</v>
      </c>
      <c r="GQ59" s="564">
        <v>0</v>
      </c>
      <c r="GR59" s="564">
        <v>0</v>
      </c>
      <c r="GS59" s="564">
        <v>0</v>
      </c>
      <c r="GT59" s="564">
        <v>0</v>
      </c>
      <c r="GU59" s="564">
        <v>0</v>
      </c>
      <c r="GV59" s="564">
        <v>0</v>
      </c>
      <c r="GW59" s="564">
        <v>0</v>
      </c>
      <c r="GX59" s="564">
        <v>0</v>
      </c>
      <c r="GY59" s="564">
        <v>0</v>
      </c>
      <c r="GZ59" s="566">
        <v>0</v>
      </c>
      <c r="HA59" s="566">
        <f t="shared" si="293"/>
        <v>0</v>
      </c>
      <c r="HB59" s="567">
        <v>0</v>
      </c>
      <c r="HC59" s="564">
        <v>0</v>
      </c>
      <c r="HD59" s="564">
        <v>0</v>
      </c>
      <c r="HE59" s="564">
        <v>0</v>
      </c>
      <c r="HF59" s="564">
        <v>0</v>
      </c>
      <c r="HG59" s="564">
        <v>0</v>
      </c>
      <c r="HH59" s="564">
        <v>0</v>
      </c>
      <c r="HI59" s="564">
        <v>0</v>
      </c>
      <c r="HJ59" s="564">
        <v>0</v>
      </c>
      <c r="HK59" s="564">
        <v>0</v>
      </c>
      <c r="HL59" s="569">
        <v>0</v>
      </c>
      <c r="HM59" s="570">
        <v>0</v>
      </c>
      <c r="HN59" s="568">
        <f t="shared" si="307"/>
        <v>0</v>
      </c>
      <c r="HO59" s="567">
        <v>0</v>
      </c>
      <c r="HP59" s="564">
        <v>0</v>
      </c>
      <c r="HQ59" s="564">
        <v>0</v>
      </c>
      <c r="HR59" s="564">
        <v>0</v>
      </c>
      <c r="HS59" s="564">
        <v>0</v>
      </c>
      <c r="HT59" s="564">
        <v>0</v>
      </c>
      <c r="HU59" s="564">
        <v>0</v>
      </c>
      <c r="HV59" s="564">
        <v>0</v>
      </c>
      <c r="HW59" s="564">
        <v>0</v>
      </c>
      <c r="HX59" s="564">
        <v>0</v>
      </c>
      <c r="HY59" s="564">
        <v>0</v>
      </c>
      <c r="HZ59" s="564">
        <v>0</v>
      </c>
      <c r="IA59" s="568">
        <f t="shared" si="296"/>
        <v>0</v>
      </c>
      <c r="IB59" s="567">
        <v>0</v>
      </c>
      <c r="IC59" s="564">
        <v>0</v>
      </c>
      <c r="ID59" s="564">
        <v>0</v>
      </c>
      <c r="IE59" s="564">
        <v>0</v>
      </c>
      <c r="IF59" s="564">
        <v>0</v>
      </c>
      <c r="IG59" s="564">
        <v>0</v>
      </c>
      <c r="IH59" s="564">
        <v>0</v>
      </c>
      <c r="II59" s="564">
        <v>0</v>
      </c>
      <c r="IJ59" s="564">
        <v>0</v>
      </c>
      <c r="IK59" s="564">
        <v>0</v>
      </c>
      <c r="IL59" s="564">
        <v>0</v>
      </c>
      <c r="IM59" s="564">
        <v>0</v>
      </c>
      <c r="IN59" s="568">
        <f t="shared" si="298"/>
        <v>0</v>
      </c>
      <c r="IO59" s="564">
        <v>0</v>
      </c>
      <c r="IP59" s="564">
        <v>0</v>
      </c>
      <c r="IQ59" s="564">
        <v>0</v>
      </c>
      <c r="IR59" s="564">
        <v>0</v>
      </c>
      <c r="IS59" s="569">
        <v>0</v>
      </c>
      <c r="IT59" s="569">
        <v>0</v>
      </c>
      <c r="IU59" s="569">
        <v>0</v>
      </c>
      <c r="IV59" s="569">
        <v>0</v>
      </c>
      <c r="IW59" s="569">
        <v>0</v>
      </c>
      <c r="IX59" s="569">
        <v>0</v>
      </c>
      <c r="IY59" s="569">
        <v>0</v>
      </c>
      <c r="IZ59" s="569">
        <v>0</v>
      </c>
      <c r="JA59" s="1383">
        <f t="shared" si="300"/>
        <v>0</v>
      </c>
      <c r="JB59" s="1324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N59" s="1059">
        <f t="shared" si="303"/>
        <v>0</v>
      </c>
      <c r="JP59" s="1055" t="str">
        <f t="shared" si="304"/>
        <v>-</v>
      </c>
      <c r="JQ59" s="572" t="str">
        <f t="shared" si="308"/>
        <v>-</v>
      </c>
      <c r="JR59" s="565">
        <f t="shared" si="305"/>
        <v>0</v>
      </c>
      <c r="JS59" s="565">
        <f t="shared" si="306"/>
        <v>0</v>
      </c>
    </row>
    <row r="60" spans="1:279" ht="13.9" customHeight="1" x14ac:dyDescent="0.2">
      <c r="A60" s="563" t="s">
        <v>415</v>
      </c>
      <c r="CO60" s="564">
        <v>0</v>
      </c>
      <c r="CP60" s="564">
        <v>0</v>
      </c>
      <c r="CQ60" s="564">
        <v>0</v>
      </c>
      <c r="CR60" s="564">
        <v>920</v>
      </c>
      <c r="CS60" s="564">
        <v>0</v>
      </c>
      <c r="CT60" s="564">
        <v>0</v>
      </c>
      <c r="CU60" s="564">
        <v>955</v>
      </c>
      <c r="CV60" s="564">
        <v>0</v>
      </c>
      <c r="CW60" s="564">
        <v>500</v>
      </c>
      <c r="CX60" s="564">
        <v>0</v>
      </c>
      <c r="CY60" s="564">
        <v>500</v>
      </c>
      <c r="CZ60" s="564">
        <v>0</v>
      </c>
      <c r="DA60" s="565">
        <f t="shared" si="264"/>
        <v>2875</v>
      </c>
      <c r="DB60" s="564">
        <v>0</v>
      </c>
      <c r="DC60" s="564">
        <v>0</v>
      </c>
      <c r="DD60" s="564">
        <v>0</v>
      </c>
      <c r="DE60" s="564">
        <v>0</v>
      </c>
      <c r="DF60" s="564">
        <v>0</v>
      </c>
      <c r="DG60" s="564">
        <v>0</v>
      </c>
      <c r="DH60" s="564">
        <v>0</v>
      </c>
      <c r="DI60" s="564">
        <v>0</v>
      </c>
      <c r="DJ60" s="564">
        <v>0</v>
      </c>
      <c r="DK60" s="564">
        <v>0</v>
      </c>
      <c r="DL60" s="564">
        <v>0</v>
      </c>
      <c r="DM60" s="566">
        <v>0</v>
      </c>
      <c r="DN60" s="566">
        <f t="shared" si="266"/>
        <v>0</v>
      </c>
      <c r="DO60" s="567">
        <v>0</v>
      </c>
      <c r="DP60" s="564">
        <v>0</v>
      </c>
      <c r="DQ60" s="564">
        <v>345</v>
      </c>
      <c r="DR60" s="564">
        <v>0</v>
      </c>
      <c r="DS60" s="564">
        <v>308</v>
      </c>
      <c r="DT60" s="564">
        <v>284</v>
      </c>
      <c r="DU60" s="564">
        <v>608</v>
      </c>
      <c r="DV60" s="564">
        <v>1421</v>
      </c>
      <c r="DW60" s="564">
        <v>196</v>
      </c>
      <c r="DX60" s="564">
        <v>204</v>
      </c>
      <c r="DY60" s="564">
        <v>0</v>
      </c>
      <c r="DZ60" s="564">
        <v>1183</v>
      </c>
      <c r="EA60" s="568">
        <f t="shared" si="268"/>
        <v>4549</v>
      </c>
      <c r="EB60" s="567">
        <v>0</v>
      </c>
      <c r="EC60" s="564">
        <v>0</v>
      </c>
      <c r="ED60" s="564">
        <v>0</v>
      </c>
      <c r="EE60" s="564">
        <v>0</v>
      </c>
      <c r="EF60" s="564">
        <v>0</v>
      </c>
      <c r="EG60" s="564">
        <v>0</v>
      </c>
      <c r="EH60" s="564">
        <v>0</v>
      </c>
      <c r="EI60" s="564">
        <v>594</v>
      </c>
      <c r="EJ60" s="564">
        <v>80</v>
      </c>
      <c r="EK60" s="564">
        <v>0</v>
      </c>
      <c r="EL60" s="564">
        <v>0</v>
      </c>
      <c r="EM60" s="566">
        <v>0</v>
      </c>
      <c r="EN60" s="564">
        <f t="shared" si="270"/>
        <v>674</v>
      </c>
      <c r="EO60" s="567">
        <v>0</v>
      </c>
      <c r="EP60" s="564">
        <v>0</v>
      </c>
      <c r="EQ60" s="564">
        <v>0</v>
      </c>
      <c r="ER60" s="564">
        <v>0</v>
      </c>
      <c r="ES60" s="564">
        <v>0</v>
      </c>
      <c r="ET60" s="564">
        <v>0</v>
      </c>
      <c r="EU60" s="564">
        <v>0</v>
      </c>
      <c r="EV60" s="564">
        <v>0</v>
      </c>
      <c r="EW60" s="564">
        <v>0</v>
      </c>
      <c r="EX60" s="564">
        <v>0</v>
      </c>
      <c r="EY60" s="564">
        <v>0</v>
      </c>
      <c r="EZ60" s="564">
        <v>0</v>
      </c>
      <c r="FA60" s="568">
        <f t="shared" si="272"/>
        <v>0</v>
      </c>
      <c r="FB60" s="567">
        <v>0</v>
      </c>
      <c r="FC60" s="564">
        <v>0</v>
      </c>
      <c r="FD60" s="564">
        <v>0</v>
      </c>
      <c r="FE60" s="564">
        <v>0</v>
      </c>
      <c r="FF60" s="564">
        <v>0</v>
      </c>
      <c r="FG60" s="564">
        <v>0</v>
      </c>
      <c r="FH60" s="564">
        <v>0</v>
      </c>
      <c r="FI60" s="564">
        <v>0</v>
      </c>
      <c r="FJ60" s="564">
        <v>0</v>
      </c>
      <c r="FK60" s="564">
        <v>0</v>
      </c>
      <c r="FL60" s="564">
        <v>0</v>
      </c>
      <c r="FM60" s="566">
        <v>0</v>
      </c>
      <c r="FN60" s="566">
        <f t="shared" si="274"/>
        <v>0</v>
      </c>
      <c r="FO60" s="564">
        <v>0</v>
      </c>
      <c r="FP60" s="564">
        <v>0</v>
      </c>
      <c r="FQ60" s="564">
        <v>0</v>
      </c>
      <c r="FR60" s="564">
        <v>0</v>
      </c>
      <c r="FS60" s="564">
        <v>0</v>
      </c>
      <c r="FT60" s="564">
        <v>0</v>
      </c>
      <c r="FU60" s="564">
        <v>0</v>
      </c>
      <c r="FV60" s="564">
        <v>0</v>
      </c>
      <c r="FW60" s="564">
        <v>0</v>
      </c>
      <c r="FX60" s="564">
        <v>0</v>
      </c>
      <c r="FY60" s="564">
        <v>0</v>
      </c>
      <c r="FZ60" s="566">
        <v>0</v>
      </c>
      <c r="GA60" s="566">
        <f t="shared" si="276"/>
        <v>0</v>
      </c>
      <c r="GB60" s="564">
        <v>0</v>
      </c>
      <c r="GC60" s="564">
        <v>0</v>
      </c>
      <c r="GD60" s="564">
        <v>0</v>
      </c>
      <c r="GE60" s="564">
        <v>0</v>
      </c>
      <c r="GF60" s="564">
        <v>0</v>
      </c>
      <c r="GG60" s="564">
        <v>0</v>
      </c>
      <c r="GH60" s="564">
        <v>0</v>
      </c>
      <c r="GI60" s="564">
        <v>0</v>
      </c>
      <c r="GJ60" s="564">
        <v>0</v>
      </c>
      <c r="GK60" s="564">
        <v>0</v>
      </c>
      <c r="GL60" s="564">
        <v>0</v>
      </c>
      <c r="GM60" s="564">
        <v>0</v>
      </c>
      <c r="GN60" s="447">
        <f t="shared" si="168"/>
        <v>0</v>
      </c>
      <c r="GO60" s="564">
        <v>0</v>
      </c>
      <c r="GP60" s="564">
        <v>0</v>
      </c>
      <c r="GQ60" s="564">
        <v>0</v>
      </c>
      <c r="GR60" s="564">
        <v>0</v>
      </c>
      <c r="GS60" s="564">
        <v>0</v>
      </c>
      <c r="GT60" s="564">
        <v>0</v>
      </c>
      <c r="GU60" s="564">
        <v>0</v>
      </c>
      <c r="GV60" s="564">
        <v>0</v>
      </c>
      <c r="GW60" s="564">
        <v>0</v>
      </c>
      <c r="GX60" s="564">
        <v>0</v>
      </c>
      <c r="GY60" s="564">
        <v>0</v>
      </c>
      <c r="GZ60" s="566">
        <v>0</v>
      </c>
      <c r="HA60" s="566">
        <f t="shared" si="293"/>
        <v>0</v>
      </c>
      <c r="HB60" s="567">
        <v>0</v>
      </c>
      <c r="HC60" s="564">
        <v>0</v>
      </c>
      <c r="HD60" s="564">
        <v>0</v>
      </c>
      <c r="HE60" s="564">
        <v>0</v>
      </c>
      <c r="HF60" s="564">
        <v>0</v>
      </c>
      <c r="HG60" s="564">
        <v>0</v>
      </c>
      <c r="HH60" s="564">
        <v>0</v>
      </c>
      <c r="HI60" s="564">
        <v>0</v>
      </c>
      <c r="HJ60" s="564">
        <v>0</v>
      </c>
      <c r="HK60" s="564">
        <v>0</v>
      </c>
      <c r="HL60" s="569">
        <v>0</v>
      </c>
      <c r="HM60" s="570">
        <v>0</v>
      </c>
      <c r="HN60" s="568">
        <f t="shared" si="307"/>
        <v>0</v>
      </c>
      <c r="HO60" s="567">
        <v>0</v>
      </c>
      <c r="HP60" s="564">
        <v>0</v>
      </c>
      <c r="HQ60" s="564">
        <v>0</v>
      </c>
      <c r="HR60" s="564">
        <v>0</v>
      </c>
      <c r="HS60" s="564">
        <v>0</v>
      </c>
      <c r="HT60" s="564">
        <v>0</v>
      </c>
      <c r="HU60" s="564">
        <v>0</v>
      </c>
      <c r="HV60" s="564">
        <v>0</v>
      </c>
      <c r="HW60" s="564">
        <v>0</v>
      </c>
      <c r="HX60" s="564">
        <v>0</v>
      </c>
      <c r="HY60" s="564">
        <v>0</v>
      </c>
      <c r="HZ60" s="564">
        <v>0</v>
      </c>
      <c r="IA60" s="568">
        <f t="shared" si="296"/>
        <v>0</v>
      </c>
      <c r="IB60" s="567">
        <v>0</v>
      </c>
      <c r="IC60" s="564">
        <v>0</v>
      </c>
      <c r="ID60" s="564">
        <v>0</v>
      </c>
      <c r="IE60" s="564">
        <v>0</v>
      </c>
      <c r="IF60" s="564">
        <v>0</v>
      </c>
      <c r="IG60" s="564">
        <v>0</v>
      </c>
      <c r="IH60" s="564">
        <v>0</v>
      </c>
      <c r="II60" s="564">
        <v>0</v>
      </c>
      <c r="IJ60" s="564">
        <v>0</v>
      </c>
      <c r="IK60" s="564">
        <v>0</v>
      </c>
      <c r="IL60" s="564">
        <v>0</v>
      </c>
      <c r="IM60" s="564">
        <v>0</v>
      </c>
      <c r="IN60" s="568">
        <f t="shared" si="298"/>
        <v>0</v>
      </c>
      <c r="IO60" s="564">
        <v>0</v>
      </c>
      <c r="IP60" s="564">
        <v>0</v>
      </c>
      <c r="IQ60" s="564">
        <v>0</v>
      </c>
      <c r="IR60" s="564">
        <v>0</v>
      </c>
      <c r="IS60" s="569">
        <v>0</v>
      </c>
      <c r="IT60" s="569">
        <v>0</v>
      </c>
      <c r="IU60" s="569">
        <v>0</v>
      </c>
      <c r="IV60" s="569">
        <v>0</v>
      </c>
      <c r="IW60" s="569">
        <v>0</v>
      </c>
      <c r="IX60" s="569">
        <v>0</v>
      </c>
      <c r="IY60" s="569">
        <v>0</v>
      </c>
      <c r="IZ60" s="569">
        <v>0</v>
      </c>
      <c r="JA60" s="1383">
        <f t="shared" si="300"/>
        <v>0</v>
      </c>
      <c r="JB60" s="1324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N60" s="1059">
        <f t="shared" si="303"/>
        <v>0</v>
      </c>
      <c r="JP60" s="1055" t="str">
        <f t="shared" si="304"/>
        <v>-</v>
      </c>
      <c r="JQ60" s="572" t="str">
        <f t="shared" si="308"/>
        <v>-</v>
      </c>
      <c r="JR60" s="565">
        <f t="shared" si="305"/>
        <v>0</v>
      </c>
      <c r="JS60" s="565">
        <f t="shared" si="306"/>
        <v>0</v>
      </c>
    </row>
    <row r="61" spans="1:279" ht="13.9" customHeight="1" x14ac:dyDescent="0.2">
      <c r="A61" s="563" t="s">
        <v>416</v>
      </c>
      <c r="CO61" s="564"/>
      <c r="CP61" s="564"/>
      <c r="CQ61" s="564"/>
      <c r="CR61" s="564"/>
      <c r="CS61" s="564"/>
      <c r="CT61" s="564"/>
      <c r="CU61" s="564"/>
      <c r="CV61" s="564"/>
      <c r="CW61" s="564"/>
      <c r="CX61" s="564"/>
      <c r="CY61" s="564"/>
      <c r="CZ61" s="564"/>
      <c r="DA61" s="565"/>
      <c r="DB61" s="564"/>
      <c r="DC61" s="564"/>
      <c r="DD61" s="564"/>
      <c r="DE61" s="564"/>
      <c r="DF61" s="564"/>
      <c r="DG61" s="564"/>
      <c r="DH61" s="564"/>
      <c r="DI61" s="564"/>
      <c r="DJ61" s="564"/>
      <c r="DK61" s="564"/>
      <c r="DL61" s="564"/>
      <c r="DM61" s="566"/>
      <c r="DN61" s="566"/>
      <c r="DO61" s="567"/>
      <c r="DP61" s="564"/>
      <c r="DQ61" s="564"/>
      <c r="DR61" s="564"/>
      <c r="DS61" s="564"/>
      <c r="DT61" s="564"/>
      <c r="DU61" s="564"/>
      <c r="DV61" s="564"/>
      <c r="DW61" s="564"/>
      <c r="DX61" s="564"/>
      <c r="DY61" s="564"/>
      <c r="DZ61" s="564"/>
      <c r="EA61" s="568"/>
      <c r="EB61" s="567"/>
      <c r="EC61" s="564"/>
      <c r="ED61" s="564"/>
      <c r="EE61" s="564"/>
      <c r="EF61" s="564"/>
      <c r="EG61" s="564"/>
      <c r="EH61" s="564">
        <v>1759</v>
      </c>
      <c r="EI61" s="564"/>
      <c r="EJ61" s="564"/>
      <c r="EK61" s="564">
        <v>70</v>
      </c>
      <c r="EL61" s="564">
        <v>497</v>
      </c>
      <c r="EM61" s="566">
        <v>3676</v>
      </c>
      <c r="EN61" s="564">
        <f t="shared" si="270"/>
        <v>6002</v>
      </c>
      <c r="EO61" s="567">
        <v>0</v>
      </c>
      <c r="EP61" s="564">
        <v>0</v>
      </c>
      <c r="EQ61" s="564">
        <v>0</v>
      </c>
      <c r="ER61" s="564">
        <v>0</v>
      </c>
      <c r="ES61" s="564">
        <v>0</v>
      </c>
      <c r="ET61" s="564">
        <v>0</v>
      </c>
      <c r="EU61" s="564">
        <v>150</v>
      </c>
      <c r="EV61" s="564">
        <v>1650</v>
      </c>
      <c r="EW61" s="564">
        <v>0</v>
      </c>
      <c r="EX61" s="564">
        <v>0</v>
      </c>
      <c r="EY61" s="564">
        <v>399</v>
      </c>
      <c r="EZ61" s="564">
        <v>3801</v>
      </c>
      <c r="FA61" s="568">
        <f t="shared" si="272"/>
        <v>6000</v>
      </c>
      <c r="FB61" s="567">
        <v>0</v>
      </c>
      <c r="FC61" s="564">
        <v>0</v>
      </c>
      <c r="FD61" s="564">
        <v>0</v>
      </c>
      <c r="FE61" s="564">
        <v>0</v>
      </c>
      <c r="FF61" s="564">
        <v>0</v>
      </c>
      <c r="FG61" s="564">
        <v>0</v>
      </c>
      <c r="FH61" s="564">
        <v>1363</v>
      </c>
      <c r="FI61" s="564">
        <v>40</v>
      </c>
      <c r="FJ61" s="564">
        <v>0</v>
      </c>
      <c r="FK61" s="564">
        <v>0</v>
      </c>
      <c r="FL61" s="564">
        <v>3919</v>
      </c>
      <c r="FM61" s="566">
        <v>0</v>
      </c>
      <c r="FN61" s="566">
        <f t="shared" si="274"/>
        <v>5322</v>
      </c>
      <c r="FO61" s="564">
        <v>0</v>
      </c>
      <c r="FP61" s="564">
        <v>0</v>
      </c>
      <c r="FQ61" s="564">
        <v>0</v>
      </c>
      <c r="FR61" s="564">
        <v>0</v>
      </c>
      <c r="FS61" s="564">
        <v>0</v>
      </c>
      <c r="FT61" s="564">
        <v>0</v>
      </c>
      <c r="FU61" s="564">
        <v>0</v>
      </c>
      <c r="FV61" s="564">
        <v>0</v>
      </c>
      <c r="FW61" s="564">
        <v>3374</v>
      </c>
      <c r="FX61" s="564">
        <v>0</v>
      </c>
      <c r="FY61" s="564">
        <v>0</v>
      </c>
      <c r="FZ61" s="566">
        <v>0</v>
      </c>
      <c r="GA61" s="566">
        <f t="shared" si="276"/>
        <v>3374</v>
      </c>
      <c r="GB61" s="564">
        <v>0</v>
      </c>
      <c r="GC61" s="564">
        <v>0</v>
      </c>
      <c r="GD61" s="564">
        <v>0</v>
      </c>
      <c r="GE61" s="564">
        <v>0</v>
      </c>
      <c r="GF61" s="564">
        <v>0</v>
      </c>
      <c r="GG61" s="564">
        <v>0</v>
      </c>
      <c r="GH61" s="564">
        <v>0</v>
      </c>
      <c r="GI61" s="564">
        <v>0</v>
      </c>
      <c r="GJ61" s="564">
        <v>0</v>
      </c>
      <c r="GK61" s="564">
        <v>0</v>
      </c>
      <c r="GL61" s="564">
        <v>0</v>
      </c>
      <c r="GM61" s="564">
        <v>2074</v>
      </c>
      <c r="GN61" s="447">
        <f t="shared" si="168"/>
        <v>2074</v>
      </c>
      <c r="GO61" s="564">
        <v>0</v>
      </c>
      <c r="GP61" s="564">
        <v>0</v>
      </c>
      <c r="GQ61" s="564">
        <v>0</v>
      </c>
      <c r="GR61" s="564">
        <v>0</v>
      </c>
      <c r="GS61" s="564">
        <v>0</v>
      </c>
      <c r="GT61" s="564">
        <v>0</v>
      </c>
      <c r="GU61" s="564">
        <v>0</v>
      </c>
      <c r="GV61" s="564">
        <v>0</v>
      </c>
      <c r="GW61" s="564">
        <v>0</v>
      </c>
      <c r="GX61" s="564">
        <v>0</v>
      </c>
      <c r="GY61" s="564">
        <v>0</v>
      </c>
      <c r="GZ61" s="566">
        <v>0</v>
      </c>
      <c r="HA61" s="566">
        <f t="shared" si="293"/>
        <v>0</v>
      </c>
      <c r="HB61" s="567">
        <v>0</v>
      </c>
      <c r="HC61" s="564">
        <v>0</v>
      </c>
      <c r="HD61" s="564">
        <v>0</v>
      </c>
      <c r="HE61" s="564">
        <v>0</v>
      </c>
      <c r="HF61" s="564">
        <v>0</v>
      </c>
      <c r="HG61" s="564">
        <v>0</v>
      </c>
      <c r="HH61" s="564">
        <v>1361</v>
      </c>
      <c r="HI61" s="564">
        <v>0</v>
      </c>
      <c r="HJ61" s="564">
        <v>0</v>
      </c>
      <c r="HK61" s="564">
        <v>0</v>
      </c>
      <c r="HL61" s="569">
        <v>2338</v>
      </c>
      <c r="HM61" s="570">
        <v>0</v>
      </c>
      <c r="HN61" s="568">
        <f t="shared" si="307"/>
        <v>3699</v>
      </c>
      <c r="HO61" s="567">
        <v>0</v>
      </c>
      <c r="HP61" s="564">
        <v>0</v>
      </c>
      <c r="HQ61" s="564">
        <v>0</v>
      </c>
      <c r="HR61" s="564">
        <v>0</v>
      </c>
      <c r="HS61" s="564">
        <v>0</v>
      </c>
      <c r="HT61" s="564">
        <v>0</v>
      </c>
      <c r="HU61" s="564">
        <v>672</v>
      </c>
      <c r="HV61" s="564">
        <v>0</v>
      </c>
      <c r="HW61" s="564">
        <v>0</v>
      </c>
      <c r="HX61" s="564">
        <v>0</v>
      </c>
      <c r="HY61" s="564">
        <v>0</v>
      </c>
      <c r="HZ61" s="564">
        <v>0</v>
      </c>
      <c r="IA61" s="568">
        <f t="shared" si="296"/>
        <v>672</v>
      </c>
      <c r="IB61" s="567">
        <v>0</v>
      </c>
      <c r="IC61" s="564">
        <v>0</v>
      </c>
      <c r="ID61" s="564">
        <v>0</v>
      </c>
      <c r="IE61" s="564">
        <v>0</v>
      </c>
      <c r="IF61" s="564">
        <v>0</v>
      </c>
      <c r="IG61" s="564">
        <v>0</v>
      </c>
      <c r="IH61" s="564">
        <v>0</v>
      </c>
      <c r="II61" s="564">
        <v>0</v>
      </c>
      <c r="IJ61" s="564">
        <v>0</v>
      </c>
      <c r="IK61" s="564">
        <v>0</v>
      </c>
      <c r="IL61" s="564">
        <v>0</v>
      </c>
      <c r="IM61" s="564">
        <v>1566</v>
      </c>
      <c r="IN61" s="568">
        <f t="shared" si="298"/>
        <v>1566</v>
      </c>
      <c r="IO61" s="564">
        <v>0</v>
      </c>
      <c r="IP61" s="564">
        <v>0</v>
      </c>
      <c r="IQ61" s="564">
        <v>0</v>
      </c>
      <c r="IR61" s="564">
        <v>0</v>
      </c>
      <c r="IS61" s="569">
        <v>0</v>
      </c>
      <c r="IT61" s="569">
        <v>0</v>
      </c>
      <c r="IU61" s="569">
        <v>0</v>
      </c>
      <c r="IV61" s="569">
        <v>0</v>
      </c>
      <c r="IW61" s="569">
        <v>0</v>
      </c>
      <c r="IX61" s="569">
        <v>0</v>
      </c>
      <c r="IY61" s="569">
        <v>2372</v>
      </c>
      <c r="IZ61" s="569">
        <v>0</v>
      </c>
      <c r="JA61" s="1383">
        <f t="shared" si="300"/>
        <v>2372</v>
      </c>
      <c r="JB61" s="1328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N61" s="1059">
        <f t="shared" si="303"/>
        <v>0</v>
      </c>
      <c r="JP61" s="1055" t="str">
        <f t="shared" si="304"/>
        <v>-</v>
      </c>
      <c r="JQ61" s="572" t="str">
        <f t="shared" si="308"/>
        <v>-</v>
      </c>
      <c r="JR61" s="565">
        <f t="shared" si="305"/>
        <v>0</v>
      </c>
      <c r="JS61" s="565">
        <f t="shared" si="306"/>
        <v>0</v>
      </c>
    </row>
    <row r="62" spans="1:279" s="498" customFormat="1" ht="13.9" customHeight="1" x14ac:dyDescent="0.2">
      <c r="A62" s="573" t="s">
        <v>417</v>
      </c>
      <c r="CO62" s="574">
        <f t="shared" ref="CO62:CZ62" si="322">CO63+CO69+CO70</f>
        <v>3863</v>
      </c>
      <c r="CP62" s="574">
        <f t="shared" si="322"/>
        <v>9927</v>
      </c>
      <c r="CQ62" s="574">
        <f t="shared" si="322"/>
        <v>7509</v>
      </c>
      <c r="CR62" s="574">
        <f t="shared" si="322"/>
        <v>7722</v>
      </c>
      <c r="CS62" s="574">
        <f t="shared" si="322"/>
        <v>3005</v>
      </c>
      <c r="CT62" s="574">
        <f t="shared" si="322"/>
        <v>10688</v>
      </c>
      <c r="CU62" s="574">
        <f t="shared" si="322"/>
        <v>9037</v>
      </c>
      <c r="CV62" s="574">
        <f t="shared" si="322"/>
        <v>8680</v>
      </c>
      <c r="CW62" s="574">
        <f t="shared" si="322"/>
        <v>8219</v>
      </c>
      <c r="CX62" s="574">
        <f t="shared" si="322"/>
        <v>26080</v>
      </c>
      <c r="CY62" s="574">
        <f t="shared" si="322"/>
        <v>21333</v>
      </c>
      <c r="CZ62" s="574">
        <f t="shared" si="322"/>
        <v>4874</v>
      </c>
      <c r="DA62" s="575">
        <f t="shared" si="264"/>
        <v>120937</v>
      </c>
      <c r="DB62" s="574">
        <f t="shared" ref="DB62:DM62" si="323">DB63+DB69+DB70</f>
        <v>19923</v>
      </c>
      <c r="DC62" s="574">
        <f t="shared" si="323"/>
        <v>6655</v>
      </c>
      <c r="DD62" s="574">
        <f t="shared" si="323"/>
        <v>8227.0499999999993</v>
      </c>
      <c r="DE62" s="574">
        <f t="shared" si="323"/>
        <v>4026.04</v>
      </c>
      <c r="DF62" s="574">
        <f t="shared" si="323"/>
        <v>8077.1149999999998</v>
      </c>
      <c r="DG62" s="574">
        <f t="shared" si="323"/>
        <v>10329.030000000001</v>
      </c>
      <c r="DH62" s="574">
        <f t="shared" si="323"/>
        <v>5900.62</v>
      </c>
      <c r="DI62" s="574">
        <f t="shared" si="323"/>
        <v>13981.56</v>
      </c>
      <c r="DJ62" s="574">
        <f t="shared" si="323"/>
        <v>4428.0360000000001</v>
      </c>
      <c r="DK62" s="574">
        <f t="shared" si="323"/>
        <v>3959.0810000000001</v>
      </c>
      <c r="DL62" s="574">
        <f t="shared" si="323"/>
        <v>3931.4749999999999</v>
      </c>
      <c r="DM62" s="576">
        <f t="shared" si="323"/>
        <v>4560.4319999999998</v>
      </c>
      <c r="DN62" s="576">
        <f t="shared" si="266"/>
        <v>93998.439000000013</v>
      </c>
      <c r="DO62" s="577">
        <f t="shared" ref="DO62:EM62" si="324">DO63+DO69+DO70</f>
        <v>4032.9290000000001</v>
      </c>
      <c r="DP62" s="574">
        <f t="shared" si="324"/>
        <v>4019.6439999999998</v>
      </c>
      <c r="DQ62" s="574">
        <f t="shared" si="324"/>
        <v>4019.9639999999999</v>
      </c>
      <c r="DR62" s="574">
        <f t="shared" si="324"/>
        <v>4034.1469999999999</v>
      </c>
      <c r="DS62" s="574">
        <f t="shared" si="324"/>
        <v>4021</v>
      </c>
      <c r="DT62" s="574">
        <f t="shared" si="324"/>
        <v>39387</v>
      </c>
      <c r="DU62" s="574">
        <f t="shared" si="324"/>
        <v>4212</v>
      </c>
      <c r="DV62" s="574">
        <f t="shared" si="324"/>
        <v>4031</v>
      </c>
      <c r="DW62" s="574">
        <f t="shared" si="324"/>
        <v>4076</v>
      </c>
      <c r="DX62" s="574">
        <f t="shared" si="324"/>
        <v>4114</v>
      </c>
      <c r="DY62" s="574">
        <f t="shared" si="324"/>
        <v>4107</v>
      </c>
      <c r="DZ62" s="574">
        <f t="shared" si="324"/>
        <v>3837</v>
      </c>
      <c r="EA62" s="578">
        <f t="shared" si="268"/>
        <v>83891.684000000008</v>
      </c>
      <c r="EB62" s="577">
        <f t="shared" si="324"/>
        <v>4142</v>
      </c>
      <c r="EC62" s="574">
        <f t="shared" si="324"/>
        <v>4121</v>
      </c>
      <c r="ED62" s="574">
        <f t="shared" si="324"/>
        <v>7137</v>
      </c>
      <c r="EE62" s="574">
        <f t="shared" si="324"/>
        <v>7014</v>
      </c>
      <c r="EF62" s="574">
        <f t="shared" si="324"/>
        <v>6102</v>
      </c>
      <c r="EG62" s="574">
        <f t="shared" si="324"/>
        <v>6398</v>
      </c>
      <c r="EH62" s="574">
        <f t="shared" si="324"/>
        <v>7537</v>
      </c>
      <c r="EI62" s="574">
        <f t="shared" si="324"/>
        <v>6292</v>
      </c>
      <c r="EJ62" s="574">
        <f t="shared" si="324"/>
        <v>5560</v>
      </c>
      <c r="EK62" s="574">
        <f t="shared" si="324"/>
        <v>7076</v>
      </c>
      <c r="EL62" s="574">
        <f t="shared" si="324"/>
        <v>9101</v>
      </c>
      <c r="EM62" s="576">
        <f t="shared" si="324"/>
        <v>4238</v>
      </c>
      <c r="EN62" s="574">
        <f t="shared" ref="EN62:EN79" si="325">SUM(EB62:EM62)</f>
        <v>74718</v>
      </c>
      <c r="EO62" s="577">
        <f>EO63+EO69+EO70</f>
        <v>27</v>
      </c>
      <c r="EP62" s="574">
        <f>EP63+EP69+EP70</f>
        <v>10650</v>
      </c>
      <c r="EQ62" s="574">
        <f>EQ63+EQ69+EQ70</f>
        <v>6154</v>
      </c>
      <c r="ER62" s="574">
        <f>ER63+ER69+ER70</f>
        <v>7278</v>
      </c>
      <c r="ES62" s="574">
        <v>3020</v>
      </c>
      <c r="ET62" s="574">
        <f t="shared" ref="ET62:EZ62" si="326">ET63+ET69+ET70</f>
        <v>11545</v>
      </c>
      <c r="EU62" s="574">
        <f t="shared" si="326"/>
        <v>6254</v>
      </c>
      <c r="EV62" s="574">
        <f t="shared" si="326"/>
        <v>4263</v>
      </c>
      <c r="EW62" s="574">
        <f t="shared" si="326"/>
        <v>4014</v>
      </c>
      <c r="EX62" s="574">
        <f t="shared" si="326"/>
        <v>4269</v>
      </c>
      <c r="EY62" s="574">
        <f t="shared" si="326"/>
        <v>4263</v>
      </c>
      <c r="EZ62" s="574">
        <f t="shared" si="326"/>
        <v>4262</v>
      </c>
      <c r="FA62" s="578">
        <f t="shared" ref="FA62:FA79" si="327">SUM(EO62:EZ62)</f>
        <v>65999</v>
      </c>
      <c r="FB62" s="577">
        <f t="shared" ref="FB62:FM62" si="328">FB63+FB69+FB70</f>
        <v>5738</v>
      </c>
      <c r="FC62" s="574">
        <f t="shared" si="328"/>
        <v>0</v>
      </c>
      <c r="FD62" s="574">
        <f t="shared" si="328"/>
        <v>9312</v>
      </c>
      <c r="FE62" s="574">
        <f t="shared" si="328"/>
        <v>6604</v>
      </c>
      <c r="FF62" s="574">
        <f t="shared" si="328"/>
        <v>692</v>
      </c>
      <c r="FG62" s="574">
        <f t="shared" si="328"/>
        <v>8716</v>
      </c>
      <c r="FH62" s="574">
        <f t="shared" si="328"/>
        <v>4613</v>
      </c>
      <c r="FI62" s="574">
        <f t="shared" si="328"/>
        <v>4374</v>
      </c>
      <c r="FJ62" s="574">
        <f t="shared" si="328"/>
        <v>4301</v>
      </c>
      <c r="FK62" s="574">
        <f t="shared" si="328"/>
        <v>4382</v>
      </c>
      <c r="FL62" s="574">
        <f t="shared" si="328"/>
        <v>4158</v>
      </c>
      <c r="FM62" s="576">
        <f t="shared" si="328"/>
        <v>4181</v>
      </c>
      <c r="FN62" s="576">
        <f t="shared" ref="FN62:FN79" si="329">SUM(FB62:FM62)</f>
        <v>57071</v>
      </c>
      <c r="FO62" s="574">
        <f>FO63+FO69+FO70</f>
        <v>4491</v>
      </c>
      <c r="FP62" s="574">
        <f>FP63+FP69+FP70</f>
        <v>4606</v>
      </c>
      <c r="FQ62" s="574">
        <f>FQ63+FQ69+FQ70</f>
        <v>6955</v>
      </c>
      <c r="FR62" s="574">
        <f t="shared" ref="FR62:FZ62" si="330">FR63+FR69+FR70</f>
        <v>4977</v>
      </c>
      <c r="FS62" s="574">
        <f t="shared" si="330"/>
        <v>4882</v>
      </c>
      <c r="FT62" s="574">
        <f t="shared" si="330"/>
        <v>5014</v>
      </c>
      <c r="FU62" s="574">
        <f t="shared" si="330"/>
        <v>4836</v>
      </c>
      <c r="FV62" s="574">
        <f t="shared" si="330"/>
        <v>4609</v>
      </c>
      <c r="FW62" s="574">
        <f t="shared" si="330"/>
        <v>5619</v>
      </c>
      <c r="FX62" s="574">
        <f t="shared" si="330"/>
        <v>5073</v>
      </c>
      <c r="FY62" s="574">
        <f t="shared" si="330"/>
        <v>4300</v>
      </c>
      <c r="FZ62" s="576">
        <f t="shared" si="330"/>
        <v>10464</v>
      </c>
      <c r="GA62" s="576">
        <f t="shared" ref="GA62:GA79" si="331">SUM(FO62:FZ62)</f>
        <v>65826</v>
      </c>
      <c r="GB62" s="574">
        <f t="shared" ref="GB62:GM62" si="332">GB63+GB69+GB70</f>
        <v>17754</v>
      </c>
      <c r="GC62" s="574">
        <f t="shared" si="332"/>
        <v>5189</v>
      </c>
      <c r="GD62" s="574">
        <f t="shared" si="332"/>
        <v>4579</v>
      </c>
      <c r="GE62" s="574">
        <f t="shared" si="332"/>
        <v>4587</v>
      </c>
      <c r="GF62" s="574">
        <f t="shared" si="332"/>
        <v>5396</v>
      </c>
      <c r="GG62" s="574">
        <f t="shared" si="332"/>
        <v>4763</v>
      </c>
      <c r="GH62" s="574">
        <f t="shared" si="332"/>
        <v>18142</v>
      </c>
      <c r="GI62" s="574">
        <f t="shared" si="332"/>
        <v>5495</v>
      </c>
      <c r="GJ62" s="574">
        <f t="shared" si="332"/>
        <v>6833</v>
      </c>
      <c r="GK62" s="574">
        <f t="shared" si="332"/>
        <v>17359</v>
      </c>
      <c r="GL62" s="574">
        <f t="shared" si="332"/>
        <v>11274</v>
      </c>
      <c r="GM62" s="574">
        <f t="shared" si="332"/>
        <v>5265</v>
      </c>
      <c r="GN62" s="447">
        <f t="shared" si="168"/>
        <v>106636</v>
      </c>
      <c r="GO62" s="574">
        <f>GO63+GO69+GO70</f>
        <v>22604</v>
      </c>
      <c r="GP62" s="574">
        <f t="shared" ref="GP62:GV62" si="333">GP63+GP69+GP70</f>
        <v>62834</v>
      </c>
      <c r="GQ62" s="574">
        <f t="shared" si="333"/>
        <v>8391</v>
      </c>
      <c r="GR62" s="574">
        <f t="shared" si="333"/>
        <v>8879</v>
      </c>
      <c r="GS62" s="574">
        <f t="shared" si="333"/>
        <v>10049</v>
      </c>
      <c r="GT62" s="574">
        <f t="shared" si="333"/>
        <v>13802</v>
      </c>
      <c r="GU62" s="574">
        <f t="shared" si="333"/>
        <v>25733</v>
      </c>
      <c r="GV62" s="574">
        <f t="shared" si="333"/>
        <v>10021</v>
      </c>
      <c r="GW62" s="574">
        <f>GW63+GW69+GW70</f>
        <v>4028</v>
      </c>
      <c r="GX62" s="574">
        <f>GX63+GX69+GX70</f>
        <v>5199</v>
      </c>
      <c r="GY62" s="574">
        <f>GY63+GY69+GY70</f>
        <v>4645</v>
      </c>
      <c r="GZ62" s="576">
        <f>GZ63+GZ69+GZ70</f>
        <v>4863</v>
      </c>
      <c r="HA62" s="576">
        <f t="shared" si="293"/>
        <v>181048</v>
      </c>
      <c r="HB62" s="577">
        <f>HB63+HB69+HB70</f>
        <v>22215</v>
      </c>
      <c r="HC62" s="574">
        <f>HC63+HC69+HC70</f>
        <v>7864</v>
      </c>
      <c r="HD62" s="574">
        <f>HD63+HD69+HD70</f>
        <v>44302</v>
      </c>
      <c r="HE62" s="574">
        <f t="shared" ref="HE62:HM62" si="334">HE63+HE69+HE70</f>
        <v>25561</v>
      </c>
      <c r="HF62" s="574">
        <f t="shared" si="334"/>
        <v>34138</v>
      </c>
      <c r="HG62" s="574">
        <f t="shared" si="334"/>
        <v>31186</v>
      </c>
      <c r="HH62" s="574">
        <f t="shared" si="334"/>
        <v>41655</v>
      </c>
      <c r="HI62" s="574">
        <f t="shared" si="334"/>
        <v>28108</v>
      </c>
      <c r="HJ62" s="574">
        <f t="shared" si="334"/>
        <v>30386</v>
      </c>
      <c r="HK62" s="574">
        <f t="shared" si="334"/>
        <v>29982</v>
      </c>
      <c r="HL62" s="579">
        <f t="shared" si="334"/>
        <v>27015</v>
      </c>
      <c r="HM62" s="580">
        <f t="shared" si="334"/>
        <v>28113</v>
      </c>
      <c r="HN62" s="578">
        <f t="shared" si="307"/>
        <v>350525</v>
      </c>
      <c r="HO62" s="577">
        <f t="shared" ref="HO62:HZ62" si="335">HO63+HO69+HO70</f>
        <v>39755</v>
      </c>
      <c r="HP62" s="574">
        <f t="shared" si="335"/>
        <v>29329</v>
      </c>
      <c r="HQ62" s="574">
        <f t="shared" si="335"/>
        <v>30716</v>
      </c>
      <c r="HR62" s="574">
        <f t="shared" si="335"/>
        <v>28167</v>
      </c>
      <c r="HS62" s="574">
        <f t="shared" si="335"/>
        <v>27779</v>
      </c>
      <c r="HT62" s="574">
        <f t="shared" si="335"/>
        <v>28440</v>
      </c>
      <c r="HU62" s="574">
        <f t="shared" si="335"/>
        <v>40300</v>
      </c>
      <c r="HV62" s="574">
        <f t="shared" si="335"/>
        <v>24746</v>
      </c>
      <c r="HW62" s="574">
        <f t="shared" si="335"/>
        <v>27450</v>
      </c>
      <c r="HX62" s="574">
        <f t="shared" si="335"/>
        <v>33026</v>
      </c>
      <c r="HY62" s="574">
        <f t="shared" si="335"/>
        <v>35893</v>
      </c>
      <c r="HZ62" s="574">
        <f t="shared" si="335"/>
        <v>29927</v>
      </c>
      <c r="IA62" s="578">
        <f t="shared" si="296"/>
        <v>375528</v>
      </c>
      <c r="IB62" s="577">
        <f t="shared" ref="IB62:IM62" si="336">IB63+IB69+IB70</f>
        <v>23801</v>
      </c>
      <c r="IC62" s="574">
        <f t="shared" si="336"/>
        <v>65540</v>
      </c>
      <c r="ID62" s="574">
        <f t="shared" si="336"/>
        <v>33529</v>
      </c>
      <c r="IE62" s="574">
        <f t="shared" si="336"/>
        <v>31067</v>
      </c>
      <c r="IF62" s="574">
        <f t="shared" si="336"/>
        <v>30180</v>
      </c>
      <c r="IG62" s="574">
        <f t="shared" si="336"/>
        <v>39103</v>
      </c>
      <c r="IH62" s="574">
        <f t="shared" si="336"/>
        <v>40683</v>
      </c>
      <c r="II62" s="574">
        <f t="shared" si="336"/>
        <v>38359</v>
      </c>
      <c r="IJ62" s="574">
        <f t="shared" si="336"/>
        <v>38480</v>
      </c>
      <c r="IK62" s="574">
        <f t="shared" si="336"/>
        <v>41275</v>
      </c>
      <c r="IL62" s="574">
        <f t="shared" si="336"/>
        <v>35791</v>
      </c>
      <c r="IM62" s="574">
        <f t="shared" si="336"/>
        <v>66567</v>
      </c>
      <c r="IN62" s="578">
        <f t="shared" si="298"/>
        <v>484375</v>
      </c>
      <c r="IO62" s="574">
        <f t="shared" ref="IO62:IZ62" si="337">IO63+IO69+IO70</f>
        <v>44630</v>
      </c>
      <c r="IP62" s="574">
        <f t="shared" si="337"/>
        <v>66133</v>
      </c>
      <c r="IQ62" s="574">
        <f t="shared" si="337"/>
        <v>38286</v>
      </c>
      <c r="IR62" s="574">
        <f t="shared" si="337"/>
        <v>36070</v>
      </c>
      <c r="IS62" s="579">
        <f t="shared" si="337"/>
        <v>35691</v>
      </c>
      <c r="IT62" s="579">
        <f t="shared" si="337"/>
        <v>38994</v>
      </c>
      <c r="IU62" s="579">
        <f t="shared" si="337"/>
        <v>55335</v>
      </c>
      <c r="IV62" s="579">
        <f t="shared" si="337"/>
        <v>40132</v>
      </c>
      <c r="IW62" s="579">
        <f t="shared" si="337"/>
        <v>39698</v>
      </c>
      <c r="IX62" s="579">
        <f t="shared" si="337"/>
        <v>42377</v>
      </c>
      <c r="IY62" s="579">
        <f t="shared" si="337"/>
        <v>42028</v>
      </c>
      <c r="IZ62" s="579">
        <f t="shared" si="337"/>
        <v>34421</v>
      </c>
      <c r="JA62" s="1384">
        <f t="shared" si="300"/>
        <v>513795</v>
      </c>
      <c r="JB62" s="1328">
        <f t="shared" ref="JB62:JH62" si="338">JB63+JB69+JB70</f>
        <v>57220</v>
      </c>
      <c r="JC62" s="129">
        <f t="shared" si="338"/>
        <v>48163</v>
      </c>
      <c r="JD62" s="129">
        <f t="shared" si="338"/>
        <v>35217</v>
      </c>
      <c r="JE62" s="129">
        <f t="shared" si="338"/>
        <v>33684</v>
      </c>
      <c r="JF62" s="129">
        <f>JF63+JF69+JF70</f>
        <v>44963</v>
      </c>
      <c r="JG62" s="129">
        <f t="shared" si="338"/>
        <v>42011</v>
      </c>
      <c r="JH62" s="129">
        <f t="shared" si="338"/>
        <v>53104</v>
      </c>
      <c r="JI62" s="129">
        <f>JI63+JI69+JI70</f>
        <v>81867</v>
      </c>
      <c r="JJ62" s="129"/>
      <c r="JK62" s="129"/>
      <c r="JL62" s="129"/>
      <c r="JM62" s="129"/>
      <c r="JN62" s="1343">
        <f t="shared" si="303"/>
        <v>396229</v>
      </c>
      <c r="JO62"/>
      <c r="JP62" s="1057">
        <f t="shared" si="304"/>
        <v>103.99431874813119</v>
      </c>
      <c r="JQ62" s="581">
        <f t="shared" si="308"/>
        <v>-70.337291813854776</v>
      </c>
      <c r="JR62" s="575">
        <f t="shared" si="305"/>
        <v>355271</v>
      </c>
      <c r="JS62" s="575">
        <f t="shared" si="306"/>
        <v>105383</v>
      </c>
    </row>
    <row r="63" spans="1:279" ht="13.9" customHeight="1" x14ac:dyDescent="0.2">
      <c r="A63" s="573" t="s">
        <v>418</v>
      </c>
      <c r="CO63" s="574">
        <f t="shared" ref="CO63:CZ63" si="339">SUM(CO64:CO68)</f>
        <v>0</v>
      </c>
      <c r="CP63" s="574">
        <f t="shared" si="339"/>
        <v>0</v>
      </c>
      <c r="CQ63" s="574">
        <f t="shared" si="339"/>
        <v>0</v>
      </c>
      <c r="CR63" s="574">
        <f t="shared" si="339"/>
        <v>0</v>
      </c>
      <c r="CS63" s="574">
        <f t="shared" si="339"/>
        <v>0</v>
      </c>
      <c r="CT63" s="574">
        <f t="shared" si="339"/>
        <v>0</v>
      </c>
      <c r="CU63" s="574">
        <f t="shared" si="339"/>
        <v>0</v>
      </c>
      <c r="CV63" s="574">
        <f t="shared" si="339"/>
        <v>0</v>
      </c>
      <c r="CW63" s="574">
        <f t="shared" si="339"/>
        <v>0</v>
      </c>
      <c r="CX63" s="574">
        <f t="shared" si="339"/>
        <v>0</v>
      </c>
      <c r="CY63" s="574">
        <f t="shared" si="339"/>
        <v>0</v>
      </c>
      <c r="CZ63" s="574">
        <f t="shared" si="339"/>
        <v>0</v>
      </c>
      <c r="DA63" s="575">
        <f t="shared" si="264"/>
        <v>0</v>
      </c>
      <c r="DB63" s="574">
        <f t="shared" ref="DB63:DM63" si="340">SUM(DB64:DB68)</f>
        <v>27</v>
      </c>
      <c r="DC63" s="574">
        <f t="shared" si="340"/>
        <v>0</v>
      </c>
      <c r="DD63" s="574">
        <f t="shared" si="340"/>
        <v>1.02</v>
      </c>
      <c r="DE63" s="574">
        <f t="shared" si="340"/>
        <v>1.04</v>
      </c>
      <c r="DF63" s="574">
        <f t="shared" si="340"/>
        <v>0.109</v>
      </c>
      <c r="DG63" s="574">
        <f t="shared" si="340"/>
        <v>171.01</v>
      </c>
      <c r="DH63" s="574">
        <f t="shared" si="340"/>
        <v>0.62</v>
      </c>
      <c r="DI63" s="574">
        <f t="shared" si="340"/>
        <v>0.52300000000000002</v>
      </c>
      <c r="DJ63" s="574">
        <f t="shared" si="340"/>
        <v>3.5999999999999997E-2</v>
      </c>
      <c r="DK63" s="574">
        <f t="shared" si="340"/>
        <v>1.081</v>
      </c>
      <c r="DL63" s="574">
        <f t="shared" si="340"/>
        <v>0.44999999999999996</v>
      </c>
      <c r="DM63" s="576">
        <f t="shared" si="340"/>
        <v>0.40399999999999997</v>
      </c>
      <c r="DN63" s="576">
        <f t="shared" si="266"/>
        <v>203.29299999999998</v>
      </c>
      <c r="DO63" s="577">
        <f t="shared" ref="DO63:EM63" si="341">SUM(DO64:DO68)</f>
        <v>0.92900000000000005</v>
      </c>
      <c r="DP63" s="574">
        <f t="shared" si="341"/>
        <v>0.60300000000000009</v>
      </c>
      <c r="DQ63" s="574">
        <f t="shared" si="341"/>
        <v>0.90300000000000002</v>
      </c>
      <c r="DR63" s="574">
        <f t="shared" si="341"/>
        <v>1.147</v>
      </c>
      <c r="DS63" s="574">
        <f t="shared" si="341"/>
        <v>1</v>
      </c>
      <c r="DT63" s="574">
        <f t="shared" si="341"/>
        <v>1</v>
      </c>
      <c r="DU63" s="574">
        <f t="shared" si="341"/>
        <v>183</v>
      </c>
      <c r="DV63" s="574">
        <f t="shared" si="341"/>
        <v>11</v>
      </c>
      <c r="DW63" s="574">
        <f t="shared" si="341"/>
        <v>11</v>
      </c>
      <c r="DX63" s="574">
        <f t="shared" si="341"/>
        <v>11</v>
      </c>
      <c r="DY63" s="574">
        <f t="shared" si="341"/>
        <v>11</v>
      </c>
      <c r="DZ63" s="574">
        <f t="shared" si="341"/>
        <v>11</v>
      </c>
      <c r="EA63" s="578">
        <f t="shared" si="268"/>
        <v>243.58199999999999</v>
      </c>
      <c r="EB63" s="577">
        <f t="shared" si="341"/>
        <v>12</v>
      </c>
      <c r="EC63" s="574">
        <f t="shared" si="341"/>
        <v>1</v>
      </c>
      <c r="ED63" s="574">
        <f t="shared" si="341"/>
        <v>11</v>
      </c>
      <c r="EE63" s="574">
        <f t="shared" si="341"/>
        <v>10</v>
      </c>
      <c r="EF63" s="574">
        <f t="shared" si="341"/>
        <v>22</v>
      </c>
      <c r="EG63" s="574">
        <f t="shared" si="341"/>
        <v>0</v>
      </c>
      <c r="EH63" s="574">
        <f t="shared" si="341"/>
        <v>192</v>
      </c>
      <c r="EI63" s="574">
        <f t="shared" si="341"/>
        <v>49</v>
      </c>
      <c r="EJ63" s="574">
        <f t="shared" si="341"/>
        <v>20</v>
      </c>
      <c r="EK63" s="574">
        <f t="shared" si="341"/>
        <v>22</v>
      </c>
      <c r="EL63" s="574">
        <f t="shared" si="341"/>
        <v>19</v>
      </c>
      <c r="EM63" s="576">
        <f t="shared" si="341"/>
        <v>16</v>
      </c>
      <c r="EN63" s="574">
        <f t="shared" si="325"/>
        <v>374</v>
      </c>
      <c r="EO63" s="577">
        <f>SUM(EO64:EO68)</f>
        <v>19</v>
      </c>
      <c r="EP63" s="574">
        <f>SUM(EP64:EP68)</f>
        <v>22</v>
      </c>
      <c r="EQ63" s="574">
        <f>SUM(EQ64:EQ68)</f>
        <v>19</v>
      </c>
      <c r="ER63" s="574">
        <f>SUM(ER64:ER68)</f>
        <v>18</v>
      </c>
      <c r="ES63" s="574">
        <v>19</v>
      </c>
      <c r="ET63" s="574">
        <f t="shared" ref="ET63:EZ63" si="342">SUM(ET64:ET68)</f>
        <v>3</v>
      </c>
      <c r="EU63" s="574">
        <f t="shared" si="342"/>
        <v>248</v>
      </c>
      <c r="EV63" s="574">
        <f t="shared" si="342"/>
        <v>20</v>
      </c>
      <c r="EW63" s="574">
        <f t="shared" si="342"/>
        <v>17</v>
      </c>
      <c r="EX63" s="574">
        <f t="shared" si="342"/>
        <v>17</v>
      </c>
      <c r="EY63" s="574">
        <f t="shared" si="342"/>
        <v>19</v>
      </c>
      <c r="EZ63" s="574">
        <f t="shared" si="342"/>
        <v>18</v>
      </c>
      <c r="FA63" s="578">
        <f t="shared" si="327"/>
        <v>439</v>
      </c>
      <c r="FB63" s="577">
        <f t="shared" ref="FB63:FM63" si="343">SUM(FB64:FB68)</f>
        <v>17</v>
      </c>
      <c r="FC63" s="574">
        <f t="shared" si="343"/>
        <v>0</v>
      </c>
      <c r="FD63" s="574">
        <f t="shared" si="343"/>
        <v>17</v>
      </c>
      <c r="FE63" s="574">
        <f t="shared" si="343"/>
        <v>17</v>
      </c>
      <c r="FF63" s="574">
        <f t="shared" si="343"/>
        <v>17</v>
      </c>
      <c r="FG63" s="574">
        <f t="shared" si="343"/>
        <v>0</v>
      </c>
      <c r="FH63" s="574">
        <f t="shared" si="343"/>
        <v>247</v>
      </c>
      <c r="FI63" s="574">
        <f t="shared" si="343"/>
        <v>15</v>
      </c>
      <c r="FJ63" s="574">
        <f t="shared" si="343"/>
        <v>15</v>
      </c>
      <c r="FK63" s="574">
        <f t="shared" si="343"/>
        <v>15</v>
      </c>
      <c r="FL63" s="574">
        <f t="shared" si="343"/>
        <v>16</v>
      </c>
      <c r="FM63" s="576">
        <f t="shared" si="343"/>
        <v>15</v>
      </c>
      <c r="FN63" s="576">
        <f t="shared" si="329"/>
        <v>391</v>
      </c>
      <c r="FO63" s="574">
        <f>SUM(FO64:FO68)</f>
        <v>15</v>
      </c>
      <c r="FP63" s="574">
        <f>SUM(FP64:FP68)</f>
        <v>130</v>
      </c>
      <c r="FQ63" s="574">
        <f>SUM(FQ64:FQ68)</f>
        <v>15</v>
      </c>
      <c r="FR63" s="574">
        <f>SUM(FR64:FR68)</f>
        <v>15</v>
      </c>
      <c r="FS63" s="574">
        <f>SUM(FS64:FS68)</f>
        <v>15</v>
      </c>
      <c r="FT63" s="574">
        <v>0</v>
      </c>
      <c r="FU63" s="574">
        <f t="shared" ref="FU63:FZ63" si="344">SUM(FU64:FU68)</f>
        <v>126</v>
      </c>
      <c r="FV63" s="574">
        <f t="shared" si="344"/>
        <v>14</v>
      </c>
      <c r="FW63" s="574">
        <f t="shared" si="344"/>
        <v>57</v>
      </c>
      <c r="FX63" s="574">
        <f t="shared" si="344"/>
        <v>0</v>
      </c>
      <c r="FY63" s="574">
        <f t="shared" si="344"/>
        <v>0</v>
      </c>
      <c r="FZ63" s="576">
        <f t="shared" si="344"/>
        <v>0</v>
      </c>
      <c r="GA63" s="576">
        <f t="shared" si="331"/>
        <v>387</v>
      </c>
      <c r="GB63" s="574">
        <f t="shared" ref="GB63:GM63" si="345">SUM(GB64:GB68)</f>
        <v>168</v>
      </c>
      <c r="GC63" s="574">
        <f t="shared" si="345"/>
        <v>0</v>
      </c>
      <c r="GD63" s="574">
        <f t="shared" si="345"/>
        <v>0</v>
      </c>
      <c r="GE63" s="574">
        <f t="shared" si="345"/>
        <v>0</v>
      </c>
      <c r="GF63" s="574">
        <f t="shared" si="345"/>
        <v>0</v>
      </c>
      <c r="GG63" s="574">
        <f t="shared" si="345"/>
        <v>0</v>
      </c>
      <c r="GH63" s="574">
        <f t="shared" si="345"/>
        <v>0</v>
      </c>
      <c r="GI63" s="574">
        <f t="shared" si="345"/>
        <v>0</v>
      </c>
      <c r="GJ63" s="574">
        <f t="shared" si="345"/>
        <v>116</v>
      </c>
      <c r="GK63" s="574">
        <f t="shared" si="345"/>
        <v>13</v>
      </c>
      <c r="GL63" s="574">
        <f t="shared" si="345"/>
        <v>13</v>
      </c>
      <c r="GM63" s="574">
        <f t="shared" si="345"/>
        <v>13</v>
      </c>
      <c r="GN63" s="447">
        <f t="shared" si="168"/>
        <v>323</v>
      </c>
      <c r="GO63" s="574">
        <f t="shared" ref="GO63:GZ63" si="346">SUM(GO64:GO68)</f>
        <v>105</v>
      </c>
      <c r="GP63" s="574">
        <f t="shared" si="346"/>
        <v>13</v>
      </c>
      <c r="GQ63" s="574">
        <f t="shared" si="346"/>
        <v>16</v>
      </c>
      <c r="GR63" s="574">
        <f t="shared" si="346"/>
        <v>9</v>
      </c>
      <c r="GS63" s="574">
        <f t="shared" si="346"/>
        <v>13</v>
      </c>
      <c r="GT63" s="574">
        <f t="shared" si="346"/>
        <v>0</v>
      </c>
      <c r="GU63" s="574">
        <f t="shared" si="346"/>
        <v>46</v>
      </c>
      <c r="GV63" s="574">
        <f t="shared" si="346"/>
        <v>4</v>
      </c>
      <c r="GW63" s="574">
        <f t="shared" si="346"/>
        <v>3</v>
      </c>
      <c r="GX63" s="574">
        <f t="shared" si="346"/>
        <v>4</v>
      </c>
      <c r="GY63" s="574">
        <f t="shared" si="346"/>
        <v>3</v>
      </c>
      <c r="GZ63" s="576">
        <f t="shared" si="346"/>
        <v>4</v>
      </c>
      <c r="HA63" s="576">
        <f t="shared" si="293"/>
        <v>220</v>
      </c>
      <c r="HB63" s="577">
        <f t="shared" ref="HB63:HM63" si="347">SUM(HB64:HB68)</f>
        <v>116</v>
      </c>
      <c r="HC63" s="574">
        <f t="shared" si="347"/>
        <v>3</v>
      </c>
      <c r="HD63" s="574">
        <f t="shared" si="347"/>
        <v>3</v>
      </c>
      <c r="HE63" s="574">
        <f t="shared" si="347"/>
        <v>3</v>
      </c>
      <c r="HF63" s="574">
        <f t="shared" si="347"/>
        <v>6</v>
      </c>
      <c r="HG63" s="574">
        <f t="shared" si="347"/>
        <v>0</v>
      </c>
      <c r="HH63" s="574">
        <f t="shared" si="347"/>
        <v>181</v>
      </c>
      <c r="HI63" s="574">
        <f t="shared" si="347"/>
        <v>3</v>
      </c>
      <c r="HJ63" s="574">
        <f t="shared" si="347"/>
        <v>3</v>
      </c>
      <c r="HK63" s="574">
        <f t="shared" si="347"/>
        <v>3</v>
      </c>
      <c r="HL63" s="579">
        <f t="shared" si="347"/>
        <v>3</v>
      </c>
      <c r="HM63" s="580">
        <f t="shared" si="347"/>
        <v>3</v>
      </c>
      <c r="HN63" s="578">
        <f t="shared" si="307"/>
        <v>327</v>
      </c>
      <c r="HO63" s="577">
        <f t="shared" ref="HO63:HZ63" si="348">SUM(HO64:HO68)</f>
        <v>146</v>
      </c>
      <c r="HP63" s="574">
        <f t="shared" si="348"/>
        <v>0</v>
      </c>
      <c r="HQ63" s="574">
        <f t="shared" si="348"/>
        <v>6</v>
      </c>
      <c r="HR63" s="574">
        <f t="shared" si="348"/>
        <v>3</v>
      </c>
      <c r="HS63" s="574">
        <f t="shared" si="348"/>
        <v>3</v>
      </c>
      <c r="HT63" s="574">
        <f t="shared" si="348"/>
        <v>2</v>
      </c>
      <c r="HU63" s="574">
        <f t="shared" si="348"/>
        <v>153</v>
      </c>
      <c r="HV63" s="574">
        <f t="shared" si="348"/>
        <v>2</v>
      </c>
      <c r="HW63" s="574">
        <f t="shared" si="348"/>
        <v>2</v>
      </c>
      <c r="HX63" s="574">
        <f t="shared" si="348"/>
        <v>2</v>
      </c>
      <c r="HY63" s="574">
        <f t="shared" si="348"/>
        <v>3</v>
      </c>
      <c r="HZ63" s="574">
        <f t="shared" si="348"/>
        <v>1</v>
      </c>
      <c r="IA63" s="578">
        <f t="shared" si="296"/>
        <v>323</v>
      </c>
      <c r="IB63" s="577">
        <f t="shared" ref="IB63:IM63" si="349">SUM(IB64:IB68)</f>
        <v>145</v>
      </c>
      <c r="IC63" s="574">
        <f t="shared" si="349"/>
        <v>2</v>
      </c>
      <c r="ID63" s="574">
        <f t="shared" si="349"/>
        <v>2</v>
      </c>
      <c r="IE63" s="574">
        <f t="shared" si="349"/>
        <v>2</v>
      </c>
      <c r="IF63" s="574">
        <f t="shared" si="349"/>
        <v>0</v>
      </c>
      <c r="IG63" s="574">
        <f t="shared" si="349"/>
        <v>2</v>
      </c>
      <c r="IH63" s="574">
        <f t="shared" si="349"/>
        <v>132</v>
      </c>
      <c r="II63" s="574">
        <f t="shared" si="349"/>
        <v>2</v>
      </c>
      <c r="IJ63" s="574">
        <f t="shared" si="349"/>
        <v>2</v>
      </c>
      <c r="IK63" s="574">
        <f t="shared" si="349"/>
        <v>2</v>
      </c>
      <c r="IL63" s="574">
        <f t="shared" si="349"/>
        <v>2</v>
      </c>
      <c r="IM63" s="574">
        <f t="shared" si="349"/>
        <v>1</v>
      </c>
      <c r="IN63" s="578">
        <f t="shared" si="298"/>
        <v>294</v>
      </c>
      <c r="IO63" s="574">
        <f t="shared" ref="IO63:IZ63" si="350">SUM(IO64:IO68)</f>
        <v>33</v>
      </c>
      <c r="IP63" s="574">
        <f t="shared" si="350"/>
        <v>1</v>
      </c>
      <c r="IQ63" s="574">
        <f t="shared" si="350"/>
        <v>1</v>
      </c>
      <c r="IR63" s="574">
        <f t="shared" si="350"/>
        <v>1</v>
      </c>
      <c r="IS63" s="579">
        <f t="shared" si="350"/>
        <v>1</v>
      </c>
      <c r="IT63" s="579">
        <f t="shared" si="350"/>
        <v>331</v>
      </c>
      <c r="IU63" s="579">
        <f t="shared" si="350"/>
        <v>2</v>
      </c>
      <c r="IV63" s="579">
        <f t="shared" si="350"/>
        <v>1</v>
      </c>
      <c r="IW63" s="579">
        <f t="shared" si="350"/>
        <v>3</v>
      </c>
      <c r="IX63" s="579">
        <f t="shared" si="350"/>
        <v>1</v>
      </c>
      <c r="IY63" s="579">
        <f t="shared" si="350"/>
        <v>1</v>
      </c>
      <c r="IZ63" s="579">
        <f t="shared" si="350"/>
        <v>1</v>
      </c>
      <c r="JA63" s="1384">
        <f t="shared" si="300"/>
        <v>377</v>
      </c>
      <c r="JB63" s="1328">
        <f t="shared" ref="JB63:JE63" si="351">SUM(JB64:JB68)</f>
        <v>52</v>
      </c>
      <c r="JC63" s="129">
        <f t="shared" si="351"/>
        <v>1</v>
      </c>
      <c r="JD63" s="129">
        <f t="shared" si="351"/>
        <v>1</v>
      </c>
      <c r="JE63" s="129">
        <f t="shared" si="351"/>
        <v>1</v>
      </c>
      <c r="JF63" s="129">
        <v>997</v>
      </c>
      <c r="JG63" s="129">
        <v>0</v>
      </c>
      <c r="JH63" s="129">
        <v>382</v>
      </c>
      <c r="JI63" s="129">
        <v>12</v>
      </c>
      <c r="JJ63" s="129"/>
      <c r="JK63" s="129"/>
      <c r="JL63" s="129"/>
      <c r="JM63" s="129"/>
      <c r="JN63" s="1343">
        <f t="shared" si="303"/>
        <v>1446</v>
      </c>
      <c r="JP63" s="1057">
        <f t="shared" si="304"/>
        <v>1100</v>
      </c>
      <c r="JQ63" s="581">
        <f t="shared" si="308"/>
        <v>-85.714285714285722</v>
      </c>
      <c r="JR63" s="575">
        <f t="shared" si="305"/>
        <v>371</v>
      </c>
      <c r="JS63" s="575">
        <f t="shared" si="306"/>
        <v>53</v>
      </c>
    </row>
    <row r="64" spans="1:279" ht="13.9" customHeight="1" x14ac:dyDescent="0.2">
      <c r="A64" s="563" t="s">
        <v>419</v>
      </c>
      <c r="CO64" s="564">
        <v>0</v>
      </c>
      <c r="CP64" s="564">
        <v>0</v>
      </c>
      <c r="CQ64" s="564">
        <v>0</v>
      </c>
      <c r="CR64" s="564">
        <v>0</v>
      </c>
      <c r="CS64" s="564">
        <v>0</v>
      </c>
      <c r="CT64" s="564">
        <v>0</v>
      </c>
      <c r="CU64" s="564">
        <v>0</v>
      </c>
      <c r="CV64" s="564">
        <v>0</v>
      </c>
      <c r="CW64" s="564">
        <v>0</v>
      </c>
      <c r="CX64" s="564">
        <v>0</v>
      </c>
      <c r="CY64" s="564">
        <v>0</v>
      </c>
      <c r="CZ64" s="564">
        <v>0</v>
      </c>
      <c r="DA64" s="565">
        <f t="shared" si="264"/>
        <v>0</v>
      </c>
      <c r="DB64" s="564">
        <v>0</v>
      </c>
      <c r="DC64" s="564">
        <v>0</v>
      </c>
      <c r="DD64" s="564">
        <v>0</v>
      </c>
      <c r="DE64" s="564">
        <v>0</v>
      </c>
      <c r="DF64" s="564">
        <v>0</v>
      </c>
      <c r="DG64" s="564">
        <v>0</v>
      </c>
      <c r="DH64" s="564">
        <v>0</v>
      </c>
      <c r="DI64" s="564">
        <v>0</v>
      </c>
      <c r="DJ64" s="564">
        <v>0</v>
      </c>
      <c r="DK64" s="564">
        <v>0</v>
      </c>
      <c r="DL64" s="564">
        <v>0</v>
      </c>
      <c r="DM64" s="566">
        <v>0</v>
      </c>
      <c r="DN64" s="566">
        <f t="shared" si="266"/>
        <v>0</v>
      </c>
      <c r="DO64" s="567">
        <v>0</v>
      </c>
      <c r="DP64" s="564">
        <v>0</v>
      </c>
      <c r="DQ64" s="564">
        <v>0</v>
      </c>
      <c r="DR64" s="564">
        <v>0</v>
      </c>
      <c r="DS64" s="564">
        <v>0</v>
      </c>
      <c r="DT64" s="564">
        <v>0</v>
      </c>
      <c r="DU64" s="564">
        <v>0</v>
      </c>
      <c r="DV64" s="564">
        <v>1</v>
      </c>
      <c r="DW64" s="564">
        <v>0</v>
      </c>
      <c r="DX64" s="564">
        <v>0</v>
      </c>
      <c r="DY64" s="564">
        <v>0</v>
      </c>
      <c r="DZ64" s="564">
        <v>0</v>
      </c>
      <c r="EA64" s="568">
        <f t="shared" si="268"/>
        <v>1</v>
      </c>
      <c r="EB64" s="567">
        <v>0</v>
      </c>
      <c r="EC64" s="564">
        <v>0</v>
      </c>
      <c r="ED64" s="564">
        <v>0</v>
      </c>
      <c r="EE64" s="564">
        <v>0</v>
      </c>
      <c r="EF64" s="564">
        <v>0</v>
      </c>
      <c r="EG64" s="564">
        <v>0</v>
      </c>
      <c r="EH64" s="564">
        <v>0</v>
      </c>
      <c r="EI64" s="564">
        <v>0</v>
      </c>
      <c r="EJ64" s="564">
        <v>0</v>
      </c>
      <c r="EK64" s="564">
        <v>0</v>
      </c>
      <c r="EL64" s="564">
        <v>0</v>
      </c>
      <c r="EM64" s="566">
        <v>0</v>
      </c>
      <c r="EN64" s="564">
        <f t="shared" si="325"/>
        <v>0</v>
      </c>
      <c r="EO64" s="567">
        <v>0</v>
      </c>
      <c r="EP64" s="564">
        <v>0</v>
      </c>
      <c r="EQ64" s="564">
        <v>0</v>
      </c>
      <c r="ER64" s="564">
        <v>0</v>
      </c>
      <c r="ES64" s="564">
        <v>0</v>
      </c>
      <c r="ET64" s="564">
        <v>0</v>
      </c>
      <c r="EU64" s="564">
        <v>213</v>
      </c>
      <c r="EV64" s="564">
        <v>0</v>
      </c>
      <c r="EW64" s="564">
        <v>0</v>
      </c>
      <c r="EX64" s="564">
        <v>0</v>
      </c>
      <c r="EY64" s="564">
        <v>0</v>
      </c>
      <c r="EZ64" s="564">
        <v>0</v>
      </c>
      <c r="FA64" s="568">
        <f t="shared" si="327"/>
        <v>213</v>
      </c>
      <c r="FB64" s="567">
        <v>0</v>
      </c>
      <c r="FC64" s="564">
        <v>0</v>
      </c>
      <c r="FD64" s="564">
        <v>0</v>
      </c>
      <c r="FE64" s="564">
        <v>0</v>
      </c>
      <c r="FF64" s="564">
        <v>0</v>
      </c>
      <c r="FG64" s="564">
        <v>0</v>
      </c>
      <c r="FH64" s="564">
        <v>0</v>
      </c>
      <c r="FI64" s="564">
        <v>0</v>
      </c>
      <c r="FJ64" s="564">
        <v>0</v>
      </c>
      <c r="FK64" s="564">
        <v>0</v>
      </c>
      <c r="FL64" s="564">
        <v>0</v>
      </c>
      <c r="FM64" s="566">
        <v>0</v>
      </c>
      <c r="FN64" s="566">
        <f t="shared" si="329"/>
        <v>0</v>
      </c>
      <c r="FO64" s="564">
        <v>0</v>
      </c>
      <c r="FP64" s="564">
        <v>0</v>
      </c>
      <c r="FQ64" s="564">
        <v>0</v>
      </c>
      <c r="FR64" s="564">
        <v>0</v>
      </c>
      <c r="FS64" s="564">
        <v>0</v>
      </c>
      <c r="FT64" s="564">
        <v>0</v>
      </c>
      <c r="FU64" s="564">
        <v>0</v>
      </c>
      <c r="FV64" s="564">
        <v>0</v>
      </c>
      <c r="FW64" s="564">
        <v>0</v>
      </c>
      <c r="FX64" s="564">
        <v>0</v>
      </c>
      <c r="FY64" s="564">
        <v>0</v>
      </c>
      <c r="FZ64" s="566">
        <v>0</v>
      </c>
      <c r="GA64" s="566">
        <f t="shared" si="331"/>
        <v>0</v>
      </c>
      <c r="GB64" s="564">
        <v>0</v>
      </c>
      <c r="GC64" s="564">
        <v>0</v>
      </c>
      <c r="GD64" s="564">
        <v>0</v>
      </c>
      <c r="GE64" s="564">
        <v>0</v>
      </c>
      <c r="GF64" s="564">
        <v>0</v>
      </c>
      <c r="GG64" s="564">
        <v>0</v>
      </c>
      <c r="GH64" s="564">
        <v>0</v>
      </c>
      <c r="GI64" s="564">
        <v>0</v>
      </c>
      <c r="GJ64" s="564">
        <v>0</v>
      </c>
      <c r="GK64" s="564">
        <v>0</v>
      </c>
      <c r="GL64" s="564">
        <v>0</v>
      </c>
      <c r="GM64" s="564">
        <v>0</v>
      </c>
      <c r="GN64" s="447">
        <f t="shared" si="168"/>
        <v>0</v>
      </c>
      <c r="GO64" s="564">
        <v>0</v>
      </c>
      <c r="GP64" s="564">
        <v>0</v>
      </c>
      <c r="GQ64" s="564">
        <v>0</v>
      </c>
      <c r="GR64" s="564">
        <v>0</v>
      </c>
      <c r="GS64" s="564">
        <v>0</v>
      </c>
      <c r="GT64" s="564">
        <v>0</v>
      </c>
      <c r="GU64" s="564">
        <v>0</v>
      </c>
      <c r="GV64" s="564">
        <v>0</v>
      </c>
      <c r="GW64" s="564">
        <v>0</v>
      </c>
      <c r="GX64" s="564">
        <v>0</v>
      </c>
      <c r="GY64" s="564">
        <v>0</v>
      </c>
      <c r="GZ64" s="566">
        <v>0</v>
      </c>
      <c r="HA64" s="566">
        <f t="shared" si="293"/>
        <v>0</v>
      </c>
      <c r="HB64" s="567">
        <v>0</v>
      </c>
      <c r="HC64" s="564">
        <v>0</v>
      </c>
      <c r="HD64" s="564">
        <v>0</v>
      </c>
      <c r="HE64" s="564">
        <v>0</v>
      </c>
      <c r="HF64" s="564">
        <v>0</v>
      </c>
      <c r="HG64" s="564">
        <v>0</v>
      </c>
      <c r="HH64" s="564">
        <v>0</v>
      </c>
      <c r="HI64" s="564">
        <v>0</v>
      </c>
      <c r="HJ64" s="564">
        <v>0</v>
      </c>
      <c r="HK64" s="564">
        <v>0</v>
      </c>
      <c r="HL64" s="569">
        <v>0</v>
      </c>
      <c r="HM64" s="570">
        <v>0</v>
      </c>
      <c r="HN64" s="568">
        <f t="shared" si="307"/>
        <v>0</v>
      </c>
      <c r="HO64" s="567">
        <v>0</v>
      </c>
      <c r="HP64" s="564">
        <v>0</v>
      </c>
      <c r="HQ64" s="564">
        <v>0</v>
      </c>
      <c r="HR64" s="564">
        <v>0</v>
      </c>
      <c r="HS64" s="564">
        <v>0</v>
      </c>
      <c r="HT64" s="564">
        <v>0</v>
      </c>
      <c r="HU64" s="564">
        <v>0</v>
      </c>
      <c r="HV64" s="564">
        <v>0</v>
      </c>
      <c r="HW64" s="564">
        <v>0</v>
      </c>
      <c r="HX64" s="564">
        <v>0</v>
      </c>
      <c r="HY64" s="564">
        <v>0</v>
      </c>
      <c r="HZ64" s="564">
        <v>0</v>
      </c>
      <c r="IA64" s="568">
        <f t="shared" si="296"/>
        <v>0</v>
      </c>
      <c r="IB64" s="567">
        <v>0</v>
      </c>
      <c r="IC64" s="564">
        <v>0</v>
      </c>
      <c r="ID64" s="564">
        <v>0</v>
      </c>
      <c r="IE64" s="564">
        <v>0</v>
      </c>
      <c r="IF64" s="564">
        <v>0</v>
      </c>
      <c r="IG64" s="564">
        <v>0</v>
      </c>
      <c r="IH64" s="564">
        <v>0</v>
      </c>
      <c r="II64" s="564">
        <v>2</v>
      </c>
      <c r="IJ64" s="564">
        <v>2</v>
      </c>
      <c r="IK64" s="564">
        <v>2</v>
      </c>
      <c r="IL64" s="564">
        <v>2</v>
      </c>
      <c r="IM64" s="564">
        <v>1</v>
      </c>
      <c r="IN64" s="568">
        <f t="shared" si="298"/>
        <v>9</v>
      </c>
      <c r="IO64" s="564">
        <v>0</v>
      </c>
      <c r="IP64" s="564">
        <v>0</v>
      </c>
      <c r="IQ64" s="564">
        <v>0</v>
      </c>
      <c r="IR64" s="564">
        <v>0</v>
      </c>
      <c r="IS64" s="569">
        <v>0</v>
      </c>
      <c r="IT64" s="569">
        <v>0</v>
      </c>
      <c r="IU64" s="569">
        <v>0</v>
      </c>
      <c r="IV64" s="569">
        <v>0</v>
      </c>
      <c r="IW64" s="569">
        <v>0</v>
      </c>
      <c r="IX64" s="569">
        <v>0</v>
      </c>
      <c r="IY64" s="569">
        <v>0</v>
      </c>
      <c r="IZ64" s="569">
        <v>0</v>
      </c>
      <c r="JA64" s="1383">
        <f t="shared" si="300"/>
        <v>0</v>
      </c>
      <c r="JB64" s="132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N64" s="1059">
        <f t="shared" si="303"/>
        <v>0</v>
      </c>
      <c r="JP64" s="1056" t="str">
        <f t="shared" si="304"/>
        <v>-</v>
      </c>
      <c r="JQ64" s="572" t="str">
        <f t="shared" si="308"/>
        <v>-</v>
      </c>
      <c r="JR64" s="565">
        <f t="shared" si="305"/>
        <v>0</v>
      </c>
      <c r="JS64" s="565">
        <f t="shared" si="306"/>
        <v>0</v>
      </c>
    </row>
    <row r="65" spans="1:279" ht="13.9" customHeight="1" x14ac:dyDescent="0.2">
      <c r="A65" s="563" t="s">
        <v>420</v>
      </c>
      <c r="CO65" s="564">
        <v>0</v>
      </c>
      <c r="CP65" s="564">
        <v>0</v>
      </c>
      <c r="CQ65" s="564">
        <v>0</v>
      </c>
      <c r="CR65" s="564">
        <v>0</v>
      </c>
      <c r="CS65" s="564">
        <v>0</v>
      </c>
      <c r="CT65" s="564">
        <v>0</v>
      </c>
      <c r="CU65" s="564">
        <v>0</v>
      </c>
      <c r="CV65" s="564">
        <v>0</v>
      </c>
      <c r="CW65" s="564">
        <v>0</v>
      </c>
      <c r="CX65" s="564">
        <v>0</v>
      </c>
      <c r="CY65" s="564">
        <v>0</v>
      </c>
      <c r="CZ65" s="564">
        <v>0</v>
      </c>
      <c r="DA65" s="565">
        <f t="shared" si="264"/>
        <v>0</v>
      </c>
      <c r="DB65" s="564">
        <v>3</v>
      </c>
      <c r="DC65" s="564">
        <v>0</v>
      </c>
      <c r="DD65" s="564">
        <v>1</v>
      </c>
      <c r="DE65" s="564">
        <v>1</v>
      </c>
      <c r="DF65" s="564">
        <v>0.1</v>
      </c>
      <c r="DG65" s="564">
        <v>171</v>
      </c>
      <c r="DH65" s="564">
        <v>0.5</v>
      </c>
      <c r="DI65" s="564">
        <v>0.46899999999999997</v>
      </c>
      <c r="DJ65" s="564">
        <v>0</v>
      </c>
      <c r="DK65" s="564">
        <v>1</v>
      </c>
      <c r="DL65" s="564">
        <v>0.375</v>
      </c>
      <c r="DM65" s="566">
        <v>0.32400000000000001</v>
      </c>
      <c r="DN65" s="566">
        <f t="shared" si="266"/>
        <v>178.768</v>
      </c>
      <c r="DO65" s="567">
        <v>0.80900000000000005</v>
      </c>
      <c r="DP65" s="564">
        <v>0.51500000000000001</v>
      </c>
      <c r="DQ65" s="564">
        <v>0.79400000000000004</v>
      </c>
      <c r="DR65" s="564">
        <v>1</v>
      </c>
      <c r="DS65" s="564">
        <v>1</v>
      </c>
      <c r="DT65" s="564">
        <v>1</v>
      </c>
      <c r="DU65" s="564">
        <v>163</v>
      </c>
      <c r="DV65" s="564">
        <v>0</v>
      </c>
      <c r="DW65" s="564">
        <v>1</v>
      </c>
      <c r="DX65" s="564">
        <v>1</v>
      </c>
      <c r="DY65" s="564">
        <v>1</v>
      </c>
      <c r="DZ65" s="564">
        <v>1</v>
      </c>
      <c r="EA65" s="568">
        <f t="shared" si="268"/>
        <v>172.11799999999999</v>
      </c>
      <c r="EB65" s="567">
        <v>2</v>
      </c>
      <c r="EC65" s="564">
        <v>1</v>
      </c>
      <c r="ED65" s="564">
        <v>1</v>
      </c>
      <c r="EE65" s="564">
        <v>0</v>
      </c>
      <c r="EF65" s="564">
        <v>2</v>
      </c>
      <c r="EG65" s="564">
        <v>0</v>
      </c>
      <c r="EH65" s="564">
        <v>191</v>
      </c>
      <c r="EI65" s="564">
        <v>0</v>
      </c>
      <c r="EJ65" s="564">
        <v>2</v>
      </c>
      <c r="EK65" s="564">
        <v>5</v>
      </c>
      <c r="EL65" s="564">
        <v>2</v>
      </c>
      <c r="EM65" s="566">
        <v>0</v>
      </c>
      <c r="EN65" s="564">
        <f t="shared" si="325"/>
        <v>206</v>
      </c>
      <c r="EO65" s="567">
        <v>2</v>
      </c>
      <c r="EP65" s="564">
        <v>4</v>
      </c>
      <c r="EQ65" s="564">
        <v>2</v>
      </c>
      <c r="ER65" s="564">
        <v>1</v>
      </c>
      <c r="ES65" s="564">
        <v>2</v>
      </c>
      <c r="ET65" s="564">
        <v>2</v>
      </c>
      <c r="EU65" s="564">
        <v>0</v>
      </c>
      <c r="EV65" s="564">
        <v>2</v>
      </c>
      <c r="EW65" s="564">
        <v>0</v>
      </c>
      <c r="EX65" s="564">
        <v>0</v>
      </c>
      <c r="EY65" s="564">
        <v>2</v>
      </c>
      <c r="EZ65" s="564">
        <v>1</v>
      </c>
      <c r="FA65" s="568">
        <f t="shared" si="327"/>
        <v>18</v>
      </c>
      <c r="FB65" s="567">
        <v>0</v>
      </c>
      <c r="FC65" s="564">
        <v>0</v>
      </c>
      <c r="FD65" s="564">
        <v>0</v>
      </c>
      <c r="FE65" s="564">
        <v>0</v>
      </c>
      <c r="FF65" s="564">
        <v>0</v>
      </c>
      <c r="FG65" s="564">
        <v>0</v>
      </c>
      <c r="FH65" s="564">
        <v>247</v>
      </c>
      <c r="FI65" s="564"/>
      <c r="FJ65" s="564">
        <v>0</v>
      </c>
      <c r="FK65" s="564">
        <v>0</v>
      </c>
      <c r="FL65" s="564">
        <v>0</v>
      </c>
      <c r="FM65" s="566">
        <v>0</v>
      </c>
      <c r="FN65" s="566">
        <f t="shared" si="329"/>
        <v>247</v>
      </c>
      <c r="FO65" s="564">
        <v>0</v>
      </c>
      <c r="FP65" s="564">
        <v>115</v>
      </c>
      <c r="FQ65" s="564">
        <v>0</v>
      </c>
      <c r="FR65" s="564">
        <v>0</v>
      </c>
      <c r="FS65" s="564">
        <v>0</v>
      </c>
      <c r="FT65" s="564">
        <v>0</v>
      </c>
      <c r="FU65" s="564">
        <v>98</v>
      </c>
      <c r="FV65" s="564">
        <v>0</v>
      </c>
      <c r="FW65" s="564">
        <v>0</v>
      </c>
      <c r="FX65" s="564">
        <v>0</v>
      </c>
      <c r="FY65" s="564">
        <v>0</v>
      </c>
      <c r="FZ65" s="566">
        <v>0</v>
      </c>
      <c r="GA65" s="566">
        <f t="shared" si="331"/>
        <v>213</v>
      </c>
      <c r="GB65" s="564">
        <v>97</v>
      </c>
      <c r="GC65" s="564">
        <v>0</v>
      </c>
      <c r="GD65" s="564">
        <v>0</v>
      </c>
      <c r="GE65" s="564">
        <v>0</v>
      </c>
      <c r="GF65" s="564">
        <v>0</v>
      </c>
      <c r="GG65" s="564">
        <v>0</v>
      </c>
      <c r="GH65" s="564">
        <v>0</v>
      </c>
      <c r="GI65" s="564">
        <v>0</v>
      </c>
      <c r="GJ65" s="564">
        <v>103</v>
      </c>
      <c r="GK65" s="564">
        <v>0</v>
      </c>
      <c r="GL65" s="564">
        <v>0</v>
      </c>
      <c r="GM65" s="564">
        <v>0</v>
      </c>
      <c r="GN65" s="447">
        <f t="shared" si="168"/>
        <v>200</v>
      </c>
      <c r="GO65" s="564">
        <v>92</v>
      </c>
      <c r="GP65" s="564">
        <v>0</v>
      </c>
      <c r="GQ65" s="564">
        <v>0</v>
      </c>
      <c r="GR65" s="564">
        <v>0</v>
      </c>
      <c r="GS65" s="564">
        <v>0</v>
      </c>
      <c r="GT65" s="564">
        <v>0</v>
      </c>
      <c r="GU65" s="564">
        <v>39</v>
      </c>
      <c r="GV65" s="564">
        <v>0</v>
      </c>
      <c r="GW65" s="564">
        <v>0</v>
      </c>
      <c r="GX65" s="564">
        <v>0</v>
      </c>
      <c r="GY65" s="564">
        <v>0</v>
      </c>
      <c r="GZ65" s="566">
        <v>0</v>
      </c>
      <c r="HA65" s="566">
        <f t="shared" si="293"/>
        <v>131</v>
      </c>
      <c r="HB65" s="567">
        <v>113</v>
      </c>
      <c r="HC65" s="564">
        <v>0</v>
      </c>
      <c r="HD65" s="564">
        <v>0</v>
      </c>
      <c r="HE65" s="564">
        <v>0</v>
      </c>
      <c r="HF65" s="564">
        <v>3</v>
      </c>
      <c r="HG65" s="564">
        <v>0</v>
      </c>
      <c r="HH65" s="564">
        <v>175</v>
      </c>
      <c r="HI65" s="564">
        <v>0</v>
      </c>
      <c r="HJ65" s="564">
        <v>0</v>
      </c>
      <c r="HK65" s="564">
        <v>0</v>
      </c>
      <c r="HL65" s="569">
        <v>0</v>
      </c>
      <c r="HM65" s="570">
        <v>0</v>
      </c>
      <c r="HN65" s="568">
        <f t="shared" si="307"/>
        <v>291</v>
      </c>
      <c r="HO65" s="567">
        <v>143</v>
      </c>
      <c r="HP65" s="564">
        <v>0</v>
      </c>
      <c r="HQ65" s="564">
        <v>0</v>
      </c>
      <c r="HR65" s="564">
        <v>0</v>
      </c>
      <c r="HS65" s="564">
        <v>0</v>
      </c>
      <c r="HT65" s="564">
        <v>0</v>
      </c>
      <c r="HU65" s="564">
        <v>151</v>
      </c>
      <c r="HV65" s="564">
        <v>0</v>
      </c>
      <c r="HW65" s="564">
        <v>0</v>
      </c>
      <c r="HX65" s="564">
        <v>0</v>
      </c>
      <c r="HY65" s="564">
        <v>0</v>
      </c>
      <c r="HZ65" s="564">
        <v>0</v>
      </c>
      <c r="IA65" s="568">
        <f t="shared" si="296"/>
        <v>294</v>
      </c>
      <c r="IB65" s="567">
        <v>143</v>
      </c>
      <c r="IC65" s="564">
        <v>0</v>
      </c>
      <c r="ID65" s="564">
        <v>0</v>
      </c>
      <c r="IE65" s="564">
        <v>0</v>
      </c>
      <c r="IF65" s="564">
        <v>0</v>
      </c>
      <c r="IG65" s="564">
        <v>0</v>
      </c>
      <c r="IH65" s="564">
        <v>130</v>
      </c>
      <c r="II65" s="564">
        <v>0</v>
      </c>
      <c r="IJ65" s="564">
        <v>0</v>
      </c>
      <c r="IK65" s="564">
        <v>0</v>
      </c>
      <c r="IL65" s="564">
        <v>0</v>
      </c>
      <c r="IM65" s="564">
        <v>0</v>
      </c>
      <c r="IN65" s="568">
        <f t="shared" si="298"/>
        <v>273</v>
      </c>
      <c r="IO65" s="564">
        <v>32</v>
      </c>
      <c r="IP65" s="564">
        <v>0</v>
      </c>
      <c r="IQ65" s="564">
        <v>0</v>
      </c>
      <c r="IR65" s="564">
        <v>0</v>
      </c>
      <c r="IS65" s="569">
        <v>0</v>
      </c>
      <c r="IT65" s="569">
        <v>331</v>
      </c>
      <c r="IU65" s="569">
        <v>0</v>
      </c>
      <c r="IV65" s="569">
        <v>0</v>
      </c>
      <c r="IW65" s="569">
        <v>2</v>
      </c>
      <c r="IX65" s="569">
        <v>0</v>
      </c>
      <c r="IY65" s="569">
        <v>0</v>
      </c>
      <c r="IZ65" s="569">
        <v>0</v>
      </c>
      <c r="JA65" s="1383">
        <f t="shared" si="300"/>
        <v>365</v>
      </c>
      <c r="JB65" s="1324">
        <v>51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378</v>
      </c>
      <c r="JI65">
        <v>8</v>
      </c>
      <c r="JN65" s="1059">
        <f t="shared" si="303"/>
        <v>437</v>
      </c>
      <c r="JP65" s="1056" t="str">
        <f t="shared" si="304"/>
        <v>-</v>
      </c>
      <c r="JQ65" s="572">
        <f t="shared" si="308"/>
        <v>-85.950413223140501</v>
      </c>
      <c r="JR65" s="565">
        <f t="shared" si="305"/>
        <v>363</v>
      </c>
      <c r="JS65" s="565">
        <f t="shared" si="306"/>
        <v>51</v>
      </c>
    </row>
    <row r="66" spans="1:279" ht="13.9" customHeight="1" x14ac:dyDescent="0.2">
      <c r="A66" s="563" t="s">
        <v>421</v>
      </c>
      <c r="CO66" s="564">
        <v>0</v>
      </c>
      <c r="CP66" s="564">
        <v>0</v>
      </c>
      <c r="CQ66" s="564">
        <v>0</v>
      </c>
      <c r="CR66" s="564">
        <v>0</v>
      </c>
      <c r="CS66" s="564">
        <v>0</v>
      </c>
      <c r="CT66" s="564">
        <v>0</v>
      </c>
      <c r="CU66" s="564">
        <v>0</v>
      </c>
      <c r="CV66" s="564">
        <v>0</v>
      </c>
      <c r="CW66" s="564">
        <v>0</v>
      </c>
      <c r="CX66" s="564">
        <v>0</v>
      </c>
      <c r="CY66" s="564">
        <v>0</v>
      </c>
      <c r="CZ66" s="564">
        <v>0</v>
      </c>
      <c r="DA66" s="565">
        <f t="shared" si="264"/>
        <v>0</v>
      </c>
      <c r="DB66" s="564">
        <v>0</v>
      </c>
      <c r="DC66" s="564">
        <v>0</v>
      </c>
      <c r="DD66" s="564">
        <v>0</v>
      </c>
      <c r="DE66" s="564">
        <v>0</v>
      </c>
      <c r="DF66" s="564">
        <v>0</v>
      </c>
      <c r="DG66" s="564">
        <v>0</v>
      </c>
      <c r="DH66" s="564">
        <v>0</v>
      </c>
      <c r="DI66" s="564">
        <v>0</v>
      </c>
      <c r="DJ66" s="564">
        <v>0</v>
      </c>
      <c r="DK66" s="564">
        <v>0</v>
      </c>
      <c r="DL66" s="564">
        <v>0</v>
      </c>
      <c r="DM66" s="566">
        <v>0</v>
      </c>
      <c r="DN66" s="566">
        <f t="shared" si="266"/>
        <v>0</v>
      </c>
      <c r="DO66" s="567">
        <v>0</v>
      </c>
      <c r="DP66" s="564">
        <v>0</v>
      </c>
      <c r="DQ66" s="564">
        <v>0</v>
      </c>
      <c r="DR66" s="564">
        <v>0</v>
      </c>
      <c r="DS66" s="564">
        <v>0</v>
      </c>
      <c r="DT66" s="564">
        <v>0</v>
      </c>
      <c r="DU66" s="564">
        <v>0</v>
      </c>
      <c r="DV66" s="564">
        <v>0</v>
      </c>
      <c r="DW66" s="564">
        <v>0</v>
      </c>
      <c r="DX66" s="564">
        <v>0</v>
      </c>
      <c r="DY66" s="564">
        <v>0</v>
      </c>
      <c r="DZ66" s="564">
        <v>0</v>
      </c>
      <c r="EA66" s="568">
        <f t="shared" si="268"/>
        <v>0</v>
      </c>
      <c r="EB66" s="567">
        <v>0</v>
      </c>
      <c r="EC66" s="564">
        <v>0</v>
      </c>
      <c r="ED66" s="564">
        <v>0</v>
      </c>
      <c r="EE66" s="564">
        <v>0</v>
      </c>
      <c r="EF66" s="564">
        <v>0</v>
      </c>
      <c r="EG66" s="564">
        <v>0</v>
      </c>
      <c r="EH66" s="564">
        <v>0</v>
      </c>
      <c r="EI66" s="564">
        <v>0</v>
      </c>
      <c r="EJ66" s="564">
        <v>0</v>
      </c>
      <c r="EK66" s="564">
        <v>0</v>
      </c>
      <c r="EL66" s="564">
        <v>0</v>
      </c>
      <c r="EM66" s="566">
        <v>0</v>
      </c>
      <c r="EN66" s="564">
        <f t="shared" si="325"/>
        <v>0</v>
      </c>
      <c r="EO66" s="567">
        <v>0</v>
      </c>
      <c r="EP66" s="564">
        <v>0</v>
      </c>
      <c r="EQ66" s="564">
        <v>0</v>
      </c>
      <c r="ER66" s="564">
        <v>0</v>
      </c>
      <c r="ES66" s="564">
        <v>0</v>
      </c>
      <c r="ET66" s="564">
        <v>0</v>
      </c>
      <c r="EU66" s="564">
        <v>0</v>
      </c>
      <c r="EV66" s="564">
        <v>0</v>
      </c>
      <c r="EW66" s="564">
        <v>0</v>
      </c>
      <c r="EX66" s="564">
        <v>0</v>
      </c>
      <c r="EY66" s="564">
        <v>0</v>
      </c>
      <c r="EZ66" s="564">
        <v>0</v>
      </c>
      <c r="FA66" s="568">
        <f t="shared" si="327"/>
        <v>0</v>
      </c>
      <c r="FB66" s="567">
        <v>0</v>
      </c>
      <c r="FC66" s="564">
        <v>0</v>
      </c>
      <c r="FD66" s="564">
        <v>0</v>
      </c>
      <c r="FE66" s="564">
        <v>0</v>
      </c>
      <c r="FF66" s="564">
        <v>0</v>
      </c>
      <c r="FG66" s="564">
        <v>0</v>
      </c>
      <c r="FH66" s="564">
        <v>0</v>
      </c>
      <c r="FI66" s="564">
        <v>0</v>
      </c>
      <c r="FJ66" s="564">
        <v>0</v>
      </c>
      <c r="FK66" s="564">
        <v>0</v>
      </c>
      <c r="FL66" s="564">
        <v>0</v>
      </c>
      <c r="FM66" s="566">
        <v>0</v>
      </c>
      <c r="FN66" s="566">
        <f t="shared" si="329"/>
        <v>0</v>
      </c>
      <c r="FO66" s="564">
        <v>0</v>
      </c>
      <c r="FP66" s="564">
        <v>0</v>
      </c>
      <c r="FQ66" s="564">
        <v>0</v>
      </c>
      <c r="FR66" s="564">
        <v>0</v>
      </c>
      <c r="FS66" s="564">
        <v>0</v>
      </c>
      <c r="FT66" s="564">
        <v>0</v>
      </c>
      <c r="FU66" s="564">
        <v>0</v>
      </c>
      <c r="FV66" s="564">
        <v>0</v>
      </c>
      <c r="FW66" s="564">
        <v>0</v>
      </c>
      <c r="FX66" s="564">
        <v>0</v>
      </c>
      <c r="FY66" s="564">
        <v>0</v>
      </c>
      <c r="FZ66" s="566">
        <v>0</v>
      </c>
      <c r="GA66" s="566">
        <f t="shared" si="331"/>
        <v>0</v>
      </c>
      <c r="GB66" s="564">
        <v>0</v>
      </c>
      <c r="GC66" s="564">
        <v>0</v>
      </c>
      <c r="GD66" s="564">
        <v>0</v>
      </c>
      <c r="GE66" s="564">
        <v>0</v>
      </c>
      <c r="GF66" s="564">
        <v>0</v>
      </c>
      <c r="GG66" s="564">
        <v>0</v>
      </c>
      <c r="GH66" s="564">
        <v>0</v>
      </c>
      <c r="GI66" s="564">
        <v>0</v>
      </c>
      <c r="GJ66" s="564">
        <v>0</v>
      </c>
      <c r="GK66" s="564">
        <v>0</v>
      </c>
      <c r="GL66" s="564">
        <v>0</v>
      </c>
      <c r="GM66" s="564">
        <v>0</v>
      </c>
      <c r="GN66" s="447">
        <f t="shared" si="168"/>
        <v>0</v>
      </c>
      <c r="GO66" s="564">
        <v>0</v>
      </c>
      <c r="GP66" s="564">
        <v>0</v>
      </c>
      <c r="GQ66" s="564">
        <v>0</v>
      </c>
      <c r="GR66" s="564">
        <v>0</v>
      </c>
      <c r="GS66" s="564">
        <v>0</v>
      </c>
      <c r="GT66" s="564">
        <v>0</v>
      </c>
      <c r="GU66" s="564">
        <v>0</v>
      </c>
      <c r="GV66" s="564">
        <v>0</v>
      </c>
      <c r="GW66" s="564">
        <v>0</v>
      </c>
      <c r="GX66" s="564">
        <v>0</v>
      </c>
      <c r="GY66" s="564">
        <v>0</v>
      </c>
      <c r="GZ66" s="566">
        <v>0</v>
      </c>
      <c r="HA66" s="566">
        <f t="shared" si="293"/>
        <v>0</v>
      </c>
      <c r="HB66" s="567">
        <v>0</v>
      </c>
      <c r="HC66" s="564">
        <v>0</v>
      </c>
      <c r="HD66" s="564">
        <v>0</v>
      </c>
      <c r="HE66" s="564">
        <v>0</v>
      </c>
      <c r="HF66" s="564">
        <v>0</v>
      </c>
      <c r="HG66" s="564">
        <v>0</v>
      </c>
      <c r="HH66" s="564">
        <v>0</v>
      </c>
      <c r="HI66" s="564">
        <v>0</v>
      </c>
      <c r="HJ66" s="564">
        <v>0</v>
      </c>
      <c r="HK66" s="564">
        <v>0</v>
      </c>
      <c r="HL66" s="569">
        <v>0</v>
      </c>
      <c r="HM66" s="570">
        <v>0</v>
      </c>
      <c r="HN66" s="568">
        <f t="shared" si="307"/>
        <v>0</v>
      </c>
      <c r="HO66" s="567">
        <v>0</v>
      </c>
      <c r="HP66" s="564">
        <v>0</v>
      </c>
      <c r="HQ66" s="564">
        <v>0</v>
      </c>
      <c r="HR66" s="564">
        <v>0</v>
      </c>
      <c r="HS66" s="564">
        <v>0</v>
      </c>
      <c r="HT66" s="564">
        <v>0</v>
      </c>
      <c r="HU66" s="564">
        <v>0</v>
      </c>
      <c r="HV66" s="564">
        <v>0</v>
      </c>
      <c r="HW66" s="564">
        <v>0</v>
      </c>
      <c r="HX66" s="564">
        <v>0</v>
      </c>
      <c r="HY66" s="564">
        <v>0</v>
      </c>
      <c r="HZ66" s="564">
        <v>0</v>
      </c>
      <c r="IA66" s="568">
        <f t="shared" si="296"/>
        <v>0</v>
      </c>
      <c r="IB66" s="567">
        <v>0</v>
      </c>
      <c r="IC66" s="564">
        <v>0</v>
      </c>
      <c r="ID66" s="564">
        <v>0</v>
      </c>
      <c r="IE66" s="564">
        <v>0</v>
      </c>
      <c r="IF66" s="564">
        <v>0</v>
      </c>
      <c r="IG66" s="564">
        <v>0</v>
      </c>
      <c r="IH66" s="564">
        <v>0</v>
      </c>
      <c r="II66" s="564">
        <v>0</v>
      </c>
      <c r="IJ66" s="564">
        <v>0</v>
      </c>
      <c r="IK66" s="564">
        <v>0</v>
      </c>
      <c r="IL66" s="564">
        <v>0</v>
      </c>
      <c r="IM66" s="564">
        <v>0</v>
      </c>
      <c r="IN66" s="568">
        <f t="shared" si="298"/>
        <v>0</v>
      </c>
      <c r="IO66" s="564">
        <v>0</v>
      </c>
      <c r="IP66" s="564">
        <v>0</v>
      </c>
      <c r="IQ66" s="564">
        <v>0</v>
      </c>
      <c r="IR66" s="564">
        <v>0</v>
      </c>
      <c r="IS66" s="569">
        <v>0</v>
      </c>
      <c r="IT66" s="569">
        <v>0</v>
      </c>
      <c r="IU66" s="569">
        <v>0</v>
      </c>
      <c r="IV66" s="569">
        <v>0</v>
      </c>
      <c r="IW66" s="569">
        <v>0</v>
      </c>
      <c r="IX66" s="569">
        <v>0</v>
      </c>
      <c r="IY66" s="569">
        <v>0</v>
      </c>
      <c r="IZ66" s="569">
        <v>0</v>
      </c>
      <c r="JA66" s="1383">
        <f t="shared" si="300"/>
        <v>0</v>
      </c>
      <c r="JB66" s="1324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N66" s="1059">
        <f t="shared" si="303"/>
        <v>0</v>
      </c>
      <c r="JP66" s="1056" t="str">
        <f t="shared" si="304"/>
        <v>-</v>
      </c>
      <c r="JQ66" s="572" t="str">
        <f t="shared" si="308"/>
        <v>-</v>
      </c>
      <c r="JR66" s="565">
        <f t="shared" si="305"/>
        <v>0</v>
      </c>
      <c r="JS66" s="565">
        <f t="shared" si="306"/>
        <v>0</v>
      </c>
    </row>
    <row r="67" spans="1:279" ht="13.9" customHeight="1" x14ac:dyDescent="0.2">
      <c r="A67" s="563" t="s">
        <v>422</v>
      </c>
      <c r="CO67" s="564">
        <v>0</v>
      </c>
      <c r="CP67" s="564">
        <v>0</v>
      </c>
      <c r="CQ67" s="564">
        <v>0</v>
      </c>
      <c r="CR67" s="564">
        <v>0</v>
      </c>
      <c r="CS67" s="564">
        <v>0</v>
      </c>
      <c r="CT67" s="564">
        <v>0</v>
      </c>
      <c r="CU67" s="564">
        <v>0</v>
      </c>
      <c r="CV67" s="564">
        <v>0</v>
      </c>
      <c r="CW67" s="564">
        <v>0</v>
      </c>
      <c r="CX67" s="564">
        <v>0</v>
      </c>
      <c r="CY67" s="564">
        <v>0</v>
      </c>
      <c r="CZ67" s="564">
        <v>0</v>
      </c>
      <c r="DA67" s="565">
        <f t="shared" si="264"/>
        <v>0</v>
      </c>
      <c r="DB67" s="564">
        <v>0</v>
      </c>
      <c r="DC67" s="564">
        <v>0</v>
      </c>
      <c r="DD67" s="564">
        <v>0</v>
      </c>
      <c r="DE67" s="564">
        <v>0</v>
      </c>
      <c r="DF67" s="564">
        <v>0</v>
      </c>
      <c r="DG67" s="564">
        <v>0</v>
      </c>
      <c r="DH67" s="564">
        <v>0.1</v>
      </c>
      <c r="DI67" s="564">
        <v>3.5999999999999997E-2</v>
      </c>
      <c r="DJ67" s="564">
        <v>3.5999999999999997E-2</v>
      </c>
      <c r="DK67" s="564">
        <v>3.5999999999999997E-2</v>
      </c>
      <c r="DL67" s="564">
        <v>3.5999999999999997E-2</v>
      </c>
      <c r="DM67" s="566">
        <v>3.5999999999999997E-2</v>
      </c>
      <c r="DN67" s="566">
        <f t="shared" si="266"/>
        <v>0.28000000000000003</v>
      </c>
      <c r="DO67" s="567">
        <v>3.5999999999999997E-2</v>
      </c>
      <c r="DP67" s="564">
        <v>3.5999999999999997E-2</v>
      </c>
      <c r="DQ67" s="564">
        <v>3.5999999999999997E-2</v>
      </c>
      <c r="DR67" s="564">
        <v>3.5999999999999997E-2</v>
      </c>
      <c r="DS67" s="564">
        <v>0</v>
      </c>
      <c r="DT67" s="564">
        <v>0</v>
      </c>
      <c r="DU67" s="564">
        <v>20</v>
      </c>
      <c r="DV67" s="564">
        <v>10</v>
      </c>
      <c r="DW67" s="564">
        <v>10</v>
      </c>
      <c r="DX67" s="564">
        <v>10</v>
      </c>
      <c r="DY67" s="564">
        <v>10</v>
      </c>
      <c r="DZ67" s="564">
        <v>10</v>
      </c>
      <c r="EA67" s="568">
        <f t="shared" si="268"/>
        <v>70.144000000000005</v>
      </c>
      <c r="EB67" s="567">
        <v>10</v>
      </c>
      <c r="EC67" s="564">
        <v>0</v>
      </c>
      <c r="ED67" s="564">
        <v>10</v>
      </c>
      <c r="EE67" s="564">
        <v>10</v>
      </c>
      <c r="EF67" s="564">
        <v>20</v>
      </c>
      <c r="EG67" s="564">
        <v>0</v>
      </c>
      <c r="EH67" s="564">
        <v>1</v>
      </c>
      <c r="EI67" s="564">
        <v>49</v>
      </c>
      <c r="EJ67" s="564">
        <v>18</v>
      </c>
      <c r="EK67" s="564">
        <v>17</v>
      </c>
      <c r="EL67" s="564">
        <v>17</v>
      </c>
      <c r="EM67" s="566">
        <v>16</v>
      </c>
      <c r="EN67" s="564">
        <f t="shared" si="325"/>
        <v>168</v>
      </c>
      <c r="EO67" s="567">
        <v>17</v>
      </c>
      <c r="EP67" s="564">
        <v>18</v>
      </c>
      <c r="EQ67" s="564">
        <v>17</v>
      </c>
      <c r="ER67" s="564">
        <v>17</v>
      </c>
      <c r="ES67" s="564">
        <v>17</v>
      </c>
      <c r="ET67" s="564">
        <v>1</v>
      </c>
      <c r="EU67" s="564">
        <v>35</v>
      </c>
      <c r="EV67" s="564">
        <v>18</v>
      </c>
      <c r="EW67" s="564">
        <v>17</v>
      </c>
      <c r="EX67" s="564">
        <v>17</v>
      </c>
      <c r="EY67" s="564">
        <v>17</v>
      </c>
      <c r="EZ67" s="564">
        <v>17</v>
      </c>
      <c r="FA67" s="568">
        <f t="shared" si="327"/>
        <v>208</v>
      </c>
      <c r="FB67" s="567">
        <v>17</v>
      </c>
      <c r="FC67" s="564">
        <v>0</v>
      </c>
      <c r="FD67" s="564">
        <v>17</v>
      </c>
      <c r="FE67" s="564">
        <v>17</v>
      </c>
      <c r="FF67" s="564">
        <v>17</v>
      </c>
      <c r="FG67" s="564">
        <v>0</v>
      </c>
      <c r="FH67" s="564">
        <v>0</v>
      </c>
      <c r="FI67" s="564">
        <v>15</v>
      </c>
      <c r="FJ67" s="564">
        <v>15</v>
      </c>
      <c r="FK67" s="564">
        <v>15</v>
      </c>
      <c r="FL67" s="564">
        <v>16</v>
      </c>
      <c r="FM67" s="566">
        <v>15</v>
      </c>
      <c r="FN67" s="566">
        <f t="shared" si="329"/>
        <v>144</v>
      </c>
      <c r="FO67" s="564">
        <v>15</v>
      </c>
      <c r="FP67" s="564">
        <v>15</v>
      </c>
      <c r="FQ67" s="564">
        <v>15</v>
      </c>
      <c r="FR67" s="564">
        <v>15</v>
      </c>
      <c r="FS67" s="564">
        <v>15</v>
      </c>
      <c r="FT67" s="564">
        <v>0</v>
      </c>
      <c r="FU67" s="564">
        <v>28</v>
      </c>
      <c r="FV67" s="564">
        <v>14</v>
      </c>
      <c r="FW67" s="564">
        <v>57</v>
      </c>
      <c r="FX67" s="564">
        <v>0</v>
      </c>
      <c r="FY67" s="564">
        <v>0</v>
      </c>
      <c r="FZ67" s="566">
        <v>0</v>
      </c>
      <c r="GA67" s="566">
        <f t="shared" si="331"/>
        <v>174</v>
      </c>
      <c r="GB67" s="564">
        <v>71</v>
      </c>
      <c r="GC67" s="564">
        <v>0</v>
      </c>
      <c r="GD67" s="564">
        <v>0</v>
      </c>
      <c r="GE67" s="564">
        <v>0</v>
      </c>
      <c r="GF67" s="564">
        <v>0</v>
      </c>
      <c r="GG67" s="564">
        <v>0</v>
      </c>
      <c r="GH67" s="564">
        <v>0</v>
      </c>
      <c r="GI67" s="564">
        <v>0</v>
      </c>
      <c r="GJ67" s="564">
        <v>13</v>
      </c>
      <c r="GK67" s="564">
        <v>13</v>
      </c>
      <c r="GL67" s="564">
        <v>13</v>
      </c>
      <c r="GM67" s="564">
        <v>13</v>
      </c>
      <c r="GN67" s="447">
        <f t="shared" si="168"/>
        <v>123</v>
      </c>
      <c r="GO67" s="564">
        <v>13</v>
      </c>
      <c r="GP67" s="564">
        <v>13</v>
      </c>
      <c r="GQ67" s="564">
        <v>16</v>
      </c>
      <c r="GR67" s="564">
        <v>9</v>
      </c>
      <c r="GS67" s="564">
        <v>13</v>
      </c>
      <c r="GT67" s="564">
        <v>0</v>
      </c>
      <c r="GU67" s="564">
        <v>7</v>
      </c>
      <c r="GV67" s="564">
        <v>4</v>
      </c>
      <c r="GW67" s="564">
        <v>3</v>
      </c>
      <c r="GX67" s="564">
        <v>4</v>
      </c>
      <c r="GY67" s="564">
        <v>3</v>
      </c>
      <c r="GZ67" s="566">
        <v>4</v>
      </c>
      <c r="HA67" s="566">
        <f t="shared" si="293"/>
        <v>89</v>
      </c>
      <c r="HB67" s="567">
        <v>3</v>
      </c>
      <c r="HC67" s="564">
        <v>3</v>
      </c>
      <c r="HD67" s="564">
        <v>3</v>
      </c>
      <c r="HE67" s="564">
        <v>3</v>
      </c>
      <c r="HF67" s="564">
        <v>3</v>
      </c>
      <c r="HG67" s="564">
        <v>0</v>
      </c>
      <c r="HH67" s="564">
        <v>6</v>
      </c>
      <c r="HI67" s="564">
        <v>3</v>
      </c>
      <c r="HJ67" s="564">
        <v>3</v>
      </c>
      <c r="HK67" s="564">
        <v>3</v>
      </c>
      <c r="HL67" s="569">
        <v>3</v>
      </c>
      <c r="HM67" s="570">
        <v>3</v>
      </c>
      <c r="HN67" s="568">
        <f t="shared" si="307"/>
        <v>36</v>
      </c>
      <c r="HO67" s="567">
        <v>3</v>
      </c>
      <c r="HP67" s="564">
        <v>0</v>
      </c>
      <c r="HQ67" s="564">
        <v>6</v>
      </c>
      <c r="HR67" s="564">
        <v>3</v>
      </c>
      <c r="HS67" s="564">
        <v>3</v>
      </c>
      <c r="HT67" s="564">
        <v>2</v>
      </c>
      <c r="HU67" s="564">
        <v>2</v>
      </c>
      <c r="HV67" s="564">
        <v>2</v>
      </c>
      <c r="HW67" s="564">
        <v>2</v>
      </c>
      <c r="HX67" s="564">
        <v>2</v>
      </c>
      <c r="HY67" s="564">
        <v>3</v>
      </c>
      <c r="HZ67" s="564">
        <v>1</v>
      </c>
      <c r="IA67" s="568">
        <f t="shared" si="296"/>
        <v>29</v>
      </c>
      <c r="IB67" s="567">
        <v>2</v>
      </c>
      <c r="IC67" s="564">
        <v>2</v>
      </c>
      <c r="ID67" s="564">
        <v>2</v>
      </c>
      <c r="IE67" s="564">
        <v>2</v>
      </c>
      <c r="IF67" s="564">
        <v>0</v>
      </c>
      <c r="IG67" s="564">
        <v>2</v>
      </c>
      <c r="IH67" s="564">
        <v>2</v>
      </c>
      <c r="II67" s="564">
        <v>0</v>
      </c>
      <c r="IJ67" s="564">
        <v>0</v>
      </c>
      <c r="IK67" s="564">
        <v>0</v>
      </c>
      <c r="IL67" s="564">
        <v>0</v>
      </c>
      <c r="IM67" s="564">
        <v>0</v>
      </c>
      <c r="IN67" s="568">
        <f t="shared" si="298"/>
        <v>12</v>
      </c>
      <c r="IO67" s="564">
        <v>1</v>
      </c>
      <c r="IP67" s="564">
        <v>1</v>
      </c>
      <c r="IQ67" s="564">
        <v>1</v>
      </c>
      <c r="IR67" s="564">
        <v>1</v>
      </c>
      <c r="IS67" s="569">
        <v>1</v>
      </c>
      <c r="IT67" s="569">
        <v>0</v>
      </c>
      <c r="IU67" s="569">
        <v>2</v>
      </c>
      <c r="IV67" s="569">
        <v>1</v>
      </c>
      <c r="IW67" s="569">
        <v>1</v>
      </c>
      <c r="IX67" s="569">
        <v>1</v>
      </c>
      <c r="IY67" s="569">
        <v>1</v>
      </c>
      <c r="IZ67" s="569">
        <v>1</v>
      </c>
      <c r="JA67" s="1383">
        <f t="shared" si="300"/>
        <v>12</v>
      </c>
      <c r="JB67" s="1324">
        <v>1</v>
      </c>
      <c r="JC67">
        <v>1</v>
      </c>
      <c r="JD67">
        <v>1</v>
      </c>
      <c r="JE67">
        <v>1</v>
      </c>
      <c r="JF67">
        <v>1</v>
      </c>
      <c r="JG67">
        <v>0</v>
      </c>
      <c r="JH67">
        <v>4</v>
      </c>
      <c r="JI67">
        <v>4</v>
      </c>
      <c r="JN67" s="1059">
        <f t="shared" si="303"/>
        <v>13</v>
      </c>
      <c r="JP67" s="1056">
        <f t="shared" si="304"/>
        <v>300</v>
      </c>
      <c r="JQ67" s="572">
        <f t="shared" si="308"/>
        <v>-75</v>
      </c>
      <c r="JR67" s="565">
        <f t="shared" si="305"/>
        <v>8</v>
      </c>
      <c r="JS67" s="565">
        <f t="shared" si="306"/>
        <v>2</v>
      </c>
    </row>
    <row r="68" spans="1:279" ht="13.9" customHeight="1" x14ac:dyDescent="0.2">
      <c r="A68" s="563" t="s">
        <v>423</v>
      </c>
      <c r="CO68" s="564">
        <v>0</v>
      </c>
      <c r="CP68" s="564">
        <v>0</v>
      </c>
      <c r="CQ68" s="564">
        <v>0</v>
      </c>
      <c r="CR68" s="564">
        <v>0</v>
      </c>
      <c r="CS68" s="564">
        <v>0</v>
      </c>
      <c r="CT68" s="564">
        <v>0</v>
      </c>
      <c r="CU68" s="564">
        <v>0</v>
      </c>
      <c r="CV68" s="564">
        <v>0</v>
      </c>
      <c r="CW68" s="564">
        <v>0</v>
      </c>
      <c r="CX68" s="564">
        <v>0</v>
      </c>
      <c r="CY68" s="564">
        <v>0</v>
      </c>
      <c r="CZ68" s="564">
        <v>0</v>
      </c>
      <c r="DA68" s="565">
        <f t="shared" si="264"/>
        <v>0</v>
      </c>
      <c r="DB68" s="564">
        <v>24</v>
      </c>
      <c r="DC68" s="564">
        <v>0</v>
      </c>
      <c r="DD68" s="564">
        <v>0.02</v>
      </c>
      <c r="DE68" s="564">
        <v>0.04</v>
      </c>
      <c r="DF68" s="564">
        <v>8.9999999999999993E-3</v>
      </c>
      <c r="DG68" s="564">
        <v>0.01</v>
      </c>
      <c r="DH68" s="564">
        <v>0.02</v>
      </c>
      <c r="DI68" s="564">
        <v>1.7999999999999999E-2</v>
      </c>
      <c r="DJ68" s="564">
        <v>0</v>
      </c>
      <c r="DK68" s="564">
        <v>4.4999999999999998E-2</v>
      </c>
      <c r="DL68" s="564">
        <v>3.9E-2</v>
      </c>
      <c r="DM68" s="566">
        <v>4.3999999999999997E-2</v>
      </c>
      <c r="DN68" s="566">
        <f t="shared" si="266"/>
        <v>24.245000000000005</v>
      </c>
      <c r="DO68" s="567">
        <v>8.4000000000000005E-2</v>
      </c>
      <c r="DP68" s="564">
        <v>5.1999999999999998E-2</v>
      </c>
      <c r="DQ68" s="564">
        <v>7.2999999999999995E-2</v>
      </c>
      <c r="DR68" s="564">
        <v>0.111</v>
      </c>
      <c r="DS68" s="564">
        <v>0</v>
      </c>
      <c r="DT68" s="564">
        <v>0</v>
      </c>
      <c r="DU68" s="564">
        <v>0</v>
      </c>
      <c r="DV68" s="564">
        <v>0</v>
      </c>
      <c r="DW68" s="564">
        <v>0</v>
      </c>
      <c r="DX68" s="564">
        <v>0</v>
      </c>
      <c r="DY68" s="564">
        <v>0</v>
      </c>
      <c r="DZ68" s="564">
        <v>0</v>
      </c>
      <c r="EA68" s="568">
        <f t="shared" si="268"/>
        <v>0.32</v>
      </c>
      <c r="EB68" s="567">
        <v>0</v>
      </c>
      <c r="EC68" s="564">
        <v>0</v>
      </c>
      <c r="ED68" s="564">
        <v>0</v>
      </c>
      <c r="EE68" s="564">
        <v>0</v>
      </c>
      <c r="EF68" s="564">
        <v>0</v>
      </c>
      <c r="EG68" s="564">
        <v>0</v>
      </c>
      <c r="EH68" s="564">
        <v>0</v>
      </c>
      <c r="EI68" s="564">
        <v>0</v>
      </c>
      <c r="EJ68" s="564">
        <v>0</v>
      </c>
      <c r="EK68" s="564">
        <v>0</v>
      </c>
      <c r="EL68" s="564">
        <v>0</v>
      </c>
      <c r="EM68" s="566">
        <v>0</v>
      </c>
      <c r="EN68" s="564">
        <f t="shared" si="325"/>
        <v>0</v>
      </c>
      <c r="EO68" s="567">
        <v>0</v>
      </c>
      <c r="EP68" s="564">
        <v>0</v>
      </c>
      <c r="EQ68" s="564">
        <v>0</v>
      </c>
      <c r="ER68" s="564">
        <v>0</v>
      </c>
      <c r="ES68" s="564">
        <v>0</v>
      </c>
      <c r="ET68" s="564">
        <v>0</v>
      </c>
      <c r="EU68" s="564">
        <v>0</v>
      </c>
      <c r="EV68" s="564">
        <v>0</v>
      </c>
      <c r="EW68" s="564">
        <v>0</v>
      </c>
      <c r="EX68" s="564">
        <v>0</v>
      </c>
      <c r="EY68" s="564">
        <v>0</v>
      </c>
      <c r="EZ68" s="564">
        <v>0</v>
      </c>
      <c r="FA68" s="568">
        <f t="shared" si="327"/>
        <v>0</v>
      </c>
      <c r="FB68" s="567">
        <v>0</v>
      </c>
      <c r="FC68" s="564">
        <v>0</v>
      </c>
      <c r="FD68" s="564">
        <v>0</v>
      </c>
      <c r="FE68" s="564">
        <v>0</v>
      </c>
      <c r="FF68" s="564">
        <v>0</v>
      </c>
      <c r="FG68" s="564">
        <v>0</v>
      </c>
      <c r="FH68" s="564">
        <v>0</v>
      </c>
      <c r="FI68" s="564">
        <v>0</v>
      </c>
      <c r="FJ68" s="564">
        <v>0</v>
      </c>
      <c r="FK68" s="564">
        <v>0</v>
      </c>
      <c r="FL68" s="564">
        <v>0</v>
      </c>
      <c r="FM68" s="566">
        <v>0</v>
      </c>
      <c r="FN68" s="566">
        <f t="shared" si="329"/>
        <v>0</v>
      </c>
      <c r="FO68" s="564">
        <v>0</v>
      </c>
      <c r="FP68" s="564">
        <v>0</v>
      </c>
      <c r="FQ68" s="564">
        <v>0</v>
      </c>
      <c r="FR68" s="564">
        <v>0</v>
      </c>
      <c r="FS68" s="564">
        <v>0</v>
      </c>
      <c r="FT68" s="564">
        <v>0</v>
      </c>
      <c r="FU68" s="564">
        <v>0</v>
      </c>
      <c r="FV68" s="564">
        <v>0</v>
      </c>
      <c r="FW68" s="564">
        <v>0</v>
      </c>
      <c r="FX68" s="564">
        <v>0</v>
      </c>
      <c r="FY68" s="564">
        <v>0</v>
      </c>
      <c r="FZ68" s="566">
        <v>0</v>
      </c>
      <c r="GA68" s="566">
        <f t="shared" si="331"/>
        <v>0</v>
      </c>
      <c r="GB68" s="564">
        <v>0</v>
      </c>
      <c r="GC68" s="564">
        <v>0</v>
      </c>
      <c r="GD68" s="564">
        <v>0</v>
      </c>
      <c r="GE68" s="564">
        <v>0</v>
      </c>
      <c r="GF68" s="564">
        <v>0</v>
      </c>
      <c r="GG68" s="564">
        <v>0</v>
      </c>
      <c r="GH68" s="564">
        <v>0</v>
      </c>
      <c r="GI68" s="564">
        <v>0</v>
      </c>
      <c r="GJ68" s="564">
        <v>0</v>
      </c>
      <c r="GK68" s="564">
        <v>0</v>
      </c>
      <c r="GL68" s="564">
        <v>0</v>
      </c>
      <c r="GM68" s="564">
        <v>0</v>
      </c>
      <c r="GN68" s="447">
        <f t="shared" si="168"/>
        <v>0</v>
      </c>
      <c r="GO68" s="564">
        <v>0</v>
      </c>
      <c r="GP68" s="564">
        <v>0</v>
      </c>
      <c r="GQ68" s="564">
        <v>0</v>
      </c>
      <c r="GR68" s="564">
        <v>0</v>
      </c>
      <c r="GS68" s="564">
        <v>0</v>
      </c>
      <c r="GT68" s="564">
        <v>0</v>
      </c>
      <c r="GU68" s="564">
        <v>0</v>
      </c>
      <c r="GV68" s="564">
        <v>0</v>
      </c>
      <c r="GW68" s="564">
        <v>0</v>
      </c>
      <c r="GX68" s="564">
        <v>0</v>
      </c>
      <c r="GY68" s="564">
        <v>0</v>
      </c>
      <c r="GZ68" s="566">
        <v>0</v>
      </c>
      <c r="HA68" s="566">
        <f t="shared" si="293"/>
        <v>0</v>
      </c>
      <c r="HB68" s="567">
        <v>0</v>
      </c>
      <c r="HC68" s="564">
        <v>0</v>
      </c>
      <c r="HD68" s="564">
        <v>0</v>
      </c>
      <c r="HE68" s="564">
        <v>0</v>
      </c>
      <c r="HF68" s="564">
        <v>0</v>
      </c>
      <c r="HG68" s="564">
        <v>0</v>
      </c>
      <c r="HH68" s="564">
        <v>0</v>
      </c>
      <c r="HI68" s="564">
        <v>0</v>
      </c>
      <c r="HJ68" s="564">
        <v>0</v>
      </c>
      <c r="HK68" s="564">
        <v>0</v>
      </c>
      <c r="HL68" s="569">
        <v>0</v>
      </c>
      <c r="HM68" s="570">
        <v>0</v>
      </c>
      <c r="HN68" s="568">
        <f t="shared" si="307"/>
        <v>0</v>
      </c>
      <c r="HO68" s="567">
        <v>0</v>
      </c>
      <c r="HP68" s="564">
        <v>0</v>
      </c>
      <c r="HQ68" s="564">
        <v>0</v>
      </c>
      <c r="HR68" s="564">
        <v>0</v>
      </c>
      <c r="HS68" s="564">
        <v>0</v>
      </c>
      <c r="HT68" s="564">
        <v>0</v>
      </c>
      <c r="HU68" s="564">
        <v>0</v>
      </c>
      <c r="HV68" s="564">
        <v>0</v>
      </c>
      <c r="HW68" s="564">
        <v>0</v>
      </c>
      <c r="HX68" s="564">
        <v>0</v>
      </c>
      <c r="HY68" s="564">
        <v>0</v>
      </c>
      <c r="HZ68" s="564">
        <v>0</v>
      </c>
      <c r="IA68" s="568">
        <f t="shared" si="296"/>
        <v>0</v>
      </c>
      <c r="IB68" s="567">
        <v>0</v>
      </c>
      <c r="IC68" s="564">
        <v>0</v>
      </c>
      <c r="ID68" s="564">
        <v>0</v>
      </c>
      <c r="IE68" s="564">
        <v>0</v>
      </c>
      <c r="IF68" s="564">
        <v>0</v>
      </c>
      <c r="IG68" s="564">
        <v>0</v>
      </c>
      <c r="IH68" s="564">
        <v>0</v>
      </c>
      <c r="II68" s="564">
        <v>0</v>
      </c>
      <c r="IJ68" s="564">
        <v>0</v>
      </c>
      <c r="IK68" s="564">
        <v>0</v>
      </c>
      <c r="IL68" s="564">
        <v>0</v>
      </c>
      <c r="IM68" s="564">
        <v>0</v>
      </c>
      <c r="IN68" s="568">
        <f t="shared" si="298"/>
        <v>0</v>
      </c>
      <c r="IO68" s="564">
        <v>0</v>
      </c>
      <c r="IP68" s="564">
        <v>0</v>
      </c>
      <c r="IQ68" s="564">
        <v>0</v>
      </c>
      <c r="IR68" s="564">
        <v>0</v>
      </c>
      <c r="IS68" s="569">
        <v>0</v>
      </c>
      <c r="IT68" s="569">
        <v>0</v>
      </c>
      <c r="IU68" s="569">
        <v>0</v>
      </c>
      <c r="IV68" s="569">
        <v>0</v>
      </c>
      <c r="IW68" s="569">
        <v>0</v>
      </c>
      <c r="IX68" s="569">
        <v>0</v>
      </c>
      <c r="IY68" s="569">
        <v>0</v>
      </c>
      <c r="IZ68" s="569">
        <v>0</v>
      </c>
      <c r="JA68" s="1383">
        <f t="shared" si="300"/>
        <v>0</v>
      </c>
      <c r="JB68" s="1324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N68" s="1059">
        <f t="shared" si="303"/>
        <v>0</v>
      </c>
      <c r="JP68" s="1055" t="str">
        <f t="shared" si="304"/>
        <v>-</v>
      </c>
      <c r="JQ68" s="572" t="str">
        <f t="shared" si="308"/>
        <v>-</v>
      </c>
      <c r="JR68" s="565">
        <f t="shared" si="305"/>
        <v>0</v>
      </c>
      <c r="JS68" s="565">
        <f t="shared" si="306"/>
        <v>0</v>
      </c>
    </row>
    <row r="69" spans="1:279" ht="13.9" customHeight="1" x14ac:dyDescent="0.2">
      <c r="A69" s="573" t="s">
        <v>424</v>
      </c>
      <c r="CO69" s="564">
        <v>0</v>
      </c>
      <c r="CP69" s="564">
        <v>0</v>
      </c>
      <c r="CQ69" s="564">
        <v>0</v>
      </c>
      <c r="CR69" s="564">
        <v>0</v>
      </c>
      <c r="CS69" s="564">
        <v>0</v>
      </c>
      <c r="CT69" s="564">
        <v>0</v>
      </c>
      <c r="CU69" s="564">
        <v>0</v>
      </c>
      <c r="CV69" s="564">
        <v>0</v>
      </c>
      <c r="CW69" s="564">
        <v>0</v>
      </c>
      <c r="CX69" s="564">
        <v>0</v>
      </c>
      <c r="CY69" s="564">
        <v>0</v>
      </c>
      <c r="CZ69" s="564">
        <v>0</v>
      </c>
      <c r="DA69" s="565">
        <f t="shared" si="264"/>
        <v>0</v>
      </c>
      <c r="DB69" s="574">
        <v>6</v>
      </c>
      <c r="DC69" s="574">
        <v>0</v>
      </c>
      <c r="DD69" s="574">
        <v>0.03</v>
      </c>
      <c r="DE69" s="574">
        <v>7</v>
      </c>
      <c r="DF69" s="574">
        <v>6.0000000000000001E-3</v>
      </c>
      <c r="DG69" s="574">
        <v>0.02</v>
      </c>
      <c r="DH69" s="574">
        <v>5</v>
      </c>
      <c r="DI69" s="574">
        <v>3.6999999999999998E-2</v>
      </c>
      <c r="DJ69" s="574">
        <v>0</v>
      </c>
      <c r="DK69" s="574">
        <v>8</v>
      </c>
      <c r="DL69" s="574">
        <v>2.5000000000000001E-2</v>
      </c>
      <c r="DM69" s="576">
        <v>2.8000000000000001E-2</v>
      </c>
      <c r="DN69" s="576">
        <f t="shared" si="266"/>
        <v>26.145999999999997</v>
      </c>
      <c r="DO69" s="577">
        <v>12</v>
      </c>
      <c r="DP69" s="574">
        <v>4.1000000000000002E-2</v>
      </c>
      <c r="DQ69" s="574">
        <v>6.0999999999999999E-2</v>
      </c>
      <c r="DR69" s="574">
        <v>13</v>
      </c>
      <c r="DS69" s="574">
        <v>0</v>
      </c>
      <c r="DT69" s="574">
        <v>0</v>
      </c>
      <c r="DU69" s="574">
        <v>10</v>
      </c>
      <c r="DV69" s="574">
        <v>0</v>
      </c>
      <c r="DW69" s="574">
        <v>0</v>
      </c>
      <c r="DX69" s="574">
        <v>12</v>
      </c>
      <c r="DY69" s="574">
        <v>0</v>
      </c>
      <c r="DZ69" s="574">
        <v>0</v>
      </c>
      <c r="EA69" s="578">
        <f t="shared" si="268"/>
        <v>47.102000000000004</v>
      </c>
      <c r="EB69" s="577">
        <v>10</v>
      </c>
      <c r="EC69" s="574">
        <v>0</v>
      </c>
      <c r="ED69" s="574">
        <v>0</v>
      </c>
      <c r="EE69" s="574">
        <v>15</v>
      </c>
      <c r="EF69" s="574">
        <v>0</v>
      </c>
      <c r="EG69" s="574">
        <v>0</v>
      </c>
      <c r="EH69" s="574">
        <v>10</v>
      </c>
      <c r="EI69" s="574">
        <v>0</v>
      </c>
      <c r="EJ69" s="574">
        <v>0</v>
      </c>
      <c r="EK69" s="574">
        <v>8</v>
      </c>
      <c r="EL69" s="574">
        <v>0</v>
      </c>
      <c r="EM69" s="576">
        <v>0</v>
      </c>
      <c r="EN69" s="574">
        <f t="shared" si="325"/>
        <v>43</v>
      </c>
      <c r="EO69" s="577">
        <v>8</v>
      </c>
      <c r="EP69" s="574">
        <v>0</v>
      </c>
      <c r="EQ69" s="574">
        <v>0</v>
      </c>
      <c r="ER69" s="574">
        <v>14</v>
      </c>
      <c r="ES69" s="574">
        <v>1</v>
      </c>
      <c r="ET69" s="574">
        <v>0</v>
      </c>
      <c r="EU69" s="574">
        <v>11</v>
      </c>
      <c r="EV69" s="574">
        <v>0</v>
      </c>
      <c r="EW69" s="574">
        <v>0</v>
      </c>
      <c r="EX69" s="574">
        <v>8</v>
      </c>
      <c r="EY69" s="574">
        <v>0</v>
      </c>
      <c r="EZ69" s="574">
        <v>0</v>
      </c>
      <c r="FA69" s="578">
        <f t="shared" si="327"/>
        <v>42</v>
      </c>
      <c r="FB69" s="577">
        <v>9</v>
      </c>
      <c r="FC69" s="574">
        <v>0</v>
      </c>
      <c r="FD69" s="574">
        <v>0</v>
      </c>
      <c r="FE69" s="574">
        <v>11</v>
      </c>
      <c r="FF69" s="574">
        <v>0</v>
      </c>
      <c r="FG69" s="574">
        <v>0</v>
      </c>
      <c r="FH69" s="574">
        <v>8</v>
      </c>
      <c r="FI69" s="574">
        <v>0</v>
      </c>
      <c r="FJ69" s="574">
        <v>0</v>
      </c>
      <c r="FK69" s="574">
        <v>9</v>
      </c>
      <c r="FL69" s="574">
        <v>0</v>
      </c>
      <c r="FM69" s="576">
        <v>0</v>
      </c>
      <c r="FN69" s="576">
        <f t="shared" si="329"/>
        <v>37</v>
      </c>
      <c r="FO69" s="574">
        <v>9</v>
      </c>
      <c r="FP69" s="574">
        <v>0</v>
      </c>
      <c r="FQ69" s="574">
        <v>0</v>
      </c>
      <c r="FR69" s="574">
        <v>7</v>
      </c>
      <c r="FS69" s="574">
        <v>0</v>
      </c>
      <c r="FT69" s="574">
        <v>0</v>
      </c>
      <c r="FU69" s="574">
        <v>11</v>
      </c>
      <c r="FV69" s="574">
        <v>0</v>
      </c>
      <c r="FW69" s="574">
        <v>0</v>
      </c>
      <c r="FX69" s="574">
        <v>9</v>
      </c>
      <c r="FY69" s="574">
        <v>0</v>
      </c>
      <c r="FZ69" s="576">
        <v>0</v>
      </c>
      <c r="GA69" s="576">
        <f t="shared" si="331"/>
        <v>36</v>
      </c>
      <c r="GB69" s="574">
        <v>7</v>
      </c>
      <c r="GC69" s="574">
        <v>0</v>
      </c>
      <c r="GD69" s="574">
        <v>0</v>
      </c>
      <c r="GE69" s="574">
        <v>8</v>
      </c>
      <c r="GF69" s="574">
        <v>0</v>
      </c>
      <c r="GG69" s="574">
        <v>0</v>
      </c>
      <c r="GH69" s="574">
        <v>4</v>
      </c>
      <c r="GI69" s="574">
        <v>0</v>
      </c>
      <c r="GJ69" s="574">
        <v>0</v>
      </c>
      <c r="GK69" s="574">
        <v>0</v>
      </c>
      <c r="GL69" s="574">
        <v>0</v>
      </c>
      <c r="GM69" s="574">
        <v>0</v>
      </c>
      <c r="GN69" s="447">
        <f t="shared" si="168"/>
        <v>19</v>
      </c>
      <c r="GO69" s="574">
        <v>5</v>
      </c>
      <c r="GP69" s="574">
        <v>0</v>
      </c>
      <c r="GQ69" s="574">
        <v>0</v>
      </c>
      <c r="GR69" s="574">
        <v>9</v>
      </c>
      <c r="GS69" s="574">
        <v>0</v>
      </c>
      <c r="GT69" s="574">
        <v>0</v>
      </c>
      <c r="GU69" s="574">
        <v>14</v>
      </c>
      <c r="GV69" s="574">
        <v>12</v>
      </c>
      <c r="GW69" s="574">
        <v>1</v>
      </c>
      <c r="GX69" s="574">
        <v>11</v>
      </c>
      <c r="GY69" s="574">
        <v>2</v>
      </c>
      <c r="GZ69" s="576">
        <v>2</v>
      </c>
      <c r="HA69" s="576">
        <f t="shared" si="293"/>
        <v>56</v>
      </c>
      <c r="HB69" s="577">
        <v>11</v>
      </c>
      <c r="HC69" s="574">
        <v>2</v>
      </c>
      <c r="HD69" s="574">
        <v>2</v>
      </c>
      <c r="HE69" s="574">
        <v>14</v>
      </c>
      <c r="HF69" s="574">
        <v>2</v>
      </c>
      <c r="HG69" s="574">
        <v>2</v>
      </c>
      <c r="HH69" s="574">
        <v>13</v>
      </c>
      <c r="HI69" s="574">
        <v>2</v>
      </c>
      <c r="HJ69" s="574">
        <v>2</v>
      </c>
      <c r="HK69" s="574">
        <v>11</v>
      </c>
      <c r="HL69" s="579">
        <v>2</v>
      </c>
      <c r="HM69" s="580">
        <v>2</v>
      </c>
      <c r="HN69" s="578">
        <f t="shared" si="307"/>
        <v>65</v>
      </c>
      <c r="HO69" s="577">
        <v>9</v>
      </c>
      <c r="HP69" s="574">
        <v>0</v>
      </c>
      <c r="HQ69" s="574">
        <v>4</v>
      </c>
      <c r="HR69" s="574">
        <v>13</v>
      </c>
      <c r="HS69" s="574">
        <v>2</v>
      </c>
      <c r="HT69" s="574">
        <v>2</v>
      </c>
      <c r="HU69" s="574">
        <v>14</v>
      </c>
      <c r="HV69" s="574">
        <v>2</v>
      </c>
      <c r="HW69" s="574">
        <v>2</v>
      </c>
      <c r="HX69" s="574">
        <v>11</v>
      </c>
      <c r="HY69" s="574">
        <v>2</v>
      </c>
      <c r="HZ69" s="574">
        <v>2</v>
      </c>
      <c r="IA69" s="578">
        <f t="shared" si="296"/>
        <v>63</v>
      </c>
      <c r="IB69" s="577">
        <v>11</v>
      </c>
      <c r="IC69" s="574">
        <v>2</v>
      </c>
      <c r="ID69" s="574">
        <v>2</v>
      </c>
      <c r="IE69" s="574">
        <v>16</v>
      </c>
      <c r="IF69" s="574">
        <v>2</v>
      </c>
      <c r="IG69" s="574">
        <v>2</v>
      </c>
      <c r="IH69" s="574">
        <v>13</v>
      </c>
      <c r="II69" s="574">
        <v>2</v>
      </c>
      <c r="IJ69" s="574">
        <v>2</v>
      </c>
      <c r="IK69" s="574">
        <v>12</v>
      </c>
      <c r="IL69" s="574">
        <v>2</v>
      </c>
      <c r="IM69" s="574">
        <v>2</v>
      </c>
      <c r="IN69" s="578">
        <f t="shared" si="298"/>
        <v>68</v>
      </c>
      <c r="IO69" s="574">
        <v>14</v>
      </c>
      <c r="IP69" s="574">
        <v>2</v>
      </c>
      <c r="IQ69" s="574">
        <v>2</v>
      </c>
      <c r="IR69" s="574">
        <v>21</v>
      </c>
      <c r="IS69" s="579">
        <v>1</v>
      </c>
      <c r="IT69" s="579">
        <v>0</v>
      </c>
      <c r="IU69" s="579">
        <v>13</v>
      </c>
      <c r="IV69" s="579">
        <v>0</v>
      </c>
      <c r="IW69" s="579">
        <v>0</v>
      </c>
      <c r="IX69" s="579">
        <v>12</v>
      </c>
      <c r="IY69" s="579">
        <v>0</v>
      </c>
      <c r="IZ69" s="579">
        <v>0</v>
      </c>
      <c r="JA69" s="1384">
        <f>SUM(IO69:IZ69)</f>
        <v>65</v>
      </c>
      <c r="JB69" s="1328">
        <v>0</v>
      </c>
      <c r="JC69" s="129">
        <v>13</v>
      </c>
      <c r="JD69" s="129">
        <v>0</v>
      </c>
      <c r="JE69" s="129">
        <v>0</v>
      </c>
      <c r="JF69" s="129">
        <v>19</v>
      </c>
      <c r="JG69" s="129">
        <v>0</v>
      </c>
      <c r="JH69" s="129">
        <v>11</v>
      </c>
      <c r="JI69" s="129">
        <v>0</v>
      </c>
      <c r="JJ69" s="129"/>
      <c r="JK69" s="129"/>
      <c r="JL69" s="129"/>
      <c r="JM69" s="129"/>
      <c r="JN69" s="1343">
        <f t="shared" si="303"/>
        <v>43</v>
      </c>
      <c r="JP69" s="1057" t="str">
        <f t="shared" si="304"/>
        <v>-</v>
      </c>
      <c r="JQ69" s="581">
        <f t="shared" si="308"/>
        <v>-75.471698113207552</v>
      </c>
      <c r="JR69" s="575">
        <f t="shared" si="305"/>
        <v>53</v>
      </c>
      <c r="JS69" s="575">
        <f t="shared" si="306"/>
        <v>13</v>
      </c>
    </row>
    <row r="70" spans="1:279" ht="13.9" customHeight="1" x14ac:dyDescent="0.2">
      <c r="A70" s="573" t="s">
        <v>425</v>
      </c>
      <c r="CO70" s="564">
        <v>3863</v>
      </c>
      <c r="CP70" s="564">
        <v>9927</v>
      </c>
      <c r="CQ70" s="564">
        <v>7509</v>
      </c>
      <c r="CR70" s="564">
        <v>7722</v>
      </c>
      <c r="CS70" s="564">
        <v>3005</v>
      </c>
      <c r="CT70" s="564">
        <v>10688</v>
      </c>
      <c r="CU70" s="564">
        <v>9037</v>
      </c>
      <c r="CV70" s="564">
        <v>8680</v>
      </c>
      <c r="CW70" s="564">
        <v>8219</v>
      </c>
      <c r="CX70" s="564">
        <v>26080</v>
      </c>
      <c r="CY70" s="564">
        <v>21333</v>
      </c>
      <c r="CZ70" s="564">
        <v>4874</v>
      </c>
      <c r="DA70" s="565">
        <f t="shared" si="264"/>
        <v>120937</v>
      </c>
      <c r="DB70" s="574">
        <v>19890</v>
      </c>
      <c r="DC70" s="574">
        <v>6655</v>
      </c>
      <c r="DD70" s="574">
        <v>8226</v>
      </c>
      <c r="DE70" s="574">
        <v>4018</v>
      </c>
      <c r="DF70" s="574">
        <v>8077</v>
      </c>
      <c r="DG70" s="574">
        <v>10158</v>
      </c>
      <c r="DH70" s="574">
        <v>5895</v>
      </c>
      <c r="DI70" s="574">
        <v>13981</v>
      </c>
      <c r="DJ70" s="574">
        <v>4428</v>
      </c>
      <c r="DK70" s="574">
        <v>3950</v>
      </c>
      <c r="DL70" s="574">
        <v>3931</v>
      </c>
      <c r="DM70" s="576">
        <v>4560</v>
      </c>
      <c r="DN70" s="576">
        <f t="shared" si="266"/>
        <v>93769</v>
      </c>
      <c r="DO70" s="577">
        <v>4020</v>
      </c>
      <c r="DP70" s="574">
        <v>4019</v>
      </c>
      <c r="DQ70" s="574">
        <v>4019</v>
      </c>
      <c r="DR70" s="574">
        <v>4020</v>
      </c>
      <c r="DS70" s="574">
        <v>4020</v>
      </c>
      <c r="DT70" s="574">
        <v>39386</v>
      </c>
      <c r="DU70" s="574">
        <v>4019</v>
      </c>
      <c r="DV70" s="574">
        <v>4020</v>
      </c>
      <c r="DW70" s="574">
        <v>4065</v>
      </c>
      <c r="DX70" s="574">
        <v>4091</v>
      </c>
      <c r="DY70" s="574">
        <v>4096</v>
      </c>
      <c r="DZ70" s="574">
        <v>3826</v>
      </c>
      <c r="EA70" s="578">
        <f t="shared" si="268"/>
        <v>83601</v>
      </c>
      <c r="EB70" s="577">
        <v>4120</v>
      </c>
      <c r="EC70" s="574">
        <v>4120</v>
      </c>
      <c r="ED70" s="574">
        <v>7126</v>
      </c>
      <c r="EE70" s="574">
        <v>6989</v>
      </c>
      <c r="EF70" s="574">
        <v>6080</v>
      </c>
      <c r="EG70" s="574">
        <v>6398</v>
      </c>
      <c r="EH70" s="574">
        <v>7335</v>
      </c>
      <c r="EI70" s="574">
        <v>6243</v>
      </c>
      <c r="EJ70" s="574">
        <v>5540</v>
      </c>
      <c r="EK70" s="574">
        <v>7046</v>
      </c>
      <c r="EL70" s="574">
        <v>9082</v>
      </c>
      <c r="EM70" s="576">
        <v>4222</v>
      </c>
      <c r="EN70" s="574">
        <f t="shared" si="325"/>
        <v>74301</v>
      </c>
      <c r="EO70" s="577">
        <v>0</v>
      </c>
      <c r="EP70" s="574">
        <v>10628</v>
      </c>
      <c r="EQ70" s="574">
        <v>6135</v>
      </c>
      <c r="ER70" s="574">
        <v>7246</v>
      </c>
      <c r="ES70" s="574">
        <v>3000</v>
      </c>
      <c r="ET70" s="574">
        <v>11542</v>
      </c>
      <c r="EU70" s="574">
        <v>5995</v>
      </c>
      <c r="EV70" s="574">
        <v>4243</v>
      </c>
      <c r="EW70" s="574">
        <v>3997</v>
      </c>
      <c r="EX70" s="574">
        <v>4244</v>
      </c>
      <c r="EY70" s="574">
        <v>4244</v>
      </c>
      <c r="EZ70" s="574">
        <v>4244</v>
      </c>
      <c r="FA70" s="578">
        <f t="shared" si="327"/>
        <v>65518</v>
      </c>
      <c r="FB70" s="577">
        <v>5712</v>
      </c>
      <c r="FC70" s="574">
        <v>0</v>
      </c>
      <c r="FD70" s="574">
        <v>9295</v>
      </c>
      <c r="FE70" s="574">
        <v>6576</v>
      </c>
      <c r="FF70" s="574">
        <v>675</v>
      </c>
      <c r="FG70" s="574">
        <v>8716</v>
      </c>
      <c r="FH70" s="574">
        <v>4358</v>
      </c>
      <c r="FI70" s="574">
        <v>4359</v>
      </c>
      <c r="FJ70" s="574">
        <v>4286</v>
      </c>
      <c r="FK70" s="574">
        <v>4358</v>
      </c>
      <c r="FL70" s="574">
        <v>4142</v>
      </c>
      <c r="FM70" s="576">
        <v>4166</v>
      </c>
      <c r="FN70" s="576">
        <f t="shared" si="329"/>
        <v>56643</v>
      </c>
      <c r="FO70" s="574">
        <v>4467</v>
      </c>
      <c r="FP70" s="574">
        <v>4476</v>
      </c>
      <c r="FQ70" s="574">
        <v>6940</v>
      </c>
      <c r="FR70" s="574">
        <v>4955</v>
      </c>
      <c r="FS70" s="574">
        <v>4867</v>
      </c>
      <c r="FT70" s="574">
        <v>5014</v>
      </c>
      <c r="FU70" s="574">
        <v>4699</v>
      </c>
      <c r="FV70" s="574">
        <v>4595</v>
      </c>
      <c r="FW70" s="574">
        <v>5562</v>
      </c>
      <c r="FX70" s="574">
        <v>5064</v>
      </c>
      <c r="FY70" s="574">
        <v>4300</v>
      </c>
      <c r="FZ70" s="576">
        <v>10464</v>
      </c>
      <c r="GA70" s="576">
        <f t="shared" si="331"/>
        <v>65403</v>
      </c>
      <c r="GB70" s="574">
        <v>17579</v>
      </c>
      <c r="GC70" s="574">
        <v>5189</v>
      </c>
      <c r="GD70" s="574">
        <v>4579</v>
      </c>
      <c r="GE70" s="574">
        <v>4579</v>
      </c>
      <c r="GF70" s="574">
        <v>5396</v>
      </c>
      <c r="GG70" s="574">
        <v>4763</v>
      </c>
      <c r="GH70" s="574">
        <v>18138</v>
      </c>
      <c r="GI70" s="574">
        <v>5495</v>
      </c>
      <c r="GJ70" s="574">
        <v>6717</v>
      </c>
      <c r="GK70" s="574">
        <v>17346</v>
      </c>
      <c r="GL70" s="574">
        <v>11261</v>
      </c>
      <c r="GM70" s="574">
        <v>5252</v>
      </c>
      <c r="GN70" s="447">
        <f t="shared" si="168"/>
        <v>106294</v>
      </c>
      <c r="GO70" s="574">
        <f>17931+4563</f>
        <v>22494</v>
      </c>
      <c r="GP70" s="574">
        <f>4670+58151</f>
        <v>62821</v>
      </c>
      <c r="GQ70" s="574">
        <v>8375</v>
      </c>
      <c r="GR70" s="574">
        <v>8861</v>
      </c>
      <c r="GS70" s="574">
        <v>10036</v>
      </c>
      <c r="GT70" s="574">
        <v>13802</v>
      </c>
      <c r="GU70" s="574">
        <v>25673</v>
      </c>
      <c r="GV70" s="574">
        <v>10005</v>
      </c>
      <c r="GW70" s="574">
        <v>4024</v>
      </c>
      <c r="GX70" s="574">
        <v>5184</v>
      </c>
      <c r="GY70" s="574">
        <v>4640</v>
      </c>
      <c r="GZ70" s="576">
        <v>4857</v>
      </c>
      <c r="HA70" s="576">
        <f t="shared" si="293"/>
        <v>180772</v>
      </c>
      <c r="HB70" s="577">
        <v>22088</v>
      </c>
      <c r="HC70" s="574">
        <v>7859</v>
      </c>
      <c r="HD70" s="574">
        <v>44297</v>
      </c>
      <c r="HE70" s="574">
        <v>25544</v>
      </c>
      <c r="HF70" s="574">
        <v>34130</v>
      </c>
      <c r="HG70" s="574">
        <v>31184</v>
      </c>
      <c r="HH70" s="574">
        <f>19172+22289</f>
        <v>41461</v>
      </c>
      <c r="HI70" s="574">
        <f>4800+23303</f>
        <v>28103</v>
      </c>
      <c r="HJ70" s="574">
        <f>4801+25580</f>
        <v>30381</v>
      </c>
      <c r="HK70" s="574">
        <f>4801+25167</f>
        <v>29968</v>
      </c>
      <c r="HL70" s="579">
        <f>4784+22226</f>
        <v>27010</v>
      </c>
      <c r="HM70" s="580">
        <f>4801+23307</f>
        <v>28108</v>
      </c>
      <c r="HN70" s="578">
        <f t="shared" si="307"/>
        <v>350133</v>
      </c>
      <c r="HO70" s="577">
        <f>19078+20522</f>
        <v>39600</v>
      </c>
      <c r="HP70" s="574">
        <f>1915+27414</f>
        <v>29329</v>
      </c>
      <c r="HQ70" s="574">
        <f>8023+22683</f>
        <v>30706</v>
      </c>
      <c r="HR70" s="574">
        <f>4969+23182</f>
        <v>28151</v>
      </c>
      <c r="HS70" s="574">
        <f>4969+22805</f>
        <v>27774</v>
      </c>
      <c r="HT70" s="574">
        <v>28436</v>
      </c>
      <c r="HU70" s="574">
        <v>40133</v>
      </c>
      <c r="HV70" s="574">
        <v>24742</v>
      </c>
      <c r="HW70" s="574">
        <v>27446</v>
      </c>
      <c r="HX70" s="574">
        <v>33013</v>
      </c>
      <c r="HY70" s="574">
        <v>35888</v>
      </c>
      <c r="HZ70" s="574">
        <v>29924</v>
      </c>
      <c r="IA70" s="578">
        <f t="shared" si="296"/>
        <v>375142</v>
      </c>
      <c r="IB70" s="577">
        <v>23645</v>
      </c>
      <c r="IC70" s="574">
        <v>65536</v>
      </c>
      <c r="ID70" s="574">
        <v>33525</v>
      </c>
      <c r="IE70" s="574">
        <v>31049</v>
      </c>
      <c r="IF70" s="574">
        <v>30178</v>
      </c>
      <c r="IG70" s="574">
        <v>39099</v>
      </c>
      <c r="IH70" s="574">
        <v>40538</v>
      </c>
      <c r="II70" s="574">
        <v>38355</v>
      </c>
      <c r="IJ70" s="574">
        <v>38476</v>
      </c>
      <c r="IK70" s="574">
        <v>41261</v>
      </c>
      <c r="IL70" s="574">
        <v>35787</v>
      </c>
      <c r="IM70" s="574">
        <v>66564</v>
      </c>
      <c r="IN70" s="578">
        <f t="shared" si="298"/>
        <v>484013</v>
      </c>
      <c r="IO70" s="574">
        <v>44583</v>
      </c>
      <c r="IP70" s="574">
        <v>66130</v>
      </c>
      <c r="IQ70" s="574">
        <v>38283</v>
      </c>
      <c r="IR70" s="574">
        <v>36048</v>
      </c>
      <c r="IS70" s="579">
        <v>35689</v>
      </c>
      <c r="IT70" s="579">
        <v>38663</v>
      </c>
      <c r="IU70" s="579">
        <v>55320</v>
      </c>
      <c r="IV70" s="579">
        <v>40131</v>
      </c>
      <c r="IW70" s="579">
        <v>39695</v>
      </c>
      <c r="IX70" s="579">
        <v>42364</v>
      </c>
      <c r="IY70" s="579">
        <v>42027</v>
      </c>
      <c r="IZ70" s="579">
        <v>34420</v>
      </c>
      <c r="JA70" s="1384">
        <f t="shared" si="300"/>
        <v>513353</v>
      </c>
      <c r="JB70" s="1328">
        <v>57168</v>
      </c>
      <c r="JC70" s="129">
        <v>48149</v>
      </c>
      <c r="JD70" s="129">
        <v>35216</v>
      </c>
      <c r="JE70" s="129">
        <v>33683</v>
      </c>
      <c r="JF70" s="129">
        <v>43947</v>
      </c>
      <c r="JG70" s="129">
        <v>42011</v>
      </c>
      <c r="JH70" s="129">
        <v>52711</v>
      </c>
      <c r="JI70" s="129">
        <v>81855</v>
      </c>
      <c r="JJ70" s="129"/>
      <c r="JK70" s="129"/>
      <c r="JL70" s="129"/>
      <c r="JM70" s="129"/>
      <c r="JN70" s="1343">
        <f t="shared" si="303"/>
        <v>394740</v>
      </c>
      <c r="JP70" s="1057">
        <f t="shared" si="304"/>
        <v>103.96949988786726</v>
      </c>
      <c r="JQ70" s="581">
        <f t="shared" si="308"/>
        <v>-70.320447967715666</v>
      </c>
      <c r="JR70" s="575">
        <f t="shared" si="305"/>
        <v>354847</v>
      </c>
      <c r="JS70" s="575">
        <f t="shared" si="306"/>
        <v>105317</v>
      </c>
    </row>
    <row r="71" spans="1:279" ht="13.9" customHeight="1" x14ac:dyDescent="0.2">
      <c r="A71" s="550" t="s">
        <v>426</v>
      </c>
      <c r="CO71" s="551">
        <f t="shared" ref="CO71:CZ71" si="352">SUM(CO72:CO75)</f>
        <v>607</v>
      </c>
      <c r="CP71" s="551">
        <f t="shared" si="352"/>
        <v>254</v>
      </c>
      <c r="CQ71" s="551">
        <f t="shared" si="352"/>
        <v>1035</v>
      </c>
      <c r="CR71" s="551">
        <f t="shared" si="352"/>
        <v>852</v>
      </c>
      <c r="CS71" s="551">
        <f t="shared" si="352"/>
        <v>137</v>
      </c>
      <c r="CT71" s="551">
        <f t="shared" si="352"/>
        <v>961.04</v>
      </c>
      <c r="CU71" s="551">
        <f t="shared" si="352"/>
        <v>664</v>
      </c>
      <c r="CV71" s="551">
        <f t="shared" si="352"/>
        <v>404.20000000000005</v>
      </c>
      <c r="CW71" s="551">
        <f t="shared" si="352"/>
        <v>143</v>
      </c>
      <c r="CX71" s="551">
        <f t="shared" si="352"/>
        <v>280</v>
      </c>
      <c r="CY71" s="551">
        <f t="shared" si="352"/>
        <v>426.2</v>
      </c>
      <c r="CZ71" s="551">
        <f t="shared" si="352"/>
        <v>170.1</v>
      </c>
      <c r="DA71" s="582">
        <f t="shared" si="264"/>
        <v>5933.54</v>
      </c>
      <c r="DB71" s="551">
        <f t="shared" ref="DB71:DM71" si="353">SUM(DB72:DB75)</f>
        <v>138</v>
      </c>
      <c r="DC71" s="551">
        <f t="shared" si="353"/>
        <v>1444</v>
      </c>
      <c r="DD71" s="551">
        <f t="shared" si="353"/>
        <v>0</v>
      </c>
      <c r="DE71" s="551">
        <f t="shared" si="353"/>
        <v>1714</v>
      </c>
      <c r="DF71" s="551">
        <f t="shared" si="353"/>
        <v>395</v>
      </c>
      <c r="DG71" s="551">
        <f t="shared" si="353"/>
        <v>1894</v>
      </c>
      <c r="DH71" s="551">
        <f t="shared" si="353"/>
        <v>732</v>
      </c>
      <c r="DI71" s="551">
        <f t="shared" si="353"/>
        <v>273</v>
      </c>
      <c r="DJ71" s="551">
        <f t="shared" si="353"/>
        <v>322</v>
      </c>
      <c r="DK71" s="551">
        <f t="shared" si="353"/>
        <v>288</v>
      </c>
      <c r="DL71" s="551">
        <f t="shared" si="353"/>
        <v>8747</v>
      </c>
      <c r="DM71" s="558">
        <f t="shared" si="353"/>
        <v>1433</v>
      </c>
      <c r="DN71" s="558">
        <f t="shared" si="266"/>
        <v>17380</v>
      </c>
      <c r="DO71" s="557">
        <f t="shared" ref="DO71:EZ71" si="354">SUM(DO72:DO75)</f>
        <v>224</v>
      </c>
      <c r="DP71" s="551">
        <f t="shared" si="354"/>
        <v>427</v>
      </c>
      <c r="DQ71" s="551">
        <f t="shared" si="354"/>
        <v>358</v>
      </c>
      <c r="DR71" s="551">
        <f t="shared" si="354"/>
        <v>781</v>
      </c>
      <c r="DS71" s="551">
        <f t="shared" si="354"/>
        <v>0</v>
      </c>
      <c r="DT71" s="551">
        <f t="shared" si="354"/>
        <v>1150</v>
      </c>
      <c r="DU71" s="551">
        <f t="shared" si="354"/>
        <v>250</v>
      </c>
      <c r="DV71" s="551">
        <f t="shared" si="354"/>
        <v>902</v>
      </c>
      <c r="DW71" s="551">
        <f t="shared" si="354"/>
        <v>14668</v>
      </c>
      <c r="DX71" s="551">
        <f t="shared" si="354"/>
        <v>506</v>
      </c>
      <c r="DY71" s="551">
        <f t="shared" si="354"/>
        <v>1150</v>
      </c>
      <c r="DZ71" s="551">
        <f t="shared" si="354"/>
        <v>0</v>
      </c>
      <c r="EA71" s="561">
        <f t="shared" si="268"/>
        <v>20416</v>
      </c>
      <c r="EB71" s="557">
        <f t="shared" si="354"/>
        <v>250</v>
      </c>
      <c r="EC71" s="551">
        <f t="shared" si="354"/>
        <v>8</v>
      </c>
      <c r="ED71" s="551">
        <f t="shared" si="354"/>
        <v>1042</v>
      </c>
      <c r="EE71" s="551">
        <f t="shared" si="354"/>
        <v>276</v>
      </c>
      <c r="EF71" s="551">
        <f t="shared" si="354"/>
        <v>0</v>
      </c>
      <c r="EG71" s="551">
        <f t="shared" si="354"/>
        <v>827</v>
      </c>
      <c r="EH71" s="551">
        <f t="shared" si="354"/>
        <v>40</v>
      </c>
      <c r="EI71" s="551">
        <f t="shared" si="354"/>
        <v>373</v>
      </c>
      <c r="EJ71" s="551">
        <f t="shared" si="354"/>
        <v>636</v>
      </c>
      <c r="EK71" s="551">
        <f t="shared" si="354"/>
        <v>391</v>
      </c>
      <c r="EL71" s="551">
        <f t="shared" si="354"/>
        <v>489</v>
      </c>
      <c r="EM71" s="558">
        <f t="shared" si="354"/>
        <v>290</v>
      </c>
      <c r="EN71" s="551">
        <f t="shared" si="325"/>
        <v>4622</v>
      </c>
      <c r="EO71" s="557">
        <f t="shared" si="354"/>
        <v>216</v>
      </c>
      <c r="EP71" s="551">
        <f t="shared" si="354"/>
        <v>1064</v>
      </c>
      <c r="EQ71" s="551">
        <f t="shared" si="354"/>
        <v>818</v>
      </c>
      <c r="ER71" s="551">
        <f t="shared" si="354"/>
        <v>462</v>
      </c>
      <c r="ES71" s="551">
        <f t="shared" si="354"/>
        <v>1144</v>
      </c>
      <c r="ET71" s="551">
        <f t="shared" si="354"/>
        <v>800</v>
      </c>
      <c r="EU71" s="551">
        <f t="shared" si="354"/>
        <v>0</v>
      </c>
      <c r="EV71" s="551">
        <f t="shared" si="354"/>
        <v>1238</v>
      </c>
      <c r="EW71" s="551">
        <f t="shared" si="354"/>
        <v>0</v>
      </c>
      <c r="EX71" s="551">
        <f t="shared" si="354"/>
        <v>0</v>
      </c>
      <c r="EY71" s="551">
        <f t="shared" si="354"/>
        <v>279</v>
      </c>
      <c r="EZ71" s="551">
        <f t="shared" si="354"/>
        <v>639</v>
      </c>
      <c r="FA71" s="561">
        <f t="shared" si="327"/>
        <v>6660</v>
      </c>
      <c r="FB71" s="557">
        <f>SUM(FB72:FB75)</f>
        <v>0</v>
      </c>
      <c r="FC71" s="551">
        <f>SUM(FC72:FC75)</f>
        <v>0</v>
      </c>
      <c r="FD71" s="551">
        <f>SUM(FD72:FD75)</f>
        <v>0</v>
      </c>
      <c r="FE71" s="551">
        <f>SUM(FE72:FE75)</f>
        <v>0</v>
      </c>
      <c r="FF71" s="551">
        <v>0</v>
      </c>
      <c r="FG71" s="551">
        <f t="shared" ref="FG71:FM71" si="355">SUM(FG72:FG75)</f>
        <v>0</v>
      </c>
      <c r="FH71" s="551">
        <f t="shared" si="355"/>
        <v>0</v>
      </c>
      <c r="FI71" s="551">
        <f t="shared" si="355"/>
        <v>10</v>
      </c>
      <c r="FJ71" s="551">
        <f t="shared" si="355"/>
        <v>0</v>
      </c>
      <c r="FK71" s="551">
        <f t="shared" si="355"/>
        <v>133</v>
      </c>
      <c r="FL71" s="551">
        <f t="shared" si="355"/>
        <v>0</v>
      </c>
      <c r="FM71" s="558">
        <f t="shared" si="355"/>
        <v>41</v>
      </c>
      <c r="FN71" s="558">
        <f t="shared" si="329"/>
        <v>184</v>
      </c>
      <c r="FO71" s="551">
        <f>SUM(FO72:FO75)</f>
        <v>0</v>
      </c>
      <c r="FP71" s="551">
        <f>SUM(FP72:FP75)</f>
        <v>0</v>
      </c>
      <c r="FQ71" s="551">
        <f>SUM(FQ72:FQ75)</f>
        <v>0</v>
      </c>
      <c r="FR71" s="551">
        <f>SUM(FR72:FR75)</f>
        <v>0</v>
      </c>
      <c r="FS71" s="551">
        <v>0</v>
      </c>
      <c r="FT71" s="551">
        <v>0</v>
      </c>
      <c r="FU71" s="551">
        <f t="shared" ref="FU71:FZ71" si="356">SUM(FU72:FU75)</f>
        <v>0</v>
      </c>
      <c r="FV71" s="551">
        <f t="shared" si="356"/>
        <v>0</v>
      </c>
      <c r="FW71" s="551">
        <f t="shared" si="356"/>
        <v>0</v>
      </c>
      <c r="FX71" s="551">
        <f t="shared" si="356"/>
        <v>480</v>
      </c>
      <c r="FY71" s="551">
        <f t="shared" si="356"/>
        <v>0</v>
      </c>
      <c r="FZ71" s="558">
        <f t="shared" si="356"/>
        <v>0</v>
      </c>
      <c r="GA71" s="558">
        <f t="shared" si="331"/>
        <v>480</v>
      </c>
      <c r="GB71" s="551">
        <f t="shared" ref="GB71:GM71" si="357">SUM(GB72:GB75)</f>
        <v>0</v>
      </c>
      <c r="GC71" s="551">
        <f t="shared" si="357"/>
        <v>0</v>
      </c>
      <c r="GD71" s="551">
        <f t="shared" si="357"/>
        <v>0</v>
      </c>
      <c r="GE71" s="551">
        <f t="shared" si="357"/>
        <v>0</v>
      </c>
      <c r="GF71" s="551">
        <f t="shared" si="357"/>
        <v>0</v>
      </c>
      <c r="GG71" s="551">
        <f t="shared" si="357"/>
        <v>0</v>
      </c>
      <c r="GH71" s="551">
        <f t="shared" si="357"/>
        <v>0</v>
      </c>
      <c r="GI71" s="551">
        <f t="shared" si="357"/>
        <v>0</v>
      </c>
      <c r="GJ71" s="551">
        <f t="shared" si="357"/>
        <v>0</v>
      </c>
      <c r="GK71" s="551">
        <f t="shared" si="357"/>
        <v>0</v>
      </c>
      <c r="GL71" s="551">
        <f t="shared" si="357"/>
        <v>240</v>
      </c>
      <c r="GM71" s="551">
        <f t="shared" si="357"/>
        <v>0</v>
      </c>
      <c r="GN71" s="447">
        <f t="shared" si="168"/>
        <v>240</v>
      </c>
      <c r="GO71" s="551">
        <f t="shared" ref="GO71:GV71" si="358">SUM(GO72:GO75)</f>
        <v>0</v>
      </c>
      <c r="GP71" s="551">
        <f t="shared" si="358"/>
        <v>0</v>
      </c>
      <c r="GQ71" s="551">
        <f t="shared" si="358"/>
        <v>0</v>
      </c>
      <c r="GR71" s="551">
        <f t="shared" si="358"/>
        <v>0</v>
      </c>
      <c r="GS71" s="551">
        <f t="shared" si="358"/>
        <v>0</v>
      </c>
      <c r="GT71" s="551">
        <f t="shared" si="358"/>
        <v>0</v>
      </c>
      <c r="GU71" s="551">
        <f t="shared" si="358"/>
        <v>0</v>
      </c>
      <c r="GV71" s="551">
        <f t="shared" si="358"/>
        <v>0</v>
      </c>
      <c r="GW71" s="551">
        <v>0</v>
      </c>
      <c r="GX71" s="551">
        <v>0</v>
      </c>
      <c r="GY71" s="551">
        <v>0</v>
      </c>
      <c r="GZ71" s="558">
        <v>0</v>
      </c>
      <c r="HA71" s="558">
        <f t="shared" si="293"/>
        <v>0</v>
      </c>
      <c r="HB71" s="557">
        <v>0</v>
      </c>
      <c r="HC71" s="551">
        <v>0</v>
      </c>
      <c r="HD71" s="551">
        <v>0</v>
      </c>
      <c r="HE71" s="551">
        <v>0</v>
      </c>
      <c r="HF71" s="551">
        <v>0</v>
      </c>
      <c r="HG71" s="551">
        <v>0</v>
      </c>
      <c r="HH71" s="551">
        <v>0</v>
      </c>
      <c r="HI71" s="551">
        <v>0</v>
      </c>
      <c r="HJ71" s="551">
        <f>SUM(HJ72:HJ74,HJ75)</f>
        <v>80</v>
      </c>
      <c r="HK71" s="551">
        <f>SUM(HK72:HK74,HK75)</f>
        <v>0</v>
      </c>
      <c r="HL71" s="559">
        <f>SUM(HL72:HL74,HL75)</f>
        <v>0</v>
      </c>
      <c r="HM71" s="560">
        <f>SUM(HM72:HM74,HM75)</f>
        <v>435</v>
      </c>
      <c r="HN71" s="561">
        <f t="shared" si="307"/>
        <v>515</v>
      </c>
      <c r="HO71" s="557">
        <v>0</v>
      </c>
      <c r="HP71" s="551">
        <v>0</v>
      </c>
      <c r="HQ71" s="551">
        <v>0</v>
      </c>
      <c r="HR71" s="551">
        <f t="shared" ref="HR71:HZ71" si="359">SUM(HR72:HR74,HR75)</f>
        <v>1000</v>
      </c>
      <c r="HS71" s="551">
        <f t="shared" si="359"/>
        <v>0</v>
      </c>
      <c r="HT71" s="551">
        <f t="shared" si="359"/>
        <v>20</v>
      </c>
      <c r="HU71" s="551">
        <f t="shared" si="359"/>
        <v>-1</v>
      </c>
      <c r="HV71" s="551">
        <f t="shared" si="359"/>
        <v>0</v>
      </c>
      <c r="HW71" s="551">
        <f t="shared" si="359"/>
        <v>0</v>
      </c>
      <c r="HX71" s="551">
        <f t="shared" si="359"/>
        <v>0</v>
      </c>
      <c r="HY71" s="551">
        <f t="shared" si="359"/>
        <v>0</v>
      </c>
      <c r="HZ71" s="551">
        <f t="shared" si="359"/>
        <v>0</v>
      </c>
      <c r="IA71" s="561">
        <f t="shared" si="296"/>
        <v>1019</v>
      </c>
      <c r="IB71" s="557">
        <f t="shared" ref="IB71:IM71" si="360">SUM(IB72:IB74,IB75)</f>
        <v>0</v>
      </c>
      <c r="IC71" s="551">
        <f t="shared" si="360"/>
        <v>0</v>
      </c>
      <c r="ID71" s="551">
        <f t="shared" si="360"/>
        <v>0</v>
      </c>
      <c r="IE71" s="551">
        <f t="shared" si="360"/>
        <v>0</v>
      </c>
      <c r="IF71" s="551">
        <f t="shared" si="360"/>
        <v>0</v>
      </c>
      <c r="IG71" s="551">
        <f t="shared" si="360"/>
        <v>0</v>
      </c>
      <c r="IH71" s="551">
        <f t="shared" si="360"/>
        <v>0</v>
      </c>
      <c r="II71" s="551">
        <f t="shared" si="360"/>
        <v>0</v>
      </c>
      <c r="IJ71" s="551">
        <f t="shared" si="360"/>
        <v>0</v>
      </c>
      <c r="IK71" s="551">
        <f t="shared" si="360"/>
        <v>0</v>
      </c>
      <c r="IL71" s="551">
        <f t="shared" si="360"/>
        <v>0</v>
      </c>
      <c r="IM71" s="551">
        <f t="shared" si="360"/>
        <v>0</v>
      </c>
      <c r="IN71" s="561">
        <f t="shared" si="298"/>
        <v>0</v>
      </c>
      <c r="IO71" s="551">
        <f t="shared" ref="IO71:IZ71" si="361">SUM(IO72:IO74,IO75)</f>
        <v>19</v>
      </c>
      <c r="IP71" s="551">
        <f t="shared" si="361"/>
        <v>0</v>
      </c>
      <c r="IQ71" s="551">
        <f t="shared" si="361"/>
        <v>0</v>
      </c>
      <c r="IR71" s="551">
        <f t="shared" si="361"/>
        <v>0</v>
      </c>
      <c r="IS71" s="559">
        <f t="shared" si="361"/>
        <v>0</v>
      </c>
      <c r="IT71" s="559">
        <f t="shared" si="361"/>
        <v>0</v>
      </c>
      <c r="IU71" s="559">
        <f t="shared" si="361"/>
        <v>0</v>
      </c>
      <c r="IV71" s="559">
        <f t="shared" si="361"/>
        <v>0</v>
      </c>
      <c r="IW71" s="559">
        <f t="shared" si="361"/>
        <v>0</v>
      </c>
      <c r="IX71" s="559">
        <f t="shared" si="361"/>
        <v>0</v>
      </c>
      <c r="IY71" s="559">
        <f t="shared" si="361"/>
        <v>0</v>
      </c>
      <c r="IZ71" s="559">
        <f t="shared" si="361"/>
        <v>0</v>
      </c>
      <c r="JA71" s="1382">
        <f t="shared" si="300"/>
        <v>19</v>
      </c>
      <c r="JB71" s="1328">
        <f t="shared" ref="JB71:JF71" si="362">SUM(JB72:JB74,JB75)</f>
        <v>171</v>
      </c>
      <c r="JC71" s="129">
        <f t="shared" si="362"/>
        <v>0</v>
      </c>
      <c r="JD71" s="129">
        <f t="shared" si="362"/>
        <v>0</v>
      </c>
      <c r="JE71" s="129">
        <f t="shared" si="362"/>
        <v>0</v>
      </c>
      <c r="JF71" s="129">
        <f t="shared" si="362"/>
        <v>0</v>
      </c>
      <c r="JG71" s="129">
        <v>0</v>
      </c>
      <c r="JH71" s="129">
        <v>0</v>
      </c>
      <c r="JI71" s="129">
        <v>0</v>
      </c>
      <c r="JJ71" s="129"/>
      <c r="JK71" s="129"/>
      <c r="JL71" s="129"/>
      <c r="JM71" s="129"/>
      <c r="JN71" s="1343">
        <f t="shared" si="303"/>
        <v>171</v>
      </c>
      <c r="JP71" s="1055" t="str">
        <f t="shared" si="304"/>
        <v>-</v>
      </c>
      <c r="JQ71" s="571">
        <f>IFERROR(((JS71/JR71)-1)*100,"-")</f>
        <v>800</v>
      </c>
      <c r="JR71" s="582">
        <f t="shared" si="305"/>
        <v>19</v>
      </c>
      <c r="JS71" s="582">
        <f t="shared" si="306"/>
        <v>171</v>
      </c>
    </row>
    <row r="72" spans="1:279" ht="13.9" customHeight="1" x14ac:dyDescent="0.2">
      <c r="A72" s="563" t="s">
        <v>410</v>
      </c>
      <c r="CO72" s="564">
        <v>402</v>
      </c>
      <c r="CP72" s="564">
        <v>254</v>
      </c>
      <c r="CQ72" s="564">
        <v>1034</v>
      </c>
      <c r="CR72" s="564">
        <v>847</v>
      </c>
      <c r="CS72" s="564">
        <v>137</v>
      </c>
      <c r="CT72" s="564">
        <v>961</v>
      </c>
      <c r="CU72" s="564">
        <v>551</v>
      </c>
      <c r="CV72" s="564">
        <v>404</v>
      </c>
      <c r="CW72" s="564">
        <v>143</v>
      </c>
      <c r="CX72" s="564">
        <v>273</v>
      </c>
      <c r="CY72" s="564">
        <v>426</v>
      </c>
      <c r="CZ72" s="564">
        <v>170</v>
      </c>
      <c r="DA72" s="565">
        <f t="shared" si="264"/>
        <v>5602</v>
      </c>
      <c r="DB72" s="564">
        <v>138</v>
      </c>
      <c r="DC72" s="564">
        <v>1444</v>
      </c>
      <c r="DD72" s="564">
        <v>0</v>
      </c>
      <c r="DE72" s="564">
        <v>1714</v>
      </c>
      <c r="DF72" s="564">
        <v>395</v>
      </c>
      <c r="DG72" s="564">
        <v>1705</v>
      </c>
      <c r="DH72" s="564">
        <v>732</v>
      </c>
      <c r="DI72" s="564">
        <v>273</v>
      </c>
      <c r="DJ72" s="564">
        <v>322</v>
      </c>
      <c r="DK72" s="564">
        <v>288</v>
      </c>
      <c r="DL72" s="564">
        <v>145</v>
      </c>
      <c r="DM72" s="566">
        <v>1306</v>
      </c>
      <c r="DN72" s="566">
        <f t="shared" si="266"/>
        <v>8462</v>
      </c>
      <c r="DO72" s="567">
        <v>224</v>
      </c>
      <c r="DP72" s="564">
        <v>427</v>
      </c>
      <c r="DQ72" s="564">
        <v>485</v>
      </c>
      <c r="DR72" s="564">
        <v>781</v>
      </c>
      <c r="DS72" s="564">
        <v>0</v>
      </c>
      <c r="DT72" s="564">
        <v>1150</v>
      </c>
      <c r="DU72" s="564">
        <v>250</v>
      </c>
      <c r="DV72" s="564">
        <v>0</v>
      </c>
      <c r="DW72" s="564">
        <v>0</v>
      </c>
      <c r="DX72" s="564">
        <v>506</v>
      </c>
      <c r="DY72" s="564">
        <v>0</v>
      </c>
      <c r="DZ72" s="564">
        <v>0</v>
      </c>
      <c r="EA72" s="568">
        <f t="shared" si="268"/>
        <v>3823</v>
      </c>
      <c r="EB72" s="567">
        <v>250</v>
      </c>
      <c r="EC72" s="564">
        <v>8</v>
      </c>
      <c r="ED72" s="564">
        <v>1042</v>
      </c>
      <c r="EE72" s="564">
        <v>276</v>
      </c>
      <c r="EF72" s="564">
        <v>0</v>
      </c>
      <c r="EG72" s="564">
        <v>827</v>
      </c>
      <c r="EH72" s="564">
        <v>40</v>
      </c>
      <c r="EI72" s="564">
        <v>373</v>
      </c>
      <c r="EJ72" s="564">
        <v>636</v>
      </c>
      <c r="EK72" s="564">
        <v>391</v>
      </c>
      <c r="EL72" s="564">
        <v>489</v>
      </c>
      <c r="EM72" s="566">
        <v>290</v>
      </c>
      <c r="EN72" s="564">
        <f t="shared" si="325"/>
        <v>4622</v>
      </c>
      <c r="EO72" s="567">
        <v>216</v>
      </c>
      <c r="EP72" s="564">
        <v>415</v>
      </c>
      <c r="EQ72" s="564">
        <v>818</v>
      </c>
      <c r="ER72" s="564">
        <v>462</v>
      </c>
      <c r="ES72" s="564">
        <v>416</v>
      </c>
      <c r="ET72" s="564">
        <v>800</v>
      </c>
      <c r="EU72" s="564">
        <v>0</v>
      </c>
      <c r="EV72" s="564">
        <v>1238</v>
      </c>
      <c r="EW72" s="564">
        <v>0</v>
      </c>
      <c r="EX72" s="564">
        <v>0</v>
      </c>
      <c r="EY72" s="564">
        <v>279</v>
      </c>
      <c r="EZ72" s="564">
        <v>639</v>
      </c>
      <c r="FA72" s="568">
        <f t="shared" si="327"/>
        <v>5283</v>
      </c>
      <c r="FB72" s="567">
        <v>0</v>
      </c>
      <c r="FC72" s="564">
        <v>0</v>
      </c>
      <c r="FD72" s="564">
        <v>0</v>
      </c>
      <c r="FE72" s="564">
        <v>0</v>
      </c>
      <c r="FF72" s="564">
        <v>0</v>
      </c>
      <c r="FG72" s="564">
        <v>0</v>
      </c>
      <c r="FH72" s="564">
        <v>0</v>
      </c>
      <c r="FI72" s="564"/>
      <c r="FJ72" s="564">
        <v>0</v>
      </c>
      <c r="FK72" s="564">
        <v>0</v>
      </c>
      <c r="FL72" s="564">
        <v>0</v>
      </c>
      <c r="FM72" s="566">
        <v>0</v>
      </c>
      <c r="FN72" s="566">
        <f t="shared" si="329"/>
        <v>0</v>
      </c>
      <c r="FO72" s="564">
        <v>0</v>
      </c>
      <c r="FP72" s="564">
        <v>0</v>
      </c>
      <c r="FQ72" s="564">
        <v>0</v>
      </c>
      <c r="FR72" s="564">
        <v>0</v>
      </c>
      <c r="FS72" s="564">
        <v>0</v>
      </c>
      <c r="FT72" s="564">
        <v>0</v>
      </c>
      <c r="FU72" s="564">
        <v>0</v>
      </c>
      <c r="FV72" s="564">
        <v>0</v>
      </c>
      <c r="FW72" s="564">
        <v>0</v>
      </c>
      <c r="FX72" s="564">
        <v>0</v>
      </c>
      <c r="FY72" s="564">
        <v>0</v>
      </c>
      <c r="FZ72" s="566">
        <v>0</v>
      </c>
      <c r="GA72" s="566">
        <f t="shared" si="331"/>
        <v>0</v>
      </c>
      <c r="GB72" s="564">
        <v>0</v>
      </c>
      <c r="GC72" s="564">
        <v>0</v>
      </c>
      <c r="GD72" s="564">
        <v>0</v>
      </c>
      <c r="GE72" s="564">
        <v>0</v>
      </c>
      <c r="GF72" s="564">
        <v>0</v>
      </c>
      <c r="GG72" s="564">
        <v>0</v>
      </c>
      <c r="GH72" s="564">
        <v>0</v>
      </c>
      <c r="GI72" s="564">
        <v>0</v>
      </c>
      <c r="GJ72" s="564">
        <v>0</v>
      </c>
      <c r="GK72" s="564">
        <v>0</v>
      </c>
      <c r="GL72" s="564">
        <v>0</v>
      </c>
      <c r="GM72" s="564">
        <v>0</v>
      </c>
      <c r="GN72" s="447">
        <f t="shared" si="168"/>
        <v>0</v>
      </c>
      <c r="GO72" s="564">
        <v>0</v>
      </c>
      <c r="GP72" s="564">
        <v>0</v>
      </c>
      <c r="GQ72" s="564">
        <v>0</v>
      </c>
      <c r="GR72" s="564">
        <v>0</v>
      </c>
      <c r="GS72" s="564">
        <v>0</v>
      </c>
      <c r="GT72" s="564">
        <v>0</v>
      </c>
      <c r="GU72" s="564">
        <v>0</v>
      </c>
      <c r="GV72" s="564">
        <v>0</v>
      </c>
      <c r="GW72" s="564">
        <v>0</v>
      </c>
      <c r="GX72" s="564">
        <v>0</v>
      </c>
      <c r="GY72" s="564">
        <v>0</v>
      </c>
      <c r="GZ72" s="566">
        <v>0</v>
      </c>
      <c r="HA72" s="566">
        <f t="shared" si="293"/>
        <v>0</v>
      </c>
      <c r="HB72" s="567">
        <v>0</v>
      </c>
      <c r="HC72" s="564">
        <v>0</v>
      </c>
      <c r="HD72" s="564">
        <v>0</v>
      </c>
      <c r="HE72" s="564">
        <v>0</v>
      </c>
      <c r="HF72" s="564">
        <v>0</v>
      </c>
      <c r="HG72" s="564">
        <v>0</v>
      </c>
      <c r="HH72" s="564">
        <v>0</v>
      </c>
      <c r="HI72" s="564">
        <v>0</v>
      </c>
      <c r="HJ72" s="564">
        <v>0</v>
      </c>
      <c r="HK72" s="564">
        <v>0</v>
      </c>
      <c r="HL72" s="569">
        <v>0</v>
      </c>
      <c r="HM72" s="570">
        <v>435</v>
      </c>
      <c r="HN72" s="568">
        <f t="shared" si="307"/>
        <v>435</v>
      </c>
      <c r="HO72" s="567">
        <v>0</v>
      </c>
      <c r="HP72" s="564">
        <v>0</v>
      </c>
      <c r="HQ72" s="564">
        <v>0</v>
      </c>
      <c r="HR72" s="564">
        <v>0</v>
      </c>
      <c r="HS72" s="564">
        <v>0</v>
      </c>
      <c r="HT72" s="564">
        <v>0</v>
      </c>
      <c r="HU72" s="564">
        <v>0</v>
      </c>
      <c r="HV72" s="564">
        <v>0</v>
      </c>
      <c r="HW72" s="564">
        <v>0</v>
      </c>
      <c r="HX72" s="564">
        <v>0</v>
      </c>
      <c r="HY72" s="564">
        <v>0</v>
      </c>
      <c r="HZ72" s="564">
        <v>0</v>
      </c>
      <c r="IA72" s="568">
        <f t="shared" si="296"/>
        <v>0</v>
      </c>
      <c r="IB72" s="567">
        <v>0</v>
      </c>
      <c r="IC72" s="564">
        <v>0</v>
      </c>
      <c r="ID72" s="564">
        <v>0</v>
      </c>
      <c r="IE72" s="564">
        <v>0</v>
      </c>
      <c r="IF72" s="564">
        <v>0</v>
      </c>
      <c r="IG72" s="564">
        <v>0</v>
      </c>
      <c r="IH72" s="564">
        <v>0</v>
      </c>
      <c r="II72" s="564">
        <v>0</v>
      </c>
      <c r="IJ72" s="564">
        <v>0</v>
      </c>
      <c r="IK72" s="564">
        <v>0</v>
      </c>
      <c r="IL72" s="564">
        <v>0</v>
      </c>
      <c r="IM72" s="564">
        <v>0</v>
      </c>
      <c r="IN72" s="568">
        <f t="shared" si="298"/>
        <v>0</v>
      </c>
      <c r="IO72" s="564">
        <v>0</v>
      </c>
      <c r="IP72" s="564">
        <v>0</v>
      </c>
      <c r="IQ72" s="564">
        <v>0</v>
      </c>
      <c r="IR72" s="564">
        <v>0</v>
      </c>
      <c r="IS72" s="569">
        <v>0</v>
      </c>
      <c r="IT72" s="569">
        <v>0</v>
      </c>
      <c r="IU72" s="569">
        <v>0</v>
      </c>
      <c r="IV72" s="569">
        <v>0</v>
      </c>
      <c r="IW72" s="569">
        <v>0</v>
      </c>
      <c r="IX72" s="569">
        <v>0</v>
      </c>
      <c r="IY72" s="569">
        <v>0</v>
      </c>
      <c r="IZ72" s="569">
        <v>0</v>
      </c>
      <c r="JA72" s="1383">
        <f t="shared" si="300"/>
        <v>0</v>
      </c>
      <c r="JB72" s="1324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N72" s="1059">
        <f t="shared" si="303"/>
        <v>0</v>
      </c>
      <c r="JP72" s="1056" t="str">
        <f t="shared" si="304"/>
        <v>-</v>
      </c>
      <c r="JQ72" s="572" t="str">
        <f t="shared" si="308"/>
        <v>-</v>
      </c>
      <c r="JR72" s="565">
        <f t="shared" si="305"/>
        <v>0</v>
      </c>
      <c r="JS72" s="565">
        <f t="shared" si="306"/>
        <v>0</v>
      </c>
    </row>
    <row r="73" spans="1:279" ht="13.9" customHeight="1" x14ac:dyDescent="0.2">
      <c r="A73" s="563" t="s">
        <v>411</v>
      </c>
      <c r="CO73" s="564">
        <v>0</v>
      </c>
      <c r="CP73" s="564">
        <v>0</v>
      </c>
      <c r="CQ73" s="564">
        <v>0</v>
      </c>
      <c r="CR73" s="564">
        <v>0</v>
      </c>
      <c r="CS73" s="564">
        <v>0</v>
      </c>
      <c r="CT73" s="564">
        <v>0</v>
      </c>
      <c r="CU73" s="564">
        <v>0</v>
      </c>
      <c r="CV73" s="564">
        <v>0.1</v>
      </c>
      <c r="CW73" s="564">
        <v>0</v>
      </c>
      <c r="CX73" s="564">
        <v>0</v>
      </c>
      <c r="CY73" s="564">
        <v>0</v>
      </c>
      <c r="CZ73" s="564">
        <v>0</v>
      </c>
      <c r="DA73" s="565">
        <f t="shared" si="264"/>
        <v>0.1</v>
      </c>
      <c r="DB73" s="564">
        <v>0</v>
      </c>
      <c r="DC73" s="564">
        <v>0</v>
      </c>
      <c r="DD73" s="564">
        <v>0</v>
      </c>
      <c r="DE73" s="564">
        <v>0</v>
      </c>
      <c r="DF73" s="564">
        <v>0</v>
      </c>
      <c r="DG73" s="564">
        <v>0</v>
      </c>
      <c r="DH73" s="564">
        <v>0</v>
      </c>
      <c r="DI73" s="564">
        <v>0</v>
      </c>
      <c r="DJ73" s="564">
        <v>0</v>
      </c>
      <c r="DK73" s="564">
        <v>0</v>
      </c>
      <c r="DL73" s="564">
        <v>0</v>
      </c>
      <c r="DM73" s="566">
        <v>0</v>
      </c>
      <c r="DN73" s="566">
        <f t="shared" si="266"/>
        <v>0</v>
      </c>
      <c r="DO73" s="567">
        <v>0</v>
      </c>
      <c r="DP73" s="564">
        <v>0</v>
      </c>
      <c r="DQ73" s="564">
        <v>0</v>
      </c>
      <c r="DR73" s="564">
        <v>0</v>
      </c>
      <c r="DS73" s="564">
        <v>0</v>
      </c>
      <c r="DT73" s="564">
        <v>0</v>
      </c>
      <c r="DU73" s="564">
        <v>0</v>
      </c>
      <c r="DV73" s="564">
        <v>0</v>
      </c>
      <c r="DW73" s="564">
        <v>0</v>
      </c>
      <c r="DX73" s="564">
        <v>0</v>
      </c>
      <c r="DY73" s="564">
        <v>0</v>
      </c>
      <c r="DZ73" s="564">
        <v>0</v>
      </c>
      <c r="EA73" s="568">
        <f t="shared" si="268"/>
        <v>0</v>
      </c>
      <c r="EB73" s="567">
        <v>0</v>
      </c>
      <c r="EC73" s="564">
        <v>0</v>
      </c>
      <c r="ED73" s="564">
        <v>0</v>
      </c>
      <c r="EE73" s="564">
        <v>0</v>
      </c>
      <c r="EF73" s="564">
        <v>0</v>
      </c>
      <c r="EG73" s="564">
        <v>0</v>
      </c>
      <c r="EH73" s="564">
        <v>0</v>
      </c>
      <c r="EI73" s="564">
        <v>0</v>
      </c>
      <c r="EJ73" s="564">
        <v>0</v>
      </c>
      <c r="EK73" s="564">
        <v>0</v>
      </c>
      <c r="EL73" s="564">
        <v>0</v>
      </c>
      <c r="EM73" s="566">
        <v>0</v>
      </c>
      <c r="EN73" s="564">
        <f t="shared" si="325"/>
        <v>0</v>
      </c>
      <c r="EO73" s="567">
        <v>0</v>
      </c>
      <c r="EP73" s="564">
        <v>0</v>
      </c>
      <c r="EQ73" s="564">
        <v>0</v>
      </c>
      <c r="ER73" s="564">
        <v>0</v>
      </c>
      <c r="ES73" s="564">
        <v>0</v>
      </c>
      <c r="ET73" s="564">
        <v>0</v>
      </c>
      <c r="EU73" s="564">
        <v>0</v>
      </c>
      <c r="EV73" s="564">
        <v>0</v>
      </c>
      <c r="EW73" s="564">
        <v>0</v>
      </c>
      <c r="EX73" s="564">
        <v>0</v>
      </c>
      <c r="EY73" s="564">
        <v>0</v>
      </c>
      <c r="EZ73" s="564">
        <v>0</v>
      </c>
      <c r="FA73" s="568">
        <f t="shared" si="327"/>
        <v>0</v>
      </c>
      <c r="FB73" s="567">
        <v>0</v>
      </c>
      <c r="FC73" s="564">
        <v>0</v>
      </c>
      <c r="FD73" s="564">
        <v>0</v>
      </c>
      <c r="FE73" s="564">
        <v>0</v>
      </c>
      <c r="FF73" s="564">
        <v>400</v>
      </c>
      <c r="FG73" s="564">
        <v>0</v>
      </c>
      <c r="FH73" s="564">
        <v>0</v>
      </c>
      <c r="FI73" s="564">
        <v>0</v>
      </c>
      <c r="FJ73" s="564">
        <v>0</v>
      </c>
      <c r="FK73" s="564">
        <v>0</v>
      </c>
      <c r="FL73" s="564">
        <v>0</v>
      </c>
      <c r="FM73" s="566">
        <v>0</v>
      </c>
      <c r="FN73" s="566">
        <f t="shared" si="329"/>
        <v>400</v>
      </c>
      <c r="FO73" s="564">
        <v>0</v>
      </c>
      <c r="FP73" s="564">
        <v>0</v>
      </c>
      <c r="FQ73" s="564">
        <v>0</v>
      </c>
      <c r="FR73" s="564">
        <v>0</v>
      </c>
      <c r="FS73" s="564">
        <v>0</v>
      </c>
      <c r="FT73" s="564">
        <v>0</v>
      </c>
      <c r="FU73" s="564">
        <v>0</v>
      </c>
      <c r="FV73" s="564">
        <v>0</v>
      </c>
      <c r="FW73" s="564">
        <v>0</v>
      </c>
      <c r="FX73" s="564">
        <v>0</v>
      </c>
      <c r="FY73" s="564">
        <v>0</v>
      </c>
      <c r="FZ73" s="566">
        <v>0</v>
      </c>
      <c r="GA73" s="566">
        <f t="shared" si="331"/>
        <v>0</v>
      </c>
      <c r="GB73" s="564">
        <v>0</v>
      </c>
      <c r="GC73" s="564">
        <v>0</v>
      </c>
      <c r="GD73" s="564">
        <v>0</v>
      </c>
      <c r="GE73" s="564">
        <v>0</v>
      </c>
      <c r="GF73" s="564">
        <v>0</v>
      </c>
      <c r="GG73" s="564">
        <v>0</v>
      </c>
      <c r="GH73" s="564">
        <v>0</v>
      </c>
      <c r="GI73" s="564">
        <v>0</v>
      </c>
      <c r="GJ73" s="564">
        <v>0</v>
      </c>
      <c r="GK73" s="564">
        <v>0</v>
      </c>
      <c r="GL73" s="564">
        <v>0</v>
      </c>
      <c r="GM73" s="564">
        <v>0</v>
      </c>
      <c r="GN73" s="447">
        <f t="shared" si="168"/>
        <v>0</v>
      </c>
      <c r="GO73" s="564">
        <v>0</v>
      </c>
      <c r="GP73" s="564">
        <v>0</v>
      </c>
      <c r="GQ73" s="564">
        <v>0</v>
      </c>
      <c r="GR73" s="564">
        <v>0</v>
      </c>
      <c r="GS73" s="564">
        <v>0</v>
      </c>
      <c r="GT73" s="564">
        <v>0</v>
      </c>
      <c r="GU73" s="564">
        <v>0</v>
      </c>
      <c r="GV73" s="564">
        <v>0</v>
      </c>
      <c r="GW73" s="564">
        <v>0</v>
      </c>
      <c r="GX73" s="564">
        <v>0</v>
      </c>
      <c r="GY73" s="564">
        <v>0</v>
      </c>
      <c r="GZ73" s="566">
        <v>0</v>
      </c>
      <c r="HA73" s="566">
        <f t="shared" si="293"/>
        <v>0</v>
      </c>
      <c r="HB73" s="567">
        <v>0</v>
      </c>
      <c r="HC73" s="564">
        <v>0</v>
      </c>
      <c r="HD73" s="564">
        <v>0</v>
      </c>
      <c r="HE73" s="564">
        <v>0</v>
      </c>
      <c r="HF73" s="564">
        <v>0</v>
      </c>
      <c r="HG73" s="564">
        <v>0</v>
      </c>
      <c r="HH73" s="564">
        <v>0</v>
      </c>
      <c r="HI73" s="564">
        <v>0</v>
      </c>
      <c r="HJ73" s="564">
        <v>0</v>
      </c>
      <c r="HK73" s="564">
        <v>0</v>
      </c>
      <c r="HL73" s="569">
        <v>0</v>
      </c>
      <c r="HM73" s="570">
        <v>0</v>
      </c>
      <c r="HN73" s="568">
        <f t="shared" si="307"/>
        <v>0</v>
      </c>
      <c r="HO73" s="567">
        <v>0</v>
      </c>
      <c r="HP73" s="564">
        <v>0</v>
      </c>
      <c r="HQ73" s="564">
        <v>0</v>
      </c>
      <c r="HR73" s="564">
        <v>0</v>
      </c>
      <c r="HS73" s="564">
        <v>0</v>
      </c>
      <c r="HT73" s="564">
        <v>0</v>
      </c>
      <c r="HU73" s="564">
        <v>0</v>
      </c>
      <c r="HV73" s="564">
        <v>0</v>
      </c>
      <c r="HW73" s="564">
        <v>0</v>
      </c>
      <c r="HX73" s="564">
        <v>0</v>
      </c>
      <c r="HY73" s="564">
        <v>0</v>
      </c>
      <c r="HZ73" s="564">
        <v>0</v>
      </c>
      <c r="IA73" s="568">
        <f t="shared" si="296"/>
        <v>0</v>
      </c>
      <c r="IB73" s="567">
        <v>0</v>
      </c>
      <c r="IC73" s="564">
        <v>0</v>
      </c>
      <c r="ID73" s="564">
        <v>0</v>
      </c>
      <c r="IE73" s="564">
        <v>0</v>
      </c>
      <c r="IF73" s="564">
        <v>0</v>
      </c>
      <c r="IG73" s="564">
        <v>0</v>
      </c>
      <c r="IH73" s="564">
        <v>0</v>
      </c>
      <c r="II73" s="564">
        <v>0</v>
      </c>
      <c r="IJ73" s="564">
        <v>0</v>
      </c>
      <c r="IK73" s="564">
        <v>0</v>
      </c>
      <c r="IL73" s="564">
        <v>0</v>
      </c>
      <c r="IM73" s="564">
        <v>0</v>
      </c>
      <c r="IN73" s="568">
        <f t="shared" si="298"/>
        <v>0</v>
      </c>
      <c r="IO73" s="564">
        <v>0</v>
      </c>
      <c r="IP73" s="564">
        <v>0</v>
      </c>
      <c r="IQ73" s="564">
        <v>0</v>
      </c>
      <c r="IR73" s="564">
        <v>0</v>
      </c>
      <c r="IS73" s="569">
        <v>0</v>
      </c>
      <c r="IT73" s="569">
        <v>0</v>
      </c>
      <c r="IU73" s="569">
        <v>0</v>
      </c>
      <c r="IV73" s="569">
        <v>0</v>
      </c>
      <c r="IW73" s="569">
        <v>0</v>
      </c>
      <c r="IX73" s="569">
        <v>0</v>
      </c>
      <c r="IY73" s="569">
        <v>0</v>
      </c>
      <c r="IZ73" s="569">
        <v>0</v>
      </c>
      <c r="JA73" s="1383">
        <f t="shared" si="300"/>
        <v>0</v>
      </c>
      <c r="JB73" s="1324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N73" s="1059">
        <f t="shared" si="303"/>
        <v>0</v>
      </c>
      <c r="JP73" s="1056" t="str">
        <f t="shared" si="304"/>
        <v>-</v>
      </c>
      <c r="JQ73" s="572" t="str">
        <f t="shared" si="308"/>
        <v>-</v>
      </c>
      <c r="JR73" s="565">
        <f t="shared" si="305"/>
        <v>0</v>
      </c>
      <c r="JS73" s="565">
        <f t="shared" si="306"/>
        <v>0</v>
      </c>
    </row>
    <row r="74" spans="1:279" ht="13.9" customHeight="1" x14ac:dyDescent="0.2">
      <c r="A74" s="563" t="s">
        <v>427</v>
      </c>
      <c r="CO74" s="564">
        <v>0</v>
      </c>
      <c r="CP74" s="564">
        <v>0</v>
      </c>
      <c r="CQ74" s="564">
        <v>0</v>
      </c>
      <c r="CR74" s="564">
        <v>0</v>
      </c>
      <c r="CS74" s="564">
        <v>0</v>
      </c>
      <c r="CT74" s="564">
        <v>0</v>
      </c>
      <c r="CU74" s="564">
        <v>0</v>
      </c>
      <c r="CV74" s="564">
        <v>0</v>
      </c>
      <c r="CW74" s="564"/>
      <c r="CX74" s="564">
        <v>0</v>
      </c>
      <c r="CY74" s="564">
        <v>0</v>
      </c>
      <c r="CZ74" s="564">
        <v>0</v>
      </c>
      <c r="DA74" s="565">
        <f t="shared" si="264"/>
        <v>0</v>
      </c>
      <c r="DB74" s="564">
        <v>0</v>
      </c>
      <c r="DC74" s="564">
        <v>0</v>
      </c>
      <c r="DD74" s="564">
        <v>0</v>
      </c>
      <c r="DE74" s="564">
        <v>0</v>
      </c>
      <c r="DF74" s="564">
        <v>0</v>
      </c>
      <c r="DG74" s="564">
        <v>0</v>
      </c>
      <c r="DH74" s="564">
        <v>0</v>
      </c>
      <c r="DI74" s="564">
        <v>0</v>
      </c>
      <c r="DJ74" s="564">
        <v>0</v>
      </c>
      <c r="DK74" s="564">
        <v>0</v>
      </c>
      <c r="DL74" s="564">
        <v>0</v>
      </c>
      <c r="DM74" s="566">
        <v>0</v>
      </c>
      <c r="DN74" s="566">
        <f t="shared" si="266"/>
        <v>0</v>
      </c>
      <c r="DO74" s="567">
        <v>0</v>
      </c>
      <c r="DP74" s="564">
        <v>0</v>
      </c>
      <c r="DQ74" s="564">
        <v>0</v>
      </c>
      <c r="DR74" s="564">
        <v>0</v>
      </c>
      <c r="DS74" s="564">
        <v>0</v>
      </c>
      <c r="DT74" s="564">
        <v>0</v>
      </c>
      <c r="DU74" s="564">
        <v>0</v>
      </c>
      <c r="DV74" s="564">
        <v>902</v>
      </c>
      <c r="DW74" s="564">
        <v>380</v>
      </c>
      <c r="DX74" s="564">
        <v>0</v>
      </c>
      <c r="DY74" s="564">
        <v>1150</v>
      </c>
      <c r="DZ74" s="564">
        <v>0</v>
      </c>
      <c r="EA74" s="568">
        <f t="shared" si="268"/>
        <v>2432</v>
      </c>
      <c r="EB74" s="567">
        <v>0</v>
      </c>
      <c r="EC74" s="564">
        <v>0</v>
      </c>
      <c r="ED74" s="564">
        <v>0</v>
      </c>
      <c r="EE74" s="564">
        <v>0</v>
      </c>
      <c r="EF74" s="564">
        <v>0</v>
      </c>
      <c r="EG74" s="564">
        <v>0</v>
      </c>
      <c r="EH74" s="564">
        <v>0</v>
      </c>
      <c r="EI74" s="564">
        <v>0</v>
      </c>
      <c r="EJ74" s="564">
        <v>0</v>
      </c>
      <c r="EK74" s="564">
        <v>0</v>
      </c>
      <c r="EL74" s="564">
        <v>0</v>
      </c>
      <c r="EM74" s="566">
        <v>0</v>
      </c>
      <c r="EN74" s="564">
        <f t="shared" si="325"/>
        <v>0</v>
      </c>
      <c r="EO74" s="567">
        <v>0</v>
      </c>
      <c r="EP74" s="564">
        <v>0</v>
      </c>
      <c r="EQ74" s="564">
        <v>0</v>
      </c>
      <c r="ER74" s="564">
        <v>0</v>
      </c>
      <c r="ES74" s="564">
        <v>0</v>
      </c>
      <c r="ET74" s="564">
        <v>0</v>
      </c>
      <c r="EU74" s="564">
        <v>0</v>
      </c>
      <c r="EV74" s="564">
        <v>0</v>
      </c>
      <c r="EW74" s="564">
        <v>0</v>
      </c>
      <c r="EX74" s="564">
        <v>0</v>
      </c>
      <c r="EY74" s="564">
        <v>0</v>
      </c>
      <c r="EZ74" s="564">
        <v>0</v>
      </c>
      <c r="FA74" s="568">
        <f t="shared" si="327"/>
        <v>0</v>
      </c>
      <c r="FB74" s="567">
        <v>0</v>
      </c>
      <c r="FC74" s="564">
        <v>0</v>
      </c>
      <c r="FD74" s="564">
        <v>0</v>
      </c>
      <c r="FE74" s="564">
        <v>0</v>
      </c>
      <c r="FF74" s="564">
        <v>0</v>
      </c>
      <c r="FG74" s="564">
        <v>0</v>
      </c>
      <c r="FH74" s="564">
        <v>0</v>
      </c>
      <c r="FI74" s="564">
        <v>0</v>
      </c>
      <c r="FJ74" s="564">
        <v>0</v>
      </c>
      <c r="FK74" s="564">
        <v>133</v>
      </c>
      <c r="FL74" s="564">
        <v>0</v>
      </c>
      <c r="FM74" s="566">
        <v>0</v>
      </c>
      <c r="FN74" s="566">
        <f t="shared" si="329"/>
        <v>133</v>
      </c>
      <c r="FO74" s="564">
        <v>0</v>
      </c>
      <c r="FP74" s="564">
        <v>0</v>
      </c>
      <c r="FQ74" s="564">
        <v>0</v>
      </c>
      <c r="FR74" s="564">
        <v>0</v>
      </c>
      <c r="FS74" s="564">
        <v>0</v>
      </c>
      <c r="FT74" s="564">
        <v>0</v>
      </c>
      <c r="FU74" s="564">
        <v>0</v>
      </c>
      <c r="FV74" s="564">
        <v>0</v>
      </c>
      <c r="FW74" s="564">
        <v>0</v>
      </c>
      <c r="FX74" s="564">
        <v>0</v>
      </c>
      <c r="FY74" s="564">
        <v>0</v>
      </c>
      <c r="FZ74" s="566">
        <v>0</v>
      </c>
      <c r="GA74" s="566">
        <f t="shared" si="331"/>
        <v>0</v>
      </c>
      <c r="GB74" s="564">
        <v>0</v>
      </c>
      <c r="GC74" s="564">
        <v>0</v>
      </c>
      <c r="GD74" s="564">
        <v>0</v>
      </c>
      <c r="GE74" s="564">
        <v>0</v>
      </c>
      <c r="GF74" s="564">
        <v>0</v>
      </c>
      <c r="GG74" s="564">
        <v>0</v>
      </c>
      <c r="GH74" s="564">
        <v>0</v>
      </c>
      <c r="GI74" s="564">
        <v>0</v>
      </c>
      <c r="GJ74" s="564">
        <v>0</v>
      </c>
      <c r="GK74" s="564">
        <v>0</v>
      </c>
      <c r="GL74" s="564">
        <v>0</v>
      </c>
      <c r="GM74" s="564">
        <v>0</v>
      </c>
      <c r="GN74" s="447">
        <f t="shared" si="168"/>
        <v>0</v>
      </c>
      <c r="GO74" s="564">
        <v>0</v>
      </c>
      <c r="GP74" s="564">
        <v>0</v>
      </c>
      <c r="GQ74" s="564">
        <v>0</v>
      </c>
      <c r="GR74" s="564">
        <v>0</v>
      </c>
      <c r="GS74" s="564">
        <v>0</v>
      </c>
      <c r="GT74" s="564">
        <v>0</v>
      </c>
      <c r="GU74" s="564">
        <v>0</v>
      </c>
      <c r="GV74" s="564">
        <v>0</v>
      </c>
      <c r="GW74" s="564">
        <v>0</v>
      </c>
      <c r="GX74" s="564">
        <v>0</v>
      </c>
      <c r="GY74" s="564">
        <v>0</v>
      </c>
      <c r="GZ74" s="566">
        <v>0</v>
      </c>
      <c r="HA74" s="566">
        <f t="shared" si="293"/>
        <v>0</v>
      </c>
      <c r="HB74" s="567">
        <v>0</v>
      </c>
      <c r="HC74" s="564">
        <v>0</v>
      </c>
      <c r="HD74" s="564">
        <v>0</v>
      </c>
      <c r="HE74" s="564">
        <v>0</v>
      </c>
      <c r="HF74" s="564">
        <v>0</v>
      </c>
      <c r="HG74" s="564">
        <v>0</v>
      </c>
      <c r="HH74" s="564">
        <v>0</v>
      </c>
      <c r="HI74" s="564">
        <v>0</v>
      </c>
      <c r="HJ74" s="564">
        <v>0</v>
      </c>
      <c r="HK74" s="564">
        <v>0</v>
      </c>
      <c r="HL74" s="569">
        <v>0</v>
      </c>
      <c r="HM74" s="570">
        <v>0</v>
      </c>
      <c r="HN74" s="568">
        <f t="shared" si="307"/>
        <v>0</v>
      </c>
      <c r="HO74" s="567">
        <v>0</v>
      </c>
      <c r="HP74" s="564">
        <v>0</v>
      </c>
      <c r="HQ74" s="564">
        <v>0</v>
      </c>
      <c r="HR74" s="564">
        <v>0</v>
      </c>
      <c r="HS74" s="564">
        <v>0</v>
      </c>
      <c r="HT74" s="564">
        <v>0</v>
      </c>
      <c r="HU74" s="564">
        <v>0</v>
      </c>
      <c r="HV74" s="564">
        <v>0</v>
      </c>
      <c r="HW74" s="564">
        <v>0</v>
      </c>
      <c r="HX74" s="564">
        <v>0</v>
      </c>
      <c r="HY74" s="564">
        <v>0</v>
      </c>
      <c r="HZ74" s="564">
        <v>0</v>
      </c>
      <c r="IA74" s="568">
        <f t="shared" si="296"/>
        <v>0</v>
      </c>
      <c r="IB74" s="567">
        <v>0</v>
      </c>
      <c r="IC74" s="564">
        <v>0</v>
      </c>
      <c r="ID74" s="564">
        <v>0</v>
      </c>
      <c r="IE74" s="564">
        <v>0</v>
      </c>
      <c r="IF74" s="564">
        <v>0</v>
      </c>
      <c r="IG74" s="564">
        <v>0</v>
      </c>
      <c r="IH74" s="564">
        <v>0</v>
      </c>
      <c r="II74" s="564">
        <v>0</v>
      </c>
      <c r="IJ74" s="564">
        <v>0</v>
      </c>
      <c r="IK74" s="564">
        <v>0</v>
      </c>
      <c r="IL74" s="564">
        <v>0</v>
      </c>
      <c r="IM74" s="564">
        <v>0</v>
      </c>
      <c r="IN74" s="568">
        <f t="shared" si="298"/>
        <v>0</v>
      </c>
      <c r="IO74" s="564">
        <v>0</v>
      </c>
      <c r="IP74" s="564">
        <v>0</v>
      </c>
      <c r="IQ74" s="564">
        <v>0</v>
      </c>
      <c r="IR74" s="564">
        <v>0</v>
      </c>
      <c r="IS74" s="569">
        <v>0</v>
      </c>
      <c r="IT74" s="569">
        <v>0</v>
      </c>
      <c r="IU74" s="569">
        <v>0</v>
      </c>
      <c r="IV74" s="569">
        <v>0</v>
      </c>
      <c r="IW74" s="569">
        <v>0</v>
      </c>
      <c r="IX74" s="569">
        <v>0</v>
      </c>
      <c r="IY74" s="569">
        <v>0</v>
      </c>
      <c r="IZ74" s="569">
        <v>0</v>
      </c>
      <c r="JA74" s="1383">
        <f t="shared" si="300"/>
        <v>0</v>
      </c>
      <c r="JB74" s="1328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N74" s="1059">
        <f t="shared" si="303"/>
        <v>0</v>
      </c>
      <c r="JP74" s="1056" t="str">
        <f t="shared" si="304"/>
        <v>-</v>
      </c>
      <c r="JQ74" s="572" t="str">
        <f t="shared" si="308"/>
        <v>-</v>
      </c>
      <c r="JR74" s="565">
        <f t="shared" si="305"/>
        <v>0</v>
      </c>
      <c r="JS74" s="565">
        <f t="shared" si="306"/>
        <v>0</v>
      </c>
    </row>
    <row r="75" spans="1:279" ht="13.9" customHeight="1" x14ac:dyDescent="0.2">
      <c r="A75" s="573" t="s">
        <v>412</v>
      </c>
      <c r="CO75" s="574">
        <f t="shared" ref="CO75:CZ75" si="363">SUM(CO76:CO79)</f>
        <v>205</v>
      </c>
      <c r="CP75" s="574">
        <f t="shared" si="363"/>
        <v>0</v>
      </c>
      <c r="CQ75" s="574">
        <f t="shared" si="363"/>
        <v>1</v>
      </c>
      <c r="CR75" s="574">
        <f t="shared" si="363"/>
        <v>5</v>
      </c>
      <c r="CS75" s="574">
        <f t="shared" si="363"/>
        <v>0</v>
      </c>
      <c r="CT75" s="574">
        <f t="shared" si="363"/>
        <v>0.04</v>
      </c>
      <c r="CU75" s="574">
        <f t="shared" si="363"/>
        <v>113</v>
      </c>
      <c r="CV75" s="574">
        <f t="shared" si="363"/>
        <v>0.1</v>
      </c>
      <c r="CW75" s="574">
        <f t="shared" si="363"/>
        <v>0</v>
      </c>
      <c r="CX75" s="574">
        <f t="shared" si="363"/>
        <v>7</v>
      </c>
      <c r="CY75" s="574">
        <f t="shared" si="363"/>
        <v>0.2</v>
      </c>
      <c r="CZ75" s="574">
        <f t="shared" si="363"/>
        <v>0.1</v>
      </c>
      <c r="DA75" s="575">
        <f t="shared" si="264"/>
        <v>331.44</v>
      </c>
      <c r="DB75" s="574">
        <f t="shared" ref="DB75:DM75" si="364">SUM(DB76:DB79)</f>
        <v>0</v>
      </c>
      <c r="DC75" s="574">
        <f t="shared" si="364"/>
        <v>0</v>
      </c>
      <c r="DD75" s="574">
        <f t="shared" si="364"/>
        <v>0</v>
      </c>
      <c r="DE75" s="574">
        <f t="shared" si="364"/>
        <v>0</v>
      </c>
      <c r="DF75" s="574">
        <f t="shared" si="364"/>
        <v>0</v>
      </c>
      <c r="DG75" s="574">
        <f t="shared" si="364"/>
        <v>189</v>
      </c>
      <c r="DH75" s="574">
        <f t="shared" si="364"/>
        <v>0</v>
      </c>
      <c r="DI75" s="574">
        <f t="shared" si="364"/>
        <v>0</v>
      </c>
      <c r="DJ75" s="574">
        <f t="shared" si="364"/>
        <v>0</v>
      </c>
      <c r="DK75" s="574">
        <f t="shared" si="364"/>
        <v>0</v>
      </c>
      <c r="DL75" s="574">
        <f t="shared" si="364"/>
        <v>8602</v>
      </c>
      <c r="DM75" s="576">
        <f t="shared" si="364"/>
        <v>127</v>
      </c>
      <c r="DN75" s="576">
        <f t="shared" si="266"/>
        <v>8918</v>
      </c>
      <c r="DO75" s="577">
        <f t="shared" ref="DO75:EZ75" si="365">SUM(DO76:DO79)</f>
        <v>0</v>
      </c>
      <c r="DP75" s="574">
        <f t="shared" si="365"/>
        <v>0</v>
      </c>
      <c r="DQ75" s="574">
        <f t="shared" si="365"/>
        <v>-127</v>
      </c>
      <c r="DR75" s="574">
        <f t="shared" si="365"/>
        <v>0</v>
      </c>
      <c r="DS75" s="574">
        <f t="shared" si="365"/>
        <v>0</v>
      </c>
      <c r="DT75" s="574">
        <f t="shared" si="365"/>
        <v>0</v>
      </c>
      <c r="DU75" s="574">
        <f t="shared" si="365"/>
        <v>0</v>
      </c>
      <c r="DV75" s="574">
        <f t="shared" si="365"/>
        <v>0</v>
      </c>
      <c r="DW75" s="574">
        <f t="shared" si="365"/>
        <v>14288</v>
      </c>
      <c r="DX75" s="574">
        <f t="shared" si="365"/>
        <v>0</v>
      </c>
      <c r="DY75" s="574">
        <f t="shared" si="365"/>
        <v>0</v>
      </c>
      <c r="DZ75" s="574">
        <f t="shared" si="365"/>
        <v>0</v>
      </c>
      <c r="EA75" s="578">
        <f t="shared" si="268"/>
        <v>14161</v>
      </c>
      <c r="EB75" s="577">
        <f t="shared" si="365"/>
        <v>0</v>
      </c>
      <c r="EC75" s="574">
        <f t="shared" si="365"/>
        <v>0</v>
      </c>
      <c r="ED75" s="574">
        <f t="shared" si="365"/>
        <v>0</v>
      </c>
      <c r="EE75" s="574">
        <f t="shared" si="365"/>
        <v>0</v>
      </c>
      <c r="EF75" s="574">
        <f t="shared" si="365"/>
        <v>0</v>
      </c>
      <c r="EG75" s="574">
        <f t="shared" si="365"/>
        <v>0</v>
      </c>
      <c r="EH75" s="574">
        <f t="shared" si="365"/>
        <v>0</v>
      </c>
      <c r="EI75" s="574">
        <f t="shared" si="365"/>
        <v>0</v>
      </c>
      <c r="EJ75" s="574">
        <f t="shared" si="365"/>
        <v>0</v>
      </c>
      <c r="EK75" s="574">
        <f t="shared" si="365"/>
        <v>0</v>
      </c>
      <c r="EL75" s="574">
        <f t="shared" si="365"/>
        <v>0</v>
      </c>
      <c r="EM75" s="576">
        <f t="shared" si="365"/>
        <v>0</v>
      </c>
      <c r="EN75" s="574">
        <f t="shared" si="325"/>
        <v>0</v>
      </c>
      <c r="EO75" s="577">
        <f t="shared" si="365"/>
        <v>0</v>
      </c>
      <c r="EP75" s="574">
        <f t="shared" si="365"/>
        <v>649</v>
      </c>
      <c r="EQ75" s="574">
        <f t="shared" si="365"/>
        <v>0</v>
      </c>
      <c r="ER75" s="574">
        <f t="shared" si="365"/>
        <v>0</v>
      </c>
      <c r="ES75" s="574">
        <f t="shared" si="365"/>
        <v>728</v>
      </c>
      <c r="ET75" s="574">
        <f t="shared" si="365"/>
        <v>0</v>
      </c>
      <c r="EU75" s="574">
        <f t="shared" si="365"/>
        <v>0</v>
      </c>
      <c r="EV75" s="574">
        <f t="shared" si="365"/>
        <v>0</v>
      </c>
      <c r="EW75" s="574">
        <f t="shared" si="365"/>
        <v>0</v>
      </c>
      <c r="EX75" s="574">
        <f t="shared" si="365"/>
        <v>0</v>
      </c>
      <c r="EY75" s="574">
        <f t="shared" si="365"/>
        <v>0</v>
      </c>
      <c r="EZ75" s="574">
        <f t="shared" si="365"/>
        <v>0</v>
      </c>
      <c r="FA75" s="578">
        <f t="shared" si="327"/>
        <v>1377</v>
      </c>
      <c r="FB75" s="577">
        <f t="shared" ref="FB75:FM75" si="366">SUM(FB76:FB79)</f>
        <v>0</v>
      </c>
      <c r="FC75" s="574">
        <f t="shared" si="366"/>
        <v>0</v>
      </c>
      <c r="FD75" s="574">
        <f t="shared" si="366"/>
        <v>0</v>
      </c>
      <c r="FE75" s="574">
        <f t="shared" si="366"/>
        <v>0</v>
      </c>
      <c r="FF75" s="574">
        <f t="shared" si="366"/>
        <v>0</v>
      </c>
      <c r="FG75" s="574">
        <f t="shared" si="366"/>
        <v>0</v>
      </c>
      <c r="FH75" s="574">
        <f t="shared" si="366"/>
        <v>0</v>
      </c>
      <c r="FI75" s="574">
        <f t="shared" si="366"/>
        <v>10</v>
      </c>
      <c r="FJ75" s="574">
        <f t="shared" si="366"/>
        <v>0</v>
      </c>
      <c r="FK75" s="574">
        <f t="shared" si="366"/>
        <v>0</v>
      </c>
      <c r="FL75" s="574">
        <f t="shared" si="366"/>
        <v>0</v>
      </c>
      <c r="FM75" s="576">
        <f t="shared" si="366"/>
        <v>41</v>
      </c>
      <c r="FN75" s="576">
        <f t="shared" si="329"/>
        <v>51</v>
      </c>
      <c r="FO75" s="574">
        <f t="shared" ref="FO75:FZ75" si="367">SUM(FO76:FO79)</f>
        <v>0</v>
      </c>
      <c r="FP75" s="574">
        <f t="shared" si="367"/>
        <v>0</v>
      </c>
      <c r="FQ75" s="574">
        <f t="shared" si="367"/>
        <v>0</v>
      </c>
      <c r="FR75" s="574">
        <f t="shared" si="367"/>
        <v>0</v>
      </c>
      <c r="FS75" s="574">
        <f t="shared" si="367"/>
        <v>0</v>
      </c>
      <c r="FT75" s="574">
        <f t="shared" si="367"/>
        <v>0</v>
      </c>
      <c r="FU75" s="574">
        <f t="shared" si="367"/>
        <v>0</v>
      </c>
      <c r="FV75" s="574">
        <f t="shared" si="367"/>
        <v>0</v>
      </c>
      <c r="FW75" s="574">
        <f t="shared" si="367"/>
        <v>0</v>
      </c>
      <c r="FX75" s="574">
        <f t="shared" si="367"/>
        <v>480</v>
      </c>
      <c r="FY75" s="574">
        <f t="shared" si="367"/>
        <v>0</v>
      </c>
      <c r="FZ75" s="576">
        <f t="shared" si="367"/>
        <v>0</v>
      </c>
      <c r="GA75" s="576">
        <f t="shared" si="331"/>
        <v>480</v>
      </c>
      <c r="GB75" s="574">
        <f t="shared" ref="GB75:GM75" si="368">SUM(GB76:GB79)</f>
        <v>0</v>
      </c>
      <c r="GC75" s="574">
        <f t="shared" si="368"/>
        <v>0</v>
      </c>
      <c r="GD75" s="574">
        <f t="shared" si="368"/>
        <v>0</v>
      </c>
      <c r="GE75" s="574">
        <f t="shared" si="368"/>
        <v>0</v>
      </c>
      <c r="GF75" s="574">
        <f t="shared" si="368"/>
        <v>0</v>
      </c>
      <c r="GG75" s="574">
        <f t="shared" si="368"/>
        <v>0</v>
      </c>
      <c r="GH75" s="574">
        <f t="shared" si="368"/>
        <v>0</v>
      </c>
      <c r="GI75" s="574">
        <f t="shared" si="368"/>
        <v>0</v>
      </c>
      <c r="GJ75" s="574">
        <f t="shared" si="368"/>
        <v>0</v>
      </c>
      <c r="GK75" s="574">
        <f t="shared" si="368"/>
        <v>0</v>
      </c>
      <c r="GL75" s="574">
        <f t="shared" si="368"/>
        <v>240</v>
      </c>
      <c r="GM75" s="574">
        <f t="shared" si="368"/>
        <v>0</v>
      </c>
      <c r="GN75" s="447">
        <f t="shared" si="168"/>
        <v>240</v>
      </c>
      <c r="GO75" s="574">
        <f t="shared" ref="GO75:GV75" si="369">SUM(GO76:GO79)</f>
        <v>0</v>
      </c>
      <c r="GP75" s="574">
        <f t="shared" si="369"/>
        <v>0</v>
      </c>
      <c r="GQ75" s="574">
        <f t="shared" si="369"/>
        <v>0</v>
      </c>
      <c r="GR75" s="574">
        <f t="shared" si="369"/>
        <v>0</v>
      </c>
      <c r="GS75" s="574">
        <f t="shared" si="369"/>
        <v>0</v>
      </c>
      <c r="GT75" s="574">
        <f t="shared" si="369"/>
        <v>0</v>
      </c>
      <c r="GU75" s="574">
        <f t="shared" si="369"/>
        <v>0</v>
      </c>
      <c r="GV75" s="574">
        <f t="shared" si="369"/>
        <v>0</v>
      </c>
      <c r="GW75" s="574">
        <v>0</v>
      </c>
      <c r="GX75" s="574">
        <v>0</v>
      </c>
      <c r="GY75" s="574">
        <v>0</v>
      </c>
      <c r="GZ75" s="576">
        <v>0</v>
      </c>
      <c r="HA75" s="576">
        <f t="shared" si="293"/>
        <v>0</v>
      </c>
      <c r="HB75" s="577">
        <v>0</v>
      </c>
      <c r="HC75" s="574">
        <v>0</v>
      </c>
      <c r="HD75" s="574">
        <v>0</v>
      </c>
      <c r="HE75" s="574">
        <v>0</v>
      </c>
      <c r="HF75" s="574">
        <v>0</v>
      </c>
      <c r="HG75" s="574">
        <v>0</v>
      </c>
      <c r="HH75" s="574">
        <v>0</v>
      </c>
      <c r="HI75" s="574">
        <v>0</v>
      </c>
      <c r="HJ75" s="574">
        <f>SUM(HJ76:HJ79)</f>
        <v>80</v>
      </c>
      <c r="HK75" s="574">
        <f>SUM(HK76:HK79)</f>
        <v>0</v>
      </c>
      <c r="HL75" s="579">
        <f>SUM(HL76:HL79)</f>
        <v>0</v>
      </c>
      <c r="HM75" s="580">
        <f>SUM(HM76:HM79)</f>
        <v>0</v>
      </c>
      <c r="HN75" s="578">
        <f t="shared" si="307"/>
        <v>80</v>
      </c>
      <c r="HO75" s="577">
        <v>0</v>
      </c>
      <c r="HP75" s="574">
        <v>0</v>
      </c>
      <c r="HQ75" s="574">
        <v>0</v>
      </c>
      <c r="HR75" s="574">
        <f t="shared" ref="HR75:HZ75" si="370">SUM(HR76:HR79)</f>
        <v>1000</v>
      </c>
      <c r="HS75" s="574">
        <f t="shared" si="370"/>
        <v>0</v>
      </c>
      <c r="HT75" s="574">
        <f t="shared" si="370"/>
        <v>20</v>
      </c>
      <c r="HU75" s="574">
        <f t="shared" si="370"/>
        <v>-1</v>
      </c>
      <c r="HV75" s="574">
        <f t="shared" si="370"/>
        <v>0</v>
      </c>
      <c r="HW75" s="574">
        <f t="shared" si="370"/>
        <v>0</v>
      </c>
      <c r="HX75" s="574">
        <f t="shared" si="370"/>
        <v>0</v>
      </c>
      <c r="HY75" s="574">
        <f t="shared" si="370"/>
        <v>0</v>
      </c>
      <c r="HZ75" s="574">
        <f t="shared" si="370"/>
        <v>0</v>
      </c>
      <c r="IA75" s="578">
        <f t="shared" si="296"/>
        <v>1019</v>
      </c>
      <c r="IB75" s="577">
        <f t="shared" ref="IB75:IM75" si="371">SUM(IB76:IB79)</f>
        <v>0</v>
      </c>
      <c r="IC75" s="574">
        <f t="shared" si="371"/>
        <v>0</v>
      </c>
      <c r="ID75" s="574">
        <f t="shared" si="371"/>
        <v>0</v>
      </c>
      <c r="IE75" s="574">
        <f t="shared" si="371"/>
        <v>0</v>
      </c>
      <c r="IF75" s="574">
        <f t="shared" si="371"/>
        <v>0</v>
      </c>
      <c r="IG75" s="574">
        <f t="shared" si="371"/>
        <v>0</v>
      </c>
      <c r="IH75" s="574">
        <f t="shared" si="371"/>
        <v>0</v>
      </c>
      <c r="II75" s="574">
        <f t="shared" si="371"/>
        <v>0</v>
      </c>
      <c r="IJ75" s="574">
        <f t="shared" si="371"/>
        <v>0</v>
      </c>
      <c r="IK75" s="574">
        <f t="shared" si="371"/>
        <v>0</v>
      </c>
      <c r="IL75" s="574">
        <f t="shared" si="371"/>
        <v>0</v>
      </c>
      <c r="IM75" s="574">
        <f t="shared" si="371"/>
        <v>0</v>
      </c>
      <c r="IN75" s="578">
        <f t="shared" si="298"/>
        <v>0</v>
      </c>
      <c r="IO75" s="574">
        <f t="shared" ref="IO75:IZ75" si="372">SUM(IO76:IO79)</f>
        <v>19</v>
      </c>
      <c r="IP75" s="574">
        <f t="shared" si="372"/>
        <v>0</v>
      </c>
      <c r="IQ75" s="574">
        <f t="shared" si="372"/>
        <v>0</v>
      </c>
      <c r="IR75" s="574">
        <f t="shared" si="372"/>
        <v>0</v>
      </c>
      <c r="IS75" s="579">
        <f t="shared" si="372"/>
        <v>0</v>
      </c>
      <c r="IT75" s="579">
        <f t="shared" si="372"/>
        <v>0</v>
      </c>
      <c r="IU75" s="579">
        <f t="shared" si="372"/>
        <v>0</v>
      </c>
      <c r="IV75" s="579">
        <f t="shared" si="372"/>
        <v>0</v>
      </c>
      <c r="IW75" s="579">
        <f t="shared" si="372"/>
        <v>0</v>
      </c>
      <c r="IX75" s="579">
        <f t="shared" si="372"/>
        <v>0</v>
      </c>
      <c r="IY75" s="579">
        <f t="shared" si="372"/>
        <v>0</v>
      </c>
      <c r="IZ75" s="579">
        <f t="shared" si="372"/>
        <v>0</v>
      </c>
      <c r="JA75" s="1384">
        <f t="shared" si="300"/>
        <v>19</v>
      </c>
      <c r="JB75" s="1328">
        <f t="shared" ref="JB75:JE75" si="373">SUM(JB76:JB79)</f>
        <v>171</v>
      </c>
      <c r="JC75" s="129">
        <f t="shared" si="373"/>
        <v>0</v>
      </c>
      <c r="JD75" s="129">
        <f t="shared" si="373"/>
        <v>0</v>
      </c>
      <c r="JE75" s="129">
        <f t="shared" si="373"/>
        <v>0</v>
      </c>
      <c r="JF75" s="129">
        <f t="shared" ref="JF75" si="374">SUM(JF76:JF79)</f>
        <v>0</v>
      </c>
      <c r="JG75" s="129">
        <v>0</v>
      </c>
      <c r="JH75" s="129">
        <v>0</v>
      </c>
      <c r="JI75" s="129">
        <v>0</v>
      </c>
      <c r="JJ75" s="129"/>
      <c r="JK75" s="129"/>
      <c r="JL75" s="129"/>
      <c r="JM75" s="129"/>
      <c r="JN75" s="1343">
        <f t="shared" si="303"/>
        <v>171</v>
      </c>
      <c r="JP75" s="1057" t="str">
        <f t="shared" si="304"/>
        <v>-</v>
      </c>
      <c r="JQ75" s="581">
        <f t="shared" si="308"/>
        <v>800</v>
      </c>
      <c r="JR75" s="565">
        <f t="shared" si="305"/>
        <v>19</v>
      </c>
      <c r="JS75" s="565">
        <f t="shared" si="306"/>
        <v>171</v>
      </c>
    </row>
    <row r="76" spans="1:279" ht="13.9" customHeight="1" x14ac:dyDescent="0.2">
      <c r="A76" s="563" t="s">
        <v>413</v>
      </c>
      <c r="CO76" s="564">
        <v>0</v>
      </c>
      <c r="CP76" s="564">
        <v>0</v>
      </c>
      <c r="CQ76" s="564">
        <v>0</v>
      </c>
      <c r="CR76" s="564">
        <v>0</v>
      </c>
      <c r="CS76" s="564">
        <v>0</v>
      </c>
      <c r="CT76" s="564">
        <v>0.04</v>
      </c>
      <c r="CU76" s="564">
        <v>0</v>
      </c>
      <c r="CV76" s="564">
        <v>0</v>
      </c>
      <c r="CW76" s="564">
        <v>0</v>
      </c>
      <c r="CX76" s="564">
        <v>0</v>
      </c>
      <c r="CY76" s="564">
        <v>0</v>
      </c>
      <c r="CZ76" s="564">
        <v>0</v>
      </c>
      <c r="DA76" s="565">
        <f t="shared" si="264"/>
        <v>0.04</v>
      </c>
      <c r="DB76" s="564">
        <v>0</v>
      </c>
      <c r="DC76" s="564">
        <v>0</v>
      </c>
      <c r="DD76" s="564">
        <v>0</v>
      </c>
      <c r="DE76" s="564">
        <v>0</v>
      </c>
      <c r="DF76" s="564">
        <v>0</v>
      </c>
      <c r="DG76" s="564">
        <v>0</v>
      </c>
      <c r="DH76" s="564">
        <v>0</v>
      </c>
      <c r="DI76" s="564">
        <v>0</v>
      </c>
      <c r="DJ76" s="564">
        <v>0</v>
      </c>
      <c r="DK76" s="564">
        <v>0</v>
      </c>
      <c r="DL76" s="564">
        <v>0</v>
      </c>
      <c r="DM76" s="566">
        <v>0</v>
      </c>
      <c r="DN76" s="566">
        <f t="shared" si="266"/>
        <v>0</v>
      </c>
      <c r="DO76" s="567">
        <v>0</v>
      </c>
      <c r="DP76" s="564">
        <v>0</v>
      </c>
      <c r="DQ76" s="564">
        <v>0</v>
      </c>
      <c r="DR76" s="564">
        <v>0</v>
      </c>
      <c r="DS76" s="564">
        <v>0</v>
      </c>
      <c r="DT76" s="564">
        <v>0</v>
      </c>
      <c r="DU76" s="564">
        <v>0</v>
      </c>
      <c r="DV76" s="564">
        <v>0</v>
      </c>
      <c r="DW76" s="564">
        <v>0</v>
      </c>
      <c r="DX76" s="564">
        <v>0</v>
      </c>
      <c r="DY76" s="564">
        <v>0</v>
      </c>
      <c r="DZ76" s="564">
        <v>0</v>
      </c>
      <c r="EA76" s="568">
        <f t="shared" si="268"/>
        <v>0</v>
      </c>
      <c r="EB76" s="567">
        <v>0</v>
      </c>
      <c r="EC76" s="564">
        <v>0</v>
      </c>
      <c r="ED76" s="564">
        <v>0</v>
      </c>
      <c r="EE76" s="564">
        <v>0</v>
      </c>
      <c r="EF76" s="564">
        <v>0</v>
      </c>
      <c r="EG76" s="564">
        <v>0</v>
      </c>
      <c r="EH76" s="564">
        <v>0</v>
      </c>
      <c r="EI76" s="564">
        <v>0</v>
      </c>
      <c r="EJ76" s="564">
        <v>0</v>
      </c>
      <c r="EK76" s="564">
        <v>0</v>
      </c>
      <c r="EL76" s="564">
        <v>0</v>
      </c>
      <c r="EM76" s="566">
        <v>0</v>
      </c>
      <c r="EN76" s="564">
        <f t="shared" si="325"/>
        <v>0</v>
      </c>
      <c r="EO76" s="567">
        <v>0</v>
      </c>
      <c r="EP76" s="564">
        <v>649</v>
      </c>
      <c r="EQ76" s="564">
        <v>0</v>
      </c>
      <c r="ER76" s="564">
        <v>0</v>
      </c>
      <c r="ES76" s="564">
        <v>728</v>
      </c>
      <c r="ET76" s="564">
        <v>0</v>
      </c>
      <c r="EU76" s="564">
        <v>0</v>
      </c>
      <c r="EV76" s="564">
        <v>0</v>
      </c>
      <c r="EW76" s="564">
        <v>0</v>
      </c>
      <c r="EX76" s="564">
        <v>0</v>
      </c>
      <c r="EY76" s="564">
        <v>0</v>
      </c>
      <c r="EZ76" s="564">
        <v>0</v>
      </c>
      <c r="FA76" s="568">
        <f t="shared" si="327"/>
        <v>1377</v>
      </c>
      <c r="FB76" s="567">
        <v>0</v>
      </c>
      <c r="FC76" s="564">
        <v>0</v>
      </c>
      <c r="FD76" s="564">
        <v>0</v>
      </c>
      <c r="FE76" s="564">
        <v>0</v>
      </c>
      <c r="FF76" s="564">
        <v>0</v>
      </c>
      <c r="FG76" s="564">
        <v>0</v>
      </c>
      <c r="FH76" s="564">
        <v>0</v>
      </c>
      <c r="FI76" s="564">
        <v>10</v>
      </c>
      <c r="FJ76" s="564">
        <v>0</v>
      </c>
      <c r="FK76" s="564">
        <v>0</v>
      </c>
      <c r="FL76" s="564">
        <v>0</v>
      </c>
      <c r="FM76" s="566">
        <v>41</v>
      </c>
      <c r="FN76" s="566">
        <f t="shared" si="329"/>
        <v>51</v>
      </c>
      <c r="FO76" s="564">
        <v>0</v>
      </c>
      <c r="FP76" s="564">
        <v>0</v>
      </c>
      <c r="FQ76" s="564">
        <v>0</v>
      </c>
      <c r="FR76" s="564">
        <v>0</v>
      </c>
      <c r="FS76" s="564">
        <v>0</v>
      </c>
      <c r="FT76" s="564">
        <v>0</v>
      </c>
      <c r="FU76" s="564">
        <v>0</v>
      </c>
      <c r="FV76" s="564">
        <v>0</v>
      </c>
      <c r="FW76" s="564">
        <v>0</v>
      </c>
      <c r="FX76" s="564">
        <v>480</v>
      </c>
      <c r="FY76" s="564">
        <v>0</v>
      </c>
      <c r="FZ76" s="566">
        <v>0</v>
      </c>
      <c r="GA76" s="566">
        <f t="shared" si="331"/>
        <v>480</v>
      </c>
      <c r="GB76" s="564">
        <v>0</v>
      </c>
      <c r="GC76" s="564">
        <v>0</v>
      </c>
      <c r="GD76" s="564">
        <v>0</v>
      </c>
      <c r="GE76" s="564">
        <v>0</v>
      </c>
      <c r="GF76" s="564">
        <v>0</v>
      </c>
      <c r="GG76" s="564">
        <v>0</v>
      </c>
      <c r="GH76" s="564">
        <v>0</v>
      </c>
      <c r="GI76" s="564">
        <v>0</v>
      </c>
      <c r="GJ76" s="564">
        <v>0</v>
      </c>
      <c r="GK76" s="564">
        <v>0</v>
      </c>
      <c r="GL76" s="564">
        <v>240</v>
      </c>
      <c r="GM76" s="564">
        <v>0</v>
      </c>
      <c r="GN76" s="447">
        <f t="shared" si="168"/>
        <v>240</v>
      </c>
      <c r="GO76" s="564">
        <v>0</v>
      </c>
      <c r="GP76" s="564">
        <v>0</v>
      </c>
      <c r="GQ76" s="564">
        <v>0</v>
      </c>
      <c r="GR76" s="564">
        <v>0</v>
      </c>
      <c r="GS76" s="564">
        <v>0</v>
      </c>
      <c r="GT76" s="564">
        <v>0</v>
      </c>
      <c r="GU76" s="564">
        <v>0</v>
      </c>
      <c r="GV76" s="564">
        <v>0</v>
      </c>
      <c r="GW76" s="564">
        <v>0</v>
      </c>
      <c r="GX76" s="564">
        <v>0</v>
      </c>
      <c r="GY76" s="564">
        <v>0</v>
      </c>
      <c r="GZ76" s="566">
        <v>0</v>
      </c>
      <c r="HA76" s="566">
        <f t="shared" si="293"/>
        <v>0</v>
      </c>
      <c r="HB76" s="567">
        <v>0</v>
      </c>
      <c r="HC76" s="564">
        <v>0</v>
      </c>
      <c r="HD76" s="564">
        <v>0</v>
      </c>
      <c r="HE76" s="564">
        <v>0</v>
      </c>
      <c r="HF76" s="564">
        <v>0</v>
      </c>
      <c r="HG76" s="564">
        <v>0</v>
      </c>
      <c r="HH76" s="564">
        <v>0</v>
      </c>
      <c r="HI76" s="564">
        <v>0</v>
      </c>
      <c r="HJ76" s="564">
        <v>80</v>
      </c>
      <c r="HK76" s="564">
        <v>0</v>
      </c>
      <c r="HL76" s="569">
        <v>0</v>
      </c>
      <c r="HM76" s="570">
        <v>0</v>
      </c>
      <c r="HN76" s="568">
        <f t="shared" si="307"/>
        <v>80</v>
      </c>
      <c r="HO76" s="567">
        <v>0</v>
      </c>
      <c r="HP76" s="564">
        <v>0</v>
      </c>
      <c r="HQ76" s="564">
        <v>0</v>
      </c>
      <c r="HR76" s="564">
        <v>1000</v>
      </c>
      <c r="HS76" s="564">
        <v>0</v>
      </c>
      <c r="HT76" s="564">
        <v>20</v>
      </c>
      <c r="HU76" s="564">
        <v>-1</v>
      </c>
      <c r="HV76" s="564">
        <v>0</v>
      </c>
      <c r="HW76" s="564">
        <v>0</v>
      </c>
      <c r="HX76" s="564">
        <v>0</v>
      </c>
      <c r="HY76" s="564">
        <v>0</v>
      </c>
      <c r="HZ76" s="564">
        <v>0</v>
      </c>
      <c r="IA76" s="568">
        <f t="shared" si="296"/>
        <v>1019</v>
      </c>
      <c r="IB76" s="567">
        <v>0</v>
      </c>
      <c r="IC76" s="564">
        <v>0</v>
      </c>
      <c r="ID76" s="564">
        <v>0</v>
      </c>
      <c r="IE76" s="564">
        <v>0</v>
      </c>
      <c r="IF76" s="564">
        <v>0</v>
      </c>
      <c r="IG76" s="564">
        <v>0</v>
      </c>
      <c r="IH76" s="564">
        <v>0</v>
      </c>
      <c r="II76" s="564">
        <v>0</v>
      </c>
      <c r="IJ76" s="564">
        <v>0</v>
      </c>
      <c r="IK76" s="564">
        <v>0</v>
      </c>
      <c r="IL76" s="564">
        <v>0</v>
      </c>
      <c r="IM76" s="564">
        <v>0</v>
      </c>
      <c r="IN76" s="568">
        <f t="shared" si="298"/>
        <v>0</v>
      </c>
      <c r="IO76" s="564">
        <v>19</v>
      </c>
      <c r="IP76" s="564">
        <v>0</v>
      </c>
      <c r="IQ76" s="564">
        <v>0</v>
      </c>
      <c r="IR76" s="564">
        <v>0</v>
      </c>
      <c r="IS76" s="569">
        <v>0</v>
      </c>
      <c r="IT76" s="569">
        <v>0</v>
      </c>
      <c r="IU76" s="569">
        <v>0</v>
      </c>
      <c r="IV76" s="569">
        <v>0</v>
      </c>
      <c r="IW76" s="569">
        <v>0</v>
      </c>
      <c r="IX76" s="569">
        <v>0</v>
      </c>
      <c r="IY76" s="569">
        <v>0</v>
      </c>
      <c r="IZ76" s="569">
        <v>0</v>
      </c>
      <c r="JA76" s="1383">
        <f t="shared" si="300"/>
        <v>19</v>
      </c>
      <c r="JB76" s="1324">
        <v>171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N76" s="1059">
        <f t="shared" si="303"/>
        <v>171</v>
      </c>
      <c r="JP76" s="1057" t="str">
        <f t="shared" si="304"/>
        <v>-</v>
      </c>
      <c r="JQ76" s="572">
        <f t="shared" si="308"/>
        <v>800</v>
      </c>
      <c r="JR76" s="565">
        <f t="shared" si="305"/>
        <v>19</v>
      </c>
      <c r="JS76" s="565">
        <f t="shared" si="306"/>
        <v>171</v>
      </c>
    </row>
    <row r="77" spans="1:279" ht="13.9" customHeight="1" x14ac:dyDescent="0.2">
      <c r="A77" s="563" t="s">
        <v>414</v>
      </c>
      <c r="CO77" s="564">
        <v>0</v>
      </c>
      <c r="CP77" s="564">
        <v>0</v>
      </c>
      <c r="CQ77" s="564">
        <v>0</v>
      </c>
      <c r="CR77" s="564">
        <v>0</v>
      </c>
      <c r="CS77" s="564">
        <v>0</v>
      </c>
      <c r="CT77" s="564">
        <v>0</v>
      </c>
      <c r="CU77" s="564">
        <v>0</v>
      </c>
      <c r="CV77" s="564">
        <v>0</v>
      </c>
      <c r="CW77" s="564">
        <v>0</v>
      </c>
      <c r="CX77" s="564">
        <v>0</v>
      </c>
      <c r="CY77" s="564">
        <v>0</v>
      </c>
      <c r="CZ77" s="564">
        <v>0</v>
      </c>
      <c r="DA77" s="565">
        <f t="shared" si="264"/>
        <v>0</v>
      </c>
      <c r="DB77" s="564">
        <v>0</v>
      </c>
      <c r="DC77" s="564">
        <v>0</v>
      </c>
      <c r="DD77" s="564">
        <v>0</v>
      </c>
      <c r="DE77" s="564">
        <v>0</v>
      </c>
      <c r="DF77" s="564">
        <v>0</v>
      </c>
      <c r="DG77" s="564">
        <v>0</v>
      </c>
      <c r="DH77" s="564">
        <v>0</v>
      </c>
      <c r="DI77" s="564">
        <v>0</v>
      </c>
      <c r="DJ77" s="564">
        <v>0</v>
      </c>
      <c r="DK77" s="564">
        <v>0</v>
      </c>
      <c r="DL77" s="564">
        <v>0</v>
      </c>
      <c r="DM77" s="566">
        <v>0</v>
      </c>
      <c r="DN77" s="566">
        <f t="shared" si="266"/>
        <v>0</v>
      </c>
      <c r="DO77" s="567">
        <v>0</v>
      </c>
      <c r="DP77" s="564">
        <v>0</v>
      </c>
      <c r="DQ77" s="564">
        <v>0</v>
      </c>
      <c r="DR77" s="564">
        <v>0</v>
      </c>
      <c r="DS77" s="564">
        <v>0</v>
      </c>
      <c r="DT77" s="564">
        <v>0</v>
      </c>
      <c r="DU77" s="564">
        <v>0</v>
      </c>
      <c r="DV77" s="564">
        <v>0</v>
      </c>
      <c r="DW77" s="564">
        <v>0</v>
      </c>
      <c r="DX77" s="564">
        <v>0</v>
      </c>
      <c r="DY77" s="564">
        <v>0</v>
      </c>
      <c r="DZ77" s="564">
        <v>0</v>
      </c>
      <c r="EA77" s="568">
        <f t="shared" si="268"/>
        <v>0</v>
      </c>
      <c r="EB77" s="567">
        <v>0</v>
      </c>
      <c r="EC77" s="564">
        <v>0</v>
      </c>
      <c r="ED77" s="564">
        <v>0</v>
      </c>
      <c r="EE77" s="564">
        <v>0</v>
      </c>
      <c r="EF77" s="564">
        <v>0</v>
      </c>
      <c r="EG77" s="564">
        <v>0</v>
      </c>
      <c r="EH77" s="564">
        <v>0</v>
      </c>
      <c r="EI77" s="564">
        <v>0</v>
      </c>
      <c r="EJ77" s="564">
        <v>0</v>
      </c>
      <c r="EK77" s="564">
        <v>0</v>
      </c>
      <c r="EL77" s="564">
        <v>0</v>
      </c>
      <c r="EM77" s="566">
        <v>0</v>
      </c>
      <c r="EN77" s="564">
        <f t="shared" si="325"/>
        <v>0</v>
      </c>
      <c r="EO77" s="567">
        <v>0</v>
      </c>
      <c r="EP77" s="564">
        <v>0</v>
      </c>
      <c r="EQ77" s="564">
        <v>0</v>
      </c>
      <c r="ER77" s="564">
        <v>0</v>
      </c>
      <c r="ES77" s="564">
        <v>0</v>
      </c>
      <c r="ET77" s="564">
        <v>0</v>
      </c>
      <c r="EU77" s="564">
        <v>0</v>
      </c>
      <c r="EV77" s="564">
        <v>0</v>
      </c>
      <c r="EW77" s="564">
        <v>0</v>
      </c>
      <c r="EX77" s="564">
        <v>0</v>
      </c>
      <c r="EY77" s="564">
        <v>0</v>
      </c>
      <c r="EZ77" s="564">
        <v>0</v>
      </c>
      <c r="FA77" s="568">
        <f t="shared" si="327"/>
        <v>0</v>
      </c>
      <c r="FB77" s="567">
        <v>0</v>
      </c>
      <c r="FC77" s="564">
        <v>0</v>
      </c>
      <c r="FD77" s="564">
        <v>0</v>
      </c>
      <c r="FE77" s="564">
        <v>0</v>
      </c>
      <c r="FF77" s="564">
        <v>0</v>
      </c>
      <c r="FG77" s="564">
        <v>0</v>
      </c>
      <c r="FH77" s="564">
        <v>0</v>
      </c>
      <c r="FI77" s="564">
        <v>0</v>
      </c>
      <c r="FJ77" s="564">
        <v>0</v>
      </c>
      <c r="FK77" s="564">
        <v>0</v>
      </c>
      <c r="FL77" s="564">
        <v>0</v>
      </c>
      <c r="FM77" s="566">
        <v>0</v>
      </c>
      <c r="FN77" s="566">
        <f t="shared" si="329"/>
        <v>0</v>
      </c>
      <c r="FO77" s="564">
        <v>0</v>
      </c>
      <c r="FP77" s="564">
        <v>0</v>
      </c>
      <c r="FQ77" s="564">
        <v>0</v>
      </c>
      <c r="FR77" s="564">
        <v>0</v>
      </c>
      <c r="FS77" s="564">
        <v>0</v>
      </c>
      <c r="FT77" s="564">
        <v>0</v>
      </c>
      <c r="FU77" s="564">
        <v>0</v>
      </c>
      <c r="FV77" s="564">
        <v>0</v>
      </c>
      <c r="FW77" s="564">
        <v>0</v>
      </c>
      <c r="FX77" s="564">
        <v>0</v>
      </c>
      <c r="FY77" s="564">
        <v>0</v>
      </c>
      <c r="FZ77" s="566">
        <v>0</v>
      </c>
      <c r="GA77" s="566">
        <f t="shared" si="331"/>
        <v>0</v>
      </c>
      <c r="GB77" s="564">
        <v>0</v>
      </c>
      <c r="GC77" s="564">
        <v>0</v>
      </c>
      <c r="GD77" s="564">
        <v>0</v>
      </c>
      <c r="GE77" s="564">
        <v>0</v>
      </c>
      <c r="GF77" s="564">
        <v>0</v>
      </c>
      <c r="GG77" s="564">
        <v>0</v>
      </c>
      <c r="GH77" s="564">
        <v>0</v>
      </c>
      <c r="GI77" s="564">
        <v>0</v>
      </c>
      <c r="GJ77" s="564">
        <v>0</v>
      </c>
      <c r="GK77" s="564">
        <v>0</v>
      </c>
      <c r="GL77" s="564">
        <v>0</v>
      </c>
      <c r="GM77" s="564">
        <v>0</v>
      </c>
      <c r="GN77" s="447">
        <f t="shared" si="168"/>
        <v>0</v>
      </c>
      <c r="GO77" s="564">
        <v>0</v>
      </c>
      <c r="GP77" s="564">
        <v>0</v>
      </c>
      <c r="GQ77" s="564">
        <v>0</v>
      </c>
      <c r="GR77" s="564">
        <v>0</v>
      </c>
      <c r="GS77" s="564">
        <v>0</v>
      </c>
      <c r="GT77" s="564">
        <v>0</v>
      </c>
      <c r="GU77" s="564">
        <v>0</v>
      </c>
      <c r="GV77" s="564">
        <v>0</v>
      </c>
      <c r="GW77" s="564">
        <v>0</v>
      </c>
      <c r="GX77" s="564">
        <v>0</v>
      </c>
      <c r="GY77" s="564">
        <v>0</v>
      </c>
      <c r="GZ77" s="566">
        <v>0</v>
      </c>
      <c r="HA77" s="566">
        <f t="shared" si="293"/>
        <v>0</v>
      </c>
      <c r="HB77" s="567">
        <v>0</v>
      </c>
      <c r="HC77" s="564">
        <v>0</v>
      </c>
      <c r="HD77" s="564">
        <v>0</v>
      </c>
      <c r="HE77" s="564">
        <v>0</v>
      </c>
      <c r="HF77" s="564">
        <v>0</v>
      </c>
      <c r="HG77" s="564">
        <v>0</v>
      </c>
      <c r="HH77" s="564">
        <v>0</v>
      </c>
      <c r="HI77" s="564">
        <v>0</v>
      </c>
      <c r="HJ77" s="564">
        <v>0</v>
      </c>
      <c r="HK77" s="564">
        <v>0</v>
      </c>
      <c r="HL77" s="569">
        <v>0</v>
      </c>
      <c r="HM77" s="570">
        <v>0</v>
      </c>
      <c r="HN77" s="568">
        <f t="shared" si="307"/>
        <v>0</v>
      </c>
      <c r="HO77" s="567">
        <v>0</v>
      </c>
      <c r="HP77" s="564">
        <v>0</v>
      </c>
      <c r="HQ77" s="564">
        <v>0</v>
      </c>
      <c r="HR77" s="564">
        <v>0</v>
      </c>
      <c r="HS77" s="564">
        <v>0</v>
      </c>
      <c r="HT77" s="564">
        <v>0</v>
      </c>
      <c r="HU77" s="564">
        <v>0</v>
      </c>
      <c r="HV77" s="564">
        <v>0</v>
      </c>
      <c r="HW77" s="564">
        <v>0</v>
      </c>
      <c r="HX77" s="564">
        <v>0</v>
      </c>
      <c r="HY77" s="564">
        <v>0</v>
      </c>
      <c r="HZ77" s="564">
        <v>0</v>
      </c>
      <c r="IA77" s="568">
        <f t="shared" si="296"/>
        <v>0</v>
      </c>
      <c r="IB77" s="567">
        <v>0</v>
      </c>
      <c r="IC77" s="564">
        <v>0</v>
      </c>
      <c r="ID77" s="564">
        <v>0</v>
      </c>
      <c r="IE77" s="564">
        <v>0</v>
      </c>
      <c r="IF77" s="564">
        <v>0</v>
      </c>
      <c r="IG77" s="564">
        <v>0</v>
      </c>
      <c r="IH77" s="564">
        <v>0</v>
      </c>
      <c r="II77" s="564">
        <v>0</v>
      </c>
      <c r="IJ77" s="564">
        <v>0</v>
      </c>
      <c r="IK77" s="564">
        <v>0</v>
      </c>
      <c r="IL77" s="564">
        <v>0</v>
      </c>
      <c r="IM77" s="564">
        <v>0</v>
      </c>
      <c r="IN77" s="568">
        <f t="shared" si="298"/>
        <v>0</v>
      </c>
      <c r="IO77" s="564">
        <v>0</v>
      </c>
      <c r="IP77" s="564">
        <v>0</v>
      </c>
      <c r="IQ77" s="564">
        <v>0</v>
      </c>
      <c r="IR77" s="564">
        <v>0</v>
      </c>
      <c r="IS77" s="569">
        <v>0</v>
      </c>
      <c r="IT77" s="569">
        <v>0</v>
      </c>
      <c r="IU77" s="569">
        <v>0</v>
      </c>
      <c r="IV77" s="569">
        <v>0</v>
      </c>
      <c r="IW77" s="569">
        <v>0</v>
      </c>
      <c r="IX77" s="569">
        <v>0</v>
      </c>
      <c r="IY77" s="569">
        <v>0</v>
      </c>
      <c r="IZ77" s="569">
        <v>0</v>
      </c>
      <c r="JA77" s="1383">
        <f t="shared" si="300"/>
        <v>0</v>
      </c>
      <c r="JB77" s="1324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N77" s="1059">
        <f t="shared" si="303"/>
        <v>0</v>
      </c>
      <c r="JP77" s="1057" t="str">
        <f t="shared" si="304"/>
        <v>-</v>
      </c>
      <c r="JQ77" s="572" t="str">
        <f t="shared" si="308"/>
        <v>-</v>
      </c>
      <c r="JR77" s="565">
        <f t="shared" si="305"/>
        <v>0</v>
      </c>
      <c r="JS77" s="565">
        <f t="shared" si="306"/>
        <v>0</v>
      </c>
    </row>
    <row r="78" spans="1:279" ht="13.9" customHeight="1" x14ac:dyDescent="0.2">
      <c r="A78" s="563" t="s">
        <v>416</v>
      </c>
      <c r="CO78" s="564">
        <v>5</v>
      </c>
      <c r="CP78" s="564">
        <v>0</v>
      </c>
      <c r="CQ78" s="564">
        <v>1</v>
      </c>
      <c r="CR78" s="564">
        <v>5</v>
      </c>
      <c r="CS78" s="564">
        <v>0</v>
      </c>
      <c r="CT78" s="564">
        <v>0</v>
      </c>
      <c r="CU78" s="564">
        <v>113</v>
      </c>
      <c r="CV78" s="564">
        <v>0.1</v>
      </c>
      <c r="CW78" s="564">
        <v>0</v>
      </c>
      <c r="CX78" s="564">
        <v>7</v>
      </c>
      <c r="CY78" s="564">
        <v>0.2</v>
      </c>
      <c r="CZ78" s="564">
        <v>0.1</v>
      </c>
      <c r="DA78" s="565">
        <f t="shared" si="264"/>
        <v>131.39999999999998</v>
      </c>
      <c r="DB78" s="564">
        <v>0</v>
      </c>
      <c r="DC78" s="564">
        <v>0</v>
      </c>
      <c r="DD78" s="564">
        <v>0</v>
      </c>
      <c r="DE78" s="564">
        <v>0</v>
      </c>
      <c r="DF78" s="564">
        <v>0</v>
      </c>
      <c r="DG78" s="564">
        <v>189</v>
      </c>
      <c r="DH78" s="564">
        <v>0</v>
      </c>
      <c r="DI78" s="564">
        <v>0</v>
      </c>
      <c r="DJ78" s="564">
        <v>0</v>
      </c>
      <c r="DK78" s="564">
        <v>0</v>
      </c>
      <c r="DL78" s="564">
        <v>8602</v>
      </c>
      <c r="DM78" s="566">
        <v>127</v>
      </c>
      <c r="DN78" s="566">
        <f t="shared" si="266"/>
        <v>8918</v>
      </c>
      <c r="DO78" s="567">
        <v>0</v>
      </c>
      <c r="DP78" s="564">
        <v>0</v>
      </c>
      <c r="DQ78" s="564">
        <v>-127</v>
      </c>
      <c r="DR78" s="564">
        <v>0</v>
      </c>
      <c r="DS78" s="564">
        <v>0</v>
      </c>
      <c r="DT78" s="564">
        <v>0</v>
      </c>
      <c r="DU78" s="564">
        <v>0</v>
      </c>
      <c r="DV78" s="564">
        <v>0</v>
      </c>
      <c r="DW78" s="564">
        <v>14288</v>
      </c>
      <c r="DX78" s="564">
        <v>0</v>
      </c>
      <c r="DY78" s="564">
        <v>0</v>
      </c>
      <c r="DZ78" s="564">
        <v>0</v>
      </c>
      <c r="EA78" s="568">
        <f t="shared" si="268"/>
        <v>14161</v>
      </c>
      <c r="EB78" s="567">
        <v>0</v>
      </c>
      <c r="EC78" s="564">
        <v>0</v>
      </c>
      <c r="ED78" s="564">
        <v>0</v>
      </c>
      <c r="EE78" s="564">
        <v>0</v>
      </c>
      <c r="EF78" s="564">
        <v>0</v>
      </c>
      <c r="EG78" s="564">
        <v>0</v>
      </c>
      <c r="EH78" s="564">
        <v>0</v>
      </c>
      <c r="EI78" s="564">
        <v>0</v>
      </c>
      <c r="EJ78" s="564">
        <v>0</v>
      </c>
      <c r="EK78" s="564">
        <v>0</v>
      </c>
      <c r="EL78" s="564">
        <v>0</v>
      </c>
      <c r="EM78" s="566">
        <v>0</v>
      </c>
      <c r="EN78" s="564">
        <f t="shared" si="325"/>
        <v>0</v>
      </c>
      <c r="EO78" s="567">
        <v>0</v>
      </c>
      <c r="EP78" s="564">
        <v>0</v>
      </c>
      <c r="EQ78" s="564">
        <v>0</v>
      </c>
      <c r="ER78" s="564">
        <v>0</v>
      </c>
      <c r="ES78" s="564">
        <v>0</v>
      </c>
      <c r="ET78" s="564">
        <v>0</v>
      </c>
      <c r="EU78" s="564">
        <v>0</v>
      </c>
      <c r="EV78" s="564">
        <v>0</v>
      </c>
      <c r="EW78" s="564">
        <v>0</v>
      </c>
      <c r="EX78" s="564">
        <v>0</v>
      </c>
      <c r="EY78" s="564">
        <v>0</v>
      </c>
      <c r="EZ78" s="564">
        <v>0</v>
      </c>
      <c r="FA78" s="568">
        <f t="shared" si="327"/>
        <v>0</v>
      </c>
      <c r="FB78" s="567">
        <v>0</v>
      </c>
      <c r="FC78" s="564">
        <v>0</v>
      </c>
      <c r="FD78" s="564">
        <v>0</v>
      </c>
      <c r="FE78" s="564">
        <v>0</v>
      </c>
      <c r="FF78" s="564">
        <v>0</v>
      </c>
      <c r="FG78" s="564">
        <v>0</v>
      </c>
      <c r="FH78" s="564">
        <v>0</v>
      </c>
      <c r="FI78" s="564">
        <v>0</v>
      </c>
      <c r="FJ78" s="564">
        <v>0</v>
      </c>
      <c r="FK78" s="564">
        <v>0</v>
      </c>
      <c r="FL78" s="564">
        <v>0</v>
      </c>
      <c r="FM78" s="566">
        <v>0</v>
      </c>
      <c r="FN78" s="566">
        <f t="shared" si="329"/>
        <v>0</v>
      </c>
      <c r="FO78" s="564">
        <v>0</v>
      </c>
      <c r="FP78" s="564">
        <v>0</v>
      </c>
      <c r="FQ78" s="564">
        <v>0</v>
      </c>
      <c r="FR78" s="564">
        <v>0</v>
      </c>
      <c r="FS78" s="564">
        <v>0</v>
      </c>
      <c r="FT78" s="564">
        <v>0</v>
      </c>
      <c r="FU78" s="564">
        <v>0</v>
      </c>
      <c r="FV78" s="564">
        <v>0</v>
      </c>
      <c r="FW78" s="564">
        <v>0</v>
      </c>
      <c r="FX78" s="564">
        <v>0</v>
      </c>
      <c r="FY78" s="564">
        <v>0</v>
      </c>
      <c r="FZ78" s="566">
        <v>0</v>
      </c>
      <c r="GA78" s="566">
        <f t="shared" si="331"/>
        <v>0</v>
      </c>
      <c r="GB78" s="564">
        <v>0</v>
      </c>
      <c r="GC78" s="564">
        <v>0</v>
      </c>
      <c r="GD78" s="564">
        <v>0</v>
      </c>
      <c r="GE78" s="564">
        <v>0</v>
      </c>
      <c r="GF78" s="564">
        <v>0</v>
      </c>
      <c r="GG78" s="564">
        <v>0</v>
      </c>
      <c r="GH78" s="564">
        <v>0</v>
      </c>
      <c r="GI78" s="564">
        <v>0</v>
      </c>
      <c r="GJ78" s="564">
        <v>0</v>
      </c>
      <c r="GK78" s="564">
        <v>0</v>
      </c>
      <c r="GL78" s="564">
        <v>0</v>
      </c>
      <c r="GM78" s="564">
        <v>0</v>
      </c>
      <c r="GN78" s="447">
        <f t="shared" si="168"/>
        <v>0</v>
      </c>
      <c r="GO78" s="564">
        <v>0</v>
      </c>
      <c r="GP78" s="564">
        <v>0</v>
      </c>
      <c r="GQ78" s="564">
        <v>0</v>
      </c>
      <c r="GR78" s="564">
        <v>0</v>
      </c>
      <c r="GS78" s="564">
        <v>0</v>
      </c>
      <c r="GT78" s="564">
        <v>0</v>
      </c>
      <c r="GU78" s="564">
        <v>0</v>
      </c>
      <c r="GV78" s="564">
        <v>0</v>
      </c>
      <c r="GW78" s="564">
        <v>0</v>
      </c>
      <c r="GX78" s="564">
        <v>0</v>
      </c>
      <c r="GY78" s="564">
        <v>0</v>
      </c>
      <c r="GZ78" s="566">
        <v>0</v>
      </c>
      <c r="HA78" s="566">
        <f t="shared" si="293"/>
        <v>0</v>
      </c>
      <c r="HB78" s="567">
        <v>0</v>
      </c>
      <c r="HC78" s="564">
        <v>0</v>
      </c>
      <c r="HD78" s="564">
        <v>0</v>
      </c>
      <c r="HE78" s="564">
        <v>0</v>
      </c>
      <c r="HF78" s="564">
        <v>0</v>
      </c>
      <c r="HG78" s="564">
        <v>0</v>
      </c>
      <c r="HH78" s="564">
        <v>0</v>
      </c>
      <c r="HI78" s="564">
        <v>0</v>
      </c>
      <c r="HJ78" s="564">
        <v>0</v>
      </c>
      <c r="HK78" s="564">
        <v>0</v>
      </c>
      <c r="HL78" s="569">
        <v>0</v>
      </c>
      <c r="HM78" s="570">
        <v>0</v>
      </c>
      <c r="HN78" s="568">
        <f t="shared" si="307"/>
        <v>0</v>
      </c>
      <c r="HO78" s="567">
        <v>0</v>
      </c>
      <c r="HP78" s="564">
        <v>0</v>
      </c>
      <c r="HQ78" s="564">
        <v>0</v>
      </c>
      <c r="HR78" s="564">
        <v>0</v>
      </c>
      <c r="HS78" s="564">
        <v>0</v>
      </c>
      <c r="HT78" s="564">
        <v>0</v>
      </c>
      <c r="HU78" s="564">
        <v>0</v>
      </c>
      <c r="HV78" s="564">
        <v>0</v>
      </c>
      <c r="HW78" s="564">
        <v>0</v>
      </c>
      <c r="HX78" s="564">
        <v>0</v>
      </c>
      <c r="HY78" s="564">
        <v>0</v>
      </c>
      <c r="HZ78" s="564">
        <v>0</v>
      </c>
      <c r="IA78" s="568">
        <f t="shared" si="296"/>
        <v>0</v>
      </c>
      <c r="IB78" s="567">
        <v>0</v>
      </c>
      <c r="IC78" s="564">
        <v>0</v>
      </c>
      <c r="ID78" s="564">
        <v>0</v>
      </c>
      <c r="IE78" s="564">
        <v>0</v>
      </c>
      <c r="IF78" s="564">
        <v>0</v>
      </c>
      <c r="IG78" s="564">
        <v>0</v>
      </c>
      <c r="IH78" s="564">
        <v>0</v>
      </c>
      <c r="II78" s="564">
        <v>0</v>
      </c>
      <c r="IJ78" s="564">
        <v>0</v>
      </c>
      <c r="IK78" s="564">
        <v>0</v>
      </c>
      <c r="IL78" s="564">
        <v>0</v>
      </c>
      <c r="IM78" s="564">
        <v>0</v>
      </c>
      <c r="IN78" s="568">
        <f t="shared" si="298"/>
        <v>0</v>
      </c>
      <c r="IO78" s="564">
        <v>0</v>
      </c>
      <c r="IP78" s="564">
        <v>0</v>
      </c>
      <c r="IQ78" s="564">
        <v>0</v>
      </c>
      <c r="IR78" s="564">
        <v>0</v>
      </c>
      <c r="IS78" s="569">
        <v>0</v>
      </c>
      <c r="IT78" s="569">
        <v>0</v>
      </c>
      <c r="IU78" s="569">
        <v>0</v>
      </c>
      <c r="IV78" s="569">
        <v>0</v>
      </c>
      <c r="IW78" s="569">
        <v>0</v>
      </c>
      <c r="IX78" s="569">
        <v>0</v>
      </c>
      <c r="IY78" s="569">
        <v>0</v>
      </c>
      <c r="IZ78" s="569">
        <v>0</v>
      </c>
      <c r="JA78" s="1383">
        <f>SUM(IO78:IZ78)</f>
        <v>0</v>
      </c>
      <c r="JB78" s="1324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N78" s="1059">
        <f t="shared" si="303"/>
        <v>0</v>
      </c>
      <c r="JP78" s="1057" t="str">
        <f t="shared" si="304"/>
        <v>-</v>
      </c>
      <c r="JQ78" s="572" t="str">
        <f t="shared" si="308"/>
        <v>-</v>
      </c>
      <c r="JR78" s="565">
        <f t="shared" si="305"/>
        <v>0</v>
      </c>
      <c r="JS78" s="565">
        <f t="shared" si="306"/>
        <v>0</v>
      </c>
    </row>
    <row r="79" spans="1:279" ht="13.9" customHeight="1" x14ac:dyDescent="0.2">
      <c r="A79" s="563" t="s">
        <v>415</v>
      </c>
      <c r="CO79" s="564">
        <v>200</v>
      </c>
      <c r="CP79" s="564">
        <v>0</v>
      </c>
      <c r="CQ79" s="564">
        <v>0</v>
      </c>
      <c r="CR79" s="564">
        <v>0</v>
      </c>
      <c r="CS79" s="564">
        <v>0</v>
      </c>
      <c r="CT79" s="564">
        <v>0</v>
      </c>
      <c r="CU79" s="564">
        <v>0</v>
      </c>
      <c r="CV79" s="564">
        <v>0</v>
      </c>
      <c r="CW79" s="564">
        <v>0</v>
      </c>
      <c r="CX79" s="564">
        <v>0</v>
      </c>
      <c r="CY79" s="564">
        <v>0</v>
      </c>
      <c r="CZ79" s="564">
        <v>0</v>
      </c>
      <c r="DA79" s="565">
        <f t="shared" si="264"/>
        <v>200</v>
      </c>
      <c r="DB79" s="564">
        <v>0</v>
      </c>
      <c r="DC79" s="564">
        <v>0</v>
      </c>
      <c r="DD79" s="564">
        <v>0</v>
      </c>
      <c r="DE79" s="564">
        <v>0</v>
      </c>
      <c r="DF79" s="564">
        <v>0</v>
      </c>
      <c r="DG79" s="564">
        <v>0</v>
      </c>
      <c r="DH79" s="564">
        <v>0</v>
      </c>
      <c r="DI79" s="564">
        <v>0</v>
      </c>
      <c r="DJ79" s="564">
        <v>0</v>
      </c>
      <c r="DK79" s="564">
        <v>0</v>
      </c>
      <c r="DL79" s="564">
        <v>0</v>
      </c>
      <c r="DM79" s="566">
        <v>0</v>
      </c>
      <c r="DN79" s="566">
        <f t="shared" si="266"/>
        <v>0</v>
      </c>
      <c r="DO79" s="567">
        <v>0</v>
      </c>
      <c r="DP79" s="564">
        <v>0</v>
      </c>
      <c r="DQ79" s="564">
        <v>0</v>
      </c>
      <c r="DR79" s="564">
        <v>0</v>
      </c>
      <c r="DS79" s="564">
        <v>0</v>
      </c>
      <c r="DT79" s="564">
        <v>0</v>
      </c>
      <c r="DU79" s="564">
        <v>0</v>
      </c>
      <c r="DV79" s="564">
        <v>0</v>
      </c>
      <c r="DW79" s="564">
        <v>0</v>
      </c>
      <c r="DX79" s="564">
        <v>0</v>
      </c>
      <c r="DY79" s="564">
        <v>0</v>
      </c>
      <c r="DZ79" s="564">
        <v>0</v>
      </c>
      <c r="EA79" s="568">
        <f t="shared" si="268"/>
        <v>0</v>
      </c>
      <c r="EB79" s="567">
        <v>0</v>
      </c>
      <c r="EC79" s="564">
        <v>0</v>
      </c>
      <c r="ED79" s="564">
        <v>0</v>
      </c>
      <c r="EE79" s="564">
        <v>0</v>
      </c>
      <c r="EF79" s="564">
        <v>0</v>
      </c>
      <c r="EG79" s="564">
        <v>0</v>
      </c>
      <c r="EH79" s="564">
        <v>0</v>
      </c>
      <c r="EI79" s="564">
        <v>0</v>
      </c>
      <c r="EJ79" s="564">
        <v>0</v>
      </c>
      <c r="EK79" s="564">
        <v>0</v>
      </c>
      <c r="EL79" s="564">
        <v>0</v>
      </c>
      <c r="EM79" s="566">
        <v>0</v>
      </c>
      <c r="EN79" s="564">
        <f t="shared" si="325"/>
        <v>0</v>
      </c>
      <c r="EO79" s="567">
        <v>0</v>
      </c>
      <c r="EP79" s="564">
        <v>0</v>
      </c>
      <c r="EQ79" s="564">
        <v>0</v>
      </c>
      <c r="ER79" s="564">
        <v>0</v>
      </c>
      <c r="ES79" s="564">
        <v>0</v>
      </c>
      <c r="ET79" s="564">
        <v>0</v>
      </c>
      <c r="EU79" s="564">
        <v>0</v>
      </c>
      <c r="EV79" s="564">
        <v>0</v>
      </c>
      <c r="EW79" s="564">
        <v>0</v>
      </c>
      <c r="EX79" s="564">
        <v>0</v>
      </c>
      <c r="EY79" s="564">
        <v>0</v>
      </c>
      <c r="EZ79" s="564">
        <v>0</v>
      </c>
      <c r="FA79" s="568">
        <f t="shared" si="327"/>
        <v>0</v>
      </c>
      <c r="FB79" s="567">
        <v>0</v>
      </c>
      <c r="FC79" s="564">
        <v>0</v>
      </c>
      <c r="FD79" s="564">
        <v>0</v>
      </c>
      <c r="FE79" s="564">
        <v>0</v>
      </c>
      <c r="FF79" s="564">
        <v>0</v>
      </c>
      <c r="FG79" s="564">
        <v>0</v>
      </c>
      <c r="FH79" s="564">
        <v>0</v>
      </c>
      <c r="FI79" s="564">
        <v>0</v>
      </c>
      <c r="FJ79" s="564">
        <v>0</v>
      </c>
      <c r="FK79" s="564">
        <v>0</v>
      </c>
      <c r="FL79" s="564">
        <v>0</v>
      </c>
      <c r="FM79" s="566">
        <v>0</v>
      </c>
      <c r="FN79" s="566">
        <f t="shared" si="329"/>
        <v>0</v>
      </c>
      <c r="FO79" s="564">
        <v>0</v>
      </c>
      <c r="FP79" s="564">
        <v>0</v>
      </c>
      <c r="FQ79" s="564">
        <v>0</v>
      </c>
      <c r="FR79" s="564">
        <v>0</v>
      </c>
      <c r="FS79" s="564">
        <v>0</v>
      </c>
      <c r="FT79" s="564">
        <v>0</v>
      </c>
      <c r="FU79" s="564">
        <v>0</v>
      </c>
      <c r="FV79" s="564">
        <v>0</v>
      </c>
      <c r="FW79" s="564">
        <v>0</v>
      </c>
      <c r="FX79" s="564">
        <v>0</v>
      </c>
      <c r="FY79" s="564">
        <v>0</v>
      </c>
      <c r="FZ79" s="566">
        <v>0</v>
      </c>
      <c r="GA79" s="566">
        <f t="shared" si="331"/>
        <v>0</v>
      </c>
      <c r="GB79" s="564">
        <v>0</v>
      </c>
      <c r="GC79" s="564">
        <v>0</v>
      </c>
      <c r="GD79" s="564">
        <v>0</v>
      </c>
      <c r="GE79" s="564">
        <v>0</v>
      </c>
      <c r="GF79" s="564">
        <v>0</v>
      </c>
      <c r="GG79" s="564">
        <v>0</v>
      </c>
      <c r="GH79" s="564">
        <v>0</v>
      </c>
      <c r="GI79" s="564">
        <v>0</v>
      </c>
      <c r="GJ79" s="564">
        <v>0</v>
      </c>
      <c r="GK79" s="564">
        <v>0</v>
      </c>
      <c r="GL79" s="564">
        <v>0</v>
      </c>
      <c r="GM79" s="564">
        <v>0</v>
      </c>
      <c r="GN79" s="447">
        <f t="shared" si="168"/>
        <v>0</v>
      </c>
      <c r="GO79" s="564">
        <v>0</v>
      </c>
      <c r="GP79" s="564">
        <v>0</v>
      </c>
      <c r="GQ79" s="564">
        <v>0</v>
      </c>
      <c r="GR79" s="564">
        <v>0</v>
      </c>
      <c r="GS79" s="564">
        <v>0</v>
      </c>
      <c r="GT79" s="564">
        <v>0</v>
      </c>
      <c r="GU79" s="564">
        <v>0</v>
      </c>
      <c r="GV79" s="564">
        <v>0</v>
      </c>
      <c r="GW79" s="564">
        <v>0</v>
      </c>
      <c r="GX79" s="564">
        <v>0</v>
      </c>
      <c r="GY79" s="564">
        <v>0</v>
      </c>
      <c r="GZ79" s="566">
        <v>0</v>
      </c>
      <c r="HA79" s="566">
        <f t="shared" si="293"/>
        <v>0</v>
      </c>
      <c r="HB79" s="567">
        <v>0</v>
      </c>
      <c r="HC79" s="564">
        <v>0</v>
      </c>
      <c r="HD79" s="564">
        <v>0</v>
      </c>
      <c r="HE79" s="564">
        <v>0</v>
      </c>
      <c r="HF79" s="564">
        <v>0</v>
      </c>
      <c r="HG79" s="564">
        <v>0</v>
      </c>
      <c r="HH79" s="564">
        <v>0</v>
      </c>
      <c r="HI79" s="564">
        <v>0</v>
      </c>
      <c r="HJ79" s="564">
        <v>0</v>
      </c>
      <c r="HK79" s="564">
        <v>0</v>
      </c>
      <c r="HL79" s="569">
        <v>0</v>
      </c>
      <c r="HM79" s="570">
        <v>0</v>
      </c>
      <c r="HN79" s="568">
        <f>SUM(HB79:HM79)</f>
        <v>0</v>
      </c>
      <c r="HO79" s="567">
        <v>0</v>
      </c>
      <c r="HP79" s="564">
        <v>0</v>
      </c>
      <c r="HQ79" s="564">
        <v>0</v>
      </c>
      <c r="HR79" s="564">
        <v>0</v>
      </c>
      <c r="HS79" s="564">
        <v>0</v>
      </c>
      <c r="HT79" s="564">
        <v>0</v>
      </c>
      <c r="HU79" s="564">
        <v>0</v>
      </c>
      <c r="HV79" s="564">
        <v>0</v>
      </c>
      <c r="HW79" s="564">
        <v>0</v>
      </c>
      <c r="HX79" s="564">
        <v>0</v>
      </c>
      <c r="HY79" s="564">
        <v>0</v>
      </c>
      <c r="HZ79" s="564">
        <v>0</v>
      </c>
      <c r="IA79" s="568">
        <f t="shared" si="296"/>
        <v>0</v>
      </c>
      <c r="IB79" s="567">
        <v>0</v>
      </c>
      <c r="IC79" s="564">
        <v>0</v>
      </c>
      <c r="ID79" s="564">
        <v>0</v>
      </c>
      <c r="IE79" s="564">
        <v>0</v>
      </c>
      <c r="IF79" s="564">
        <v>0</v>
      </c>
      <c r="IG79" s="564">
        <v>0</v>
      </c>
      <c r="IH79" s="564">
        <v>0</v>
      </c>
      <c r="II79" s="564">
        <v>0</v>
      </c>
      <c r="IJ79" s="564">
        <v>0</v>
      </c>
      <c r="IK79" s="564">
        <v>0</v>
      </c>
      <c r="IL79" s="564">
        <v>0</v>
      </c>
      <c r="IM79" s="564">
        <v>0</v>
      </c>
      <c r="IN79" s="568">
        <f t="shared" si="298"/>
        <v>0</v>
      </c>
      <c r="IO79" s="564">
        <v>0</v>
      </c>
      <c r="IP79" s="564">
        <v>0</v>
      </c>
      <c r="IQ79" s="564">
        <v>0</v>
      </c>
      <c r="IR79" s="564">
        <v>0</v>
      </c>
      <c r="IS79" s="569">
        <v>0</v>
      </c>
      <c r="IT79" s="569">
        <v>0</v>
      </c>
      <c r="IU79" s="569">
        <v>0</v>
      </c>
      <c r="IV79" s="569">
        <v>0</v>
      </c>
      <c r="IW79" s="569">
        <v>0</v>
      </c>
      <c r="IX79" s="569">
        <v>0</v>
      </c>
      <c r="IY79" s="569">
        <v>0</v>
      </c>
      <c r="IZ79" s="569">
        <v>0</v>
      </c>
      <c r="JA79" s="1383">
        <f t="shared" si="300"/>
        <v>0</v>
      </c>
      <c r="JB79" s="1324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N79" s="1059">
        <f t="shared" si="303"/>
        <v>0</v>
      </c>
      <c r="JP79" s="1057" t="str">
        <f t="shared" si="304"/>
        <v>-</v>
      </c>
      <c r="JQ79" s="572" t="str">
        <f>IFERROR(((JS79/JR79)-1)*100,"-")</f>
        <v>-</v>
      </c>
      <c r="JR79" s="565">
        <f t="shared" si="305"/>
        <v>0</v>
      </c>
      <c r="JS79" s="565">
        <f t="shared" si="306"/>
        <v>0</v>
      </c>
    </row>
    <row r="80" spans="1:279" ht="13.9" customHeight="1" x14ac:dyDescent="0.2">
      <c r="A80" s="583" t="s">
        <v>352</v>
      </c>
      <c r="CO80" s="584"/>
      <c r="CP80" s="584"/>
      <c r="CQ80" s="584"/>
      <c r="CR80" s="584"/>
      <c r="CS80" s="584"/>
      <c r="CT80" s="584"/>
      <c r="CU80" s="584"/>
      <c r="CV80" s="584"/>
      <c r="CW80" s="584"/>
      <c r="CX80" s="584"/>
      <c r="CY80" s="584"/>
      <c r="CZ80" s="584"/>
      <c r="DA80" s="585"/>
      <c r="DB80" s="584"/>
      <c r="DC80" s="584"/>
      <c r="DD80" s="584"/>
      <c r="DE80" s="584"/>
      <c r="DF80" s="584"/>
      <c r="DG80" s="584"/>
      <c r="DH80" s="584"/>
      <c r="DI80" s="584"/>
      <c r="DJ80" s="584"/>
      <c r="DK80" s="584"/>
      <c r="DL80" s="584"/>
      <c r="DM80" s="586"/>
      <c r="DN80" s="586"/>
      <c r="DO80" s="587"/>
      <c r="DP80" s="584"/>
      <c r="DQ80" s="584"/>
      <c r="DR80" s="584"/>
      <c r="DS80" s="584"/>
      <c r="DT80" s="584"/>
      <c r="DU80" s="584"/>
      <c r="DV80" s="584"/>
      <c r="DW80" s="584"/>
      <c r="DX80" s="584"/>
      <c r="DY80" s="584"/>
      <c r="DZ80" s="584"/>
      <c r="EA80" s="588"/>
      <c r="EB80" s="587"/>
      <c r="EC80" s="584"/>
      <c r="ED80" s="584"/>
      <c r="EE80" s="584"/>
      <c r="EF80" s="584"/>
      <c r="EG80" s="584"/>
      <c r="EH80" s="584"/>
      <c r="EI80" s="584"/>
      <c r="EJ80" s="584"/>
      <c r="EK80" s="584"/>
      <c r="EL80" s="584"/>
      <c r="EM80" s="586"/>
      <c r="EN80" s="584"/>
      <c r="EO80" s="587"/>
      <c r="EP80" s="584"/>
      <c r="EQ80" s="584"/>
      <c r="ER80" s="584"/>
      <c r="ES80" s="584"/>
      <c r="ET80" s="584"/>
      <c r="EU80" s="584"/>
      <c r="EV80" s="584"/>
      <c r="EW80" s="584"/>
      <c r="EX80" s="584"/>
      <c r="EY80" s="584"/>
      <c r="EZ80" s="584"/>
      <c r="FA80" s="588"/>
      <c r="FB80" s="587"/>
      <c r="FC80" s="584"/>
      <c r="FD80" s="584"/>
      <c r="FE80" s="584"/>
      <c r="FF80" s="584"/>
      <c r="FG80" s="584"/>
      <c r="FH80" s="584"/>
      <c r="FI80" s="584"/>
      <c r="FJ80" s="584"/>
      <c r="FK80" s="584"/>
      <c r="FL80" s="584"/>
      <c r="FM80" s="586"/>
      <c r="FN80" s="586"/>
      <c r="FO80" s="584"/>
      <c r="FP80" s="584"/>
      <c r="FQ80" s="584"/>
      <c r="FR80" s="584"/>
      <c r="FS80" s="584"/>
      <c r="FT80" s="584"/>
      <c r="FU80" s="584"/>
      <c r="FV80" s="584"/>
      <c r="FW80" s="584"/>
      <c r="FX80" s="584"/>
      <c r="FY80" s="584"/>
      <c r="FZ80" s="586"/>
      <c r="GA80" s="586"/>
      <c r="GB80" s="584"/>
      <c r="GC80" s="584"/>
      <c r="GD80" s="584"/>
      <c r="GE80" s="584"/>
      <c r="GF80" s="584"/>
      <c r="GG80" s="584"/>
      <c r="GH80" s="584"/>
      <c r="GI80" s="584"/>
      <c r="GJ80" s="584"/>
      <c r="GK80" s="584"/>
      <c r="GL80" s="584"/>
      <c r="GM80" s="584"/>
      <c r="GN80" s="588"/>
      <c r="GO80" s="584"/>
      <c r="GP80" s="584"/>
      <c r="GQ80" s="584"/>
      <c r="GR80" s="584"/>
      <c r="GS80" s="584"/>
      <c r="GT80" s="584"/>
      <c r="GU80" s="584"/>
      <c r="GV80" s="584"/>
      <c r="GW80" s="584"/>
      <c r="GX80" s="584"/>
      <c r="GY80" s="584"/>
      <c r="GZ80" s="586"/>
      <c r="HA80" s="586"/>
      <c r="HB80" s="584"/>
      <c r="HC80" s="584"/>
      <c r="HD80" s="584"/>
      <c r="HE80" s="584"/>
      <c r="HF80" s="584"/>
      <c r="HG80" s="584"/>
      <c r="HH80" s="584"/>
      <c r="HI80" s="584"/>
      <c r="HJ80" s="584"/>
      <c r="HK80" s="584"/>
      <c r="HL80" s="589"/>
      <c r="HM80" s="590"/>
      <c r="HN80" s="590"/>
      <c r="HO80" s="589"/>
      <c r="HP80" s="589"/>
      <c r="HQ80" s="589"/>
      <c r="HR80" s="589"/>
      <c r="HS80" s="589"/>
      <c r="HT80" s="589"/>
      <c r="HU80" s="589"/>
      <c r="HV80" s="589"/>
      <c r="HW80" s="589"/>
      <c r="HX80" s="589"/>
      <c r="HY80" s="589"/>
      <c r="HZ80" s="589"/>
      <c r="IA80" s="591"/>
      <c r="IB80" s="592"/>
      <c r="IC80" s="589"/>
      <c r="ID80" s="589"/>
      <c r="IE80" s="589"/>
      <c r="IF80" s="589"/>
      <c r="IG80" s="589"/>
      <c r="IH80" s="589"/>
      <c r="II80" s="589"/>
      <c r="IJ80" s="589"/>
      <c r="IK80" s="589"/>
      <c r="IL80" s="589"/>
      <c r="IM80" s="589"/>
      <c r="IN80" s="591"/>
      <c r="IO80" s="589"/>
      <c r="IP80" s="589"/>
      <c r="IQ80" s="589"/>
      <c r="IR80" s="589"/>
      <c r="IS80" s="589"/>
      <c r="IT80" s="589"/>
      <c r="IU80" s="589"/>
      <c r="IV80" s="589"/>
      <c r="IW80" s="589"/>
      <c r="IX80" s="589"/>
      <c r="IY80" s="589"/>
      <c r="IZ80" s="589"/>
      <c r="JA80" s="592"/>
      <c r="JB80" s="1331"/>
      <c r="JC80" s="1332"/>
      <c r="JD80" s="1332"/>
      <c r="JE80" s="1332"/>
      <c r="JF80" s="1332"/>
      <c r="JG80" s="1332"/>
      <c r="JH80" s="1332"/>
      <c r="JI80" s="1332"/>
      <c r="JJ80" s="1332"/>
      <c r="JK80" s="1332"/>
      <c r="JL80" s="1332"/>
      <c r="JM80" s="1332"/>
      <c r="JN80" s="1358"/>
      <c r="JP80" s="1058" t="str">
        <f t="shared" si="304"/>
        <v>-</v>
      </c>
      <c r="JQ80" s="593"/>
      <c r="JR80" s="585"/>
      <c r="JS80" s="585"/>
    </row>
    <row r="81" spans="132:191" ht="13.9" customHeight="1" x14ac:dyDescent="0.2">
      <c r="EB81" s="405">
        <f t="shared" ref="EB81:EM81" si="375">EB53-EB14</f>
        <v>0</v>
      </c>
      <c r="EC81" s="405">
        <f t="shared" si="375"/>
        <v>0</v>
      </c>
      <c r="ED81" s="405">
        <f t="shared" si="375"/>
        <v>0</v>
      </c>
      <c r="EE81" s="405">
        <f t="shared" si="375"/>
        <v>0</v>
      </c>
      <c r="EF81" s="405">
        <f t="shared" si="375"/>
        <v>0</v>
      </c>
      <c r="EG81" s="405">
        <f t="shared" si="375"/>
        <v>0</v>
      </c>
      <c r="EH81" s="405">
        <f t="shared" si="375"/>
        <v>0</v>
      </c>
      <c r="EI81" s="405">
        <f t="shared" si="375"/>
        <v>0</v>
      </c>
      <c r="EJ81" s="405">
        <f t="shared" si="375"/>
        <v>0</v>
      </c>
      <c r="EK81" s="405">
        <f t="shared" si="375"/>
        <v>0</v>
      </c>
      <c r="EL81" s="405">
        <f t="shared" si="375"/>
        <v>0</v>
      </c>
      <c r="EM81" s="405">
        <f t="shared" si="375"/>
        <v>0</v>
      </c>
      <c r="EO81" s="406">
        <f t="shared" ref="EO81:EZ81" si="376">EO53-EO14</f>
        <v>0</v>
      </c>
      <c r="EP81" s="406">
        <f t="shared" si="376"/>
        <v>0</v>
      </c>
      <c r="EQ81" s="406">
        <f t="shared" si="376"/>
        <v>0</v>
      </c>
      <c r="ER81" s="406">
        <f t="shared" si="376"/>
        <v>0</v>
      </c>
      <c r="ES81" s="406">
        <f t="shared" si="376"/>
        <v>0</v>
      </c>
      <c r="ET81" s="406">
        <f t="shared" si="376"/>
        <v>0</v>
      </c>
      <c r="EU81" s="406">
        <f t="shared" si="376"/>
        <v>0</v>
      </c>
      <c r="EV81" s="406">
        <f t="shared" si="376"/>
        <v>0</v>
      </c>
      <c r="EW81" s="406">
        <f t="shared" si="376"/>
        <v>0</v>
      </c>
      <c r="EX81" s="406">
        <f t="shared" si="376"/>
        <v>-3</v>
      </c>
      <c r="EY81" s="406">
        <f t="shared" si="376"/>
        <v>1011</v>
      </c>
      <c r="EZ81" s="406">
        <f t="shared" si="376"/>
        <v>-421</v>
      </c>
      <c r="FB81" s="406">
        <f t="shared" ref="FB81:FM81" si="377">FB53-FB14</f>
        <v>0</v>
      </c>
      <c r="FC81" s="406">
        <f t="shared" si="377"/>
        <v>45</v>
      </c>
      <c r="FD81" s="406">
        <f t="shared" si="377"/>
        <v>0</v>
      </c>
      <c r="FE81" s="406">
        <f t="shared" si="377"/>
        <v>0</v>
      </c>
      <c r="FF81" s="406">
        <f t="shared" si="377"/>
        <v>0</v>
      </c>
      <c r="FG81" s="406">
        <f t="shared" si="377"/>
        <v>0</v>
      </c>
      <c r="FH81" s="406">
        <f t="shared" si="377"/>
        <v>0</v>
      </c>
      <c r="FI81" s="406">
        <f t="shared" si="377"/>
        <v>20</v>
      </c>
      <c r="FJ81" s="406">
        <f t="shared" si="377"/>
        <v>0</v>
      </c>
      <c r="FK81" s="406">
        <f t="shared" si="377"/>
        <v>0</v>
      </c>
      <c r="FL81" s="406">
        <f t="shared" si="377"/>
        <v>0</v>
      </c>
      <c r="FM81" s="406">
        <f t="shared" si="377"/>
        <v>-218</v>
      </c>
      <c r="FN81" s="406"/>
      <c r="FO81" s="406">
        <f t="shared" ref="FO81:FZ81" si="378">FO53-FO14</f>
        <v>0</v>
      </c>
      <c r="FP81" s="406">
        <f t="shared" si="378"/>
        <v>0</v>
      </c>
      <c r="FQ81" s="406">
        <f t="shared" si="378"/>
        <v>0</v>
      </c>
      <c r="FR81" s="406">
        <f t="shared" si="378"/>
        <v>0</v>
      </c>
      <c r="FS81" s="406">
        <f t="shared" si="378"/>
        <v>0</v>
      </c>
      <c r="FT81" s="406">
        <f t="shared" si="378"/>
        <v>0</v>
      </c>
      <c r="FU81" s="406">
        <f t="shared" si="378"/>
        <v>0</v>
      </c>
      <c r="FV81" s="406">
        <f t="shared" si="378"/>
        <v>0</v>
      </c>
      <c r="FW81" s="406">
        <f t="shared" si="378"/>
        <v>0</v>
      </c>
      <c r="FX81" s="406">
        <f t="shared" si="378"/>
        <v>0</v>
      </c>
      <c r="FY81" s="406">
        <f t="shared" si="378"/>
        <v>-1</v>
      </c>
      <c r="FZ81" s="406">
        <f t="shared" si="378"/>
        <v>0</v>
      </c>
      <c r="GA81" s="406"/>
      <c r="GB81" s="406">
        <f>GB53-GB14</f>
        <v>0</v>
      </c>
      <c r="GC81" s="406">
        <f>GC53-GC14</f>
        <v>0</v>
      </c>
      <c r="GD81" s="406"/>
      <c r="GE81" s="406"/>
      <c r="GF81" s="406"/>
      <c r="GG81" s="406"/>
      <c r="GH81" s="406"/>
      <c r="GI81" s="406"/>
    </row>
  </sheetData>
  <mergeCells count="3">
    <mergeCell ref="JB4:JM4"/>
    <mergeCell ref="JP4:JQ4"/>
    <mergeCell ref="JB36:JM36"/>
  </mergeCells>
  <printOptions horizontalCentered="1" verticalCentered="1"/>
  <pageMargins left="0.75" right="0.75" top="1" bottom="1" header="0" footer="0"/>
  <pageSetup paperSize="9" scale="1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11C7F-C2A2-4F49-A778-B0FA17D40438}">
  <sheetPr>
    <tabColor theme="7" tint="0.59999389629810485"/>
  </sheetPr>
  <dimension ref="A1:IU117"/>
  <sheetViews>
    <sheetView showGridLines="0" view="pageBreakPreview" zoomScale="80" zoomScaleNormal="80" zoomScaleSheetLayoutView="80" workbookViewId="0">
      <pane xSplit="1" topLeftCell="HO1" activePane="topRight" state="frozen"/>
      <selection activeCell="IB59" sqref="IB59:JB59"/>
      <selection pane="topRight" activeCell="II15" sqref="II15"/>
    </sheetView>
  </sheetViews>
  <sheetFormatPr baseColWidth="10" defaultColWidth="10.7109375" defaultRowHeight="15" customHeight="1" x14ac:dyDescent="0.2"/>
  <cols>
    <col min="1" max="1" width="26.7109375" style="317" customWidth="1"/>
    <col min="2" max="234" width="10.7109375" style="317"/>
    <col min="235" max="235" width="11.7109375" style="317" customWidth="1"/>
    <col min="236" max="236" width="10" customWidth="1"/>
    <col min="237" max="237" width="9.42578125" customWidth="1"/>
    <col min="238" max="238" width="9.28515625" customWidth="1"/>
    <col min="239" max="239" width="8.85546875" customWidth="1"/>
    <col min="240" max="240" width="10" customWidth="1"/>
    <col min="241" max="241" width="9.28515625" customWidth="1"/>
    <col min="242" max="242" width="9.140625" customWidth="1"/>
    <col min="243" max="243" width="10" customWidth="1"/>
    <col min="244" max="244" width="9.140625" customWidth="1"/>
    <col min="245" max="245" width="9.5703125" customWidth="1"/>
    <col min="246" max="246" width="9.42578125" customWidth="1"/>
    <col min="247" max="247" width="9.28515625" customWidth="1"/>
    <col min="248" max="248" width="10.28515625" bestFit="1" customWidth="1"/>
    <col min="249" max="249" width="5.140625" customWidth="1"/>
    <col min="250" max="250" width="10" style="317" bestFit="1" customWidth="1"/>
    <col min="251" max="251" width="11.140625" style="317" customWidth="1"/>
    <col min="252" max="252" width="12.7109375" style="317" bestFit="1" customWidth="1"/>
    <col min="253" max="253" width="12.5703125" style="317" bestFit="1" customWidth="1"/>
    <col min="254" max="254" width="5" style="317" customWidth="1"/>
    <col min="255" max="255" width="11.5703125" style="317" bestFit="1" customWidth="1"/>
    <col min="256" max="16384" width="10.7109375" style="317"/>
  </cols>
  <sheetData>
    <row r="1" spans="1:255" ht="15" customHeight="1" x14ac:dyDescent="0.2">
      <c r="A1" s="1524" t="s">
        <v>313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6"/>
      <c r="AC1" s="316"/>
      <c r="AD1" s="316"/>
      <c r="AE1" s="316"/>
      <c r="AF1" s="316"/>
      <c r="AG1" s="316"/>
      <c r="AH1" s="316"/>
      <c r="AI1" s="316"/>
      <c r="AJ1" s="316"/>
      <c r="AK1" s="316"/>
      <c r="AL1" s="316"/>
      <c r="AM1" s="316"/>
      <c r="AN1" s="316"/>
      <c r="AO1" s="316"/>
      <c r="AP1" s="316"/>
      <c r="AQ1" s="316"/>
      <c r="AR1" s="316"/>
      <c r="AS1" s="316"/>
      <c r="AT1" s="316"/>
      <c r="AU1" s="316"/>
      <c r="AV1" s="316"/>
      <c r="AW1" s="316"/>
      <c r="AX1" s="316"/>
      <c r="AY1" s="316"/>
      <c r="AZ1" s="316"/>
      <c r="BA1" s="316"/>
      <c r="BB1" s="316"/>
      <c r="BC1" s="316"/>
      <c r="BD1" s="316"/>
      <c r="BE1" s="316"/>
      <c r="BF1" s="316"/>
      <c r="BG1" s="316"/>
      <c r="BH1" s="316"/>
      <c r="BI1" s="316"/>
      <c r="BJ1" s="316"/>
      <c r="BK1" s="316"/>
      <c r="BL1" s="316"/>
      <c r="BM1" s="316"/>
      <c r="BN1" s="316"/>
      <c r="BO1" s="316"/>
      <c r="BP1" s="316"/>
      <c r="BQ1" s="316"/>
      <c r="BR1" s="316"/>
      <c r="BS1" s="316"/>
      <c r="BT1" s="316"/>
      <c r="BU1" s="316"/>
      <c r="BV1" s="316"/>
      <c r="BW1" s="316"/>
      <c r="BX1" s="316"/>
      <c r="BY1" s="316"/>
      <c r="BZ1" s="316"/>
      <c r="CA1" s="316"/>
      <c r="CB1" s="316"/>
      <c r="CC1" s="316"/>
      <c r="CD1" s="316"/>
      <c r="CE1" s="316"/>
      <c r="CF1" s="316"/>
      <c r="CG1" s="316"/>
      <c r="CH1" s="316"/>
      <c r="CI1" s="316"/>
      <c r="CJ1" s="316"/>
      <c r="CK1" s="316"/>
      <c r="CL1" s="316"/>
      <c r="CM1" s="316"/>
      <c r="CN1" s="316"/>
      <c r="CO1" s="316"/>
      <c r="CP1" s="316"/>
      <c r="CQ1" s="316"/>
      <c r="CR1" s="316"/>
      <c r="CS1" s="316"/>
      <c r="CT1" s="316"/>
      <c r="CU1" s="316"/>
      <c r="CV1" s="316"/>
      <c r="CW1" s="316"/>
      <c r="CX1" s="316"/>
      <c r="CY1" s="316"/>
      <c r="CZ1" s="316"/>
      <c r="DA1" s="316"/>
      <c r="DB1" s="316"/>
      <c r="DC1" s="316"/>
      <c r="DD1" s="316"/>
      <c r="DE1" s="316"/>
      <c r="DF1" s="316"/>
      <c r="DG1" s="316"/>
      <c r="DH1" s="316"/>
      <c r="DI1" s="316"/>
      <c r="DJ1" s="316"/>
      <c r="DK1" s="316"/>
      <c r="DL1" s="316"/>
      <c r="DM1" s="316"/>
      <c r="DN1" s="316"/>
      <c r="DO1" s="316"/>
      <c r="DP1" s="316"/>
      <c r="DQ1" s="316"/>
      <c r="DR1" s="316"/>
      <c r="DS1" s="316"/>
      <c r="DT1" s="316"/>
      <c r="DU1" s="316"/>
      <c r="DV1" s="316"/>
      <c r="DW1" s="316"/>
      <c r="DX1" s="316"/>
      <c r="DY1" s="316"/>
      <c r="DZ1" s="316"/>
      <c r="EA1" s="316"/>
      <c r="EB1" s="316"/>
      <c r="EC1" s="316"/>
      <c r="ED1" s="316"/>
      <c r="EE1" s="316"/>
      <c r="EF1" s="316"/>
      <c r="EG1" s="316"/>
      <c r="EH1" s="316"/>
      <c r="EI1" s="316"/>
      <c r="EJ1" s="316"/>
      <c r="IB1" s="120"/>
      <c r="IC1" s="120"/>
      <c r="ID1" s="120"/>
      <c r="IE1" s="120"/>
      <c r="IF1" s="120"/>
      <c r="IG1" s="120"/>
      <c r="IH1" s="120"/>
      <c r="II1" s="120"/>
      <c r="IJ1" s="120"/>
      <c r="IK1" s="120"/>
      <c r="IL1" s="120"/>
      <c r="IM1" s="120"/>
      <c r="IN1" s="120"/>
      <c r="IO1" s="120"/>
    </row>
    <row r="2" spans="1:255" ht="15" customHeight="1" x14ac:dyDescent="0.2">
      <c r="A2" s="1524" t="s">
        <v>623</v>
      </c>
      <c r="B2" s="318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9"/>
      <c r="BN2" s="319"/>
      <c r="BO2" s="319"/>
      <c r="BP2" s="319"/>
      <c r="BQ2" s="319"/>
      <c r="BR2" s="319"/>
      <c r="BS2" s="319"/>
      <c r="BT2" s="319"/>
      <c r="BU2" s="319"/>
      <c r="BV2" s="319"/>
      <c r="BW2" s="319"/>
      <c r="BX2" s="319"/>
      <c r="BY2" s="319"/>
      <c r="BZ2" s="319"/>
      <c r="CA2" s="319"/>
      <c r="CB2" s="319"/>
      <c r="CC2" s="319"/>
      <c r="CD2" s="319"/>
      <c r="CE2" s="319"/>
      <c r="CF2" s="319"/>
      <c r="CG2" s="319"/>
      <c r="CH2" s="319"/>
      <c r="CI2" s="319"/>
      <c r="CJ2" s="319"/>
      <c r="CK2" s="319"/>
      <c r="CL2" s="319"/>
      <c r="CM2" s="319"/>
      <c r="CN2" s="319"/>
      <c r="CO2" s="319"/>
      <c r="CP2" s="319"/>
      <c r="CQ2" s="319"/>
      <c r="CR2" s="319"/>
      <c r="CS2" s="319"/>
      <c r="CT2" s="319"/>
      <c r="CU2" s="319"/>
      <c r="CV2" s="319"/>
      <c r="CW2" s="319"/>
      <c r="CX2" s="319"/>
      <c r="CY2" s="319"/>
      <c r="CZ2" s="319"/>
      <c r="DA2" s="319"/>
      <c r="DB2" s="319"/>
      <c r="DC2" s="319"/>
      <c r="DD2" s="319"/>
      <c r="DE2" s="319"/>
      <c r="DF2" s="319"/>
      <c r="DG2" s="319"/>
      <c r="DH2" s="319"/>
      <c r="DI2" s="319"/>
      <c r="DJ2" s="319"/>
      <c r="DK2" s="319"/>
      <c r="DL2" s="319"/>
      <c r="DM2" s="319"/>
      <c r="DN2" s="319"/>
      <c r="DO2" s="319"/>
      <c r="DP2" s="319"/>
      <c r="DQ2" s="319"/>
      <c r="DR2" s="319"/>
      <c r="DS2" s="319"/>
      <c r="DT2" s="319"/>
      <c r="DU2" s="319"/>
      <c r="DV2" s="319"/>
      <c r="DW2" s="319"/>
      <c r="DX2" s="319"/>
      <c r="DY2" s="319"/>
      <c r="DZ2" s="319"/>
      <c r="EA2" s="319"/>
      <c r="EB2" s="319"/>
      <c r="EC2" s="319"/>
      <c r="ED2" s="319"/>
      <c r="EE2" s="319"/>
      <c r="EF2" s="319"/>
      <c r="EG2" s="319"/>
      <c r="EH2" s="319"/>
      <c r="EI2" s="319"/>
      <c r="EJ2" s="319"/>
      <c r="EK2" s="320"/>
      <c r="EL2" s="320"/>
      <c r="EM2" s="320"/>
      <c r="EN2" s="320"/>
      <c r="EO2" s="320"/>
      <c r="EP2" s="320"/>
      <c r="EQ2" s="320"/>
      <c r="ER2" s="320"/>
      <c r="ES2" s="320"/>
      <c r="ET2" s="320"/>
      <c r="EU2" s="320"/>
      <c r="EV2" s="320"/>
      <c r="EW2" s="320"/>
      <c r="EX2" s="320"/>
      <c r="EY2" s="320"/>
      <c r="EZ2" s="320"/>
      <c r="FA2" s="320"/>
      <c r="FB2" s="320"/>
      <c r="FC2" s="320"/>
      <c r="FD2" s="320"/>
      <c r="FE2" s="320"/>
      <c r="FF2" s="320"/>
      <c r="FG2" s="320"/>
      <c r="FH2" s="320"/>
      <c r="FI2" s="320"/>
      <c r="GB2" s="321"/>
      <c r="GC2" s="321"/>
      <c r="GD2" s="321"/>
      <c r="GE2" s="321"/>
      <c r="GF2" s="321"/>
      <c r="GG2" s="321"/>
      <c r="GH2" s="321"/>
      <c r="GI2" s="321"/>
      <c r="GJ2" s="321"/>
      <c r="GK2" s="321"/>
      <c r="GL2" s="321"/>
      <c r="GM2" s="321"/>
      <c r="GN2" s="321"/>
      <c r="GO2" s="321"/>
      <c r="GP2" s="321"/>
      <c r="GQ2" s="321"/>
      <c r="GR2" s="321"/>
      <c r="GS2" s="321"/>
      <c r="GT2" s="321"/>
      <c r="GU2" s="321"/>
      <c r="GV2" s="321"/>
      <c r="GW2" s="321"/>
      <c r="GX2" s="321"/>
      <c r="GY2" s="321"/>
      <c r="GZ2" s="321"/>
      <c r="HA2" s="321"/>
      <c r="HB2" s="321"/>
      <c r="HC2" s="321"/>
      <c r="HD2" s="321"/>
      <c r="HE2" s="321"/>
      <c r="HF2" s="321"/>
      <c r="HG2" s="321"/>
      <c r="HH2" s="321"/>
      <c r="HI2" s="321"/>
      <c r="HJ2" s="321"/>
      <c r="HK2" s="321"/>
      <c r="HL2" s="321"/>
      <c r="HM2" s="321"/>
      <c r="HN2" s="321"/>
      <c r="HO2" s="321"/>
      <c r="HP2" s="321"/>
      <c r="HQ2" s="321"/>
      <c r="HR2" s="321"/>
      <c r="HS2" s="321"/>
      <c r="HT2" s="321"/>
      <c r="HU2" s="321"/>
      <c r="HV2" s="321"/>
      <c r="HW2" s="321"/>
      <c r="HX2" s="321"/>
      <c r="HY2" s="321"/>
      <c r="HZ2" s="321"/>
      <c r="IA2" s="321"/>
      <c r="IB2" s="120"/>
      <c r="IC2" s="120"/>
      <c r="ID2" s="120"/>
      <c r="IE2" s="120"/>
      <c r="IF2" s="120"/>
      <c r="IG2" s="120"/>
      <c r="IH2" s="120"/>
      <c r="II2" s="120"/>
      <c r="IJ2" s="120"/>
      <c r="IK2" s="120"/>
      <c r="IL2" s="120"/>
      <c r="IM2" s="120"/>
      <c r="IN2" s="120"/>
      <c r="IO2" s="120"/>
    </row>
    <row r="3" spans="1:255" ht="15" customHeight="1" x14ac:dyDescent="0.2">
      <c r="A3" s="1550" t="s">
        <v>618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6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  <c r="AX3" s="316"/>
      <c r="AY3" s="316"/>
      <c r="AZ3" s="316"/>
      <c r="BA3" s="316"/>
      <c r="BB3" s="316"/>
      <c r="BC3" s="316"/>
      <c r="BD3" s="316"/>
      <c r="BE3" s="316"/>
      <c r="BF3" s="316"/>
      <c r="BG3" s="316"/>
      <c r="BH3" s="316"/>
      <c r="BI3" s="316"/>
      <c r="BJ3" s="316"/>
      <c r="BK3" s="316"/>
      <c r="BL3" s="316"/>
      <c r="BM3" s="316"/>
      <c r="BN3" s="316"/>
      <c r="BO3" s="316"/>
      <c r="BP3" s="316"/>
      <c r="BQ3" s="316"/>
      <c r="BR3" s="316"/>
      <c r="BS3" s="316"/>
      <c r="BT3" s="316"/>
      <c r="BU3" s="316"/>
      <c r="BV3" s="316"/>
      <c r="BW3" s="316"/>
      <c r="BX3" s="316"/>
      <c r="BY3" s="316"/>
      <c r="BZ3" s="316"/>
      <c r="CA3" s="316"/>
      <c r="CB3" s="316"/>
      <c r="CC3" s="316"/>
      <c r="CD3" s="316"/>
      <c r="CE3" s="316"/>
      <c r="CF3" s="316"/>
      <c r="CG3" s="316"/>
      <c r="CH3" s="316"/>
      <c r="CI3" s="316"/>
      <c r="CJ3" s="316"/>
      <c r="CK3" s="316"/>
      <c r="CL3" s="316"/>
      <c r="CM3" s="316"/>
      <c r="CN3" s="316"/>
      <c r="CO3" s="316"/>
      <c r="CP3" s="316"/>
      <c r="CQ3" s="316"/>
      <c r="CR3" s="316"/>
      <c r="CS3" s="316"/>
      <c r="CT3" s="316"/>
      <c r="CU3" s="316"/>
      <c r="CV3" s="316"/>
      <c r="CW3" s="316"/>
      <c r="CX3" s="316"/>
      <c r="CY3" s="316"/>
      <c r="CZ3" s="316"/>
      <c r="DA3" s="316"/>
      <c r="DB3" s="316"/>
      <c r="DC3" s="316"/>
      <c r="DD3" s="316"/>
      <c r="DE3" s="316"/>
      <c r="DF3" s="316"/>
      <c r="DG3" s="316"/>
      <c r="DH3" s="316"/>
      <c r="DI3" s="316"/>
      <c r="DJ3" s="316"/>
      <c r="DK3" s="316"/>
      <c r="DL3" s="316"/>
      <c r="DM3" s="316"/>
      <c r="DN3" s="316"/>
      <c r="DO3" s="316"/>
      <c r="DP3" s="316"/>
      <c r="DQ3" s="316"/>
      <c r="DR3" s="316"/>
      <c r="DS3" s="316"/>
      <c r="DT3" s="316"/>
      <c r="DU3" s="316"/>
      <c r="DV3" s="316"/>
      <c r="DW3" s="316"/>
      <c r="DX3" s="316"/>
      <c r="DY3" s="316"/>
      <c r="DZ3" s="316"/>
      <c r="EA3" s="316"/>
      <c r="EB3" s="316"/>
      <c r="EC3" s="316"/>
      <c r="ED3" s="316"/>
      <c r="EE3" s="316"/>
      <c r="EF3" s="316"/>
      <c r="EG3" s="316"/>
      <c r="EH3" s="316"/>
      <c r="EI3" s="316"/>
      <c r="EJ3" s="316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</row>
    <row r="4" spans="1:255" s="1530" customFormat="1" ht="15" customHeight="1" x14ac:dyDescent="0.2">
      <c r="A4" s="1525"/>
      <c r="B4" s="1526">
        <f>YEAR(B5)</f>
        <v>2008</v>
      </c>
      <c r="C4" s="1527"/>
      <c r="D4" s="1527"/>
      <c r="E4" s="1527"/>
      <c r="F4" s="1527"/>
      <c r="G4" s="1527"/>
      <c r="H4" s="1527"/>
      <c r="I4" s="1527"/>
      <c r="J4" s="1527"/>
      <c r="K4" s="1527"/>
      <c r="L4" s="1527"/>
      <c r="M4" s="1527"/>
      <c r="N4" s="1528" t="s">
        <v>29</v>
      </c>
      <c r="O4" s="1526">
        <f>YEAR(O5)</f>
        <v>2009</v>
      </c>
      <c r="P4" s="1527"/>
      <c r="Q4" s="1527"/>
      <c r="R4" s="1527"/>
      <c r="S4" s="1527"/>
      <c r="T4" s="1527"/>
      <c r="U4" s="1527"/>
      <c r="V4" s="1527"/>
      <c r="W4" s="1527"/>
      <c r="X4" s="1527"/>
      <c r="Y4" s="1527"/>
      <c r="Z4" s="1527"/>
      <c r="AA4" s="1528" t="s">
        <v>29</v>
      </c>
      <c r="AB4" s="1526">
        <f>YEAR(AB5)</f>
        <v>2010</v>
      </c>
      <c r="AC4" s="1527"/>
      <c r="AD4" s="1527"/>
      <c r="AE4" s="1527"/>
      <c r="AF4" s="1527"/>
      <c r="AG4" s="1527"/>
      <c r="AH4" s="1527"/>
      <c r="AI4" s="1527"/>
      <c r="AJ4" s="1527"/>
      <c r="AK4" s="1527"/>
      <c r="AL4" s="1527"/>
      <c r="AM4" s="1527"/>
      <c r="AN4" s="1528" t="s">
        <v>29</v>
      </c>
      <c r="AO4" s="1526">
        <f>YEAR(AO5)</f>
        <v>2011</v>
      </c>
      <c r="AP4" s="1527"/>
      <c r="AQ4" s="1527"/>
      <c r="AR4" s="1527"/>
      <c r="AS4" s="1527"/>
      <c r="AT4" s="1527"/>
      <c r="AU4" s="1527"/>
      <c r="AV4" s="1527"/>
      <c r="AW4" s="1527"/>
      <c r="AX4" s="1527"/>
      <c r="AY4" s="1527"/>
      <c r="AZ4" s="1527"/>
      <c r="BA4" s="1528" t="s">
        <v>29</v>
      </c>
      <c r="BB4" s="1526">
        <f>YEAR(BB5)</f>
        <v>2012</v>
      </c>
      <c r="BC4" s="1527"/>
      <c r="BD4" s="1527"/>
      <c r="BE4" s="1527"/>
      <c r="BF4" s="1527"/>
      <c r="BG4" s="1527"/>
      <c r="BH4" s="1527"/>
      <c r="BI4" s="1527"/>
      <c r="BJ4" s="1527"/>
      <c r="BK4" s="1527"/>
      <c r="BL4" s="1527"/>
      <c r="BM4" s="1527"/>
      <c r="BN4" s="1528" t="s">
        <v>29</v>
      </c>
      <c r="BO4" s="1526">
        <f>YEAR(BO5)</f>
        <v>2013</v>
      </c>
      <c r="BP4" s="1527"/>
      <c r="BQ4" s="1527"/>
      <c r="BR4" s="1527"/>
      <c r="BS4" s="1527"/>
      <c r="BT4" s="1527"/>
      <c r="BU4" s="1527"/>
      <c r="BV4" s="1527"/>
      <c r="BW4" s="1527"/>
      <c r="BX4" s="1527"/>
      <c r="BY4" s="1527"/>
      <c r="BZ4" s="1527"/>
      <c r="CA4" s="1528" t="s">
        <v>29</v>
      </c>
      <c r="CB4" s="1526">
        <f>YEAR(CB5)</f>
        <v>2014</v>
      </c>
      <c r="CC4" s="1527"/>
      <c r="CD4" s="1527"/>
      <c r="CE4" s="1527"/>
      <c r="CF4" s="1527"/>
      <c r="CG4" s="1527"/>
      <c r="CH4" s="1527"/>
      <c r="CI4" s="1527"/>
      <c r="CJ4" s="1527"/>
      <c r="CK4" s="1527"/>
      <c r="CL4" s="1527"/>
      <c r="CM4" s="1527"/>
      <c r="CN4" s="1528" t="s">
        <v>29</v>
      </c>
      <c r="CO4" s="1526">
        <f>YEAR(CO5)</f>
        <v>2015</v>
      </c>
      <c r="CP4" s="1527"/>
      <c r="CQ4" s="1527"/>
      <c r="CR4" s="1527"/>
      <c r="CS4" s="1527"/>
      <c r="CT4" s="1527"/>
      <c r="CU4" s="1527"/>
      <c r="CV4" s="1527"/>
      <c r="CW4" s="1527"/>
      <c r="CX4" s="1527"/>
      <c r="CY4" s="1527"/>
      <c r="CZ4" s="1527"/>
      <c r="DA4" s="1528" t="s">
        <v>29</v>
      </c>
      <c r="DB4" s="1526">
        <f>YEAR(DB5)</f>
        <v>2016</v>
      </c>
      <c r="DC4" s="1527"/>
      <c r="DD4" s="1527"/>
      <c r="DE4" s="1527"/>
      <c r="DF4" s="1527"/>
      <c r="DG4" s="1527"/>
      <c r="DH4" s="1527"/>
      <c r="DI4" s="1527"/>
      <c r="DJ4" s="1527"/>
      <c r="DK4" s="1527"/>
      <c r="DL4" s="1527"/>
      <c r="DM4" s="1527"/>
      <c r="DN4" s="1528" t="s">
        <v>29</v>
      </c>
      <c r="DO4" s="1526">
        <f>YEAR(DO5)</f>
        <v>2017</v>
      </c>
      <c r="DP4" s="1527"/>
      <c r="DQ4" s="1527"/>
      <c r="DR4" s="1527"/>
      <c r="DS4" s="1527"/>
      <c r="DT4" s="1527"/>
      <c r="DU4" s="1527"/>
      <c r="DV4" s="1527"/>
      <c r="DW4" s="1527"/>
      <c r="DX4" s="1527"/>
      <c r="DY4" s="1527"/>
      <c r="DZ4" s="1527"/>
      <c r="EA4" s="1528" t="s">
        <v>29</v>
      </c>
      <c r="EB4" s="1526">
        <f>YEAR(EB5)</f>
        <v>2018</v>
      </c>
      <c r="EC4" s="1527"/>
      <c r="ED4" s="1527"/>
      <c r="EE4" s="1527"/>
      <c r="EF4" s="1527"/>
      <c r="EG4" s="1527"/>
      <c r="EH4" s="1527"/>
      <c r="EI4" s="1527"/>
      <c r="EJ4" s="1527"/>
      <c r="EK4" s="1527"/>
      <c r="EL4" s="1527"/>
      <c r="EM4" s="1527"/>
      <c r="EN4" s="1528" t="s">
        <v>29</v>
      </c>
      <c r="EO4" s="1526">
        <f>YEAR(EO5)</f>
        <v>2019</v>
      </c>
      <c r="EP4" s="1527"/>
      <c r="EQ4" s="1527"/>
      <c r="ER4" s="1527"/>
      <c r="ES4" s="1527"/>
      <c r="ET4" s="1527"/>
      <c r="EU4" s="1527"/>
      <c r="EV4" s="1527"/>
      <c r="EW4" s="1527"/>
      <c r="EX4" s="1527"/>
      <c r="EY4" s="1527"/>
      <c r="EZ4" s="1527"/>
      <c r="FA4" s="1528" t="s">
        <v>29</v>
      </c>
      <c r="FB4" s="1526">
        <f>YEAR(FB5)</f>
        <v>2020</v>
      </c>
      <c r="FC4" s="1527"/>
      <c r="FD4" s="1527"/>
      <c r="FE4" s="1527"/>
      <c r="FF4" s="1527"/>
      <c r="FG4" s="1527"/>
      <c r="FH4" s="1527"/>
      <c r="FI4" s="1527"/>
      <c r="FJ4" s="1527"/>
      <c r="FK4" s="1527"/>
      <c r="FL4" s="1527"/>
      <c r="FM4" s="1527"/>
      <c r="FN4" s="1528" t="s">
        <v>29</v>
      </c>
      <c r="FO4" s="1526">
        <f>YEAR(FO5)</f>
        <v>2021</v>
      </c>
      <c r="FP4" s="1527"/>
      <c r="FQ4" s="1527"/>
      <c r="FR4" s="1527"/>
      <c r="FS4" s="1527"/>
      <c r="FT4" s="1527"/>
      <c r="FU4" s="1527"/>
      <c r="FV4" s="1527"/>
      <c r="FW4" s="1527"/>
      <c r="FX4" s="1527"/>
      <c r="FY4" s="1527"/>
      <c r="FZ4" s="1527"/>
      <c r="GA4" s="1528" t="s">
        <v>29</v>
      </c>
      <c r="GB4" s="1526">
        <f>YEAR(GB5)</f>
        <v>2022</v>
      </c>
      <c r="GC4" s="1527"/>
      <c r="GD4" s="1527"/>
      <c r="GE4" s="1527"/>
      <c r="GF4" s="1527"/>
      <c r="GG4" s="1527"/>
      <c r="GH4" s="1527"/>
      <c r="GI4" s="1527"/>
      <c r="GJ4" s="1527"/>
      <c r="GK4" s="1527"/>
      <c r="GL4" s="1527"/>
      <c r="GM4" s="1527"/>
      <c r="GN4" s="1528" t="s">
        <v>29</v>
      </c>
      <c r="GO4" s="1526">
        <f>YEAR(GO5)</f>
        <v>2023</v>
      </c>
      <c r="GP4" s="1527"/>
      <c r="GQ4" s="1527"/>
      <c r="GR4" s="1527"/>
      <c r="GS4" s="1527"/>
      <c r="GT4" s="1527"/>
      <c r="GU4" s="1527"/>
      <c r="GV4" s="1527"/>
      <c r="GW4" s="1527"/>
      <c r="GX4" s="1527"/>
      <c r="GY4" s="1527"/>
      <c r="GZ4" s="1527"/>
      <c r="HA4" s="1528" t="s">
        <v>29</v>
      </c>
      <c r="HB4" s="1526">
        <f>YEAR(HB5)</f>
        <v>2024</v>
      </c>
      <c r="HC4" s="1527"/>
      <c r="HD4" s="1527"/>
      <c r="HE4" s="1527"/>
      <c r="HF4" s="1527"/>
      <c r="HG4" s="1527"/>
      <c r="HH4" s="1527"/>
      <c r="HI4" s="1527"/>
      <c r="HJ4" s="1527"/>
      <c r="HK4" s="1527"/>
      <c r="HL4" s="1527"/>
      <c r="HM4" s="1527"/>
      <c r="HN4" s="1528" t="s">
        <v>29</v>
      </c>
      <c r="HO4" s="1526">
        <f>YEAR(HO5)</f>
        <v>2025</v>
      </c>
      <c r="HP4" s="1527"/>
      <c r="HQ4" s="1527"/>
      <c r="HR4" s="1527"/>
      <c r="HS4" s="1527"/>
      <c r="HT4" s="1527"/>
      <c r="HU4" s="1527"/>
      <c r="HV4" s="1527"/>
      <c r="HW4" s="1527"/>
      <c r="HX4" s="1527"/>
      <c r="HY4" s="1527"/>
      <c r="HZ4" s="1527"/>
      <c r="IA4" s="1529" t="s">
        <v>29</v>
      </c>
      <c r="IB4" s="1526">
        <f>YEAR(IB5)</f>
        <v>2026</v>
      </c>
      <c r="IC4" s="1527"/>
      <c r="ID4" s="1527"/>
      <c r="IE4" s="1527"/>
      <c r="IF4" s="1527"/>
      <c r="IG4" s="1527"/>
      <c r="IH4" s="1527"/>
      <c r="II4" s="1420"/>
      <c r="IJ4" s="1527"/>
      <c r="IK4" s="1527"/>
      <c r="IL4" s="1527"/>
      <c r="IM4" s="1527"/>
      <c r="IN4" s="1533" t="s">
        <v>29</v>
      </c>
      <c r="IO4" s="1422"/>
      <c r="IP4" s="1692" t="str">
        <f>CONCATENATE("Var.% ",IS4,"/",IS4-1)</f>
        <v>Var.% 2026/2025</v>
      </c>
      <c r="IQ4" s="1693"/>
      <c r="IR4" s="1534">
        <f>IS4-1</f>
        <v>2025</v>
      </c>
      <c r="IS4" s="1534">
        <f>YEAR(IP5)</f>
        <v>2026</v>
      </c>
    </row>
    <row r="5" spans="1:255" s="1530" customFormat="1" ht="15" customHeight="1" x14ac:dyDescent="0.2">
      <c r="A5" s="1531"/>
      <c r="B5" s="1429">
        <v>39448</v>
      </c>
      <c r="C5" s="1430">
        <v>39479</v>
      </c>
      <c r="D5" s="1430">
        <v>39508</v>
      </c>
      <c r="E5" s="1430">
        <v>39539</v>
      </c>
      <c r="F5" s="1430">
        <v>39569</v>
      </c>
      <c r="G5" s="1430">
        <v>39600</v>
      </c>
      <c r="H5" s="1430">
        <v>39630</v>
      </c>
      <c r="I5" s="1430">
        <v>39661</v>
      </c>
      <c r="J5" s="1430">
        <v>39692</v>
      </c>
      <c r="K5" s="1430">
        <v>39722</v>
      </c>
      <c r="L5" s="1430">
        <v>39753</v>
      </c>
      <c r="M5" s="1430">
        <v>39783</v>
      </c>
      <c r="N5" s="1432">
        <f>YEAR(M5)</f>
        <v>2008</v>
      </c>
      <c r="O5" s="1429">
        <v>39814</v>
      </c>
      <c r="P5" s="1430">
        <v>39845</v>
      </c>
      <c r="Q5" s="1430">
        <v>39873</v>
      </c>
      <c r="R5" s="1430">
        <v>39904</v>
      </c>
      <c r="S5" s="1430">
        <v>39934</v>
      </c>
      <c r="T5" s="1430">
        <v>39965</v>
      </c>
      <c r="U5" s="1430">
        <v>39995</v>
      </c>
      <c r="V5" s="1430">
        <v>40026</v>
      </c>
      <c r="W5" s="1430">
        <v>40057</v>
      </c>
      <c r="X5" s="1430">
        <v>40087</v>
      </c>
      <c r="Y5" s="1430">
        <v>40118</v>
      </c>
      <c r="Z5" s="1430">
        <v>40148</v>
      </c>
      <c r="AA5" s="1432">
        <f>YEAR(Z5)</f>
        <v>2009</v>
      </c>
      <c r="AB5" s="1429">
        <v>40179</v>
      </c>
      <c r="AC5" s="1430">
        <v>40210</v>
      </c>
      <c r="AD5" s="1430">
        <v>40238</v>
      </c>
      <c r="AE5" s="1430">
        <v>40269</v>
      </c>
      <c r="AF5" s="1430">
        <v>40299</v>
      </c>
      <c r="AG5" s="1430">
        <v>40330</v>
      </c>
      <c r="AH5" s="1430">
        <v>40360</v>
      </c>
      <c r="AI5" s="1430">
        <v>40391</v>
      </c>
      <c r="AJ5" s="1430">
        <v>40422</v>
      </c>
      <c r="AK5" s="1430">
        <v>40452</v>
      </c>
      <c r="AL5" s="1430">
        <v>40483</v>
      </c>
      <c r="AM5" s="1430">
        <v>40513</v>
      </c>
      <c r="AN5" s="1432">
        <f>YEAR(AM5)</f>
        <v>2010</v>
      </c>
      <c r="AO5" s="1429">
        <v>40544</v>
      </c>
      <c r="AP5" s="1430">
        <v>40575</v>
      </c>
      <c r="AQ5" s="1430">
        <v>40603</v>
      </c>
      <c r="AR5" s="1430">
        <v>40634</v>
      </c>
      <c r="AS5" s="1430">
        <v>40664</v>
      </c>
      <c r="AT5" s="1430">
        <v>40695</v>
      </c>
      <c r="AU5" s="1430">
        <v>40725</v>
      </c>
      <c r="AV5" s="1430">
        <v>40756</v>
      </c>
      <c r="AW5" s="1430">
        <v>40787</v>
      </c>
      <c r="AX5" s="1430">
        <v>40817</v>
      </c>
      <c r="AY5" s="1430">
        <v>40848</v>
      </c>
      <c r="AZ5" s="1430">
        <v>40878</v>
      </c>
      <c r="BA5" s="1432">
        <f>YEAR(AZ5)</f>
        <v>2011</v>
      </c>
      <c r="BB5" s="1429">
        <v>40909</v>
      </c>
      <c r="BC5" s="1430">
        <v>40940</v>
      </c>
      <c r="BD5" s="1430">
        <v>40969</v>
      </c>
      <c r="BE5" s="1430">
        <v>41000</v>
      </c>
      <c r="BF5" s="1430">
        <v>41030</v>
      </c>
      <c r="BG5" s="1430">
        <v>41061</v>
      </c>
      <c r="BH5" s="1430">
        <v>41091</v>
      </c>
      <c r="BI5" s="1430">
        <v>41122</v>
      </c>
      <c r="BJ5" s="1430">
        <v>41153</v>
      </c>
      <c r="BK5" s="1430">
        <v>41183</v>
      </c>
      <c r="BL5" s="1430">
        <v>41214</v>
      </c>
      <c r="BM5" s="1430">
        <v>41244</v>
      </c>
      <c r="BN5" s="1432">
        <f>YEAR(BM5)</f>
        <v>2012</v>
      </c>
      <c r="BO5" s="1429">
        <v>41275</v>
      </c>
      <c r="BP5" s="1430">
        <v>41306</v>
      </c>
      <c r="BQ5" s="1430">
        <v>41334</v>
      </c>
      <c r="BR5" s="1430">
        <v>41365</v>
      </c>
      <c r="BS5" s="1430">
        <v>41395</v>
      </c>
      <c r="BT5" s="1430">
        <v>41426</v>
      </c>
      <c r="BU5" s="1430">
        <v>41456</v>
      </c>
      <c r="BV5" s="1430">
        <v>41487</v>
      </c>
      <c r="BW5" s="1430">
        <v>41518</v>
      </c>
      <c r="BX5" s="1430">
        <v>41548</v>
      </c>
      <c r="BY5" s="1430">
        <v>41579</v>
      </c>
      <c r="BZ5" s="1430">
        <v>41609</v>
      </c>
      <c r="CA5" s="1432">
        <f>YEAR(BZ5)</f>
        <v>2013</v>
      </c>
      <c r="CB5" s="1429">
        <v>41640</v>
      </c>
      <c r="CC5" s="1430">
        <v>41671</v>
      </c>
      <c r="CD5" s="1430">
        <v>41699</v>
      </c>
      <c r="CE5" s="1430">
        <v>41730</v>
      </c>
      <c r="CF5" s="1430">
        <v>41760</v>
      </c>
      <c r="CG5" s="1430">
        <v>41791</v>
      </c>
      <c r="CH5" s="1430">
        <v>41821</v>
      </c>
      <c r="CI5" s="1430">
        <v>41852</v>
      </c>
      <c r="CJ5" s="1430">
        <v>41883</v>
      </c>
      <c r="CK5" s="1430">
        <v>41913</v>
      </c>
      <c r="CL5" s="1430">
        <v>41944</v>
      </c>
      <c r="CM5" s="1430">
        <v>41974</v>
      </c>
      <c r="CN5" s="1432">
        <f>YEAR(CM5)</f>
        <v>2014</v>
      </c>
      <c r="CO5" s="1429">
        <v>42005</v>
      </c>
      <c r="CP5" s="1430">
        <v>42036</v>
      </c>
      <c r="CQ5" s="1430">
        <v>42064</v>
      </c>
      <c r="CR5" s="1430">
        <v>42095</v>
      </c>
      <c r="CS5" s="1430">
        <v>42125</v>
      </c>
      <c r="CT5" s="1430">
        <v>42156</v>
      </c>
      <c r="CU5" s="1430">
        <v>42186</v>
      </c>
      <c r="CV5" s="1430">
        <v>42217</v>
      </c>
      <c r="CW5" s="1430">
        <v>42248</v>
      </c>
      <c r="CX5" s="1430">
        <v>42278</v>
      </c>
      <c r="CY5" s="1430">
        <v>42309</v>
      </c>
      <c r="CZ5" s="1430">
        <v>42339</v>
      </c>
      <c r="DA5" s="1432">
        <f>YEAR(CZ5)</f>
        <v>2015</v>
      </c>
      <c r="DB5" s="1429">
        <v>42370</v>
      </c>
      <c r="DC5" s="1430">
        <v>42401</v>
      </c>
      <c r="DD5" s="1430">
        <v>42430</v>
      </c>
      <c r="DE5" s="1430">
        <v>42461</v>
      </c>
      <c r="DF5" s="1430">
        <v>42491</v>
      </c>
      <c r="DG5" s="1430">
        <v>42522</v>
      </c>
      <c r="DH5" s="1430">
        <v>42552</v>
      </c>
      <c r="DI5" s="1430">
        <v>42583</v>
      </c>
      <c r="DJ5" s="1430">
        <v>42614</v>
      </c>
      <c r="DK5" s="1430">
        <v>42644</v>
      </c>
      <c r="DL5" s="1430">
        <v>42675</v>
      </c>
      <c r="DM5" s="1430">
        <v>42705</v>
      </c>
      <c r="DN5" s="1432">
        <f>YEAR(DM5)</f>
        <v>2016</v>
      </c>
      <c r="DO5" s="1429">
        <v>42736</v>
      </c>
      <c r="DP5" s="1430">
        <v>42767</v>
      </c>
      <c r="DQ5" s="1430">
        <v>42795</v>
      </c>
      <c r="DR5" s="1430">
        <v>42826</v>
      </c>
      <c r="DS5" s="1430">
        <v>42856</v>
      </c>
      <c r="DT5" s="1430">
        <v>42887</v>
      </c>
      <c r="DU5" s="1430">
        <v>42917</v>
      </c>
      <c r="DV5" s="1430">
        <v>42948</v>
      </c>
      <c r="DW5" s="1430">
        <v>42979</v>
      </c>
      <c r="DX5" s="1430">
        <v>43009</v>
      </c>
      <c r="DY5" s="1430">
        <v>43040</v>
      </c>
      <c r="DZ5" s="1430">
        <v>43070</v>
      </c>
      <c r="EA5" s="1432">
        <f>YEAR(DZ5)</f>
        <v>2017</v>
      </c>
      <c r="EB5" s="1429">
        <v>43101</v>
      </c>
      <c r="EC5" s="1430">
        <v>43132</v>
      </c>
      <c r="ED5" s="1430">
        <v>43160</v>
      </c>
      <c r="EE5" s="1430">
        <v>43191</v>
      </c>
      <c r="EF5" s="1430">
        <v>43221</v>
      </c>
      <c r="EG5" s="1430">
        <v>43252</v>
      </c>
      <c r="EH5" s="1430">
        <v>43282</v>
      </c>
      <c r="EI5" s="1430">
        <v>43313</v>
      </c>
      <c r="EJ5" s="1430">
        <v>43344</v>
      </c>
      <c r="EK5" s="1430">
        <v>43374</v>
      </c>
      <c r="EL5" s="1430">
        <v>43405</v>
      </c>
      <c r="EM5" s="1430">
        <v>43435</v>
      </c>
      <c r="EN5" s="1432">
        <f>YEAR(EM5)</f>
        <v>2018</v>
      </c>
      <c r="EO5" s="1429">
        <v>43466</v>
      </c>
      <c r="EP5" s="1430">
        <v>43497</v>
      </c>
      <c r="EQ5" s="1430">
        <v>43525</v>
      </c>
      <c r="ER5" s="1430">
        <v>43556</v>
      </c>
      <c r="ES5" s="1430">
        <v>43586</v>
      </c>
      <c r="ET5" s="1430">
        <v>43617</v>
      </c>
      <c r="EU5" s="1430">
        <v>43647</v>
      </c>
      <c r="EV5" s="1430">
        <v>43678</v>
      </c>
      <c r="EW5" s="1430">
        <v>43709</v>
      </c>
      <c r="EX5" s="1430">
        <v>43739</v>
      </c>
      <c r="EY5" s="1430">
        <v>43770</v>
      </c>
      <c r="EZ5" s="1430">
        <v>43800</v>
      </c>
      <c r="FA5" s="1432">
        <f>YEAR(EZ5)</f>
        <v>2019</v>
      </c>
      <c r="FB5" s="1429">
        <v>43831</v>
      </c>
      <c r="FC5" s="1430">
        <v>43862</v>
      </c>
      <c r="FD5" s="1430">
        <v>43891</v>
      </c>
      <c r="FE5" s="1430">
        <v>43922</v>
      </c>
      <c r="FF5" s="1430">
        <v>43952</v>
      </c>
      <c r="FG5" s="1430">
        <v>43983</v>
      </c>
      <c r="FH5" s="1430">
        <v>44013</v>
      </c>
      <c r="FI5" s="1430">
        <v>44044</v>
      </c>
      <c r="FJ5" s="1430">
        <v>44075</v>
      </c>
      <c r="FK5" s="1430">
        <v>44105</v>
      </c>
      <c r="FL5" s="1430">
        <v>44136</v>
      </c>
      <c r="FM5" s="1430">
        <v>44166</v>
      </c>
      <c r="FN5" s="1432">
        <f>YEAR(FM5)</f>
        <v>2020</v>
      </c>
      <c r="FO5" s="1429">
        <v>44197</v>
      </c>
      <c r="FP5" s="1430">
        <v>44228</v>
      </c>
      <c r="FQ5" s="1430">
        <v>44256</v>
      </c>
      <c r="FR5" s="1430">
        <v>44287</v>
      </c>
      <c r="FS5" s="1430">
        <v>44317</v>
      </c>
      <c r="FT5" s="1430">
        <v>44348</v>
      </c>
      <c r="FU5" s="1430">
        <v>44378</v>
      </c>
      <c r="FV5" s="1430">
        <v>44409</v>
      </c>
      <c r="FW5" s="1430">
        <v>44440</v>
      </c>
      <c r="FX5" s="1430">
        <v>44470</v>
      </c>
      <c r="FY5" s="1430">
        <v>44501</v>
      </c>
      <c r="FZ5" s="1430">
        <v>44531</v>
      </c>
      <c r="GA5" s="1432">
        <f>YEAR(FZ5)</f>
        <v>2021</v>
      </c>
      <c r="GB5" s="1429">
        <v>44562</v>
      </c>
      <c r="GC5" s="1430">
        <v>44593</v>
      </c>
      <c r="GD5" s="1430">
        <v>44621</v>
      </c>
      <c r="GE5" s="1430">
        <v>44652</v>
      </c>
      <c r="GF5" s="1430">
        <v>44682</v>
      </c>
      <c r="GG5" s="1430">
        <v>44713</v>
      </c>
      <c r="GH5" s="1430">
        <v>44743</v>
      </c>
      <c r="GI5" s="1430">
        <v>44774</v>
      </c>
      <c r="GJ5" s="1430">
        <v>44805</v>
      </c>
      <c r="GK5" s="1430">
        <v>44835</v>
      </c>
      <c r="GL5" s="1430">
        <v>44866</v>
      </c>
      <c r="GM5" s="1430">
        <v>44896</v>
      </c>
      <c r="GN5" s="1432">
        <f>YEAR(GM5)</f>
        <v>2022</v>
      </c>
      <c r="GO5" s="1429">
        <v>44927</v>
      </c>
      <c r="GP5" s="1430">
        <v>44958</v>
      </c>
      <c r="GQ5" s="1430">
        <v>44986</v>
      </c>
      <c r="GR5" s="1430">
        <v>45017</v>
      </c>
      <c r="GS5" s="1430">
        <v>45047</v>
      </c>
      <c r="GT5" s="1430">
        <v>45078</v>
      </c>
      <c r="GU5" s="1430">
        <v>45108</v>
      </c>
      <c r="GV5" s="1430">
        <v>45139</v>
      </c>
      <c r="GW5" s="1430">
        <v>45170</v>
      </c>
      <c r="GX5" s="1430">
        <v>45200</v>
      </c>
      <c r="GY5" s="1430">
        <v>45231</v>
      </c>
      <c r="GZ5" s="1430">
        <v>45261</v>
      </c>
      <c r="HA5" s="1432">
        <f>YEAR(GZ5)</f>
        <v>2023</v>
      </c>
      <c r="HB5" s="1429">
        <v>45292</v>
      </c>
      <c r="HC5" s="1430">
        <v>45323</v>
      </c>
      <c r="HD5" s="1430">
        <v>45352</v>
      </c>
      <c r="HE5" s="1430">
        <v>45383</v>
      </c>
      <c r="HF5" s="1430">
        <v>45413</v>
      </c>
      <c r="HG5" s="1430">
        <v>45444</v>
      </c>
      <c r="HH5" s="1430">
        <v>45474</v>
      </c>
      <c r="HI5" s="1430">
        <v>45505</v>
      </c>
      <c r="HJ5" s="1430">
        <v>45536</v>
      </c>
      <c r="HK5" s="1430">
        <v>45566</v>
      </c>
      <c r="HL5" s="1430">
        <v>45597</v>
      </c>
      <c r="HM5" s="1430">
        <v>45627</v>
      </c>
      <c r="HN5" s="1432">
        <f>YEAR(HM5)</f>
        <v>2024</v>
      </c>
      <c r="HO5" s="1429">
        <v>45658</v>
      </c>
      <c r="HP5" s="1430">
        <v>45689</v>
      </c>
      <c r="HQ5" s="1430">
        <v>45717</v>
      </c>
      <c r="HR5" s="1430">
        <v>45748</v>
      </c>
      <c r="HS5" s="1430">
        <v>45778</v>
      </c>
      <c r="HT5" s="1430">
        <v>45809</v>
      </c>
      <c r="HU5" s="1430">
        <v>45839</v>
      </c>
      <c r="HV5" s="1430">
        <v>45870</v>
      </c>
      <c r="HW5" s="1430">
        <v>45901</v>
      </c>
      <c r="HX5" s="1430">
        <v>45931</v>
      </c>
      <c r="HY5" s="1430">
        <v>45962</v>
      </c>
      <c r="HZ5" s="1430">
        <v>45992</v>
      </c>
      <c r="IA5" s="1532">
        <f>YEAR(HZ5)</f>
        <v>2025</v>
      </c>
      <c r="IB5" s="1429">
        <v>46023</v>
      </c>
      <c r="IC5" s="1430">
        <v>46054</v>
      </c>
      <c r="ID5" s="1430">
        <v>46082</v>
      </c>
      <c r="IE5" s="1430">
        <v>46113</v>
      </c>
      <c r="IF5" s="1430">
        <v>46143</v>
      </c>
      <c r="IG5" s="1430">
        <v>46174</v>
      </c>
      <c r="IH5" s="1430">
        <v>46204</v>
      </c>
      <c r="II5" s="1430">
        <v>46235</v>
      </c>
      <c r="IJ5" s="1430">
        <v>46266</v>
      </c>
      <c r="IK5" s="1430">
        <v>46296</v>
      </c>
      <c r="IL5" s="1430">
        <v>46327</v>
      </c>
      <c r="IM5" s="1430">
        <v>46357</v>
      </c>
      <c r="IN5" s="1431">
        <f>YEAR(IM5)</f>
        <v>2026</v>
      </c>
      <c r="IO5" s="1422"/>
      <c r="IP5" s="1433">
        <f>II5</f>
        <v>46235</v>
      </c>
      <c r="IQ5" s="1535" t="str">
        <f>CONCATENATE("Ene.-",TEXT(IP5,"MMM."))</f>
        <v>Ene.-Ago.</v>
      </c>
      <c r="IR5" s="1535" t="str">
        <f>IQ5</f>
        <v>Ene.-Ago.</v>
      </c>
      <c r="IS5" s="1535" t="str">
        <f>IQ5</f>
        <v>Ene.-Ago.</v>
      </c>
    </row>
    <row r="6" spans="1:255" ht="15" customHeight="1" x14ac:dyDescent="0.2">
      <c r="A6" s="331"/>
      <c r="B6" s="373"/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87"/>
      <c r="N6" s="375"/>
      <c r="O6" s="373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87"/>
      <c r="AA6" s="375"/>
      <c r="AB6" s="373"/>
      <c r="AC6" s="374"/>
      <c r="AD6" s="374"/>
      <c r="AE6" s="374"/>
      <c r="AF6" s="374"/>
      <c r="AG6" s="374"/>
      <c r="AH6" s="374"/>
      <c r="AI6" s="374"/>
      <c r="AJ6" s="374"/>
      <c r="AK6" s="374"/>
      <c r="AL6" s="374"/>
      <c r="AM6" s="387"/>
      <c r="AN6" s="375"/>
      <c r="AO6" s="373"/>
      <c r="AP6" s="374"/>
      <c r="AQ6" s="374"/>
      <c r="AR6" s="374"/>
      <c r="AS6" s="374"/>
      <c r="AT6" s="374"/>
      <c r="AU6" s="374"/>
      <c r="AV6" s="374"/>
      <c r="AW6" s="374"/>
      <c r="AX6" s="374"/>
      <c r="AY6" s="374"/>
      <c r="AZ6" s="387"/>
      <c r="BA6" s="375"/>
      <c r="BB6" s="373"/>
      <c r="BC6" s="374"/>
      <c r="BD6" s="374"/>
      <c r="BE6" s="374"/>
      <c r="BF6" s="374"/>
      <c r="BG6" s="374"/>
      <c r="BH6" s="374"/>
      <c r="BI6" s="374"/>
      <c r="BJ6" s="374"/>
      <c r="BK6" s="374"/>
      <c r="BL6" s="374"/>
      <c r="BM6" s="387"/>
      <c r="BN6" s="375"/>
      <c r="BO6" s="373"/>
      <c r="BP6" s="374"/>
      <c r="BQ6" s="374"/>
      <c r="BR6" s="374"/>
      <c r="BS6" s="374"/>
      <c r="BT6" s="374"/>
      <c r="BU6" s="374"/>
      <c r="BV6" s="374"/>
      <c r="BW6" s="374"/>
      <c r="BX6" s="374"/>
      <c r="BY6" s="374"/>
      <c r="BZ6" s="387"/>
      <c r="CA6" s="375"/>
      <c r="CB6" s="373"/>
      <c r="CC6" s="374"/>
      <c r="CD6" s="374"/>
      <c r="CE6" s="374"/>
      <c r="CF6" s="374"/>
      <c r="CG6" s="374"/>
      <c r="CH6" s="374"/>
      <c r="CI6" s="374"/>
      <c r="CJ6" s="374"/>
      <c r="CK6" s="374"/>
      <c r="CL6" s="374"/>
      <c r="CM6" s="387"/>
      <c r="CN6" s="375"/>
      <c r="CO6" s="373"/>
      <c r="CP6" s="374"/>
      <c r="CQ6" s="374"/>
      <c r="CR6" s="374"/>
      <c r="CS6" s="374"/>
      <c r="CT6" s="374"/>
      <c r="CU6" s="374"/>
      <c r="CV6" s="374"/>
      <c r="CW6" s="374"/>
      <c r="CX6" s="374"/>
      <c r="CY6" s="374"/>
      <c r="CZ6" s="387"/>
      <c r="DA6" s="375"/>
      <c r="DB6" s="373"/>
      <c r="DC6" s="374"/>
      <c r="DD6" s="374"/>
      <c r="DE6" s="374"/>
      <c r="DF6" s="374"/>
      <c r="DG6" s="374"/>
      <c r="DH6" s="374"/>
      <c r="DI6" s="374"/>
      <c r="DJ6" s="374"/>
      <c r="DK6" s="374"/>
      <c r="DL6" s="374"/>
      <c r="DM6" s="387"/>
      <c r="DN6" s="375"/>
      <c r="DO6" s="373"/>
      <c r="DP6" s="374"/>
      <c r="DQ6" s="374"/>
      <c r="DR6" s="374"/>
      <c r="DS6" s="374"/>
      <c r="DT6" s="374"/>
      <c r="DU6" s="374"/>
      <c r="DV6" s="374"/>
      <c r="DW6" s="374"/>
      <c r="DX6" s="374"/>
      <c r="DY6" s="374"/>
      <c r="DZ6" s="387"/>
      <c r="EA6" s="375"/>
      <c r="EB6" s="373"/>
      <c r="EC6" s="374"/>
      <c r="ED6" s="374"/>
      <c r="EE6" s="374"/>
      <c r="EF6" s="374"/>
      <c r="EG6" s="374"/>
      <c r="EH6" s="374"/>
      <c r="EI6" s="374"/>
      <c r="EJ6" s="374"/>
      <c r="EK6" s="374"/>
      <c r="EL6" s="374"/>
      <c r="EM6" s="387"/>
      <c r="EN6" s="375"/>
      <c r="EO6" s="373"/>
      <c r="EP6" s="374"/>
      <c r="EQ6" s="374"/>
      <c r="ER6" s="374"/>
      <c r="ES6" s="374"/>
      <c r="ET6" s="374"/>
      <c r="EU6" s="374"/>
      <c r="EV6" s="374"/>
      <c r="EW6" s="374"/>
      <c r="EX6" s="374"/>
      <c r="EY6" s="374"/>
      <c r="EZ6" s="387"/>
      <c r="FA6" s="375"/>
      <c r="FB6" s="373"/>
      <c r="FC6" s="374"/>
      <c r="FD6" s="374"/>
      <c r="FE6" s="374"/>
      <c r="FF6" s="374"/>
      <c r="FG6" s="374"/>
      <c r="FH6" s="374"/>
      <c r="FI6" s="374"/>
      <c r="FJ6" s="374"/>
      <c r="FK6" s="374"/>
      <c r="FL6" s="374"/>
      <c r="FM6" s="387"/>
      <c r="FN6" s="375"/>
      <c r="FO6" s="373"/>
      <c r="FP6" s="374"/>
      <c r="FQ6" s="374"/>
      <c r="FR6" s="374"/>
      <c r="FS6" s="374"/>
      <c r="FT6" s="374"/>
      <c r="FU6" s="374"/>
      <c r="FV6" s="374"/>
      <c r="FW6" s="374"/>
      <c r="FX6" s="374"/>
      <c r="FY6" s="374"/>
      <c r="FZ6" s="387"/>
      <c r="GA6" s="375"/>
      <c r="GB6" s="373"/>
      <c r="GC6" s="374"/>
      <c r="GD6" s="374"/>
      <c r="GE6" s="374"/>
      <c r="GF6" s="374"/>
      <c r="GG6" s="374"/>
      <c r="GH6" s="374"/>
      <c r="GI6" s="374"/>
      <c r="GJ6" s="374"/>
      <c r="GK6" s="374"/>
      <c r="GL6" s="374"/>
      <c r="GM6" s="387"/>
      <c r="GN6" s="375"/>
      <c r="GO6" s="373"/>
      <c r="GP6" s="374"/>
      <c r="GQ6" s="374"/>
      <c r="GR6" s="374"/>
      <c r="GS6" s="374"/>
      <c r="GT6" s="374"/>
      <c r="GU6" s="374"/>
      <c r="GV6" s="374"/>
      <c r="GW6" s="374"/>
      <c r="GX6" s="374"/>
      <c r="GY6" s="374"/>
      <c r="GZ6" s="387"/>
      <c r="HA6" s="375"/>
      <c r="HB6" s="373"/>
      <c r="HC6" s="374"/>
      <c r="HD6" s="374"/>
      <c r="HE6" s="374"/>
      <c r="HF6" s="374"/>
      <c r="HG6" s="374"/>
      <c r="HH6" s="374"/>
      <c r="HI6" s="374"/>
      <c r="HJ6" s="374"/>
      <c r="HK6" s="374"/>
      <c r="HL6" s="374"/>
      <c r="HM6" s="387"/>
      <c r="HN6" s="375"/>
      <c r="HO6" s="373"/>
      <c r="HP6" s="374"/>
      <c r="HQ6" s="374"/>
      <c r="HR6" s="374"/>
      <c r="HS6" s="374"/>
      <c r="HT6" s="374"/>
      <c r="HU6" s="374"/>
      <c r="HV6" s="374"/>
      <c r="HW6" s="374"/>
      <c r="HX6" s="374"/>
      <c r="HY6" s="374"/>
      <c r="HZ6" s="387"/>
      <c r="IA6" s="373"/>
      <c r="IB6" s="1337"/>
      <c r="IC6" s="1338"/>
      <c r="ID6" s="1338"/>
      <c r="IE6" s="1338"/>
      <c r="IF6" s="1338"/>
      <c r="IG6" s="1338"/>
      <c r="IH6" s="1338"/>
      <c r="II6" s="1338"/>
      <c r="IJ6" s="1338"/>
      <c r="IK6" s="1338"/>
      <c r="IL6" s="1338"/>
      <c r="IM6" s="1339"/>
      <c r="IN6" s="1340"/>
      <c r="IO6" s="120"/>
      <c r="IP6" s="369"/>
      <c r="IQ6" s="334"/>
      <c r="IR6" s="337"/>
      <c r="IS6" s="335"/>
    </row>
    <row r="7" spans="1:255" s="1523" customFormat="1" ht="15" customHeight="1" x14ac:dyDescent="0.2">
      <c r="A7" s="1511" t="s">
        <v>300</v>
      </c>
      <c r="B7" s="1512">
        <f t="shared" ref="B7:M7" si="0">SUM(B8+B14+B19)</f>
        <v>31126</v>
      </c>
      <c r="C7" s="1513">
        <f t="shared" si="0"/>
        <v>36873</v>
      </c>
      <c r="D7" s="1513">
        <f t="shared" si="0"/>
        <v>32734</v>
      </c>
      <c r="E7" s="1513">
        <f t="shared" si="0"/>
        <v>33579</v>
      </c>
      <c r="F7" s="1513">
        <f t="shared" si="0"/>
        <v>35605</v>
      </c>
      <c r="G7" s="1513">
        <f t="shared" si="0"/>
        <v>43307</v>
      </c>
      <c r="H7" s="1513">
        <f t="shared" si="0"/>
        <v>78240</v>
      </c>
      <c r="I7" s="1513">
        <f t="shared" si="0"/>
        <v>48435</v>
      </c>
      <c r="J7" s="1513">
        <f t="shared" si="0"/>
        <v>38437</v>
      </c>
      <c r="K7" s="1513">
        <f t="shared" si="0"/>
        <v>44354</v>
      </c>
      <c r="L7" s="1513">
        <f t="shared" si="0"/>
        <v>45810</v>
      </c>
      <c r="M7" s="1514">
        <f t="shared" si="0"/>
        <v>114350</v>
      </c>
      <c r="N7" s="1515">
        <f t="shared" ref="N7:N30" si="1">SUM(B7:M7)</f>
        <v>582850</v>
      </c>
      <c r="O7" s="1512">
        <f t="shared" ref="O7:Z7" si="2">SUM(O8+O14+O19)</f>
        <v>33454</v>
      </c>
      <c r="P7" s="1513">
        <f t="shared" si="2"/>
        <v>43908</v>
      </c>
      <c r="Q7" s="1513">
        <f t="shared" si="2"/>
        <v>41715</v>
      </c>
      <c r="R7" s="1513">
        <f t="shared" si="2"/>
        <v>63547</v>
      </c>
      <c r="S7" s="1513">
        <f t="shared" si="2"/>
        <v>42448</v>
      </c>
      <c r="T7" s="1513">
        <f t="shared" si="2"/>
        <v>42747</v>
      </c>
      <c r="U7" s="1513">
        <f t="shared" si="2"/>
        <v>53613</v>
      </c>
      <c r="V7" s="1513">
        <f t="shared" si="2"/>
        <v>44071</v>
      </c>
      <c r="W7" s="1513">
        <f t="shared" si="2"/>
        <v>55131</v>
      </c>
      <c r="X7" s="1513">
        <f t="shared" si="2"/>
        <v>49569</v>
      </c>
      <c r="Y7" s="1513">
        <f t="shared" si="2"/>
        <v>47751</v>
      </c>
      <c r="Z7" s="1514">
        <f t="shared" si="2"/>
        <v>76526</v>
      </c>
      <c r="AA7" s="1515">
        <f>SUM(O7:Z7)</f>
        <v>594480</v>
      </c>
      <c r="AB7" s="1512">
        <f t="shared" ref="AB7:AM7" si="3">SUM(AB8+AB14+AB19)</f>
        <v>36343</v>
      </c>
      <c r="AC7" s="1513">
        <f t="shared" si="3"/>
        <v>53282</v>
      </c>
      <c r="AD7" s="1513">
        <f t="shared" si="3"/>
        <v>41324</v>
      </c>
      <c r="AE7" s="1513">
        <f t="shared" si="3"/>
        <v>45984</v>
      </c>
      <c r="AF7" s="1513">
        <f t="shared" si="3"/>
        <v>53778</v>
      </c>
      <c r="AG7" s="1513">
        <f t="shared" si="3"/>
        <v>58605</v>
      </c>
      <c r="AH7" s="1513">
        <f t="shared" si="3"/>
        <v>62366</v>
      </c>
      <c r="AI7" s="1513">
        <f t="shared" si="3"/>
        <v>55204</v>
      </c>
      <c r="AJ7" s="1513">
        <f t="shared" si="3"/>
        <v>48531</v>
      </c>
      <c r="AK7" s="1513">
        <f t="shared" si="3"/>
        <v>48422</v>
      </c>
      <c r="AL7" s="1513">
        <f t="shared" si="3"/>
        <v>52700</v>
      </c>
      <c r="AM7" s="1514">
        <f t="shared" si="3"/>
        <v>74271</v>
      </c>
      <c r="AN7" s="1515">
        <f>SUM(AB7:AM7)</f>
        <v>630810</v>
      </c>
      <c r="AO7" s="1512">
        <f t="shared" ref="AO7:AZ7" si="4">SUM(AO8+AO14+AO19)</f>
        <v>45999</v>
      </c>
      <c r="AP7" s="1513">
        <f t="shared" si="4"/>
        <v>42473</v>
      </c>
      <c r="AQ7" s="1513">
        <f t="shared" si="4"/>
        <v>53815</v>
      </c>
      <c r="AR7" s="1513">
        <f t="shared" si="4"/>
        <v>34418</v>
      </c>
      <c r="AS7" s="1513">
        <f t="shared" si="4"/>
        <v>48351</v>
      </c>
      <c r="AT7" s="1513">
        <f t="shared" si="4"/>
        <v>53388</v>
      </c>
      <c r="AU7" s="1513">
        <f t="shared" si="4"/>
        <v>44836</v>
      </c>
      <c r="AV7" s="1513">
        <f t="shared" si="4"/>
        <v>63590</v>
      </c>
      <c r="AW7" s="1513">
        <f t="shared" si="4"/>
        <v>65702</v>
      </c>
      <c r="AX7" s="1513">
        <f t="shared" si="4"/>
        <v>63944</v>
      </c>
      <c r="AY7" s="1513">
        <f t="shared" si="4"/>
        <v>62135</v>
      </c>
      <c r="AZ7" s="1514">
        <f t="shared" si="4"/>
        <v>115383</v>
      </c>
      <c r="BA7" s="1515">
        <f>SUM(AO7:AZ7)</f>
        <v>694034</v>
      </c>
      <c r="BB7" s="1512">
        <f t="shared" ref="BB7:BM7" si="5">+BB8+BB14+BB19</f>
        <v>47893</v>
      </c>
      <c r="BC7" s="1513">
        <f t="shared" si="5"/>
        <v>44305</v>
      </c>
      <c r="BD7" s="1513">
        <f t="shared" si="5"/>
        <v>48558</v>
      </c>
      <c r="BE7" s="1513">
        <f t="shared" si="5"/>
        <v>44171</v>
      </c>
      <c r="BF7" s="1513">
        <f t="shared" si="5"/>
        <v>71824</v>
      </c>
      <c r="BG7" s="1513">
        <f t="shared" si="5"/>
        <v>79655</v>
      </c>
      <c r="BH7" s="1513">
        <f t="shared" si="5"/>
        <v>55998</v>
      </c>
      <c r="BI7" s="1513">
        <f t="shared" si="5"/>
        <v>57018</v>
      </c>
      <c r="BJ7" s="1513">
        <f t="shared" si="5"/>
        <v>59244</v>
      </c>
      <c r="BK7" s="1513">
        <f t="shared" si="5"/>
        <v>101654</v>
      </c>
      <c r="BL7" s="1513">
        <f t="shared" si="5"/>
        <v>120702</v>
      </c>
      <c r="BM7" s="1514">
        <f t="shared" si="5"/>
        <v>109438</v>
      </c>
      <c r="BN7" s="1515">
        <f>SUM(BB7:BM7)</f>
        <v>840460</v>
      </c>
      <c r="BO7" s="1512">
        <f t="shared" ref="BO7:BZ7" si="6">+BO8+BO14+BO19</f>
        <v>42184</v>
      </c>
      <c r="BP7" s="1513">
        <f t="shared" si="6"/>
        <v>64805</v>
      </c>
      <c r="BQ7" s="1513">
        <f t="shared" si="6"/>
        <v>67386</v>
      </c>
      <c r="BR7" s="1513">
        <f t="shared" si="6"/>
        <v>81996</v>
      </c>
      <c r="BS7" s="1513">
        <f t="shared" si="6"/>
        <v>70788</v>
      </c>
      <c r="BT7" s="1513">
        <f t="shared" si="6"/>
        <v>105281</v>
      </c>
      <c r="BU7" s="1513">
        <f t="shared" si="6"/>
        <v>48960.9</v>
      </c>
      <c r="BV7" s="1513">
        <f t="shared" si="6"/>
        <v>63407</v>
      </c>
      <c r="BW7" s="1513">
        <f t="shared" si="6"/>
        <v>77986</v>
      </c>
      <c r="BX7" s="1513">
        <f t="shared" si="6"/>
        <v>95728</v>
      </c>
      <c r="BY7" s="1513">
        <f t="shared" si="6"/>
        <v>109845</v>
      </c>
      <c r="BZ7" s="1514">
        <f t="shared" si="6"/>
        <v>108085</v>
      </c>
      <c r="CA7" s="1515">
        <f>SUM(BO7:BZ7)</f>
        <v>936451.9</v>
      </c>
      <c r="CB7" s="1512">
        <f t="shared" ref="CB7:CM7" si="7">+CB8+CB14+CB19</f>
        <v>91415</v>
      </c>
      <c r="CC7" s="1513">
        <f t="shared" si="7"/>
        <v>69123</v>
      </c>
      <c r="CD7" s="1513">
        <f t="shared" si="7"/>
        <v>62858</v>
      </c>
      <c r="CE7" s="1513">
        <f t="shared" si="7"/>
        <v>56143</v>
      </c>
      <c r="CF7" s="1513">
        <f t="shared" si="7"/>
        <v>69263</v>
      </c>
      <c r="CG7" s="1513">
        <f t="shared" si="7"/>
        <v>131033</v>
      </c>
      <c r="CH7" s="1513">
        <f t="shared" si="7"/>
        <v>94641</v>
      </c>
      <c r="CI7" s="1513">
        <f t="shared" si="7"/>
        <v>73607</v>
      </c>
      <c r="CJ7" s="1513">
        <f t="shared" si="7"/>
        <v>85190</v>
      </c>
      <c r="CK7" s="1513">
        <f t="shared" si="7"/>
        <v>62744</v>
      </c>
      <c r="CL7" s="1513">
        <f t="shared" si="7"/>
        <v>105827</v>
      </c>
      <c r="CM7" s="1514">
        <f t="shared" si="7"/>
        <v>203051</v>
      </c>
      <c r="CN7" s="1515">
        <f>SUM(CB7:CM7)</f>
        <v>1104895</v>
      </c>
      <c r="CO7" s="1512">
        <f t="shared" ref="CO7:CZ7" si="8">+CO8+CO14+CO19</f>
        <v>54798</v>
      </c>
      <c r="CP7" s="1513">
        <f t="shared" si="8"/>
        <v>55982</v>
      </c>
      <c r="CQ7" s="1513">
        <f t="shared" si="8"/>
        <v>59833</v>
      </c>
      <c r="CR7" s="1513">
        <f t="shared" si="8"/>
        <v>123729</v>
      </c>
      <c r="CS7" s="1513">
        <f t="shared" si="8"/>
        <v>59114</v>
      </c>
      <c r="CT7" s="1513">
        <f t="shared" si="8"/>
        <v>76754</v>
      </c>
      <c r="CU7" s="1513">
        <f t="shared" si="8"/>
        <v>99729</v>
      </c>
      <c r="CV7" s="1513">
        <f t="shared" si="8"/>
        <v>135099</v>
      </c>
      <c r="CW7" s="1513">
        <f t="shared" si="8"/>
        <v>128448</v>
      </c>
      <c r="CX7" s="1513">
        <f t="shared" si="8"/>
        <v>135819</v>
      </c>
      <c r="CY7" s="1513">
        <f t="shared" si="8"/>
        <v>181242</v>
      </c>
      <c r="CZ7" s="1514">
        <f t="shared" si="8"/>
        <v>252960</v>
      </c>
      <c r="DA7" s="1515">
        <f>SUM(CO7:CZ7)</f>
        <v>1363507</v>
      </c>
      <c r="DB7" s="1512">
        <f t="shared" ref="DB7:DM7" si="9">+DB8+DB14+DB19</f>
        <v>51232</v>
      </c>
      <c r="DC7" s="1513">
        <f t="shared" si="9"/>
        <v>63657</v>
      </c>
      <c r="DD7" s="1513">
        <f t="shared" si="9"/>
        <v>90742</v>
      </c>
      <c r="DE7" s="1513">
        <f t="shared" si="9"/>
        <v>100753</v>
      </c>
      <c r="DF7" s="1513">
        <f t="shared" si="9"/>
        <v>91159</v>
      </c>
      <c r="DG7" s="1513">
        <f t="shared" si="9"/>
        <v>98225</v>
      </c>
      <c r="DH7" s="1513">
        <f t="shared" si="9"/>
        <v>122982</v>
      </c>
      <c r="DI7" s="1513">
        <f t="shared" si="9"/>
        <v>112506</v>
      </c>
      <c r="DJ7" s="1513">
        <f t="shared" si="9"/>
        <v>99649</v>
      </c>
      <c r="DK7" s="1513">
        <f t="shared" si="9"/>
        <v>90325</v>
      </c>
      <c r="DL7" s="1513">
        <f t="shared" si="9"/>
        <v>91987</v>
      </c>
      <c r="DM7" s="1514">
        <f t="shared" si="9"/>
        <v>219890</v>
      </c>
      <c r="DN7" s="1515">
        <f>SUM(DB7:DM7)</f>
        <v>1233107</v>
      </c>
      <c r="DO7" s="1512">
        <f t="shared" ref="DO7:DZ7" si="10">+DO8+DO14+DO19</f>
        <v>55950</v>
      </c>
      <c r="DP7" s="1513">
        <f t="shared" si="10"/>
        <v>69028</v>
      </c>
      <c r="DQ7" s="1513">
        <f t="shared" si="10"/>
        <v>105026</v>
      </c>
      <c r="DR7" s="1513">
        <f t="shared" si="10"/>
        <v>84679</v>
      </c>
      <c r="DS7" s="1513">
        <f t="shared" si="10"/>
        <v>92839</v>
      </c>
      <c r="DT7" s="1513">
        <f t="shared" si="10"/>
        <v>97528</v>
      </c>
      <c r="DU7" s="1513">
        <f t="shared" si="10"/>
        <v>98788</v>
      </c>
      <c r="DV7" s="1513">
        <f t="shared" si="10"/>
        <v>101545</v>
      </c>
      <c r="DW7" s="1513">
        <f t="shared" si="10"/>
        <v>92142</v>
      </c>
      <c r="DX7" s="1513">
        <f t="shared" si="10"/>
        <v>101806</v>
      </c>
      <c r="DY7" s="1513">
        <f t="shared" si="10"/>
        <v>118814</v>
      </c>
      <c r="DZ7" s="1514">
        <f t="shared" si="10"/>
        <v>215872</v>
      </c>
      <c r="EA7" s="1515">
        <f>SUM(DO7:DZ7)</f>
        <v>1234017</v>
      </c>
      <c r="EB7" s="1512">
        <f t="shared" ref="EB7:EM7" si="11">+EB8+EB14+EB19</f>
        <v>71710</v>
      </c>
      <c r="EC7" s="1513">
        <f t="shared" si="11"/>
        <v>78393</v>
      </c>
      <c r="ED7" s="1513">
        <f t="shared" si="11"/>
        <v>83617</v>
      </c>
      <c r="EE7" s="1513">
        <f t="shared" si="11"/>
        <v>98371</v>
      </c>
      <c r="EF7" s="1513">
        <f t="shared" si="11"/>
        <v>91615</v>
      </c>
      <c r="EG7" s="1513">
        <f t="shared" si="11"/>
        <v>107502</v>
      </c>
      <c r="EH7" s="1513">
        <f t="shared" si="11"/>
        <v>112981</v>
      </c>
      <c r="EI7" s="1513">
        <f t="shared" si="11"/>
        <v>95543</v>
      </c>
      <c r="EJ7" s="1513">
        <f t="shared" si="11"/>
        <v>96716</v>
      </c>
      <c r="EK7" s="1513">
        <f t="shared" si="11"/>
        <v>118717</v>
      </c>
      <c r="EL7" s="1513">
        <f t="shared" si="11"/>
        <v>119284</v>
      </c>
      <c r="EM7" s="1514">
        <f t="shared" si="11"/>
        <v>184740</v>
      </c>
      <c r="EN7" s="1515">
        <f>SUM(EB7:EM7)</f>
        <v>1259189</v>
      </c>
      <c r="EO7" s="1512">
        <f t="shared" ref="EO7:EZ7" si="12">+EO8+EO14+EO19</f>
        <v>75649</v>
      </c>
      <c r="EP7" s="1513">
        <f t="shared" si="12"/>
        <v>74048</v>
      </c>
      <c r="EQ7" s="1513">
        <f t="shared" si="12"/>
        <v>86859</v>
      </c>
      <c r="ER7" s="1513">
        <f t="shared" si="12"/>
        <v>85992</v>
      </c>
      <c r="ES7" s="1513">
        <f t="shared" si="12"/>
        <v>95282</v>
      </c>
      <c r="ET7" s="1513">
        <f t="shared" si="12"/>
        <v>131269</v>
      </c>
      <c r="EU7" s="1513">
        <f t="shared" si="12"/>
        <v>119690</v>
      </c>
      <c r="EV7" s="1513">
        <f t="shared" si="12"/>
        <v>147972</v>
      </c>
      <c r="EW7" s="1513">
        <f t="shared" si="12"/>
        <v>114074</v>
      </c>
      <c r="EX7" s="1513">
        <f t="shared" si="12"/>
        <v>110078</v>
      </c>
      <c r="EY7" s="1513">
        <f t="shared" si="12"/>
        <v>125012</v>
      </c>
      <c r="EZ7" s="1514">
        <f t="shared" si="12"/>
        <v>249919</v>
      </c>
      <c r="FA7" s="1515">
        <f>SUM(EO7:EZ7)</f>
        <v>1415844</v>
      </c>
      <c r="FB7" s="1512">
        <f t="shared" ref="FB7:FM7" si="13">+FB8+FB14+FB19</f>
        <v>81615</v>
      </c>
      <c r="FC7" s="1513">
        <f t="shared" si="13"/>
        <v>92334</v>
      </c>
      <c r="FD7" s="1513">
        <f t="shared" si="13"/>
        <v>96473</v>
      </c>
      <c r="FE7" s="1513">
        <f t="shared" si="13"/>
        <v>92315</v>
      </c>
      <c r="FF7" s="1513">
        <f t="shared" si="13"/>
        <v>89851</v>
      </c>
      <c r="FG7" s="1513">
        <f t="shared" si="13"/>
        <v>101411</v>
      </c>
      <c r="FH7" s="1513">
        <f t="shared" si="13"/>
        <v>126120</v>
      </c>
      <c r="FI7" s="1513">
        <f t="shared" si="13"/>
        <v>116429</v>
      </c>
      <c r="FJ7" s="1513">
        <f t="shared" si="13"/>
        <v>119460</v>
      </c>
      <c r="FK7" s="1513">
        <f t="shared" si="13"/>
        <v>140789</v>
      </c>
      <c r="FL7" s="1513">
        <f t="shared" si="13"/>
        <v>150744</v>
      </c>
      <c r="FM7" s="1514">
        <f t="shared" si="13"/>
        <v>315416</v>
      </c>
      <c r="FN7" s="1515">
        <f>SUM(FB7:FM7)</f>
        <v>1522957</v>
      </c>
      <c r="FO7" s="1512">
        <f t="shared" ref="FO7:FZ7" si="14">+FO8+FO14+FO19</f>
        <v>95754</v>
      </c>
      <c r="FP7" s="1513">
        <f t="shared" si="14"/>
        <v>109417</v>
      </c>
      <c r="FQ7" s="1513">
        <f t="shared" si="14"/>
        <v>121475</v>
      </c>
      <c r="FR7" s="1513">
        <f t="shared" si="14"/>
        <v>124930</v>
      </c>
      <c r="FS7" s="1513">
        <f t="shared" si="14"/>
        <v>129495</v>
      </c>
      <c r="FT7" s="1513">
        <f t="shared" si="14"/>
        <v>145292</v>
      </c>
      <c r="FU7" s="1513">
        <f t="shared" si="14"/>
        <v>138704</v>
      </c>
      <c r="FV7" s="1513">
        <f t="shared" si="14"/>
        <v>126548</v>
      </c>
      <c r="FW7" s="1513">
        <f t="shared" si="14"/>
        <v>131343</v>
      </c>
      <c r="FX7" s="1513">
        <f t="shared" si="14"/>
        <v>131000</v>
      </c>
      <c r="FY7" s="1513">
        <f t="shared" si="14"/>
        <v>124479</v>
      </c>
      <c r="FZ7" s="1514">
        <f t="shared" si="14"/>
        <v>286321</v>
      </c>
      <c r="GA7" s="1515">
        <f>SUM(FO7:FZ7)</f>
        <v>1664758</v>
      </c>
      <c r="GB7" s="1512">
        <f t="shared" ref="GB7:GM7" si="15">+GB8+GB14+GB19</f>
        <v>105483</v>
      </c>
      <c r="GC7" s="1513">
        <f t="shared" si="15"/>
        <v>105365</v>
      </c>
      <c r="GD7" s="1513">
        <f t="shared" si="15"/>
        <v>135630</v>
      </c>
      <c r="GE7" s="1513">
        <f t="shared" si="15"/>
        <v>138654</v>
      </c>
      <c r="GF7" s="1513">
        <f t="shared" si="15"/>
        <v>155012</v>
      </c>
      <c r="GG7" s="1513">
        <f t="shared" si="15"/>
        <v>171035</v>
      </c>
      <c r="GH7" s="1513">
        <f t="shared" si="15"/>
        <v>172103</v>
      </c>
      <c r="GI7" s="1513">
        <f t="shared" si="15"/>
        <v>165985</v>
      </c>
      <c r="GJ7" s="1513">
        <f t="shared" si="15"/>
        <v>149942</v>
      </c>
      <c r="GK7" s="1513">
        <f t="shared" si="15"/>
        <v>159868</v>
      </c>
      <c r="GL7" s="1513">
        <f t="shared" si="15"/>
        <v>179223</v>
      </c>
      <c r="GM7" s="1514">
        <f t="shared" si="15"/>
        <v>262647</v>
      </c>
      <c r="GN7" s="1515">
        <f>SUM(GB7:GM7)</f>
        <v>1900947</v>
      </c>
      <c r="GO7" s="1512">
        <f t="shared" ref="GO7:GZ7" si="16">+GO8+GO14+GO19</f>
        <v>137086</v>
      </c>
      <c r="GP7" s="1513">
        <f t="shared" si="16"/>
        <v>129521</v>
      </c>
      <c r="GQ7" s="1513">
        <f t="shared" si="16"/>
        <v>143500</v>
      </c>
      <c r="GR7" s="1513">
        <f t="shared" si="16"/>
        <v>134394</v>
      </c>
      <c r="GS7" s="1513">
        <f t="shared" si="16"/>
        <v>147001</v>
      </c>
      <c r="GT7" s="1513">
        <f t="shared" si="16"/>
        <v>151983</v>
      </c>
      <c r="GU7" s="1513">
        <f t="shared" si="16"/>
        <v>247116</v>
      </c>
      <c r="GV7" s="1513">
        <f t="shared" si="16"/>
        <v>166362</v>
      </c>
      <c r="GW7" s="1513">
        <f t="shared" si="16"/>
        <v>165918</v>
      </c>
      <c r="GX7" s="1513">
        <f t="shared" si="16"/>
        <v>161620</v>
      </c>
      <c r="GY7" s="1513">
        <f t="shared" si="16"/>
        <v>202493</v>
      </c>
      <c r="GZ7" s="1514">
        <f t="shared" si="16"/>
        <v>288050</v>
      </c>
      <c r="HA7" s="1515">
        <f>SUM(GO7:GZ7)</f>
        <v>2075044</v>
      </c>
      <c r="HB7" s="1512">
        <f t="shared" ref="HB7:HM7" si="17">+HB8+HB14+HB19</f>
        <v>177373</v>
      </c>
      <c r="HC7" s="1513">
        <f t="shared" si="17"/>
        <v>148762</v>
      </c>
      <c r="HD7" s="1513">
        <f t="shared" si="17"/>
        <v>150629</v>
      </c>
      <c r="HE7" s="1513">
        <f t="shared" si="17"/>
        <v>185365</v>
      </c>
      <c r="HF7" s="1513">
        <f t="shared" si="17"/>
        <v>186041</v>
      </c>
      <c r="HG7" s="1513">
        <f t="shared" si="17"/>
        <v>194958</v>
      </c>
      <c r="HH7" s="1513">
        <f t="shared" si="17"/>
        <v>188069</v>
      </c>
      <c r="HI7" s="1513">
        <f t="shared" si="17"/>
        <v>198163</v>
      </c>
      <c r="HJ7" s="1513">
        <f t="shared" si="17"/>
        <v>176872</v>
      </c>
      <c r="HK7" s="1513">
        <f t="shared" si="17"/>
        <v>202747</v>
      </c>
      <c r="HL7" s="1513">
        <f t="shared" si="17"/>
        <v>263113</v>
      </c>
      <c r="HM7" s="1514">
        <f t="shared" si="17"/>
        <v>330035</v>
      </c>
      <c r="HN7" s="1515">
        <f>SUM(HB7:HM7)</f>
        <v>2402127</v>
      </c>
      <c r="HO7" s="1512">
        <f>+HO8+HO14+HO19</f>
        <v>168615</v>
      </c>
      <c r="HP7" s="1513">
        <f>+HP8+HP14+HP19</f>
        <v>203606</v>
      </c>
      <c r="HQ7" s="1513">
        <f>+HQ8+HQ14+HQ19</f>
        <v>171343</v>
      </c>
      <c r="HR7" s="1513">
        <f>+HR8+HR14+HR19</f>
        <v>224286</v>
      </c>
      <c r="HS7" s="1513">
        <f>+HS8+HS14+HS19</f>
        <v>267758</v>
      </c>
      <c r="HT7" s="1513">
        <f t="shared" ref="HT7:HY7" si="18">+HT8+HT14+HT19</f>
        <v>190312</v>
      </c>
      <c r="HU7" s="1513">
        <f t="shared" si="18"/>
        <v>195036</v>
      </c>
      <c r="HV7" s="1513">
        <f t="shared" si="18"/>
        <v>208904</v>
      </c>
      <c r="HW7" s="1513">
        <f t="shared" si="18"/>
        <v>207303</v>
      </c>
      <c r="HX7" s="1513">
        <f t="shared" si="18"/>
        <v>221162</v>
      </c>
      <c r="HY7" s="1513">
        <f t="shared" si="18"/>
        <v>208942</v>
      </c>
      <c r="HZ7" s="1669">
        <v>314992</v>
      </c>
      <c r="IA7" s="1512">
        <f>SUM(HO7:HZ7)</f>
        <v>2582259</v>
      </c>
      <c r="IB7" s="1516">
        <f t="shared" ref="IB7:II7" si="19">+IB8+IB14+IB19</f>
        <v>231096</v>
      </c>
      <c r="IC7" s="1209">
        <f t="shared" si="19"/>
        <v>179898</v>
      </c>
      <c r="ID7" s="1209">
        <f t="shared" si="19"/>
        <v>202130</v>
      </c>
      <c r="IE7" s="1209">
        <f t="shared" si="19"/>
        <v>197487</v>
      </c>
      <c r="IF7" s="1209">
        <f>+IF8+IF14+IF19</f>
        <v>223675</v>
      </c>
      <c r="IG7" s="1209">
        <f t="shared" si="19"/>
        <v>218099</v>
      </c>
      <c r="IH7" s="1209">
        <f t="shared" si="19"/>
        <v>251709</v>
      </c>
      <c r="II7" s="1209">
        <f t="shared" si="19"/>
        <v>239184</v>
      </c>
      <c r="IJ7" s="1209"/>
      <c r="IK7" s="1209"/>
      <c r="IL7" s="1209"/>
      <c r="IM7" s="1517"/>
      <c r="IN7" s="1518">
        <f>SUM(IB7:IM7)</f>
        <v>1743278</v>
      </c>
      <c r="IO7" s="1422"/>
      <c r="IP7" s="1519">
        <f>IFERROR(((
_xlfn.XLOOKUP((DATE(YEAR($IP$5),MONTH($IP$5),1)),$B$5:$IN$5,$B7:$IN7) /
_xlfn.XLOOKUP((DATE(YEAR($IP$5)-1,MONTH($IP$5),1)),$B$5:$IN$5,$B7:$IN7)
)-1)*100,"")</f>
        <v>14.494696128365181</v>
      </c>
      <c r="IQ7" s="1520">
        <f>IFERROR(((IS7/IR7)-1)*100,"")</f>
        <v>6.9587571938694026</v>
      </c>
      <c r="IR7" s="1521">
        <f>SUMIFS($B7:$IN7,$B$5:$IN$5,"&gt;="&amp;DATE(YEAR($IP$5)-1,1,1),$B$5:$IN$5,"&lt;="&amp;DATE(YEAR($IP$5)-1,MONTH($IP$5),1))</f>
        <v>1629860</v>
      </c>
      <c r="IS7" s="1522">
        <f>SUMIFS($B7:$IN7,$B$5:$IN$5,"&gt;="&amp;DATE(YEAR($IP$5),1,1),$B$5:$IN$5,"&lt;="&amp;$IP$5)</f>
        <v>1743278</v>
      </c>
      <c r="IU7" s="1521"/>
    </row>
    <row r="8" spans="1:255" s="338" customFormat="1" ht="15" customHeight="1" x14ac:dyDescent="0.2">
      <c r="A8" s="1553" t="s">
        <v>432</v>
      </c>
      <c r="B8" s="376">
        <f t="shared" ref="B8:M8" si="20">SUM(B9:B13)</f>
        <v>29427</v>
      </c>
      <c r="C8" s="377">
        <f t="shared" si="20"/>
        <v>32775</v>
      </c>
      <c r="D8" s="377">
        <f t="shared" si="20"/>
        <v>24523</v>
      </c>
      <c r="E8" s="377">
        <f t="shared" si="20"/>
        <v>27330</v>
      </c>
      <c r="F8" s="377">
        <f t="shared" si="20"/>
        <v>27212</v>
      </c>
      <c r="G8" s="377">
        <f t="shared" si="20"/>
        <v>27211</v>
      </c>
      <c r="H8" s="377">
        <f t="shared" si="20"/>
        <v>32873</v>
      </c>
      <c r="I8" s="377">
        <f t="shared" si="20"/>
        <v>28997</v>
      </c>
      <c r="J8" s="377">
        <f t="shared" si="20"/>
        <v>28117</v>
      </c>
      <c r="K8" s="377">
        <f t="shared" si="20"/>
        <v>28788</v>
      </c>
      <c r="L8" s="377">
        <f t="shared" si="20"/>
        <v>29156</v>
      </c>
      <c r="M8" s="388">
        <f t="shared" si="20"/>
        <v>32909</v>
      </c>
      <c r="N8" s="378">
        <f t="shared" si="1"/>
        <v>349318</v>
      </c>
      <c r="O8" s="376">
        <f t="shared" ref="O8:Z8" si="21">SUM(O9:O13)</f>
        <v>27026</v>
      </c>
      <c r="P8" s="377">
        <f t="shared" si="21"/>
        <v>34286</v>
      </c>
      <c r="Q8" s="377">
        <f t="shared" si="21"/>
        <v>30240</v>
      </c>
      <c r="R8" s="377">
        <f t="shared" si="21"/>
        <v>28784</v>
      </c>
      <c r="S8" s="377">
        <f t="shared" si="21"/>
        <v>28709</v>
      </c>
      <c r="T8" s="377">
        <f t="shared" si="21"/>
        <v>29589</v>
      </c>
      <c r="U8" s="377">
        <f t="shared" si="21"/>
        <v>38165</v>
      </c>
      <c r="V8" s="377">
        <f t="shared" si="21"/>
        <v>30023</v>
      </c>
      <c r="W8" s="377">
        <f t="shared" si="21"/>
        <v>34211</v>
      </c>
      <c r="X8" s="377">
        <f t="shared" si="21"/>
        <v>28925</v>
      </c>
      <c r="Y8" s="377">
        <f t="shared" si="21"/>
        <v>28659</v>
      </c>
      <c r="Z8" s="388">
        <f t="shared" si="21"/>
        <v>36638</v>
      </c>
      <c r="AA8" s="378">
        <f>SUM(O8:Z8)</f>
        <v>375255</v>
      </c>
      <c r="AB8" s="376">
        <f t="shared" ref="AB8:AM8" si="22">SUM(AB9:AB13)</f>
        <v>33543</v>
      </c>
      <c r="AC8" s="377">
        <f t="shared" si="22"/>
        <v>28090</v>
      </c>
      <c r="AD8" s="377">
        <f t="shared" si="22"/>
        <v>27423</v>
      </c>
      <c r="AE8" s="377">
        <f t="shared" si="22"/>
        <v>31670</v>
      </c>
      <c r="AF8" s="377">
        <f t="shared" si="22"/>
        <v>30763</v>
      </c>
      <c r="AG8" s="377">
        <f t="shared" si="22"/>
        <v>33455</v>
      </c>
      <c r="AH8" s="377">
        <f t="shared" si="22"/>
        <v>42544</v>
      </c>
      <c r="AI8" s="377">
        <f t="shared" si="22"/>
        <v>31423</v>
      </c>
      <c r="AJ8" s="377">
        <f t="shared" si="22"/>
        <v>33342</v>
      </c>
      <c r="AK8" s="377">
        <f t="shared" si="22"/>
        <v>31145</v>
      </c>
      <c r="AL8" s="377">
        <f t="shared" si="22"/>
        <v>34645</v>
      </c>
      <c r="AM8" s="388">
        <f t="shared" si="22"/>
        <v>42272</v>
      </c>
      <c r="AN8" s="378">
        <f>SUM(AB8:AM8)</f>
        <v>400315</v>
      </c>
      <c r="AO8" s="376">
        <f t="shared" ref="AO8:AZ8" si="23">SUM(AO9:AO13)</f>
        <v>33371</v>
      </c>
      <c r="AP8" s="377">
        <f t="shared" si="23"/>
        <v>32286</v>
      </c>
      <c r="AQ8" s="377">
        <f t="shared" si="23"/>
        <v>31491</v>
      </c>
      <c r="AR8" s="377">
        <f t="shared" si="23"/>
        <v>27557</v>
      </c>
      <c r="AS8" s="377">
        <f t="shared" si="23"/>
        <v>33946</v>
      </c>
      <c r="AT8" s="377">
        <f t="shared" si="23"/>
        <v>34587</v>
      </c>
      <c r="AU8" s="377">
        <f t="shared" si="23"/>
        <v>36282</v>
      </c>
      <c r="AV8" s="377">
        <f t="shared" si="23"/>
        <v>33167</v>
      </c>
      <c r="AW8" s="377">
        <f t="shared" si="23"/>
        <v>37505</v>
      </c>
      <c r="AX8" s="377">
        <f t="shared" si="23"/>
        <v>33836</v>
      </c>
      <c r="AY8" s="377">
        <f t="shared" si="23"/>
        <v>37569</v>
      </c>
      <c r="AZ8" s="388">
        <f t="shared" si="23"/>
        <v>59752</v>
      </c>
      <c r="BA8" s="378">
        <f>SUM(AO8:AZ8)</f>
        <v>431349</v>
      </c>
      <c r="BB8" s="376">
        <f t="shared" ref="BB8:BM8" si="24">SUM(BB9:BB13)</f>
        <v>35299</v>
      </c>
      <c r="BC8" s="377">
        <f t="shared" si="24"/>
        <v>32447</v>
      </c>
      <c r="BD8" s="377">
        <f t="shared" si="24"/>
        <v>35519</v>
      </c>
      <c r="BE8" s="377">
        <f t="shared" si="24"/>
        <v>34084</v>
      </c>
      <c r="BF8" s="377">
        <f t="shared" si="24"/>
        <v>37010</v>
      </c>
      <c r="BG8" s="377">
        <f t="shared" si="24"/>
        <v>35296</v>
      </c>
      <c r="BH8" s="377">
        <f t="shared" si="24"/>
        <v>41508</v>
      </c>
      <c r="BI8" s="377">
        <f t="shared" si="24"/>
        <v>38405</v>
      </c>
      <c r="BJ8" s="377">
        <f t="shared" si="24"/>
        <v>38286</v>
      </c>
      <c r="BK8" s="377">
        <f t="shared" si="24"/>
        <v>39853</v>
      </c>
      <c r="BL8" s="377">
        <f t="shared" si="24"/>
        <v>41340</v>
      </c>
      <c r="BM8" s="388">
        <f t="shared" si="24"/>
        <v>67821</v>
      </c>
      <c r="BN8" s="378">
        <f>SUM(BB8:BM8)</f>
        <v>476868</v>
      </c>
      <c r="BO8" s="376">
        <f t="shared" ref="BO8:BZ8" si="25">SUM(BO9:BO13)</f>
        <v>36714</v>
      </c>
      <c r="BP8" s="377">
        <f t="shared" si="25"/>
        <v>38567</v>
      </c>
      <c r="BQ8" s="377">
        <f t="shared" si="25"/>
        <v>38919</v>
      </c>
      <c r="BR8" s="377">
        <f t="shared" si="25"/>
        <v>40786</v>
      </c>
      <c r="BS8" s="377">
        <f t="shared" si="25"/>
        <v>41247</v>
      </c>
      <c r="BT8" s="377">
        <f t="shared" si="25"/>
        <v>46371</v>
      </c>
      <c r="BU8" s="377">
        <f t="shared" si="25"/>
        <v>45053</v>
      </c>
      <c r="BV8" s="377">
        <f t="shared" si="25"/>
        <v>43198</v>
      </c>
      <c r="BW8" s="377">
        <f t="shared" si="25"/>
        <v>43873</v>
      </c>
      <c r="BX8" s="377">
        <f t="shared" si="25"/>
        <v>40121</v>
      </c>
      <c r="BY8" s="377">
        <f t="shared" si="25"/>
        <v>48195</v>
      </c>
      <c r="BZ8" s="388">
        <f t="shared" si="25"/>
        <v>73242</v>
      </c>
      <c r="CA8" s="378">
        <f>SUM(BO8:BZ8)</f>
        <v>536286</v>
      </c>
      <c r="CB8" s="376">
        <f t="shared" ref="CB8:CM8" si="26">SUM(CB9:CB13)</f>
        <v>42545</v>
      </c>
      <c r="CC8" s="377">
        <f t="shared" si="26"/>
        <v>43168</v>
      </c>
      <c r="CD8" s="377">
        <f t="shared" si="26"/>
        <v>41060</v>
      </c>
      <c r="CE8" s="377">
        <f t="shared" si="26"/>
        <v>43085</v>
      </c>
      <c r="CF8" s="377">
        <f t="shared" si="26"/>
        <v>46167</v>
      </c>
      <c r="CG8" s="377">
        <f t="shared" si="26"/>
        <v>47032</v>
      </c>
      <c r="CH8" s="377">
        <f t="shared" si="26"/>
        <v>75302</v>
      </c>
      <c r="CI8" s="377">
        <f t="shared" si="26"/>
        <v>44696</v>
      </c>
      <c r="CJ8" s="377">
        <f t="shared" si="26"/>
        <v>52922</v>
      </c>
      <c r="CK8" s="377">
        <f t="shared" si="26"/>
        <v>48173</v>
      </c>
      <c r="CL8" s="377">
        <f t="shared" si="26"/>
        <v>68546</v>
      </c>
      <c r="CM8" s="388">
        <f t="shared" si="26"/>
        <v>81260</v>
      </c>
      <c r="CN8" s="378">
        <f>SUM(CB8:CM8)</f>
        <v>633956</v>
      </c>
      <c r="CO8" s="376">
        <f t="shared" ref="CO8:CZ8" si="27">SUM(CO9:CO13)</f>
        <v>42292</v>
      </c>
      <c r="CP8" s="377">
        <f t="shared" si="27"/>
        <v>44617</v>
      </c>
      <c r="CQ8" s="377">
        <f t="shared" si="27"/>
        <v>42498</v>
      </c>
      <c r="CR8" s="377">
        <f t="shared" si="27"/>
        <v>51311</v>
      </c>
      <c r="CS8" s="377">
        <f t="shared" si="27"/>
        <v>51083</v>
      </c>
      <c r="CT8" s="377">
        <f t="shared" si="27"/>
        <v>64830</v>
      </c>
      <c r="CU8" s="377">
        <f t="shared" si="27"/>
        <v>61085</v>
      </c>
      <c r="CV8" s="377">
        <f t="shared" si="27"/>
        <v>80459</v>
      </c>
      <c r="CW8" s="377">
        <f t="shared" si="27"/>
        <v>58181</v>
      </c>
      <c r="CX8" s="377">
        <f t="shared" si="27"/>
        <v>60570</v>
      </c>
      <c r="CY8" s="377">
        <f t="shared" si="27"/>
        <v>82475</v>
      </c>
      <c r="CZ8" s="388">
        <f t="shared" si="27"/>
        <v>97045</v>
      </c>
      <c r="DA8" s="378">
        <f t="shared" ref="DA8:DA21" si="28">SUM(CO8:CZ8)</f>
        <v>736446</v>
      </c>
      <c r="DB8" s="376">
        <f t="shared" ref="DB8:DM8" si="29">SUM(DB9:DB13)</f>
        <v>48769</v>
      </c>
      <c r="DC8" s="377">
        <f t="shared" si="29"/>
        <v>48027</v>
      </c>
      <c r="DD8" s="377">
        <f t="shared" si="29"/>
        <v>58075</v>
      </c>
      <c r="DE8" s="377">
        <f t="shared" si="29"/>
        <v>57896</v>
      </c>
      <c r="DF8" s="377">
        <f t="shared" si="29"/>
        <v>58151</v>
      </c>
      <c r="DG8" s="377">
        <f t="shared" si="29"/>
        <v>58010</v>
      </c>
      <c r="DH8" s="377">
        <f t="shared" si="29"/>
        <v>68285</v>
      </c>
      <c r="DI8" s="377">
        <f t="shared" si="29"/>
        <v>63099</v>
      </c>
      <c r="DJ8" s="377">
        <f t="shared" si="29"/>
        <v>63599</v>
      </c>
      <c r="DK8" s="377">
        <f t="shared" si="29"/>
        <v>59491</v>
      </c>
      <c r="DL8" s="377">
        <f t="shared" si="29"/>
        <v>67381</v>
      </c>
      <c r="DM8" s="388">
        <f t="shared" si="29"/>
        <v>118021</v>
      </c>
      <c r="DN8" s="378">
        <f t="shared" ref="DN8:DN21" si="30">SUM(DB8:DM8)</f>
        <v>768804</v>
      </c>
      <c r="DO8" s="376">
        <f t="shared" ref="DO8:DZ8" si="31">SUM(DO9:DO13)</f>
        <v>53740</v>
      </c>
      <c r="DP8" s="377">
        <f t="shared" si="31"/>
        <v>52760</v>
      </c>
      <c r="DQ8" s="377">
        <f t="shared" si="31"/>
        <v>57613</v>
      </c>
      <c r="DR8" s="377">
        <f t="shared" si="31"/>
        <v>63612</v>
      </c>
      <c r="DS8" s="377">
        <f t="shared" si="31"/>
        <v>64862</v>
      </c>
      <c r="DT8" s="377">
        <f t="shared" si="31"/>
        <v>70800</v>
      </c>
      <c r="DU8" s="377">
        <f t="shared" si="31"/>
        <v>73943</v>
      </c>
      <c r="DV8" s="377">
        <f t="shared" si="31"/>
        <v>67972</v>
      </c>
      <c r="DW8" s="377">
        <f t="shared" si="31"/>
        <v>66192</v>
      </c>
      <c r="DX8" s="377">
        <f t="shared" si="31"/>
        <v>70255</v>
      </c>
      <c r="DY8" s="377">
        <f t="shared" si="31"/>
        <v>90217</v>
      </c>
      <c r="DZ8" s="388">
        <f t="shared" si="31"/>
        <v>129349</v>
      </c>
      <c r="EA8" s="378">
        <f t="shared" ref="EA8:EA21" si="32">SUM(DO8:DZ8)</f>
        <v>861315</v>
      </c>
      <c r="EB8" s="376">
        <f t="shared" ref="EB8:EM8" si="33">SUM(EB9:EB13)</f>
        <v>67110</v>
      </c>
      <c r="EC8" s="377">
        <f t="shared" si="33"/>
        <v>66140</v>
      </c>
      <c r="ED8" s="377">
        <f t="shared" si="33"/>
        <v>66551</v>
      </c>
      <c r="EE8" s="377">
        <f t="shared" si="33"/>
        <v>72855</v>
      </c>
      <c r="EF8" s="377">
        <f t="shared" si="33"/>
        <v>72698</v>
      </c>
      <c r="EG8" s="377">
        <f t="shared" si="33"/>
        <v>87591</v>
      </c>
      <c r="EH8" s="377">
        <f t="shared" si="33"/>
        <v>96798</v>
      </c>
      <c r="EI8" s="377">
        <f t="shared" si="33"/>
        <v>78323</v>
      </c>
      <c r="EJ8" s="377">
        <f t="shared" si="33"/>
        <v>79401</v>
      </c>
      <c r="EK8" s="377">
        <f t="shared" si="33"/>
        <v>90555</v>
      </c>
      <c r="EL8" s="377">
        <f t="shared" si="33"/>
        <v>85684</v>
      </c>
      <c r="EM8" s="388">
        <f t="shared" si="33"/>
        <v>137223</v>
      </c>
      <c r="EN8" s="378">
        <f t="shared" ref="EN8:EN21" si="34">SUM(EB8:EM8)</f>
        <v>1000929</v>
      </c>
      <c r="EO8" s="376">
        <f>SUM(EO9:EO13)</f>
        <v>72799</v>
      </c>
      <c r="EP8" s="377">
        <f>SUM(EP9:EP13)</f>
        <v>62603</v>
      </c>
      <c r="EQ8" s="377">
        <f>SUM(EQ9:EQ13)</f>
        <v>69178</v>
      </c>
      <c r="ER8" s="377">
        <f>SUM(ER9:ER13)</f>
        <v>72965</v>
      </c>
      <c r="ES8" s="377">
        <f>SUM(ES9:ES13)</f>
        <v>77537</v>
      </c>
      <c r="ET8" s="377">
        <f t="shared" ref="ET8:EZ8" si="35">SUM(ET9:ET13)</f>
        <v>105591</v>
      </c>
      <c r="EU8" s="377">
        <f t="shared" si="35"/>
        <v>84623</v>
      </c>
      <c r="EV8" s="377">
        <f t="shared" si="35"/>
        <v>122436</v>
      </c>
      <c r="EW8" s="377">
        <f t="shared" si="35"/>
        <v>87142</v>
      </c>
      <c r="EX8" s="377">
        <f t="shared" si="35"/>
        <v>88848</v>
      </c>
      <c r="EY8" s="377">
        <f t="shared" si="35"/>
        <v>93709</v>
      </c>
      <c r="EZ8" s="388">
        <f t="shared" si="35"/>
        <v>161574</v>
      </c>
      <c r="FA8" s="378">
        <f t="shared" ref="FA8:FA21" si="36">SUM(EO8:EZ8)</f>
        <v>1099005</v>
      </c>
      <c r="FB8" s="376">
        <f t="shared" ref="FB8:FM8" si="37">SUM(FB9:FB13)</f>
        <v>73908</v>
      </c>
      <c r="FC8" s="377">
        <f t="shared" si="37"/>
        <v>72097</v>
      </c>
      <c r="FD8" s="377">
        <f t="shared" si="37"/>
        <v>83679</v>
      </c>
      <c r="FE8" s="377">
        <f t="shared" si="37"/>
        <v>85533</v>
      </c>
      <c r="FF8" s="377">
        <f t="shared" si="37"/>
        <v>84595</v>
      </c>
      <c r="FG8" s="377">
        <f t="shared" si="37"/>
        <v>86877</v>
      </c>
      <c r="FH8" s="377">
        <f t="shared" si="37"/>
        <v>106716</v>
      </c>
      <c r="FI8" s="377">
        <f t="shared" si="37"/>
        <v>91903</v>
      </c>
      <c r="FJ8" s="377">
        <f t="shared" si="37"/>
        <v>97072</v>
      </c>
      <c r="FK8" s="377">
        <f t="shared" si="37"/>
        <v>109348</v>
      </c>
      <c r="FL8" s="377">
        <f t="shared" si="37"/>
        <v>109915</v>
      </c>
      <c r="FM8" s="388">
        <f t="shared" si="37"/>
        <v>244030</v>
      </c>
      <c r="FN8" s="378">
        <f t="shared" ref="FN8:FN21" si="38">SUM(FB8:FM8)</f>
        <v>1245673</v>
      </c>
      <c r="FO8" s="376">
        <f t="shared" ref="FO8:GM8" si="39">SUM(FO9:FO13)</f>
        <v>81002</v>
      </c>
      <c r="FP8" s="377">
        <f t="shared" si="39"/>
        <v>94424</v>
      </c>
      <c r="FQ8" s="377">
        <f t="shared" si="39"/>
        <v>100668</v>
      </c>
      <c r="FR8" s="377">
        <f t="shared" si="39"/>
        <v>110633</v>
      </c>
      <c r="FS8" s="377">
        <f t="shared" si="39"/>
        <v>112740</v>
      </c>
      <c r="FT8" s="377">
        <f t="shared" si="39"/>
        <v>111075</v>
      </c>
      <c r="FU8" s="377">
        <f t="shared" si="39"/>
        <v>117295</v>
      </c>
      <c r="FV8" s="377">
        <f t="shared" si="39"/>
        <v>106834</v>
      </c>
      <c r="FW8" s="377">
        <f t="shared" si="39"/>
        <v>115951</v>
      </c>
      <c r="FX8" s="377">
        <f t="shared" si="39"/>
        <v>112403</v>
      </c>
      <c r="FY8" s="377">
        <f t="shared" si="39"/>
        <v>107084</v>
      </c>
      <c r="FZ8" s="388">
        <f t="shared" si="39"/>
        <v>241246</v>
      </c>
      <c r="GA8" s="378">
        <f t="shared" ref="GA8:GA28" si="40">SUM(FO8:FZ8)</f>
        <v>1411355</v>
      </c>
      <c r="GB8" s="376">
        <f t="shared" si="39"/>
        <v>94610</v>
      </c>
      <c r="GC8" s="377">
        <f t="shared" si="39"/>
        <v>98380</v>
      </c>
      <c r="GD8" s="377">
        <f t="shared" si="39"/>
        <v>113120</v>
      </c>
      <c r="GE8" s="377">
        <f t="shared" si="39"/>
        <v>114464</v>
      </c>
      <c r="GF8" s="377">
        <f t="shared" si="39"/>
        <v>116920</v>
      </c>
      <c r="GG8" s="377">
        <f t="shared" si="39"/>
        <v>126857</v>
      </c>
      <c r="GH8" s="377">
        <f t="shared" si="39"/>
        <v>135456</v>
      </c>
      <c r="GI8" s="377">
        <f t="shared" si="39"/>
        <v>128716</v>
      </c>
      <c r="GJ8" s="377">
        <f t="shared" si="39"/>
        <v>112051</v>
      </c>
      <c r="GK8" s="377">
        <f t="shared" si="39"/>
        <v>114775</v>
      </c>
      <c r="GL8" s="377">
        <f t="shared" si="39"/>
        <v>127633</v>
      </c>
      <c r="GM8" s="388">
        <f t="shared" si="39"/>
        <v>193478</v>
      </c>
      <c r="GN8" s="378">
        <f t="shared" ref="GN8:GN27" si="41">SUM(GB8:GM8)</f>
        <v>1476460</v>
      </c>
      <c r="GO8" s="376">
        <f t="shared" ref="GO8:GZ8" si="42">SUM(GO9:GO13)</f>
        <v>131326</v>
      </c>
      <c r="GP8" s="377">
        <f t="shared" si="42"/>
        <v>114093</v>
      </c>
      <c r="GQ8" s="377">
        <f t="shared" si="42"/>
        <v>115001</v>
      </c>
      <c r="GR8" s="377">
        <f t="shared" si="42"/>
        <v>118620</v>
      </c>
      <c r="GS8" s="377">
        <f t="shared" si="42"/>
        <v>127692</v>
      </c>
      <c r="GT8" s="377">
        <f t="shared" si="42"/>
        <v>128749</v>
      </c>
      <c r="GU8" s="377">
        <f t="shared" si="42"/>
        <v>191502</v>
      </c>
      <c r="GV8" s="377">
        <f t="shared" si="42"/>
        <v>138228</v>
      </c>
      <c r="GW8" s="377">
        <f t="shared" si="42"/>
        <v>131363</v>
      </c>
      <c r="GX8" s="377">
        <f t="shared" si="42"/>
        <v>130925</v>
      </c>
      <c r="GY8" s="377">
        <f t="shared" si="42"/>
        <v>154816</v>
      </c>
      <c r="GZ8" s="388">
        <f t="shared" si="42"/>
        <v>203521</v>
      </c>
      <c r="HA8" s="378">
        <f t="shared" ref="HA8:HA30" si="43">SUM(GO8:GZ8)</f>
        <v>1685836</v>
      </c>
      <c r="HB8" s="376">
        <f t="shared" ref="HB8:HM8" si="44">SUM(HB9:HB13)</f>
        <v>156156</v>
      </c>
      <c r="HC8" s="377">
        <f t="shared" si="44"/>
        <v>126186</v>
      </c>
      <c r="HD8" s="377">
        <f t="shared" si="44"/>
        <v>127337</v>
      </c>
      <c r="HE8" s="377">
        <f t="shared" si="44"/>
        <v>144541</v>
      </c>
      <c r="HF8" s="377">
        <f t="shared" si="44"/>
        <v>146139</v>
      </c>
      <c r="HG8" s="377">
        <f t="shared" si="44"/>
        <v>144105</v>
      </c>
      <c r="HH8" s="377">
        <f t="shared" si="44"/>
        <v>151837</v>
      </c>
      <c r="HI8" s="377">
        <f t="shared" si="44"/>
        <v>155025</v>
      </c>
      <c r="HJ8" s="377">
        <f t="shared" si="44"/>
        <v>149248</v>
      </c>
      <c r="HK8" s="377">
        <f t="shared" si="44"/>
        <v>149514</v>
      </c>
      <c r="HL8" s="377">
        <f t="shared" si="44"/>
        <v>204648</v>
      </c>
      <c r="HM8" s="388">
        <f t="shared" si="44"/>
        <v>190749</v>
      </c>
      <c r="HN8" s="378">
        <f t="shared" ref="HN8:HN30" si="45">SUM(HB8:HM8)</f>
        <v>1845485</v>
      </c>
      <c r="HO8" s="376">
        <f t="shared" ref="HO8:HY8" si="46">SUM(HO9:HO13)</f>
        <v>159689</v>
      </c>
      <c r="HP8" s="377">
        <f t="shared" si="46"/>
        <v>129738</v>
      </c>
      <c r="HQ8" s="377">
        <f t="shared" si="46"/>
        <v>136001</v>
      </c>
      <c r="HR8" s="377">
        <f t="shared" si="46"/>
        <v>151278</v>
      </c>
      <c r="HS8" s="377">
        <f t="shared" si="46"/>
        <v>185663</v>
      </c>
      <c r="HT8" s="377">
        <f t="shared" si="46"/>
        <v>149235</v>
      </c>
      <c r="HU8" s="377">
        <f t="shared" si="46"/>
        <v>156025</v>
      </c>
      <c r="HV8" s="377">
        <f t="shared" si="46"/>
        <v>163660</v>
      </c>
      <c r="HW8" s="377">
        <f t="shared" si="46"/>
        <v>158645</v>
      </c>
      <c r="HX8" s="377">
        <f t="shared" si="46"/>
        <v>158823</v>
      </c>
      <c r="HY8" s="377">
        <f t="shared" si="46"/>
        <v>159332</v>
      </c>
      <c r="HZ8" s="1670">
        <v>229324</v>
      </c>
      <c r="IA8" s="376">
        <f t="shared" ref="IA8:IA30" si="47">SUM(HO8:HZ8)</f>
        <v>1937413</v>
      </c>
      <c r="IB8" s="1328">
        <f t="shared" ref="IB8:IF8" si="48">SUM(IB9:IB13)</f>
        <v>189202</v>
      </c>
      <c r="IC8" s="129">
        <f t="shared" si="48"/>
        <v>147186</v>
      </c>
      <c r="ID8" s="129">
        <f t="shared" si="48"/>
        <v>160295</v>
      </c>
      <c r="IE8" s="129">
        <f t="shared" si="48"/>
        <v>160369</v>
      </c>
      <c r="IF8" s="129">
        <f t="shared" si="48"/>
        <v>173862</v>
      </c>
      <c r="IG8" s="129">
        <v>168831</v>
      </c>
      <c r="IH8" s="129">
        <f t="shared" ref="IH8" si="49">SUM(IH9:IH13)</f>
        <v>176363</v>
      </c>
      <c r="II8" s="129">
        <f t="shared" ref="II8" si="50">SUM(II9:II13)</f>
        <v>178399</v>
      </c>
      <c r="IJ8" s="129"/>
      <c r="IK8" s="129"/>
      <c r="IL8" s="129"/>
      <c r="IM8" s="1268"/>
      <c r="IN8" s="1343">
        <f t="shared" ref="IN8:IN30" si="51">SUM(IB8:IM8)</f>
        <v>1354507</v>
      </c>
      <c r="IO8" s="120"/>
      <c r="IP8" s="370">
        <f t="shared" ref="IP8:IP27" si="52">IFERROR(((
_xlfn.XLOOKUP((DATE(YEAR($IP$5),MONTH($IP$5),1)),$B$5:$IN$5,$B8:$IN8) /
_xlfn.XLOOKUP((DATE(YEAR($IP$5)-1,MONTH($IP$5),1)),$B$5:$IN$5,$B8:$IN8)
)-1)*100,"")</f>
        <v>9.0058658193816541</v>
      </c>
      <c r="IQ8" s="340">
        <f t="shared" ref="IQ8:IQ30" si="53">IFERROR(((IS8/IR8)-1)*100,"")</f>
        <v>10.007236319012037</v>
      </c>
      <c r="IR8" s="339">
        <f t="shared" ref="IR8:IR30" si="54">SUMIFS($B8:$IN8,$B$5:$IN$5,"&gt;="&amp;DATE(YEAR($IP$5)-1,1,1),$B$5:$IN$5,"&lt;="&amp;DATE(YEAR($IP$5)-1,MONTH($IP$5),1))</f>
        <v>1231289</v>
      </c>
      <c r="IS8" s="341">
        <f t="shared" ref="IS8:IS30" si="55">SUMIFS($B8:$IN8,$B$5:$IN$5,"&gt;="&amp;DATE(YEAR($IP$5),1,1),$B$5:$IN$5,"&lt;="&amp;$IP$5)</f>
        <v>1354507</v>
      </c>
      <c r="IU8" s="339"/>
    </row>
    <row r="9" spans="1:255" ht="15" customHeight="1" x14ac:dyDescent="0.2">
      <c r="A9" s="1554" t="s">
        <v>433</v>
      </c>
      <c r="B9" s="379">
        <v>24022</v>
      </c>
      <c r="C9" s="380">
        <v>23713</v>
      </c>
      <c r="D9" s="380">
        <v>17834</v>
      </c>
      <c r="E9" s="380">
        <v>20591</v>
      </c>
      <c r="F9" s="380">
        <v>20693</v>
      </c>
      <c r="G9" s="380">
        <v>20662</v>
      </c>
      <c r="H9" s="380">
        <v>25022</v>
      </c>
      <c r="I9" s="380">
        <v>21676</v>
      </c>
      <c r="J9" s="380">
        <v>21306</v>
      </c>
      <c r="K9" s="380">
        <v>21305</v>
      </c>
      <c r="L9" s="380">
        <v>21226</v>
      </c>
      <c r="M9" s="389">
        <v>24985</v>
      </c>
      <c r="N9" s="381">
        <f t="shared" si="1"/>
        <v>263035</v>
      </c>
      <c r="O9" s="379">
        <v>21440</v>
      </c>
      <c r="P9" s="380">
        <v>25607</v>
      </c>
      <c r="Q9" s="380">
        <v>21591</v>
      </c>
      <c r="R9" s="380">
        <v>21823</v>
      </c>
      <c r="S9" s="380">
        <v>21842</v>
      </c>
      <c r="T9" s="380">
        <v>21665</v>
      </c>
      <c r="U9" s="380">
        <v>28448</v>
      </c>
      <c r="V9" s="380">
        <v>21674</v>
      </c>
      <c r="W9" s="380">
        <v>21454</v>
      </c>
      <c r="X9" s="380">
        <v>21518</v>
      </c>
      <c r="Y9" s="380">
        <v>21358</v>
      </c>
      <c r="Z9" s="389">
        <v>27595</v>
      </c>
      <c r="AA9" s="381">
        <f>SUM(O9:Z9)</f>
        <v>276015</v>
      </c>
      <c r="AB9" s="379">
        <v>26236</v>
      </c>
      <c r="AC9" s="380">
        <v>21142</v>
      </c>
      <c r="AD9" s="380">
        <v>19923</v>
      </c>
      <c r="AE9" s="380">
        <v>21708</v>
      </c>
      <c r="AF9" s="380">
        <v>21937</v>
      </c>
      <c r="AG9" s="380">
        <v>23459</v>
      </c>
      <c r="AH9" s="380">
        <v>28936</v>
      </c>
      <c r="AI9" s="380">
        <v>20666</v>
      </c>
      <c r="AJ9" s="380">
        <v>22576</v>
      </c>
      <c r="AK9" s="380">
        <v>22027</v>
      </c>
      <c r="AL9" s="380">
        <v>22536</v>
      </c>
      <c r="AM9" s="389">
        <v>27548</v>
      </c>
      <c r="AN9" s="381">
        <f>SUM(AB9:AM9)</f>
        <v>278694</v>
      </c>
      <c r="AO9" s="379">
        <v>27200</v>
      </c>
      <c r="AP9" s="380">
        <v>22341</v>
      </c>
      <c r="AQ9" s="380">
        <v>22440</v>
      </c>
      <c r="AR9" s="380">
        <v>23968</v>
      </c>
      <c r="AS9" s="380">
        <v>23324</v>
      </c>
      <c r="AT9" s="380">
        <v>23466</v>
      </c>
      <c r="AU9" s="380">
        <v>25765</v>
      </c>
      <c r="AV9" s="380">
        <v>23811</v>
      </c>
      <c r="AW9" s="380">
        <v>23745</v>
      </c>
      <c r="AX9" s="380">
        <v>23300</v>
      </c>
      <c r="AY9" s="380">
        <v>24591</v>
      </c>
      <c r="AZ9" s="389">
        <v>31911</v>
      </c>
      <c r="BA9" s="381">
        <f>SUM(AO9:AZ9)</f>
        <v>295862</v>
      </c>
      <c r="BB9" s="379">
        <v>28309</v>
      </c>
      <c r="BC9" s="380">
        <v>24648</v>
      </c>
      <c r="BD9" s="380">
        <v>23842</v>
      </c>
      <c r="BE9" s="380">
        <v>25165</v>
      </c>
      <c r="BF9" s="380">
        <v>27200</v>
      </c>
      <c r="BG9" s="380">
        <v>25049</v>
      </c>
      <c r="BH9" s="380">
        <v>30462</v>
      </c>
      <c r="BI9" s="380">
        <v>25110</v>
      </c>
      <c r="BJ9" s="380">
        <v>26436</v>
      </c>
      <c r="BK9" s="380">
        <v>26576</v>
      </c>
      <c r="BL9" s="380">
        <v>26302</v>
      </c>
      <c r="BM9" s="389">
        <v>38098</v>
      </c>
      <c r="BN9" s="381">
        <f>SUM(BB9:BM9)</f>
        <v>327197</v>
      </c>
      <c r="BO9" s="379">
        <v>29696</v>
      </c>
      <c r="BP9" s="380">
        <v>30886</v>
      </c>
      <c r="BQ9" s="380">
        <v>28682</v>
      </c>
      <c r="BR9" s="380">
        <v>29416</v>
      </c>
      <c r="BS9" s="380">
        <v>30010</v>
      </c>
      <c r="BT9" s="380">
        <v>31382</v>
      </c>
      <c r="BU9" s="380">
        <v>33298</v>
      </c>
      <c r="BV9" s="380">
        <v>29709</v>
      </c>
      <c r="BW9" s="380">
        <v>29396</v>
      </c>
      <c r="BX9" s="380">
        <v>29910</v>
      </c>
      <c r="BY9" s="380">
        <v>30867</v>
      </c>
      <c r="BZ9" s="389">
        <v>42099</v>
      </c>
      <c r="CA9" s="381">
        <f>SUM(BO9:BZ9)</f>
        <v>375351</v>
      </c>
      <c r="CB9" s="379">
        <v>35238</v>
      </c>
      <c r="CC9" s="380">
        <v>32283</v>
      </c>
      <c r="CD9" s="380">
        <v>29950</v>
      </c>
      <c r="CE9" s="380">
        <v>31211</v>
      </c>
      <c r="CF9" s="380">
        <v>31030</v>
      </c>
      <c r="CG9" s="380">
        <v>32398</v>
      </c>
      <c r="CH9" s="380">
        <v>59837</v>
      </c>
      <c r="CI9" s="380">
        <v>31645</v>
      </c>
      <c r="CJ9" s="380">
        <v>33277</v>
      </c>
      <c r="CK9" s="380">
        <v>33260</v>
      </c>
      <c r="CL9" s="380">
        <v>38816</v>
      </c>
      <c r="CM9" s="389">
        <v>50824</v>
      </c>
      <c r="CN9" s="381">
        <f>SUM(CB9:CM9)</f>
        <v>439769</v>
      </c>
      <c r="CO9" s="379">
        <v>34307</v>
      </c>
      <c r="CP9" s="380">
        <v>34413</v>
      </c>
      <c r="CQ9" s="380">
        <v>28786</v>
      </c>
      <c r="CR9" s="380">
        <v>34135</v>
      </c>
      <c r="CS9" s="380">
        <v>34280</v>
      </c>
      <c r="CT9" s="380">
        <v>36574</v>
      </c>
      <c r="CU9" s="380">
        <v>40659</v>
      </c>
      <c r="CV9" s="380">
        <v>36201</v>
      </c>
      <c r="CW9" s="380">
        <v>35845</v>
      </c>
      <c r="CX9" s="380">
        <v>37007</v>
      </c>
      <c r="CY9" s="380">
        <v>38114</v>
      </c>
      <c r="CZ9" s="389">
        <v>53388</v>
      </c>
      <c r="DA9" s="381">
        <f t="shared" si="28"/>
        <v>443709</v>
      </c>
      <c r="DB9" s="379">
        <v>40949</v>
      </c>
      <c r="DC9" s="380">
        <v>37270</v>
      </c>
      <c r="DD9" s="380">
        <v>35733</v>
      </c>
      <c r="DE9" s="380">
        <v>37496</v>
      </c>
      <c r="DF9" s="380">
        <v>38349</v>
      </c>
      <c r="DG9" s="380">
        <v>39465</v>
      </c>
      <c r="DH9" s="380">
        <v>48955</v>
      </c>
      <c r="DI9" s="380">
        <v>41212</v>
      </c>
      <c r="DJ9" s="380">
        <v>42582</v>
      </c>
      <c r="DK9" s="380">
        <v>41395</v>
      </c>
      <c r="DL9" s="380">
        <v>46381</v>
      </c>
      <c r="DM9" s="389">
        <v>55540</v>
      </c>
      <c r="DN9" s="381">
        <f t="shared" si="30"/>
        <v>505327</v>
      </c>
      <c r="DO9" s="379">
        <v>45042</v>
      </c>
      <c r="DP9" s="380">
        <v>40337</v>
      </c>
      <c r="DQ9" s="380">
        <v>40762</v>
      </c>
      <c r="DR9" s="380">
        <v>44870</v>
      </c>
      <c r="DS9" s="380">
        <v>44665</v>
      </c>
      <c r="DT9" s="380">
        <v>44388</v>
      </c>
      <c r="DU9" s="380">
        <v>51902</v>
      </c>
      <c r="DV9" s="380">
        <v>47080</v>
      </c>
      <c r="DW9" s="380">
        <v>46592</v>
      </c>
      <c r="DX9" s="380">
        <v>50100</v>
      </c>
      <c r="DY9" s="380">
        <v>64642</v>
      </c>
      <c r="DZ9" s="389">
        <v>76371</v>
      </c>
      <c r="EA9" s="381">
        <f t="shared" si="32"/>
        <v>596751</v>
      </c>
      <c r="EB9" s="379">
        <v>57079</v>
      </c>
      <c r="EC9" s="380">
        <v>52677</v>
      </c>
      <c r="ED9" s="380">
        <v>51171</v>
      </c>
      <c r="EE9" s="380">
        <v>56450</v>
      </c>
      <c r="EF9" s="380">
        <v>54637</v>
      </c>
      <c r="EG9" s="380">
        <v>54630</v>
      </c>
      <c r="EH9" s="380">
        <v>59811</v>
      </c>
      <c r="EI9" s="380">
        <v>54522</v>
      </c>
      <c r="EJ9" s="380">
        <v>53784</v>
      </c>
      <c r="EK9" s="380">
        <v>54263</v>
      </c>
      <c r="EL9" s="380">
        <v>54114</v>
      </c>
      <c r="EM9" s="389">
        <v>74229</v>
      </c>
      <c r="EN9" s="381">
        <f t="shared" si="34"/>
        <v>677367</v>
      </c>
      <c r="EO9" s="379">
        <v>62169</v>
      </c>
      <c r="EP9" s="380">
        <v>52446</v>
      </c>
      <c r="EQ9" s="380">
        <v>54077</v>
      </c>
      <c r="ER9" s="380">
        <v>56379</v>
      </c>
      <c r="ES9" s="380">
        <v>57440</v>
      </c>
      <c r="ET9" s="380">
        <v>57181</v>
      </c>
      <c r="EU9" s="380">
        <v>62523</v>
      </c>
      <c r="EV9" s="380">
        <v>57132</v>
      </c>
      <c r="EW9" s="380">
        <v>59601</v>
      </c>
      <c r="EX9" s="380">
        <v>59323</v>
      </c>
      <c r="EY9" s="380">
        <v>64074</v>
      </c>
      <c r="EZ9" s="389">
        <v>91958</v>
      </c>
      <c r="FA9" s="381">
        <f t="shared" si="36"/>
        <v>734303</v>
      </c>
      <c r="FB9" s="379">
        <v>61620</v>
      </c>
      <c r="FC9" s="380">
        <v>56961</v>
      </c>
      <c r="FD9" s="380">
        <v>61988</v>
      </c>
      <c r="FE9" s="380">
        <v>64758</v>
      </c>
      <c r="FF9" s="380">
        <v>62387</v>
      </c>
      <c r="FG9" s="380">
        <v>61686</v>
      </c>
      <c r="FH9" s="380">
        <v>71266</v>
      </c>
      <c r="FI9" s="380">
        <v>65136</v>
      </c>
      <c r="FJ9" s="380">
        <v>63752</v>
      </c>
      <c r="FK9" s="380">
        <v>65417</v>
      </c>
      <c r="FL9" s="380">
        <v>74529</v>
      </c>
      <c r="FM9" s="389">
        <v>109012</v>
      </c>
      <c r="FN9" s="381">
        <f t="shared" si="38"/>
        <v>818512</v>
      </c>
      <c r="FO9" s="379">
        <v>67710</v>
      </c>
      <c r="FP9" s="380">
        <v>69018</v>
      </c>
      <c r="FQ9" s="380">
        <v>67681</v>
      </c>
      <c r="FR9" s="380">
        <v>72286</v>
      </c>
      <c r="FS9" s="380">
        <v>71073</v>
      </c>
      <c r="FT9" s="380">
        <v>70169</v>
      </c>
      <c r="FU9" s="380">
        <v>74055</v>
      </c>
      <c r="FV9" s="380">
        <v>67523</v>
      </c>
      <c r="FW9" s="380">
        <v>70960</v>
      </c>
      <c r="FX9" s="380">
        <v>69955</v>
      </c>
      <c r="FY9" s="380">
        <v>70357</v>
      </c>
      <c r="FZ9" s="389">
        <v>100119</v>
      </c>
      <c r="GA9" s="381">
        <f t="shared" si="40"/>
        <v>870906</v>
      </c>
      <c r="GB9" s="379">
        <v>67129</v>
      </c>
      <c r="GC9" s="380">
        <v>68656</v>
      </c>
      <c r="GD9" s="380">
        <v>70687</v>
      </c>
      <c r="GE9" s="380">
        <v>72211</v>
      </c>
      <c r="GF9" s="380">
        <v>71478</v>
      </c>
      <c r="GG9" s="380">
        <v>75771</v>
      </c>
      <c r="GH9" s="380">
        <v>78352</v>
      </c>
      <c r="GI9" s="380">
        <v>78756</v>
      </c>
      <c r="GJ9" s="380">
        <v>70710</v>
      </c>
      <c r="GK9" s="380">
        <v>73066</v>
      </c>
      <c r="GL9" s="380">
        <v>75892</v>
      </c>
      <c r="GM9" s="389">
        <v>93938</v>
      </c>
      <c r="GN9" s="381">
        <f t="shared" si="41"/>
        <v>896646</v>
      </c>
      <c r="GO9" s="379">
        <v>109548</v>
      </c>
      <c r="GP9" s="380">
        <v>82911</v>
      </c>
      <c r="GQ9" s="380">
        <v>74939</v>
      </c>
      <c r="GR9" s="380">
        <v>82659</v>
      </c>
      <c r="GS9" s="380">
        <v>82724</v>
      </c>
      <c r="GT9" s="380">
        <v>85729</v>
      </c>
      <c r="GU9" s="380">
        <v>90841</v>
      </c>
      <c r="GV9" s="380">
        <v>82546</v>
      </c>
      <c r="GW9" s="380">
        <v>83529</v>
      </c>
      <c r="GX9" s="380">
        <v>81882</v>
      </c>
      <c r="GY9" s="380">
        <v>94879</v>
      </c>
      <c r="GZ9" s="389">
        <v>107227</v>
      </c>
      <c r="HA9" s="381">
        <f t="shared" si="43"/>
        <v>1059414</v>
      </c>
      <c r="HB9" s="379">
        <v>146876</v>
      </c>
      <c r="HC9" s="380">
        <v>110607</v>
      </c>
      <c r="HD9" s="380">
        <v>108180</v>
      </c>
      <c r="HE9" s="380">
        <v>118049</v>
      </c>
      <c r="HF9" s="380">
        <v>116455</v>
      </c>
      <c r="HG9" s="380">
        <v>114009</v>
      </c>
      <c r="HH9" s="380">
        <v>122364</v>
      </c>
      <c r="HI9" s="380">
        <v>119411</v>
      </c>
      <c r="HJ9" s="380">
        <v>115685</v>
      </c>
      <c r="HK9" s="380">
        <v>118094</v>
      </c>
      <c r="HL9" s="380">
        <v>169852</v>
      </c>
      <c r="HM9" s="389">
        <v>130581</v>
      </c>
      <c r="HN9" s="381">
        <f t="shared" si="45"/>
        <v>1490163</v>
      </c>
      <c r="HO9" s="379">
        <v>150875</v>
      </c>
      <c r="HP9" s="380">
        <v>113120</v>
      </c>
      <c r="HQ9" s="380">
        <v>113778</v>
      </c>
      <c r="HR9" s="380">
        <v>121591</v>
      </c>
      <c r="HS9" s="380">
        <v>153772</v>
      </c>
      <c r="HT9" s="380">
        <v>122593</v>
      </c>
      <c r="HU9" s="380">
        <v>128808</v>
      </c>
      <c r="HV9" s="380">
        <v>125918</v>
      </c>
      <c r="HW9" s="380">
        <v>123277</v>
      </c>
      <c r="HX9" s="380">
        <v>119272</v>
      </c>
      <c r="HY9" s="380">
        <v>126054</v>
      </c>
      <c r="HZ9" s="391">
        <v>160417</v>
      </c>
      <c r="IA9" s="379">
        <f>SUM(HO9:HZ9)</f>
        <v>1559475</v>
      </c>
      <c r="IB9" s="1344">
        <v>181131</v>
      </c>
      <c r="IC9" s="120">
        <v>125179</v>
      </c>
      <c r="ID9" s="120">
        <v>127842</v>
      </c>
      <c r="IE9" s="120">
        <v>129976</v>
      </c>
      <c r="IF9" s="120">
        <v>131212</v>
      </c>
      <c r="IG9" s="120">
        <v>132707</v>
      </c>
      <c r="IH9" s="120">
        <v>139698</v>
      </c>
      <c r="II9" s="120">
        <v>139899</v>
      </c>
      <c r="IJ9" s="120"/>
      <c r="IK9" s="120"/>
      <c r="IL9" s="120"/>
      <c r="IM9" s="1345"/>
      <c r="IN9" s="1346">
        <f t="shared" si="51"/>
        <v>1107644</v>
      </c>
      <c r="IO9" s="120"/>
      <c r="IP9" s="371">
        <f t="shared" si="52"/>
        <v>11.103257675630163</v>
      </c>
      <c r="IQ9" s="348">
        <f t="shared" si="53"/>
        <v>7.4907686410372154</v>
      </c>
      <c r="IR9" s="320">
        <f t="shared" si="54"/>
        <v>1030455</v>
      </c>
      <c r="IS9" s="344">
        <f t="shared" si="55"/>
        <v>1107644</v>
      </c>
      <c r="IU9" s="320"/>
    </row>
    <row r="10" spans="1:255" ht="15" customHeight="1" x14ac:dyDescent="0.2">
      <c r="A10" s="1554" t="s">
        <v>619</v>
      </c>
      <c r="B10" s="379">
        <v>3169</v>
      </c>
      <c r="C10" s="380">
        <v>4338</v>
      </c>
      <c r="D10" s="380">
        <v>3172</v>
      </c>
      <c r="E10" s="380">
        <v>3184</v>
      </c>
      <c r="F10" s="380">
        <v>3193</v>
      </c>
      <c r="G10" s="380">
        <v>3180</v>
      </c>
      <c r="H10" s="380">
        <v>3959</v>
      </c>
      <c r="I10" s="380">
        <v>3176</v>
      </c>
      <c r="J10" s="380">
        <v>3188</v>
      </c>
      <c r="K10" s="380">
        <v>3186</v>
      </c>
      <c r="L10" s="380">
        <v>3454</v>
      </c>
      <c r="M10" s="389">
        <v>3958</v>
      </c>
      <c r="N10" s="381">
        <f t="shared" si="1"/>
        <v>41157</v>
      </c>
      <c r="O10" s="379">
        <v>3233</v>
      </c>
      <c r="P10" s="380">
        <v>4458</v>
      </c>
      <c r="Q10" s="380">
        <v>3242</v>
      </c>
      <c r="R10" s="380">
        <v>3230</v>
      </c>
      <c r="S10" s="380">
        <v>3232</v>
      </c>
      <c r="T10" s="380">
        <v>3239</v>
      </c>
      <c r="U10" s="380">
        <v>5172</v>
      </c>
      <c r="V10" s="380">
        <v>3231</v>
      </c>
      <c r="W10" s="380">
        <v>3202</v>
      </c>
      <c r="X10" s="380">
        <v>3206</v>
      </c>
      <c r="Y10" s="380">
        <v>3209</v>
      </c>
      <c r="Z10" s="389">
        <v>4707</v>
      </c>
      <c r="AA10" s="381">
        <f>SUM(O10:Z10)</f>
        <v>43361</v>
      </c>
      <c r="AB10" s="379">
        <v>4757</v>
      </c>
      <c r="AC10" s="380">
        <v>3195</v>
      </c>
      <c r="AD10" s="380">
        <v>3199</v>
      </c>
      <c r="AE10" s="380">
        <v>3247</v>
      </c>
      <c r="AF10" s="380">
        <v>3230</v>
      </c>
      <c r="AG10" s="380">
        <v>3261</v>
      </c>
      <c r="AH10" s="380">
        <v>4431</v>
      </c>
      <c r="AI10" s="380">
        <v>3203</v>
      </c>
      <c r="AJ10" s="380">
        <v>3245</v>
      </c>
      <c r="AK10" s="380">
        <v>3230</v>
      </c>
      <c r="AL10" s="380">
        <v>3244</v>
      </c>
      <c r="AM10" s="389">
        <v>4391</v>
      </c>
      <c r="AN10" s="381">
        <f>SUM(AB10:AM10)</f>
        <v>42633</v>
      </c>
      <c r="AO10" s="379">
        <v>4713</v>
      </c>
      <c r="AP10" s="380">
        <v>3207</v>
      </c>
      <c r="AQ10" s="380">
        <v>3359</v>
      </c>
      <c r="AR10" s="380">
        <v>3349</v>
      </c>
      <c r="AS10" s="380">
        <v>3203</v>
      </c>
      <c r="AT10" s="380">
        <v>3280</v>
      </c>
      <c r="AU10" s="380">
        <v>4426</v>
      </c>
      <c r="AV10" s="380">
        <v>3261</v>
      </c>
      <c r="AW10" s="380">
        <v>3336</v>
      </c>
      <c r="AX10" s="380">
        <v>3383</v>
      </c>
      <c r="AY10" s="380">
        <v>3321</v>
      </c>
      <c r="AZ10" s="389">
        <v>4591</v>
      </c>
      <c r="BA10" s="381">
        <f>SUM(AO10:AZ10)</f>
        <v>43429</v>
      </c>
      <c r="BB10" s="379">
        <v>4714</v>
      </c>
      <c r="BC10" s="380">
        <v>3538</v>
      </c>
      <c r="BD10" s="380">
        <v>3457</v>
      </c>
      <c r="BE10" s="380">
        <v>3269</v>
      </c>
      <c r="BF10" s="380">
        <v>3301</v>
      </c>
      <c r="BG10" s="380">
        <v>3336</v>
      </c>
      <c r="BH10" s="380">
        <v>4415</v>
      </c>
      <c r="BI10" s="380">
        <v>3546</v>
      </c>
      <c r="BJ10" s="380">
        <v>4201</v>
      </c>
      <c r="BK10" s="380">
        <v>3281</v>
      </c>
      <c r="BL10" s="380">
        <v>3653</v>
      </c>
      <c r="BM10" s="389">
        <v>4816</v>
      </c>
      <c r="BN10" s="381">
        <f>SUM(BB10:BM10)</f>
        <v>45527</v>
      </c>
      <c r="BO10" s="379">
        <v>4737</v>
      </c>
      <c r="BP10" s="380">
        <v>3435</v>
      </c>
      <c r="BQ10" s="380">
        <v>3286</v>
      </c>
      <c r="BR10" s="380">
        <v>3880</v>
      </c>
      <c r="BS10" s="380">
        <v>3288</v>
      </c>
      <c r="BT10" s="380">
        <v>4849</v>
      </c>
      <c r="BU10" s="380">
        <v>4163</v>
      </c>
      <c r="BV10" s="380">
        <v>3264</v>
      </c>
      <c r="BW10" s="380">
        <v>3618</v>
      </c>
      <c r="BX10" s="380">
        <v>3282</v>
      </c>
      <c r="BY10" s="380">
        <v>3435</v>
      </c>
      <c r="BZ10" s="389">
        <v>6715</v>
      </c>
      <c r="CA10" s="381">
        <f>SUM(BO10:BZ10)</f>
        <v>47952</v>
      </c>
      <c r="CB10" s="379">
        <v>4678</v>
      </c>
      <c r="CC10" s="380">
        <v>3532</v>
      </c>
      <c r="CD10" s="380">
        <v>3294</v>
      </c>
      <c r="CE10" s="380">
        <v>3981</v>
      </c>
      <c r="CF10" s="380">
        <v>3918</v>
      </c>
      <c r="CG10" s="380">
        <v>3188</v>
      </c>
      <c r="CH10" s="380">
        <v>5099</v>
      </c>
      <c r="CI10" s="380">
        <v>3353</v>
      </c>
      <c r="CJ10" s="380">
        <v>3735</v>
      </c>
      <c r="CK10" s="380">
        <v>3466</v>
      </c>
      <c r="CL10" s="380">
        <v>3736</v>
      </c>
      <c r="CM10" s="389">
        <v>6846</v>
      </c>
      <c r="CN10" s="381">
        <f>SUM(CB10:CM10)</f>
        <v>48826</v>
      </c>
      <c r="CO10" s="379">
        <v>4699</v>
      </c>
      <c r="CP10" s="380">
        <v>3590</v>
      </c>
      <c r="CQ10" s="380">
        <v>3468</v>
      </c>
      <c r="CR10" s="380">
        <v>3648</v>
      </c>
      <c r="CS10" s="380">
        <v>3575</v>
      </c>
      <c r="CT10" s="380">
        <v>3610</v>
      </c>
      <c r="CU10" s="380">
        <v>4451</v>
      </c>
      <c r="CV10" s="380">
        <v>3457</v>
      </c>
      <c r="CW10" s="380">
        <v>3289</v>
      </c>
      <c r="CX10" s="380">
        <v>3478</v>
      </c>
      <c r="CY10" s="380">
        <v>3905</v>
      </c>
      <c r="CZ10" s="389">
        <v>4696</v>
      </c>
      <c r="DA10" s="381">
        <f t="shared" si="28"/>
        <v>45866</v>
      </c>
      <c r="DB10" s="379">
        <v>4661</v>
      </c>
      <c r="DC10" s="380">
        <v>3482</v>
      </c>
      <c r="DD10" s="380">
        <v>3392</v>
      </c>
      <c r="DE10" s="380">
        <v>3296</v>
      </c>
      <c r="DF10" s="380">
        <v>3480</v>
      </c>
      <c r="DG10" s="380">
        <v>4119</v>
      </c>
      <c r="DH10" s="380">
        <v>4553</v>
      </c>
      <c r="DI10" s="380">
        <v>3560</v>
      </c>
      <c r="DJ10" s="380">
        <v>3423</v>
      </c>
      <c r="DK10" s="380">
        <v>3386</v>
      </c>
      <c r="DL10" s="380">
        <v>3566</v>
      </c>
      <c r="DM10" s="389">
        <v>4789</v>
      </c>
      <c r="DN10" s="381">
        <f t="shared" si="30"/>
        <v>45707</v>
      </c>
      <c r="DO10" s="379">
        <v>4697</v>
      </c>
      <c r="DP10" s="380">
        <v>3336</v>
      </c>
      <c r="DQ10" s="380">
        <v>3845</v>
      </c>
      <c r="DR10" s="380">
        <v>3529</v>
      </c>
      <c r="DS10" s="380">
        <v>3427</v>
      </c>
      <c r="DT10" s="380">
        <v>3420</v>
      </c>
      <c r="DU10" s="380">
        <v>4988</v>
      </c>
      <c r="DV10" s="380">
        <v>3530</v>
      </c>
      <c r="DW10" s="380">
        <v>3419</v>
      </c>
      <c r="DX10" s="380">
        <v>3574</v>
      </c>
      <c r="DY10" s="380">
        <v>3819</v>
      </c>
      <c r="DZ10" s="389">
        <v>5969</v>
      </c>
      <c r="EA10" s="381">
        <f t="shared" si="32"/>
        <v>47553</v>
      </c>
      <c r="EB10" s="379">
        <v>5188</v>
      </c>
      <c r="EC10" s="380">
        <v>3477</v>
      </c>
      <c r="ED10" s="380">
        <v>3326</v>
      </c>
      <c r="EE10" s="380">
        <v>3515</v>
      </c>
      <c r="EF10" s="380">
        <v>4286</v>
      </c>
      <c r="EG10" s="380">
        <v>3629</v>
      </c>
      <c r="EH10" s="380">
        <v>4495</v>
      </c>
      <c r="EI10" s="380">
        <v>3681</v>
      </c>
      <c r="EJ10" s="380">
        <v>3478</v>
      </c>
      <c r="EK10" s="380">
        <v>4049</v>
      </c>
      <c r="EL10" s="380">
        <v>4042</v>
      </c>
      <c r="EM10" s="389">
        <v>5671</v>
      </c>
      <c r="EN10" s="381">
        <f t="shared" si="34"/>
        <v>48837</v>
      </c>
      <c r="EO10" s="379">
        <v>4721</v>
      </c>
      <c r="EP10" s="380">
        <v>3542</v>
      </c>
      <c r="EQ10" s="380">
        <v>3599</v>
      </c>
      <c r="ER10" s="380">
        <v>3543</v>
      </c>
      <c r="ES10" s="380">
        <v>3495</v>
      </c>
      <c r="ET10" s="380">
        <v>3516</v>
      </c>
      <c r="EU10" s="380">
        <v>4509</v>
      </c>
      <c r="EV10" s="380">
        <v>3840</v>
      </c>
      <c r="EW10" s="380">
        <v>4273</v>
      </c>
      <c r="EX10" s="380">
        <v>3918</v>
      </c>
      <c r="EY10" s="380">
        <v>3955</v>
      </c>
      <c r="EZ10" s="389">
        <v>6616</v>
      </c>
      <c r="FA10" s="381">
        <f t="shared" si="36"/>
        <v>49527</v>
      </c>
      <c r="FB10" s="379">
        <v>4729</v>
      </c>
      <c r="FC10" s="380">
        <v>3631</v>
      </c>
      <c r="FD10" s="380">
        <v>3494</v>
      </c>
      <c r="FE10" s="380">
        <v>3782</v>
      </c>
      <c r="FF10" s="380">
        <v>3527</v>
      </c>
      <c r="FG10" s="380">
        <v>3564</v>
      </c>
      <c r="FH10" s="380">
        <v>4753</v>
      </c>
      <c r="FI10" s="380">
        <v>3487</v>
      </c>
      <c r="FJ10" s="380">
        <v>3647</v>
      </c>
      <c r="FK10" s="380">
        <v>3695</v>
      </c>
      <c r="FL10" s="380">
        <v>3816</v>
      </c>
      <c r="FM10" s="389">
        <v>6785</v>
      </c>
      <c r="FN10" s="381">
        <f t="shared" si="38"/>
        <v>48910</v>
      </c>
      <c r="FO10" s="379">
        <v>4660</v>
      </c>
      <c r="FP10" s="380">
        <v>3778</v>
      </c>
      <c r="FQ10" s="380">
        <v>3799</v>
      </c>
      <c r="FR10" s="380">
        <v>3834</v>
      </c>
      <c r="FS10" s="380">
        <v>3867</v>
      </c>
      <c r="FT10" s="380">
        <v>3741</v>
      </c>
      <c r="FU10" s="380">
        <v>4431</v>
      </c>
      <c r="FV10" s="380">
        <v>3883</v>
      </c>
      <c r="FW10" s="380">
        <v>4084</v>
      </c>
      <c r="FX10" s="380">
        <v>3875</v>
      </c>
      <c r="FY10" s="380">
        <v>3517</v>
      </c>
      <c r="FZ10" s="389">
        <v>6227</v>
      </c>
      <c r="GA10" s="381">
        <f t="shared" si="40"/>
        <v>49696</v>
      </c>
      <c r="GB10" s="379">
        <v>4622</v>
      </c>
      <c r="GC10" s="380">
        <v>3376</v>
      </c>
      <c r="GD10" s="380">
        <v>3746</v>
      </c>
      <c r="GE10" s="380">
        <v>3927</v>
      </c>
      <c r="GF10" s="380">
        <v>3561</v>
      </c>
      <c r="GG10" s="380">
        <v>4179</v>
      </c>
      <c r="GH10" s="380">
        <v>4473</v>
      </c>
      <c r="GI10" s="380">
        <v>3587</v>
      </c>
      <c r="GJ10" s="380">
        <v>3452</v>
      </c>
      <c r="GK10" s="380">
        <v>4049</v>
      </c>
      <c r="GL10" s="380">
        <v>3867</v>
      </c>
      <c r="GM10" s="389">
        <v>5968</v>
      </c>
      <c r="GN10" s="381">
        <f t="shared" si="41"/>
        <v>48807</v>
      </c>
      <c r="GO10" s="379">
        <v>4787</v>
      </c>
      <c r="GP10" s="380">
        <v>3798</v>
      </c>
      <c r="GQ10" s="380">
        <v>3510</v>
      </c>
      <c r="GR10" s="380">
        <v>4456</v>
      </c>
      <c r="GS10" s="380">
        <v>3550</v>
      </c>
      <c r="GT10" s="380">
        <v>3537</v>
      </c>
      <c r="GU10" s="380">
        <v>4794</v>
      </c>
      <c r="GV10" s="380">
        <v>3603</v>
      </c>
      <c r="GW10" s="380">
        <v>3804</v>
      </c>
      <c r="GX10" s="380">
        <v>3503</v>
      </c>
      <c r="GY10" s="380">
        <v>3969</v>
      </c>
      <c r="GZ10" s="389">
        <v>5622</v>
      </c>
      <c r="HA10" s="381">
        <f t="shared" si="43"/>
        <v>48933</v>
      </c>
      <c r="HB10" s="379">
        <v>4540</v>
      </c>
      <c r="HC10" s="380">
        <v>3859</v>
      </c>
      <c r="HD10" s="380">
        <v>3653</v>
      </c>
      <c r="HE10" s="380">
        <v>4781</v>
      </c>
      <c r="HF10" s="380">
        <v>3888</v>
      </c>
      <c r="HG10" s="380">
        <v>3691</v>
      </c>
      <c r="HH10" s="380">
        <v>5003</v>
      </c>
      <c r="HI10" s="380">
        <v>3821</v>
      </c>
      <c r="HJ10" s="380">
        <v>3675</v>
      </c>
      <c r="HK10" s="380">
        <v>3517</v>
      </c>
      <c r="HL10" s="380">
        <v>3706</v>
      </c>
      <c r="HM10" s="389">
        <v>5057</v>
      </c>
      <c r="HN10" s="381">
        <f t="shared" si="45"/>
        <v>49191</v>
      </c>
      <c r="HO10" s="379">
        <v>4751</v>
      </c>
      <c r="HP10" s="380">
        <v>3728</v>
      </c>
      <c r="HQ10" s="380">
        <v>3583</v>
      </c>
      <c r="HR10" s="380">
        <v>5304</v>
      </c>
      <c r="HS10" s="380">
        <v>4002</v>
      </c>
      <c r="HT10" s="380">
        <v>3561</v>
      </c>
      <c r="HU10" s="380">
        <v>4357</v>
      </c>
      <c r="HV10" s="380">
        <v>6473</v>
      </c>
      <c r="HW10" s="380">
        <v>3639</v>
      </c>
      <c r="HX10" s="380">
        <v>3516</v>
      </c>
      <c r="HY10" s="380">
        <v>3647</v>
      </c>
      <c r="HZ10" s="391">
        <v>4897</v>
      </c>
      <c r="IA10" s="379">
        <f>SUM(HO10:HZ10)</f>
        <v>51458</v>
      </c>
      <c r="IB10" s="1344">
        <v>5892</v>
      </c>
      <c r="IC10" s="120">
        <v>3612</v>
      </c>
      <c r="ID10" s="120">
        <v>3740</v>
      </c>
      <c r="IE10" s="120">
        <v>3791</v>
      </c>
      <c r="IF10" s="120">
        <v>3604</v>
      </c>
      <c r="IG10" s="120">
        <v>3916</v>
      </c>
      <c r="IH10" s="120">
        <v>4262</v>
      </c>
      <c r="II10" s="120">
        <v>3733</v>
      </c>
      <c r="IJ10" s="120"/>
      <c r="IK10" s="120"/>
      <c r="IL10" s="120"/>
      <c r="IM10" s="1345"/>
      <c r="IN10" s="1346">
        <f t="shared" si="51"/>
        <v>32550</v>
      </c>
      <c r="IO10" s="120"/>
      <c r="IP10" s="371">
        <f t="shared" si="52"/>
        <v>-42.329677120346055</v>
      </c>
      <c r="IQ10" s="348">
        <f t="shared" si="53"/>
        <v>-8.973964596325402</v>
      </c>
      <c r="IR10" s="320">
        <f t="shared" si="54"/>
        <v>35759</v>
      </c>
      <c r="IS10" s="344">
        <f t="shared" si="55"/>
        <v>32550</v>
      </c>
      <c r="IU10" s="320"/>
    </row>
    <row r="11" spans="1:255" ht="15" customHeight="1" x14ac:dyDescent="0.2">
      <c r="A11" s="1554" t="s">
        <v>434</v>
      </c>
      <c r="B11" s="379">
        <v>1991</v>
      </c>
      <c r="C11" s="380">
        <v>4521</v>
      </c>
      <c r="D11" s="380">
        <v>3324</v>
      </c>
      <c r="E11" s="380">
        <v>3379</v>
      </c>
      <c r="F11" s="380">
        <v>3141</v>
      </c>
      <c r="G11" s="380">
        <v>3188</v>
      </c>
      <c r="H11" s="380">
        <v>3578</v>
      </c>
      <c r="I11" s="380">
        <v>3955</v>
      </c>
      <c r="J11" s="380">
        <v>3435</v>
      </c>
      <c r="K11" s="380">
        <v>4120</v>
      </c>
      <c r="L11" s="380">
        <v>4242</v>
      </c>
      <c r="M11" s="389">
        <v>3645</v>
      </c>
      <c r="N11" s="381">
        <f t="shared" si="1"/>
        <v>42519</v>
      </c>
      <c r="O11" s="379">
        <v>1776</v>
      </c>
      <c r="P11" s="380">
        <v>3483</v>
      </c>
      <c r="Q11" s="380">
        <v>4664</v>
      </c>
      <c r="R11" s="380">
        <v>3568</v>
      </c>
      <c r="S11" s="380">
        <v>3490</v>
      </c>
      <c r="T11" s="380">
        <v>3742</v>
      </c>
      <c r="U11" s="380">
        <v>4245</v>
      </c>
      <c r="V11" s="380">
        <v>4976</v>
      </c>
      <c r="W11" s="380">
        <v>3665</v>
      </c>
      <c r="X11" s="380">
        <v>3982</v>
      </c>
      <c r="Y11" s="380">
        <v>3910</v>
      </c>
      <c r="Z11" s="389">
        <v>3988</v>
      </c>
      <c r="AA11" s="381">
        <f>SUM(O11:Z11)</f>
        <v>45489</v>
      </c>
      <c r="AB11" s="379">
        <v>2414</v>
      </c>
      <c r="AC11" s="380">
        <v>3615</v>
      </c>
      <c r="AD11" s="380">
        <v>4164</v>
      </c>
      <c r="AE11" s="380">
        <v>5140</v>
      </c>
      <c r="AF11" s="380">
        <v>5411</v>
      </c>
      <c r="AG11" s="380">
        <v>5915</v>
      </c>
      <c r="AH11" s="380">
        <v>5365</v>
      </c>
      <c r="AI11" s="380">
        <v>7019</v>
      </c>
      <c r="AJ11" s="380">
        <v>7295</v>
      </c>
      <c r="AK11" s="380">
        <v>5744</v>
      </c>
      <c r="AL11" s="380">
        <v>8389</v>
      </c>
      <c r="AM11" s="389">
        <v>9779</v>
      </c>
      <c r="AN11" s="381">
        <f>SUM(AB11:AM11)</f>
        <v>70250</v>
      </c>
      <c r="AO11" s="379">
        <v>1346</v>
      </c>
      <c r="AP11" s="380">
        <v>6621</v>
      </c>
      <c r="AQ11" s="380">
        <v>5067</v>
      </c>
      <c r="AR11" s="380">
        <v>90</v>
      </c>
      <c r="AS11" s="380">
        <v>7254</v>
      </c>
      <c r="AT11" s="380">
        <v>7478</v>
      </c>
      <c r="AU11" s="380">
        <v>5875</v>
      </c>
      <c r="AV11" s="380">
        <v>5965</v>
      </c>
      <c r="AW11" s="380">
        <v>8623</v>
      </c>
      <c r="AX11" s="380">
        <v>6964</v>
      </c>
      <c r="AY11" s="380">
        <v>9387</v>
      </c>
      <c r="AZ11" s="389">
        <v>10795</v>
      </c>
      <c r="BA11" s="381">
        <f>SUM(AO11:AZ11)</f>
        <v>75465</v>
      </c>
      <c r="BB11" s="379">
        <v>2148</v>
      </c>
      <c r="BC11" s="380">
        <v>4147</v>
      </c>
      <c r="BD11" s="380">
        <v>8020</v>
      </c>
      <c r="BE11" s="380">
        <v>5582</v>
      </c>
      <c r="BF11" s="380">
        <v>6342</v>
      </c>
      <c r="BG11" s="380">
        <v>6289</v>
      </c>
      <c r="BH11" s="380">
        <v>5861</v>
      </c>
      <c r="BI11" s="380">
        <v>8320</v>
      </c>
      <c r="BJ11" s="380">
        <v>7388</v>
      </c>
      <c r="BK11" s="380">
        <v>9849</v>
      </c>
      <c r="BL11" s="380">
        <v>10830</v>
      </c>
      <c r="BM11" s="389">
        <v>17998</v>
      </c>
      <c r="BN11" s="381">
        <f>SUM(BB11:BM11)</f>
        <v>92774</v>
      </c>
      <c r="BO11" s="379">
        <v>2204</v>
      </c>
      <c r="BP11" s="380">
        <v>4163</v>
      </c>
      <c r="BQ11" s="380">
        <v>6573</v>
      </c>
      <c r="BR11" s="380">
        <v>7221</v>
      </c>
      <c r="BS11" s="380">
        <v>7897</v>
      </c>
      <c r="BT11" s="380">
        <v>9366</v>
      </c>
      <c r="BU11" s="380">
        <v>7365</v>
      </c>
      <c r="BV11" s="380">
        <v>9845</v>
      </c>
      <c r="BW11" s="380">
        <v>10135</v>
      </c>
      <c r="BX11" s="380">
        <v>6852</v>
      </c>
      <c r="BY11" s="380">
        <v>13778</v>
      </c>
      <c r="BZ11" s="389">
        <v>22142</v>
      </c>
      <c r="CA11" s="381">
        <f>SUM(BO11:BZ11)</f>
        <v>107541</v>
      </c>
      <c r="CB11" s="379">
        <v>2584</v>
      </c>
      <c r="CC11" s="380">
        <v>7293</v>
      </c>
      <c r="CD11" s="380">
        <v>7704</v>
      </c>
      <c r="CE11" s="380">
        <v>7879</v>
      </c>
      <c r="CF11" s="380">
        <v>11155</v>
      </c>
      <c r="CG11" s="380">
        <v>11261</v>
      </c>
      <c r="CH11" s="380">
        <v>9984</v>
      </c>
      <c r="CI11" s="380">
        <v>9623</v>
      </c>
      <c r="CJ11" s="380">
        <v>13706</v>
      </c>
      <c r="CK11" s="380">
        <v>11115</v>
      </c>
      <c r="CL11" s="380">
        <v>16250</v>
      </c>
      <c r="CM11" s="389">
        <v>23509</v>
      </c>
      <c r="CN11" s="381">
        <f>SUM(CB11:CM11)</f>
        <v>132063</v>
      </c>
      <c r="CO11" s="379">
        <v>3247</v>
      </c>
      <c r="CP11" s="380">
        <v>6584</v>
      </c>
      <c r="CQ11" s="380">
        <v>10210</v>
      </c>
      <c r="CR11" s="380">
        <v>13486</v>
      </c>
      <c r="CS11" s="380">
        <v>11708</v>
      </c>
      <c r="CT11" s="380">
        <v>24615</v>
      </c>
      <c r="CU11" s="380">
        <v>15913</v>
      </c>
      <c r="CV11" s="380">
        <v>40495</v>
      </c>
      <c r="CW11" s="380">
        <v>18996</v>
      </c>
      <c r="CX11" s="380">
        <v>20009</v>
      </c>
      <c r="CY11" s="380">
        <v>25374</v>
      </c>
      <c r="CZ11" s="389">
        <v>35666</v>
      </c>
      <c r="DA11" s="381">
        <f t="shared" si="28"/>
        <v>226303</v>
      </c>
      <c r="DB11" s="379">
        <v>3147</v>
      </c>
      <c r="DC11" s="380">
        <v>7244</v>
      </c>
      <c r="DD11" s="380">
        <v>17573</v>
      </c>
      <c r="DE11" s="380">
        <v>17076</v>
      </c>
      <c r="DF11" s="380">
        <v>16305</v>
      </c>
      <c r="DG11" s="380">
        <v>14381</v>
      </c>
      <c r="DH11" s="380">
        <v>14758</v>
      </c>
      <c r="DI11" s="380">
        <v>15721</v>
      </c>
      <c r="DJ11" s="380">
        <v>17576</v>
      </c>
      <c r="DK11" s="380">
        <v>14699</v>
      </c>
      <c r="DL11" s="380">
        <v>17414</v>
      </c>
      <c r="DM11" s="389">
        <v>54431</v>
      </c>
      <c r="DN11" s="381">
        <f t="shared" si="30"/>
        <v>210325</v>
      </c>
      <c r="DO11" s="379">
        <v>3989</v>
      </c>
      <c r="DP11" s="380">
        <v>9068</v>
      </c>
      <c r="DQ11" s="380">
        <v>12964</v>
      </c>
      <c r="DR11" s="380">
        <v>15196</v>
      </c>
      <c r="DS11" s="380">
        <v>16753</v>
      </c>
      <c r="DT11" s="380">
        <v>16957</v>
      </c>
      <c r="DU11" s="380">
        <v>15344</v>
      </c>
      <c r="DV11" s="380">
        <v>17350</v>
      </c>
      <c r="DW11" s="380">
        <v>16168</v>
      </c>
      <c r="DX11" s="380">
        <v>16573</v>
      </c>
      <c r="DY11" s="380">
        <v>21754</v>
      </c>
      <c r="DZ11" s="389">
        <v>43396</v>
      </c>
      <c r="EA11" s="381">
        <f t="shared" si="32"/>
        <v>205512</v>
      </c>
      <c r="EB11" s="379">
        <v>4827</v>
      </c>
      <c r="EC11" s="380">
        <v>9973</v>
      </c>
      <c r="ED11" s="380">
        <v>12034</v>
      </c>
      <c r="EE11" s="380">
        <v>12867</v>
      </c>
      <c r="EF11" s="380">
        <v>13745</v>
      </c>
      <c r="EG11" s="380">
        <v>20858</v>
      </c>
      <c r="EH11" s="380">
        <v>18892</v>
      </c>
      <c r="EI11" s="380">
        <v>19844</v>
      </c>
      <c r="EJ11" s="380">
        <v>22118</v>
      </c>
      <c r="EK11" s="380">
        <v>32214</v>
      </c>
      <c r="EL11" s="380">
        <v>27505</v>
      </c>
      <c r="EM11" s="389">
        <v>55905</v>
      </c>
      <c r="EN11" s="381">
        <f t="shared" si="34"/>
        <v>250782</v>
      </c>
      <c r="EO11" s="379">
        <v>5898</v>
      </c>
      <c r="EP11" s="380">
        <v>6607</v>
      </c>
      <c r="EQ11" s="380">
        <v>11485</v>
      </c>
      <c r="ER11" s="380">
        <v>13022</v>
      </c>
      <c r="ES11" s="380">
        <v>16099</v>
      </c>
      <c r="ET11" s="380">
        <v>16095</v>
      </c>
      <c r="EU11" s="380">
        <v>16936</v>
      </c>
      <c r="EV11" s="380">
        <v>61442</v>
      </c>
      <c r="EW11" s="380">
        <v>23249</v>
      </c>
      <c r="EX11" s="380">
        <v>25584</v>
      </c>
      <c r="EY11" s="380">
        <v>25659</v>
      </c>
      <c r="EZ11" s="389">
        <v>53099</v>
      </c>
      <c r="FA11" s="381">
        <f t="shared" si="36"/>
        <v>275175</v>
      </c>
      <c r="FB11" s="379">
        <v>7546</v>
      </c>
      <c r="FC11" s="380">
        <v>11490</v>
      </c>
      <c r="FD11" s="380">
        <v>18179</v>
      </c>
      <c r="FE11" s="380">
        <v>16966</v>
      </c>
      <c r="FF11" s="380">
        <v>18666</v>
      </c>
      <c r="FG11" s="380">
        <v>21616</v>
      </c>
      <c r="FH11" s="380">
        <v>30668</v>
      </c>
      <c r="FI11" s="380">
        <v>23254</v>
      </c>
      <c r="FJ11" s="380">
        <v>29658</v>
      </c>
      <c r="FK11" s="380">
        <v>30152</v>
      </c>
      <c r="FL11" s="380">
        <v>31201</v>
      </c>
      <c r="FM11" s="389">
        <v>95110</v>
      </c>
      <c r="FN11" s="381">
        <f t="shared" si="38"/>
        <v>334506</v>
      </c>
      <c r="FO11" s="379">
        <v>8629</v>
      </c>
      <c r="FP11" s="380">
        <v>21604</v>
      </c>
      <c r="FQ11" s="380">
        <v>29169</v>
      </c>
      <c r="FR11" s="380">
        <v>34251</v>
      </c>
      <c r="FS11" s="380">
        <v>37791</v>
      </c>
      <c r="FT11" s="380">
        <v>37127</v>
      </c>
      <c r="FU11" s="380">
        <v>38782</v>
      </c>
      <c r="FV11" s="380">
        <v>35425</v>
      </c>
      <c r="FW11" s="380">
        <v>34896</v>
      </c>
      <c r="FX11" s="380">
        <v>38575</v>
      </c>
      <c r="FY11" s="380">
        <v>32759</v>
      </c>
      <c r="FZ11" s="389">
        <v>82812</v>
      </c>
      <c r="GA11" s="381">
        <f t="shared" si="40"/>
        <v>431820</v>
      </c>
      <c r="GB11" s="379">
        <v>22853</v>
      </c>
      <c r="GC11" s="380">
        <v>25844</v>
      </c>
      <c r="GD11" s="380">
        <v>38562</v>
      </c>
      <c r="GE11" s="380">
        <v>38266</v>
      </c>
      <c r="GF11" s="380">
        <v>41484</v>
      </c>
      <c r="GG11" s="380">
        <v>46340</v>
      </c>
      <c r="GH11" s="380">
        <v>44208</v>
      </c>
      <c r="GI11" s="380">
        <v>46333</v>
      </c>
      <c r="GJ11" s="380">
        <v>37845</v>
      </c>
      <c r="GK11" s="380">
        <v>37575</v>
      </c>
      <c r="GL11" s="380">
        <v>47818</v>
      </c>
      <c r="GM11" s="389">
        <v>91770</v>
      </c>
      <c r="GN11" s="381">
        <f t="shared" si="41"/>
        <v>518898</v>
      </c>
      <c r="GO11" s="379">
        <v>16990</v>
      </c>
      <c r="GP11" s="380">
        <v>27371</v>
      </c>
      <c r="GQ11" s="380">
        <v>36526</v>
      </c>
      <c r="GR11" s="380">
        <v>31492</v>
      </c>
      <c r="GS11" s="380">
        <v>40842</v>
      </c>
      <c r="GT11" s="380">
        <v>39474</v>
      </c>
      <c r="GU11" s="380">
        <v>44311</v>
      </c>
      <c r="GV11" s="380">
        <v>47618</v>
      </c>
      <c r="GW11" s="380">
        <v>41670</v>
      </c>
      <c r="GX11" s="380">
        <v>45508</v>
      </c>
      <c r="GY11" s="380">
        <v>55719</v>
      </c>
      <c r="GZ11" s="389">
        <v>86281</v>
      </c>
      <c r="HA11" s="381">
        <f t="shared" si="43"/>
        <v>513802</v>
      </c>
      <c r="HB11" s="379">
        <v>4202</v>
      </c>
      <c r="HC11" s="380">
        <v>11585</v>
      </c>
      <c r="HD11" s="380">
        <v>15449</v>
      </c>
      <c r="HE11" s="380">
        <v>21681</v>
      </c>
      <c r="HF11" s="380">
        <v>25642</v>
      </c>
      <c r="HG11" s="380">
        <v>26364</v>
      </c>
      <c r="HH11" s="380">
        <v>24431</v>
      </c>
      <c r="HI11" s="380">
        <v>28173</v>
      </c>
      <c r="HJ11" s="380">
        <v>26916</v>
      </c>
      <c r="HK11" s="380">
        <v>27496</v>
      </c>
      <c r="HL11" s="380">
        <v>30996</v>
      </c>
      <c r="HM11" s="389">
        <v>55018</v>
      </c>
      <c r="HN11" s="381">
        <f t="shared" si="45"/>
        <v>297953</v>
      </c>
      <c r="HO11" s="379">
        <v>4055</v>
      </c>
      <c r="HP11" s="380">
        <v>12858</v>
      </c>
      <c r="HQ11" s="380">
        <v>18632</v>
      </c>
      <c r="HR11" s="380">
        <v>24373</v>
      </c>
      <c r="HS11" s="380">
        <v>27797</v>
      </c>
      <c r="HT11" s="380">
        <v>23006</v>
      </c>
      <c r="HU11" s="380">
        <v>22776</v>
      </c>
      <c r="HV11" s="380">
        <v>30795</v>
      </c>
      <c r="HW11" s="380">
        <v>31165</v>
      </c>
      <c r="HX11" s="380">
        <v>36000</v>
      </c>
      <c r="HY11" s="380">
        <v>29031</v>
      </c>
      <c r="HZ11" s="391">
        <v>63984</v>
      </c>
      <c r="IA11" s="379">
        <f t="shared" si="47"/>
        <v>324472</v>
      </c>
      <c r="IB11" s="1344">
        <v>2172</v>
      </c>
      <c r="IC11" s="120">
        <v>18295</v>
      </c>
      <c r="ID11" s="120">
        <v>28700</v>
      </c>
      <c r="IE11" s="120">
        <v>26588</v>
      </c>
      <c r="IF11" s="120">
        <v>38898</v>
      </c>
      <c r="IG11" s="120">
        <v>32200</v>
      </c>
      <c r="IH11" s="120">
        <v>31889</v>
      </c>
      <c r="II11" s="120">
        <v>34734</v>
      </c>
      <c r="IJ11" s="120"/>
      <c r="IK11" s="120"/>
      <c r="IL11" s="120"/>
      <c r="IM11" s="1345"/>
      <c r="IN11" s="1346">
        <f t="shared" si="51"/>
        <v>213476</v>
      </c>
      <c r="IO11" s="120"/>
      <c r="IP11" s="371">
        <f t="shared" si="52"/>
        <v>12.791037506088653</v>
      </c>
      <c r="IQ11" s="348">
        <f t="shared" si="53"/>
        <v>29.936941543106176</v>
      </c>
      <c r="IR11" s="320">
        <f t="shared" si="54"/>
        <v>164292</v>
      </c>
      <c r="IS11" s="344">
        <f t="shared" si="55"/>
        <v>213476</v>
      </c>
      <c r="IU11" s="320"/>
    </row>
    <row r="12" spans="1:255" ht="15" customHeight="1" x14ac:dyDescent="0.2">
      <c r="A12" s="1554" t="s">
        <v>328</v>
      </c>
      <c r="B12" s="379"/>
      <c r="C12" s="380"/>
      <c r="D12" s="380"/>
      <c r="E12" s="380"/>
      <c r="F12" s="380"/>
      <c r="G12" s="380"/>
      <c r="H12" s="380"/>
      <c r="I12" s="380"/>
      <c r="J12" s="380"/>
      <c r="K12" s="380"/>
      <c r="L12" s="380"/>
      <c r="M12" s="389"/>
      <c r="N12" s="381"/>
      <c r="O12" s="379"/>
      <c r="P12" s="380"/>
      <c r="Q12" s="380"/>
      <c r="R12" s="380"/>
      <c r="S12" s="380"/>
      <c r="T12" s="380"/>
      <c r="U12" s="380"/>
      <c r="V12" s="380"/>
      <c r="W12" s="380"/>
      <c r="X12" s="380"/>
      <c r="Y12" s="380"/>
      <c r="Z12" s="389"/>
      <c r="AA12" s="381"/>
      <c r="AB12" s="379"/>
      <c r="AC12" s="380"/>
      <c r="AD12" s="380"/>
      <c r="AE12" s="380"/>
      <c r="AF12" s="380"/>
      <c r="AG12" s="380"/>
      <c r="AH12" s="380"/>
      <c r="AI12" s="380"/>
      <c r="AJ12" s="380"/>
      <c r="AK12" s="380"/>
      <c r="AL12" s="380"/>
      <c r="AM12" s="389"/>
      <c r="AN12" s="381"/>
      <c r="AO12" s="379"/>
      <c r="AP12" s="380"/>
      <c r="AQ12" s="380"/>
      <c r="AR12" s="380"/>
      <c r="AS12" s="380"/>
      <c r="AT12" s="380"/>
      <c r="AU12" s="380"/>
      <c r="AV12" s="380"/>
      <c r="AW12" s="380"/>
      <c r="AX12" s="380"/>
      <c r="AY12" s="380"/>
      <c r="AZ12" s="389"/>
      <c r="BA12" s="381"/>
      <c r="BB12" s="379"/>
      <c r="BC12" s="380"/>
      <c r="BD12" s="380"/>
      <c r="BE12" s="380"/>
      <c r="BF12" s="380"/>
      <c r="BG12" s="380"/>
      <c r="BH12" s="380"/>
      <c r="BI12" s="380"/>
      <c r="BJ12" s="380"/>
      <c r="BK12" s="380"/>
      <c r="BL12" s="380"/>
      <c r="BM12" s="389"/>
      <c r="BN12" s="381"/>
      <c r="BO12" s="379"/>
      <c r="BP12" s="380"/>
      <c r="BQ12" s="380"/>
      <c r="BR12" s="380"/>
      <c r="BS12" s="380"/>
      <c r="BT12" s="380"/>
      <c r="BU12" s="380"/>
      <c r="BV12" s="380"/>
      <c r="BW12" s="380"/>
      <c r="BX12" s="380"/>
      <c r="BY12" s="380"/>
      <c r="BZ12" s="389"/>
      <c r="CA12" s="381"/>
      <c r="CB12" s="379"/>
      <c r="CC12" s="380"/>
      <c r="CD12" s="380"/>
      <c r="CE12" s="380"/>
      <c r="CF12" s="380"/>
      <c r="CG12" s="380"/>
      <c r="CH12" s="380"/>
      <c r="CI12" s="380"/>
      <c r="CJ12" s="380"/>
      <c r="CK12" s="380"/>
      <c r="CL12" s="380"/>
      <c r="CM12" s="389"/>
      <c r="CN12" s="381"/>
      <c r="CO12" s="379"/>
      <c r="CP12" s="380"/>
      <c r="CQ12" s="380"/>
      <c r="CR12" s="380"/>
      <c r="CS12" s="380"/>
      <c r="CT12" s="380"/>
      <c r="CU12" s="380"/>
      <c r="CV12" s="380"/>
      <c r="CW12" s="380"/>
      <c r="CX12" s="380"/>
      <c r="CY12" s="380"/>
      <c r="CZ12" s="389"/>
      <c r="DA12" s="381"/>
      <c r="DB12" s="379"/>
      <c r="DC12" s="380"/>
      <c r="DD12" s="380"/>
      <c r="DE12" s="380"/>
      <c r="DF12" s="380"/>
      <c r="DG12" s="380"/>
      <c r="DH12" s="380"/>
      <c r="DI12" s="380"/>
      <c r="DJ12" s="380"/>
      <c r="DK12" s="380"/>
      <c r="DL12" s="380"/>
      <c r="DM12" s="389"/>
      <c r="DN12" s="381"/>
      <c r="DO12" s="379"/>
      <c r="DP12" s="380"/>
      <c r="DQ12" s="380"/>
      <c r="DR12" s="380"/>
      <c r="DS12" s="380"/>
      <c r="DT12" s="380"/>
      <c r="DU12" s="380"/>
      <c r="DV12" s="380"/>
      <c r="DW12" s="380"/>
      <c r="DX12" s="380"/>
      <c r="DY12" s="380"/>
      <c r="DZ12" s="389"/>
      <c r="EA12" s="381"/>
      <c r="EB12" s="379">
        <v>0</v>
      </c>
      <c r="EC12" s="380">
        <v>0</v>
      </c>
      <c r="ED12" s="380">
        <v>0</v>
      </c>
      <c r="EE12" s="380">
        <v>0</v>
      </c>
      <c r="EF12" s="380">
        <v>0</v>
      </c>
      <c r="EG12" s="380">
        <v>0</v>
      </c>
      <c r="EH12" s="380">
        <v>0</v>
      </c>
      <c r="EI12" s="380">
        <v>0</v>
      </c>
      <c r="EJ12" s="380">
        <v>0</v>
      </c>
      <c r="EK12" s="380">
        <v>0</v>
      </c>
      <c r="EL12" s="380">
        <v>0</v>
      </c>
      <c r="EM12" s="389">
        <v>0</v>
      </c>
      <c r="EN12" s="381">
        <v>0</v>
      </c>
      <c r="EO12" s="379">
        <v>0</v>
      </c>
      <c r="EP12" s="380">
        <v>0</v>
      </c>
      <c r="EQ12" s="380">
        <v>0</v>
      </c>
      <c r="ER12" s="380">
        <v>0</v>
      </c>
      <c r="ES12" s="380">
        <v>486</v>
      </c>
      <c r="ET12" s="380">
        <v>0</v>
      </c>
      <c r="EU12" s="380">
        <v>630</v>
      </c>
      <c r="EV12" s="380">
        <v>0</v>
      </c>
      <c r="EW12" s="380">
        <v>0</v>
      </c>
      <c r="EX12" s="380">
        <v>0</v>
      </c>
      <c r="EY12" s="380">
        <v>0</v>
      </c>
      <c r="EZ12" s="389">
        <v>0</v>
      </c>
      <c r="FA12" s="381">
        <f>SUM(EO12:EZ12)</f>
        <v>1116</v>
      </c>
      <c r="FB12" s="379">
        <v>0</v>
      </c>
      <c r="FC12" s="380">
        <v>0</v>
      </c>
      <c r="FD12" s="380">
        <v>0</v>
      </c>
      <c r="FE12" s="380">
        <v>0</v>
      </c>
      <c r="FF12" s="380">
        <v>0</v>
      </c>
      <c r="FG12" s="380">
        <v>0</v>
      </c>
      <c r="FH12" s="380">
        <v>0</v>
      </c>
      <c r="FI12" s="380">
        <v>0</v>
      </c>
      <c r="FJ12" s="380">
        <v>0</v>
      </c>
      <c r="FK12" s="380">
        <v>729</v>
      </c>
      <c r="FL12" s="380">
        <v>0</v>
      </c>
      <c r="FM12" s="389">
        <v>0</v>
      </c>
      <c r="FN12" s="381">
        <f t="shared" si="38"/>
        <v>729</v>
      </c>
      <c r="FO12" s="379">
        <v>0</v>
      </c>
      <c r="FP12" s="380">
        <v>0</v>
      </c>
      <c r="FQ12" s="380">
        <v>0</v>
      </c>
      <c r="FR12" s="380">
        <v>243</v>
      </c>
      <c r="FS12" s="380">
        <v>0</v>
      </c>
      <c r="FT12" s="380">
        <v>0</v>
      </c>
      <c r="FU12" s="380">
        <v>0</v>
      </c>
      <c r="FV12" s="380">
        <v>0</v>
      </c>
      <c r="FW12" s="380">
        <v>0</v>
      </c>
      <c r="FX12" s="380">
        <v>0</v>
      </c>
      <c r="FY12" s="380">
        <v>0</v>
      </c>
      <c r="FZ12" s="389">
        <v>0</v>
      </c>
      <c r="GA12" s="381">
        <f t="shared" si="40"/>
        <v>243</v>
      </c>
      <c r="GB12" s="379">
        <v>0</v>
      </c>
      <c r="GC12" s="380">
        <v>493</v>
      </c>
      <c r="GD12" s="380">
        <v>0</v>
      </c>
      <c r="GE12" s="380">
        <v>0</v>
      </c>
      <c r="GF12" s="380">
        <v>0</v>
      </c>
      <c r="GG12" s="380">
        <v>493</v>
      </c>
      <c r="GH12" s="380">
        <v>0</v>
      </c>
      <c r="GI12" s="380">
        <v>0</v>
      </c>
      <c r="GJ12" s="380">
        <v>0</v>
      </c>
      <c r="GK12" s="380">
        <v>0</v>
      </c>
      <c r="GL12" s="380">
        <v>0</v>
      </c>
      <c r="GM12" s="389">
        <v>0</v>
      </c>
      <c r="GN12" s="381">
        <f t="shared" si="41"/>
        <v>986</v>
      </c>
      <c r="GO12" s="379">
        <v>0</v>
      </c>
      <c r="GP12" s="380">
        <v>0</v>
      </c>
      <c r="GQ12" s="380">
        <v>0</v>
      </c>
      <c r="GR12" s="380">
        <v>0</v>
      </c>
      <c r="GS12" s="380">
        <v>563</v>
      </c>
      <c r="GT12" s="380">
        <v>0</v>
      </c>
      <c r="GU12" s="380">
        <v>493</v>
      </c>
      <c r="GV12" s="380">
        <v>37</v>
      </c>
      <c r="GW12" s="380">
        <v>2349</v>
      </c>
      <c r="GX12" s="380">
        <v>0</v>
      </c>
      <c r="GY12" s="380">
        <v>230</v>
      </c>
      <c r="GZ12" s="389">
        <v>4421</v>
      </c>
      <c r="HA12" s="381">
        <f t="shared" si="43"/>
        <v>8093</v>
      </c>
      <c r="HB12" s="379">
        <v>493</v>
      </c>
      <c r="HC12" s="380">
        <v>31</v>
      </c>
      <c r="HD12" s="380">
        <v>0</v>
      </c>
      <c r="HE12" s="380">
        <v>0</v>
      </c>
      <c r="HF12" s="380">
        <v>63</v>
      </c>
      <c r="HG12" s="380">
        <v>0</v>
      </c>
      <c r="HH12" s="380">
        <v>0</v>
      </c>
      <c r="HI12" s="380">
        <v>0</v>
      </c>
      <c r="HJ12" s="380">
        <v>0</v>
      </c>
      <c r="HK12" s="380">
        <v>0</v>
      </c>
      <c r="HL12" s="380">
        <v>85</v>
      </c>
      <c r="HM12" s="389">
        <v>0</v>
      </c>
      <c r="HN12" s="381">
        <f t="shared" si="45"/>
        <v>672</v>
      </c>
      <c r="HO12" s="379">
        <v>0</v>
      </c>
      <c r="HP12" s="380">
        <v>0</v>
      </c>
      <c r="HQ12" s="380">
        <v>0</v>
      </c>
      <c r="HR12" s="380">
        <v>0</v>
      </c>
      <c r="HS12" s="380">
        <v>0</v>
      </c>
      <c r="HT12" s="380">
        <v>0</v>
      </c>
      <c r="HU12" s="380">
        <v>0</v>
      </c>
      <c r="HV12" s="380">
        <v>0</v>
      </c>
      <c r="HW12" s="380">
        <v>493</v>
      </c>
      <c r="HX12" s="380">
        <v>0</v>
      </c>
      <c r="HY12" s="380">
        <v>582</v>
      </c>
      <c r="HZ12" s="391">
        <v>0</v>
      </c>
      <c r="IA12" s="379">
        <f t="shared" si="47"/>
        <v>1075</v>
      </c>
      <c r="IB12" s="1344">
        <v>0</v>
      </c>
      <c r="IC12" s="120">
        <v>0</v>
      </c>
      <c r="ID12" s="120">
        <v>0</v>
      </c>
      <c r="IE12" s="120">
        <v>0</v>
      </c>
      <c r="IF12" s="120">
        <v>0</v>
      </c>
      <c r="IG12" s="120">
        <v>0</v>
      </c>
      <c r="IH12" s="120">
        <v>493</v>
      </c>
      <c r="II12" s="120">
        <v>0</v>
      </c>
      <c r="IJ12" s="120"/>
      <c r="IK12" s="120"/>
      <c r="IL12" s="120"/>
      <c r="IM12" s="1345"/>
      <c r="IN12" s="1346">
        <f t="shared" si="51"/>
        <v>493</v>
      </c>
      <c r="IO12" s="120"/>
      <c r="IP12" s="371" t="str">
        <f t="shared" si="52"/>
        <v/>
      </c>
      <c r="IQ12" s="348" t="str">
        <f t="shared" si="53"/>
        <v/>
      </c>
      <c r="IR12" s="320">
        <f t="shared" si="54"/>
        <v>0</v>
      </c>
      <c r="IS12" s="344">
        <f t="shared" si="55"/>
        <v>493</v>
      </c>
      <c r="IU12" s="320"/>
    </row>
    <row r="13" spans="1:255" ht="15" customHeight="1" x14ac:dyDescent="0.2">
      <c r="A13" s="1554" t="s">
        <v>319</v>
      </c>
      <c r="B13" s="379">
        <v>245</v>
      </c>
      <c r="C13" s="380">
        <v>203</v>
      </c>
      <c r="D13" s="380">
        <v>193</v>
      </c>
      <c r="E13" s="380">
        <v>176</v>
      </c>
      <c r="F13" s="380">
        <v>185</v>
      </c>
      <c r="G13" s="380">
        <v>181</v>
      </c>
      <c r="H13" s="380">
        <v>314</v>
      </c>
      <c r="I13" s="380">
        <v>190</v>
      </c>
      <c r="J13" s="380">
        <v>188</v>
      </c>
      <c r="K13" s="380">
        <v>177</v>
      </c>
      <c r="L13" s="380">
        <v>234</v>
      </c>
      <c r="M13" s="389">
        <v>321</v>
      </c>
      <c r="N13" s="381">
        <f t="shared" si="1"/>
        <v>2607</v>
      </c>
      <c r="O13" s="379">
        <v>577</v>
      </c>
      <c r="P13" s="380">
        <v>738</v>
      </c>
      <c r="Q13" s="380">
        <v>743</v>
      </c>
      <c r="R13" s="380">
        <v>163</v>
      </c>
      <c r="S13" s="380">
        <v>145</v>
      </c>
      <c r="T13" s="380">
        <v>943</v>
      </c>
      <c r="U13" s="380">
        <v>300</v>
      </c>
      <c r="V13" s="380">
        <v>142</v>
      </c>
      <c r="W13" s="380">
        <v>5890</v>
      </c>
      <c r="X13" s="380">
        <v>219</v>
      </c>
      <c r="Y13" s="380">
        <v>182</v>
      </c>
      <c r="Z13" s="389">
        <v>348</v>
      </c>
      <c r="AA13" s="381">
        <f>SUM(O13:Z13)</f>
        <v>10390</v>
      </c>
      <c r="AB13" s="379">
        <v>136</v>
      </c>
      <c r="AC13" s="380">
        <v>138</v>
      </c>
      <c r="AD13" s="380">
        <v>137</v>
      </c>
      <c r="AE13" s="380">
        <v>1575</v>
      </c>
      <c r="AF13" s="380">
        <v>185</v>
      </c>
      <c r="AG13" s="380">
        <v>820</v>
      </c>
      <c r="AH13" s="380">
        <v>3812</v>
      </c>
      <c r="AI13" s="380">
        <v>535</v>
      </c>
      <c r="AJ13" s="380">
        <v>226</v>
      </c>
      <c r="AK13" s="380">
        <v>144</v>
      </c>
      <c r="AL13" s="380">
        <v>476</v>
      </c>
      <c r="AM13" s="389">
        <v>554</v>
      </c>
      <c r="AN13" s="381">
        <f t="shared" ref="AN13:AN21" si="56">SUM(AB13:AM13)</f>
        <v>8738</v>
      </c>
      <c r="AO13" s="379">
        <v>112</v>
      </c>
      <c r="AP13" s="380">
        <v>117</v>
      </c>
      <c r="AQ13" s="380">
        <v>625</v>
      </c>
      <c r="AR13" s="380">
        <v>150</v>
      </c>
      <c r="AS13" s="380">
        <v>165</v>
      </c>
      <c r="AT13" s="380">
        <v>363</v>
      </c>
      <c r="AU13" s="380">
        <v>216</v>
      </c>
      <c r="AV13" s="380">
        <v>130</v>
      </c>
      <c r="AW13" s="380">
        <v>1801</v>
      </c>
      <c r="AX13" s="380">
        <v>189</v>
      </c>
      <c r="AY13" s="380">
        <v>270</v>
      </c>
      <c r="AZ13" s="389">
        <v>12455</v>
      </c>
      <c r="BA13" s="381">
        <f t="shared" ref="BA13:BA21" si="57">SUM(AO13:AZ13)</f>
        <v>16593</v>
      </c>
      <c r="BB13" s="379">
        <v>128</v>
      </c>
      <c r="BC13" s="380">
        <v>114</v>
      </c>
      <c r="BD13" s="380">
        <v>200</v>
      </c>
      <c r="BE13" s="380">
        <v>68</v>
      </c>
      <c r="BF13" s="380">
        <v>167</v>
      </c>
      <c r="BG13" s="380">
        <v>622</v>
      </c>
      <c r="BH13" s="380">
        <v>770</v>
      </c>
      <c r="BI13" s="380">
        <v>1429</v>
      </c>
      <c r="BJ13" s="380">
        <v>261</v>
      </c>
      <c r="BK13" s="380">
        <v>147</v>
      </c>
      <c r="BL13" s="380">
        <v>555</v>
      </c>
      <c r="BM13" s="389">
        <v>6909</v>
      </c>
      <c r="BN13" s="381">
        <f t="shared" ref="BN13:BN21" si="58">SUM(BB13:BM13)</f>
        <v>11370</v>
      </c>
      <c r="BO13" s="379">
        <v>77</v>
      </c>
      <c r="BP13" s="380">
        <v>83</v>
      </c>
      <c r="BQ13" s="380">
        <v>378</v>
      </c>
      <c r="BR13" s="380">
        <v>269</v>
      </c>
      <c r="BS13" s="380">
        <v>52</v>
      </c>
      <c r="BT13" s="380">
        <v>774</v>
      </c>
      <c r="BU13" s="380">
        <v>227</v>
      </c>
      <c r="BV13" s="380">
        <v>380</v>
      </c>
      <c r="BW13" s="380">
        <v>724</v>
      </c>
      <c r="BX13" s="380">
        <v>77</v>
      </c>
      <c r="BY13" s="380">
        <v>115</v>
      </c>
      <c r="BZ13" s="389">
        <v>2286</v>
      </c>
      <c r="CA13" s="381">
        <f t="shared" ref="CA13:CA21" si="59">SUM(BO13:BZ13)</f>
        <v>5442</v>
      </c>
      <c r="CB13" s="379">
        <v>45</v>
      </c>
      <c r="CC13" s="380">
        <v>60</v>
      </c>
      <c r="CD13" s="380">
        <v>112</v>
      </c>
      <c r="CE13" s="380">
        <v>14</v>
      </c>
      <c r="CF13" s="380">
        <v>64</v>
      </c>
      <c r="CG13" s="380">
        <v>185</v>
      </c>
      <c r="CH13" s="380">
        <v>382</v>
      </c>
      <c r="CI13" s="380">
        <v>75</v>
      </c>
      <c r="CJ13" s="380">
        <v>2204</v>
      </c>
      <c r="CK13" s="380">
        <v>332</v>
      </c>
      <c r="CL13" s="380">
        <v>9744</v>
      </c>
      <c r="CM13" s="389">
        <v>81</v>
      </c>
      <c r="CN13" s="381">
        <f t="shared" ref="CN13:CN21" si="60">SUM(CB13:CM13)</f>
        <v>13298</v>
      </c>
      <c r="CO13" s="379">
        <v>39</v>
      </c>
      <c r="CP13" s="380">
        <v>30</v>
      </c>
      <c r="CQ13" s="380">
        <v>34</v>
      </c>
      <c r="CR13" s="380">
        <v>42</v>
      </c>
      <c r="CS13" s="380">
        <v>1520</v>
      </c>
      <c r="CT13" s="380">
        <v>31</v>
      </c>
      <c r="CU13" s="380">
        <v>62</v>
      </c>
      <c r="CV13" s="380">
        <v>306</v>
      </c>
      <c r="CW13" s="380">
        <v>51</v>
      </c>
      <c r="CX13" s="380">
        <v>76</v>
      </c>
      <c r="CY13" s="380">
        <v>15082</v>
      </c>
      <c r="CZ13" s="389">
        <v>3295</v>
      </c>
      <c r="DA13" s="381">
        <f t="shared" si="28"/>
        <v>20568</v>
      </c>
      <c r="DB13" s="379">
        <v>12</v>
      </c>
      <c r="DC13" s="380">
        <v>31</v>
      </c>
      <c r="DD13" s="380">
        <v>1377</v>
      </c>
      <c r="DE13" s="380">
        <v>28</v>
      </c>
      <c r="DF13" s="380">
        <v>17</v>
      </c>
      <c r="DG13" s="380">
        <v>45</v>
      </c>
      <c r="DH13" s="380">
        <v>19</v>
      </c>
      <c r="DI13" s="380">
        <v>2606</v>
      </c>
      <c r="DJ13" s="380">
        <v>18</v>
      </c>
      <c r="DK13" s="380">
        <v>11</v>
      </c>
      <c r="DL13" s="380">
        <v>20</v>
      </c>
      <c r="DM13" s="389">
        <v>3261</v>
      </c>
      <c r="DN13" s="381">
        <f t="shared" si="30"/>
        <v>7445</v>
      </c>
      <c r="DO13" s="379">
        <v>12</v>
      </c>
      <c r="DP13" s="380">
        <v>19</v>
      </c>
      <c r="DQ13" s="380">
        <v>42</v>
      </c>
      <c r="DR13" s="380">
        <v>17</v>
      </c>
      <c r="DS13" s="380">
        <v>17</v>
      </c>
      <c r="DT13" s="380">
        <v>6035</v>
      </c>
      <c r="DU13" s="380">
        <v>1709</v>
      </c>
      <c r="DV13" s="380">
        <v>12</v>
      </c>
      <c r="DW13" s="380">
        <v>13</v>
      </c>
      <c r="DX13" s="380">
        <v>8</v>
      </c>
      <c r="DY13" s="380">
        <v>2</v>
      </c>
      <c r="DZ13" s="389">
        <v>3613</v>
      </c>
      <c r="EA13" s="381">
        <f t="shared" si="32"/>
        <v>11499</v>
      </c>
      <c r="EB13" s="379">
        <v>16</v>
      </c>
      <c r="EC13" s="380">
        <v>13</v>
      </c>
      <c r="ED13" s="380">
        <v>20</v>
      </c>
      <c r="EE13" s="380">
        <v>23</v>
      </c>
      <c r="EF13" s="380">
        <v>30</v>
      </c>
      <c r="EG13" s="380">
        <v>8474</v>
      </c>
      <c r="EH13" s="380">
        <v>13600</v>
      </c>
      <c r="EI13" s="380">
        <v>276</v>
      </c>
      <c r="EJ13" s="380">
        <v>21</v>
      </c>
      <c r="EK13" s="380">
        <v>29</v>
      </c>
      <c r="EL13" s="380">
        <v>23</v>
      </c>
      <c r="EM13" s="389">
        <v>1418</v>
      </c>
      <c r="EN13" s="381">
        <f t="shared" si="34"/>
        <v>23943</v>
      </c>
      <c r="EO13" s="379">
        <v>11</v>
      </c>
      <c r="EP13" s="380">
        <v>8</v>
      </c>
      <c r="EQ13" s="380">
        <v>17</v>
      </c>
      <c r="ER13" s="380">
        <v>21</v>
      </c>
      <c r="ES13" s="380">
        <v>17</v>
      </c>
      <c r="ET13" s="380">
        <v>28799</v>
      </c>
      <c r="EU13" s="380">
        <v>25</v>
      </c>
      <c r="EV13" s="380">
        <v>22</v>
      </c>
      <c r="EW13" s="380">
        <v>19</v>
      </c>
      <c r="EX13" s="380">
        <v>23</v>
      </c>
      <c r="EY13" s="380">
        <v>21</v>
      </c>
      <c r="EZ13" s="389">
        <v>9901</v>
      </c>
      <c r="FA13" s="381">
        <f t="shared" si="36"/>
        <v>38884</v>
      </c>
      <c r="FB13" s="379">
        <v>13</v>
      </c>
      <c r="FC13" s="380">
        <v>15</v>
      </c>
      <c r="FD13" s="380">
        <v>18</v>
      </c>
      <c r="FE13" s="380">
        <v>27</v>
      </c>
      <c r="FF13" s="380">
        <v>15</v>
      </c>
      <c r="FG13" s="380">
        <v>11</v>
      </c>
      <c r="FH13" s="380">
        <v>29</v>
      </c>
      <c r="FI13" s="380">
        <v>26</v>
      </c>
      <c r="FJ13" s="380">
        <v>15</v>
      </c>
      <c r="FK13" s="380">
        <v>9355</v>
      </c>
      <c r="FL13" s="380">
        <v>369</v>
      </c>
      <c r="FM13" s="389">
        <v>33123</v>
      </c>
      <c r="FN13" s="381">
        <f t="shared" si="38"/>
        <v>43016</v>
      </c>
      <c r="FO13" s="379">
        <v>3</v>
      </c>
      <c r="FP13" s="380">
        <v>24</v>
      </c>
      <c r="FQ13" s="380">
        <v>19</v>
      </c>
      <c r="FR13" s="380">
        <v>19</v>
      </c>
      <c r="FS13" s="380">
        <v>9</v>
      </c>
      <c r="FT13" s="380">
        <v>38</v>
      </c>
      <c r="FU13" s="380">
        <v>27</v>
      </c>
      <c r="FV13" s="380">
        <v>3</v>
      </c>
      <c r="FW13" s="380">
        <v>6011</v>
      </c>
      <c r="FX13" s="380">
        <v>-2</v>
      </c>
      <c r="FY13" s="380">
        <v>451</v>
      </c>
      <c r="FZ13" s="389">
        <v>52088</v>
      </c>
      <c r="GA13" s="381">
        <f t="shared" si="40"/>
        <v>58690</v>
      </c>
      <c r="GB13" s="379">
        <v>6</v>
      </c>
      <c r="GC13" s="380">
        <v>11</v>
      </c>
      <c r="GD13" s="380">
        <v>125</v>
      </c>
      <c r="GE13" s="380">
        <v>60</v>
      </c>
      <c r="GF13" s="380">
        <v>397</v>
      </c>
      <c r="GG13" s="380">
        <v>74</v>
      </c>
      <c r="GH13" s="380">
        <v>8423</v>
      </c>
      <c r="GI13" s="380">
        <v>40</v>
      </c>
      <c r="GJ13" s="380">
        <v>44</v>
      </c>
      <c r="GK13" s="380">
        <v>85</v>
      </c>
      <c r="GL13" s="380">
        <v>56</v>
      </c>
      <c r="GM13" s="389">
        <v>1802</v>
      </c>
      <c r="GN13" s="381">
        <f t="shared" si="41"/>
        <v>11123</v>
      </c>
      <c r="GO13" s="379">
        <v>1</v>
      </c>
      <c r="GP13" s="380">
        <v>13</v>
      </c>
      <c r="GQ13" s="380">
        <v>26</v>
      </c>
      <c r="GR13" s="380">
        <v>13</v>
      </c>
      <c r="GS13" s="380">
        <v>13</v>
      </c>
      <c r="GT13" s="380">
        <v>9</v>
      </c>
      <c r="GU13" s="380">
        <v>51063</v>
      </c>
      <c r="GV13" s="380">
        <v>4424</v>
      </c>
      <c r="GW13" s="380">
        <v>11</v>
      </c>
      <c r="GX13" s="380">
        <v>32</v>
      </c>
      <c r="GY13" s="380">
        <v>19</v>
      </c>
      <c r="GZ13" s="389">
        <v>-30</v>
      </c>
      <c r="HA13" s="381">
        <f t="shared" si="43"/>
        <v>55594</v>
      </c>
      <c r="HB13" s="379">
        <v>45</v>
      </c>
      <c r="HC13" s="380">
        <v>104</v>
      </c>
      <c r="HD13" s="380">
        <v>55</v>
      </c>
      <c r="HE13" s="380">
        <v>30</v>
      </c>
      <c r="HF13" s="380">
        <v>91</v>
      </c>
      <c r="HG13" s="380">
        <v>41</v>
      </c>
      <c r="HH13" s="380">
        <v>39</v>
      </c>
      <c r="HI13" s="380">
        <v>3620</v>
      </c>
      <c r="HJ13" s="380">
        <v>2972</v>
      </c>
      <c r="HK13" s="380">
        <v>407</v>
      </c>
      <c r="HL13" s="380">
        <v>9</v>
      </c>
      <c r="HM13" s="389">
        <v>93</v>
      </c>
      <c r="HN13" s="381">
        <f t="shared" si="45"/>
        <v>7506</v>
      </c>
      <c r="HO13" s="379">
        <v>8</v>
      </c>
      <c r="HP13" s="380">
        <v>32</v>
      </c>
      <c r="HQ13" s="380">
        <v>8</v>
      </c>
      <c r="HR13" s="380">
        <v>10</v>
      </c>
      <c r="HS13" s="380">
        <v>92</v>
      </c>
      <c r="HT13" s="380">
        <v>75</v>
      </c>
      <c r="HU13" s="380">
        <v>84</v>
      </c>
      <c r="HV13" s="380">
        <v>474</v>
      </c>
      <c r="HW13" s="380">
        <v>71</v>
      </c>
      <c r="HX13" s="380">
        <v>35</v>
      </c>
      <c r="HY13" s="380">
        <v>18</v>
      </c>
      <c r="HZ13" s="391">
        <v>26</v>
      </c>
      <c r="IA13" s="379">
        <f t="shared" si="47"/>
        <v>933</v>
      </c>
      <c r="IB13" s="1344">
        <v>7</v>
      </c>
      <c r="IC13" s="120">
        <v>100</v>
      </c>
      <c r="ID13" s="120">
        <v>13</v>
      </c>
      <c r="IE13" s="120">
        <v>14</v>
      </c>
      <c r="IF13" s="120">
        <v>148</v>
      </c>
      <c r="IG13" s="120">
        <v>8</v>
      </c>
      <c r="IH13" s="120">
        <v>21</v>
      </c>
      <c r="II13" s="120">
        <v>33</v>
      </c>
      <c r="IJ13" s="120"/>
      <c r="IK13" s="120"/>
      <c r="IL13" s="120"/>
      <c r="IM13" s="1345"/>
      <c r="IN13" s="1346">
        <f t="shared" si="51"/>
        <v>344</v>
      </c>
      <c r="IO13" s="120"/>
      <c r="IP13" s="371">
        <f t="shared" si="52"/>
        <v>-93.037974683544306</v>
      </c>
      <c r="IQ13" s="348">
        <f t="shared" si="53"/>
        <v>-56.066411238825033</v>
      </c>
      <c r="IR13" s="320">
        <f t="shared" si="54"/>
        <v>783</v>
      </c>
      <c r="IS13" s="344">
        <f t="shared" si="55"/>
        <v>344</v>
      </c>
      <c r="IU13" s="320"/>
    </row>
    <row r="14" spans="1:255" s="338" customFormat="1" ht="15" customHeight="1" x14ac:dyDescent="0.2">
      <c r="A14" s="1553" t="s">
        <v>435</v>
      </c>
      <c r="B14" s="376">
        <f t="shared" ref="B14:M14" si="61">SUM(B15:B18)</f>
        <v>1699</v>
      </c>
      <c r="C14" s="377">
        <f t="shared" si="61"/>
        <v>4098</v>
      </c>
      <c r="D14" s="377">
        <f t="shared" si="61"/>
        <v>8211</v>
      </c>
      <c r="E14" s="377">
        <f t="shared" si="61"/>
        <v>6249</v>
      </c>
      <c r="F14" s="377">
        <f t="shared" si="61"/>
        <v>8393</v>
      </c>
      <c r="G14" s="377">
        <f t="shared" si="61"/>
        <v>16096</v>
      </c>
      <c r="H14" s="377">
        <f t="shared" si="61"/>
        <v>45367</v>
      </c>
      <c r="I14" s="377">
        <f t="shared" si="61"/>
        <v>19438</v>
      </c>
      <c r="J14" s="377">
        <f t="shared" si="61"/>
        <v>10320</v>
      </c>
      <c r="K14" s="377">
        <f t="shared" si="61"/>
        <v>15566</v>
      </c>
      <c r="L14" s="377">
        <f t="shared" si="61"/>
        <v>16654</v>
      </c>
      <c r="M14" s="388">
        <f t="shared" si="61"/>
        <v>81441</v>
      </c>
      <c r="N14" s="378">
        <f t="shared" si="1"/>
        <v>233532</v>
      </c>
      <c r="O14" s="376">
        <f t="shared" ref="O14:Z14" si="62">SUM(O15:O18)</f>
        <v>6428</v>
      </c>
      <c r="P14" s="377">
        <f t="shared" si="62"/>
        <v>9622</v>
      </c>
      <c r="Q14" s="377">
        <f t="shared" si="62"/>
        <v>11475</v>
      </c>
      <c r="R14" s="377">
        <f t="shared" si="62"/>
        <v>34763</v>
      </c>
      <c r="S14" s="377">
        <f t="shared" si="62"/>
        <v>13739</v>
      </c>
      <c r="T14" s="377">
        <f t="shared" si="62"/>
        <v>13158</v>
      </c>
      <c r="U14" s="377">
        <f t="shared" si="62"/>
        <v>15448</v>
      </c>
      <c r="V14" s="377">
        <f t="shared" si="62"/>
        <v>14048</v>
      </c>
      <c r="W14" s="377">
        <f t="shared" si="62"/>
        <v>20920</v>
      </c>
      <c r="X14" s="377">
        <f t="shared" si="62"/>
        <v>20644</v>
      </c>
      <c r="Y14" s="377">
        <f t="shared" si="62"/>
        <v>19092</v>
      </c>
      <c r="Z14" s="388">
        <f t="shared" si="62"/>
        <v>39888</v>
      </c>
      <c r="AA14" s="378">
        <f>SUM(O14:Z14)</f>
        <v>219225</v>
      </c>
      <c r="AB14" s="376">
        <f t="shared" ref="AB14:AM14" si="63">SUM(AB15:AB18)</f>
        <v>2800</v>
      </c>
      <c r="AC14" s="377">
        <f t="shared" si="63"/>
        <v>25192</v>
      </c>
      <c r="AD14" s="377">
        <f t="shared" si="63"/>
        <v>13901</v>
      </c>
      <c r="AE14" s="377">
        <f t="shared" si="63"/>
        <v>14314</v>
      </c>
      <c r="AF14" s="377">
        <f t="shared" si="63"/>
        <v>23015</v>
      </c>
      <c r="AG14" s="377">
        <f t="shared" si="63"/>
        <v>25150</v>
      </c>
      <c r="AH14" s="377">
        <f t="shared" si="63"/>
        <v>19822</v>
      </c>
      <c r="AI14" s="377">
        <f t="shared" si="63"/>
        <v>23781</v>
      </c>
      <c r="AJ14" s="377">
        <f t="shared" si="63"/>
        <v>15189</v>
      </c>
      <c r="AK14" s="377">
        <f t="shared" si="63"/>
        <v>17277</v>
      </c>
      <c r="AL14" s="377">
        <f t="shared" si="63"/>
        <v>18055</v>
      </c>
      <c r="AM14" s="388">
        <f t="shared" si="63"/>
        <v>31999</v>
      </c>
      <c r="AN14" s="378">
        <f t="shared" si="56"/>
        <v>230495</v>
      </c>
      <c r="AO14" s="376">
        <f t="shared" ref="AO14:AZ14" si="64">SUM(AO15:AO18)</f>
        <v>12628</v>
      </c>
      <c r="AP14" s="377">
        <f t="shared" si="64"/>
        <v>10187</v>
      </c>
      <c r="AQ14" s="377">
        <f t="shared" si="64"/>
        <v>22324</v>
      </c>
      <c r="AR14" s="377">
        <f t="shared" si="64"/>
        <v>6861</v>
      </c>
      <c r="AS14" s="377">
        <f t="shared" si="64"/>
        <v>14405</v>
      </c>
      <c r="AT14" s="377">
        <f t="shared" si="64"/>
        <v>18801</v>
      </c>
      <c r="AU14" s="377">
        <f t="shared" si="64"/>
        <v>8554</v>
      </c>
      <c r="AV14" s="377">
        <f t="shared" si="64"/>
        <v>30423</v>
      </c>
      <c r="AW14" s="377">
        <f t="shared" si="64"/>
        <v>28197</v>
      </c>
      <c r="AX14" s="377">
        <f t="shared" si="64"/>
        <v>30108</v>
      </c>
      <c r="AY14" s="377">
        <f t="shared" si="64"/>
        <v>24566</v>
      </c>
      <c r="AZ14" s="388">
        <f t="shared" si="64"/>
        <v>55631</v>
      </c>
      <c r="BA14" s="378">
        <f t="shared" si="57"/>
        <v>262685</v>
      </c>
      <c r="BB14" s="376">
        <f t="shared" ref="BB14:BM14" si="65">SUM(BB15:BB18)</f>
        <v>12026</v>
      </c>
      <c r="BC14" s="377">
        <f t="shared" si="65"/>
        <v>11858</v>
      </c>
      <c r="BD14" s="377">
        <f t="shared" si="65"/>
        <v>13039</v>
      </c>
      <c r="BE14" s="377">
        <f t="shared" si="65"/>
        <v>10087</v>
      </c>
      <c r="BF14" s="377">
        <f t="shared" si="65"/>
        <v>34814</v>
      </c>
      <c r="BG14" s="377">
        <f t="shared" si="65"/>
        <v>44359</v>
      </c>
      <c r="BH14" s="377">
        <f t="shared" si="65"/>
        <v>14490</v>
      </c>
      <c r="BI14" s="377">
        <f t="shared" si="65"/>
        <v>18613</v>
      </c>
      <c r="BJ14" s="377">
        <f t="shared" si="65"/>
        <v>20958</v>
      </c>
      <c r="BK14" s="377">
        <f t="shared" si="65"/>
        <v>61801</v>
      </c>
      <c r="BL14" s="377">
        <f t="shared" si="65"/>
        <v>79362</v>
      </c>
      <c r="BM14" s="388">
        <f t="shared" si="65"/>
        <v>41617</v>
      </c>
      <c r="BN14" s="378">
        <f t="shared" si="58"/>
        <v>363024</v>
      </c>
      <c r="BO14" s="376">
        <f t="shared" ref="BO14:BZ14" si="66">SUM(BO15:BO18)</f>
        <v>5470</v>
      </c>
      <c r="BP14" s="377">
        <f t="shared" si="66"/>
        <v>26238</v>
      </c>
      <c r="BQ14" s="377">
        <f t="shared" si="66"/>
        <v>28467</v>
      </c>
      <c r="BR14" s="377">
        <f t="shared" si="66"/>
        <v>41210</v>
      </c>
      <c r="BS14" s="377">
        <f t="shared" si="66"/>
        <v>27832</v>
      </c>
      <c r="BT14" s="377">
        <f t="shared" si="66"/>
        <v>58910</v>
      </c>
      <c r="BU14" s="377">
        <f t="shared" si="66"/>
        <v>3907.9</v>
      </c>
      <c r="BV14" s="377">
        <f t="shared" si="66"/>
        <v>20209</v>
      </c>
      <c r="BW14" s="377">
        <f t="shared" si="66"/>
        <v>34113</v>
      </c>
      <c r="BX14" s="377">
        <f t="shared" si="66"/>
        <v>55607</v>
      </c>
      <c r="BY14" s="377">
        <f t="shared" si="66"/>
        <v>61650</v>
      </c>
      <c r="BZ14" s="388">
        <f t="shared" si="66"/>
        <v>34843</v>
      </c>
      <c r="CA14" s="378">
        <f t="shared" si="59"/>
        <v>398456.9</v>
      </c>
      <c r="CB14" s="376">
        <f t="shared" ref="CB14:CM14" si="67">SUM(CB15:CB18)</f>
        <v>48870</v>
      </c>
      <c r="CC14" s="377">
        <f t="shared" si="67"/>
        <v>25955</v>
      </c>
      <c r="CD14" s="377">
        <f t="shared" si="67"/>
        <v>21798</v>
      </c>
      <c r="CE14" s="377">
        <f t="shared" si="67"/>
        <v>13058</v>
      </c>
      <c r="CF14" s="377">
        <f t="shared" si="67"/>
        <v>23096</v>
      </c>
      <c r="CG14" s="377">
        <f t="shared" si="67"/>
        <v>84001</v>
      </c>
      <c r="CH14" s="377">
        <f t="shared" si="67"/>
        <v>19339</v>
      </c>
      <c r="CI14" s="377">
        <f t="shared" si="67"/>
        <v>28911</v>
      </c>
      <c r="CJ14" s="377">
        <f t="shared" si="67"/>
        <v>32268</v>
      </c>
      <c r="CK14" s="377">
        <f t="shared" si="67"/>
        <v>14571</v>
      </c>
      <c r="CL14" s="377">
        <f t="shared" si="67"/>
        <v>37281</v>
      </c>
      <c r="CM14" s="388">
        <f t="shared" si="67"/>
        <v>109124</v>
      </c>
      <c r="CN14" s="378">
        <f t="shared" si="60"/>
        <v>458272</v>
      </c>
      <c r="CO14" s="376">
        <f t="shared" ref="CO14:CZ14" si="68">SUM(CO15:CO18)</f>
        <v>12506</v>
      </c>
      <c r="CP14" s="377">
        <f t="shared" si="68"/>
        <v>11365</v>
      </c>
      <c r="CQ14" s="377">
        <f t="shared" si="68"/>
        <v>17335</v>
      </c>
      <c r="CR14" s="377">
        <f t="shared" si="68"/>
        <v>72418</v>
      </c>
      <c r="CS14" s="377">
        <f t="shared" si="68"/>
        <v>809</v>
      </c>
      <c r="CT14" s="377">
        <f t="shared" si="68"/>
        <v>11924</v>
      </c>
      <c r="CU14" s="377">
        <f t="shared" si="68"/>
        <v>31519</v>
      </c>
      <c r="CV14" s="377">
        <f t="shared" si="68"/>
        <v>54640</v>
      </c>
      <c r="CW14" s="377">
        <f t="shared" si="68"/>
        <v>70267</v>
      </c>
      <c r="CX14" s="377">
        <f t="shared" si="68"/>
        <v>75249</v>
      </c>
      <c r="CY14" s="377">
        <f t="shared" si="68"/>
        <v>98767</v>
      </c>
      <c r="CZ14" s="388">
        <f t="shared" si="68"/>
        <v>155549</v>
      </c>
      <c r="DA14" s="378">
        <f t="shared" si="28"/>
        <v>612348</v>
      </c>
      <c r="DB14" s="376">
        <f>SUM(DB15:DB18)</f>
        <v>2463</v>
      </c>
      <c r="DC14" s="377">
        <f t="shared" ref="DC14:DZ14" si="69">SUM(DC15:DC18)</f>
        <v>15630</v>
      </c>
      <c r="DD14" s="377">
        <f t="shared" si="69"/>
        <v>25637</v>
      </c>
      <c r="DE14" s="377">
        <f t="shared" si="69"/>
        <v>42857</v>
      </c>
      <c r="DF14" s="377">
        <f t="shared" si="69"/>
        <v>33008</v>
      </c>
      <c r="DG14" s="377">
        <f t="shared" si="69"/>
        <v>40215</v>
      </c>
      <c r="DH14" s="377">
        <f t="shared" si="69"/>
        <v>47763</v>
      </c>
      <c r="DI14" s="377">
        <f t="shared" si="69"/>
        <v>49407</v>
      </c>
      <c r="DJ14" s="377">
        <f t="shared" si="69"/>
        <v>36050</v>
      </c>
      <c r="DK14" s="377">
        <f t="shared" si="69"/>
        <v>30834</v>
      </c>
      <c r="DL14" s="377">
        <f t="shared" si="69"/>
        <v>24195</v>
      </c>
      <c r="DM14" s="388">
        <f t="shared" si="69"/>
        <v>95030</v>
      </c>
      <c r="DN14" s="378">
        <f t="shared" si="30"/>
        <v>443089</v>
      </c>
      <c r="DO14" s="376">
        <f t="shared" si="69"/>
        <v>2210</v>
      </c>
      <c r="DP14" s="377">
        <f t="shared" si="69"/>
        <v>16268</v>
      </c>
      <c r="DQ14" s="377">
        <f t="shared" si="69"/>
        <v>47413</v>
      </c>
      <c r="DR14" s="377">
        <f t="shared" si="69"/>
        <v>21067</v>
      </c>
      <c r="DS14" s="377">
        <f t="shared" si="69"/>
        <v>27977</v>
      </c>
      <c r="DT14" s="377">
        <f t="shared" si="69"/>
        <v>26728</v>
      </c>
      <c r="DU14" s="377">
        <f t="shared" si="69"/>
        <v>24845</v>
      </c>
      <c r="DV14" s="377">
        <f t="shared" si="69"/>
        <v>33573</v>
      </c>
      <c r="DW14" s="377">
        <f t="shared" si="69"/>
        <v>25950</v>
      </c>
      <c r="DX14" s="377">
        <f t="shared" si="69"/>
        <v>31551</v>
      </c>
      <c r="DY14" s="377">
        <f t="shared" si="69"/>
        <v>28597</v>
      </c>
      <c r="DZ14" s="388">
        <f t="shared" si="69"/>
        <v>73134</v>
      </c>
      <c r="EA14" s="378">
        <f t="shared" si="32"/>
        <v>359313</v>
      </c>
      <c r="EB14" s="376">
        <f t="shared" ref="EB14:EM14" si="70">SUM(EB15:EB18)</f>
        <v>4600</v>
      </c>
      <c r="EC14" s="377">
        <f t="shared" si="70"/>
        <v>12253</v>
      </c>
      <c r="ED14" s="377">
        <f t="shared" si="70"/>
        <v>17066</v>
      </c>
      <c r="EE14" s="377">
        <f t="shared" si="70"/>
        <v>25516</v>
      </c>
      <c r="EF14" s="377">
        <f t="shared" si="70"/>
        <v>18917</v>
      </c>
      <c r="EG14" s="377">
        <f t="shared" si="70"/>
        <v>19911</v>
      </c>
      <c r="EH14" s="377">
        <f t="shared" si="70"/>
        <v>16183</v>
      </c>
      <c r="EI14" s="377">
        <f t="shared" si="70"/>
        <v>17220</v>
      </c>
      <c r="EJ14" s="377">
        <f t="shared" si="70"/>
        <v>17315</v>
      </c>
      <c r="EK14" s="377">
        <f t="shared" si="70"/>
        <v>21612</v>
      </c>
      <c r="EL14" s="377">
        <f t="shared" si="70"/>
        <v>27145</v>
      </c>
      <c r="EM14" s="388">
        <f t="shared" si="70"/>
        <v>47517</v>
      </c>
      <c r="EN14" s="378">
        <f t="shared" si="34"/>
        <v>245255</v>
      </c>
      <c r="EO14" s="376">
        <f t="shared" ref="EO14:EZ14" si="71">SUM(EO15:EO18)</f>
        <v>2850</v>
      </c>
      <c r="EP14" s="377">
        <f t="shared" si="71"/>
        <v>11445</v>
      </c>
      <c r="EQ14" s="377">
        <f t="shared" si="71"/>
        <v>17681</v>
      </c>
      <c r="ER14" s="377">
        <f t="shared" si="71"/>
        <v>13027</v>
      </c>
      <c r="ES14" s="377">
        <f t="shared" si="71"/>
        <v>17745</v>
      </c>
      <c r="ET14" s="377">
        <f t="shared" si="71"/>
        <v>19320</v>
      </c>
      <c r="EU14" s="377">
        <f t="shared" si="71"/>
        <v>35067</v>
      </c>
      <c r="EV14" s="377">
        <f t="shared" si="71"/>
        <v>25536</v>
      </c>
      <c r="EW14" s="377">
        <f t="shared" si="71"/>
        <v>26932</v>
      </c>
      <c r="EX14" s="377">
        <f t="shared" si="71"/>
        <v>21230</v>
      </c>
      <c r="EY14" s="377">
        <f t="shared" si="71"/>
        <v>31303</v>
      </c>
      <c r="EZ14" s="388">
        <f t="shared" si="71"/>
        <v>82082</v>
      </c>
      <c r="FA14" s="378">
        <f t="shared" si="36"/>
        <v>304218</v>
      </c>
      <c r="FB14" s="376">
        <f t="shared" ref="FB14:FM14" si="72">SUM(FB15:FB18)</f>
        <v>7707</v>
      </c>
      <c r="FC14" s="377">
        <f t="shared" si="72"/>
        <v>20237</v>
      </c>
      <c r="FD14" s="377">
        <f t="shared" si="72"/>
        <v>12794</v>
      </c>
      <c r="FE14" s="377">
        <f t="shared" si="72"/>
        <v>6782</v>
      </c>
      <c r="FF14" s="377">
        <f t="shared" si="72"/>
        <v>5256</v>
      </c>
      <c r="FG14" s="377">
        <f t="shared" si="72"/>
        <v>14534</v>
      </c>
      <c r="FH14" s="377">
        <f t="shared" si="72"/>
        <v>13237</v>
      </c>
      <c r="FI14" s="377">
        <f t="shared" si="72"/>
        <v>24526</v>
      </c>
      <c r="FJ14" s="377">
        <f t="shared" si="72"/>
        <v>22180</v>
      </c>
      <c r="FK14" s="377">
        <f t="shared" si="72"/>
        <v>31441</v>
      </c>
      <c r="FL14" s="377">
        <f t="shared" si="72"/>
        <v>40829</v>
      </c>
      <c r="FM14" s="388">
        <f t="shared" si="72"/>
        <v>65086</v>
      </c>
      <c r="FN14" s="378">
        <f t="shared" si="38"/>
        <v>264609</v>
      </c>
      <c r="FO14" s="376">
        <f t="shared" ref="FO14:GM14" si="73">SUM(FO15:FO18)</f>
        <v>14752</v>
      </c>
      <c r="FP14" s="377">
        <f t="shared" si="73"/>
        <v>14993</v>
      </c>
      <c r="FQ14" s="377">
        <f t="shared" si="73"/>
        <v>20807</v>
      </c>
      <c r="FR14" s="377">
        <f t="shared" si="73"/>
        <v>14297</v>
      </c>
      <c r="FS14" s="377">
        <f t="shared" si="73"/>
        <v>16755</v>
      </c>
      <c r="FT14" s="377">
        <f t="shared" si="73"/>
        <v>27374</v>
      </c>
      <c r="FU14" s="377">
        <f t="shared" si="73"/>
        <v>21409</v>
      </c>
      <c r="FV14" s="377">
        <f t="shared" si="73"/>
        <v>19714</v>
      </c>
      <c r="FW14" s="377">
        <f t="shared" si="73"/>
        <v>15392</v>
      </c>
      <c r="FX14" s="377">
        <f t="shared" si="73"/>
        <v>18597</v>
      </c>
      <c r="FY14" s="377">
        <f t="shared" si="73"/>
        <v>17395</v>
      </c>
      <c r="FZ14" s="388">
        <f t="shared" si="73"/>
        <v>38343</v>
      </c>
      <c r="GA14" s="378">
        <f t="shared" si="40"/>
        <v>239828</v>
      </c>
      <c r="GB14" s="376">
        <f t="shared" si="73"/>
        <v>10873</v>
      </c>
      <c r="GC14" s="377">
        <f t="shared" si="73"/>
        <v>6985</v>
      </c>
      <c r="GD14" s="377">
        <f t="shared" si="73"/>
        <v>22510</v>
      </c>
      <c r="GE14" s="377">
        <f t="shared" si="73"/>
        <v>24190</v>
      </c>
      <c r="GF14" s="377">
        <f t="shared" si="73"/>
        <v>38092</v>
      </c>
      <c r="GG14" s="377">
        <f t="shared" si="73"/>
        <v>37680</v>
      </c>
      <c r="GH14" s="377">
        <f t="shared" si="73"/>
        <v>36647</v>
      </c>
      <c r="GI14" s="377">
        <f t="shared" si="73"/>
        <v>37269</v>
      </c>
      <c r="GJ14" s="377">
        <f t="shared" si="73"/>
        <v>37891</v>
      </c>
      <c r="GK14" s="377">
        <f t="shared" si="73"/>
        <v>45093</v>
      </c>
      <c r="GL14" s="377">
        <f t="shared" si="73"/>
        <v>51590</v>
      </c>
      <c r="GM14" s="388">
        <f t="shared" si="73"/>
        <v>62760</v>
      </c>
      <c r="GN14" s="378">
        <f t="shared" si="41"/>
        <v>411580</v>
      </c>
      <c r="GO14" s="376">
        <f t="shared" ref="GO14:GZ14" si="74">SUM(GO15:GO18)</f>
        <v>5760</v>
      </c>
      <c r="GP14" s="377">
        <f t="shared" si="74"/>
        <v>15428</v>
      </c>
      <c r="GQ14" s="377">
        <f t="shared" si="74"/>
        <v>28499</v>
      </c>
      <c r="GR14" s="377">
        <f t="shared" si="74"/>
        <v>15774</v>
      </c>
      <c r="GS14" s="377">
        <f t="shared" si="74"/>
        <v>19309</v>
      </c>
      <c r="GT14" s="377">
        <f t="shared" si="74"/>
        <v>23234</v>
      </c>
      <c r="GU14" s="377">
        <f t="shared" si="74"/>
        <v>49314</v>
      </c>
      <c r="GV14" s="377">
        <f t="shared" si="74"/>
        <v>28134</v>
      </c>
      <c r="GW14" s="377">
        <f t="shared" si="74"/>
        <v>34555</v>
      </c>
      <c r="GX14" s="377">
        <f t="shared" si="74"/>
        <v>30695</v>
      </c>
      <c r="GY14" s="377">
        <f t="shared" si="74"/>
        <v>47677</v>
      </c>
      <c r="GZ14" s="388">
        <f t="shared" si="74"/>
        <v>78324</v>
      </c>
      <c r="HA14" s="378">
        <f t="shared" si="43"/>
        <v>376703</v>
      </c>
      <c r="HB14" s="376">
        <f t="shared" ref="HB14:HM14" si="75">SUM(HB15:HB18)</f>
        <v>21217</v>
      </c>
      <c r="HC14" s="377">
        <f t="shared" si="75"/>
        <v>22576</v>
      </c>
      <c r="HD14" s="377">
        <f t="shared" si="75"/>
        <v>23292</v>
      </c>
      <c r="HE14" s="377">
        <f t="shared" si="75"/>
        <v>40824</v>
      </c>
      <c r="HF14" s="377">
        <f t="shared" si="75"/>
        <v>39902</v>
      </c>
      <c r="HG14" s="377">
        <f t="shared" si="75"/>
        <v>44753</v>
      </c>
      <c r="HH14" s="377">
        <f t="shared" si="75"/>
        <v>36232</v>
      </c>
      <c r="HI14" s="377">
        <f t="shared" si="75"/>
        <v>43138</v>
      </c>
      <c r="HJ14" s="377">
        <f t="shared" si="75"/>
        <v>27624</v>
      </c>
      <c r="HK14" s="377">
        <f t="shared" si="75"/>
        <v>53233</v>
      </c>
      <c r="HL14" s="377">
        <f t="shared" si="75"/>
        <v>58465</v>
      </c>
      <c r="HM14" s="388">
        <f t="shared" si="75"/>
        <v>133319</v>
      </c>
      <c r="HN14" s="378">
        <f t="shared" si="45"/>
        <v>544575</v>
      </c>
      <c r="HO14" s="376">
        <f>SUM(HO15:HO18)</f>
        <v>8926</v>
      </c>
      <c r="HP14" s="377">
        <f>SUM(HP15:HP18)</f>
        <v>73868</v>
      </c>
      <c r="HQ14" s="377">
        <f>SUM(HQ15:HQ18)</f>
        <v>35342</v>
      </c>
      <c r="HR14" s="377">
        <f>SUM(HR15:HR18)</f>
        <v>73008</v>
      </c>
      <c r="HS14" s="377">
        <f>SUM(HS15:HS18)</f>
        <v>82095</v>
      </c>
      <c r="HT14" s="377">
        <f t="shared" ref="HT14:HY14" si="76">SUM(HT15:HT18)</f>
        <v>35167</v>
      </c>
      <c r="HU14" s="377">
        <f t="shared" si="76"/>
        <v>39011</v>
      </c>
      <c r="HV14" s="377">
        <f t="shared" si="76"/>
        <v>45244</v>
      </c>
      <c r="HW14" s="377">
        <f t="shared" si="76"/>
        <v>48658</v>
      </c>
      <c r="HX14" s="377">
        <f t="shared" si="76"/>
        <v>62227</v>
      </c>
      <c r="HY14" s="377">
        <f t="shared" si="76"/>
        <v>49605</v>
      </c>
      <c r="HZ14" s="1670">
        <v>84977</v>
      </c>
      <c r="IA14" s="376">
        <f t="shared" si="47"/>
        <v>638128</v>
      </c>
      <c r="IB14" s="1328">
        <f t="shared" ref="IB14:IF14" si="77">SUM(IB15:IB18)</f>
        <v>41894</v>
      </c>
      <c r="IC14" s="129">
        <f t="shared" si="77"/>
        <v>32712</v>
      </c>
      <c r="ID14" s="129">
        <f t="shared" si="77"/>
        <v>41835</v>
      </c>
      <c r="IE14" s="129">
        <f t="shared" si="77"/>
        <v>37118</v>
      </c>
      <c r="IF14" s="129">
        <f t="shared" si="77"/>
        <v>44811</v>
      </c>
      <c r="IG14" s="129">
        <v>49262</v>
      </c>
      <c r="IH14" s="129">
        <f t="shared" ref="IH14" si="78">SUM(IH15:IH18)</f>
        <v>74711</v>
      </c>
      <c r="II14" s="129">
        <f t="shared" ref="II14" si="79">SUM(II15:II18)</f>
        <v>60785</v>
      </c>
      <c r="IJ14" s="129"/>
      <c r="IK14" s="129"/>
      <c r="IL14" s="129"/>
      <c r="IM14" s="1268"/>
      <c r="IN14" s="1343">
        <f t="shared" si="51"/>
        <v>383128</v>
      </c>
      <c r="IO14" s="120"/>
      <c r="IP14" s="370">
        <f t="shared" si="52"/>
        <v>34.349305985324023</v>
      </c>
      <c r="IQ14" s="340">
        <f t="shared" si="53"/>
        <v>-2.4277939494882328</v>
      </c>
      <c r="IR14" s="339">
        <f t="shared" si="54"/>
        <v>392661</v>
      </c>
      <c r="IS14" s="341">
        <f t="shared" si="55"/>
        <v>383128</v>
      </c>
      <c r="IU14" s="339"/>
    </row>
    <row r="15" spans="1:255" ht="15" customHeight="1" x14ac:dyDescent="0.2">
      <c r="A15" s="1555" t="s">
        <v>620</v>
      </c>
      <c r="B15" s="379">
        <v>1655</v>
      </c>
      <c r="C15" s="380">
        <v>3825</v>
      </c>
      <c r="D15" s="380">
        <v>8043</v>
      </c>
      <c r="E15" s="380">
        <v>6147</v>
      </c>
      <c r="F15" s="380">
        <v>8272</v>
      </c>
      <c r="G15" s="380">
        <v>15588</v>
      </c>
      <c r="H15" s="380">
        <v>45110</v>
      </c>
      <c r="I15" s="380">
        <v>18854</v>
      </c>
      <c r="J15" s="380">
        <v>10255</v>
      </c>
      <c r="K15" s="380">
        <v>15502</v>
      </c>
      <c r="L15" s="380">
        <v>16454</v>
      </c>
      <c r="M15" s="389">
        <v>81317</v>
      </c>
      <c r="N15" s="381">
        <f t="shared" si="1"/>
        <v>231022</v>
      </c>
      <c r="O15" s="379">
        <v>6428</v>
      </c>
      <c r="P15" s="380">
        <v>9622</v>
      </c>
      <c r="Q15" s="380">
        <v>11475</v>
      </c>
      <c r="R15" s="380">
        <v>34763</v>
      </c>
      <c r="S15" s="380">
        <v>13739</v>
      </c>
      <c r="T15" s="380">
        <v>13158</v>
      </c>
      <c r="U15" s="380">
        <v>15448</v>
      </c>
      <c r="V15" s="380">
        <v>14048</v>
      </c>
      <c r="W15" s="380">
        <v>20920</v>
      </c>
      <c r="X15" s="380">
        <v>20644</v>
      </c>
      <c r="Y15" s="380">
        <v>19092</v>
      </c>
      <c r="Z15" s="389">
        <v>39888</v>
      </c>
      <c r="AA15" s="381">
        <f>SUM(O15:Z15)</f>
        <v>219225</v>
      </c>
      <c r="AB15" s="379">
        <v>2800</v>
      </c>
      <c r="AC15" s="380">
        <v>25192</v>
      </c>
      <c r="AD15" s="380">
        <v>13901</v>
      </c>
      <c r="AE15" s="380">
        <v>14314</v>
      </c>
      <c r="AF15" s="380">
        <v>23015</v>
      </c>
      <c r="AG15" s="380">
        <v>25150</v>
      </c>
      <c r="AH15" s="380">
        <v>19299</v>
      </c>
      <c r="AI15" s="380">
        <v>18636</v>
      </c>
      <c r="AJ15" s="380">
        <v>14606</v>
      </c>
      <c r="AK15" s="380">
        <v>16977</v>
      </c>
      <c r="AL15" s="380">
        <v>17713</v>
      </c>
      <c r="AM15" s="389">
        <v>30530</v>
      </c>
      <c r="AN15" s="381">
        <f t="shared" si="56"/>
        <v>222133</v>
      </c>
      <c r="AO15" s="379">
        <v>12628</v>
      </c>
      <c r="AP15" s="380">
        <v>10187</v>
      </c>
      <c r="AQ15" s="380">
        <v>22324</v>
      </c>
      <c r="AR15" s="380">
        <v>6861</v>
      </c>
      <c r="AS15" s="380">
        <v>14405</v>
      </c>
      <c r="AT15" s="380">
        <v>17211</v>
      </c>
      <c r="AU15" s="380">
        <v>8554</v>
      </c>
      <c r="AV15" s="380">
        <v>30423</v>
      </c>
      <c r="AW15" s="380">
        <v>25539</v>
      </c>
      <c r="AX15" s="380">
        <v>30108</v>
      </c>
      <c r="AY15" s="380">
        <v>26602</v>
      </c>
      <c r="AZ15" s="389">
        <v>55631</v>
      </c>
      <c r="BA15" s="381">
        <f t="shared" si="57"/>
        <v>260473</v>
      </c>
      <c r="BB15" s="379">
        <v>12026</v>
      </c>
      <c r="BC15" s="380">
        <v>11858</v>
      </c>
      <c r="BD15" s="380">
        <v>13039</v>
      </c>
      <c r="BE15" s="380">
        <v>10087</v>
      </c>
      <c r="BF15" s="380">
        <v>34814</v>
      </c>
      <c r="BG15" s="380">
        <v>38647</v>
      </c>
      <c r="BH15" s="380">
        <v>14490</v>
      </c>
      <c r="BI15" s="380">
        <v>18613</v>
      </c>
      <c r="BJ15" s="380">
        <v>20958</v>
      </c>
      <c r="BK15" s="380">
        <v>61801</v>
      </c>
      <c r="BL15" s="380">
        <v>79362</v>
      </c>
      <c r="BM15" s="389">
        <v>41617</v>
      </c>
      <c r="BN15" s="381">
        <f t="shared" si="58"/>
        <v>357312</v>
      </c>
      <c r="BO15" s="379">
        <v>5470</v>
      </c>
      <c r="BP15" s="380">
        <v>26238</v>
      </c>
      <c r="BQ15" s="380">
        <v>28467</v>
      </c>
      <c r="BR15" s="380">
        <v>41210</v>
      </c>
      <c r="BS15" s="380">
        <v>27832</v>
      </c>
      <c r="BT15" s="380">
        <v>52663</v>
      </c>
      <c r="BU15" s="380">
        <v>3908</v>
      </c>
      <c r="BV15" s="380">
        <v>20209</v>
      </c>
      <c r="BW15" s="380">
        <v>34113</v>
      </c>
      <c r="BX15" s="380">
        <v>55607</v>
      </c>
      <c r="BY15" s="380">
        <v>61650</v>
      </c>
      <c r="BZ15" s="389">
        <v>34843</v>
      </c>
      <c r="CA15" s="381">
        <f t="shared" si="59"/>
        <v>392210</v>
      </c>
      <c r="CB15" s="379">
        <v>48870</v>
      </c>
      <c r="CC15" s="380">
        <v>25955</v>
      </c>
      <c r="CD15" s="380">
        <v>21798</v>
      </c>
      <c r="CE15" s="380">
        <v>13058</v>
      </c>
      <c r="CF15" s="380">
        <v>23096</v>
      </c>
      <c r="CG15" s="380">
        <v>84001</v>
      </c>
      <c r="CH15" s="380">
        <v>19339</v>
      </c>
      <c r="CI15" s="380">
        <v>28911</v>
      </c>
      <c r="CJ15" s="380">
        <v>32268</v>
      </c>
      <c r="CK15" s="380">
        <v>14571</v>
      </c>
      <c r="CL15" s="380">
        <v>37281</v>
      </c>
      <c r="CM15" s="389">
        <v>109124</v>
      </c>
      <c r="CN15" s="381">
        <f t="shared" si="60"/>
        <v>458272</v>
      </c>
      <c r="CO15" s="379">
        <v>12506</v>
      </c>
      <c r="CP15" s="380">
        <v>11365</v>
      </c>
      <c r="CQ15" s="380">
        <v>15887</v>
      </c>
      <c r="CR15" s="380">
        <v>72418</v>
      </c>
      <c r="CS15" s="380">
        <v>809</v>
      </c>
      <c r="CT15" s="380">
        <v>11924</v>
      </c>
      <c r="CU15" s="380">
        <v>31519</v>
      </c>
      <c r="CV15" s="380">
        <v>54640</v>
      </c>
      <c r="CW15" s="380">
        <v>70267</v>
      </c>
      <c r="CX15" s="380">
        <v>75249</v>
      </c>
      <c r="CY15" s="380">
        <v>98767</v>
      </c>
      <c r="CZ15" s="389">
        <v>155549</v>
      </c>
      <c r="DA15" s="381">
        <f t="shared" si="28"/>
        <v>610900</v>
      </c>
      <c r="DB15" s="379">
        <v>2463</v>
      </c>
      <c r="DC15" s="380">
        <v>15630</v>
      </c>
      <c r="DD15" s="380">
        <v>25637</v>
      </c>
      <c r="DE15" s="380">
        <v>42857</v>
      </c>
      <c r="DF15" s="380">
        <v>29991</v>
      </c>
      <c r="DG15" s="380">
        <v>40215</v>
      </c>
      <c r="DH15" s="380">
        <v>47763</v>
      </c>
      <c r="DI15" s="380">
        <v>49407</v>
      </c>
      <c r="DJ15" s="380">
        <v>36050</v>
      </c>
      <c r="DK15" s="380">
        <v>30834</v>
      </c>
      <c r="DL15" s="380">
        <v>24195</v>
      </c>
      <c r="DM15" s="389">
        <v>95030</v>
      </c>
      <c r="DN15" s="381">
        <f t="shared" si="30"/>
        <v>440072</v>
      </c>
      <c r="DO15" s="379">
        <v>2210</v>
      </c>
      <c r="DP15" s="380">
        <v>16268</v>
      </c>
      <c r="DQ15" s="380">
        <v>47413</v>
      </c>
      <c r="DR15" s="380">
        <v>21067</v>
      </c>
      <c r="DS15" s="380">
        <v>27977</v>
      </c>
      <c r="DT15" s="380">
        <v>26728</v>
      </c>
      <c r="DU15" s="380">
        <v>24845</v>
      </c>
      <c r="DV15" s="380">
        <v>33573</v>
      </c>
      <c r="DW15" s="380">
        <v>25950</v>
      </c>
      <c r="DX15" s="380">
        <v>31551</v>
      </c>
      <c r="DY15" s="380">
        <v>28597</v>
      </c>
      <c r="DZ15" s="389">
        <v>73134</v>
      </c>
      <c r="EA15" s="381">
        <f t="shared" si="32"/>
        <v>359313</v>
      </c>
      <c r="EB15" s="379">
        <v>4600</v>
      </c>
      <c r="EC15" s="380">
        <v>12253</v>
      </c>
      <c r="ED15" s="380">
        <v>17066</v>
      </c>
      <c r="EE15" s="380">
        <v>25516</v>
      </c>
      <c r="EF15" s="380">
        <v>18917</v>
      </c>
      <c r="EG15" s="380">
        <v>19911</v>
      </c>
      <c r="EH15" s="380">
        <v>16183</v>
      </c>
      <c r="EI15" s="380">
        <v>17220</v>
      </c>
      <c r="EJ15" s="380">
        <v>17315</v>
      </c>
      <c r="EK15" s="380">
        <v>21612</v>
      </c>
      <c r="EL15" s="380">
        <v>27145</v>
      </c>
      <c r="EM15" s="389">
        <v>47517</v>
      </c>
      <c r="EN15" s="381">
        <f t="shared" si="34"/>
        <v>245255</v>
      </c>
      <c r="EO15" s="379">
        <v>2850</v>
      </c>
      <c r="EP15" s="380">
        <v>11445</v>
      </c>
      <c r="EQ15" s="380">
        <v>17681</v>
      </c>
      <c r="ER15" s="380">
        <v>13027</v>
      </c>
      <c r="ES15" s="380">
        <v>17745</v>
      </c>
      <c r="ET15" s="380">
        <v>19320</v>
      </c>
      <c r="EU15" s="380">
        <v>35067</v>
      </c>
      <c r="EV15" s="380">
        <v>25536</v>
      </c>
      <c r="EW15" s="380">
        <v>26932</v>
      </c>
      <c r="EX15" s="380">
        <v>21230</v>
      </c>
      <c r="EY15" s="380">
        <v>31303</v>
      </c>
      <c r="EZ15" s="389">
        <v>82082</v>
      </c>
      <c r="FA15" s="381">
        <f t="shared" si="36"/>
        <v>304218</v>
      </c>
      <c r="FB15" s="379">
        <v>7707</v>
      </c>
      <c r="FC15" s="380">
        <v>20237</v>
      </c>
      <c r="FD15" s="380">
        <v>12794</v>
      </c>
      <c r="FE15" s="380">
        <v>6782</v>
      </c>
      <c r="FF15" s="380">
        <v>5256</v>
      </c>
      <c r="FG15" s="380">
        <v>14534</v>
      </c>
      <c r="FH15" s="380">
        <v>13237</v>
      </c>
      <c r="FI15" s="380">
        <v>24526</v>
      </c>
      <c r="FJ15" s="380">
        <v>22180</v>
      </c>
      <c r="FK15" s="380">
        <v>31441</v>
      </c>
      <c r="FL15" s="380">
        <v>40829</v>
      </c>
      <c r="FM15" s="389">
        <v>65086</v>
      </c>
      <c r="FN15" s="381">
        <f t="shared" si="38"/>
        <v>264609</v>
      </c>
      <c r="FO15" s="379">
        <v>14752</v>
      </c>
      <c r="FP15" s="380">
        <v>14993</v>
      </c>
      <c r="FQ15" s="380">
        <v>20807</v>
      </c>
      <c r="FR15" s="380">
        <v>14297</v>
      </c>
      <c r="FS15" s="380">
        <v>16755</v>
      </c>
      <c r="FT15" s="380">
        <v>27374</v>
      </c>
      <c r="FU15" s="380">
        <v>21409</v>
      </c>
      <c r="FV15" s="380">
        <v>19714</v>
      </c>
      <c r="FW15" s="380">
        <v>15392</v>
      </c>
      <c r="FX15" s="380">
        <v>18597</v>
      </c>
      <c r="FY15" s="380">
        <v>17395</v>
      </c>
      <c r="FZ15" s="389">
        <v>38343</v>
      </c>
      <c r="GA15" s="381">
        <f t="shared" si="40"/>
        <v>239828</v>
      </c>
      <c r="GB15" s="379">
        <v>10873</v>
      </c>
      <c r="GC15" s="380">
        <v>6985</v>
      </c>
      <c r="GD15" s="380">
        <v>22510</v>
      </c>
      <c r="GE15" s="380">
        <v>24190</v>
      </c>
      <c r="GF15" s="380">
        <v>38092</v>
      </c>
      <c r="GG15" s="380">
        <v>35731</v>
      </c>
      <c r="GH15" s="380">
        <v>36372</v>
      </c>
      <c r="GI15" s="380">
        <v>37269</v>
      </c>
      <c r="GJ15" s="380">
        <v>37891</v>
      </c>
      <c r="GK15" s="380">
        <v>45093</v>
      </c>
      <c r="GL15" s="380">
        <v>51590</v>
      </c>
      <c r="GM15" s="389">
        <v>62029</v>
      </c>
      <c r="GN15" s="381">
        <f t="shared" si="41"/>
        <v>408625</v>
      </c>
      <c r="GO15" s="379">
        <v>5760</v>
      </c>
      <c r="GP15" s="380">
        <v>15428</v>
      </c>
      <c r="GQ15" s="380">
        <v>28499</v>
      </c>
      <c r="GR15" s="380">
        <v>15774</v>
      </c>
      <c r="GS15" s="380">
        <v>19309</v>
      </c>
      <c r="GT15" s="380">
        <v>23234</v>
      </c>
      <c r="GU15" s="380">
        <v>49314</v>
      </c>
      <c r="GV15" s="380">
        <v>28134</v>
      </c>
      <c r="GW15" s="380">
        <v>34555</v>
      </c>
      <c r="GX15" s="380">
        <v>30695</v>
      </c>
      <c r="GY15" s="380">
        <v>47677</v>
      </c>
      <c r="GZ15" s="389">
        <v>78324</v>
      </c>
      <c r="HA15" s="381">
        <f t="shared" si="43"/>
        <v>376703</v>
      </c>
      <c r="HB15" s="379">
        <v>21217</v>
      </c>
      <c r="HC15" s="380">
        <v>22576</v>
      </c>
      <c r="HD15" s="380">
        <v>23292</v>
      </c>
      <c r="HE15" s="380">
        <v>40824</v>
      </c>
      <c r="HF15" s="380">
        <v>39902</v>
      </c>
      <c r="HG15" s="380">
        <v>44753</v>
      </c>
      <c r="HH15" s="380">
        <v>36232</v>
      </c>
      <c r="HI15" s="380">
        <v>43123</v>
      </c>
      <c r="HJ15" s="380">
        <v>27624</v>
      </c>
      <c r="HK15" s="380">
        <v>53233</v>
      </c>
      <c r="HL15" s="380">
        <v>58465</v>
      </c>
      <c r="HM15" s="389">
        <v>133319</v>
      </c>
      <c r="HN15" s="381">
        <f t="shared" si="45"/>
        <v>544560</v>
      </c>
      <c r="HO15" s="379">
        <v>8926</v>
      </c>
      <c r="HP15" s="380">
        <v>73868</v>
      </c>
      <c r="HQ15" s="380">
        <v>35342</v>
      </c>
      <c r="HR15" s="380">
        <v>73008</v>
      </c>
      <c r="HS15" s="380">
        <v>82095</v>
      </c>
      <c r="HT15" s="380">
        <v>35167</v>
      </c>
      <c r="HU15" s="380">
        <v>39011</v>
      </c>
      <c r="HV15" s="380">
        <v>45244</v>
      </c>
      <c r="HW15" s="380">
        <v>48658</v>
      </c>
      <c r="HX15" s="380">
        <v>62227</v>
      </c>
      <c r="HY15" s="380">
        <v>49605</v>
      </c>
      <c r="HZ15" s="391">
        <v>84900</v>
      </c>
      <c r="IA15" s="379">
        <f t="shared" si="47"/>
        <v>638051</v>
      </c>
      <c r="IB15" s="1344">
        <v>41894</v>
      </c>
      <c r="IC15" s="120">
        <v>32712</v>
      </c>
      <c r="ID15" s="120">
        <v>41835</v>
      </c>
      <c r="IE15" s="120">
        <v>37118</v>
      </c>
      <c r="IF15" s="120">
        <v>44811</v>
      </c>
      <c r="IG15" s="120">
        <v>49262</v>
      </c>
      <c r="IH15" s="120">
        <v>74711</v>
      </c>
      <c r="II15" s="120">
        <v>60785</v>
      </c>
      <c r="IJ15" s="120"/>
      <c r="IK15" s="120"/>
      <c r="IL15" s="120"/>
      <c r="IM15" s="1345"/>
      <c r="IN15" s="1346">
        <f t="shared" si="51"/>
        <v>383128</v>
      </c>
      <c r="IO15" s="120"/>
      <c r="IP15" s="371">
        <f t="shared" si="52"/>
        <v>34.349305985324023</v>
      </c>
      <c r="IQ15" s="348">
        <f t="shared" si="53"/>
        <v>-2.4277939494882328</v>
      </c>
      <c r="IR15" s="320">
        <f t="shared" si="54"/>
        <v>392661</v>
      </c>
      <c r="IS15" s="344">
        <f t="shared" si="55"/>
        <v>383128</v>
      </c>
      <c r="IU15" s="320"/>
    </row>
    <row r="16" spans="1:255" ht="15" customHeight="1" x14ac:dyDescent="0.2">
      <c r="A16" s="1554" t="s">
        <v>437</v>
      </c>
      <c r="B16" s="379">
        <v>0</v>
      </c>
      <c r="C16" s="380">
        <v>0</v>
      </c>
      <c r="D16" s="380">
        <v>0</v>
      </c>
      <c r="E16" s="380">
        <v>0</v>
      </c>
      <c r="F16" s="380">
        <v>0</v>
      </c>
      <c r="G16" s="380">
        <v>0</v>
      </c>
      <c r="H16" s="380">
        <v>0</v>
      </c>
      <c r="I16" s="380">
        <v>0</v>
      </c>
      <c r="J16" s="380">
        <v>0</v>
      </c>
      <c r="K16" s="380">
        <v>0</v>
      </c>
      <c r="L16" s="380">
        <v>0</v>
      </c>
      <c r="M16" s="389">
        <v>0</v>
      </c>
      <c r="N16" s="381">
        <f t="shared" si="1"/>
        <v>0</v>
      </c>
      <c r="O16" s="379">
        <v>0</v>
      </c>
      <c r="P16" s="380">
        <v>0</v>
      </c>
      <c r="Q16" s="380">
        <v>0</v>
      </c>
      <c r="R16" s="380">
        <v>0</v>
      </c>
      <c r="S16" s="380">
        <v>0</v>
      </c>
      <c r="T16" s="380">
        <v>0</v>
      </c>
      <c r="U16" s="380">
        <v>0</v>
      </c>
      <c r="V16" s="380">
        <v>0</v>
      </c>
      <c r="W16" s="380">
        <v>0</v>
      </c>
      <c r="X16" s="380">
        <v>0</v>
      </c>
      <c r="Y16" s="380">
        <v>0</v>
      </c>
      <c r="Z16" s="389">
        <v>0</v>
      </c>
      <c r="AA16" s="381">
        <f>SUM(O16:Z16)</f>
        <v>0</v>
      </c>
      <c r="AB16" s="379">
        <v>0</v>
      </c>
      <c r="AC16" s="380">
        <v>0</v>
      </c>
      <c r="AD16" s="380">
        <v>0</v>
      </c>
      <c r="AE16" s="380">
        <v>0</v>
      </c>
      <c r="AF16" s="380">
        <v>0</v>
      </c>
      <c r="AG16" s="380">
        <v>0</v>
      </c>
      <c r="AH16" s="380">
        <v>0</v>
      </c>
      <c r="AI16" s="380">
        <v>0</v>
      </c>
      <c r="AJ16" s="380">
        <v>0</v>
      </c>
      <c r="AK16" s="380">
        <v>0</v>
      </c>
      <c r="AL16" s="380">
        <v>0</v>
      </c>
      <c r="AM16" s="389">
        <v>0</v>
      </c>
      <c r="AN16" s="381">
        <f t="shared" si="56"/>
        <v>0</v>
      </c>
      <c r="AO16" s="379">
        <v>0</v>
      </c>
      <c r="AP16" s="380">
        <v>0</v>
      </c>
      <c r="AQ16" s="380">
        <v>0</v>
      </c>
      <c r="AR16" s="380">
        <v>0</v>
      </c>
      <c r="AS16" s="380">
        <v>0</v>
      </c>
      <c r="AT16" s="380">
        <v>0</v>
      </c>
      <c r="AU16" s="380">
        <v>0</v>
      </c>
      <c r="AV16" s="380">
        <v>0</v>
      </c>
      <c r="AW16" s="380">
        <v>0</v>
      </c>
      <c r="AX16" s="380">
        <v>0</v>
      </c>
      <c r="AY16" s="380">
        <v>0</v>
      </c>
      <c r="AZ16" s="389">
        <v>0</v>
      </c>
      <c r="BA16" s="381">
        <f t="shared" si="57"/>
        <v>0</v>
      </c>
      <c r="BB16" s="379">
        <v>0</v>
      </c>
      <c r="BC16" s="380">
        <v>0</v>
      </c>
      <c r="BD16" s="380">
        <v>0</v>
      </c>
      <c r="BE16" s="380">
        <v>0</v>
      </c>
      <c r="BF16" s="380">
        <v>0</v>
      </c>
      <c r="BG16" s="380">
        <v>0</v>
      </c>
      <c r="BH16" s="380">
        <v>0</v>
      </c>
      <c r="BI16" s="380">
        <v>0</v>
      </c>
      <c r="BJ16" s="380">
        <v>0</v>
      </c>
      <c r="BK16" s="380">
        <v>0</v>
      </c>
      <c r="BL16" s="380">
        <v>0</v>
      </c>
      <c r="BM16" s="389">
        <v>0</v>
      </c>
      <c r="BN16" s="381">
        <f t="shared" si="58"/>
        <v>0</v>
      </c>
      <c r="BO16" s="379">
        <v>0</v>
      </c>
      <c r="BP16" s="380">
        <v>0</v>
      </c>
      <c r="BQ16" s="380">
        <v>0</v>
      </c>
      <c r="BR16" s="380">
        <v>0</v>
      </c>
      <c r="BS16" s="380">
        <v>0</v>
      </c>
      <c r="BT16" s="380">
        <v>0</v>
      </c>
      <c r="BU16" s="380">
        <v>0</v>
      </c>
      <c r="BV16" s="380">
        <v>0</v>
      </c>
      <c r="BW16" s="380">
        <v>0</v>
      </c>
      <c r="BX16" s="380">
        <v>0</v>
      </c>
      <c r="BY16" s="380">
        <v>0</v>
      </c>
      <c r="BZ16" s="389">
        <v>0</v>
      </c>
      <c r="CA16" s="381">
        <f t="shared" si="59"/>
        <v>0</v>
      </c>
      <c r="CB16" s="379">
        <v>0</v>
      </c>
      <c r="CC16" s="380">
        <v>0</v>
      </c>
      <c r="CD16" s="380">
        <v>0</v>
      </c>
      <c r="CE16" s="380">
        <v>0</v>
      </c>
      <c r="CF16" s="380">
        <v>0</v>
      </c>
      <c r="CG16" s="380">
        <v>0</v>
      </c>
      <c r="CH16" s="380">
        <v>0</v>
      </c>
      <c r="CI16" s="380">
        <v>0</v>
      </c>
      <c r="CJ16" s="380">
        <v>0</v>
      </c>
      <c r="CK16" s="380">
        <v>0</v>
      </c>
      <c r="CL16" s="380">
        <v>0</v>
      </c>
      <c r="CM16" s="389">
        <v>0</v>
      </c>
      <c r="CN16" s="381">
        <f t="shared" si="60"/>
        <v>0</v>
      </c>
      <c r="CO16" s="379">
        <v>0</v>
      </c>
      <c r="CP16" s="380">
        <v>0</v>
      </c>
      <c r="CQ16" s="380">
        <v>0</v>
      </c>
      <c r="CR16" s="380">
        <v>0</v>
      </c>
      <c r="CS16" s="380">
        <v>0</v>
      </c>
      <c r="CT16" s="380">
        <v>0</v>
      </c>
      <c r="CU16" s="380">
        <v>0</v>
      </c>
      <c r="CV16" s="380">
        <v>0</v>
      </c>
      <c r="CW16" s="380">
        <v>0</v>
      </c>
      <c r="CX16" s="380">
        <v>0</v>
      </c>
      <c r="CY16" s="380">
        <v>0</v>
      </c>
      <c r="CZ16" s="389">
        <v>0</v>
      </c>
      <c r="DA16" s="381">
        <f t="shared" si="28"/>
        <v>0</v>
      </c>
      <c r="DB16" s="379">
        <v>0</v>
      </c>
      <c r="DC16" s="380">
        <v>0</v>
      </c>
      <c r="DD16" s="380">
        <v>0</v>
      </c>
      <c r="DE16" s="380">
        <v>0</v>
      </c>
      <c r="DF16" s="380">
        <v>0</v>
      </c>
      <c r="DG16" s="380">
        <v>0</v>
      </c>
      <c r="DH16" s="380">
        <v>0</v>
      </c>
      <c r="DI16" s="380">
        <v>0</v>
      </c>
      <c r="DJ16" s="380">
        <v>0</v>
      </c>
      <c r="DK16" s="380">
        <v>0</v>
      </c>
      <c r="DL16" s="380">
        <v>0</v>
      </c>
      <c r="DM16" s="389">
        <v>0</v>
      </c>
      <c r="DN16" s="381">
        <f t="shared" si="30"/>
        <v>0</v>
      </c>
      <c r="DO16" s="379">
        <v>0</v>
      </c>
      <c r="DP16" s="380">
        <v>0</v>
      </c>
      <c r="DQ16" s="380">
        <v>0</v>
      </c>
      <c r="DR16" s="380">
        <v>0</v>
      </c>
      <c r="DS16" s="380">
        <v>0</v>
      </c>
      <c r="DT16" s="380">
        <v>0</v>
      </c>
      <c r="DU16" s="380">
        <v>0</v>
      </c>
      <c r="DV16" s="380">
        <v>0</v>
      </c>
      <c r="DW16" s="380">
        <v>0</v>
      </c>
      <c r="DX16" s="380">
        <v>0</v>
      </c>
      <c r="DY16" s="380">
        <v>0</v>
      </c>
      <c r="DZ16" s="389">
        <v>0</v>
      </c>
      <c r="EA16" s="381">
        <f t="shared" si="32"/>
        <v>0</v>
      </c>
      <c r="EB16" s="379">
        <v>0</v>
      </c>
      <c r="EC16" s="380">
        <v>0</v>
      </c>
      <c r="ED16" s="380">
        <v>0</v>
      </c>
      <c r="EE16" s="380">
        <v>0</v>
      </c>
      <c r="EF16" s="380">
        <v>0</v>
      </c>
      <c r="EG16" s="380">
        <v>0</v>
      </c>
      <c r="EH16" s="380">
        <v>0</v>
      </c>
      <c r="EI16" s="380">
        <v>0</v>
      </c>
      <c r="EJ16" s="380">
        <v>0</v>
      </c>
      <c r="EK16" s="380">
        <v>0</v>
      </c>
      <c r="EL16" s="380">
        <v>0</v>
      </c>
      <c r="EM16" s="389">
        <v>0</v>
      </c>
      <c r="EN16" s="381">
        <f t="shared" si="34"/>
        <v>0</v>
      </c>
      <c r="EO16" s="379">
        <v>0</v>
      </c>
      <c r="EP16" s="380">
        <v>0</v>
      </c>
      <c r="EQ16" s="380">
        <v>0</v>
      </c>
      <c r="ER16" s="380">
        <v>0</v>
      </c>
      <c r="ES16" s="380">
        <v>0</v>
      </c>
      <c r="ET16" s="380">
        <v>0</v>
      </c>
      <c r="EU16" s="380">
        <v>0</v>
      </c>
      <c r="EV16" s="380">
        <v>0</v>
      </c>
      <c r="EW16" s="380">
        <v>0</v>
      </c>
      <c r="EX16" s="380">
        <v>0</v>
      </c>
      <c r="EY16" s="380">
        <v>0</v>
      </c>
      <c r="EZ16" s="389">
        <v>0</v>
      </c>
      <c r="FA16" s="381">
        <f t="shared" si="36"/>
        <v>0</v>
      </c>
      <c r="FB16" s="379">
        <v>0</v>
      </c>
      <c r="FC16" s="380">
        <v>0</v>
      </c>
      <c r="FD16" s="380">
        <v>0</v>
      </c>
      <c r="FE16" s="380">
        <v>0</v>
      </c>
      <c r="FF16" s="380">
        <v>0</v>
      </c>
      <c r="FG16" s="380">
        <v>0</v>
      </c>
      <c r="FH16" s="380">
        <v>0</v>
      </c>
      <c r="FI16" s="380">
        <v>0</v>
      </c>
      <c r="FJ16" s="380">
        <v>0</v>
      </c>
      <c r="FK16" s="380">
        <v>0</v>
      </c>
      <c r="FL16" s="380">
        <v>0</v>
      </c>
      <c r="FM16" s="389">
        <v>0</v>
      </c>
      <c r="FN16" s="381">
        <f t="shared" si="38"/>
        <v>0</v>
      </c>
      <c r="FO16" s="379">
        <v>0</v>
      </c>
      <c r="FP16" s="380">
        <v>0</v>
      </c>
      <c r="FQ16" s="380">
        <v>0</v>
      </c>
      <c r="FR16" s="380">
        <v>0</v>
      </c>
      <c r="FS16" s="380">
        <v>0</v>
      </c>
      <c r="FT16" s="380">
        <v>0</v>
      </c>
      <c r="FU16" s="380">
        <v>0</v>
      </c>
      <c r="FV16" s="380">
        <v>0</v>
      </c>
      <c r="FW16" s="380">
        <v>0</v>
      </c>
      <c r="FX16" s="380">
        <v>0</v>
      </c>
      <c r="FY16" s="380">
        <v>0</v>
      </c>
      <c r="FZ16" s="389">
        <v>0</v>
      </c>
      <c r="GA16" s="381">
        <f t="shared" si="40"/>
        <v>0</v>
      </c>
      <c r="GB16" s="379">
        <v>0</v>
      </c>
      <c r="GC16" s="380">
        <v>0</v>
      </c>
      <c r="GD16" s="380">
        <v>0</v>
      </c>
      <c r="GE16" s="380">
        <v>0</v>
      </c>
      <c r="GF16" s="380">
        <v>0</v>
      </c>
      <c r="GG16" s="380">
        <v>0</v>
      </c>
      <c r="GH16" s="380">
        <v>0</v>
      </c>
      <c r="GI16" s="380">
        <v>0</v>
      </c>
      <c r="GJ16" s="380">
        <v>0</v>
      </c>
      <c r="GK16" s="380">
        <v>0</v>
      </c>
      <c r="GL16" s="380">
        <v>0</v>
      </c>
      <c r="GM16" s="389">
        <v>0</v>
      </c>
      <c r="GN16" s="381">
        <f t="shared" si="41"/>
        <v>0</v>
      </c>
      <c r="GO16" s="379">
        <v>0</v>
      </c>
      <c r="GP16" s="380">
        <v>0</v>
      </c>
      <c r="GQ16" s="380">
        <v>0</v>
      </c>
      <c r="GR16" s="380">
        <v>0</v>
      </c>
      <c r="GS16" s="380">
        <v>0</v>
      </c>
      <c r="GT16" s="380">
        <v>0</v>
      </c>
      <c r="GU16" s="380">
        <v>0</v>
      </c>
      <c r="GV16" s="380">
        <v>0</v>
      </c>
      <c r="GW16" s="380">
        <v>0</v>
      </c>
      <c r="GX16" s="380">
        <v>0</v>
      </c>
      <c r="GY16" s="380">
        <v>0</v>
      </c>
      <c r="GZ16" s="389">
        <v>0</v>
      </c>
      <c r="HA16" s="381">
        <f t="shared" si="43"/>
        <v>0</v>
      </c>
      <c r="HB16" s="379">
        <v>0</v>
      </c>
      <c r="HC16" s="380">
        <v>0</v>
      </c>
      <c r="HD16" s="380">
        <v>0</v>
      </c>
      <c r="HE16" s="380">
        <v>0</v>
      </c>
      <c r="HF16" s="380">
        <v>0</v>
      </c>
      <c r="HG16" s="380">
        <v>0</v>
      </c>
      <c r="HH16" s="380">
        <v>0</v>
      </c>
      <c r="HI16" s="380">
        <v>0</v>
      </c>
      <c r="HJ16" s="380">
        <v>0</v>
      </c>
      <c r="HK16" s="380">
        <v>0</v>
      </c>
      <c r="HL16" s="380">
        <v>0</v>
      </c>
      <c r="HM16" s="389">
        <v>0</v>
      </c>
      <c r="HN16" s="381">
        <f t="shared" si="45"/>
        <v>0</v>
      </c>
      <c r="HO16" s="379">
        <v>0</v>
      </c>
      <c r="HP16" s="380">
        <v>0</v>
      </c>
      <c r="HQ16" s="380">
        <v>0</v>
      </c>
      <c r="HR16" s="380">
        <v>0</v>
      </c>
      <c r="HS16" s="380">
        <v>0</v>
      </c>
      <c r="HT16" s="380">
        <v>0</v>
      </c>
      <c r="HU16" s="380">
        <v>0</v>
      </c>
      <c r="HV16" s="380">
        <v>0</v>
      </c>
      <c r="HW16" s="380">
        <v>0</v>
      </c>
      <c r="HX16" s="380">
        <v>0</v>
      </c>
      <c r="HY16" s="380">
        <v>0</v>
      </c>
      <c r="HZ16" s="391">
        <v>0</v>
      </c>
      <c r="IA16" s="379">
        <f t="shared" si="47"/>
        <v>0</v>
      </c>
      <c r="IB16" s="1344">
        <v>0</v>
      </c>
      <c r="IC16" s="120">
        <v>0</v>
      </c>
      <c r="ID16" s="120">
        <v>0</v>
      </c>
      <c r="IE16" s="120">
        <v>0</v>
      </c>
      <c r="IF16" s="120">
        <v>0</v>
      </c>
      <c r="IG16" s="120">
        <v>0</v>
      </c>
      <c r="IH16" s="120">
        <v>0</v>
      </c>
      <c r="II16" s="120">
        <v>0</v>
      </c>
      <c r="IJ16" s="120"/>
      <c r="IK16" s="120"/>
      <c r="IL16" s="120"/>
      <c r="IM16" s="1345"/>
      <c r="IN16" s="1346">
        <f t="shared" si="51"/>
        <v>0</v>
      </c>
      <c r="IO16" s="120"/>
      <c r="IP16" s="371" t="str">
        <f t="shared" si="52"/>
        <v/>
      </c>
      <c r="IQ16" s="348" t="str">
        <f t="shared" si="53"/>
        <v/>
      </c>
      <c r="IR16" s="320">
        <f t="shared" si="54"/>
        <v>0</v>
      </c>
      <c r="IS16" s="344">
        <f t="shared" si="55"/>
        <v>0</v>
      </c>
      <c r="IU16" s="320"/>
    </row>
    <row r="17" spans="1:255" ht="15" customHeight="1" x14ac:dyDescent="0.2">
      <c r="A17" s="1555" t="s">
        <v>622</v>
      </c>
      <c r="B17" s="379">
        <v>0</v>
      </c>
      <c r="C17" s="380">
        <v>0</v>
      </c>
      <c r="D17" s="380">
        <v>0</v>
      </c>
      <c r="E17" s="380">
        <v>0</v>
      </c>
      <c r="F17" s="380">
        <v>0</v>
      </c>
      <c r="G17" s="380">
        <v>0</v>
      </c>
      <c r="H17" s="380">
        <v>0</v>
      </c>
      <c r="I17" s="380">
        <v>0</v>
      </c>
      <c r="J17" s="380">
        <v>0</v>
      </c>
      <c r="K17" s="380">
        <v>0</v>
      </c>
      <c r="L17" s="380">
        <v>0</v>
      </c>
      <c r="M17" s="389">
        <v>0</v>
      </c>
      <c r="N17" s="381">
        <f t="shared" si="1"/>
        <v>0</v>
      </c>
      <c r="O17" s="379"/>
      <c r="P17" s="380"/>
      <c r="Q17" s="380"/>
      <c r="R17" s="380"/>
      <c r="S17" s="380"/>
      <c r="T17" s="380"/>
      <c r="U17" s="380"/>
      <c r="V17" s="380"/>
      <c r="W17" s="380"/>
      <c r="X17" s="380"/>
      <c r="Y17" s="380"/>
      <c r="Z17" s="389"/>
      <c r="AA17" s="381"/>
      <c r="AB17" s="379"/>
      <c r="AC17" s="380"/>
      <c r="AD17" s="380"/>
      <c r="AE17" s="380"/>
      <c r="AF17" s="380"/>
      <c r="AG17" s="380">
        <v>0</v>
      </c>
      <c r="AH17" s="380">
        <v>0</v>
      </c>
      <c r="AI17" s="380">
        <v>5136</v>
      </c>
      <c r="AJ17" s="380">
        <v>204</v>
      </c>
      <c r="AK17" s="380">
        <v>0</v>
      </c>
      <c r="AL17" s="380">
        <v>0</v>
      </c>
      <c r="AM17" s="389">
        <v>0</v>
      </c>
      <c r="AN17" s="381">
        <f t="shared" si="56"/>
        <v>5340</v>
      </c>
      <c r="AO17" s="379">
        <v>0</v>
      </c>
      <c r="AP17" s="380">
        <v>0</v>
      </c>
      <c r="AQ17" s="380">
        <v>0</v>
      </c>
      <c r="AR17" s="380">
        <v>0</v>
      </c>
      <c r="AS17" s="380">
        <v>0</v>
      </c>
      <c r="AT17" s="380">
        <v>1590</v>
      </c>
      <c r="AU17" s="380">
        <v>0</v>
      </c>
      <c r="AV17" s="380">
        <v>0</v>
      </c>
      <c r="AW17" s="380">
        <v>2658</v>
      </c>
      <c r="AX17" s="380">
        <v>0</v>
      </c>
      <c r="AY17" s="380">
        <v>-2036</v>
      </c>
      <c r="AZ17" s="389">
        <v>0</v>
      </c>
      <c r="BA17" s="381">
        <f t="shared" si="57"/>
        <v>2212</v>
      </c>
      <c r="BB17" s="379">
        <v>0</v>
      </c>
      <c r="BC17" s="380">
        <v>0</v>
      </c>
      <c r="BD17" s="380">
        <v>0</v>
      </c>
      <c r="BE17" s="380">
        <v>0</v>
      </c>
      <c r="BF17" s="380">
        <v>0</v>
      </c>
      <c r="BG17" s="380">
        <v>5712</v>
      </c>
      <c r="BH17" s="380">
        <v>0</v>
      </c>
      <c r="BI17" s="380">
        <v>0</v>
      </c>
      <c r="BJ17" s="380">
        <v>0</v>
      </c>
      <c r="BK17" s="380">
        <v>0</v>
      </c>
      <c r="BL17" s="380">
        <v>0</v>
      </c>
      <c r="BM17" s="389">
        <v>0</v>
      </c>
      <c r="BN17" s="381">
        <f t="shared" si="58"/>
        <v>5712</v>
      </c>
      <c r="BO17" s="379">
        <v>0</v>
      </c>
      <c r="BP17" s="380">
        <v>0</v>
      </c>
      <c r="BQ17" s="380">
        <v>0</v>
      </c>
      <c r="BR17" s="380">
        <v>0</v>
      </c>
      <c r="BS17" s="380">
        <v>0</v>
      </c>
      <c r="BT17" s="380">
        <v>6247</v>
      </c>
      <c r="BU17" s="380">
        <v>-0.1</v>
      </c>
      <c r="BV17" s="380">
        <v>0</v>
      </c>
      <c r="BW17" s="380">
        <v>0</v>
      </c>
      <c r="BX17" s="380">
        <v>0</v>
      </c>
      <c r="BY17" s="380">
        <v>0</v>
      </c>
      <c r="BZ17" s="389">
        <v>0</v>
      </c>
      <c r="CA17" s="381">
        <f t="shared" si="59"/>
        <v>6246.9</v>
      </c>
      <c r="CB17" s="379">
        <v>0</v>
      </c>
      <c r="CC17" s="380">
        <v>0</v>
      </c>
      <c r="CD17" s="380">
        <v>0</v>
      </c>
      <c r="CE17" s="380">
        <v>0</v>
      </c>
      <c r="CF17" s="380">
        <v>0</v>
      </c>
      <c r="CG17" s="380">
        <v>0</v>
      </c>
      <c r="CH17" s="380">
        <v>0</v>
      </c>
      <c r="CI17" s="380">
        <v>0</v>
      </c>
      <c r="CJ17" s="380">
        <v>0</v>
      </c>
      <c r="CK17" s="380">
        <v>0</v>
      </c>
      <c r="CL17" s="380">
        <v>0</v>
      </c>
      <c r="CM17" s="389">
        <v>0</v>
      </c>
      <c r="CN17" s="381">
        <f t="shared" si="60"/>
        <v>0</v>
      </c>
      <c r="CO17" s="379">
        <v>0</v>
      </c>
      <c r="CP17" s="380">
        <v>0</v>
      </c>
      <c r="CQ17" s="380">
        <v>1448</v>
      </c>
      <c r="CR17" s="380">
        <v>0</v>
      </c>
      <c r="CS17" s="380">
        <v>0</v>
      </c>
      <c r="CT17" s="380">
        <v>0</v>
      </c>
      <c r="CU17" s="380">
        <v>0</v>
      </c>
      <c r="CV17" s="380">
        <v>0</v>
      </c>
      <c r="CW17" s="380">
        <v>0</v>
      </c>
      <c r="CX17" s="380">
        <v>0</v>
      </c>
      <c r="CY17" s="380">
        <v>0</v>
      </c>
      <c r="CZ17" s="389">
        <v>0</v>
      </c>
      <c r="DA17" s="381">
        <f t="shared" si="28"/>
        <v>1448</v>
      </c>
      <c r="DB17" s="379">
        <v>0</v>
      </c>
      <c r="DC17" s="380">
        <v>0</v>
      </c>
      <c r="DD17" s="380">
        <v>0</v>
      </c>
      <c r="DE17" s="380">
        <v>0</v>
      </c>
      <c r="DF17" s="380">
        <v>3017</v>
      </c>
      <c r="DG17" s="380">
        <v>0</v>
      </c>
      <c r="DH17" s="380">
        <v>0</v>
      </c>
      <c r="DI17" s="380">
        <v>0</v>
      </c>
      <c r="DJ17" s="380">
        <v>0</v>
      </c>
      <c r="DK17" s="380">
        <v>0</v>
      </c>
      <c r="DL17" s="380">
        <v>0</v>
      </c>
      <c r="DM17" s="389">
        <v>0</v>
      </c>
      <c r="DN17" s="381">
        <f t="shared" si="30"/>
        <v>3017</v>
      </c>
      <c r="DO17" s="379">
        <v>0</v>
      </c>
      <c r="DP17" s="380">
        <v>0</v>
      </c>
      <c r="DQ17" s="380">
        <v>0</v>
      </c>
      <c r="DR17" s="380">
        <v>0</v>
      </c>
      <c r="DS17" s="380">
        <v>0</v>
      </c>
      <c r="DT17" s="380">
        <v>0</v>
      </c>
      <c r="DU17" s="380">
        <v>0</v>
      </c>
      <c r="DV17" s="380">
        <v>0</v>
      </c>
      <c r="DW17" s="380">
        <v>0</v>
      </c>
      <c r="DX17" s="380">
        <v>0</v>
      </c>
      <c r="DY17" s="380">
        <v>0</v>
      </c>
      <c r="DZ17" s="389">
        <v>0</v>
      </c>
      <c r="EA17" s="381">
        <f t="shared" si="32"/>
        <v>0</v>
      </c>
      <c r="EB17" s="379">
        <v>0</v>
      </c>
      <c r="EC17" s="380">
        <v>0</v>
      </c>
      <c r="ED17" s="380">
        <v>0</v>
      </c>
      <c r="EE17" s="380">
        <v>0</v>
      </c>
      <c r="EF17" s="380">
        <v>0</v>
      </c>
      <c r="EG17" s="380">
        <v>0</v>
      </c>
      <c r="EH17" s="380">
        <v>0</v>
      </c>
      <c r="EI17" s="380">
        <v>0</v>
      </c>
      <c r="EJ17" s="380">
        <v>0</v>
      </c>
      <c r="EK17" s="380">
        <v>0</v>
      </c>
      <c r="EL17" s="380">
        <v>0</v>
      </c>
      <c r="EM17" s="389">
        <v>0</v>
      </c>
      <c r="EN17" s="381">
        <f t="shared" si="34"/>
        <v>0</v>
      </c>
      <c r="EO17" s="379">
        <v>0</v>
      </c>
      <c r="EP17" s="380">
        <v>0</v>
      </c>
      <c r="EQ17" s="380">
        <v>0</v>
      </c>
      <c r="ER17" s="380">
        <v>0</v>
      </c>
      <c r="ES17" s="380">
        <v>0</v>
      </c>
      <c r="ET17" s="380">
        <v>0</v>
      </c>
      <c r="EU17" s="380">
        <v>0</v>
      </c>
      <c r="EV17" s="380">
        <v>0</v>
      </c>
      <c r="EW17" s="380">
        <v>0</v>
      </c>
      <c r="EX17" s="380">
        <v>0</v>
      </c>
      <c r="EY17" s="380">
        <v>0</v>
      </c>
      <c r="EZ17" s="389">
        <v>0</v>
      </c>
      <c r="FA17" s="381">
        <f t="shared" si="36"/>
        <v>0</v>
      </c>
      <c r="FB17" s="379">
        <v>0</v>
      </c>
      <c r="FC17" s="380">
        <v>0</v>
      </c>
      <c r="FD17" s="380">
        <v>0</v>
      </c>
      <c r="FE17" s="380">
        <v>0</v>
      </c>
      <c r="FF17" s="380">
        <v>0</v>
      </c>
      <c r="FG17" s="380">
        <v>0</v>
      </c>
      <c r="FH17" s="380">
        <v>0</v>
      </c>
      <c r="FI17" s="380">
        <v>0</v>
      </c>
      <c r="FJ17" s="380">
        <v>0</v>
      </c>
      <c r="FK17" s="380">
        <v>0</v>
      </c>
      <c r="FL17" s="380">
        <v>0</v>
      </c>
      <c r="FM17" s="389">
        <v>0</v>
      </c>
      <c r="FN17" s="381">
        <f t="shared" si="38"/>
        <v>0</v>
      </c>
      <c r="FO17" s="379">
        <v>0</v>
      </c>
      <c r="FP17" s="380">
        <v>0</v>
      </c>
      <c r="FQ17" s="380">
        <v>0</v>
      </c>
      <c r="FR17" s="380">
        <v>0</v>
      </c>
      <c r="FS17" s="380">
        <v>0</v>
      </c>
      <c r="FT17" s="380">
        <v>0</v>
      </c>
      <c r="FU17" s="380">
        <v>0</v>
      </c>
      <c r="FV17" s="380">
        <v>0</v>
      </c>
      <c r="FW17" s="380">
        <v>0</v>
      </c>
      <c r="FX17" s="380">
        <v>0</v>
      </c>
      <c r="FY17" s="380">
        <v>0</v>
      </c>
      <c r="FZ17" s="389">
        <v>0</v>
      </c>
      <c r="GA17" s="381">
        <f t="shared" si="40"/>
        <v>0</v>
      </c>
      <c r="GB17" s="379">
        <v>0</v>
      </c>
      <c r="GC17" s="380">
        <v>0</v>
      </c>
      <c r="GD17" s="380">
        <v>0</v>
      </c>
      <c r="GE17" s="380">
        <v>0</v>
      </c>
      <c r="GF17" s="380">
        <v>0</v>
      </c>
      <c r="GG17" s="380">
        <v>1949</v>
      </c>
      <c r="GH17" s="380">
        <v>275</v>
      </c>
      <c r="GI17" s="380">
        <v>0</v>
      </c>
      <c r="GJ17" s="380">
        <v>0</v>
      </c>
      <c r="GK17" s="380">
        <v>0</v>
      </c>
      <c r="GL17" s="380">
        <v>0</v>
      </c>
      <c r="GM17" s="389">
        <v>731</v>
      </c>
      <c r="GN17" s="381">
        <f t="shared" si="41"/>
        <v>2955</v>
      </c>
      <c r="GO17" s="379">
        <v>0</v>
      </c>
      <c r="GP17" s="380">
        <v>0</v>
      </c>
      <c r="GQ17" s="380">
        <v>0</v>
      </c>
      <c r="GR17" s="380">
        <v>0</v>
      </c>
      <c r="GS17" s="380">
        <v>0</v>
      </c>
      <c r="GT17" s="380">
        <v>0</v>
      </c>
      <c r="GU17" s="380">
        <v>0</v>
      </c>
      <c r="GV17" s="380">
        <v>0</v>
      </c>
      <c r="GW17" s="380">
        <v>0</v>
      </c>
      <c r="GX17" s="380">
        <v>0</v>
      </c>
      <c r="GY17" s="380">
        <v>0</v>
      </c>
      <c r="GZ17" s="389">
        <v>0</v>
      </c>
      <c r="HA17" s="381">
        <f t="shared" si="43"/>
        <v>0</v>
      </c>
      <c r="HB17" s="379">
        <v>0</v>
      </c>
      <c r="HC17" s="380">
        <v>0</v>
      </c>
      <c r="HD17" s="380">
        <v>0</v>
      </c>
      <c r="HE17" s="380">
        <v>0</v>
      </c>
      <c r="HF17" s="380">
        <v>0</v>
      </c>
      <c r="HG17" s="380">
        <v>0</v>
      </c>
      <c r="HH17" s="380">
        <v>0</v>
      </c>
      <c r="HI17" s="380">
        <v>15</v>
      </c>
      <c r="HJ17" s="380">
        <v>0</v>
      </c>
      <c r="HK17" s="380">
        <v>0</v>
      </c>
      <c r="HL17" s="380">
        <v>0</v>
      </c>
      <c r="HM17" s="389">
        <v>0</v>
      </c>
      <c r="HN17" s="381">
        <f t="shared" si="45"/>
        <v>15</v>
      </c>
      <c r="HO17" s="379">
        <v>0</v>
      </c>
      <c r="HP17" s="380">
        <v>0</v>
      </c>
      <c r="HQ17" s="380">
        <v>0</v>
      </c>
      <c r="HR17" s="380">
        <v>0</v>
      </c>
      <c r="HS17" s="380">
        <v>0</v>
      </c>
      <c r="HT17" s="380">
        <v>0</v>
      </c>
      <c r="HU17" s="380">
        <v>0</v>
      </c>
      <c r="HV17" s="380">
        <v>0</v>
      </c>
      <c r="HW17" s="380">
        <v>0</v>
      </c>
      <c r="HX17" s="380">
        <v>0</v>
      </c>
      <c r="HY17" s="380">
        <v>0</v>
      </c>
      <c r="HZ17" s="391">
        <v>77</v>
      </c>
      <c r="IA17" s="379">
        <f t="shared" si="47"/>
        <v>77</v>
      </c>
      <c r="IB17" s="1344">
        <v>0</v>
      </c>
      <c r="IC17" s="120">
        <v>0</v>
      </c>
      <c r="ID17" s="120">
        <v>0</v>
      </c>
      <c r="IE17" s="120">
        <v>0</v>
      </c>
      <c r="IF17" s="120">
        <v>0</v>
      </c>
      <c r="IG17" s="120">
        <v>0</v>
      </c>
      <c r="IH17" s="120">
        <v>0</v>
      </c>
      <c r="II17" s="120">
        <v>0</v>
      </c>
      <c r="IJ17" s="120"/>
      <c r="IK17" s="120"/>
      <c r="IL17" s="120"/>
      <c r="IM17" s="1345"/>
      <c r="IN17" s="1346">
        <f t="shared" si="51"/>
        <v>0</v>
      </c>
      <c r="IO17" s="120"/>
      <c r="IP17" s="371" t="str">
        <f t="shared" si="52"/>
        <v/>
      </c>
      <c r="IQ17" s="348" t="str">
        <f t="shared" si="53"/>
        <v/>
      </c>
      <c r="IR17" s="320">
        <f t="shared" si="54"/>
        <v>0</v>
      </c>
      <c r="IS17" s="344">
        <f t="shared" si="55"/>
        <v>0</v>
      </c>
      <c r="IU17" s="320"/>
    </row>
    <row r="18" spans="1:255" ht="15" customHeight="1" x14ac:dyDescent="0.2">
      <c r="A18" s="1554" t="s">
        <v>438</v>
      </c>
      <c r="B18" s="379">
        <v>44</v>
      </c>
      <c r="C18" s="380">
        <v>273</v>
      </c>
      <c r="D18" s="380">
        <v>168</v>
      </c>
      <c r="E18" s="380">
        <v>102</v>
      </c>
      <c r="F18" s="380">
        <v>121</v>
      </c>
      <c r="G18" s="380">
        <v>508</v>
      </c>
      <c r="H18" s="380">
        <v>257</v>
      </c>
      <c r="I18" s="380">
        <v>584</v>
      </c>
      <c r="J18" s="380">
        <v>65</v>
      </c>
      <c r="K18" s="380">
        <v>64</v>
      </c>
      <c r="L18" s="380">
        <v>200</v>
      </c>
      <c r="M18" s="389">
        <v>124</v>
      </c>
      <c r="N18" s="381">
        <f t="shared" si="1"/>
        <v>2510</v>
      </c>
      <c r="O18" s="379">
        <v>0</v>
      </c>
      <c r="P18" s="380">
        <v>0</v>
      </c>
      <c r="Q18" s="380">
        <v>0</v>
      </c>
      <c r="R18" s="380">
        <v>0</v>
      </c>
      <c r="S18" s="380">
        <v>0</v>
      </c>
      <c r="T18" s="380">
        <v>0</v>
      </c>
      <c r="U18" s="380">
        <v>0</v>
      </c>
      <c r="V18" s="380">
        <v>0</v>
      </c>
      <c r="W18" s="380">
        <v>0</v>
      </c>
      <c r="X18" s="380">
        <v>0</v>
      </c>
      <c r="Y18" s="380">
        <v>0</v>
      </c>
      <c r="Z18" s="389">
        <v>0</v>
      </c>
      <c r="AA18" s="381">
        <f>SUM(O18:Z18)</f>
        <v>0</v>
      </c>
      <c r="AB18" s="379">
        <v>0</v>
      </c>
      <c r="AC18" s="380">
        <v>0</v>
      </c>
      <c r="AD18" s="380">
        <v>0</v>
      </c>
      <c r="AE18" s="380">
        <v>0</v>
      </c>
      <c r="AF18" s="380">
        <v>0</v>
      </c>
      <c r="AG18" s="380">
        <v>0</v>
      </c>
      <c r="AH18" s="380">
        <v>523</v>
      </c>
      <c r="AI18" s="380">
        <v>9</v>
      </c>
      <c r="AJ18" s="380">
        <v>379</v>
      </c>
      <c r="AK18" s="380">
        <v>300</v>
      </c>
      <c r="AL18" s="380">
        <v>342</v>
      </c>
      <c r="AM18" s="389">
        <v>1469</v>
      </c>
      <c r="AN18" s="381">
        <f t="shared" si="56"/>
        <v>3022</v>
      </c>
      <c r="AO18" s="379">
        <v>0</v>
      </c>
      <c r="AP18" s="380">
        <v>0</v>
      </c>
      <c r="AQ18" s="380">
        <v>0</v>
      </c>
      <c r="AR18" s="380">
        <v>0</v>
      </c>
      <c r="AS18" s="380">
        <v>0</v>
      </c>
      <c r="AT18" s="380">
        <v>0</v>
      </c>
      <c r="AU18" s="380">
        <v>0</v>
      </c>
      <c r="AV18" s="380">
        <v>0</v>
      </c>
      <c r="AW18" s="380">
        <v>0</v>
      </c>
      <c r="AX18" s="380">
        <v>0</v>
      </c>
      <c r="AY18" s="380">
        <v>0</v>
      </c>
      <c r="AZ18" s="389">
        <v>0</v>
      </c>
      <c r="BA18" s="381">
        <f t="shared" si="57"/>
        <v>0</v>
      </c>
      <c r="BB18" s="379">
        <v>0</v>
      </c>
      <c r="BC18" s="380">
        <v>0</v>
      </c>
      <c r="BD18" s="380">
        <v>0</v>
      </c>
      <c r="BE18" s="380">
        <v>0</v>
      </c>
      <c r="BF18" s="380">
        <v>0</v>
      </c>
      <c r="BG18" s="380">
        <v>0</v>
      </c>
      <c r="BH18" s="380">
        <v>0</v>
      </c>
      <c r="BI18" s="380">
        <v>0</v>
      </c>
      <c r="BJ18" s="380">
        <v>0</v>
      </c>
      <c r="BK18" s="380">
        <v>0</v>
      </c>
      <c r="BL18" s="380">
        <v>0</v>
      </c>
      <c r="BM18" s="389">
        <v>0</v>
      </c>
      <c r="BN18" s="381">
        <f t="shared" si="58"/>
        <v>0</v>
      </c>
      <c r="BO18" s="379">
        <v>0</v>
      </c>
      <c r="BP18" s="380">
        <v>0</v>
      </c>
      <c r="BQ18" s="380">
        <v>0</v>
      </c>
      <c r="BR18" s="380">
        <v>0</v>
      </c>
      <c r="BS18" s="380">
        <v>0</v>
      </c>
      <c r="BT18" s="380">
        <v>0</v>
      </c>
      <c r="BU18" s="380">
        <v>0</v>
      </c>
      <c r="BV18" s="380">
        <v>0</v>
      </c>
      <c r="BW18" s="380">
        <v>0</v>
      </c>
      <c r="BX18" s="380">
        <v>0</v>
      </c>
      <c r="BY18" s="380">
        <v>0</v>
      </c>
      <c r="BZ18" s="389">
        <v>0</v>
      </c>
      <c r="CA18" s="381">
        <f t="shared" si="59"/>
        <v>0</v>
      </c>
      <c r="CB18" s="379">
        <v>0</v>
      </c>
      <c r="CC18" s="380">
        <v>0</v>
      </c>
      <c r="CD18" s="380">
        <v>0</v>
      </c>
      <c r="CE18" s="380">
        <v>0</v>
      </c>
      <c r="CF18" s="380">
        <v>0</v>
      </c>
      <c r="CG18" s="380">
        <v>0</v>
      </c>
      <c r="CH18" s="380">
        <v>0</v>
      </c>
      <c r="CI18" s="380">
        <v>0</v>
      </c>
      <c r="CJ18" s="380">
        <v>0</v>
      </c>
      <c r="CK18" s="380">
        <v>0</v>
      </c>
      <c r="CL18" s="380">
        <v>0</v>
      </c>
      <c r="CM18" s="389">
        <v>0</v>
      </c>
      <c r="CN18" s="381">
        <f t="shared" si="60"/>
        <v>0</v>
      </c>
      <c r="CO18" s="379">
        <v>0</v>
      </c>
      <c r="CP18" s="380">
        <v>0</v>
      </c>
      <c r="CQ18" s="380">
        <v>0</v>
      </c>
      <c r="CR18" s="380">
        <v>0</v>
      </c>
      <c r="CS18" s="380">
        <v>0</v>
      </c>
      <c r="CT18" s="380">
        <v>0</v>
      </c>
      <c r="CU18" s="380">
        <v>0</v>
      </c>
      <c r="CV18" s="380">
        <v>0</v>
      </c>
      <c r="CW18" s="380">
        <v>0</v>
      </c>
      <c r="CX18" s="380">
        <v>0</v>
      </c>
      <c r="CY18" s="380">
        <v>0</v>
      </c>
      <c r="CZ18" s="389">
        <v>0</v>
      </c>
      <c r="DA18" s="381">
        <f t="shared" si="28"/>
        <v>0</v>
      </c>
      <c r="DB18" s="379">
        <v>0</v>
      </c>
      <c r="DC18" s="380">
        <v>0</v>
      </c>
      <c r="DD18" s="380">
        <v>0</v>
      </c>
      <c r="DE18" s="380">
        <v>0</v>
      </c>
      <c r="DF18" s="380">
        <v>0</v>
      </c>
      <c r="DG18" s="380">
        <v>0</v>
      </c>
      <c r="DH18" s="380">
        <v>0</v>
      </c>
      <c r="DI18" s="380">
        <v>0</v>
      </c>
      <c r="DJ18" s="380">
        <v>0</v>
      </c>
      <c r="DK18" s="380">
        <v>0</v>
      </c>
      <c r="DL18" s="380">
        <v>0</v>
      </c>
      <c r="DM18" s="389">
        <v>0</v>
      </c>
      <c r="DN18" s="381">
        <f t="shared" si="30"/>
        <v>0</v>
      </c>
      <c r="DO18" s="379">
        <v>0</v>
      </c>
      <c r="DP18" s="380">
        <v>0</v>
      </c>
      <c r="DQ18" s="380">
        <v>0</v>
      </c>
      <c r="DR18" s="380">
        <v>0</v>
      </c>
      <c r="DS18" s="380">
        <v>0</v>
      </c>
      <c r="DT18" s="380">
        <v>0</v>
      </c>
      <c r="DU18" s="380">
        <v>0</v>
      </c>
      <c r="DV18" s="380">
        <v>0</v>
      </c>
      <c r="DW18" s="380">
        <v>0</v>
      </c>
      <c r="DX18" s="380">
        <v>0</v>
      </c>
      <c r="DY18" s="380">
        <v>0</v>
      </c>
      <c r="DZ18" s="389">
        <v>0</v>
      </c>
      <c r="EA18" s="381">
        <f t="shared" si="32"/>
        <v>0</v>
      </c>
      <c r="EB18" s="379">
        <v>0</v>
      </c>
      <c r="EC18" s="380">
        <v>0</v>
      </c>
      <c r="ED18" s="380">
        <v>0</v>
      </c>
      <c r="EE18" s="380">
        <v>0</v>
      </c>
      <c r="EF18" s="380">
        <v>0</v>
      </c>
      <c r="EG18" s="380">
        <v>0</v>
      </c>
      <c r="EH18" s="380">
        <v>0</v>
      </c>
      <c r="EI18" s="380">
        <v>0</v>
      </c>
      <c r="EJ18" s="380">
        <v>0</v>
      </c>
      <c r="EK18" s="380">
        <v>0</v>
      </c>
      <c r="EL18" s="380">
        <v>0</v>
      </c>
      <c r="EM18" s="389">
        <v>0</v>
      </c>
      <c r="EN18" s="381">
        <f t="shared" si="34"/>
        <v>0</v>
      </c>
      <c r="EO18" s="379">
        <v>0</v>
      </c>
      <c r="EP18" s="380">
        <v>0</v>
      </c>
      <c r="EQ18" s="380">
        <v>0</v>
      </c>
      <c r="ER18" s="380">
        <v>0</v>
      </c>
      <c r="ES18" s="380">
        <v>0</v>
      </c>
      <c r="ET18" s="380">
        <v>0</v>
      </c>
      <c r="EU18" s="380">
        <v>0</v>
      </c>
      <c r="EV18" s="380">
        <v>0</v>
      </c>
      <c r="EW18" s="380">
        <v>0</v>
      </c>
      <c r="EX18" s="380">
        <v>0</v>
      </c>
      <c r="EY18" s="380">
        <v>0</v>
      </c>
      <c r="EZ18" s="389">
        <v>0</v>
      </c>
      <c r="FA18" s="381">
        <f t="shared" si="36"/>
        <v>0</v>
      </c>
      <c r="FB18" s="379">
        <v>0</v>
      </c>
      <c r="FC18" s="380">
        <v>0</v>
      </c>
      <c r="FD18" s="380">
        <v>0</v>
      </c>
      <c r="FE18" s="380">
        <v>0</v>
      </c>
      <c r="FF18" s="380">
        <v>0</v>
      </c>
      <c r="FG18" s="380">
        <v>0</v>
      </c>
      <c r="FH18" s="380">
        <v>0</v>
      </c>
      <c r="FI18" s="380">
        <v>0</v>
      </c>
      <c r="FJ18" s="380">
        <v>0</v>
      </c>
      <c r="FK18" s="380">
        <v>0</v>
      </c>
      <c r="FL18" s="380">
        <v>0</v>
      </c>
      <c r="FM18" s="389">
        <v>0</v>
      </c>
      <c r="FN18" s="381">
        <f t="shared" si="38"/>
        <v>0</v>
      </c>
      <c r="FO18" s="379">
        <v>0</v>
      </c>
      <c r="FP18" s="380">
        <v>0</v>
      </c>
      <c r="FQ18" s="380">
        <v>0</v>
      </c>
      <c r="FR18" s="380">
        <v>0</v>
      </c>
      <c r="FS18" s="380">
        <v>0</v>
      </c>
      <c r="FT18" s="380">
        <v>0</v>
      </c>
      <c r="FU18" s="380">
        <v>0</v>
      </c>
      <c r="FV18" s="380">
        <v>0</v>
      </c>
      <c r="FW18" s="380">
        <v>0</v>
      </c>
      <c r="FX18" s="380">
        <v>0</v>
      </c>
      <c r="FY18" s="380">
        <v>0</v>
      </c>
      <c r="FZ18" s="389">
        <v>0</v>
      </c>
      <c r="GA18" s="381">
        <f t="shared" si="40"/>
        <v>0</v>
      </c>
      <c r="GB18" s="379">
        <v>0</v>
      </c>
      <c r="GC18" s="380">
        <v>0</v>
      </c>
      <c r="GD18" s="380">
        <v>0</v>
      </c>
      <c r="GE18" s="380">
        <v>0</v>
      </c>
      <c r="GF18" s="380">
        <v>0</v>
      </c>
      <c r="GG18" s="380">
        <v>0</v>
      </c>
      <c r="GH18" s="380">
        <v>0</v>
      </c>
      <c r="GI18" s="380">
        <v>0</v>
      </c>
      <c r="GJ18" s="380">
        <v>0</v>
      </c>
      <c r="GK18" s="380">
        <v>0</v>
      </c>
      <c r="GL18" s="380">
        <v>0</v>
      </c>
      <c r="GM18" s="389">
        <v>0</v>
      </c>
      <c r="GN18" s="381">
        <f t="shared" si="41"/>
        <v>0</v>
      </c>
      <c r="GO18" s="379">
        <v>0</v>
      </c>
      <c r="GP18" s="380">
        <v>0</v>
      </c>
      <c r="GQ18" s="380">
        <v>0</v>
      </c>
      <c r="GR18" s="380">
        <v>0</v>
      </c>
      <c r="GS18" s="380">
        <v>0</v>
      </c>
      <c r="GT18" s="380">
        <v>0</v>
      </c>
      <c r="GU18" s="380">
        <v>0</v>
      </c>
      <c r="GV18" s="380">
        <v>0</v>
      </c>
      <c r="GW18" s="380">
        <v>0</v>
      </c>
      <c r="GX18" s="380">
        <v>0</v>
      </c>
      <c r="GY18" s="380">
        <v>0</v>
      </c>
      <c r="GZ18" s="389">
        <v>0</v>
      </c>
      <c r="HA18" s="381">
        <f t="shared" si="43"/>
        <v>0</v>
      </c>
      <c r="HB18" s="379">
        <v>0</v>
      </c>
      <c r="HC18" s="380">
        <v>0</v>
      </c>
      <c r="HD18" s="380">
        <v>0</v>
      </c>
      <c r="HE18" s="380">
        <v>0</v>
      </c>
      <c r="HF18" s="380">
        <v>0</v>
      </c>
      <c r="HG18" s="380">
        <v>0</v>
      </c>
      <c r="HH18" s="380">
        <v>0</v>
      </c>
      <c r="HI18" s="380">
        <v>0</v>
      </c>
      <c r="HJ18" s="380">
        <v>0</v>
      </c>
      <c r="HK18" s="380">
        <v>0</v>
      </c>
      <c r="HL18" s="380">
        <v>0</v>
      </c>
      <c r="HM18" s="389">
        <v>0</v>
      </c>
      <c r="HN18" s="381">
        <f t="shared" si="45"/>
        <v>0</v>
      </c>
      <c r="HO18" s="379">
        <v>0</v>
      </c>
      <c r="HP18" s="380">
        <v>0</v>
      </c>
      <c r="HQ18" s="380">
        <v>0</v>
      </c>
      <c r="HR18" s="380">
        <v>0</v>
      </c>
      <c r="HS18" s="380">
        <v>0</v>
      </c>
      <c r="HT18" s="380">
        <v>0</v>
      </c>
      <c r="HU18" s="380">
        <v>0</v>
      </c>
      <c r="HV18" s="380">
        <v>0</v>
      </c>
      <c r="HW18" s="380">
        <v>0</v>
      </c>
      <c r="HX18" s="380">
        <v>0</v>
      </c>
      <c r="HY18" s="380">
        <v>0</v>
      </c>
      <c r="HZ18" s="391">
        <v>0</v>
      </c>
      <c r="IA18" s="379">
        <f t="shared" si="47"/>
        <v>0</v>
      </c>
      <c r="IB18" s="1344">
        <v>0</v>
      </c>
      <c r="IC18" s="120">
        <v>0</v>
      </c>
      <c r="ID18" s="120">
        <v>0</v>
      </c>
      <c r="IE18" s="120">
        <v>0</v>
      </c>
      <c r="IF18" s="120">
        <v>0</v>
      </c>
      <c r="IG18" s="120">
        <v>0</v>
      </c>
      <c r="IH18" s="120">
        <v>0</v>
      </c>
      <c r="II18" s="120">
        <v>0</v>
      </c>
      <c r="IJ18" s="120"/>
      <c r="IK18" s="120"/>
      <c r="IL18" s="120"/>
      <c r="IM18" s="1345"/>
      <c r="IN18" s="1346">
        <f t="shared" si="51"/>
        <v>0</v>
      </c>
      <c r="IO18" s="120"/>
      <c r="IP18" s="371" t="str">
        <f t="shared" si="52"/>
        <v/>
      </c>
      <c r="IQ18" s="348" t="str">
        <f t="shared" si="53"/>
        <v/>
      </c>
      <c r="IR18" s="320">
        <f t="shared" si="54"/>
        <v>0</v>
      </c>
      <c r="IS18" s="344">
        <f t="shared" si="55"/>
        <v>0</v>
      </c>
      <c r="IU18" s="320"/>
    </row>
    <row r="19" spans="1:255" s="338" customFormat="1" ht="15" customHeight="1" x14ac:dyDescent="0.2">
      <c r="A19" s="1553" t="s">
        <v>439</v>
      </c>
      <c r="B19" s="376">
        <f t="shared" ref="B19:M19" si="80">SUM(B20:B21)</f>
        <v>0</v>
      </c>
      <c r="C19" s="377">
        <f t="shared" si="80"/>
        <v>0</v>
      </c>
      <c r="D19" s="377">
        <f t="shared" si="80"/>
        <v>0</v>
      </c>
      <c r="E19" s="377">
        <f t="shared" si="80"/>
        <v>0</v>
      </c>
      <c r="F19" s="377">
        <f t="shared" si="80"/>
        <v>0</v>
      </c>
      <c r="G19" s="377">
        <f t="shared" si="80"/>
        <v>0</v>
      </c>
      <c r="H19" s="377">
        <f t="shared" si="80"/>
        <v>0</v>
      </c>
      <c r="I19" s="377">
        <f t="shared" si="80"/>
        <v>0</v>
      </c>
      <c r="J19" s="377">
        <f t="shared" si="80"/>
        <v>0</v>
      </c>
      <c r="K19" s="377">
        <f t="shared" si="80"/>
        <v>0</v>
      </c>
      <c r="L19" s="377">
        <f t="shared" si="80"/>
        <v>0</v>
      </c>
      <c r="M19" s="388">
        <f t="shared" si="80"/>
        <v>0</v>
      </c>
      <c r="N19" s="378">
        <f t="shared" si="1"/>
        <v>0</v>
      </c>
      <c r="O19" s="376">
        <f t="shared" ref="O19:Z19" si="81">SUM(O20:O21)</f>
        <v>0</v>
      </c>
      <c r="P19" s="377">
        <f t="shared" si="81"/>
        <v>0</v>
      </c>
      <c r="Q19" s="377">
        <f t="shared" si="81"/>
        <v>0</v>
      </c>
      <c r="R19" s="377">
        <f t="shared" si="81"/>
        <v>0</v>
      </c>
      <c r="S19" s="377">
        <f t="shared" si="81"/>
        <v>0</v>
      </c>
      <c r="T19" s="377">
        <f t="shared" si="81"/>
        <v>0</v>
      </c>
      <c r="U19" s="377">
        <f t="shared" si="81"/>
        <v>0</v>
      </c>
      <c r="V19" s="377">
        <f t="shared" si="81"/>
        <v>0</v>
      </c>
      <c r="W19" s="377">
        <f t="shared" si="81"/>
        <v>0</v>
      </c>
      <c r="X19" s="377">
        <f t="shared" si="81"/>
        <v>0</v>
      </c>
      <c r="Y19" s="377">
        <f t="shared" si="81"/>
        <v>0</v>
      </c>
      <c r="Z19" s="388">
        <f t="shared" si="81"/>
        <v>0</v>
      </c>
      <c r="AA19" s="378">
        <f>SUM(O19:Z19)</f>
        <v>0</v>
      </c>
      <c r="AB19" s="376">
        <f t="shared" ref="AB19:AL19" si="82">SUM(AB20:AB21)</f>
        <v>0</v>
      </c>
      <c r="AC19" s="377">
        <f t="shared" si="82"/>
        <v>0</v>
      </c>
      <c r="AD19" s="377">
        <f t="shared" si="82"/>
        <v>0</v>
      </c>
      <c r="AE19" s="377">
        <f t="shared" si="82"/>
        <v>0</v>
      </c>
      <c r="AF19" s="377">
        <f t="shared" si="82"/>
        <v>0</v>
      </c>
      <c r="AG19" s="377">
        <f t="shared" si="82"/>
        <v>0</v>
      </c>
      <c r="AH19" s="377">
        <f t="shared" si="82"/>
        <v>0</v>
      </c>
      <c r="AI19" s="377">
        <f t="shared" si="82"/>
        <v>0</v>
      </c>
      <c r="AJ19" s="377">
        <f t="shared" si="82"/>
        <v>0</v>
      </c>
      <c r="AK19" s="377">
        <f t="shared" si="82"/>
        <v>0</v>
      </c>
      <c r="AL19" s="377">
        <f t="shared" si="82"/>
        <v>0</v>
      </c>
      <c r="AM19" s="388">
        <v>0</v>
      </c>
      <c r="AN19" s="378">
        <f t="shared" si="56"/>
        <v>0</v>
      </c>
      <c r="AO19" s="376">
        <f t="shared" ref="AO19:AX19" si="83">SUM(AO20:AO21)</f>
        <v>0</v>
      </c>
      <c r="AP19" s="377">
        <f t="shared" si="83"/>
        <v>0</v>
      </c>
      <c r="AQ19" s="377">
        <f t="shared" si="83"/>
        <v>0</v>
      </c>
      <c r="AR19" s="377">
        <f t="shared" si="83"/>
        <v>0</v>
      </c>
      <c r="AS19" s="377">
        <f t="shared" si="83"/>
        <v>0</v>
      </c>
      <c r="AT19" s="377">
        <f t="shared" si="83"/>
        <v>0</v>
      </c>
      <c r="AU19" s="377">
        <f t="shared" si="83"/>
        <v>0</v>
      </c>
      <c r="AV19" s="377">
        <f t="shared" si="83"/>
        <v>0</v>
      </c>
      <c r="AW19" s="377">
        <f t="shared" si="83"/>
        <v>0</v>
      </c>
      <c r="AX19" s="377">
        <f t="shared" si="83"/>
        <v>0</v>
      </c>
      <c r="AY19" s="377">
        <v>0</v>
      </c>
      <c r="AZ19" s="388">
        <v>0</v>
      </c>
      <c r="BA19" s="378">
        <f t="shared" si="57"/>
        <v>0</v>
      </c>
      <c r="BB19" s="376">
        <f t="shared" ref="BB19:BM19" si="84">SUM(BB20:BB21)</f>
        <v>568</v>
      </c>
      <c r="BC19" s="377">
        <f t="shared" si="84"/>
        <v>0</v>
      </c>
      <c r="BD19" s="377">
        <f t="shared" si="84"/>
        <v>0</v>
      </c>
      <c r="BE19" s="377">
        <f t="shared" si="84"/>
        <v>0</v>
      </c>
      <c r="BF19" s="377">
        <f t="shared" si="84"/>
        <v>0</v>
      </c>
      <c r="BG19" s="377">
        <f t="shared" si="84"/>
        <v>0</v>
      </c>
      <c r="BH19" s="377">
        <f t="shared" si="84"/>
        <v>0</v>
      </c>
      <c r="BI19" s="377">
        <f t="shared" si="84"/>
        <v>0</v>
      </c>
      <c r="BJ19" s="377">
        <f t="shared" si="84"/>
        <v>0</v>
      </c>
      <c r="BK19" s="377">
        <f t="shared" si="84"/>
        <v>0</v>
      </c>
      <c r="BL19" s="377">
        <f t="shared" si="84"/>
        <v>0</v>
      </c>
      <c r="BM19" s="388">
        <f t="shared" si="84"/>
        <v>0</v>
      </c>
      <c r="BN19" s="378">
        <f t="shared" si="58"/>
        <v>568</v>
      </c>
      <c r="BO19" s="376">
        <f t="shared" ref="BO19:BZ19" si="85">SUM(BO20:BO21)</f>
        <v>0</v>
      </c>
      <c r="BP19" s="377">
        <f t="shared" si="85"/>
        <v>0</v>
      </c>
      <c r="BQ19" s="377">
        <f t="shared" si="85"/>
        <v>0</v>
      </c>
      <c r="BR19" s="377">
        <f t="shared" si="85"/>
        <v>0</v>
      </c>
      <c r="BS19" s="377">
        <f t="shared" si="85"/>
        <v>1709</v>
      </c>
      <c r="BT19" s="377">
        <f t="shared" si="85"/>
        <v>0</v>
      </c>
      <c r="BU19" s="377">
        <f t="shared" si="85"/>
        <v>0</v>
      </c>
      <c r="BV19" s="377">
        <f t="shared" si="85"/>
        <v>0</v>
      </c>
      <c r="BW19" s="377">
        <f t="shared" si="85"/>
        <v>0</v>
      </c>
      <c r="BX19" s="377">
        <f t="shared" si="85"/>
        <v>0</v>
      </c>
      <c r="BY19" s="377">
        <f t="shared" si="85"/>
        <v>0</v>
      </c>
      <c r="BZ19" s="388">
        <f t="shared" si="85"/>
        <v>0</v>
      </c>
      <c r="CA19" s="378">
        <f t="shared" si="59"/>
        <v>1709</v>
      </c>
      <c r="CB19" s="376">
        <f t="shared" ref="CB19:CM19" si="86">SUM(CB20:CB21)</f>
        <v>0</v>
      </c>
      <c r="CC19" s="377">
        <f t="shared" si="86"/>
        <v>0</v>
      </c>
      <c r="CD19" s="377">
        <f t="shared" si="86"/>
        <v>0</v>
      </c>
      <c r="CE19" s="377">
        <f t="shared" si="86"/>
        <v>0</v>
      </c>
      <c r="CF19" s="377">
        <f t="shared" si="86"/>
        <v>0</v>
      </c>
      <c r="CG19" s="377">
        <f t="shared" si="86"/>
        <v>0</v>
      </c>
      <c r="CH19" s="377">
        <f t="shared" si="86"/>
        <v>0</v>
      </c>
      <c r="CI19" s="377">
        <f t="shared" si="86"/>
        <v>0</v>
      </c>
      <c r="CJ19" s="377">
        <f t="shared" si="86"/>
        <v>0</v>
      </c>
      <c r="CK19" s="377">
        <f t="shared" si="86"/>
        <v>0</v>
      </c>
      <c r="CL19" s="377">
        <f t="shared" si="86"/>
        <v>0</v>
      </c>
      <c r="CM19" s="388">
        <f t="shared" si="86"/>
        <v>12667</v>
      </c>
      <c r="CN19" s="378">
        <f t="shared" si="60"/>
        <v>12667</v>
      </c>
      <c r="CO19" s="376">
        <f t="shared" ref="CO19:CZ19" si="87">SUM(CO20:CO21)</f>
        <v>0</v>
      </c>
      <c r="CP19" s="377">
        <f t="shared" si="87"/>
        <v>0</v>
      </c>
      <c r="CQ19" s="377">
        <f t="shared" si="87"/>
        <v>0</v>
      </c>
      <c r="CR19" s="377">
        <f t="shared" si="87"/>
        <v>0</v>
      </c>
      <c r="CS19" s="377">
        <f t="shared" si="87"/>
        <v>7222</v>
      </c>
      <c r="CT19" s="377">
        <f t="shared" si="87"/>
        <v>0</v>
      </c>
      <c r="CU19" s="377">
        <f t="shared" si="87"/>
        <v>7125</v>
      </c>
      <c r="CV19" s="377">
        <f t="shared" si="87"/>
        <v>0</v>
      </c>
      <c r="CW19" s="377">
        <f t="shared" si="87"/>
        <v>0</v>
      </c>
      <c r="CX19" s="377">
        <f t="shared" si="87"/>
        <v>0</v>
      </c>
      <c r="CY19" s="377">
        <f t="shared" si="87"/>
        <v>0</v>
      </c>
      <c r="CZ19" s="388">
        <f t="shared" si="87"/>
        <v>366</v>
      </c>
      <c r="DA19" s="378">
        <f t="shared" si="28"/>
        <v>14713</v>
      </c>
      <c r="DB19" s="376">
        <f>SUM(DB20:DB21)</f>
        <v>0</v>
      </c>
      <c r="DC19" s="377">
        <f t="shared" ref="DC19:DZ19" si="88">SUM(DC20:DC21)</f>
        <v>0</v>
      </c>
      <c r="DD19" s="377">
        <f t="shared" si="88"/>
        <v>7030</v>
      </c>
      <c r="DE19" s="377">
        <f t="shared" si="88"/>
        <v>0</v>
      </c>
      <c r="DF19" s="377">
        <f t="shared" si="88"/>
        <v>0</v>
      </c>
      <c r="DG19" s="377">
        <f t="shared" si="88"/>
        <v>0</v>
      </c>
      <c r="DH19" s="377">
        <f t="shared" si="88"/>
        <v>6934</v>
      </c>
      <c r="DI19" s="377">
        <f t="shared" si="88"/>
        <v>0</v>
      </c>
      <c r="DJ19" s="377">
        <f t="shared" si="88"/>
        <v>0</v>
      </c>
      <c r="DK19" s="377">
        <f t="shared" si="88"/>
        <v>0</v>
      </c>
      <c r="DL19" s="377">
        <f t="shared" si="88"/>
        <v>411</v>
      </c>
      <c r="DM19" s="388">
        <f t="shared" si="88"/>
        <v>6839</v>
      </c>
      <c r="DN19" s="378">
        <f t="shared" si="30"/>
        <v>21214</v>
      </c>
      <c r="DO19" s="376">
        <f t="shared" si="88"/>
        <v>0</v>
      </c>
      <c r="DP19" s="377">
        <f t="shared" si="88"/>
        <v>0</v>
      </c>
      <c r="DQ19" s="377">
        <f t="shared" si="88"/>
        <v>0</v>
      </c>
      <c r="DR19" s="377">
        <f t="shared" si="88"/>
        <v>0</v>
      </c>
      <c r="DS19" s="377">
        <f t="shared" si="88"/>
        <v>0</v>
      </c>
      <c r="DT19" s="377">
        <f t="shared" si="88"/>
        <v>0</v>
      </c>
      <c r="DU19" s="377">
        <f t="shared" si="88"/>
        <v>0</v>
      </c>
      <c r="DV19" s="377">
        <f t="shared" si="88"/>
        <v>0</v>
      </c>
      <c r="DW19" s="377">
        <f t="shared" si="88"/>
        <v>0</v>
      </c>
      <c r="DX19" s="377">
        <f t="shared" si="88"/>
        <v>0</v>
      </c>
      <c r="DY19" s="377">
        <f t="shared" si="88"/>
        <v>0</v>
      </c>
      <c r="DZ19" s="388">
        <f t="shared" si="88"/>
        <v>13389</v>
      </c>
      <c r="EA19" s="378">
        <f t="shared" si="32"/>
        <v>13389</v>
      </c>
      <c r="EB19" s="376">
        <f t="shared" ref="EB19:EM19" si="89">SUM(EB20:EB21)</f>
        <v>0</v>
      </c>
      <c r="EC19" s="377">
        <f t="shared" si="89"/>
        <v>0</v>
      </c>
      <c r="ED19" s="377">
        <f t="shared" si="89"/>
        <v>0</v>
      </c>
      <c r="EE19" s="377">
        <f t="shared" si="89"/>
        <v>0</v>
      </c>
      <c r="EF19" s="377">
        <f t="shared" si="89"/>
        <v>0</v>
      </c>
      <c r="EG19" s="377">
        <f t="shared" si="89"/>
        <v>0</v>
      </c>
      <c r="EH19" s="377">
        <f t="shared" si="89"/>
        <v>0</v>
      </c>
      <c r="EI19" s="377">
        <f t="shared" si="89"/>
        <v>0</v>
      </c>
      <c r="EJ19" s="377">
        <f t="shared" si="89"/>
        <v>0</v>
      </c>
      <c r="EK19" s="377">
        <f t="shared" si="89"/>
        <v>6550</v>
      </c>
      <c r="EL19" s="377">
        <f t="shared" si="89"/>
        <v>6455</v>
      </c>
      <c r="EM19" s="388">
        <f t="shared" si="89"/>
        <v>0</v>
      </c>
      <c r="EN19" s="378">
        <f t="shared" si="34"/>
        <v>13005</v>
      </c>
      <c r="EO19" s="376">
        <f t="shared" ref="EO19:EZ19" si="90">SUM(EO20:EO21)</f>
        <v>0</v>
      </c>
      <c r="EP19" s="377">
        <f t="shared" si="90"/>
        <v>0</v>
      </c>
      <c r="EQ19" s="377">
        <f t="shared" si="90"/>
        <v>0</v>
      </c>
      <c r="ER19" s="377">
        <f t="shared" si="90"/>
        <v>0</v>
      </c>
      <c r="ES19" s="377">
        <f t="shared" si="90"/>
        <v>0</v>
      </c>
      <c r="ET19" s="377">
        <f t="shared" si="90"/>
        <v>6358</v>
      </c>
      <c r="EU19" s="377">
        <f t="shared" si="90"/>
        <v>0</v>
      </c>
      <c r="EV19" s="377">
        <f t="shared" si="90"/>
        <v>0</v>
      </c>
      <c r="EW19" s="377">
        <f t="shared" si="90"/>
        <v>0</v>
      </c>
      <c r="EX19" s="377">
        <f t="shared" si="90"/>
        <v>0</v>
      </c>
      <c r="EY19" s="377">
        <f t="shared" si="90"/>
        <v>0</v>
      </c>
      <c r="EZ19" s="388">
        <f t="shared" si="90"/>
        <v>6263</v>
      </c>
      <c r="FA19" s="378">
        <f t="shared" si="36"/>
        <v>12621</v>
      </c>
      <c r="FB19" s="376">
        <f t="shared" ref="FB19:FM19" si="91">SUM(FB20:FB21)</f>
        <v>0</v>
      </c>
      <c r="FC19" s="377">
        <f t="shared" si="91"/>
        <v>0</v>
      </c>
      <c r="FD19" s="377">
        <f t="shared" si="91"/>
        <v>0</v>
      </c>
      <c r="FE19" s="377">
        <f t="shared" si="91"/>
        <v>0</v>
      </c>
      <c r="FF19" s="377">
        <f t="shared" si="91"/>
        <v>0</v>
      </c>
      <c r="FG19" s="377">
        <f t="shared" si="91"/>
        <v>0</v>
      </c>
      <c r="FH19" s="377">
        <f t="shared" si="91"/>
        <v>6167</v>
      </c>
      <c r="FI19" s="377">
        <f t="shared" si="91"/>
        <v>0</v>
      </c>
      <c r="FJ19" s="377">
        <f t="shared" si="91"/>
        <v>208</v>
      </c>
      <c r="FK19" s="377">
        <f t="shared" si="91"/>
        <v>0</v>
      </c>
      <c r="FL19" s="377">
        <f t="shared" si="91"/>
        <v>0</v>
      </c>
      <c r="FM19" s="388">
        <f t="shared" si="91"/>
        <v>6300</v>
      </c>
      <c r="FN19" s="378">
        <f t="shared" si="38"/>
        <v>12675</v>
      </c>
      <c r="FO19" s="376">
        <f t="shared" ref="FO19:GM19" si="92">SUM(FO20:FO21)</f>
        <v>0</v>
      </c>
      <c r="FP19" s="377">
        <f t="shared" si="92"/>
        <v>0</v>
      </c>
      <c r="FQ19" s="377">
        <f t="shared" si="92"/>
        <v>0</v>
      </c>
      <c r="FR19" s="377">
        <f t="shared" si="92"/>
        <v>0</v>
      </c>
      <c r="FS19" s="377">
        <f t="shared" si="92"/>
        <v>0</v>
      </c>
      <c r="FT19" s="377">
        <f t="shared" si="92"/>
        <v>6843</v>
      </c>
      <c r="FU19" s="377">
        <f t="shared" si="92"/>
        <v>0</v>
      </c>
      <c r="FV19" s="377">
        <f t="shared" si="92"/>
        <v>0</v>
      </c>
      <c r="FW19" s="377">
        <f t="shared" si="92"/>
        <v>0</v>
      </c>
      <c r="FX19" s="377">
        <f t="shared" si="92"/>
        <v>0</v>
      </c>
      <c r="FY19" s="377">
        <f t="shared" si="92"/>
        <v>0</v>
      </c>
      <c r="FZ19" s="388">
        <f t="shared" si="92"/>
        <v>6732</v>
      </c>
      <c r="GA19" s="378">
        <f t="shared" si="40"/>
        <v>13575</v>
      </c>
      <c r="GB19" s="376">
        <f t="shared" si="92"/>
        <v>0</v>
      </c>
      <c r="GC19" s="377">
        <f t="shared" si="92"/>
        <v>0</v>
      </c>
      <c r="GD19" s="377">
        <f t="shared" si="92"/>
        <v>0</v>
      </c>
      <c r="GE19" s="377">
        <f t="shared" si="92"/>
        <v>0</v>
      </c>
      <c r="GF19" s="377">
        <f t="shared" si="92"/>
        <v>0</v>
      </c>
      <c r="GG19" s="377">
        <f t="shared" si="92"/>
        <v>6498</v>
      </c>
      <c r="GH19" s="377">
        <f t="shared" si="92"/>
        <v>0</v>
      </c>
      <c r="GI19" s="377">
        <f t="shared" si="92"/>
        <v>0</v>
      </c>
      <c r="GJ19" s="377">
        <f t="shared" si="92"/>
        <v>0</v>
      </c>
      <c r="GK19" s="377">
        <f t="shared" si="92"/>
        <v>0</v>
      </c>
      <c r="GL19" s="377">
        <f t="shared" si="92"/>
        <v>0</v>
      </c>
      <c r="GM19" s="388">
        <f t="shared" si="92"/>
        <v>6409</v>
      </c>
      <c r="GN19" s="378">
        <f t="shared" si="41"/>
        <v>12907</v>
      </c>
      <c r="GO19" s="376">
        <f t="shared" ref="GO19:GZ19" si="93">SUM(GO20:GO21)</f>
        <v>0</v>
      </c>
      <c r="GP19" s="377">
        <f t="shared" si="93"/>
        <v>0</v>
      </c>
      <c r="GQ19" s="377">
        <f t="shared" si="93"/>
        <v>0</v>
      </c>
      <c r="GR19" s="377">
        <f t="shared" si="93"/>
        <v>0</v>
      </c>
      <c r="GS19" s="377">
        <f t="shared" si="93"/>
        <v>0</v>
      </c>
      <c r="GT19" s="377">
        <f t="shared" si="93"/>
        <v>0</v>
      </c>
      <c r="GU19" s="377">
        <f t="shared" si="93"/>
        <v>6300</v>
      </c>
      <c r="GV19" s="377">
        <f t="shared" si="93"/>
        <v>0</v>
      </c>
      <c r="GW19" s="377">
        <f t="shared" si="93"/>
        <v>0</v>
      </c>
      <c r="GX19" s="377">
        <f t="shared" si="93"/>
        <v>0</v>
      </c>
      <c r="GY19" s="377">
        <f t="shared" si="93"/>
        <v>0</v>
      </c>
      <c r="GZ19" s="388">
        <f t="shared" si="93"/>
        <v>6205</v>
      </c>
      <c r="HA19" s="378">
        <f t="shared" si="43"/>
        <v>12505</v>
      </c>
      <c r="HB19" s="376">
        <f t="shared" ref="HB19:HM19" si="94">SUM(HB20:HB21)</f>
        <v>0</v>
      </c>
      <c r="HC19" s="377">
        <f t="shared" si="94"/>
        <v>0</v>
      </c>
      <c r="HD19" s="377">
        <f t="shared" si="94"/>
        <v>0</v>
      </c>
      <c r="HE19" s="377">
        <f t="shared" si="94"/>
        <v>0</v>
      </c>
      <c r="HF19" s="377">
        <f t="shared" si="94"/>
        <v>0</v>
      </c>
      <c r="HG19" s="377">
        <f t="shared" si="94"/>
        <v>6100</v>
      </c>
      <c r="HH19" s="377">
        <f t="shared" si="94"/>
        <v>0</v>
      </c>
      <c r="HI19" s="377">
        <f t="shared" si="94"/>
        <v>0</v>
      </c>
      <c r="HJ19" s="377">
        <f t="shared" si="94"/>
        <v>0</v>
      </c>
      <c r="HK19" s="377">
        <f t="shared" si="94"/>
        <v>0</v>
      </c>
      <c r="HL19" s="377">
        <f t="shared" si="94"/>
        <v>0</v>
      </c>
      <c r="HM19" s="388">
        <f t="shared" si="94"/>
        <v>5967</v>
      </c>
      <c r="HN19" s="378">
        <f t="shared" si="45"/>
        <v>12067</v>
      </c>
      <c r="HO19" s="376">
        <f t="shared" ref="HO19:HY19" si="95">SUM(HO20:HO21)</f>
        <v>0</v>
      </c>
      <c r="HP19" s="377">
        <f t="shared" si="95"/>
        <v>0</v>
      </c>
      <c r="HQ19" s="377">
        <f t="shared" si="95"/>
        <v>0</v>
      </c>
      <c r="HR19" s="377">
        <f t="shared" si="95"/>
        <v>0</v>
      </c>
      <c r="HS19" s="377">
        <f t="shared" si="95"/>
        <v>0</v>
      </c>
      <c r="HT19" s="377">
        <f t="shared" si="95"/>
        <v>5910</v>
      </c>
      <c r="HU19" s="377">
        <f t="shared" si="95"/>
        <v>0</v>
      </c>
      <c r="HV19" s="377">
        <f t="shared" si="95"/>
        <v>0</v>
      </c>
      <c r="HW19" s="377">
        <f t="shared" si="95"/>
        <v>0</v>
      </c>
      <c r="HX19" s="377">
        <f t="shared" si="95"/>
        <v>112</v>
      </c>
      <c r="HY19" s="377">
        <f t="shared" si="95"/>
        <v>5</v>
      </c>
      <c r="HZ19" s="1670">
        <v>691</v>
      </c>
      <c r="IA19" s="376">
        <f>SUM(HO19:HZ19)</f>
        <v>6718</v>
      </c>
      <c r="IB19" s="1328">
        <f t="shared" ref="IB19:IF19" si="96">SUM(IB20:IB21)</f>
        <v>0</v>
      </c>
      <c r="IC19" s="129">
        <f t="shared" si="96"/>
        <v>0</v>
      </c>
      <c r="ID19" s="129">
        <f t="shared" si="96"/>
        <v>0</v>
      </c>
      <c r="IE19" s="129">
        <f t="shared" si="96"/>
        <v>0</v>
      </c>
      <c r="IF19" s="129">
        <f t="shared" si="96"/>
        <v>5002</v>
      </c>
      <c r="IG19" s="129">
        <v>6</v>
      </c>
      <c r="IH19" s="129">
        <f t="shared" ref="IH19" si="97">SUM(IH20:IH21)</f>
        <v>635</v>
      </c>
      <c r="II19" s="129">
        <f t="shared" ref="II19" si="98">SUM(II20:II21)</f>
        <v>0</v>
      </c>
      <c r="IJ19" s="129"/>
      <c r="IK19" s="129"/>
      <c r="IL19" s="129"/>
      <c r="IM19" s="1268"/>
      <c r="IN19" s="1343">
        <f t="shared" si="51"/>
        <v>5643</v>
      </c>
      <c r="IO19" s="129"/>
      <c r="IP19" s="370" t="str">
        <f t="shared" si="52"/>
        <v/>
      </c>
      <c r="IQ19" s="340">
        <f t="shared" si="53"/>
        <v>-4.5177664974619276</v>
      </c>
      <c r="IR19" s="339">
        <f t="shared" si="54"/>
        <v>5910</v>
      </c>
      <c r="IS19" s="341">
        <f t="shared" si="55"/>
        <v>5643</v>
      </c>
      <c r="IU19" s="339"/>
    </row>
    <row r="20" spans="1:255" ht="15" customHeight="1" x14ac:dyDescent="0.2">
      <c r="A20" s="1554" t="s">
        <v>458</v>
      </c>
      <c r="B20" s="379">
        <v>0</v>
      </c>
      <c r="C20" s="380">
        <v>0</v>
      </c>
      <c r="D20" s="380">
        <v>0</v>
      </c>
      <c r="E20" s="380">
        <v>0</v>
      </c>
      <c r="F20" s="380">
        <v>0</v>
      </c>
      <c r="G20" s="380">
        <v>0</v>
      </c>
      <c r="H20" s="380">
        <v>0</v>
      </c>
      <c r="I20" s="380">
        <v>0</v>
      </c>
      <c r="J20" s="380">
        <v>0</v>
      </c>
      <c r="K20" s="380">
        <v>0</v>
      </c>
      <c r="L20" s="380">
        <v>0</v>
      </c>
      <c r="M20" s="389">
        <v>0</v>
      </c>
      <c r="N20" s="381">
        <f t="shared" si="1"/>
        <v>0</v>
      </c>
      <c r="O20" s="379">
        <v>0</v>
      </c>
      <c r="P20" s="380">
        <v>0</v>
      </c>
      <c r="Q20" s="380">
        <v>0</v>
      </c>
      <c r="R20" s="380">
        <v>0</v>
      </c>
      <c r="S20" s="380">
        <v>0</v>
      </c>
      <c r="T20" s="380">
        <v>0</v>
      </c>
      <c r="U20" s="380">
        <v>0</v>
      </c>
      <c r="V20" s="380">
        <v>0</v>
      </c>
      <c r="W20" s="380">
        <v>0</v>
      </c>
      <c r="X20" s="380">
        <v>0</v>
      </c>
      <c r="Y20" s="380">
        <v>0</v>
      </c>
      <c r="Z20" s="389">
        <v>0</v>
      </c>
      <c r="AA20" s="381">
        <f>SUM(O20:Z20)</f>
        <v>0</v>
      </c>
      <c r="AB20" s="379">
        <v>0</v>
      </c>
      <c r="AC20" s="380">
        <v>0</v>
      </c>
      <c r="AD20" s="380">
        <v>0</v>
      </c>
      <c r="AE20" s="380">
        <v>0</v>
      </c>
      <c r="AF20" s="380">
        <v>0</v>
      </c>
      <c r="AG20" s="380">
        <v>0</v>
      </c>
      <c r="AH20" s="380">
        <v>0</v>
      </c>
      <c r="AI20" s="380">
        <v>0</v>
      </c>
      <c r="AJ20" s="380">
        <v>0</v>
      </c>
      <c r="AK20" s="380">
        <v>0</v>
      </c>
      <c r="AL20" s="380">
        <v>0</v>
      </c>
      <c r="AM20" s="389">
        <v>0</v>
      </c>
      <c r="AN20" s="381">
        <f t="shared" si="56"/>
        <v>0</v>
      </c>
      <c r="AO20" s="379">
        <v>0</v>
      </c>
      <c r="AP20" s="380">
        <v>0</v>
      </c>
      <c r="AQ20" s="380">
        <v>0</v>
      </c>
      <c r="AR20" s="380">
        <v>0</v>
      </c>
      <c r="AS20" s="380">
        <v>0</v>
      </c>
      <c r="AT20" s="380">
        <v>0</v>
      </c>
      <c r="AU20" s="380">
        <v>0</v>
      </c>
      <c r="AV20" s="380">
        <v>0</v>
      </c>
      <c r="AW20" s="380">
        <v>0</v>
      </c>
      <c r="AX20" s="380">
        <v>0</v>
      </c>
      <c r="AY20" s="380">
        <v>0</v>
      </c>
      <c r="AZ20" s="389">
        <v>0</v>
      </c>
      <c r="BA20" s="381">
        <f t="shared" si="57"/>
        <v>0</v>
      </c>
      <c r="BB20" s="379">
        <v>568</v>
      </c>
      <c r="BC20" s="380">
        <v>0</v>
      </c>
      <c r="BD20" s="380">
        <v>0</v>
      </c>
      <c r="BE20" s="380">
        <v>0</v>
      </c>
      <c r="BF20" s="380">
        <v>0</v>
      </c>
      <c r="BG20" s="380">
        <v>0</v>
      </c>
      <c r="BH20" s="380">
        <v>0</v>
      </c>
      <c r="BI20" s="380">
        <v>0</v>
      </c>
      <c r="BJ20" s="380">
        <v>0</v>
      </c>
      <c r="BK20" s="380">
        <v>0</v>
      </c>
      <c r="BL20" s="380">
        <v>0</v>
      </c>
      <c r="BM20" s="389">
        <v>0</v>
      </c>
      <c r="BN20" s="381">
        <f t="shared" si="58"/>
        <v>568</v>
      </c>
      <c r="BO20" s="379">
        <v>0</v>
      </c>
      <c r="BP20" s="380">
        <v>0</v>
      </c>
      <c r="BQ20" s="380">
        <v>0</v>
      </c>
      <c r="BR20" s="380">
        <v>0</v>
      </c>
      <c r="BS20" s="380">
        <v>1709</v>
      </c>
      <c r="BT20" s="380">
        <v>0</v>
      </c>
      <c r="BU20" s="380">
        <v>0</v>
      </c>
      <c r="BV20" s="380">
        <v>0</v>
      </c>
      <c r="BW20" s="380">
        <v>0</v>
      </c>
      <c r="BX20" s="380">
        <v>0</v>
      </c>
      <c r="BY20" s="380">
        <v>0</v>
      </c>
      <c r="BZ20" s="389">
        <v>0</v>
      </c>
      <c r="CA20" s="381">
        <f t="shared" si="59"/>
        <v>1709</v>
      </c>
      <c r="CB20" s="379">
        <v>0</v>
      </c>
      <c r="CC20" s="380">
        <v>0</v>
      </c>
      <c r="CD20" s="380">
        <v>0</v>
      </c>
      <c r="CE20" s="380">
        <v>0</v>
      </c>
      <c r="CF20" s="380">
        <v>0</v>
      </c>
      <c r="CG20" s="380">
        <v>0</v>
      </c>
      <c r="CH20" s="380">
        <v>0</v>
      </c>
      <c r="CI20" s="380">
        <v>0</v>
      </c>
      <c r="CJ20" s="380">
        <v>0</v>
      </c>
      <c r="CK20" s="380">
        <v>0</v>
      </c>
      <c r="CL20" s="380">
        <v>0</v>
      </c>
      <c r="CM20" s="389">
        <v>12667</v>
      </c>
      <c r="CN20" s="381">
        <f t="shared" si="60"/>
        <v>12667</v>
      </c>
      <c r="CO20" s="379">
        <v>0</v>
      </c>
      <c r="CP20" s="380">
        <v>0</v>
      </c>
      <c r="CQ20" s="380">
        <v>0</v>
      </c>
      <c r="CR20" s="380">
        <v>0</v>
      </c>
      <c r="CS20" s="380">
        <v>7222</v>
      </c>
      <c r="CT20" s="380">
        <v>0</v>
      </c>
      <c r="CU20" s="380">
        <v>7125</v>
      </c>
      <c r="CV20" s="380">
        <v>0</v>
      </c>
      <c r="CW20" s="380">
        <v>0</v>
      </c>
      <c r="CX20" s="380">
        <v>0</v>
      </c>
      <c r="CY20" s="380">
        <v>0</v>
      </c>
      <c r="CZ20" s="389">
        <v>366</v>
      </c>
      <c r="DA20" s="381">
        <f t="shared" si="28"/>
        <v>14713</v>
      </c>
      <c r="DB20" s="379">
        <v>0</v>
      </c>
      <c r="DC20" s="380">
        <v>0</v>
      </c>
      <c r="DD20" s="380">
        <v>7030</v>
      </c>
      <c r="DE20" s="380">
        <v>0</v>
      </c>
      <c r="DF20" s="380">
        <v>0</v>
      </c>
      <c r="DG20" s="380">
        <v>0</v>
      </c>
      <c r="DH20" s="380">
        <v>1915</v>
      </c>
      <c r="DI20" s="380">
        <v>0</v>
      </c>
      <c r="DJ20" s="380">
        <v>0</v>
      </c>
      <c r="DK20" s="380">
        <v>0</v>
      </c>
      <c r="DL20" s="380">
        <v>391</v>
      </c>
      <c r="DM20" s="389">
        <v>1819</v>
      </c>
      <c r="DN20" s="381">
        <f t="shared" si="30"/>
        <v>11155</v>
      </c>
      <c r="DO20" s="379">
        <v>0</v>
      </c>
      <c r="DP20" s="380">
        <v>0</v>
      </c>
      <c r="DQ20" s="380">
        <v>0</v>
      </c>
      <c r="DR20" s="380">
        <v>0</v>
      </c>
      <c r="DS20" s="380">
        <v>0</v>
      </c>
      <c r="DT20" s="380">
        <v>0</v>
      </c>
      <c r="DU20" s="380">
        <v>0</v>
      </c>
      <c r="DV20" s="380">
        <v>0</v>
      </c>
      <c r="DW20" s="380">
        <v>0</v>
      </c>
      <c r="DX20" s="380">
        <v>0</v>
      </c>
      <c r="DY20" s="380">
        <v>0</v>
      </c>
      <c r="DZ20" s="389">
        <v>3351</v>
      </c>
      <c r="EA20" s="381">
        <f t="shared" si="32"/>
        <v>3351</v>
      </c>
      <c r="EB20" s="379">
        <v>0</v>
      </c>
      <c r="EC20" s="380">
        <v>0</v>
      </c>
      <c r="ED20" s="380">
        <v>0</v>
      </c>
      <c r="EE20" s="380">
        <v>0</v>
      </c>
      <c r="EF20" s="380">
        <v>0</v>
      </c>
      <c r="EG20" s="380">
        <v>0</v>
      </c>
      <c r="EH20" s="380">
        <v>0</v>
      </c>
      <c r="EI20" s="380">
        <v>0</v>
      </c>
      <c r="EJ20" s="380">
        <v>0</v>
      </c>
      <c r="EK20" s="380">
        <f>1491+40</f>
        <v>1531</v>
      </c>
      <c r="EL20" s="380">
        <f>1398+38</f>
        <v>1436</v>
      </c>
      <c r="EM20" s="389">
        <v>0</v>
      </c>
      <c r="EN20" s="381">
        <f t="shared" si="34"/>
        <v>2967</v>
      </c>
      <c r="EO20" s="379">
        <v>0</v>
      </c>
      <c r="EP20" s="380">
        <v>0</v>
      </c>
      <c r="EQ20" s="380">
        <v>0</v>
      </c>
      <c r="ER20" s="380">
        <v>0</v>
      </c>
      <c r="ES20" s="380">
        <v>0</v>
      </c>
      <c r="ET20" s="380">
        <v>0</v>
      </c>
      <c r="EU20" s="380">
        <v>0</v>
      </c>
      <c r="EV20" s="380">
        <v>0</v>
      </c>
      <c r="EW20" s="380">
        <v>0</v>
      </c>
      <c r="EX20" s="380">
        <v>0</v>
      </c>
      <c r="EY20" s="380">
        <v>0</v>
      </c>
      <c r="EZ20" s="389">
        <v>0</v>
      </c>
      <c r="FA20" s="381">
        <f t="shared" si="36"/>
        <v>0</v>
      </c>
      <c r="FB20" s="379">
        <v>0</v>
      </c>
      <c r="FC20" s="380">
        <v>0</v>
      </c>
      <c r="FD20" s="380">
        <v>0</v>
      </c>
      <c r="FE20" s="380">
        <v>0</v>
      </c>
      <c r="FF20" s="380">
        <v>0</v>
      </c>
      <c r="FG20" s="380">
        <v>0</v>
      </c>
      <c r="FH20" s="380">
        <f>1118+30</f>
        <v>1148</v>
      </c>
      <c r="FI20" s="380">
        <v>0</v>
      </c>
      <c r="FJ20" s="380">
        <v>208</v>
      </c>
      <c r="FK20" s="380">
        <v>0</v>
      </c>
      <c r="FL20" s="380">
        <v>0</v>
      </c>
      <c r="FM20" s="389">
        <v>1281</v>
      </c>
      <c r="FN20" s="381">
        <f t="shared" si="38"/>
        <v>2637</v>
      </c>
      <c r="FO20" s="379">
        <v>0</v>
      </c>
      <c r="FP20" s="380">
        <v>0</v>
      </c>
      <c r="FQ20" s="380">
        <v>0</v>
      </c>
      <c r="FR20" s="380">
        <v>0</v>
      </c>
      <c r="FS20" s="380">
        <v>0</v>
      </c>
      <c r="FT20" s="380">
        <v>1203</v>
      </c>
      <c r="FU20" s="380">
        <v>0</v>
      </c>
      <c r="FV20" s="380">
        <v>0</v>
      </c>
      <c r="FW20" s="380">
        <v>0</v>
      </c>
      <c r="FX20" s="380">
        <v>0</v>
      </c>
      <c r="FY20" s="380">
        <v>0</v>
      </c>
      <c r="FZ20" s="389">
        <v>1100</v>
      </c>
      <c r="GA20" s="381">
        <f t="shared" si="40"/>
        <v>2303</v>
      </c>
      <c r="GB20" s="379">
        <v>0</v>
      </c>
      <c r="GC20" s="380">
        <v>0</v>
      </c>
      <c r="GD20" s="380">
        <v>0</v>
      </c>
      <c r="GE20" s="380">
        <v>0</v>
      </c>
      <c r="GF20" s="380">
        <v>0</v>
      </c>
      <c r="GG20" s="380">
        <v>962</v>
      </c>
      <c r="GH20" s="380">
        <v>0</v>
      </c>
      <c r="GI20" s="380">
        <v>0</v>
      </c>
      <c r="GJ20" s="380">
        <v>0</v>
      </c>
      <c r="GK20" s="380">
        <v>0</v>
      </c>
      <c r="GL20" s="380">
        <v>0</v>
      </c>
      <c r="GM20" s="389">
        <f>846+18</f>
        <v>864</v>
      </c>
      <c r="GN20" s="381">
        <f t="shared" si="41"/>
        <v>1826</v>
      </c>
      <c r="GO20" s="379">
        <v>0</v>
      </c>
      <c r="GP20" s="380">
        <v>0</v>
      </c>
      <c r="GQ20" s="380">
        <v>0</v>
      </c>
      <c r="GR20" s="380">
        <v>0</v>
      </c>
      <c r="GS20" s="380">
        <v>0</v>
      </c>
      <c r="GT20" s="380">
        <v>0</v>
      </c>
      <c r="GU20" s="380">
        <f>746+15</f>
        <v>761</v>
      </c>
      <c r="GV20" s="380">
        <v>0</v>
      </c>
      <c r="GW20" s="380">
        <v>0</v>
      </c>
      <c r="GX20" s="380">
        <v>0</v>
      </c>
      <c r="GY20" s="380">
        <v>0</v>
      </c>
      <c r="GZ20" s="389">
        <f>649+13</f>
        <v>662</v>
      </c>
      <c r="HA20" s="381">
        <f t="shared" si="43"/>
        <v>1423</v>
      </c>
      <c r="HB20" s="379">
        <v>0</v>
      </c>
      <c r="HC20" s="380">
        <v>0</v>
      </c>
      <c r="HD20" s="380">
        <v>0</v>
      </c>
      <c r="HE20" s="380">
        <v>0</v>
      </c>
      <c r="HF20" s="380">
        <v>0</v>
      </c>
      <c r="HG20" s="380">
        <v>559</v>
      </c>
      <c r="HH20" s="380">
        <v>0</v>
      </c>
      <c r="HI20" s="380">
        <v>0</v>
      </c>
      <c r="HJ20" s="380">
        <v>0</v>
      </c>
      <c r="HK20" s="380">
        <v>0</v>
      </c>
      <c r="HL20" s="380">
        <v>0</v>
      </c>
      <c r="HM20" s="389">
        <v>451</v>
      </c>
      <c r="HN20" s="381">
        <f t="shared" si="45"/>
        <v>1010</v>
      </c>
      <c r="HO20" s="379">
        <v>0</v>
      </c>
      <c r="HP20" s="380">
        <v>0</v>
      </c>
      <c r="HQ20" s="380">
        <v>0</v>
      </c>
      <c r="HR20" s="380">
        <v>0</v>
      </c>
      <c r="HS20" s="380">
        <v>0</v>
      </c>
      <c r="HT20" s="380">
        <v>360</v>
      </c>
      <c r="HU20" s="380">
        <v>0</v>
      </c>
      <c r="HV20" s="380">
        <v>0</v>
      </c>
      <c r="HW20" s="380">
        <v>0</v>
      </c>
      <c r="HX20" s="380">
        <v>112</v>
      </c>
      <c r="HY20" s="380">
        <v>0</v>
      </c>
      <c r="HZ20" s="391">
        <v>164</v>
      </c>
      <c r="IA20" s="379">
        <f t="shared" si="47"/>
        <v>636</v>
      </c>
      <c r="IB20" s="1344">
        <v>0</v>
      </c>
      <c r="IC20" s="120">
        <v>0</v>
      </c>
      <c r="ID20" s="120">
        <v>0</v>
      </c>
      <c r="IE20" s="120">
        <v>0</v>
      </c>
      <c r="IF20" s="120">
        <v>93</v>
      </c>
      <c r="IG20" s="120">
        <v>0</v>
      </c>
      <c r="IH20" s="120">
        <v>147</v>
      </c>
      <c r="II20" s="120">
        <v>0</v>
      </c>
      <c r="IJ20" s="120"/>
      <c r="IK20" s="120"/>
      <c r="IL20" s="120"/>
      <c r="IM20" s="1345"/>
      <c r="IN20" s="1346">
        <f t="shared" si="51"/>
        <v>240</v>
      </c>
      <c r="IO20" s="120"/>
      <c r="IP20" s="371" t="str">
        <f t="shared" si="52"/>
        <v/>
      </c>
      <c r="IQ20" s="348">
        <f t="shared" si="53"/>
        <v>-33.333333333333336</v>
      </c>
      <c r="IR20" s="320">
        <f t="shared" si="54"/>
        <v>360</v>
      </c>
      <c r="IS20" s="344">
        <f t="shared" si="55"/>
        <v>240</v>
      </c>
      <c r="IU20" s="320"/>
    </row>
    <row r="21" spans="1:255" ht="15" customHeight="1" x14ac:dyDescent="0.2">
      <c r="A21" s="1554" t="s">
        <v>441</v>
      </c>
      <c r="B21" s="379">
        <v>0</v>
      </c>
      <c r="C21" s="380">
        <v>0</v>
      </c>
      <c r="D21" s="380">
        <v>0</v>
      </c>
      <c r="E21" s="380">
        <v>0</v>
      </c>
      <c r="F21" s="380">
        <v>0</v>
      </c>
      <c r="G21" s="380">
        <v>0</v>
      </c>
      <c r="H21" s="380">
        <v>0</v>
      </c>
      <c r="I21" s="380">
        <v>0</v>
      </c>
      <c r="J21" s="380">
        <v>0</v>
      </c>
      <c r="K21" s="380">
        <v>0</v>
      </c>
      <c r="L21" s="380">
        <v>0</v>
      </c>
      <c r="M21" s="389">
        <v>0</v>
      </c>
      <c r="N21" s="381">
        <f t="shared" si="1"/>
        <v>0</v>
      </c>
      <c r="O21" s="379">
        <v>0</v>
      </c>
      <c r="P21" s="380">
        <v>0</v>
      </c>
      <c r="Q21" s="380">
        <v>0</v>
      </c>
      <c r="R21" s="380">
        <v>0</v>
      </c>
      <c r="S21" s="380">
        <v>0</v>
      </c>
      <c r="T21" s="380">
        <v>0</v>
      </c>
      <c r="U21" s="380">
        <v>0</v>
      </c>
      <c r="V21" s="380">
        <v>0</v>
      </c>
      <c r="W21" s="380">
        <v>0</v>
      </c>
      <c r="X21" s="380">
        <v>0</v>
      </c>
      <c r="Y21" s="380">
        <v>0</v>
      </c>
      <c r="Z21" s="389">
        <v>0</v>
      </c>
      <c r="AA21" s="381">
        <f>SUM(O21:Z21)</f>
        <v>0</v>
      </c>
      <c r="AB21" s="379">
        <v>0</v>
      </c>
      <c r="AC21" s="380">
        <v>0</v>
      </c>
      <c r="AD21" s="380">
        <v>0</v>
      </c>
      <c r="AE21" s="380">
        <v>0</v>
      </c>
      <c r="AF21" s="380">
        <v>0</v>
      </c>
      <c r="AG21" s="380">
        <v>0</v>
      </c>
      <c r="AH21" s="380">
        <v>0</v>
      </c>
      <c r="AI21" s="380">
        <v>0</v>
      </c>
      <c r="AJ21" s="380">
        <v>0</v>
      </c>
      <c r="AK21" s="380">
        <v>0</v>
      </c>
      <c r="AL21" s="380">
        <v>0</v>
      </c>
      <c r="AM21" s="389">
        <v>0</v>
      </c>
      <c r="AN21" s="381">
        <f t="shared" si="56"/>
        <v>0</v>
      </c>
      <c r="AO21" s="379">
        <v>0</v>
      </c>
      <c r="AP21" s="380">
        <v>0</v>
      </c>
      <c r="AQ21" s="380">
        <v>0</v>
      </c>
      <c r="AR21" s="380">
        <v>0</v>
      </c>
      <c r="AS21" s="380">
        <v>0</v>
      </c>
      <c r="AT21" s="380">
        <v>0</v>
      </c>
      <c r="AU21" s="380">
        <v>0</v>
      </c>
      <c r="AV21" s="380">
        <v>0</v>
      </c>
      <c r="AW21" s="380">
        <v>0</v>
      </c>
      <c r="AX21" s="380">
        <v>0</v>
      </c>
      <c r="AY21" s="380">
        <v>0</v>
      </c>
      <c r="AZ21" s="389">
        <v>0</v>
      </c>
      <c r="BA21" s="381">
        <f t="shared" si="57"/>
        <v>0</v>
      </c>
      <c r="BB21" s="379">
        <v>0</v>
      </c>
      <c r="BC21" s="380">
        <v>0</v>
      </c>
      <c r="BD21" s="380">
        <v>0</v>
      </c>
      <c r="BE21" s="380">
        <v>0</v>
      </c>
      <c r="BF21" s="380">
        <v>0</v>
      </c>
      <c r="BG21" s="380">
        <v>0</v>
      </c>
      <c r="BH21" s="380">
        <v>0</v>
      </c>
      <c r="BI21" s="380">
        <v>0</v>
      </c>
      <c r="BJ21" s="380">
        <v>0</v>
      </c>
      <c r="BK21" s="380">
        <v>0</v>
      </c>
      <c r="BL21" s="380">
        <v>0</v>
      </c>
      <c r="BM21" s="389">
        <v>0</v>
      </c>
      <c r="BN21" s="381">
        <f t="shared" si="58"/>
        <v>0</v>
      </c>
      <c r="BO21" s="379">
        <v>0</v>
      </c>
      <c r="BP21" s="380">
        <v>0</v>
      </c>
      <c r="BQ21" s="380">
        <v>0</v>
      </c>
      <c r="BR21" s="380">
        <v>0</v>
      </c>
      <c r="BS21" s="380">
        <v>0</v>
      </c>
      <c r="BT21" s="380">
        <v>0</v>
      </c>
      <c r="BU21" s="380">
        <v>0</v>
      </c>
      <c r="BV21" s="380">
        <v>0</v>
      </c>
      <c r="BW21" s="380">
        <v>0</v>
      </c>
      <c r="BX21" s="380">
        <v>0</v>
      </c>
      <c r="BY21" s="380">
        <v>0</v>
      </c>
      <c r="BZ21" s="389">
        <v>0</v>
      </c>
      <c r="CA21" s="381">
        <f t="shared" si="59"/>
        <v>0</v>
      </c>
      <c r="CB21" s="379">
        <v>0</v>
      </c>
      <c r="CC21" s="380">
        <v>0</v>
      </c>
      <c r="CD21" s="380">
        <v>0</v>
      </c>
      <c r="CE21" s="380">
        <v>0</v>
      </c>
      <c r="CF21" s="380">
        <v>0</v>
      </c>
      <c r="CG21" s="380">
        <v>0</v>
      </c>
      <c r="CH21" s="380">
        <v>0</v>
      </c>
      <c r="CI21" s="380">
        <v>0</v>
      </c>
      <c r="CJ21" s="380">
        <v>0</v>
      </c>
      <c r="CK21" s="380">
        <v>0</v>
      </c>
      <c r="CL21" s="380">
        <v>0</v>
      </c>
      <c r="CM21" s="389">
        <v>0</v>
      </c>
      <c r="CN21" s="381">
        <f t="shared" si="60"/>
        <v>0</v>
      </c>
      <c r="CO21" s="379">
        <v>0</v>
      </c>
      <c r="CP21" s="380">
        <v>0</v>
      </c>
      <c r="CQ21" s="380">
        <v>0</v>
      </c>
      <c r="CR21" s="380">
        <v>0</v>
      </c>
      <c r="CS21" s="380">
        <v>0</v>
      </c>
      <c r="CT21" s="380">
        <v>0</v>
      </c>
      <c r="CU21" s="380">
        <v>0</v>
      </c>
      <c r="CV21" s="380">
        <v>0</v>
      </c>
      <c r="CW21" s="380">
        <v>0</v>
      </c>
      <c r="CX21" s="380">
        <v>0</v>
      </c>
      <c r="CY21" s="380">
        <v>0</v>
      </c>
      <c r="CZ21" s="389">
        <v>0</v>
      </c>
      <c r="DA21" s="381">
        <f t="shared" si="28"/>
        <v>0</v>
      </c>
      <c r="DB21" s="379">
        <v>0</v>
      </c>
      <c r="DC21" s="380">
        <v>0</v>
      </c>
      <c r="DD21" s="380">
        <v>0</v>
      </c>
      <c r="DE21" s="380">
        <v>0</v>
      </c>
      <c r="DF21" s="380">
        <v>0</v>
      </c>
      <c r="DG21" s="380">
        <v>0</v>
      </c>
      <c r="DH21" s="380">
        <v>5019</v>
      </c>
      <c r="DI21" s="380">
        <v>0</v>
      </c>
      <c r="DJ21" s="380">
        <v>0</v>
      </c>
      <c r="DK21" s="380">
        <v>0</v>
      </c>
      <c r="DL21" s="380">
        <v>20</v>
      </c>
      <c r="DM21" s="389">
        <v>5020</v>
      </c>
      <c r="DN21" s="381">
        <f t="shared" si="30"/>
        <v>10059</v>
      </c>
      <c r="DO21" s="379">
        <v>0</v>
      </c>
      <c r="DP21" s="380">
        <v>0</v>
      </c>
      <c r="DQ21" s="380">
        <v>0</v>
      </c>
      <c r="DR21" s="380">
        <v>0</v>
      </c>
      <c r="DS21" s="380">
        <v>0</v>
      </c>
      <c r="DT21" s="380">
        <v>0</v>
      </c>
      <c r="DU21" s="380">
        <v>0</v>
      </c>
      <c r="DV21" s="380">
        <v>0</v>
      </c>
      <c r="DW21" s="380">
        <v>0</v>
      </c>
      <c r="DX21" s="380">
        <v>0</v>
      </c>
      <c r="DY21" s="380">
        <v>0</v>
      </c>
      <c r="DZ21" s="389">
        <v>10038</v>
      </c>
      <c r="EA21" s="381">
        <f t="shared" si="32"/>
        <v>10038</v>
      </c>
      <c r="EB21" s="379">
        <v>0</v>
      </c>
      <c r="EC21" s="380">
        <v>0</v>
      </c>
      <c r="ED21" s="380">
        <v>0</v>
      </c>
      <c r="EE21" s="380">
        <v>0</v>
      </c>
      <c r="EF21" s="380">
        <v>0</v>
      </c>
      <c r="EG21" s="380">
        <v>0</v>
      </c>
      <c r="EH21" s="380">
        <v>0</v>
      </c>
      <c r="EI21" s="380">
        <v>0</v>
      </c>
      <c r="EJ21" s="380">
        <v>0</v>
      </c>
      <c r="EK21" s="380">
        <v>5019</v>
      </c>
      <c r="EL21" s="380">
        <v>5019</v>
      </c>
      <c r="EM21" s="389">
        <v>0</v>
      </c>
      <c r="EN21" s="381">
        <f t="shared" si="34"/>
        <v>10038</v>
      </c>
      <c r="EO21" s="379">
        <v>0</v>
      </c>
      <c r="EP21" s="380">
        <v>0</v>
      </c>
      <c r="EQ21" s="380">
        <v>0</v>
      </c>
      <c r="ER21" s="380">
        <v>0</v>
      </c>
      <c r="ES21" s="380">
        <v>0</v>
      </c>
      <c r="ET21" s="380">
        <v>6358</v>
      </c>
      <c r="EU21" s="380">
        <v>0</v>
      </c>
      <c r="EV21" s="380">
        <v>0</v>
      </c>
      <c r="EW21" s="380">
        <v>0</v>
      </c>
      <c r="EX21" s="380">
        <v>0</v>
      </c>
      <c r="EY21" s="380">
        <v>0</v>
      </c>
      <c r="EZ21" s="389">
        <v>6263</v>
      </c>
      <c r="FA21" s="381">
        <f t="shared" si="36"/>
        <v>12621</v>
      </c>
      <c r="FB21" s="379">
        <v>0</v>
      </c>
      <c r="FC21" s="380">
        <v>0</v>
      </c>
      <c r="FD21" s="380">
        <v>0</v>
      </c>
      <c r="FE21" s="380">
        <v>0</v>
      </c>
      <c r="FF21" s="380">
        <v>0</v>
      </c>
      <c r="FG21" s="380">
        <v>0</v>
      </c>
      <c r="FH21" s="380">
        <v>5019</v>
      </c>
      <c r="FI21" s="380">
        <v>0</v>
      </c>
      <c r="FJ21" s="380">
        <v>0</v>
      </c>
      <c r="FK21" s="380">
        <v>0</v>
      </c>
      <c r="FL21" s="380">
        <v>0</v>
      </c>
      <c r="FM21" s="389">
        <v>5019</v>
      </c>
      <c r="FN21" s="381">
        <f t="shared" si="38"/>
        <v>10038</v>
      </c>
      <c r="FO21" s="379">
        <v>0</v>
      </c>
      <c r="FP21" s="380">
        <v>0</v>
      </c>
      <c r="FQ21" s="380">
        <v>0</v>
      </c>
      <c r="FR21" s="380">
        <v>0</v>
      </c>
      <c r="FS21" s="380">
        <v>0</v>
      </c>
      <c r="FT21" s="380">
        <v>5640</v>
      </c>
      <c r="FU21" s="380">
        <v>0</v>
      </c>
      <c r="FV21" s="380">
        <v>0</v>
      </c>
      <c r="FW21" s="380">
        <v>0</v>
      </c>
      <c r="FX21" s="380">
        <v>0</v>
      </c>
      <c r="FY21" s="380">
        <v>0</v>
      </c>
      <c r="FZ21" s="389">
        <v>5632</v>
      </c>
      <c r="GA21" s="381">
        <f t="shared" si="40"/>
        <v>11272</v>
      </c>
      <c r="GB21" s="379">
        <v>0</v>
      </c>
      <c r="GC21" s="380">
        <v>0</v>
      </c>
      <c r="GD21" s="380">
        <v>0</v>
      </c>
      <c r="GE21" s="380">
        <v>0</v>
      </c>
      <c r="GF21" s="380">
        <v>0</v>
      </c>
      <c r="GG21" s="380">
        <v>5536</v>
      </c>
      <c r="GH21" s="380">
        <v>0</v>
      </c>
      <c r="GI21" s="380">
        <v>0</v>
      </c>
      <c r="GJ21" s="380">
        <v>0</v>
      </c>
      <c r="GK21" s="380">
        <v>0</v>
      </c>
      <c r="GL21" s="380">
        <v>0</v>
      </c>
      <c r="GM21" s="389">
        <v>5545</v>
      </c>
      <c r="GN21" s="381">
        <f t="shared" si="41"/>
        <v>11081</v>
      </c>
      <c r="GO21" s="379">
        <v>0</v>
      </c>
      <c r="GP21" s="380">
        <v>0</v>
      </c>
      <c r="GQ21" s="380">
        <v>0</v>
      </c>
      <c r="GR21" s="380">
        <v>0</v>
      </c>
      <c r="GS21" s="380">
        <v>0</v>
      </c>
      <c r="GT21" s="380">
        <v>0</v>
      </c>
      <c r="GU21" s="380">
        <v>5539</v>
      </c>
      <c r="GV21" s="380">
        <v>0</v>
      </c>
      <c r="GW21" s="380">
        <v>0</v>
      </c>
      <c r="GX21" s="380">
        <v>0</v>
      </c>
      <c r="GY21" s="380">
        <v>0</v>
      </c>
      <c r="GZ21" s="389">
        <v>5543</v>
      </c>
      <c r="HA21" s="381">
        <f t="shared" si="43"/>
        <v>11082</v>
      </c>
      <c r="HB21" s="379">
        <v>0</v>
      </c>
      <c r="HC21" s="380">
        <v>0</v>
      </c>
      <c r="HD21" s="380">
        <v>0</v>
      </c>
      <c r="HE21" s="380">
        <v>0</v>
      </c>
      <c r="HF21" s="380">
        <v>0</v>
      </c>
      <c r="HG21" s="380">
        <v>5541</v>
      </c>
      <c r="HH21" s="380">
        <v>0</v>
      </c>
      <c r="HI21" s="380">
        <v>0</v>
      </c>
      <c r="HJ21" s="380">
        <v>0</v>
      </c>
      <c r="HK21" s="380">
        <v>0</v>
      </c>
      <c r="HL21" s="380">
        <v>0</v>
      </c>
      <c r="HM21" s="389">
        <v>5516</v>
      </c>
      <c r="HN21" s="381">
        <f t="shared" si="45"/>
        <v>11057</v>
      </c>
      <c r="HO21" s="379">
        <v>0</v>
      </c>
      <c r="HP21" s="380">
        <v>0</v>
      </c>
      <c r="HQ21" s="380">
        <v>0</v>
      </c>
      <c r="HR21" s="380">
        <v>0</v>
      </c>
      <c r="HS21" s="380">
        <v>0</v>
      </c>
      <c r="HT21" s="380">
        <v>5550</v>
      </c>
      <c r="HU21" s="380">
        <v>0</v>
      </c>
      <c r="HV21" s="380">
        <v>0</v>
      </c>
      <c r="HW21" s="380">
        <v>0</v>
      </c>
      <c r="HX21" s="380">
        <v>0</v>
      </c>
      <c r="HY21" s="380">
        <v>5</v>
      </c>
      <c r="HZ21" s="391">
        <v>527</v>
      </c>
      <c r="IA21" s="379">
        <f t="shared" si="47"/>
        <v>6082</v>
      </c>
      <c r="IB21" s="1344">
        <v>0</v>
      </c>
      <c r="IC21" s="120">
        <v>0</v>
      </c>
      <c r="ID21" s="120">
        <v>0</v>
      </c>
      <c r="IE21" s="120">
        <v>0</v>
      </c>
      <c r="IF21" s="120">
        <v>4909</v>
      </c>
      <c r="IG21" s="120">
        <v>6</v>
      </c>
      <c r="IH21" s="120">
        <v>488</v>
      </c>
      <c r="II21" s="120">
        <v>0</v>
      </c>
      <c r="IJ21" s="120"/>
      <c r="IK21" s="120"/>
      <c r="IL21" s="120"/>
      <c r="IM21" s="1345"/>
      <c r="IN21" s="1346">
        <f t="shared" si="51"/>
        <v>5403</v>
      </c>
      <c r="IO21" s="120"/>
      <c r="IP21" s="371" t="str">
        <f t="shared" si="52"/>
        <v/>
      </c>
      <c r="IQ21" s="348">
        <f t="shared" si="53"/>
        <v>-2.6486486486486438</v>
      </c>
      <c r="IR21" s="320">
        <f t="shared" si="54"/>
        <v>5550</v>
      </c>
      <c r="IS21" s="344">
        <f t="shared" si="55"/>
        <v>5403</v>
      </c>
      <c r="IU21" s="320"/>
    </row>
    <row r="22" spans="1:255" ht="15" customHeight="1" x14ac:dyDescent="0.2">
      <c r="A22" s="342" t="s">
        <v>352</v>
      </c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0"/>
      <c r="M22" s="389"/>
      <c r="N22" s="381"/>
      <c r="O22" s="379"/>
      <c r="P22" s="380"/>
      <c r="Q22" s="380"/>
      <c r="R22" s="380"/>
      <c r="S22" s="380"/>
      <c r="T22" s="380"/>
      <c r="U22" s="380"/>
      <c r="V22" s="380"/>
      <c r="W22" s="380"/>
      <c r="X22" s="380"/>
      <c r="Y22" s="380"/>
      <c r="Z22" s="389"/>
      <c r="AA22" s="381"/>
      <c r="AB22" s="379"/>
      <c r="AC22" s="380"/>
      <c r="AD22" s="380"/>
      <c r="AE22" s="380"/>
      <c r="AF22" s="380"/>
      <c r="AG22" s="380"/>
      <c r="AH22" s="380"/>
      <c r="AI22" s="380"/>
      <c r="AJ22" s="380"/>
      <c r="AK22" s="380"/>
      <c r="AL22" s="380"/>
      <c r="AM22" s="389"/>
      <c r="AN22" s="381"/>
      <c r="AO22" s="379"/>
      <c r="AP22" s="380"/>
      <c r="AQ22" s="380"/>
      <c r="AR22" s="380"/>
      <c r="AS22" s="380"/>
      <c r="AT22" s="380"/>
      <c r="AU22" s="380"/>
      <c r="AV22" s="380"/>
      <c r="AW22" s="380"/>
      <c r="AX22" s="380"/>
      <c r="AY22" s="380"/>
      <c r="AZ22" s="389"/>
      <c r="BA22" s="381"/>
      <c r="BB22" s="379"/>
      <c r="BC22" s="380"/>
      <c r="BD22" s="380"/>
      <c r="BE22" s="380"/>
      <c r="BF22" s="380"/>
      <c r="BG22" s="380"/>
      <c r="BH22" s="380"/>
      <c r="BI22" s="380"/>
      <c r="BJ22" s="380"/>
      <c r="BK22" s="380"/>
      <c r="BL22" s="380"/>
      <c r="BM22" s="389"/>
      <c r="BN22" s="381"/>
      <c r="BO22" s="379"/>
      <c r="BP22" s="380"/>
      <c r="BQ22" s="380"/>
      <c r="BR22" s="380"/>
      <c r="BS22" s="380"/>
      <c r="BT22" s="380"/>
      <c r="BU22" s="380"/>
      <c r="BV22" s="380"/>
      <c r="BW22" s="380"/>
      <c r="BX22" s="380"/>
      <c r="BY22" s="380"/>
      <c r="BZ22" s="389"/>
      <c r="CA22" s="381"/>
      <c r="CB22" s="379"/>
      <c r="CC22" s="380"/>
      <c r="CD22" s="380"/>
      <c r="CE22" s="380"/>
      <c r="CF22" s="380"/>
      <c r="CG22" s="380"/>
      <c r="CH22" s="380"/>
      <c r="CI22" s="380"/>
      <c r="CJ22" s="380"/>
      <c r="CK22" s="380"/>
      <c r="CL22" s="380"/>
      <c r="CM22" s="389"/>
      <c r="CN22" s="381"/>
      <c r="CO22" s="379"/>
      <c r="CP22" s="380"/>
      <c r="CQ22" s="380"/>
      <c r="CR22" s="380"/>
      <c r="CS22" s="380"/>
      <c r="CT22" s="380"/>
      <c r="CU22" s="380"/>
      <c r="CV22" s="380"/>
      <c r="CW22" s="380"/>
      <c r="CX22" s="380"/>
      <c r="CY22" s="380"/>
      <c r="CZ22" s="389"/>
      <c r="DA22" s="381"/>
      <c r="DB22" s="379"/>
      <c r="DC22" s="380"/>
      <c r="DD22" s="380"/>
      <c r="DE22" s="380"/>
      <c r="DF22" s="380"/>
      <c r="DG22" s="380"/>
      <c r="DH22" s="380"/>
      <c r="DI22" s="380"/>
      <c r="DJ22" s="380"/>
      <c r="DK22" s="380"/>
      <c r="DL22" s="380"/>
      <c r="DM22" s="389"/>
      <c r="DN22" s="381"/>
      <c r="DO22" s="379"/>
      <c r="DP22" s="380"/>
      <c r="DQ22" s="380"/>
      <c r="DR22" s="380"/>
      <c r="DS22" s="380"/>
      <c r="DT22" s="380"/>
      <c r="DU22" s="380"/>
      <c r="DV22" s="380"/>
      <c r="DW22" s="380"/>
      <c r="DX22" s="380"/>
      <c r="DY22" s="380"/>
      <c r="DZ22" s="389"/>
      <c r="EA22" s="381"/>
      <c r="EB22" s="379"/>
      <c r="EC22" s="380"/>
      <c r="ED22" s="380"/>
      <c r="EE22" s="380"/>
      <c r="EF22" s="380"/>
      <c r="EG22" s="380"/>
      <c r="EH22" s="380"/>
      <c r="EI22" s="380"/>
      <c r="EJ22" s="380"/>
      <c r="EK22" s="380"/>
      <c r="EL22" s="380"/>
      <c r="EM22" s="389"/>
      <c r="EN22" s="381"/>
      <c r="EO22" s="379"/>
      <c r="EP22" s="380"/>
      <c r="EQ22" s="380"/>
      <c r="ER22" s="380"/>
      <c r="ES22" s="380"/>
      <c r="ET22" s="380"/>
      <c r="EU22" s="380"/>
      <c r="EV22" s="380"/>
      <c r="EW22" s="380"/>
      <c r="EX22" s="380"/>
      <c r="EY22" s="380"/>
      <c r="EZ22" s="389"/>
      <c r="FA22" s="381"/>
      <c r="FB22" s="379"/>
      <c r="FC22" s="380"/>
      <c r="FD22" s="380"/>
      <c r="FE22" s="380"/>
      <c r="FF22" s="380"/>
      <c r="FG22" s="380"/>
      <c r="FH22" s="380"/>
      <c r="FI22" s="380"/>
      <c r="FJ22" s="380"/>
      <c r="FK22" s="380"/>
      <c r="FL22" s="380"/>
      <c r="FM22" s="389"/>
      <c r="FN22" s="381"/>
      <c r="FO22" s="379"/>
      <c r="FP22" s="380"/>
      <c r="FQ22" s="380"/>
      <c r="FR22" s="380"/>
      <c r="FS22" s="380"/>
      <c r="FT22" s="380"/>
      <c r="FU22" s="380"/>
      <c r="FV22" s="380"/>
      <c r="FW22" s="380"/>
      <c r="FX22" s="380"/>
      <c r="FY22" s="380"/>
      <c r="FZ22" s="389"/>
      <c r="GA22" s="381"/>
      <c r="GB22" s="379"/>
      <c r="GC22" s="380"/>
      <c r="GD22" s="380"/>
      <c r="GE22" s="380"/>
      <c r="GF22" s="380"/>
      <c r="GG22" s="380"/>
      <c r="GH22" s="380"/>
      <c r="GI22" s="380"/>
      <c r="GJ22" s="380"/>
      <c r="GK22" s="380"/>
      <c r="GL22" s="380"/>
      <c r="GM22" s="389"/>
      <c r="GN22" s="381"/>
      <c r="GO22" s="379"/>
      <c r="GP22" s="380"/>
      <c r="GQ22" s="380"/>
      <c r="GR22" s="380"/>
      <c r="GS22" s="380"/>
      <c r="GT22" s="380"/>
      <c r="GU22" s="380"/>
      <c r="GV22" s="380"/>
      <c r="GW22" s="380"/>
      <c r="GX22" s="380"/>
      <c r="GY22" s="380"/>
      <c r="GZ22" s="389"/>
      <c r="HA22" s="381"/>
      <c r="HB22" s="379"/>
      <c r="HC22" s="380"/>
      <c r="HD22" s="380"/>
      <c r="HE22" s="380"/>
      <c r="HF22" s="380"/>
      <c r="HG22" s="380"/>
      <c r="HH22" s="380"/>
      <c r="HI22" s="380"/>
      <c r="HJ22" s="380"/>
      <c r="HK22" s="380"/>
      <c r="HL22" s="380"/>
      <c r="HM22" s="389"/>
      <c r="HN22" s="381"/>
      <c r="HO22" s="379"/>
      <c r="HP22" s="380"/>
      <c r="HQ22" s="380"/>
      <c r="HR22" s="380"/>
      <c r="HS22" s="380"/>
      <c r="HT22" s="380"/>
      <c r="HU22" s="380"/>
      <c r="HV22" s="380"/>
      <c r="HW22" s="380"/>
      <c r="HX22" s="380"/>
      <c r="HY22" s="380"/>
      <c r="HZ22" s="391"/>
      <c r="IA22" s="379"/>
      <c r="IB22" s="1344"/>
      <c r="IC22" s="120"/>
      <c r="ID22" s="120"/>
      <c r="IE22" s="120"/>
      <c r="IF22" s="120"/>
      <c r="IG22" s="120"/>
      <c r="IH22" s="120"/>
      <c r="II22" s="120"/>
      <c r="IJ22" s="120"/>
      <c r="IK22" s="120"/>
      <c r="IL22" s="120"/>
      <c r="IM22" s="1345"/>
      <c r="IN22" s="1346"/>
      <c r="IO22" s="120"/>
      <c r="IP22" s="371" t="str">
        <f t="shared" si="52"/>
        <v/>
      </c>
      <c r="IQ22" s="348"/>
      <c r="IR22" s="320">
        <f t="shared" si="54"/>
        <v>0</v>
      </c>
      <c r="IS22" s="344">
        <f t="shared" si="55"/>
        <v>0</v>
      </c>
    </row>
    <row r="23" spans="1:255" s="1523" customFormat="1" ht="15" customHeight="1" x14ac:dyDescent="0.2">
      <c r="A23" s="1552" t="s">
        <v>297</v>
      </c>
      <c r="B23" s="1512">
        <f t="shared" ref="B23:M23" si="99">SUM(B24:B30)</f>
        <v>31126</v>
      </c>
      <c r="C23" s="1513">
        <f t="shared" si="99"/>
        <v>36873</v>
      </c>
      <c r="D23" s="1513">
        <f t="shared" si="99"/>
        <v>32734</v>
      </c>
      <c r="E23" s="1513">
        <f t="shared" si="99"/>
        <v>33579</v>
      </c>
      <c r="F23" s="1513">
        <f t="shared" si="99"/>
        <v>35605</v>
      </c>
      <c r="G23" s="1513">
        <f t="shared" si="99"/>
        <v>43307</v>
      </c>
      <c r="H23" s="1513">
        <f t="shared" si="99"/>
        <v>78240</v>
      </c>
      <c r="I23" s="1513">
        <f t="shared" si="99"/>
        <v>48435</v>
      </c>
      <c r="J23" s="1513">
        <f t="shared" si="99"/>
        <v>38437</v>
      </c>
      <c r="K23" s="1513">
        <f t="shared" si="99"/>
        <v>44354</v>
      </c>
      <c r="L23" s="1513">
        <f t="shared" si="99"/>
        <v>45810</v>
      </c>
      <c r="M23" s="1514">
        <f t="shared" si="99"/>
        <v>114350</v>
      </c>
      <c r="N23" s="1515">
        <f t="shared" si="1"/>
        <v>582850</v>
      </c>
      <c r="O23" s="1512">
        <f t="shared" ref="O23:Z23" si="100">SUM(O24:O30)</f>
        <v>33454</v>
      </c>
      <c r="P23" s="1513">
        <f t="shared" si="100"/>
        <v>43908</v>
      </c>
      <c r="Q23" s="1513">
        <f t="shared" si="100"/>
        <v>41715</v>
      </c>
      <c r="R23" s="1513">
        <f t="shared" si="100"/>
        <v>63547</v>
      </c>
      <c r="S23" s="1513">
        <f t="shared" si="100"/>
        <v>42448</v>
      </c>
      <c r="T23" s="1513">
        <f t="shared" si="100"/>
        <v>42747</v>
      </c>
      <c r="U23" s="1513">
        <f t="shared" si="100"/>
        <v>53613</v>
      </c>
      <c r="V23" s="1513">
        <f t="shared" si="100"/>
        <v>44071</v>
      </c>
      <c r="W23" s="1513">
        <f t="shared" si="100"/>
        <v>55131</v>
      </c>
      <c r="X23" s="1513">
        <f t="shared" si="100"/>
        <v>49569</v>
      </c>
      <c r="Y23" s="1513">
        <f t="shared" si="100"/>
        <v>47751</v>
      </c>
      <c r="Z23" s="1514">
        <f t="shared" si="100"/>
        <v>76526</v>
      </c>
      <c r="AA23" s="1515">
        <f>SUM(O23:Z23)</f>
        <v>594480</v>
      </c>
      <c r="AB23" s="1512">
        <f t="shared" ref="AB23:AM23" si="101">SUM(AB24:AB30)</f>
        <v>36343</v>
      </c>
      <c r="AC23" s="1513">
        <f t="shared" si="101"/>
        <v>53282</v>
      </c>
      <c r="AD23" s="1513">
        <f t="shared" si="101"/>
        <v>41324</v>
      </c>
      <c r="AE23" s="1513">
        <f t="shared" si="101"/>
        <v>45984</v>
      </c>
      <c r="AF23" s="1513">
        <f t="shared" si="101"/>
        <v>53779</v>
      </c>
      <c r="AG23" s="1513">
        <f t="shared" si="101"/>
        <v>58605</v>
      </c>
      <c r="AH23" s="1513">
        <f t="shared" si="101"/>
        <v>62366</v>
      </c>
      <c r="AI23" s="1513">
        <f t="shared" si="101"/>
        <v>55204</v>
      </c>
      <c r="AJ23" s="1513">
        <f t="shared" si="101"/>
        <v>48530</v>
      </c>
      <c r="AK23" s="1513">
        <f t="shared" si="101"/>
        <v>48422</v>
      </c>
      <c r="AL23" s="1513">
        <f t="shared" si="101"/>
        <v>52700</v>
      </c>
      <c r="AM23" s="1514">
        <f t="shared" si="101"/>
        <v>74271</v>
      </c>
      <c r="AN23" s="1515">
        <f>SUM(AB23:AM23)</f>
        <v>630810</v>
      </c>
      <c r="AO23" s="1512">
        <f t="shared" ref="AO23:AZ23" si="102">SUM(AO24:AO30)</f>
        <v>45999</v>
      </c>
      <c r="AP23" s="1513">
        <f t="shared" si="102"/>
        <v>42473</v>
      </c>
      <c r="AQ23" s="1513">
        <f t="shared" si="102"/>
        <v>53815</v>
      </c>
      <c r="AR23" s="1513">
        <f t="shared" si="102"/>
        <v>34418</v>
      </c>
      <c r="AS23" s="1513">
        <f t="shared" si="102"/>
        <v>48351</v>
      </c>
      <c r="AT23" s="1513">
        <f t="shared" si="102"/>
        <v>53388</v>
      </c>
      <c r="AU23" s="1513">
        <f t="shared" si="102"/>
        <v>44836</v>
      </c>
      <c r="AV23" s="1513">
        <f t="shared" si="102"/>
        <v>63590</v>
      </c>
      <c r="AW23" s="1513">
        <f t="shared" si="102"/>
        <v>65702</v>
      </c>
      <c r="AX23" s="1513">
        <f t="shared" si="102"/>
        <v>63944</v>
      </c>
      <c r="AY23" s="1513">
        <f t="shared" si="102"/>
        <v>62135</v>
      </c>
      <c r="AZ23" s="1514">
        <f t="shared" si="102"/>
        <v>115383</v>
      </c>
      <c r="BA23" s="1515">
        <f>SUM(AO23:AZ23)</f>
        <v>694034</v>
      </c>
      <c r="BB23" s="1512">
        <f t="shared" ref="BB23:BM23" si="103">SUM(BB24:BB30)</f>
        <v>47893</v>
      </c>
      <c r="BC23" s="1513">
        <f t="shared" si="103"/>
        <v>44305</v>
      </c>
      <c r="BD23" s="1513">
        <f t="shared" si="103"/>
        <v>48558</v>
      </c>
      <c r="BE23" s="1513">
        <f t="shared" si="103"/>
        <v>44171</v>
      </c>
      <c r="BF23" s="1513">
        <f t="shared" si="103"/>
        <v>71824</v>
      </c>
      <c r="BG23" s="1513">
        <f t="shared" si="103"/>
        <v>79655</v>
      </c>
      <c r="BH23" s="1513">
        <f t="shared" si="103"/>
        <v>55998</v>
      </c>
      <c r="BI23" s="1513">
        <f t="shared" si="103"/>
        <v>57018</v>
      </c>
      <c r="BJ23" s="1513">
        <f t="shared" si="103"/>
        <v>59244</v>
      </c>
      <c r="BK23" s="1513">
        <f t="shared" si="103"/>
        <v>101654</v>
      </c>
      <c r="BL23" s="1513">
        <f t="shared" si="103"/>
        <v>120702</v>
      </c>
      <c r="BM23" s="1514">
        <f t="shared" si="103"/>
        <v>109438</v>
      </c>
      <c r="BN23" s="1515">
        <f>SUM(BB23:BM23)</f>
        <v>840460</v>
      </c>
      <c r="BO23" s="1512">
        <f t="shared" ref="BO23:BZ23" si="104">SUM(BO24:BO30)</f>
        <v>42184</v>
      </c>
      <c r="BP23" s="1513">
        <f t="shared" si="104"/>
        <v>64805</v>
      </c>
      <c r="BQ23" s="1513">
        <f t="shared" si="104"/>
        <v>67386</v>
      </c>
      <c r="BR23" s="1513">
        <f t="shared" si="104"/>
        <v>81996</v>
      </c>
      <c r="BS23" s="1513">
        <f t="shared" si="104"/>
        <v>70788</v>
      </c>
      <c r="BT23" s="1513">
        <f t="shared" si="104"/>
        <v>105281</v>
      </c>
      <c r="BU23" s="1513">
        <f t="shared" si="104"/>
        <v>48961</v>
      </c>
      <c r="BV23" s="1513">
        <f t="shared" si="104"/>
        <v>63407</v>
      </c>
      <c r="BW23" s="1513">
        <f t="shared" si="104"/>
        <v>77986</v>
      </c>
      <c r="BX23" s="1513">
        <f t="shared" si="104"/>
        <v>95728</v>
      </c>
      <c r="BY23" s="1513">
        <f t="shared" si="104"/>
        <v>109845</v>
      </c>
      <c r="BZ23" s="1514">
        <f t="shared" si="104"/>
        <v>108085</v>
      </c>
      <c r="CA23" s="1515">
        <f>SUM(BO23:BZ23)</f>
        <v>936452</v>
      </c>
      <c r="CB23" s="1512">
        <f t="shared" ref="CB23:CM23" si="105">SUM(CB24:CB30)</f>
        <v>91415</v>
      </c>
      <c r="CC23" s="1513">
        <f t="shared" si="105"/>
        <v>69123</v>
      </c>
      <c r="CD23" s="1513">
        <f t="shared" si="105"/>
        <v>62858</v>
      </c>
      <c r="CE23" s="1513">
        <f t="shared" si="105"/>
        <v>56143</v>
      </c>
      <c r="CF23" s="1513">
        <f t="shared" si="105"/>
        <v>69263</v>
      </c>
      <c r="CG23" s="1513">
        <f t="shared" si="105"/>
        <v>131033</v>
      </c>
      <c r="CH23" s="1513">
        <f t="shared" si="105"/>
        <v>94641</v>
      </c>
      <c r="CI23" s="1513">
        <f t="shared" si="105"/>
        <v>73607</v>
      </c>
      <c r="CJ23" s="1513">
        <f t="shared" si="105"/>
        <v>85190</v>
      </c>
      <c r="CK23" s="1513">
        <f t="shared" si="105"/>
        <v>62744</v>
      </c>
      <c r="CL23" s="1513">
        <f t="shared" si="105"/>
        <v>105827</v>
      </c>
      <c r="CM23" s="1514">
        <f t="shared" si="105"/>
        <v>203051</v>
      </c>
      <c r="CN23" s="1515">
        <f>SUM(CB23:CM23)</f>
        <v>1104895</v>
      </c>
      <c r="CO23" s="1512">
        <f t="shared" ref="CO23:DZ23" si="106">SUM(CO24:CO30)</f>
        <v>54798</v>
      </c>
      <c r="CP23" s="1513">
        <f t="shared" si="106"/>
        <v>55982</v>
      </c>
      <c r="CQ23" s="1513">
        <f t="shared" si="106"/>
        <v>59833</v>
      </c>
      <c r="CR23" s="1513">
        <f t="shared" si="106"/>
        <v>123729</v>
      </c>
      <c r="CS23" s="1513">
        <f t="shared" si="106"/>
        <v>59114</v>
      </c>
      <c r="CT23" s="1513">
        <f t="shared" si="106"/>
        <v>76754</v>
      </c>
      <c r="CU23" s="1513">
        <f t="shared" si="106"/>
        <v>99729</v>
      </c>
      <c r="CV23" s="1513">
        <f t="shared" si="106"/>
        <v>135099</v>
      </c>
      <c r="CW23" s="1513">
        <f t="shared" si="106"/>
        <v>128448</v>
      </c>
      <c r="CX23" s="1513">
        <f t="shared" si="106"/>
        <v>135819</v>
      </c>
      <c r="CY23" s="1513">
        <f t="shared" si="106"/>
        <v>181242</v>
      </c>
      <c r="CZ23" s="1514">
        <f t="shared" si="106"/>
        <v>252960</v>
      </c>
      <c r="DA23" s="1515">
        <f t="shared" ref="DA23:DA28" si="107">SUM(CO23:CZ23)</f>
        <v>1363507</v>
      </c>
      <c r="DB23" s="1512">
        <f t="shared" si="106"/>
        <v>51232</v>
      </c>
      <c r="DC23" s="1513">
        <f t="shared" si="106"/>
        <v>63657</v>
      </c>
      <c r="DD23" s="1513">
        <f t="shared" si="106"/>
        <v>90742</v>
      </c>
      <c r="DE23" s="1513">
        <f t="shared" si="106"/>
        <v>100753</v>
      </c>
      <c r="DF23" s="1513">
        <f t="shared" si="106"/>
        <v>91159</v>
      </c>
      <c r="DG23" s="1513">
        <f t="shared" si="106"/>
        <v>98225</v>
      </c>
      <c r="DH23" s="1513">
        <f t="shared" si="106"/>
        <v>122982</v>
      </c>
      <c r="DI23" s="1513">
        <f t="shared" si="106"/>
        <v>112506</v>
      </c>
      <c r="DJ23" s="1513">
        <f t="shared" si="106"/>
        <v>99649</v>
      </c>
      <c r="DK23" s="1513">
        <f t="shared" si="106"/>
        <v>90325</v>
      </c>
      <c r="DL23" s="1513">
        <f t="shared" si="106"/>
        <v>91987</v>
      </c>
      <c r="DM23" s="1514">
        <f t="shared" si="106"/>
        <v>219890</v>
      </c>
      <c r="DN23" s="1515">
        <f>SUM(DB23:DM23)</f>
        <v>1233107</v>
      </c>
      <c r="DO23" s="1512">
        <f t="shared" si="106"/>
        <v>55950</v>
      </c>
      <c r="DP23" s="1513">
        <f t="shared" si="106"/>
        <v>69028</v>
      </c>
      <c r="DQ23" s="1513">
        <f t="shared" si="106"/>
        <v>105026</v>
      </c>
      <c r="DR23" s="1513">
        <f t="shared" si="106"/>
        <v>84679</v>
      </c>
      <c r="DS23" s="1513">
        <f t="shared" si="106"/>
        <v>92839</v>
      </c>
      <c r="DT23" s="1513">
        <f t="shared" si="106"/>
        <v>97528</v>
      </c>
      <c r="DU23" s="1513">
        <f t="shared" si="106"/>
        <v>98788</v>
      </c>
      <c r="DV23" s="1513">
        <f t="shared" si="106"/>
        <v>101545</v>
      </c>
      <c r="DW23" s="1513">
        <f t="shared" si="106"/>
        <v>92142</v>
      </c>
      <c r="DX23" s="1513">
        <f t="shared" si="106"/>
        <v>101806</v>
      </c>
      <c r="DY23" s="1513">
        <f t="shared" si="106"/>
        <v>118814</v>
      </c>
      <c r="DZ23" s="1514">
        <f t="shared" si="106"/>
        <v>215872</v>
      </c>
      <c r="EA23" s="1515">
        <f>SUM(DO23:DZ23)</f>
        <v>1234017</v>
      </c>
      <c r="EB23" s="1512">
        <f t="shared" ref="EB23:EM23" si="108">SUM(EB24:EB30)</f>
        <v>71710</v>
      </c>
      <c r="EC23" s="1513">
        <f t="shared" si="108"/>
        <v>78393</v>
      </c>
      <c r="ED23" s="1513">
        <f t="shared" si="108"/>
        <v>83617</v>
      </c>
      <c r="EE23" s="1513">
        <f t="shared" si="108"/>
        <v>98371</v>
      </c>
      <c r="EF23" s="1513">
        <f t="shared" si="108"/>
        <v>91615</v>
      </c>
      <c r="EG23" s="1513">
        <f t="shared" si="108"/>
        <v>107502</v>
      </c>
      <c r="EH23" s="1513">
        <f t="shared" si="108"/>
        <v>112981</v>
      </c>
      <c r="EI23" s="1513">
        <f t="shared" si="108"/>
        <v>95543</v>
      </c>
      <c r="EJ23" s="1513">
        <f t="shared" si="108"/>
        <v>96716</v>
      </c>
      <c r="EK23" s="1513">
        <f t="shared" si="108"/>
        <v>118717</v>
      </c>
      <c r="EL23" s="1513">
        <f t="shared" si="108"/>
        <v>119284</v>
      </c>
      <c r="EM23" s="1514">
        <f t="shared" si="108"/>
        <v>184740</v>
      </c>
      <c r="EN23" s="1515">
        <f>SUM(EB23:EM23)</f>
        <v>1259189</v>
      </c>
      <c r="EO23" s="1512">
        <f t="shared" ref="EO23:EZ23" si="109">SUM(EO24:EO30)</f>
        <v>75649</v>
      </c>
      <c r="EP23" s="1513">
        <f t="shared" si="109"/>
        <v>74048</v>
      </c>
      <c r="EQ23" s="1513">
        <f t="shared" si="109"/>
        <v>86859</v>
      </c>
      <c r="ER23" s="1513">
        <f t="shared" si="109"/>
        <v>85992</v>
      </c>
      <c r="ES23" s="1513">
        <f t="shared" si="109"/>
        <v>95282</v>
      </c>
      <c r="ET23" s="1513">
        <f t="shared" si="109"/>
        <v>131269</v>
      </c>
      <c r="EU23" s="1513">
        <f t="shared" si="109"/>
        <v>119690</v>
      </c>
      <c r="EV23" s="1513">
        <f t="shared" si="109"/>
        <v>147972</v>
      </c>
      <c r="EW23" s="1513">
        <f t="shared" si="109"/>
        <v>114074</v>
      </c>
      <c r="EX23" s="1513">
        <f t="shared" si="109"/>
        <v>110078</v>
      </c>
      <c r="EY23" s="1513">
        <f t="shared" si="109"/>
        <v>125012</v>
      </c>
      <c r="EZ23" s="1514">
        <f t="shared" si="109"/>
        <v>249919</v>
      </c>
      <c r="FA23" s="1515">
        <f>SUM(EO23:EZ23)</f>
        <v>1415844</v>
      </c>
      <c r="FB23" s="1512">
        <f t="shared" ref="FB23:FM23" si="110">SUM(FB24:FB30)</f>
        <v>81615</v>
      </c>
      <c r="FC23" s="1513">
        <f t="shared" si="110"/>
        <v>92334</v>
      </c>
      <c r="FD23" s="1513">
        <f t="shared" si="110"/>
        <v>96473</v>
      </c>
      <c r="FE23" s="1513">
        <f t="shared" si="110"/>
        <v>92315</v>
      </c>
      <c r="FF23" s="1513">
        <f t="shared" si="110"/>
        <v>89851</v>
      </c>
      <c r="FG23" s="1513">
        <f t="shared" si="110"/>
        <v>101411</v>
      </c>
      <c r="FH23" s="1513">
        <f t="shared" si="110"/>
        <v>126120</v>
      </c>
      <c r="FI23" s="1513">
        <f t="shared" si="110"/>
        <v>116429</v>
      </c>
      <c r="FJ23" s="1513">
        <f t="shared" si="110"/>
        <v>119460</v>
      </c>
      <c r="FK23" s="1513">
        <f t="shared" si="110"/>
        <v>140789</v>
      </c>
      <c r="FL23" s="1513">
        <f t="shared" si="110"/>
        <v>150744</v>
      </c>
      <c r="FM23" s="1514">
        <f t="shared" si="110"/>
        <v>315416</v>
      </c>
      <c r="FN23" s="1515">
        <f>SUM(FB23:FM23)</f>
        <v>1522957</v>
      </c>
      <c r="FO23" s="1512">
        <f t="shared" ref="FO23:GM23" si="111">SUM(FO24:FO30)</f>
        <v>95754</v>
      </c>
      <c r="FP23" s="1513">
        <f t="shared" si="111"/>
        <v>109417</v>
      </c>
      <c r="FQ23" s="1513">
        <f t="shared" si="111"/>
        <v>121475</v>
      </c>
      <c r="FR23" s="1513">
        <f t="shared" si="111"/>
        <v>124930</v>
      </c>
      <c r="FS23" s="1513">
        <f t="shared" si="111"/>
        <v>129495</v>
      </c>
      <c r="FT23" s="1513">
        <f t="shared" si="111"/>
        <v>145292</v>
      </c>
      <c r="FU23" s="1513">
        <f t="shared" si="111"/>
        <v>138704</v>
      </c>
      <c r="FV23" s="1513">
        <f t="shared" si="111"/>
        <v>126548</v>
      </c>
      <c r="FW23" s="1513">
        <f t="shared" si="111"/>
        <v>131343</v>
      </c>
      <c r="FX23" s="1513">
        <f t="shared" si="111"/>
        <v>131000</v>
      </c>
      <c r="FY23" s="1513">
        <f t="shared" si="111"/>
        <v>124479</v>
      </c>
      <c r="FZ23" s="1514">
        <f t="shared" si="111"/>
        <v>286321</v>
      </c>
      <c r="GA23" s="1515">
        <f t="shared" si="40"/>
        <v>1664758</v>
      </c>
      <c r="GB23" s="1512">
        <f t="shared" si="111"/>
        <v>105483</v>
      </c>
      <c r="GC23" s="1513">
        <f t="shared" si="111"/>
        <v>105365</v>
      </c>
      <c r="GD23" s="1513">
        <f t="shared" si="111"/>
        <v>135630</v>
      </c>
      <c r="GE23" s="1513">
        <f t="shared" si="111"/>
        <v>138654</v>
      </c>
      <c r="GF23" s="1513">
        <f t="shared" si="111"/>
        <v>155012</v>
      </c>
      <c r="GG23" s="1513">
        <f t="shared" si="111"/>
        <v>171035</v>
      </c>
      <c r="GH23" s="1513">
        <f t="shared" si="111"/>
        <v>172103</v>
      </c>
      <c r="GI23" s="1513">
        <f t="shared" si="111"/>
        <v>165985</v>
      </c>
      <c r="GJ23" s="1513">
        <f t="shared" si="111"/>
        <v>149942</v>
      </c>
      <c r="GK23" s="1513">
        <f t="shared" si="111"/>
        <v>159868</v>
      </c>
      <c r="GL23" s="1513">
        <f t="shared" si="111"/>
        <v>179223</v>
      </c>
      <c r="GM23" s="1514">
        <f t="shared" si="111"/>
        <v>262647</v>
      </c>
      <c r="GN23" s="1515">
        <f>SUM(GB23:GM23)</f>
        <v>1900947</v>
      </c>
      <c r="GO23" s="1512">
        <f t="shared" ref="GO23:GZ23" si="112">SUM(GO24:GO30)</f>
        <v>137086</v>
      </c>
      <c r="GP23" s="1513">
        <f t="shared" si="112"/>
        <v>129521</v>
      </c>
      <c r="GQ23" s="1513">
        <f t="shared" si="112"/>
        <v>143500</v>
      </c>
      <c r="GR23" s="1513">
        <f t="shared" si="112"/>
        <v>134394</v>
      </c>
      <c r="GS23" s="1513">
        <f t="shared" si="112"/>
        <v>147001</v>
      </c>
      <c r="GT23" s="1513">
        <f t="shared" si="112"/>
        <v>151983</v>
      </c>
      <c r="GU23" s="1513">
        <f t="shared" si="112"/>
        <v>247116</v>
      </c>
      <c r="GV23" s="1513">
        <f t="shared" si="112"/>
        <v>166362</v>
      </c>
      <c r="GW23" s="1513">
        <f t="shared" si="112"/>
        <v>165918</v>
      </c>
      <c r="GX23" s="1513">
        <f t="shared" si="112"/>
        <v>161620</v>
      </c>
      <c r="GY23" s="1513">
        <f t="shared" si="112"/>
        <v>202493</v>
      </c>
      <c r="GZ23" s="1514">
        <f t="shared" si="112"/>
        <v>288050</v>
      </c>
      <c r="HA23" s="1515">
        <f t="shared" si="43"/>
        <v>2075044</v>
      </c>
      <c r="HB23" s="1512">
        <f t="shared" ref="HB23:HM23" si="113">SUM(HB24:HB30)</f>
        <v>177373</v>
      </c>
      <c r="HC23" s="1513">
        <f t="shared" si="113"/>
        <v>148762</v>
      </c>
      <c r="HD23" s="1513">
        <f t="shared" si="113"/>
        <v>150629</v>
      </c>
      <c r="HE23" s="1513">
        <f t="shared" si="113"/>
        <v>185365</v>
      </c>
      <c r="HF23" s="1513">
        <f t="shared" si="113"/>
        <v>186041</v>
      </c>
      <c r="HG23" s="1513">
        <f t="shared" si="113"/>
        <v>194958</v>
      </c>
      <c r="HH23" s="1513">
        <f t="shared" si="113"/>
        <v>188069</v>
      </c>
      <c r="HI23" s="1513">
        <f t="shared" si="113"/>
        <v>198163</v>
      </c>
      <c r="HJ23" s="1513">
        <f t="shared" si="113"/>
        <v>176872</v>
      </c>
      <c r="HK23" s="1513">
        <f t="shared" si="113"/>
        <v>202747</v>
      </c>
      <c r="HL23" s="1513">
        <f t="shared" si="113"/>
        <v>263113</v>
      </c>
      <c r="HM23" s="1514">
        <f t="shared" si="113"/>
        <v>330035</v>
      </c>
      <c r="HN23" s="1515">
        <f t="shared" si="45"/>
        <v>2402127</v>
      </c>
      <c r="HO23" s="1512">
        <f>SUM(HO24:HO30)</f>
        <v>168615</v>
      </c>
      <c r="HP23" s="1513">
        <f>SUM(HP24:HP30)</f>
        <v>203606</v>
      </c>
      <c r="HQ23" s="1513">
        <f>SUM(HQ24:HQ30)</f>
        <v>171343</v>
      </c>
      <c r="HR23" s="1513">
        <f>SUM(HR24:HR30)</f>
        <v>224286</v>
      </c>
      <c r="HS23" s="1513">
        <f>SUM(HS24:HS30)</f>
        <v>267758</v>
      </c>
      <c r="HT23" s="1513">
        <f t="shared" ref="HT23:HY23" si="114">SUM(HT24:HT30)</f>
        <v>190312</v>
      </c>
      <c r="HU23" s="1513">
        <f t="shared" si="114"/>
        <v>195036</v>
      </c>
      <c r="HV23" s="1513">
        <f t="shared" si="114"/>
        <v>208904</v>
      </c>
      <c r="HW23" s="1513">
        <f t="shared" si="114"/>
        <v>207303</v>
      </c>
      <c r="HX23" s="1513">
        <f t="shared" si="114"/>
        <v>221162</v>
      </c>
      <c r="HY23" s="1513">
        <f t="shared" si="114"/>
        <v>208942</v>
      </c>
      <c r="HZ23" s="1669">
        <v>314992</v>
      </c>
      <c r="IA23" s="1512">
        <f>SUM(HO23:HZ23)</f>
        <v>2582259</v>
      </c>
      <c r="IB23" s="1516">
        <f t="shared" ref="IB23:IH23" si="115">SUM(IB24:IB30)</f>
        <v>231096</v>
      </c>
      <c r="IC23" s="1209">
        <f t="shared" si="115"/>
        <v>179898</v>
      </c>
      <c r="ID23" s="1209">
        <f t="shared" si="115"/>
        <v>202130</v>
      </c>
      <c r="IE23" s="1209">
        <f t="shared" si="115"/>
        <v>197487</v>
      </c>
      <c r="IF23" s="1209">
        <f t="shared" si="115"/>
        <v>223675</v>
      </c>
      <c r="IG23" s="1209">
        <f t="shared" si="115"/>
        <v>218099</v>
      </c>
      <c r="IH23" s="1209">
        <f t="shared" si="115"/>
        <v>251709</v>
      </c>
      <c r="II23" s="1209">
        <f t="shared" ref="II23" si="116">SUM(II24:II30)</f>
        <v>239184</v>
      </c>
      <c r="IJ23" s="1209"/>
      <c r="IK23" s="1209"/>
      <c r="IL23" s="1209"/>
      <c r="IM23" s="1517"/>
      <c r="IN23" s="1518">
        <f t="shared" si="51"/>
        <v>1743278</v>
      </c>
      <c r="IO23" s="1422"/>
      <c r="IP23" s="1519">
        <f t="shared" si="52"/>
        <v>14.494696128365181</v>
      </c>
      <c r="IQ23" s="1520">
        <f>IFERROR(((IS23/IR23)-1)*100,"")</f>
        <v>6.9587571938694026</v>
      </c>
      <c r="IR23" s="1521">
        <f t="shared" si="54"/>
        <v>1629860</v>
      </c>
      <c r="IS23" s="1522">
        <f t="shared" si="55"/>
        <v>1743278</v>
      </c>
    </row>
    <row r="24" spans="1:255" ht="15" customHeight="1" x14ac:dyDescent="0.2">
      <c r="A24" s="1551" t="s">
        <v>459</v>
      </c>
      <c r="B24" s="379">
        <v>30205</v>
      </c>
      <c r="C24" s="380">
        <v>32987</v>
      </c>
      <c r="D24" s="380">
        <v>28341</v>
      </c>
      <c r="E24" s="380">
        <v>30785</v>
      </c>
      <c r="F24" s="380">
        <v>33119</v>
      </c>
      <c r="G24" s="380">
        <v>40228</v>
      </c>
      <c r="H24" s="380">
        <v>44214</v>
      </c>
      <c r="I24" s="380">
        <v>42751</v>
      </c>
      <c r="J24" s="380">
        <v>35545</v>
      </c>
      <c r="K24" s="380">
        <v>32753</v>
      </c>
      <c r="L24" s="380">
        <v>35157</v>
      </c>
      <c r="M24" s="389">
        <v>40094</v>
      </c>
      <c r="N24" s="381">
        <f t="shared" si="1"/>
        <v>426179</v>
      </c>
      <c r="O24" s="379">
        <v>32686</v>
      </c>
      <c r="P24" s="380">
        <v>40471</v>
      </c>
      <c r="Q24" s="380">
        <v>37501</v>
      </c>
      <c r="R24" s="380">
        <v>37306</v>
      </c>
      <c r="S24" s="380">
        <v>35087</v>
      </c>
      <c r="T24" s="380">
        <v>35210</v>
      </c>
      <c r="U24" s="380">
        <v>42132</v>
      </c>
      <c r="V24" s="380">
        <v>31884</v>
      </c>
      <c r="W24" s="380">
        <v>42550</v>
      </c>
      <c r="X24" s="380">
        <v>32711</v>
      </c>
      <c r="Y24" s="380">
        <v>32953</v>
      </c>
      <c r="Z24" s="389">
        <v>41319</v>
      </c>
      <c r="AA24" s="381">
        <f t="shared" ref="AA24:AA30" si="117">SUM(O24:Z24)</f>
        <v>441810</v>
      </c>
      <c r="AB24" s="379">
        <v>34929</v>
      </c>
      <c r="AC24" s="380">
        <v>35675</v>
      </c>
      <c r="AD24" s="380">
        <v>33101</v>
      </c>
      <c r="AE24" s="380">
        <v>37917</v>
      </c>
      <c r="AF24" s="380">
        <v>37372</v>
      </c>
      <c r="AG24" s="380">
        <v>42121</v>
      </c>
      <c r="AH24" s="380">
        <v>52603</v>
      </c>
      <c r="AI24" s="380">
        <v>44314</v>
      </c>
      <c r="AJ24" s="380">
        <v>41938</v>
      </c>
      <c r="AK24" s="380">
        <v>40410</v>
      </c>
      <c r="AL24" s="380">
        <v>46571</v>
      </c>
      <c r="AM24" s="389">
        <v>62811</v>
      </c>
      <c r="AN24" s="381">
        <f t="shared" ref="AN24:AN30" si="118">SUM(AB24:AM24)</f>
        <v>509762</v>
      </c>
      <c r="AO24" s="379">
        <v>35174</v>
      </c>
      <c r="AP24" s="380">
        <v>38703</v>
      </c>
      <c r="AQ24" s="380">
        <v>36661</v>
      </c>
      <c r="AR24" s="380">
        <v>32812</v>
      </c>
      <c r="AS24" s="380">
        <v>38177</v>
      </c>
      <c r="AT24" s="380">
        <v>39228</v>
      </c>
      <c r="AU24" s="380">
        <v>42232</v>
      </c>
      <c r="AV24" s="380">
        <v>40192</v>
      </c>
      <c r="AW24" s="380">
        <v>52803</v>
      </c>
      <c r="AX24" s="380">
        <v>53825</v>
      </c>
      <c r="AY24" s="380">
        <v>46176</v>
      </c>
      <c r="AZ24" s="389">
        <v>99483</v>
      </c>
      <c r="BA24" s="381">
        <f t="shared" ref="BA24:BA30" si="119">SUM(AO24:AZ24)</f>
        <v>555466</v>
      </c>
      <c r="BB24" s="379">
        <v>43150</v>
      </c>
      <c r="BC24" s="380">
        <v>39281</v>
      </c>
      <c r="BD24" s="380">
        <v>41440</v>
      </c>
      <c r="BE24" s="380">
        <v>37961</v>
      </c>
      <c r="BF24" s="380">
        <v>64376</v>
      </c>
      <c r="BG24" s="380">
        <v>67682</v>
      </c>
      <c r="BH24" s="380">
        <v>49423</v>
      </c>
      <c r="BI24" s="380">
        <v>44621</v>
      </c>
      <c r="BJ24" s="380">
        <v>48296</v>
      </c>
      <c r="BK24" s="380">
        <v>83362</v>
      </c>
      <c r="BL24" s="380">
        <v>78761</v>
      </c>
      <c r="BM24" s="389">
        <v>83146</v>
      </c>
      <c r="BN24" s="381">
        <f t="shared" ref="BN24:BN30" si="120">SUM(BB24:BM24)</f>
        <v>681499</v>
      </c>
      <c r="BO24" s="379">
        <v>40667</v>
      </c>
      <c r="BP24" s="380">
        <v>54029</v>
      </c>
      <c r="BQ24" s="380">
        <v>59371</v>
      </c>
      <c r="BR24" s="380">
        <v>68348</v>
      </c>
      <c r="BS24" s="380">
        <v>60071</v>
      </c>
      <c r="BT24" s="380">
        <v>88376</v>
      </c>
      <c r="BU24" s="380">
        <v>44059</v>
      </c>
      <c r="BV24" s="380">
        <v>49098</v>
      </c>
      <c r="BW24" s="380">
        <v>69179</v>
      </c>
      <c r="BX24" s="380">
        <v>66277</v>
      </c>
      <c r="BY24" s="380">
        <v>83926</v>
      </c>
      <c r="BZ24" s="389">
        <v>88812</v>
      </c>
      <c r="CA24" s="381">
        <f t="shared" ref="CA24:CA30" si="121">SUM(BO24:BZ24)</f>
        <v>772213</v>
      </c>
      <c r="CB24" s="379">
        <v>73534</v>
      </c>
      <c r="CC24" s="380">
        <v>65224</v>
      </c>
      <c r="CD24" s="380">
        <v>49531</v>
      </c>
      <c r="CE24" s="380">
        <v>50975</v>
      </c>
      <c r="CF24" s="380">
        <v>56859</v>
      </c>
      <c r="CG24" s="380">
        <v>114964</v>
      </c>
      <c r="CH24" s="380">
        <v>88362</v>
      </c>
      <c r="CI24" s="380">
        <v>64621</v>
      </c>
      <c r="CJ24" s="380">
        <v>64182</v>
      </c>
      <c r="CK24" s="380">
        <v>54126</v>
      </c>
      <c r="CL24" s="380">
        <v>94416</v>
      </c>
      <c r="CM24" s="389">
        <v>174657</v>
      </c>
      <c r="CN24" s="381">
        <f t="shared" ref="CN24:CN30" si="122">SUM(CB24:CM24)</f>
        <v>951451</v>
      </c>
      <c r="CO24" s="379">
        <v>54357</v>
      </c>
      <c r="CP24" s="380">
        <v>52837</v>
      </c>
      <c r="CQ24" s="380">
        <v>54866</v>
      </c>
      <c r="CR24" s="380">
        <v>73000</v>
      </c>
      <c r="CS24" s="380">
        <v>50138</v>
      </c>
      <c r="CT24" s="380">
        <v>67720</v>
      </c>
      <c r="CU24" s="380">
        <v>77375</v>
      </c>
      <c r="CV24" s="380">
        <v>114446</v>
      </c>
      <c r="CW24" s="380">
        <v>96839</v>
      </c>
      <c r="CX24" s="380">
        <v>104191</v>
      </c>
      <c r="CY24" s="380">
        <v>134591</v>
      </c>
      <c r="CZ24" s="389">
        <v>199599</v>
      </c>
      <c r="DA24" s="381">
        <f t="shared" si="107"/>
        <v>1079959</v>
      </c>
      <c r="DB24" s="379">
        <v>51012</v>
      </c>
      <c r="DC24" s="380">
        <v>60814</v>
      </c>
      <c r="DD24" s="380">
        <v>69299</v>
      </c>
      <c r="DE24" s="380">
        <v>88097</v>
      </c>
      <c r="DF24" s="380">
        <v>71232</v>
      </c>
      <c r="DG24" s="380">
        <v>79905</v>
      </c>
      <c r="DH24" s="380">
        <v>85730</v>
      </c>
      <c r="DI24" s="380">
        <v>85666</v>
      </c>
      <c r="DJ24" s="380">
        <v>79760</v>
      </c>
      <c r="DK24" s="380">
        <v>71049</v>
      </c>
      <c r="DL24" s="380">
        <v>75729</v>
      </c>
      <c r="DM24" s="389">
        <v>175782</v>
      </c>
      <c r="DN24" s="381">
        <f t="shared" ref="DN24:DN30" si="123">SUM(DB24:DM24)</f>
        <v>994075</v>
      </c>
      <c r="DO24" s="379">
        <v>55720</v>
      </c>
      <c r="DP24" s="380">
        <v>66057</v>
      </c>
      <c r="DQ24" s="380">
        <v>98128</v>
      </c>
      <c r="DR24" s="380">
        <v>72580</v>
      </c>
      <c r="DS24" s="380">
        <v>79729</v>
      </c>
      <c r="DT24" s="380">
        <v>85711</v>
      </c>
      <c r="DU24" s="380">
        <v>88604</v>
      </c>
      <c r="DV24" s="380">
        <v>86408</v>
      </c>
      <c r="DW24" s="380">
        <v>81222</v>
      </c>
      <c r="DX24" s="380">
        <v>90263</v>
      </c>
      <c r="DY24" s="380">
        <v>102592</v>
      </c>
      <c r="DZ24" s="389">
        <v>172450</v>
      </c>
      <c r="EA24" s="381">
        <f t="shared" ref="EA24:EA30" si="124">SUM(DO24:DZ24)</f>
        <v>1079464</v>
      </c>
      <c r="EB24" s="379">
        <v>71510</v>
      </c>
      <c r="EC24" s="380">
        <v>75148</v>
      </c>
      <c r="ED24" s="380">
        <v>76092</v>
      </c>
      <c r="EE24" s="380">
        <v>87141</v>
      </c>
      <c r="EF24" s="380">
        <v>80907</v>
      </c>
      <c r="EG24" s="380">
        <v>100234</v>
      </c>
      <c r="EH24" s="380">
        <v>99229</v>
      </c>
      <c r="EI24" s="380">
        <v>86131</v>
      </c>
      <c r="EJ24" s="380">
        <v>83487</v>
      </c>
      <c r="EK24" s="380">
        <v>95804</v>
      </c>
      <c r="EL24" s="380">
        <v>90767</v>
      </c>
      <c r="EM24" s="389">
        <v>151176</v>
      </c>
      <c r="EN24" s="381">
        <f t="shared" ref="EN24:EN30" si="125">SUM(EB24:EM24)</f>
        <v>1097626</v>
      </c>
      <c r="EO24" s="379">
        <v>75590</v>
      </c>
      <c r="EP24" s="380">
        <v>72919</v>
      </c>
      <c r="EQ24" s="380">
        <v>73125</v>
      </c>
      <c r="ER24" s="380">
        <v>75311</v>
      </c>
      <c r="ES24" s="380">
        <v>83500</v>
      </c>
      <c r="ET24" s="380">
        <v>112991</v>
      </c>
      <c r="EU24" s="380">
        <v>97964</v>
      </c>
      <c r="EV24" s="380">
        <v>137977</v>
      </c>
      <c r="EW24" s="380">
        <v>95360</v>
      </c>
      <c r="EX24" s="380">
        <v>97809</v>
      </c>
      <c r="EY24" s="380">
        <v>107715</v>
      </c>
      <c r="EZ24" s="389">
        <v>204234</v>
      </c>
      <c r="FA24" s="381">
        <f t="shared" ref="FA24:FA30" si="126">SUM(EO24:EZ24)</f>
        <v>1234495</v>
      </c>
      <c r="FB24" s="379">
        <v>81412</v>
      </c>
      <c r="FC24" s="380">
        <v>87822</v>
      </c>
      <c r="FD24" s="380">
        <v>91525</v>
      </c>
      <c r="FE24" s="380">
        <v>87596</v>
      </c>
      <c r="FF24" s="380">
        <v>85389</v>
      </c>
      <c r="FG24" s="380">
        <v>96971</v>
      </c>
      <c r="FH24" s="380">
        <v>109130</v>
      </c>
      <c r="FI24" s="380">
        <v>109593</v>
      </c>
      <c r="FJ24" s="380">
        <v>107592</v>
      </c>
      <c r="FK24" s="380">
        <v>112162</v>
      </c>
      <c r="FL24" s="380">
        <v>118326</v>
      </c>
      <c r="FM24" s="389">
        <v>242506</v>
      </c>
      <c r="FN24" s="381">
        <f t="shared" ref="FN24:FN30" si="127">SUM(FB24:FM24)</f>
        <v>1330024</v>
      </c>
      <c r="FO24" s="379">
        <v>80849</v>
      </c>
      <c r="FP24" s="380">
        <v>87789</v>
      </c>
      <c r="FQ24" s="380">
        <v>92204</v>
      </c>
      <c r="FR24" s="380">
        <v>99700</v>
      </c>
      <c r="FS24" s="380">
        <v>105473</v>
      </c>
      <c r="FT24" s="380">
        <v>102517</v>
      </c>
      <c r="FU24" s="380">
        <v>100946</v>
      </c>
      <c r="FV24" s="380">
        <v>96091</v>
      </c>
      <c r="FW24" s="380">
        <v>103612</v>
      </c>
      <c r="FX24" s="380">
        <v>91422</v>
      </c>
      <c r="FY24" s="380">
        <v>93891</v>
      </c>
      <c r="FZ24" s="389">
        <v>188544</v>
      </c>
      <c r="GA24" s="381">
        <f t="shared" si="40"/>
        <v>1243038</v>
      </c>
      <c r="GB24" s="379">
        <v>85139</v>
      </c>
      <c r="GC24" s="380">
        <v>93497</v>
      </c>
      <c r="GD24" s="380">
        <v>114254</v>
      </c>
      <c r="GE24" s="380">
        <v>119001</v>
      </c>
      <c r="GF24" s="380">
        <v>118607</v>
      </c>
      <c r="GG24" s="380">
        <v>122444</v>
      </c>
      <c r="GH24" s="380">
        <v>138069</v>
      </c>
      <c r="GI24" s="380">
        <v>115751</v>
      </c>
      <c r="GJ24" s="380">
        <v>113525</v>
      </c>
      <c r="GK24" s="380">
        <v>116417</v>
      </c>
      <c r="GL24" s="380">
        <v>127454</v>
      </c>
      <c r="GM24" s="389">
        <v>181335</v>
      </c>
      <c r="GN24" s="381">
        <f t="shared" si="41"/>
        <v>1445493</v>
      </c>
      <c r="GO24" s="379">
        <v>133140</v>
      </c>
      <c r="GP24" s="380">
        <v>114724</v>
      </c>
      <c r="GQ24" s="380">
        <v>115894</v>
      </c>
      <c r="GR24" s="380">
        <v>119076</v>
      </c>
      <c r="GS24" s="380">
        <v>125657</v>
      </c>
      <c r="GT24" s="380">
        <v>128205</v>
      </c>
      <c r="GU24" s="380">
        <v>192588</v>
      </c>
      <c r="GV24" s="380">
        <v>131821</v>
      </c>
      <c r="GW24" s="380">
        <v>127572</v>
      </c>
      <c r="GX24" s="380">
        <v>126546</v>
      </c>
      <c r="GY24" s="380">
        <v>153080</v>
      </c>
      <c r="GZ24" s="389">
        <v>200524</v>
      </c>
      <c r="HA24" s="381">
        <f t="shared" si="43"/>
        <v>1668827</v>
      </c>
      <c r="HB24" s="379">
        <v>157852</v>
      </c>
      <c r="HC24" s="380">
        <v>127780</v>
      </c>
      <c r="HD24" s="380">
        <v>126587</v>
      </c>
      <c r="HE24" s="380">
        <v>141550</v>
      </c>
      <c r="HF24" s="380">
        <v>139091</v>
      </c>
      <c r="HG24" s="380">
        <v>137345</v>
      </c>
      <c r="HH24" s="380">
        <v>145056</v>
      </c>
      <c r="HI24" s="380">
        <v>149182</v>
      </c>
      <c r="HJ24" s="380">
        <v>138970</v>
      </c>
      <c r="HK24" s="380">
        <v>149665</v>
      </c>
      <c r="HL24" s="380">
        <v>202609</v>
      </c>
      <c r="HM24" s="389">
        <v>188642</v>
      </c>
      <c r="HN24" s="381">
        <f t="shared" si="45"/>
        <v>1804329</v>
      </c>
      <c r="HO24" s="379">
        <v>161356</v>
      </c>
      <c r="HP24" s="380">
        <v>155102</v>
      </c>
      <c r="HQ24" s="380">
        <v>138681</v>
      </c>
      <c r="HR24" s="380">
        <v>157380</v>
      </c>
      <c r="HS24" s="380">
        <v>185856</v>
      </c>
      <c r="HT24" s="380">
        <v>143037</v>
      </c>
      <c r="HU24" s="380">
        <v>150738</v>
      </c>
      <c r="HV24" s="380">
        <v>152254</v>
      </c>
      <c r="HW24" s="380">
        <v>149779</v>
      </c>
      <c r="HX24" s="380">
        <v>151517</v>
      </c>
      <c r="HY24" s="380">
        <v>153300</v>
      </c>
      <c r="HZ24" s="391">
        <v>199368</v>
      </c>
      <c r="IA24" s="379">
        <f t="shared" si="47"/>
        <v>1898368</v>
      </c>
      <c r="IB24" s="1344">
        <v>214322</v>
      </c>
      <c r="IC24" s="120">
        <v>145591</v>
      </c>
      <c r="ID24" s="120">
        <v>152719</v>
      </c>
      <c r="IE24" s="120">
        <v>154619</v>
      </c>
      <c r="IF24" s="120">
        <v>163581</v>
      </c>
      <c r="IG24" s="120">
        <v>156687</v>
      </c>
      <c r="IH24" s="120">
        <v>174769</v>
      </c>
      <c r="II24" s="120">
        <v>173157</v>
      </c>
      <c r="IJ24" s="120"/>
      <c r="IK24" s="120"/>
      <c r="IL24" s="120"/>
      <c r="IM24" s="1345"/>
      <c r="IN24" s="1346">
        <f t="shared" si="51"/>
        <v>1335445</v>
      </c>
      <c r="IO24" s="120"/>
      <c r="IP24" s="371">
        <f t="shared" si="52"/>
        <v>13.729031749576359</v>
      </c>
      <c r="IQ24" s="348">
        <f t="shared" si="53"/>
        <v>7.3160324139105892</v>
      </c>
      <c r="IR24" s="320">
        <f t="shared" si="54"/>
        <v>1244404</v>
      </c>
      <c r="IS24" s="344">
        <f t="shared" si="55"/>
        <v>1335445</v>
      </c>
    </row>
    <row r="25" spans="1:255" ht="15" customHeight="1" x14ac:dyDescent="0.2">
      <c r="A25" s="1551" t="s">
        <v>401</v>
      </c>
      <c r="B25" s="379">
        <v>0</v>
      </c>
      <c r="C25" s="380">
        <v>0</v>
      </c>
      <c r="D25" s="380">
        <v>0</v>
      </c>
      <c r="E25" s="380">
        <v>0</v>
      </c>
      <c r="F25" s="380">
        <v>0</v>
      </c>
      <c r="G25" s="380">
        <v>0</v>
      </c>
      <c r="H25" s="380">
        <v>29506</v>
      </c>
      <c r="I25" s="380">
        <v>0</v>
      </c>
      <c r="J25" s="380">
        <v>0</v>
      </c>
      <c r="K25" s="380">
        <v>6958</v>
      </c>
      <c r="L25" s="380">
        <v>5529</v>
      </c>
      <c r="M25" s="389">
        <v>69193</v>
      </c>
      <c r="N25" s="381">
        <f t="shared" si="1"/>
        <v>111186</v>
      </c>
      <c r="O25" s="379">
        <v>0</v>
      </c>
      <c r="P25" s="380">
        <v>50</v>
      </c>
      <c r="Q25" s="380">
        <v>0</v>
      </c>
      <c r="R25" s="380">
        <v>23182</v>
      </c>
      <c r="S25" s="380">
        <v>4305</v>
      </c>
      <c r="T25" s="380">
        <v>4327</v>
      </c>
      <c r="U25" s="380">
        <v>8167</v>
      </c>
      <c r="V25" s="380">
        <v>8467</v>
      </c>
      <c r="W25" s="380">
        <v>10028</v>
      </c>
      <c r="X25" s="380">
        <v>11613</v>
      </c>
      <c r="Y25" s="380">
        <v>12061</v>
      </c>
      <c r="Z25" s="389">
        <v>31616</v>
      </c>
      <c r="AA25" s="381">
        <f t="shared" si="117"/>
        <v>113816</v>
      </c>
      <c r="AB25" s="379">
        <v>633</v>
      </c>
      <c r="AC25" s="380">
        <v>15765</v>
      </c>
      <c r="AD25" s="380">
        <v>6021</v>
      </c>
      <c r="AE25" s="380">
        <v>5344</v>
      </c>
      <c r="AF25" s="380">
        <v>13105</v>
      </c>
      <c r="AG25" s="380">
        <v>13183</v>
      </c>
      <c r="AH25" s="380">
        <v>7668</v>
      </c>
      <c r="AI25" s="380">
        <v>8260</v>
      </c>
      <c r="AJ25" s="380">
        <v>3178</v>
      </c>
      <c r="AK25" s="380">
        <v>5512</v>
      </c>
      <c r="AL25" s="380">
        <v>2812</v>
      </c>
      <c r="AM25" s="389">
        <v>7244</v>
      </c>
      <c r="AN25" s="381">
        <f t="shared" si="118"/>
        <v>88725</v>
      </c>
      <c r="AO25" s="379">
        <v>10500</v>
      </c>
      <c r="AP25" s="380">
        <v>2772</v>
      </c>
      <c r="AQ25" s="380">
        <v>14619</v>
      </c>
      <c r="AR25" s="380">
        <v>491</v>
      </c>
      <c r="AS25" s="380">
        <v>8604</v>
      </c>
      <c r="AT25" s="380">
        <v>11021</v>
      </c>
      <c r="AU25" s="380">
        <v>397</v>
      </c>
      <c r="AV25" s="380">
        <v>21782</v>
      </c>
      <c r="AW25" s="380">
        <v>6121</v>
      </c>
      <c r="AX25" s="380">
        <v>967</v>
      </c>
      <c r="AY25" s="380">
        <v>3414</v>
      </c>
      <c r="AZ25" s="389">
        <v>949</v>
      </c>
      <c r="BA25" s="381">
        <f t="shared" si="119"/>
        <v>81637</v>
      </c>
      <c r="BB25" s="379">
        <v>1521</v>
      </c>
      <c r="BC25" s="380">
        <v>1044</v>
      </c>
      <c r="BD25" s="380">
        <v>1460</v>
      </c>
      <c r="BE25" s="380">
        <v>600</v>
      </c>
      <c r="BF25" s="380">
        <v>422</v>
      </c>
      <c r="BG25" s="380">
        <v>1532</v>
      </c>
      <c r="BH25" s="380">
        <v>616</v>
      </c>
      <c r="BI25" s="380">
        <v>1847</v>
      </c>
      <c r="BJ25" s="380">
        <v>6108</v>
      </c>
      <c r="BK25" s="380">
        <v>10264</v>
      </c>
      <c r="BL25" s="380">
        <v>31132</v>
      </c>
      <c r="BM25" s="389">
        <v>-2750</v>
      </c>
      <c r="BN25" s="381">
        <f t="shared" si="120"/>
        <v>53796</v>
      </c>
      <c r="BO25" s="379">
        <v>11</v>
      </c>
      <c r="BP25" s="380">
        <v>5471</v>
      </c>
      <c r="BQ25" s="380">
        <v>3502</v>
      </c>
      <c r="BR25" s="380">
        <v>5958</v>
      </c>
      <c r="BS25" s="380">
        <v>5810</v>
      </c>
      <c r="BT25" s="380">
        <v>4947</v>
      </c>
      <c r="BU25" s="380">
        <v>2996</v>
      </c>
      <c r="BV25" s="380">
        <v>5164</v>
      </c>
      <c r="BW25" s="380">
        <v>4361</v>
      </c>
      <c r="BX25" s="380">
        <v>22623</v>
      </c>
      <c r="BY25" s="380">
        <v>15191</v>
      </c>
      <c r="BZ25" s="389">
        <v>3851</v>
      </c>
      <c r="CA25" s="381">
        <f t="shared" si="121"/>
        <v>79885</v>
      </c>
      <c r="CB25" s="379">
        <v>15548</v>
      </c>
      <c r="CC25" s="380">
        <v>421</v>
      </c>
      <c r="CD25" s="380">
        <v>7207</v>
      </c>
      <c r="CE25" s="380">
        <v>218</v>
      </c>
      <c r="CF25" s="380">
        <v>3955</v>
      </c>
      <c r="CG25" s="380">
        <v>6170</v>
      </c>
      <c r="CH25" s="380">
        <v>474</v>
      </c>
      <c r="CI25" s="380">
        <v>4166</v>
      </c>
      <c r="CJ25" s="380">
        <v>10564</v>
      </c>
      <c r="CK25" s="380">
        <v>2402</v>
      </c>
      <c r="CL25" s="380">
        <v>1146</v>
      </c>
      <c r="CM25" s="389">
        <v>12869</v>
      </c>
      <c r="CN25" s="381">
        <f t="shared" si="122"/>
        <v>65140</v>
      </c>
      <c r="CO25" s="379">
        <v>0</v>
      </c>
      <c r="CP25" s="380">
        <v>0</v>
      </c>
      <c r="CQ25" s="380">
        <v>35</v>
      </c>
      <c r="CR25" s="380">
        <v>44185</v>
      </c>
      <c r="CS25" s="380">
        <v>3394</v>
      </c>
      <c r="CT25" s="380">
        <v>142</v>
      </c>
      <c r="CU25" s="380">
        <v>7412</v>
      </c>
      <c r="CV25" s="380">
        <v>1624</v>
      </c>
      <c r="CW25" s="380">
        <v>3526</v>
      </c>
      <c r="CX25" s="380">
        <v>1004</v>
      </c>
      <c r="CY25" s="380">
        <v>5683</v>
      </c>
      <c r="CZ25" s="389">
        <v>5682</v>
      </c>
      <c r="DA25" s="381">
        <f t="shared" si="107"/>
        <v>72687</v>
      </c>
      <c r="DB25" s="379">
        <v>0</v>
      </c>
      <c r="DC25" s="380">
        <v>627</v>
      </c>
      <c r="DD25" s="380">
        <v>10697</v>
      </c>
      <c r="DE25" s="380">
        <v>3792</v>
      </c>
      <c r="DF25" s="380">
        <v>6202</v>
      </c>
      <c r="DG25" s="380">
        <v>2972</v>
      </c>
      <c r="DH25" s="380">
        <v>11717</v>
      </c>
      <c r="DI25" s="380">
        <v>2143</v>
      </c>
      <c r="DJ25" s="380">
        <v>3797</v>
      </c>
      <c r="DK25" s="380">
        <v>3393</v>
      </c>
      <c r="DL25" s="380">
        <v>5854</v>
      </c>
      <c r="DM25" s="389">
        <v>19022</v>
      </c>
      <c r="DN25" s="381">
        <f t="shared" si="123"/>
        <v>70216</v>
      </c>
      <c r="DO25" s="379">
        <v>0</v>
      </c>
      <c r="DP25" s="380">
        <v>542</v>
      </c>
      <c r="DQ25" s="380">
        <v>2934</v>
      </c>
      <c r="DR25" s="380">
        <v>4329</v>
      </c>
      <c r="DS25" s="380">
        <v>6897</v>
      </c>
      <c r="DT25" s="380">
        <v>4319</v>
      </c>
      <c r="DU25" s="380">
        <v>5570</v>
      </c>
      <c r="DV25" s="380">
        <v>10324</v>
      </c>
      <c r="DW25" s="380">
        <v>5735</v>
      </c>
      <c r="DX25" s="380">
        <v>5484</v>
      </c>
      <c r="DY25" s="380">
        <v>8706</v>
      </c>
      <c r="DZ25" s="389">
        <v>22425</v>
      </c>
      <c r="EA25" s="381">
        <f t="shared" si="124"/>
        <v>77265</v>
      </c>
      <c r="EB25" s="379">
        <v>0</v>
      </c>
      <c r="EC25" s="380">
        <v>1742</v>
      </c>
      <c r="ED25" s="380">
        <v>2272</v>
      </c>
      <c r="EE25" s="380">
        <v>2731</v>
      </c>
      <c r="EF25" s="380">
        <v>3084</v>
      </c>
      <c r="EG25" s="380">
        <v>1540</v>
      </c>
      <c r="EH25" s="380">
        <v>5324</v>
      </c>
      <c r="EI25" s="380">
        <v>3795</v>
      </c>
      <c r="EJ25" s="380">
        <v>4639</v>
      </c>
      <c r="EK25" s="380">
        <v>9098</v>
      </c>
      <c r="EL25" s="380">
        <v>12935</v>
      </c>
      <c r="EM25" s="389">
        <v>4140</v>
      </c>
      <c r="EN25" s="381">
        <f t="shared" si="125"/>
        <v>51300</v>
      </c>
      <c r="EO25" s="379">
        <v>0</v>
      </c>
      <c r="EP25" s="380">
        <v>0</v>
      </c>
      <c r="EQ25" s="380">
        <v>2346</v>
      </c>
      <c r="ER25" s="380">
        <v>625</v>
      </c>
      <c r="ES25" s="380">
        <v>598</v>
      </c>
      <c r="ET25" s="380">
        <v>7298</v>
      </c>
      <c r="EU25" s="380">
        <v>487</v>
      </c>
      <c r="EV25" s="380">
        <v>1610</v>
      </c>
      <c r="EW25" s="380">
        <v>1874</v>
      </c>
      <c r="EX25" s="380">
        <v>2762</v>
      </c>
      <c r="EY25" s="380">
        <v>6198</v>
      </c>
      <c r="EZ25" s="389">
        <v>21219</v>
      </c>
      <c r="FA25" s="381">
        <f t="shared" si="126"/>
        <v>45017</v>
      </c>
      <c r="FB25" s="379">
        <v>0</v>
      </c>
      <c r="FC25" s="380">
        <v>659</v>
      </c>
      <c r="FD25" s="380">
        <v>826</v>
      </c>
      <c r="FE25" s="380">
        <v>224</v>
      </c>
      <c r="FF25" s="380">
        <v>74</v>
      </c>
      <c r="FG25" s="380">
        <v>464</v>
      </c>
      <c r="FH25" s="380">
        <v>8020</v>
      </c>
      <c r="FI25" s="380">
        <v>1552</v>
      </c>
      <c r="FJ25" s="380">
        <v>4419</v>
      </c>
      <c r="FK25" s="380">
        <v>15747</v>
      </c>
      <c r="FL25" s="380">
        <v>18707</v>
      </c>
      <c r="FM25" s="389">
        <v>20442</v>
      </c>
      <c r="FN25" s="381">
        <f t="shared" si="127"/>
        <v>71134</v>
      </c>
      <c r="FO25" s="379">
        <v>10567</v>
      </c>
      <c r="FP25" s="380">
        <v>11374</v>
      </c>
      <c r="FQ25" s="380">
        <v>15410</v>
      </c>
      <c r="FR25" s="380">
        <v>9837</v>
      </c>
      <c r="FS25" s="380">
        <v>13295</v>
      </c>
      <c r="FT25" s="380">
        <v>22951</v>
      </c>
      <c r="FU25" s="380">
        <v>15284</v>
      </c>
      <c r="FV25" s="380">
        <v>12027</v>
      </c>
      <c r="FW25" s="380">
        <v>9309</v>
      </c>
      <c r="FX25" s="380">
        <v>8890</v>
      </c>
      <c r="FY25" s="380">
        <v>11189</v>
      </c>
      <c r="FZ25" s="389">
        <v>22498</v>
      </c>
      <c r="GA25" s="381">
        <f t="shared" si="40"/>
        <v>162631</v>
      </c>
      <c r="GB25" s="379">
        <v>8170</v>
      </c>
      <c r="GC25" s="380">
        <v>3389</v>
      </c>
      <c r="GD25" s="380">
        <v>10639</v>
      </c>
      <c r="GE25" s="380">
        <v>11009</v>
      </c>
      <c r="GF25" s="380">
        <v>27190</v>
      </c>
      <c r="GG25" s="380">
        <v>38977</v>
      </c>
      <c r="GH25" s="380">
        <v>29016</v>
      </c>
      <c r="GI25" s="380">
        <v>27729</v>
      </c>
      <c r="GJ25" s="380">
        <v>29412</v>
      </c>
      <c r="GK25" s="380">
        <v>35912</v>
      </c>
      <c r="GL25" s="380">
        <v>41578</v>
      </c>
      <c r="GM25" s="389">
        <v>54545</v>
      </c>
      <c r="GN25" s="381">
        <f t="shared" si="41"/>
        <v>317566</v>
      </c>
      <c r="GO25" s="379">
        <v>3893</v>
      </c>
      <c r="GP25" s="380">
        <v>13448</v>
      </c>
      <c r="GQ25" s="380">
        <v>23575</v>
      </c>
      <c r="GR25" s="380">
        <v>11741</v>
      </c>
      <c r="GS25" s="380">
        <v>16032</v>
      </c>
      <c r="GT25" s="380">
        <v>16975</v>
      </c>
      <c r="GU25" s="380">
        <v>48257</v>
      </c>
      <c r="GV25" s="380">
        <v>24655</v>
      </c>
      <c r="GW25" s="380">
        <v>31474</v>
      </c>
      <c r="GX25" s="380">
        <v>27076</v>
      </c>
      <c r="GY25" s="380">
        <v>41116</v>
      </c>
      <c r="GZ25" s="389">
        <v>67406</v>
      </c>
      <c r="HA25" s="381">
        <f t="shared" si="43"/>
        <v>325648</v>
      </c>
      <c r="HB25" s="379">
        <v>19371</v>
      </c>
      <c r="HC25" s="380">
        <v>20332</v>
      </c>
      <c r="HD25" s="380">
        <v>22005</v>
      </c>
      <c r="HE25" s="380">
        <v>38756</v>
      </c>
      <c r="HF25" s="380">
        <v>39162</v>
      </c>
      <c r="HG25" s="380">
        <v>49552</v>
      </c>
      <c r="HH25" s="380">
        <v>35311</v>
      </c>
      <c r="HI25" s="380">
        <v>39433</v>
      </c>
      <c r="HJ25" s="380">
        <v>29674</v>
      </c>
      <c r="HK25" s="380">
        <v>45580</v>
      </c>
      <c r="HL25" s="380">
        <v>49974</v>
      </c>
      <c r="HM25" s="389">
        <v>127900</v>
      </c>
      <c r="HN25" s="381">
        <f t="shared" si="45"/>
        <v>517050</v>
      </c>
      <c r="HO25" s="379">
        <v>7118</v>
      </c>
      <c r="HP25" s="380">
        <v>47575</v>
      </c>
      <c r="HQ25" s="380">
        <v>29396</v>
      </c>
      <c r="HR25" s="380">
        <v>61120</v>
      </c>
      <c r="HS25" s="380">
        <v>73432</v>
      </c>
      <c r="HT25" s="380">
        <v>40475</v>
      </c>
      <c r="HU25" s="380">
        <v>37361</v>
      </c>
      <c r="HV25" s="380">
        <v>45068</v>
      </c>
      <c r="HW25" s="380">
        <v>49949</v>
      </c>
      <c r="HX25" s="380">
        <v>60950</v>
      </c>
      <c r="HY25" s="380">
        <v>49212</v>
      </c>
      <c r="HZ25" s="391">
        <v>97380</v>
      </c>
      <c r="IA25" s="379">
        <f t="shared" si="47"/>
        <v>599036</v>
      </c>
      <c r="IB25" s="1344">
        <v>16715</v>
      </c>
      <c r="IC25" s="120">
        <v>30070</v>
      </c>
      <c r="ID25" s="120">
        <v>40932</v>
      </c>
      <c r="IE25" s="120">
        <v>35380</v>
      </c>
      <c r="IF25" s="120">
        <v>46911</v>
      </c>
      <c r="IG25" s="120">
        <v>50715</v>
      </c>
      <c r="IH25" s="120">
        <v>68958</v>
      </c>
      <c r="II25" s="120">
        <v>59633</v>
      </c>
      <c r="IJ25" s="120"/>
      <c r="IK25" s="120"/>
      <c r="IL25" s="120"/>
      <c r="IM25" s="1345"/>
      <c r="IN25" s="1346">
        <f t="shared" si="51"/>
        <v>349314</v>
      </c>
      <c r="IO25" s="120"/>
      <c r="IP25" s="371">
        <f t="shared" si="52"/>
        <v>32.317830833407292</v>
      </c>
      <c r="IQ25" s="348">
        <f t="shared" si="53"/>
        <v>2.2746636607182014</v>
      </c>
      <c r="IR25" s="320">
        <f t="shared" si="54"/>
        <v>341545</v>
      </c>
      <c r="IS25" s="344">
        <f t="shared" si="55"/>
        <v>349314</v>
      </c>
    </row>
    <row r="26" spans="1:255" ht="15" customHeight="1" x14ac:dyDescent="0.2">
      <c r="A26" s="1551" t="s">
        <v>402</v>
      </c>
      <c r="B26" s="382">
        <v>921</v>
      </c>
      <c r="C26" s="383">
        <v>823</v>
      </c>
      <c r="D26" s="383">
        <v>959</v>
      </c>
      <c r="E26" s="383">
        <v>921</v>
      </c>
      <c r="F26" s="383">
        <v>1189</v>
      </c>
      <c r="G26" s="383">
        <v>988</v>
      </c>
      <c r="H26" s="383">
        <v>1004</v>
      </c>
      <c r="I26" s="383">
        <v>908</v>
      </c>
      <c r="J26" s="383">
        <v>933</v>
      </c>
      <c r="K26" s="383">
        <v>1230</v>
      </c>
      <c r="L26" s="383">
        <v>1026</v>
      </c>
      <c r="M26" s="390">
        <v>1319</v>
      </c>
      <c r="N26" s="384">
        <f t="shared" si="1"/>
        <v>12221</v>
      </c>
      <c r="O26" s="382">
        <v>707</v>
      </c>
      <c r="P26" s="383">
        <v>1208</v>
      </c>
      <c r="Q26" s="383">
        <v>1053</v>
      </c>
      <c r="R26" s="383">
        <v>1179</v>
      </c>
      <c r="S26" s="383">
        <v>1116</v>
      </c>
      <c r="T26" s="383">
        <v>1235</v>
      </c>
      <c r="U26" s="383">
        <v>1205</v>
      </c>
      <c r="V26" s="383">
        <v>1276</v>
      </c>
      <c r="W26" s="383">
        <v>1171</v>
      </c>
      <c r="X26" s="383">
        <v>1598</v>
      </c>
      <c r="Y26" s="383">
        <v>1560</v>
      </c>
      <c r="Z26" s="390">
        <v>2202</v>
      </c>
      <c r="AA26" s="384">
        <f t="shared" si="117"/>
        <v>15510</v>
      </c>
      <c r="AB26" s="382">
        <v>781</v>
      </c>
      <c r="AC26" s="383">
        <v>754</v>
      </c>
      <c r="AD26" s="383">
        <v>943</v>
      </c>
      <c r="AE26" s="383">
        <v>880</v>
      </c>
      <c r="AF26" s="383">
        <v>1041</v>
      </c>
      <c r="AG26" s="383">
        <v>1140</v>
      </c>
      <c r="AH26" s="383">
        <v>975</v>
      </c>
      <c r="AI26" s="383">
        <v>1051</v>
      </c>
      <c r="AJ26" s="383">
        <v>1179</v>
      </c>
      <c r="AK26" s="383">
        <v>1316</v>
      </c>
      <c r="AL26" s="383">
        <v>1901</v>
      </c>
      <c r="AM26" s="390">
        <v>1608</v>
      </c>
      <c r="AN26" s="384">
        <f t="shared" si="118"/>
        <v>13569</v>
      </c>
      <c r="AO26" s="382">
        <v>325</v>
      </c>
      <c r="AP26" s="383">
        <v>899</v>
      </c>
      <c r="AQ26" s="383">
        <v>858</v>
      </c>
      <c r="AR26" s="383">
        <v>473</v>
      </c>
      <c r="AS26" s="383">
        <v>908</v>
      </c>
      <c r="AT26" s="383">
        <v>1293</v>
      </c>
      <c r="AU26" s="383">
        <v>1179</v>
      </c>
      <c r="AV26" s="383">
        <v>872</v>
      </c>
      <c r="AW26" s="383">
        <v>1215</v>
      </c>
      <c r="AX26" s="383">
        <v>769</v>
      </c>
      <c r="AY26" s="383">
        <v>1153</v>
      </c>
      <c r="AZ26" s="390">
        <v>1328</v>
      </c>
      <c r="BA26" s="384">
        <f t="shared" si="119"/>
        <v>11272</v>
      </c>
      <c r="BB26" s="382">
        <v>285</v>
      </c>
      <c r="BC26" s="383">
        <v>1451</v>
      </c>
      <c r="BD26" s="383">
        <v>1105</v>
      </c>
      <c r="BE26" s="383">
        <v>772</v>
      </c>
      <c r="BF26" s="383">
        <v>757</v>
      </c>
      <c r="BG26" s="383">
        <v>1029</v>
      </c>
      <c r="BH26" s="383">
        <v>1017</v>
      </c>
      <c r="BI26" s="383">
        <v>1909</v>
      </c>
      <c r="BJ26" s="383">
        <v>1059</v>
      </c>
      <c r="BK26" s="383">
        <v>1614</v>
      </c>
      <c r="BL26" s="383">
        <v>1306</v>
      </c>
      <c r="BM26" s="390">
        <v>2680</v>
      </c>
      <c r="BN26" s="384">
        <f t="shared" si="120"/>
        <v>14984</v>
      </c>
      <c r="BO26" s="382">
        <v>275</v>
      </c>
      <c r="BP26" s="383">
        <v>1162</v>
      </c>
      <c r="BQ26" s="383">
        <v>1254</v>
      </c>
      <c r="BR26" s="383">
        <v>1341</v>
      </c>
      <c r="BS26" s="383">
        <v>1397</v>
      </c>
      <c r="BT26" s="383">
        <v>1323</v>
      </c>
      <c r="BU26" s="383">
        <v>1236</v>
      </c>
      <c r="BV26" s="383">
        <v>1471</v>
      </c>
      <c r="BW26" s="383">
        <v>1120</v>
      </c>
      <c r="BX26" s="383">
        <v>1808</v>
      </c>
      <c r="BY26" s="383">
        <v>2304</v>
      </c>
      <c r="BZ26" s="390">
        <v>3285</v>
      </c>
      <c r="CA26" s="384">
        <f t="shared" si="121"/>
        <v>17976</v>
      </c>
      <c r="CB26" s="382">
        <v>209</v>
      </c>
      <c r="CC26" s="383">
        <v>1249</v>
      </c>
      <c r="CD26" s="383">
        <v>1947</v>
      </c>
      <c r="CE26" s="383">
        <v>1539</v>
      </c>
      <c r="CF26" s="383">
        <v>2301</v>
      </c>
      <c r="CG26" s="383">
        <v>1411</v>
      </c>
      <c r="CH26" s="383">
        <v>1744</v>
      </c>
      <c r="CI26" s="383">
        <v>1517</v>
      </c>
      <c r="CJ26" s="383">
        <v>2951</v>
      </c>
      <c r="CK26" s="383">
        <v>1424</v>
      </c>
      <c r="CL26" s="383">
        <v>3001</v>
      </c>
      <c r="CM26" s="390">
        <v>4971</v>
      </c>
      <c r="CN26" s="384">
        <f t="shared" si="122"/>
        <v>24264</v>
      </c>
      <c r="CO26" s="382">
        <v>343</v>
      </c>
      <c r="CP26" s="383">
        <v>814</v>
      </c>
      <c r="CQ26" s="383">
        <v>1362</v>
      </c>
      <c r="CR26" s="383">
        <v>1491</v>
      </c>
      <c r="CS26" s="383">
        <v>1324</v>
      </c>
      <c r="CT26" s="383">
        <v>2818</v>
      </c>
      <c r="CU26" s="383">
        <v>1596</v>
      </c>
      <c r="CV26" s="383">
        <v>2272</v>
      </c>
      <c r="CW26" s="383">
        <v>2637</v>
      </c>
      <c r="CX26" s="383">
        <v>3202</v>
      </c>
      <c r="CY26" s="383">
        <v>3643</v>
      </c>
      <c r="CZ26" s="390">
        <v>4008</v>
      </c>
      <c r="DA26" s="384">
        <f t="shared" si="107"/>
        <v>25510</v>
      </c>
      <c r="DB26" s="382">
        <v>220</v>
      </c>
      <c r="DC26" s="383">
        <v>720</v>
      </c>
      <c r="DD26" s="383">
        <v>3027</v>
      </c>
      <c r="DE26" s="383">
        <v>1733</v>
      </c>
      <c r="DF26" s="383">
        <v>3005</v>
      </c>
      <c r="DG26" s="383">
        <v>1613</v>
      </c>
      <c r="DH26" s="383">
        <v>2130</v>
      </c>
      <c r="DI26" s="383">
        <v>1797</v>
      </c>
      <c r="DJ26" s="383">
        <v>2823</v>
      </c>
      <c r="DK26" s="383">
        <v>3491</v>
      </c>
      <c r="DL26" s="383">
        <v>4633</v>
      </c>
      <c r="DM26" s="390">
        <v>9641</v>
      </c>
      <c r="DN26" s="384">
        <f t="shared" si="123"/>
        <v>34833</v>
      </c>
      <c r="DO26" s="382">
        <v>230</v>
      </c>
      <c r="DP26" s="383">
        <v>828</v>
      </c>
      <c r="DQ26" s="383">
        <v>1317</v>
      </c>
      <c r="DR26" s="383">
        <v>1113</v>
      </c>
      <c r="DS26" s="383">
        <v>1305</v>
      </c>
      <c r="DT26" s="383">
        <v>1141</v>
      </c>
      <c r="DU26" s="383">
        <v>1094</v>
      </c>
      <c r="DV26" s="383">
        <v>964</v>
      </c>
      <c r="DW26" s="383">
        <v>1253</v>
      </c>
      <c r="DX26" s="383">
        <v>1240</v>
      </c>
      <c r="DY26" s="383">
        <v>1685</v>
      </c>
      <c r="DZ26" s="390">
        <v>4429</v>
      </c>
      <c r="EA26" s="384">
        <f t="shared" si="124"/>
        <v>16599</v>
      </c>
      <c r="EB26" s="382">
        <v>200</v>
      </c>
      <c r="EC26" s="383">
        <v>798</v>
      </c>
      <c r="ED26" s="383">
        <v>1902</v>
      </c>
      <c r="EE26" s="383">
        <v>1690</v>
      </c>
      <c r="EF26" s="383">
        <v>1627</v>
      </c>
      <c r="EG26" s="383">
        <v>1477</v>
      </c>
      <c r="EH26" s="383">
        <v>2021</v>
      </c>
      <c r="EI26" s="383">
        <v>1718</v>
      </c>
      <c r="EJ26" s="383">
        <v>1564</v>
      </c>
      <c r="EK26" s="383">
        <v>2579</v>
      </c>
      <c r="EL26" s="383">
        <v>2077</v>
      </c>
      <c r="EM26" s="390">
        <v>2644</v>
      </c>
      <c r="EN26" s="384">
        <f t="shared" si="125"/>
        <v>20297</v>
      </c>
      <c r="EO26" s="382">
        <v>59</v>
      </c>
      <c r="EP26" s="383">
        <v>491</v>
      </c>
      <c r="EQ26" s="383">
        <v>1412</v>
      </c>
      <c r="ER26" s="383">
        <v>1076</v>
      </c>
      <c r="ES26" s="383">
        <v>1255</v>
      </c>
      <c r="ET26" s="383">
        <v>1436</v>
      </c>
      <c r="EU26" s="383">
        <v>956</v>
      </c>
      <c r="EV26" s="383">
        <v>1272</v>
      </c>
      <c r="EW26" s="383">
        <v>1353</v>
      </c>
      <c r="EX26" s="383">
        <v>2175</v>
      </c>
      <c r="EY26" s="383">
        <v>1735</v>
      </c>
      <c r="EZ26" s="390">
        <v>4091</v>
      </c>
      <c r="FA26" s="384">
        <f t="shared" si="126"/>
        <v>17311</v>
      </c>
      <c r="FB26" s="382">
        <v>197</v>
      </c>
      <c r="FC26" s="383">
        <v>1182</v>
      </c>
      <c r="FD26" s="383">
        <v>1347</v>
      </c>
      <c r="FE26" s="383">
        <v>1419</v>
      </c>
      <c r="FF26" s="383">
        <v>196</v>
      </c>
      <c r="FG26" s="383">
        <v>1054</v>
      </c>
      <c r="FH26" s="383">
        <v>3629</v>
      </c>
      <c r="FI26" s="383">
        <v>1318</v>
      </c>
      <c r="FJ26" s="383">
        <v>1422</v>
      </c>
      <c r="FK26" s="383">
        <v>2576</v>
      </c>
      <c r="FL26" s="383">
        <v>2096</v>
      </c>
      <c r="FM26" s="390">
        <v>4856</v>
      </c>
      <c r="FN26" s="384">
        <f t="shared" si="127"/>
        <v>21292</v>
      </c>
      <c r="FO26" s="382">
        <v>112</v>
      </c>
      <c r="FP26" s="383">
        <v>963</v>
      </c>
      <c r="FQ26" s="383">
        <v>1392</v>
      </c>
      <c r="FR26" s="383">
        <v>1846</v>
      </c>
      <c r="FS26" s="383">
        <v>1184</v>
      </c>
      <c r="FT26" s="383">
        <v>1465</v>
      </c>
      <c r="FU26" s="383">
        <v>6371</v>
      </c>
      <c r="FV26" s="383">
        <v>1505</v>
      </c>
      <c r="FW26" s="383">
        <v>1703</v>
      </c>
      <c r="FX26" s="383">
        <v>3051</v>
      </c>
      <c r="FY26" s="383">
        <v>2930</v>
      </c>
      <c r="FZ26" s="390">
        <v>7376</v>
      </c>
      <c r="GA26" s="384">
        <f t="shared" si="40"/>
        <v>29898</v>
      </c>
      <c r="GB26" s="382">
        <v>58</v>
      </c>
      <c r="GC26" s="383">
        <v>929</v>
      </c>
      <c r="GD26" s="383">
        <v>2143</v>
      </c>
      <c r="GE26" s="383">
        <v>1828</v>
      </c>
      <c r="GF26" s="383">
        <v>2030</v>
      </c>
      <c r="GG26" s="383">
        <v>2749</v>
      </c>
      <c r="GH26" s="383">
        <v>2057</v>
      </c>
      <c r="GI26" s="383">
        <v>2731</v>
      </c>
      <c r="GJ26" s="383">
        <v>3013</v>
      </c>
      <c r="GK26" s="383">
        <v>2275</v>
      </c>
      <c r="GL26" s="383">
        <v>3581</v>
      </c>
      <c r="GM26" s="390">
        <v>6206</v>
      </c>
      <c r="GN26" s="384">
        <f t="shared" si="41"/>
        <v>29600</v>
      </c>
      <c r="GO26" s="382">
        <v>53</v>
      </c>
      <c r="GP26" s="383">
        <v>726</v>
      </c>
      <c r="GQ26" s="383">
        <v>1160</v>
      </c>
      <c r="GR26" s="383">
        <v>737</v>
      </c>
      <c r="GS26" s="383">
        <v>834</v>
      </c>
      <c r="GT26" s="383">
        <v>1150</v>
      </c>
      <c r="GU26" s="383">
        <v>1692</v>
      </c>
      <c r="GV26" s="383">
        <v>2010</v>
      </c>
      <c r="GW26" s="383">
        <v>1697</v>
      </c>
      <c r="GX26" s="383">
        <v>1665</v>
      </c>
      <c r="GY26" s="383">
        <v>2818</v>
      </c>
      <c r="GZ26" s="390">
        <v>4572</v>
      </c>
      <c r="HA26" s="384">
        <f t="shared" si="43"/>
        <v>19114</v>
      </c>
      <c r="HB26" s="382">
        <v>150</v>
      </c>
      <c r="HC26" s="383">
        <v>500</v>
      </c>
      <c r="HD26" s="383">
        <v>1130</v>
      </c>
      <c r="HE26" s="383">
        <v>1289</v>
      </c>
      <c r="HF26" s="383">
        <v>1461</v>
      </c>
      <c r="HG26" s="383">
        <v>1290</v>
      </c>
      <c r="HH26" s="383">
        <v>1537</v>
      </c>
      <c r="HI26" s="383">
        <v>2304</v>
      </c>
      <c r="HJ26" s="383">
        <v>2134</v>
      </c>
      <c r="HK26" s="383">
        <v>1274</v>
      </c>
      <c r="HL26" s="383">
        <v>1275</v>
      </c>
      <c r="HM26" s="390">
        <v>3697</v>
      </c>
      <c r="HN26" s="384">
        <f t="shared" si="45"/>
        <v>18041</v>
      </c>
      <c r="HO26" s="382">
        <v>141</v>
      </c>
      <c r="HP26" s="383">
        <v>832</v>
      </c>
      <c r="HQ26" s="383">
        <v>933</v>
      </c>
      <c r="HR26" s="383">
        <v>1728</v>
      </c>
      <c r="HS26" s="383">
        <v>2288</v>
      </c>
      <c r="HT26" s="383">
        <v>1742</v>
      </c>
      <c r="HU26" s="383">
        <v>2443</v>
      </c>
      <c r="HV26" s="383">
        <v>2986</v>
      </c>
      <c r="HW26" s="383">
        <v>3046</v>
      </c>
      <c r="HX26" s="383">
        <v>3479</v>
      </c>
      <c r="HY26" s="383">
        <v>3841</v>
      </c>
      <c r="HZ26" s="1671">
        <v>7966</v>
      </c>
      <c r="IA26" s="382">
        <f>SUM(HO26:HZ26)</f>
        <v>31425</v>
      </c>
      <c r="IB26" s="1344">
        <v>34</v>
      </c>
      <c r="IC26" s="120">
        <v>1214</v>
      </c>
      <c r="ID26" s="120">
        <v>1429</v>
      </c>
      <c r="IE26" s="120">
        <v>1779</v>
      </c>
      <c r="IF26" s="120">
        <v>2358</v>
      </c>
      <c r="IG26" s="120">
        <v>2174</v>
      </c>
      <c r="IH26" s="120">
        <v>1978</v>
      </c>
      <c r="II26" s="120">
        <v>2325</v>
      </c>
      <c r="IJ26" s="120"/>
      <c r="IK26" s="120"/>
      <c r="IL26" s="120"/>
      <c r="IM26" s="1345"/>
      <c r="IN26" s="1346">
        <f t="shared" si="51"/>
        <v>13291</v>
      </c>
      <c r="IO26" s="120"/>
      <c r="IP26" s="371">
        <f t="shared" si="52"/>
        <v>-22.136637642330882</v>
      </c>
      <c r="IQ26" s="348">
        <f t="shared" si="53"/>
        <v>1.5122584587184074</v>
      </c>
      <c r="IR26" s="320">
        <f t="shared" si="54"/>
        <v>13093</v>
      </c>
      <c r="IS26" s="344">
        <f t="shared" si="55"/>
        <v>13291</v>
      </c>
    </row>
    <row r="27" spans="1:255" ht="15" customHeight="1" x14ac:dyDescent="0.2">
      <c r="A27" s="1551" t="s">
        <v>328</v>
      </c>
      <c r="B27" s="379">
        <v>0</v>
      </c>
      <c r="C27" s="380">
        <v>2916</v>
      </c>
      <c r="D27" s="380">
        <v>3194</v>
      </c>
      <c r="E27" s="380">
        <v>1836</v>
      </c>
      <c r="F27" s="380">
        <v>1003</v>
      </c>
      <c r="G27" s="380">
        <v>2003</v>
      </c>
      <c r="H27" s="380">
        <v>2977</v>
      </c>
      <c r="I27" s="380">
        <v>4716</v>
      </c>
      <c r="J27" s="380">
        <v>1874</v>
      </c>
      <c r="K27" s="380">
        <v>2958</v>
      </c>
      <c r="L27" s="380">
        <v>4076</v>
      </c>
      <c r="M27" s="389">
        <v>2438</v>
      </c>
      <c r="N27" s="381">
        <f t="shared" si="1"/>
        <v>29991</v>
      </c>
      <c r="O27" s="379">
        <v>61</v>
      </c>
      <c r="P27" s="380">
        <v>2179</v>
      </c>
      <c r="Q27" s="380">
        <v>3161</v>
      </c>
      <c r="R27" s="380">
        <v>1880</v>
      </c>
      <c r="S27" s="380">
        <v>1870</v>
      </c>
      <c r="T27" s="380">
        <v>1975</v>
      </c>
      <c r="U27" s="380">
        <v>2091</v>
      </c>
      <c r="V27" s="380">
        <v>2299</v>
      </c>
      <c r="W27" s="380">
        <v>1382</v>
      </c>
      <c r="X27" s="380">
        <v>3647</v>
      </c>
      <c r="Y27" s="380">
        <v>1177</v>
      </c>
      <c r="Z27" s="389">
        <v>1386</v>
      </c>
      <c r="AA27" s="381">
        <f t="shared" si="117"/>
        <v>23108</v>
      </c>
      <c r="AB27" s="379">
        <v>0</v>
      </c>
      <c r="AC27" s="380">
        <v>1088</v>
      </c>
      <c r="AD27" s="380">
        <v>1259</v>
      </c>
      <c r="AE27" s="380">
        <v>1843</v>
      </c>
      <c r="AF27" s="380">
        <v>2261</v>
      </c>
      <c r="AG27" s="380">
        <v>2161</v>
      </c>
      <c r="AH27" s="380">
        <v>1120</v>
      </c>
      <c r="AI27" s="380">
        <v>1579</v>
      </c>
      <c r="AJ27" s="380">
        <v>2235</v>
      </c>
      <c r="AK27" s="380">
        <v>1184</v>
      </c>
      <c r="AL27" s="380">
        <v>1416</v>
      </c>
      <c r="AM27" s="389">
        <v>2481</v>
      </c>
      <c r="AN27" s="381">
        <f t="shared" si="118"/>
        <v>18627</v>
      </c>
      <c r="AO27" s="379">
        <v>0</v>
      </c>
      <c r="AP27" s="380">
        <v>99</v>
      </c>
      <c r="AQ27" s="380">
        <v>1677</v>
      </c>
      <c r="AR27" s="380">
        <v>642</v>
      </c>
      <c r="AS27" s="380">
        <v>662</v>
      </c>
      <c r="AT27" s="380">
        <v>1846</v>
      </c>
      <c r="AU27" s="380">
        <v>1028</v>
      </c>
      <c r="AV27" s="380">
        <v>744</v>
      </c>
      <c r="AW27" s="380">
        <v>3441</v>
      </c>
      <c r="AX27" s="380">
        <v>1565</v>
      </c>
      <c r="AY27" s="380">
        <v>1492</v>
      </c>
      <c r="AZ27" s="389">
        <v>1455</v>
      </c>
      <c r="BA27" s="381">
        <f t="shared" si="119"/>
        <v>14651</v>
      </c>
      <c r="BB27" s="379">
        <v>91</v>
      </c>
      <c r="BC27" s="380">
        <v>41</v>
      </c>
      <c r="BD27" s="380">
        <v>2991</v>
      </c>
      <c r="BE27" s="380">
        <v>1986</v>
      </c>
      <c r="BF27" s="380">
        <v>1258</v>
      </c>
      <c r="BG27" s="380">
        <v>912</v>
      </c>
      <c r="BH27" s="380">
        <v>469</v>
      </c>
      <c r="BI27" s="380">
        <v>2704</v>
      </c>
      <c r="BJ27" s="380">
        <v>976</v>
      </c>
      <c r="BK27" s="380">
        <v>2059</v>
      </c>
      <c r="BL27" s="380">
        <v>2376</v>
      </c>
      <c r="BM27" s="389">
        <v>10331</v>
      </c>
      <c r="BN27" s="381">
        <f t="shared" si="120"/>
        <v>26194</v>
      </c>
      <c r="BO27" s="379">
        <v>1221</v>
      </c>
      <c r="BP27" s="380">
        <v>37</v>
      </c>
      <c r="BQ27" s="380">
        <v>1362</v>
      </c>
      <c r="BR27" s="380">
        <v>2431</v>
      </c>
      <c r="BS27" s="380">
        <v>2075</v>
      </c>
      <c r="BT27" s="380">
        <v>3796</v>
      </c>
      <c r="BU27" s="380">
        <v>2074</v>
      </c>
      <c r="BV27" s="380">
        <v>3032</v>
      </c>
      <c r="BW27" s="380">
        <v>4434</v>
      </c>
      <c r="BX27" s="380">
        <v>1145</v>
      </c>
      <c r="BY27" s="380">
        <v>7680</v>
      </c>
      <c r="BZ27" s="389">
        <v>11115</v>
      </c>
      <c r="CA27" s="381">
        <f t="shared" si="121"/>
        <v>40402</v>
      </c>
      <c r="CB27" s="379">
        <v>125</v>
      </c>
      <c r="CC27" s="380">
        <v>2070</v>
      </c>
      <c r="CD27" s="380">
        <v>1788</v>
      </c>
      <c r="CE27" s="380">
        <v>2864</v>
      </c>
      <c r="CF27" s="380">
        <v>4518</v>
      </c>
      <c r="CG27" s="380">
        <v>5816</v>
      </c>
      <c r="CH27" s="380">
        <v>3468</v>
      </c>
      <c r="CI27" s="380">
        <v>3144</v>
      </c>
      <c r="CJ27" s="380">
        <v>6951</v>
      </c>
      <c r="CK27" s="380">
        <v>4145</v>
      </c>
      <c r="CL27" s="380">
        <v>7154</v>
      </c>
      <c r="CM27" s="389">
        <v>9235</v>
      </c>
      <c r="CN27" s="381">
        <f t="shared" si="122"/>
        <v>51278</v>
      </c>
      <c r="CO27" s="379">
        <v>98</v>
      </c>
      <c r="CP27" s="380">
        <v>2331</v>
      </c>
      <c r="CQ27" s="380">
        <v>3570</v>
      </c>
      <c r="CR27" s="380">
        <v>5053</v>
      </c>
      <c r="CS27" s="380">
        <v>3880</v>
      </c>
      <c r="CT27" s="380">
        <v>6074</v>
      </c>
      <c r="CU27" s="380">
        <v>5234</v>
      </c>
      <c r="CV27" s="380">
        <v>6249</v>
      </c>
      <c r="CW27" s="380">
        <v>5573</v>
      </c>
      <c r="CX27" s="380">
        <v>5581</v>
      </c>
      <c r="CY27" s="380">
        <v>14301</v>
      </c>
      <c r="CZ27" s="389">
        <v>11401</v>
      </c>
      <c r="DA27" s="381">
        <f t="shared" si="107"/>
        <v>69345</v>
      </c>
      <c r="DB27" s="379">
        <v>0</v>
      </c>
      <c r="DC27" s="380">
        <v>431</v>
      </c>
      <c r="DD27" s="380">
        <v>5153</v>
      </c>
      <c r="DE27" s="380">
        <v>5327</v>
      </c>
      <c r="DF27" s="380">
        <v>3738</v>
      </c>
      <c r="DG27" s="380">
        <v>2490</v>
      </c>
      <c r="DH27" s="380">
        <v>1738</v>
      </c>
      <c r="DI27" s="380">
        <v>3636</v>
      </c>
      <c r="DJ27" s="380">
        <v>3907</v>
      </c>
      <c r="DK27" s="380">
        <v>2230</v>
      </c>
      <c r="DL27" s="380">
        <v>2869</v>
      </c>
      <c r="DM27" s="389">
        <v>7264</v>
      </c>
      <c r="DN27" s="381">
        <f t="shared" si="123"/>
        <v>38783</v>
      </c>
      <c r="DO27" s="379">
        <v>0</v>
      </c>
      <c r="DP27" s="380">
        <v>474</v>
      </c>
      <c r="DQ27" s="380">
        <v>1435</v>
      </c>
      <c r="DR27" s="380">
        <v>2734</v>
      </c>
      <c r="DS27" s="380">
        <v>3362</v>
      </c>
      <c r="DT27" s="380">
        <v>4108</v>
      </c>
      <c r="DU27" s="380">
        <v>2270</v>
      </c>
      <c r="DV27" s="380">
        <v>3570</v>
      </c>
      <c r="DW27" s="380">
        <v>1500</v>
      </c>
      <c r="DX27" s="380">
        <v>2287</v>
      </c>
      <c r="DY27" s="380">
        <v>4888</v>
      </c>
      <c r="DZ27" s="389">
        <v>10703</v>
      </c>
      <c r="EA27" s="381">
        <f t="shared" si="124"/>
        <v>37331</v>
      </c>
      <c r="EB27" s="379">
        <v>0</v>
      </c>
      <c r="EC27" s="380">
        <v>189</v>
      </c>
      <c r="ED27" s="380">
        <v>1535</v>
      </c>
      <c r="EE27" s="380">
        <v>2322</v>
      </c>
      <c r="EF27" s="380">
        <v>2525</v>
      </c>
      <c r="EG27" s="380">
        <v>2436</v>
      </c>
      <c r="EH27" s="380">
        <v>4740</v>
      </c>
      <c r="EI27" s="380">
        <v>2720</v>
      </c>
      <c r="EJ27" s="380">
        <v>2379</v>
      </c>
      <c r="EK27" s="380">
        <v>4060</v>
      </c>
      <c r="EL27" s="380">
        <v>3873</v>
      </c>
      <c r="EM27" s="389">
        <v>11304</v>
      </c>
      <c r="EN27" s="381">
        <f t="shared" si="125"/>
        <v>38083</v>
      </c>
      <c r="EO27" s="379">
        <v>0</v>
      </c>
      <c r="EP27" s="380">
        <v>28</v>
      </c>
      <c r="EQ27" s="380">
        <v>1229</v>
      </c>
      <c r="ER27" s="380">
        <v>2372</v>
      </c>
      <c r="ES27" s="380">
        <v>3598</v>
      </c>
      <c r="ET27" s="380">
        <v>2379</v>
      </c>
      <c r="EU27" s="380">
        <v>2605</v>
      </c>
      <c r="EV27" s="380">
        <v>2938</v>
      </c>
      <c r="EW27" s="380">
        <v>3767</v>
      </c>
      <c r="EX27" s="380">
        <v>2834</v>
      </c>
      <c r="EY27" s="380">
        <v>3639</v>
      </c>
      <c r="EZ27" s="389">
        <v>10392</v>
      </c>
      <c r="FA27" s="381">
        <f t="shared" si="126"/>
        <v>35781</v>
      </c>
      <c r="FB27" s="379">
        <v>6</v>
      </c>
      <c r="FC27" s="380">
        <v>33</v>
      </c>
      <c r="FD27" s="380">
        <v>2569</v>
      </c>
      <c r="FE27" s="380">
        <v>2862</v>
      </c>
      <c r="FF27" s="380">
        <v>3849</v>
      </c>
      <c r="FG27" s="380">
        <v>2024</v>
      </c>
      <c r="FH27" s="380">
        <v>4674</v>
      </c>
      <c r="FI27" s="380">
        <v>2459</v>
      </c>
      <c r="FJ27" s="380">
        <v>4008</v>
      </c>
      <c r="FK27" s="380">
        <v>4524</v>
      </c>
      <c r="FL27" s="380">
        <v>4612</v>
      </c>
      <c r="FM27" s="389">
        <v>12165</v>
      </c>
      <c r="FN27" s="381">
        <f t="shared" si="127"/>
        <v>43785</v>
      </c>
      <c r="FO27" s="379">
        <v>8</v>
      </c>
      <c r="FP27" s="380">
        <v>258</v>
      </c>
      <c r="FQ27" s="380">
        <v>3125</v>
      </c>
      <c r="FR27" s="380">
        <v>6168</v>
      </c>
      <c r="FS27" s="380">
        <v>5844</v>
      </c>
      <c r="FT27" s="380">
        <v>5439</v>
      </c>
      <c r="FU27" s="380">
        <v>4129</v>
      </c>
      <c r="FV27" s="380">
        <v>3546</v>
      </c>
      <c r="FW27" s="380">
        <v>3211</v>
      </c>
      <c r="FX27" s="380">
        <v>2837</v>
      </c>
      <c r="FY27" s="380">
        <v>4271</v>
      </c>
      <c r="FZ27" s="389">
        <v>11163</v>
      </c>
      <c r="GA27" s="381">
        <f t="shared" si="40"/>
        <v>49999</v>
      </c>
      <c r="GB27" s="379">
        <v>83</v>
      </c>
      <c r="GC27" s="380">
        <v>218</v>
      </c>
      <c r="GD27" s="380">
        <v>1756</v>
      </c>
      <c r="GE27" s="380">
        <v>2180</v>
      </c>
      <c r="GF27" s="380">
        <v>3533</v>
      </c>
      <c r="GG27" s="380">
        <v>4411</v>
      </c>
      <c r="GH27" s="380">
        <v>3353</v>
      </c>
      <c r="GI27" s="380">
        <v>4553</v>
      </c>
      <c r="GJ27" s="380">
        <v>3480</v>
      </c>
      <c r="GK27" s="380">
        <v>4112</v>
      </c>
      <c r="GL27" s="380">
        <v>5857</v>
      </c>
      <c r="GM27" s="389">
        <v>19102</v>
      </c>
      <c r="GN27" s="381">
        <f t="shared" si="41"/>
        <v>52638</v>
      </c>
      <c r="GO27" s="379">
        <v>0</v>
      </c>
      <c r="GP27" s="380">
        <v>623</v>
      </c>
      <c r="GQ27" s="380">
        <v>2871</v>
      </c>
      <c r="GR27" s="380">
        <v>2840</v>
      </c>
      <c r="GS27" s="380">
        <v>4478</v>
      </c>
      <c r="GT27" s="380">
        <v>5653</v>
      </c>
      <c r="GU27" s="380">
        <v>4579</v>
      </c>
      <c r="GV27" s="380">
        <v>7876</v>
      </c>
      <c r="GW27" s="380">
        <v>5154</v>
      </c>
      <c r="GX27" s="380">
        <v>6237</v>
      </c>
      <c r="GY27" s="380">
        <v>5456</v>
      </c>
      <c r="GZ27" s="389">
        <v>15216</v>
      </c>
      <c r="HA27" s="381">
        <f t="shared" si="43"/>
        <v>60983</v>
      </c>
      <c r="HB27" s="379">
        <v>0</v>
      </c>
      <c r="HC27" s="380">
        <v>150</v>
      </c>
      <c r="HD27" s="380">
        <v>907</v>
      </c>
      <c r="HE27" s="380">
        <v>3770</v>
      </c>
      <c r="HF27" s="380">
        <v>6327</v>
      </c>
      <c r="HG27" s="380">
        <v>6323</v>
      </c>
      <c r="HH27" s="380">
        <v>6165</v>
      </c>
      <c r="HI27" s="380">
        <v>7244</v>
      </c>
      <c r="HJ27" s="380">
        <v>6094</v>
      </c>
      <c r="HK27" s="380">
        <v>6228</v>
      </c>
      <c r="HL27" s="380">
        <v>9255</v>
      </c>
      <c r="HM27" s="389">
        <v>9796</v>
      </c>
      <c r="HN27" s="381">
        <f t="shared" si="45"/>
        <v>62259</v>
      </c>
      <c r="HO27" s="379">
        <v>0</v>
      </c>
      <c r="HP27" s="380">
        <v>97</v>
      </c>
      <c r="HQ27" s="380">
        <v>2333</v>
      </c>
      <c r="HR27" s="380">
        <v>4058</v>
      </c>
      <c r="HS27" s="380">
        <v>6182</v>
      </c>
      <c r="HT27" s="380">
        <v>5058</v>
      </c>
      <c r="HU27" s="380">
        <v>4494</v>
      </c>
      <c r="HV27" s="380">
        <v>8596</v>
      </c>
      <c r="HW27" s="380">
        <v>4529</v>
      </c>
      <c r="HX27" s="380">
        <v>5216</v>
      </c>
      <c r="HY27" s="380">
        <v>2589</v>
      </c>
      <c r="HZ27" s="391">
        <v>10278</v>
      </c>
      <c r="IA27" s="379">
        <f>SUM(HO27:HZ27)</f>
        <v>53430</v>
      </c>
      <c r="IB27" s="1344">
        <v>25</v>
      </c>
      <c r="IC27" s="120">
        <v>3023</v>
      </c>
      <c r="ID27" s="120">
        <v>7050</v>
      </c>
      <c r="IE27" s="120">
        <v>5709</v>
      </c>
      <c r="IF27" s="120">
        <v>10825</v>
      </c>
      <c r="IG27" s="120">
        <v>8523</v>
      </c>
      <c r="IH27" s="120">
        <v>6004</v>
      </c>
      <c r="II27" s="120">
        <v>4069</v>
      </c>
      <c r="IJ27" s="120"/>
      <c r="IK27" s="120"/>
      <c r="IL27" s="120"/>
      <c r="IM27" s="1345"/>
      <c r="IN27" s="1346">
        <f t="shared" si="51"/>
        <v>45228</v>
      </c>
      <c r="IO27" s="120"/>
      <c r="IP27" s="371">
        <f t="shared" si="52"/>
        <v>-52.664029781293628</v>
      </c>
      <c r="IQ27" s="348">
        <f>IFERROR(((IS27/IR27)-1)*100,"")</f>
        <v>46.758387955091173</v>
      </c>
      <c r="IR27" s="320">
        <f t="shared" si="54"/>
        <v>30818</v>
      </c>
      <c r="IS27" s="344">
        <f t="shared" si="55"/>
        <v>45228</v>
      </c>
    </row>
    <row r="28" spans="1:255" ht="15" customHeight="1" x14ac:dyDescent="0.2">
      <c r="A28" s="1551" t="s">
        <v>403</v>
      </c>
      <c r="B28" s="379">
        <v>0</v>
      </c>
      <c r="C28" s="380">
        <v>147</v>
      </c>
      <c r="D28" s="380">
        <v>240</v>
      </c>
      <c r="E28" s="380">
        <v>37</v>
      </c>
      <c r="F28" s="380">
        <v>294</v>
      </c>
      <c r="G28" s="380">
        <v>88</v>
      </c>
      <c r="H28" s="380">
        <v>539</v>
      </c>
      <c r="I28" s="380">
        <v>60</v>
      </c>
      <c r="J28" s="380">
        <v>85</v>
      </c>
      <c r="K28" s="380">
        <v>455</v>
      </c>
      <c r="L28" s="380">
        <v>22</v>
      </c>
      <c r="M28" s="389">
        <v>1306</v>
      </c>
      <c r="N28" s="381">
        <f t="shared" si="1"/>
        <v>3273</v>
      </c>
      <c r="O28" s="379">
        <v>0</v>
      </c>
      <c r="P28" s="380">
        <v>0</v>
      </c>
      <c r="Q28" s="380">
        <v>0</v>
      </c>
      <c r="R28" s="380">
        <v>0</v>
      </c>
      <c r="S28" s="380">
        <v>70</v>
      </c>
      <c r="T28" s="380">
        <v>0</v>
      </c>
      <c r="U28" s="380">
        <v>18</v>
      </c>
      <c r="V28" s="380">
        <v>145</v>
      </c>
      <c r="W28" s="380">
        <v>0</v>
      </c>
      <c r="X28" s="380">
        <v>0</v>
      </c>
      <c r="Y28" s="380">
        <v>0</v>
      </c>
      <c r="Z28" s="389">
        <v>3</v>
      </c>
      <c r="AA28" s="381">
        <f t="shared" si="117"/>
        <v>236</v>
      </c>
      <c r="AB28" s="379">
        <v>0</v>
      </c>
      <c r="AC28" s="380">
        <v>0</v>
      </c>
      <c r="AD28" s="380">
        <v>0</v>
      </c>
      <c r="AE28" s="380">
        <v>0</v>
      </c>
      <c r="AF28" s="380">
        <v>0</v>
      </c>
      <c r="AG28" s="380">
        <v>0</v>
      </c>
      <c r="AH28" s="380">
        <v>0</v>
      </c>
      <c r="AI28" s="380">
        <v>0</v>
      </c>
      <c r="AJ28" s="380">
        <v>0</v>
      </c>
      <c r="AK28" s="380">
        <v>0</v>
      </c>
      <c r="AL28" s="380">
        <v>0</v>
      </c>
      <c r="AM28" s="389">
        <v>127</v>
      </c>
      <c r="AN28" s="381">
        <f t="shared" si="118"/>
        <v>127</v>
      </c>
      <c r="AO28" s="379">
        <v>0</v>
      </c>
      <c r="AP28" s="380">
        <v>0</v>
      </c>
      <c r="AQ28" s="380">
        <v>0</v>
      </c>
      <c r="AR28" s="380">
        <v>0</v>
      </c>
      <c r="AS28" s="380">
        <v>0</v>
      </c>
      <c r="AT28" s="380">
        <v>0</v>
      </c>
      <c r="AU28" s="380">
        <v>0</v>
      </c>
      <c r="AV28" s="380">
        <v>0</v>
      </c>
      <c r="AW28" s="380">
        <v>2122</v>
      </c>
      <c r="AX28" s="380">
        <v>6818</v>
      </c>
      <c r="AY28" s="380">
        <v>9900</v>
      </c>
      <c r="AZ28" s="389">
        <v>12168</v>
      </c>
      <c r="BA28" s="381">
        <f t="shared" si="119"/>
        <v>31008</v>
      </c>
      <c r="BB28" s="379">
        <v>2846</v>
      </c>
      <c r="BC28" s="380">
        <v>2488</v>
      </c>
      <c r="BD28" s="380">
        <v>1562</v>
      </c>
      <c r="BE28" s="380">
        <v>2852</v>
      </c>
      <c r="BF28" s="380">
        <v>5011</v>
      </c>
      <c r="BG28" s="380">
        <v>8500</v>
      </c>
      <c r="BH28" s="380">
        <v>4473</v>
      </c>
      <c r="BI28" s="380">
        <v>5937</v>
      </c>
      <c r="BJ28" s="380">
        <v>2805</v>
      </c>
      <c r="BK28" s="380">
        <v>4355</v>
      </c>
      <c r="BL28" s="380">
        <v>7127</v>
      </c>
      <c r="BM28" s="389">
        <v>16031</v>
      </c>
      <c r="BN28" s="381">
        <f t="shared" si="120"/>
        <v>63987</v>
      </c>
      <c r="BO28" s="379">
        <v>10</v>
      </c>
      <c r="BP28" s="380">
        <v>4106</v>
      </c>
      <c r="BQ28" s="380">
        <v>1897</v>
      </c>
      <c r="BR28" s="380">
        <v>3918</v>
      </c>
      <c r="BS28" s="380">
        <v>1435</v>
      </c>
      <c r="BT28" s="380">
        <v>6839</v>
      </c>
      <c r="BU28" s="380">
        <v>-1404</v>
      </c>
      <c r="BV28" s="380">
        <v>4642</v>
      </c>
      <c r="BW28" s="380">
        <v>-1108</v>
      </c>
      <c r="BX28" s="380">
        <v>3875</v>
      </c>
      <c r="BY28" s="380">
        <v>744</v>
      </c>
      <c r="BZ28" s="389">
        <v>1022</v>
      </c>
      <c r="CA28" s="381">
        <f t="shared" si="121"/>
        <v>25976</v>
      </c>
      <c r="CB28" s="379">
        <v>1999</v>
      </c>
      <c r="CC28" s="380">
        <v>159</v>
      </c>
      <c r="CD28" s="380">
        <v>2385</v>
      </c>
      <c r="CE28" s="380">
        <v>547</v>
      </c>
      <c r="CF28" s="380">
        <v>1630</v>
      </c>
      <c r="CG28" s="380">
        <v>2672</v>
      </c>
      <c r="CH28" s="380">
        <v>593</v>
      </c>
      <c r="CI28" s="380">
        <v>159</v>
      </c>
      <c r="CJ28" s="380">
        <v>542</v>
      </c>
      <c r="CK28" s="380">
        <v>647</v>
      </c>
      <c r="CL28" s="380">
        <v>110</v>
      </c>
      <c r="CM28" s="389">
        <v>1319</v>
      </c>
      <c r="CN28" s="381">
        <f t="shared" si="122"/>
        <v>12762</v>
      </c>
      <c r="CO28" s="379">
        <v>0</v>
      </c>
      <c r="CP28" s="380">
        <v>0</v>
      </c>
      <c r="CQ28" s="380">
        <v>0</v>
      </c>
      <c r="CR28" s="380">
        <v>0</v>
      </c>
      <c r="CS28" s="380">
        <v>378</v>
      </c>
      <c r="CT28" s="380">
        <v>0</v>
      </c>
      <c r="CU28" s="380">
        <v>8112</v>
      </c>
      <c r="CV28" s="380">
        <v>10508</v>
      </c>
      <c r="CW28" s="380">
        <v>19873</v>
      </c>
      <c r="CX28" s="380">
        <v>21841</v>
      </c>
      <c r="CY28" s="380">
        <v>23024</v>
      </c>
      <c r="CZ28" s="389">
        <v>32270</v>
      </c>
      <c r="DA28" s="381">
        <f t="shared" si="107"/>
        <v>116006</v>
      </c>
      <c r="DB28" s="379">
        <v>0</v>
      </c>
      <c r="DC28" s="380">
        <v>1065</v>
      </c>
      <c r="DD28" s="380">
        <v>2566</v>
      </c>
      <c r="DE28" s="380">
        <v>1804</v>
      </c>
      <c r="DF28" s="380">
        <v>6982</v>
      </c>
      <c r="DG28" s="380">
        <v>11245</v>
      </c>
      <c r="DH28" s="380">
        <v>21667</v>
      </c>
      <c r="DI28" s="380">
        <v>19264</v>
      </c>
      <c r="DJ28" s="380">
        <v>9362</v>
      </c>
      <c r="DK28" s="380">
        <v>10162</v>
      </c>
      <c r="DL28" s="380">
        <v>2902</v>
      </c>
      <c r="DM28" s="389">
        <v>8181</v>
      </c>
      <c r="DN28" s="381">
        <f t="shared" si="123"/>
        <v>95200</v>
      </c>
      <c r="DO28" s="379">
        <v>0</v>
      </c>
      <c r="DP28" s="380">
        <v>1127</v>
      </c>
      <c r="DQ28" s="380">
        <v>1212</v>
      </c>
      <c r="DR28" s="380">
        <v>3923</v>
      </c>
      <c r="DS28" s="380">
        <v>1546</v>
      </c>
      <c r="DT28" s="380">
        <v>2249</v>
      </c>
      <c r="DU28" s="380">
        <v>1250</v>
      </c>
      <c r="DV28" s="380">
        <v>279</v>
      </c>
      <c r="DW28" s="380">
        <v>2432</v>
      </c>
      <c r="DX28" s="380">
        <v>2532</v>
      </c>
      <c r="DY28" s="380">
        <v>943</v>
      </c>
      <c r="DZ28" s="389">
        <v>5865</v>
      </c>
      <c r="EA28" s="381">
        <f t="shared" si="124"/>
        <v>23358</v>
      </c>
      <c r="EB28" s="379">
        <v>0</v>
      </c>
      <c r="EC28" s="380">
        <v>516</v>
      </c>
      <c r="ED28" s="380">
        <v>1816</v>
      </c>
      <c r="EE28" s="380">
        <v>4487</v>
      </c>
      <c r="EF28" s="380">
        <v>3472</v>
      </c>
      <c r="EG28" s="380">
        <v>1815</v>
      </c>
      <c r="EH28" s="380">
        <v>1667</v>
      </c>
      <c r="EI28" s="380">
        <v>1179</v>
      </c>
      <c r="EJ28" s="380">
        <v>4647</v>
      </c>
      <c r="EK28" s="380">
        <v>7176</v>
      </c>
      <c r="EL28" s="380">
        <v>9632</v>
      </c>
      <c r="EM28" s="389">
        <v>15476</v>
      </c>
      <c r="EN28" s="381">
        <f t="shared" si="125"/>
        <v>51883</v>
      </c>
      <c r="EO28" s="379">
        <v>0</v>
      </c>
      <c r="EP28" s="380">
        <v>610</v>
      </c>
      <c r="EQ28" s="380">
        <v>8747</v>
      </c>
      <c r="ER28" s="380">
        <v>6608</v>
      </c>
      <c r="ES28" s="380">
        <v>6331</v>
      </c>
      <c r="ET28" s="380">
        <v>7165</v>
      </c>
      <c r="EU28" s="380">
        <v>17678</v>
      </c>
      <c r="EV28" s="380">
        <v>4175</v>
      </c>
      <c r="EW28" s="380">
        <v>11720</v>
      </c>
      <c r="EX28" s="380">
        <v>4498</v>
      </c>
      <c r="EY28" s="380">
        <v>5725</v>
      </c>
      <c r="EZ28" s="389">
        <v>9983</v>
      </c>
      <c r="FA28" s="381">
        <f t="shared" si="126"/>
        <v>83240</v>
      </c>
      <c r="FB28" s="379">
        <v>0</v>
      </c>
      <c r="FC28" s="380">
        <v>2638</v>
      </c>
      <c r="FD28" s="380">
        <v>206</v>
      </c>
      <c r="FE28" s="380">
        <v>214</v>
      </c>
      <c r="FF28" s="380">
        <v>343</v>
      </c>
      <c r="FG28" s="380">
        <v>898</v>
      </c>
      <c r="FH28" s="380">
        <v>667</v>
      </c>
      <c r="FI28" s="380">
        <v>1507</v>
      </c>
      <c r="FJ28" s="380">
        <v>2019</v>
      </c>
      <c r="FK28" s="380">
        <v>5780</v>
      </c>
      <c r="FL28" s="380">
        <v>7003</v>
      </c>
      <c r="FM28" s="389">
        <v>35447</v>
      </c>
      <c r="FN28" s="381">
        <f t="shared" si="127"/>
        <v>56722</v>
      </c>
      <c r="FO28" s="379">
        <v>4218</v>
      </c>
      <c r="FP28" s="380">
        <v>9033</v>
      </c>
      <c r="FQ28" s="380">
        <v>9344</v>
      </c>
      <c r="FR28" s="380">
        <v>7379</v>
      </c>
      <c r="FS28" s="380">
        <v>3699</v>
      </c>
      <c r="FT28" s="380">
        <v>12920</v>
      </c>
      <c r="FU28" s="380">
        <v>11974</v>
      </c>
      <c r="FV28" s="380">
        <v>13379</v>
      </c>
      <c r="FW28" s="380">
        <v>13508</v>
      </c>
      <c r="FX28" s="380">
        <v>24800</v>
      </c>
      <c r="FY28" s="380">
        <v>12198</v>
      </c>
      <c r="FZ28" s="389">
        <v>56740</v>
      </c>
      <c r="GA28" s="381">
        <f t="shared" si="40"/>
        <v>179192</v>
      </c>
      <c r="GB28" s="379">
        <v>12033</v>
      </c>
      <c r="GC28" s="380">
        <v>7332</v>
      </c>
      <c r="GD28" s="380">
        <v>6838</v>
      </c>
      <c r="GE28" s="380">
        <v>4636</v>
      </c>
      <c r="GF28" s="380">
        <v>3652</v>
      </c>
      <c r="GG28" s="380">
        <v>2454</v>
      </c>
      <c r="GH28" s="380">
        <v>-392</v>
      </c>
      <c r="GI28" s="380">
        <v>15221</v>
      </c>
      <c r="GJ28" s="380">
        <v>512</v>
      </c>
      <c r="GK28" s="380">
        <v>1152</v>
      </c>
      <c r="GL28" s="380">
        <v>753</v>
      </c>
      <c r="GM28" s="389">
        <v>1459</v>
      </c>
      <c r="GN28" s="381">
        <f>SUM(GB28:GM28)</f>
        <v>55650</v>
      </c>
      <c r="GO28" s="379">
        <v>0</v>
      </c>
      <c r="GP28" s="380">
        <v>0</v>
      </c>
      <c r="GQ28" s="380">
        <v>0</v>
      </c>
      <c r="GR28" s="380">
        <v>0</v>
      </c>
      <c r="GS28" s="380">
        <v>0</v>
      </c>
      <c r="GT28" s="380">
        <v>0</v>
      </c>
      <c r="GU28" s="380">
        <v>0</v>
      </c>
      <c r="GV28" s="380">
        <v>0</v>
      </c>
      <c r="GW28" s="380">
        <v>21</v>
      </c>
      <c r="GX28" s="380">
        <v>96</v>
      </c>
      <c r="GY28" s="380">
        <v>23</v>
      </c>
      <c r="GZ28" s="389">
        <v>332</v>
      </c>
      <c r="HA28" s="381">
        <f t="shared" si="43"/>
        <v>472</v>
      </c>
      <c r="HB28" s="379">
        <v>0</v>
      </c>
      <c r="HC28" s="380">
        <v>0</v>
      </c>
      <c r="HD28" s="380">
        <v>0</v>
      </c>
      <c r="HE28" s="380">
        <v>0</v>
      </c>
      <c r="HF28" s="380">
        <v>0</v>
      </c>
      <c r="HG28" s="380">
        <v>448</v>
      </c>
      <c r="HH28" s="380">
        <v>0</v>
      </c>
      <c r="HI28" s="380">
        <v>0</v>
      </c>
      <c r="HJ28" s="380">
        <v>0</v>
      </c>
      <c r="HK28" s="380">
        <v>0</v>
      </c>
      <c r="HL28" s="380">
        <v>0</v>
      </c>
      <c r="HM28" s="389">
        <v>0</v>
      </c>
      <c r="HN28" s="381">
        <f t="shared" si="45"/>
        <v>448</v>
      </c>
      <c r="HO28" s="379">
        <v>0</v>
      </c>
      <c r="HP28" s="380">
        <v>0</v>
      </c>
      <c r="HQ28" s="380">
        <v>0</v>
      </c>
      <c r="HR28" s="380">
        <v>0</v>
      </c>
      <c r="HS28" s="380">
        <v>0</v>
      </c>
      <c r="HT28" s="380">
        <v>0</v>
      </c>
      <c r="HU28" s="380">
        <v>0</v>
      </c>
      <c r="HV28" s="380">
        <v>0</v>
      </c>
      <c r="HW28" s="380">
        <v>0</v>
      </c>
      <c r="HX28" s="380">
        <v>0</v>
      </c>
      <c r="HY28" s="380">
        <v>0</v>
      </c>
      <c r="HZ28" s="391">
        <v>0</v>
      </c>
      <c r="IA28" s="379">
        <f t="shared" si="47"/>
        <v>0</v>
      </c>
      <c r="IB28" s="1344">
        <v>0</v>
      </c>
      <c r="IC28" s="120">
        <v>0</v>
      </c>
      <c r="ID28" s="120">
        <v>0</v>
      </c>
      <c r="IE28" s="120">
        <v>0</v>
      </c>
      <c r="IF28" s="120">
        <v>0</v>
      </c>
      <c r="IG28" s="120">
        <v>0</v>
      </c>
      <c r="IH28" s="120">
        <v>0</v>
      </c>
      <c r="II28" s="120">
        <v>0</v>
      </c>
      <c r="IJ28" s="120"/>
      <c r="IK28" s="120"/>
      <c r="IL28" s="120"/>
      <c r="IM28" s="1345"/>
      <c r="IN28" s="1346">
        <f t="shared" si="51"/>
        <v>0</v>
      </c>
      <c r="IO28" s="120"/>
      <c r="IP28" s="371" t="str">
        <f t="shared" ref="IP28:IP30" si="128">IFERROR(((IE28/HR28)-1)*100,"")</f>
        <v/>
      </c>
      <c r="IQ28" s="348" t="str">
        <f t="shared" si="53"/>
        <v/>
      </c>
      <c r="IR28" s="320">
        <f t="shared" si="54"/>
        <v>0</v>
      </c>
      <c r="IS28" s="344">
        <f t="shared" si="55"/>
        <v>0</v>
      </c>
    </row>
    <row r="29" spans="1:255" ht="15" customHeight="1" x14ac:dyDescent="0.2">
      <c r="A29" s="1551" t="s">
        <v>430</v>
      </c>
      <c r="B29" s="379">
        <v>0</v>
      </c>
      <c r="C29" s="380">
        <v>0</v>
      </c>
      <c r="D29" s="380">
        <v>0</v>
      </c>
      <c r="E29" s="380">
        <v>0</v>
      </c>
      <c r="F29" s="380">
        <v>0</v>
      </c>
      <c r="G29" s="380">
        <v>0</v>
      </c>
      <c r="H29" s="380">
        <v>0</v>
      </c>
      <c r="I29" s="380">
        <v>0</v>
      </c>
      <c r="J29" s="380">
        <v>0</v>
      </c>
      <c r="K29" s="380">
        <v>0</v>
      </c>
      <c r="L29" s="380">
        <v>0</v>
      </c>
      <c r="M29" s="389">
        <v>0</v>
      </c>
      <c r="N29" s="381">
        <f t="shared" si="1"/>
        <v>0</v>
      </c>
      <c r="O29" s="379">
        <v>0</v>
      </c>
      <c r="P29" s="380">
        <v>0</v>
      </c>
      <c r="Q29" s="380">
        <v>0</v>
      </c>
      <c r="R29" s="380">
        <v>0</v>
      </c>
      <c r="S29" s="380">
        <v>0</v>
      </c>
      <c r="T29" s="380">
        <v>0</v>
      </c>
      <c r="U29" s="380">
        <v>0</v>
      </c>
      <c r="V29" s="380">
        <v>0</v>
      </c>
      <c r="W29" s="380">
        <v>0</v>
      </c>
      <c r="X29" s="380">
        <v>0</v>
      </c>
      <c r="Y29" s="380">
        <v>0</v>
      </c>
      <c r="Z29" s="389">
        <v>0</v>
      </c>
      <c r="AA29" s="381">
        <f t="shared" si="117"/>
        <v>0</v>
      </c>
      <c r="AB29" s="379">
        <v>0</v>
      </c>
      <c r="AC29" s="380">
        <v>0</v>
      </c>
      <c r="AD29" s="380">
        <v>0</v>
      </c>
      <c r="AE29" s="380">
        <v>0</v>
      </c>
      <c r="AF29" s="380">
        <v>0</v>
      </c>
      <c r="AG29" s="380">
        <v>0</v>
      </c>
      <c r="AH29" s="380">
        <v>0</v>
      </c>
      <c r="AI29" s="380">
        <v>0</v>
      </c>
      <c r="AJ29" s="380">
        <v>0</v>
      </c>
      <c r="AK29" s="380">
        <v>0</v>
      </c>
      <c r="AL29" s="380">
        <v>0</v>
      </c>
      <c r="AM29" s="389">
        <v>0</v>
      </c>
      <c r="AN29" s="381">
        <f t="shared" si="118"/>
        <v>0</v>
      </c>
      <c r="AO29" s="379">
        <v>0</v>
      </c>
      <c r="AP29" s="380">
        <v>0</v>
      </c>
      <c r="AQ29" s="380">
        <v>0</v>
      </c>
      <c r="AR29" s="380">
        <v>0</v>
      </c>
      <c r="AS29" s="380">
        <v>0</v>
      </c>
      <c r="AT29" s="380">
        <v>0</v>
      </c>
      <c r="AU29" s="380">
        <v>0</v>
      </c>
      <c r="AV29" s="380">
        <v>0</v>
      </c>
      <c r="AW29" s="380">
        <v>0</v>
      </c>
      <c r="AX29" s="380">
        <v>0</v>
      </c>
      <c r="AY29" s="380">
        <v>0</v>
      </c>
      <c r="AZ29" s="389">
        <v>0</v>
      </c>
      <c r="BA29" s="381">
        <f t="shared" si="119"/>
        <v>0</v>
      </c>
      <c r="BB29" s="379">
        <v>0</v>
      </c>
      <c r="BC29" s="380">
        <v>0</v>
      </c>
      <c r="BD29" s="380">
        <v>0</v>
      </c>
      <c r="BE29" s="380">
        <v>0</v>
      </c>
      <c r="BF29" s="380">
        <v>0</v>
      </c>
      <c r="BG29" s="380">
        <v>0</v>
      </c>
      <c r="BH29" s="380">
        <v>0</v>
      </c>
      <c r="BI29" s="380">
        <v>0</v>
      </c>
      <c r="BJ29" s="380">
        <v>0</v>
      </c>
      <c r="BK29" s="380">
        <v>0</v>
      </c>
      <c r="BL29" s="380">
        <v>0</v>
      </c>
      <c r="BM29" s="389">
        <v>0</v>
      </c>
      <c r="BN29" s="381">
        <f t="shared" si="120"/>
        <v>0</v>
      </c>
      <c r="BO29" s="379">
        <v>0</v>
      </c>
      <c r="BP29" s="380">
        <v>0</v>
      </c>
      <c r="BQ29" s="380">
        <v>0</v>
      </c>
      <c r="BR29" s="380">
        <v>0</v>
      </c>
      <c r="BS29" s="380">
        <v>0</v>
      </c>
      <c r="BT29" s="380">
        <v>0</v>
      </c>
      <c r="BU29" s="380">
        <v>0</v>
      </c>
      <c r="BV29" s="380">
        <v>0</v>
      </c>
      <c r="BW29" s="380">
        <v>0</v>
      </c>
      <c r="BX29" s="380">
        <v>0</v>
      </c>
      <c r="BY29" s="380">
        <v>0</v>
      </c>
      <c r="BZ29" s="389">
        <v>0</v>
      </c>
      <c r="CA29" s="381">
        <f t="shared" si="121"/>
        <v>0</v>
      </c>
      <c r="CB29" s="379">
        <v>0</v>
      </c>
      <c r="CC29" s="380">
        <v>0</v>
      </c>
      <c r="CD29" s="380">
        <v>0</v>
      </c>
      <c r="CE29" s="380">
        <v>0</v>
      </c>
      <c r="CF29" s="380">
        <v>0</v>
      </c>
      <c r="CG29" s="380">
        <v>0</v>
      </c>
      <c r="CH29" s="380">
        <v>0</v>
      </c>
      <c r="CI29" s="380">
        <v>0</v>
      </c>
      <c r="CJ29" s="380">
        <v>0</v>
      </c>
      <c r="CK29" s="380">
        <v>0</v>
      </c>
      <c r="CL29" s="380">
        <v>0</v>
      </c>
      <c r="CM29" s="389">
        <v>0</v>
      </c>
      <c r="CN29" s="381">
        <f t="shared" si="122"/>
        <v>0</v>
      </c>
      <c r="CO29" s="379">
        <v>0</v>
      </c>
      <c r="CP29" s="380">
        <v>0</v>
      </c>
      <c r="CQ29" s="380">
        <v>0</v>
      </c>
      <c r="CR29" s="380">
        <v>0</v>
      </c>
      <c r="CS29" s="380">
        <v>0</v>
      </c>
      <c r="CT29" s="380">
        <v>0</v>
      </c>
      <c r="CU29" s="380">
        <v>0</v>
      </c>
      <c r="CV29" s="380">
        <v>0</v>
      </c>
      <c r="CW29" s="380"/>
      <c r="CX29" s="380"/>
      <c r="CY29" s="380"/>
      <c r="CZ29" s="389"/>
      <c r="DA29" s="381"/>
      <c r="DB29" s="379"/>
      <c r="DC29" s="380"/>
      <c r="DD29" s="380"/>
      <c r="DE29" s="380"/>
      <c r="DF29" s="380"/>
      <c r="DG29" s="380"/>
      <c r="DH29" s="380"/>
      <c r="DI29" s="380"/>
      <c r="DJ29" s="380"/>
      <c r="DK29" s="380"/>
      <c r="DL29" s="380"/>
      <c r="DM29" s="389"/>
      <c r="DN29" s="381">
        <f t="shared" si="123"/>
        <v>0</v>
      </c>
      <c r="DO29" s="379"/>
      <c r="DP29" s="380"/>
      <c r="DQ29" s="380"/>
      <c r="DR29" s="380"/>
      <c r="DS29" s="380"/>
      <c r="DT29" s="380"/>
      <c r="DU29" s="380"/>
      <c r="DV29" s="380"/>
      <c r="DW29" s="380"/>
      <c r="DX29" s="380"/>
      <c r="DY29" s="380"/>
      <c r="DZ29" s="389"/>
      <c r="EA29" s="381">
        <f t="shared" si="124"/>
        <v>0</v>
      </c>
      <c r="EB29" s="379"/>
      <c r="EC29" s="380"/>
      <c r="ED29" s="380"/>
      <c r="EE29" s="380"/>
      <c r="EF29" s="380"/>
      <c r="EG29" s="380"/>
      <c r="EH29" s="380"/>
      <c r="EI29" s="380"/>
      <c r="EJ29" s="380"/>
      <c r="EK29" s="380"/>
      <c r="EL29" s="380"/>
      <c r="EM29" s="389"/>
      <c r="EN29" s="381">
        <f t="shared" si="125"/>
        <v>0</v>
      </c>
      <c r="EO29" s="379"/>
      <c r="EP29" s="380"/>
      <c r="EQ29" s="380"/>
      <c r="ER29" s="380"/>
      <c r="ES29" s="380"/>
      <c r="ET29" s="380"/>
      <c r="EU29" s="380"/>
      <c r="EV29" s="380"/>
      <c r="EW29" s="380"/>
      <c r="EX29" s="380"/>
      <c r="EY29" s="380"/>
      <c r="EZ29" s="389"/>
      <c r="FA29" s="381">
        <f t="shared" si="126"/>
        <v>0</v>
      </c>
      <c r="FB29" s="379"/>
      <c r="FC29" s="380"/>
      <c r="FD29" s="380"/>
      <c r="FE29" s="380"/>
      <c r="FF29" s="380"/>
      <c r="FG29" s="380"/>
      <c r="FH29" s="380"/>
      <c r="FI29" s="380"/>
      <c r="FJ29" s="380" t="str">
        <f>IFERROR(((FG29/ET29)-1)*100,"-")</f>
        <v>-</v>
      </c>
      <c r="FK29" s="380"/>
      <c r="FL29" s="380"/>
      <c r="FM29" s="389"/>
      <c r="FN29" s="381">
        <f t="shared" si="127"/>
        <v>0</v>
      </c>
      <c r="FO29" s="379"/>
      <c r="FP29" s="380"/>
      <c r="FQ29" s="380"/>
      <c r="FR29" s="380"/>
      <c r="FS29" s="380"/>
      <c r="FT29" s="380"/>
      <c r="FU29" s="380"/>
      <c r="FV29" s="380"/>
      <c r="FW29" s="380"/>
      <c r="FX29" s="380"/>
      <c r="FY29" s="380"/>
      <c r="FZ29" s="389"/>
      <c r="GA29" s="381"/>
      <c r="GB29" s="379"/>
      <c r="GC29" s="380"/>
      <c r="GD29" s="380"/>
      <c r="GE29" s="380"/>
      <c r="GF29" s="380"/>
      <c r="GG29" s="380"/>
      <c r="GH29" s="380"/>
      <c r="GI29" s="380"/>
      <c r="GJ29" s="380"/>
      <c r="GK29" s="380"/>
      <c r="GL29" s="380" t="str">
        <f>IFERROR(((FV29/FI29)-1)*100,"-")</f>
        <v>-</v>
      </c>
      <c r="GM29" s="389" t="str">
        <f>IFERROR(((FW29/FJ29)-1)*100,"-")</f>
        <v>-</v>
      </c>
      <c r="GN29" s="381"/>
      <c r="GO29" s="379"/>
      <c r="GP29" s="380"/>
      <c r="GQ29" s="380"/>
      <c r="GR29" s="380"/>
      <c r="GS29" s="380"/>
      <c r="GT29" s="380"/>
      <c r="GU29" s="380"/>
      <c r="GV29" s="380"/>
      <c r="GW29" s="380"/>
      <c r="GX29" s="380"/>
      <c r="GY29" s="380"/>
      <c r="GZ29" s="389"/>
      <c r="HA29" s="381">
        <f t="shared" si="43"/>
        <v>0</v>
      </c>
      <c r="HB29" s="379"/>
      <c r="HC29" s="380"/>
      <c r="HD29" s="380"/>
      <c r="HE29" s="380"/>
      <c r="HF29" s="380"/>
      <c r="HG29" s="380"/>
      <c r="HH29" s="380"/>
      <c r="HI29" s="380"/>
      <c r="HJ29" s="380"/>
      <c r="HK29" s="380"/>
      <c r="HL29" s="380"/>
      <c r="HM29" s="389"/>
      <c r="HN29" s="381">
        <f t="shared" si="45"/>
        <v>0</v>
      </c>
      <c r="HO29" s="379">
        <v>0</v>
      </c>
      <c r="HP29" s="380">
        <v>0</v>
      </c>
      <c r="HQ29" s="380">
        <v>0</v>
      </c>
      <c r="HR29" s="380">
        <v>0</v>
      </c>
      <c r="HS29" s="380">
        <v>0</v>
      </c>
      <c r="HT29" s="380">
        <v>0</v>
      </c>
      <c r="HU29" s="380">
        <v>0</v>
      </c>
      <c r="HV29" s="380">
        <v>0</v>
      </c>
      <c r="HW29" s="380">
        <v>0</v>
      </c>
      <c r="HX29" s="380">
        <v>0</v>
      </c>
      <c r="HY29" s="380">
        <v>0</v>
      </c>
      <c r="HZ29" s="391"/>
      <c r="IA29" s="379">
        <f t="shared" si="47"/>
        <v>0</v>
      </c>
      <c r="IB29" s="1344">
        <v>0</v>
      </c>
      <c r="IC29" s="120">
        <v>0</v>
      </c>
      <c r="ID29" s="120">
        <v>0</v>
      </c>
      <c r="IE29" s="120">
        <v>0</v>
      </c>
      <c r="IF29" s="120">
        <v>0</v>
      </c>
      <c r="IG29" s="120">
        <v>0</v>
      </c>
      <c r="IH29" s="120">
        <v>0</v>
      </c>
      <c r="II29" s="120">
        <v>0</v>
      </c>
      <c r="IJ29" s="120"/>
      <c r="IK29" s="120"/>
      <c r="IL29" s="120"/>
      <c r="IM29" s="1345"/>
      <c r="IN29" s="1346">
        <f t="shared" si="51"/>
        <v>0</v>
      </c>
      <c r="IO29" s="120"/>
      <c r="IP29" s="371" t="str">
        <f t="shared" si="128"/>
        <v/>
      </c>
      <c r="IQ29" s="348" t="str">
        <f t="shared" si="53"/>
        <v/>
      </c>
      <c r="IR29" s="320">
        <f t="shared" si="54"/>
        <v>0</v>
      </c>
      <c r="IS29" s="344">
        <f t="shared" si="55"/>
        <v>0</v>
      </c>
    </row>
    <row r="30" spans="1:255" ht="15" customHeight="1" x14ac:dyDescent="0.2">
      <c r="A30" s="1551" t="s">
        <v>405</v>
      </c>
      <c r="B30" s="80">
        <v>0</v>
      </c>
      <c r="C30" s="385">
        <v>0</v>
      </c>
      <c r="D30" s="385">
        <v>0</v>
      </c>
      <c r="E30" s="385">
        <v>0</v>
      </c>
      <c r="F30" s="385">
        <v>0</v>
      </c>
      <c r="G30" s="385">
        <v>0</v>
      </c>
      <c r="H30" s="385">
        <v>0</v>
      </c>
      <c r="I30" s="385">
        <v>0</v>
      </c>
      <c r="J30" s="385">
        <v>0</v>
      </c>
      <c r="K30" s="385">
        <v>0</v>
      </c>
      <c r="L30" s="385">
        <v>0</v>
      </c>
      <c r="M30" s="391">
        <v>0</v>
      </c>
      <c r="N30" s="381">
        <f t="shared" si="1"/>
        <v>0</v>
      </c>
      <c r="O30" s="80">
        <v>0</v>
      </c>
      <c r="P30" s="385">
        <v>0</v>
      </c>
      <c r="Q30" s="385">
        <v>0</v>
      </c>
      <c r="R30" s="385">
        <v>0</v>
      </c>
      <c r="S30" s="385">
        <v>0</v>
      </c>
      <c r="T30" s="385">
        <v>0</v>
      </c>
      <c r="U30" s="385">
        <v>0</v>
      </c>
      <c r="V30" s="385">
        <v>0</v>
      </c>
      <c r="W30" s="385">
        <v>0</v>
      </c>
      <c r="X30" s="385">
        <v>0</v>
      </c>
      <c r="Y30" s="385">
        <v>0</v>
      </c>
      <c r="Z30" s="391">
        <v>0</v>
      </c>
      <c r="AA30" s="381">
        <f t="shared" si="117"/>
        <v>0</v>
      </c>
      <c r="AB30" s="80">
        <v>0</v>
      </c>
      <c r="AC30" s="385">
        <v>0</v>
      </c>
      <c r="AD30" s="385">
        <v>0</v>
      </c>
      <c r="AE30" s="385">
        <v>0</v>
      </c>
      <c r="AF30" s="385">
        <v>0</v>
      </c>
      <c r="AG30" s="385">
        <v>0</v>
      </c>
      <c r="AH30" s="385">
        <v>0</v>
      </c>
      <c r="AI30" s="385">
        <v>0</v>
      </c>
      <c r="AJ30" s="385">
        <v>0</v>
      </c>
      <c r="AK30" s="385">
        <v>0</v>
      </c>
      <c r="AL30" s="385">
        <v>0</v>
      </c>
      <c r="AM30" s="391">
        <v>0</v>
      </c>
      <c r="AN30" s="381">
        <f t="shared" si="118"/>
        <v>0</v>
      </c>
      <c r="AO30" s="80">
        <v>0</v>
      </c>
      <c r="AP30" s="385">
        <v>0</v>
      </c>
      <c r="AQ30" s="385">
        <v>0</v>
      </c>
      <c r="AR30" s="385">
        <v>0</v>
      </c>
      <c r="AS30" s="385">
        <v>0</v>
      </c>
      <c r="AT30" s="385">
        <v>0</v>
      </c>
      <c r="AU30" s="385">
        <v>0</v>
      </c>
      <c r="AV30" s="385">
        <v>0</v>
      </c>
      <c r="AW30" s="385">
        <v>0</v>
      </c>
      <c r="AX30" s="385">
        <v>0</v>
      </c>
      <c r="AY30" s="385">
        <v>0</v>
      </c>
      <c r="AZ30" s="391">
        <v>0</v>
      </c>
      <c r="BA30" s="381">
        <f t="shared" si="119"/>
        <v>0</v>
      </c>
      <c r="BB30" s="80">
        <v>0</v>
      </c>
      <c r="BC30" s="385">
        <v>0</v>
      </c>
      <c r="BD30" s="385">
        <v>0</v>
      </c>
      <c r="BE30" s="385">
        <v>0</v>
      </c>
      <c r="BF30" s="385">
        <v>0</v>
      </c>
      <c r="BG30" s="385">
        <v>0</v>
      </c>
      <c r="BH30" s="385">
        <v>0</v>
      </c>
      <c r="BI30" s="385">
        <v>0</v>
      </c>
      <c r="BJ30" s="385">
        <v>0</v>
      </c>
      <c r="BK30" s="385">
        <v>0</v>
      </c>
      <c r="BL30" s="385">
        <v>0</v>
      </c>
      <c r="BM30" s="391">
        <v>0</v>
      </c>
      <c r="BN30" s="381">
        <f t="shared" si="120"/>
        <v>0</v>
      </c>
      <c r="BO30" s="80">
        <v>0</v>
      </c>
      <c r="BP30" s="385">
        <v>0</v>
      </c>
      <c r="BQ30" s="385">
        <v>0</v>
      </c>
      <c r="BR30" s="385">
        <v>0</v>
      </c>
      <c r="BS30" s="385">
        <v>0</v>
      </c>
      <c r="BT30" s="385">
        <v>0</v>
      </c>
      <c r="BU30" s="385">
        <v>0</v>
      </c>
      <c r="BV30" s="385">
        <v>0</v>
      </c>
      <c r="BW30" s="385">
        <v>0</v>
      </c>
      <c r="BX30" s="385">
        <v>0</v>
      </c>
      <c r="BY30" s="385">
        <v>0</v>
      </c>
      <c r="BZ30" s="391">
        <v>0</v>
      </c>
      <c r="CA30" s="381">
        <f t="shared" si="121"/>
        <v>0</v>
      </c>
      <c r="CB30" s="80">
        <v>0</v>
      </c>
      <c r="CC30" s="385">
        <v>0</v>
      </c>
      <c r="CD30" s="385">
        <v>0</v>
      </c>
      <c r="CE30" s="385">
        <v>0</v>
      </c>
      <c r="CF30" s="385">
        <v>0</v>
      </c>
      <c r="CG30" s="385">
        <v>0</v>
      </c>
      <c r="CH30" s="385">
        <v>0</v>
      </c>
      <c r="CI30" s="385">
        <v>0</v>
      </c>
      <c r="CJ30" s="385">
        <v>0</v>
      </c>
      <c r="CK30" s="385">
        <v>0</v>
      </c>
      <c r="CL30" s="385">
        <v>0</v>
      </c>
      <c r="CM30" s="391">
        <v>0</v>
      </c>
      <c r="CN30" s="381">
        <f t="shared" si="122"/>
        <v>0</v>
      </c>
      <c r="CO30" s="80">
        <v>0</v>
      </c>
      <c r="CP30" s="385">
        <v>0</v>
      </c>
      <c r="CQ30" s="385">
        <v>0</v>
      </c>
      <c r="CR30" s="385">
        <v>0</v>
      </c>
      <c r="CS30" s="385">
        <v>0</v>
      </c>
      <c r="CT30" s="385">
        <v>0</v>
      </c>
      <c r="CU30" s="385">
        <v>0</v>
      </c>
      <c r="CV30" s="385">
        <v>0</v>
      </c>
      <c r="CW30" s="385"/>
      <c r="CX30" s="385"/>
      <c r="CY30" s="385"/>
      <c r="CZ30" s="391"/>
      <c r="DA30" s="381"/>
      <c r="DB30" s="80"/>
      <c r="DC30" s="385"/>
      <c r="DD30" s="385"/>
      <c r="DE30" s="385"/>
      <c r="DF30" s="385"/>
      <c r="DG30" s="385"/>
      <c r="DH30" s="385"/>
      <c r="DI30" s="385"/>
      <c r="DJ30" s="385"/>
      <c r="DK30" s="385"/>
      <c r="DL30" s="385"/>
      <c r="DM30" s="391"/>
      <c r="DN30" s="381">
        <f t="shared" si="123"/>
        <v>0</v>
      </c>
      <c r="DO30" s="80"/>
      <c r="DP30" s="385"/>
      <c r="DQ30" s="385"/>
      <c r="DR30" s="385"/>
      <c r="DS30" s="385"/>
      <c r="DT30" s="385"/>
      <c r="DU30" s="385"/>
      <c r="DV30" s="385"/>
      <c r="DW30" s="385"/>
      <c r="DX30" s="385"/>
      <c r="DY30" s="385"/>
      <c r="DZ30" s="391"/>
      <c r="EA30" s="381">
        <f t="shared" si="124"/>
        <v>0</v>
      </c>
      <c r="EB30" s="80"/>
      <c r="EC30" s="385"/>
      <c r="ED30" s="385"/>
      <c r="EE30" s="385"/>
      <c r="EF30" s="385"/>
      <c r="EG30" s="385"/>
      <c r="EH30" s="385"/>
      <c r="EI30" s="385"/>
      <c r="EJ30" s="385"/>
      <c r="EK30" s="385"/>
      <c r="EL30" s="385"/>
      <c r="EM30" s="391"/>
      <c r="EN30" s="381">
        <f t="shared" si="125"/>
        <v>0</v>
      </c>
      <c r="EO30" s="80"/>
      <c r="EP30" s="385"/>
      <c r="EQ30" s="385"/>
      <c r="ER30" s="385"/>
      <c r="ES30" s="385"/>
      <c r="ET30" s="385"/>
      <c r="EU30" s="385"/>
      <c r="EV30" s="385"/>
      <c r="EW30" s="385"/>
      <c r="EX30" s="385"/>
      <c r="EY30" s="385"/>
      <c r="EZ30" s="391"/>
      <c r="FA30" s="381">
        <f t="shared" si="126"/>
        <v>0</v>
      </c>
      <c r="FB30" s="80"/>
      <c r="FC30" s="385"/>
      <c r="FD30" s="385"/>
      <c r="FE30" s="385"/>
      <c r="FF30" s="385"/>
      <c r="FG30" s="385"/>
      <c r="FH30" s="385"/>
      <c r="FI30" s="385"/>
      <c r="FJ30" s="385"/>
      <c r="FK30" s="385"/>
      <c r="FL30" s="385"/>
      <c r="FM30" s="391"/>
      <c r="FN30" s="381">
        <f t="shared" si="127"/>
        <v>0</v>
      </c>
      <c r="FO30" s="80"/>
      <c r="FP30" s="385"/>
      <c r="FQ30" s="385"/>
      <c r="FR30" s="385"/>
      <c r="FS30" s="385"/>
      <c r="FT30" s="385"/>
      <c r="FU30" s="385"/>
      <c r="FV30" s="385"/>
      <c r="FW30" s="385"/>
      <c r="FX30" s="385"/>
      <c r="FY30" s="385"/>
      <c r="FZ30" s="391"/>
      <c r="GA30" s="381"/>
      <c r="GB30" s="80"/>
      <c r="GC30" s="385"/>
      <c r="GD30" s="385"/>
      <c r="GE30" s="385"/>
      <c r="GF30" s="385"/>
      <c r="GG30" s="385"/>
      <c r="GH30" s="385"/>
      <c r="GI30" s="385"/>
      <c r="GJ30" s="385"/>
      <c r="GK30" s="385"/>
      <c r="GL30" s="385" t="str">
        <f>IFERROR(((FV30/FI30)-1)*100,"-")</f>
        <v>-</v>
      </c>
      <c r="GM30" s="391" t="str">
        <f>IFERROR(((FW30/FJ30)-1)*100,"-")</f>
        <v>-</v>
      </c>
      <c r="GN30" s="381"/>
      <c r="GO30" s="80"/>
      <c r="GP30" s="385"/>
      <c r="GQ30" s="385"/>
      <c r="GR30" s="385"/>
      <c r="GS30" s="385"/>
      <c r="GT30" s="385"/>
      <c r="GU30" s="385"/>
      <c r="GV30" s="385"/>
      <c r="GW30" s="385"/>
      <c r="GX30" s="385"/>
      <c r="GY30" s="385"/>
      <c r="GZ30" s="391"/>
      <c r="HA30" s="381">
        <f t="shared" si="43"/>
        <v>0</v>
      </c>
      <c r="HB30" s="80"/>
      <c r="HC30" s="385"/>
      <c r="HD30" s="385"/>
      <c r="HE30" s="385"/>
      <c r="HF30" s="385"/>
      <c r="HG30" s="385"/>
      <c r="HH30" s="385"/>
      <c r="HI30" s="385"/>
      <c r="HJ30" s="385"/>
      <c r="HK30" s="385"/>
      <c r="HL30" s="385"/>
      <c r="HM30" s="391"/>
      <c r="HN30" s="381">
        <f t="shared" si="45"/>
        <v>0</v>
      </c>
      <c r="HO30" s="80">
        <v>0</v>
      </c>
      <c r="HP30" s="385">
        <v>0</v>
      </c>
      <c r="HQ30" s="385">
        <v>0</v>
      </c>
      <c r="HR30" s="385">
        <v>0</v>
      </c>
      <c r="HS30" s="385">
        <v>0</v>
      </c>
      <c r="HT30" s="385">
        <v>0</v>
      </c>
      <c r="HU30" s="385">
        <v>0</v>
      </c>
      <c r="HV30" s="385">
        <v>0</v>
      </c>
      <c r="HW30" s="385">
        <v>0</v>
      </c>
      <c r="HX30" s="385">
        <v>0</v>
      </c>
      <c r="HY30" s="385">
        <v>0</v>
      </c>
      <c r="HZ30" s="391">
        <v>0</v>
      </c>
      <c r="IA30" s="379">
        <f t="shared" si="47"/>
        <v>0</v>
      </c>
      <c r="IB30" s="1344">
        <v>0</v>
      </c>
      <c r="IC30" s="120">
        <v>0</v>
      </c>
      <c r="ID30" s="120">
        <v>0</v>
      </c>
      <c r="IE30" s="120">
        <v>0</v>
      </c>
      <c r="IF30" s="120">
        <v>0</v>
      </c>
      <c r="IG30" s="120">
        <v>0</v>
      </c>
      <c r="IH30" s="120">
        <v>0</v>
      </c>
      <c r="II30" s="120">
        <v>0</v>
      </c>
      <c r="IJ30" s="120"/>
      <c r="IK30" s="120"/>
      <c r="IL30" s="120"/>
      <c r="IM30" s="1345"/>
      <c r="IN30" s="1346">
        <f t="shared" si="51"/>
        <v>0</v>
      </c>
      <c r="IO30" s="120"/>
      <c r="IP30" s="371" t="str">
        <f t="shared" si="128"/>
        <v/>
      </c>
      <c r="IQ30" s="348" t="str">
        <f t="shared" si="53"/>
        <v/>
      </c>
      <c r="IR30" s="320">
        <f t="shared" si="54"/>
        <v>0</v>
      </c>
      <c r="IS30" s="344">
        <f t="shared" si="55"/>
        <v>0</v>
      </c>
    </row>
    <row r="31" spans="1:255" ht="15" customHeight="1" x14ac:dyDescent="0.2">
      <c r="A31" s="349" t="s">
        <v>352</v>
      </c>
      <c r="B31" s="81"/>
      <c r="C31" s="386"/>
      <c r="D31" s="386"/>
      <c r="E31" s="386"/>
      <c r="F31" s="386"/>
      <c r="G31" s="386"/>
      <c r="H31" s="386"/>
      <c r="I31" s="386"/>
      <c r="J31" s="386"/>
      <c r="K31" s="386"/>
      <c r="L31" s="386"/>
      <c r="M31" s="392"/>
      <c r="N31" s="399"/>
      <c r="O31" s="81"/>
      <c r="P31" s="386"/>
      <c r="Q31" s="386"/>
      <c r="R31" s="386"/>
      <c r="S31" s="386"/>
      <c r="T31" s="386"/>
      <c r="U31" s="386"/>
      <c r="V31" s="386"/>
      <c r="W31" s="386"/>
      <c r="X31" s="386"/>
      <c r="Y31" s="386"/>
      <c r="Z31" s="392"/>
      <c r="AA31" s="399"/>
      <c r="AB31" s="81"/>
      <c r="AC31" s="386"/>
      <c r="AD31" s="386"/>
      <c r="AE31" s="386"/>
      <c r="AF31" s="386"/>
      <c r="AG31" s="386"/>
      <c r="AH31" s="386"/>
      <c r="AI31" s="386"/>
      <c r="AJ31" s="386"/>
      <c r="AK31" s="386"/>
      <c r="AL31" s="386"/>
      <c r="AM31" s="392"/>
      <c r="AN31" s="399"/>
      <c r="AO31" s="81"/>
      <c r="AP31" s="386"/>
      <c r="AQ31" s="386"/>
      <c r="AR31" s="386"/>
      <c r="AS31" s="386"/>
      <c r="AT31" s="386"/>
      <c r="AU31" s="386"/>
      <c r="AV31" s="386"/>
      <c r="AW31" s="386"/>
      <c r="AX31" s="386"/>
      <c r="AY31" s="386"/>
      <c r="AZ31" s="392"/>
      <c r="BA31" s="399"/>
      <c r="BB31" s="81"/>
      <c r="BC31" s="386"/>
      <c r="BD31" s="386"/>
      <c r="BE31" s="386"/>
      <c r="BF31" s="386"/>
      <c r="BG31" s="386"/>
      <c r="BH31" s="386"/>
      <c r="BI31" s="386"/>
      <c r="BJ31" s="386"/>
      <c r="BK31" s="386"/>
      <c r="BL31" s="386"/>
      <c r="BM31" s="392"/>
      <c r="BN31" s="399"/>
      <c r="BO31" s="81"/>
      <c r="BP31" s="386"/>
      <c r="BQ31" s="386"/>
      <c r="BR31" s="386"/>
      <c r="BS31" s="386"/>
      <c r="BT31" s="386"/>
      <c r="BU31" s="386"/>
      <c r="BV31" s="386"/>
      <c r="BW31" s="386"/>
      <c r="BX31" s="386"/>
      <c r="BY31" s="386"/>
      <c r="BZ31" s="392"/>
      <c r="CA31" s="399"/>
      <c r="CB31" s="81"/>
      <c r="CC31" s="386"/>
      <c r="CD31" s="386"/>
      <c r="CE31" s="386"/>
      <c r="CF31" s="386"/>
      <c r="CG31" s="386"/>
      <c r="CH31" s="386"/>
      <c r="CI31" s="386"/>
      <c r="CJ31" s="386"/>
      <c r="CK31" s="386"/>
      <c r="CL31" s="386"/>
      <c r="CM31" s="392"/>
      <c r="CN31" s="399"/>
      <c r="CO31" s="81"/>
      <c r="CP31" s="386"/>
      <c r="CQ31" s="386"/>
      <c r="CR31" s="386"/>
      <c r="CS31" s="386"/>
      <c r="CT31" s="386"/>
      <c r="CU31" s="386"/>
      <c r="CV31" s="386"/>
      <c r="CW31" s="386"/>
      <c r="CX31" s="386"/>
      <c r="CY31" s="386"/>
      <c r="CZ31" s="392"/>
      <c r="DA31" s="399"/>
      <c r="DB31" s="81"/>
      <c r="DC31" s="386"/>
      <c r="DD31" s="386"/>
      <c r="DE31" s="386"/>
      <c r="DF31" s="386"/>
      <c r="DG31" s="386"/>
      <c r="DH31" s="386"/>
      <c r="DI31" s="386"/>
      <c r="DJ31" s="386"/>
      <c r="DK31" s="386"/>
      <c r="DL31" s="386"/>
      <c r="DM31" s="392"/>
      <c r="DN31" s="399"/>
      <c r="DO31" s="81"/>
      <c r="DP31" s="386"/>
      <c r="DQ31" s="386"/>
      <c r="DR31" s="386"/>
      <c r="DS31" s="386"/>
      <c r="DT31" s="386"/>
      <c r="DU31" s="386"/>
      <c r="DV31" s="386"/>
      <c r="DW31" s="386"/>
      <c r="DX31" s="386"/>
      <c r="DY31" s="386"/>
      <c r="DZ31" s="392"/>
      <c r="EA31" s="399"/>
      <c r="EB31" s="81"/>
      <c r="EC31" s="386"/>
      <c r="ED31" s="386"/>
      <c r="EE31" s="386"/>
      <c r="EF31" s="386"/>
      <c r="EG31" s="386"/>
      <c r="EH31" s="386"/>
      <c r="EI31" s="386"/>
      <c r="EJ31" s="386"/>
      <c r="EK31" s="386"/>
      <c r="EL31" s="386"/>
      <c r="EM31" s="392"/>
      <c r="EN31" s="399"/>
      <c r="EO31" s="81"/>
      <c r="EP31" s="386"/>
      <c r="EQ31" s="386"/>
      <c r="ER31" s="386"/>
      <c r="ES31" s="386"/>
      <c r="ET31" s="386"/>
      <c r="EU31" s="386"/>
      <c r="EV31" s="386"/>
      <c r="EW31" s="386"/>
      <c r="EX31" s="386"/>
      <c r="EY31" s="386"/>
      <c r="EZ31" s="392"/>
      <c r="FA31" s="399"/>
      <c r="FB31" s="81"/>
      <c r="FC31" s="386"/>
      <c r="FD31" s="386"/>
      <c r="FE31" s="386"/>
      <c r="FF31" s="386"/>
      <c r="FG31" s="386"/>
      <c r="FH31" s="386"/>
      <c r="FI31" s="386"/>
      <c r="FJ31" s="386"/>
      <c r="FK31" s="386"/>
      <c r="FL31" s="386"/>
      <c r="FM31" s="392"/>
      <c r="FN31" s="399"/>
      <c r="FO31" s="81"/>
      <c r="FP31" s="386"/>
      <c r="FQ31" s="386"/>
      <c r="FR31" s="386"/>
      <c r="FS31" s="386"/>
      <c r="FT31" s="386"/>
      <c r="FU31" s="386"/>
      <c r="FV31" s="386"/>
      <c r="FW31" s="386"/>
      <c r="FX31" s="386"/>
      <c r="FY31" s="386"/>
      <c r="FZ31" s="392"/>
      <c r="GA31" s="399"/>
      <c r="GB31" s="81"/>
      <c r="GC31" s="386"/>
      <c r="GD31" s="386"/>
      <c r="GE31" s="386"/>
      <c r="GF31" s="386"/>
      <c r="GG31" s="386"/>
      <c r="GH31" s="386"/>
      <c r="GI31" s="386"/>
      <c r="GJ31" s="386"/>
      <c r="GK31" s="386"/>
      <c r="GL31" s="386"/>
      <c r="GM31" s="392"/>
      <c r="GN31" s="399"/>
      <c r="GO31" s="81"/>
      <c r="GP31" s="386"/>
      <c r="GQ31" s="386"/>
      <c r="GR31" s="386"/>
      <c r="GS31" s="386"/>
      <c r="GT31" s="386"/>
      <c r="GU31" s="386"/>
      <c r="GV31" s="386"/>
      <c r="GW31" s="386"/>
      <c r="GX31" s="386"/>
      <c r="GY31" s="386"/>
      <c r="GZ31" s="392"/>
      <c r="HA31" s="399"/>
      <c r="HB31" s="81"/>
      <c r="HC31" s="386"/>
      <c r="HD31" s="386"/>
      <c r="HE31" s="386"/>
      <c r="HF31" s="386"/>
      <c r="HG31" s="386"/>
      <c r="HH31" s="386"/>
      <c r="HI31" s="386"/>
      <c r="HJ31" s="386"/>
      <c r="HK31" s="386"/>
      <c r="HL31" s="386"/>
      <c r="HM31" s="392"/>
      <c r="HN31" s="399"/>
      <c r="HO31" s="81"/>
      <c r="HP31" s="386"/>
      <c r="HQ31" s="386"/>
      <c r="HR31" s="386"/>
      <c r="HS31" s="386"/>
      <c r="HT31" s="386"/>
      <c r="HU31" s="386"/>
      <c r="HV31" s="386"/>
      <c r="HW31" s="386"/>
      <c r="HX31" s="386"/>
      <c r="HY31" s="386"/>
      <c r="HZ31" s="392"/>
      <c r="IA31" s="1347"/>
      <c r="IB31" s="1347"/>
      <c r="IC31" s="1348"/>
      <c r="ID31" s="1348"/>
      <c r="IE31" s="1348"/>
      <c r="IF31" s="1348"/>
      <c r="IG31" s="1348"/>
      <c r="IH31" s="1348"/>
      <c r="II31" s="1348"/>
      <c r="IJ31" s="1348"/>
      <c r="IK31" s="1348"/>
      <c r="IL31" s="1348"/>
      <c r="IM31" s="1349"/>
      <c r="IN31" s="399"/>
      <c r="IO31" s="120"/>
      <c r="IP31" s="372"/>
      <c r="IQ31" s="351"/>
      <c r="IR31" s="352"/>
      <c r="IS31" s="350"/>
    </row>
    <row r="32" spans="1:255" ht="15" customHeight="1" x14ac:dyDescent="0.2">
      <c r="A32" s="353" t="s">
        <v>298</v>
      </c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  <c r="AA32" s="354"/>
      <c r="GM32" s="316"/>
      <c r="GN32" s="316"/>
      <c r="GO32" s="316"/>
      <c r="GP32" s="316"/>
      <c r="GQ32" s="316"/>
      <c r="GR32" s="316"/>
      <c r="GS32" s="316"/>
      <c r="GT32" s="316"/>
      <c r="GU32" s="316"/>
      <c r="GV32" s="316"/>
      <c r="GW32" s="316"/>
      <c r="GX32" s="316"/>
      <c r="GY32" s="316"/>
      <c r="GZ32" s="316"/>
      <c r="HA32" s="316"/>
      <c r="HB32" s="316"/>
      <c r="HC32" s="316"/>
      <c r="HD32" s="316"/>
      <c r="HE32" s="316"/>
      <c r="HF32" s="316"/>
      <c r="HG32" s="316"/>
      <c r="HH32" s="316"/>
      <c r="HI32" s="316"/>
      <c r="HJ32" s="316"/>
      <c r="HK32" s="316"/>
      <c r="HL32" s="316"/>
      <c r="HM32" s="316"/>
      <c r="HN32" s="316"/>
      <c r="HO32" s="316"/>
      <c r="HP32" s="316"/>
      <c r="HQ32" s="316"/>
      <c r="HR32" s="316"/>
      <c r="HS32" s="316"/>
      <c r="HT32" s="316"/>
      <c r="HU32" s="316"/>
      <c r="HV32" s="316"/>
      <c r="HW32" s="316"/>
      <c r="HX32" s="316"/>
      <c r="HY32" s="316"/>
      <c r="HZ32" s="316"/>
      <c r="IA32" s="316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</row>
    <row r="33" spans="1:255" ht="15" customHeight="1" x14ac:dyDescent="0.2">
      <c r="A33" s="1556" t="s">
        <v>127</v>
      </c>
      <c r="B33" s="356"/>
      <c r="C33" s="356"/>
      <c r="D33" s="356"/>
      <c r="E33" s="356"/>
      <c r="F33" s="356"/>
      <c r="G33" s="356"/>
      <c r="H33" s="356"/>
      <c r="I33" s="356"/>
      <c r="J33" s="356"/>
      <c r="K33" s="356"/>
      <c r="L33" s="356"/>
      <c r="M33" s="356"/>
      <c r="N33" s="356"/>
      <c r="O33" s="356">
        <f>+O23-O7</f>
        <v>0</v>
      </c>
      <c r="P33" s="356"/>
      <c r="Q33" s="356"/>
      <c r="R33" s="356"/>
      <c r="S33" s="356"/>
      <c r="T33" s="356"/>
      <c r="U33" s="356"/>
      <c r="V33" s="356">
        <f>+V23-V7</f>
        <v>0</v>
      </c>
      <c r="W33" s="356">
        <f>+W23-W7</f>
        <v>0</v>
      </c>
      <c r="X33" s="356">
        <f>+X23-X7</f>
        <v>0</v>
      </c>
      <c r="Y33" s="356"/>
      <c r="Z33" s="356"/>
      <c r="AA33" s="356"/>
      <c r="AB33" s="356">
        <f t="shared" ref="AB33:AN33" si="129">+AB23-AB7</f>
        <v>0</v>
      </c>
      <c r="AC33" s="393">
        <f t="shared" si="129"/>
        <v>0</v>
      </c>
      <c r="AD33" s="393">
        <f t="shared" si="129"/>
        <v>0</v>
      </c>
      <c r="AE33" s="393">
        <f t="shared" si="129"/>
        <v>0</v>
      </c>
      <c r="AF33" s="393">
        <f t="shared" si="129"/>
        <v>1</v>
      </c>
      <c r="AG33" s="393">
        <f t="shared" si="129"/>
        <v>0</v>
      </c>
      <c r="AH33" s="393">
        <f t="shared" si="129"/>
        <v>0</v>
      </c>
      <c r="AI33" s="393">
        <f t="shared" si="129"/>
        <v>0</v>
      </c>
      <c r="AJ33" s="393">
        <f t="shared" si="129"/>
        <v>-1</v>
      </c>
      <c r="AK33" s="393">
        <f t="shared" si="129"/>
        <v>0</v>
      </c>
      <c r="AL33" s="393">
        <f t="shared" si="129"/>
        <v>0</v>
      </c>
      <c r="AM33" s="393">
        <f t="shared" si="129"/>
        <v>0</v>
      </c>
      <c r="AN33" s="393">
        <f t="shared" si="129"/>
        <v>0</v>
      </c>
      <c r="AO33" s="393"/>
      <c r="AP33" s="393"/>
      <c r="AQ33" s="393"/>
      <c r="AR33" s="393"/>
      <c r="AS33" s="393"/>
      <c r="AT33" s="393"/>
      <c r="AU33" s="393"/>
      <c r="AV33" s="393"/>
      <c r="AW33" s="393"/>
      <c r="AX33" s="393"/>
      <c r="AY33" s="393"/>
      <c r="AZ33" s="393"/>
      <c r="BA33" s="393"/>
      <c r="BB33" s="393"/>
      <c r="BC33" s="393"/>
      <c r="BD33" s="393"/>
      <c r="BE33" s="393"/>
      <c r="BF33" s="393"/>
      <c r="BG33" s="393"/>
      <c r="BH33" s="393"/>
      <c r="BI33" s="393"/>
      <c r="BJ33" s="393"/>
      <c r="BK33" s="393"/>
      <c r="BL33" s="393"/>
      <c r="BM33" s="393"/>
      <c r="BN33" s="393"/>
      <c r="BO33" s="393"/>
      <c r="BP33" s="393"/>
      <c r="BQ33" s="393"/>
      <c r="BR33" s="393"/>
      <c r="BS33" s="393"/>
      <c r="BT33" s="393"/>
      <c r="BU33" s="393"/>
      <c r="BV33" s="393"/>
      <c r="BW33" s="393"/>
      <c r="BX33" s="393"/>
      <c r="BY33" s="393"/>
      <c r="BZ33" s="393"/>
      <c r="CA33" s="393"/>
      <c r="CB33" s="393"/>
      <c r="CC33" s="393"/>
      <c r="CD33" s="393"/>
      <c r="CE33" s="393"/>
      <c r="CF33" s="393"/>
      <c r="CG33" s="393"/>
      <c r="CH33" s="393"/>
      <c r="CI33" s="393"/>
      <c r="CJ33" s="393"/>
      <c r="CK33" s="393"/>
      <c r="CL33" s="393"/>
      <c r="CM33" s="393"/>
      <c r="CN33" s="393"/>
      <c r="CO33" s="393"/>
      <c r="CP33" s="393"/>
      <c r="CQ33" s="393"/>
      <c r="CR33" s="393"/>
      <c r="CS33" s="393"/>
      <c r="CT33" s="393"/>
      <c r="CU33" s="393"/>
      <c r="CV33" s="393"/>
      <c r="CW33" s="393"/>
      <c r="CX33" s="393"/>
      <c r="CY33" s="393"/>
      <c r="CZ33" s="393"/>
      <c r="DA33" s="393"/>
      <c r="DB33" s="393"/>
      <c r="DC33" s="393"/>
      <c r="DD33" s="393"/>
      <c r="DE33" s="393"/>
      <c r="DF33" s="393"/>
      <c r="DG33" s="393"/>
      <c r="DH33" s="393"/>
      <c r="DI33" s="393"/>
      <c r="DJ33" s="393"/>
      <c r="DK33" s="393"/>
      <c r="DL33" s="393"/>
      <c r="DM33" s="393"/>
      <c r="DN33" s="393"/>
      <c r="DO33" s="393"/>
      <c r="DP33" s="393"/>
      <c r="DQ33" s="393"/>
      <c r="DR33" s="393"/>
      <c r="DS33" s="393"/>
      <c r="DT33" s="393"/>
      <c r="DU33" s="393"/>
      <c r="DV33" s="393"/>
      <c r="DW33" s="393"/>
      <c r="DX33" s="393"/>
      <c r="DY33" s="393"/>
      <c r="DZ33" s="393"/>
      <c r="EA33" s="393"/>
      <c r="EB33" s="393"/>
      <c r="EC33" s="393"/>
      <c r="ED33" s="393"/>
      <c r="EE33" s="393"/>
      <c r="EF33" s="393"/>
      <c r="EG33" s="393"/>
      <c r="EH33" s="393"/>
      <c r="EI33" s="393"/>
      <c r="EJ33" s="393"/>
      <c r="EK33" s="393"/>
      <c r="EL33" s="393"/>
      <c r="EM33" s="393"/>
      <c r="EN33" s="393"/>
      <c r="EO33" s="393"/>
      <c r="EP33" s="393"/>
      <c r="EQ33" s="393"/>
      <c r="ER33" s="393"/>
      <c r="ES33" s="393"/>
      <c r="ET33" s="393"/>
      <c r="EU33" s="393"/>
      <c r="EV33" s="393"/>
      <c r="EW33" s="393"/>
      <c r="EX33" s="393"/>
      <c r="EY33" s="393"/>
      <c r="EZ33" s="393"/>
      <c r="FA33" s="393"/>
      <c r="FB33" s="393"/>
      <c r="FC33" s="393"/>
      <c r="FD33" s="393"/>
      <c r="FE33" s="393"/>
      <c r="FF33" s="393"/>
      <c r="FG33" s="393"/>
      <c r="FH33" s="393"/>
      <c r="FI33" s="393"/>
      <c r="FJ33" s="393"/>
      <c r="FK33" s="393"/>
      <c r="FL33" s="393"/>
      <c r="FM33" s="393"/>
      <c r="FN33" s="393"/>
      <c r="FO33" s="393"/>
      <c r="FP33" s="393"/>
      <c r="FQ33" s="393"/>
      <c r="FR33" s="393"/>
      <c r="FS33" s="393"/>
      <c r="FT33" s="393"/>
      <c r="FU33" s="393"/>
      <c r="FV33" s="393"/>
      <c r="FW33" s="393"/>
      <c r="FX33" s="393"/>
      <c r="FY33" s="393"/>
      <c r="FZ33" s="393"/>
      <c r="GA33" s="393"/>
      <c r="GB33" s="393"/>
      <c r="GC33" s="393"/>
      <c r="GD33" s="393"/>
      <c r="GE33" s="393"/>
      <c r="GF33" s="393"/>
      <c r="GG33" s="393"/>
      <c r="GH33" s="393"/>
      <c r="GI33" s="393"/>
      <c r="GJ33" s="393"/>
      <c r="GK33" s="393"/>
      <c r="GL33" s="393"/>
      <c r="GM33" s="394"/>
      <c r="GN33" s="394"/>
      <c r="GO33" s="394"/>
      <c r="GP33" s="394"/>
      <c r="GQ33" s="394"/>
      <c r="GR33" s="394"/>
      <c r="GS33" s="394"/>
      <c r="GT33" s="394"/>
      <c r="GU33" s="394"/>
      <c r="GV33" s="394"/>
      <c r="GW33" s="394"/>
      <c r="GX33" s="394"/>
      <c r="GY33" s="394"/>
      <c r="GZ33" s="394"/>
      <c r="HA33" s="394"/>
      <c r="HB33" s="394"/>
      <c r="HC33" s="394"/>
      <c r="HD33" s="394"/>
      <c r="HE33" s="394"/>
      <c r="HF33" s="394"/>
      <c r="HG33" s="394"/>
      <c r="HH33" s="394"/>
      <c r="HI33" s="394"/>
      <c r="HJ33" s="394"/>
      <c r="HK33" s="394"/>
      <c r="HL33" s="394"/>
      <c r="HM33" s="394"/>
      <c r="HN33" s="394"/>
      <c r="HO33" s="394"/>
      <c r="HP33" s="394"/>
      <c r="HQ33" s="394"/>
      <c r="HR33" s="394"/>
      <c r="HS33" s="394"/>
      <c r="HT33" s="394"/>
      <c r="HU33" s="394"/>
      <c r="HV33" s="394"/>
      <c r="HW33" s="394"/>
      <c r="HX33" s="394"/>
      <c r="HY33" s="394"/>
      <c r="HZ33" s="394"/>
      <c r="IA33" s="394"/>
      <c r="IB33" s="120"/>
      <c r="IC33" s="120"/>
      <c r="ID33" s="120"/>
      <c r="IE33" s="120"/>
      <c r="IF33" s="120"/>
      <c r="IG33" s="120"/>
      <c r="IH33" s="120"/>
      <c r="II33" s="120"/>
      <c r="IJ33" s="120"/>
      <c r="IK33" s="120"/>
      <c r="IL33" s="120"/>
      <c r="IM33" s="120"/>
      <c r="IN33" s="120"/>
      <c r="IO33" s="120"/>
      <c r="IP33" s="393"/>
      <c r="IQ33" s="393"/>
    </row>
    <row r="34" spans="1:255" ht="15" customHeight="1" x14ac:dyDescent="0.2">
      <c r="A34" s="317" t="s">
        <v>352</v>
      </c>
      <c r="GM34" s="316"/>
      <c r="GN34" s="316"/>
      <c r="GO34" s="316"/>
      <c r="GP34" s="316"/>
      <c r="GQ34" s="316"/>
      <c r="GR34" s="316"/>
      <c r="GS34" s="316"/>
      <c r="GT34" s="316"/>
      <c r="GU34" s="316"/>
      <c r="GV34" s="316"/>
      <c r="GW34" s="316"/>
      <c r="GX34" s="316"/>
      <c r="GY34" s="316"/>
      <c r="GZ34" s="316"/>
      <c r="HA34" s="316"/>
      <c r="HB34" s="316"/>
      <c r="HC34" s="316"/>
      <c r="HD34" s="316"/>
      <c r="HE34" s="316"/>
      <c r="HF34" s="316"/>
      <c r="HG34" s="316"/>
      <c r="HH34" s="316"/>
      <c r="HI34" s="316"/>
      <c r="HJ34" s="316"/>
      <c r="HK34" s="316"/>
      <c r="HL34" s="316"/>
      <c r="HM34" s="316"/>
      <c r="HN34" s="316"/>
      <c r="HO34" s="316"/>
      <c r="HP34" s="316"/>
      <c r="HQ34" s="316"/>
      <c r="HR34" s="316"/>
      <c r="HS34" s="316"/>
      <c r="HT34" s="316"/>
      <c r="HU34" s="316"/>
      <c r="HV34" s="316"/>
      <c r="HW34" s="316"/>
      <c r="HX34" s="316"/>
      <c r="HY34" s="316"/>
      <c r="HZ34" s="316"/>
      <c r="IA34" s="316"/>
    </row>
    <row r="35" spans="1:255" ht="15" customHeight="1" x14ac:dyDescent="0.2">
      <c r="A35" s="1524" t="s">
        <v>314</v>
      </c>
      <c r="B35" s="315"/>
      <c r="C35" s="315"/>
      <c r="D35" s="315"/>
      <c r="E35" s="315"/>
      <c r="F35" s="315"/>
      <c r="G35" s="315"/>
      <c r="H35" s="3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Y35" s="315"/>
      <c r="Z35" s="315"/>
      <c r="AA35" s="315"/>
      <c r="AB35" s="316"/>
      <c r="AC35" s="316"/>
      <c r="AD35" s="316"/>
      <c r="AE35" s="316"/>
      <c r="AF35" s="316"/>
      <c r="AG35" s="316"/>
      <c r="AH35" s="316"/>
      <c r="AI35" s="316"/>
      <c r="AJ35" s="316"/>
      <c r="AK35" s="316"/>
      <c r="AL35" s="316"/>
      <c r="AM35" s="316"/>
      <c r="AN35" s="316"/>
      <c r="AO35" s="316"/>
      <c r="AP35" s="316"/>
      <c r="AQ35" s="316"/>
      <c r="AR35" s="316"/>
      <c r="AS35" s="316"/>
      <c r="AT35" s="316"/>
      <c r="AU35" s="316"/>
      <c r="AV35" s="316"/>
      <c r="AW35" s="316"/>
      <c r="AX35" s="316"/>
      <c r="AY35" s="316"/>
      <c r="AZ35" s="316"/>
      <c r="BA35" s="316"/>
      <c r="BB35" s="316"/>
      <c r="BC35" s="316"/>
      <c r="BD35" s="316"/>
      <c r="BE35" s="316"/>
      <c r="BF35" s="316"/>
      <c r="BG35" s="316"/>
      <c r="BH35" s="316"/>
      <c r="BI35" s="316"/>
      <c r="BJ35" s="316"/>
      <c r="BK35" s="316"/>
      <c r="BL35" s="316"/>
      <c r="BM35" s="316"/>
      <c r="BN35" s="316"/>
      <c r="BO35" s="316"/>
      <c r="BP35" s="316"/>
      <c r="BQ35" s="316"/>
      <c r="BR35" s="316"/>
      <c r="BS35" s="316"/>
      <c r="BT35" s="316"/>
      <c r="BU35" s="316"/>
      <c r="BV35" s="316"/>
      <c r="BW35" s="316"/>
      <c r="BX35" s="316"/>
      <c r="BY35" s="316"/>
      <c r="BZ35" s="316"/>
      <c r="CA35" s="316"/>
      <c r="CB35" s="316"/>
      <c r="CC35" s="316"/>
      <c r="CD35" s="316"/>
      <c r="CE35" s="316"/>
      <c r="CF35" s="316"/>
      <c r="CG35" s="316"/>
      <c r="CH35" s="316"/>
      <c r="CI35" s="316"/>
      <c r="CJ35" s="316"/>
      <c r="CK35" s="316"/>
      <c r="CL35" s="316"/>
      <c r="CM35" s="316"/>
      <c r="CN35" s="316"/>
      <c r="CO35" s="316"/>
      <c r="CP35" s="316"/>
      <c r="CQ35" s="316"/>
      <c r="CR35" s="316"/>
      <c r="CS35" s="316"/>
      <c r="CT35" s="316"/>
      <c r="CU35" s="316"/>
      <c r="CV35" s="316"/>
      <c r="CW35" s="316"/>
      <c r="CX35" s="316"/>
      <c r="CY35" s="316"/>
      <c r="CZ35" s="316"/>
      <c r="DA35" s="316"/>
      <c r="DB35" s="316"/>
      <c r="DC35" s="316"/>
      <c r="DD35" s="316"/>
      <c r="DE35" s="316"/>
      <c r="DF35" s="316"/>
      <c r="DG35" s="316"/>
      <c r="DH35" s="316"/>
      <c r="DI35" s="316"/>
      <c r="DJ35" s="316"/>
      <c r="DK35" s="316"/>
      <c r="DL35" s="316"/>
      <c r="DM35" s="316"/>
      <c r="DN35" s="316"/>
      <c r="DO35" s="316"/>
      <c r="DP35" s="316"/>
      <c r="DQ35" s="316"/>
      <c r="DR35" s="316"/>
      <c r="DS35" s="316"/>
      <c r="DT35" s="316"/>
      <c r="DU35" s="316"/>
      <c r="DV35" s="316"/>
      <c r="DW35" s="316"/>
      <c r="DX35" s="316"/>
      <c r="DY35" s="316"/>
      <c r="DZ35" s="316"/>
      <c r="EA35" s="316"/>
      <c r="EB35" s="316"/>
      <c r="EC35" s="316"/>
      <c r="ED35" s="316"/>
      <c r="EE35" s="316"/>
      <c r="EF35" s="316"/>
      <c r="EG35" s="316"/>
      <c r="EH35" s="316"/>
      <c r="EI35" s="316"/>
      <c r="EJ35" s="316"/>
      <c r="IB35" s="120"/>
      <c r="IC35" s="120"/>
      <c r="ID35" s="120"/>
      <c r="IE35" s="120"/>
      <c r="IF35" s="120"/>
      <c r="IG35" s="120"/>
      <c r="IH35" s="120"/>
      <c r="II35" s="120"/>
      <c r="IJ35" s="120"/>
      <c r="IK35" s="120"/>
      <c r="IL35" s="120"/>
      <c r="IM35" s="120"/>
      <c r="IN35" s="120"/>
      <c r="IO35" s="120"/>
    </row>
    <row r="36" spans="1:255" ht="15" customHeight="1" x14ac:dyDescent="0.2">
      <c r="A36" s="1524" t="s">
        <v>460</v>
      </c>
      <c r="B36" s="318"/>
      <c r="C36" s="318"/>
      <c r="D36" s="318"/>
      <c r="E36" s="318"/>
      <c r="F36" s="318"/>
      <c r="G36" s="318"/>
      <c r="H36" s="318"/>
      <c r="I36" s="318"/>
      <c r="J36" s="318"/>
      <c r="K36" s="318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6"/>
      <c r="AC36" s="316"/>
      <c r="AD36" s="316"/>
      <c r="AE36" s="316"/>
      <c r="AF36" s="316"/>
      <c r="AG36" s="316"/>
      <c r="AH36" s="316"/>
      <c r="AI36" s="316"/>
      <c r="AJ36" s="316"/>
      <c r="AK36" s="316"/>
      <c r="AL36" s="316"/>
      <c r="AM36" s="316"/>
      <c r="AN36" s="316"/>
      <c r="AO36" s="316"/>
      <c r="AP36" s="316"/>
      <c r="AQ36" s="316"/>
      <c r="AR36" s="316"/>
      <c r="AS36" s="316"/>
      <c r="AT36" s="316"/>
      <c r="AU36" s="316"/>
      <c r="AV36" s="316"/>
      <c r="AW36" s="316"/>
      <c r="AX36" s="316"/>
      <c r="AY36" s="316"/>
      <c r="AZ36" s="316"/>
      <c r="BA36" s="316"/>
      <c r="BB36" s="316"/>
      <c r="BC36" s="316"/>
      <c r="BD36" s="316"/>
      <c r="BE36" s="316"/>
      <c r="BF36" s="316"/>
      <c r="BG36" s="316"/>
      <c r="BH36" s="316"/>
      <c r="BI36" s="316"/>
      <c r="BJ36" s="316"/>
      <c r="BK36" s="316"/>
      <c r="BL36" s="316"/>
      <c r="BM36" s="319"/>
      <c r="BN36" s="319"/>
      <c r="BO36" s="319"/>
      <c r="BP36" s="319"/>
      <c r="BQ36" s="319"/>
      <c r="BR36" s="319"/>
      <c r="BS36" s="319"/>
      <c r="BT36" s="319"/>
      <c r="BU36" s="319"/>
      <c r="BV36" s="319"/>
      <c r="BW36" s="319"/>
      <c r="BX36" s="319"/>
      <c r="BY36" s="319"/>
      <c r="BZ36" s="319"/>
      <c r="CA36" s="319"/>
      <c r="CB36" s="319"/>
      <c r="CC36" s="319"/>
      <c r="CD36" s="319"/>
      <c r="CE36" s="319"/>
      <c r="CF36" s="319"/>
      <c r="CG36" s="319"/>
      <c r="CH36" s="319"/>
      <c r="CI36" s="319"/>
      <c r="CJ36" s="319"/>
      <c r="CK36" s="319"/>
      <c r="CL36" s="319"/>
      <c r="CM36" s="319"/>
      <c r="CN36" s="319"/>
      <c r="CO36" s="319">
        <f>((CO37/CM37)-1)*100</f>
        <v>0.17000000000000348</v>
      </c>
      <c r="CP36" s="319">
        <f t="shared" ref="CP36:CZ36" si="130">((CP37/CO37)-1)*100</f>
        <v>0.30000000000001137</v>
      </c>
      <c r="CQ36" s="319">
        <f t="shared" si="130"/>
        <v>0.75999999999998291</v>
      </c>
      <c r="CR36" s="319">
        <f t="shared" si="130"/>
        <v>0.39000000000000146</v>
      </c>
      <c r="CS36" s="319">
        <f t="shared" si="130"/>
        <v>0.56000000000002714</v>
      </c>
      <c r="CT36" s="319">
        <f t="shared" si="130"/>
        <v>0.33000000000003027</v>
      </c>
      <c r="CU36" s="319">
        <f t="shared" si="130"/>
        <v>0.44999999999997264</v>
      </c>
      <c r="CV36" s="319">
        <f t="shared" si="130"/>
        <v>0.38000000000000256</v>
      </c>
      <c r="CW36" s="319">
        <f t="shared" si="130"/>
        <v>2.9999999999930083E-2</v>
      </c>
      <c r="CX36" s="319">
        <f t="shared" si="130"/>
        <v>0.1400000000000734</v>
      </c>
      <c r="CY36" s="319">
        <f t="shared" si="130"/>
        <v>0.34000000000000696</v>
      </c>
      <c r="CZ36" s="319">
        <f t="shared" si="130"/>
        <v>0.44999999999999485</v>
      </c>
      <c r="DA36" s="319"/>
      <c r="DB36" s="319">
        <f>((DB37/CZ37)-1)*100</f>
        <v>0.37000000000000366</v>
      </c>
      <c r="DC36" s="319">
        <f t="shared" ref="DC36:DM36" si="131">((DC37/DB37)-1)*100</f>
        <v>0.17000000000000348</v>
      </c>
      <c r="DD36" s="319">
        <f t="shared" si="131"/>
        <v>0.60000000000000053</v>
      </c>
      <c r="DE36" s="319">
        <f t="shared" si="131"/>
        <v>9.9999999999988987E-3</v>
      </c>
      <c r="DF36" s="319">
        <f t="shared" si="131"/>
        <v>0.20999999999997687</v>
      </c>
      <c r="DG36" s="319">
        <f t="shared" si="131"/>
        <v>0.14000000000000679</v>
      </c>
      <c r="DH36" s="319">
        <f t="shared" si="131"/>
        <v>7.9999999999991189E-2</v>
      </c>
      <c r="DI36" s="319">
        <f t="shared" si="131"/>
        <v>0.36000000000000476</v>
      </c>
      <c r="DJ36" s="319">
        <f t="shared" si="131"/>
        <v>0.20999999999997687</v>
      </c>
      <c r="DK36" s="319">
        <f t="shared" si="131"/>
        <v>0.40999999999999925</v>
      </c>
      <c r="DL36" s="319">
        <f t="shared" si="131"/>
        <v>0.29000000000001247</v>
      </c>
      <c r="DM36" s="319">
        <f t="shared" si="131"/>
        <v>0.33000000000000806</v>
      </c>
      <c r="DN36" s="319"/>
      <c r="DO36" s="319">
        <f>((DO37/DM37)-1)*100</f>
        <v>0.23999999999997357</v>
      </c>
      <c r="DP36" s="319">
        <f t="shared" ref="DP36:DZ36" si="132">((DP37/DO37)-1)*100</f>
        <v>0.32000000000000917</v>
      </c>
      <c r="DQ36" s="319">
        <f t="shared" si="132"/>
        <v>1.2999999999999901</v>
      </c>
      <c r="DR36" s="319">
        <f t="shared" si="132"/>
        <v>-0.25999999999999357</v>
      </c>
      <c r="DS36" s="319">
        <f t="shared" si="132"/>
        <v>-0.41999999999998705</v>
      </c>
      <c r="DT36" s="319">
        <f t="shared" si="132"/>
        <v>-0.15999999999998238</v>
      </c>
      <c r="DU36" s="319">
        <f t="shared" si="132"/>
        <v>0.20000000000000018</v>
      </c>
      <c r="DV36" s="319">
        <f t="shared" si="132"/>
        <v>0.67000000000001503</v>
      </c>
      <c r="DW36" s="319">
        <f t="shared" si="132"/>
        <v>-2.00000000000089E-2</v>
      </c>
      <c r="DX36" s="319">
        <f t="shared" si="132"/>
        <v>-0.46999999999999265</v>
      </c>
      <c r="DY36" s="319">
        <f t="shared" si="132"/>
        <v>-0.20000000000002238</v>
      </c>
      <c r="DZ36" s="319">
        <f t="shared" si="132"/>
        <v>0.16000000000000458</v>
      </c>
      <c r="EA36" s="319"/>
      <c r="EB36" s="319">
        <f>((EB37/DZ37)-1)*100</f>
        <v>0.12999999999998568</v>
      </c>
      <c r="EC36" s="319">
        <f t="shared" ref="EC36:EM36" si="133">((EC37/EB37)-1)*100</f>
        <v>0.25000000000001688</v>
      </c>
      <c r="ED36" s="319">
        <f t="shared" si="133"/>
        <v>0.48999999999999044</v>
      </c>
      <c r="EE36" s="319">
        <f t="shared" si="133"/>
        <v>-0.13999999999998458</v>
      </c>
      <c r="EF36" s="319">
        <f t="shared" si="133"/>
        <v>1.9999999999997797E-2</v>
      </c>
      <c r="EG36" s="319">
        <f t="shared" si="133"/>
        <v>0.32999999999998586</v>
      </c>
      <c r="EH36" s="319">
        <f t="shared" si="133"/>
        <v>0.37999999999998035</v>
      </c>
      <c r="EI36" s="319">
        <f t="shared" si="133"/>
        <v>0.13000000000000789</v>
      </c>
      <c r="EJ36" s="319">
        <f t="shared" si="133"/>
        <v>0.19000000000000128</v>
      </c>
      <c r="EK36" s="320">
        <f t="shared" si="133"/>
        <v>7.9999999999991189E-2</v>
      </c>
      <c r="EL36" s="320">
        <f t="shared" si="133"/>
        <v>0.11999999999998678</v>
      </c>
      <c r="EM36" s="320">
        <f t="shared" si="133"/>
        <v>0.18000000000000238</v>
      </c>
      <c r="EN36" s="320"/>
      <c r="EO36" s="320">
        <f>((EO37/EM37)-1)*100</f>
        <v>6.9999999999992291E-2</v>
      </c>
      <c r="EP36" s="320">
        <f>((EP37/EO37)-1)*100</f>
        <v>0.13000000000000789</v>
      </c>
      <c r="EQ36" s="320">
        <f>((EQ37/EP37)-1)*100</f>
        <v>0.72999999999998622</v>
      </c>
      <c r="ER36" s="320">
        <f>((ER37/EQ37)-1)*100</f>
        <v>0.20000000000000018</v>
      </c>
      <c r="ES36" s="320">
        <f>((ES37/ER37)-1)*100</f>
        <v>0.15000000000000568</v>
      </c>
      <c r="ET36" s="320">
        <f t="shared" ref="ET36:EZ36" si="134">((ET37/ES37)-1)*100</f>
        <v>-9.000000000000119E-2</v>
      </c>
      <c r="EU36" s="320">
        <f t="shared" si="134"/>
        <v>0.20000000000000018</v>
      </c>
      <c r="EV36" s="320">
        <f t="shared" si="134"/>
        <v>6.0000000000015596E-2</v>
      </c>
      <c r="EW36" s="320">
        <f t="shared" si="134"/>
        <v>9.9999999999988987E-3</v>
      </c>
      <c r="EX36" s="320">
        <f t="shared" si="134"/>
        <v>0.10999999999998789</v>
      </c>
      <c r="EY36" s="320">
        <f t="shared" si="134"/>
        <v>0.10999999999998789</v>
      </c>
      <c r="EZ36" s="320">
        <f t="shared" si="134"/>
        <v>0.20999999999999908</v>
      </c>
      <c r="FA36" s="320"/>
      <c r="FB36" s="320">
        <f>((FB37/EZ37)-1)*100</f>
        <v>4.9999999999994493E-2</v>
      </c>
      <c r="FC36" s="320">
        <f t="shared" ref="FC36:FM36" si="135">((FC37/FB37)-1)*100</f>
        <v>0.14000000000000679</v>
      </c>
      <c r="FD36" s="320">
        <f t="shared" si="135"/>
        <v>0.64999999999999503</v>
      </c>
      <c r="FE36" s="320">
        <f t="shared" si="135"/>
        <v>9.9999999999988987E-2</v>
      </c>
      <c r="FF36" s="320">
        <f t="shared" si="135"/>
        <v>0.20000000000000018</v>
      </c>
      <c r="FG36" s="320">
        <f t="shared" si="135"/>
        <v>-0.27000000000000357</v>
      </c>
      <c r="FH36" s="320">
        <f t="shared" si="135"/>
        <v>0.4599999999997717</v>
      </c>
      <c r="FI36" s="320">
        <f t="shared" si="135"/>
        <v>-0.10999999999948828</v>
      </c>
      <c r="FJ36" s="317">
        <f t="shared" si="135"/>
        <v>0.13999999999962931</v>
      </c>
      <c r="FK36" s="317">
        <f t="shared" si="135"/>
        <v>2.0000000000131024E-2</v>
      </c>
      <c r="FL36" s="317">
        <f t="shared" si="135"/>
        <v>0.52000000000000934</v>
      </c>
      <c r="FM36" s="317">
        <f t="shared" si="135"/>
        <v>4.9999999999994493E-2</v>
      </c>
      <c r="FO36" s="317">
        <f>((FO37/FM37)-1)*100</f>
        <v>0.74000000000000732</v>
      </c>
      <c r="FP36" s="317">
        <f t="shared" ref="FP36:FZ36" si="136">((FP37/FO37)-1)*100</f>
        <v>-0.12999999999998568</v>
      </c>
      <c r="FQ36" s="317">
        <f t="shared" si="136"/>
        <v>0.83999999999999631</v>
      </c>
      <c r="FR36" s="317">
        <f t="shared" si="136"/>
        <v>-0.10000000000000009</v>
      </c>
      <c r="FS36" s="317">
        <f t="shared" si="136"/>
        <v>0.26999999999999247</v>
      </c>
      <c r="FT36" s="317">
        <f t="shared" si="136"/>
        <v>0.52000000000009816</v>
      </c>
      <c r="FU36" s="317">
        <f t="shared" si="136"/>
        <v>1.009999999999911</v>
      </c>
      <c r="FV36" s="317">
        <f t="shared" si="136"/>
        <v>0.98000000000000309</v>
      </c>
      <c r="FW36" s="317">
        <f t="shared" si="136"/>
        <v>0.40000000000000036</v>
      </c>
      <c r="FX36" s="317">
        <f t="shared" si="136"/>
        <v>0.58000000000000274</v>
      </c>
      <c r="FY36" s="317">
        <f t="shared" si="136"/>
        <v>0.36000000000000476</v>
      </c>
      <c r="FZ36" s="317">
        <f t="shared" si="136"/>
        <v>0.78000000000000291</v>
      </c>
      <c r="GB36" s="321">
        <f>((GB37/FZ37)-1)*100</f>
        <v>3.9999999999995595E-2</v>
      </c>
      <c r="GC36" s="321">
        <f t="shared" ref="GC36:GK36" si="137">((GC37/GB37)-1)*100</f>
        <v>0.31145630976847638</v>
      </c>
      <c r="GD36" s="321">
        <f t="shared" si="137"/>
        <v>1.4799999999999924</v>
      </c>
      <c r="GE36" s="321">
        <f t="shared" si="137"/>
        <v>0.96000000000000529</v>
      </c>
      <c r="GF36" s="321">
        <f t="shared" si="137"/>
        <v>0.38000000000000256</v>
      </c>
      <c r="GG36" s="321">
        <f t="shared" si="137"/>
        <v>1.1900000000000022</v>
      </c>
      <c r="GH36" s="321">
        <f t="shared" si="137"/>
        <v>0.9400000000000075</v>
      </c>
      <c r="GI36" s="321">
        <f t="shared" si="137"/>
        <v>0.66999999999999282</v>
      </c>
      <c r="GJ36" s="321">
        <f t="shared" si="137"/>
        <v>0.52000000000000934</v>
      </c>
      <c r="GK36" s="321">
        <f t="shared" si="137"/>
        <v>0.35000000000000586</v>
      </c>
      <c r="GL36" s="321">
        <f>((GL37/GK37)-1)*100</f>
        <v>0.52000000000000934</v>
      </c>
      <c r="GM36" s="321">
        <f>((GM37/GL37)-1)*100</f>
        <v>0.79000000000000181</v>
      </c>
      <c r="GN36" s="321"/>
      <c r="GO36" s="321">
        <f>((GO37/GM37)-1)*100</f>
        <v>0.22999999999999687</v>
      </c>
      <c r="GP36" s="321">
        <f t="shared" ref="GP36:GZ36" si="138">((GP37/GO37)-1)*100</f>
        <v>0.28999999999999027</v>
      </c>
      <c r="GQ36" s="321">
        <f t="shared" si="138"/>
        <v>1.2499999999999956</v>
      </c>
      <c r="GR36" s="321">
        <f t="shared" si="138"/>
        <v>0.56000000000000494</v>
      </c>
      <c r="GS36" s="321">
        <f t="shared" si="138"/>
        <v>0.32000000000000917</v>
      </c>
      <c r="GT36" s="321">
        <f t="shared" si="138"/>
        <v>-0.14999999999999458</v>
      </c>
      <c r="GU36" s="321">
        <f t="shared" si="138"/>
        <v>0.39000000000000146</v>
      </c>
      <c r="GV36" s="321">
        <f t="shared" si="138"/>
        <v>0.38000000000000256</v>
      </c>
      <c r="GW36" s="321">
        <f t="shared" si="138"/>
        <v>1.9999999999997797E-2</v>
      </c>
      <c r="GX36" s="321">
        <f t="shared" si="138"/>
        <v>-0.31999999999999806</v>
      </c>
      <c r="GY36" s="321">
        <f t="shared" si="138"/>
        <v>-0.16000000000000458</v>
      </c>
      <c r="GZ36" s="321">
        <f t="shared" si="138"/>
        <v>0.40999999999999925</v>
      </c>
      <c r="HA36" s="321"/>
      <c r="HB36" s="321">
        <f>((HB37/GZ37)-1)*100</f>
        <v>1.9999999999997797E-2</v>
      </c>
      <c r="HC36" s="321">
        <f t="shared" ref="HC36:HM36" si="139">((HC37/HB37)-1)*100</f>
        <v>0.56000000000000494</v>
      </c>
      <c r="HD36" s="321">
        <f t="shared" si="139"/>
        <v>1.0099999999999998</v>
      </c>
      <c r="HE36" s="321">
        <f t="shared" si="139"/>
        <v>-4.9999999999994493E-2</v>
      </c>
      <c r="HF36" s="321">
        <f t="shared" si="139"/>
        <v>-9.000000000000119E-2</v>
      </c>
      <c r="HG36" s="321">
        <f t="shared" si="139"/>
        <v>0.12000000000000899</v>
      </c>
      <c r="HH36" s="321">
        <f t="shared" si="139"/>
        <v>0.23999999999999577</v>
      </c>
      <c r="HI36" s="321">
        <f t="shared" si="139"/>
        <v>0.27999999999999137</v>
      </c>
      <c r="HJ36" s="321">
        <f t="shared" si="139"/>
        <v>-0.23999999999999577</v>
      </c>
      <c r="HK36" s="321">
        <f t="shared" si="139"/>
        <v>-8.9999999999990088E-2</v>
      </c>
      <c r="HL36" s="321">
        <f t="shared" si="139"/>
        <v>8.9999999999990088E-2</v>
      </c>
      <c r="HM36" s="321">
        <f t="shared" si="139"/>
        <v>0.11000000000001009</v>
      </c>
      <c r="HN36" s="321"/>
      <c r="HO36" s="321">
        <f>((HO37/HM37)-1)*100</f>
        <v>-9.000000000000119E-2</v>
      </c>
      <c r="HP36" s="321">
        <f t="shared" ref="HP36:HZ36" si="140">((HP37/HO37)-1)*100</f>
        <v>0.19000000000000128</v>
      </c>
      <c r="HQ36" s="321">
        <f t="shared" si="140"/>
        <v>0.80999999999999961</v>
      </c>
      <c r="HR36" s="321">
        <f t="shared" si="140"/>
        <v>0.32000000000000917</v>
      </c>
      <c r="HS36" s="321">
        <f t="shared" si="140"/>
        <v>-6.0000000000004494E-2</v>
      </c>
      <c r="HT36" s="321">
        <f t="shared" si="140"/>
        <v>0.13000000000000789</v>
      </c>
      <c r="HU36" s="321">
        <f t="shared" si="140"/>
        <v>0.22999999999999687</v>
      </c>
      <c r="HV36" s="321">
        <f t="shared" si="140"/>
        <v>-0.29000000000000137</v>
      </c>
      <c r="HW36" s="321">
        <f t="shared" si="140"/>
        <v>9.9999999999988987E-3</v>
      </c>
      <c r="HX36" s="321">
        <f t="shared" si="140"/>
        <v>-0.10000000000000009</v>
      </c>
      <c r="HY36" s="321">
        <f t="shared" si="140"/>
        <v>0.11000000000001009</v>
      </c>
      <c r="HZ36" s="321">
        <f t="shared" si="140"/>
        <v>0.23999999999999577</v>
      </c>
      <c r="IA36" s="321"/>
      <c r="IB36" s="1352">
        <f>((IB37/HZ37)-1)*100</f>
        <v>9.9999999999988987E-2</v>
      </c>
      <c r="IC36" s="1352">
        <f t="shared" ref="IC36:II36" si="141">((IC37/IB37)-1)*100</f>
        <v>0.68999999999999062</v>
      </c>
      <c r="ID36" s="1352">
        <f t="shared" si="141"/>
        <v>2.3800000000000043</v>
      </c>
      <c r="IE36" s="1352">
        <f t="shared" si="141"/>
        <v>0.52000000000000934</v>
      </c>
      <c r="IF36" s="1352">
        <f t="shared" si="141"/>
        <v>-0.16000000000000458</v>
      </c>
      <c r="IG36" s="1352">
        <f t="shared" si="141"/>
        <v>0.22999999999981924</v>
      </c>
      <c r="IH36" s="1352">
        <f t="shared" si="141"/>
        <v>0.2900000000001679</v>
      </c>
      <c r="II36" s="1352">
        <f t="shared" si="141"/>
        <v>6.9999999999992291E-2</v>
      </c>
      <c r="IJ36" s="120"/>
      <c r="IK36" s="120"/>
      <c r="IL36" s="120"/>
      <c r="IM36" s="120"/>
      <c r="IN36" s="120"/>
      <c r="IO36" s="120"/>
    </row>
    <row r="37" spans="1:255" ht="15" customHeight="1" x14ac:dyDescent="0.2">
      <c r="A37" s="1550" t="s">
        <v>383</v>
      </c>
      <c r="B37" s="318">
        <v>1.0218020530659553</v>
      </c>
      <c r="C37" s="318">
        <v>1.0311004517488556</v>
      </c>
      <c r="D37" s="318">
        <v>1.0418238964470437</v>
      </c>
      <c r="E37" s="318">
        <v>1.0433866322917142</v>
      </c>
      <c r="F37" s="318">
        <v>1.0472471628311937</v>
      </c>
      <c r="G37" s="318">
        <v>1.055310965984994</v>
      </c>
      <c r="H37" s="318">
        <v>1.0612207073945099</v>
      </c>
      <c r="I37" s="318">
        <v>1.0674819095681378</v>
      </c>
      <c r="J37" s="318">
        <v>1.0735665564526762</v>
      </c>
      <c r="K37" s="318">
        <v>1.0801153124470375</v>
      </c>
      <c r="L37" s="318">
        <v>1.0834636699156235</v>
      </c>
      <c r="M37" s="318">
        <v>1.0873641391273197</v>
      </c>
      <c r="N37" s="318"/>
      <c r="O37" s="318">
        <v>1.0885602396803598</v>
      </c>
      <c r="P37" s="318">
        <v>1.0877982475125836</v>
      </c>
      <c r="Q37" s="318">
        <v>1.0917143212036289</v>
      </c>
      <c r="R37" s="318">
        <v>1.0919326640678697</v>
      </c>
      <c r="S37" s="318">
        <v>1.0914958910022423</v>
      </c>
      <c r="T37" s="318">
        <v>1.0877848049728345</v>
      </c>
      <c r="U37" s="318">
        <v>1.089851596102283</v>
      </c>
      <c r="V37" s="318">
        <v>1.0875629077504683</v>
      </c>
      <c r="W37" s="318">
        <v>1.0865841011334927</v>
      </c>
      <c r="X37" s="318">
        <v>1.0878880020548529</v>
      </c>
      <c r="Y37" s="318">
        <v>1.0866913252525927</v>
      </c>
      <c r="Z37" s="318">
        <v>1.090168737493401</v>
      </c>
      <c r="AA37" s="318"/>
      <c r="AB37" s="316">
        <v>1.0934392437058811</v>
      </c>
      <c r="AC37" s="316">
        <v>1.0969382492857398</v>
      </c>
      <c r="AD37" s="316">
        <v>1.1000096763837399</v>
      </c>
      <c r="AE37" s="316">
        <v>1.1003396792866551</v>
      </c>
      <c r="AF37" s="316">
        <v>1.102980494516943</v>
      </c>
      <c r="AG37" s="316">
        <v>1.1057379457532355</v>
      </c>
      <c r="AH37" s="316">
        <v>1.1097186023579471</v>
      </c>
      <c r="AI37" s="316">
        <v>1.1127148425843136</v>
      </c>
      <c r="AJ37" s="316">
        <v>1.1123810281315385</v>
      </c>
      <c r="AK37" s="316">
        <v>1.1108236946921544</v>
      </c>
      <c r="AL37" s="316">
        <v>1.1109347770616236</v>
      </c>
      <c r="AM37" s="316">
        <v>1.1129344596603348</v>
      </c>
      <c r="AN37" s="316"/>
      <c r="AO37" s="316">
        <v>1.1172749040530099</v>
      </c>
      <c r="AP37" s="316">
        <v>1.1215205486884112</v>
      </c>
      <c r="AQ37" s="316">
        <v>1.1293711925292302</v>
      </c>
      <c r="AR37" s="316">
        <v>1.1370509166384288</v>
      </c>
      <c r="AS37" s="316">
        <v>1.1368235064551013</v>
      </c>
      <c r="AT37" s="316">
        <v>1.1379603299615562</v>
      </c>
      <c r="AU37" s="316">
        <v>1.1469502165682526</v>
      </c>
      <c r="AV37" s="316">
        <v>1.1500469821529868</v>
      </c>
      <c r="AW37" s="316">
        <v>1.1538421371940917</v>
      </c>
      <c r="AX37" s="316">
        <v>1.1574190478193933</v>
      </c>
      <c r="AY37" s="316">
        <v>1.1623959497250169</v>
      </c>
      <c r="AZ37" s="316">
        <v>1.1655344187892744</v>
      </c>
      <c r="BA37" s="316"/>
      <c r="BB37" s="316">
        <v>1.1643688843704854</v>
      </c>
      <c r="BC37" s="316">
        <v>1.1680948648004708</v>
      </c>
      <c r="BD37" s="316">
        <v>1.1770891952594342</v>
      </c>
      <c r="BE37" s="316">
        <v>1.1833277679943091</v>
      </c>
      <c r="BF37" s="316">
        <v>1.1838010991015069</v>
      </c>
      <c r="BG37" s="316">
        <v>1.1833275786618662</v>
      </c>
      <c r="BH37" s="316">
        <v>1.1843925734826619</v>
      </c>
      <c r="BI37" s="316">
        <v>1.1904329756074237</v>
      </c>
      <c r="BJ37" s="316">
        <v>1.196861313675704</v>
      </c>
      <c r="BK37" s="316">
        <v>1.194946335573823</v>
      </c>
      <c r="BL37" s="316">
        <v>1.1932734107040197</v>
      </c>
      <c r="BM37" s="316">
        <v>1.1963759215718501</v>
      </c>
      <c r="BN37" s="316"/>
      <c r="BO37" s="316">
        <v>1.1978115726777365</v>
      </c>
      <c r="BP37" s="316">
        <v>1.1967335422623264</v>
      </c>
      <c r="BQ37" s="316">
        <v>1.2076238174969136</v>
      </c>
      <c r="BR37" s="316">
        <v>1.2106428770406559</v>
      </c>
      <c r="BS37" s="316">
        <v>1.2129430985070333</v>
      </c>
      <c r="BT37" s="316">
        <v>1.2160967505631517</v>
      </c>
      <c r="BU37" s="316">
        <v>1.2227852826912491</v>
      </c>
      <c r="BV37" s="316">
        <v>1.2293883232177818</v>
      </c>
      <c r="BW37" s="316">
        <v>1.2307406503733216</v>
      </c>
      <c r="BX37" s="316">
        <v>1.231232946633471</v>
      </c>
      <c r="BY37" s="316">
        <v>1.2285242341508773</v>
      </c>
      <c r="BZ37" s="316">
        <v>1.2306127253489338</v>
      </c>
      <c r="CA37" s="316"/>
      <c r="CB37" s="316">
        <v>1.2345506860700504</v>
      </c>
      <c r="CC37" s="316">
        <v>1.2419579901864706</v>
      </c>
      <c r="CD37" s="316">
        <v>1.2484161717354403</v>
      </c>
      <c r="CE37" s="316">
        <v>1.2532849948052085</v>
      </c>
      <c r="CF37" s="316">
        <v>1.2561675502932605</v>
      </c>
      <c r="CG37" s="316">
        <v>1.2581774183737298</v>
      </c>
      <c r="CH37" s="316">
        <v>1.2635875812727368</v>
      </c>
      <c r="CI37" s="316">
        <v>1.2624503524495914</v>
      </c>
      <c r="CJ37" s="316">
        <v>1.2644702730135107</v>
      </c>
      <c r="CK37" s="316">
        <v>1.2692752600509618</v>
      </c>
      <c r="CL37" s="316">
        <v>1.2673713471608854</v>
      </c>
      <c r="CM37" s="316">
        <v>1.2702863012593555</v>
      </c>
      <c r="CN37" s="316"/>
      <c r="CO37" s="316">
        <v>1.2724457879714965</v>
      </c>
      <c r="CP37" s="316">
        <v>1.2762631253354111</v>
      </c>
      <c r="CQ37" s="316">
        <v>1.2859627250879599</v>
      </c>
      <c r="CR37" s="316">
        <v>1.290977979715803</v>
      </c>
      <c r="CS37" s="316">
        <v>1.2982074564022117</v>
      </c>
      <c r="CT37" s="316">
        <v>1.3024915410083393</v>
      </c>
      <c r="CU37" s="316">
        <v>1.3083527529428765</v>
      </c>
      <c r="CV37" s="316">
        <v>1.3133244934040593</v>
      </c>
      <c r="CW37" s="316">
        <v>1.3137184907520796</v>
      </c>
      <c r="CX37" s="316">
        <v>1.3155576966391334</v>
      </c>
      <c r="CY37" s="316">
        <v>1.3200305928077065</v>
      </c>
      <c r="CZ37" s="316">
        <v>1.3259707304753412</v>
      </c>
      <c r="DA37" s="316"/>
      <c r="DB37" s="316">
        <v>1.3308768221781</v>
      </c>
      <c r="DC37" s="316">
        <v>1.3331393127758029</v>
      </c>
      <c r="DD37" s="316">
        <v>1.3411381486524576</v>
      </c>
      <c r="DE37" s="316">
        <v>1.3412722624673228</v>
      </c>
      <c r="DF37" s="316">
        <v>1.3440889342185038</v>
      </c>
      <c r="DG37" s="316">
        <v>1.3459706587264098</v>
      </c>
      <c r="DH37" s="316">
        <v>1.3470474352533908</v>
      </c>
      <c r="DI37" s="316">
        <v>1.3518968060203032</v>
      </c>
      <c r="DJ37" s="316">
        <v>1.3547357893129455</v>
      </c>
      <c r="DK37" s="316">
        <v>1.3602902060491286</v>
      </c>
      <c r="DL37" s="316">
        <v>1.3642350476466711</v>
      </c>
      <c r="DM37" s="316">
        <v>1.3687370233039053</v>
      </c>
      <c r="DN37" s="316"/>
      <c r="DO37" s="316">
        <v>1.3720219921598344</v>
      </c>
      <c r="DP37" s="316">
        <v>1.376412462534746</v>
      </c>
      <c r="DQ37" s="316">
        <v>1.3943058245476976</v>
      </c>
      <c r="DR37" s="316">
        <v>1.3906806294038736</v>
      </c>
      <c r="DS37" s="316">
        <v>1.3848397707603775</v>
      </c>
      <c r="DT37" s="316">
        <v>1.382624027127161</v>
      </c>
      <c r="DU37" s="316">
        <v>1.3853892751814154</v>
      </c>
      <c r="DV37" s="316">
        <v>1.394671383325131</v>
      </c>
      <c r="DW37" s="316">
        <v>1.3943924490484658</v>
      </c>
      <c r="DX37" s="316">
        <v>1.3878388045379382</v>
      </c>
      <c r="DY37" s="316">
        <v>1.385063126928862</v>
      </c>
      <c r="DZ37" s="316">
        <v>1.3872792279319484</v>
      </c>
      <c r="EA37" s="316"/>
      <c r="EB37" s="316">
        <v>1.3890826909282596</v>
      </c>
      <c r="EC37" s="316">
        <v>1.3925553976555805</v>
      </c>
      <c r="ED37" s="316">
        <v>1.3993789191040926</v>
      </c>
      <c r="EE37" s="316">
        <v>1.3974197886173472</v>
      </c>
      <c r="EF37" s="316">
        <v>1.3976992725750705</v>
      </c>
      <c r="EG37" s="316">
        <v>1.4023116801745681</v>
      </c>
      <c r="EH37" s="316">
        <v>1.4076404645592313</v>
      </c>
      <c r="EI37" s="316">
        <v>1.4094703971631584</v>
      </c>
      <c r="EJ37" s="316">
        <v>1.4121483909177683</v>
      </c>
      <c r="EK37" s="317">
        <v>1.4132781096305025</v>
      </c>
      <c r="EL37" s="317">
        <v>1.414974043362059</v>
      </c>
      <c r="EM37" s="317">
        <v>1.4175209966401108</v>
      </c>
      <c r="EO37" s="317">
        <v>1.4185132613377587</v>
      </c>
      <c r="EP37" s="317">
        <v>1.4203573285774977</v>
      </c>
      <c r="EQ37" s="317">
        <v>1.4307259370761134</v>
      </c>
      <c r="ER37" s="317">
        <v>1.4335873889502657</v>
      </c>
      <c r="ES37" s="317">
        <v>1.4357377700336911</v>
      </c>
      <c r="ET37" s="317">
        <v>1.4344456060406607</v>
      </c>
      <c r="EU37" s="317">
        <v>1.4373144972527421</v>
      </c>
      <c r="EV37" s="317">
        <v>1.4381768859510939</v>
      </c>
      <c r="EW37" s="317">
        <v>1.438320703639689</v>
      </c>
      <c r="EX37" s="317">
        <v>1.4399028564136926</v>
      </c>
      <c r="EY37" s="317">
        <v>1.4414867495557475</v>
      </c>
      <c r="EZ37" s="317">
        <v>1.4445138717298147</v>
      </c>
      <c r="FB37" s="317">
        <v>1.4452361286656796</v>
      </c>
      <c r="FC37" s="317">
        <v>1.4472594592458117</v>
      </c>
      <c r="FD37" s="317">
        <v>1.4566666457309094</v>
      </c>
      <c r="FE37" s="317">
        <v>1.4581233123766402</v>
      </c>
      <c r="FF37" s="317">
        <v>1.4610395590013934</v>
      </c>
      <c r="FG37" s="317">
        <v>1.4570947521920896</v>
      </c>
      <c r="FH37" s="317">
        <v>1.46379738805217</v>
      </c>
      <c r="FI37" s="317">
        <v>1.46218721092532</v>
      </c>
      <c r="FJ37" s="317">
        <v>1.4642342730206099</v>
      </c>
      <c r="FK37" s="317">
        <v>1.4645271198752159</v>
      </c>
      <c r="FL37" s="317">
        <v>1.472142660898567</v>
      </c>
      <c r="FM37" s="317">
        <v>1.4728787322290162</v>
      </c>
      <c r="FO37" s="317">
        <v>1.4837780348475111</v>
      </c>
      <c r="FP37" s="317">
        <v>1.4818491234022095</v>
      </c>
      <c r="FQ37" s="317">
        <v>1.494296656038788</v>
      </c>
      <c r="FR37" s="317">
        <v>1.4928023593827493</v>
      </c>
      <c r="FS37" s="317">
        <v>1.4968329257530826</v>
      </c>
      <c r="FT37" s="317">
        <v>1.504616456967</v>
      </c>
      <c r="FU37" s="317">
        <v>1.5198130831823653</v>
      </c>
      <c r="FV37" s="317">
        <v>1.5347072513975526</v>
      </c>
      <c r="FW37" s="317">
        <v>1.5408460804031427</v>
      </c>
      <c r="FX37" s="317">
        <v>1.5497829876694811</v>
      </c>
      <c r="FY37" s="317">
        <v>1.5553622064250914</v>
      </c>
      <c r="FZ37" s="317">
        <v>1.5674940316352071</v>
      </c>
      <c r="GB37" s="317">
        <v>1.5681210292478611</v>
      </c>
      <c r="GC37" s="317">
        <v>1.5730050411382599</v>
      </c>
      <c r="GD37" s="317">
        <v>1.5962855157471061</v>
      </c>
      <c r="GE37" s="317">
        <v>1.6116098566982784</v>
      </c>
      <c r="GF37" s="317">
        <v>1.617733974153732</v>
      </c>
      <c r="GG37" s="317">
        <v>1.6369850084461615</v>
      </c>
      <c r="GH37" s="317">
        <v>1.6523726675255554</v>
      </c>
      <c r="GI37" s="317">
        <v>1.6634435643979766</v>
      </c>
      <c r="GJ37" s="317">
        <v>1.6720934709328463</v>
      </c>
      <c r="GK37" s="317">
        <v>1.6779457980811114</v>
      </c>
      <c r="GL37" s="317">
        <v>1.6866711162311334</v>
      </c>
      <c r="GM37" s="317">
        <v>1.6999958180493595</v>
      </c>
      <c r="GO37" s="317">
        <v>1.7039058084308729</v>
      </c>
      <c r="GP37" s="317">
        <v>1.7088471352753223</v>
      </c>
      <c r="GQ37" s="317">
        <v>1.7302077244662637</v>
      </c>
      <c r="GR37" s="317">
        <v>1.7398968877232748</v>
      </c>
      <c r="GS37" s="317">
        <v>1.7454645577639893</v>
      </c>
      <c r="GT37" s="317">
        <v>1.7428463609273435</v>
      </c>
      <c r="GU37" s="317">
        <v>1.7496434617349601</v>
      </c>
      <c r="GV37" s="317">
        <v>1.756292106889553</v>
      </c>
      <c r="GW37" s="317">
        <v>1.7566433653109308</v>
      </c>
      <c r="GX37" s="317">
        <v>1.7510221065419358</v>
      </c>
      <c r="GY37" s="317">
        <v>1.7482204711714686</v>
      </c>
      <c r="GZ37" s="317">
        <v>1.7553881751032716</v>
      </c>
      <c r="HB37" s="317">
        <v>1.7557392527382922</v>
      </c>
      <c r="HC37" s="317">
        <v>1.7655713925536267</v>
      </c>
      <c r="HD37" s="317">
        <v>1.7834036636184183</v>
      </c>
      <c r="HE37" s="317">
        <v>1.7825119617866092</v>
      </c>
      <c r="HF37" s="317">
        <v>1.7809077010210013</v>
      </c>
      <c r="HG37" s="317">
        <v>1.7830447902622266</v>
      </c>
      <c r="HH37" s="317">
        <v>1.7873240977588558</v>
      </c>
      <c r="HI37" s="317">
        <v>1.7923286052325804</v>
      </c>
      <c r="HJ37" s="317">
        <v>1.7880270165800223</v>
      </c>
      <c r="HK37" s="317">
        <v>1.7864177922651003</v>
      </c>
      <c r="HL37" s="317">
        <v>1.7880255682781387</v>
      </c>
      <c r="HM37" s="317">
        <v>1.7899923964032449</v>
      </c>
      <c r="HO37" s="317">
        <v>1.788381403246482</v>
      </c>
      <c r="HP37" s="317">
        <v>1.7917793279126504</v>
      </c>
      <c r="HQ37" s="317">
        <v>1.8062927404687428</v>
      </c>
      <c r="HR37" s="317">
        <v>1.8120728772382428</v>
      </c>
      <c r="HS37" s="317">
        <v>1.8109856335118999</v>
      </c>
      <c r="HT37" s="317">
        <v>1.8133399148354654</v>
      </c>
      <c r="HU37" s="317">
        <v>1.817510596639587</v>
      </c>
      <c r="HV37" s="317">
        <v>1.8122398159093323</v>
      </c>
      <c r="HW37" s="317">
        <v>1.8124210398909231</v>
      </c>
      <c r="HX37" s="317">
        <v>1.8106086188510322</v>
      </c>
      <c r="HY37" s="317">
        <v>1.8126002883317684</v>
      </c>
      <c r="HZ37" s="317">
        <v>1.8169505290237646</v>
      </c>
      <c r="IB37" s="1352">
        <v>1.8187674795527882</v>
      </c>
      <c r="IC37" s="1352">
        <v>1.8313169751617022</v>
      </c>
      <c r="ID37" s="1352">
        <v>1.8749023191705507</v>
      </c>
      <c r="IE37" s="1352">
        <v>1.8846518112302377</v>
      </c>
      <c r="IF37" s="1352">
        <v>1.8816363683322692</v>
      </c>
      <c r="IG37" s="1352">
        <v>1.88596413197943</v>
      </c>
      <c r="IH37" s="1613">
        <v>1.8914334279621736</v>
      </c>
      <c r="II37" s="1352">
        <v>1.892757431361747</v>
      </c>
      <c r="IJ37" s="120"/>
      <c r="IK37" s="120"/>
      <c r="IL37" s="120"/>
      <c r="IM37" s="120"/>
      <c r="IN37" s="120"/>
      <c r="IO37" s="120"/>
    </row>
    <row r="38" spans="1:255" s="1530" customFormat="1" ht="15" customHeight="1" x14ac:dyDescent="0.2">
      <c r="A38" s="1525" t="s">
        <v>352</v>
      </c>
      <c r="B38" s="1526">
        <f>YEAR(B39)</f>
        <v>2008</v>
      </c>
      <c r="C38" s="1527"/>
      <c r="D38" s="1527"/>
      <c r="E38" s="1527"/>
      <c r="F38" s="1527"/>
      <c r="G38" s="1527"/>
      <c r="H38" s="1527"/>
      <c r="I38" s="1527"/>
      <c r="J38" s="1527"/>
      <c r="K38" s="1527"/>
      <c r="L38" s="1527"/>
      <c r="M38" s="1527"/>
      <c r="N38" s="1528" t="s">
        <v>29</v>
      </c>
      <c r="O38" s="1526">
        <f>YEAR(O39)</f>
        <v>2009</v>
      </c>
      <c r="P38" s="1527"/>
      <c r="Q38" s="1527"/>
      <c r="R38" s="1527"/>
      <c r="S38" s="1527"/>
      <c r="T38" s="1527"/>
      <c r="U38" s="1527"/>
      <c r="V38" s="1527"/>
      <c r="W38" s="1527"/>
      <c r="X38" s="1527"/>
      <c r="Y38" s="1527"/>
      <c r="Z38" s="1527"/>
      <c r="AA38" s="1528" t="s">
        <v>29</v>
      </c>
      <c r="AB38" s="1526">
        <f>YEAR(AB39)</f>
        <v>2010</v>
      </c>
      <c r="AC38" s="1527"/>
      <c r="AD38" s="1527"/>
      <c r="AE38" s="1527"/>
      <c r="AF38" s="1527"/>
      <c r="AG38" s="1527"/>
      <c r="AH38" s="1527"/>
      <c r="AI38" s="1527"/>
      <c r="AJ38" s="1527"/>
      <c r="AK38" s="1527"/>
      <c r="AL38" s="1527"/>
      <c r="AM38" s="1527"/>
      <c r="AN38" s="1528" t="s">
        <v>29</v>
      </c>
      <c r="AO38" s="1526">
        <f>YEAR(AO39)</f>
        <v>2011</v>
      </c>
      <c r="AP38" s="1527"/>
      <c r="AQ38" s="1527"/>
      <c r="AR38" s="1527"/>
      <c r="AS38" s="1527"/>
      <c r="AT38" s="1527"/>
      <c r="AU38" s="1527"/>
      <c r="AV38" s="1527"/>
      <c r="AW38" s="1527"/>
      <c r="AX38" s="1527"/>
      <c r="AY38" s="1527"/>
      <c r="AZ38" s="1527"/>
      <c r="BA38" s="1528" t="s">
        <v>29</v>
      </c>
      <c r="BB38" s="1526">
        <f>YEAR(BB39)</f>
        <v>2012</v>
      </c>
      <c r="BC38" s="1527"/>
      <c r="BD38" s="1527"/>
      <c r="BE38" s="1527"/>
      <c r="BF38" s="1527"/>
      <c r="BG38" s="1527"/>
      <c r="BH38" s="1527"/>
      <c r="BI38" s="1527"/>
      <c r="BJ38" s="1527"/>
      <c r="BK38" s="1527"/>
      <c r="BL38" s="1527"/>
      <c r="BM38" s="1527"/>
      <c r="BN38" s="1528" t="s">
        <v>29</v>
      </c>
      <c r="BO38" s="1526">
        <f>YEAR(BO39)</f>
        <v>2013</v>
      </c>
      <c r="BP38" s="1527"/>
      <c r="BQ38" s="1527"/>
      <c r="BR38" s="1527"/>
      <c r="BS38" s="1527"/>
      <c r="BT38" s="1527"/>
      <c r="BU38" s="1527"/>
      <c r="BV38" s="1527"/>
      <c r="BW38" s="1527"/>
      <c r="BX38" s="1527"/>
      <c r="BY38" s="1527"/>
      <c r="BZ38" s="1527"/>
      <c r="CA38" s="1528" t="s">
        <v>29</v>
      </c>
      <c r="CB38" s="1526">
        <f>YEAR(CB39)</f>
        <v>2014</v>
      </c>
      <c r="CC38" s="1527"/>
      <c r="CD38" s="1527"/>
      <c r="CE38" s="1527"/>
      <c r="CF38" s="1527"/>
      <c r="CG38" s="1527"/>
      <c r="CH38" s="1527"/>
      <c r="CI38" s="1527"/>
      <c r="CJ38" s="1527"/>
      <c r="CK38" s="1527"/>
      <c r="CL38" s="1527"/>
      <c r="CM38" s="1527"/>
      <c r="CN38" s="1528" t="s">
        <v>29</v>
      </c>
      <c r="CO38" s="1526">
        <f>YEAR(CO39)</f>
        <v>2015</v>
      </c>
      <c r="CP38" s="1527"/>
      <c r="CQ38" s="1527"/>
      <c r="CR38" s="1527"/>
      <c r="CS38" s="1527"/>
      <c r="CT38" s="1527"/>
      <c r="CU38" s="1527"/>
      <c r="CV38" s="1527"/>
      <c r="CW38" s="1527"/>
      <c r="CX38" s="1527"/>
      <c r="CY38" s="1527"/>
      <c r="CZ38" s="1527"/>
      <c r="DA38" s="1528" t="s">
        <v>29</v>
      </c>
      <c r="DB38" s="1526">
        <f>YEAR(DB39)</f>
        <v>2016</v>
      </c>
      <c r="DC38" s="1527"/>
      <c r="DD38" s="1527"/>
      <c r="DE38" s="1527"/>
      <c r="DF38" s="1527"/>
      <c r="DG38" s="1527"/>
      <c r="DH38" s="1527"/>
      <c r="DI38" s="1527"/>
      <c r="DJ38" s="1527"/>
      <c r="DK38" s="1527"/>
      <c r="DL38" s="1527"/>
      <c r="DM38" s="1527"/>
      <c r="DN38" s="1528" t="s">
        <v>29</v>
      </c>
      <c r="DO38" s="1526">
        <f>YEAR(DO39)</f>
        <v>2017</v>
      </c>
      <c r="DP38" s="1527"/>
      <c r="DQ38" s="1527"/>
      <c r="DR38" s="1527"/>
      <c r="DS38" s="1527"/>
      <c r="DT38" s="1527"/>
      <c r="DU38" s="1527"/>
      <c r="DV38" s="1527"/>
      <c r="DW38" s="1527"/>
      <c r="DX38" s="1527"/>
      <c r="DY38" s="1527"/>
      <c r="DZ38" s="1527"/>
      <c r="EA38" s="1528" t="s">
        <v>29</v>
      </c>
      <c r="EB38" s="1526">
        <f>YEAR(EB39)</f>
        <v>2018</v>
      </c>
      <c r="EC38" s="1527"/>
      <c r="ED38" s="1527"/>
      <c r="EE38" s="1527"/>
      <c r="EF38" s="1527"/>
      <c r="EG38" s="1527"/>
      <c r="EH38" s="1527"/>
      <c r="EI38" s="1527"/>
      <c r="EJ38" s="1527"/>
      <c r="EK38" s="1527"/>
      <c r="EL38" s="1527"/>
      <c r="EM38" s="1527"/>
      <c r="EN38" s="1528" t="s">
        <v>29</v>
      </c>
      <c r="EO38" s="1526">
        <f>YEAR(EO39)</f>
        <v>2019</v>
      </c>
      <c r="EP38" s="1527"/>
      <c r="EQ38" s="1527"/>
      <c r="ER38" s="1527"/>
      <c r="ES38" s="1527"/>
      <c r="ET38" s="1527"/>
      <c r="EU38" s="1527"/>
      <c r="EV38" s="1527"/>
      <c r="EW38" s="1527"/>
      <c r="EX38" s="1527"/>
      <c r="EY38" s="1527"/>
      <c r="EZ38" s="1527"/>
      <c r="FA38" s="1528" t="s">
        <v>29</v>
      </c>
      <c r="FB38" s="1526">
        <f>YEAR(FB39)</f>
        <v>2020</v>
      </c>
      <c r="FC38" s="1527"/>
      <c r="FD38" s="1527"/>
      <c r="FE38" s="1527"/>
      <c r="FF38" s="1527"/>
      <c r="FG38" s="1527"/>
      <c r="FH38" s="1527"/>
      <c r="FI38" s="1527"/>
      <c r="FJ38" s="1527"/>
      <c r="FK38" s="1527"/>
      <c r="FL38" s="1527"/>
      <c r="FM38" s="1527"/>
      <c r="FN38" s="1528" t="s">
        <v>29</v>
      </c>
      <c r="FO38" s="1526">
        <f>YEAR(FO39)</f>
        <v>2021</v>
      </c>
      <c r="FP38" s="1527"/>
      <c r="FQ38" s="1527"/>
      <c r="FR38" s="1527"/>
      <c r="FS38" s="1527"/>
      <c r="FT38" s="1527"/>
      <c r="FU38" s="1527"/>
      <c r="FV38" s="1527"/>
      <c r="FW38" s="1527"/>
      <c r="FX38" s="1527"/>
      <c r="FY38" s="1527"/>
      <c r="FZ38" s="1527"/>
      <c r="GA38" s="1528" t="s">
        <v>29</v>
      </c>
      <c r="GB38" s="1526">
        <f>YEAR(GB39)</f>
        <v>2022</v>
      </c>
      <c r="GC38" s="1527"/>
      <c r="GD38" s="1527"/>
      <c r="GE38" s="1527"/>
      <c r="GF38" s="1527"/>
      <c r="GG38" s="1527"/>
      <c r="GH38" s="1527"/>
      <c r="GI38" s="1527"/>
      <c r="GJ38" s="1527"/>
      <c r="GK38" s="1527"/>
      <c r="GL38" s="1527"/>
      <c r="GM38" s="1527"/>
      <c r="GN38" s="1528" t="s">
        <v>29</v>
      </c>
      <c r="GO38" s="1526">
        <f>YEAR(GO39)</f>
        <v>2023</v>
      </c>
      <c r="GP38" s="1527"/>
      <c r="GQ38" s="1527"/>
      <c r="GR38" s="1527"/>
      <c r="GS38" s="1527"/>
      <c r="GT38" s="1527"/>
      <c r="GU38" s="1527"/>
      <c r="GV38" s="1527"/>
      <c r="GW38" s="1527"/>
      <c r="GX38" s="1527"/>
      <c r="GY38" s="1527"/>
      <c r="GZ38" s="1527"/>
      <c r="HA38" s="1528" t="s">
        <v>29</v>
      </c>
      <c r="HB38" s="1526">
        <f>YEAR(HB39)</f>
        <v>2024</v>
      </c>
      <c r="HC38" s="1527"/>
      <c r="HD38" s="1527"/>
      <c r="HE38" s="1527"/>
      <c r="HF38" s="1527"/>
      <c r="HG38" s="1527"/>
      <c r="HH38" s="1527"/>
      <c r="HI38" s="1527"/>
      <c r="HJ38" s="1527"/>
      <c r="HK38" s="1527"/>
      <c r="HL38" s="1527"/>
      <c r="HM38" s="1527"/>
      <c r="HN38" s="1528" t="s">
        <v>29</v>
      </c>
      <c r="HO38" s="1526">
        <f>YEAR(HO39)</f>
        <v>2025</v>
      </c>
      <c r="HP38" s="1527"/>
      <c r="HQ38" s="1527"/>
      <c r="HR38" s="1527"/>
      <c r="HS38" s="1527"/>
      <c r="HT38" s="1527"/>
      <c r="HU38" s="1527"/>
      <c r="HV38" s="1527"/>
      <c r="HW38" s="1527"/>
      <c r="HX38" s="1527"/>
      <c r="HY38" s="1527"/>
      <c r="HZ38" s="1527"/>
      <c r="IA38" s="1529" t="s">
        <v>29</v>
      </c>
      <c r="IB38" s="1526">
        <v>2026</v>
      </c>
      <c r="IC38" s="1527"/>
      <c r="ID38" s="1527"/>
      <c r="IE38" s="1527"/>
      <c r="IF38" s="1527"/>
      <c r="IG38" s="1527"/>
      <c r="IH38" s="1420"/>
      <c r="II38" s="1420"/>
      <c r="IJ38" s="1527"/>
      <c r="IK38" s="1527"/>
      <c r="IL38" s="1527"/>
      <c r="IM38" s="1527"/>
      <c r="IN38" s="1533" t="s">
        <v>591</v>
      </c>
      <c r="IO38" s="1422"/>
      <c r="IP38" s="1692" t="str">
        <f>CONCATENATE("Var.% ",IS38,"/",IS38-1)</f>
        <v>Var.% 2026/2025</v>
      </c>
      <c r="IQ38" s="1693"/>
      <c r="IR38" s="1534">
        <f>IS38-1</f>
        <v>2025</v>
      </c>
      <c r="IS38" s="1534">
        <f>IN39</f>
        <v>2026</v>
      </c>
    </row>
    <row r="39" spans="1:255" s="1530" customFormat="1" ht="15" customHeight="1" x14ac:dyDescent="0.2">
      <c r="A39" s="1531" t="s">
        <v>352</v>
      </c>
      <c r="B39" s="1429">
        <v>39448</v>
      </c>
      <c r="C39" s="1430">
        <v>39479</v>
      </c>
      <c r="D39" s="1430">
        <v>39508</v>
      </c>
      <c r="E39" s="1430">
        <v>39539</v>
      </c>
      <c r="F39" s="1430">
        <v>39569</v>
      </c>
      <c r="G39" s="1430">
        <v>39600</v>
      </c>
      <c r="H39" s="1430">
        <v>39630</v>
      </c>
      <c r="I39" s="1430">
        <v>39661</v>
      </c>
      <c r="J39" s="1430">
        <v>39692</v>
      </c>
      <c r="K39" s="1430">
        <v>39722</v>
      </c>
      <c r="L39" s="1430">
        <v>39753</v>
      </c>
      <c r="M39" s="1430">
        <v>39783</v>
      </c>
      <c r="N39" s="1432">
        <f>YEAR(M39)</f>
        <v>2008</v>
      </c>
      <c r="O39" s="1429">
        <v>39814</v>
      </c>
      <c r="P39" s="1430">
        <v>39845</v>
      </c>
      <c r="Q39" s="1430">
        <v>39873</v>
      </c>
      <c r="R39" s="1430">
        <v>39904</v>
      </c>
      <c r="S39" s="1430">
        <v>39934</v>
      </c>
      <c r="T39" s="1430">
        <v>39965</v>
      </c>
      <c r="U39" s="1430">
        <v>39995</v>
      </c>
      <c r="V39" s="1430">
        <v>40026</v>
      </c>
      <c r="W39" s="1430">
        <v>40057</v>
      </c>
      <c r="X39" s="1430">
        <v>40087</v>
      </c>
      <c r="Y39" s="1430">
        <v>40118</v>
      </c>
      <c r="Z39" s="1430">
        <v>40148</v>
      </c>
      <c r="AA39" s="1432">
        <f>YEAR(Z39)</f>
        <v>2009</v>
      </c>
      <c r="AB39" s="1429">
        <v>40179</v>
      </c>
      <c r="AC39" s="1430">
        <v>40210</v>
      </c>
      <c r="AD39" s="1430">
        <v>40238</v>
      </c>
      <c r="AE39" s="1430">
        <v>40269</v>
      </c>
      <c r="AF39" s="1430">
        <v>40299</v>
      </c>
      <c r="AG39" s="1430">
        <v>40330</v>
      </c>
      <c r="AH39" s="1430">
        <v>40360</v>
      </c>
      <c r="AI39" s="1430">
        <v>40391</v>
      </c>
      <c r="AJ39" s="1430">
        <v>40422</v>
      </c>
      <c r="AK39" s="1430">
        <v>40452</v>
      </c>
      <c r="AL39" s="1430">
        <v>40483</v>
      </c>
      <c r="AM39" s="1430">
        <v>40513</v>
      </c>
      <c r="AN39" s="1432">
        <f>YEAR(AM39)</f>
        <v>2010</v>
      </c>
      <c r="AO39" s="1429">
        <v>40544</v>
      </c>
      <c r="AP39" s="1430">
        <v>40575</v>
      </c>
      <c r="AQ39" s="1430">
        <v>40603</v>
      </c>
      <c r="AR39" s="1430">
        <v>40634</v>
      </c>
      <c r="AS39" s="1430">
        <v>40664</v>
      </c>
      <c r="AT39" s="1430">
        <v>40695</v>
      </c>
      <c r="AU39" s="1430">
        <v>40725</v>
      </c>
      <c r="AV39" s="1430">
        <v>40756</v>
      </c>
      <c r="AW39" s="1430">
        <v>40787</v>
      </c>
      <c r="AX39" s="1430">
        <v>40817</v>
      </c>
      <c r="AY39" s="1430">
        <v>40848</v>
      </c>
      <c r="AZ39" s="1430">
        <v>40878</v>
      </c>
      <c r="BA39" s="1432">
        <f>YEAR(AZ39)</f>
        <v>2011</v>
      </c>
      <c r="BB39" s="1429">
        <v>40909</v>
      </c>
      <c r="BC39" s="1430">
        <v>40940</v>
      </c>
      <c r="BD39" s="1430">
        <v>40969</v>
      </c>
      <c r="BE39" s="1430">
        <v>41000</v>
      </c>
      <c r="BF39" s="1430">
        <v>41030</v>
      </c>
      <c r="BG39" s="1430">
        <v>41061</v>
      </c>
      <c r="BH39" s="1430">
        <v>41091</v>
      </c>
      <c r="BI39" s="1430">
        <v>41122</v>
      </c>
      <c r="BJ39" s="1430">
        <v>41153</v>
      </c>
      <c r="BK39" s="1430">
        <v>41183</v>
      </c>
      <c r="BL39" s="1430">
        <v>41214</v>
      </c>
      <c r="BM39" s="1430">
        <v>41244</v>
      </c>
      <c r="BN39" s="1432">
        <f>YEAR(BM39)</f>
        <v>2012</v>
      </c>
      <c r="BO39" s="1429">
        <v>41275</v>
      </c>
      <c r="BP39" s="1430">
        <v>41306</v>
      </c>
      <c r="BQ39" s="1430">
        <v>41334</v>
      </c>
      <c r="BR39" s="1430">
        <v>41365</v>
      </c>
      <c r="BS39" s="1430">
        <v>41395</v>
      </c>
      <c r="BT39" s="1430">
        <v>41426</v>
      </c>
      <c r="BU39" s="1430">
        <v>41456</v>
      </c>
      <c r="BV39" s="1430">
        <v>41487</v>
      </c>
      <c r="BW39" s="1430">
        <v>41518</v>
      </c>
      <c r="BX39" s="1430">
        <v>41548</v>
      </c>
      <c r="BY39" s="1430">
        <v>41579</v>
      </c>
      <c r="BZ39" s="1430">
        <v>41609</v>
      </c>
      <c r="CA39" s="1432">
        <f>YEAR(BZ39)</f>
        <v>2013</v>
      </c>
      <c r="CB39" s="1429">
        <v>41640</v>
      </c>
      <c r="CC39" s="1430">
        <v>41671</v>
      </c>
      <c r="CD39" s="1430">
        <v>41699</v>
      </c>
      <c r="CE39" s="1430">
        <v>41730</v>
      </c>
      <c r="CF39" s="1430">
        <v>41760</v>
      </c>
      <c r="CG39" s="1430">
        <v>41791</v>
      </c>
      <c r="CH39" s="1430">
        <v>41821</v>
      </c>
      <c r="CI39" s="1430">
        <v>41852</v>
      </c>
      <c r="CJ39" s="1430">
        <v>41883</v>
      </c>
      <c r="CK39" s="1430">
        <v>41913</v>
      </c>
      <c r="CL39" s="1430">
        <v>41944</v>
      </c>
      <c r="CM39" s="1430">
        <v>41974</v>
      </c>
      <c r="CN39" s="1432">
        <f>YEAR(CM39)</f>
        <v>2014</v>
      </c>
      <c r="CO39" s="1429">
        <v>42005</v>
      </c>
      <c r="CP39" s="1430">
        <v>42036</v>
      </c>
      <c r="CQ39" s="1430">
        <v>42064</v>
      </c>
      <c r="CR39" s="1430">
        <v>42095</v>
      </c>
      <c r="CS39" s="1430">
        <v>42125</v>
      </c>
      <c r="CT39" s="1430">
        <v>42156</v>
      </c>
      <c r="CU39" s="1430">
        <v>42186</v>
      </c>
      <c r="CV39" s="1430">
        <v>42217</v>
      </c>
      <c r="CW39" s="1430">
        <v>42248</v>
      </c>
      <c r="CX39" s="1430">
        <v>42278</v>
      </c>
      <c r="CY39" s="1430">
        <v>42309</v>
      </c>
      <c r="CZ39" s="1430">
        <v>42339</v>
      </c>
      <c r="DA39" s="1432">
        <f>YEAR(CZ39)</f>
        <v>2015</v>
      </c>
      <c r="DB39" s="1429">
        <v>42370</v>
      </c>
      <c r="DC39" s="1430">
        <v>42401</v>
      </c>
      <c r="DD39" s="1430">
        <v>42430</v>
      </c>
      <c r="DE39" s="1430">
        <v>42461</v>
      </c>
      <c r="DF39" s="1430">
        <v>42491</v>
      </c>
      <c r="DG39" s="1430">
        <v>42522</v>
      </c>
      <c r="DH39" s="1430">
        <v>42552</v>
      </c>
      <c r="DI39" s="1430">
        <v>42583</v>
      </c>
      <c r="DJ39" s="1430">
        <v>42614</v>
      </c>
      <c r="DK39" s="1430">
        <v>42644</v>
      </c>
      <c r="DL39" s="1430">
        <v>42675</v>
      </c>
      <c r="DM39" s="1430">
        <v>42705</v>
      </c>
      <c r="DN39" s="1432">
        <f>YEAR(DM39)</f>
        <v>2016</v>
      </c>
      <c r="DO39" s="1429">
        <v>42736</v>
      </c>
      <c r="DP39" s="1430">
        <v>42767</v>
      </c>
      <c r="DQ39" s="1430">
        <v>42795</v>
      </c>
      <c r="DR39" s="1430">
        <v>42826</v>
      </c>
      <c r="DS39" s="1430">
        <v>42856</v>
      </c>
      <c r="DT39" s="1430">
        <v>42887</v>
      </c>
      <c r="DU39" s="1430">
        <v>42917</v>
      </c>
      <c r="DV39" s="1430">
        <v>42948</v>
      </c>
      <c r="DW39" s="1430">
        <v>42979</v>
      </c>
      <c r="DX39" s="1430">
        <v>43009</v>
      </c>
      <c r="DY39" s="1430">
        <v>43040</v>
      </c>
      <c r="DZ39" s="1430">
        <v>43070</v>
      </c>
      <c r="EA39" s="1432">
        <f>YEAR(DZ39)</f>
        <v>2017</v>
      </c>
      <c r="EB39" s="1429">
        <v>43101</v>
      </c>
      <c r="EC39" s="1430">
        <v>43132</v>
      </c>
      <c r="ED39" s="1430">
        <v>43160</v>
      </c>
      <c r="EE39" s="1430">
        <v>43191</v>
      </c>
      <c r="EF39" s="1430">
        <v>43221</v>
      </c>
      <c r="EG39" s="1430">
        <v>43252</v>
      </c>
      <c r="EH39" s="1430">
        <v>43282</v>
      </c>
      <c r="EI39" s="1430">
        <v>43313</v>
      </c>
      <c r="EJ39" s="1430">
        <v>43344</v>
      </c>
      <c r="EK39" s="1430">
        <v>43374</v>
      </c>
      <c r="EL39" s="1430">
        <v>43405</v>
      </c>
      <c r="EM39" s="1430">
        <v>43435</v>
      </c>
      <c r="EN39" s="1432">
        <f>YEAR(EM39)</f>
        <v>2018</v>
      </c>
      <c r="EO39" s="1429">
        <v>43466</v>
      </c>
      <c r="EP39" s="1430">
        <v>43497</v>
      </c>
      <c r="EQ39" s="1430">
        <v>43525</v>
      </c>
      <c r="ER39" s="1430">
        <v>43556</v>
      </c>
      <c r="ES39" s="1430">
        <v>43586</v>
      </c>
      <c r="ET39" s="1430">
        <v>43617</v>
      </c>
      <c r="EU39" s="1430">
        <v>43647</v>
      </c>
      <c r="EV39" s="1430">
        <v>43678</v>
      </c>
      <c r="EW39" s="1430">
        <v>43709</v>
      </c>
      <c r="EX39" s="1430">
        <v>43739</v>
      </c>
      <c r="EY39" s="1430">
        <v>43770</v>
      </c>
      <c r="EZ39" s="1430">
        <v>43800</v>
      </c>
      <c r="FA39" s="1432">
        <f>YEAR(EZ39)</f>
        <v>2019</v>
      </c>
      <c r="FB39" s="1429">
        <v>43831</v>
      </c>
      <c r="FC39" s="1430">
        <v>43862</v>
      </c>
      <c r="FD39" s="1430">
        <v>43891</v>
      </c>
      <c r="FE39" s="1430">
        <v>43922</v>
      </c>
      <c r="FF39" s="1430">
        <v>43952</v>
      </c>
      <c r="FG39" s="1430">
        <v>43983</v>
      </c>
      <c r="FH39" s="1430">
        <v>44013</v>
      </c>
      <c r="FI39" s="1430">
        <v>44044</v>
      </c>
      <c r="FJ39" s="1430">
        <v>44075</v>
      </c>
      <c r="FK39" s="1430">
        <v>44105</v>
      </c>
      <c r="FL39" s="1430">
        <v>44136</v>
      </c>
      <c r="FM39" s="1430">
        <v>44166</v>
      </c>
      <c r="FN39" s="1432">
        <f>YEAR(FM39)</f>
        <v>2020</v>
      </c>
      <c r="FO39" s="1429">
        <v>44197</v>
      </c>
      <c r="FP39" s="1430">
        <v>44228</v>
      </c>
      <c r="FQ39" s="1430">
        <v>44256</v>
      </c>
      <c r="FR39" s="1430">
        <v>44287</v>
      </c>
      <c r="FS39" s="1430">
        <v>44317</v>
      </c>
      <c r="FT39" s="1430">
        <v>44348</v>
      </c>
      <c r="FU39" s="1430">
        <v>44378</v>
      </c>
      <c r="FV39" s="1430">
        <v>44409</v>
      </c>
      <c r="FW39" s="1430">
        <v>44440</v>
      </c>
      <c r="FX39" s="1430">
        <v>44470</v>
      </c>
      <c r="FY39" s="1430">
        <v>44501</v>
      </c>
      <c r="FZ39" s="1430">
        <v>44531</v>
      </c>
      <c r="GA39" s="1432">
        <f>YEAR(FZ39)</f>
        <v>2021</v>
      </c>
      <c r="GB39" s="1429">
        <v>44562</v>
      </c>
      <c r="GC39" s="1430">
        <v>44593</v>
      </c>
      <c r="GD39" s="1430">
        <v>44621</v>
      </c>
      <c r="GE39" s="1430">
        <v>44652</v>
      </c>
      <c r="GF39" s="1430">
        <v>44682</v>
      </c>
      <c r="GG39" s="1430">
        <v>44713</v>
      </c>
      <c r="GH39" s="1430">
        <v>44743</v>
      </c>
      <c r="GI39" s="1430">
        <v>44774</v>
      </c>
      <c r="GJ39" s="1430">
        <v>44805</v>
      </c>
      <c r="GK39" s="1430">
        <v>44835</v>
      </c>
      <c r="GL39" s="1430">
        <v>44866</v>
      </c>
      <c r="GM39" s="1430">
        <v>44896</v>
      </c>
      <c r="GN39" s="1432">
        <f>YEAR(GM39)</f>
        <v>2022</v>
      </c>
      <c r="GO39" s="1429">
        <v>44927</v>
      </c>
      <c r="GP39" s="1430">
        <v>44958</v>
      </c>
      <c r="GQ39" s="1430">
        <v>44986</v>
      </c>
      <c r="GR39" s="1430">
        <v>45017</v>
      </c>
      <c r="GS39" s="1430">
        <v>45047</v>
      </c>
      <c r="GT39" s="1430">
        <v>45078</v>
      </c>
      <c r="GU39" s="1430">
        <v>45108</v>
      </c>
      <c r="GV39" s="1430">
        <v>45139</v>
      </c>
      <c r="GW39" s="1430">
        <v>45170</v>
      </c>
      <c r="GX39" s="1430">
        <v>45200</v>
      </c>
      <c r="GY39" s="1430">
        <v>45231</v>
      </c>
      <c r="GZ39" s="1430">
        <v>45261</v>
      </c>
      <c r="HA39" s="1432">
        <f>YEAR(GZ39)</f>
        <v>2023</v>
      </c>
      <c r="HB39" s="1429">
        <v>45292</v>
      </c>
      <c r="HC39" s="1430">
        <v>45323</v>
      </c>
      <c r="HD39" s="1430">
        <v>45352</v>
      </c>
      <c r="HE39" s="1430">
        <v>45383</v>
      </c>
      <c r="HF39" s="1430">
        <v>45413</v>
      </c>
      <c r="HG39" s="1430">
        <v>45444</v>
      </c>
      <c r="HH39" s="1430">
        <v>45474</v>
      </c>
      <c r="HI39" s="1430">
        <v>45505</v>
      </c>
      <c r="HJ39" s="1430">
        <v>45536</v>
      </c>
      <c r="HK39" s="1430">
        <v>45566</v>
      </c>
      <c r="HL39" s="1430">
        <v>45597</v>
      </c>
      <c r="HM39" s="1430">
        <v>45627</v>
      </c>
      <c r="HN39" s="1432">
        <f>YEAR(HM39)</f>
        <v>2024</v>
      </c>
      <c r="HO39" s="1429">
        <v>45658</v>
      </c>
      <c r="HP39" s="1430">
        <v>45689</v>
      </c>
      <c r="HQ39" s="1430">
        <v>45717</v>
      </c>
      <c r="HR39" s="1430">
        <v>45748</v>
      </c>
      <c r="HS39" s="1430">
        <v>45778</v>
      </c>
      <c r="HT39" s="1430">
        <v>45809</v>
      </c>
      <c r="HU39" s="1430">
        <v>45839</v>
      </c>
      <c r="HV39" s="1430">
        <v>45870</v>
      </c>
      <c r="HW39" s="1430">
        <v>45901</v>
      </c>
      <c r="HX39" s="1430">
        <v>45931</v>
      </c>
      <c r="HY39" s="1430">
        <v>45962</v>
      </c>
      <c r="HZ39" s="1430">
        <v>45992</v>
      </c>
      <c r="IA39" s="1532">
        <f>YEAR(HZ39)</f>
        <v>2025</v>
      </c>
      <c r="IB39" s="1429" t="s">
        <v>0</v>
      </c>
      <c r="IC39" s="1430" t="s">
        <v>1</v>
      </c>
      <c r="ID39" s="1430" t="s">
        <v>2</v>
      </c>
      <c r="IE39" s="1430" t="s">
        <v>3</v>
      </c>
      <c r="IF39" s="1430" t="s">
        <v>4</v>
      </c>
      <c r="IG39" s="1430" t="s">
        <v>5</v>
      </c>
      <c r="IH39" s="1430" t="s">
        <v>6</v>
      </c>
      <c r="II39" s="1430" t="s">
        <v>7</v>
      </c>
      <c r="IJ39" s="1430" t="s">
        <v>8</v>
      </c>
      <c r="IK39" s="1430" t="s">
        <v>9</v>
      </c>
      <c r="IL39" s="1430" t="s">
        <v>10</v>
      </c>
      <c r="IM39" s="1430" t="s">
        <v>11</v>
      </c>
      <c r="IN39" s="1431">
        <v>2026</v>
      </c>
      <c r="IO39" s="1422"/>
      <c r="IP39" s="1433">
        <f>IP5</f>
        <v>46235</v>
      </c>
      <c r="IQ39" s="1535" t="str">
        <f>CONCATENATE("Ene.-",TEXT(IP39,"MMM."))</f>
        <v>Ene.-Ago.</v>
      </c>
      <c r="IR39" s="1535" t="str">
        <f>IQ39</f>
        <v>Ene.-Ago.</v>
      </c>
      <c r="IS39" s="1535" t="str">
        <f>IQ39</f>
        <v>Ene.-Ago.</v>
      </c>
    </row>
    <row r="40" spans="1:255" ht="15" customHeight="1" x14ac:dyDescent="0.2">
      <c r="A40" s="331" t="s">
        <v>352</v>
      </c>
      <c r="B40" s="373"/>
      <c r="C40" s="374"/>
      <c r="D40" s="374"/>
      <c r="E40" s="374"/>
      <c r="F40" s="374"/>
      <c r="G40" s="374"/>
      <c r="H40" s="374"/>
      <c r="I40" s="374"/>
      <c r="J40" s="374"/>
      <c r="K40" s="374"/>
      <c r="L40" s="374"/>
      <c r="M40" s="387"/>
      <c r="N40" s="375"/>
      <c r="O40" s="373"/>
      <c r="P40" s="374"/>
      <c r="Q40" s="374"/>
      <c r="R40" s="374"/>
      <c r="S40" s="374"/>
      <c r="T40" s="374"/>
      <c r="U40" s="374"/>
      <c r="V40" s="374"/>
      <c r="W40" s="374"/>
      <c r="X40" s="374"/>
      <c r="Y40" s="374"/>
      <c r="Z40" s="387"/>
      <c r="AA40" s="375"/>
      <c r="AB40" s="373"/>
      <c r="AC40" s="374"/>
      <c r="AD40" s="374"/>
      <c r="AE40" s="374"/>
      <c r="AF40" s="374"/>
      <c r="AG40" s="374"/>
      <c r="AH40" s="374"/>
      <c r="AI40" s="374"/>
      <c r="AJ40" s="374"/>
      <c r="AK40" s="374"/>
      <c r="AL40" s="374"/>
      <c r="AM40" s="387"/>
      <c r="AN40" s="375"/>
      <c r="AO40" s="373"/>
      <c r="AP40" s="374"/>
      <c r="AQ40" s="374"/>
      <c r="AR40" s="374"/>
      <c r="AS40" s="374"/>
      <c r="AT40" s="374"/>
      <c r="AU40" s="374"/>
      <c r="AV40" s="374"/>
      <c r="AW40" s="374"/>
      <c r="AX40" s="374"/>
      <c r="AY40" s="374"/>
      <c r="AZ40" s="387"/>
      <c r="BA40" s="375"/>
      <c r="BB40" s="373"/>
      <c r="BC40" s="374"/>
      <c r="BD40" s="374"/>
      <c r="BE40" s="374"/>
      <c r="BF40" s="374"/>
      <c r="BG40" s="374"/>
      <c r="BH40" s="374"/>
      <c r="BI40" s="374"/>
      <c r="BJ40" s="374"/>
      <c r="BK40" s="374"/>
      <c r="BL40" s="374"/>
      <c r="BM40" s="387"/>
      <c r="BN40" s="375"/>
      <c r="BO40" s="373"/>
      <c r="BP40" s="374"/>
      <c r="BQ40" s="374"/>
      <c r="BR40" s="374"/>
      <c r="BS40" s="374"/>
      <c r="BT40" s="374"/>
      <c r="BU40" s="374"/>
      <c r="BV40" s="374"/>
      <c r="BW40" s="374"/>
      <c r="BX40" s="374"/>
      <c r="BY40" s="374"/>
      <c r="BZ40" s="387"/>
      <c r="CA40" s="375"/>
      <c r="CB40" s="373"/>
      <c r="CC40" s="374"/>
      <c r="CD40" s="374"/>
      <c r="CE40" s="374"/>
      <c r="CF40" s="374"/>
      <c r="CG40" s="374"/>
      <c r="CH40" s="374"/>
      <c r="CI40" s="374"/>
      <c r="CJ40" s="374"/>
      <c r="CK40" s="374"/>
      <c r="CL40" s="374"/>
      <c r="CM40" s="387"/>
      <c r="CN40" s="375"/>
      <c r="CO40" s="373"/>
      <c r="CP40" s="374"/>
      <c r="CQ40" s="374"/>
      <c r="CR40" s="374"/>
      <c r="CS40" s="374"/>
      <c r="CT40" s="374"/>
      <c r="CU40" s="374"/>
      <c r="CV40" s="374"/>
      <c r="CW40" s="374"/>
      <c r="CX40" s="374"/>
      <c r="CY40" s="374"/>
      <c r="CZ40" s="387"/>
      <c r="DA40" s="375"/>
      <c r="DB40" s="373"/>
      <c r="DC40" s="374"/>
      <c r="DD40" s="374"/>
      <c r="DE40" s="374"/>
      <c r="DF40" s="374"/>
      <c r="DG40" s="374"/>
      <c r="DH40" s="374"/>
      <c r="DI40" s="374"/>
      <c r="DJ40" s="374"/>
      <c r="DK40" s="374"/>
      <c r="DL40" s="374"/>
      <c r="DM40" s="387"/>
      <c r="DN40" s="375"/>
      <c r="DO40" s="373"/>
      <c r="DP40" s="374"/>
      <c r="DQ40" s="374"/>
      <c r="DR40" s="374"/>
      <c r="DS40" s="374"/>
      <c r="DT40" s="374"/>
      <c r="DU40" s="374"/>
      <c r="DV40" s="374"/>
      <c r="DW40" s="374"/>
      <c r="DX40" s="374"/>
      <c r="DY40" s="374"/>
      <c r="DZ40" s="387"/>
      <c r="EA40" s="375"/>
      <c r="EB40" s="373"/>
      <c r="EC40" s="374"/>
      <c r="ED40" s="374"/>
      <c r="EE40" s="374"/>
      <c r="EF40" s="374"/>
      <c r="EG40" s="374"/>
      <c r="EH40" s="374"/>
      <c r="EI40" s="374"/>
      <c r="EJ40" s="374"/>
      <c r="EK40" s="374"/>
      <c r="EL40" s="374"/>
      <c r="EM40" s="387"/>
      <c r="EN40" s="375"/>
      <c r="EO40" s="373"/>
      <c r="EP40" s="374"/>
      <c r="EQ40" s="374"/>
      <c r="ER40" s="374"/>
      <c r="ES40" s="374"/>
      <c r="ET40" s="374"/>
      <c r="EU40" s="374"/>
      <c r="EV40" s="374"/>
      <c r="EW40" s="374"/>
      <c r="EX40" s="374"/>
      <c r="EY40" s="374"/>
      <c r="EZ40" s="387"/>
      <c r="FA40" s="375"/>
      <c r="FB40" s="373"/>
      <c r="FC40" s="374"/>
      <c r="FD40" s="374"/>
      <c r="FE40" s="374"/>
      <c r="FF40" s="374"/>
      <c r="FG40" s="374"/>
      <c r="FH40" s="374"/>
      <c r="FI40" s="374"/>
      <c r="FJ40" s="374"/>
      <c r="FK40" s="374"/>
      <c r="FL40" s="374"/>
      <c r="FM40" s="387"/>
      <c r="FN40" s="375"/>
      <c r="FO40" s="373"/>
      <c r="FP40" s="374"/>
      <c r="FQ40" s="374"/>
      <c r="FR40" s="374"/>
      <c r="FS40" s="374"/>
      <c r="FT40" s="374"/>
      <c r="FU40" s="374"/>
      <c r="FV40" s="374"/>
      <c r="FW40" s="374"/>
      <c r="FX40" s="374"/>
      <c r="FY40" s="374"/>
      <c r="FZ40" s="387"/>
      <c r="GA40" s="375"/>
      <c r="GB40" s="373"/>
      <c r="GC40" s="374"/>
      <c r="GD40" s="374"/>
      <c r="GE40" s="374"/>
      <c r="GF40" s="374"/>
      <c r="GG40" s="374"/>
      <c r="GH40" s="374"/>
      <c r="GI40" s="374"/>
      <c r="GJ40" s="374"/>
      <c r="GK40" s="374"/>
      <c r="GL40" s="374"/>
      <c r="GM40" s="387"/>
      <c r="GN40" s="375"/>
      <c r="GO40" s="373"/>
      <c r="GP40" s="374"/>
      <c r="GQ40" s="374"/>
      <c r="GR40" s="374"/>
      <c r="GS40" s="374"/>
      <c r="GT40" s="374"/>
      <c r="GU40" s="374"/>
      <c r="GV40" s="374"/>
      <c r="GW40" s="374"/>
      <c r="GX40" s="374"/>
      <c r="GY40" s="374"/>
      <c r="GZ40" s="387"/>
      <c r="HA40" s="375"/>
      <c r="HB40" s="373"/>
      <c r="HC40" s="374"/>
      <c r="HD40" s="374"/>
      <c r="HE40" s="374"/>
      <c r="HF40" s="374"/>
      <c r="HG40" s="374"/>
      <c r="HH40" s="374"/>
      <c r="HI40" s="374"/>
      <c r="HJ40" s="374"/>
      <c r="HK40" s="374"/>
      <c r="HL40" s="374"/>
      <c r="HM40" s="387"/>
      <c r="HN40" s="375"/>
      <c r="HO40" s="373"/>
      <c r="HP40" s="374"/>
      <c r="HQ40" s="374"/>
      <c r="HR40" s="374"/>
      <c r="HS40" s="374"/>
      <c r="HT40" s="374"/>
      <c r="HU40" s="374"/>
      <c r="HV40" s="374"/>
      <c r="HW40" s="374"/>
      <c r="HX40" s="374"/>
      <c r="HY40" s="374"/>
      <c r="HZ40" s="387"/>
      <c r="IA40" s="373"/>
      <c r="IB40" s="1337"/>
      <c r="IC40" s="1338"/>
      <c r="ID40" s="1338"/>
      <c r="IE40" s="1338"/>
      <c r="IF40" s="1338"/>
      <c r="IG40" s="1338"/>
      <c r="IH40" s="1338"/>
      <c r="II40" s="1338"/>
      <c r="IJ40" s="1338"/>
      <c r="IK40" s="1338"/>
      <c r="IL40" s="1338"/>
      <c r="IM40" s="1339"/>
      <c r="IN40" s="1340"/>
      <c r="IO40" s="120"/>
      <c r="IP40" s="369"/>
      <c r="IQ40" s="334"/>
      <c r="IR40" s="337"/>
      <c r="IS40" s="335"/>
    </row>
    <row r="41" spans="1:255" s="1523" customFormat="1" ht="15" customHeight="1" x14ac:dyDescent="0.2">
      <c r="A41" s="1511" t="s">
        <v>300</v>
      </c>
      <c r="B41" s="1512">
        <f t="shared" ref="B41:M41" si="142">+B7/B37</f>
        <v>30461.868721642586</v>
      </c>
      <c r="C41" s="1513">
        <f t="shared" si="142"/>
        <v>35760.822272417288</v>
      </c>
      <c r="D41" s="1513">
        <f t="shared" si="142"/>
        <v>31419.897462165653</v>
      </c>
      <c r="E41" s="1513">
        <f t="shared" si="142"/>
        <v>32182.700986159318</v>
      </c>
      <c r="F41" s="1513">
        <f t="shared" si="142"/>
        <v>33998.659785091426</v>
      </c>
      <c r="G41" s="1513">
        <f t="shared" si="142"/>
        <v>41037.193202648676</v>
      </c>
      <c r="H41" s="1513">
        <f t="shared" si="142"/>
        <v>73726.416620811564</v>
      </c>
      <c r="I41" s="1513">
        <f t="shared" si="142"/>
        <v>45373.134257230588</v>
      </c>
      <c r="J41" s="1513">
        <f t="shared" si="142"/>
        <v>35803.089961189879</v>
      </c>
      <c r="K41" s="1513">
        <f t="shared" si="142"/>
        <v>41064.134068717649</v>
      </c>
      <c r="L41" s="1513">
        <f t="shared" si="142"/>
        <v>42281.066981754477</v>
      </c>
      <c r="M41" s="1514">
        <f t="shared" si="142"/>
        <v>105162.5631978017</v>
      </c>
      <c r="N41" s="1515">
        <f>SUM(B41:M41)</f>
        <v>548271.54751763074</v>
      </c>
      <c r="O41" s="1512">
        <f>+O7/$O$37</f>
        <v>30732.33687997211</v>
      </c>
      <c r="P41" s="1513">
        <f>+P7/$P$37</f>
        <v>40364.10253500806</v>
      </c>
      <c r="Q41" s="1513">
        <f>+Q7/$Q$37</f>
        <v>38210.545735086343</v>
      </c>
      <c r="R41" s="1513">
        <f>+R7/$R$37</f>
        <v>58196.812029839784</v>
      </c>
      <c r="S41" s="1513">
        <f>+S7/$S$37</f>
        <v>38889.747867967737</v>
      </c>
      <c r="T41" s="1513">
        <f>+T7/$T$37</f>
        <v>39297.294652932324</v>
      </c>
      <c r="U41" s="1513">
        <f>+U7/$U$37</f>
        <v>49192.936168318825</v>
      </c>
      <c r="V41" s="1513">
        <f>+V7/$V$37</f>
        <v>40522.713385984382</v>
      </c>
      <c r="W41" s="1513">
        <f>+W7/$W$37</f>
        <v>50737.904173721072</v>
      </c>
      <c r="X41" s="1513">
        <f>+X7/$X$37</f>
        <v>45564.433017343508</v>
      </c>
      <c r="Y41" s="1513">
        <f>+Y7/$Y$37</f>
        <v>43941.640915280761</v>
      </c>
      <c r="Z41" s="1514">
        <f>+Z7/$Z$37</f>
        <v>70196.472681792729</v>
      </c>
      <c r="AA41" s="1515">
        <f>SUM(O41:Z41)</f>
        <v>545846.94004324754</v>
      </c>
      <c r="AB41" s="1512">
        <f>+AB7/$AB$37</f>
        <v>33237.329105571895</v>
      </c>
      <c r="AC41" s="1513">
        <f>+AC7/$AC$37</f>
        <v>48573.381441201484</v>
      </c>
      <c r="AD41" s="1513">
        <f>+AD7/$AD$37</f>
        <v>37566.942261682489</v>
      </c>
      <c r="AE41" s="1513">
        <f>+AE7/$AE$37</f>
        <v>41790.731412877161</v>
      </c>
      <c r="AF41" s="1513">
        <f>+AF7/$AF$37</f>
        <v>48756.981893458054</v>
      </c>
      <c r="AG41" s="1513">
        <f>+AG7/$AG$37</f>
        <v>53000.803874988582</v>
      </c>
      <c r="AH41" s="1513">
        <f>+AH7/$AH$37</f>
        <v>56199.832883294708</v>
      </c>
      <c r="AI41" s="1513">
        <f>+AI7/$AI$37</f>
        <v>49611.992118112714</v>
      </c>
      <c r="AJ41" s="1513">
        <f>+AJ7/$AJ$37</f>
        <v>43628.036412592643</v>
      </c>
      <c r="AK41" s="1513">
        <f>+AK7/$AK$37</f>
        <v>43591.075911843349</v>
      </c>
      <c r="AL41" s="1513">
        <f>+AL7/$AL$37</f>
        <v>47437.52836632706</v>
      </c>
      <c r="AM41" s="1514">
        <f>+AM7/$AM$37</f>
        <v>66734.387955484228</v>
      </c>
      <c r="AN41" s="1515">
        <f>SUM(AB41:AM41)</f>
        <v>570129.02363743435</v>
      </c>
      <c r="AO41" s="1512">
        <f>+AO7/$AO$37</f>
        <v>41170.709046748219</v>
      </c>
      <c r="AP41" s="1513">
        <f>+AP7/$AP$37</f>
        <v>37870.906645153365</v>
      </c>
      <c r="AQ41" s="1513">
        <f>+AQ7/$AQ$37</f>
        <v>47650.409675742783</v>
      </c>
      <c r="AR41" s="1513">
        <f>+AR7/$AR$37</f>
        <v>30269.532785526604</v>
      </c>
      <c r="AS41" s="1513">
        <f>+AS7/$AS$37</f>
        <v>42531.668042975689</v>
      </c>
      <c r="AT41" s="1513">
        <f>+AT7/$AT$37</f>
        <v>46915.519455589121</v>
      </c>
      <c r="AU41" s="1513">
        <f>+AU7/$AU$37</f>
        <v>39091.496171605548</v>
      </c>
      <c r="AV41" s="1513">
        <f>+AV7/$AV$37</f>
        <v>55293.393215078962</v>
      </c>
      <c r="AW41" s="1513">
        <f>+AW7/$AW$37</f>
        <v>56941.931553803224</v>
      </c>
      <c r="AX41" s="1513">
        <f>+AX7/$AX$37</f>
        <v>55247.060362858298</v>
      </c>
      <c r="AY41" s="1513">
        <f>+AY7/$AY$37</f>
        <v>53454.246820714587</v>
      </c>
      <c r="AZ41" s="1514">
        <f>+AZ7/$AZ$37</f>
        <v>98995.789519332029</v>
      </c>
      <c r="BA41" s="1515">
        <f>SUM(AO41:AZ41)</f>
        <v>605432.66329512838</v>
      </c>
      <c r="BB41" s="1512">
        <f>+BB7/$BB$37</f>
        <v>41132.153772636491</v>
      </c>
      <c r="BC41" s="1513">
        <f>+BC7/$BC$37</f>
        <v>37929.2824025624</v>
      </c>
      <c r="BD41" s="1513">
        <f>+BD7/$BD$37</f>
        <v>41252.608719509706</v>
      </c>
      <c r="BE41" s="1513">
        <f>+BE7/$BE$37</f>
        <v>37327.78119021748</v>
      </c>
      <c r="BF41" s="1513">
        <f>+BF7/$BF$37</f>
        <v>60672.354548845826</v>
      </c>
      <c r="BG41" s="1513">
        <f>+BG7/$BG$37</f>
        <v>67314.411863936853</v>
      </c>
      <c r="BH41" s="1513">
        <f>+BH7/$BH$37</f>
        <v>47279.93171667734</v>
      </c>
      <c r="BI41" s="1513">
        <f>+BI7/$BI$37</f>
        <v>47896.858679428224</v>
      </c>
      <c r="BJ41" s="1513">
        <f>+BJ7/$BJ$37</f>
        <v>49499.469423115195</v>
      </c>
      <c r="BK41" s="1513">
        <f>+BK7/$BK$37</f>
        <v>85069.929061864459</v>
      </c>
      <c r="BL41" s="1513">
        <f>+BL7/$BL$37</f>
        <v>101152.00667111739</v>
      </c>
      <c r="BM41" s="1514">
        <f>+BM7/$BM$37</f>
        <v>91474.592581415083</v>
      </c>
      <c r="BN41" s="1515">
        <f>SUM(BB41:BM41)</f>
        <v>708001.38063132646</v>
      </c>
      <c r="BO41" s="1512">
        <f>+BO7/$BO$37</f>
        <v>35217.559224024408</v>
      </c>
      <c r="BP41" s="1513">
        <f>+BP7/$BP$37</f>
        <v>54151.569845273552</v>
      </c>
      <c r="BQ41" s="1513">
        <f>+BQ7/$BQ$37</f>
        <v>55800.489377290891</v>
      </c>
      <c r="BR41" s="1513">
        <f>+BR7/$BR$37</f>
        <v>67729.304450569529</v>
      </c>
      <c r="BS41" s="1513">
        <f>+BS7/$BS$37</f>
        <v>58360.528277979669</v>
      </c>
      <c r="BT41" s="1513">
        <f>+BT7/$BT$37</f>
        <v>86572.881599466768</v>
      </c>
      <c r="BU41" s="1513">
        <f>+BU7/$BU$37</f>
        <v>40040.472103361528</v>
      </c>
      <c r="BV41" s="1513">
        <f>+BV7/$BV$37</f>
        <v>51576.055183312223</v>
      </c>
      <c r="BW41" s="1513">
        <f>+BW7/$BW$37</f>
        <v>63365.096437128683</v>
      </c>
      <c r="BX41" s="1513">
        <f>+BX7/$BX$37</f>
        <v>77749.706310042005</v>
      </c>
      <c r="BY41" s="1513">
        <f>+BY7/$BY$37</f>
        <v>89412.155614432704</v>
      </c>
      <c r="BZ41" s="1514">
        <f>+BZ7/$BZ$37</f>
        <v>87830.231049620474</v>
      </c>
      <c r="CA41" s="1515">
        <f>SUM(BO41:BZ41)</f>
        <v>767806.04947250232</v>
      </c>
      <c r="CB41" s="1512">
        <f>+CB7/$CB$37</f>
        <v>74047.182534887819</v>
      </c>
      <c r="CC41" s="1513">
        <f>+CC7/$CC$37</f>
        <v>55656.471914659291</v>
      </c>
      <c r="CD41" s="1513">
        <f>+CD7/$CD$37</f>
        <v>50350.196851920176</v>
      </c>
      <c r="CE41" s="1513">
        <f>+CE7/$CE$37</f>
        <v>44796.674525514456</v>
      </c>
      <c r="CF41" s="1513">
        <f>+CF7/$CF$37</f>
        <v>55138.345186380669</v>
      </c>
      <c r="CG41" s="1513">
        <f>+CG7/$CG$37</f>
        <v>104145.08962445699</v>
      </c>
      <c r="CH41" s="1513">
        <f>+CH7/$CH$37</f>
        <v>74898.646839084744</v>
      </c>
      <c r="CI41" s="1513">
        <f>+CI7/$CI$37</f>
        <v>58304.867084219906</v>
      </c>
      <c r="CJ41" s="1513">
        <f>+CJ7/$CJ$37</f>
        <v>67372.086017469992</v>
      </c>
      <c r="CK41" s="1513">
        <f>+CK7/$CK$37</f>
        <v>49432.933875573064</v>
      </c>
      <c r="CL41" s="1513">
        <f>+CL7/$CL$37</f>
        <v>83501.177643844814</v>
      </c>
      <c r="CM41" s="1514">
        <f>+CM7/$CM$37</f>
        <v>159846.64228740896</v>
      </c>
      <c r="CN41" s="1515">
        <f>SUM(CB41:CM41)</f>
        <v>877490.31438542099</v>
      </c>
      <c r="CO41" s="1512">
        <f>+CO7/$CO$37</f>
        <v>43065.09598916406</v>
      </c>
      <c r="CP41" s="1513">
        <f>+CP7/$CP$37</f>
        <v>43863.995510555498</v>
      </c>
      <c r="CQ41" s="1513">
        <f>+CQ7/$CQ$37</f>
        <v>46527.787184428242</v>
      </c>
      <c r="CR41" s="1513">
        <f>+CR7/$CR$37</f>
        <v>95841.293921401986</v>
      </c>
      <c r="CS41" s="1513">
        <f>+CS7/$CS$37</f>
        <v>45535.095110164926</v>
      </c>
      <c r="CT41" s="1513">
        <f>+CT7/$CT$37</f>
        <v>58928.597678707367</v>
      </c>
      <c r="CU41" s="1513">
        <f>+CU7/$CU$37</f>
        <v>76224.855854569541</v>
      </c>
      <c r="CV41" s="1513">
        <f>+CV7/$CV$37</f>
        <v>102867.9512782339</v>
      </c>
      <c r="CW41" s="1513">
        <f>+CW7/$CW$37</f>
        <v>97774.371681764096</v>
      </c>
      <c r="CX41" s="1513">
        <f>+CX7/$CX$37</f>
        <v>103240.62589347314</v>
      </c>
      <c r="CY41" s="1513">
        <f>+CY7/$CY$37</f>
        <v>137301.36330742008</v>
      </c>
      <c r="CZ41" s="1514">
        <f>+CZ7/$CZ$37</f>
        <v>190773.44181595737</v>
      </c>
      <c r="DA41" s="1515">
        <f>SUM(CO41:CZ41)</f>
        <v>1041944.4752258402</v>
      </c>
      <c r="DB41" s="1512">
        <f>+DB7/$DB$37</f>
        <v>38494.9224047303</v>
      </c>
      <c r="DC41" s="1513">
        <f>+DC7/$DC$37</f>
        <v>47749.698317317074</v>
      </c>
      <c r="DD41" s="1513">
        <f>+DD7/$DD$37</f>
        <v>67660.442058989458</v>
      </c>
      <c r="DE41" s="1513">
        <f>+DE7/$DE$37</f>
        <v>75117.485703209066</v>
      </c>
      <c r="DF41" s="1513">
        <f>+DF7/$DF$37</f>
        <v>67822.149025430932</v>
      </c>
      <c r="DG41" s="1513">
        <f>+DG7/$DG$37</f>
        <v>72977.073729781667</v>
      </c>
      <c r="DH41" s="1513">
        <f>+DH7/$DH$37</f>
        <v>91297.453067691022</v>
      </c>
      <c r="DI41" s="1513">
        <f>+DI7/$DI$37</f>
        <v>83220.8490315128</v>
      </c>
      <c r="DJ41" s="1513">
        <f>+DJ7/$DJ$37</f>
        <v>73556.04006781058</v>
      </c>
      <c r="DK41" s="1513">
        <f>+DK7/$DK$37</f>
        <v>66401.272021462893</v>
      </c>
      <c r="DL41" s="1513">
        <f>+DL7/$DL$37</f>
        <v>67427.530291557268</v>
      </c>
      <c r="DM41" s="1514">
        <f>+DM7/$DM$37</f>
        <v>160651.75140014978</v>
      </c>
      <c r="DN41" s="1515">
        <f>SUM(DB41:DM41)</f>
        <v>912376.66711964284</v>
      </c>
      <c r="DO41" s="1512">
        <f>+DO7/$DO$37</f>
        <v>40779.229720599171</v>
      </c>
      <c r="DP41" s="1513">
        <f>+DP7/$DP$37</f>
        <v>50150.664774482502</v>
      </c>
      <c r="DQ41" s="1513">
        <f>+DQ7/$DQ$37</f>
        <v>75324.938152696632</v>
      </c>
      <c r="DR41" s="1513">
        <f>+DR7/$DR$37</f>
        <v>60890.328238984912</v>
      </c>
      <c r="DS41" s="1513">
        <f>+DS7/$DS$37</f>
        <v>67039.524687411787</v>
      </c>
      <c r="DT41" s="1513">
        <f>+DT7/$DT$37</f>
        <v>70538.337311152674</v>
      </c>
      <c r="DU41" s="1513">
        <f>+DU7/$DU$37</f>
        <v>71307.033892740219</v>
      </c>
      <c r="DV41" s="1513">
        <f>+DV7/$DV$37</f>
        <v>72809.266192799958</v>
      </c>
      <c r="DW41" s="1513">
        <f>+DW7/$DW$37</f>
        <v>66080.39226178953</v>
      </c>
      <c r="DX41" s="1513">
        <f>+DX7/$DX$37</f>
        <v>73355.78142585147</v>
      </c>
      <c r="DY41" s="1513">
        <f>+DY7/$DY$37</f>
        <v>85782.371712868786</v>
      </c>
      <c r="DZ41" s="1514">
        <f>+DZ7/$DZ$37</f>
        <v>155608.18302008728</v>
      </c>
      <c r="EA41" s="1515">
        <f>SUM(DO41:DZ41)</f>
        <v>889666.05139146501</v>
      </c>
      <c r="EB41" s="1512">
        <f t="shared" ref="EB41:EB55" si="143">+EB7/$EB$37</f>
        <v>51623.996518219894</v>
      </c>
      <c r="EC41" s="1513">
        <f t="shared" ref="EC41:EC55" si="144">+EC7/$EC$37</f>
        <v>56294.349317792003</v>
      </c>
      <c r="ED41" s="1513">
        <f t="shared" ref="ED41:ED55" si="145">+ED7/$ED$37</f>
        <v>59752.936719622085</v>
      </c>
      <c r="EE41" s="1513">
        <f t="shared" ref="EE41:EE55" si="146">+EE7/$EE$37</f>
        <v>70394.73807461356</v>
      </c>
      <c r="EF41" s="1513">
        <f t="shared" ref="EF41:EF55" si="147">+EF7/$EF$37</f>
        <v>65547.004135740761</v>
      </c>
      <c r="EG41" s="1513">
        <f t="shared" ref="EG41:EG55" si="148">+EG7/$EG$37</f>
        <v>76660.560929377345</v>
      </c>
      <c r="EH41" s="1513">
        <f t="shared" ref="EH41:EH55" si="149">+EH7/$EH$37</f>
        <v>80262.68272657058</v>
      </c>
      <c r="EI41" s="1513">
        <f t="shared" ref="EI41:EI55" si="150">+EI7/$EI$37</f>
        <v>67786.453828543992</v>
      </c>
      <c r="EJ41" s="1513">
        <f t="shared" ref="EJ41:EJ55" si="151">+EJ7/$EJ$37</f>
        <v>68488.553060024642</v>
      </c>
      <c r="EK41" s="1513">
        <f t="shared" ref="EK41:EK55" si="152">+EK7/$EK$37</f>
        <v>84001.159567268915</v>
      </c>
      <c r="EL41" s="1513">
        <f t="shared" ref="EL41:EL55" si="153">+EL7/$EL$37</f>
        <v>84301.19305692309</v>
      </c>
      <c r="EM41" s="1514">
        <f t="shared" ref="EM41:EM55" si="154">+EM7/$EM$37</f>
        <v>130326.11187974026</v>
      </c>
      <c r="EN41" s="1515">
        <f>SUM(EB41:EM41)</f>
        <v>895439.73981443711</v>
      </c>
      <c r="EO41" s="1512">
        <f t="shared" ref="EO41:EO55" si="155">+EO7/$EO$37</f>
        <v>53329.779891276885</v>
      </c>
      <c r="EP41" s="1513">
        <f t="shared" ref="EP41:EP55" si="156">+EP7/$EP$37</f>
        <v>52133.360042687164</v>
      </c>
      <c r="EQ41" s="1513">
        <f t="shared" ref="EQ41:EQ55" si="157">+EQ7/$EQ$37</f>
        <v>60709.740243829227</v>
      </c>
      <c r="ER41" s="1513">
        <f t="shared" ref="ER41:ER55" si="158">+ER7/$ER$37</f>
        <v>59983.786592156786</v>
      </c>
      <c r="ES41" s="1513">
        <f>+ES7/$ES$37</f>
        <v>66364.486599641459</v>
      </c>
      <c r="ET41" s="1513">
        <f t="shared" ref="ET41:ET55" si="159">+ET7/$ET$37</f>
        <v>91512.009550733041</v>
      </c>
      <c r="EU41" s="1513">
        <f t="shared" ref="EU41:EU55" si="160">+EU7/$EU$37</f>
        <v>83273.354738140741</v>
      </c>
      <c r="EV41" s="1513">
        <f t="shared" ref="EV41:EV55" si="161">+EV7/$EV$37</f>
        <v>102888.59558617038</v>
      </c>
      <c r="EW41" s="1513">
        <f t="shared" ref="EW41:EW55" si="162">+EW7/$EW$37</f>
        <v>79310.545771422374</v>
      </c>
      <c r="EX41" s="1513">
        <f t="shared" ref="EX41:EX55" si="163">+EX7/$EX$37</f>
        <v>76448.212814971965</v>
      </c>
      <c r="EY41" s="1513">
        <f t="shared" ref="EY41:EY55" si="164">+EY7/$EY$37</f>
        <v>86724.349036526008</v>
      </c>
      <c r="EZ41" s="1514">
        <f t="shared" ref="EZ41:EZ55" si="165">+EZ7/$EZ$37</f>
        <v>173012.5302990136</v>
      </c>
      <c r="FA41" s="1515">
        <f>SUM(EO41:EZ41)</f>
        <v>985690.75116656965</v>
      </c>
      <c r="FB41" s="1512">
        <f t="shared" ref="FB41:FB55" si="166">+FB7/$FB$37</f>
        <v>56471.740763463611</v>
      </c>
      <c r="FC41" s="1513">
        <f t="shared" ref="FC41:FC55" si="167">+FC7/$FC$37</f>
        <v>63799.202976442532</v>
      </c>
      <c r="FD41" s="1513">
        <f t="shared" ref="FD41:FD55" si="168">+FD7/$FD$37</f>
        <v>66228.605070855381</v>
      </c>
      <c r="FE41" s="1513">
        <f t="shared" ref="FE41:FE55" si="169">+FE7/$FE$37</f>
        <v>63310.831955311747</v>
      </c>
      <c r="FF41" s="1513">
        <f t="shared" ref="FF41:FF55" si="170">+FF7/$FF$37</f>
        <v>61497.992608367364</v>
      </c>
      <c r="FG41" s="1513">
        <f t="shared" ref="FG41:FG55" si="171">+FG7/$FG$37</f>
        <v>69598.081969230043</v>
      </c>
      <c r="FH41" s="1513">
        <f t="shared" ref="FH41:FH55" si="172">+FH7/$FH$37</f>
        <v>86159.465120937253</v>
      </c>
      <c r="FI41" s="1513">
        <f t="shared" ref="FI41:FI55" si="173">+FI7/$FI$37</f>
        <v>79626.602619728772</v>
      </c>
      <c r="FJ41" s="1513">
        <f t="shared" ref="FJ41:FJ55" si="174">+FJ7/$FJ$37</f>
        <v>81585.305166749458</v>
      </c>
      <c r="FK41" s="1513">
        <f t="shared" ref="FK41:FK55" si="175">+FK7/$FK$37</f>
        <v>96132.736696604043</v>
      </c>
      <c r="FL41" s="1513">
        <f t="shared" ref="FL41:FL55" si="176">+FL7/$FL$37</f>
        <v>102397.68468362218</v>
      </c>
      <c r="FM41" s="1514">
        <f t="shared" ref="FM41:FM55" si="177">+FM7/$FM$37</f>
        <v>214149.33429221131</v>
      </c>
      <c r="FN41" s="1515">
        <f>SUM(FB41:FM41)</f>
        <v>1040957.5839235238</v>
      </c>
      <c r="FO41" s="1512">
        <f t="shared" ref="FO41:FO55" si="178">+FO7/$FO$37</f>
        <v>64533.911239520879</v>
      </c>
      <c r="FP41" s="1513">
        <f t="shared" ref="FP41:FP55" si="179">+FP7/$FP$37</f>
        <v>73838.151450120058</v>
      </c>
      <c r="FQ41" s="1513">
        <f t="shared" ref="FQ41:FQ55" si="180">+FQ7/$FQ$37</f>
        <v>81292.425777098731</v>
      </c>
      <c r="FR41" s="1513">
        <f t="shared" ref="FR41:FR55" si="181">+FR7/$FR$37</f>
        <v>83688.238576777585</v>
      </c>
      <c r="FS41" s="1513">
        <f t="shared" ref="FS41:FS55" si="182">+FS7/$FS$37</f>
        <v>86512.661347858055</v>
      </c>
      <c r="FT41" s="1513">
        <f t="shared" ref="FT41:FT55" si="183">+FT7/$FT$37</f>
        <v>96564.143856886323</v>
      </c>
      <c r="FU41" s="1513">
        <f t="shared" ref="FU41:FU55" si="184">+FU7/$FU$37</f>
        <v>91263.854440287541</v>
      </c>
      <c r="FV41" s="1513">
        <f t="shared" ref="FV41:FV55" si="185">+FV7/$FV$37</f>
        <v>82457.419735758347</v>
      </c>
      <c r="FW41" s="1513">
        <f t="shared" ref="FW41:FW55" si="186">+FW7/$FW$37</f>
        <v>85240.830781511788</v>
      </c>
      <c r="FX41" s="1513">
        <f t="shared" ref="FX41:FX55" si="187">+FX7/$FX$37</f>
        <v>84527.963619599424</v>
      </c>
      <c r="FY41" s="1513">
        <f t="shared" ref="FY41:FY55" si="188">+FY7/$FY$37</f>
        <v>80032.161952878916</v>
      </c>
      <c r="FZ41" s="1514">
        <f t="shared" ref="FZ41:FZ55" si="189">+FZ7/$FZ$37</f>
        <v>182661.62053664116</v>
      </c>
      <c r="GA41" s="1515">
        <f>SUM(FO41:FZ41)</f>
        <v>1092613.383314939</v>
      </c>
      <c r="GB41" s="1512">
        <f t="shared" ref="GB41:GB55" si="190">+GB7/$GB$37</f>
        <v>67267.129279296903</v>
      </c>
      <c r="GC41" s="1513">
        <f t="shared" ref="GC41:GC55" si="191">+GC7/$GC$37</f>
        <v>66983.256406956993</v>
      </c>
      <c r="GD41" s="1513">
        <f t="shared" ref="GD41:GD55" si="192">+GD7/$GD$37</f>
        <v>84966.003050225874</v>
      </c>
      <c r="GE41" s="1513">
        <f t="shared" ref="GE41:GE55" si="193">+GE7/$GE$37</f>
        <v>86034.470082022133</v>
      </c>
      <c r="GF41" s="1513">
        <f t="shared" ref="GF41:GF55" si="194">+GF7/$GF$37</f>
        <v>95820.451617262835</v>
      </c>
      <c r="GG41" s="1513">
        <f t="shared" ref="GG41:GG55" si="195">+GG7/$GG$37</f>
        <v>104481.71432085852</v>
      </c>
      <c r="GH41" s="1513">
        <f t="shared" ref="GH41:GH55" si="196">+GH7/$GH$37</f>
        <v>104155.07553615369</v>
      </c>
      <c r="GI41" s="1513">
        <f t="shared" ref="GI41:GI55" si="197">+GI7/$GI$37</f>
        <v>99783.968360881714</v>
      </c>
      <c r="GJ41" s="1513">
        <f t="shared" ref="GJ41:GJ55" si="198">+GJ7/$GJ$37</f>
        <v>89673.216603344947</v>
      </c>
      <c r="GK41" s="1513">
        <f t="shared" ref="GK41:GK55" si="199">+GK7/$GK$37</f>
        <v>95276.021539446665</v>
      </c>
      <c r="GL41" s="1513">
        <f t="shared" ref="GL41:GL55" si="200">+GL7/$GL$37</f>
        <v>106258.41533379299</v>
      </c>
      <c r="GM41" s="1514">
        <f t="shared" ref="GM41:GM55" si="201">+GM7/$GM$37</f>
        <v>154498.61535622555</v>
      </c>
      <c r="GN41" s="1515">
        <f>SUM(GB41:GM41)</f>
        <v>1155198.3374864687</v>
      </c>
      <c r="GO41" s="1512">
        <f t="shared" ref="GO41:GO55" si="202">+GO7/$GO$37</f>
        <v>80453.977750238744</v>
      </c>
      <c r="GP41" s="1513">
        <f t="shared" ref="GP41:GP55" si="203">+GP7/$GP$37</f>
        <v>75794.374655479129</v>
      </c>
      <c r="GQ41" s="1513">
        <f t="shared" ref="GQ41:GQ55" si="204">+GQ7/$GQ$37</f>
        <v>82938.018349367281</v>
      </c>
      <c r="GR41" s="1513">
        <f t="shared" ref="GR41:GR55" si="205">+GR7/$GR$37</f>
        <v>77242.508420059283</v>
      </c>
      <c r="GS41" s="1513">
        <f t="shared" ref="GS41:GS55" si="206">+GS7/$GS$37</f>
        <v>84218.839818961569</v>
      </c>
      <c r="GT41" s="1513">
        <f t="shared" ref="GT41:GT55" si="207">+GT7/$GT$37</f>
        <v>87203.900129861155</v>
      </c>
      <c r="GU41" s="1513">
        <f t="shared" ref="GU41:GU55" si="208">+GU7/$GU$37</f>
        <v>141237.91812702105</v>
      </c>
      <c r="GV41" s="1513">
        <f t="shared" ref="GV41:GV55" si="209">+GV7/$GV$37</f>
        <v>94723.422913191927</v>
      </c>
      <c r="GW41" s="1513">
        <f t="shared" ref="GW41:GW55" si="210">+GW7/$GW$37</f>
        <v>94451.727240965643</v>
      </c>
      <c r="GX41" s="1513">
        <f t="shared" ref="GX41:GX55" si="211">+GX7/$GX$37</f>
        <v>92300.376674958505</v>
      </c>
      <c r="GY41" s="1513">
        <f t="shared" ref="GY41:GY55" si="212">+GY7/$GY$37</f>
        <v>115828.06822088695</v>
      </c>
      <c r="GZ41" s="1514">
        <f t="shared" ref="GZ41:GZ55" si="213">+GZ7/$GZ$37</f>
        <v>164094.75925918989</v>
      </c>
      <c r="HA41" s="1515">
        <f>SUM(GO41:GZ41)</f>
        <v>1190487.891560181</v>
      </c>
      <c r="HB41" s="1512">
        <f t="shared" ref="HB41:HB55" si="214">+HB7/$HB$37</f>
        <v>101024.68218066258</v>
      </c>
      <c r="HC41" s="1513">
        <f t="shared" ref="HC41:HC55" si="215">+HC7/$HC$37</f>
        <v>84257.142264204173</v>
      </c>
      <c r="HD41" s="1513">
        <f t="shared" ref="HD41:HD55" si="216">+HD7/$HD$37</f>
        <v>84461.528857904705</v>
      </c>
      <c r="HE41" s="1513">
        <f t="shared" ref="HE41:HE55" si="217">+HE7/$HE$37</f>
        <v>103990.88700319796</v>
      </c>
      <c r="HF41" s="1513">
        <f t="shared" ref="HF41:HF55" si="218">+HF7/$HF$37</f>
        <v>104464.1448253281</v>
      </c>
      <c r="HG41" s="1513">
        <f t="shared" ref="HG41:HG55" si="219">+HG7/$HG$37</f>
        <v>109339.9341759262</v>
      </c>
      <c r="HH41" s="1513">
        <f t="shared" ref="HH41:HH55" si="220">+HH7/$HH$37</f>
        <v>105223.78131410059</v>
      </c>
      <c r="HI41" s="1513">
        <f t="shared" ref="HI41:HI55" si="221">+HI7/$HI$37</f>
        <v>110561.75715852367</v>
      </c>
      <c r="HJ41" s="1513">
        <f t="shared" ref="HJ41:HJ55" si="222">+HJ7/$HJ$37</f>
        <v>98920.205544939075</v>
      </c>
      <c r="HK41" s="1513">
        <f t="shared" ref="HK41:HK55" si="223">+HK7/$HK$37</f>
        <v>113493.60764198704</v>
      </c>
      <c r="HL41" s="1513">
        <f t="shared" ref="HL41:HL55" si="224">+HL7/$HL$37</f>
        <v>147152.81742496375</v>
      </c>
      <c r="HM41" s="1514">
        <f t="shared" ref="HM41:HM55" si="225">+HM7/$HM$37</f>
        <v>184377.87817599787</v>
      </c>
      <c r="HN41" s="1515">
        <f>SUM(HB41:HM41)</f>
        <v>1347268.3665677356</v>
      </c>
      <c r="HO41" s="1512">
        <f t="shared" ref="HO41:HO55" si="226">+HO7/$HO$37</f>
        <v>94283.57938296051</v>
      </c>
      <c r="HP41" s="1513">
        <f t="shared" ref="HP41:HP55" si="227">+HP7/$HP$37</f>
        <v>113633.41279151416</v>
      </c>
      <c r="HQ41" s="1513">
        <f t="shared" ref="HQ41:HQ55" si="228">+HQ7/$HQ$37</f>
        <v>94858.931867010411</v>
      </c>
      <c r="HR41" s="1513">
        <f t="shared" ref="HR41:HR55" si="229">+HR7/$HR$37</f>
        <v>123773.1676343125</v>
      </c>
      <c r="HS41" s="1513">
        <f t="shared" ref="HS41:HS55" si="230">+HS7/$HS$37</f>
        <v>147852.08399514374</v>
      </c>
      <c r="HT41" s="1513">
        <f t="shared" ref="HT41:HT55" si="231">+HT7/$HT$37</f>
        <v>104951.0896677461</v>
      </c>
      <c r="HU41" s="1513">
        <f t="shared" ref="HU41:HU55" si="232">+HU7/$HU$37</f>
        <v>107309.41561529487</v>
      </c>
      <c r="HV41" s="1513">
        <f t="shared" ref="HV41:HV55" si="233">+HV7/$HV$37</f>
        <v>115273.92686446286</v>
      </c>
      <c r="HW41" s="1513">
        <f t="shared" ref="HW41:HW55" si="234">+HW7/$HW$37</f>
        <v>114379.05179718953</v>
      </c>
      <c r="HX41" s="1513">
        <f t="shared" ref="HX41:HX55" si="235">+HX7/$HX$37</f>
        <v>122147.87762379259</v>
      </c>
      <c r="HY41" s="1513">
        <f t="shared" ref="HY41:HY55" si="236">+HY7/$HY$37</f>
        <v>115271.9666575251</v>
      </c>
      <c r="HZ41" s="1514">
        <f t="shared" ref="HZ41:HZ62" si="237">+HZ7/$HZ$37</f>
        <v>173363.0029922956</v>
      </c>
      <c r="IA41" s="1512">
        <f>SUM(HO41:HZ41)</f>
        <v>1427097.506889248</v>
      </c>
      <c r="IB41" s="1516">
        <f t="shared" ref="IB41:IB55" si="238">+IB7/$IB$37</f>
        <v>127061.87162353682</v>
      </c>
      <c r="IC41" s="1209">
        <f>+IC7/$IC$37</f>
        <v>98234.222933534111</v>
      </c>
      <c r="ID41" s="1209">
        <f>+ID7/$ID$37</f>
        <v>107808.28309467423</v>
      </c>
      <c r="IE41" s="1209">
        <f>+IE7/$IE$37</f>
        <v>104786.99504238243</v>
      </c>
      <c r="IF41" s="1209">
        <f>+IF7/$IF$37</f>
        <v>118872.59608945988</v>
      </c>
      <c r="IG41" s="1209">
        <f>+IG7/$IG$37</f>
        <v>115643.2385440397</v>
      </c>
      <c r="IH41" s="1209">
        <f>+IH7/$IH$37</f>
        <v>133078.43473570771</v>
      </c>
      <c r="II41" s="1209">
        <f>+II7/$II$37</f>
        <v>126368.01527595574</v>
      </c>
      <c r="IJ41" s="1209"/>
      <c r="IK41" s="1209"/>
      <c r="IL41" s="1209"/>
      <c r="IM41" s="1517"/>
      <c r="IN41" s="1518">
        <f>SUM(IB41:IM41)</f>
        <v>931853.6573392906</v>
      </c>
      <c r="IO41" s="1422"/>
      <c r="IP41" s="1519">
        <f>IFERROR(((
_xlfn.XLOOKUP((DATE(YEAR($IP$5),MONTH($IP$5),1)),$B$5:$IN$5,$B41:$IN41) /
_xlfn.XLOOKUP((DATE(YEAR($IP$5)-1,MONTH($IP$5),1)),$B$5:$IN$5,$B41:$IN41)
)-1)*100,"")</f>
        <v>9.6241090359809878</v>
      </c>
      <c r="IQ41" s="1520">
        <f>IFERROR(((IS41/IR41)-1)*100,"")</f>
        <v>3.3170937328009131</v>
      </c>
      <c r="IR41" s="1521">
        <f>SUMIFS($B41:$IN41,$B$5:$IN$5,"&gt;="&amp;DATE(YEAR($IP$5)-1,1,1),$B$5:$IN$5,"&lt;="&amp;DATE(YEAR($IP$5)-1,MONTH($IP$5),1))</f>
        <v>901935.60781844519</v>
      </c>
      <c r="IS41" s="1522">
        <f>SUMIFS($B41:$IN41,$B$5:$IN$5,"&gt;="&amp;DATE(YEAR($IP$5),1,1),$B$5:$IN$5,"&lt;="&amp;$IP$5)</f>
        <v>931853.6573392906</v>
      </c>
      <c r="IU41" s="1521">
        <f>II41-HV41</f>
        <v>11094.088411492878</v>
      </c>
    </row>
    <row r="42" spans="1:255" s="338" customFormat="1" ht="15" customHeight="1" x14ac:dyDescent="0.2">
      <c r="A42" s="1553" t="s">
        <v>432</v>
      </c>
      <c r="B42" s="376">
        <f t="shared" ref="B42:M42" si="239">+B8/B37</f>
        <v>28799.120056280164</v>
      </c>
      <c r="C42" s="377">
        <f t="shared" si="239"/>
        <v>31786.427737869893</v>
      </c>
      <c r="D42" s="377">
        <f t="shared" si="239"/>
        <v>23538.527080854412</v>
      </c>
      <c r="E42" s="377">
        <f t="shared" si="239"/>
        <v>26193.550074502939</v>
      </c>
      <c r="F42" s="377">
        <f t="shared" si="239"/>
        <v>25984.314845440469</v>
      </c>
      <c r="G42" s="377">
        <f t="shared" si="239"/>
        <v>25784.816871112595</v>
      </c>
      <c r="H42" s="377">
        <f t="shared" si="239"/>
        <v>30976.591175561585</v>
      </c>
      <c r="I42" s="377">
        <f t="shared" si="239"/>
        <v>27163.926376729956</v>
      </c>
      <c r="J42" s="377">
        <f t="shared" si="239"/>
        <v>26190.271884870719</v>
      </c>
      <c r="K42" s="377">
        <f t="shared" si="239"/>
        <v>26652.709824824</v>
      </c>
      <c r="L42" s="377">
        <f t="shared" si="239"/>
        <v>26909.993209343669</v>
      </c>
      <c r="M42" s="388">
        <f t="shared" si="239"/>
        <v>30264.930409063894</v>
      </c>
      <c r="N42" s="378">
        <f t="shared" ref="N42:N64" si="240">SUM(B42:M42)</f>
        <v>330245.17954645434</v>
      </c>
      <c r="O42" s="376">
        <f>+O8/$O$37</f>
        <v>24827.289308247931</v>
      </c>
      <c r="P42" s="377">
        <f>+P8/$P$37</f>
        <v>31518.712296512851</v>
      </c>
      <c r="Q42" s="377">
        <f>+Q8/$Q$37</f>
        <v>27699.554189836053</v>
      </c>
      <c r="R42" s="377">
        <f>+R8/$R$37</f>
        <v>26360.599831099946</v>
      </c>
      <c r="S42" s="377">
        <f>+S8/$S$37</f>
        <v>26302.4352511658</v>
      </c>
      <c r="T42" s="377">
        <f>+T8/$T$37</f>
        <v>27201.152162388345</v>
      </c>
      <c r="U42" s="377">
        <f>+U8/$U$37</f>
        <v>35018.529253425251</v>
      </c>
      <c r="V42" s="377">
        <f>+V8/$V$37</f>
        <v>27605.759433355477</v>
      </c>
      <c r="W42" s="377">
        <f>+W8/$W$37</f>
        <v>31484.907578080783</v>
      </c>
      <c r="X42" s="377">
        <f>+X8/$X$37</f>
        <v>26588.214913084001</v>
      </c>
      <c r="Y42" s="377">
        <f>+Y8/$Y$37</f>
        <v>26372.71443511196</v>
      </c>
      <c r="Z42" s="388">
        <f>+Z8/$Z$37</f>
        <v>33607.641404431466</v>
      </c>
      <c r="AA42" s="378">
        <f>SUM(O42:Z42)</f>
        <v>344587.51005673991</v>
      </c>
      <c r="AB42" s="376">
        <f>+AB8/$AB$37</f>
        <v>30676.601551555952</v>
      </c>
      <c r="AC42" s="377">
        <f>+AC8/$AC$37</f>
        <v>25607.640191497121</v>
      </c>
      <c r="AD42" s="377">
        <f>+AD8/$AD$37</f>
        <v>24929.780699886724</v>
      </c>
      <c r="AE42" s="377">
        <f>+AE8/$AE$37</f>
        <v>28782.021221420924</v>
      </c>
      <c r="AF42" s="377">
        <f>+AF8/$AF$37</f>
        <v>27890.792405601733</v>
      </c>
      <c r="AG42" s="377">
        <f>+AG8/$AG$37</f>
        <v>30255.812535410685</v>
      </c>
      <c r="AH42" s="377">
        <f>+AH8/$AH$37</f>
        <v>38337.646958068341</v>
      </c>
      <c r="AI42" s="377">
        <f>+AI8/$AI$37</f>
        <v>28239.939647986666</v>
      </c>
      <c r="AJ42" s="377">
        <f>+AJ8/$AJ$37</f>
        <v>29973.542479418596</v>
      </c>
      <c r="AK42" s="377">
        <f>+AK8/$AK$37</f>
        <v>28037.752659418467</v>
      </c>
      <c r="AL42" s="377">
        <f>+AL8/$AL$37</f>
        <v>31185.449150880475</v>
      </c>
      <c r="AM42" s="388">
        <f>+AM8/$AM$37</f>
        <v>37982.470246182624</v>
      </c>
      <c r="AN42" s="378">
        <f>SUM(AB42:AM42)</f>
        <v>361899.4497473283</v>
      </c>
      <c r="AO42" s="376">
        <f>+AO8/$AO$37</f>
        <v>29868.208691472308</v>
      </c>
      <c r="AP42" s="377">
        <f>+AP8/$AP$37</f>
        <v>28787.702586241176</v>
      </c>
      <c r="AQ42" s="377">
        <f>+AQ8/$AQ$37</f>
        <v>27883.657922490311</v>
      </c>
      <c r="AR42" s="377">
        <f>+AR8/$AR$37</f>
        <v>24235.502207297246</v>
      </c>
      <c r="AS42" s="377">
        <f>+AS8/$AS$37</f>
        <v>29860.395925355271</v>
      </c>
      <c r="AT42" s="377">
        <f>+AT8/$AT$37</f>
        <v>30393.853888710211</v>
      </c>
      <c r="AU42" s="377">
        <f>+AU8/$AU$37</f>
        <v>31633.456688781171</v>
      </c>
      <c r="AV42" s="377">
        <f>+AV8/$AV$37</f>
        <v>28839.69134713829</v>
      </c>
      <c r="AW42" s="377">
        <f>+AW8/$AW$37</f>
        <v>32504.446484511736</v>
      </c>
      <c r="AX42" s="377">
        <f>+AX8/$AX$37</f>
        <v>29234.009984324934</v>
      </c>
      <c r="AY42" s="377">
        <f>+AY8/$AY$37</f>
        <v>32320.312204191297</v>
      </c>
      <c r="AZ42" s="388">
        <f>+AZ8/$AZ$37</f>
        <v>51265.753320325588</v>
      </c>
      <c r="BA42" s="378">
        <f>SUM(AO42:AZ42)</f>
        <v>376826.99125083949</v>
      </c>
      <c r="BB42" s="376">
        <f>+BB8/$BB$37</f>
        <v>30315.993903499373</v>
      </c>
      <c r="BC42" s="377">
        <f>+BC8/$BC$37</f>
        <v>27777.709651640722</v>
      </c>
      <c r="BD42" s="377">
        <f>+BD8/$BD$37</f>
        <v>30175.283354097475</v>
      </c>
      <c r="BE42" s="377">
        <f>+BE8/$BE$37</f>
        <v>28803.515747603007</v>
      </c>
      <c r="BF42" s="377">
        <f>+BF8/$BF$37</f>
        <v>31263.697954065272</v>
      </c>
      <c r="BG42" s="377">
        <f>+BG8/$BG$37</f>
        <v>29827.750689216184</v>
      </c>
      <c r="BH42" s="377">
        <f>+BH8/$BH$37</f>
        <v>35045.812452156199</v>
      </c>
      <c r="BI42" s="377">
        <f>+BI8/$BI$37</f>
        <v>32261.371103571521</v>
      </c>
      <c r="BJ42" s="377">
        <f>+BJ8/$BJ$37</f>
        <v>31988.668664056924</v>
      </c>
      <c r="BK42" s="377">
        <f>+BK8/$BK$37</f>
        <v>33351.288516954417</v>
      </c>
      <c r="BL42" s="377">
        <f>+BL8/$BL$37</f>
        <v>34644.197741412674</v>
      </c>
      <c r="BM42" s="388">
        <f>+BM8/$BM$37</f>
        <v>56688.70358983308</v>
      </c>
      <c r="BN42" s="378">
        <f>SUM(BB42:BM42)</f>
        <v>402143.99336810689</v>
      </c>
      <c r="BO42" s="376">
        <f>+BO8/$BO$37</f>
        <v>30650.897718348948</v>
      </c>
      <c r="BP42" s="377">
        <f>+BP8/$BP$37</f>
        <v>32226.889811321118</v>
      </c>
      <c r="BQ42" s="377">
        <f>+BQ8/$BQ$37</f>
        <v>32227.751255079456</v>
      </c>
      <c r="BR42" s="377">
        <f>+BR8/$BR$37</f>
        <v>33689.538652140705</v>
      </c>
      <c r="BS42" s="377">
        <f>+BS8/$BS$37</f>
        <v>34005.717210287447</v>
      </c>
      <c r="BT42" s="377">
        <f>+BT8/$BT$37</f>
        <v>38131.012173600873</v>
      </c>
      <c r="BU42" s="377">
        <f>+BU8/$BU$37</f>
        <v>36844.571682153452</v>
      </c>
      <c r="BV42" s="377">
        <f>+BV8/$BV$37</f>
        <v>35137.799167421916</v>
      </c>
      <c r="BW42" s="377">
        <f>+BW8/$BW$37</f>
        <v>35647.640294234181</v>
      </c>
      <c r="BX42" s="377">
        <f>+BX8/$BX$37</f>
        <v>32586.035087593969</v>
      </c>
      <c r="BY42" s="377">
        <f>+BY8/$BY$37</f>
        <v>39229.995355615494</v>
      </c>
      <c r="BZ42" s="388">
        <f>+BZ8/$BZ$37</f>
        <v>59516.693181628376</v>
      </c>
      <c r="CA42" s="378">
        <f>SUM(BO42:BZ42)</f>
        <v>439894.54158942588</v>
      </c>
      <c r="CB42" s="376">
        <f>+CB8/$CB$37</f>
        <v>34461.930546921205</v>
      </c>
      <c r="CC42" s="377">
        <f>+CC8/$CC$37</f>
        <v>34758.019466921462</v>
      </c>
      <c r="CD42" s="377">
        <f>+CD8/$CD$37</f>
        <v>32889.673275316462</v>
      </c>
      <c r="CE42" s="377">
        <f>+CE8/$CE$37</f>
        <v>34377.655663783378</v>
      </c>
      <c r="CF42" s="377">
        <f>+CF8/$CF$37</f>
        <v>36752.262856353846</v>
      </c>
      <c r="CG42" s="377">
        <f>+CG8/$CG$37</f>
        <v>37381.055575446342</v>
      </c>
      <c r="CH42" s="377">
        <f>+CH8/$CH$37</f>
        <v>59593.811395449738</v>
      </c>
      <c r="CI42" s="377">
        <f>+CI8/$CI$37</f>
        <v>35404.164538648402</v>
      </c>
      <c r="CJ42" s="377">
        <f>+CJ8/$CJ$37</f>
        <v>41853.099380403175</v>
      </c>
      <c r="CK42" s="377">
        <f>+CK8/$CK$37</f>
        <v>37953.154462386541</v>
      </c>
      <c r="CL42" s="377">
        <f>+CL8/$CL$37</f>
        <v>54085.174131128973</v>
      </c>
      <c r="CM42" s="388">
        <f>+CM8/$CM$37</f>
        <v>63969.830989627488</v>
      </c>
      <c r="CN42" s="378">
        <f>SUM(CB42:CM42)</f>
        <v>503479.83228238707</v>
      </c>
      <c r="CO42" s="376">
        <f>+CO8/$CO$37</f>
        <v>33236.779436726276</v>
      </c>
      <c r="CP42" s="377">
        <f>+CP8/$CP$37</f>
        <v>34959.091988397246</v>
      </c>
      <c r="CQ42" s="377">
        <f>+CQ8/$CQ$37</f>
        <v>33047.614188889602</v>
      </c>
      <c r="CR42" s="377">
        <f>+CR8/$CR$37</f>
        <v>39745.836727049093</v>
      </c>
      <c r="CS42" s="377">
        <f>+CS8/$CS$37</f>
        <v>39348.872746093228</v>
      </c>
      <c r="CT42" s="377">
        <f>+CT8/$CT$37</f>
        <v>49773.835728569175</v>
      </c>
      <c r="CU42" s="377">
        <f>+CU8/$CU$37</f>
        <v>46688.47897679091</v>
      </c>
      <c r="CV42" s="377">
        <f>+CV8/$CV$37</f>
        <v>61263.610329428207</v>
      </c>
      <c r="CW42" s="377">
        <f>+CW8/$CW$37</f>
        <v>44287.265810419136</v>
      </c>
      <c r="CX42" s="377">
        <f>+CX8/$CX$37</f>
        <v>46041.310202310931</v>
      </c>
      <c r="CY42" s="377">
        <f>+CY8/$CY$37</f>
        <v>62479.612555475389</v>
      </c>
      <c r="CZ42" s="388">
        <f>+CZ8/$CZ$37</f>
        <v>73187.890026208028</v>
      </c>
      <c r="DA42" s="378">
        <f t="shared" ref="DA42:DA55" si="241">SUM(CO42:CZ42)</f>
        <v>564060.19871635723</v>
      </c>
      <c r="DB42" s="376">
        <f>+DB8/$DB$37</f>
        <v>36644.262780221186</v>
      </c>
      <c r="DC42" s="377">
        <f>+DC8/$DC$37</f>
        <v>36025.492264570858</v>
      </c>
      <c r="DD42" s="377">
        <f>+DD8/$DD$37</f>
        <v>43302.772393994099</v>
      </c>
      <c r="DE42" s="377">
        <f>+DE8/$DE$37</f>
        <v>43164.987169344757</v>
      </c>
      <c r="DF42" s="377">
        <f>+DF8/$DF$37</f>
        <v>43264.250243835872</v>
      </c>
      <c r="DG42" s="377">
        <f>+DG8/$DG$37</f>
        <v>43099.00786016426</v>
      </c>
      <c r="DH42" s="377">
        <f>+DH8/$DH$37</f>
        <v>50692.349959565472</v>
      </c>
      <c r="DI42" s="377">
        <f>+DI8/$DI$37</f>
        <v>46674.420502368106</v>
      </c>
      <c r="DJ42" s="377">
        <f>+DJ8/$DJ$37</f>
        <v>46945.685278052813</v>
      </c>
      <c r="DK42" s="377">
        <f>+DK8/$DK$37</f>
        <v>43734.050083906441</v>
      </c>
      <c r="DL42" s="377">
        <f>+DL8/$DL$37</f>
        <v>49391.04893708264</v>
      </c>
      <c r="DM42" s="388">
        <f>+DM8/$DM$37</f>
        <v>86226.205611883561</v>
      </c>
      <c r="DN42" s="378">
        <f t="shared" ref="DN42:DN55" si="242">SUM(DB42:DM42)</f>
        <v>569164.53308499011</v>
      </c>
      <c r="DO42" s="376">
        <f>+DO8/$DO$37</f>
        <v>39168.468367917769</v>
      </c>
      <c r="DP42" s="377">
        <f>+DP8/$DP$37</f>
        <v>38331.533196698394</v>
      </c>
      <c r="DQ42" s="377">
        <f>+DQ8/$DQ$37</f>
        <v>41320.203204837955</v>
      </c>
      <c r="DR42" s="377">
        <f>+DR8/$DR$37</f>
        <v>45741.630864066748</v>
      </c>
      <c r="DS42" s="377">
        <f>+DS8/$DS$37</f>
        <v>46837.187499595035</v>
      </c>
      <c r="DT42" s="377">
        <f>+DT8/$DT$37</f>
        <v>51206.979345722357</v>
      </c>
      <c r="DU42" s="377">
        <f>+DU8/$DU$37</f>
        <v>53373.446239734483</v>
      </c>
      <c r="DV42" s="377">
        <f>+DV8/$DV$37</f>
        <v>48736.928865596514</v>
      </c>
      <c r="DW42" s="377">
        <f>+DW8/$DW$37</f>
        <v>47470.136578241982</v>
      </c>
      <c r="DX42" s="377">
        <f>+DX8/$DX$37</f>
        <v>50621.873210549427</v>
      </c>
      <c r="DY42" s="377">
        <f>+DY8/$DY$37</f>
        <v>65135.659339975784</v>
      </c>
      <c r="DZ42" s="388">
        <f>+DZ8/$DZ$37</f>
        <v>93239.34028250663</v>
      </c>
      <c r="EA42" s="378">
        <f t="shared" ref="EA42:EA55" si="243">SUM(DO42:DZ42)</f>
        <v>621183.38699544314</v>
      </c>
      <c r="EB42" s="376">
        <f t="shared" si="143"/>
        <v>48312.458601837083</v>
      </c>
      <c r="EC42" s="377">
        <f t="shared" si="144"/>
        <v>47495.417497464863</v>
      </c>
      <c r="ED42" s="377">
        <f t="shared" si="145"/>
        <v>47557.526479394975</v>
      </c>
      <c r="EE42" s="377">
        <f t="shared" si="146"/>
        <v>52135.37162808115</v>
      </c>
      <c r="EF42" s="377">
        <f t="shared" si="147"/>
        <v>52012.619185287142</v>
      </c>
      <c r="EG42" s="377">
        <f t="shared" si="148"/>
        <v>62461.862964085238</v>
      </c>
      <c r="EH42" s="377">
        <f t="shared" si="149"/>
        <v>68766.139108049843</v>
      </c>
      <c r="EI42" s="377">
        <f t="shared" si="150"/>
        <v>55569.098973373781</v>
      </c>
      <c r="EJ42" s="377">
        <f t="shared" si="151"/>
        <v>56227.093774753055</v>
      </c>
      <c r="EK42" s="377">
        <f t="shared" si="152"/>
        <v>64074.437566768334</v>
      </c>
      <c r="EL42" s="377">
        <f t="shared" si="153"/>
        <v>60555.174423136363</v>
      </c>
      <c r="EM42" s="388">
        <f t="shared" si="154"/>
        <v>96804.915288911972</v>
      </c>
      <c r="EN42" s="378">
        <f t="shared" ref="EN42:EN55" si="244">SUM(EB42:EM42)</f>
        <v>711972.11549114389</v>
      </c>
      <c r="EO42" s="376">
        <f t="shared" si="155"/>
        <v>51320.634063967351</v>
      </c>
      <c r="EP42" s="377">
        <f t="shared" si="156"/>
        <v>44075.528559209488</v>
      </c>
      <c r="EQ42" s="377">
        <f t="shared" si="157"/>
        <v>48351.678128779036</v>
      </c>
      <c r="ER42" s="377">
        <f t="shared" si="158"/>
        <v>50896.792593458922</v>
      </c>
      <c r="ES42" s="377">
        <f t="shared" ref="ES42:ES47" si="245">+ES8/$ET$37</f>
        <v>54053.635546360441</v>
      </c>
      <c r="ET42" s="377">
        <f t="shared" si="159"/>
        <v>73611.017075405864</v>
      </c>
      <c r="EU42" s="377">
        <f t="shared" si="160"/>
        <v>58875.771559910463</v>
      </c>
      <c r="EV42" s="377">
        <f t="shared" si="161"/>
        <v>85132.782480390597</v>
      </c>
      <c r="EW42" s="377">
        <f t="shared" si="162"/>
        <v>60585.931760202053</v>
      </c>
      <c r="EX42" s="377">
        <f t="shared" si="163"/>
        <v>61704.162613643319</v>
      </c>
      <c r="EY42" s="377">
        <f t="shared" si="164"/>
        <v>65008.575367675228</v>
      </c>
      <c r="EZ42" s="388">
        <f t="shared" si="165"/>
        <v>111853.54683130463</v>
      </c>
      <c r="FA42" s="378">
        <f t="shared" ref="FA42:FA55" si="246">SUM(EO42:EZ42)</f>
        <v>765470.05658030743</v>
      </c>
      <c r="FB42" s="376">
        <f t="shared" si="166"/>
        <v>51139.048169405971</v>
      </c>
      <c r="FC42" s="377">
        <f t="shared" si="167"/>
        <v>49816.223027190172</v>
      </c>
      <c r="FD42" s="377">
        <f t="shared" si="168"/>
        <v>57445.538583065798</v>
      </c>
      <c r="FE42" s="377">
        <f t="shared" si="169"/>
        <v>58659.647832244809</v>
      </c>
      <c r="FF42" s="377">
        <f t="shared" si="170"/>
        <v>57900.554080698457</v>
      </c>
      <c r="FG42" s="377">
        <f t="shared" si="171"/>
        <v>59623.438948839859</v>
      </c>
      <c r="FH42" s="377">
        <f t="shared" si="172"/>
        <v>72903.532190342055</v>
      </c>
      <c r="FI42" s="377">
        <f t="shared" si="173"/>
        <v>62853.100692790744</v>
      </c>
      <c r="FJ42" s="377">
        <f t="shared" si="174"/>
        <v>66295.402169317793</v>
      </c>
      <c r="FK42" s="377">
        <f t="shared" si="175"/>
        <v>74664.373582455009</v>
      </c>
      <c r="FL42" s="377">
        <f t="shared" si="176"/>
        <v>74663.280210159821</v>
      </c>
      <c r="FM42" s="388">
        <f t="shared" si="177"/>
        <v>165682.34346808129</v>
      </c>
      <c r="FN42" s="378">
        <f t="shared" ref="FN42:FN55" si="247">SUM(FB42:FM42)</f>
        <v>851646.48295459175</v>
      </c>
      <c r="FO42" s="376">
        <f t="shared" si="178"/>
        <v>54591.723355929469</v>
      </c>
      <c r="FP42" s="377">
        <f t="shared" si="179"/>
        <v>63720.387257246468</v>
      </c>
      <c r="FQ42" s="377">
        <f t="shared" si="180"/>
        <v>67368.149151092613</v>
      </c>
      <c r="FR42" s="377">
        <f t="shared" si="181"/>
        <v>74110.949319335909</v>
      </c>
      <c r="FS42" s="377">
        <f t="shared" si="182"/>
        <v>75319.027301112146</v>
      </c>
      <c r="FT42" s="377">
        <f t="shared" si="183"/>
        <v>73822.80014662644</v>
      </c>
      <c r="FU42" s="377">
        <f t="shared" si="184"/>
        <v>77177.253767544753</v>
      </c>
      <c r="FV42" s="377">
        <f t="shared" si="185"/>
        <v>69611.973164728071</v>
      </c>
      <c r="FW42" s="377">
        <f t="shared" si="186"/>
        <v>75251.513746047174</v>
      </c>
      <c r="FX42" s="377">
        <f t="shared" si="187"/>
        <v>72528.219043769728</v>
      </c>
      <c r="FY42" s="377">
        <f t="shared" si="188"/>
        <v>68848.271841532187</v>
      </c>
      <c r="FZ42" s="388">
        <f t="shared" si="189"/>
        <v>153905.53018459189</v>
      </c>
      <c r="GA42" s="378">
        <f t="shared" ref="GA42:GA62" si="248">SUM(FO42:FZ42)</f>
        <v>926255.7982795568</v>
      </c>
      <c r="GB42" s="376">
        <f t="shared" si="190"/>
        <v>60333.3532523182</v>
      </c>
      <c r="GC42" s="377">
        <f t="shared" si="191"/>
        <v>62542.71119742257</v>
      </c>
      <c r="GD42" s="377">
        <f t="shared" si="192"/>
        <v>70864.515704796519</v>
      </c>
      <c r="GE42" s="377">
        <f t="shared" si="193"/>
        <v>71024.633861760798</v>
      </c>
      <c r="GF42" s="377">
        <f t="shared" si="194"/>
        <v>72273.934941103726</v>
      </c>
      <c r="GG42" s="377">
        <f t="shared" si="195"/>
        <v>77494.295516129147</v>
      </c>
      <c r="GH42" s="377">
        <f t="shared" si="196"/>
        <v>81976.664624238008</v>
      </c>
      <c r="GI42" s="377">
        <f t="shared" si="197"/>
        <v>77379.240723795825</v>
      </c>
      <c r="GJ42" s="377">
        <f t="shared" si="198"/>
        <v>67012.402086282731</v>
      </c>
      <c r="GK42" s="377">
        <f t="shared" si="199"/>
        <v>68402.090300685508</v>
      </c>
      <c r="GL42" s="377">
        <f t="shared" si="200"/>
        <v>75671.539502731233</v>
      </c>
      <c r="GM42" s="388">
        <f t="shared" si="201"/>
        <v>113810.86820672541</v>
      </c>
      <c r="GN42" s="378">
        <f t="shared" ref="GN42:GN61" si="249">SUM(GB42:GM42)</f>
        <v>898786.24991798983</v>
      </c>
      <c r="GO42" s="376">
        <f t="shared" si="202"/>
        <v>77073.509198808431</v>
      </c>
      <c r="GP42" s="377">
        <f t="shared" si="203"/>
        <v>66766.065638526416</v>
      </c>
      <c r="GQ42" s="377">
        <f t="shared" si="204"/>
        <v>66466.585701711418</v>
      </c>
      <c r="GR42" s="377">
        <f t="shared" si="205"/>
        <v>68176.45392493291</v>
      </c>
      <c r="GS42" s="377">
        <f t="shared" si="206"/>
        <v>73156.455358554289</v>
      </c>
      <c r="GT42" s="377">
        <f t="shared" si="207"/>
        <v>73872.834052620979</v>
      </c>
      <c r="GU42" s="377">
        <f t="shared" si="208"/>
        <v>109452.01361773736</v>
      </c>
      <c r="GV42" s="377">
        <f t="shared" si="209"/>
        <v>78704.447544780021</v>
      </c>
      <c r="GW42" s="377">
        <f t="shared" si="210"/>
        <v>74780.688325287003</v>
      </c>
      <c r="GX42" s="377">
        <f t="shared" si="211"/>
        <v>74770.615122936157</v>
      </c>
      <c r="GY42" s="377">
        <f t="shared" si="212"/>
        <v>88556.336316242217</v>
      </c>
      <c r="GZ42" s="388">
        <f t="shared" si="213"/>
        <v>115940.73771633253</v>
      </c>
      <c r="HA42" s="378">
        <f t="shared" ref="HA42:HA62" si="250">SUM(GO42:GZ42)</f>
        <v>967716.74251846981</v>
      </c>
      <c r="HB42" s="376">
        <f t="shared" si="214"/>
        <v>88940.313749012232</v>
      </c>
      <c r="HC42" s="377">
        <f t="shared" si="215"/>
        <v>71470.346955209447</v>
      </c>
      <c r="HD42" s="377">
        <f t="shared" si="216"/>
        <v>71401.109349321909</v>
      </c>
      <c r="HE42" s="377">
        <f t="shared" si="217"/>
        <v>81088.375897980935</v>
      </c>
      <c r="HF42" s="377">
        <f t="shared" si="218"/>
        <v>82058.716415352654</v>
      </c>
      <c r="HG42" s="377">
        <f t="shared" si="219"/>
        <v>80819.618658489751</v>
      </c>
      <c r="HH42" s="377">
        <f t="shared" si="220"/>
        <v>84952.136095736627</v>
      </c>
      <c r="HI42" s="377">
        <f t="shared" si="221"/>
        <v>86493.625972053982</v>
      </c>
      <c r="HJ42" s="377">
        <f t="shared" si="222"/>
        <v>83470.774555447264</v>
      </c>
      <c r="HK42" s="377">
        <f t="shared" si="223"/>
        <v>83694.867263062086</v>
      </c>
      <c r="HL42" s="377">
        <f t="shared" si="224"/>
        <v>114454.73914395709</v>
      </c>
      <c r="HM42" s="388">
        <f t="shared" si="225"/>
        <v>106564.13981606018</v>
      </c>
      <c r="HN42" s="378">
        <f t="shared" ref="HN42:HN64" si="251">SUM(HB42:HM42)</f>
        <v>1035408.7638716842</v>
      </c>
      <c r="HO42" s="376">
        <f t="shared" si="226"/>
        <v>89292.474027136268</v>
      </c>
      <c r="HP42" s="377">
        <f t="shared" si="227"/>
        <v>72407.353951973244</v>
      </c>
      <c r="HQ42" s="377">
        <f t="shared" si="228"/>
        <v>75292.889659018954</v>
      </c>
      <c r="HR42" s="377">
        <f t="shared" si="229"/>
        <v>83483.397329229309</v>
      </c>
      <c r="HS42" s="377">
        <f t="shared" si="230"/>
        <v>102520.41571415371</v>
      </c>
      <c r="HT42" s="377">
        <f t="shared" si="231"/>
        <v>82298.414532799245</v>
      </c>
      <c r="HU42" s="377">
        <f t="shared" si="232"/>
        <v>85845.441720381787</v>
      </c>
      <c r="HV42" s="377">
        <f t="shared" si="233"/>
        <v>90308.136132568034</v>
      </c>
      <c r="HW42" s="377">
        <f t="shared" si="234"/>
        <v>87532.08912734082</v>
      </c>
      <c r="HX42" s="377">
        <f t="shared" si="235"/>
        <v>87718.01832070433</v>
      </c>
      <c r="HY42" s="377">
        <f t="shared" si="236"/>
        <v>87902.446571186214</v>
      </c>
      <c r="HZ42" s="388">
        <f t="shared" si="237"/>
        <v>126213.67303996673</v>
      </c>
      <c r="IA42" s="376">
        <f t="shared" ref="IA42:IA64" si="252">SUM(HO42:HZ42)</f>
        <v>1070814.7501264587</v>
      </c>
      <c r="IB42" s="1328">
        <f t="shared" si="238"/>
        <v>104027.59128204908</v>
      </c>
      <c r="IC42" s="129">
        <f t="shared" ref="IC42:IC64" si="253">+IC8/$IC$37</f>
        <v>80371.668037972355</v>
      </c>
      <c r="ID42" s="129">
        <f t="shared" ref="ID42:ID64" si="254">+ID8/$ID$37</f>
        <v>85495.120658293206</v>
      </c>
      <c r="IE42" s="129">
        <f t="shared" ref="IE42:IE64" si="255">+IE8/$IE$37</f>
        <v>85092.1104070234</v>
      </c>
      <c r="IF42" s="129">
        <f t="shared" ref="IF42:IF64" si="256">+IF8/$IF$37</f>
        <v>92399.362026626462</v>
      </c>
      <c r="IG42" s="129">
        <f t="shared" ref="IG42:IG64" si="257">+IG8/$IG$37</f>
        <v>89519.730061250928</v>
      </c>
      <c r="IH42" s="129">
        <f t="shared" ref="IH42:IH64" si="258">+IH8/$IH$37</f>
        <v>93243.038529784855</v>
      </c>
      <c r="II42" s="129">
        <f t="shared" ref="II42:II64" si="259">+II8/$II$37</f>
        <v>94253.493365840637</v>
      </c>
      <c r="IJ42" s="129"/>
      <c r="IK42" s="129"/>
      <c r="IL42" s="129"/>
      <c r="IM42" s="1268"/>
      <c r="IN42" s="1343">
        <f t="shared" ref="IN42:IN64" si="260">SUM(IB42:IM42)</f>
        <v>724402.11436884094</v>
      </c>
      <c r="IO42" s="120"/>
      <c r="IP42" s="370">
        <f t="shared" ref="IP42:IP64" si="261">IFERROR(((
_xlfn.XLOOKUP((DATE(YEAR($IP$5),MONTH($IP$5),1)),$B$5:$IN$5,$B42:$IN42) /
_xlfn.XLOOKUP((DATE(YEAR($IP$5)-1,MONTH($IP$5),1)),$B$5:$IN$5,$B42:$IN42)
)-1)*100,"")</f>
        <v>4.3687727399013276</v>
      </c>
      <c r="IQ42" s="340">
        <f t="shared" ref="IQ42:IQ55" si="262">IFERROR(((IS42/IR42)-1)*100,"")</f>
        <v>6.3032774813631454</v>
      </c>
      <c r="IR42" s="339">
        <f t="shared" ref="IR42:IR64" si="263">SUMIFS($B42:$IN42,$B$5:$IN$5,"&gt;="&amp;DATE(YEAR($IP$5)-1,1,1),$B$5:$IN$5,"&lt;="&amp;DATE(YEAR($IP$5)-1,MONTH($IP$5),1))</f>
        <v>681448.52306726051</v>
      </c>
      <c r="IS42" s="341">
        <f t="shared" ref="IS42:IS64" si="264">SUMIFS($B42:$IN42,$B$5:$IN$5,"&gt;="&amp;DATE(YEAR($IP$5),1,1),$B$5:$IN$5,"&lt;="&amp;$IP$5)</f>
        <v>724402.11436884094</v>
      </c>
      <c r="IU42" s="339">
        <f t="shared" ref="IU42:IU52" si="265">II42-HV42</f>
        <v>3945.3572332726035</v>
      </c>
    </row>
    <row r="43" spans="1:255" ht="15" customHeight="1" x14ac:dyDescent="0.2">
      <c r="A43" s="1554" t="s">
        <v>433</v>
      </c>
      <c r="B43" s="379">
        <f t="shared" ref="B43:M43" si="266">+B9/B37</f>
        <v>23509.445814794646</v>
      </c>
      <c r="C43" s="380">
        <f t="shared" si="266"/>
        <v>22997.75929666236</v>
      </c>
      <c r="D43" s="380">
        <f t="shared" si="266"/>
        <v>17118.056190513296</v>
      </c>
      <c r="E43" s="380">
        <f t="shared" si="266"/>
        <v>19734.774591441274</v>
      </c>
      <c r="F43" s="380">
        <f t="shared" si="266"/>
        <v>19759.423309448026</v>
      </c>
      <c r="G43" s="380">
        <f t="shared" si="266"/>
        <v>19579.063106498415</v>
      </c>
      <c r="H43" s="380">
        <f t="shared" si="266"/>
        <v>23578.507115106684</v>
      </c>
      <c r="I43" s="380">
        <f t="shared" si="266"/>
        <v>20305.730528744301</v>
      </c>
      <c r="J43" s="380">
        <f t="shared" si="266"/>
        <v>19845.998249424036</v>
      </c>
      <c r="K43" s="380">
        <f t="shared" si="266"/>
        <v>19724.745825270089</v>
      </c>
      <c r="L43" s="380">
        <f t="shared" si="266"/>
        <v>19590.873777662531</v>
      </c>
      <c r="M43" s="389">
        <f t="shared" si="266"/>
        <v>22977.583222536734</v>
      </c>
      <c r="N43" s="381">
        <f t="shared" si="240"/>
        <v>248721.96102810238</v>
      </c>
      <c r="O43" s="379">
        <f>+O9/$O$37</f>
        <v>19695.74050058594</v>
      </c>
      <c r="P43" s="380">
        <f>+P9/$P$37</f>
        <v>23540.210750067217</v>
      </c>
      <c r="Q43" s="380">
        <f>+Q9/$Q$37</f>
        <v>19777.151934945443</v>
      </c>
      <c r="R43" s="380">
        <f>+R9/$R$37</f>
        <v>19985.6646093001</v>
      </c>
      <c r="S43" s="380">
        <f>+S9/$S$37</f>
        <v>20011.069377406504</v>
      </c>
      <c r="T43" s="380">
        <f>+T9/$T$37</f>
        <v>19916.623123395297</v>
      </c>
      <c r="U43" s="380">
        <f>+U9/$U$37</f>
        <v>26102.636452284594</v>
      </c>
      <c r="V43" s="380">
        <f>+V9/$V$37</f>
        <v>19928.962127653685</v>
      </c>
      <c r="W43" s="380">
        <f>+W9/$W$37</f>
        <v>19744.44497910453</v>
      </c>
      <c r="X43" s="380">
        <f>+X9/$X$37</f>
        <v>19779.609628340244</v>
      </c>
      <c r="Y43" s="380">
        <f>+Y9/$Y$37</f>
        <v>19654.15523588127</v>
      </c>
      <c r="Z43" s="389">
        <f>+Z9/$Z$37</f>
        <v>25312.595244153235</v>
      </c>
      <c r="AA43" s="381">
        <f>SUM(O43:Z43)</f>
        <v>253448.86396311806</v>
      </c>
      <c r="AB43" s="379">
        <f>+AB9/$AB$37</f>
        <v>23994.017181129355</v>
      </c>
      <c r="AC43" s="380">
        <f>+AC9/$AC$37</f>
        <v>19273.646455273483</v>
      </c>
      <c r="AD43" s="380">
        <f>+AD9/$AD$37</f>
        <v>18111.658858762468</v>
      </c>
      <c r="AE43" s="380">
        <f>+AE9/$AE$37</f>
        <v>19728.453320953755</v>
      </c>
      <c r="AF43" s="380">
        <f>+AF9/$AF$37</f>
        <v>19888.837662181362</v>
      </c>
      <c r="AG43" s="380">
        <f>+AG9/$AG$37</f>
        <v>21215.69589801821</v>
      </c>
      <c r="AH43" s="380">
        <f>+AH9/$AH$37</f>
        <v>26075.078797918992</v>
      </c>
      <c r="AI43" s="380">
        <f>+AI9/$AI$37</f>
        <v>18572.593093125812</v>
      </c>
      <c r="AJ43" s="380">
        <f>+AJ9/$AJ$37</f>
        <v>20295.204097395304</v>
      </c>
      <c r="AK43" s="380">
        <f>+AK9/$AK$37</f>
        <v>19829.429373222367</v>
      </c>
      <c r="AL43" s="380">
        <f>+AL9/$AL$37</f>
        <v>20285.619340864265</v>
      </c>
      <c r="AM43" s="389">
        <f>+AM9/$AM$37</f>
        <v>24752.580676141155</v>
      </c>
      <c r="AN43" s="381">
        <f>SUM(AB43:AM43)</f>
        <v>252022.81475498655</v>
      </c>
      <c r="AO43" s="379">
        <f>+AO9/$AO$37</f>
        <v>24344.948500435912</v>
      </c>
      <c r="AP43" s="380">
        <f>+AP9/$AP$37</f>
        <v>19920.277007966739</v>
      </c>
      <c r="AQ43" s="380">
        <f>+AQ9/$AQ$37</f>
        <v>19869.463776338718</v>
      </c>
      <c r="AR43" s="380">
        <f>+AR9/$AR$37</f>
        <v>21079.09122562327</v>
      </c>
      <c r="AS43" s="380">
        <f>+AS9/$AS$37</f>
        <v>20516.817137895079</v>
      </c>
      <c r="AT43" s="380">
        <f>+AT9/$AT$37</f>
        <v>20621.105483345589</v>
      </c>
      <c r="AU43" s="380">
        <f>+AU9/$AU$37</f>
        <v>22463.921823120192</v>
      </c>
      <c r="AV43" s="380">
        <f>+AV9/$AV$37</f>
        <v>20704.371533955735</v>
      </c>
      <c r="AW43" s="380">
        <f>+AW9/$AW$37</f>
        <v>20579.071637774461</v>
      </c>
      <c r="AX43" s="380">
        <f>+AX9/$AX$37</f>
        <v>20130.997536197272</v>
      </c>
      <c r="AY43" s="380">
        <f>+AY9/$AY$37</f>
        <v>21155.441917891567</v>
      </c>
      <c r="AZ43" s="389">
        <f>+AZ9/$AZ$37</f>
        <v>27378.856845041333</v>
      </c>
      <c r="BA43" s="381">
        <f>SUM(AO43:AZ43)</f>
        <v>258764.36442558587</v>
      </c>
      <c r="BB43" s="379">
        <f>+BB9/$BB$37</f>
        <v>24312.741760791065</v>
      </c>
      <c r="BC43" s="380">
        <f>+BC9/$BC$37</f>
        <v>21101.025903585556</v>
      </c>
      <c r="BD43" s="380">
        <f>+BD9/$BD$37</f>
        <v>20255.049571451676</v>
      </c>
      <c r="BE43" s="380">
        <f>+BE9/$BE$37</f>
        <v>21266.29720069328</v>
      </c>
      <c r="BF43" s="380">
        <f>+BF9/$BF$37</f>
        <v>22976.83286545732</v>
      </c>
      <c r="BG43" s="380">
        <f>+BG9/$BG$37</f>
        <v>21168.271957563924</v>
      </c>
      <c r="BH43" s="380">
        <f>+BH9/$BH$37</f>
        <v>25719.512838912549</v>
      </c>
      <c r="BI43" s="380">
        <f>+BI9/$BI$37</f>
        <v>21093.165692245304</v>
      </c>
      <c r="BJ43" s="380">
        <f>+BJ9/$BJ$37</f>
        <v>22087.772157002793</v>
      </c>
      <c r="BK43" s="380">
        <f>+BK9/$BK$37</f>
        <v>22240.329300845118</v>
      </c>
      <c r="BL43" s="380">
        <f>+BL9/$BL$37</f>
        <v>22041.888945201648</v>
      </c>
      <c r="BM43" s="389">
        <f>+BM9/$BM$37</f>
        <v>31844.505822171021</v>
      </c>
      <c r="BN43" s="381">
        <f>SUM(BB43:BM43)</f>
        <v>276107.39401592128</v>
      </c>
      <c r="BO43" s="379">
        <f>+BO9/$BO$37</f>
        <v>24791.879355125846</v>
      </c>
      <c r="BP43" s="380">
        <f>+BP9/$BP$37</f>
        <v>25808.585544959788</v>
      </c>
      <c r="BQ43" s="380">
        <f>+BQ9/$BQ$37</f>
        <v>23750.773696605487</v>
      </c>
      <c r="BR43" s="380">
        <f>+BR9/$BR$37</f>
        <v>24297.834281159488</v>
      </c>
      <c r="BS43" s="380">
        <f>+BS9/$BS$37</f>
        <v>24741.473888542831</v>
      </c>
      <c r="BT43" s="380">
        <f>+BT9/$BT$37</f>
        <v>25805.51258398444</v>
      </c>
      <c r="BU43" s="380">
        <f>+BU9/$BU$37</f>
        <v>27231.273119933092</v>
      </c>
      <c r="BV43" s="380">
        <f>+BV9/$BV$37</f>
        <v>24165.676083729286</v>
      </c>
      <c r="BW43" s="380">
        <f>+BW9/$BW$37</f>
        <v>23884.804642702984</v>
      </c>
      <c r="BX43" s="380">
        <f>+BX9/$BX$37</f>
        <v>24292.722251936284</v>
      </c>
      <c r="BY43" s="380">
        <f>+BY9/$BY$37</f>
        <v>25125.267489195634</v>
      </c>
      <c r="BZ43" s="389">
        <f>+BZ9/$BZ$37</f>
        <v>34209.787638969072</v>
      </c>
      <c r="CA43" s="381">
        <f>SUM(BO43:BZ43)</f>
        <v>308105.59057684423</v>
      </c>
      <c r="CB43" s="379">
        <f>+CB9/$CB$37</f>
        <v>28543.178014159348</v>
      </c>
      <c r="CC43" s="380">
        <f>+CC9/$CC$37</f>
        <v>25993.632840312861</v>
      </c>
      <c r="CD43" s="380">
        <f>+CD9/$CD$37</f>
        <v>23990.397335502388</v>
      </c>
      <c r="CE43" s="380">
        <f>+CE9/$CE$37</f>
        <v>24903.354088948428</v>
      </c>
      <c r="CF43" s="380">
        <f>+CF9/$CF$37</f>
        <v>24702.118752196588</v>
      </c>
      <c r="CG43" s="380">
        <f>+CG9/$CG$37</f>
        <v>25749.945537789394</v>
      </c>
      <c r="CH43" s="380">
        <f>+CH9/$CH$37</f>
        <v>47354.849704782428</v>
      </c>
      <c r="CI43" s="380">
        <f>+CI9/$CI$37</f>
        <v>25066.332262966007</v>
      </c>
      <c r="CJ43" s="380">
        <f>+CJ9/$CJ$37</f>
        <v>26316.949247603578</v>
      </c>
      <c r="CK43" s="380">
        <f>+CK9/$CK$37</f>
        <v>26203.929948705216</v>
      </c>
      <c r="CL43" s="380">
        <f>+CL9/$CL$37</f>
        <v>30627.17181270829</v>
      </c>
      <c r="CM43" s="389">
        <f>+CM9/$CM$37</f>
        <v>40009.878048447303</v>
      </c>
      <c r="CN43" s="381">
        <f>SUM(CB43:CM43)</f>
        <v>349461.73759412183</v>
      </c>
      <c r="CO43" s="379">
        <f>+CO9/$CO$37</f>
        <v>26961.462974930681</v>
      </c>
      <c r="CP43" s="380">
        <f>+CP9/$CP$37</f>
        <v>26963.875486848385</v>
      </c>
      <c r="CQ43" s="380">
        <f>+CQ9/$CQ$37</f>
        <v>22384.785685005787</v>
      </c>
      <c r="CR43" s="380">
        <f>+CR9/$CR$37</f>
        <v>26441.194610859675</v>
      </c>
      <c r="CS43" s="380">
        <f>+CS9/$CS$37</f>
        <v>26405.640971283516</v>
      </c>
      <c r="CT43" s="380">
        <f>+CT9/$CT$37</f>
        <v>28080.028812844193</v>
      </c>
      <c r="CU43" s="380">
        <f>+CU9/$CT$37</f>
        <v>31216.325572850441</v>
      </c>
      <c r="CV43" s="380">
        <f>+CV9/$CV$37</f>
        <v>27564.398731473553</v>
      </c>
      <c r="CW43" s="380">
        <f>+CW9/$CW$37</f>
        <v>27285.145373480584</v>
      </c>
      <c r="CX43" s="380">
        <f>+CX9/$CX$37</f>
        <v>28130.27516356151</v>
      </c>
      <c r="CY43" s="380">
        <f>+CY9/$CY$37</f>
        <v>28873.573239640969</v>
      </c>
      <c r="CZ43" s="389">
        <f>+CZ9/$CZ$37</f>
        <v>40263.33219351017</v>
      </c>
      <c r="DA43" s="381">
        <f t="shared" si="241"/>
        <v>340570.03881628951</v>
      </c>
      <c r="DB43" s="379">
        <f>+DB9/$DB$37</f>
        <v>30768.437257013211</v>
      </c>
      <c r="DC43" s="380">
        <f>+DC9/$DC$37</f>
        <v>27956.568111698751</v>
      </c>
      <c r="DD43" s="380">
        <f>+DD9/$DD$37</f>
        <v>26643.787618675698</v>
      </c>
      <c r="DE43" s="380">
        <f>+DE9/$DE$37</f>
        <v>27955.547169092009</v>
      </c>
      <c r="DF43" s="380">
        <f>+DF9/$DF$37</f>
        <v>28531.594170364428</v>
      </c>
      <c r="DG43" s="380">
        <f>+DG9/$DG$37</f>
        <v>29320.847184991941</v>
      </c>
      <c r="DH43" s="380">
        <f>+DH9/$DH$37</f>
        <v>36342.44698353266</v>
      </c>
      <c r="DI43" s="380">
        <f>+DI9/$DI$37</f>
        <v>30484.575314087298</v>
      </c>
      <c r="DJ43" s="380">
        <f>+DJ9/$DJ$37</f>
        <v>31431.959158320806</v>
      </c>
      <c r="DK43" s="380">
        <f>+DK9/$DK$37</f>
        <v>30431.006424892959</v>
      </c>
      <c r="DL43" s="380">
        <f>+DL9/$DL$37</f>
        <v>33997.807108099165</v>
      </c>
      <c r="DM43" s="389">
        <f>+DM9/$DM$37</f>
        <v>40577.553653027957</v>
      </c>
      <c r="DN43" s="381">
        <f t="shared" si="242"/>
        <v>374442.13015379693</v>
      </c>
      <c r="DO43" s="379">
        <f>+DO9/$DO$37</f>
        <v>32828.919840486647</v>
      </c>
      <c r="DP43" s="380">
        <f>+DP9/$DP$37</f>
        <v>29305.895651160408</v>
      </c>
      <c r="DQ43" s="380">
        <f>+DQ9/$DQ$37</f>
        <v>29234.619322646013</v>
      </c>
      <c r="DR43" s="380">
        <f>+DR9/$DR$37</f>
        <v>32264.776722484359</v>
      </c>
      <c r="DS43" s="380">
        <f>+DS9/$DS$37</f>
        <v>32252.828769840769</v>
      </c>
      <c r="DT43" s="380">
        <f>+DT9/$DT$37</f>
        <v>32104.172305055421</v>
      </c>
      <c r="DU43" s="380">
        <f>+DU9/$DU$37</f>
        <v>37463.838453061129</v>
      </c>
      <c r="DV43" s="380">
        <f>+DV9/$DV$37</f>
        <v>33757.056008242864</v>
      </c>
      <c r="DW43" s="380">
        <f>+DW9/$DW$37</f>
        <v>33413.835560996049</v>
      </c>
      <c r="DX43" s="380">
        <f>+DX9/$DX$37</f>
        <v>36099.293258110119</v>
      </c>
      <c r="DY43" s="380">
        <f>+DY9/$DY$37</f>
        <v>46670.796979003011</v>
      </c>
      <c r="DZ43" s="389">
        <f>+DZ9/$DZ$37</f>
        <v>55050.921589771191</v>
      </c>
      <c r="EA43" s="381">
        <f t="shared" si="243"/>
        <v>430446.95446085796</v>
      </c>
      <c r="EB43" s="379">
        <f t="shared" si="143"/>
        <v>41091.146245481432</v>
      </c>
      <c r="EC43" s="380">
        <f t="shared" si="144"/>
        <v>37827.57949068577</v>
      </c>
      <c r="ED43" s="380">
        <f t="shared" si="145"/>
        <v>36566.936446892163</v>
      </c>
      <c r="EE43" s="380">
        <f t="shared" si="146"/>
        <v>40395.878503948676</v>
      </c>
      <c r="EF43" s="380">
        <f t="shared" si="147"/>
        <v>39090.669267745106</v>
      </c>
      <c r="EG43" s="380">
        <f t="shared" si="148"/>
        <v>38957.102598759877</v>
      </c>
      <c r="EH43" s="380">
        <f t="shared" si="149"/>
        <v>42490.253374982633</v>
      </c>
      <c r="EI43" s="380">
        <f t="shared" si="150"/>
        <v>38682.614483948331</v>
      </c>
      <c r="EJ43" s="380">
        <f t="shared" si="151"/>
        <v>38086.648928619521</v>
      </c>
      <c r="EK43" s="380">
        <f t="shared" si="152"/>
        <v>38395.132302860693</v>
      </c>
      <c r="EL43" s="380">
        <f t="shared" si="153"/>
        <v>38243.811081807587</v>
      </c>
      <c r="EM43" s="389">
        <f t="shared" si="154"/>
        <v>52365.361907119412</v>
      </c>
      <c r="EN43" s="381">
        <f t="shared" si="244"/>
        <v>482193.13463285117</v>
      </c>
      <c r="EO43" s="379">
        <f t="shared" si="155"/>
        <v>43826.872609826867</v>
      </c>
      <c r="EP43" s="380">
        <f t="shared" si="156"/>
        <v>36924.511138704227</v>
      </c>
      <c r="EQ43" s="380">
        <f t="shared" si="157"/>
        <v>37796.89638570042</v>
      </c>
      <c r="ER43" s="380">
        <f t="shared" si="158"/>
        <v>39327.215372118422</v>
      </c>
      <c r="ES43" s="380">
        <f t="shared" si="245"/>
        <v>40043.344800326857</v>
      </c>
      <c r="ET43" s="380">
        <f t="shared" si="159"/>
        <v>39862.787239336525</v>
      </c>
      <c r="EU43" s="380">
        <f t="shared" si="160"/>
        <v>43499.874327786558</v>
      </c>
      <c r="EV43" s="380">
        <f t="shared" si="161"/>
        <v>39725.294265327808</v>
      </c>
      <c r="EW43" s="380">
        <f t="shared" si="162"/>
        <v>41437.907310364724</v>
      </c>
      <c r="EX43" s="380">
        <f t="shared" si="163"/>
        <v>41199.307116976888</v>
      </c>
      <c r="EY43" s="380">
        <f t="shared" si="164"/>
        <v>44449.940327059543</v>
      </c>
      <c r="EZ43" s="389">
        <f t="shared" si="165"/>
        <v>63660.170940331438</v>
      </c>
      <c r="FA43" s="381">
        <f t="shared" si="246"/>
        <v>511754.12183386023</v>
      </c>
      <c r="FB43" s="379">
        <f t="shared" si="166"/>
        <v>42636.631328121395</v>
      </c>
      <c r="FC43" s="380">
        <f t="shared" si="167"/>
        <v>39357.835691523636</v>
      </c>
      <c r="FD43" s="380">
        <f t="shared" si="168"/>
        <v>42554.691687126789</v>
      </c>
      <c r="FE43" s="380">
        <f t="shared" si="169"/>
        <v>44411.881663457491</v>
      </c>
      <c r="FF43" s="380">
        <f t="shared" si="170"/>
        <v>42700.418079467279</v>
      </c>
      <c r="FG43" s="380">
        <f t="shared" si="171"/>
        <v>42334.927023241311</v>
      </c>
      <c r="FH43" s="380">
        <f t="shared" si="172"/>
        <v>48685.699661502651</v>
      </c>
      <c r="FI43" s="380">
        <f t="shared" si="173"/>
        <v>44546.963284393525</v>
      </c>
      <c r="FJ43" s="380">
        <f t="shared" si="174"/>
        <v>43539.480788469875</v>
      </c>
      <c r="FK43" s="380">
        <f t="shared" si="175"/>
        <v>44667.660374615538</v>
      </c>
      <c r="FL43" s="380">
        <f t="shared" si="176"/>
        <v>50626.207622098904</v>
      </c>
      <c r="FM43" s="389">
        <f t="shared" si="177"/>
        <v>74012.882129830265</v>
      </c>
      <c r="FN43" s="381">
        <f t="shared" si="247"/>
        <v>560075.27933384874</v>
      </c>
      <c r="FO43" s="379">
        <f t="shared" si="178"/>
        <v>45633.510140860526</v>
      </c>
      <c r="FP43" s="380">
        <f t="shared" si="179"/>
        <v>46575.591880460866</v>
      </c>
      <c r="FQ43" s="380">
        <f t="shared" si="180"/>
        <v>45292.880584645558</v>
      </c>
      <c r="FR43" s="380">
        <f t="shared" si="181"/>
        <v>48423.021001848596</v>
      </c>
      <c r="FS43" s="380">
        <f t="shared" si="182"/>
        <v>47482.253214226927</v>
      </c>
      <c r="FT43" s="380">
        <f t="shared" si="183"/>
        <v>46635.805208090307</v>
      </c>
      <c r="FU43" s="380">
        <f t="shared" si="184"/>
        <v>48726.386698116083</v>
      </c>
      <c r="FV43" s="380">
        <f t="shared" si="185"/>
        <v>43997.316060448298</v>
      </c>
      <c r="FW43" s="380">
        <f t="shared" si="186"/>
        <v>46052.620636471504</v>
      </c>
      <c r="FX43" s="380">
        <f t="shared" si="187"/>
        <v>45138.577824496773</v>
      </c>
      <c r="FY43" s="380">
        <f t="shared" si="188"/>
        <v>45235.122538891716</v>
      </c>
      <c r="FZ43" s="389">
        <f t="shared" si="189"/>
        <v>63872.013532042627</v>
      </c>
      <c r="GA43" s="381">
        <f t="shared" si="248"/>
        <v>573065.09932059981</v>
      </c>
      <c r="GB43" s="379">
        <f t="shared" si="190"/>
        <v>42808.557979863312</v>
      </c>
      <c r="GC43" s="380">
        <f t="shared" si="191"/>
        <v>43646.39540526778</v>
      </c>
      <c r="GD43" s="380">
        <f t="shared" si="192"/>
        <v>44282.178408990017</v>
      </c>
      <c r="GE43" s="380">
        <f t="shared" si="193"/>
        <v>44806.750033124903</v>
      </c>
      <c r="GF43" s="380">
        <f t="shared" si="194"/>
        <v>44184.026015396958</v>
      </c>
      <c r="GG43" s="380">
        <f t="shared" si="195"/>
        <v>46286.923587603531</v>
      </c>
      <c r="GH43" s="380">
        <f t="shared" si="196"/>
        <v>47417.874635588654</v>
      </c>
      <c r="GI43" s="380">
        <f t="shared" si="197"/>
        <v>47345.158973579542</v>
      </c>
      <c r="GJ43" s="380">
        <f t="shared" si="198"/>
        <v>42288.305785053693</v>
      </c>
      <c r="GK43" s="380">
        <f t="shared" si="199"/>
        <v>43544.910737616097</v>
      </c>
      <c r="GL43" s="380">
        <f t="shared" si="200"/>
        <v>44995.138216145344</v>
      </c>
      <c r="GM43" s="389">
        <f t="shared" si="201"/>
        <v>55257.782991365275</v>
      </c>
      <c r="GN43" s="381">
        <f t="shared" si="249"/>
        <v>546864.00276959513</v>
      </c>
      <c r="GO43" s="379">
        <f t="shared" si="202"/>
        <v>64292.286262515161</v>
      </c>
      <c r="GP43" s="380">
        <f t="shared" si="203"/>
        <v>48518.675713285338</v>
      </c>
      <c r="GQ43" s="380">
        <f t="shared" si="204"/>
        <v>43312.140467478988</v>
      </c>
      <c r="GR43" s="380">
        <f t="shared" si="205"/>
        <v>47507.987733780385</v>
      </c>
      <c r="GS43" s="380">
        <f t="shared" si="206"/>
        <v>47393.686472770773</v>
      </c>
      <c r="GT43" s="380">
        <f t="shared" si="207"/>
        <v>49189.07479279174</v>
      </c>
      <c r="GU43" s="380">
        <f t="shared" si="208"/>
        <v>51919.720781239259</v>
      </c>
      <c r="GV43" s="380">
        <f t="shared" si="209"/>
        <v>47000.154288793958</v>
      </c>
      <c r="GW43" s="380">
        <f t="shared" si="210"/>
        <v>47550.346102958203</v>
      </c>
      <c r="GX43" s="380">
        <f t="shared" si="211"/>
        <v>46762.402195885115</v>
      </c>
      <c r="GY43" s="380">
        <f t="shared" si="212"/>
        <v>54271.758948356401</v>
      </c>
      <c r="GZ43" s="389">
        <f t="shared" si="213"/>
        <v>61084.494883128464</v>
      </c>
      <c r="HA43" s="381">
        <f t="shared" si="250"/>
        <v>608802.72864298383</v>
      </c>
      <c r="HB43" s="379">
        <f t="shared" si="214"/>
        <v>83654.790864263428</v>
      </c>
      <c r="HC43" s="380">
        <f t="shared" si="215"/>
        <v>62646.57462535346</v>
      </c>
      <c r="HD43" s="380">
        <f t="shared" si="216"/>
        <v>60659.289989631019</v>
      </c>
      <c r="HE43" s="380">
        <f t="shared" si="217"/>
        <v>66226.20354349805</v>
      </c>
      <c r="HF43" s="380">
        <f t="shared" si="218"/>
        <v>65390.811625574926</v>
      </c>
      <c r="HG43" s="380">
        <f t="shared" si="219"/>
        <v>63940.625957709715</v>
      </c>
      <c r="HH43" s="380">
        <f t="shared" si="220"/>
        <v>68462.121757007291</v>
      </c>
      <c r="HI43" s="380">
        <f t="shared" si="221"/>
        <v>66623.385718103134</v>
      </c>
      <c r="HJ43" s="380">
        <f t="shared" si="222"/>
        <v>64699.805387321212</v>
      </c>
      <c r="HK43" s="380">
        <f t="shared" si="223"/>
        <v>66106.596402772018</v>
      </c>
      <c r="HL43" s="380">
        <f t="shared" si="224"/>
        <v>94994.167316951047</v>
      </c>
      <c r="HM43" s="389">
        <f t="shared" si="225"/>
        <v>72950.589210538208</v>
      </c>
      <c r="HN43" s="381">
        <f t="shared" si="251"/>
        <v>836354.96239872347</v>
      </c>
      <c r="HO43" s="379">
        <f t="shared" si="226"/>
        <v>84363.995133316537</v>
      </c>
      <c r="HP43" s="380">
        <f t="shared" si="227"/>
        <v>63132.774353290573</v>
      </c>
      <c r="HQ43" s="380">
        <f t="shared" si="228"/>
        <v>62989.789778191764</v>
      </c>
      <c r="HR43" s="380">
        <f t="shared" si="229"/>
        <v>67100.502152714354</v>
      </c>
      <c r="HS43" s="380">
        <f t="shared" si="230"/>
        <v>84910.668066318249</v>
      </c>
      <c r="HT43" s="380">
        <f t="shared" si="231"/>
        <v>67606.1884465404</v>
      </c>
      <c r="HU43" s="380">
        <f t="shared" si="232"/>
        <v>70870.563416881501</v>
      </c>
      <c r="HV43" s="380">
        <f t="shared" si="233"/>
        <v>69481.97412648602</v>
      </c>
      <c r="HW43" s="380">
        <f t="shared" si="234"/>
        <v>68017.859695239022</v>
      </c>
      <c r="HX43" s="380">
        <f t="shared" si="235"/>
        <v>65873.982239014789</v>
      </c>
      <c r="HY43" s="380">
        <f t="shared" si="236"/>
        <v>69543.186554391505</v>
      </c>
      <c r="HZ43" s="389">
        <f t="shared" si="237"/>
        <v>88289.140203608622</v>
      </c>
      <c r="IA43" s="379">
        <f t="shared" si="252"/>
        <v>862180.62416599342</v>
      </c>
      <c r="IB43" s="1344">
        <f t="shared" si="238"/>
        <v>99589.970700673526</v>
      </c>
      <c r="IC43" s="120">
        <f t="shared" si="253"/>
        <v>68354.633139872967</v>
      </c>
      <c r="ID43" s="120">
        <f t="shared" si="254"/>
        <v>68185.952245531807</v>
      </c>
      <c r="IE43" s="120">
        <f>+IE9/$IE$37</f>
        <v>68965.524149076649</v>
      </c>
      <c r="IF43" s="120">
        <f t="shared" si="256"/>
        <v>69732.920881145459</v>
      </c>
      <c r="IG43" s="120">
        <f t="shared" si="257"/>
        <v>70365.601206167281</v>
      </c>
      <c r="IH43" s="120">
        <f t="shared" si="258"/>
        <v>73858.269572041099</v>
      </c>
      <c r="II43" s="120">
        <f t="shared" si="259"/>
        <v>73912.799221900015</v>
      </c>
      <c r="IJ43" s="120"/>
      <c r="IK43" s="120"/>
      <c r="IL43" s="120"/>
      <c r="IM43" s="1345"/>
      <c r="IN43" s="1346">
        <f t="shared" si="260"/>
        <v>592965.67111640889</v>
      </c>
      <c r="IO43" s="120"/>
      <c r="IP43" s="371">
        <f t="shared" si="261"/>
        <v>6.376941863148633</v>
      </c>
      <c r="IQ43" s="348">
        <f t="shared" si="262"/>
        <v>3.945825387141344</v>
      </c>
      <c r="IR43" s="320">
        <f t="shared" si="263"/>
        <v>570456.45547373942</v>
      </c>
      <c r="IS43" s="344">
        <f t="shared" si="264"/>
        <v>592965.67111640889</v>
      </c>
      <c r="IU43" s="1677">
        <f t="shared" si="265"/>
        <v>4430.8250954139949</v>
      </c>
    </row>
    <row r="44" spans="1:255" ht="15" customHeight="1" x14ac:dyDescent="0.2">
      <c r="A44" s="1554" t="s">
        <v>457</v>
      </c>
      <c r="B44" s="379">
        <f t="shared" ref="B44:M44" si="267">+B10/B37</f>
        <v>3101.3834729449768</v>
      </c>
      <c r="C44" s="380">
        <f t="shared" si="267"/>
        <v>4207.1555614608569</v>
      </c>
      <c r="D44" s="380">
        <f t="shared" si="267"/>
        <v>3044.6604371598173</v>
      </c>
      <c r="E44" s="380">
        <f t="shared" si="267"/>
        <v>3051.6012966416888</v>
      </c>
      <c r="F44" s="380">
        <f t="shared" si="267"/>
        <v>3048.9459540456937</v>
      </c>
      <c r="G44" s="380">
        <f t="shared" si="267"/>
        <v>3013.3298169908508</v>
      </c>
      <c r="H44" s="380">
        <f t="shared" si="267"/>
        <v>3730.6094504319144</v>
      </c>
      <c r="I44" s="380">
        <f t="shared" si="267"/>
        <v>2975.2260638167513</v>
      </c>
      <c r="J44" s="380">
        <f t="shared" si="267"/>
        <v>2969.5410879171982</v>
      </c>
      <c r="K44" s="380">
        <f t="shared" si="267"/>
        <v>2949.6850598127435</v>
      </c>
      <c r="L44" s="380">
        <f t="shared" si="267"/>
        <v>3187.9241509491371</v>
      </c>
      <c r="M44" s="389">
        <f t="shared" si="267"/>
        <v>3639.9949727756812</v>
      </c>
      <c r="N44" s="381">
        <f t="shared" si="240"/>
        <v>38920.057324947309</v>
      </c>
      <c r="O44" s="379">
        <f>+O10/$O$37</f>
        <v>2969.9780335071991</v>
      </c>
      <c r="P44" s="380">
        <f>+P10/$P$37</f>
        <v>4098.1864148006271</v>
      </c>
      <c r="Q44" s="380">
        <f>+Q10/$Q$37</f>
        <v>2969.6413585796454</v>
      </c>
      <c r="R44" s="380">
        <f>+R10/$R$37</f>
        <v>2958.0578604242924</v>
      </c>
      <c r="S44" s="380">
        <f>+S10/$S$37</f>
        <v>2961.0739047604534</v>
      </c>
      <c r="T44" s="380">
        <f>+T10/$T$37</f>
        <v>2977.6109991542753</v>
      </c>
      <c r="U44" s="380">
        <f>+U10/$U$37</f>
        <v>4745.6002436451045</v>
      </c>
      <c r="V44" s="380">
        <f>+V10/$V$37</f>
        <v>2970.8626296230073</v>
      </c>
      <c r="W44" s="380">
        <f>+W10/$W$37</f>
        <v>2946.8496701357653</v>
      </c>
      <c r="X44" s="380">
        <f>+X10/$X$37</f>
        <v>2946.9945379895353</v>
      </c>
      <c r="Y44" s="380">
        <f>+Y10/$Y$37</f>
        <v>2953.0004753227358</v>
      </c>
      <c r="Z44" s="389">
        <f>+Z10/$Z$37</f>
        <v>4317.6802251940308</v>
      </c>
      <c r="AA44" s="381">
        <f>SUM(O44:Z44)</f>
        <v>39815.536353136675</v>
      </c>
      <c r="AB44" s="379">
        <f>+AB10/$AB$37</f>
        <v>4350.4932051620808</v>
      </c>
      <c r="AC44" s="380">
        <f>+AC10/$AC$37</f>
        <v>2912.6525600510254</v>
      </c>
      <c r="AD44" s="380">
        <f>+AD10/$AD$37</f>
        <v>2908.1562359675318</v>
      </c>
      <c r="AE44" s="380">
        <f>+AE10/$AE$37</f>
        <v>2950.9069436676268</v>
      </c>
      <c r="AF44" s="380">
        <f>+AF10/$AF$37</f>
        <v>2928.4289396383188</v>
      </c>
      <c r="AG44" s="380">
        <f>+AG10/$AG$37</f>
        <v>2949.161700133739</v>
      </c>
      <c r="AH44" s="380">
        <f>+AH10/$AH$37</f>
        <v>3992.9041385671499</v>
      </c>
      <c r="AI44" s="380">
        <f>+AI10/$AI$37</f>
        <v>2878.5452277790564</v>
      </c>
      <c r="AJ44" s="380">
        <f>+AJ10/$AJ$37</f>
        <v>2917.1658972381183</v>
      </c>
      <c r="AK44" s="380">
        <f>+AK10/$AK$37</f>
        <v>2907.7521621422911</v>
      </c>
      <c r="AL44" s="380">
        <f>+AL10/$AL$37</f>
        <v>2920.0634159462047</v>
      </c>
      <c r="AM44" s="389">
        <f>+AM10/$AM$37</f>
        <v>3945.4255027201907</v>
      </c>
      <c r="AN44" s="381">
        <f>SUM(AB44:AM44)</f>
        <v>38561.65592901333</v>
      </c>
      <c r="AO44" s="379">
        <f>+AO10/$AO$37</f>
        <v>4218.2993486233254</v>
      </c>
      <c r="AP44" s="380">
        <f>+AP10/$AP$37</f>
        <v>2859.5106917572775</v>
      </c>
      <c r="AQ44" s="380">
        <f>+AQ10/$AQ$37</f>
        <v>2974.221427126638</v>
      </c>
      <c r="AR44" s="380">
        <f>+AR10/$AR$37</f>
        <v>2945.3386396283513</v>
      </c>
      <c r="AS44" s="380">
        <f>+AS10/$AS$37</f>
        <v>2817.4997981768965</v>
      </c>
      <c r="AT44" s="380">
        <f>+AT10/$AT$37</f>
        <v>2882.3500377300575</v>
      </c>
      <c r="AU44" s="380">
        <f>+AU10/$AU$37</f>
        <v>3858.9294775521043</v>
      </c>
      <c r="AV44" s="380">
        <f>+AV10/$AV$37</f>
        <v>2835.5363307811372</v>
      </c>
      <c r="AW44" s="380">
        <f>+AW10/$AW$37</f>
        <v>2891.2100645868859</v>
      </c>
      <c r="AX44" s="380">
        <f>+AX10/$AX$37</f>
        <v>2922.8826036461533</v>
      </c>
      <c r="AY44" s="380">
        <f>+AY10/$AY$37</f>
        <v>2857.0299137618595</v>
      </c>
      <c r="AZ44" s="389">
        <f>+AZ10/$AZ$37</f>
        <v>3938.965616106821</v>
      </c>
      <c r="BA44" s="381">
        <f>SUM(AO44:AZ44)</f>
        <v>38001.773949477509</v>
      </c>
      <c r="BB44" s="379">
        <f>+BB10/$BB$37</f>
        <v>4048.5451503185936</v>
      </c>
      <c r="BC44" s="380">
        <f>+BC10/$BC$37</f>
        <v>3028.8635851544018</v>
      </c>
      <c r="BD44" s="380">
        <f>+BD10/$BD$37</f>
        <v>2936.9057280642746</v>
      </c>
      <c r="BE44" s="380">
        <f>+BE10/$BE$37</f>
        <v>2762.5482038174578</v>
      </c>
      <c r="BF44" s="380">
        <f>+BF10/$BF$37</f>
        <v>2788.4751944439195</v>
      </c>
      <c r="BG44" s="380">
        <f>+BG10/$BG$37</f>
        <v>2819.1686394839412</v>
      </c>
      <c r="BH44" s="380">
        <f>+BH10/$BH$37</f>
        <v>3727.6491754907397</v>
      </c>
      <c r="BI44" s="380">
        <f>+BI10/$BI$37</f>
        <v>2978.7481300160034</v>
      </c>
      <c r="BJ44" s="380">
        <f>+BJ10/$BJ$37</f>
        <v>3510.0140275218914</v>
      </c>
      <c r="BK44" s="380">
        <f>+BK10/$BK$37</f>
        <v>2745.7299983471116</v>
      </c>
      <c r="BL44" s="380">
        <f>+BL10/$BL$37</f>
        <v>3061.3269073386673</v>
      </c>
      <c r="BM44" s="389">
        <f>+BM10/$BM$37</f>
        <v>4025.4905779719575</v>
      </c>
      <c r="BN44" s="381">
        <f>SUM(BB44:BM44)</f>
        <v>38433.465317968956</v>
      </c>
      <c r="BO44" s="379">
        <f>+BO10/$BO$37</f>
        <v>3954.7121667979236</v>
      </c>
      <c r="BP44" s="380">
        <f>+BP10/$BP$37</f>
        <v>2870.3131304454078</v>
      </c>
      <c r="BQ44" s="380">
        <f>+BQ10/$BQ$37</f>
        <v>2721.0460346923378</v>
      </c>
      <c r="BR44" s="380">
        <f>+BR10/$BR$37</f>
        <v>3204.908791504583</v>
      </c>
      <c r="BS44" s="380">
        <f>+BS10/$BS$37</f>
        <v>2710.7619508673388</v>
      </c>
      <c r="BT44" s="380">
        <f>+BT10/$BT$37</f>
        <v>3987.347221966113</v>
      </c>
      <c r="BU44" s="380">
        <f>+BU10/$BU$37</f>
        <v>3404.5224937918633</v>
      </c>
      <c r="BV44" s="380">
        <f>+BV10/$BV$37</f>
        <v>2654.9788527817291</v>
      </c>
      <c r="BW44" s="380">
        <f>+BW10/$BW$37</f>
        <v>2939.6932642978431</v>
      </c>
      <c r="BX44" s="380">
        <f>+BX10/$BX$37</f>
        <v>2665.6206763910022</v>
      </c>
      <c r="BY44" s="380">
        <f>+BY10/$BY$37</f>
        <v>2796.0376397248515</v>
      </c>
      <c r="BZ44" s="389">
        <f>+BZ10/$BZ$37</f>
        <v>5456.6313688134478</v>
      </c>
      <c r="CA44" s="381">
        <f>SUM(BO44:BZ44)</f>
        <v>39366.573592074441</v>
      </c>
      <c r="CB44" s="379">
        <f>+CB10/$CB$37</f>
        <v>3789.2328381360298</v>
      </c>
      <c r="CC44" s="380">
        <f>+CC10/$CC$37</f>
        <v>2843.896514945483</v>
      </c>
      <c r="CD44" s="380">
        <f>+CD10/$CD$37</f>
        <v>2638.5431994372243</v>
      </c>
      <c r="CE44" s="380">
        <f>+CE10/$CE$37</f>
        <v>3176.4522965654319</v>
      </c>
      <c r="CF44" s="380">
        <f>+CF10/$CF$37</f>
        <v>3119.0106758332654</v>
      </c>
      <c r="CG44" s="380">
        <f>+CG10/$CG$37</f>
        <v>2533.8238895756708</v>
      </c>
      <c r="CH44" s="380">
        <f>+CH10/$CH$37</f>
        <v>4035.3356392313381</v>
      </c>
      <c r="CI44" s="380">
        <f>+CI10/$CI$37</f>
        <v>2655.946028684627</v>
      </c>
      <c r="CJ44" s="380">
        <f>+CJ10/$CJ$37</f>
        <v>2953.806095495368</v>
      </c>
      <c r="CK44" s="380">
        <f>+CK10/$CK$37</f>
        <v>2730.6921588157629</v>
      </c>
      <c r="CL44" s="380">
        <f>+CL10/$CL$37</f>
        <v>2947.833725584248</v>
      </c>
      <c r="CM44" s="389">
        <f>+CM10/$CM$37</f>
        <v>5389.3362411394264</v>
      </c>
      <c r="CN44" s="381">
        <f>SUM(CB44:CM44)</f>
        <v>38813.909303443877</v>
      </c>
      <c r="CO44" s="379">
        <f>+CO10/$CO$37</f>
        <v>3692.8881720698187</v>
      </c>
      <c r="CP44" s="380">
        <f>+CP10/$CP$37</f>
        <v>2812.8995727715023</v>
      </c>
      <c r="CQ44" s="380">
        <f>+CQ10/$CQ$37</f>
        <v>2696.8122266240562</v>
      </c>
      <c r="CR44" s="380">
        <f>+CR10/$CR$37</f>
        <v>2825.7646972437701</v>
      </c>
      <c r="CS44" s="380">
        <f>+CS10/$CS$37</f>
        <v>2753.7971549690365</v>
      </c>
      <c r="CT44" s="380">
        <f>+CT10/$CT$37</f>
        <v>2771.6110902380797</v>
      </c>
      <c r="CU44" s="380">
        <f>+CU10/$CU$37</f>
        <v>3401.9877208102862</v>
      </c>
      <c r="CV44" s="380">
        <f>+CV10/$CV$37</f>
        <v>2632.2512199857483</v>
      </c>
      <c r="CW44" s="380">
        <f>+CW10/$CW$37</f>
        <v>2503.5805030932524</v>
      </c>
      <c r="CX44" s="380">
        <f>+CX10/$CX$37</f>
        <v>2643.7456972698928</v>
      </c>
      <c r="CY44" s="380">
        <f>+CY10/$CY$37</f>
        <v>2958.2647714959853</v>
      </c>
      <c r="CZ44" s="389">
        <f>+CZ10/$CZ$37</f>
        <v>3541.5563044265332</v>
      </c>
      <c r="DA44" s="381">
        <f t="shared" si="241"/>
        <v>35235.159130997963</v>
      </c>
      <c r="DB44" s="379">
        <f>+DB10/$DB$37</f>
        <v>3502.202399446594</v>
      </c>
      <c r="DC44" s="380">
        <f>+DC10/$DC$37</f>
        <v>2611.8800688203664</v>
      </c>
      <c r="DD44" s="380">
        <f>+DD10/$DD$37</f>
        <v>2529.1950746522257</v>
      </c>
      <c r="DE44" s="380">
        <f>+DE10/$DE$37</f>
        <v>2457.3683451388752</v>
      </c>
      <c r="DF44" s="380">
        <f>+DF10/$DF$37</f>
        <v>2589.1143892374821</v>
      </c>
      <c r="DG44" s="380">
        <f>+DG10/$DG$37</f>
        <v>3060.2450159630507</v>
      </c>
      <c r="DH44" s="380">
        <f>+DH10/$DH$37</f>
        <v>3379.9849068741541</v>
      </c>
      <c r="DI44" s="380">
        <f>+DI10/$DI$37</f>
        <v>2633.3370891524505</v>
      </c>
      <c r="DJ44" s="380">
        <f>+DJ10/$DJ$37</f>
        <v>2526.6919402313679</v>
      </c>
      <c r="DK44" s="380">
        <f>+DK10/$DK$37</f>
        <v>2489.1747253215981</v>
      </c>
      <c r="DL44" s="380">
        <f>+DL10/$DL$37</f>
        <v>2613.9190648645272</v>
      </c>
      <c r="DM44" s="389">
        <f>+DM10/$DM$37</f>
        <v>3498.8459568662388</v>
      </c>
      <c r="DN44" s="381">
        <f t="shared" si="242"/>
        <v>33891.958976568931</v>
      </c>
      <c r="DO44" s="379">
        <f>+DO10/$DO$37</f>
        <v>3423.4145129160734</v>
      </c>
      <c r="DP44" s="380">
        <f>+DP10/$DP$37</f>
        <v>2423.6920914364259</v>
      </c>
      <c r="DQ44" s="380">
        <f>+DQ10/$DQ$37</f>
        <v>2757.644651773071</v>
      </c>
      <c r="DR44" s="380">
        <f>+DR10/$DR$37</f>
        <v>2537.6063528782552</v>
      </c>
      <c r="DS44" s="380">
        <f>+DS10/$DS$37</f>
        <v>2474.6545213085037</v>
      </c>
      <c r="DT44" s="380">
        <f>+DT10/$DT$37</f>
        <v>2473.5574768696392</v>
      </c>
      <c r="DU44" s="380">
        <f>+DU10/$DU$37</f>
        <v>3600.4320874700188</v>
      </c>
      <c r="DV44" s="380">
        <f>+DV10/$DV$37</f>
        <v>2531.0621858346922</v>
      </c>
      <c r="DW44" s="380">
        <f>+DW10/$DW$37</f>
        <v>2451.9639376512168</v>
      </c>
      <c r="DX44" s="380">
        <f>+DX10/$DX$37</f>
        <v>2575.2270280336443</v>
      </c>
      <c r="DY44" s="380">
        <f>+DY10/$DY$37</f>
        <v>2757.2750481546441</v>
      </c>
      <c r="DZ44" s="389">
        <f>+DZ10/$DZ$37</f>
        <v>4302.6666007953836</v>
      </c>
      <c r="EA44" s="381">
        <f t="shared" si="243"/>
        <v>34309.19649512157</v>
      </c>
      <c r="EB44" s="379">
        <f t="shared" si="143"/>
        <v>3734.8388500421811</v>
      </c>
      <c r="EC44" s="380">
        <f t="shared" si="144"/>
        <v>2496.8486035483115</v>
      </c>
      <c r="ED44" s="380">
        <f t="shared" si="145"/>
        <v>2376.768689733703</v>
      </c>
      <c r="EE44" s="380">
        <f t="shared" si="146"/>
        <v>2515.3500963929068</v>
      </c>
      <c r="EF44" s="380">
        <f t="shared" si="147"/>
        <v>3066.4679334801604</v>
      </c>
      <c r="EG44" s="380">
        <f t="shared" si="148"/>
        <v>2587.8697662621198</v>
      </c>
      <c r="EH44" s="380">
        <f t="shared" si="149"/>
        <v>3193.2870027343956</v>
      </c>
      <c r="EI44" s="380">
        <f t="shared" si="150"/>
        <v>2611.6192347201832</v>
      </c>
      <c r="EJ44" s="380">
        <f t="shared" si="151"/>
        <v>2462.9139702093316</v>
      </c>
      <c r="EK44" s="380">
        <f t="shared" si="152"/>
        <v>2864.9704346291755</v>
      </c>
      <c r="EL44" s="380">
        <f t="shared" si="153"/>
        <v>2856.5895035049389</v>
      </c>
      <c r="EM44" s="389">
        <f t="shared" si="154"/>
        <v>4000.6462080221231</v>
      </c>
      <c r="EN44" s="381">
        <f t="shared" si="244"/>
        <v>34768.170293279531</v>
      </c>
      <c r="EO44" s="379">
        <f t="shared" si="155"/>
        <v>3328.1324388520429</v>
      </c>
      <c r="EP44" s="380">
        <f t="shared" si="156"/>
        <v>2493.7386731741294</v>
      </c>
      <c r="EQ44" s="380">
        <f t="shared" si="157"/>
        <v>2515.506224312292</v>
      </c>
      <c r="ER44" s="380">
        <f t="shared" si="158"/>
        <v>2471.4224101778245</v>
      </c>
      <c r="ES44" s="380">
        <f t="shared" si="245"/>
        <v>2436.481373209303</v>
      </c>
      <c r="ET44" s="380">
        <f t="shared" si="159"/>
        <v>2451.1211754517622</v>
      </c>
      <c r="EU44" s="380">
        <f t="shared" si="160"/>
        <v>3137.1004805269995</v>
      </c>
      <c r="EV44" s="380">
        <f t="shared" si="161"/>
        <v>2670.0470835759083</v>
      </c>
      <c r="EW44" s="380">
        <f t="shared" si="162"/>
        <v>2970.8256226772783</v>
      </c>
      <c r="EX44" s="380">
        <f t="shared" si="163"/>
        <v>2721.0168953747357</v>
      </c>
      <c r="EY44" s="380">
        <f t="shared" si="164"/>
        <v>2743.6950087948385</v>
      </c>
      <c r="EZ44" s="389">
        <f t="shared" si="165"/>
        <v>4580.0875501993605</v>
      </c>
      <c r="FA44" s="381">
        <f t="shared" si="246"/>
        <v>34519.174936326475</v>
      </c>
      <c r="FB44" s="379">
        <f t="shared" si="166"/>
        <v>3272.1296584012671</v>
      </c>
      <c r="FC44" s="380">
        <f t="shared" si="167"/>
        <v>2508.8797843423099</v>
      </c>
      <c r="FD44" s="380">
        <f t="shared" si="168"/>
        <v>2398.6270367622928</v>
      </c>
      <c r="FE44" s="380">
        <f t="shared" si="169"/>
        <v>2593.7449651193092</v>
      </c>
      <c r="FF44" s="380">
        <f t="shared" si="170"/>
        <v>2414.0345675586436</v>
      </c>
      <c r="FG44" s="380">
        <f t="shared" si="171"/>
        <v>2445.9631020139423</v>
      </c>
      <c r="FH44" s="380">
        <f t="shared" si="172"/>
        <v>3247.0340764336725</v>
      </c>
      <c r="FI44" s="380">
        <f t="shared" si="173"/>
        <v>2384.7835447783132</v>
      </c>
      <c r="FJ44" s="380">
        <f t="shared" si="174"/>
        <v>2490.7216469373452</v>
      </c>
      <c r="FK44" s="380">
        <f t="shared" si="175"/>
        <v>2522.9986866442118</v>
      </c>
      <c r="FL44" s="380">
        <f t="shared" si="176"/>
        <v>2592.1400835370046</v>
      </c>
      <c r="FM44" s="389">
        <f t="shared" si="177"/>
        <v>4606.6250068882173</v>
      </c>
      <c r="FN44" s="381">
        <f t="shared" si="247"/>
        <v>33477.68215941653</v>
      </c>
      <c r="FO44" s="379">
        <f t="shared" si="178"/>
        <v>3140.6314762429483</v>
      </c>
      <c r="FP44" s="380">
        <f t="shared" si="179"/>
        <v>2549.5173161259549</v>
      </c>
      <c r="FQ44" s="380">
        <f t="shared" si="180"/>
        <v>2542.3332004708627</v>
      </c>
      <c r="FR44" s="380">
        <f t="shared" si="181"/>
        <v>2568.3239150193331</v>
      </c>
      <c r="FS44" s="380">
        <f t="shared" si="182"/>
        <v>2583.454661818349</v>
      </c>
      <c r="FT44" s="380">
        <f t="shared" si="183"/>
        <v>2486.3479212111592</v>
      </c>
      <c r="FU44" s="380">
        <f t="shared" si="184"/>
        <v>2915.4901014023681</v>
      </c>
      <c r="FV44" s="380">
        <f t="shared" si="185"/>
        <v>2530.1242282292069</v>
      </c>
      <c r="FW44" s="380">
        <f t="shared" si="186"/>
        <v>2650.4918641396507</v>
      </c>
      <c r="FX44" s="380">
        <f t="shared" si="187"/>
        <v>2500.3500689003645</v>
      </c>
      <c r="FY44" s="380">
        <f t="shared" si="188"/>
        <v>2261.2096304458996</v>
      </c>
      <c r="FZ44" s="389">
        <f t="shared" si="189"/>
        <v>3972.5829089786098</v>
      </c>
      <c r="GA44" s="381">
        <f t="shared" si="248"/>
        <v>32700.857292984707</v>
      </c>
      <c r="GB44" s="379">
        <f t="shared" si="190"/>
        <v>2947.4765746983903</v>
      </c>
      <c r="GC44" s="380">
        <f t="shared" si="191"/>
        <v>2146.2105407857148</v>
      </c>
      <c r="GD44" s="380">
        <f t="shared" si="192"/>
        <v>2346.6979829399552</v>
      </c>
      <c r="GE44" s="380">
        <f t="shared" si="193"/>
        <v>2436.6939577084031</v>
      </c>
      <c r="GF44" s="380">
        <f t="shared" si="194"/>
        <v>2201.2271837604376</v>
      </c>
      <c r="GG44" s="380">
        <f t="shared" si="195"/>
        <v>2552.8639409879133</v>
      </c>
      <c r="GH44" s="380">
        <f t="shared" si="196"/>
        <v>2707.0164545255775</v>
      </c>
      <c r="GI44" s="380">
        <f t="shared" si="197"/>
        <v>2156.3701208572024</v>
      </c>
      <c r="GJ44" s="380">
        <f t="shared" si="198"/>
        <v>2064.4778895489371</v>
      </c>
      <c r="GK44" s="380">
        <f t="shared" si="199"/>
        <v>2413.0696025046886</v>
      </c>
      <c r="GL44" s="380">
        <f t="shared" si="200"/>
        <v>2292.6816987539405</v>
      </c>
      <c r="GM44" s="389">
        <f t="shared" si="201"/>
        <v>3510.5968712604908</v>
      </c>
      <c r="GN44" s="381">
        <f t="shared" si="249"/>
        <v>29775.382818331647</v>
      </c>
      <c r="GO44" s="379">
        <f t="shared" si="202"/>
        <v>2809.4275964751532</v>
      </c>
      <c r="GP44" s="380">
        <f t="shared" si="203"/>
        <v>2222.5510530455272</v>
      </c>
      <c r="GQ44" s="380">
        <f t="shared" si="204"/>
        <v>2028.6581491726772</v>
      </c>
      <c r="GR44" s="380">
        <f t="shared" si="205"/>
        <v>2561.0713091342186</v>
      </c>
      <c r="GS44" s="380">
        <f t="shared" si="206"/>
        <v>2033.8425001007718</v>
      </c>
      <c r="GT44" s="380">
        <f t="shared" si="207"/>
        <v>2029.4387843332404</v>
      </c>
      <c r="GU44" s="380">
        <f t="shared" si="208"/>
        <v>2739.9868057954118</v>
      </c>
      <c r="GV44" s="380">
        <f t="shared" si="209"/>
        <v>2051.4810639222328</v>
      </c>
      <c r="GW44" s="380">
        <f t="shared" si="210"/>
        <v>2165.4936198883383</v>
      </c>
      <c r="GX44" s="380">
        <f t="shared" si="211"/>
        <v>2000.5458451452769</v>
      </c>
      <c r="GY44" s="380">
        <f t="shared" si="212"/>
        <v>2270.3086169334265</v>
      </c>
      <c r="GZ44" s="389">
        <f t="shared" si="213"/>
        <v>3202.7104202574742</v>
      </c>
      <c r="HA44" s="381">
        <f t="shared" si="250"/>
        <v>28115.515764203748</v>
      </c>
      <c r="HB44" s="379">
        <f t="shared" si="214"/>
        <v>2585.8053768059858</v>
      </c>
      <c r="HC44" s="380">
        <f t="shared" si="215"/>
        <v>2185.6946800766586</v>
      </c>
      <c r="HD44" s="380">
        <f t="shared" si="216"/>
        <v>2048.3304338336302</v>
      </c>
      <c r="HE44" s="380">
        <f t="shared" si="217"/>
        <v>2682.1699391054917</v>
      </c>
      <c r="HF44" s="380">
        <f t="shared" si="218"/>
        <v>2183.1563745673034</v>
      </c>
      <c r="HG44" s="380">
        <f t="shared" si="219"/>
        <v>2070.0545606917572</v>
      </c>
      <c r="HH44" s="380">
        <f t="shared" si="220"/>
        <v>2799.1565750572677</v>
      </c>
      <c r="HI44" s="380">
        <f t="shared" si="221"/>
        <v>2131.8635371018754</v>
      </c>
      <c r="HJ44" s="380">
        <f t="shared" si="222"/>
        <v>2055.3380714734449</v>
      </c>
      <c r="HK44" s="380">
        <f t="shared" si="223"/>
        <v>1968.7443862393445</v>
      </c>
      <c r="HL44" s="380">
        <f t="shared" si="224"/>
        <v>2072.6772959789737</v>
      </c>
      <c r="HM44" s="389">
        <f t="shared" si="225"/>
        <v>2825.1516655385681</v>
      </c>
      <c r="HN44" s="381">
        <f t="shared" si="251"/>
        <v>27608.142896470301</v>
      </c>
      <c r="HO44" s="379">
        <f t="shared" si="226"/>
        <v>2656.592151638024</v>
      </c>
      <c r="HP44" s="380">
        <f t="shared" si="227"/>
        <v>2080.6133556317827</v>
      </c>
      <c r="HQ44" s="380">
        <f t="shared" si="228"/>
        <v>1983.6208825542819</v>
      </c>
      <c r="HR44" s="380">
        <f t="shared" si="229"/>
        <v>2927.0345948137356</v>
      </c>
      <c r="HS44" s="380">
        <f t="shared" si="230"/>
        <v>2209.8463543519342</v>
      </c>
      <c r="HT44" s="380">
        <f t="shared" si="231"/>
        <v>1963.7796371581605</v>
      </c>
      <c r="HU44" s="380">
        <f t="shared" si="232"/>
        <v>2397.2349916725107</v>
      </c>
      <c r="HV44" s="380">
        <f t="shared" si="233"/>
        <v>3571.8230794703218</v>
      </c>
      <c r="HW44" s="380">
        <f t="shared" si="234"/>
        <v>2007.8116066336363</v>
      </c>
      <c r="HX44" s="380">
        <f t="shared" si="235"/>
        <v>1941.8884696523578</v>
      </c>
      <c r="HY44" s="380">
        <f t="shared" si="236"/>
        <v>2012.0266025978217</v>
      </c>
      <c r="HZ44" s="389">
        <f t="shared" si="237"/>
        <v>2695.1751969995162</v>
      </c>
      <c r="IA44" s="379">
        <f>SUM(HO44:HZ44)</f>
        <v>28447.44692317408</v>
      </c>
      <c r="IB44" s="1344">
        <f t="shared" si="238"/>
        <v>3239.5564942962187</v>
      </c>
      <c r="IC44" s="120">
        <f t="shared" si="253"/>
        <v>1972.3510724739863</v>
      </c>
      <c r="ID44" s="120">
        <f t="shared" si="254"/>
        <v>1994.7705871176056</v>
      </c>
      <c r="IE44" s="120">
        <f>+IE10/$IE$37</f>
        <v>2011.5121410810423</v>
      </c>
      <c r="IF44" s="120">
        <f t="shared" si="256"/>
        <v>1915.354135716613</v>
      </c>
      <c r="IG44" s="120">
        <f t="shared" si="257"/>
        <v>2076.391556763027</v>
      </c>
      <c r="IH44" s="120">
        <f t="shared" si="258"/>
        <v>2253.317477100883</v>
      </c>
      <c r="II44" s="120">
        <f t="shared" si="259"/>
        <v>1972.2548373852046</v>
      </c>
      <c r="IJ44" s="120"/>
      <c r="IK44" s="120"/>
      <c r="IL44" s="120"/>
      <c r="IM44" s="1345"/>
      <c r="IN44" s="1346">
        <f t="shared" si="260"/>
        <v>17435.50830193458</v>
      </c>
      <c r="IO44" s="120"/>
      <c r="IP44" s="371">
        <f t="shared" si="261"/>
        <v>-44.782963951347853</v>
      </c>
      <c r="IQ44" s="348">
        <f t="shared" si="262"/>
        <v>-11.899807406661422</v>
      </c>
      <c r="IR44" s="320">
        <f t="shared" si="263"/>
        <v>19790.545047290751</v>
      </c>
      <c r="IS44" s="344">
        <f t="shared" si="264"/>
        <v>17435.50830193458</v>
      </c>
      <c r="IU44" s="320">
        <f t="shared" si="265"/>
        <v>-1599.5682420851172</v>
      </c>
    </row>
    <row r="45" spans="1:255" ht="15" customHeight="1" x14ac:dyDescent="0.2">
      <c r="A45" s="1554" t="s">
        <v>434</v>
      </c>
      <c r="B45" s="379">
        <f t="shared" ref="B45:M45" si="268">+B11/B37</f>
        <v>1948.5183006101133</v>
      </c>
      <c r="C45" s="380">
        <f t="shared" si="268"/>
        <v>4384.6358444823736</v>
      </c>
      <c r="D45" s="380">
        <f t="shared" si="268"/>
        <v>3190.5584152330493</v>
      </c>
      <c r="E45" s="380">
        <f t="shared" si="268"/>
        <v>3238.4927077111388</v>
      </c>
      <c r="F45" s="380">
        <f t="shared" si="268"/>
        <v>2999.2919641896415</v>
      </c>
      <c r="G45" s="380">
        <f t="shared" si="268"/>
        <v>3020.9105209329664</v>
      </c>
      <c r="H45" s="380">
        <f t="shared" si="268"/>
        <v>3371.5889400468272</v>
      </c>
      <c r="I45" s="380">
        <f t="shared" si="268"/>
        <v>3704.9808193939707</v>
      </c>
      <c r="J45" s="380">
        <f t="shared" si="268"/>
        <v>3199.6153190073951</v>
      </c>
      <c r="K45" s="380">
        <f t="shared" si="268"/>
        <v>3814.407547529348</v>
      </c>
      <c r="L45" s="380">
        <f t="shared" si="268"/>
        <v>3915.2212647151823</v>
      </c>
      <c r="M45" s="389">
        <f t="shared" si="268"/>
        <v>3352.1429195976143</v>
      </c>
      <c r="N45" s="381">
        <f t="shared" si="240"/>
        <v>40140.364563449628</v>
      </c>
      <c r="O45" s="379">
        <f>+O11/$O$37</f>
        <v>1631.5128325112235</v>
      </c>
      <c r="P45" s="380">
        <f>+P11/$P$37</f>
        <v>3201.8805030844737</v>
      </c>
      <c r="Q45" s="380">
        <f>+Q11/$Q$37</f>
        <v>4272.1799186969365</v>
      </c>
      <c r="R45" s="380">
        <f>+R11/$R$37</f>
        <v>3267.6007572736453</v>
      </c>
      <c r="S45" s="380">
        <f>+S11/$S$37</f>
        <v>3197.4467597815542</v>
      </c>
      <c r="T45" s="380">
        <f>+T11/$T$37</f>
        <v>3440.0186350217036</v>
      </c>
      <c r="U45" s="380">
        <f>+U11/$U$37</f>
        <v>3895.0257220172984</v>
      </c>
      <c r="V45" s="380">
        <f>+V11/$V$37</f>
        <v>4575.3675162501031</v>
      </c>
      <c r="W45" s="380">
        <f>+W11/$W$37</f>
        <v>3372.9556655364086</v>
      </c>
      <c r="X45" s="380">
        <f>+X11/$X$37</f>
        <v>3660.3032595989798</v>
      </c>
      <c r="Y45" s="380">
        <f>+Y11/$Y$37</f>
        <v>3598.0778617986593</v>
      </c>
      <c r="Z45" s="389">
        <f>+Z11/$Z$37</f>
        <v>3658.1492963827905</v>
      </c>
      <c r="AA45" s="381">
        <f>SUM(O45:Z45)</f>
        <v>41770.518727953771</v>
      </c>
      <c r="AB45" s="379">
        <f>+AB11/$AB$37</f>
        <v>2207.7129697837422</v>
      </c>
      <c r="AC45" s="380">
        <f>+AC11/$AC$37</f>
        <v>3295.5364646586722</v>
      </c>
      <c r="AD45" s="380">
        <f>+AD11/$AD$37</f>
        <v>3785.4212461921861</v>
      </c>
      <c r="AE45" s="380">
        <f>+AE11/$AE$37</f>
        <v>4671.2847830155843</v>
      </c>
      <c r="AF45" s="380">
        <f>+AF11/$AF$37</f>
        <v>4905.7984496541621</v>
      </c>
      <c r="AG45" s="380">
        <f>+AG11/$AG$37</f>
        <v>5349.3687385130534</v>
      </c>
      <c r="AH45" s="380">
        <f>+AH11/$AH$37</f>
        <v>4834.5589490888642</v>
      </c>
      <c r="AI45" s="380">
        <f>+AI11/$AI$37</f>
        <v>6307.9953024605675</v>
      </c>
      <c r="AJ45" s="380">
        <f>+AJ11/$AJ$37</f>
        <v>6558.0046904012552</v>
      </c>
      <c r="AK45" s="380">
        <f>+AK11/$AK$37</f>
        <v>5170.9375911285815</v>
      </c>
      <c r="AL45" s="380">
        <f>+AL11/$AL$37</f>
        <v>7551.2983959225376</v>
      </c>
      <c r="AM45" s="389">
        <f>+AM11/$AM$37</f>
        <v>8786.6809362561471</v>
      </c>
      <c r="AN45" s="381">
        <f>SUM(AB45:AM45)</f>
        <v>63424.598517075356</v>
      </c>
      <c r="AO45" s="379">
        <f>+AO11/$AO$37</f>
        <v>1204.7169368230418</v>
      </c>
      <c r="AP45" s="380">
        <f>+AP11/$AP$37</f>
        <v>5903.592232655109</v>
      </c>
      <c r="AQ45" s="380">
        <f>+AQ11/$AQ$37</f>
        <v>4486.5674222240768</v>
      </c>
      <c r="AR45" s="380">
        <f>+AR11/$AR$37</f>
        <v>79.152128267110072</v>
      </c>
      <c r="AS45" s="380">
        <f>+AS11/$AS$37</f>
        <v>6380.9377258742452</v>
      </c>
      <c r="AT45" s="380">
        <f>+AT11/$AT$37</f>
        <v>6571.406579922369</v>
      </c>
      <c r="AU45" s="380">
        <f>+AU11/$AU$37</f>
        <v>5122.2798645771836</v>
      </c>
      <c r="AV45" s="380">
        <f>+AV11/$AV$37</f>
        <v>5186.7446222353519</v>
      </c>
      <c r="AW45" s="380">
        <f>+AW11/$AW$37</f>
        <v>7473.2926819342674</v>
      </c>
      <c r="AX45" s="380">
        <f>+AX11/$AX$37</f>
        <v>6016.8354867844555</v>
      </c>
      <c r="AY45" s="380">
        <f>+AY11/$AY$37</f>
        <v>8075.5615177604868</v>
      </c>
      <c r="AZ45" s="389">
        <f>+AZ11/$AZ$37</f>
        <v>9261.8457473041017</v>
      </c>
      <c r="BA45" s="381">
        <f>SUM(AO45:AZ45)</f>
        <v>65762.932946361791</v>
      </c>
      <c r="BB45" s="379">
        <f>+BB11/$BB$37</f>
        <v>1844.7761949266737</v>
      </c>
      <c r="BC45" s="380">
        <f>+BC11/$BC$37</f>
        <v>3550.2253498121268</v>
      </c>
      <c r="BD45" s="380">
        <f>+BD11/$BD$37</f>
        <v>6813.4173963192025</v>
      </c>
      <c r="BE45" s="380">
        <f>+BE11/$BE$37</f>
        <v>4717.2052840957631</v>
      </c>
      <c r="BF45" s="380">
        <f>+BF11/$BF$37</f>
        <v>5357.3188982621441</v>
      </c>
      <c r="BG45" s="380">
        <f>+BG11/$BG$37</f>
        <v>5314.67373312785</v>
      </c>
      <c r="BH45" s="380">
        <f>+BH11/$BH$37</f>
        <v>4948.5281579957473</v>
      </c>
      <c r="BI45" s="380">
        <f>+BI11/$BI$37</f>
        <v>6989.0537060725183</v>
      </c>
      <c r="BJ45" s="380">
        <f>+BJ11/$BJ$37</f>
        <v>6172.812100769278</v>
      </c>
      <c r="BK45" s="380">
        <f>+BK11/$BK$37</f>
        <v>8242.2111410303878</v>
      </c>
      <c r="BL45" s="380">
        <f>+BL11/$BL$37</f>
        <v>9075.8747348693578</v>
      </c>
      <c r="BM45" s="389">
        <f>+BM11/$BM$37</f>
        <v>15043.766491349519</v>
      </c>
      <c r="BN45" s="381">
        <f>SUM(BB45:BM45)</f>
        <v>78069.863188630567</v>
      </c>
      <c r="BO45" s="379">
        <f>+BO11/$BO$37</f>
        <v>1840.0222958882466</v>
      </c>
      <c r="BP45" s="380">
        <f>+BP11/$BP$37</f>
        <v>3478.635680362222</v>
      </c>
      <c r="BQ45" s="380">
        <f>+BQ11/$BQ$37</f>
        <v>5442.9201418237171</v>
      </c>
      <c r="BR45" s="380">
        <f>+BR11/$BR$37</f>
        <v>5964.5995833645866</v>
      </c>
      <c r="BS45" s="380">
        <f>+BS11/$BS$37</f>
        <v>6510.6104397808313</v>
      </c>
      <c r="BT45" s="380">
        <f>+BT11/$BT$37</f>
        <v>7701.6898496462391</v>
      </c>
      <c r="BU45" s="380">
        <f>+BU11/$BU$37</f>
        <v>6023.1343182265373</v>
      </c>
      <c r="BV45" s="380">
        <f>+BV11/$BV$37</f>
        <v>8008.047428197342</v>
      </c>
      <c r="BW45" s="380">
        <f>+BW11/$BW$37</f>
        <v>8234.8787268266005</v>
      </c>
      <c r="BX45" s="380">
        <f>+BX11/$BX$37</f>
        <v>5565.1532220082718</v>
      </c>
      <c r="BY45" s="380">
        <f>+BY11/$BY$37</f>
        <v>11215.081979659099</v>
      </c>
      <c r="BZ45" s="389">
        <f>+BZ11/$BZ$37</f>
        <v>17992.662958788882</v>
      </c>
      <c r="CA45" s="381">
        <f>SUM(BO45:BZ45)</f>
        <v>87977.436624572583</v>
      </c>
      <c r="CB45" s="379">
        <f>+CB11/$CB$37</f>
        <v>2093.0691863496154</v>
      </c>
      <c r="CC45" s="380">
        <f>+CC11/$CC$37</f>
        <v>5872.1792988384504</v>
      </c>
      <c r="CD45" s="380">
        <f>+CD11/$CD$37</f>
        <v>6171.019067536241</v>
      </c>
      <c r="CE45" s="380">
        <f>+CE11/$CE$37</f>
        <v>6286.678634674463</v>
      </c>
      <c r="CF45" s="380">
        <f>+CF11/$CF$37</f>
        <v>8880.1848108524955</v>
      </c>
      <c r="CG45" s="380">
        <f>+CG11/$CG$37</f>
        <v>8950.2480616410376</v>
      </c>
      <c r="CH45" s="380">
        <f>+CH11/$CH$37</f>
        <v>7901.3122224133513</v>
      </c>
      <c r="CI45" s="380">
        <f>+CI11/$CI$37</f>
        <v>7622.477970185555</v>
      </c>
      <c r="CJ45" s="380">
        <f>+CJ11/$CJ$37</f>
        <v>10839.321645210044</v>
      </c>
      <c r="CK45" s="380">
        <f>+CK11/$CK$37</f>
        <v>8756.9657660811336</v>
      </c>
      <c r="CL45" s="380">
        <f>+CL11/$CL$37</f>
        <v>12821.814250734484</v>
      </c>
      <c r="CM45" s="389">
        <f>+CM11/$CM$37</f>
        <v>18506.851547319133</v>
      </c>
      <c r="CN45" s="381">
        <f>SUM(CB45:CM45)</f>
        <v>104702.12246183601</v>
      </c>
      <c r="CO45" s="379">
        <f>+CO11/$CO$37</f>
        <v>2551.7786539073636</v>
      </c>
      <c r="CP45" s="380">
        <f>+CP11/$CP$37</f>
        <v>5158.8108042138083</v>
      </c>
      <c r="CQ45" s="380">
        <f>+CQ11/$CQ$37</f>
        <v>7939.5769417046167</v>
      </c>
      <c r="CR45" s="380">
        <f>+CR11/$CR$37</f>
        <v>10446.343943812906</v>
      </c>
      <c r="CS45" s="380">
        <f>+CS11/$CS$37</f>
        <v>9018.5893959097848</v>
      </c>
      <c r="CT45" s="380">
        <f>+CT11/$CT$37</f>
        <v>18898.395287038875</v>
      </c>
      <c r="CU45" s="380">
        <f>+CU11/$CU$37</f>
        <v>12162.622017805907</v>
      </c>
      <c r="CV45" s="380">
        <f>+CV11/$CV$37</f>
        <v>30833.96388583248</v>
      </c>
      <c r="CW45" s="380">
        <f>+CW11/$CW$37</f>
        <v>14459.7188314866</v>
      </c>
      <c r="CX45" s="380">
        <f>+CX11/$CX$37</f>
        <v>15209.519165230962</v>
      </c>
      <c r="CY45" s="380">
        <f>+CY11/$CY$37</f>
        <v>19222.281770022826</v>
      </c>
      <c r="CZ45" s="389">
        <f>+CZ11/$CZ$37</f>
        <v>26898.029632384314</v>
      </c>
      <c r="DA45" s="381">
        <f t="shared" si="241"/>
        <v>172799.63032935045</v>
      </c>
      <c r="DB45" s="379">
        <f>+DB11/$DB$37</f>
        <v>2364.6065117053063</v>
      </c>
      <c r="DC45" s="380">
        <f>+DC11/$DC$37</f>
        <v>5433.7907003258861</v>
      </c>
      <c r="DD45" s="380">
        <f>+DD11/$DD$37</f>
        <v>13103.049836929114</v>
      </c>
      <c r="DE45" s="380">
        <f>+DE11/$DE$37</f>
        <v>12731.195953152741</v>
      </c>
      <c r="DF45" s="380">
        <f>+DF11/$DF$37</f>
        <v>12130.893711642859</v>
      </c>
      <c r="DG45" s="380">
        <f>+DG11/$DG$37</f>
        <v>10684.482538131741</v>
      </c>
      <c r="DH45" s="380">
        <f>+DH11/$DH$37</f>
        <v>10955.813146419672</v>
      </c>
      <c r="DI45" s="380">
        <f>+DI11/$DI$37</f>
        <v>11628.846173754402</v>
      </c>
      <c r="DJ45" s="380">
        <f>+DJ11/$DJ$37</f>
        <v>12973.747455888555</v>
      </c>
      <c r="DK45" s="380">
        <f>+DK11/$DK$37</f>
        <v>10805.782423952207</v>
      </c>
      <c r="DL45" s="380">
        <f>+DL11/$DL$37</f>
        <v>12764.662533805629</v>
      </c>
      <c r="DM45" s="389">
        <f>+DM11/$DM$37</f>
        <v>39767.317660928427</v>
      </c>
      <c r="DN45" s="381">
        <f t="shared" si="242"/>
        <v>155344.18864663655</v>
      </c>
      <c r="DO45" s="379">
        <f>+DO11/$DO$37</f>
        <v>2907.3877990253814</v>
      </c>
      <c r="DP45" s="380">
        <f>+DP11/$DP$37</f>
        <v>6588.1414523817484</v>
      </c>
      <c r="DQ45" s="380">
        <f>+DQ11/$DQ$37</f>
        <v>9297.8167140666046</v>
      </c>
      <c r="DR45" s="380">
        <f>+DR11/$DR$37</f>
        <v>10927.023558610928</v>
      </c>
      <c r="DS45" s="380">
        <f>+DS11/$DS$37</f>
        <v>12097.428420041249</v>
      </c>
      <c r="DT45" s="380">
        <f>+DT11/$DT$37</f>
        <v>12264.360858268559</v>
      </c>
      <c r="DU45" s="380">
        <f>+DU11/$DU$37</f>
        <v>11075.587399787484</v>
      </c>
      <c r="DV45" s="380">
        <f>+DV11/$DV$37</f>
        <v>12440.206494116688</v>
      </c>
      <c r="DW45" s="380">
        <f>+DW11/$DW$37</f>
        <v>11595.014022797564</v>
      </c>
      <c r="DX45" s="380">
        <f>+DX11/$DX$37</f>
        <v>11941.588566200779</v>
      </c>
      <c r="DY45" s="380">
        <f>+DY11/$DY$37</f>
        <v>15706.143335311895</v>
      </c>
      <c r="DZ45" s="389">
        <f>+DZ11/$DZ$37</f>
        <v>31281.373732302975</v>
      </c>
      <c r="EA45" s="381">
        <f t="shared" si="243"/>
        <v>148122.07235291187</v>
      </c>
      <c r="EB45" s="379">
        <f t="shared" si="143"/>
        <v>3474.9551135608344</v>
      </c>
      <c r="EC45" s="380">
        <f t="shared" si="144"/>
        <v>7161.654047508574</v>
      </c>
      <c r="ED45" s="380">
        <f t="shared" si="145"/>
        <v>8599.5292881104579</v>
      </c>
      <c r="EE45" s="380">
        <f t="shared" si="146"/>
        <v>9207.684122414661</v>
      </c>
      <c r="EF45" s="380">
        <f t="shared" si="147"/>
        <v>9834.0181394504907</v>
      </c>
      <c r="EG45" s="380">
        <f t="shared" si="148"/>
        <v>14874.011458995672</v>
      </c>
      <c r="EH45" s="380">
        <f t="shared" si="149"/>
        <v>13421.040724284361</v>
      </c>
      <c r="EI45" s="380">
        <f t="shared" si="150"/>
        <v>14079.047023577101</v>
      </c>
      <c r="EJ45" s="380">
        <f t="shared" si="151"/>
        <v>15662.659917507186</v>
      </c>
      <c r="EK45" s="380">
        <f t="shared" si="152"/>
        <v>22793.815159581194</v>
      </c>
      <c r="EL45" s="380">
        <f t="shared" si="153"/>
        <v>19438.519122687616</v>
      </c>
      <c r="EM45" s="389">
        <f t="shared" si="154"/>
        <v>39438.569257534262</v>
      </c>
      <c r="EN45" s="381">
        <f t="shared" si="244"/>
        <v>177985.5033752124</v>
      </c>
      <c r="EO45" s="379">
        <f t="shared" si="155"/>
        <v>4157.8744173584728</v>
      </c>
      <c r="EP45" s="380">
        <f t="shared" si="156"/>
        <v>4651.6463618468297</v>
      </c>
      <c r="EQ45" s="380">
        <f t="shared" si="157"/>
        <v>8027.3934387959644</v>
      </c>
      <c r="ER45" s="380">
        <f t="shared" si="158"/>
        <v>9083.5062448026056</v>
      </c>
      <c r="ES45" s="380">
        <f t="shared" si="245"/>
        <v>11223.15125244537</v>
      </c>
      <c r="ET45" s="380">
        <f t="shared" si="159"/>
        <v>11220.362718684903</v>
      </c>
      <c r="EU45" s="380">
        <f t="shared" si="160"/>
        <v>11783.085770282827</v>
      </c>
      <c r="EV45" s="380">
        <f t="shared" si="161"/>
        <v>42722.143986737225</v>
      </c>
      <c r="EW45" s="380">
        <f t="shared" si="162"/>
        <v>16163.988977679392</v>
      </c>
      <c r="EX45" s="380">
        <f t="shared" si="163"/>
        <v>17767.86530149751</v>
      </c>
      <c r="EY45" s="380">
        <f t="shared" si="164"/>
        <v>17800.371739738752</v>
      </c>
      <c r="EZ45" s="389">
        <f t="shared" si="165"/>
        <v>36759.079327091269</v>
      </c>
      <c r="FA45" s="381">
        <f t="shared" si="246"/>
        <v>191360.46953696111</v>
      </c>
      <c r="FB45" s="379">
        <f t="shared" si="166"/>
        <v>5221.2921129828637</v>
      </c>
      <c r="FC45" s="380">
        <f t="shared" si="167"/>
        <v>7939.1431346992949</v>
      </c>
      <c r="FD45" s="380">
        <f t="shared" si="168"/>
        <v>12479.862879594082</v>
      </c>
      <c r="FE45" s="380">
        <f t="shared" si="169"/>
        <v>11635.504251246482</v>
      </c>
      <c r="FF45" s="380">
        <f t="shared" si="170"/>
        <v>12775.834771207723</v>
      </c>
      <c r="FG45" s="380">
        <f t="shared" si="171"/>
        <v>14834.999554751228</v>
      </c>
      <c r="FH45" s="380">
        <f t="shared" si="172"/>
        <v>20950.986967403296</v>
      </c>
      <c r="FI45" s="380">
        <f t="shared" si="173"/>
        <v>15903.57228284339</v>
      </c>
      <c r="FJ45" s="380">
        <f t="shared" si="174"/>
        <v>20254.955471584257</v>
      </c>
      <c r="FK45" s="380">
        <f t="shared" si="175"/>
        <v>20588.215534423893</v>
      </c>
      <c r="FL45" s="380">
        <f t="shared" si="176"/>
        <v>21194.277449276229</v>
      </c>
      <c r="FM45" s="389">
        <f t="shared" si="177"/>
        <v>64574.2231989887</v>
      </c>
      <c r="FN45" s="381">
        <f t="shared" si="247"/>
        <v>228352.86760900146</v>
      </c>
      <c r="FO45" s="379">
        <f t="shared" si="178"/>
        <v>5815.5598730687561</v>
      </c>
      <c r="FP45" s="380">
        <f t="shared" si="179"/>
        <v>14579.082079826661</v>
      </c>
      <c r="FQ45" s="380">
        <f t="shared" si="180"/>
        <v>19520.22035391803</v>
      </c>
      <c r="FR45" s="380">
        <f t="shared" si="181"/>
        <v>22944.095569464575</v>
      </c>
      <c r="FS45" s="380">
        <f t="shared" si="182"/>
        <v>25247.306729965665</v>
      </c>
      <c r="FT45" s="380">
        <f t="shared" si="183"/>
        <v>24675.39141160297</v>
      </c>
      <c r="FU45" s="380">
        <f t="shared" si="184"/>
        <v>25517.611625499128</v>
      </c>
      <c r="FV45" s="380">
        <f t="shared" si="185"/>
        <v>23082.578105851055</v>
      </c>
      <c r="FW45" s="380">
        <f t="shared" si="186"/>
        <v>22647.297769592864</v>
      </c>
      <c r="FX45" s="380">
        <f t="shared" si="187"/>
        <v>24890.581653633952</v>
      </c>
      <c r="FY45" s="380">
        <f t="shared" si="188"/>
        <v>21061.975059362307</v>
      </c>
      <c r="FZ45" s="389">
        <f t="shared" si="189"/>
        <v>52830.823166586903</v>
      </c>
      <c r="GA45" s="381">
        <f t="shared" si="248"/>
        <v>282812.52339837287</v>
      </c>
      <c r="GB45" s="379">
        <f t="shared" si="190"/>
        <v>14573.492462479946</v>
      </c>
      <c r="GC45" s="380">
        <f t="shared" si="191"/>
        <v>16429.699412341826</v>
      </c>
      <c r="GD45" s="380">
        <f t="shared" si="192"/>
        <v>24157.332519522304</v>
      </c>
      <c r="GE45" s="380">
        <f t="shared" si="193"/>
        <v>23743.960016722624</v>
      </c>
      <c r="GF45" s="380">
        <f t="shared" si="194"/>
        <v>25643.276745610219</v>
      </c>
      <c r="GG45" s="380">
        <f t="shared" si="195"/>
        <v>28308.139513132304</v>
      </c>
      <c r="GH45" s="380">
        <f t="shared" si="196"/>
        <v>26754.255180341323</v>
      </c>
      <c r="GI45" s="380">
        <f t="shared" si="197"/>
        <v>27853.66512675683</v>
      </c>
      <c r="GJ45" s="380">
        <f t="shared" si="198"/>
        <v>22633.304093273331</v>
      </c>
      <c r="GK45" s="380">
        <f t="shared" si="199"/>
        <v>22393.452781949538</v>
      </c>
      <c r="GL45" s="380">
        <f t="shared" si="200"/>
        <v>28350.518094392533</v>
      </c>
      <c r="GM45" s="389">
        <f t="shared" si="201"/>
        <v>53982.485736524002</v>
      </c>
      <c r="GN45" s="381">
        <f t="shared" si="249"/>
        <v>314823.58168304671</v>
      </c>
      <c r="GO45" s="379">
        <f t="shared" si="202"/>
        <v>9971.2084529168278</v>
      </c>
      <c r="GP45" s="380">
        <f t="shared" si="203"/>
        <v>16017.231404136157</v>
      </c>
      <c r="GQ45" s="380">
        <f t="shared" si="204"/>
        <v>21110.759987658465</v>
      </c>
      <c r="GR45" s="380">
        <f t="shared" si="205"/>
        <v>18099.923174877651</v>
      </c>
      <c r="GS45" s="380">
        <f t="shared" si="206"/>
        <v>23398.928278624146</v>
      </c>
      <c r="GT45" s="380">
        <f t="shared" si="207"/>
        <v>22649.156509123644</v>
      </c>
      <c r="GU45" s="380">
        <f t="shared" si="208"/>
        <v>25325.731195577908</v>
      </c>
      <c r="GV45" s="380">
        <f t="shared" si="209"/>
        <v>27112.801915583925</v>
      </c>
      <c r="GW45" s="380">
        <f t="shared" si="210"/>
        <v>23721.37727148976</v>
      </c>
      <c r="GX45" s="380">
        <f t="shared" si="211"/>
        <v>25989.392041356339</v>
      </c>
      <c r="GY45" s="380">
        <f t="shared" si="212"/>
        <v>31871.838202800096</v>
      </c>
      <c r="GZ45" s="389">
        <f t="shared" si="213"/>
        <v>49152.091385669715</v>
      </c>
      <c r="HA45" s="381">
        <f t="shared" si="250"/>
        <v>294420.43981981464</v>
      </c>
      <c r="HB45" s="379">
        <f t="shared" si="214"/>
        <v>2393.2938751847473</v>
      </c>
      <c r="HC45" s="380">
        <f t="shared" si="215"/>
        <v>6561.6151512537162</v>
      </c>
      <c r="HD45" s="380">
        <f t="shared" si="216"/>
        <v>8662.6490206120307</v>
      </c>
      <c r="HE45" s="380">
        <f t="shared" si="217"/>
        <v>12163.172233789199</v>
      </c>
      <c r="HF45" s="380">
        <f t="shared" si="218"/>
        <v>14398.275657575821</v>
      </c>
      <c r="HG45" s="380">
        <f t="shared" si="219"/>
        <v>14785.94376539623</v>
      </c>
      <c r="HH45" s="380">
        <f t="shared" si="220"/>
        <v>13669.037434584072</v>
      </c>
      <c r="HI45" s="380">
        <f t="shared" si="221"/>
        <v>15718.65779397308</v>
      </c>
      <c r="HJ45" s="380">
        <f t="shared" si="222"/>
        <v>15053.463818171222</v>
      </c>
      <c r="HK45" s="380">
        <f t="shared" si="223"/>
        <v>15391.696230889116</v>
      </c>
      <c r="HL45" s="380">
        <f t="shared" si="224"/>
        <v>17335.322575867314</v>
      </c>
      <c r="HM45" s="389">
        <f t="shared" si="225"/>
        <v>30736.443412023124</v>
      </c>
      <c r="HN45" s="381">
        <f t="shared" si="251"/>
        <v>166869.5709693197</v>
      </c>
      <c r="HO45" s="379">
        <f t="shared" si="226"/>
        <v>2267.4134234670987</v>
      </c>
      <c r="HP45" s="380">
        <f t="shared" si="227"/>
        <v>7176.1069009424527</v>
      </c>
      <c r="HQ45" s="380">
        <f t="shared" si="228"/>
        <v>10315.05003732944</v>
      </c>
      <c r="HR45" s="380">
        <f t="shared" si="229"/>
        <v>13450.342039855803</v>
      </c>
      <c r="HS45" s="380">
        <f t="shared" si="230"/>
        <v>15349.100227866245</v>
      </c>
      <c r="HT45" s="380">
        <f t="shared" si="231"/>
        <v>12687.086305099871</v>
      </c>
      <c r="HU45" s="380">
        <f t="shared" si="232"/>
        <v>12531.426249789556</v>
      </c>
      <c r="HV45" s="380">
        <f t="shared" si="233"/>
        <v>16992.784139083666</v>
      </c>
      <c r="HW45" s="380">
        <f t="shared" si="234"/>
        <v>17195.231855107799</v>
      </c>
      <c r="HX45" s="380">
        <f t="shared" si="235"/>
        <v>19882.817095416631</v>
      </c>
      <c r="HY45" s="380">
        <f t="shared" si="236"/>
        <v>16016.217247057131</v>
      </c>
      <c r="HZ45" s="389">
        <f t="shared" si="237"/>
        <v>35215.047948706771</v>
      </c>
      <c r="IA45" s="379">
        <f t="shared" si="252"/>
        <v>179078.62346972246</v>
      </c>
      <c r="IB45" s="1344">
        <f t="shared" si="238"/>
        <v>1194.2153268179543</v>
      </c>
      <c r="IC45" s="120">
        <f t="shared" si="253"/>
        <v>9990.0783142058644</v>
      </c>
      <c r="ID45" s="120">
        <f>+ID11/$ID$37</f>
        <v>15307.464131089648</v>
      </c>
      <c r="IE45" s="120">
        <f t="shared" si="255"/>
        <v>14107.645689016817</v>
      </c>
      <c r="IF45" s="120">
        <f t="shared" si="256"/>
        <v>20672.432067454167</v>
      </c>
      <c r="IG45" s="120">
        <f t="shared" si="257"/>
        <v>17073.495436100478</v>
      </c>
      <c r="IH45" s="120">
        <f t="shared" si="258"/>
        <v>16859.699912545766</v>
      </c>
      <c r="II45" s="120">
        <f t="shared" si="259"/>
        <v>18351.004425860621</v>
      </c>
      <c r="IJ45" s="120"/>
      <c r="IK45" s="120"/>
      <c r="IL45" s="120"/>
      <c r="IM45" s="1345"/>
      <c r="IN45" s="1346">
        <f t="shared" si="260"/>
        <v>113556.03530309131</v>
      </c>
      <c r="IO45" s="120"/>
      <c r="IP45" s="371">
        <f t="shared" si="261"/>
        <v>7.9929237943594522</v>
      </c>
      <c r="IQ45" s="348">
        <f t="shared" si="262"/>
        <v>25.103998421385221</v>
      </c>
      <c r="IR45" s="320">
        <f t="shared" si="263"/>
        <v>90769.309323434136</v>
      </c>
      <c r="IS45" s="344">
        <f t="shared" si="264"/>
        <v>113556.03530309131</v>
      </c>
      <c r="IU45" s="1677">
        <f t="shared" si="265"/>
        <v>1358.2202867769556</v>
      </c>
    </row>
    <row r="46" spans="1:255" ht="15" customHeight="1" x14ac:dyDescent="0.2">
      <c r="A46" s="1554" t="s">
        <v>328</v>
      </c>
      <c r="B46" s="379"/>
      <c r="C46" s="380"/>
      <c r="D46" s="380"/>
      <c r="E46" s="380"/>
      <c r="F46" s="380"/>
      <c r="G46" s="380"/>
      <c r="H46" s="380"/>
      <c r="I46" s="380"/>
      <c r="J46" s="380"/>
      <c r="K46" s="380"/>
      <c r="L46" s="380"/>
      <c r="M46" s="389"/>
      <c r="N46" s="381"/>
      <c r="O46" s="379"/>
      <c r="P46" s="380"/>
      <c r="Q46" s="380"/>
      <c r="R46" s="380"/>
      <c r="S46" s="380"/>
      <c r="T46" s="380"/>
      <c r="U46" s="380"/>
      <c r="V46" s="380"/>
      <c r="W46" s="380"/>
      <c r="X46" s="380"/>
      <c r="Y46" s="380"/>
      <c r="Z46" s="389"/>
      <c r="AA46" s="381"/>
      <c r="AB46" s="379"/>
      <c r="AC46" s="380"/>
      <c r="AD46" s="380"/>
      <c r="AE46" s="380"/>
      <c r="AF46" s="380"/>
      <c r="AG46" s="380"/>
      <c r="AH46" s="380"/>
      <c r="AI46" s="380"/>
      <c r="AJ46" s="380"/>
      <c r="AK46" s="380"/>
      <c r="AL46" s="380"/>
      <c r="AM46" s="389"/>
      <c r="AN46" s="381"/>
      <c r="AO46" s="379"/>
      <c r="AP46" s="380"/>
      <c r="AQ46" s="380"/>
      <c r="AR46" s="380"/>
      <c r="AS46" s="380"/>
      <c r="AT46" s="380"/>
      <c r="AU46" s="380"/>
      <c r="AV46" s="380"/>
      <c r="AW46" s="380"/>
      <c r="AX46" s="380"/>
      <c r="AY46" s="380"/>
      <c r="AZ46" s="389"/>
      <c r="BA46" s="381"/>
      <c r="BB46" s="379"/>
      <c r="BC46" s="380"/>
      <c r="BD46" s="380"/>
      <c r="BE46" s="380"/>
      <c r="BF46" s="380"/>
      <c r="BG46" s="380"/>
      <c r="BH46" s="380"/>
      <c r="BI46" s="380"/>
      <c r="BJ46" s="380"/>
      <c r="BK46" s="380"/>
      <c r="BL46" s="380"/>
      <c r="BM46" s="389"/>
      <c r="BN46" s="381"/>
      <c r="BO46" s="379"/>
      <c r="BP46" s="380"/>
      <c r="BQ46" s="380"/>
      <c r="BR46" s="380"/>
      <c r="BS46" s="380"/>
      <c r="BT46" s="380"/>
      <c r="BU46" s="380"/>
      <c r="BV46" s="380"/>
      <c r="BW46" s="380"/>
      <c r="BX46" s="380"/>
      <c r="BY46" s="380"/>
      <c r="BZ46" s="389"/>
      <c r="CA46" s="381"/>
      <c r="CB46" s="379"/>
      <c r="CC46" s="380"/>
      <c r="CD46" s="380"/>
      <c r="CE46" s="380"/>
      <c r="CF46" s="380"/>
      <c r="CG46" s="380"/>
      <c r="CH46" s="380"/>
      <c r="CI46" s="380"/>
      <c r="CJ46" s="380"/>
      <c r="CK46" s="380"/>
      <c r="CL46" s="380"/>
      <c r="CM46" s="389"/>
      <c r="CN46" s="381"/>
      <c r="CO46" s="379"/>
      <c r="CP46" s="380"/>
      <c r="CQ46" s="380"/>
      <c r="CR46" s="380"/>
      <c r="CS46" s="380"/>
      <c r="CT46" s="380"/>
      <c r="CU46" s="380"/>
      <c r="CV46" s="380"/>
      <c r="CW46" s="380"/>
      <c r="CX46" s="380"/>
      <c r="CY46" s="380"/>
      <c r="CZ46" s="389"/>
      <c r="DA46" s="381"/>
      <c r="DB46" s="379"/>
      <c r="DC46" s="380"/>
      <c r="DD46" s="380"/>
      <c r="DE46" s="380"/>
      <c r="DF46" s="380"/>
      <c r="DG46" s="380"/>
      <c r="DH46" s="380"/>
      <c r="DI46" s="380"/>
      <c r="DJ46" s="380"/>
      <c r="DK46" s="380"/>
      <c r="DL46" s="380"/>
      <c r="DM46" s="389"/>
      <c r="DN46" s="381"/>
      <c r="DO46" s="379"/>
      <c r="DP46" s="380"/>
      <c r="DQ46" s="380"/>
      <c r="DR46" s="380"/>
      <c r="DS46" s="380"/>
      <c r="DT46" s="380"/>
      <c r="DU46" s="380"/>
      <c r="DV46" s="380"/>
      <c r="DW46" s="380"/>
      <c r="DX46" s="380"/>
      <c r="DY46" s="380"/>
      <c r="DZ46" s="389"/>
      <c r="EA46" s="381"/>
      <c r="EB46" s="379">
        <f t="shared" si="143"/>
        <v>0</v>
      </c>
      <c r="EC46" s="380">
        <f t="shared" si="144"/>
        <v>0</v>
      </c>
      <c r="ED46" s="380">
        <f t="shared" si="145"/>
        <v>0</v>
      </c>
      <c r="EE46" s="380">
        <f t="shared" si="146"/>
        <v>0</v>
      </c>
      <c r="EF46" s="380">
        <f t="shared" si="147"/>
        <v>0</v>
      </c>
      <c r="EG46" s="380">
        <f t="shared" si="148"/>
        <v>0</v>
      </c>
      <c r="EH46" s="380">
        <f t="shared" si="149"/>
        <v>0</v>
      </c>
      <c r="EI46" s="380">
        <f t="shared" si="150"/>
        <v>0</v>
      </c>
      <c r="EJ46" s="380">
        <f t="shared" si="151"/>
        <v>0</v>
      </c>
      <c r="EK46" s="380">
        <f t="shared" si="152"/>
        <v>0</v>
      </c>
      <c r="EL46" s="380">
        <f t="shared" si="153"/>
        <v>0</v>
      </c>
      <c r="EM46" s="389">
        <f t="shared" si="154"/>
        <v>0</v>
      </c>
      <c r="EN46" s="381"/>
      <c r="EO46" s="379">
        <f t="shared" si="155"/>
        <v>0</v>
      </c>
      <c r="EP46" s="380">
        <f t="shared" si="156"/>
        <v>0</v>
      </c>
      <c r="EQ46" s="380">
        <f t="shared" si="157"/>
        <v>0</v>
      </c>
      <c r="ER46" s="380">
        <f t="shared" si="158"/>
        <v>0</v>
      </c>
      <c r="ES46" s="380">
        <f t="shared" si="245"/>
        <v>338.80685189691599</v>
      </c>
      <c r="ET46" s="380">
        <f t="shared" si="159"/>
        <v>0</v>
      </c>
      <c r="EU46" s="380">
        <f t="shared" si="160"/>
        <v>438.31743240896202</v>
      </c>
      <c r="EV46" s="380">
        <f t="shared" si="161"/>
        <v>0</v>
      </c>
      <c r="EW46" s="380">
        <f t="shared" si="162"/>
        <v>0</v>
      </c>
      <c r="EX46" s="380">
        <f t="shared" si="163"/>
        <v>0</v>
      </c>
      <c r="EY46" s="380">
        <f t="shared" si="164"/>
        <v>0</v>
      </c>
      <c r="EZ46" s="389">
        <f t="shared" si="165"/>
        <v>0</v>
      </c>
      <c r="FA46" s="381"/>
      <c r="FB46" s="379">
        <f t="shared" si="166"/>
        <v>0</v>
      </c>
      <c r="FC46" s="380">
        <f t="shared" si="167"/>
        <v>0</v>
      </c>
      <c r="FD46" s="380">
        <f t="shared" si="168"/>
        <v>0</v>
      </c>
      <c r="FE46" s="380">
        <f t="shared" si="169"/>
        <v>0</v>
      </c>
      <c r="FF46" s="380">
        <f t="shared" si="170"/>
        <v>0</v>
      </c>
      <c r="FG46" s="380">
        <f t="shared" si="171"/>
        <v>0</v>
      </c>
      <c r="FH46" s="380">
        <f t="shared" si="172"/>
        <v>0</v>
      </c>
      <c r="FI46" s="380">
        <f t="shared" si="173"/>
        <v>0</v>
      </c>
      <c r="FJ46" s="380">
        <f t="shared" si="174"/>
        <v>0</v>
      </c>
      <c r="FK46" s="380">
        <f t="shared" si="175"/>
        <v>497.7715947398188</v>
      </c>
      <c r="FL46" s="380">
        <f t="shared" si="176"/>
        <v>0</v>
      </c>
      <c r="FM46" s="389">
        <f t="shared" si="177"/>
        <v>0</v>
      </c>
      <c r="FN46" s="381"/>
      <c r="FO46" s="379">
        <f t="shared" si="178"/>
        <v>0</v>
      </c>
      <c r="FP46" s="380">
        <f t="shared" si="179"/>
        <v>0</v>
      </c>
      <c r="FQ46" s="380">
        <f t="shared" si="180"/>
        <v>0</v>
      </c>
      <c r="FR46" s="380">
        <f t="shared" si="181"/>
        <v>162.78109320545067</v>
      </c>
      <c r="FS46" s="380">
        <f t="shared" si="182"/>
        <v>0</v>
      </c>
      <c r="FT46" s="380">
        <f t="shared" si="183"/>
        <v>0</v>
      </c>
      <c r="FU46" s="380">
        <f t="shared" si="184"/>
        <v>0</v>
      </c>
      <c r="FV46" s="380">
        <f t="shared" si="185"/>
        <v>0</v>
      </c>
      <c r="FW46" s="380">
        <f t="shared" si="186"/>
        <v>0</v>
      </c>
      <c r="FX46" s="380">
        <f t="shared" si="187"/>
        <v>0</v>
      </c>
      <c r="FY46" s="380">
        <f t="shared" si="188"/>
        <v>0</v>
      </c>
      <c r="FZ46" s="389">
        <f t="shared" si="189"/>
        <v>0</v>
      </c>
      <c r="GA46" s="381">
        <f t="shared" si="248"/>
        <v>162.78109320545067</v>
      </c>
      <c r="GB46" s="379">
        <f t="shared" si="190"/>
        <v>0</v>
      </c>
      <c r="GC46" s="380">
        <f t="shared" si="191"/>
        <v>313.41285444530723</v>
      </c>
      <c r="GD46" s="380">
        <f t="shared" si="192"/>
        <v>0</v>
      </c>
      <c r="GE46" s="380">
        <f t="shared" si="193"/>
        <v>0</v>
      </c>
      <c r="GF46" s="380">
        <f t="shared" si="194"/>
        <v>0</v>
      </c>
      <c r="GG46" s="380">
        <f t="shared" si="195"/>
        <v>301.16341778105794</v>
      </c>
      <c r="GH46" s="380">
        <f t="shared" si="196"/>
        <v>0</v>
      </c>
      <c r="GI46" s="380">
        <f t="shared" si="197"/>
        <v>0</v>
      </c>
      <c r="GJ46" s="380">
        <f t="shared" si="198"/>
        <v>0</v>
      </c>
      <c r="GK46" s="380">
        <f t="shared" si="199"/>
        <v>0</v>
      </c>
      <c r="GL46" s="380">
        <f t="shared" si="200"/>
        <v>0</v>
      </c>
      <c r="GM46" s="389">
        <f t="shared" si="201"/>
        <v>0</v>
      </c>
      <c r="GN46" s="381">
        <f t="shared" si="249"/>
        <v>614.57627222636518</v>
      </c>
      <c r="GO46" s="379">
        <f t="shared" si="202"/>
        <v>0</v>
      </c>
      <c r="GP46" s="380">
        <f t="shared" si="203"/>
        <v>0</v>
      </c>
      <c r="GQ46" s="380">
        <f t="shared" si="204"/>
        <v>0</v>
      </c>
      <c r="GR46" s="380">
        <f t="shared" si="205"/>
        <v>0</v>
      </c>
      <c r="GS46" s="380">
        <f t="shared" si="206"/>
        <v>322.55023311457307</v>
      </c>
      <c r="GT46" s="380">
        <f t="shared" si="207"/>
        <v>0</v>
      </c>
      <c r="GU46" s="380">
        <f t="shared" si="208"/>
        <v>281.77169279456359</v>
      </c>
      <c r="GV46" s="380">
        <f t="shared" si="209"/>
        <v>21.067110564841137</v>
      </c>
      <c r="GW46" s="380">
        <f t="shared" si="210"/>
        <v>1337.2093883064422</v>
      </c>
      <c r="GX46" s="380">
        <f t="shared" si="211"/>
        <v>0</v>
      </c>
      <c r="GY46" s="380">
        <f t="shared" si="212"/>
        <v>131.562353714963</v>
      </c>
      <c r="GZ46" s="389">
        <f t="shared" si="213"/>
        <v>2518.5312643113293</v>
      </c>
      <c r="HA46" s="381">
        <f t="shared" si="250"/>
        <v>4612.6920428067124</v>
      </c>
      <c r="HB46" s="379">
        <f t="shared" si="214"/>
        <v>280.79340325227997</v>
      </c>
      <c r="HC46" s="380">
        <f t="shared" si="215"/>
        <v>17.558055216993111</v>
      </c>
      <c r="HD46" s="380">
        <f t="shared" si="216"/>
        <v>0</v>
      </c>
      <c r="HE46" s="380">
        <f t="shared" si="217"/>
        <v>0</v>
      </c>
      <c r="HF46" s="380">
        <f t="shared" si="218"/>
        <v>35.37521903234056</v>
      </c>
      <c r="HG46" s="380">
        <f t="shared" si="219"/>
        <v>0</v>
      </c>
      <c r="HH46" s="380">
        <f t="shared" si="220"/>
        <v>0</v>
      </c>
      <c r="HI46" s="380">
        <f t="shared" si="221"/>
        <v>0</v>
      </c>
      <c r="HJ46" s="380">
        <f t="shared" si="222"/>
        <v>0</v>
      </c>
      <c r="HK46" s="380">
        <f t="shared" si="223"/>
        <v>0</v>
      </c>
      <c r="HL46" s="380">
        <f t="shared" si="224"/>
        <v>47.538470091260862</v>
      </c>
      <c r="HM46" s="389">
        <f t="shared" si="225"/>
        <v>0</v>
      </c>
      <c r="HN46" s="381">
        <f t="shared" si="251"/>
        <v>381.26514759287454</v>
      </c>
      <c r="HO46" s="379">
        <f t="shared" si="226"/>
        <v>0</v>
      </c>
      <c r="HP46" s="380">
        <f t="shared" si="227"/>
        <v>0</v>
      </c>
      <c r="HQ46" s="380">
        <f t="shared" si="228"/>
        <v>0</v>
      </c>
      <c r="HR46" s="380">
        <f t="shared" si="229"/>
        <v>0</v>
      </c>
      <c r="HS46" s="380">
        <f t="shared" si="230"/>
        <v>0</v>
      </c>
      <c r="HT46" s="380">
        <f t="shared" si="231"/>
        <v>0</v>
      </c>
      <c r="HU46" s="380">
        <f t="shared" si="232"/>
        <v>0</v>
      </c>
      <c r="HV46" s="380">
        <f t="shared" si="233"/>
        <v>0</v>
      </c>
      <c r="HW46" s="380">
        <f t="shared" si="234"/>
        <v>272.01184997812112</v>
      </c>
      <c r="HX46" s="380">
        <f t="shared" si="235"/>
        <v>0</v>
      </c>
      <c r="HY46" s="380">
        <f t="shared" si="236"/>
        <v>321.08568212556406</v>
      </c>
      <c r="HZ46" s="389">
        <f t="shared" si="237"/>
        <v>0</v>
      </c>
      <c r="IA46" s="379">
        <f t="shared" si="252"/>
        <v>593.09753210368513</v>
      </c>
      <c r="IB46" s="1344">
        <f>+IB12/$IB$37</f>
        <v>0</v>
      </c>
      <c r="IC46" s="120">
        <f t="shared" si="253"/>
        <v>0</v>
      </c>
      <c r="ID46" s="120">
        <f>+ID12/$ID$37</f>
        <v>0</v>
      </c>
      <c r="IE46" s="120">
        <f t="shared" si="255"/>
        <v>0</v>
      </c>
      <c r="IF46" s="120">
        <f t="shared" si="256"/>
        <v>0</v>
      </c>
      <c r="IG46" s="120">
        <f t="shared" si="257"/>
        <v>0</v>
      </c>
      <c r="IH46" s="120">
        <f t="shared" si="258"/>
        <v>260.64887757173517</v>
      </c>
      <c r="II46" s="120">
        <f t="shared" si="259"/>
        <v>0</v>
      </c>
      <c r="IJ46" s="120"/>
      <c r="IK46" s="120"/>
      <c r="IL46" s="120"/>
      <c r="IM46" s="1345"/>
      <c r="IN46" s="1346">
        <f t="shared" si="260"/>
        <v>260.64887757173517</v>
      </c>
      <c r="IO46" s="120"/>
      <c r="IP46" s="371" t="str">
        <f t="shared" si="261"/>
        <v/>
      </c>
      <c r="IQ46" s="348" t="str">
        <f t="shared" si="262"/>
        <v/>
      </c>
      <c r="IR46" s="320">
        <f t="shared" si="263"/>
        <v>0</v>
      </c>
      <c r="IS46" s="344">
        <f t="shared" si="264"/>
        <v>260.64887757173517</v>
      </c>
      <c r="IU46" s="320">
        <f t="shared" si="265"/>
        <v>0</v>
      </c>
    </row>
    <row r="47" spans="1:255" ht="15" customHeight="1" x14ac:dyDescent="0.2">
      <c r="A47" s="1554" t="s">
        <v>319</v>
      </c>
      <c r="B47" s="379">
        <f t="shared" ref="B47:M47" si="269">+B13/B37</f>
        <v>239.77246793042579</v>
      </c>
      <c r="C47" s="380">
        <f t="shared" si="269"/>
        <v>196.87703526430477</v>
      </c>
      <c r="D47" s="380">
        <f t="shared" si="269"/>
        <v>185.25203794824864</v>
      </c>
      <c r="E47" s="380">
        <f t="shared" si="269"/>
        <v>168.68147870883706</v>
      </c>
      <c r="F47" s="380">
        <f t="shared" si="269"/>
        <v>176.65361775711037</v>
      </c>
      <c r="G47" s="380">
        <f t="shared" si="269"/>
        <v>171.51342669035975</v>
      </c>
      <c r="H47" s="380">
        <f t="shared" si="269"/>
        <v>295.8856699761609</v>
      </c>
      <c r="I47" s="380">
        <f t="shared" si="269"/>
        <v>177.98896477493159</v>
      </c>
      <c r="J47" s="380">
        <f t="shared" si="269"/>
        <v>175.11722852209323</v>
      </c>
      <c r="K47" s="380">
        <f t="shared" si="269"/>
        <v>163.87139221181909</v>
      </c>
      <c r="L47" s="380">
        <f t="shared" si="269"/>
        <v>215.97401601682051</v>
      </c>
      <c r="M47" s="389">
        <f t="shared" si="269"/>
        <v>295.20929415386399</v>
      </c>
      <c r="N47" s="381">
        <f t="shared" si="240"/>
        <v>2462.7966299549757</v>
      </c>
      <c r="O47" s="379">
        <f>+O13/$O$37</f>
        <v>530.05794164356757</v>
      </c>
      <c r="P47" s="380">
        <f>+P13/$P$37</f>
        <v>678.43462856053452</v>
      </c>
      <c r="Q47" s="380">
        <f>+Q13/$Q$37</f>
        <v>680.58097761402735</v>
      </c>
      <c r="R47" s="380">
        <f>+R13/$R$37</f>
        <v>149.276604101907</v>
      </c>
      <c r="S47" s="380">
        <f>+S13/$S$37</f>
        <v>132.8452092172852</v>
      </c>
      <c r="T47" s="380">
        <f>+T13/$T$37</f>
        <v>866.89940481706742</v>
      </c>
      <c r="U47" s="380">
        <f>+U13/$U$37</f>
        <v>275.26683547825434</v>
      </c>
      <c r="V47" s="380">
        <f>+V13/$V$37</f>
        <v>130.56715982868059</v>
      </c>
      <c r="W47" s="380">
        <f>+W13/$W$37</f>
        <v>5420.6572633040778</v>
      </c>
      <c r="X47" s="380">
        <f>+X13/$X$37</f>
        <v>201.30748715524274</v>
      </c>
      <c r="Y47" s="380">
        <f>+Y13/$Y$37</f>
        <v>167.48086210929819</v>
      </c>
      <c r="Z47" s="389">
        <f>+Z13/$Z$37</f>
        <v>319.21663870140696</v>
      </c>
      <c r="AA47" s="381">
        <f>SUM(O47:Z47)</f>
        <v>9552.5910125313512</v>
      </c>
      <c r="AB47" s="379">
        <f>+AB13/$AB$37</f>
        <v>124.37819548077422</v>
      </c>
      <c r="AC47" s="380">
        <f>+AC13/$AC$37</f>
        <v>125.804711513941</v>
      </c>
      <c r="AD47" s="380">
        <f>+AD13/$AD$37</f>
        <v>124.54435896453639</v>
      </c>
      <c r="AE47" s="380">
        <f>+AE13/$AE$37</f>
        <v>1431.3761737839582</v>
      </c>
      <c r="AF47" s="380">
        <f>+AF13/$AF$37</f>
        <v>167.72735412789132</v>
      </c>
      <c r="AG47" s="380">
        <f t="shared" ref="AG47:AG55" si="270">+AG13/$AG$37</f>
        <v>741.58619874568103</v>
      </c>
      <c r="AH47" s="380">
        <f t="shared" ref="AH47:AH55" si="271">+AH13/$AH$37</f>
        <v>3435.1050724933366</v>
      </c>
      <c r="AI47" s="380">
        <f t="shared" ref="AI47:AI55" si="272">+AI13/$AI$37</f>
        <v>480.80602462122857</v>
      </c>
      <c r="AJ47" s="380">
        <f t="shared" ref="AJ47:AJ55" si="273">+AJ13/$AJ$37</f>
        <v>203.16779438391825</v>
      </c>
      <c r="AK47" s="380">
        <f t="shared" ref="AK47:AK55" si="274">+AK13/$AK$37</f>
        <v>129.63353292522908</v>
      </c>
      <c r="AL47" s="380">
        <f t="shared" ref="AL47:AL55" si="275">+AL13/$AL$37</f>
        <v>428.46799814747027</v>
      </c>
      <c r="AM47" s="389">
        <f t="shared" ref="AM47:AM55" si="276">+AM13/$AM$37</f>
        <v>497.78313106512996</v>
      </c>
      <c r="AN47" s="381">
        <f t="shared" ref="AN47:AN55" si="277">SUM(AB47:AM47)</f>
        <v>7890.3805462530954</v>
      </c>
      <c r="AO47" s="379">
        <f t="shared" ref="AO47:AO55" si="278">+AO13/$AO$37</f>
        <v>100.24390559003022</v>
      </c>
      <c r="AP47" s="380">
        <f t="shared" ref="AP47:AP55" si="279">+AP13/$AP$37</f>
        <v>104.32265386205221</v>
      </c>
      <c r="AQ47" s="380">
        <f t="shared" ref="AQ47:AQ55" si="280">+AQ13/$AQ$37</f>
        <v>553.40529680087786</v>
      </c>
      <c r="AR47" s="380">
        <f t="shared" ref="AR47:AR55" si="281">+AR13/$AR$37</f>
        <v>131.9202137785168</v>
      </c>
      <c r="AS47" s="380">
        <f t="shared" ref="AS47:AS55" si="282">+AS13/$AS$37</f>
        <v>145.14126340905025</v>
      </c>
      <c r="AT47" s="380">
        <f t="shared" ref="AT47:AT55" si="283">+AT13/$AT$37</f>
        <v>318.9917877121984</v>
      </c>
      <c r="AU47" s="380">
        <f t="shared" ref="AU47:AU55" si="284">+AU13/$AU$37</f>
        <v>188.32552353168879</v>
      </c>
      <c r="AV47" s="380">
        <f t="shared" ref="AV47:AV55" si="285">+AV13/$AV$37</f>
        <v>113.03886016606802</v>
      </c>
      <c r="AW47" s="380">
        <f t="shared" ref="AW47:AW55" si="286">+AW13/$AW$37</f>
        <v>1560.8721002161215</v>
      </c>
      <c r="AX47" s="380">
        <f t="shared" ref="AX47:AX55" si="287">+AX13/$AX$37</f>
        <v>163.29435769705083</v>
      </c>
      <c r="AY47" s="380">
        <f t="shared" ref="AY47:AY55" si="288">+AY13/$AY$37</f>
        <v>232.27885477738695</v>
      </c>
      <c r="AZ47" s="389">
        <f t="shared" ref="AZ47:AZ55" si="289">+AZ13/$AZ$37</f>
        <v>10686.08511187333</v>
      </c>
      <c r="BA47" s="381">
        <f t="shared" ref="BA47:BA55" si="290">SUM(AO47:AZ47)</f>
        <v>14297.919929414373</v>
      </c>
      <c r="BB47" s="379">
        <f t="shared" ref="BB47:BB55" si="291">+BB13/$BB$37</f>
        <v>109.930797463042</v>
      </c>
      <c r="BC47" s="380">
        <f t="shared" ref="BC47:BC55" si="292">+BC13/$BC$37</f>
        <v>97.594813088638162</v>
      </c>
      <c r="BD47" s="380">
        <f t="shared" ref="BD47:BD55" si="293">+BD13/$BD$37</f>
        <v>169.91065826232426</v>
      </c>
      <c r="BE47" s="380">
        <f t="shared" ref="BE47:BE55" si="294">+BE13/$BE$37</f>
        <v>57.465058996508759</v>
      </c>
      <c r="BF47" s="380">
        <f t="shared" ref="BF47:BF55" si="295">+BF13/$BF$37</f>
        <v>141.07099590188869</v>
      </c>
      <c r="BG47" s="380">
        <f t="shared" ref="BG47:BG55" si="296">+BG13/$BG$37</f>
        <v>525.63635904047112</v>
      </c>
      <c r="BH47" s="380">
        <f t="shared" ref="BH47:BH55" si="297">+BH13/$BH$37</f>
        <v>650.12227975716189</v>
      </c>
      <c r="BI47" s="380">
        <f t="shared" ref="BI47:BI55" si="298">+BI13/$BI$37</f>
        <v>1200.4035752376958</v>
      </c>
      <c r="BJ47" s="380">
        <f t="shared" ref="BJ47:BJ55" si="299">+BJ13/$BJ$37</f>
        <v>218.07037876296445</v>
      </c>
      <c r="BK47" s="380">
        <f t="shared" ref="BK47:BK55" si="300">+BK13/$BK$37</f>
        <v>123.01807673179682</v>
      </c>
      <c r="BL47" s="380">
        <f t="shared" ref="BL47:BL55" si="301">+BL13/$BL$37</f>
        <v>465.10715400300035</v>
      </c>
      <c r="BM47" s="389">
        <f t="shared" ref="BM47:BM55" si="302">+BM13/$BM$37</f>
        <v>5774.9406983405843</v>
      </c>
      <c r="BN47" s="381">
        <f t="shared" ref="BN47:BN55" si="303">SUM(BB47:BM47)</f>
        <v>9533.2708455860775</v>
      </c>
      <c r="BO47" s="379">
        <f t="shared" ref="BO47:BO55" si="304">+BO13/$BO$37</f>
        <v>64.283900536930574</v>
      </c>
      <c r="BP47" s="380">
        <f t="shared" ref="BP47:BP55" si="305">+BP13/$BP$37</f>
        <v>69.355455553702726</v>
      </c>
      <c r="BQ47" s="380">
        <f t="shared" ref="BQ47:BQ55" si="306">+BQ13/$BQ$37</f>
        <v>313.01138195791344</v>
      </c>
      <c r="BR47" s="380">
        <f t="shared" ref="BR47:BR55" si="307">+BR13/$BR$37</f>
        <v>222.19599611204455</v>
      </c>
      <c r="BS47" s="380">
        <f t="shared" ref="BS47:BS55" si="308">+BS13/$BS$37</f>
        <v>42.870931096442092</v>
      </c>
      <c r="BT47" s="380">
        <f t="shared" ref="BT47:BT55" si="309">+BT13/$BT$37</f>
        <v>636.46251800407742</v>
      </c>
      <c r="BU47" s="380">
        <f t="shared" ref="BU47:BU55" si="310">+BU13/$BU$37</f>
        <v>185.64175020195844</v>
      </c>
      <c r="BV47" s="380">
        <f t="shared" ref="BV47:BV55" si="311">+BV13/$BV$37</f>
        <v>309.09680271355916</v>
      </c>
      <c r="BW47" s="380">
        <f t="shared" ref="BW47:BW55" si="312">+BW13/$BW$37</f>
        <v>588.26366040675464</v>
      </c>
      <c r="BX47" s="380">
        <f t="shared" ref="BX47:BX55" si="313">+BX13/$BX$37</f>
        <v>62.538937258411693</v>
      </c>
      <c r="BY47" s="380">
        <f t="shared" ref="BY47:BY55" si="314">+BY13/$BY$37</f>
        <v>93.608247035912072</v>
      </c>
      <c r="BZ47" s="389">
        <f t="shared" ref="BZ47:BZ55" si="315">+BZ13/$BZ$37</f>
        <v>1857.6112150569681</v>
      </c>
      <c r="CA47" s="381">
        <f t="shared" ref="CA47:CA55" si="316">SUM(BO47:BZ47)</f>
        <v>4444.9407959346754</v>
      </c>
      <c r="CB47" s="379">
        <f t="shared" ref="CB47:CB55" si="317">+CB13/$CB$37</f>
        <v>36.450508276212346</v>
      </c>
      <c r="CC47" s="380">
        <f t="shared" ref="CC47:CC55" si="318">+CC13/$CC$37</f>
        <v>48.310812824668453</v>
      </c>
      <c r="CD47" s="380">
        <f t="shared" ref="CD47:CD55" si="319">+CD13/$CD$37</f>
        <v>89.713672840609931</v>
      </c>
      <c r="CE47" s="380">
        <f t="shared" ref="CE47:CE55" si="320">+CE13/$CE$37</f>
        <v>11.170643595055525</v>
      </c>
      <c r="CF47" s="380">
        <f t="shared" ref="CF47:CF55" si="321">+CF13/$CF$37</f>
        <v>50.948617471497954</v>
      </c>
      <c r="CG47" s="380">
        <f t="shared" ref="CG47:CG55" si="322">+CG13/$CG$37</f>
        <v>147.03808644024437</v>
      </c>
      <c r="CH47" s="380">
        <f t="shared" ref="CH47:CH55" si="323">+CH13/$CH$37</f>
        <v>302.31382902262624</v>
      </c>
      <c r="CI47" s="380">
        <f t="shared" ref="CI47:CI55" si="324">+CI13/$CI$37</f>
        <v>59.408276812212058</v>
      </c>
      <c r="CJ47" s="380">
        <f t="shared" ref="CJ47:CJ55" si="325">+CJ13/$CJ$37</f>
        <v>1743.0223920941878</v>
      </c>
      <c r="CK47" s="380">
        <f t="shared" ref="CK47:CK55" si="326">+CK13/$CK$37</f>
        <v>261.56658878442971</v>
      </c>
      <c r="CL47" s="380">
        <f t="shared" ref="CL47:CL55" si="327">+CL13/$CL$37</f>
        <v>7688.3543421019567</v>
      </c>
      <c r="CM47" s="389">
        <f t="shared" ref="CM47:CM55" si="328">+CM13/$CM$37</f>
        <v>63.765152721632127</v>
      </c>
      <c r="CN47" s="381">
        <f t="shared" ref="CN47:CN55" si="329">SUM(CB47:CM47)</f>
        <v>10502.062922985333</v>
      </c>
      <c r="CO47" s="379">
        <f t="shared" ref="CO47:CO55" si="330">+CO13/$CO$37</f>
        <v>30.649635818413053</v>
      </c>
      <c r="CP47" s="380">
        <f t="shared" ref="CP47:CP55" si="331">+CP13/$CP$37</f>
        <v>23.506124563550159</v>
      </c>
      <c r="CQ47" s="380">
        <f t="shared" ref="CQ47:CQ55" si="332">+CQ13/$CQ$37</f>
        <v>26.439335555137802</v>
      </c>
      <c r="CR47" s="380">
        <f t="shared" ref="CR47:CR55" si="333">+CR13/$CR$37</f>
        <v>32.533475132740776</v>
      </c>
      <c r="CS47" s="380">
        <f t="shared" ref="CS47:CS55" si="334">+CS13/$CS$37</f>
        <v>1170.8452239308911</v>
      </c>
      <c r="CT47" s="380">
        <f t="shared" ref="CT47:CT55" si="335">+CT13/$CT$37</f>
        <v>23.800538448027833</v>
      </c>
      <c r="CU47" s="380">
        <f t="shared" ref="CU47:CU55" si="336">+CU13/$CU$37</f>
        <v>47.387831653614413</v>
      </c>
      <c r="CV47" s="380">
        <f t="shared" ref="CV47:CV55" si="337">+CV13/$CV$37</f>
        <v>232.99649213643013</v>
      </c>
      <c r="CW47" s="380">
        <f t="shared" ref="CW47:CW55" si="338">+CW13/$CW$37</f>
        <v>38.821102358697445</v>
      </c>
      <c r="CX47" s="380">
        <f t="shared" ref="CX47:CX55" si="339">+CX13/$CX$37</f>
        <v>57.770176248565804</v>
      </c>
      <c r="CY47" s="380">
        <f t="shared" ref="CY47:CY55" si="340">+CY13/$CY$37</f>
        <v>11425.492774315608</v>
      </c>
      <c r="CZ47" s="389">
        <f t="shared" ref="CZ47:CZ55" si="341">+CZ13/$CZ$37</f>
        <v>2484.9718958870158</v>
      </c>
      <c r="DA47" s="381">
        <f t="shared" si="241"/>
        <v>15595.214606048692</v>
      </c>
      <c r="DB47" s="379">
        <f t="shared" ref="DB47:DB55" si="342">+DB13/$DB$37</f>
        <v>9.0166120560736172</v>
      </c>
      <c r="DC47" s="380">
        <f t="shared" ref="DC47:DC55" si="343">+DC13/$DC$37</f>
        <v>23.253383725856221</v>
      </c>
      <c r="DD47" s="380">
        <f t="shared" ref="DD47:DD55" si="344">+DD13/$DD$37</f>
        <v>1026.739863737062</v>
      </c>
      <c r="DE47" s="380">
        <f t="shared" ref="DE47:DE55" si="345">+DE13/$DE$37</f>
        <v>20.87570196113122</v>
      </c>
      <c r="DF47" s="380">
        <f t="shared" ref="DF47:DF55" si="346">+DF13/$DF$37</f>
        <v>12.647972591102643</v>
      </c>
      <c r="DG47" s="380">
        <f t="shared" ref="DG47:DG55" si="347">+DG13/$DG$37</f>
        <v>33.433121077527872</v>
      </c>
      <c r="DH47" s="380">
        <f t="shared" ref="DH47:DH55" si="348">+DH13/$DH$37</f>
        <v>14.104922738987245</v>
      </c>
      <c r="DI47" s="380">
        <f t="shared" ref="DI47:DI55" si="349">+DI13/$DI$37</f>
        <v>1927.6619253739566</v>
      </c>
      <c r="DJ47" s="380">
        <f t="shared" ref="DJ47:DJ55" si="350">+DJ13/$DJ$37</f>
        <v>13.28672361208432</v>
      </c>
      <c r="DK47" s="380">
        <f t="shared" ref="DK47:DK55" si="351">+DK13/$DK$37</f>
        <v>8.086509739674419</v>
      </c>
      <c r="DL47" s="380">
        <f t="shared" ref="DL47:DL55" si="352">+DL13/$DL$37</f>
        <v>14.660230313317594</v>
      </c>
      <c r="DM47" s="389">
        <f t="shared" ref="DM47:DM55" si="353">+DM13/$DM$37</f>
        <v>2382.4883410609323</v>
      </c>
      <c r="DN47" s="381">
        <f t="shared" si="242"/>
        <v>5486.2553079877061</v>
      </c>
      <c r="DO47" s="379">
        <f t="shared" ref="DO47:DO55" si="354">+DO13/$DO$37</f>
        <v>8.7462154896727444</v>
      </c>
      <c r="DP47" s="380">
        <f t="shared" ref="DP47:DP55" si="355">+DP13/$DP$37</f>
        <v>13.804001719811779</v>
      </c>
      <c r="DQ47" s="380">
        <f t="shared" ref="DQ47:DQ55" si="356">+DQ13/$DQ$37</f>
        <v>30.122516352267613</v>
      </c>
      <c r="DR47" s="380">
        <f t="shared" ref="DR47:DR55" si="357">+DR13/$DR$37</f>
        <v>12.224230093207803</v>
      </c>
      <c r="DS47" s="380">
        <f t="shared" ref="DS47:DS55" si="358">+DS13/$DS$37</f>
        <v>12.275788404506731</v>
      </c>
      <c r="DT47" s="380">
        <f t="shared" ref="DT47:DT55" si="359">+DT13/$DT$37</f>
        <v>4364.888705528735</v>
      </c>
      <c r="DU47" s="380">
        <f t="shared" ref="DU47:DU55" si="360">+DU13/$DU$37</f>
        <v>1233.5882994158505</v>
      </c>
      <c r="DV47" s="380">
        <f t="shared" ref="DV47:DV55" si="361">+DV13/$DV$37</f>
        <v>8.6041774022709081</v>
      </c>
      <c r="DW47" s="380">
        <f t="shared" ref="DW47:DW55" si="362">+DW13/$DW$37</f>
        <v>9.3230567971529155</v>
      </c>
      <c r="DX47" s="380">
        <f t="shared" ref="DX47:DX55" si="363">+DX13/$DX$37</f>
        <v>5.7643582048878432</v>
      </c>
      <c r="DY47" s="380">
        <f t="shared" ref="DY47:DY55" si="364">+DY13/$DY$37</f>
        <v>1.44397750623443</v>
      </c>
      <c r="DZ47" s="389">
        <f t="shared" ref="DZ47:DZ55" si="365">+DZ13/$DZ$37</f>
        <v>2604.3783596370781</v>
      </c>
      <c r="EA47" s="381">
        <f t="shared" si="243"/>
        <v>8305.1636865516757</v>
      </c>
      <c r="EB47" s="379">
        <f t="shared" si="143"/>
        <v>11.518392752635872</v>
      </c>
      <c r="EC47" s="380">
        <f t="shared" si="144"/>
        <v>9.3353557222111174</v>
      </c>
      <c r="ED47" s="380">
        <f t="shared" si="145"/>
        <v>14.292054658651251</v>
      </c>
      <c r="EE47" s="380">
        <f t="shared" si="146"/>
        <v>16.458905324903803</v>
      </c>
      <c r="EF47" s="380">
        <f t="shared" si="147"/>
        <v>21.463844611387032</v>
      </c>
      <c r="EG47" s="380">
        <f t="shared" si="148"/>
        <v>6042.8791400675673</v>
      </c>
      <c r="EH47" s="380">
        <f t="shared" si="149"/>
        <v>9661.5580060484499</v>
      </c>
      <c r="EI47" s="380">
        <f t="shared" si="150"/>
        <v>195.81823112816369</v>
      </c>
      <c r="EJ47" s="380">
        <f t="shared" si="151"/>
        <v>14.870958417020116</v>
      </c>
      <c r="EK47" s="380">
        <f t="shared" si="152"/>
        <v>20.519669697269965</v>
      </c>
      <c r="EL47" s="380">
        <f t="shared" si="153"/>
        <v>16.254715136223055</v>
      </c>
      <c r="EM47" s="389">
        <f t="shared" si="154"/>
        <v>1000.3379162361789</v>
      </c>
      <c r="EN47" s="381">
        <f t="shared" si="244"/>
        <v>17025.307189800664</v>
      </c>
      <c r="EO47" s="379">
        <f t="shared" si="155"/>
        <v>7.7545979299666321</v>
      </c>
      <c r="EP47" s="380">
        <f t="shared" si="156"/>
        <v>5.6323854843006869</v>
      </c>
      <c r="EQ47" s="380">
        <f t="shared" si="157"/>
        <v>11.882079970355367</v>
      </c>
      <c r="ER47" s="380">
        <f t="shared" si="158"/>
        <v>14.648566360071779</v>
      </c>
      <c r="ES47" s="380">
        <f t="shared" si="245"/>
        <v>11.851268481990887</v>
      </c>
      <c r="ET47" s="380">
        <f t="shared" si="159"/>
        <v>20076.745941932681</v>
      </c>
      <c r="EU47" s="380">
        <f t="shared" si="160"/>
        <v>17.393548905117541</v>
      </c>
      <c r="EV47" s="380">
        <f t="shared" si="161"/>
        <v>15.297144749653642</v>
      </c>
      <c r="EW47" s="380">
        <f t="shared" si="162"/>
        <v>13.209849480661896</v>
      </c>
      <c r="EX47" s="380">
        <f t="shared" si="163"/>
        <v>15.973299794185534</v>
      </c>
      <c r="EY47" s="380">
        <f t="shared" si="164"/>
        <v>14.568292082096487</v>
      </c>
      <c r="EZ47" s="389">
        <f t="shared" si="165"/>
        <v>6854.2090136825673</v>
      </c>
      <c r="FA47" s="381">
        <f t="shared" si="246"/>
        <v>27059.165988853652</v>
      </c>
      <c r="FB47" s="379">
        <f t="shared" si="166"/>
        <v>8.9950699004475521</v>
      </c>
      <c r="FC47" s="380">
        <f t="shared" si="167"/>
        <v>10.364416624933806</v>
      </c>
      <c r="FD47" s="380">
        <f t="shared" si="168"/>
        <v>12.35697958263345</v>
      </c>
      <c r="FE47" s="380">
        <f t="shared" si="169"/>
        <v>18.516952421528647</v>
      </c>
      <c r="FF47" s="380">
        <f t="shared" si="170"/>
        <v>10.266662464808521</v>
      </c>
      <c r="FG47" s="380">
        <f t="shared" si="171"/>
        <v>7.5492688333763649</v>
      </c>
      <c r="FH47" s="380">
        <f t="shared" si="172"/>
        <v>19.811485002435621</v>
      </c>
      <c r="FI47" s="380">
        <f t="shared" si="173"/>
        <v>17.781580775519402</v>
      </c>
      <c r="FJ47" s="380">
        <f t="shared" si="174"/>
        <v>10.244262326312086</v>
      </c>
      <c r="FK47" s="380">
        <f t="shared" si="175"/>
        <v>6387.7273920315565</v>
      </c>
      <c r="FL47" s="380">
        <f t="shared" si="176"/>
        <v>250.65505524768207</v>
      </c>
      <c r="FM47" s="389">
        <f t="shared" si="177"/>
        <v>22488.613132374121</v>
      </c>
      <c r="FN47" s="381">
        <f t="shared" si="247"/>
        <v>29242.882257585356</v>
      </c>
      <c r="FO47" s="379">
        <f t="shared" si="178"/>
        <v>2.0218657572379497</v>
      </c>
      <c r="FP47" s="380">
        <f t="shared" si="179"/>
        <v>16.195980832986479</v>
      </c>
      <c r="FQ47" s="380">
        <f t="shared" si="180"/>
        <v>12.715012058159093</v>
      </c>
      <c r="FR47" s="380">
        <f t="shared" si="181"/>
        <v>12.727739797957049</v>
      </c>
      <c r="FS47" s="380">
        <f t="shared" si="182"/>
        <v>6.0126951012063978</v>
      </c>
      <c r="FT47" s="380">
        <f t="shared" si="183"/>
        <v>25.255605722005896</v>
      </c>
      <c r="FU47" s="380">
        <f t="shared" si="184"/>
        <v>17.765342527164059</v>
      </c>
      <c r="FV47" s="380">
        <f t="shared" si="185"/>
        <v>1.9547701995074995</v>
      </c>
      <c r="FW47" s="380">
        <f t="shared" si="186"/>
        <v>3901.1034758431538</v>
      </c>
      <c r="FX47" s="380">
        <f t="shared" si="187"/>
        <v>-1.2905032613679301</v>
      </c>
      <c r="FY47" s="380">
        <f t="shared" si="188"/>
        <v>289.96461283227205</v>
      </c>
      <c r="FZ47" s="389">
        <f t="shared" si="189"/>
        <v>33230.110576983752</v>
      </c>
      <c r="GA47" s="381">
        <f t="shared" si="248"/>
        <v>37514.537174394034</v>
      </c>
      <c r="GB47" s="379">
        <f t="shared" si="190"/>
        <v>3.82623527654486</v>
      </c>
      <c r="GC47" s="380">
        <f t="shared" si="191"/>
        <v>6.9929845819439755</v>
      </c>
      <c r="GD47" s="380">
        <f t="shared" si="192"/>
        <v>78.306793344232361</v>
      </c>
      <c r="GE47" s="380">
        <f t="shared" si="193"/>
        <v>37.229854204864829</v>
      </c>
      <c r="GF47" s="380">
        <f t="shared" si="194"/>
        <v>245.40499633611168</v>
      </c>
      <c r="GG47" s="380">
        <f t="shared" si="195"/>
        <v>45.205056624337296</v>
      </c>
      <c r="GH47" s="380">
        <f t="shared" si="196"/>
        <v>5097.5183537824587</v>
      </c>
      <c r="GI47" s="380">
        <f t="shared" si="197"/>
        <v>24.046502602254833</v>
      </c>
      <c r="GJ47" s="380">
        <f t="shared" si="198"/>
        <v>26.314318406765135</v>
      </c>
      <c r="GK47" s="380">
        <f t="shared" si="199"/>
        <v>50.65717861518857</v>
      </c>
      <c r="GL47" s="380">
        <f t="shared" si="200"/>
        <v>33.201493439415742</v>
      </c>
      <c r="GM47" s="389">
        <f t="shared" si="201"/>
        <v>1060.0026075756375</v>
      </c>
      <c r="GN47" s="381">
        <f t="shared" si="249"/>
        <v>6708.7063747897555</v>
      </c>
      <c r="GO47" s="379">
        <f t="shared" si="202"/>
        <v>0.58688690128998389</v>
      </c>
      <c r="GP47" s="380">
        <f t="shared" si="203"/>
        <v>7.6074680593975392</v>
      </c>
      <c r="GQ47" s="380">
        <f t="shared" si="204"/>
        <v>15.027097401279091</v>
      </c>
      <c r="GR47" s="380">
        <f t="shared" si="205"/>
        <v>7.4717071406518949</v>
      </c>
      <c r="GS47" s="380">
        <f t="shared" si="206"/>
        <v>7.4478739440309951</v>
      </c>
      <c r="GT47" s="380">
        <f t="shared" si="207"/>
        <v>5.1639663723492122</v>
      </c>
      <c r="GU47" s="380">
        <f t="shared" si="208"/>
        <v>29184.803142330227</v>
      </c>
      <c r="GV47" s="380">
        <f t="shared" si="209"/>
        <v>2518.9431659150591</v>
      </c>
      <c r="GW47" s="380">
        <f t="shared" si="210"/>
        <v>6.2619426442617563</v>
      </c>
      <c r="GX47" s="380">
        <f t="shared" si="211"/>
        <v>18.275040549428734</v>
      </c>
      <c r="GY47" s="380">
        <f t="shared" si="212"/>
        <v>10.868194437323028</v>
      </c>
      <c r="GZ47" s="389">
        <f t="shared" si="213"/>
        <v>-17.090237034458241</v>
      </c>
      <c r="HA47" s="381">
        <f t="shared" si="250"/>
        <v>31765.366248660841</v>
      </c>
      <c r="HB47" s="379">
        <f t="shared" si="214"/>
        <v>25.630229505786204</v>
      </c>
      <c r="HC47" s="380">
        <f t="shared" si="215"/>
        <v>58.904443308622056</v>
      </c>
      <c r="HD47" s="380">
        <f t="shared" si="216"/>
        <v>30.839905245236697</v>
      </c>
      <c r="HE47" s="380">
        <f t="shared" si="217"/>
        <v>16.830181588195931</v>
      </c>
      <c r="HF47" s="380">
        <f t="shared" si="218"/>
        <v>51.097538602269701</v>
      </c>
      <c r="HG47" s="380">
        <f t="shared" si="219"/>
        <v>22.99437469205149</v>
      </c>
      <c r="HH47" s="380">
        <f t="shared" si="220"/>
        <v>21.82032908799389</v>
      </c>
      <c r="HI47" s="380">
        <f t="shared" si="221"/>
        <v>2019.7189228758937</v>
      </c>
      <c r="HJ47" s="380">
        <f t="shared" si="222"/>
        <v>1662.1672784813818</v>
      </c>
      <c r="HK47" s="380">
        <f t="shared" si="223"/>
        <v>227.8302431616188</v>
      </c>
      <c r="HL47" s="380">
        <f t="shared" si="224"/>
        <v>5.0334850684864438</v>
      </c>
      <c r="HM47" s="389">
        <f t="shared" si="225"/>
        <v>51.955527960270281</v>
      </c>
      <c r="HN47" s="381">
        <f t="shared" si="251"/>
        <v>4194.8224595778065</v>
      </c>
      <c r="HO47" s="379">
        <f t="shared" si="226"/>
        <v>4.4733187146083333</v>
      </c>
      <c r="HP47" s="380">
        <f t="shared" si="227"/>
        <v>17.85934210842732</v>
      </c>
      <c r="HQ47" s="380">
        <f t="shared" si="228"/>
        <v>4.4289609434647659</v>
      </c>
      <c r="HR47" s="380">
        <f t="shared" si="229"/>
        <v>5.5185418454255952</v>
      </c>
      <c r="HS47" s="380">
        <f t="shared" si="230"/>
        <v>50.801065617285843</v>
      </c>
      <c r="HT47" s="380">
        <f t="shared" si="231"/>
        <v>41.360144000803722</v>
      </c>
      <c r="HU47" s="380">
        <f t="shared" si="232"/>
        <v>46.217062038212276</v>
      </c>
      <c r="HV47" s="380">
        <f t="shared" si="233"/>
        <v>261.55478752802912</v>
      </c>
      <c r="HW47" s="380">
        <f t="shared" si="234"/>
        <v>39.174120382244624</v>
      </c>
      <c r="HX47" s="380">
        <f t="shared" si="235"/>
        <v>19.330516620543946</v>
      </c>
      <c r="HY47" s="380">
        <f t="shared" si="236"/>
        <v>9.930485014192703</v>
      </c>
      <c r="HZ47" s="389">
        <f t="shared" si="237"/>
        <v>14.309690651825081</v>
      </c>
      <c r="IA47" s="379">
        <f t="shared" si="252"/>
        <v>514.9580354650634</v>
      </c>
      <c r="IB47" s="1344">
        <f t="shared" si="238"/>
        <v>3.8487602613838305</v>
      </c>
      <c r="IC47" s="120">
        <f>+IC13/$IC$37</f>
        <v>54.605511419545579</v>
      </c>
      <c r="ID47" s="120">
        <f t="shared" si="254"/>
        <v>6.9336945541521056</v>
      </c>
      <c r="IE47" s="120">
        <f t="shared" si="255"/>
        <v>7.4284278488880489</v>
      </c>
      <c r="IF47" s="120">
        <f t="shared" si="256"/>
        <v>78.65494231022717</v>
      </c>
      <c r="IG47" s="120">
        <f t="shared" si="257"/>
        <v>4.2418622201491871</v>
      </c>
      <c r="IH47" s="120">
        <f t="shared" si="258"/>
        <v>11.102690525368031</v>
      </c>
      <c r="II47" s="120">
        <f t="shared" si="259"/>
        <v>17.434880694806257</v>
      </c>
      <c r="IJ47" s="120"/>
      <c r="IK47" s="120"/>
      <c r="IL47" s="120"/>
      <c r="IM47" s="1345"/>
      <c r="IN47" s="1346">
        <f t="shared" si="260"/>
        <v>184.25076983452018</v>
      </c>
      <c r="IO47" s="120"/>
      <c r="IP47" s="371">
        <f t="shared" si="261"/>
        <v>-93.334138189713741</v>
      </c>
      <c r="IQ47" s="348">
        <f t="shared" si="262"/>
        <v>-57.370399581371665</v>
      </c>
      <c r="IR47" s="320">
        <f t="shared" si="263"/>
        <v>432.21322279625701</v>
      </c>
      <c r="IS47" s="344">
        <f t="shared" si="264"/>
        <v>184.25076983452018</v>
      </c>
      <c r="IU47" s="320">
        <f t="shared" si="265"/>
        <v>-244.11990683322287</v>
      </c>
    </row>
    <row r="48" spans="1:255" s="338" customFormat="1" ht="15" customHeight="1" x14ac:dyDescent="0.2">
      <c r="A48" s="1553" t="s">
        <v>435</v>
      </c>
      <c r="B48" s="376">
        <f t="shared" ref="B48:M48" si="366">+B14/B37</f>
        <v>1662.7486653624221</v>
      </c>
      <c r="C48" s="377">
        <f t="shared" si="366"/>
        <v>3974.3945345473935</v>
      </c>
      <c r="D48" s="377">
        <f t="shared" si="366"/>
        <v>7881.3703813112415</v>
      </c>
      <c r="E48" s="377">
        <f t="shared" si="366"/>
        <v>5989.1509116563793</v>
      </c>
      <c r="F48" s="377">
        <f t="shared" si="366"/>
        <v>8014.3449396509577</v>
      </c>
      <c r="G48" s="377">
        <f t="shared" si="366"/>
        <v>15252.376331536081</v>
      </c>
      <c r="H48" s="377">
        <f t="shared" si="366"/>
        <v>42749.825445249975</v>
      </c>
      <c r="I48" s="377">
        <f t="shared" si="366"/>
        <v>18209.207880500635</v>
      </c>
      <c r="J48" s="377">
        <f t="shared" si="366"/>
        <v>9612.8180763191613</v>
      </c>
      <c r="K48" s="377">
        <f t="shared" si="366"/>
        <v>14411.424243893649</v>
      </c>
      <c r="L48" s="377">
        <f t="shared" si="366"/>
        <v>15371.073772410808</v>
      </c>
      <c r="M48" s="388">
        <f t="shared" si="366"/>
        <v>74897.632788737814</v>
      </c>
      <c r="N48" s="378">
        <f t="shared" si="240"/>
        <v>218026.36797117651</v>
      </c>
      <c r="O48" s="376">
        <f>+O14/$O$37</f>
        <v>5905.0475717241807</v>
      </c>
      <c r="P48" s="377">
        <f>+P14/$P$37</f>
        <v>8845.3902384952071</v>
      </c>
      <c r="Q48" s="377">
        <f>+Q14/$Q$37</f>
        <v>10510.991545250288</v>
      </c>
      <c r="R48" s="377">
        <f>+R14/$R$37</f>
        <v>31836.212198739835</v>
      </c>
      <c r="S48" s="377">
        <f>+S14/$S$37</f>
        <v>12587.312616801941</v>
      </c>
      <c r="T48" s="377">
        <f>+T14/$T$37</f>
        <v>12096.14249054398</v>
      </c>
      <c r="U48" s="377">
        <f>+U14/$U$37</f>
        <v>14174.406914893576</v>
      </c>
      <c r="V48" s="377">
        <f>+V14/$V$37</f>
        <v>12916.953952628908</v>
      </c>
      <c r="W48" s="377">
        <f>+W14/$W$37</f>
        <v>19252.996595640292</v>
      </c>
      <c r="X48" s="377">
        <f>+X14/$X$37</f>
        <v>18976.218104259504</v>
      </c>
      <c r="Y48" s="377">
        <f>+Y14/$Y$37</f>
        <v>17568.926480168797</v>
      </c>
      <c r="Z48" s="388">
        <f>+Z14/$Z$37</f>
        <v>36588.831277361271</v>
      </c>
      <c r="AA48" s="378">
        <f>SUM(O48:Z48)</f>
        <v>201259.42998650781</v>
      </c>
      <c r="AB48" s="376">
        <f>+AB14/$AB$37</f>
        <v>2560.7275540159399</v>
      </c>
      <c r="AC48" s="377">
        <f>+AC14/$AC$37</f>
        <v>22965.741249704362</v>
      </c>
      <c r="AD48" s="377">
        <f>+AD14/$AD$37</f>
        <v>12637.161561795769</v>
      </c>
      <c r="AE48" s="377">
        <f>+AE14/$AE$37</f>
        <v>13008.710191456239</v>
      </c>
      <c r="AF48" s="377">
        <f>+AF14/$AF$37</f>
        <v>20866.189487856318</v>
      </c>
      <c r="AG48" s="377">
        <f t="shared" si="270"/>
        <v>22744.9913395779</v>
      </c>
      <c r="AH48" s="377">
        <f t="shared" si="271"/>
        <v>17862.185925226368</v>
      </c>
      <c r="AI48" s="377">
        <f t="shared" si="272"/>
        <v>21372.052470126051</v>
      </c>
      <c r="AJ48" s="377">
        <f t="shared" si="273"/>
        <v>13654.493933174046</v>
      </c>
      <c r="AK48" s="377">
        <f t="shared" si="274"/>
        <v>15553.32325242488</v>
      </c>
      <c r="AL48" s="377">
        <f t="shared" si="275"/>
        <v>16252.079215446587</v>
      </c>
      <c r="AM48" s="388">
        <f t="shared" si="276"/>
        <v>28751.917709301611</v>
      </c>
      <c r="AN48" s="378">
        <f t="shared" si="277"/>
        <v>208229.57389010605</v>
      </c>
      <c r="AO48" s="376">
        <f t="shared" si="278"/>
        <v>11302.500355275908</v>
      </c>
      <c r="AP48" s="377">
        <f t="shared" si="279"/>
        <v>9083.204058912188</v>
      </c>
      <c r="AQ48" s="377">
        <f t="shared" si="280"/>
        <v>19766.751753252476</v>
      </c>
      <c r="AR48" s="377">
        <f t="shared" si="281"/>
        <v>6034.0305782293581</v>
      </c>
      <c r="AS48" s="377">
        <f t="shared" si="282"/>
        <v>12671.272117620418</v>
      </c>
      <c r="AT48" s="377">
        <f t="shared" si="283"/>
        <v>16521.665566878906</v>
      </c>
      <c r="AU48" s="377">
        <f t="shared" si="284"/>
        <v>7458.0394828243789</v>
      </c>
      <c r="AV48" s="377">
        <f t="shared" si="285"/>
        <v>26453.701867940672</v>
      </c>
      <c r="AW48" s="377">
        <f t="shared" si="286"/>
        <v>24437.485069291492</v>
      </c>
      <c r="AX48" s="377">
        <f t="shared" si="287"/>
        <v>26013.050378533368</v>
      </c>
      <c r="AY48" s="377">
        <f t="shared" si="288"/>
        <v>21133.934616523289</v>
      </c>
      <c r="AZ48" s="388">
        <f t="shared" si="289"/>
        <v>47730.036199006441</v>
      </c>
      <c r="BA48" s="378">
        <f t="shared" si="290"/>
        <v>228605.67204428889</v>
      </c>
      <c r="BB48" s="376">
        <f t="shared" si="291"/>
        <v>10328.341955394868</v>
      </c>
      <c r="BC48" s="377">
        <f t="shared" si="292"/>
        <v>10151.572750921678</v>
      </c>
      <c r="BD48" s="377">
        <f t="shared" si="293"/>
        <v>11077.325365412229</v>
      </c>
      <c r="BE48" s="377">
        <f t="shared" si="294"/>
        <v>8524.2654426144691</v>
      </c>
      <c r="BF48" s="377">
        <f t="shared" si="295"/>
        <v>29408.656594780554</v>
      </c>
      <c r="BG48" s="377">
        <f t="shared" si="296"/>
        <v>37486.66117472067</v>
      </c>
      <c r="BH48" s="377">
        <f t="shared" si="297"/>
        <v>12234.119264521136</v>
      </c>
      <c r="BI48" s="377">
        <f t="shared" si="298"/>
        <v>15635.487575856705</v>
      </c>
      <c r="BJ48" s="377">
        <f t="shared" si="299"/>
        <v>17510.800759058275</v>
      </c>
      <c r="BK48" s="377">
        <f t="shared" si="300"/>
        <v>51718.640544910042</v>
      </c>
      <c r="BL48" s="377">
        <f t="shared" si="301"/>
        <v>66507.808929704712</v>
      </c>
      <c r="BM48" s="388">
        <f t="shared" si="302"/>
        <v>34785.888991582004</v>
      </c>
      <c r="BN48" s="378">
        <f t="shared" si="303"/>
        <v>305369.5693494773</v>
      </c>
      <c r="BO48" s="376">
        <f t="shared" si="304"/>
        <v>4566.6615056754572</v>
      </c>
      <c r="BP48" s="377">
        <f t="shared" si="305"/>
        <v>21924.680033952434</v>
      </c>
      <c r="BQ48" s="377">
        <f t="shared" si="306"/>
        <v>23572.738122211435</v>
      </c>
      <c r="BR48" s="377">
        <f t="shared" si="307"/>
        <v>34039.765798428831</v>
      </c>
      <c r="BS48" s="377">
        <f t="shared" si="308"/>
        <v>22945.841428388008</v>
      </c>
      <c r="BT48" s="377">
        <f t="shared" si="309"/>
        <v>48441.869425865894</v>
      </c>
      <c r="BU48" s="377">
        <f t="shared" si="310"/>
        <v>3195.9004212080768</v>
      </c>
      <c r="BV48" s="377">
        <f t="shared" si="311"/>
        <v>16438.256015890307</v>
      </c>
      <c r="BW48" s="377">
        <f t="shared" si="312"/>
        <v>27717.456142894505</v>
      </c>
      <c r="BX48" s="377">
        <f t="shared" si="313"/>
        <v>45163.671222448043</v>
      </c>
      <c r="BY48" s="377">
        <f t="shared" si="314"/>
        <v>50182.16025881721</v>
      </c>
      <c r="BZ48" s="388">
        <f t="shared" si="315"/>
        <v>28313.537867992101</v>
      </c>
      <c r="CA48" s="378">
        <f t="shared" si="316"/>
        <v>326502.53824377235</v>
      </c>
      <c r="CB48" s="376">
        <f t="shared" si="317"/>
        <v>39585.251987966607</v>
      </c>
      <c r="CC48" s="377">
        <f t="shared" si="318"/>
        <v>20898.452447737829</v>
      </c>
      <c r="CD48" s="377">
        <f t="shared" si="319"/>
        <v>17460.523576603708</v>
      </c>
      <c r="CE48" s="377">
        <f t="shared" si="320"/>
        <v>10419.018861731076</v>
      </c>
      <c r="CF48" s="377">
        <f t="shared" si="321"/>
        <v>18386.082330026824</v>
      </c>
      <c r="CG48" s="377">
        <f t="shared" si="322"/>
        <v>66764.034049010646</v>
      </c>
      <c r="CH48" s="377">
        <f t="shared" si="323"/>
        <v>15304.835443634996</v>
      </c>
      <c r="CI48" s="377">
        <f t="shared" si="324"/>
        <v>22900.702545571505</v>
      </c>
      <c r="CJ48" s="377">
        <f t="shared" si="325"/>
        <v>25518.98663706681</v>
      </c>
      <c r="CK48" s="377">
        <f t="shared" si="326"/>
        <v>11479.779413186521</v>
      </c>
      <c r="CL48" s="377">
        <f t="shared" si="327"/>
        <v>29416.00351271583</v>
      </c>
      <c r="CM48" s="388">
        <f t="shared" si="328"/>
        <v>85905.043525868939</v>
      </c>
      <c r="CN48" s="378">
        <f t="shared" si="329"/>
        <v>364038.7143311213</v>
      </c>
      <c r="CO48" s="376">
        <f t="shared" si="330"/>
        <v>9828.3165524377855</v>
      </c>
      <c r="CP48" s="377">
        <f t="shared" si="331"/>
        <v>8904.9035221582508</v>
      </c>
      <c r="CQ48" s="377">
        <f t="shared" si="332"/>
        <v>13480.172995538642</v>
      </c>
      <c r="CR48" s="377">
        <f t="shared" si="333"/>
        <v>56095.457194352894</v>
      </c>
      <c r="CS48" s="377">
        <f t="shared" si="334"/>
        <v>623.16696457900719</v>
      </c>
      <c r="CT48" s="377">
        <f t="shared" si="335"/>
        <v>9154.7619501381887</v>
      </c>
      <c r="CU48" s="377">
        <f t="shared" si="336"/>
        <v>24090.597836939884</v>
      </c>
      <c r="CV48" s="377">
        <f t="shared" si="337"/>
        <v>41604.340948805693</v>
      </c>
      <c r="CW48" s="377">
        <f t="shared" si="338"/>
        <v>53487.10587134496</v>
      </c>
      <c r="CX48" s="377">
        <f t="shared" si="339"/>
        <v>57199.315691162214</v>
      </c>
      <c r="CY48" s="377">
        <f t="shared" si="340"/>
        <v>74821.750751944681</v>
      </c>
      <c r="CZ48" s="388">
        <f t="shared" si="341"/>
        <v>117309.52759736856</v>
      </c>
      <c r="DA48" s="378">
        <f t="shared" si="241"/>
        <v>466599.41787677072</v>
      </c>
      <c r="DB48" s="376">
        <f t="shared" si="342"/>
        <v>1850.65962450911</v>
      </c>
      <c r="DC48" s="377">
        <f t="shared" si="343"/>
        <v>11724.206052746216</v>
      </c>
      <c r="DD48" s="377">
        <f t="shared" si="344"/>
        <v>19115.853221951387</v>
      </c>
      <c r="DE48" s="377">
        <f t="shared" si="345"/>
        <v>31952.498533864313</v>
      </c>
      <c r="DF48" s="377">
        <f t="shared" si="346"/>
        <v>24557.89878159506</v>
      </c>
      <c r="DG48" s="377">
        <f t="shared" si="347"/>
        <v>29878.065869617407</v>
      </c>
      <c r="DH48" s="377">
        <f t="shared" si="348"/>
        <v>35457.548672749886</v>
      </c>
      <c r="DI48" s="377">
        <f t="shared" si="349"/>
        <v>36546.428529144694</v>
      </c>
      <c r="DJ48" s="377">
        <f t="shared" si="350"/>
        <v>26610.354789757763</v>
      </c>
      <c r="DK48" s="377">
        <f t="shared" si="351"/>
        <v>22667.221937556456</v>
      </c>
      <c r="DL48" s="377">
        <f t="shared" si="352"/>
        <v>17735.213621535961</v>
      </c>
      <c r="DM48" s="388">
        <f t="shared" si="353"/>
        <v>69428.968736896772</v>
      </c>
      <c r="DN48" s="378">
        <f t="shared" si="242"/>
        <v>327524.91837192501</v>
      </c>
      <c r="DO48" s="376">
        <f t="shared" si="354"/>
        <v>1610.7613526813971</v>
      </c>
      <c r="DP48" s="377">
        <f t="shared" si="355"/>
        <v>11819.131577784106</v>
      </c>
      <c r="DQ48" s="377">
        <f t="shared" si="356"/>
        <v>34004.734947858677</v>
      </c>
      <c r="DR48" s="377">
        <f t="shared" si="357"/>
        <v>15148.697374918163</v>
      </c>
      <c r="DS48" s="377">
        <f t="shared" si="358"/>
        <v>20202.337187816753</v>
      </c>
      <c r="DT48" s="377">
        <f t="shared" si="359"/>
        <v>19331.357965430325</v>
      </c>
      <c r="DU48" s="377">
        <f t="shared" si="360"/>
        <v>17933.587653005739</v>
      </c>
      <c r="DV48" s="377">
        <f t="shared" si="361"/>
        <v>24072.337327203433</v>
      </c>
      <c r="DW48" s="377">
        <f t="shared" si="362"/>
        <v>18610.255683547552</v>
      </c>
      <c r="DX48" s="377">
        <f t="shared" si="363"/>
        <v>22733.908215302043</v>
      </c>
      <c r="DY48" s="377">
        <f t="shared" si="364"/>
        <v>20646.712372892998</v>
      </c>
      <c r="DZ48" s="388">
        <f t="shared" si="365"/>
        <v>52717.577346719649</v>
      </c>
      <c r="EA48" s="378">
        <f t="shared" si="243"/>
        <v>258831.39900516087</v>
      </c>
      <c r="EB48" s="376">
        <f t="shared" si="143"/>
        <v>3311.5379163828129</v>
      </c>
      <c r="EC48" s="377">
        <f t="shared" si="144"/>
        <v>8798.9318203271396</v>
      </c>
      <c r="ED48" s="377">
        <f t="shared" si="145"/>
        <v>12195.410240227113</v>
      </c>
      <c r="EE48" s="377">
        <f t="shared" si="146"/>
        <v>18259.366446532407</v>
      </c>
      <c r="EF48" s="377">
        <f t="shared" si="147"/>
        <v>13534.384950453616</v>
      </c>
      <c r="EG48" s="377">
        <f t="shared" si="148"/>
        <v>14198.697965292111</v>
      </c>
      <c r="EH48" s="377">
        <f t="shared" si="149"/>
        <v>11496.54361852074</v>
      </c>
      <c r="EI48" s="377">
        <f t="shared" si="150"/>
        <v>12217.354855170212</v>
      </c>
      <c r="EJ48" s="377">
        <f t="shared" si="151"/>
        <v>12261.459285271587</v>
      </c>
      <c r="EK48" s="377">
        <f t="shared" si="152"/>
        <v>15292.106948186154</v>
      </c>
      <c r="EL48" s="377">
        <f t="shared" si="153"/>
        <v>19184.097494468471</v>
      </c>
      <c r="EM48" s="388">
        <f t="shared" si="154"/>
        <v>33521.196590828287</v>
      </c>
      <c r="EN48" s="378">
        <f t="shared" si="244"/>
        <v>174271.08813166065</v>
      </c>
      <c r="EO48" s="376">
        <f t="shared" si="155"/>
        <v>2009.1458273095366</v>
      </c>
      <c r="EP48" s="377">
        <f t="shared" si="156"/>
        <v>8057.8314834776711</v>
      </c>
      <c r="EQ48" s="377">
        <f t="shared" si="157"/>
        <v>12358.06211505019</v>
      </c>
      <c r="ER48" s="377">
        <f t="shared" si="158"/>
        <v>9086.9939986978607</v>
      </c>
      <c r="ES48" s="377">
        <f>+ES14/$ES$37</f>
        <v>12359.499325272745</v>
      </c>
      <c r="ET48" s="377">
        <f t="shared" si="159"/>
        <v>13468.618063062586</v>
      </c>
      <c r="EU48" s="377">
        <f t="shared" si="160"/>
        <v>24397.58317823027</v>
      </c>
      <c r="EV48" s="377">
        <f t="shared" si="161"/>
        <v>17755.813105779791</v>
      </c>
      <c r="EW48" s="377">
        <f t="shared" si="162"/>
        <v>18724.614011220328</v>
      </c>
      <c r="EX48" s="377">
        <f t="shared" si="163"/>
        <v>14744.050201328648</v>
      </c>
      <c r="EY48" s="377">
        <f t="shared" si="164"/>
        <v>21715.773668850779</v>
      </c>
      <c r="EZ48" s="388">
        <f t="shared" si="165"/>
        <v>56823.268787101559</v>
      </c>
      <c r="FA48" s="378">
        <f t="shared" si="246"/>
        <v>211501.25376538196</v>
      </c>
      <c r="FB48" s="376">
        <f t="shared" si="166"/>
        <v>5332.6925940576366</v>
      </c>
      <c r="FC48" s="377">
        <f t="shared" si="167"/>
        <v>13982.979949252362</v>
      </c>
      <c r="FD48" s="377">
        <f t="shared" si="168"/>
        <v>8783.0664877895761</v>
      </c>
      <c r="FE48" s="377">
        <f t="shared" si="169"/>
        <v>4651.184123066937</v>
      </c>
      <c r="FF48" s="377">
        <f t="shared" si="170"/>
        <v>3597.4385276689059</v>
      </c>
      <c r="FG48" s="377">
        <f t="shared" si="171"/>
        <v>9974.6430203901891</v>
      </c>
      <c r="FH48" s="377">
        <f t="shared" si="172"/>
        <v>9042.9181716289768</v>
      </c>
      <c r="FI48" s="377">
        <f t="shared" si="173"/>
        <v>16773.501926938032</v>
      </c>
      <c r="FJ48" s="377">
        <f t="shared" si="174"/>
        <v>15147.849226506805</v>
      </c>
      <c r="FK48" s="377">
        <f t="shared" si="175"/>
        <v>21468.36311414903</v>
      </c>
      <c r="FL48" s="377">
        <f t="shared" si="176"/>
        <v>27734.40447346236</v>
      </c>
      <c r="FM48" s="388">
        <f t="shared" si="177"/>
        <v>44189.652940062857</v>
      </c>
      <c r="FN48" s="378">
        <f t="shared" si="247"/>
        <v>180678.69455497368</v>
      </c>
      <c r="FO48" s="376">
        <f t="shared" si="178"/>
        <v>9942.1878835914104</v>
      </c>
      <c r="FP48" s="377">
        <f t="shared" si="179"/>
        <v>10117.764192873594</v>
      </c>
      <c r="FQ48" s="377">
        <f t="shared" si="180"/>
        <v>13924.276626006118</v>
      </c>
      <c r="FR48" s="377">
        <f t="shared" si="181"/>
        <v>9577.2892574416801</v>
      </c>
      <c r="FS48" s="377">
        <f t="shared" si="182"/>
        <v>11193.634046745912</v>
      </c>
      <c r="FT48" s="377">
        <f t="shared" si="183"/>
        <v>18193.340816689193</v>
      </c>
      <c r="FU48" s="377">
        <f t="shared" si="184"/>
        <v>14086.60067274279</v>
      </c>
      <c r="FV48" s="377">
        <f t="shared" si="185"/>
        <v>12845.446571030281</v>
      </c>
      <c r="FW48" s="377">
        <f t="shared" si="186"/>
        <v>9989.317035464619</v>
      </c>
      <c r="FX48" s="377">
        <f t="shared" si="187"/>
        <v>11999.744575829698</v>
      </c>
      <c r="FY48" s="377">
        <f t="shared" si="188"/>
        <v>11183.890111346724</v>
      </c>
      <c r="FZ48" s="388">
        <f t="shared" si="189"/>
        <v>24461.33715737383</v>
      </c>
      <c r="GA48" s="378">
        <f t="shared" si="248"/>
        <v>157514.82894713583</v>
      </c>
      <c r="GB48" s="376">
        <f t="shared" si="190"/>
        <v>6933.7760269787104</v>
      </c>
      <c r="GC48" s="377">
        <f t="shared" si="191"/>
        <v>4440.5452095344244</v>
      </c>
      <c r="GD48" s="377">
        <f t="shared" si="192"/>
        <v>14101.487345429363</v>
      </c>
      <c r="GE48" s="377">
        <f t="shared" si="193"/>
        <v>15009.836220261335</v>
      </c>
      <c r="GF48" s="377">
        <f t="shared" si="194"/>
        <v>23546.51667615911</v>
      </c>
      <c r="GG48" s="377">
        <f t="shared" si="195"/>
        <v>23017.926129797695</v>
      </c>
      <c r="GH48" s="377">
        <f t="shared" si="196"/>
        <v>22178.410911915682</v>
      </c>
      <c r="GI48" s="377">
        <f t="shared" si="197"/>
        <v>22404.727637085885</v>
      </c>
      <c r="GJ48" s="377">
        <f t="shared" si="198"/>
        <v>22660.814517062219</v>
      </c>
      <c r="GK48" s="377">
        <f t="shared" si="199"/>
        <v>26873.931238761157</v>
      </c>
      <c r="GL48" s="377">
        <f t="shared" si="200"/>
        <v>30586.875831061752</v>
      </c>
      <c r="GM48" s="388">
        <f t="shared" si="201"/>
        <v>36917.737875386796</v>
      </c>
      <c r="GN48" s="378">
        <f t="shared" si="249"/>
        <v>248672.58561943407</v>
      </c>
      <c r="GO48" s="376">
        <f t="shared" si="202"/>
        <v>3380.4685514303073</v>
      </c>
      <c r="GP48" s="377">
        <f t="shared" si="203"/>
        <v>9028.3090169527095</v>
      </c>
      <c r="GQ48" s="377">
        <f t="shared" si="204"/>
        <v>16471.432647655878</v>
      </c>
      <c r="GR48" s="377">
        <f t="shared" si="205"/>
        <v>9066.0544951263837</v>
      </c>
      <c r="GS48" s="377">
        <f t="shared" si="206"/>
        <v>11062.384460407267</v>
      </c>
      <c r="GT48" s="377">
        <f t="shared" si="207"/>
        <v>13331.066077240179</v>
      </c>
      <c r="GU48" s="377">
        <f t="shared" si="208"/>
        <v>28185.170909677709</v>
      </c>
      <c r="GV48" s="377">
        <f t="shared" si="209"/>
        <v>16018.975368411906</v>
      </c>
      <c r="GW48" s="377">
        <f t="shared" si="210"/>
        <v>19671.038915678633</v>
      </c>
      <c r="GX48" s="377">
        <f t="shared" si="211"/>
        <v>17529.761552022344</v>
      </c>
      <c r="GY48" s="377">
        <f t="shared" si="212"/>
        <v>27271.731904644741</v>
      </c>
      <c r="GZ48" s="388">
        <f t="shared" si="213"/>
        <v>44619.190849563573</v>
      </c>
      <c r="HA48" s="378">
        <f t="shared" si="250"/>
        <v>215635.58474881161</v>
      </c>
      <c r="HB48" s="376">
        <f t="shared" si="214"/>
        <v>12084.368431650353</v>
      </c>
      <c r="HC48" s="377">
        <f t="shared" si="215"/>
        <v>12786.795308994726</v>
      </c>
      <c r="HD48" s="377">
        <f t="shared" si="216"/>
        <v>13060.419508582785</v>
      </c>
      <c r="HE48" s="377">
        <f t="shared" si="217"/>
        <v>22902.511105217025</v>
      </c>
      <c r="HF48" s="377">
        <f t="shared" si="218"/>
        <v>22405.428409975448</v>
      </c>
      <c r="HG48" s="377">
        <f t="shared" si="219"/>
        <v>25099.201233984884</v>
      </c>
      <c r="HH48" s="377">
        <f t="shared" si="220"/>
        <v>20271.645218363967</v>
      </c>
      <c r="HI48" s="377">
        <f t="shared" si="221"/>
        <v>24068.131186469695</v>
      </c>
      <c r="HJ48" s="377">
        <f t="shared" si="222"/>
        <v>15449.430989491821</v>
      </c>
      <c r="HK48" s="377">
        <f t="shared" si="223"/>
        <v>29798.740378924944</v>
      </c>
      <c r="HL48" s="377">
        <f t="shared" si="224"/>
        <v>32698.078281006659</v>
      </c>
      <c r="HM48" s="388">
        <f t="shared" si="225"/>
        <v>74480.20464661585</v>
      </c>
      <c r="HN48" s="378">
        <f t="shared" si="251"/>
        <v>305104.95469927817</v>
      </c>
      <c r="HO48" s="376">
        <f t="shared" si="226"/>
        <v>4991.1053558242475</v>
      </c>
      <c r="HP48" s="377">
        <f t="shared" si="227"/>
        <v>41226.058839540914</v>
      </c>
      <c r="HQ48" s="377">
        <f t="shared" si="228"/>
        <v>19566.042207991468</v>
      </c>
      <c r="HR48" s="377">
        <f t="shared" si="229"/>
        <v>40289.770305083184</v>
      </c>
      <c r="HS48" s="377">
        <f t="shared" si="230"/>
        <v>45331.668280990016</v>
      </c>
      <c r="HT48" s="377">
        <f t="shared" si="231"/>
        <v>19393.495787683525</v>
      </c>
      <c r="HU48" s="377">
        <f t="shared" si="232"/>
        <v>21463.973894913084</v>
      </c>
      <c r="HV48" s="377">
        <f t="shared" si="233"/>
        <v>24965.790731894831</v>
      </c>
      <c r="HW48" s="377">
        <f t="shared" si="234"/>
        <v>26846.962669848715</v>
      </c>
      <c r="HX48" s="377">
        <f t="shared" si="235"/>
        <v>34368.001649902522</v>
      </c>
      <c r="HY48" s="377">
        <f t="shared" si="236"/>
        <v>27366.761618279394</v>
      </c>
      <c r="HZ48" s="388">
        <f t="shared" si="237"/>
        <v>46769.022404620766</v>
      </c>
      <c r="IA48" s="376">
        <f t="shared" si="252"/>
        <v>352578.65374657267</v>
      </c>
      <c r="IB48" s="1328">
        <f t="shared" si="238"/>
        <v>23034.280341487742</v>
      </c>
      <c r="IC48" s="129">
        <f t="shared" si="253"/>
        <v>17862.554895561749</v>
      </c>
      <c r="ID48" s="129">
        <f t="shared" si="254"/>
        <v>22313.162436381026</v>
      </c>
      <c r="IE48" s="129">
        <f t="shared" si="255"/>
        <v>19694.884635359042</v>
      </c>
      <c r="IF48" s="129">
        <f t="shared" si="256"/>
        <v>23814.909593672903</v>
      </c>
      <c r="IG48" s="129">
        <f t="shared" si="257"/>
        <v>26120.32708612366</v>
      </c>
      <c r="IH48" s="129">
        <f t="shared" si="258"/>
        <v>39499.671992417665</v>
      </c>
      <c r="II48" s="129">
        <f t="shared" si="259"/>
        <v>32114.521910115098</v>
      </c>
      <c r="IJ48" s="129"/>
      <c r="IK48" s="129"/>
      <c r="IL48" s="129"/>
      <c r="IM48" s="1268"/>
      <c r="IN48" s="1343">
        <f t="shared" si="260"/>
        <v>204454.31289111887</v>
      </c>
      <c r="IO48" s="120"/>
      <c r="IP48" s="370">
        <f t="shared" si="261"/>
        <v>28.634106786321279</v>
      </c>
      <c r="IQ48" s="340">
        <f t="shared" si="262"/>
        <v>-5.8802723752506498</v>
      </c>
      <c r="IR48" s="339">
        <f t="shared" si="263"/>
        <v>217227.90540392126</v>
      </c>
      <c r="IS48" s="341">
        <f t="shared" si="264"/>
        <v>204454.31289111887</v>
      </c>
      <c r="IU48" s="339">
        <f t="shared" si="265"/>
        <v>7148.7311782202669</v>
      </c>
    </row>
    <row r="49" spans="1:255" ht="15" customHeight="1" x14ac:dyDescent="0.2">
      <c r="A49" s="1555" t="s">
        <v>436</v>
      </c>
      <c r="B49" s="379">
        <f t="shared" ref="B49:M49" si="367">+B15/B37</f>
        <v>1619.6874874483865</v>
      </c>
      <c r="C49" s="380">
        <f t="shared" si="367"/>
        <v>3709.6288664333283</v>
      </c>
      <c r="D49" s="380">
        <f t="shared" si="367"/>
        <v>7720.1147213355644</v>
      </c>
      <c r="E49" s="380">
        <f t="shared" si="367"/>
        <v>5891.3923274046674</v>
      </c>
      <c r="F49" s="380">
        <f t="shared" si="367"/>
        <v>7898.8039247936049</v>
      </c>
      <c r="G49" s="380">
        <f t="shared" si="367"/>
        <v>14771.001631211757</v>
      </c>
      <c r="H49" s="380">
        <f t="shared" si="367"/>
        <v>42507.651505173948</v>
      </c>
      <c r="I49" s="380">
        <f t="shared" si="367"/>
        <v>17662.126009824002</v>
      </c>
      <c r="J49" s="380">
        <f t="shared" si="367"/>
        <v>9552.2722260322662</v>
      </c>
      <c r="K49" s="380">
        <f t="shared" si="367"/>
        <v>14352.171311116494</v>
      </c>
      <c r="L49" s="380">
        <f t="shared" si="367"/>
        <v>15186.480596328054</v>
      </c>
      <c r="M49" s="389">
        <f t="shared" si="367"/>
        <v>74783.595553612948</v>
      </c>
      <c r="N49" s="381">
        <f t="shared" si="240"/>
        <v>215654.92616071503</v>
      </c>
      <c r="O49" s="379">
        <f>+O15/$O$37</f>
        <v>5905.0475717241807</v>
      </c>
      <c r="P49" s="380">
        <f>+P15/$P$37</f>
        <v>8845.3902384952071</v>
      </c>
      <c r="Q49" s="380">
        <f>+Q15/$Q$37</f>
        <v>10510.991545250288</v>
      </c>
      <c r="R49" s="380">
        <f>+R15/$R$37</f>
        <v>31836.212198739835</v>
      </c>
      <c r="S49" s="380">
        <f>+S15/$S$37</f>
        <v>12587.312616801941</v>
      </c>
      <c r="T49" s="380">
        <f>+T15/$T$37</f>
        <v>12096.14249054398</v>
      </c>
      <c r="U49" s="380">
        <f>+U15/$U$37</f>
        <v>14174.406914893576</v>
      </c>
      <c r="V49" s="380">
        <f>+V15/$V$37</f>
        <v>12916.953952628908</v>
      </c>
      <c r="W49" s="380">
        <f>+W15/$W$37</f>
        <v>19252.996595640292</v>
      </c>
      <c r="X49" s="380">
        <f>+X15/$X$37</f>
        <v>18976.218104259504</v>
      </c>
      <c r="Y49" s="380">
        <f>+Y15/$Y$37</f>
        <v>17568.926480168797</v>
      </c>
      <c r="Z49" s="389">
        <f>+Z15/$Z$37</f>
        <v>36588.831277361271</v>
      </c>
      <c r="AA49" s="381">
        <f>SUM(O49:Z49)</f>
        <v>201259.42998650781</v>
      </c>
      <c r="AB49" s="379">
        <f>+AB15/$AB$37</f>
        <v>2560.7275540159399</v>
      </c>
      <c r="AC49" s="380">
        <f>+AC15/$AC$37</f>
        <v>22965.741249704362</v>
      </c>
      <c r="AD49" s="380">
        <f>+AD15/$AD$37</f>
        <v>12637.161561795769</v>
      </c>
      <c r="AE49" s="380">
        <f>+AE15/$AE$37</f>
        <v>13008.710191456239</v>
      </c>
      <c r="AF49" s="380">
        <f>+AF15/$AF$37</f>
        <v>20866.189487856318</v>
      </c>
      <c r="AG49" s="380">
        <f t="shared" si="270"/>
        <v>22744.9913395779</v>
      </c>
      <c r="AH49" s="380">
        <f t="shared" si="271"/>
        <v>17390.895276508109</v>
      </c>
      <c r="AI49" s="380">
        <f t="shared" si="272"/>
        <v>16748.226308114423</v>
      </c>
      <c r="AJ49" s="380">
        <f t="shared" si="273"/>
        <v>13130.392941466858</v>
      </c>
      <c r="AK49" s="380">
        <f t="shared" si="274"/>
        <v>15283.253392163986</v>
      </c>
      <c r="AL49" s="380">
        <f t="shared" si="275"/>
        <v>15944.230359634748</v>
      </c>
      <c r="AM49" s="389">
        <f t="shared" si="276"/>
        <v>27431.983739022413</v>
      </c>
      <c r="AN49" s="381">
        <f t="shared" si="277"/>
        <v>200712.50340131705</v>
      </c>
      <c r="AO49" s="379">
        <f t="shared" si="278"/>
        <v>11302.500355275908</v>
      </c>
      <c r="AP49" s="380">
        <f t="shared" si="279"/>
        <v>9083.204058912188</v>
      </c>
      <c r="AQ49" s="380">
        <f t="shared" si="280"/>
        <v>19766.751753252476</v>
      </c>
      <c r="AR49" s="380">
        <f t="shared" si="281"/>
        <v>6034.0305782293581</v>
      </c>
      <c r="AS49" s="380">
        <f t="shared" si="282"/>
        <v>12671.272117620418</v>
      </c>
      <c r="AT49" s="380">
        <f t="shared" si="283"/>
        <v>15124.428810784151</v>
      </c>
      <c r="AU49" s="380">
        <f t="shared" si="284"/>
        <v>7458.0394828243789</v>
      </c>
      <c r="AV49" s="380">
        <f t="shared" si="285"/>
        <v>26453.701867940672</v>
      </c>
      <c r="AW49" s="380">
        <f t="shared" si="286"/>
        <v>22133.877050205178</v>
      </c>
      <c r="AX49" s="380">
        <f t="shared" si="287"/>
        <v>26013.050378533368</v>
      </c>
      <c r="AY49" s="380">
        <f t="shared" si="288"/>
        <v>22885.489239955732</v>
      </c>
      <c r="AZ49" s="389">
        <f t="shared" si="289"/>
        <v>47730.036199006441</v>
      </c>
      <c r="BA49" s="381">
        <f t="shared" si="290"/>
        <v>226656.38189254026</v>
      </c>
      <c r="BB49" s="379">
        <f t="shared" si="291"/>
        <v>10328.341955394868</v>
      </c>
      <c r="BC49" s="380">
        <f t="shared" si="292"/>
        <v>10151.572750921678</v>
      </c>
      <c r="BD49" s="380">
        <f t="shared" si="293"/>
        <v>11077.325365412229</v>
      </c>
      <c r="BE49" s="380">
        <f t="shared" si="294"/>
        <v>8524.2654426144691</v>
      </c>
      <c r="BF49" s="380">
        <f t="shared" si="295"/>
        <v>29408.656594780554</v>
      </c>
      <c r="BG49" s="380">
        <f t="shared" si="296"/>
        <v>32659.595446683419</v>
      </c>
      <c r="BH49" s="380">
        <f t="shared" si="297"/>
        <v>12234.119264521136</v>
      </c>
      <c r="BI49" s="380">
        <f t="shared" si="298"/>
        <v>15635.487575856705</v>
      </c>
      <c r="BJ49" s="380">
        <f t="shared" si="299"/>
        <v>17510.800759058275</v>
      </c>
      <c r="BK49" s="380">
        <f t="shared" si="300"/>
        <v>51718.640544910042</v>
      </c>
      <c r="BL49" s="380">
        <f t="shared" si="301"/>
        <v>66507.808929704712</v>
      </c>
      <c r="BM49" s="389">
        <f t="shared" si="302"/>
        <v>34785.888991582004</v>
      </c>
      <c r="BN49" s="381">
        <f t="shared" si="303"/>
        <v>300542.50362144003</v>
      </c>
      <c r="BO49" s="379">
        <f t="shared" si="304"/>
        <v>4566.6615056754572</v>
      </c>
      <c r="BP49" s="380">
        <f t="shared" si="305"/>
        <v>21924.680033952434</v>
      </c>
      <c r="BQ49" s="380">
        <f t="shared" si="306"/>
        <v>23572.738122211435</v>
      </c>
      <c r="BR49" s="380">
        <f t="shared" si="307"/>
        <v>34039.765798428831</v>
      </c>
      <c r="BS49" s="380">
        <f t="shared" si="308"/>
        <v>22945.841428388008</v>
      </c>
      <c r="BT49" s="380">
        <f t="shared" si="309"/>
        <v>43304.942617117224</v>
      </c>
      <c r="BU49" s="380">
        <f t="shared" si="310"/>
        <v>3195.9822017147735</v>
      </c>
      <c r="BV49" s="380">
        <f t="shared" si="311"/>
        <v>16438.256015890307</v>
      </c>
      <c r="BW49" s="380">
        <f t="shared" si="312"/>
        <v>27717.456142894505</v>
      </c>
      <c r="BX49" s="380">
        <f t="shared" si="313"/>
        <v>45163.671222448043</v>
      </c>
      <c r="BY49" s="380">
        <f t="shared" si="314"/>
        <v>50182.16025881721</v>
      </c>
      <c r="BZ49" s="389">
        <f t="shared" si="315"/>
        <v>28313.537867992101</v>
      </c>
      <c r="CA49" s="381">
        <f t="shared" si="316"/>
        <v>321365.69321553031</v>
      </c>
      <c r="CB49" s="379">
        <f t="shared" si="317"/>
        <v>39585.251987966607</v>
      </c>
      <c r="CC49" s="380">
        <f t="shared" si="318"/>
        <v>20898.452447737829</v>
      </c>
      <c r="CD49" s="380">
        <f t="shared" si="319"/>
        <v>17460.523576603708</v>
      </c>
      <c r="CE49" s="380">
        <f t="shared" si="320"/>
        <v>10419.018861731076</v>
      </c>
      <c r="CF49" s="380">
        <f t="shared" si="321"/>
        <v>18386.082330026824</v>
      </c>
      <c r="CG49" s="380">
        <f t="shared" si="322"/>
        <v>66764.034049010646</v>
      </c>
      <c r="CH49" s="380">
        <f t="shared" si="323"/>
        <v>15304.835443634996</v>
      </c>
      <c r="CI49" s="380">
        <f t="shared" si="324"/>
        <v>22900.702545571505</v>
      </c>
      <c r="CJ49" s="380">
        <f t="shared" si="325"/>
        <v>25518.98663706681</v>
      </c>
      <c r="CK49" s="380">
        <f t="shared" si="326"/>
        <v>11479.779413186521</v>
      </c>
      <c r="CL49" s="380">
        <f t="shared" si="327"/>
        <v>29416.00351271583</v>
      </c>
      <c r="CM49" s="389">
        <f t="shared" si="328"/>
        <v>85905.043525868939</v>
      </c>
      <c r="CN49" s="381">
        <f t="shared" si="329"/>
        <v>364038.7143311213</v>
      </c>
      <c r="CO49" s="379">
        <f t="shared" si="330"/>
        <v>9828.3165524377855</v>
      </c>
      <c r="CP49" s="380">
        <f t="shared" si="331"/>
        <v>8904.9035221582508</v>
      </c>
      <c r="CQ49" s="380">
        <f t="shared" si="332"/>
        <v>12354.168351896302</v>
      </c>
      <c r="CR49" s="380">
        <f t="shared" si="333"/>
        <v>56095.457194352894</v>
      </c>
      <c r="CS49" s="380">
        <f t="shared" si="334"/>
        <v>623.16696457900719</v>
      </c>
      <c r="CT49" s="380">
        <f t="shared" si="335"/>
        <v>9154.7619501381887</v>
      </c>
      <c r="CU49" s="380">
        <f t="shared" si="336"/>
        <v>24090.597836939884</v>
      </c>
      <c r="CV49" s="380">
        <f t="shared" si="337"/>
        <v>41604.340948805693</v>
      </c>
      <c r="CW49" s="380">
        <f t="shared" si="338"/>
        <v>53487.10587134496</v>
      </c>
      <c r="CX49" s="380">
        <f t="shared" si="339"/>
        <v>57199.315691162214</v>
      </c>
      <c r="CY49" s="380">
        <f t="shared" si="340"/>
        <v>74821.750751944681</v>
      </c>
      <c r="CZ49" s="389">
        <f t="shared" si="341"/>
        <v>117309.52759736856</v>
      </c>
      <c r="DA49" s="381">
        <f t="shared" si="241"/>
        <v>465473.41323312843</v>
      </c>
      <c r="DB49" s="379">
        <f t="shared" si="342"/>
        <v>1850.65962450911</v>
      </c>
      <c r="DC49" s="380">
        <f t="shared" si="343"/>
        <v>11724.206052746216</v>
      </c>
      <c r="DD49" s="380">
        <f t="shared" si="344"/>
        <v>19115.853221951387</v>
      </c>
      <c r="DE49" s="380">
        <f t="shared" si="345"/>
        <v>31952.498533864313</v>
      </c>
      <c r="DF49" s="380">
        <f t="shared" si="346"/>
        <v>22313.255645868197</v>
      </c>
      <c r="DG49" s="380">
        <f t="shared" si="347"/>
        <v>29878.065869617407</v>
      </c>
      <c r="DH49" s="380">
        <f t="shared" si="348"/>
        <v>35457.548672749886</v>
      </c>
      <c r="DI49" s="380">
        <f t="shared" si="349"/>
        <v>36546.428529144694</v>
      </c>
      <c r="DJ49" s="380">
        <f t="shared" si="350"/>
        <v>26610.354789757763</v>
      </c>
      <c r="DK49" s="380">
        <f t="shared" si="351"/>
        <v>22667.221937556456</v>
      </c>
      <c r="DL49" s="380">
        <f t="shared" si="352"/>
        <v>17735.213621535961</v>
      </c>
      <c r="DM49" s="389">
        <f t="shared" si="353"/>
        <v>69428.968736896772</v>
      </c>
      <c r="DN49" s="381">
        <f t="shared" si="242"/>
        <v>325280.27523619815</v>
      </c>
      <c r="DO49" s="379">
        <f t="shared" si="354"/>
        <v>1610.7613526813971</v>
      </c>
      <c r="DP49" s="380">
        <f t="shared" si="355"/>
        <v>11819.131577784106</v>
      </c>
      <c r="DQ49" s="380">
        <f t="shared" si="356"/>
        <v>34004.734947858677</v>
      </c>
      <c r="DR49" s="380">
        <f t="shared" si="357"/>
        <v>15148.697374918163</v>
      </c>
      <c r="DS49" s="380">
        <f t="shared" si="358"/>
        <v>20202.337187816753</v>
      </c>
      <c r="DT49" s="380">
        <f t="shared" si="359"/>
        <v>19331.357965430325</v>
      </c>
      <c r="DU49" s="380">
        <f t="shared" si="360"/>
        <v>17933.587653005739</v>
      </c>
      <c r="DV49" s="380">
        <f t="shared" si="361"/>
        <v>24072.337327203433</v>
      </c>
      <c r="DW49" s="380">
        <f t="shared" si="362"/>
        <v>18610.255683547552</v>
      </c>
      <c r="DX49" s="380">
        <f t="shared" si="363"/>
        <v>22733.908215302043</v>
      </c>
      <c r="DY49" s="380">
        <f t="shared" si="364"/>
        <v>20646.712372892998</v>
      </c>
      <c r="DZ49" s="389">
        <f t="shared" si="365"/>
        <v>52717.577346719649</v>
      </c>
      <c r="EA49" s="381">
        <f t="shared" si="243"/>
        <v>258831.39900516087</v>
      </c>
      <c r="EB49" s="379">
        <f t="shared" si="143"/>
        <v>3311.5379163828129</v>
      </c>
      <c r="EC49" s="380">
        <f t="shared" si="144"/>
        <v>8798.9318203271396</v>
      </c>
      <c r="ED49" s="380">
        <f t="shared" si="145"/>
        <v>12195.410240227113</v>
      </c>
      <c r="EE49" s="380">
        <f t="shared" si="146"/>
        <v>18259.366446532407</v>
      </c>
      <c r="EF49" s="380">
        <f t="shared" si="147"/>
        <v>13534.384950453616</v>
      </c>
      <c r="EG49" s="380">
        <f t="shared" si="148"/>
        <v>14198.697965292111</v>
      </c>
      <c r="EH49" s="380">
        <f t="shared" si="149"/>
        <v>11496.54361852074</v>
      </c>
      <c r="EI49" s="380">
        <f t="shared" si="150"/>
        <v>12217.354855170212</v>
      </c>
      <c r="EJ49" s="380">
        <f t="shared" si="151"/>
        <v>12261.459285271587</v>
      </c>
      <c r="EK49" s="380">
        <f t="shared" si="152"/>
        <v>15292.106948186154</v>
      </c>
      <c r="EL49" s="380">
        <f t="shared" si="153"/>
        <v>19184.097494468471</v>
      </c>
      <c r="EM49" s="389">
        <f t="shared" si="154"/>
        <v>33521.196590828287</v>
      </c>
      <c r="EN49" s="381">
        <f t="shared" si="244"/>
        <v>174271.08813166065</v>
      </c>
      <c r="EO49" s="379">
        <f t="shared" si="155"/>
        <v>2009.1458273095366</v>
      </c>
      <c r="EP49" s="380">
        <f t="shared" si="156"/>
        <v>8057.8314834776711</v>
      </c>
      <c r="EQ49" s="380">
        <f t="shared" si="157"/>
        <v>12358.06211505019</v>
      </c>
      <c r="ER49" s="380">
        <f t="shared" si="158"/>
        <v>9086.9939986978607</v>
      </c>
      <c r="ES49" s="380">
        <f>+ES15/$ES$37</f>
        <v>12359.499325272745</v>
      </c>
      <c r="ET49" s="380">
        <f t="shared" si="159"/>
        <v>13468.618063062586</v>
      </c>
      <c r="EU49" s="380">
        <f t="shared" si="160"/>
        <v>24397.58317823027</v>
      </c>
      <c r="EV49" s="380">
        <f t="shared" si="161"/>
        <v>17755.813105779791</v>
      </c>
      <c r="EW49" s="380">
        <f t="shared" si="162"/>
        <v>18724.614011220328</v>
      </c>
      <c r="EX49" s="380">
        <f t="shared" si="163"/>
        <v>14744.050201328648</v>
      </c>
      <c r="EY49" s="380">
        <f t="shared" si="164"/>
        <v>21715.773668850779</v>
      </c>
      <c r="EZ49" s="389">
        <f t="shared" si="165"/>
        <v>56823.268787101559</v>
      </c>
      <c r="FA49" s="381">
        <f t="shared" si="246"/>
        <v>211501.25376538196</v>
      </c>
      <c r="FB49" s="379">
        <f t="shared" si="166"/>
        <v>5332.6925940576366</v>
      </c>
      <c r="FC49" s="380">
        <f t="shared" si="167"/>
        <v>13982.979949252362</v>
      </c>
      <c r="FD49" s="380">
        <f t="shared" si="168"/>
        <v>8783.0664877895761</v>
      </c>
      <c r="FE49" s="380">
        <f t="shared" si="169"/>
        <v>4651.184123066937</v>
      </c>
      <c r="FF49" s="380">
        <f t="shared" si="170"/>
        <v>3597.4385276689059</v>
      </c>
      <c r="FG49" s="380">
        <f t="shared" si="171"/>
        <v>9974.6430203901891</v>
      </c>
      <c r="FH49" s="380">
        <f t="shared" si="172"/>
        <v>9042.9181716289768</v>
      </c>
      <c r="FI49" s="380">
        <f t="shared" si="173"/>
        <v>16773.501926938032</v>
      </c>
      <c r="FJ49" s="380">
        <f t="shared" si="174"/>
        <v>15147.849226506805</v>
      </c>
      <c r="FK49" s="380">
        <f t="shared" si="175"/>
        <v>21468.36311414903</v>
      </c>
      <c r="FL49" s="380">
        <f t="shared" si="176"/>
        <v>27734.40447346236</v>
      </c>
      <c r="FM49" s="389">
        <f t="shared" si="177"/>
        <v>44189.652940062857</v>
      </c>
      <c r="FN49" s="381">
        <f t="shared" si="247"/>
        <v>180678.69455497368</v>
      </c>
      <c r="FO49" s="379">
        <f t="shared" si="178"/>
        <v>9942.1878835914104</v>
      </c>
      <c r="FP49" s="380">
        <f t="shared" si="179"/>
        <v>10117.764192873594</v>
      </c>
      <c r="FQ49" s="380">
        <f t="shared" si="180"/>
        <v>13924.276626006118</v>
      </c>
      <c r="FR49" s="380">
        <f t="shared" si="181"/>
        <v>9577.2892574416801</v>
      </c>
      <c r="FS49" s="380">
        <f t="shared" si="182"/>
        <v>11193.634046745912</v>
      </c>
      <c r="FT49" s="380">
        <f t="shared" si="183"/>
        <v>18193.340816689193</v>
      </c>
      <c r="FU49" s="380">
        <f t="shared" si="184"/>
        <v>14086.60067274279</v>
      </c>
      <c r="FV49" s="380">
        <f t="shared" si="185"/>
        <v>12845.446571030281</v>
      </c>
      <c r="FW49" s="380">
        <f t="shared" si="186"/>
        <v>9989.317035464619</v>
      </c>
      <c r="FX49" s="380">
        <f t="shared" si="187"/>
        <v>11999.744575829698</v>
      </c>
      <c r="FY49" s="380">
        <f t="shared" si="188"/>
        <v>11183.890111346724</v>
      </c>
      <c r="FZ49" s="389">
        <f t="shared" si="189"/>
        <v>24461.33715737383</v>
      </c>
      <c r="GA49" s="381">
        <f t="shared" si="248"/>
        <v>157514.82894713583</v>
      </c>
      <c r="GB49" s="379">
        <f t="shared" si="190"/>
        <v>6933.7760269787104</v>
      </c>
      <c r="GC49" s="380">
        <f t="shared" si="191"/>
        <v>4440.5452095344244</v>
      </c>
      <c r="GD49" s="380">
        <f t="shared" si="192"/>
        <v>14101.487345429363</v>
      </c>
      <c r="GE49" s="380">
        <f t="shared" si="193"/>
        <v>15009.836220261335</v>
      </c>
      <c r="GF49" s="380">
        <f t="shared" si="194"/>
        <v>23546.51667615911</v>
      </c>
      <c r="GG49" s="380">
        <f t="shared" si="195"/>
        <v>21827.322678975623</v>
      </c>
      <c r="GH49" s="380">
        <f t="shared" si="196"/>
        <v>22011.983564499064</v>
      </c>
      <c r="GI49" s="380">
        <f t="shared" si="197"/>
        <v>22404.727637085885</v>
      </c>
      <c r="GJ49" s="380">
        <f t="shared" si="198"/>
        <v>22660.814517062219</v>
      </c>
      <c r="GK49" s="380">
        <f t="shared" si="199"/>
        <v>26873.931238761157</v>
      </c>
      <c r="GL49" s="380">
        <f t="shared" si="200"/>
        <v>30586.875831061752</v>
      </c>
      <c r="GM49" s="389">
        <f t="shared" si="201"/>
        <v>36487.736817596677</v>
      </c>
      <c r="GN49" s="381">
        <f t="shared" si="249"/>
        <v>246885.55376340533</v>
      </c>
      <c r="GO49" s="379">
        <f t="shared" si="202"/>
        <v>3380.4685514303073</v>
      </c>
      <c r="GP49" s="380">
        <f t="shared" si="203"/>
        <v>9028.3090169527095</v>
      </c>
      <c r="GQ49" s="380">
        <f t="shared" si="204"/>
        <v>16471.432647655878</v>
      </c>
      <c r="GR49" s="380">
        <f t="shared" si="205"/>
        <v>9066.0544951263837</v>
      </c>
      <c r="GS49" s="380">
        <f t="shared" si="206"/>
        <v>11062.384460407267</v>
      </c>
      <c r="GT49" s="380">
        <f t="shared" si="207"/>
        <v>13331.066077240179</v>
      </c>
      <c r="GU49" s="380">
        <f t="shared" si="208"/>
        <v>28185.170909677709</v>
      </c>
      <c r="GV49" s="380">
        <f t="shared" si="209"/>
        <v>16018.975368411906</v>
      </c>
      <c r="GW49" s="380">
        <f t="shared" si="210"/>
        <v>19671.038915678633</v>
      </c>
      <c r="GX49" s="380">
        <f t="shared" si="211"/>
        <v>17529.761552022344</v>
      </c>
      <c r="GY49" s="380">
        <f t="shared" si="212"/>
        <v>27271.731904644741</v>
      </c>
      <c r="GZ49" s="389">
        <f t="shared" si="213"/>
        <v>44619.190849563573</v>
      </c>
      <c r="HA49" s="381">
        <f t="shared" si="250"/>
        <v>215635.58474881161</v>
      </c>
      <c r="HB49" s="379">
        <f t="shared" si="214"/>
        <v>12084.368431650353</v>
      </c>
      <c r="HC49" s="380">
        <f t="shared" si="215"/>
        <v>12786.795308994726</v>
      </c>
      <c r="HD49" s="380">
        <f t="shared" si="216"/>
        <v>13060.419508582785</v>
      </c>
      <c r="HE49" s="380">
        <f t="shared" si="217"/>
        <v>22902.511105217025</v>
      </c>
      <c r="HF49" s="380">
        <f t="shared" si="218"/>
        <v>22405.428409975448</v>
      </c>
      <c r="HG49" s="380">
        <f t="shared" si="219"/>
        <v>25099.201233984884</v>
      </c>
      <c r="HH49" s="380">
        <f t="shared" si="220"/>
        <v>20271.645218363967</v>
      </c>
      <c r="HI49" s="380">
        <f t="shared" si="221"/>
        <v>24059.762185408053</v>
      </c>
      <c r="HJ49" s="380">
        <f t="shared" si="222"/>
        <v>15449.430989491821</v>
      </c>
      <c r="HK49" s="380">
        <f t="shared" si="223"/>
        <v>29798.740378924944</v>
      </c>
      <c r="HL49" s="380">
        <f t="shared" si="224"/>
        <v>32698.078281006659</v>
      </c>
      <c r="HM49" s="389">
        <f t="shared" si="225"/>
        <v>74480.20464661585</v>
      </c>
      <c r="HN49" s="381">
        <f t="shared" si="251"/>
        <v>305096.58569821651</v>
      </c>
      <c r="HO49" s="379">
        <f t="shared" si="226"/>
        <v>4991.1053558242475</v>
      </c>
      <c r="HP49" s="380">
        <f t="shared" si="227"/>
        <v>41226.058839540914</v>
      </c>
      <c r="HQ49" s="380">
        <f t="shared" si="228"/>
        <v>19566.042207991468</v>
      </c>
      <c r="HR49" s="380">
        <f t="shared" si="229"/>
        <v>40289.770305083184</v>
      </c>
      <c r="HS49" s="380">
        <f t="shared" si="230"/>
        <v>45331.668280990016</v>
      </c>
      <c r="HT49" s="380">
        <f t="shared" si="231"/>
        <v>19393.495787683525</v>
      </c>
      <c r="HU49" s="380">
        <f t="shared" si="232"/>
        <v>21463.973894913084</v>
      </c>
      <c r="HV49" s="380">
        <f t="shared" si="233"/>
        <v>24965.790731894831</v>
      </c>
      <c r="HW49" s="380">
        <f t="shared" si="234"/>
        <v>26846.962669848715</v>
      </c>
      <c r="HX49" s="380">
        <f t="shared" si="235"/>
        <v>34368.001649902522</v>
      </c>
      <c r="HY49" s="380">
        <f t="shared" si="236"/>
        <v>27366.761618279394</v>
      </c>
      <c r="HZ49" s="389">
        <f t="shared" si="237"/>
        <v>46726.643705382667</v>
      </c>
      <c r="IA49" s="379">
        <f>SUM(HO49:HZ49)</f>
        <v>352536.27504733455</v>
      </c>
      <c r="IB49" s="1344">
        <f t="shared" si="238"/>
        <v>23034.280341487742</v>
      </c>
      <c r="IC49" s="120">
        <f t="shared" si="253"/>
        <v>17862.554895561749</v>
      </c>
      <c r="ID49" s="120">
        <f t="shared" si="254"/>
        <v>22313.162436381026</v>
      </c>
      <c r="IE49" s="120">
        <f t="shared" si="255"/>
        <v>19694.884635359042</v>
      </c>
      <c r="IF49" s="120">
        <f t="shared" si="256"/>
        <v>23814.909593672903</v>
      </c>
      <c r="IG49" s="120">
        <f t="shared" si="257"/>
        <v>26120.32708612366</v>
      </c>
      <c r="IH49" s="120">
        <f t="shared" si="258"/>
        <v>39499.671992417665</v>
      </c>
      <c r="II49" s="120">
        <f t="shared" si="259"/>
        <v>32114.521910115098</v>
      </c>
      <c r="IJ49" s="120"/>
      <c r="IK49" s="120"/>
      <c r="IL49" s="120"/>
      <c r="IM49" s="1345"/>
      <c r="IN49" s="1346">
        <f t="shared" si="260"/>
        <v>204454.31289111887</v>
      </c>
      <c r="IO49" s="120"/>
      <c r="IP49" s="371">
        <f t="shared" si="261"/>
        <v>28.634106786321279</v>
      </c>
      <c r="IQ49" s="348">
        <f t="shared" si="262"/>
        <v>-5.8802723752506498</v>
      </c>
      <c r="IR49" s="320">
        <f t="shared" si="263"/>
        <v>217227.90540392126</v>
      </c>
      <c r="IS49" s="344">
        <f t="shared" si="264"/>
        <v>204454.31289111887</v>
      </c>
      <c r="IU49" s="320">
        <f t="shared" si="265"/>
        <v>7148.7311782202669</v>
      </c>
    </row>
    <row r="50" spans="1:255" ht="15" customHeight="1" x14ac:dyDescent="0.2">
      <c r="A50" s="1554" t="s">
        <v>437</v>
      </c>
      <c r="B50" s="379">
        <f t="shared" ref="B50:M50" si="368">+B16/$O$37</f>
        <v>0</v>
      </c>
      <c r="C50" s="380">
        <f t="shared" si="368"/>
        <v>0</v>
      </c>
      <c r="D50" s="380">
        <f t="shared" si="368"/>
        <v>0</v>
      </c>
      <c r="E50" s="380">
        <f t="shared" si="368"/>
        <v>0</v>
      </c>
      <c r="F50" s="380">
        <f t="shared" si="368"/>
        <v>0</v>
      </c>
      <c r="G50" s="380">
        <f t="shared" si="368"/>
        <v>0</v>
      </c>
      <c r="H50" s="380">
        <f t="shared" si="368"/>
        <v>0</v>
      </c>
      <c r="I50" s="380">
        <f t="shared" si="368"/>
        <v>0</v>
      </c>
      <c r="J50" s="380">
        <f t="shared" si="368"/>
        <v>0</v>
      </c>
      <c r="K50" s="380">
        <f t="shared" si="368"/>
        <v>0</v>
      </c>
      <c r="L50" s="380">
        <f t="shared" si="368"/>
        <v>0</v>
      </c>
      <c r="M50" s="389">
        <f t="shared" si="368"/>
        <v>0</v>
      </c>
      <c r="N50" s="381">
        <f t="shared" si="240"/>
        <v>0</v>
      </c>
      <c r="O50" s="379">
        <f>+O16/$O$37</f>
        <v>0</v>
      </c>
      <c r="P50" s="380">
        <f>+P16/$P$37</f>
        <v>0</v>
      </c>
      <c r="Q50" s="380">
        <f>+Q16/$Q$37</f>
        <v>0</v>
      </c>
      <c r="R50" s="380">
        <f>+R16/$R$37</f>
        <v>0</v>
      </c>
      <c r="S50" s="380">
        <f>+S16/$S$37</f>
        <v>0</v>
      </c>
      <c r="T50" s="380">
        <f>+T16/$T$37</f>
        <v>0</v>
      </c>
      <c r="U50" s="380">
        <f>+U16/$U$37</f>
        <v>0</v>
      </c>
      <c r="V50" s="380">
        <f>+V16/$V$37</f>
        <v>0</v>
      </c>
      <c r="W50" s="380">
        <f>+W16/$W$37</f>
        <v>0</v>
      </c>
      <c r="X50" s="380">
        <f>+X16/$X$37</f>
        <v>0</v>
      </c>
      <c r="Y50" s="380">
        <f>+Y16/$Y$37</f>
        <v>0</v>
      </c>
      <c r="Z50" s="389">
        <f>+Z16/$Z$37</f>
        <v>0</v>
      </c>
      <c r="AA50" s="381">
        <f>SUM(O50:Z50)</f>
        <v>0</v>
      </c>
      <c r="AB50" s="379">
        <f>+AB16/$AB$37</f>
        <v>0</v>
      </c>
      <c r="AC50" s="380">
        <f>+AC16/$AC$37</f>
        <v>0</v>
      </c>
      <c r="AD50" s="380">
        <f>+AD16/$AD$37</f>
        <v>0</v>
      </c>
      <c r="AE50" s="380">
        <f>+AE16/$AE$37</f>
        <v>0</v>
      </c>
      <c r="AF50" s="380">
        <f>+AF16/$AF$37</f>
        <v>0</v>
      </c>
      <c r="AG50" s="380">
        <f t="shared" si="270"/>
        <v>0</v>
      </c>
      <c r="AH50" s="380">
        <f t="shared" si="271"/>
        <v>0</v>
      </c>
      <c r="AI50" s="380">
        <f t="shared" si="272"/>
        <v>0</v>
      </c>
      <c r="AJ50" s="380">
        <f t="shared" si="273"/>
        <v>0</v>
      </c>
      <c r="AK50" s="380">
        <f t="shared" si="274"/>
        <v>0</v>
      </c>
      <c r="AL50" s="380">
        <f t="shared" si="275"/>
        <v>0</v>
      </c>
      <c r="AM50" s="389">
        <f t="shared" si="276"/>
        <v>0</v>
      </c>
      <c r="AN50" s="381">
        <f t="shared" si="277"/>
        <v>0</v>
      </c>
      <c r="AO50" s="379">
        <f t="shared" si="278"/>
        <v>0</v>
      </c>
      <c r="AP50" s="380">
        <f t="shared" si="279"/>
        <v>0</v>
      </c>
      <c r="AQ50" s="380">
        <f t="shared" si="280"/>
        <v>0</v>
      </c>
      <c r="AR50" s="380">
        <f t="shared" si="281"/>
        <v>0</v>
      </c>
      <c r="AS50" s="380">
        <f t="shared" si="282"/>
        <v>0</v>
      </c>
      <c r="AT50" s="380">
        <f t="shared" si="283"/>
        <v>0</v>
      </c>
      <c r="AU50" s="380">
        <f t="shared" si="284"/>
        <v>0</v>
      </c>
      <c r="AV50" s="380">
        <f t="shared" si="285"/>
        <v>0</v>
      </c>
      <c r="AW50" s="380">
        <f t="shared" si="286"/>
        <v>0</v>
      </c>
      <c r="AX50" s="380">
        <f t="shared" si="287"/>
        <v>0</v>
      </c>
      <c r="AY50" s="380">
        <f t="shared" si="288"/>
        <v>0</v>
      </c>
      <c r="AZ50" s="389">
        <f t="shared" si="289"/>
        <v>0</v>
      </c>
      <c r="BA50" s="381">
        <f t="shared" si="290"/>
        <v>0</v>
      </c>
      <c r="BB50" s="379">
        <f t="shared" si="291"/>
        <v>0</v>
      </c>
      <c r="BC50" s="380">
        <f t="shared" si="292"/>
        <v>0</v>
      </c>
      <c r="BD50" s="380">
        <f t="shared" si="293"/>
        <v>0</v>
      </c>
      <c r="BE50" s="380">
        <f t="shared" si="294"/>
        <v>0</v>
      </c>
      <c r="BF50" s="380">
        <f t="shared" si="295"/>
        <v>0</v>
      </c>
      <c r="BG50" s="380">
        <f t="shared" si="296"/>
        <v>0</v>
      </c>
      <c r="BH50" s="380">
        <f t="shared" si="297"/>
        <v>0</v>
      </c>
      <c r="BI50" s="380">
        <f t="shared" si="298"/>
        <v>0</v>
      </c>
      <c r="BJ50" s="380">
        <f t="shared" si="299"/>
        <v>0</v>
      </c>
      <c r="BK50" s="380">
        <f t="shared" si="300"/>
        <v>0</v>
      </c>
      <c r="BL50" s="380">
        <f t="shared" si="301"/>
        <v>0</v>
      </c>
      <c r="BM50" s="389">
        <f t="shared" si="302"/>
        <v>0</v>
      </c>
      <c r="BN50" s="381">
        <f t="shared" si="303"/>
        <v>0</v>
      </c>
      <c r="BO50" s="379">
        <f t="shared" si="304"/>
        <v>0</v>
      </c>
      <c r="BP50" s="380">
        <f t="shared" si="305"/>
        <v>0</v>
      </c>
      <c r="BQ50" s="380">
        <f t="shared" si="306"/>
        <v>0</v>
      </c>
      <c r="BR50" s="380">
        <f t="shared" si="307"/>
        <v>0</v>
      </c>
      <c r="BS50" s="380">
        <f t="shared" si="308"/>
        <v>0</v>
      </c>
      <c r="BT50" s="380">
        <f t="shared" si="309"/>
        <v>0</v>
      </c>
      <c r="BU50" s="380">
        <f t="shared" si="310"/>
        <v>0</v>
      </c>
      <c r="BV50" s="380">
        <f t="shared" si="311"/>
        <v>0</v>
      </c>
      <c r="BW50" s="380">
        <f t="shared" si="312"/>
        <v>0</v>
      </c>
      <c r="BX50" s="380">
        <f t="shared" si="313"/>
        <v>0</v>
      </c>
      <c r="BY50" s="380">
        <f t="shared" si="314"/>
        <v>0</v>
      </c>
      <c r="BZ50" s="389">
        <f t="shared" si="315"/>
        <v>0</v>
      </c>
      <c r="CA50" s="381">
        <f t="shared" si="316"/>
        <v>0</v>
      </c>
      <c r="CB50" s="379">
        <f t="shared" si="317"/>
        <v>0</v>
      </c>
      <c r="CC50" s="380">
        <f t="shared" si="318"/>
        <v>0</v>
      </c>
      <c r="CD50" s="380">
        <f t="shared" si="319"/>
        <v>0</v>
      </c>
      <c r="CE50" s="380">
        <f t="shared" si="320"/>
        <v>0</v>
      </c>
      <c r="CF50" s="380">
        <f t="shared" si="321"/>
        <v>0</v>
      </c>
      <c r="CG50" s="380">
        <f t="shared" si="322"/>
        <v>0</v>
      </c>
      <c r="CH50" s="380">
        <f t="shared" si="323"/>
        <v>0</v>
      </c>
      <c r="CI50" s="380">
        <f t="shared" si="324"/>
        <v>0</v>
      </c>
      <c r="CJ50" s="380">
        <f t="shared" si="325"/>
        <v>0</v>
      </c>
      <c r="CK50" s="380">
        <f t="shared" si="326"/>
        <v>0</v>
      </c>
      <c r="CL50" s="380">
        <f t="shared" si="327"/>
        <v>0</v>
      </c>
      <c r="CM50" s="389">
        <f t="shared" si="328"/>
        <v>0</v>
      </c>
      <c r="CN50" s="381">
        <f t="shared" si="329"/>
        <v>0</v>
      </c>
      <c r="CO50" s="379">
        <f t="shared" si="330"/>
        <v>0</v>
      </c>
      <c r="CP50" s="380">
        <f t="shared" si="331"/>
        <v>0</v>
      </c>
      <c r="CQ50" s="380">
        <f t="shared" si="332"/>
        <v>0</v>
      </c>
      <c r="CR50" s="380">
        <f t="shared" si="333"/>
        <v>0</v>
      </c>
      <c r="CS50" s="380">
        <f t="shared" si="334"/>
        <v>0</v>
      </c>
      <c r="CT50" s="380">
        <f t="shared" si="335"/>
        <v>0</v>
      </c>
      <c r="CU50" s="380">
        <f t="shared" si="336"/>
        <v>0</v>
      </c>
      <c r="CV50" s="380">
        <f t="shared" si="337"/>
        <v>0</v>
      </c>
      <c r="CW50" s="380">
        <f t="shared" si="338"/>
        <v>0</v>
      </c>
      <c r="CX50" s="380">
        <f t="shared" si="339"/>
        <v>0</v>
      </c>
      <c r="CY50" s="380">
        <f t="shared" si="340"/>
        <v>0</v>
      </c>
      <c r="CZ50" s="389">
        <f t="shared" si="341"/>
        <v>0</v>
      </c>
      <c r="DA50" s="381">
        <f t="shared" si="241"/>
        <v>0</v>
      </c>
      <c r="DB50" s="379">
        <f t="shared" si="342"/>
        <v>0</v>
      </c>
      <c r="DC50" s="380">
        <f t="shared" si="343"/>
        <v>0</v>
      </c>
      <c r="DD50" s="380">
        <f t="shared" si="344"/>
        <v>0</v>
      </c>
      <c r="DE50" s="380">
        <f t="shared" si="345"/>
        <v>0</v>
      </c>
      <c r="DF50" s="380">
        <f t="shared" si="346"/>
        <v>0</v>
      </c>
      <c r="DG50" s="380">
        <f t="shared" si="347"/>
        <v>0</v>
      </c>
      <c r="DH50" s="380">
        <f t="shared" si="348"/>
        <v>0</v>
      </c>
      <c r="DI50" s="380">
        <f t="shared" si="349"/>
        <v>0</v>
      </c>
      <c r="DJ50" s="380">
        <f t="shared" si="350"/>
        <v>0</v>
      </c>
      <c r="DK50" s="380">
        <f t="shared" si="351"/>
        <v>0</v>
      </c>
      <c r="DL50" s="380">
        <f t="shared" si="352"/>
        <v>0</v>
      </c>
      <c r="DM50" s="389">
        <f t="shared" si="353"/>
        <v>0</v>
      </c>
      <c r="DN50" s="381">
        <f t="shared" si="242"/>
        <v>0</v>
      </c>
      <c r="DO50" s="379">
        <f t="shared" si="354"/>
        <v>0</v>
      </c>
      <c r="DP50" s="380">
        <f t="shared" si="355"/>
        <v>0</v>
      </c>
      <c r="DQ50" s="380">
        <f t="shared" si="356"/>
        <v>0</v>
      </c>
      <c r="DR50" s="380">
        <f t="shared" si="357"/>
        <v>0</v>
      </c>
      <c r="DS50" s="380">
        <f t="shared" si="358"/>
        <v>0</v>
      </c>
      <c r="DT50" s="380">
        <f t="shared" si="359"/>
        <v>0</v>
      </c>
      <c r="DU50" s="380">
        <f t="shared" si="360"/>
        <v>0</v>
      </c>
      <c r="DV50" s="380">
        <f t="shared" si="361"/>
        <v>0</v>
      </c>
      <c r="DW50" s="380">
        <f t="shared" si="362"/>
        <v>0</v>
      </c>
      <c r="DX50" s="380">
        <f t="shared" si="363"/>
        <v>0</v>
      </c>
      <c r="DY50" s="380">
        <f t="shared" si="364"/>
        <v>0</v>
      </c>
      <c r="DZ50" s="389">
        <f t="shared" si="365"/>
        <v>0</v>
      </c>
      <c r="EA50" s="381">
        <f t="shared" si="243"/>
        <v>0</v>
      </c>
      <c r="EB50" s="379">
        <f t="shared" si="143"/>
        <v>0</v>
      </c>
      <c r="EC50" s="380">
        <f t="shared" si="144"/>
        <v>0</v>
      </c>
      <c r="ED50" s="380">
        <f t="shared" si="145"/>
        <v>0</v>
      </c>
      <c r="EE50" s="380">
        <f t="shared" si="146"/>
        <v>0</v>
      </c>
      <c r="EF50" s="380">
        <f t="shared" si="147"/>
        <v>0</v>
      </c>
      <c r="EG50" s="380">
        <f t="shared" si="148"/>
        <v>0</v>
      </c>
      <c r="EH50" s="380">
        <f t="shared" si="149"/>
        <v>0</v>
      </c>
      <c r="EI50" s="380">
        <f t="shared" si="150"/>
        <v>0</v>
      </c>
      <c r="EJ50" s="380">
        <f t="shared" si="151"/>
        <v>0</v>
      </c>
      <c r="EK50" s="380">
        <f t="shared" si="152"/>
        <v>0</v>
      </c>
      <c r="EL50" s="380">
        <f t="shared" si="153"/>
        <v>0</v>
      </c>
      <c r="EM50" s="389">
        <f t="shared" si="154"/>
        <v>0</v>
      </c>
      <c r="EN50" s="381">
        <f t="shared" si="244"/>
        <v>0</v>
      </c>
      <c r="EO50" s="379">
        <f t="shared" si="155"/>
        <v>0</v>
      </c>
      <c r="EP50" s="380">
        <f t="shared" si="156"/>
        <v>0</v>
      </c>
      <c r="EQ50" s="380">
        <f t="shared" si="157"/>
        <v>0</v>
      </c>
      <c r="ER50" s="380">
        <f t="shared" si="158"/>
        <v>0</v>
      </c>
      <c r="ES50" s="380">
        <f>+ES16/$ES$37</f>
        <v>0</v>
      </c>
      <c r="ET50" s="380">
        <f t="shared" si="159"/>
        <v>0</v>
      </c>
      <c r="EU50" s="380">
        <f t="shared" si="160"/>
        <v>0</v>
      </c>
      <c r="EV50" s="380">
        <f t="shared" si="161"/>
        <v>0</v>
      </c>
      <c r="EW50" s="380">
        <f t="shared" si="162"/>
        <v>0</v>
      </c>
      <c r="EX50" s="380">
        <f t="shared" si="163"/>
        <v>0</v>
      </c>
      <c r="EY50" s="380">
        <f t="shared" si="164"/>
        <v>0</v>
      </c>
      <c r="EZ50" s="389">
        <f t="shared" si="165"/>
        <v>0</v>
      </c>
      <c r="FA50" s="381">
        <f t="shared" si="246"/>
        <v>0</v>
      </c>
      <c r="FB50" s="379">
        <f t="shared" si="166"/>
        <v>0</v>
      </c>
      <c r="FC50" s="380">
        <f t="shared" si="167"/>
        <v>0</v>
      </c>
      <c r="FD50" s="380">
        <f t="shared" si="168"/>
        <v>0</v>
      </c>
      <c r="FE50" s="380">
        <f t="shared" si="169"/>
        <v>0</v>
      </c>
      <c r="FF50" s="380">
        <f t="shared" si="170"/>
        <v>0</v>
      </c>
      <c r="FG50" s="380">
        <f t="shared" si="171"/>
        <v>0</v>
      </c>
      <c r="FH50" s="380">
        <f t="shared" si="172"/>
        <v>0</v>
      </c>
      <c r="FI50" s="380">
        <f t="shared" si="173"/>
        <v>0</v>
      </c>
      <c r="FJ50" s="380">
        <f t="shared" si="174"/>
        <v>0</v>
      </c>
      <c r="FK50" s="380">
        <f t="shared" si="175"/>
        <v>0</v>
      </c>
      <c r="FL50" s="380">
        <f t="shared" si="176"/>
        <v>0</v>
      </c>
      <c r="FM50" s="389">
        <f t="shared" si="177"/>
        <v>0</v>
      </c>
      <c r="FN50" s="381">
        <f t="shared" si="247"/>
        <v>0</v>
      </c>
      <c r="FO50" s="379">
        <f t="shared" si="178"/>
        <v>0</v>
      </c>
      <c r="FP50" s="380">
        <f t="shared" si="179"/>
        <v>0</v>
      </c>
      <c r="FQ50" s="380">
        <f t="shared" si="180"/>
        <v>0</v>
      </c>
      <c r="FR50" s="380">
        <f t="shared" si="181"/>
        <v>0</v>
      </c>
      <c r="FS50" s="380">
        <f t="shared" si="182"/>
        <v>0</v>
      </c>
      <c r="FT50" s="380">
        <f t="shared" si="183"/>
        <v>0</v>
      </c>
      <c r="FU50" s="380">
        <f t="shared" si="184"/>
        <v>0</v>
      </c>
      <c r="FV50" s="380">
        <f t="shared" si="185"/>
        <v>0</v>
      </c>
      <c r="FW50" s="380">
        <f t="shared" si="186"/>
        <v>0</v>
      </c>
      <c r="FX50" s="380">
        <f t="shared" si="187"/>
        <v>0</v>
      </c>
      <c r="FY50" s="380">
        <f t="shared" si="188"/>
        <v>0</v>
      </c>
      <c r="FZ50" s="389">
        <f t="shared" si="189"/>
        <v>0</v>
      </c>
      <c r="GA50" s="381">
        <f t="shared" si="248"/>
        <v>0</v>
      </c>
      <c r="GB50" s="379">
        <f t="shared" si="190"/>
        <v>0</v>
      </c>
      <c r="GC50" s="380">
        <f t="shared" si="191"/>
        <v>0</v>
      </c>
      <c r="GD50" s="380">
        <f t="shared" si="192"/>
        <v>0</v>
      </c>
      <c r="GE50" s="380">
        <f t="shared" si="193"/>
        <v>0</v>
      </c>
      <c r="GF50" s="380">
        <f t="shared" si="194"/>
        <v>0</v>
      </c>
      <c r="GG50" s="380">
        <f t="shared" si="195"/>
        <v>0</v>
      </c>
      <c r="GH50" s="380">
        <f t="shared" si="196"/>
        <v>0</v>
      </c>
      <c r="GI50" s="380">
        <f t="shared" si="197"/>
        <v>0</v>
      </c>
      <c r="GJ50" s="380">
        <f t="shared" si="198"/>
        <v>0</v>
      </c>
      <c r="GK50" s="380">
        <f t="shared" si="199"/>
        <v>0</v>
      </c>
      <c r="GL50" s="380">
        <f t="shared" si="200"/>
        <v>0</v>
      </c>
      <c r="GM50" s="389">
        <f t="shared" si="201"/>
        <v>0</v>
      </c>
      <c r="GN50" s="381">
        <f t="shared" si="249"/>
        <v>0</v>
      </c>
      <c r="GO50" s="379">
        <f t="shared" si="202"/>
        <v>0</v>
      </c>
      <c r="GP50" s="380">
        <f t="shared" si="203"/>
        <v>0</v>
      </c>
      <c r="GQ50" s="380">
        <f t="shared" si="204"/>
        <v>0</v>
      </c>
      <c r="GR50" s="380">
        <f t="shared" si="205"/>
        <v>0</v>
      </c>
      <c r="GS50" s="380">
        <f t="shared" si="206"/>
        <v>0</v>
      </c>
      <c r="GT50" s="380">
        <f t="shared" si="207"/>
        <v>0</v>
      </c>
      <c r="GU50" s="380">
        <f t="shared" si="208"/>
        <v>0</v>
      </c>
      <c r="GV50" s="380">
        <f t="shared" si="209"/>
        <v>0</v>
      </c>
      <c r="GW50" s="380">
        <f t="shared" si="210"/>
        <v>0</v>
      </c>
      <c r="GX50" s="380">
        <f t="shared" si="211"/>
        <v>0</v>
      </c>
      <c r="GY50" s="380">
        <f t="shared" si="212"/>
        <v>0</v>
      </c>
      <c r="GZ50" s="389">
        <f t="shared" si="213"/>
        <v>0</v>
      </c>
      <c r="HA50" s="381">
        <f t="shared" si="250"/>
        <v>0</v>
      </c>
      <c r="HB50" s="379">
        <f t="shared" si="214"/>
        <v>0</v>
      </c>
      <c r="HC50" s="380">
        <f t="shared" si="215"/>
        <v>0</v>
      </c>
      <c r="HD50" s="380">
        <f t="shared" si="216"/>
        <v>0</v>
      </c>
      <c r="HE50" s="380">
        <f t="shared" si="217"/>
        <v>0</v>
      </c>
      <c r="HF50" s="380">
        <f t="shared" si="218"/>
        <v>0</v>
      </c>
      <c r="HG50" s="380">
        <f t="shared" si="219"/>
        <v>0</v>
      </c>
      <c r="HH50" s="380">
        <f t="shared" si="220"/>
        <v>0</v>
      </c>
      <c r="HI50" s="380">
        <f t="shared" si="221"/>
        <v>0</v>
      </c>
      <c r="HJ50" s="380">
        <f t="shared" si="222"/>
        <v>0</v>
      </c>
      <c r="HK50" s="380">
        <f t="shared" si="223"/>
        <v>0</v>
      </c>
      <c r="HL50" s="380">
        <f t="shared" si="224"/>
        <v>0</v>
      </c>
      <c r="HM50" s="389">
        <f t="shared" si="225"/>
        <v>0</v>
      </c>
      <c r="HN50" s="381">
        <f t="shared" si="251"/>
        <v>0</v>
      </c>
      <c r="HO50" s="379">
        <f t="shared" si="226"/>
        <v>0</v>
      </c>
      <c r="HP50" s="380">
        <f t="shared" si="227"/>
        <v>0</v>
      </c>
      <c r="HQ50" s="380">
        <f t="shared" si="228"/>
        <v>0</v>
      </c>
      <c r="HR50" s="380">
        <f t="shared" si="229"/>
        <v>0</v>
      </c>
      <c r="HS50" s="380">
        <f t="shared" si="230"/>
        <v>0</v>
      </c>
      <c r="HT50" s="380">
        <f t="shared" si="231"/>
        <v>0</v>
      </c>
      <c r="HU50" s="380">
        <f t="shared" si="232"/>
        <v>0</v>
      </c>
      <c r="HV50" s="380">
        <f t="shared" si="233"/>
        <v>0</v>
      </c>
      <c r="HW50" s="380">
        <f t="shared" si="234"/>
        <v>0</v>
      </c>
      <c r="HX50" s="380">
        <f t="shared" si="235"/>
        <v>0</v>
      </c>
      <c r="HY50" s="380">
        <f t="shared" si="236"/>
        <v>0</v>
      </c>
      <c r="HZ50" s="389">
        <f t="shared" si="237"/>
        <v>0</v>
      </c>
      <c r="IA50" s="379">
        <f t="shared" si="252"/>
        <v>0</v>
      </c>
      <c r="IB50" s="1344">
        <f t="shared" si="238"/>
        <v>0</v>
      </c>
      <c r="IC50" s="120">
        <f t="shared" si="253"/>
        <v>0</v>
      </c>
      <c r="ID50" s="120">
        <f t="shared" si="254"/>
        <v>0</v>
      </c>
      <c r="IE50" s="120">
        <f t="shared" si="255"/>
        <v>0</v>
      </c>
      <c r="IF50" s="120">
        <f t="shared" si="256"/>
        <v>0</v>
      </c>
      <c r="IG50" s="120">
        <f t="shared" si="257"/>
        <v>0</v>
      </c>
      <c r="IH50" s="120">
        <f t="shared" si="258"/>
        <v>0</v>
      </c>
      <c r="II50" s="120">
        <f t="shared" si="259"/>
        <v>0</v>
      </c>
      <c r="IJ50" s="120"/>
      <c r="IK50" s="120"/>
      <c r="IL50" s="120"/>
      <c r="IM50" s="1345"/>
      <c r="IN50" s="1346">
        <f t="shared" si="260"/>
        <v>0</v>
      </c>
      <c r="IO50" s="120"/>
      <c r="IP50" s="371" t="str">
        <f t="shared" si="261"/>
        <v/>
      </c>
      <c r="IQ50" s="348" t="str">
        <f t="shared" si="262"/>
        <v/>
      </c>
      <c r="IR50" s="320">
        <f t="shared" si="263"/>
        <v>0</v>
      </c>
      <c r="IS50" s="344">
        <f t="shared" si="264"/>
        <v>0</v>
      </c>
      <c r="IU50" s="320">
        <f t="shared" si="265"/>
        <v>0</v>
      </c>
    </row>
    <row r="51" spans="1:255" ht="15" customHeight="1" x14ac:dyDescent="0.2">
      <c r="A51" s="1554" t="s">
        <v>328</v>
      </c>
      <c r="B51" s="379">
        <v>0</v>
      </c>
      <c r="C51" s="380">
        <v>0</v>
      </c>
      <c r="D51" s="380">
        <v>0</v>
      </c>
      <c r="E51" s="380">
        <v>0</v>
      </c>
      <c r="F51" s="380">
        <v>0</v>
      </c>
      <c r="G51" s="380">
        <v>0</v>
      </c>
      <c r="H51" s="380">
        <v>0</v>
      </c>
      <c r="I51" s="380">
        <v>0</v>
      </c>
      <c r="J51" s="380">
        <v>0</v>
      </c>
      <c r="K51" s="380">
        <v>0</v>
      </c>
      <c r="L51" s="380">
        <v>0</v>
      </c>
      <c r="M51" s="389">
        <v>0</v>
      </c>
      <c r="N51" s="381">
        <f t="shared" si="240"/>
        <v>0</v>
      </c>
      <c r="O51" s="379"/>
      <c r="P51" s="380"/>
      <c r="Q51" s="380"/>
      <c r="R51" s="380"/>
      <c r="S51" s="380"/>
      <c r="T51" s="380"/>
      <c r="U51" s="380"/>
      <c r="V51" s="380"/>
      <c r="W51" s="380"/>
      <c r="X51" s="380"/>
      <c r="Y51" s="380"/>
      <c r="Z51" s="389"/>
      <c r="AA51" s="381"/>
      <c r="AB51" s="379"/>
      <c r="AC51" s="380"/>
      <c r="AD51" s="380"/>
      <c r="AE51" s="380"/>
      <c r="AF51" s="380"/>
      <c r="AG51" s="380">
        <f t="shared" si="270"/>
        <v>0</v>
      </c>
      <c r="AH51" s="380">
        <f t="shared" si="271"/>
        <v>0</v>
      </c>
      <c r="AI51" s="380">
        <f t="shared" si="272"/>
        <v>4615.7378363637945</v>
      </c>
      <c r="AJ51" s="380">
        <f t="shared" si="273"/>
        <v>183.39039847043949</v>
      </c>
      <c r="AK51" s="380">
        <f t="shared" si="274"/>
        <v>0</v>
      </c>
      <c r="AL51" s="380">
        <f t="shared" si="275"/>
        <v>0</v>
      </c>
      <c r="AM51" s="389">
        <f t="shared" si="276"/>
        <v>0</v>
      </c>
      <c r="AN51" s="381">
        <f t="shared" si="277"/>
        <v>4799.1282348342338</v>
      </c>
      <c r="AO51" s="379">
        <f t="shared" si="278"/>
        <v>0</v>
      </c>
      <c r="AP51" s="380">
        <f t="shared" si="279"/>
        <v>0</v>
      </c>
      <c r="AQ51" s="380">
        <f t="shared" si="280"/>
        <v>0</v>
      </c>
      <c r="AR51" s="380">
        <f t="shared" si="281"/>
        <v>0</v>
      </c>
      <c r="AS51" s="380">
        <f t="shared" si="282"/>
        <v>0</v>
      </c>
      <c r="AT51" s="380">
        <f t="shared" si="283"/>
        <v>1397.2367560947534</v>
      </c>
      <c r="AU51" s="380">
        <f t="shared" si="284"/>
        <v>0</v>
      </c>
      <c r="AV51" s="380">
        <f t="shared" si="285"/>
        <v>0</v>
      </c>
      <c r="AW51" s="380">
        <f t="shared" si="286"/>
        <v>2303.6080190863136</v>
      </c>
      <c r="AX51" s="380">
        <f t="shared" si="287"/>
        <v>0</v>
      </c>
      <c r="AY51" s="380">
        <f t="shared" si="288"/>
        <v>-1751.5546234324438</v>
      </c>
      <c r="AZ51" s="389">
        <f t="shared" si="289"/>
        <v>0</v>
      </c>
      <c r="BA51" s="381">
        <f t="shared" si="290"/>
        <v>1949.2901517486234</v>
      </c>
      <c r="BB51" s="379">
        <f t="shared" si="291"/>
        <v>0</v>
      </c>
      <c r="BC51" s="380">
        <f t="shared" si="292"/>
        <v>0</v>
      </c>
      <c r="BD51" s="380">
        <f t="shared" si="293"/>
        <v>0</v>
      </c>
      <c r="BE51" s="380">
        <f t="shared" si="294"/>
        <v>0</v>
      </c>
      <c r="BF51" s="380">
        <f t="shared" si="295"/>
        <v>0</v>
      </c>
      <c r="BG51" s="380">
        <f t="shared" si="296"/>
        <v>4827.0657280372525</v>
      </c>
      <c r="BH51" s="380">
        <f t="shared" si="297"/>
        <v>0</v>
      </c>
      <c r="BI51" s="380">
        <f t="shared" si="298"/>
        <v>0</v>
      </c>
      <c r="BJ51" s="380">
        <f t="shared" si="299"/>
        <v>0</v>
      </c>
      <c r="BK51" s="380">
        <f t="shared" si="300"/>
        <v>0</v>
      </c>
      <c r="BL51" s="380">
        <f t="shared" si="301"/>
        <v>0</v>
      </c>
      <c r="BM51" s="389">
        <f t="shared" si="302"/>
        <v>0</v>
      </c>
      <c r="BN51" s="381">
        <f t="shared" si="303"/>
        <v>4827.0657280372525</v>
      </c>
      <c r="BO51" s="379">
        <f t="shared" si="304"/>
        <v>0</v>
      </c>
      <c r="BP51" s="380">
        <f t="shared" si="305"/>
        <v>0</v>
      </c>
      <c r="BQ51" s="380">
        <f t="shared" si="306"/>
        <v>0</v>
      </c>
      <c r="BR51" s="380">
        <f t="shared" si="307"/>
        <v>0</v>
      </c>
      <c r="BS51" s="380">
        <f t="shared" si="308"/>
        <v>0</v>
      </c>
      <c r="BT51" s="380">
        <f t="shared" si="309"/>
        <v>5136.9268087486716</v>
      </c>
      <c r="BU51" s="380">
        <f t="shared" si="310"/>
        <v>-8.1780506696898E-2</v>
      </c>
      <c r="BV51" s="380">
        <f t="shared" si="311"/>
        <v>0</v>
      </c>
      <c r="BW51" s="380">
        <f t="shared" si="312"/>
        <v>0</v>
      </c>
      <c r="BX51" s="380">
        <f t="shared" si="313"/>
        <v>0</v>
      </c>
      <c r="BY51" s="380">
        <f t="shared" si="314"/>
        <v>0</v>
      </c>
      <c r="BZ51" s="389">
        <f t="shared" si="315"/>
        <v>0</v>
      </c>
      <c r="CA51" s="381">
        <f t="shared" si="316"/>
        <v>5136.8450282419744</v>
      </c>
      <c r="CB51" s="379">
        <f t="shared" si="317"/>
        <v>0</v>
      </c>
      <c r="CC51" s="380">
        <f t="shared" si="318"/>
        <v>0</v>
      </c>
      <c r="CD51" s="380">
        <f t="shared" si="319"/>
        <v>0</v>
      </c>
      <c r="CE51" s="380">
        <f t="shared" si="320"/>
        <v>0</v>
      </c>
      <c r="CF51" s="380">
        <f t="shared" si="321"/>
        <v>0</v>
      </c>
      <c r="CG51" s="380">
        <f t="shared" si="322"/>
        <v>0</v>
      </c>
      <c r="CH51" s="380">
        <f t="shared" si="323"/>
        <v>0</v>
      </c>
      <c r="CI51" s="380">
        <f t="shared" si="324"/>
        <v>0</v>
      </c>
      <c r="CJ51" s="380">
        <f t="shared" si="325"/>
        <v>0</v>
      </c>
      <c r="CK51" s="380">
        <f t="shared" si="326"/>
        <v>0</v>
      </c>
      <c r="CL51" s="380">
        <f t="shared" si="327"/>
        <v>0</v>
      </c>
      <c r="CM51" s="389">
        <f t="shared" si="328"/>
        <v>0</v>
      </c>
      <c r="CN51" s="381">
        <f t="shared" si="329"/>
        <v>0</v>
      </c>
      <c r="CO51" s="379">
        <f t="shared" si="330"/>
        <v>0</v>
      </c>
      <c r="CP51" s="380">
        <f t="shared" si="331"/>
        <v>0</v>
      </c>
      <c r="CQ51" s="380">
        <f t="shared" si="332"/>
        <v>1126.0046436423395</v>
      </c>
      <c r="CR51" s="380">
        <f t="shared" si="333"/>
        <v>0</v>
      </c>
      <c r="CS51" s="380">
        <f t="shared" si="334"/>
        <v>0</v>
      </c>
      <c r="CT51" s="380">
        <f t="shared" si="335"/>
        <v>0</v>
      </c>
      <c r="CU51" s="380">
        <f t="shared" si="336"/>
        <v>0</v>
      </c>
      <c r="CV51" s="380">
        <f t="shared" si="337"/>
        <v>0</v>
      </c>
      <c r="CW51" s="380">
        <f t="shared" si="338"/>
        <v>0</v>
      </c>
      <c r="CX51" s="380">
        <f t="shared" si="339"/>
        <v>0</v>
      </c>
      <c r="CY51" s="380">
        <f t="shared" si="340"/>
        <v>0</v>
      </c>
      <c r="CZ51" s="389">
        <f t="shared" si="341"/>
        <v>0</v>
      </c>
      <c r="DA51" s="381">
        <f t="shared" si="241"/>
        <v>1126.0046436423395</v>
      </c>
      <c r="DB51" s="379">
        <f t="shared" si="342"/>
        <v>0</v>
      </c>
      <c r="DC51" s="380">
        <f t="shared" si="343"/>
        <v>0</v>
      </c>
      <c r="DD51" s="380">
        <f t="shared" si="344"/>
        <v>0</v>
      </c>
      <c r="DE51" s="380">
        <f t="shared" si="345"/>
        <v>0</v>
      </c>
      <c r="DF51" s="380">
        <f t="shared" si="346"/>
        <v>2244.643135726863</v>
      </c>
      <c r="DG51" s="380">
        <f t="shared" si="347"/>
        <v>0</v>
      </c>
      <c r="DH51" s="380">
        <f t="shared" si="348"/>
        <v>0</v>
      </c>
      <c r="DI51" s="380">
        <f t="shared" si="349"/>
        <v>0</v>
      </c>
      <c r="DJ51" s="380">
        <f t="shared" si="350"/>
        <v>0</v>
      </c>
      <c r="DK51" s="380">
        <f t="shared" si="351"/>
        <v>0</v>
      </c>
      <c r="DL51" s="380">
        <f t="shared" si="352"/>
        <v>0</v>
      </c>
      <c r="DM51" s="389">
        <f t="shared" si="353"/>
        <v>0</v>
      </c>
      <c r="DN51" s="381">
        <f t="shared" si="242"/>
        <v>2244.643135726863</v>
      </c>
      <c r="DO51" s="379">
        <f t="shared" si="354"/>
        <v>0</v>
      </c>
      <c r="DP51" s="380">
        <f t="shared" si="355"/>
        <v>0</v>
      </c>
      <c r="DQ51" s="380">
        <f t="shared" si="356"/>
        <v>0</v>
      </c>
      <c r="DR51" s="380">
        <f t="shared" si="357"/>
        <v>0</v>
      </c>
      <c r="DS51" s="380">
        <f t="shared" si="358"/>
        <v>0</v>
      </c>
      <c r="DT51" s="380">
        <f t="shared" si="359"/>
        <v>0</v>
      </c>
      <c r="DU51" s="380">
        <f t="shared" si="360"/>
        <v>0</v>
      </c>
      <c r="DV51" s="380">
        <f t="shared" si="361"/>
        <v>0</v>
      </c>
      <c r="DW51" s="380">
        <f t="shared" si="362"/>
        <v>0</v>
      </c>
      <c r="DX51" s="380">
        <f t="shared" si="363"/>
        <v>0</v>
      </c>
      <c r="DY51" s="380">
        <f t="shared" si="364"/>
        <v>0</v>
      </c>
      <c r="DZ51" s="389">
        <f t="shared" si="365"/>
        <v>0</v>
      </c>
      <c r="EA51" s="381">
        <f t="shared" si="243"/>
        <v>0</v>
      </c>
      <c r="EB51" s="379">
        <f t="shared" si="143"/>
        <v>0</v>
      </c>
      <c r="EC51" s="380">
        <f t="shared" si="144"/>
        <v>0</v>
      </c>
      <c r="ED51" s="380">
        <f t="shared" si="145"/>
        <v>0</v>
      </c>
      <c r="EE51" s="380">
        <f t="shared" si="146"/>
        <v>0</v>
      </c>
      <c r="EF51" s="380">
        <f t="shared" si="147"/>
        <v>0</v>
      </c>
      <c r="EG51" s="380">
        <f t="shared" si="148"/>
        <v>0</v>
      </c>
      <c r="EH51" s="380">
        <f t="shared" si="149"/>
        <v>0</v>
      </c>
      <c r="EI51" s="380">
        <f t="shared" si="150"/>
        <v>0</v>
      </c>
      <c r="EJ51" s="380">
        <f t="shared" si="151"/>
        <v>0</v>
      </c>
      <c r="EK51" s="380">
        <f t="shared" si="152"/>
        <v>0</v>
      </c>
      <c r="EL51" s="380">
        <f t="shared" si="153"/>
        <v>0</v>
      </c>
      <c r="EM51" s="389">
        <f t="shared" si="154"/>
        <v>0</v>
      </c>
      <c r="EN51" s="381">
        <f t="shared" si="244"/>
        <v>0</v>
      </c>
      <c r="EO51" s="379">
        <f t="shared" si="155"/>
        <v>0</v>
      </c>
      <c r="EP51" s="380">
        <f t="shared" si="156"/>
        <v>0</v>
      </c>
      <c r="EQ51" s="380">
        <f t="shared" si="157"/>
        <v>0</v>
      </c>
      <c r="ER51" s="380">
        <f t="shared" si="158"/>
        <v>0</v>
      </c>
      <c r="ES51" s="380">
        <f>+ES17/$ES$37</f>
        <v>0</v>
      </c>
      <c r="ET51" s="380">
        <f t="shared" si="159"/>
        <v>0</v>
      </c>
      <c r="EU51" s="380">
        <f t="shared" si="160"/>
        <v>0</v>
      </c>
      <c r="EV51" s="380">
        <f t="shared" si="161"/>
        <v>0</v>
      </c>
      <c r="EW51" s="380">
        <f t="shared" si="162"/>
        <v>0</v>
      </c>
      <c r="EX51" s="380">
        <f t="shared" si="163"/>
        <v>0</v>
      </c>
      <c r="EY51" s="380">
        <f t="shared" si="164"/>
        <v>0</v>
      </c>
      <c r="EZ51" s="389">
        <f t="shared" si="165"/>
        <v>0</v>
      </c>
      <c r="FA51" s="381">
        <f t="shared" si="246"/>
        <v>0</v>
      </c>
      <c r="FB51" s="379">
        <f t="shared" si="166"/>
        <v>0</v>
      </c>
      <c r="FC51" s="380">
        <f t="shared" si="167"/>
        <v>0</v>
      </c>
      <c r="FD51" s="380">
        <f t="shared" si="168"/>
        <v>0</v>
      </c>
      <c r="FE51" s="380">
        <f t="shared" si="169"/>
        <v>0</v>
      </c>
      <c r="FF51" s="380">
        <f t="shared" si="170"/>
        <v>0</v>
      </c>
      <c r="FG51" s="380">
        <f t="shared" si="171"/>
        <v>0</v>
      </c>
      <c r="FH51" s="380">
        <f t="shared" si="172"/>
        <v>0</v>
      </c>
      <c r="FI51" s="380">
        <f t="shared" si="173"/>
        <v>0</v>
      </c>
      <c r="FJ51" s="380">
        <f t="shared" si="174"/>
        <v>0</v>
      </c>
      <c r="FK51" s="380">
        <f t="shared" si="175"/>
        <v>0</v>
      </c>
      <c r="FL51" s="380">
        <f t="shared" si="176"/>
        <v>0</v>
      </c>
      <c r="FM51" s="389">
        <f t="shared" si="177"/>
        <v>0</v>
      </c>
      <c r="FN51" s="381">
        <f t="shared" si="247"/>
        <v>0</v>
      </c>
      <c r="FO51" s="379">
        <f t="shared" si="178"/>
        <v>0</v>
      </c>
      <c r="FP51" s="380">
        <f t="shared" si="179"/>
        <v>0</v>
      </c>
      <c r="FQ51" s="380">
        <f t="shared" si="180"/>
        <v>0</v>
      </c>
      <c r="FR51" s="380">
        <f t="shared" si="181"/>
        <v>0</v>
      </c>
      <c r="FS51" s="380">
        <f t="shared" si="182"/>
        <v>0</v>
      </c>
      <c r="FT51" s="380">
        <f t="shared" si="183"/>
        <v>0</v>
      </c>
      <c r="FU51" s="380">
        <f t="shared" si="184"/>
        <v>0</v>
      </c>
      <c r="FV51" s="380">
        <f t="shared" si="185"/>
        <v>0</v>
      </c>
      <c r="FW51" s="380">
        <f t="shared" si="186"/>
        <v>0</v>
      </c>
      <c r="FX51" s="380">
        <f t="shared" si="187"/>
        <v>0</v>
      </c>
      <c r="FY51" s="380">
        <f t="shared" si="188"/>
        <v>0</v>
      </c>
      <c r="FZ51" s="389">
        <f t="shared" si="189"/>
        <v>0</v>
      </c>
      <c r="GA51" s="381">
        <f t="shared" si="248"/>
        <v>0</v>
      </c>
      <c r="GB51" s="379">
        <f t="shared" si="190"/>
        <v>0</v>
      </c>
      <c r="GC51" s="380">
        <f t="shared" si="191"/>
        <v>0</v>
      </c>
      <c r="GD51" s="380">
        <f t="shared" si="192"/>
        <v>0</v>
      </c>
      <c r="GE51" s="380">
        <f t="shared" si="193"/>
        <v>0</v>
      </c>
      <c r="GF51" s="380">
        <f t="shared" si="194"/>
        <v>0</v>
      </c>
      <c r="GG51" s="380">
        <f t="shared" si="195"/>
        <v>1190.603450822073</v>
      </c>
      <c r="GH51" s="380">
        <f t="shared" si="196"/>
        <v>166.42734741661835</v>
      </c>
      <c r="GI51" s="380">
        <f t="shared" si="197"/>
        <v>0</v>
      </c>
      <c r="GJ51" s="380">
        <f t="shared" si="198"/>
        <v>0</v>
      </c>
      <c r="GK51" s="380">
        <f t="shared" si="199"/>
        <v>0</v>
      </c>
      <c r="GL51" s="380">
        <f t="shared" si="200"/>
        <v>0</v>
      </c>
      <c r="GM51" s="389">
        <f t="shared" si="201"/>
        <v>430.0010577901171</v>
      </c>
      <c r="GN51" s="381">
        <f t="shared" si="249"/>
        <v>1787.0318560288085</v>
      </c>
      <c r="GO51" s="379">
        <f t="shared" si="202"/>
        <v>0</v>
      </c>
      <c r="GP51" s="380">
        <f t="shared" si="203"/>
        <v>0</v>
      </c>
      <c r="GQ51" s="380">
        <f t="shared" si="204"/>
        <v>0</v>
      </c>
      <c r="GR51" s="380">
        <f t="shared" si="205"/>
        <v>0</v>
      </c>
      <c r="GS51" s="380">
        <f t="shared" si="206"/>
        <v>0</v>
      </c>
      <c r="GT51" s="380">
        <f t="shared" si="207"/>
        <v>0</v>
      </c>
      <c r="GU51" s="380">
        <f t="shared" si="208"/>
        <v>0</v>
      </c>
      <c r="GV51" s="380">
        <f t="shared" si="209"/>
        <v>0</v>
      </c>
      <c r="GW51" s="380">
        <f t="shared" si="210"/>
        <v>0</v>
      </c>
      <c r="GX51" s="380">
        <f t="shared" si="211"/>
        <v>0</v>
      </c>
      <c r="GY51" s="380">
        <f t="shared" si="212"/>
        <v>0</v>
      </c>
      <c r="GZ51" s="389">
        <f t="shared" si="213"/>
        <v>0</v>
      </c>
      <c r="HA51" s="381">
        <f t="shared" si="250"/>
        <v>0</v>
      </c>
      <c r="HB51" s="379">
        <f t="shared" si="214"/>
        <v>0</v>
      </c>
      <c r="HC51" s="380">
        <f t="shared" si="215"/>
        <v>0</v>
      </c>
      <c r="HD51" s="380">
        <f t="shared" si="216"/>
        <v>0</v>
      </c>
      <c r="HE51" s="380">
        <f t="shared" si="217"/>
        <v>0</v>
      </c>
      <c r="HF51" s="380">
        <f t="shared" si="218"/>
        <v>0</v>
      </c>
      <c r="HG51" s="380">
        <f t="shared" si="219"/>
        <v>0</v>
      </c>
      <c r="HH51" s="380">
        <f t="shared" si="220"/>
        <v>0</v>
      </c>
      <c r="HI51" s="380">
        <f t="shared" si="221"/>
        <v>8.3690010616404429</v>
      </c>
      <c r="HJ51" s="380">
        <f t="shared" si="222"/>
        <v>0</v>
      </c>
      <c r="HK51" s="380">
        <f t="shared" si="223"/>
        <v>0</v>
      </c>
      <c r="HL51" s="380">
        <f t="shared" si="224"/>
        <v>0</v>
      </c>
      <c r="HM51" s="389">
        <f t="shared" si="225"/>
        <v>0</v>
      </c>
      <c r="HN51" s="381">
        <f t="shared" si="251"/>
        <v>8.3690010616404429</v>
      </c>
      <c r="HO51" s="379">
        <f t="shared" si="226"/>
        <v>0</v>
      </c>
      <c r="HP51" s="380">
        <f t="shared" si="227"/>
        <v>0</v>
      </c>
      <c r="HQ51" s="380">
        <f t="shared" si="228"/>
        <v>0</v>
      </c>
      <c r="HR51" s="380">
        <f t="shared" si="229"/>
        <v>0</v>
      </c>
      <c r="HS51" s="380">
        <f t="shared" si="230"/>
        <v>0</v>
      </c>
      <c r="HT51" s="380">
        <f t="shared" si="231"/>
        <v>0</v>
      </c>
      <c r="HU51" s="380">
        <f t="shared" si="232"/>
        <v>0</v>
      </c>
      <c r="HV51" s="380">
        <f t="shared" si="233"/>
        <v>0</v>
      </c>
      <c r="HW51" s="380">
        <f t="shared" si="234"/>
        <v>0</v>
      </c>
      <c r="HX51" s="380">
        <f t="shared" si="235"/>
        <v>0</v>
      </c>
      <c r="HY51" s="380">
        <f t="shared" si="236"/>
        <v>0</v>
      </c>
      <c r="HZ51" s="389">
        <f t="shared" si="237"/>
        <v>42.378699238097354</v>
      </c>
      <c r="IA51" s="379">
        <f t="shared" si="252"/>
        <v>42.378699238097354</v>
      </c>
      <c r="IB51" s="1344">
        <f t="shared" si="238"/>
        <v>0</v>
      </c>
      <c r="IC51" s="120">
        <f t="shared" si="253"/>
        <v>0</v>
      </c>
      <c r="ID51" s="120">
        <f t="shared" si="254"/>
        <v>0</v>
      </c>
      <c r="IE51" s="120">
        <f t="shared" si="255"/>
        <v>0</v>
      </c>
      <c r="IF51" s="120">
        <f t="shared" si="256"/>
        <v>0</v>
      </c>
      <c r="IG51" s="120">
        <f t="shared" si="257"/>
        <v>0</v>
      </c>
      <c r="IH51" s="120">
        <f t="shared" si="258"/>
        <v>0</v>
      </c>
      <c r="II51" s="120">
        <f t="shared" si="259"/>
        <v>0</v>
      </c>
      <c r="IJ51" s="120"/>
      <c r="IK51" s="120"/>
      <c r="IL51" s="120"/>
      <c r="IM51" s="1345"/>
      <c r="IN51" s="1346">
        <f t="shared" si="260"/>
        <v>0</v>
      </c>
      <c r="IO51" s="120"/>
      <c r="IP51" s="371" t="str">
        <f t="shared" si="261"/>
        <v/>
      </c>
      <c r="IQ51" s="348" t="str">
        <f>IFERROR(((IS51/IR51)-1)*100,"")</f>
        <v/>
      </c>
      <c r="IR51" s="320">
        <f t="shared" si="263"/>
        <v>0</v>
      </c>
      <c r="IS51" s="344">
        <f t="shared" si="264"/>
        <v>0</v>
      </c>
      <c r="IU51" s="320">
        <f t="shared" si="265"/>
        <v>0</v>
      </c>
    </row>
    <row r="52" spans="1:255" ht="15" customHeight="1" x14ac:dyDescent="0.2">
      <c r="A52" s="1554" t="s">
        <v>438</v>
      </c>
      <c r="B52" s="379">
        <f t="shared" ref="B52:M52" si="369">+B18/B37</f>
        <v>43.061177914035653</v>
      </c>
      <c r="C52" s="380">
        <f t="shared" si="369"/>
        <v>264.76566811406502</v>
      </c>
      <c r="D52" s="380">
        <f t="shared" si="369"/>
        <v>161.25565997567759</v>
      </c>
      <c r="E52" s="380">
        <f t="shared" si="369"/>
        <v>97.758584251712392</v>
      </c>
      <c r="F52" s="380">
        <f t="shared" si="369"/>
        <v>115.54101485735326</v>
      </c>
      <c r="G52" s="380">
        <f t="shared" si="369"/>
        <v>481.37470032432464</v>
      </c>
      <c r="H52" s="380">
        <f t="shared" si="369"/>
        <v>242.17394007602979</v>
      </c>
      <c r="I52" s="380">
        <f t="shared" si="369"/>
        <v>547.08187067663187</v>
      </c>
      <c r="J52" s="380">
        <f t="shared" si="369"/>
        <v>60.545850286893938</v>
      </c>
      <c r="K52" s="380">
        <f t="shared" si="369"/>
        <v>59.252932777154925</v>
      </c>
      <c r="L52" s="380">
        <f t="shared" si="369"/>
        <v>184.59317608275256</v>
      </c>
      <c r="M52" s="389">
        <f t="shared" si="369"/>
        <v>114.03723512485712</v>
      </c>
      <c r="N52" s="381">
        <f t="shared" si="240"/>
        <v>2371.4418104614888</v>
      </c>
      <c r="O52" s="379">
        <f>+O18/$O$37</f>
        <v>0</v>
      </c>
      <c r="P52" s="380">
        <f>+P18/$P$37</f>
        <v>0</v>
      </c>
      <c r="Q52" s="380">
        <f>+Q18/$Q$37</f>
        <v>0</v>
      </c>
      <c r="R52" s="380">
        <f>+R18/$R$37</f>
        <v>0</v>
      </c>
      <c r="S52" s="380">
        <f>+S18/$S$37</f>
        <v>0</v>
      </c>
      <c r="T52" s="380">
        <f>+T18/$T$37</f>
        <v>0</v>
      </c>
      <c r="U52" s="380">
        <f>+U18/$U$37</f>
        <v>0</v>
      </c>
      <c r="V52" s="380">
        <f>+V18/$V$37</f>
        <v>0</v>
      </c>
      <c r="W52" s="380">
        <f>+W18/$W$37</f>
        <v>0</v>
      </c>
      <c r="X52" s="380">
        <f>+X18/$X$37</f>
        <v>0</v>
      </c>
      <c r="Y52" s="380">
        <f>+Y18/$Y$37</f>
        <v>0</v>
      </c>
      <c r="Z52" s="389">
        <f>+Z18/$Z$37</f>
        <v>0</v>
      </c>
      <c r="AA52" s="381">
        <f>SUM(O52:Z52)</f>
        <v>0</v>
      </c>
      <c r="AB52" s="379">
        <f>+AB18/$AB$37</f>
        <v>0</v>
      </c>
      <c r="AC52" s="380">
        <f>+AC18/$AC$37</f>
        <v>0</v>
      </c>
      <c r="AD52" s="380">
        <f>+AD18/$AD$37</f>
        <v>0</v>
      </c>
      <c r="AE52" s="380">
        <f>+AE18/$AE$37</f>
        <v>0</v>
      </c>
      <c r="AF52" s="380">
        <f>+AF18/$AF$37</f>
        <v>0</v>
      </c>
      <c r="AG52" s="380">
        <f t="shared" si="270"/>
        <v>0</v>
      </c>
      <c r="AH52" s="380">
        <f t="shared" si="271"/>
        <v>471.2906487182621</v>
      </c>
      <c r="AI52" s="380">
        <f t="shared" si="272"/>
        <v>8.0883256478337522</v>
      </c>
      <c r="AJ52" s="380">
        <f t="shared" si="273"/>
        <v>340.71059323674785</v>
      </c>
      <c r="AK52" s="380">
        <f t="shared" si="274"/>
        <v>270.0698602608939</v>
      </c>
      <c r="AL52" s="380">
        <f t="shared" si="275"/>
        <v>307.84885581183784</v>
      </c>
      <c r="AM52" s="389">
        <f t="shared" si="276"/>
        <v>1319.9339702791983</v>
      </c>
      <c r="AN52" s="381">
        <f t="shared" si="277"/>
        <v>2717.9422539547741</v>
      </c>
      <c r="AO52" s="379">
        <f t="shared" si="278"/>
        <v>0</v>
      </c>
      <c r="AP52" s="380">
        <f t="shared" si="279"/>
        <v>0</v>
      </c>
      <c r="AQ52" s="380">
        <f t="shared" si="280"/>
        <v>0</v>
      </c>
      <c r="AR52" s="380">
        <f t="shared" si="281"/>
        <v>0</v>
      </c>
      <c r="AS52" s="380">
        <f t="shared" si="282"/>
        <v>0</v>
      </c>
      <c r="AT52" s="380">
        <f t="shared" si="283"/>
        <v>0</v>
      </c>
      <c r="AU52" s="380">
        <f t="shared" si="284"/>
        <v>0</v>
      </c>
      <c r="AV52" s="380">
        <f t="shared" si="285"/>
        <v>0</v>
      </c>
      <c r="AW52" s="380">
        <f t="shared" si="286"/>
        <v>0</v>
      </c>
      <c r="AX52" s="380">
        <f t="shared" si="287"/>
        <v>0</v>
      </c>
      <c r="AY52" s="380">
        <f t="shared" si="288"/>
        <v>0</v>
      </c>
      <c r="AZ52" s="389">
        <f t="shared" si="289"/>
        <v>0</v>
      </c>
      <c r="BA52" s="381">
        <f t="shared" si="290"/>
        <v>0</v>
      </c>
      <c r="BB52" s="379">
        <f t="shared" si="291"/>
        <v>0</v>
      </c>
      <c r="BC52" s="380">
        <f t="shared" si="292"/>
        <v>0</v>
      </c>
      <c r="BD52" s="380">
        <f t="shared" si="293"/>
        <v>0</v>
      </c>
      <c r="BE52" s="380">
        <f t="shared" si="294"/>
        <v>0</v>
      </c>
      <c r="BF52" s="380">
        <f t="shared" si="295"/>
        <v>0</v>
      </c>
      <c r="BG52" s="380">
        <f t="shared" si="296"/>
        <v>0</v>
      </c>
      <c r="BH52" s="380">
        <f t="shared" si="297"/>
        <v>0</v>
      </c>
      <c r="BI52" s="380">
        <f t="shared" si="298"/>
        <v>0</v>
      </c>
      <c r="BJ52" s="380">
        <f t="shared" si="299"/>
        <v>0</v>
      </c>
      <c r="BK52" s="380">
        <f t="shared" si="300"/>
        <v>0</v>
      </c>
      <c r="BL52" s="380">
        <f t="shared" si="301"/>
        <v>0</v>
      </c>
      <c r="BM52" s="389">
        <f t="shared" si="302"/>
        <v>0</v>
      </c>
      <c r="BN52" s="381">
        <f t="shared" si="303"/>
        <v>0</v>
      </c>
      <c r="BO52" s="379">
        <f t="shared" si="304"/>
        <v>0</v>
      </c>
      <c r="BP52" s="380">
        <f t="shared" si="305"/>
        <v>0</v>
      </c>
      <c r="BQ52" s="380">
        <f t="shared" si="306"/>
        <v>0</v>
      </c>
      <c r="BR52" s="380">
        <f t="shared" si="307"/>
        <v>0</v>
      </c>
      <c r="BS52" s="380">
        <f t="shared" si="308"/>
        <v>0</v>
      </c>
      <c r="BT52" s="380">
        <f t="shared" si="309"/>
        <v>0</v>
      </c>
      <c r="BU52" s="380">
        <f t="shared" si="310"/>
        <v>0</v>
      </c>
      <c r="BV52" s="380">
        <f t="shared" si="311"/>
        <v>0</v>
      </c>
      <c r="BW52" s="380">
        <f t="shared" si="312"/>
        <v>0</v>
      </c>
      <c r="BX52" s="380">
        <f t="shared" si="313"/>
        <v>0</v>
      </c>
      <c r="BY52" s="380">
        <f t="shared" si="314"/>
        <v>0</v>
      </c>
      <c r="BZ52" s="389">
        <f t="shared" si="315"/>
        <v>0</v>
      </c>
      <c r="CA52" s="381">
        <f t="shared" si="316"/>
        <v>0</v>
      </c>
      <c r="CB52" s="379">
        <f t="shared" si="317"/>
        <v>0</v>
      </c>
      <c r="CC52" s="380">
        <f t="shared" si="318"/>
        <v>0</v>
      </c>
      <c r="CD52" s="380">
        <f t="shared" si="319"/>
        <v>0</v>
      </c>
      <c r="CE52" s="380">
        <f t="shared" si="320"/>
        <v>0</v>
      </c>
      <c r="CF52" s="380">
        <f t="shared" si="321"/>
        <v>0</v>
      </c>
      <c r="CG52" s="380">
        <f t="shared" si="322"/>
        <v>0</v>
      </c>
      <c r="CH52" s="380">
        <f t="shared" si="323"/>
        <v>0</v>
      </c>
      <c r="CI52" s="380">
        <f t="shared" si="324"/>
        <v>0</v>
      </c>
      <c r="CJ52" s="380">
        <f t="shared" si="325"/>
        <v>0</v>
      </c>
      <c r="CK52" s="380">
        <f t="shared" si="326"/>
        <v>0</v>
      </c>
      <c r="CL52" s="380">
        <f t="shared" si="327"/>
        <v>0</v>
      </c>
      <c r="CM52" s="389">
        <f t="shared" si="328"/>
        <v>0</v>
      </c>
      <c r="CN52" s="381">
        <f t="shared" si="329"/>
        <v>0</v>
      </c>
      <c r="CO52" s="379">
        <f t="shared" si="330"/>
        <v>0</v>
      </c>
      <c r="CP52" s="380">
        <f t="shared" si="331"/>
        <v>0</v>
      </c>
      <c r="CQ52" s="380">
        <f t="shared" si="332"/>
        <v>0</v>
      </c>
      <c r="CR52" s="380">
        <f t="shared" si="333"/>
        <v>0</v>
      </c>
      <c r="CS52" s="380">
        <f t="shared" si="334"/>
        <v>0</v>
      </c>
      <c r="CT52" s="380">
        <f t="shared" si="335"/>
        <v>0</v>
      </c>
      <c r="CU52" s="380">
        <f t="shared" si="336"/>
        <v>0</v>
      </c>
      <c r="CV52" s="380">
        <f t="shared" si="337"/>
        <v>0</v>
      </c>
      <c r="CW52" s="380">
        <f t="shared" si="338"/>
        <v>0</v>
      </c>
      <c r="CX52" s="380">
        <f t="shared" si="339"/>
        <v>0</v>
      </c>
      <c r="CY52" s="380">
        <f t="shared" si="340"/>
        <v>0</v>
      </c>
      <c r="CZ52" s="389">
        <f t="shared" si="341"/>
        <v>0</v>
      </c>
      <c r="DA52" s="381">
        <f t="shared" si="241"/>
        <v>0</v>
      </c>
      <c r="DB52" s="379">
        <f t="shared" si="342"/>
        <v>0</v>
      </c>
      <c r="DC52" s="380">
        <f t="shared" si="343"/>
        <v>0</v>
      </c>
      <c r="DD52" s="380">
        <f t="shared" si="344"/>
        <v>0</v>
      </c>
      <c r="DE52" s="380">
        <f t="shared" si="345"/>
        <v>0</v>
      </c>
      <c r="DF52" s="380">
        <f t="shared" si="346"/>
        <v>0</v>
      </c>
      <c r="DG52" s="380">
        <f t="shared" si="347"/>
        <v>0</v>
      </c>
      <c r="DH52" s="380">
        <f t="shared" si="348"/>
        <v>0</v>
      </c>
      <c r="DI52" s="380">
        <f t="shared" si="349"/>
        <v>0</v>
      </c>
      <c r="DJ52" s="380">
        <f t="shared" si="350"/>
        <v>0</v>
      </c>
      <c r="DK52" s="380">
        <f t="shared" si="351"/>
        <v>0</v>
      </c>
      <c r="DL52" s="380">
        <f t="shared" si="352"/>
        <v>0</v>
      </c>
      <c r="DM52" s="389">
        <f t="shared" si="353"/>
        <v>0</v>
      </c>
      <c r="DN52" s="381">
        <f t="shared" si="242"/>
        <v>0</v>
      </c>
      <c r="DO52" s="379">
        <f t="shared" si="354"/>
        <v>0</v>
      </c>
      <c r="DP52" s="380">
        <f t="shared" si="355"/>
        <v>0</v>
      </c>
      <c r="DQ52" s="380">
        <f t="shared" si="356"/>
        <v>0</v>
      </c>
      <c r="DR52" s="380">
        <f t="shared" si="357"/>
        <v>0</v>
      </c>
      <c r="DS52" s="380">
        <f t="shared" si="358"/>
        <v>0</v>
      </c>
      <c r="DT52" s="380">
        <f t="shared" si="359"/>
        <v>0</v>
      </c>
      <c r="DU52" s="380">
        <f t="shared" si="360"/>
        <v>0</v>
      </c>
      <c r="DV52" s="380">
        <f t="shared" si="361"/>
        <v>0</v>
      </c>
      <c r="DW52" s="380">
        <f t="shared" si="362"/>
        <v>0</v>
      </c>
      <c r="DX52" s="380">
        <f t="shared" si="363"/>
        <v>0</v>
      </c>
      <c r="DY52" s="380">
        <f t="shared" si="364"/>
        <v>0</v>
      </c>
      <c r="DZ52" s="389">
        <f t="shared" si="365"/>
        <v>0</v>
      </c>
      <c r="EA52" s="381">
        <f t="shared" si="243"/>
        <v>0</v>
      </c>
      <c r="EB52" s="379">
        <f t="shared" si="143"/>
        <v>0</v>
      </c>
      <c r="EC52" s="380">
        <f t="shared" si="144"/>
        <v>0</v>
      </c>
      <c r="ED52" s="380">
        <f t="shared" si="145"/>
        <v>0</v>
      </c>
      <c r="EE52" s="380">
        <f t="shared" si="146"/>
        <v>0</v>
      </c>
      <c r="EF52" s="380">
        <f t="shared" si="147"/>
        <v>0</v>
      </c>
      <c r="EG52" s="380">
        <f t="shared" si="148"/>
        <v>0</v>
      </c>
      <c r="EH52" s="380">
        <f t="shared" si="149"/>
        <v>0</v>
      </c>
      <c r="EI52" s="380">
        <f t="shared" si="150"/>
        <v>0</v>
      </c>
      <c r="EJ52" s="380">
        <f t="shared" si="151"/>
        <v>0</v>
      </c>
      <c r="EK52" s="380">
        <f t="shared" si="152"/>
        <v>0</v>
      </c>
      <c r="EL52" s="380">
        <f t="shared" si="153"/>
        <v>0</v>
      </c>
      <c r="EM52" s="389">
        <f t="shared" si="154"/>
        <v>0</v>
      </c>
      <c r="EN52" s="381">
        <f t="shared" si="244"/>
        <v>0</v>
      </c>
      <c r="EO52" s="379">
        <f t="shared" si="155"/>
        <v>0</v>
      </c>
      <c r="EP52" s="380">
        <f t="shared" si="156"/>
        <v>0</v>
      </c>
      <c r="EQ52" s="380">
        <f t="shared" si="157"/>
        <v>0</v>
      </c>
      <c r="ER52" s="380">
        <f t="shared" si="158"/>
        <v>0</v>
      </c>
      <c r="ES52" s="380">
        <f>+ES18/$ES$37</f>
        <v>0</v>
      </c>
      <c r="ET52" s="380">
        <f t="shared" si="159"/>
        <v>0</v>
      </c>
      <c r="EU52" s="380">
        <f t="shared" si="160"/>
        <v>0</v>
      </c>
      <c r="EV52" s="380">
        <f t="shared" si="161"/>
        <v>0</v>
      </c>
      <c r="EW52" s="380">
        <f t="shared" si="162"/>
        <v>0</v>
      </c>
      <c r="EX52" s="380">
        <f t="shared" si="163"/>
        <v>0</v>
      </c>
      <c r="EY52" s="380">
        <f t="shared" si="164"/>
        <v>0</v>
      </c>
      <c r="EZ52" s="389">
        <f t="shared" si="165"/>
        <v>0</v>
      </c>
      <c r="FA52" s="381">
        <f t="shared" si="246"/>
        <v>0</v>
      </c>
      <c r="FB52" s="379">
        <f t="shared" si="166"/>
        <v>0</v>
      </c>
      <c r="FC52" s="380">
        <f t="shared" si="167"/>
        <v>0</v>
      </c>
      <c r="FD52" s="380">
        <f t="shared" si="168"/>
        <v>0</v>
      </c>
      <c r="FE52" s="380">
        <f t="shared" si="169"/>
        <v>0</v>
      </c>
      <c r="FF52" s="380">
        <f t="shared" si="170"/>
        <v>0</v>
      </c>
      <c r="FG52" s="380">
        <f t="shared" si="171"/>
        <v>0</v>
      </c>
      <c r="FH52" s="380">
        <f t="shared" si="172"/>
        <v>0</v>
      </c>
      <c r="FI52" s="380">
        <f t="shared" si="173"/>
        <v>0</v>
      </c>
      <c r="FJ52" s="380">
        <f t="shared" si="174"/>
        <v>0</v>
      </c>
      <c r="FK52" s="380">
        <f t="shared" si="175"/>
        <v>0</v>
      </c>
      <c r="FL52" s="380">
        <f t="shared" si="176"/>
        <v>0</v>
      </c>
      <c r="FM52" s="389">
        <f t="shared" si="177"/>
        <v>0</v>
      </c>
      <c r="FN52" s="381">
        <f t="shared" si="247"/>
        <v>0</v>
      </c>
      <c r="FO52" s="379">
        <f t="shared" si="178"/>
        <v>0</v>
      </c>
      <c r="FP52" s="380">
        <f t="shared" si="179"/>
        <v>0</v>
      </c>
      <c r="FQ52" s="380">
        <f t="shared" si="180"/>
        <v>0</v>
      </c>
      <c r="FR52" s="380">
        <f t="shared" si="181"/>
        <v>0</v>
      </c>
      <c r="FS52" s="380">
        <f t="shared" si="182"/>
        <v>0</v>
      </c>
      <c r="FT52" s="380">
        <f t="shared" si="183"/>
        <v>0</v>
      </c>
      <c r="FU52" s="380">
        <f t="shared" si="184"/>
        <v>0</v>
      </c>
      <c r="FV52" s="380">
        <f t="shared" si="185"/>
        <v>0</v>
      </c>
      <c r="FW52" s="380">
        <f t="shared" si="186"/>
        <v>0</v>
      </c>
      <c r="FX52" s="380">
        <f t="shared" si="187"/>
        <v>0</v>
      </c>
      <c r="FY52" s="380">
        <f t="shared" si="188"/>
        <v>0</v>
      </c>
      <c r="FZ52" s="389">
        <f t="shared" si="189"/>
        <v>0</v>
      </c>
      <c r="GA52" s="381">
        <f t="shared" si="248"/>
        <v>0</v>
      </c>
      <c r="GB52" s="379">
        <f t="shared" si="190"/>
        <v>0</v>
      </c>
      <c r="GC52" s="380">
        <f t="shared" si="191"/>
        <v>0</v>
      </c>
      <c r="GD52" s="380">
        <f t="shared" si="192"/>
        <v>0</v>
      </c>
      <c r="GE52" s="380">
        <f t="shared" si="193"/>
        <v>0</v>
      </c>
      <c r="GF52" s="380">
        <f t="shared" si="194"/>
        <v>0</v>
      </c>
      <c r="GG52" s="380">
        <f t="shared" si="195"/>
        <v>0</v>
      </c>
      <c r="GH52" s="380">
        <f t="shared" si="196"/>
        <v>0</v>
      </c>
      <c r="GI52" s="380">
        <f t="shared" si="197"/>
        <v>0</v>
      </c>
      <c r="GJ52" s="380">
        <f t="shared" si="198"/>
        <v>0</v>
      </c>
      <c r="GK52" s="380">
        <f t="shared" si="199"/>
        <v>0</v>
      </c>
      <c r="GL52" s="380">
        <f t="shared" si="200"/>
        <v>0</v>
      </c>
      <c r="GM52" s="389">
        <f t="shared" si="201"/>
        <v>0</v>
      </c>
      <c r="GN52" s="381">
        <f t="shared" si="249"/>
        <v>0</v>
      </c>
      <c r="GO52" s="379">
        <f t="shared" si="202"/>
        <v>0</v>
      </c>
      <c r="GP52" s="380">
        <f t="shared" si="203"/>
        <v>0</v>
      </c>
      <c r="GQ52" s="380">
        <f t="shared" si="204"/>
        <v>0</v>
      </c>
      <c r="GR52" s="380">
        <f t="shared" si="205"/>
        <v>0</v>
      </c>
      <c r="GS52" s="380">
        <f t="shared" si="206"/>
        <v>0</v>
      </c>
      <c r="GT52" s="380">
        <f t="shared" si="207"/>
        <v>0</v>
      </c>
      <c r="GU52" s="380">
        <f t="shared" si="208"/>
        <v>0</v>
      </c>
      <c r="GV52" s="380">
        <f t="shared" si="209"/>
        <v>0</v>
      </c>
      <c r="GW52" s="380">
        <f t="shared" si="210"/>
        <v>0</v>
      </c>
      <c r="GX52" s="380">
        <f t="shared" si="211"/>
        <v>0</v>
      </c>
      <c r="GY52" s="380">
        <f t="shared" si="212"/>
        <v>0</v>
      </c>
      <c r="GZ52" s="389">
        <f t="shared" si="213"/>
        <v>0</v>
      </c>
      <c r="HA52" s="381">
        <f t="shared" si="250"/>
        <v>0</v>
      </c>
      <c r="HB52" s="379">
        <f t="shared" si="214"/>
        <v>0</v>
      </c>
      <c r="HC52" s="380">
        <f t="shared" si="215"/>
        <v>0</v>
      </c>
      <c r="HD52" s="380">
        <f t="shared" si="216"/>
        <v>0</v>
      </c>
      <c r="HE52" s="380">
        <f t="shared" si="217"/>
        <v>0</v>
      </c>
      <c r="HF52" s="380">
        <f t="shared" si="218"/>
        <v>0</v>
      </c>
      <c r="HG52" s="380">
        <f t="shared" si="219"/>
        <v>0</v>
      </c>
      <c r="HH52" s="380">
        <f t="shared" si="220"/>
        <v>0</v>
      </c>
      <c r="HI52" s="380">
        <f t="shared" si="221"/>
        <v>0</v>
      </c>
      <c r="HJ52" s="380">
        <f t="shared" si="222"/>
        <v>0</v>
      </c>
      <c r="HK52" s="380">
        <f t="shared" si="223"/>
        <v>0</v>
      </c>
      <c r="HL52" s="380">
        <f t="shared" si="224"/>
        <v>0</v>
      </c>
      <c r="HM52" s="389">
        <f t="shared" si="225"/>
        <v>0</v>
      </c>
      <c r="HN52" s="381">
        <f t="shared" si="251"/>
        <v>0</v>
      </c>
      <c r="HO52" s="379">
        <f t="shared" si="226"/>
        <v>0</v>
      </c>
      <c r="HP52" s="380">
        <f t="shared" si="227"/>
        <v>0</v>
      </c>
      <c r="HQ52" s="380">
        <f t="shared" si="228"/>
        <v>0</v>
      </c>
      <c r="HR52" s="380">
        <f t="shared" si="229"/>
        <v>0</v>
      </c>
      <c r="HS52" s="380">
        <f t="shared" si="230"/>
        <v>0</v>
      </c>
      <c r="HT52" s="380">
        <f t="shared" si="231"/>
        <v>0</v>
      </c>
      <c r="HU52" s="380">
        <f t="shared" si="232"/>
        <v>0</v>
      </c>
      <c r="HV52" s="380">
        <f t="shared" si="233"/>
        <v>0</v>
      </c>
      <c r="HW52" s="380">
        <f t="shared" si="234"/>
        <v>0</v>
      </c>
      <c r="HX52" s="380">
        <f t="shared" si="235"/>
        <v>0</v>
      </c>
      <c r="HY52" s="380">
        <f t="shared" si="236"/>
        <v>0</v>
      </c>
      <c r="HZ52" s="389">
        <f t="shared" si="237"/>
        <v>0</v>
      </c>
      <c r="IA52" s="379">
        <f t="shared" si="252"/>
        <v>0</v>
      </c>
      <c r="IB52" s="1344">
        <f t="shared" si="238"/>
        <v>0</v>
      </c>
      <c r="IC52" s="120">
        <f t="shared" si="253"/>
        <v>0</v>
      </c>
      <c r="ID52" s="120">
        <f t="shared" si="254"/>
        <v>0</v>
      </c>
      <c r="IE52" s="120">
        <f t="shared" si="255"/>
        <v>0</v>
      </c>
      <c r="IF52" s="120">
        <f t="shared" si="256"/>
        <v>0</v>
      </c>
      <c r="IG52" s="120">
        <f t="shared" si="257"/>
        <v>0</v>
      </c>
      <c r="IH52" s="120">
        <f t="shared" si="258"/>
        <v>0</v>
      </c>
      <c r="II52" s="120">
        <f t="shared" si="259"/>
        <v>0</v>
      </c>
      <c r="IJ52" s="120"/>
      <c r="IK52" s="120"/>
      <c r="IL52" s="120"/>
      <c r="IM52" s="1345"/>
      <c r="IN52" s="1346">
        <f t="shared" si="260"/>
        <v>0</v>
      </c>
      <c r="IO52" s="120"/>
      <c r="IP52" s="371" t="str">
        <f t="shared" si="261"/>
        <v/>
      </c>
      <c r="IQ52" s="348" t="str">
        <f t="shared" si="262"/>
        <v/>
      </c>
      <c r="IR52" s="320">
        <f t="shared" si="263"/>
        <v>0</v>
      </c>
      <c r="IS52" s="344">
        <f t="shared" si="264"/>
        <v>0</v>
      </c>
      <c r="IU52" s="320">
        <f t="shared" si="265"/>
        <v>0</v>
      </c>
    </row>
    <row r="53" spans="1:255" s="338" customFormat="1" ht="15" customHeight="1" x14ac:dyDescent="0.2">
      <c r="A53" s="1553" t="s">
        <v>439</v>
      </c>
      <c r="B53" s="376">
        <f t="shared" ref="B53:M53" si="370">+B19/B37</f>
        <v>0</v>
      </c>
      <c r="C53" s="377">
        <f t="shared" si="370"/>
        <v>0</v>
      </c>
      <c r="D53" s="377">
        <f t="shared" si="370"/>
        <v>0</v>
      </c>
      <c r="E53" s="377">
        <f t="shared" si="370"/>
        <v>0</v>
      </c>
      <c r="F53" s="377">
        <f t="shared" si="370"/>
        <v>0</v>
      </c>
      <c r="G53" s="377">
        <f t="shared" si="370"/>
        <v>0</v>
      </c>
      <c r="H53" s="377">
        <f t="shared" si="370"/>
        <v>0</v>
      </c>
      <c r="I53" s="377">
        <f t="shared" si="370"/>
        <v>0</v>
      </c>
      <c r="J53" s="377">
        <f t="shared" si="370"/>
        <v>0</v>
      </c>
      <c r="K53" s="377">
        <f t="shared" si="370"/>
        <v>0</v>
      </c>
      <c r="L53" s="377">
        <f t="shared" si="370"/>
        <v>0</v>
      </c>
      <c r="M53" s="388">
        <f t="shared" si="370"/>
        <v>0</v>
      </c>
      <c r="N53" s="378">
        <f t="shared" si="240"/>
        <v>0</v>
      </c>
      <c r="O53" s="376">
        <f>+O19/$O$37</f>
        <v>0</v>
      </c>
      <c r="P53" s="377">
        <f>+P19/$P$37</f>
        <v>0</v>
      </c>
      <c r="Q53" s="377">
        <f>+Q19/$Q$37</f>
        <v>0</v>
      </c>
      <c r="R53" s="377">
        <f>+R19/$R$37</f>
        <v>0</v>
      </c>
      <c r="S53" s="377">
        <f>+S19/$S$37</f>
        <v>0</v>
      </c>
      <c r="T53" s="377">
        <f>+T19/$T$37</f>
        <v>0</v>
      </c>
      <c r="U53" s="377">
        <f>+U19/$U$37</f>
        <v>0</v>
      </c>
      <c r="V53" s="377">
        <f>+V19/$V$37</f>
        <v>0</v>
      </c>
      <c r="W53" s="377">
        <f>+W19/$W$37</f>
        <v>0</v>
      </c>
      <c r="X53" s="377">
        <f>+X19/$X$37</f>
        <v>0</v>
      </c>
      <c r="Y53" s="377">
        <f>+Y19/$Y$37</f>
        <v>0</v>
      </c>
      <c r="Z53" s="388">
        <f>+Z19/$Z$37</f>
        <v>0</v>
      </c>
      <c r="AA53" s="378">
        <f>SUM(O53:Z53)</f>
        <v>0</v>
      </c>
      <c r="AB53" s="376">
        <f>+AB19/$AB$37</f>
        <v>0</v>
      </c>
      <c r="AC53" s="377">
        <f>+AC19/$AC$37</f>
        <v>0</v>
      </c>
      <c r="AD53" s="377">
        <f>+AD19/$AD$37</f>
        <v>0</v>
      </c>
      <c r="AE53" s="377">
        <f>+AE19/$AE$37</f>
        <v>0</v>
      </c>
      <c r="AF53" s="377">
        <f>+AF19/$AF$37</f>
        <v>0</v>
      </c>
      <c r="AG53" s="377">
        <f t="shared" si="270"/>
        <v>0</v>
      </c>
      <c r="AH53" s="377">
        <f t="shared" si="271"/>
        <v>0</v>
      </c>
      <c r="AI53" s="377">
        <f t="shared" si="272"/>
        <v>0</v>
      </c>
      <c r="AJ53" s="377">
        <f t="shared" si="273"/>
        <v>0</v>
      </c>
      <c r="AK53" s="377">
        <f t="shared" si="274"/>
        <v>0</v>
      </c>
      <c r="AL53" s="377">
        <f t="shared" si="275"/>
        <v>0</v>
      </c>
      <c r="AM53" s="388">
        <f t="shared" si="276"/>
        <v>0</v>
      </c>
      <c r="AN53" s="378">
        <f t="shared" si="277"/>
        <v>0</v>
      </c>
      <c r="AO53" s="376">
        <f t="shared" si="278"/>
        <v>0</v>
      </c>
      <c r="AP53" s="377">
        <f t="shared" si="279"/>
        <v>0</v>
      </c>
      <c r="AQ53" s="377">
        <f t="shared" si="280"/>
        <v>0</v>
      </c>
      <c r="AR53" s="377">
        <f t="shared" si="281"/>
        <v>0</v>
      </c>
      <c r="AS53" s="377">
        <f t="shared" si="282"/>
        <v>0</v>
      </c>
      <c r="AT53" s="377">
        <f t="shared" si="283"/>
        <v>0</v>
      </c>
      <c r="AU53" s="377">
        <f t="shared" si="284"/>
        <v>0</v>
      </c>
      <c r="AV53" s="377">
        <f t="shared" si="285"/>
        <v>0</v>
      </c>
      <c r="AW53" s="377">
        <f t="shared" si="286"/>
        <v>0</v>
      </c>
      <c r="AX53" s="377">
        <f t="shared" si="287"/>
        <v>0</v>
      </c>
      <c r="AY53" s="377">
        <f t="shared" si="288"/>
        <v>0</v>
      </c>
      <c r="AZ53" s="388">
        <f t="shared" si="289"/>
        <v>0</v>
      </c>
      <c r="BA53" s="378">
        <f t="shared" si="290"/>
        <v>0</v>
      </c>
      <c r="BB53" s="376">
        <f t="shared" si="291"/>
        <v>487.81791374224889</v>
      </c>
      <c r="BC53" s="377">
        <f t="shared" si="292"/>
        <v>0</v>
      </c>
      <c r="BD53" s="377">
        <f t="shared" si="293"/>
        <v>0</v>
      </c>
      <c r="BE53" s="377">
        <f t="shared" si="294"/>
        <v>0</v>
      </c>
      <c r="BF53" s="377">
        <f t="shared" si="295"/>
        <v>0</v>
      </c>
      <c r="BG53" s="377">
        <f t="shared" si="296"/>
        <v>0</v>
      </c>
      <c r="BH53" s="377">
        <f t="shared" si="297"/>
        <v>0</v>
      </c>
      <c r="BI53" s="377">
        <f t="shared" si="298"/>
        <v>0</v>
      </c>
      <c r="BJ53" s="377">
        <f t="shared" si="299"/>
        <v>0</v>
      </c>
      <c r="BK53" s="377">
        <f t="shared" si="300"/>
        <v>0</v>
      </c>
      <c r="BL53" s="377">
        <f t="shared" si="301"/>
        <v>0</v>
      </c>
      <c r="BM53" s="388">
        <f t="shared" si="302"/>
        <v>0</v>
      </c>
      <c r="BN53" s="378">
        <f t="shared" si="303"/>
        <v>487.81791374224889</v>
      </c>
      <c r="BO53" s="376">
        <f t="shared" si="304"/>
        <v>0</v>
      </c>
      <c r="BP53" s="377">
        <f t="shared" si="305"/>
        <v>0</v>
      </c>
      <c r="BQ53" s="377">
        <f t="shared" si="306"/>
        <v>0</v>
      </c>
      <c r="BR53" s="377">
        <f t="shared" si="307"/>
        <v>0</v>
      </c>
      <c r="BS53" s="377">
        <f t="shared" si="308"/>
        <v>1408.9696393042218</v>
      </c>
      <c r="BT53" s="377">
        <f t="shared" si="309"/>
        <v>0</v>
      </c>
      <c r="BU53" s="377">
        <f t="shared" si="310"/>
        <v>0</v>
      </c>
      <c r="BV53" s="377">
        <f t="shared" si="311"/>
        <v>0</v>
      </c>
      <c r="BW53" s="377">
        <f t="shared" si="312"/>
        <v>0</v>
      </c>
      <c r="BX53" s="377">
        <f t="shared" si="313"/>
        <v>0</v>
      </c>
      <c r="BY53" s="377">
        <f t="shared" si="314"/>
        <v>0</v>
      </c>
      <c r="BZ53" s="388">
        <f t="shared" si="315"/>
        <v>0</v>
      </c>
      <c r="CA53" s="378">
        <f t="shared" si="316"/>
        <v>1408.9696393042218</v>
      </c>
      <c r="CB53" s="376">
        <f t="shared" si="317"/>
        <v>0</v>
      </c>
      <c r="CC53" s="377">
        <f t="shared" si="318"/>
        <v>0</v>
      </c>
      <c r="CD53" s="377">
        <f t="shared" si="319"/>
        <v>0</v>
      </c>
      <c r="CE53" s="377">
        <f t="shared" si="320"/>
        <v>0</v>
      </c>
      <c r="CF53" s="377">
        <f t="shared" si="321"/>
        <v>0</v>
      </c>
      <c r="CG53" s="377">
        <f t="shared" si="322"/>
        <v>0</v>
      </c>
      <c r="CH53" s="377">
        <f t="shared" si="323"/>
        <v>0</v>
      </c>
      <c r="CI53" s="377">
        <f t="shared" si="324"/>
        <v>0</v>
      </c>
      <c r="CJ53" s="377">
        <f t="shared" si="325"/>
        <v>0</v>
      </c>
      <c r="CK53" s="377">
        <f t="shared" si="326"/>
        <v>0</v>
      </c>
      <c r="CL53" s="377">
        <f t="shared" si="327"/>
        <v>0</v>
      </c>
      <c r="CM53" s="388">
        <f t="shared" si="328"/>
        <v>9971.7677719125204</v>
      </c>
      <c r="CN53" s="378">
        <f t="shared" si="329"/>
        <v>9971.7677719125204</v>
      </c>
      <c r="CO53" s="376">
        <f t="shared" si="330"/>
        <v>0</v>
      </c>
      <c r="CP53" s="377">
        <f t="shared" si="331"/>
        <v>0</v>
      </c>
      <c r="CQ53" s="377">
        <f t="shared" si="332"/>
        <v>0</v>
      </c>
      <c r="CR53" s="377">
        <f t="shared" si="333"/>
        <v>0</v>
      </c>
      <c r="CS53" s="377">
        <f t="shared" si="334"/>
        <v>5563.0553994926941</v>
      </c>
      <c r="CT53" s="377">
        <f t="shared" si="335"/>
        <v>0</v>
      </c>
      <c r="CU53" s="377">
        <f t="shared" si="336"/>
        <v>5445.7790408387536</v>
      </c>
      <c r="CV53" s="377">
        <f t="shared" si="337"/>
        <v>0</v>
      </c>
      <c r="CW53" s="377">
        <f t="shared" si="338"/>
        <v>0</v>
      </c>
      <c r="CX53" s="377">
        <f t="shared" si="339"/>
        <v>0</v>
      </c>
      <c r="CY53" s="377">
        <f t="shared" si="340"/>
        <v>0</v>
      </c>
      <c r="CZ53" s="388">
        <f t="shared" si="341"/>
        <v>276.02419238077323</v>
      </c>
      <c r="DA53" s="378">
        <f t="shared" si="241"/>
        <v>11284.858632712221</v>
      </c>
      <c r="DB53" s="376">
        <f t="shared" si="342"/>
        <v>0</v>
      </c>
      <c r="DC53" s="377">
        <f t="shared" si="343"/>
        <v>0</v>
      </c>
      <c r="DD53" s="377">
        <f t="shared" si="344"/>
        <v>5241.8164430439692</v>
      </c>
      <c r="DE53" s="377">
        <f t="shared" si="345"/>
        <v>0</v>
      </c>
      <c r="DF53" s="377">
        <f t="shared" si="346"/>
        <v>0</v>
      </c>
      <c r="DG53" s="377">
        <f t="shared" si="347"/>
        <v>0</v>
      </c>
      <c r="DH53" s="377">
        <f t="shared" si="348"/>
        <v>5147.5544353756604</v>
      </c>
      <c r="DI53" s="377">
        <f t="shared" si="349"/>
        <v>0</v>
      </c>
      <c r="DJ53" s="377">
        <f t="shared" si="350"/>
        <v>0</v>
      </c>
      <c r="DK53" s="377">
        <f t="shared" si="351"/>
        <v>0</v>
      </c>
      <c r="DL53" s="377">
        <f t="shared" si="352"/>
        <v>301.26773293867655</v>
      </c>
      <c r="DM53" s="388">
        <f t="shared" si="353"/>
        <v>4996.5770513694315</v>
      </c>
      <c r="DN53" s="378">
        <f t="shared" si="242"/>
        <v>15687.215662727738</v>
      </c>
      <c r="DO53" s="376">
        <f t="shared" si="354"/>
        <v>0</v>
      </c>
      <c r="DP53" s="377">
        <f t="shared" si="355"/>
        <v>0</v>
      </c>
      <c r="DQ53" s="377">
        <f t="shared" si="356"/>
        <v>0</v>
      </c>
      <c r="DR53" s="377">
        <f t="shared" si="357"/>
        <v>0</v>
      </c>
      <c r="DS53" s="377">
        <f t="shared" si="358"/>
        <v>0</v>
      </c>
      <c r="DT53" s="377">
        <f t="shared" si="359"/>
        <v>0</v>
      </c>
      <c r="DU53" s="377">
        <f t="shared" si="360"/>
        <v>0</v>
      </c>
      <c r="DV53" s="377">
        <f t="shared" si="361"/>
        <v>0</v>
      </c>
      <c r="DW53" s="377">
        <f t="shared" si="362"/>
        <v>0</v>
      </c>
      <c r="DX53" s="377">
        <f t="shared" si="363"/>
        <v>0</v>
      </c>
      <c r="DY53" s="377">
        <f t="shared" si="364"/>
        <v>0</v>
      </c>
      <c r="DZ53" s="388">
        <f t="shared" si="365"/>
        <v>9651.2653908610137</v>
      </c>
      <c r="EA53" s="378">
        <f t="shared" si="243"/>
        <v>9651.2653908610137</v>
      </c>
      <c r="EB53" s="376">
        <f t="shared" si="143"/>
        <v>0</v>
      </c>
      <c r="EC53" s="377">
        <f t="shared" si="144"/>
        <v>0</v>
      </c>
      <c r="ED53" s="377">
        <f t="shared" si="145"/>
        <v>0</v>
      </c>
      <c r="EE53" s="377">
        <f t="shared" si="146"/>
        <v>0</v>
      </c>
      <c r="EF53" s="377">
        <f t="shared" si="147"/>
        <v>0</v>
      </c>
      <c r="EG53" s="377">
        <f t="shared" si="148"/>
        <v>0</v>
      </c>
      <c r="EH53" s="377">
        <f t="shared" si="149"/>
        <v>0</v>
      </c>
      <c r="EI53" s="377">
        <f t="shared" si="150"/>
        <v>0</v>
      </c>
      <c r="EJ53" s="377">
        <f t="shared" si="151"/>
        <v>0</v>
      </c>
      <c r="EK53" s="377">
        <f t="shared" si="152"/>
        <v>4634.6150523144233</v>
      </c>
      <c r="EL53" s="377">
        <f t="shared" si="153"/>
        <v>4561.9211393182532</v>
      </c>
      <c r="EM53" s="388">
        <f t="shared" si="154"/>
        <v>0</v>
      </c>
      <c r="EN53" s="378">
        <f t="shared" si="244"/>
        <v>9196.5361916326765</v>
      </c>
      <c r="EO53" s="376">
        <f t="shared" si="155"/>
        <v>0</v>
      </c>
      <c r="EP53" s="377">
        <f t="shared" si="156"/>
        <v>0</v>
      </c>
      <c r="EQ53" s="377">
        <f t="shared" si="157"/>
        <v>0</v>
      </c>
      <c r="ER53" s="377">
        <f t="shared" si="158"/>
        <v>0</v>
      </c>
      <c r="ES53" s="377">
        <f>+ES19/$EF$37</f>
        <v>0</v>
      </c>
      <c r="ET53" s="377">
        <f t="shared" si="159"/>
        <v>4432.3744122645921</v>
      </c>
      <c r="EU53" s="377">
        <f t="shared" si="160"/>
        <v>0</v>
      </c>
      <c r="EV53" s="377">
        <f t="shared" si="161"/>
        <v>0</v>
      </c>
      <c r="EW53" s="377">
        <f t="shared" si="162"/>
        <v>0</v>
      </c>
      <c r="EX53" s="377">
        <f t="shared" si="163"/>
        <v>0</v>
      </c>
      <c r="EY53" s="377">
        <f t="shared" si="164"/>
        <v>0</v>
      </c>
      <c r="EZ53" s="388">
        <f t="shared" si="165"/>
        <v>4335.7146806074052</v>
      </c>
      <c r="FA53" s="378">
        <f t="shared" si="246"/>
        <v>8768.0890928719964</v>
      </c>
      <c r="FB53" s="376">
        <f t="shared" si="166"/>
        <v>0</v>
      </c>
      <c r="FC53" s="377">
        <f t="shared" si="167"/>
        <v>0</v>
      </c>
      <c r="FD53" s="377">
        <f t="shared" si="168"/>
        <v>0</v>
      </c>
      <c r="FE53" s="377">
        <f t="shared" si="169"/>
        <v>0</v>
      </c>
      <c r="FF53" s="377">
        <f t="shared" si="170"/>
        <v>0</v>
      </c>
      <c r="FG53" s="377">
        <f t="shared" si="171"/>
        <v>0</v>
      </c>
      <c r="FH53" s="377">
        <f t="shared" si="172"/>
        <v>4213.0147589662229</v>
      </c>
      <c r="FI53" s="377">
        <f t="shared" si="173"/>
        <v>0</v>
      </c>
      <c r="FJ53" s="377">
        <f t="shared" si="174"/>
        <v>142.05377092486094</v>
      </c>
      <c r="FK53" s="377">
        <f t="shared" si="175"/>
        <v>0</v>
      </c>
      <c r="FL53" s="377">
        <f t="shared" si="176"/>
        <v>0</v>
      </c>
      <c r="FM53" s="388">
        <f t="shared" si="177"/>
        <v>4277.337884067173</v>
      </c>
      <c r="FN53" s="378">
        <f t="shared" si="247"/>
        <v>8632.406413958257</v>
      </c>
      <c r="FO53" s="376">
        <f t="shared" si="178"/>
        <v>0</v>
      </c>
      <c r="FP53" s="377">
        <f t="shared" si="179"/>
        <v>0</v>
      </c>
      <c r="FQ53" s="377">
        <f t="shared" si="180"/>
        <v>0</v>
      </c>
      <c r="FR53" s="377">
        <f t="shared" si="181"/>
        <v>0</v>
      </c>
      <c r="FS53" s="377">
        <f t="shared" si="182"/>
        <v>0</v>
      </c>
      <c r="FT53" s="377">
        <f t="shared" si="183"/>
        <v>4548.0028935706932</v>
      </c>
      <c r="FU53" s="377">
        <f t="shared" si="184"/>
        <v>0</v>
      </c>
      <c r="FV53" s="377">
        <f t="shared" si="185"/>
        <v>0</v>
      </c>
      <c r="FW53" s="377">
        <f t="shared" si="186"/>
        <v>0</v>
      </c>
      <c r="FX53" s="377">
        <f t="shared" si="187"/>
        <v>0</v>
      </c>
      <c r="FY53" s="377">
        <f t="shared" si="188"/>
        <v>0</v>
      </c>
      <c r="FZ53" s="388">
        <f t="shared" si="189"/>
        <v>4294.7531946754461</v>
      </c>
      <c r="GA53" s="378">
        <f t="shared" si="248"/>
        <v>8842.7560882461403</v>
      </c>
      <c r="GB53" s="376">
        <f t="shared" si="190"/>
        <v>0</v>
      </c>
      <c r="GC53" s="377">
        <f t="shared" si="191"/>
        <v>0</v>
      </c>
      <c r="GD53" s="377">
        <f t="shared" si="192"/>
        <v>0</v>
      </c>
      <c r="GE53" s="377">
        <f t="shared" si="193"/>
        <v>0</v>
      </c>
      <c r="GF53" s="377">
        <f t="shared" si="194"/>
        <v>0</v>
      </c>
      <c r="GG53" s="377">
        <f t="shared" si="195"/>
        <v>3969.4926749316724</v>
      </c>
      <c r="GH53" s="377">
        <f t="shared" si="196"/>
        <v>0</v>
      </c>
      <c r="GI53" s="377">
        <f t="shared" si="197"/>
        <v>0</v>
      </c>
      <c r="GJ53" s="377">
        <f t="shared" si="198"/>
        <v>0</v>
      </c>
      <c r="GK53" s="377">
        <f t="shared" si="199"/>
        <v>0</v>
      </c>
      <c r="GL53" s="377">
        <f t="shared" si="200"/>
        <v>0</v>
      </c>
      <c r="GM53" s="388">
        <f t="shared" si="201"/>
        <v>3770.0092741133521</v>
      </c>
      <c r="GN53" s="378">
        <f t="shared" si="249"/>
        <v>7739.501949045025</v>
      </c>
      <c r="GO53" s="376">
        <f t="shared" si="202"/>
        <v>0</v>
      </c>
      <c r="GP53" s="377">
        <f t="shared" si="203"/>
        <v>0</v>
      </c>
      <c r="GQ53" s="377">
        <f t="shared" si="204"/>
        <v>0</v>
      </c>
      <c r="GR53" s="377">
        <f t="shared" si="205"/>
        <v>0</v>
      </c>
      <c r="GS53" s="377">
        <f t="shared" si="206"/>
        <v>0</v>
      </c>
      <c r="GT53" s="377">
        <f t="shared" si="207"/>
        <v>0</v>
      </c>
      <c r="GU53" s="377">
        <f t="shared" si="208"/>
        <v>3600.7335996059855</v>
      </c>
      <c r="GV53" s="377">
        <f t="shared" si="209"/>
        <v>0</v>
      </c>
      <c r="GW53" s="377">
        <f t="shared" si="210"/>
        <v>0</v>
      </c>
      <c r="GX53" s="377">
        <f t="shared" si="211"/>
        <v>0</v>
      </c>
      <c r="GY53" s="377">
        <f t="shared" si="212"/>
        <v>0</v>
      </c>
      <c r="GZ53" s="388">
        <f t="shared" si="213"/>
        <v>3534.8306932937794</v>
      </c>
      <c r="HA53" s="378">
        <f t="shared" si="250"/>
        <v>7135.564292899765</v>
      </c>
      <c r="HB53" s="376">
        <f t="shared" si="214"/>
        <v>0</v>
      </c>
      <c r="HC53" s="377">
        <f t="shared" si="215"/>
        <v>0</v>
      </c>
      <c r="HD53" s="377">
        <f t="shared" si="216"/>
        <v>0</v>
      </c>
      <c r="HE53" s="377">
        <f t="shared" si="217"/>
        <v>0</v>
      </c>
      <c r="HF53" s="377">
        <f t="shared" si="218"/>
        <v>0</v>
      </c>
      <c r="HG53" s="377">
        <f t="shared" si="219"/>
        <v>3421.1142834515631</v>
      </c>
      <c r="HH53" s="377">
        <f t="shared" si="220"/>
        <v>0</v>
      </c>
      <c r="HI53" s="377">
        <f t="shared" si="221"/>
        <v>0</v>
      </c>
      <c r="HJ53" s="377">
        <f t="shared" si="222"/>
        <v>0</v>
      </c>
      <c r="HK53" s="377">
        <f t="shared" si="223"/>
        <v>0</v>
      </c>
      <c r="HL53" s="377">
        <f t="shared" si="224"/>
        <v>0</v>
      </c>
      <c r="HM53" s="388">
        <f t="shared" si="225"/>
        <v>3333.5337133218577</v>
      </c>
      <c r="HN53" s="378">
        <f t="shared" si="251"/>
        <v>6754.6479967734213</v>
      </c>
      <c r="HO53" s="376">
        <f t="shared" si="226"/>
        <v>0</v>
      </c>
      <c r="HP53" s="377">
        <f t="shared" si="227"/>
        <v>0</v>
      </c>
      <c r="HQ53" s="377">
        <f t="shared" si="228"/>
        <v>0</v>
      </c>
      <c r="HR53" s="377">
        <f t="shared" si="229"/>
        <v>0</v>
      </c>
      <c r="HS53" s="377">
        <f t="shared" si="230"/>
        <v>0</v>
      </c>
      <c r="HT53" s="377">
        <f t="shared" si="231"/>
        <v>3259.1793472633331</v>
      </c>
      <c r="HU53" s="377">
        <f t="shared" si="232"/>
        <v>0</v>
      </c>
      <c r="HV53" s="377">
        <f t="shared" si="233"/>
        <v>0</v>
      </c>
      <c r="HW53" s="377">
        <f t="shared" si="234"/>
        <v>0</v>
      </c>
      <c r="HX53" s="377">
        <f t="shared" si="235"/>
        <v>61.857653185740631</v>
      </c>
      <c r="HY53" s="377">
        <f t="shared" si="236"/>
        <v>2.7584680594979734</v>
      </c>
      <c r="HZ53" s="388">
        <f t="shared" si="237"/>
        <v>380.30754770812041</v>
      </c>
      <c r="IA53" s="376">
        <f t="shared" si="252"/>
        <v>3704.1030162166917</v>
      </c>
      <c r="IB53" s="1328">
        <f t="shared" si="238"/>
        <v>0</v>
      </c>
      <c r="IC53" s="129">
        <f t="shared" si="253"/>
        <v>0</v>
      </c>
      <c r="ID53" s="129">
        <f>+ID19/$ID$37</f>
        <v>0</v>
      </c>
      <c r="IE53" s="129">
        <f t="shared" si="255"/>
        <v>0</v>
      </c>
      <c r="IF53" s="129">
        <f t="shared" si="256"/>
        <v>2658.3244691605155</v>
      </c>
      <c r="IG53" s="129">
        <f t="shared" si="257"/>
        <v>3.1813966651118903</v>
      </c>
      <c r="IH53" s="129">
        <f t="shared" si="258"/>
        <v>335.72421350517618</v>
      </c>
      <c r="II53" s="129">
        <f t="shared" si="259"/>
        <v>0</v>
      </c>
      <c r="IJ53" s="129"/>
      <c r="IK53" s="129"/>
      <c r="IL53" s="129"/>
      <c r="IM53" s="1268"/>
      <c r="IN53" s="1343">
        <f t="shared" si="260"/>
        <v>2997.2300793308036</v>
      </c>
      <c r="IO53" s="129"/>
      <c r="IP53" s="370" t="str">
        <f t="shared" si="261"/>
        <v/>
      </c>
      <c r="IQ53" s="340">
        <f t="shared" si="262"/>
        <v>-8.0372768731638793</v>
      </c>
      <c r="IR53" s="339">
        <f t="shared" si="263"/>
        <v>3259.1793472633331</v>
      </c>
      <c r="IS53" s="341">
        <f t="shared" si="264"/>
        <v>2997.2300793308036</v>
      </c>
      <c r="IU53" s="339"/>
    </row>
    <row r="54" spans="1:255" ht="15" customHeight="1" x14ac:dyDescent="0.2">
      <c r="A54" s="1554" t="s">
        <v>440</v>
      </c>
      <c r="B54" s="379">
        <f t="shared" ref="B54:M54" si="371">+B20/B37</f>
        <v>0</v>
      </c>
      <c r="C54" s="380">
        <f t="shared" si="371"/>
        <v>0</v>
      </c>
      <c r="D54" s="380">
        <f t="shared" si="371"/>
        <v>0</v>
      </c>
      <c r="E54" s="380">
        <f t="shared" si="371"/>
        <v>0</v>
      </c>
      <c r="F54" s="380">
        <f t="shared" si="371"/>
        <v>0</v>
      </c>
      <c r="G54" s="380">
        <f t="shared" si="371"/>
        <v>0</v>
      </c>
      <c r="H54" s="380">
        <f t="shared" si="371"/>
        <v>0</v>
      </c>
      <c r="I54" s="380">
        <f t="shared" si="371"/>
        <v>0</v>
      </c>
      <c r="J54" s="380">
        <f t="shared" si="371"/>
        <v>0</v>
      </c>
      <c r="K54" s="380">
        <f t="shared" si="371"/>
        <v>0</v>
      </c>
      <c r="L54" s="380">
        <f t="shared" si="371"/>
        <v>0</v>
      </c>
      <c r="M54" s="389">
        <f t="shared" si="371"/>
        <v>0</v>
      </c>
      <c r="N54" s="381">
        <f t="shared" si="240"/>
        <v>0</v>
      </c>
      <c r="O54" s="379">
        <f>+O20/$O$37</f>
        <v>0</v>
      </c>
      <c r="P54" s="380">
        <f>+P20/$P$37</f>
        <v>0</v>
      </c>
      <c r="Q54" s="380">
        <f>+Q20/$Q$37</f>
        <v>0</v>
      </c>
      <c r="R54" s="380">
        <f>+R20/$R$37</f>
        <v>0</v>
      </c>
      <c r="S54" s="380">
        <f>+S20/$S$37</f>
        <v>0</v>
      </c>
      <c r="T54" s="380">
        <f>+T20/$T$37</f>
        <v>0</v>
      </c>
      <c r="U54" s="380">
        <f>+U20/$U$37</f>
        <v>0</v>
      </c>
      <c r="V54" s="380">
        <f>+V20/$V$37</f>
        <v>0</v>
      </c>
      <c r="W54" s="380">
        <f>+W20/$W$37</f>
        <v>0</v>
      </c>
      <c r="X54" s="380">
        <f>+X20/$X$37</f>
        <v>0</v>
      </c>
      <c r="Y54" s="380">
        <f>+Y20/$Y$37</f>
        <v>0</v>
      </c>
      <c r="Z54" s="389">
        <f>+Z20/$Z$37</f>
        <v>0</v>
      </c>
      <c r="AA54" s="381">
        <f>SUM(O54:Z54)</f>
        <v>0</v>
      </c>
      <c r="AB54" s="379">
        <f>+AB20/$AB$37</f>
        <v>0</v>
      </c>
      <c r="AC54" s="380">
        <f>+AC20/$AC$37</f>
        <v>0</v>
      </c>
      <c r="AD54" s="380">
        <f>+AD20/$AD$37</f>
        <v>0</v>
      </c>
      <c r="AE54" s="380">
        <f>+AE20/$AE$37</f>
        <v>0</v>
      </c>
      <c r="AF54" s="380">
        <f>+AF20/$AF$37</f>
        <v>0</v>
      </c>
      <c r="AG54" s="380">
        <f t="shared" si="270"/>
        <v>0</v>
      </c>
      <c r="AH54" s="380">
        <f t="shared" si="271"/>
        <v>0</v>
      </c>
      <c r="AI54" s="380">
        <f t="shared" si="272"/>
        <v>0</v>
      </c>
      <c r="AJ54" s="380">
        <f t="shared" si="273"/>
        <v>0</v>
      </c>
      <c r="AK54" s="380">
        <f t="shared" si="274"/>
        <v>0</v>
      </c>
      <c r="AL54" s="380">
        <f t="shared" si="275"/>
        <v>0</v>
      </c>
      <c r="AM54" s="389">
        <f t="shared" si="276"/>
        <v>0</v>
      </c>
      <c r="AN54" s="381">
        <f t="shared" si="277"/>
        <v>0</v>
      </c>
      <c r="AO54" s="379">
        <f t="shared" si="278"/>
        <v>0</v>
      </c>
      <c r="AP54" s="380">
        <f t="shared" si="279"/>
        <v>0</v>
      </c>
      <c r="AQ54" s="380">
        <f t="shared" si="280"/>
        <v>0</v>
      </c>
      <c r="AR54" s="380">
        <f t="shared" si="281"/>
        <v>0</v>
      </c>
      <c r="AS54" s="380">
        <f t="shared" si="282"/>
        <v>0</v>
      </c>
      <c r="AT54" s="380">
        <f t="shared" si="283"/>
        <v>0</v>
      </c>
      <c r="AU54" s="380">
        <f t="shared" si="284"/>
        <v>0</v>
      </c>
      <c r="AV54" s="380">
        <f t="shared" si="285"/>
        <v>0</v>
      </c>
      <c r="AW54" s="380">
        <f t="shared" si="286"/>
        <v>0</v>
      </c>
      <c r="AX54" s="380">
        <f t="shared" si="287"/>
        <v>0</v>
      </c>
      <c r="AY54" s="380">
        <f t="shared" si="288"/>
        <v>0</v>
      </c>
      <c r="AZ54" s="389">
        <f t="shared" si="289"/>
        <v>0</v>
      </c>
      <c r="BA54" s="381">
        <f t="shared" si="290"/>
        <v>0</v>
      </c>
      <c r="BB54" s="379">
        <f t="shared" si="291"/>
        <v>487.81791374224889</v>
      </c>
      <c r="BC54" s="380">
        <f t="shared" si="292"/>
        <v>0</v>
      </c>
      <c r="BD54" s="380">
        <f t="shared" si="293"/>
        <v>0</v>
      </c>
      <c r="BE54" s="380">
        <f t="shared" si="294"/>
        <v>0</v>
      </c>
      <c r="BF54" s="380">
        <f t="shared" si="295"/>
        <v>0</v>
      </c>
      <c r="BG54" s="380">
        <f t="shared" si="296"/>
        <v>0</v>
      </c>
      <c r="BH54" s="380">
        <f t="shared" si="297"/>
        <v>0</v>
      </c>
      <c r="BI54" s="380">
        <f t="shared" si="298"/>
        <v>0</v>
      </c>
      <c r="BJ54" s="380">
        <f t="shared" si="299"/>
        <v>0</v>
      </c>
      <c r="BK54" s="380">
        <f t="shared" si="300"/>
        <v>0</v>
      </c>
      <c r="BL54" s="380">
        <f t="shared" si="301"/>
        <v>0</v>
      </c>
      <c r="BM54" s="389">
        <f t="shared" si="302"/>
        <v>0</v>
      </c>
      <c r="BN54" s="381">
        <f t="shared" si="303"/>
        <v>487.81791374224889</v>
      </c>
      <c r="BO54" s="379">
        <f t="shared" si="304"/>
        <v>0</v>
      </c>
      <c r="BP54" s="380">
        <f t="shared" si="305"/>
        <v>0</v>
      </c>
      <c r="BQ54" s="380">
        <f t="shared" si="306"/>
        <v>0</v>
      </c>
      <c r="BR54" s="380">
        <f t="shared" si="307"/>
        <v>0</v>
      </c>
      <c r="BS54" s="380">
        <f t="shared" si="308"/>
        <v>1408.9696393042218</v>
      </c>
      <c r="BT54" s="380">
        <f t="shared" si="309"/>
        <v>0</v>
      </c>
      <c r="BU54" s="380">
        <f t="shared" si="310"/>
        <v>0</v>
      </c>
      <c r="BV54" s="380">
        <f t="shared" si="311"/>
        <v>0</v>
      </c>
      <c r="BW54" s="380">
        <f t="shared" si="312"/>
        <v>0</v>
      </c>
      <c r="BX54" s="380">
        <f t="shared" si="313"/>
        <v>0</v>
      </c>
      <c r="BY54" s="380">
        <f t="shared" si="314"/>
        <v>0</v>
      </c>
      <c r="BZ54" s="389">
        <f t="shared" si="315"/>
        <v>0</v>
      </c>
      <c r="CA54" s="381">
        <f t="shared" si="316"/>
        <v>1408.9696393042218</v>
      </c>
      <c r="CB54" s="379">
        <f t="shared" si="317"/>
        <v>0</v>
      </c>
      <c r="CC54" s="380">
        <f t="shared" si="318"/>
        <v>0</v>
      </c>
      <c r="CD54" s="380">
        <f t="shared" si="319"/>
        <v>0</v>
      </c>
      <c r="CE54" s="380">
        <f t="shared" si="320"/>
        <v>0</v>
      </c>
      <c r="CF54" s="380">
        <f t="shared" si="321"/>
        <v>0</v>
      </c>
      <c r="CG54" s="380">
        <f t="shared" si="322"/>
        <v>0</v>
      </c>
      <c r="CH54" s="380">
        <f t="shared" si="323"/>
        <v>0</v>
      </c>
      <c r="CI54" s="380">
        <f t="shared" si="324"/>
        <v>0</v>
      </c>
      <c r="CJ54" s="380">
        <f t="shared" si="325"/>
        <v>0</v>
      </c>
      <c r="CK54" s="380">
        <f t="shared" si="326"/>
        <v>0</v>
      </c>
      <c r="CL54" s="380">
        <f t="shared" si="327"/>
        <v>0</v>
      </c>
      <c r="CM54" s="389">
        <f t="shared" si="328"/>
        <v>9971.7677719125204</v>
      </c>
      <c r="CN54" s="381">
        <f t="shared" si="329"/>
        <v>9971.7677719125204</v>
      </c>
      <c r="CO54" s="379">
        <f t="shared" si="330"/>
        <v>0</v>
      </c>
      <c r="CP54" s="380">
        <f t="shared" si="331"/>
        <v>0</v>
      </c>
      <c r="CQ54" s="380">
        <f t="shared" si="332"/>
        <v>0</v>
      </c>
      <c r="CR54" s="380">
        <f t="shared" si="333"/>
        <v>0</v>
      </c>
      <c r="CS54" s="380">
        <f t="shared" si="334"/>
        <v>5563.0553994926941</v>
      </c>
      <c r="CT54" s="380">
        <f t="shared" si="335"/>
        <v>0</v>
      </c>
      <c r="CU54" s="380">
        <f t="shared" si="336"/>
        <v>5445.7790408387536</v>
      </c>
      <c r="CV54" s="380">
        <f t="shared" si="337"/>
        <v>0</v>
      </c>
      <c r="CW54" s="380">
        <f t="shared" si="338"/>
        <v>0</v>
      </c>
      <c r="CX54" s="380">
        <f t="shared" si="339"/>
        <v>0</v>
      </c>
      <c r="CY54" s="380">
        <f t="shared" si="340"/>
        <v>0</v>
      </c>
      <c r="CZ54" s="389">
        <f t="shared" si="341"/>
        <v>276.02419238077323</v>
      </c>
      <c r="DA54" s="381">
        <f t="shared" si="241"/>
        <v>11284.858632712221</v>
      </c>
      <c r="DB54" s="379">
        <f t="shared" si="342"/>
        <v>0</v>
      </c>
      <c r="DC54" s="380">
        <f t="shared" si="343"/>
        <v>0</v>
      </c>
      <c r="DD54" s="380">
        <f t="shared" si="344"/>
        <v>5241.8164430439692</v>
      </c>
      <c r="DE54" s="380">
        <f t="shared" si="345"/>
        <v>0</v>
      </c>
      <c r="DF54" s="380">
        <f t="shared" si="346"/>
        <v>0</v>
      </c>
      <c r="DG54" s="380">
        <f t="shared" si="347"/>
        <v>0</v>
      </c>
      <c r="DH54" s="380">
        <f t="shared" si="348"/>
        <v>1421.6277392189777</v>
      </c>
      <c r="DI54" s="380">
        <f t="shared" si="349"/>
        <v>0</v>
      </c>
      <c r="DJ54" s="380">
        <f t="shared" si="350"/>
        <v>0</v>
      </c>
      <c r="DK54" s="380">
        <f t="shared" si="351"/>
        <v>0</v>
      </c>
      <c r="DL54" s="380">
        <f t="shared" si="352"/>
        <v>286.60750262535896</v>
      </c>
      <c r="DM54" s="389">
        <f t="shared" si="353"/>
        <v>1328.9623711713693</v>
      </c>
      <c r="DN54" s="381">
        <f t="shared" si="242"/>
        <v>8279.0140560596756</v>
      </c>
      <c r="DO54" s="379">
        <f t="shared" si="354"/>
        <v>0</v>
      </c>
      <c r="DP54" s="380">
        <f t="shared" si="355"/>
        <v>0</v>
      </c>
      <c r="DQ54" s="380">
        <f t="shared" si="356"/>
        <v>0</v>
      </c>
      <c r="DR54" s="380">
        <f t="shared" si="357"/>
        <v>0</v>
      </c>
      <c r="DS54" s="380">
        <f t="shared" si="358"/>
        <v>0</v>
      </c>
      <c r="DT54" s="380">
        <f t="shared" si="359"/>
        <v>0</v>
      </c>
      <c r="DU54" s="380">
        <f t="shared" si="360"/>
        <v>0</v>
      </c>
      <c r="DV54" s="380">
        <f t="shared" si="361"/>
        <v>0</v>
      </c>
      <c r="DW54" s="380">
        <f t="shared" si="362"/>
        <v>0</v>
      </c>
      <c r="DX54" s="380">
        <f t="shared" si="363"/>
        <v>0</v>
      </c>
      <c r="DY54" s="380">
        <f t="shared" si="364"/>
        <v>0</v>
      </c>
      <c r="DZ54" s="389">
        <f t="shared" si="365"/>
        <v>2415.5194805269443</v>
      </c>
      <c r="EA54" s="381">
        <f t="shared" si="243"/>
        <v>2415.5194805269443</v>
      </c>
      <c r="EB54" s="379">
        <f t="shared" si="143"/>
        <v>0</v>
      </c>
      <c r="EC54" s="380">
        <f t="shared" si="144"/>
        <v>0</v>
      </c>
      <c r="ED54" s="380">
        <f t="shared" si="145"/>
        <v>0</v>
      </c>
      <c r="EE54" s="380">
        <f t="shared" si="146"/>
        <v>0</v>
      </c>
      <c r="EF54" s="380">
        <f t="shared" si="147"/>
        <v>0</v>
      </c>
      <c r="EG54" s="380">
        <f t="shared" si="148"/>
        <v>0</v>
      </c>
      <c r="EH54" s="380">
        <f t="shared" si="149"/>
        <v>0</v>
      </c>
      <c r="EI54" s="380">
        <f t="shared" si="150"/>
        <v>0</v>
      </c>
      <c r="EJ54" s="380">
        <f t="shared" si="151"/>
        <v>0</v>
      </c>
      <c r="EK54" s="380">
        <f t="shared" si="152"/>
        <v>1083.2970450524247</v>
      </c>
      <c r="EL54" s="380">
        <f t="shared" si="153"/>
        <v>1014.8596058963612</v>
      </c>
      <c r="EM54" s="389">
        <f t="shared" si="154"/>
        <v>0</v>
      </c>
      <c r="EN54" s="381">
        <f t="shared" si="244"/>
        <v>2098.1566509487857</v>
      </c>
      <c r="EO54" s="379">
        <f t="shared" si="155"/>
        <v>0</v>
      </c>
      <c r="EP54" s="380">
        <f t="shared" si="156"/>
        <v>0</v>
      </c>
      <c r="EQ54" s="380">
        <f t="shared" si="157"/>
        <v>0</v>
      </c>
      <c r="ER54" s="380">
        <f t="shared" si="158"/>
        <v>0</v>
      </c>
      <c r="ES54" s="380">
        <f>+ES20/$ES$37</f>
        <v>0</v>
      </c>
      <c r="ET54" s="380">
        <f t="shared" si="159"/>
        <v>0</v>
      </c>
      <c r="EU54" s="380">
        <f t="shared" si="160"/>
        <v>0</v>
      </c>
      <c r="EV54" s="380">
        <f t="shared" si="161"/>
        <v>0</v>
      </c>
      <c r="EW54" s="380">
        <f t="shared" si="162"/>
        <v>0</v>
      </c>
      <c r="EX54" s="380">
        <f t="shared" si="163"/>
        <v>0</v>
      </c>
      <c r="EY54" s="380">
        <f t="shared" si="164"/>
        <v>0</v>
      </c>
      <c r="EZ54" s="389">
        <f t="shared" si="165"/>
        <v>0</v>
      </c>
      <c r="FA54" s="381">
        <f t="shared" si="246"/>
        <v>0</v>
      </c>
      <c r="FB54" s="379">
        <f t="shared" si="166"/>
        <v>0</v>
      </c>
      <c r="FC54" s="380">
        <f t="shared" si="167"/>
        <v>0</v>
      </c>
      <c r="FD54" s="380">
        <f t="shared" si="168"/>
        <v>0</v>
      </c>
      <c r="FE54" s="380">
        <f t="shared" si="169"/>
        <v>0</v>
      </c>
      <c r="FF54" s="380">
        <f t="shared" si="170"/>
        <v>0</v>
      </c>
      <c r="FG54" s="380">
        <f t="shared" si="171"/>
        <v>0</v>
      </c>
      <c r="FH54" s="380">
        <f t="shared" si="172"/>
        <v>784.26154423434798</v>
      </c>
      <c r="FI54" s="380">
        <f t="shared" si="173"/>
        <v>0</v>
      </c>
      <c r="FJ54" s="380">
        <f t="shared" si="174"/>
        <v>142.05377092486094</v>
      </c>
      <c r="FK54" s="380">
        <f t="shared" si="175"/>
        <v>0</v>
      </c>
      <c r="FL54" s="380">
        <f t="shared" si="176"/>
        <v>0</v>
      </c>
      <c r="FM54" s="389">
        <f t="shared" si="177"/>
        <v>869.72536976032507</v>
      </c>
      <c r="FN54" s="381">
        <f t="shared" si="247"/>
        <v>1796.040684919534</v>
      </c>
      <c r="FO54" s="379">
        <f t="shared" si="178"/>
        <v>0</v>
      </c>
      <c r="FP54" s="380">
        <f t="shared" si="179"/>
        <v>0</v>
      </c>
      <c r="FQ54" s="380">
        <f t="shared" si="180"/>
        <v>0</v>
      </c>
      <c r="FR54" s="380">
        <f t="shared" si="181"/>
        <v>0</v>
      </c>
      <c r="FS54" s="380">
        <f t="shared" si="182"/>
        <v>0</v>
      </c>
      <c r="FT54" s="380">
        <f t="shared" si="183"/>
        <v>799.53930746244976</v>
      </c>
      <c r="FU54" s="380">
        <f t="shared" si="184"/>
        <v>0</v>
      </c>
      <c r="FV54" s="380">
        <f t="shared" si="185"/>
        <v>0</v>
      </c>
      <c r="FW54" s="380">
        <f t="shared" si="186"/>
        <v>0</v>
      </c>
      <c r="FX54" s="380">
        <f t="shared" si="187"/>
        <v>0</v>
      </c>
      <c r="FY54" s="380">
        <f t="shared" si="188"/>
        <v>0</v>
      </c>
      <c r="FZ54" s="389">
        <f t="shared" si="189"/>
        <v>701.75705795350427</v>
      </c>
      <c r="GA54" s="381">
        <f t="shared" si="248"/>
        <v>1501.2963654159539</v>
      </c>
      <c r="GB54" s="379">
        <f t="shared" si="190"/>
        <v>0</v>
      </c>
      <c r="GC54" s="380">
        <f t="shared" si="191"/>
        <v>0</v>
      </c>
      <c r="GD54" s="380">
        <f t="shared" si="192"/>
        <v>0</v>
      </c>
      <c r="GE54" s="380">
        <f t="shared" si="193"/>
        <v>0</v>
      </c>
      <c r="GF54" s="380">
        <f t="shared" si="194"/>
        <v>0</v>
      </c>
      <c r="GG54" s="380">
        <f t="shared" si="195"/>
        <v>587.66573611638489</v>
      </c>
      <c r="GH54" s="380">
        <f t="shared" si="196"/>
        <v>0</v>
      </c>
      <c r="GI54" s="380">
        <f t="shared" si="197"/>
        <v>0</v>
      </c>
      <c r="GJ54" s="380">
        <f t="shared" si="198"/>
        <v>0</v>
      </c>
      <c r="GK54" s="380">
        <f t="shared" si="199"/>
        <v>0</v>
      </c>
      <c r="GL54" s="380">
        <f t="shared" si="200"/>
        <v>0</v>
      </c>
      <c r="GM54" s="389">
        <f t="shared" si="201"/>
        <v>508.23654436478955</v>
      </c>
      <c r="GN54" s="381">
        <f t="shared" si="249"/>
        <v>1095.9022804811743</v>
      </c>
      <c r="GO54" s="379">
        <f t="shared" si="202"/>
        <v>0</v>
      </c>
      <c r="GP54" s="380">
        <f t="shared" si="203"/>
        <v>0</v>
      </c>
      <c r="GQ54" s="380">
        <f t="shared" si="204"/>
        <v>0</v>
      </c>
      <c r="GR54" s="380">
        <f t="shared" si="205"/>
        <v>0</v>
      </c>
      <c r="GS54" s="380">
        <f t="shared" si="206"/>
        <v>0</v>
      </c>
      <c r="GT54" s="380">
        <f t="shared" si="207"/>
        <v>0</v>
      </c>
      <c r="GU54" s="380">
        <f t="shared" si="208"/>
        <v>434.9457570317706</v>
      </c>
      <c r="GV54" s="380">
        <f t="shared" si="209"/>
        <v>0</v>
      </c>
      <c r="GW54" s="380">
        <f t="shared" si="210"/>
        <v>0</v>
      </c>
      <c r="GX54" s="380">
        <f t="shared" si="211"/>
        <v>0</v>
      </c>
      <c r="GY54" s="380">
        <f t="shared" si="212"/>
        <v>0</v>
      </c>
      <c r="GZ54" s="389">
        <f t="shared" si="213"/>
        <v>377.12456389371187</v>
      </c>
      <c r="HA54" s="381">
        <f t="shared" si="250"/>
        <v>812.07032092548252</v>
      </c>
      <c r="HB54" s="379">
        <f t="shared" si="214"/>
        <v>0</v>
      </c>
      <c r="HC54" s="380">
        <f t="shared" si="215"/>
        <v>0</v>
      </c>
      <c r="HD54" s="380">
        <f t="shared" si="216"/>
        <v>0</v>
      </c>
      <c r="HE54" s="380">
        <f t="shared" si="217"/>
        <v>0</v>
      </c>
      <c r="HF54" s="380">
        <f t="shared" si="218"/>
        <v>0</v>
      </c>
      <c r="HG54" s="380">
        <f t="shared" si="219"/>
        <v>313.50866958187277</v>
      </c>
      <c r="HH54" s="380">
        <f t="shared" si="220"/>
        <v>0</v>
      </c>
      <c r="HI54" s="380">
        <f t="shared" si="221"/>
        <v>0</v>
      </c>
      <c r="HJ54" s="380">
        <f t="shared" si="222"/>
        <v>0</v>
      </c>
      <c r="HK54" s="380">
        <f t="shared" si="223"/>
        <v>0</v>
      </c>
      <c r="HL54" s="380">
        <f t="shared" si="224"/>
        <v>0</v>
      </c>
      <c r="HM54" s="389">
        <f t="shared" si="225"/>
        <v>251.95637752776233</v>
      </c>
      <c r="HN54" s="381">
        <f t="shared" si="251"/>
        <v>565.46504710963507</v>
      </c>
      <c r="HO54" s="379">
        <f t="shared" si="226"/>
        <v>0</v>
      </c>
      <c r="HP54" s="380">
        <f t="shared" si="227"/>
        <v>0</v>
      </c>
      <c r="HQ54" s="380">
        <f t="shared" si="228"/>
        <v>0</v>
      </c>
      <c r="HR54" s="380">
        <f t="shared" si="229"/>
        <v>0</v>
      </c>
      <c r="HS54" s="380">
        <f t="shared" si="230"/>
        <v>0</v>
      </c>
      <c r="HT54" s="380">
        <f t="shared" si="231"/>
        <v>198.52869120385785</v>
      </c>
      <c r="HU54" s="380">
        <f t="shared" si="232"/>
        <v>0</v>
      </c>
      <c r="HV54" s="380">
        <f t="shared" si="233"/>
        <v>0</v>
      </c>
      <c r="HW54" s="380">
        <f t="shared" si="234"/>
        <v>0</v>
      </c>
      <c r="HX54" s="380">
        <f t="shared" si="235"/>
        <v>61.857653185740631</v>
      </c>
      <c r="HY54" s="380">
        <f t="shared" si="236"/>
        <v>0</v>
      </c>
      <c r="HZ54" s="389">
        <f t="shared" si="237"/>
        <v>90.261125649973593</v>
      </c>
      <c r="IA54" s="379">
        <f t="shared" si="252"/>
        <v>350.64747003957211</v>
      </c>
      <c r="IB54" s="1344">
        <f t="shared" si="238"/>
        <v>0</v>
      </c>
      <c r="IC54" s="120">
        <f t="shared" si="253"/>
        <v>0</v>
      </c>
      <c r="ID54" s="120">
        <f t="shared" si="254"/>
        <v>0</v>
      </c>
      <c r="IE54" s="120">
        <f t="shared" si="255"/>
        <v>0</v>
      </c>
      <c r="IF54" s="120">
        <f t="shared" si="256"/>
        <v>49.425065100345449</v>
      </c>
      <c r="IG54" s="120">
        <f t="shared" si="257"/>
        <v>0</v>
      </c>
      <c r="IH54" s="120">
        <f t="shared" si="258"/>
        <v>77.718833677576214</v>
      </c>
      <c r="II54" s="120">
        <f t="shared" si="259"/>
        <v>0</v>
      </c>
      <c r="IJ54" s="120"/>
      <c r="IK54" s="120"/>
      <c r="IL54" s="120"/>
      <c r="IM54" s="1345"/>
      <c r="IN54" s="1346">
        <f t="shared" si="260"/>
        <v>127.14389877792166</v>
      </c>
      <c r="IO54" s="120"/>
      <c r="IP54" s="371" t="str">
        <f t="shared" si="261"/>
        <v/>
      </c>
      <c r="IQ54" s="348">
        <f t="shared" si="262"/>
        <v>-35.956914838387355</v>
      </c>
      <c r="IR54" s="320">
        <f t="shared" si="263"/>
        <v>198.52869120385785</v>
      </c>
      <c r="IS54" s="344">
        <f t="shared" si="264"/>
        <v>127.14389877792166</v>
      </c>
      <c r="IU54" s="320"/>
    </row>
    <row r="55" spans="1:255" ht="15" customHeight="1" x14ac:dyDescent="0.2">
      <c r="A55" s="1554" t="s">
        <v>441</v>
      </c>
      <c r="B55" s="379">
        <f t="shared" ref="B55:M55" si="372">+B21/B37</f>
        <v>0</v>
      </c>
      <c r="C55" s="380">
        <f t="shared" si="372"/>
        <v>0</v>
      </c>
      <c r="D55" s="380">
        <f t="shared" si="372"/>
        <v>0</v>
      </c>
      <c r="E55" s="380">
        <f t="shared" si="372"/>
        <v>0</v>
      </c>
      <c r="F55" s="380">
        <f t="shared" si="372"/>
        <v>0</v>
      </c>
      <c r="G55" s="380">
        <f t="shared" si="372"/>
        <v>0</v>
      </c>
      <c r="H55" s="380">
        <f t="shared" si="372"/>
        <v>0</v>
      </c>
      <c r="I55" s="380">
        <f t="shared" si="372"/>
        <v>0</v>
      </c>
      <c r="J55" s="380">
        <f t="shared" si="372"/>
        <v>0</v>
      </c>
      <c r="K55" s="380">
        <f t="shared" si="372"/>
        <v>0</v>
      </c>
      <c r="L55" s="380">
        <f t="shared" si="372"/>
        <v>0</v>
      </c>
      <c r="M55" s="389">
        <f t="shared" si="372"/>
        <v>0</v>
      </c>
      <c r="N55" s="381">
        <f t="shared" si="240"/>
        <v>0</v>
      </c>
      <c r="O55" s="379">
        <f>+O21/$O$37</f>
        <v>0</v>
      </c>
      <c r="P55" s="380">
        <f>+P21/$P$37</f>
        <v>0</v>
      </c>
      <c r="Q55" s="380">
        <f>+Q21/$Q$37</f>
        <v>0</v>
      </c>
      <c r="R55" s="380">
        <f>+R21/$R$37</f>
        <v>0</v>
      </c>
      <c r="S55" s="380">
        <f>+S21/$S$37</f>
        <v>0</v>
      </c>
      <c r="T55" s="380">
        <f>+T21/$T$37</f>
        <v>0</v>
      </c>
      <c r="U55" s="380">
        <f>+U21/$U$37</f>
        <v>0</v>
      </c>
      <c r="V55" s="380">
        <f>+V21/$V$37</f>
        <v>0</v>
      </c>
      <c r="W55" s="380">
        <f>+W21/$W$37</f>
        <v>0</v>
      </c>
      <c r="X55" s="380">
        <f>+X21/$X$37</f>
        <v>0</v>
      </c>
      <c r="Y55" s="380">
        <f>+Y21/$Y$37</f>
        <v>0</v>
      </c>
      <c r="Z55" s="389">
        <f>+Z21/$Z$37</f>
        <v>0</v>
      </c>
      <c r="AA55" s="381">
        <f>SUM(O55:Z55)</f>
        <v>0</v>
      </c>
      <c r="AB55" s="379">
        <f>+AB21/$AB$37</f>
        <v>0</v>
      </c>
      <c r="AC55" s="380">
        <f>+AC21/$AC$37</f>
        <v>0</v>
      </c>
      <c r="AD55" s="380">
        <f>+AD21/$AD$37</f>
        <v>0</v>
      </c>
      <c r="AE55" s="380">
        <f>+AE21/$AE$37</f>
        <v>0</v>
      </c>
      <c r="AF55" s="380">
        <f>+AF21/$AF$37</f>
        <v>0</v>
      </c>
      <c r="AG55" s="380">
        <f t="shared" si="270"/>
        <v>0</v>
      </c>
      <c r="AH55" s="380">
        <f t="shared" si="271"/>
        <v>0</v>
      </c>
      <c r="AI55" s="380">
        <f t="shared" si="272"/>
        <v>0</v>
      </c>
      <c r="AJ55" s="380">
        <f t="shared" si="273"/>
        <v>0</v>
      </c>
      <c r="AK55" s="380">
        <f t="shared" si="274"/>
        <v>0</v>
      </c>
      <c r="AL55" s="380">
        <f t="shared" si="275"/>
        <v>0</v>
      </c>
      <c r="AM55" s="389">
        <f t="shared" si="276"/>
        <v>0</v>
      </c>
      <c r="AN55" s="381">
        <f t="shared" si="277"/>
        <v>0</v>
      </c>
      <c r="AO55" s="379">
        <f t="shared" si="278"/>
        <v>0</v>
      </c>
      <c r="AP55" s="380">
        <f t="shared" si="279"/>
        <v>0</v>
      </c>
      <c r="AQ55" s="380">
        <f t="shared" si="280"/>
        <v>0</v>
      </c>
      <c r="AR55" s="380">
        <f t="shared" si="281"/>
        <v>0</v>
      </c>
      <c r="AS55" s="380">
        <f t="shared" si="282"/>
        <v>0</v>
      </c>
      <c r="AT55" s="380">
        <f t="shared" si="283"/>
        <v>0</v>
      </c>
      <c r="AU55" s="380">
        <f t="shared" si="284"/>
        <v>0</v>
      </c>
      <c r="AV55" s="380">
        <f t="shared" si="285"/>
        <v>0</v>
      </c>
      <c r="AW55" s="380">
        <f t="shared" si="286"/>
        <v>0</v>
      </c>
      <c r="AX55" s="380">
        <f t="shared" si="287"/>
        <v>0</v>
      </c>
      <c r="AY55" s="380">
        <f t="shared" si="288"/>
        <v>0</v>
      </c>
      <c r="AZ55" s="389">
        <f t="shared" si="289"/>
        <v>0</v>
      </c>
      <c r="BA55" s="381">
        <f t="shared" si="290"/>
        <v>0</v>
      </c>
      <c r="BB55" s="379">
        <f t="shared" si="291"/>
        <v>0</v>
      </c>
      <c r="BC55" s="380">
        <f t="shared" si="292"/>
        <v>0</v>
      </c>
      <c r="BD55" s="380">
        <f t="shared" si="293"/>
        <v>0</v>
      </c>
      <c r="BE55" s="380">
        <f t="shared" si="294"/>
        <v>0</v>
      </c>
      <c r="BF55" s="380">
        <f t="shared" si="295"/>
        <v>0</v>
      </c>
      <c r="BG55" s="380">
        <f t="shared" si="296"/>
        <v>0</v>
      </c>
      <c r="BH55" s="380">
        <f t="shared" si="297"/>
        <v>0</v>
      </c>
      <c r="BI55" s="380">
        <f t="shared" si="298"/>
        <v>0</v>
      </c>
      <c r="BJ55" s="380">
        <f t="shared" si="299"/>
        <v>0</v>
      </c>
      <c r="BK55" s="380">
        <f t="shared" si="300"/>
        <v>0</v>
      </c>
      <c r="BL55" s="380">
        <f t="shared" si="301"/>
        <v>0</v>
      </c>
      <c r="BM55" s="389">
        <f t="shared" si="302"/>
        <v>0</v>
      </c>
      <c r="BN55" s="381">
        <f t="shared" si="303"/>
        <v>0</v>
      </c>
      <c r="BO55" s="379">
        <f t="shared" si="304"/>
        <v>0</v>
      </c>
      <c r="BP55" s="380">
        <f t="shared" si="305"/>
        <v>0</v>
      </c>
      <c r="BQ55" s="380">
        <f t="shared" si="306"/>
        <v>0</v>
      </c>
      <c r="BR55" s="380">
        <f t="shared" si="307"/>
        <v>0</v>
      </c>
      <c r="BS55" s="380">
        <f t="shared" si="308"/>
        <v>0</v>
      </c>
      <c r="BT55" s="380">
        <f t="shared" si="309"/>
        <v>0</v>
      </c>
      <c r="BU55" s="380">
        <f t="shared" si="310"/>
        <v>0</v>
      </c>
      <c r="BV55" s="380">
        <f t="shared" si="311"/>
        <v>0</v>
      </c>
      <c r="BW55" s="380">
        <f t="shared" si="312"/>
        <v>0</v>
      </c>
      <c r="BX55" s="380">
        <f t="shared" si="313"/>
        <v>0</v>
      </c>
      <c r="BY55" s="380">
        <f t="shared" si="314"/>
        <v>0</v>
      </c>
      <c r="BZ55" s="389">
        <f t="shared" si="315"/>
        <v>0</v>
      </c>
      <c r="CA55" s="381">
        <f t="shared" si="316"/>
        <v>0</v>
      </c>
      <c r="CB55" s="379">
        <f t="shared" si="317"/>
        <v>0</v>
      </c>
      <c r="CC55" s="380">
        <f t="shared" si="318"/>
        <v>0</v>
      </c>
      <c r="CD55" s="380">
        <f t="shared" si="319"/>
        <v>0</v>
      </c>
      <c r="CE55" s="380">
        <f t="shared" si="320"/>
        <v>0</v>
      </c>
      <c r="CF55" s="380">
        <f t="shared" si="321"/>
        <v>0</v>
      </c>
      <c r="CG55" s="380">
        <f t="shared" si="322"/>
        <v>0</v>
      </c>
      <c r="CH55" s="380">
        <f t="shared" si="323"/>
        <v>0</v>
      </c>
      <c r="CI55" s="380">
        <f t="shared" si="324"/>
        <v>0</v>
      </c>
      <c r="CJ55" s="380">
        <f t="shared" si="325"/>
        <v>0</v>
      </c>
      <c r="CK55" s="380">
        <f t="shared" si="326"/>
        <v>0</v>
      </c>
      <c r="CL55" s="380">
        <f t="shared" si="327"/>
        <v>0</v>
      </c>
      <c r="CM55" s="389">
        <f t="shared" si="328"/>
        <v>0</v>
      </c>
      <c r="CN55" s="381">
        <f t="shared" si="329"/>
        <v>0</v>
      </c>
      <c r="CO55" s="379">
        <f t="shared" si="330"/>
        <v>0</v>
      </c>
      <c r="CP55" s="380">
        <f t="shared" si="331"/>
        <v>0</v>
      </c>
      <c r="CQ55" s="380">
        <f t="shared" si="332"/>
        <v>0</v>
      </c>
      <c r="CR55" s="380">
        <f t="shared" si="333"/>
        <v>0</v>
      </c>
      <c r="CS55" s="380">
        <f t="shared" si="334"/>
        <v>0</v>
      </c>
      <c r="CT55" s="380">
        <f t="shared" si="335"/>
        <v>0</v>
      </c>
      <c r="CU55" s="380">
        <f t="shared" si="336"/>
        <v>0</v>
      </c>
      <c r="CV55" s="380">
        <f t="shared" si="337"/>
        <v>0</v>
      </c>
      <c r="CW55" s="380">
        <f t="shared" si="338"/>
        <v>0</v>
      </c>
      <c r="CX55" s="380">
        <f t="shared" si="339"/>
        <v>0</v>
      </c>
      <c r="CY55" s="380">
        <f t="shared" si="340"/>
        <v>0</v>
      </c>
      <c r="CZ55" s="389">
        <f t="shared" si="341"/>
        <v>0</v>
      </c>
      <c r="DA55" s="381">
        <f t="shared" si="241"/>
        <v>0</v>
      </c>
      <c r="DB55" s="379">
        <f t="shared" si="342"/>
        <v>0</v>
      </c>
      <c r="DC55" s="380">
        <f t="shared" si="343"/>
        <v>0</v>
      </c>
      <c r="DD55" s="380">
        <f t="shared" si="344"/>
        <v>0</v>
      </c>
      <c r="DE55" s="380">
        <f t="shared" si="345"/>
        <v>0</v>
      </c>
      <c r="DF55" s="380">
        <f t="shared" si="346"/>
        <v>0</v>
      </c>
      <c r="DG55" s="380">
        <f t="shared" si="347"/>
        <v>0</v>
      </c>
      <c r="DH55" s="380">
        <f t="shared" si="348"/>
        <v>3725.9266961566832</v>
      </c>
      <c r="DI55" s="380">
        <f t="shared" si="349"/>
        <v>0</v>
      </c>
      <c r="DJ55" s="380">
        <f t="shared" si="350"/>
        <v>0</v>
      </c>
      <c r="DK55" s="380">
        <f t="shared" si="351"/>
        <v>0</v>
      </c>
      <c r="DL55" s="380">
        <f t="shared" si="352"/>
        <v>14.660230313317594</v>
      </c>
      <c r="DM55" s="389">
        <f t="shared" si="353"/>
        <v>3667.6146801980617</v>
      </c>
      <c r="DN55" s="381">
        <f t="shared" si="242"/>
        <v>7408.2016066680626</v>
      </c>
      <c r="DO55" s="379">
        <f t="shared" si="354"/>
        <v>0</v>
      </c>
      <c r="DP55" s="380">
        <f t="shared" si="355"/>
        <v>0</v>
      </c>
      <c r="DQ55" s="380">
        <f t="shared" si="356"/>
        <v>0</v>
      </c>
      <c r="DR55" s="380">
        <f t="shared" si="357"/>
        <v>0</v>
      </c>
      <c r="DS55" s="380">
        <f t="shared" si="358"/>
        <v>0</v>
      </c>
      <c r="DT55" s="380">
        <f t="shared" si="359"/>
        <v>0</v>
      </c>
      <c r="DU55" s="380">
        <f t="shared" si="360"/>
        <v>0</v>
      </c>
      <c r="DV55" s="380">
        <f t="shared" si="361"/>
        <v>0</v>
      </c>
      <c r="DW55" s="380">
        <f t="shared" si="362"/>
        <v>0</v>
      </c>
      <c r="DX55" s="380">
        <f t="shared" si="363"/>
        <v>0</v>
      </c>
      <c r="DY55" s="380">
        <f t="shared" si="364"/>
        <v>0</v>
      </c>
      <c r="DZ55" s="389">
        <f t="shared" si="365"/>
        <v>7235.7459103340689</v>
      </c>
      <c r="EA55" s="381">
        <f t="shared" si="243"/>
        <v>7235.7459103340689</v>
      </c>
      <c r="EB55" s="379">
        <f t="shared" si="143"/>
        <v>0</v>
      </c>
      <c r="EC55" s="380">
        <f t="shared" si="144"/>
        <v>0</v>
      </c>
      <c r="ED55" s="380">
        <f t="shared" si="145"/>
        <v>0</v>
      </c>
      <c r="EE55" s="380">
        <f t="shared" si="146"/>
        <v>0</v>
      </c>
      <c r="EF55" s="380">
        <f t="shared" si="147"/>
        <v>0</v>
      </c>
      <c r="EG55" s="380">
        <f t="shared" si="148"/>
        <v>0</v>
      </c>
      <c r="EH55" s="380">
        <f t="shared" si="149"/>
        <v>0</v>
      </c>
      <c r="EI55" s="380">
        <f t="shared" si="150"/>
        <v>0</v>
      </c>
      <c r="EJ55" s="380">
        <f t="shared" si="151"/>
        <v>0</v>
      </c>
      <c r="EK55" s="380">
        <f t="shared" si="152"/>
        <v>3551.3180072619984</v>
      </c>
      <c r="EL55" s="380">
        <f t="shared" si="153"/>
        <v>3547.0615334218924</v>
      </c>
      <c r="EM55" s="389">
        <f t="shared" si="154"/>
        <v>0</v>
      </c>
      <c r="EN55" s="381">
        <f t="shared" si="244"/>
        <v>7098.3795406838908</v>
      </c>
      <c r="EO55" s="379">
        <f t="shared" si="155"/>
        <v>0</v>
      </c>
      <c r="EP55" s="380">
        <f t="shared" si="156"/>
        <v>0</v>
      </c>
      <c r="EQ55" s="380">
        <f t="shared" si="157"/>
        <v>0</v>
      </c>
      <c r="ER55" s="380">
        <f t="shared" si="158"/>
        <v>0</v>
      </c>
      <c r="ES55" s="380">
        <f>+ES21/$ES$37</f>
        <v>0</v>
      </c>
      <c r="ET55" s="380">
        <f t="shared" si="159"/>
        <v>4432.3744122645921</v>
      </c>
      <c r="EU55" s="380">
        <f t="shared" si="160"/>
        <v>0</v>
      </c>
      <c r="EV55" s="380">
        <f t="shared" si="161"/>
        <v>0</v>
      </c>
      <c r="EW55" s="380">
        <f t="shared" si="162"/>
        <v>0</v>
      </c>
      <c r="EX55" s="380">
        <f t="shared" si="163"/>
        <v>0</v>
      </c>
      <c r="EY55" s="380">
        <f t="shared" si="164"/>
        <v>0</v>
      </c>
      <c r="EZ55" s="389">
        <f t="shared" si="165"/>
        <v>4335.7146806074052</v>
      </c>
      <c r="FA55" s="381">
        <f t="shared" si="246"/>
        <v>8768.0890928719964</v>
      </c>
      <c r="FB55" s="379">
        <f t="shared" si="166"/>
        <v>0</v>
      </c>
      <c r="FC55" s="380">
        <f t="shared" si="167"/>
        <v>0</v>
      </c>
      <c r="FD55" s="380">
        <f t="shared" si="168"/>
        <v>0</v>
      </c>
      <c r="FE55" s="380">
        <f t="shared" si="169"/>
        <v>0</v>
      </c>
      <c r="FF55" s="380">
        <f t="shared" si="170"/>
        <v>0</v>
      </c>
      <c r="FG55" s="380">
        <f t="shared" si="171"/>
        <v>0</v>
      </c>
      <c r="FH55" s="380">
        <f t="shared" si="172"/>
        <v>3428.7532147318752</v>
      </c>
      <c r="FI55" s="380">
        <f t="shared" si="173"/>
        <v>0</v>
      </c>
      <c r="FJ55" s="380">
        <f t="shared" si="174"/>
        <v>0</v>
      </c>
      <c r="FK55" s="380">
        <f t="shared" si="175"/>
        <v>0</v>
      </c>
      <c r="FL55" s="380">
        <f t="shared" si="176"/>
        <v>0</v>
      </c>
      <c r="FM55" s="389">
        <f t="shared" si="177"/>
        <v>3407.6125143068475</v>
      </c>
      <c r="FN55" s="381">
        <f t="shared" si="247"/>
        <v>6836.3657290387227</v>
      </c>
      <c r="FO55" s="379">
        <f t="shared" si="178"/>
        <v>0</v>
      </c>
      <c r="FP55" s="380">
        <f t="shared" si="179"/>
        <v>0</v>
      </c>
      <c r="FQ55" s="380">
        <f t="shared" si="180"/>
        <v>0</v>
      </c>
      <c r="FR55" s="380">
        <f t="shared" si="181"/>
        <v>0</v>
      </c>
      <c r="FS55" s="380">
        <f t="shared" si="182"/>
        <v>0</v>
      </c>
      <c r="FT55" s="380">
        <f t="shared" si="183"/>
        <v>3748.4635861082434</v>
      </c>
      <c r="FU55" s="380">
        <f t="shared" si="184"/>
        <v>0</v>
      </c>
      <c r="FV55" s="380">
        <f t="shared" si="185"/>
        <v>0</v>
      </c>
      <c r="FW55" s="380">
        <f t="shared" si="186"/>
        <v>0</v>
      </c>
      <c r="FX55" s="380">
        <f t="shared" si="187"/>
        <v>0</v>
      </c>
      <c r="FY55" s="380">
        <f t="shared" si="188"/>
        <v>0</v>
      </c>
      <c r="FZ55" s="389">
        <f t="shared" si="189"/>
        <v>3592.9961367219416</v>
      </c>
      <c r="GA55" s="381">
        <f t="shared" si="248"/>
        <v>7341.4597228301845</v>
      </c>
      <c r="GB55" s="379">
        <f t="shared" si="190"/>
        <v>0</v>
      </c>
      <c r="GC55" s="380">
        <f t="shared" si="191"/>
        <v>0</v>
      </c>
      <c r="GD55" s="380">
        <f t="shared" si="192"/>
        <v>0</v>
      </c>
      <c r="GE55" s="380">
        <f t="shared" si="193"/>
        <v>0</v>
      </c>
      <c r="GF55" s="380">
        <f t="shared" si="194"/>
        <v>0</v>
      </c>
      <c r="GG55" s="380">
        <f t="shared" si="195"/>
        <v>3381.8269388152876</v>
      </c>
      <c r="GH55" s="380">
        <f t="shared" si="196"/>
        <v>0</v>
      </c>
      <c r="GI55" s="380">
        <f t="shared" si="197"/>
        <v>0</v>
      </c>
      <c r="GJ55" s="380">
        <f t="shared" si="198"/>
        <v>0</v>
      </c>
      <c r="GK55" s="380">
        <f t="shared" si="199"/>
        <v>0</v>
      </c>
      <c r="GL55" s="380">
        <f t="shared" si="200"/>
        <v>0</v>
      </c>
      <c r="GM55" s="389">
        <f t="shared" si="201"/>
        <v>3261.7727297485626</v>
      </c>
      <c r="GN55" s="381">
        <f t="shared" si="249"/>
        <v>6643.5996685638502</v>
      </c>
      <c r="GO55" s="379">
        <f t="shared" si="202"/>
        <v>0</v>
      </c>
      <c r="GP55" s="380">
        <f t="shared" si="203"/>
        <v>0</v>
      </c>
      <c r="GQ55" s="380">
        <f t="shared" si="204"/>
        <v>0</v>
      </c>
      <c r="GR55" s="380">
        <f t="shared" si="205"/>
        <v>0</v>
      </c>
      <c r="GS55" s="380">
        <f t="shared" si="206"/>
        <v>0</v>
      </c>
      <c r="GT55" s="380">
        <f t="shared" si="207"/>
        <v>0</v>
      </c>
      <c r="GU55" s="380">
        <f t="shared" si="208"/>
        <v>3165.7878425742147</v>
      </c>
      <c r="GV55" s="380">
        <f t="shared" si="209"/>
        <v>0</v>
      </c>
      <c r="GW55" s="380">
        <f t="shared" si="210"/>
        <v>0</v>
      </c>
      <c r="GX55" s="380">
        <f t="shared" si="211"/>
        <v>0</v>
      </c>
      <c r="GY55" s="380">
        <f t="shared" si="212"/>
        <v>0</v>
      </c>
      <c r="GZ55" s="389">
        <f t="shared" si="213"/>
        <v>3157.7061294000678</v>
      </c>
      <c r="HA55" s="381">
        <f t="shared" si="250"/>
        <v>6323.4939719742824</v>
      </c>
      <c r="HB55" s="379">
        <f t="shared" si="214"/>
        <v>0</v>
      </c>
      <c r="HC55" s="380">
        <f t="shared" si="215"/>
        <v>0</v>
      </c>
      <c r="HD55" s="380">
        <f t="shared" si="216"/>
        <v>0</v>
      </c>
      <c r="HE55" s="380">
        <f t="shared" si="217"/>
        <v>0</v>
      </c>
      <c r="HF55" s="380">
        <f t="shared" si="218"/>
        <v>0</v>
      </c>
      <c r="HG55" s="380">
        <f t="shared" si="219"/>
        <v>3107.6056138696904</v>
      </c>
      <c r="HH55" s="380">
        <f t="shared" si="220"/>
        <v>0</v>
      </c>
      <c r="HI55" s="380">
        <f t="shared" si="221"/>
        <v>0</v>
      </c>
      <c r="HJ55" s="380">
        <f t="shared" si="222"/>
        <v>0</v>
      </c>
      <c r="HK55" s="380">
        <f t="shared" si="223"/>
        <v>0</v>
      </c>
      <c r="HL55" s="380">
        <f t="shared" si="224"/>
        <v>0</v>
      </c>
      <c r="HM55" s="389">
        <f t="shared" si="225"/>
        <v>3081.5773357940957</v>
      </c>
      <c r="HN55" s="381">
        <f t="shared" si="251"/>
        <v>6189.1829496637856</v>
      </c>
      <c r="HO55" s="379">
        <f t="shared" si="226"/>
        <v>0</v>
      </c>
      <c r="HP55" s="380">
        <f t="shared" si="227"/>
        <v>0</v>
      </c>
      <c r="HQ55" s="380">
        <f t="shared" si="228"/>
        <v>0</v>
      </c>
      <c r="HR55" s="380">
        <f t="shared" si="229"/>
        <v>0</v>
      </c>
      <c r="HS55" s="380">
        <f t="shared" si="230"/>
        <v>0</v>
      </c>
      <c r="HT55" s="380">
        <f t="shared" si="231"/>
        <v>3060.6506560594753</v>
      </c>
      <c r="HU55" s="380">
        <f t="shared" si="232"/>
        <v>0</v>
      </c>
      <c r="HV55" s="380">
        <f t="shared" si="233"/>
        <v>0</v>
      </c>
      <c r="HW55" s="380">
        <f t="shared" si="234"/>
        <v>0</v>
      </c>
      <c r="HX55" s="380">
        <f t="shared" si="235"/>
        <v>0</v>
      </c>
      <c r="HY55" s="380">
        <f t="shared" si="236"/>
        <v>2.7584680594979734</v>
      </c>
      <c r="HZ55" s="389">
        <f t="shared" si="237"/>
        <v>290.04642205814685</v>
      </c>
      <c r="IA55" s="379">
        <f t="shared" si="252"/>
        <v>3353.4555461771197</v>
      </c>
      <c r="IB55" s="1344">
        <f t="shared" si="238"/>
        <v>0</v>
      </c>
      <c r="IC55" s="120">
        <f t="shared" si="253"/>
        <v>0</v>
      </c>
      <c r="ID55" s="120">
        <f t="shared" si="254"/>
        <v>0</v>
      </c>
      <c r="IE55" s="120">
        <f t="shared" si="255"/>
        <v>0</v>
      </c>
      <c r="IF55" s="120">
        <f t="shared" si="256"/>
        <v>2608.8994040601701</v>
      </c>
      <c r="IG55" s="120">
        <f t="shared" si="257"/>
        <v>3.1813966651118903</v>
      </c>
      <c r="IH55" s="120">
        <f t="shared" si="258"/>
        <v>258.00537982759994</v>
      </c>
      <c r="II55" s="120">
        <f t="shared" si="259"/>
        <v>0</v>
      </c>
      <c r="IJ55" s="120"/>
      <c r="IK55" s="120"/>
      <c r="IL55" s="120"/>
      <c r="IM55" s="1345"/>
      <c r="IN55" s="1346">
        <f t="shared" si="260"/>
        <v>2870.0861805528821</v>
      </c>
      <c r="IO55" s="120"/>
      <c r="IP55" s="371" t="str">
        <f t="shared" si="261"/>
        <v/>
      </c>
      <c r="IQ55" s="348">
        <f t="shared" si="262"/>
        <v>-6.2262733294737078</v>
      </c>
      <c r="IR55" s="320">
        <f t="shared" si="263"/>
        <v>3060.6506560594753</v>
      </c>
      <c r="IS55" s="344">
        <f t="shared" si="264"/>
        <v>2870.0861805528821</v>
      </c>
      <c r="IU55" s="320"/>
    </row>
    <row r="56" spans="1:255" ht="15" customHeight="1" x14ac:dyDescent="0.2">
      <c r="A56" s="342" t="s">
        <v>352</v>
      </c>
      <c r="B56" s="379"/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9"/>
      <c r="N56" s="381">
        <f t="shared" si="240"/>
        <v>0</v>
      </c>
      <c r="O56" s="379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9"/>
      <c r="AA56" s="381"/>
      <c r="AB56" s="379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89"/>
      <c r="AN56" s="381"/>
      <c r="AO56" s="379"/>
      <c r="AP56" s="380"/>
      <c r="AQ56" s="380"/>
      <c r="AR56" s="380"/>
      <c r="AS56" s="380"/>
      <c r="AT56" s="380"/>
      <c r="AU56" s="380"/>
      <c r="AV56" s="380"/>
      <c r="AW56" s="380"/>
      <c r="AX56" s="380"/>
      <c r="AY56" s="380"/>
      <c r="AZ56" s="389"/>
      <c r="BA56" s="381"/>
      <c r="BB56" s="379"/>
      <c r="BC56" s="380"/>
      <c r="BD56" s="380"/>
      <c r="BE56" s="380"/>
      <c r="BF56" s="380"/>
      <c r="BG56" s="380"/>
      <c r="BH56" s="380"/>
      <c r="BI56" s="380"/>
      <c r="BJ56" s="380"/>
      <c r="BK56" s="380"/>
      <c r="BL56" s="380"/>
      <c r="BM56" s="389"/>
      <c r="BN56" s="381"/>
      <c r="BO56" s="379"/>
      <c r="BP56" s="380"/>
      <c r="BQ56" s="380"/>
      <c r="BR56" s="380"/>
      <c r="BS56" s="380"/>
      <c r="BT56" s="380"/>
      <c r="BU56" s="380"/>
      <c r="BV56" s="380"/>
      <c r="BW56" s="380"/>
      <c r="BX56" s="380"/>
      <c r="BY56" s="380"/>
      <c r="BZ56" s="389"/>
      <c r="CA56" s="381"/>
      <c r="CB56" s="379"/>
      <c r="CC56" s="380"/>
      <c r="CD56" s="380"/>
      <c r="CE56" s="380"/>
      <c r="CF56" s="380"/>
      <c r="CG56" s="380"/>
      <c r="CH56" s="380"/>
      <c r="CI56" s="380"/>
      <c r="CJ56" s="380"/>
      <c r="CK56" s="380"/>
      <c r="CL56" s="380"/>
      <c r="CM56" s="389"/>
      <c r="CN56" s="381"/>
      <c r="CO56" s="379"/>
      <c r="CP56" s="380"/>
      <c r="CQ56" s="380"/>
      <c r="CR56" s="380"/>
      <c r="CS56" s="380"/>
      <c r="CT56" s="380"/>
      <c r="CU56" s="380"/>
      <c r="CV56" s="380"/>
      <c r="CW56" s="380"/>
      <c r="CX56" s="380"/>
      <c r="CY56" s="380"/>
      <c r="CZ56" s="389"/>
      <c r="DA56" s="381"/>
      <c r="DB56" s="379"/>
      <c r="DC56" s="380"/>
      <c r="DD56" s="380"/>
      <c r="DE56" s="380"/>
      <c r="DF56" s="380"/>
      <c r="DG56" s="380"/>
      <c r="DH56" s="380"/>
      <c r="DI56" s="380"/>
      <c r="DJ56" s="380"/>
      <c r="DK56" s="380"/>
      <c r="DL56" s="380"/>
      <c r="DM56" s="389"/>
      <c r="DN56" s="381"/>
      <c r="DO56" s="379"/>
      <c r="DP56" s="380"/>
      <c r="DQ56" s="380"/>
      <c r="DR56" s="380"/>
      <c r="DS56" s="380"/>
      <c r="DT56" s="380"/>
      <c r="DU56" s="380"/>
      <c r="DV56" s="380"/>
      <c r="DW56" s="380"/>
      <c r="DX56" s="380"/>
      <c r="DY56" s="380"/>
      <c r="DZ56" s="389"/>
      <c r="EA56" s="381"/>
      <c r="EB56" s="379"/>
      <c r="EC56" s="380"/>
      <c r="ED56" s="380"/>
      <c r="EE56" s="380"/>
      <c r="EF56" s="380"/>
      <c r="EG56" s="380"/>
      <c r="EH56" s="380"/>
      <c r="EI56" s="380"/>
      <c r="EJ56" s="380"/>
      <c r="EK56" s="380"/>
      <c r="EL56" s="380"/>
      <c r="EM56" s="389"/>
      <c r="EN56" s="381"/>
      <c r="EO56" s="379"/>
      <c r="EP56" s="380"/>
      <c r="EQ56" s="380"/>
      <c r="ER56" s="380"/>
      <c r="ES56" s="380"/>
      <c r="ET56" s="380"/>
      <c r="EU56" s="380"/>
      <c r="EV56" s="380"/>
      <c r="EW56" s="380"/>
      <c r="EX56" s="380"/>
      <c r="EY56" s="380"/>
      <c r="EZ56" s="389"/>
      <c r="FA56" s="381"/>
      <c r="FB56" s="379"/>
      <c r="FC56" s="380"/>
      <c r="FD56" s="380"/>
      <c r="FE56" s="380"/>
      <c r="FF56" s="380"/>
      <c r="FG56" s="380"/>
      <c r="FH56" s="380"/>
      <c r="FI56" s="380"/>
      <c r="FJ56" s="380"/>
      <c r="FK56" s="380"/>
      <c r="FL56" s="380"/>
      <c r="FM56" s="389"/>
      <c r="FN56" s="381"/>
      <c r="FO56" s="379"/>
      <c r="FP56" s="380"/>
      <c r="FQ56" s="380"/>
      <c r="FR56" s="380"/>
      <c r="FS56" s="380"/>
      <c r="FT56" s="380"/>
      <c r="FU56" s="380"/>
      <c r="FV56" s="380"/>
      <c r="FW56" s="380"/>
      <c r="FX56" s="380"/>
      <c r="FY56" s="380"/>
      <c r="FZ56" s="389"/>
      <c r="GA56" s="381"/>
      <c r="GB56" s="379"/>
      <c r="GC56" s="380"/>
      <c r="GD56" s="380"/>
      <c r="GE56" s="380"/>
      <c r="GF56" s="380"/>
      <c r="GG56" s="380"/>
      <c r="GH56" s="380"/>
      <c r="GI56" s="380"/>
      <c r="GJ56" s="380"/>
      <c r="GK56" s="380"/>
      <c r="GL56" s="380"/>
      <c r="GM56" s="389"/>
      <c r="GN56" s="381"/>
      <c r="GO56" s="379"/>
      <c r="GP56" s="380"/>
      <c r="GQ56" s="380"/>
      <c r="GR56" s="380"/>
      <c r="GS56" s="380"/>
      <c r="GT56" s="380"/>
      <c r="GU56" s="380"/>
      <c r="GV56" s="380"/>
      <c r="GW56" s="380"/>
      <c r="GX56" s="380"/>
      <c r="GY56" s="380"/>
      <c r="GZ56" s="389"/>
      <c r="HA56" s="381"/>
      <c r="HB56" s="379"/>
      <c r="HC56" s="380"/>
      <c r="HD56" s="380"/>
      <c r="HE56" s="380"/>
      <c r="HF56" s="380"/>
      <c r="HG56" s="380"/>
      <c r="HH56" s="380"/>
      <c r="HI56" s="380"/>
      <c r="HJ56" s="380"/>
      <c r="HK56" s="380"/>
      <c r="HL56" s="380"/>
      <c r="HM56" s="389"/>
      <c r="HN56" s="381"/>
      <c r="HO56" s="379"/>
      <c r="HP56" s="380"/>
      <c r="HQ56" s="380"/>
      <c r="HR56" s="380"/>
      <c r="HS56" s="380"/>
      <c r="HT56" s="380"/>
      <c r="HU56" s="380"/>
      <c r="HV56" s="380"/>
      <c r="HW56" s="380"/>
      <c r="HX56" s="380"/>
      <c r="HY56" s="380"/>
      <c r="HZ56" s="389">
        <f t="shared" si="237"/>
        <v>0</v>
      </c>
      <c r="IA56" s="379"/>
      <c r="IB56" s="1344"/>
      <c r="IC56" s="120"/>
      <c r="ID56" s="120"/>
      <c r="IE56" s="120"/>
      <c r="IF56" s="120">
        <f t="shared" si="256"/>
        <v>0</v>
      </c>
      <c r="IG56" s="120">
        <f t="shared" si="257"/>
        <v>0</v>
      </c>
      <c r="IH56" s="120">
        <f t="shared" si="258"/>
        <v>0</v>
      </c>
      <c r="II56" s="120">
        <f t="shared" si="259"/>
        <v>0</v>
      </c>
      <c r="IJ56" s="120"/>
      <c r="IK56" s="120"/>
      <c r="IL56" s="120"/>
      <c r="IM56" s="1345"/>
      <c r="IN56" s="1346"/>
      <c r="IO56" s="120"/>
      <c r="IP56" s="371" t="str">
        <f t="shared" si="261"/>
        <v/>
      </c>
      <c r="IQ56" s="348"/>
      <c r="IR56" s="320">
        <f t="shared" si="263"/>
        <v>0</v>
      </c>
      <c r="IS56" s="344">
        <f t="shared" si="264"/>
        <v>0</v>
      </c>
    </row>
    <row r="57" spans="1:255" s="1523" customFormat="1" ht="15" customHeight="1" x14ac:dyDescent="0.2">
      <c r="A57" s="1552" t="s">
        <v>297</v>
      </c>
      <c r="B57" s="1512">
        <f t="shared" ref="B57:M57" si="373">+B23/B37</f>
        <v>30461.868721642586</v>
      </c>
      <c r="C57" s="1513">
        <f t="shared" si="373"/>
        <v>35760.822272417288</v>
      </c>
      <c r="D57" s="1513">
        <f t="shared" si="373"/>
        <v>31419.897462165653</v>
      </c>
      <c r="E57" s="1513">
        <f t="shared" si="373"/>
        <v>32182.700986159318</v>
      </c>
      <c r="F57" s="1513">
        <f t="shared" si="373"/>
        <v>33998.659785091426</v>
      </c>
      <c r="G57" s="1513">
        <f t="shared" si="373"/>
        <v>41037.193202648676</v>
      </c>
      <c r="H57" s="1513">
        <f t="shared" si="373"/>
        <v>73726.416620811564</v>
      </c>
      <c r="I57" s="1513">
        <f t="shared" si="373"/>
        <v>45373.134257230588</v>
      </c>
      <c r="J57" s="1513">
        <f t="shared" si="373"/>
        <v>35803.089961189879</v>
      </c>
      <c r="K57" s="1513">
        <f t="shared" si="373"/>
        <v>41064.134068717649</v>
      </c>
      <c r="L57" s="1513">
        <f t="shared" si="373"/>
        <v>42281.066981754477</v>
      </c>
      <c r="M57" s="1514">
        <f t="shared" si="373"/>
        <v>105162.5631978017</v>
      </c>
      <c r="N57" s="1515">
        <f t="shared" si="240"/>
        <v>548271.54751763074</v>
      </c>
      <c r="O57" s="1512">
        <f t="shared" ref="O57:O64" si="374">+O23/$O$37</f>
        <v>30732.33687997211</v>
      </c>
      <c r="P57" s="1513">
        <f t="shared" ref="P57:P64" si="375">+P23/$P$37</f>
        <v>40364.10253500806</v>
      </c>
      <c r="Q57" s="1513">
        <f t="shared" ref="Q57:Q64" si="376">+Q23/$Q$37</f>
        <v>38210.545735086343</v>
      </c>
      <c r="R57" s="1513">
        <f t="shared" ref="R57:R64" si="377">+R23/$R$37</f>
        <v>58196.812029839784</v>
      </c>
      <c r="S57" s="1513">
        <f t="shared" ref="S57:S64" si="378">+S23/$S$37</f>
        <v>38889.747867967737</v>
      </c>
      <c r="T57" s="1513">
        <f t="shared" ref="T57:T64" si="379">+T23/$T$37</f>
        <v>39297.294652932324</v>
      </c>
      <c r="U57" s="1513">
        <f t="shared" ref="U57:U64" si="380">+U23/$U$37</f>
        <v>49192.936168318825</v>
      </c>
      <c r="V57" s="1513">
        <f t="shared" ref="V57:V64" si="381">+V23/$V$37</f>
        <v>40522.713385984382</v>
      </c>
      <c r="W57" s="1513">
        <f t="shared" ref="W57:W64" si="382">+W23/$W$37</f>
        <v>50737.904173721072</v>
      </c>
      <c r="X57" s="1513">
        <f t="shared" ref="X57:X64" si="383">+X23/$X$37</f>
        <v>45564.433017343508</v>
      </c>
      <c r="Y57" s="1513">
        <f t="shared" ref="Y57:Y64" si="384">+Y23/$Y$37</f>
        <v>43941.640915280761</v>
      </c>
      <c r="Z57" s="1514">
        <f t="shared" ref="Z57:Z64" si="385">+Z23/$Z$37</f>
        <v>70196.472681792729</v>
      </c>
      <c r="AA57" s="1515">
        <f>SUM(O57:Z57)</f>
        <v>545846.94004324754</v>
      </c>
      <c r="AB57" s="1512">
        <f t="shared" ref="AB57:AB64" si="386">+AB23/$AB$37</f>
        <v>33237.329105571895</v>
      </c>
      <c r="AC57" s="1513">
        <f t="shared" ref="AC57:AC64" si="387">+AC23/$AC$37</f>
        <v>48573.381441201484</v>
      </c>
      <c r="AD57" s="1513">
        <f t="shared" ref="AD57:AD64" si="388">+AD23/$AD$37</f>
        <v>37566.942261682489</v>
      </c>
      <c r="AE57" s="1513">
        <f t="shared" ref="AE57:AE64" si="389">+AE23/$AE$37</f>
        <v>41790.731412877161</v>
      </c>
      <c r="AF57" s="1513">
        <f t="shared" ref="AF57:AF64" si="390">+AF23/$AF$37</f>
        <v>48757.888527804687</v>
      </c>
      <c r="AG57" s="1513">
        <f t="shared" ref="AG57:AG64" si="391">+AG23/$AG$37</f>
        <v>53000.803874988582</v>
      </c>
      <c r="AH57" s="1513">
        <f t="shared" ref="AH57:AH64" si="392">+AH23/$AH$37</f>
        <v>56199.832883294708</v>
      </c>
      <c r="AI57" s="1513">
        <f t="shared" ref="AI57:AI64" si="393">+AI23/$AI$37</f>
        <v>49611.992118112714</v>
      </c>
      <c r="AJ57" s="1513">
        <f t="shared" ref="AJ57:AJ64" si="394">+AJ23/$AJ$37</f>
        <v>43627.137440051119</v>
      </c>
      <c r="AK57" s="1513">
        <f t="shared" ref="AK57:AK64" si="395">+AK23/$AK$37</f>
        <v>43591.075911843349</v>
      </c>
      <c r="AL57" s="1513">
        <f t="shared" ref="AL57:AL64" si="396">+AL23/$AL$37</f>
        <v>47437.52836632706</v>
      </c>
      <c r="AM57" s="1514">
        <f t="shared" ref="AM57:AM64" si="397">+AM23/$AM$37</f>
        <v>66734.387955484228</v>
      </c>
      <c r="AN57" s="1515">
        <f>SUM(AB57:AM57)</f>
        <v>570129.03129923949</v>
      </c>
      <c r="AO57" s="1512">
        <f t="shared" ref="AO57:AO64" si="398">+AO23/$AO$37</f>
        <v>41170.709046748219</v>
      </c>
      <c r="AP57" s="1513">
        <f t="shared" ref="AP57:AP64" si="399">+AP23/$AP$37</f>
        <v>37870.906645153365</v>
      </c>
      <c r="AQ57" s="1513">
        <f t="shared" ref="AQ57:AQ64" si="400">+AQ23/$AQ$37</f>
        <v>47650.409675742783</v>
      </c>
      <c r="AR57" s="1513">
        <f t="shared" ref="AR57:AR64" si="401">+AR23/$AR$37</f>
        <v>30269.532785526604</v>
      </c>
      <c r="AS57" s="1513">
        <f t="shared" ref="AS57:AS64" si="402">+AS23/$AS$37</f>
        <v>42531.668042975689</v>
      </c>
      <c r="AT57" s="1513">
        <f t="shared" ref="AT57:AT64" si="403">+AT23/$AT$37</f>
        <v>46915.519455589121</v>
      </c>
      <c r="AU57" s="1513">
        <f t="shared" ref="AU57:AU64" si="404">+AU23/$AU$37</f>
        <v>39091.496171605548</v>
      </c>
      <c r="AV57" s="1513">
        <f t="shared" ref="AV57:AV64" si="405">+AV23/$AV$37</f>
        <v>55293.393215078962</v>
      </c>
      <c r="AW57" s="1513">
        <f t="shared" ref="AW57:AW64" si="406">+AW23/$AW$37</f>
        <v>56941.931553803224</v>
      </c>
      <c r="AX57" s="1513">
        <f t="shared" ref="AX57:AX64" si="407">+AX23/$AX$37</f>
        <v>55247.060362858298</v>
      </c>
      <c r="AY57" s="1513">
        <f t="shared" ref="AY57:AY64" si="408">+AY23/$AY$37</f>
        <v>53454.246820714587</v>
      </c>
      <c r="AZ57" s="1514">
        <f t="shared" ref="AZ57:AZ64" si="409">+AZ23/$AZ$37</f>
        <v>98995.789519332029</v>
      </c>
      <c r="BA57" s="1515">
        <f>SUM(AO57:AZ57)</f>
        <v>605432.66329512838</v>
      </c>
      <c r="BB57" s="1512">
        <f t="shared" ref="BB57:BB64" si="410">+BB23/$BB$37</f>
        <v>41132.153772636491</v>
      </c>
      <c r="BC57" s="1513">
        <f t="shared" ref="BC57:BC64" si="411">+BC23/$BC$37</f>
        <v>37929.2824025624</v>
      </c>
      <c r="BD57" s="1513">
        <f t="shared" ref="BD57:BD64" si="412">+BD23/$BD$37</f>
        <v>41252.608719509706</v>
      </c>
      <c r="BE57" s="1513">
        <f t="shared" ref="BE57:BE64" si="413">+BE23/$BE$37</f>
        <v>37327.78119021748</v>
      </c>
      <c r="BF57" s="1513">
        <f t="shared" ref="BF57:BF64" si="414">+BF23/$BF$37</f>
        <v>60672.354548845826</v>
      </c>
      <c r="BG57" s="1513">
        <f t="shared" ref="BG57:BG64" si="415">+BG23/$BG$37</f>
        <v>67314.411863936853</v>
      </c>
      <c r="BH57" s="1513">
        <f t="shared" ref="BH57:BH64" si="416">+BH23/$BH$37</f>
        <v>47279.93171667734</v>
      </c>
      <c r="BI57" s="1513">
        <f t="shared" ref="BI57:BI64" si="417">+BI23/$BI$37</f>
        <v>47896.858679428224</v>
      </c>
      <c r="BJ57" s="1513">
        <f t="shared" ref="BJ57:BJ64" si="418">+BJ23/$BJ$37</f>
        <v>49499.469423115195</v>
      </c>
      <c r="BK57" s="1513">
        <f t="shared" ref="BK57:BK64" si="419">+BK23/$BK$37</f>
        <v>85069.929061864459</v>
      </c>
      <c r="BL57" s="1513">
        <f t="shared" ref="BL57:BL64" si="420">+BL23/$BL$37</f>
        <v>101152.00667111739</v>
      </c>
      <c r="BM57" s="1514">
        <f t="shared" ref="BM57:BM64" si="421">+BM23/$BM$37</f>
        <v>91474.592581415083</v>
      </c>
      <c r="BN57" s="1515">
        <f>SUM(BB57:BM57)</f>
        <v>708001.38063132646</v>
      </c>
      <c r="BO57" s="1512">
        <f t="shared" ref="BO57:BO64" si="422">+BO23/$BO$37</f>
        <v>35217.559224024408</v>
      </c>
      <c r="BP57" s="1513">
        <f t="shared" ref="BP57:BP64" si="423">+BP23/$BP$37</f>
        <v>54151.569845273552</v>
      </c>
      <c r="BQ57" s="1513">
        <f t="shared" ref="BQ57:BQ64" si="424">+BQ23/$BQ$37</f>
        <v>55800.489377290891</v>
      </c>
      <c r="BR57" s="1513">
        <f t="shared" ref="BR57:BR64" si="425">+BR23/$BR$37</f>
        <v>67729.304450569529</v>
      </c>
      <c r="BS57" s="1513">
        <f t="shared" ref="BS57:BS64" si="426">+BS23/$BS$37</f>
        <v>58360.528277979669</v>
      </c>
      <c r="BT57" s="1513">
        <f t="shared" ref="BT57:BT64" si="427">+BT23/$BT$37</f>
        <v>86572.881599466768</v>
      </c>
      <c r="BU57" s="1513">
        <f t="shared" ref="BU57:BU64" si="428">+BU23/$BU$37</f>
        <v>40040.553883868226</v>
      </c>
      <c r="BV57" s="1513">
        <f t="shared" ref="BV57:BV64" si="429">+BV23/$BV$37</f>
        <v>51576.055183312223</v>
      </c>
      <c r="BW57" s="1513">
        <f t="shared" ref="BW57:BW64" si="430">+BW23/$BW$37</f>
        <v>63365.096437128683</v>
      </c>
      <c r="BX57" s="1513">
        <f t="shared" ref="BX57:BX64" si="431">+BX23/$BX$37</f>
        <v>77749.706310042005</v>
      </c>
      <c r="BY57" s="1513">
        <f t="shared" ref="BY57:BY64" si="432">+BY23/$BY$37</f>
        <v>89412.155614432704</v>
      </c>
      <c r="BZ57" s="1514">
        <f t="shared" ref="BZ57:BZ64" si="433">+BZ23/$BZ$37</f>
        <v>87830.231049620474</v>
      </c>
      <c r="CA57" s="1515">
        <f>SUM(BO57:BZ57)</f>
        <v>767806.13125300908</v>
      </c>
      <c r="CB57" s="1512">
        <f t="shared" ref="CB57:CB64" si="434">+CB23/$CB$37</f>
        <v>74047.182534887819</v>
      </c>
      <c r="CC57" s="1513">
        <f t="shared" ref="CC57:CC64" si="435">+CC23/$CC$37</f>
        <v>55656.471914659291</v>
      </c>
      <c r="CD57" s="1513">
        <f t="shared" ref="CD57:CD64" si="436">+CD23/$CD$37</f>
        <v>50350.196851920176</v>
      </c>
      <c r="CE57" s="1513">
        <f t="shared" ref="CE57:CE64" si="437">+CE23/$CE$37</f>
        <v>44796.674525514456</v>
      </c>
      <c r="CF57" s="1513">
        <f t="shared" ref="CF57:CF64" si="438">+CF23/$CF$37</f>
        <v>55138.345186380669</v>
      </c>
      <c r="CG57" s="1513">
        <f t="shared" ref="CG57:CG64" si="439">+CG23/$CG$37</f>
        <v>104145.08962445699</v>
      </c>
      <c r="CH57" s="1513">
        <f t="shared" ref="CH57:CH64" si="440">+CH23/$CH$37</f>
        <v>74898.646839084744</v>
      </c>
      <c r="CI57" s="1513">
        <f t="shared" ref="CI57:CI64" si="441">+CI23/$CI$37</f>
        <v>58304.867084219906</v>
      </c>
      <c r="CJ57" s="1513">
        <f t="shared" ref="CJ57:CJ64" si="442">+CJ23/$CJ$37</f>
        <v>67372.086017469992</v>
      </c>
      <c r="CK57" s="1513">
        <f t="shared" ref="CK57:CK64" si="443">+CK23/$CK$37</f>
        <v>49432.933875573064</v>
      </c>
      <c r="CL57" s="1513">
        <f t="shared" ref="CL57:CL64" si="444">+CL23/$CL$37</f>
        <v>83501.177643844814</v>
      </c>
      <c r="CM57" s="1514">
        <f t="shared" ref="CM57:CM64" si="445">+CM23/$CM$37</f>
        <v>159846.64228740896</v>
      </c>
      <c r="CN57" s="1515">
        <f>SUM(CB57:CM57)</f>
        <v>877490.31438542099</v>
      </c>
      <c r="CO57" s="1512">
        <f t="shared" ref="CO57:CO64" si="446">+CO23/$CO$37</f>
        <v>43065.09598916406</v>
      </c>
      <c r="CP57" s="1513">
        <f t="shared" ref="CP57:CP64" si="447">+CP23/$CP$37</f>
        <v>43863.995510555498</v>
      </c>
      <c r="CQ57" s="1513">
        <f t="shared" ref="CQ57:CQ64" si="448">+CQ23/$CQ$37</f>
        <v>46527.787184428242</v>
      </c>
      <c r="CR57" s="1513">
        <f t="shared" ref="CR57:CR64" si="449">+CR23/$CR$37</f>
        <v>95841.293921401986</v>
      </c>
      <c r="CS57" s="1513">
        <f t="shared" ref="CS57:CS64" si="450">+CS23/$CS$37</f>
        <v>45535.095110164926</v>
      </c>
      <c r="CT57" s="1513">
        <f t="shared" ref="CT57:CT64" si="451">+CT23/$CT$37</f>
        <v>58928.597678707367</v>
      </c>
      <c r="CU57" s="1513">
        <f t="shared" ref="CU57:CU64" si="452">+CU23/$CU$37</f>
        <v>76224.855854569541</v>
      </c>
      <c r="CV57" s="1513">
        <f t="shared" ref="CV57:CV64" si="453">+CV23/$CV$37</f>
        <v>102867.9512782339</v>
      </c>
      <c r="CW57" s="1513">
        <f t="shared" ref="CW57:CW64" si="454">+CW23/$CW$37</f>
        <v>97774.371681764096</v>
      </c>
      <c r="CX57" s="1513">
        <f t="shared" ref="CX57:CX64" si="455">+CX23/$CX$37</f>
        <v>103240.62589347314</v>
      </c>
      <c r="CY57" s="1513">
        <f t="shared" ref="CY57:CY64" si="456">+CY23/$CY$37</f>
        <v>137301.36330742008</v>
      </c>
      <c r="CZ57" s="1514">
        <f t="shared" ref="CZ57:CZ64" si="457">+CZ23/$CZ$37</f>
        <v>190773.44181595737</v>
      </c>
      <c r="DA57" s="1515">
        <f>SUM(CO57:CZ57)</f>
        <v>1041944.4752258402</v>
      </c>
      <c r="DB57" s="1512">
        <f t="shared" ref="DB57:DB64" si="458">+DB23/$DB$37</f>
        <v>38494.9224047303</v>
      </c>
      <c r="DC57" s="1513">
        <f t="shared" ref="DC57:DC64" si="459">+DC23/$DC$37</f>
        <v>47749.698317317074</v>
      </c>
      <c r="DD57" s="1513">
        <f t="shared" ref="DD57:DD64" si="460">+DD23/$DD$37</f>
        <v>67660.442058989458</v>
      </c>
      <c r="DE57" s="1513">
        <f t="shared" ref="DE57:DE64" si="461">+DE23/$DE$37</f>
        <v>75117.485703209066</v>
      </c>
      <c r="DF57" s="1513">
        <f t="shared" ref="DF57:DF64" si="462">+DF23/$DF$37</f>
        <v>67822.149025430932</v>
      </c>
      <c r="DG57" s="1513">
        <f t="shared" ref="DG57:DG64" si="463">+DG23/$DG$37</f>
        <v>72977.073729781667</v>
      </c>
      <c r="DH57" s="1513">
        <f t="shared" ref="DH57:DH64" si="464">+DH23/$DH$37</f>
        <v>91297.453067691022</v>
      </c>
      <c r="DI57" s="1513">
        <f t="shared" ref="DI57:DI64" si="465">+DI23/$DI$37</f>
        <v>83220.8490315128</v>
      </c>
      <c r="DJ57" s="1513">
        <f t="shared" ref="DJ57:DJ64" si="466">+DJ23/$DJ$37</f>
        <v>73556.04006781058</v>
      </c>
      <c r="DK57" s="1513">
        <f t="shared" ref="DK57:DK64" si="467">+DK23/$DK$37</f>
        <v>66401.272021462893</v>
      </c>
      <c r="DL57" s="1513">
        <f t="shared" ref="DL57:DL64" si="468">+DL23/$DL$37</f>
        <v>67427.530291557268</v>
      </c>
      <c r="DM57" s="1514">
        <f t="shared" ref="DM57:DM64" si="469">+DM23/$DM$37</f>
        <v>160651.75140014978</v>
      </c>
      <c r="DN57" s="1515">
        <f>SUM(DB57:DM57)</f>
        <v>912376.66711964284</v>
      </c>
      <c r="DO57" s="1512">
        <f t="shared" ref="DO57:DO64" si="470">+DO23/$DO$37</f>
        <v>40779.229720599171</v>
      </c>
      <c r="DP57" s="1513">
        <f t="shared" ref="DP57:DP64" si="471">+DP23/$DP$37</f>
        <v>50150.664774482502</v>
      </c>
      <c r="DQ57" s="1513">
        <f t="shared" ref="DQ57:DQ64" si="472">+DQ23/$DQ$37</f>
        <v>75324.938152696632</v>
      </c>
      <c r="DR57" s="1513">
        <f t="shared" ref="DR57:DR64" si="473">+DR23/$DR$37</f>
        <v>60890.328238984912</v>
      </c>
      <c r="DS57" s="1513">
        <f t="shared" ref="DS57:DS64" si="474">+DS23/$DS$37</f>
        <v>67039.524687411787</v>
      </c>
      <c r="DT57" s="1513">
        <f t="shared" ref="DT57:DT64" si="475">+DT23/$DT$37</f>
        <v>70538.337311152674</v>
      </c>
      <c r="DU57" s="1513">
        <f t="shared" ref="DU57:DU64" si="476">+DU23/$DU$37</f>
        <v>71307.033892740219</v>
      </c>
      <c r="DV57" s="1513">
        <f t="shared" ref="DV57:DV64" si="477">+DV23/$DV$37</f>
        <v>72809.266192799958</v>
      </c>
      <c r="DW57" s="1513">
        <f t="shared" ref="DW57:DW64" si="478">+DW23/$DW$37</f>
        <v>66080.39226178953</v>
      </c>
      <c r="DX57" s="1513">
        <f t="shared" ref="DX57:DX64" si="479">+DX23/$DX$37</f>
        <v>73355.78142585147</v>
      </c>
      <c r="DY57" s="1513">
        <f t="shared" ref="DY57:DY64" si="480">+DY23/$DY$37</f>
        <v>85782.371712868786</v>
      </c>
      <c r="DZ57" s="1514">
        <f t="shared" ref="DZ57:DZ64" si="481">+DZ23/$DZ$37</f>
        <v>155608.18302008728</v>
      </c>
      <c r="EA57" s="1515">
        <f>SUM(DO57:DZ57)</f>
        <v>889666.05139146501</v>
      </c>
      <c r="EB57" s="1512">
        <f t="shared" ref="EB57:EB64" si="482">+EB23/$EB$37</f>
        <v>51623.996518219894</v>
      </c>
      <c r="EC57" s="1513">
        <f t="shared" ref="EC57:EC64" si="483">+EC23/$EC$37</f>
        <v>56294.349317792003</v>
      </c>
      <c r="ED57" s="1513">
        <f t="shared" ref="ED57:ED64" si="484">+ED23/$ED$37</f>
        <v>59752.936719622085</v>
      </c>
      <c r="EE57" s="1513">
        <f t="shared" ref="EE57:EE64" si="485">+EE23/$EE$37</f>
        <v>70394.73807461356</v>
      </c>
      <c r="EF57" s="1513">
        <f t="shared" ref="EF57:EF64" si="486">+EF23/$EF$37</f>
        <v>65547.004135740761</v>
      </c>
      <c r="EG57" s="1513">
        <f t="shared" ref="EG57:EG64" si="487">+EG23/$EG$37</f>
        <v>76660.560929377345</v>
      </c>
      <c r="EH57" s="1513">
        <f t="shared" ref="EH57:EH64" si="488">+EH23/$EH$37</f>
        <v>80262.68272657058</v>
      </c>
      <c r="EI57" s="1513">
        <f t="shared" ref="EI57:EI64" si="489">+EI23/$EI$37</f>
        <v>67786.453828543992</v>
      </c>
      <c r="EJ57" s="1513">
        <f t="shared" ref="EJ57:EJ64" si="490">+EJ23/$EJ$37</f>
        <v>68488.553060024642</v>
      </c>
      <c r="EK57" s="1513">
        <f t="shared" ref="EK57:EK64" si="491">+EK23/$EK$37</f>
        <v>84001.159567268915</v>
      </c>
      <c r="EL57" s="1513">
        <f t="shared" ref="EL57:EL64" si="492">+EL23/$EL$37</f>
        <v>84301.19305692309</v>
      </c>
      <c r="EM57" s="1514">
        <f t="shared" ref="EM57:EM64" si="493">+EM23/$EM$37</f>
        <v>130326.11187974026</v>
      </c>
      <c r="EN57" s="1515">
        <f>SUM(EB57:EM57)</f>
        <v>895439.73981443711</v>
      </c>
      <c r="EO57" s="1512">
        <f t="shared" ref="EO57:EO64" si="494">+EO23/$EO$37</f>
        <v>53329.779891276885</v>
      </c>
      <c r="EP57" s="1513">
        <f t="shared" ref="EP57:EP64" si="495">+EP23/$EP$37</f>
        <v>52133.360042687164</v>
      </c>
      <c r="EQ57" s="1513">
        <f t="shared" ref="EQ57:EQ64" si="496">+EQ23/$EQ$37</f>
        <v>60709.740243829227</v>
      </c>
      <c r="ER57" s="1513">
        <f t="shared" ref="ER57:ER64" si="497">+ER23/$ER$37</f>
        <v>59983.786592156786</v>
      </c>
      <c r="ES57" s="1513">
        <f t="shared" ref="ES57:ES64" si="498">+ES23/$ES$37</f>
        <v>66364.486599641459</v>
      </c>
      <c r="ET57" s="1513">
        <f t="shared" ref="ET57:ET64" si="499">+ET23/$ET$37</f>
        <v>91512.009550733041</v>
      </c>
      <c r="EU57" s="1513">
        <f t="shared" ref="EU57:EU64" si="500">+EU23/$EU$37</f>
        <v>83273.354738140741</v>
      </c>
      <c r="EV57" s="1513">
        <f t="shared" ref="EV57:EV64" si="501">+EV23/$EV$37</f>
        <v>102888.59558617038</v>
      </c>
      <c r="EW57" s="1513">
        <f t="shared" ref="EW57:EW64" si="502">+EW23/$EW$37</f>
        <v>79310.545771422374</v>
      </c>
      <c r="EX57" s="1513">
        <f t="shared" ref="EX57:EX64" si="503">+EX23/$EX$37</f>
        <v>76448.212814971965</v>
      </c>
      <c r="EY57" s="1513">
        <f t="shared" ref="EY57:EY64" si="504">+EY23/$EY$37</f>
        <v>86724.349036526008</v>
      </c>
      <c r="EZ57" s="1514">
        <f t="shared" ref="EZ57:EZ64" si="505">+EZ23/$EZ$37</f>
        <v>173012.5302990136</v>
      </c>
      <c r="FA57" s="1515">
        <f>SUM(EO57:EZ57)</f>
        <v>985690.75116656965</v>
      </c>
      <c r="FB57" s="1512">
        <f t="shared" ref="FB57:FB64" si="506">+FB23/$FB$37</f>
        <v>56471.740763463611</v>
      </c>
      <c r="FC57" s="1513">
        <f t="shared" ref="FC57:FC64" si="507">+FC23/$FC$37</f>
        <v>63799.202976442532</v>
      </c>
      <c r="FD57" s="1513">
        <f t="shared" ref="FD57:FD62" si="508">+FD23/$FD$37</f>
        <v>66228.605070855381</v>
      </c>
      <c r="FE57" s="1513">
        <f t="shared" ref="FE57:FE62" si="509">+FE23/$FE$37</f>
        <v>63310.831955311747</v>
      </c>
      <c r="FF57" s="1513">
        <f t="shared" ref="FF57:FF62" si="510">+FF23/$FF$37</f>
        <v>61497.992608367364</v>
      </c>
      <c r="FG57" s="1513">
        <f t="shared" ref="FG57:FG62" si="511">+FG23/$FG$37</f>
        <v>69598.081969230043</v>
      </c>
      <c r="FH57" s="1513">
        <f t="shared" ref="FH57:FH62" si="512">+FH23/$FH$37</f>
        <v>86159.465120937253</v>
      </c>
      <c r="FI57" s="1513">
        <f t="shared" ref="FI57:FI62" si="513">+FI23/$FI$37</f>
        <v>79626.602619728772</v>
      </c>
      <c r="FJ57" s="1513">
        <f t="shared" ref="FJ57:FJ62" si="514">+FJ23/$FJ$37</f>
        <v>81585.305166749458</v>
      </c>
      <c r="FK57" s="1513">
        <f t="shared" ref="FK57:FK62" si="515">+FK23/$FK$37</f>
        <v>96132.736696604043</v>
      </c>
      <c r="FL57" s="1513">
        <f t="shared" ref="FL57:FL62" si="516">+FL23/$FL$37</f>
        <v>102397.68468362218</v>
      </c>
      <c r="FM57" s="1514">
        <f t="shared" ref="FM57:FM62" si="517">+FM23/$FM$37</f>
        <v>214149.33429221131</v>
      </c>
      <c r="FN57" s="1515">
        <f>SUM(FB57:FM57)</f>
        <v>1040957.5839235238</v>
      </c>
      <c r="FO57" s="1512">
        <f t="shared" ref="FO57:FO62" si="518">+FO23/$FO$37</f>
        <v>64533.911239520879</v>
      </c>
      <c r="FP57" s="1513">
        <f t="shared" ref="FP57:FP62" si="519">+FP23/$FP$37</f>
        <v>73838.151450120058</v>
      </c>
      <c r="FQ57" s="1513">
        <f t="shared" ref="FQ57:FQ62" si="520">+FQ23/$FQ$37</f>
        <v>81292.425777098731</v>
      </c>
      <c r="FR57" s="1513">
        <f t="shared" ref="FR57:FR62" si="521">+FR23/$FR$37</f>
        <v>83688.238576777585</v>
      </c>
      <c r="FS57" s="1513">
        <f t="shared" ref="FS57:FS62" si="522">+FS23/$FS$37</f>
        <v>86512.661347858055</v>
      </c>
      <c r="FT57" s="1513">
        <f t="shared" ref="FT57:FT62" si="523">+FT23/$FT$37</f>
        <v>96564.143856886323</v>
      </c>
      <c r="FU57" s="1513">
        <f t="shared" ref="FU57:FU62" si="524">+FU23/$FU$37</f>
        <v>91263.854440287541</v>
      </c>
      <c r="FV57" s="1513">
        <f t="shared" ref="FV57:FV62" si="525">+FV23/$FV$37</f>
        <v>82457.419735758347</v>
      </c>
      <c r="FW57" s="1513">
        <f t="shared" ref="FW57:FW62" si="526">+FW23/$FW$37</f>
        <v>85240.830781511788</v>
      </c>
      <c r="FX57" s="1513">
        <f t="shared" ref="FX57:FX62" si="527">+FX23/$FX$37</f>
        <v>84527.963619599424</v>
      </c>
      <c r="FY57" s="1513">
        <f t="shared" ref="FY57:FY62" si="528">+FY23/$FY$37</f>
        <v>80032.161952878916</v>
      </c>
      <c r="FZ57" s="1514">
        <f t="shared" ref="FZ57:FZ62" si="529">+FZ23/$FZ$37</f>
        <v>182661.62053664116</v>
      </c>
      <c r="GA57" s="1515">
        <f t="shared" si="248"/>
        <v>1092613.383314939</v>
      </c>
      <c r="GB57" s="1512">
        <f t="shared" ref="GB57:GB62" si="530">+GB23/$GB$37</f>
        <v>67267.129279296903</v>
      </c>
      <c r="GC57" s="1513">
        <f t="shared" ref="GC57:GC62" si="531">+GC23/$GC$37</f>
        <v>66983.256406956993</v>
      </c>
      <c r="GD57" s="1513">
        <f t="shared" ref="GD57:GD62" si="532">+GD23/$GD$37</f>
        <v>84966.003050225874</v>
      </c>
      <c r="GE57" s="1513">
        <f t="shared" ref="GE57:GE62" si="533">+GE23/$GE$37</f>
        <v>86034.470082022133</v>
      </c>
      <c r="GF57" s="1513">
        <f t="shared" ref="GF57:GF62" si="534">+GF23/$GF$37</f>
        <v>95820.451617262835</v>
      </c>
      <c r="GG57" s="1513">
        <f t="shared" ref="GG57:GG62" si="535">+GG23/$GG$37</f>
        <v>104481.71432085852</v>
      </c>
      <c r="GH57" s="1513">
        <f t="shared" ref="GH57:GH62" si="536">+GH23/$GH$37</f>
        <v>104155.07553615369</v>
      </c>
      <c r="GI57" s="1513">
        <f t="shared" ref="GI57:GI62" si="537">+GI23/$GI$37</f>
        <v>99783.968360881714</v>
      </c>
      <c r="GJ57" s="1513">
        <f t="shared" ref="GJ57:GJ62" si="538">+GJ23/$GJ$37</f>
        <v>89673.216603344947</v>
      </c>
      <c r="GK57" s="1513">
        <f t="shared" ref="GK57:GK62" si="539">+GK23/$GK$37</f>
        <v>95276.021539446665</v>
      </c>
      <c r="GL57" s="1513">
        <f t="shared" ref="GL57:GL62" si="540">+GL23/$GL$37</f>
        <v>106258.41533379299</v>
      </c>
      <c r="GM57" s="1514">
        <f t="shared" ref="GM57:GM62" si="541">+GM23/$GM$37</f>
        <v>154498.61535622555</v>
      </c>
      <c r="GN57" s="1515">
        <f>SUM(GB57:GM57)</f>
        <v>1155198.3374864687</v>
      </c>
      <c r="GO57" s="1512">
        <f t="shared" ref="GO57:GO62" si="542">+GO23/$GO$37</f>
        <v>80453.977750238744</v>
      </c>
      <c r="GP57" s="1513">
        <f t="shared" ref="GP57:GP62" si="543">+GP23/$GP$37</f>
        <v>75794.374655479129</v>
      </c>
      <c r="GQ57" s="1513">
        <f t="shared" ref="GQ57:GQ62" si="544">+GQ23/$GQ$37</f>
        <v>82938.018349367281</v>
      </c>
      <c r="GR57" s="1513">
        <f t="shared" ref="GR57:GR62" si="545">+GR23/$GR$37</f>
        <v>77242.508420059283</v>
      </c>
      <c r="GS57" s="1513">
        <f t="shared" ref="GS57:GS62" si="546">+GS23/$GS$37</f>
        <v>84218.839818961569</v>
      </c>
      <c r="GT57" s="1513">
        <f t="shared" ref="GT57:GT62" si="547">+GT23/$GT$37</f>
        <v>87203.900129861155</v>
      </c>
      <c r="GU57" s="1513">
        <f t="shared" ref="GU57:GU62" si="548">+GU23/$GU$37</f>
        <v>141237.91812702105</v>
      </c>
      <c r="GV57" s="1513">
        <f t="shared" ref="GV57:GV62" si="549">+GV23/$GV$37</f>
        <v>94723.422913191927</v>
      </c>
      <c r="GW57" s="1513">
        <f t="shared" ref="GW57:GW62" si="550">+GW23/$GW$37</f>
        <v>94451.727240965643</v>
      </c>
      <c r="GX57" s="1513">
        <f t="shared" ref="GX57:GX64" si="551">+GX23/$GX$37</f>
        <v>92300.376674958505</v>
      </c>
      <c r="GY57" s="1513">
        <f t="shared" ref="GY57:GY62" si="552">+GY23/$GY$37</f>
        <v>115828.06822088695</v>
      </c>
      <c r="GZ57" s="1514">
        <f t="shared" ref="GZ57:GZ62" si="553">+GZ23/$GZ$37</f>
        <v>164094.75925918989</v>
      </c>
      <c r="HA57" s="1515">
        <f t="shared" si="250"/>
        <v>1190487.891560181</v>
      </c>
      <c r="HB57" s="1512">
        <f t="shared" ref="HB57:HB62" si="554">+HB23/$HB$37</f>
        <v>101024.68218066258</v>
      </c>
      <c r="HC57" s="1513">
        <f t="shared" ref="HC57:HC62" si="555">+HC23/$HC$37</f>
        <v>84257.142264204173</v>
      </c>
      <c r="HD57" s="1513">
        <f t="shared" ref="HD57:HD62" si="556">+HD23/$HD$37</f>
        <v>84461.528857904705</v>
      </c>
      <c r="HE57" s="1513">
        <f t="shared" ref="HE57:HE62" si="557">+HE23/$HE$37</f>
        <v>103990.88700319796</v>
      </c>
      <c r="HF57" s="1513">
        <f t="shared" ref="HF57:HF62" si="558">+HF23/$HF$37</f>
        <v>104464.1448253281</v>
      </c>
      <c r="HG57" s="1513">
        <f t="shared" ref="HG57:HG62" si="559">+HG23/$HG$37</f>
        <v>109339.9341759262</v>
      </c>
      <c r="HH57" s="1513">
        <f t="shared" ref="HH57:HH62" si="560">+HH23/$HH$37</f>
        <v>105223.78131410059</v>
      </c>
      <c r="HI57" s="1513">
        <f t="shared" ref="HI57:HI62" si="561">+HI23/$HI$37</f>
        <v>110561.75715852367</v>
      </c>
      <c r="HJ57" s="1513">
        <f t="shared" ref="HJ57:HJ62" si="562">+HJ23/$HJ$37</f>
        <v>98920.205544939075</v>
      </c>
      <c r="HK57" s="1513">
        <f t="shared" ref="HK57:HK62" si="563">+HK23/$HK$37</f>
        <v>113493.60764198704</v>
      </c>
      <c r="HL57" s="1513">
        <f t="shared" ref="HL57:HL64" si="564">+HL23/$HL$37</f>
        <v>147152.81742496375</v>
      </c>
      <c r="HM57" s="1514">
        <f t="shared" ref="HM57:HM62" si="565">+HM23/$HM$37</f>
        <v>184377.87817599787</v>
      </c>
      <c r="HN57" s="1515">
        <f t="shared" si="251"/>
        <v>1347268.3665677356</v>
      </c>
      <c r="HO57" s="1512">
        <f t="shared" ref="HO57:HO62" si="566">+HO23/$HO$37</f>
        <v>94283.57938296051</v>
      </c>
      <c r="HP57" s="1513">
        <f t="shared" ref="HP57:HP62" si="567">+HP23/$HP$37</f>
        <v>113633.41279151416</v>
      </c>
      <c r="HQ57" s="1513">
        <f t="shared" ref="HQ57:HQ62" si="568">+HQ23/$HQ$37</f>
        <v>94858.931867010411</v>
      </c>
      <c r="HR57" s="1513">
        <f t="shared" ref="HR57:HR62" si="569">+HR23/$HR$37</f>
        <v>123773.1676343125</v>
      </c>
      <c r="HS57" s="1513">
        <f t="shared" ref="HS57:HS62" si="570">+HS23/$HS$37</f>
        <v>147852.08399514374</v>
      </c>
      <c r="HT57" s="1513">
        <f t="shared" ref="HT57:HT62" si="571">+HT23/$HT$37</f>
        <v>104951.0896677461</v>
      </c>
      <c r="HU57" s="1513">
        <f t="shared" ref="HU57:HU62" si="572">+HU23/$HU$37</f>
        <v>107309.41561529487</v>
      </c>
      <c r="HV57" s="1513">
        <f t="shared" ref="HV57:HV62" si="573">+HV23/$HV$37</f>
        <v>115273.92686446286</v>
      </c>
      <c r="HW57" s="1513">
        <f t="shared" ref="HW57:HW62" si="574">+HW23/$HW$37</f>
        <v>114379.05179718953</v>
      </c>
      <c r="HX57" s="1513">
        <f t="shared" ref="HX57:HX62" si="575">+HX23/$HX$37</f>
        <v>122147.87762379259</v>
      </c>
      <c r="HY57" s="1513">
        <f t="shared" ref="HY57:HY62" si="576">+HY23/$HY$37</f>
        <v>115271.9666575251</v>
      </c>
      <c r="HZ57" s="1514">
        <f t="shared" si="237"/>
        <v>173363.0029922956</v>
      </c>
      <c r="IA57" s="1512">
        <f>SUM(HO57:HZ57)</f>
        <v>1427097.506889248</v>
      </c>
      <c r="IB57" s="1516">
        <f t="shared" ref="IB57:IB64" si="577">+IB23/$IB$37</f>
        <v>127061.87162353682</v>
      </c>
      <c r="IC57" s="1209">
        <f t="shared" si="253"/>
        <v>98234.222933534111</v>
      </c>
      <c r="ID57" s="1209">
        <f t="shared" si="254"/>
        <v>107808.28309467423</v>
      </c>
      <c r="IE57" s="1209">
        <f t="shared" si="255"/>
        <v>104786.99504238243</v>
      </c>
      <c r="IF57" s="1209">
        <f t="shared" si="256"/>
        <v>118872.59608945988</v>
      </c>
      <c r="IG57" s="1209">
        <f t="shared" si="257"/>
        <v>115643.2385440397</v>
      </c>
      <c r="IH57" s="1209">
        <f t="shared" si="258"/>
        <v>133078.43473570771</v>
      </c>
      <c r="II57" s="1209">
        <f t="shared" si="259"/>
        <v>126368.01527595574</v>
      </c>
      <c r="IJ57" s="1209"/>
      <c r="IK57" s="1209"/>
      <c r="IL57" s="1209"/>
      <c r="IM57" s="1517"/>
      <c r="IN57" s="1518">
        <f t="shared" si="260"/>
        <v>931853.6573392906</v>
      </c>
      <c r="IO57" s="1422"/>
      <c r="IP57" s="1519">
        <f t="shared" si="261"/>
        <v>9.6241090359809878</v>
      </c>
      <c r="IQ57" s="1520">
        <f t="shared" ref="IQ57:IQ64" si="578">IFERROR(((IS57/IR57)-1)*100,"")</f>
        <v>3.3170937328009131</v>
      </c>
      <c r="IR57" s="1521">
        <f t="shared" si="263"/>
        <v>901935.60781844519</v>
      </c>
      <c r="IS57" s="1522">
        <f t="shared" si="264"/>
        <v>931853.6573392906</v>
      </c>
    </row>
    <row r="58" spans="1:255" ht="15" customHeight="1" x14ac:dyDescent="0.2">
      <c r="A58" s="1551" t="s">
        <v>429</v>
      </c>
      <c r="B58" s="379">
        <f t="shared" ref="B58:M58" si="579">+B24/B37</f>
        <v>29560.519974851068</v>
      </c>
      <c r="C58" s="380">
        <f t="shared" si="579"/>
        <v>31992.033311643452</v>
      </c>
      <c r="D58" s="380">
        <f t="shared" si="579"/>
        <v>27203.253924825465</v>
      </c>
      <c r="E58" s="380">
        <f t="shared" si="579"/>
        <v>29504.882511656528</v>
      </c>
      <c r="F58" s="380">
        <f t="shared" si="579"/>
        <v>31624.817116203991</v>
      </c>
      <c r="G58" s="380">
        <f t="shared" si="579"/>
        <v>38119.569772927032</v>
      </c>
      <c r="H58" s="380">
        <f t="shared" si="579"/>
        <v>41663.340803585917</v>
      </c>
      <c r="I58" s="380">
        <f t="shared" si="579"/>
        <v>40048.453858384739</v>
      </c>
      <c r="J58" s="380">
        <f t="shared" si="579"/>
        <v>33109.265360732999</v>
      </c>
      <c r="K58" s="380">
        <f t="shared" si="579"/>
        <v>30323.614175783674</v>
      </c>
      <c r="L58" s="380">
        <f t="shared" si="579"/>
        <v>32448.71145770666</v>
      </c>
      <c r="M58" s="389">
        <f t="shared" si="579"/>
        <v>36872.652460451784</v>
      </c>
      <c r="N58" s="381">
        <f t="shared" si="240"/>
        <v>402471.11472875328</v>
      </c>
      <c r="O58" s="379">
        <f t="shared" si="374"/>
        <v>30026.817817264553</v>
      </c>
      <c r="P58" s="380">
        <f t="shared" si="375"/>
        <v>37204.509285194297</v>
      </c>
      <c r="Q58" s="380">
        <f t="shared" si="376"/>
        <v>34350.561563261967</v>
      </c>
      <c r="R58" s="380">
        <f t="shared" si="377"/>
        <v>34165.110384207008</v>
      </c>
      <c r="S58" s="380">
        <f t="shared" si="378"/>
        <v>32145.792109013004</v>
      </c>
      <c r="T58" s="380">
        <f t="shared" si="379"/>
        <v>32368.534510719983</v>
      </c>
      <c r="U58" s="380">
        <f t="shared" si="380"/>
        <v>38658.474374566038</v>
      </c>
      <c r="V58" s="380">
        <f t="shared" si="381"/>
        <v>29316.924816744027</v>
      </c>
      <c r="W58" s="380">
        <f t="shared" si="382"/>
        <v>39159.417071916556</v>
      </c>
      <c r="X58" s="380">
        <f t="shared" si="383"/>
        <v>30068.352567740392</v>
      </c>
      <c r="Y58" s="380">
        <f t="shared" si="384"/>
        <v>30324.158511470898</v>
      </c>
      <c r="Z58" s="389">
        <f t="shared" si="385"/>
        <v>37901.472110642055</v>
      </c>
      <c r="AA58" s="381">
        <f t="shared" ref="AA58:AA64" si="580">SUM(O58:Z58)</f>
        <v>405690.12512274081</v>
      </c>
      <c r="AB58" s="379">
        <f t="shared" si="386"/>
        <v>31944.161690793844</v>
      </c>
      <c r="AC58" s="380">
        <f t="shared" si="387"/>
        <v>32522.341183042357</v>
      </c>
      <c r="AD58" s="380">
        <f t="shared" si="388"/>
        <v>30091.553475073859</v>
      </c>
      <c r="AE58" s="380">
        <f t="shared" si="389"/>
        <v>34459.35897229609</v>
      </c>
      <c r="AF58" s="380">
        <f t="shared" si="390"/>
        <v>33882.738802527325</v>
      </c>
      <c r="AG58" s="380">
        <f t="shared" si="391"/>
        <v>38093.112533374187</v>
      </c>
      <c r="AH58" s="380">
        <f t="shared" si="392"/>
        <v>47402.107064104668</v>
      </c>
      <c r="AI58" s="380">
        <f t="shared" si="393"/>
        <v>39825.11808423388</v>
      </c>
      <c r="AJ58" s="380">
        <f t="shared" si="394"/>
        <v>37701.110446339662</v>
      </c>
      <c r="AK58" s="380">
        <f t="shared" si="395"/>
        <v>36378.41017714241</v>
      </c>
      <c r="AL58" s="380">
        <f t="shared" si="396"/>
        <v>41920.552818751756</v>
      </c>
      <c r="AM58" s="389">
        <f t="shared" si="397"/>
        <v>56437.285641393282</v>
      </c>
      <c r="AN58" s="381">
        <f t="shared" ref="AN58:AN64" si="581">SUM(AB58:AM58)</f>
        <v>460657.85088907334</v>
      </c>
      <c r="AO58" s="379">
        <f t="shared" si="398"/>
        <v>31481.956564497526</v>
      </c>
      <c r="AP58" s="380">
        <f t="shared" si="399"/>
        <v>34509.398909598349</v>
      </c>
      <c r="AQ58" s="380">
        <f t="shared" si="400"/>
        <v>32461.426537627172</v>
      </c>
      <c r="AR58" s="380">
        <f t="shared" si="401"/>
        <v>28857.107030004619</v>
      </c>
      <c r="AS58" s="380">
        <f t="shared" si="402"/>
        <v>33582.169776771581</v>
      </c>
      <c r="AT58" s="380">
        <f t="shared" si="403"/>
        <v>34472.20343904716</v>
      </c>
      <c r="AU58" s="380">
        <f t="shared" si="404"/>
        <v>36821.127360140192</v>
      </c>
      <c r="AV58" s="380">
        <f t="shared" si="405"/>
        <v>34948.137444573891</v>
      </c>
      <c r="AW58" s="380">
        <f t="shared" si="406"/>
        <v>45762.759304670661</v>
      </c>
      <c r="AX58" s="380">
        <f t="shared" si="407"/>
        <v>46504.332291236831</v>
      </c>
      <c r="AY58" s="380">
        <f t="shared" si="408"/>
        <v>39724.845919261556</v>
      </c>
      <c r="AZ58" s="389">
        <f t="shared" si="409"/>
        <v>85353.978738217134</v>
      </c>
      <c r="BA58" s="381">
        <f t="shared" ref="BA58:BA64" si="582">SUM(AO58:AZ58)</f>
        <v>484479.44331564679</v>
      </c>
      <c r="BB58" s="379">
        <f t="shared" si="410"/>
        <v>37058.702426017677</v>
      </c>
      <c r="BC58" s="380">
        <f t="shared" si="411"/>
        <v>33628.261867849084</v>
      </c>
      <c r="BD58" s="380">
        <f t="shared" si="412"/>
        <v>35205.488391953586</v>
      </c>
      <c r="BE58" s="380">
        <f t="shared" si="413"/>
        <v>32079.869184801017</v>
      </c>
      <c r="BF58" s="380">
        <f t="shared" si="414"/>
        <v>54380.75707892207</v>
      </c>
      <c r="BG58" s="380">
        <f t="shared" si="415"/>
        <v>57196.3344896739</v>
      </c>
      <c r="BH58" s="380">
        <f t="shared" si="416"/>
        <v>41728.562899270401</v>
      </c>
      <c r="BI58" s="380">
        <f t="shared" si="417"/>
        <v>37483.000651281473</v>
      </c>
      <c r="BJ58" s="380">
        <f t="shared" si="418"/>
        <v>40352.210776766791</v>
      </c>
      <c r="BK58" s="380">
        <f t="shared" si="419"/>
        <v>69762.128656571746</v>
      </c>
      <c r="BL58" s="380">
        <f t="shared" si="420"/>
        <v>66004.152353928483</v>
      </c>
      <c r="BM58" s="389">
        <f t="shared" si="421"/>
        <v>69498.222507486789</v>
      </c>
      <c r="BN58" s="381">
        <f t="shared" ref="BN58:BN64" si="583">SUM(BB58:BM58)</f>
        <v>574377.69128452288</v>
      </c>
      <c r="BO58" s="379">
        <f t="shared" si="422"/>
        <v>33951.082897861757</v>
      </c>
      <c r="BP58" s="380">
        <f t="shared" si="423"/>
        <v>45147.059133867522</v>
      </c>
      <c r="BQ58" s="380">
        <f t="shared" si="424"/>
        <v>49163.488778368468</v>
      </c>
      <c r="BR58" s="380">
        <f t="shared" si="425"/>
        <v>56455.955175710114</v>
      </c>
      <c r="BS58" s="380">
        <f t="shared" si="426"/>
        <v>49524.99426719948</v>
      </c>
      <c r="BT58" s="380">
        <f t="shared" si="427"/>
        <v>72671.849471742054</v>
      </c>
      <c r="BU58" s="380">
        <f t="shared" si="428"/>
        <v>36031.67344558629</v>
      </c>
      <c r="BV58" s="380">
        <f t="shared" si="429"/>
        <v>39936.933735869286</v>
      </c>
      <c r="BW58" s="380">
        <f t="shared" si="430"/>
        <v>56209.242766959782</v>
      </c>
      <c r="BX58" s="380">
        <f t="shared" si="431"/>
        <v>53829.781099685089</v>
      </c>
      <c r="BY58" s="380">
        <f t="shared" si="432"/>
        <v>68314.484702051792</v>
      </c>
      <c r="BZ58" s="389">
        <f t="shared" si="433"/>
        <v>72168.927047961261</v>
      </c>
      <c r="CA58" s="381">
        <f t="shared" ref="CA58:CA64" si="584">SUM(BO58:BZ58)</f>
        <v>633405.47252286284</v>
      </c>
      <c r="CB58" s="379">
        <f t="shared" si="434"/>
        <v>59563.370568511084</v>
      </c>
      <c r="CC58" s="380">
        <f t="shared" si="435"/>
        <v>52517.07426126959</v>
      </c>
      <c r="CD58" s="380">
        <f t="shared" si="436"/>
        <v>39675.070798823668</v>
      </c>
      <c r="CE58" s="380">
        <f t="shared" si="437"/>
        <v>40673.111232711104</v>
      </c>
      <c r="CF58" s="380">
        <f t="shared" si="438"/>
        <v>45263.866262685973</v>
      </c>
      <c r="CG58" s="380">
        <f t="shared" si="439"/>
        <v>91373.440916304084</v>
      </c>
      <c r="CH58" s="380">
        <f t="shared" si="440"/>
        <v>69929.462199207584</v>
      </c>
      <c r="CI58" s="380">
        <f t="shared" si="441"/>
        <v>51186.963411759403</v>
      </c>
      <c r="CJ58" s="380">
        <f t="shared" si="442"/>
        <v>50758.014142191088</v>
      </c>
      <c r="CK58" s="380">
        <f t="shared" si="443"/>
        <v>42643.232483572414</v>
      </c>
      <c r="CL58" s="380">
        <f t="shared" si="444"/>
        <v>74497.502418298274</v>
      </c>
      <c r="CM58" s="389">
        <f t="shared" si="445"/>
        <v>137494.20097410004</v>
      </c>
      <c r="CN58" s="381">
        <f t="shared" ref="CN58:CN64" si="585">SUM(CB58:CM58)</f>
        <v>755575.30966943433</v>
      </c>
      <c r="CO58" s="379">
        <f t="shared" si="446"/>
        <v>42718.519337986625</v>
      </c>
      <c r="CP58" s="380">
        <f t="shared" si="447"/>
        <v>41399.770118809989</v>
      </c>
      <c r="CQ58" s="380">
        <f t="shared" si="448"/>
        <v>42665.311310829136</v>
      </c>
      <c r="CR58" s="380">
        <f t="shared" si="449"/>
        <v>56546.278206906587</v>
      </c>
      <c r="CS58" s="380">
        <f t="shared" si="450"/>
        <v>38620.945945688822</v>
      </c>
      <c r="CT58" s="380">
        <f t="shared" si="451"/>
        <v>51992.660119369189</v>
      </c>
      <c r="CU58" s="380">
        <f t="shared" si="452"/>
        <v>59139.249583845405</v>
      </c>
      <c r="CV58" s="380">
        <f t="shared" si="453"/>
        <v>87142.210911914648</v>
      </c>
      <c r="CW58" s="380">
        <f t="shared" si="454"/>
        <v>73713.6613983118</v>
      </c>
      <c r="CX58" s="380">
        <f t="shared" si="455"/>
        <v>79199.110967293687</v>
      </c>
      <c r="CY58" s="380">
        <f t="shared" si="456"/>
        <v>101960.51571329479</v>
      </c>
      <c r="CZ58" s="389">
        <f t="shared" si="457"/>
        <v>150530.47206286874</v>
      </c>
      <c r="DA58" s="381">
        <f t="shared" ref="DA58:DA64" si="586">SUM(CO58:CZ58)</f>
        <v>825628.70567711955</v>
      </c>
      <c r="DB58" s="379">
        <f t="shared" si="458"/>
        <v>38329.617850368944</v>
      </c>
      <c r="DC58" s="380">
        <f t="shared" si="459"/>
        <v>45617.137996910329</v>
      </c>
      <c r="DD58" s="380">
        <f t="shared" si="460"/>
        <v>51671.783454694742</v>
      </c>
      <c r="DE58" s="380">
        <f t="shared" si="461"/>
        <v>65681.668416777757</v>
      </c>
      <c r="DF58" s="380">
        <f t="shared" si="462"/>
        <v>52996.493153495496</v>
      </c>
      <c r="DG58" s="380">
        <f t="shared" si="463"/>
        <v>59366.078659996987</v>
      </c>
      <c r="DH58" s="380">
        <f t="shared" si="464"/>
        <v>63642.89612701982</v>
      </c>
      <c r="DI58" s="380">
        <f t="shared" si="465"/>
        <v>63367.262662734218</v>
      </c>
      <c r="DJ58" s="380">
        <f t="shared" si="466"/>
        <v>58874.948627769183</v>
      </c>
      <c r="DK58" s="380">
        <f t="shared" si="467"/>
        <v>52230.766408557065</v>
      </c>
      <c r="DL58" s="380">
        <f t="shared" si="468"/>
        <v>55510.229069861402</v>
      </c>
      <c r="DM58" s="389">
        <f t="shared" si="469"/>
        <v>128426.4230507123</v>
      </c>
      <c r="DN58" s="381">
        <f t="shared" ref="DN58:DN64" si="587">SUM(DB58:DM58)</f>
        <v>735715.30547889811</v>
      </c>
      <c r="DO58" s="379">
        <f t="shared" si="470"/>
        <v>40611.593923713772</v>
      </c>
      <c r="DP58" s="380">
        <f t="shared" si="471"/>
        <v>47992.154821347722</v>
      </c>
      <c r="DQ58" s="380">
        <f t="shared" si="472"/>
        <v>70377.673443221822</v>
      </c>
      <c r="DR58" s="380">
        <f t="shared" si="473"/>
        <v>52190.271774413079</v>
      </c>
      <c r="DS58" s="380">
        <f t="shared" si="474"/>
        <v>57572.725511936296</v>
      </c>
      <c r="DT58" s="380">
        <f t="shared" si="475"/>
        <v>61991.545292389957</v>
      </c>
      <c r="DU58" s="380">
        <f t="shared" si="476"/>
        <v>63956.031411025171</v>
      </c>
      <c r="DV58" s="380">
        <f t="shared" si="477"/>
        <v>61955.813414618722</v>
      </c>
      <c r="DW58" s="380">
        <f t="shared" si="478"/>
        <v>58249.024552181087</v>
      </c>
      <c r="DX58" s="380">
        <f t="shared" si="479"/>
        <v>65038.533080973924</v>
      </c>
      <c r="DY58" s="380">
        <f t="shared" si="480"/>
        <v>74070.270159801323</v>
      </c>
      <c r="DZ58" s="389">
        <f t="shared" si="481"/>
        <v>124308.06756695658</v>
      </c>
      <c r="EA58" s="381">
        <f t="shared" ref="EA58:EA64" si="588">SUM(DO58:DZ58)</f>
        <v>778313.70495257946</v>
      </c>
      <c r="EB58" s="379">
        <f t="shared" si="482"/>
        <v>51480.016608811951</v>
      </c>
      <c r="EC58" s="380">
        <f t="shared" si="483"/>
        <v>53964.100908670844</v>
      </c>
      <c r="ED58" s="380">
        <f t="shared" si="484"/>
        <v>54375.55115430455</v>
      </c>
      <c r="EE58" s="380">
        <f t="shared" si="485"/>
        <v>62358.498648584442</v>
      </c>
      <c r="EF58" s="380">
        <f t="shared" si="486"/>
        <v>57885.842532449686</v>
      </c>
      <c r="EG58" s="380">
        <f t="shared" si="487"/>
        <v>71477.690314554231</v>
      </c>
      <c r="EH58" s="380">
        <f t="shared" si="488"/>
        <v>70493.142601631</v>
      </c>
      <c r="EI58" s="380">
        <f t="shared" si="489"/>
        <v>61108.768352535742</v>
      </c>
      <c r="EJ58" s="380">
        <f t="shared" si="490"/>
        <v>59120.557398178971</v>
      </c>
      <c r="EK58" s="380">
        <f t="shared" si="491"/>
        <v>67788.497781974191</v>
      </c>
      <c r="EL58" s="380">
        <f t="shared" si="492"/>
        <v>64147.466468241662</v>
      </c>
      <c r="EM58" s="389">
        <f t="shared" si="493"/>
        <v>106648.15572984527</v>
      </c>
      <c r="EN58" s="381">
        <f t="shared" ref="EN58:EN64" si="589">SUM(EB58:EM58)</f>
        <v>780848.28849978256</v>
      </c>
      <c r="EO58" s="379">
        <f t="shared" si="494"/>
        <v>53288.187047834341</v>
      </c>
      <c r="EP58" s="380">
        <f t="shared" si="495"/>
        <v>51338.48964121523</v>
      </c>
      <c r="EQ58" s="380">
        <f t="shared" si="496"/>
        <v>51110.417519543305</v>
      </c>
      <c r="ER58" s="380">
        <f t="shared" si="497"/>
        <v>52533.246721112657</v>
      </c>
      <c r="ES58" s="380">
        <f t="shared" si="498"/>
        <v>58158.252671753966</v>
      </c>
      <c r="ET58" s="380">
        <f t="shared" si="499"/>
        <v>78769.804532272494</v>
      </c>
      <c r="EU58" s="380">
        <f t="shared" si="500"/>
        <v>68157.664997637388</v>
      </c>
      <c r="EV58" s="380">
        <f t="shared" si="501"/>
        <v>95938.824596498205</v>
      </c>
      <c r="EW58" s="380">
        <f t="shared" si="502"/>
        <v>66299.53928820623</v>
      </c>
      <c r="EX58" s="380">
        <f t="shared" si="503"/>
        <v>67927.499111717087</v>
      </c>
      <c r="EY58" s="380">
        <f t="shared" si="504"/>
        <v>74724.9324582392</v>
      </c>
      <c r="EZ58" s="389">
        <f t="shared" si="505"/>
        <v>141385.97350777147</v>
      </c>
      <c r="FA58" s="381">
        <f t="shared" ref="FA58:FA64" si="590">SUM(EO58:EZ58)</f>
        <v>859632.83209380158</v>
      </c>
      <c r="FB58" s="379">
        <f t="shared" si="506"/>
        <v>56331.279287325851</v>
      </c>
      <c r="FC58" s="380">
        <f t="shared" si="507"/>
        <v>60681.586455662444</v>
      </c>
      <c r="FD58" s="380">
        <f t="shared" si="508"/>
        <v>62831.808683362578</v>
      </c>
      <c r="FE58" s="380">
        <f t="shared" si="509"/>
        <v>60074.480159860126</v>
      </c>
      <c r="FF58" s="380">
        <f t="shared" si="510"/>
        <v>58444.00274716899</v>
      </c>
      <c r="FG58" s="380">
        <f t="shared" si="511"/>
        <v>66550.922549212686</v>
      </c>
      <c r="FH58" s="380">
        <f t="shared" si="512"/>
        <v>74552.667528131016</v>
      </c>
      <c r="FI58" s="380">
        <f t="shared" si="513"/>
        <v>74951.41468967298</v>
      </c>
      <c r="FJ58" s="380">
        <f t="shared" si="514"/>
        <v>73480.044814171328</v>
      </c>
      <c r="FK58" s="380">
        <f t="shared" si="515"/>
        <v>76585.812907006257</v>
      </c>
      <c r="FL58" s="380">
        <f t="shared" si="516"/>
        <v>80376.721049423388</v>
      </c>
      <c r="FM58" s="389">
        <f t="shared" si="517"/>
        <v>164647.63506564981</v>
      </c>
      <c r="FN58" s="381">
        <f t="shared" ref="FN58:FN64" si="591">SUM(FB58:FM58)</f>
        <v>909508.37593664764</v>
      </c>
      <c r="FO58" s="379">
        <f t="shared" si="518"/>
        <v>54488.60820231033</v>
      </c>
      <c r="FP58" s="380">
        <f t="shared" si="519"/>
        <v>59242.873389460416</v>
      </c>
      <c r="FQ58" s="380">
        <f t="shared" si="520"/>
        <v>61703.945884763212</v>
      </c>
      <c r="FR58" s="380">
        <f t="shared" si="521"/>
        <v>66787.139887174621</v>
      </c>
      <c r="FS58" s="380">
        <f t="shared" si="522"/>
        <v>70464.110045504713</v>
      </c>
      <c r="FT58" s="380">
        <f t="shared" si="523"/>
        <v>68134.97188954943</v>
      </c>
      <c r="FU58" s="380">
        <f t="shared" si="524"/>
        <v>66420.009879522331</v>
      </c>
      <c r="FV58" s="380">
        <f t="shared" si="525"/>
        <v>62611.941080291712</v>
      </c>
      <c r="FW58" s="380">
        <f t="shared" si="526"/>
        <v>67243.575667785874</v>
      </c>
      <c r="FX58" s="380">
        <f t="shared" si="527"/>
        <v>58990.194580389456</v>
      </c>
      <c r="FY58" s="380">
        <f t="shared" si="528"/>
        <v>60366.003244866639</v>
      </c>
      <c r="FZ58" s="389">
        <f t="shared" si="529"/>
        <v>120283.71157707773</v>
      </c>
      <c r="GA58" s="381">
        <f t="shared" si="248"/>
        <v>816737.0853286963</v>
      </c>
      <c r="GB58" s="379">
        <f t="shared" si="530"/>
        <v>54293.640868292139</v>
      </c>
      <c r="GC58" s="380">
        <f t="shared" si="531"/>
        <v>59438.461768910529</v>
      </c>
      <c r="GD58" s="380">
        <f t="shared" si="532"/>
        <v>71574.914934015382</v>
      </c>
      <c r="GE58" s="380">
        <f t="shared" si="533"/>
        <v>73839.831337218653</v>
      </c>
      <c r="GF58" s="380">
        <f t="shared" si="534"/>
        <v>73316.751638380854</v>
      </c>
      <c r="GG58" s="380">
        <f t="shared" si="535"/>
        <v>74798.485855545354</v>
      </c>
      <c r="GH58" s="380">
        <f t="shared" si="536"/>
        <v>83558.027019873014</v>
      </c>
      <c r="GI58" s="380">
        <f t="shared" si="537"/>
        <v>69585.168067839986</v>
      </c>
      <c r="GJ58" s="380">
        <f t="shared" si="538"/>
        <v>67893.931752909353</v>
      </c>
      <c r="GK58" s="380">
        <f t="shared" si="539"/>
        <v>69380.66779816951</v>
      </c>
      <c r="GL58" s="380">
        <f t="shared" si="540"/>
        <v>75565.413300487387</v>
      </c>
      <c r="GM58" s="389">
        <f t="shared" si="541"/>
        <v>106667.90945878369</v>
      </c>
      <c r="GN58" s="381">
        <f t="shared" si="249"/>
        <v>879913.20380042586</v>
      </c>
      <c r="GO58" s="379">
        <f t="shared" si="542"/>
        <v>78138.122037748457</v>
      </c>
      <c r="GP58" s="380">
        <f t="shared" si="543"/>
        <v>67135.320434332563</v>
      </c>
      <c r="GQ58" s="380">
        <f t="shared" si="544"/>
        <v>66982.708700916875</v>
      </c>
      <c r="GR58" s="380">
        <f t="shared" si="545"/>
        <v>68438.538421558842</v>
      </c>
      <c r="GS58" s="380">
        <f t="shared" si="546"/>
        <v>71990.576629623291</v>
      </c>
      <c r="GT58" s="380">
        <f t="shared" si="547"/>
        <v>73560.70097411453</v>
      </c>
      <c r="GU58" s="380">
        <f t="shared" si="548"/>
        <v>110072.71150490754</v>
      </c>
      <c r="GV58" s="380">
        <f t="shared" si="549"/>
        <v>75056.421128862799</v>
      </c>
      <c r="GW58" s="380">
        <f t="shared" si="550"/>
        <v>72622.595183069163</v>
      </c>
      <c r="GX58" s="380">
        <f t="shared" si="551"/>
        <v>72269.790042750275</v>
      </c>
      <c r="GY58" s="380">
        <f t="shared" si="552"/>
        <v>87563.32655081102</v>
      </c>
      <c r="GZ58" s="389">
        <f t="shared" si="553"/>
        <v>114233.42303659015</v>
      </c>
      <c r="HA58" s="381">
        <f t="shared" si="250"/>
        <v>958064.23464528553</v>
      </c>
      <c r="HB58" s="379">
        <f t="shared" si="554"/>
        <v>89906.288621052532</v>
      </c>
      <c r="HC58" s="380">
        <f t="shared" si="555"/>
        <v>72373.170826689675</v>
      </c>
      <c r="HD58" s="380">
        <f t="shared" si="556"/>
        <v>70980.565186886874</v>
      </c>
      <c r="HE58" s="380">
        <f t="shared" si="557"/>
        <v>79410.406793637798</v>
      </c>
      <c r="HF58" s="380">
        <f t="shared" si="558"/>
        <v>78101.183975036212</v>
      </c>
      <c r="HG58" s="380">
        <f t="shared" si="559"/>
        <v>77028.351026336881</v>
      </c>
      <c r="HH58" s="380">
        <f t="shared" si="560"/>
        <v>81158.196312513901</v>
      </c>
      <c r="HI58" s="380">
        <f t="shared" si="561"/>
        <v>83233.621091842972</v>
      </c>
      <c r="HJ58" s="380">
        <f t="shared" si="562"/>
        <v>77722.5392633101</v>
      </c>
      <c r="HK58" s="380">
        <f t="shared" si="563"/>
        <v>83779.393962613452</v>
      </c>
      <c r="HL58" s="380">
        <f t="shared" si="564"/>
        <v>113314.37513788555</v>
      </c>
      <c r="HM58" s="389">
        <f t="shared" si="565"/>
        <v>105387.03984388502</v>
      </c>
      <c r="HN58" s="381">
        <f t="shared" si="251"/>
        <v>1012395.132041691</v>
      </c>
      <c r="HO58" s="379">
        <f t="shared" si="566"/>
        <v>90224.601814292779</v>
      </c>
      <c r="HP58" s="380">
        <f t="shared" si="567"/>
        <v>86563.114990665446</v>
      </c>
      <c r="HQ58" s="380">
        <f t="shared" si="568"/>
        <v>76776.591575079641</v>
      </c>
      <c r="HR58" s="380">
        <f t="shared" si="569"/>
        <v>86850.811563308016</v>
      </c>
      <c r="HS58" s="380">
        <f t="shared" si="570"/>
        <v>102626.98751485084</v>
      </c>
      <c r="HT58" s="380">
        <f t="shared" si="571"/>
        <v>78880.412232572824</v>
      </c>
      <c r="HU58" s="380">
        <f t="shared" si="572"/>
        <v>82936.517827571923</v>
      </c>
      <c r="HV58" s="380">
        <f t="shared" si="573"/>
        <v>84014.267131418877</v>
      </c>
      <c r="HW58" s="380">
        <f t="shared" si="574"/>
        <v>82640.289813129813</v>
      </c>
      <c r="HX58" s="380">
        <f t="shared" si="575"/>
        <v>83682.911051284493</v>
      </c>
      <c r="HY58" s="380">
        <f t="shared" si="576"/>
        <v>84574.630704207855</v>
      </c>
      <c r="HZ58" s="389">
        <f t="shared" si="237"/>
        <v>109726.70791819472</v>
      </c>
      <c r="IA58" s="379">
        <f t="shared" si="252"/>
        <v>1049497.8441365773</v>
      </c>
      <c r="IB58" s="1344">
        <f t="shared" si="577"/>
        <v>117839.1423914722</v>
      </c>
      <c r="IC58" s="120">
        <f t="shared" si="253"/>
        <v>79500.710130830601</v>
      </c>
      <c r="ID58" s="120">
        <f t="shared" si="254"/>
        <v>81454.376816581178</v>
      </c>
      <c r="IE58" s="120">
        <f t="shared" si="255"/>
        <v>82041.148969087226</v>
      </c>
      <c r="IF58" s="120">
        <f t="shared" si="256"/>
        <v>86935.500797630215</v>
      </c>
      <c r="IG58" s="120">
        <f t="shared" si="257"/>
        <v>83080.58321106447</v>
      </c>
      <c r="IH58" s="120">
        <f t="shared" si="258"/>
        <v>92400.291448954536</v>
      </c>
      <c r="II58" s="120">
        <f t="shared" si="259"/>
        <v>91483.988983956573</v>
      </c>
      <c r="IJ58" s="120"/>
      <c r="IK58" s="120"/>
      <c r="IL58" s="120"/>
      <c r="IM58" s="1345"/>
      <c r="IN58" s="1346">
        <f t="shared" si="260"/>
        <v>714735.74274957692</v>
      </c>
      <c r="IO58" s="120"/>
      <c r="IP58" s="371">
        <f t="shared" si="261"/>
        <v>8.8910159043025683</v>
      </c>
      <c r="IQ58" s="348">
        <f t="shared" si="578"/>
        <v>3.7543098165148781</v>
      </c>
      <c r="IR58" s="320">
        <f t="shared" si="263"/>
        <v>688873.30464976048</v>
      </c>
      <c r="IS58" s="344">
        <f t="shared" si="264"/>
        <v>714735.74274957692</v>
      </c>
    </row>
    <row r="59" spans="1:255" ht="15" customHeight="1" x14ac:dyDescent="0.2">
      <c r="A59" s="1551" t="s">
        <v>401</v>
      </c>
      <c r="B59" s="379">
        <f t="shared" ref="B59:M59" si="592">+B25/B37</f>
        <v>0</v>
      </c>
      <c r="C59" s="380">
        <f t="shared" si="592"/>
        <v>0</v>
      </c>
      <c r="D59" s="380">
        <f t="shared" si="592"/>
        <v>0</v>
      </c>
      <c r="E59" s="380">
        <f t="shared" si="592"/>
        <v>0</v>
      </c>
      <c r="F59" s="380">
        <f t="shared" si="592"/>
        <v>0</v>
      </c>
      <c r="G59" s="380">
        <f t="shared" si="592"/>
        <v>0</v>
      </c>
      <c r="H59" s="380">
        <f t="shared" si="592"/>
        <v>27803.829867250333</v>
      </c>
      <c r="I59" s="380">
        <f t="shared" si="592"/>
        <v>0</v>
      </c>
      <c r="J59" s="380">
        <f t="shared" si="592"/>
        <v>0</v>
      </c>
      <c r="K59" s="380">
        <f t="shared" si="592"/>
        <v>6441.9047853663114</v>
      </c>
      <c r="L59" s="380">
        <f t="shared" si="592"/>
        <v>5103.0783528076945</v>
      </c>
      <c r="M59" s="389">
        <f t="shared" si="592"/>
        <v>63633.696854792244</v>
      </c>
      <c r="N59" s="381">
        <f t="shared" si="240"/>
        <v>102982.50986021658</v>
      </c>
      <c r="O59" s="379">
        <f t="shared" si="374"/>
        <v>0</v>
      </c>
      <c r="P59" s="380">
        <f t="shared" si="375"/>
        <v>45.964405729033501</v>
      </c>
      <c r="Q59" s="380">
        <f t="shared" si="376"/>
        <v>0</v>
      </c>
      <c r="R59" s="380">
        <f t="shared" si="377"/>
        <v>21230.246848407412</v>
      </c>
      <c r="S59" s="380">
        <f t="shared" si="378"/>
        <v>3944.1284529683639</v>
      </c>
      <c r="T59" s="380">
        <f t="shared" si="379"/>
        <v>3977.8088278297464</v>
      </c>
      <c r="U59" s="380">
        <f t="shared" si="380"/>
        <v>7493.6808178363435</v>
      </c>
      <c r="V59" s="380">
        <f t="shared" si="381"/>
        <v>7785.2967765453423</v>
      </c>
      <c r="W59" s="380">
        <f t="shared" si="382"/>
        <v>9228.9220774895239</v>
      </c>
      <c r="X59" s="380">
        <f t="shared" si="383"/>
        <v>10674.812092848557</v>
      </c>
      <c r="Y59" s="380">
        <f t="shared" si="384"/>
        <v>11098.827900550799</v>
      </c>
      <c r="Z59" s="389">
        <f t="shared" si="385"/>
        <v>29001.015083861159</v>
      </c>
      <c r="AA59" s="381">
        <f t="shared" si="580"/>
        <v>104480.70328406629</v>
      </c>
      <c r="AB59" s="379">
        <f t="shared" si="386"/>
        <v>578.9073363186036</v>
      </c>
      <c r="AC59" s="380">
        <f t="shared" si="387"/>
        <v>14371.820847951305</v>
      </c>
      <c r="AD59" s="380">
        <f t="shared" si="388"/>
        <v>5473.5882140545509</v>
      </c>
      <c r="AE59" s="380">
        <f t="shared" si="389"/>
        <v>4856.682077905697</v>
      </c>
      <c r="AF59" s="380">
        <f t="shared" si="390"/>
        <v>11881.443112681167</v>
      </c>
      <c r="AG59" s="380">
        <f t="shared" si="391"/>
        <v>11922.35470495648</v>
      </c>
      <c r="AH59" s="380">
        <f t="shared" si="392"/>
        <v>6909.8598362746343</v>
      </c>
      <c r="AI59" s="380">
        <f t="shared" si="393"/>
        <v>7423.2855390118657</v>
      </c>
      <c r="AJ59" s="380">
        <f t="shared" si="394"/>
        <v>2856.9347369561601</v>
      </c>
      <c r="AK59" s="380">
        <f t="shared" si="395"/>
        <v>4962.0835658601573</v>
      </c>
      <c r="AL59" s="380">
        <f t="shared" si="396"/>
        <v>2531.2017033417778</v>
      </c>
      <c r="AM59" s="389">
        <f t="shared" si="397"/>
        <v>6508.9187751548761</v>
      </c>
      <c r="AN59" s="381">
        <f t="shared" si="581"/>
        <v>80277.080450467271</v>
      </c>
      <c r="AO59" s="379">
        <f t="shared" si="398"/>
        <v>9397.866149065334</v>
      </c>
      <c r="AP59" s="380">
        <f t="shared" si="399"/>
        <v>2471.6444145778523</v>
      </c>
      <c r="AQ59" s="380">
        <f t="shared" si="400"/>
        <v>12944.371254291253</v>
      </c>
      <c r="AR59" s="380">
        <f t="shared" si="401"/>
        <v>431.81883310167825</v>
      </c>
      <c r="AS59" s="380">
        <f t="shared" si="402"/>
        <v>7568.4571537664751</v>
      </c>
      <c r="AT59" s="380">
        <f t="shared" si="403"/>
        <v>9684.8718798240734</v>
      </c>
      <c r="AU59" s="380">
        <f t="shared" si="404"/>
        <v>346.13533723185395</v>
      </c>
      <c r="AV59" s="380">
        <f t="shared" si="405"/>
        <v>18940.095785671489</v>
      </c>
      <c r="AW59" s="380">
        <f t="shared" si="406"/>
        <v>5304.8851334941028</v>
      </c>
      <c r="AX59" s="380">
        <f t="shared" si="407"/>
        <v>835.47959731771516</v>
      </c>
      <c r="AY59" s="380">
        <f t="shared" si="408"/>
        <v>2937.0370748518485</v>
      </c>
      <c r="AZ59" s="389">
        <f t="shared" si="409"/>
        <v>814.21876926276911</v>
      </c>
      <c r="BA59" s="381">
        <f t="shared" si="582"/>
        <v>71676.881382456428</v>
      </c>
      <c r="BB59" s="379">
        <f t="shared" si="410"/>
        <v>1306.2870542288038</v>
      </c>
      <c r="BC59" s="380">
        <f t="shared" si="411"/>
        <v>893.76302512752841</v>
      </c>
      <c r="BD59" s="380">
        <f t="shared" si="412"/>
        <v>1240.347805314967</v>
      </c>
      <c r="BE59" s="380">
        <f t="shared" si="413"/>
        <v>507.04463820448905</v>
      </c>
      <c r="BF59" s="380">
        <f t="shared" si="414"/>
        <v>356.47880401555108</v>
      </c>
      <c r="BG59" s="380">
        <f t="shared" si="415"/>
        <v>1294.6541833601314</v>
      </c>
      <c r="BH59" s="380">
        <f t="shared" si="416"/>
        <v>520.09782380572949</v>
      </c>
      <c r="BI59" s="380">
        <f t="shared" si="417"/>
        <v>1551.5363215283583</v>
      </c>
      <c r="BJ59" s="380">
        <f t="shared" si="418"/>
        <v>5103.3481742689155</v>
      </c>
      <c r="BK59" s="380">
        <f t="shared" si="419"/>
        <v>8589.5070719398827</v>
      </c>
      <c r="BL59" s="380">
        <f t="shared" si="420"/>
        <v>26089.578231389922</v>
      </c>
      <c r="BM59" s="389">
        <f t="shared" si="421"/>
        <v>-2298.6086149133894</v>
      </c>
      <c r="BN59" s="381">
        <f t="shared" si="583"/>
        <v>45154.034518270884</v>
      </c>
      <c r="BO59" s="379">
        <f t="shared" si="422"/>
        <v>9.1834143624186524</v>
      </c>
      <c r="BP59" s="380">
        <f t="shared" si="423"/>
        <v>4571.6108112567181</v>
      </c>
      <c r="BQ59" s="380">
        <f t="shared" si="424"/>
        <v>2899.9096815254311</v>
      </c>
      <c r="BR59" s="380">
        <f t="shared" si="425"/>
        <v>4921.3522112846149</v>
      </c>
      <c r="BS59" s="380">
        <f t="shared" si="426"/>
        <v>4790.0021090447799</v>
      </c>
      <c r="BT59" s="380">
        <f t="shared" si="427"/>
        <v>4067.9329154601692</v>
      </c>
      <c r="BU59" s="380">
        <f t="shared" si="428"/>
        <v>2450.143980639064</v>
      </c>
      <c r="BV59" s="380">
        <f t="shared" si="429"/>
        <v>4200.462866349525</v>
      </c>
      <c r="BW59" s="380">
        <f t="shared" si="430"/>
        <v>3543.3947831959349</v>
      </c>
      <c r="BX59" s="380">
        <f t="shared" si="431"/>
        <v>18374.264644117502</v>
      </c>
      <c r="BY59" s="380">
        <f t="shared" si="432"/>
        <v>12365.242441065568</v>
      </c>
      <c r="BZ59" s="389">
        <f t="shared" si="433"/>
        <v>3129.3354283396257</v>
      </c>
      <c r="CA59" s="381">
        <f t="shared" si="584"/>
        <v>65322.835286641341</v>
      </c>
      <c r="CB59" s="379">
        <f t="shared" si="434"/>
        <v>12594.055615078878</v>
      </c>
      <c r="CC59" s="380">
        <f t="shared" si="435"/>
        <v>338.98086998642367</v>
      </c>
      <c r="CD59" s="380">
        <f t="shared" si="436"/>
        <v>5772.9146443060345</v>
      </c>
      <c r="CE59" s="380">
        <f t="shared" si="437"/>
        <v>173.94287883729319</v>
      </c>
      <c r="CF59" s="380">
        <f t="shared" si="438"/>
        <v>3148.465345308975</v>
      </c>
      <c r="CG59" s="380">
        <f t="shared" si="439"/>
        <v>4903.9188828989618</v>
      </c>
      <c r="CH59" s="380">
        <f t="shared" si="440"/>
        <v>375.12239517467236</v>
      </c>
      <c r="CI59" s="380">
        <f t="shared" si="441"/>
        <v>3299.9317493290059</v>
      </c>
      <c r="CJ59" s="380">
        <f t="shared" si="442"/>
        <v>8354.4866379686937</v>
      </c>
      <c r="CK59" s="380">
        <f t="shared" si="443"/>
        <v>1892.4185128319282</v>
      </c>
      <c r="CL59" s="380">
        <f t="shared" si="444"/>
        <v>904.2337926979518</v>
      </c>
      <c r="CM59" s="389">
        <f t="shared" si="445"/>
        <v>10130.787041662763</v>
      </c>
      <c r="CN59" s="381">
        <f t="shared" si="585"/>
        <v>51889.258366081587</v>
      </c>
      <c r="CO59" s="379">
        <f t="shared" si="446"/>
        <v>0</v>
      </c>
      <c r="CP59" s="380">
        <f t="shared" si="447"/>
        <v>0</v>
      </c>
      <c r="CQ59" s="380">
        <f t="shared" si="448"/>
        <v>27.216963071465386</v>
      </c>
      <c r="CR59" s="380">
        <f t="shared" si="449"/>
        <v>34225.990446194075</v>
      </c>
      <c r="CS59" s="380">
        <f t="shared" si="450"/>
        <v>2614.3741381720029</v>
      </c>
      <c r="CT59" s="380">
        <f t="shared" si="451"/>
        <v>109.02182127806297</v>
      </c>
      <c r="CU59" s="380">
        <f t="shared" si="452"/>
        <v>5665.138842203065</v>
      </c>
      <c r="CV59" s="380">
        <f t="shared" si="453"/>
        <v>1236.5565465018383</v>
      </c>
      <c r="CW59" s="380">
        <f t="shared" si="454"/>
        <v>2683.9844493483761</v>
      </c>
      <c r="CX59" s="380">
        <f t="shared" si="455"/>
        <v>763.17443359947458</v>
      </c>
      <c r="CY59" s="380">
        <f t="shared" si="456"/>
        <v>4305.2032513218146</v>
      </c>
      <c r="CZ59" s="389">
        <f t="shared" si="457"/>
        <v>4285.1624620424964</v>
      </c>
      <c r="DA59" s="381">
        <f t="shared" si="586"/>
        <v>55915.823353732667</v>
      </c>
      <c r="DB59" s="379">
        <f t="shared" si="458"/>
        <v>0</v>
      </c>
      <c r="DC59" s="380">
        <f t="shared" si="459"/>
        <v>470.31843858425322</v>
      </c>
      <c r="DD59" s="380">
        <f t="shared" si="460"/>
        <v>7976.0612363074461</v>
      </c>
      <c r="DE59" s="380">
        <f t="shared" si="461"/>
        <v>2827.1664941646281</v>
      </c>
      <c r="DF59" s="380">
        <f t="shared" si="462"/>
        <v>4614.2780005893292</v>
      </c>
      <c r="DG59" s="380">
        <f t="shared" si="463"/>
        <v>2208.0719076091741</v>
      </c>
      <c r="DH59" s="380">
        <f t="shared" si="464"/>
        <v>8698.2831438270296</v>
      </c>
      <c r="DI59" s="380">
        <f t="shared" si="465"/>
        <v>1585.1801634982307</v>
      </c>
      <c r="DJ59" s="380">
        <f t="shared" si="466"/>
        <v>2802.7605308380089</v>
      </c>
      <c r="DK59" s="380">
        <f t="shared" si="467"/>
        <v>2494.3206860650275</v>
      </c>
      <c r="DL59" s="380">
        <f t="shared" si="468"/>
        <v>4291.0494127080601</v>
      </c>
      <c r="DM59" s="389">
        <f t="shared" si="469"/>
        <v>13897.483355921819</v>
      </c>
      <c r="DN59" s="381">
        <f t="shared" si="587"/>
        <v>51864.973370113003</v>
      </c>
      <c r="DO59" s="379">
        <f t="shared" si="470"/>
        <v>0</v>
      </c>
      <c r="DP59" s="380">
        <f t="shared" si="471"/>
        <v>393.77731221778862</v>
      </c>
      <c r="DQ59" s="380">
        <f t="shared" si="472"/>
        <v>2104.2729280369804</v>
      </c>
      <c r="DR59" s="380">
        <f t="shared" si="473"/>
        <v>3112.8642396174459</v>
      </c>
      <c r="DS59" s="380">
        <f t="shared" si="474"/>
        <v>4980.3595662284069</v>
      </c>
      <c r="DT59" s="380">
        <f t="shared" si="475"/>
        <v>3123.7703925730912</v>
      </c>
      <c r="DU59" s="380">
        <f t="shared" si="476"/>
        <v>4020.5306189270259</v>
      </c>
      <c r="DV59" s="380">
        <f t="shared" si="477"/>
        <v>7402.460625087072</v>
      </c>
      <c r="DW59" s="380">
        <f t="shared" si="478"/>
        <v>4112.9023639747675</v>
      </c>
      <c r="DX59" s="380">
        <f t="shared" si="479"/>
        <v>3951.4675494506168</v>
      </c>
      <c r="DY59" s="380">
        <f t="shared" si="480"/>
        <v>6285.6340846384737</v>
      </c>
      <c r="DZ59" s="389">
        <f t="shared" si="481"/>
        <v>16164.734213911286</v>
      </c>
      <c r="EA59" s="381">
        <f t="shared" si="588"/>
        <v>55652.773894662954</v>
      </c>
      <c r="EB59" s="379">
        <f t="shared" si="482"/>
        <v>0</v>
      </c>
      <c r="EC59" s="380">
        <f t="shared" si="483"/>
        <v>1250.9376667762897</v>
      </c>
      <c r="ED59" s="380">
        <f t="shared" si="484"/>
        <v>1623.5774092227821</v>
      </c>
      <c r="EE59" s="380">
        <f t="shared" si="485"/>
        <v>1954.3161061874905</v>
      </c>
      <c r="EF59" s="380">
        <f t="shared" si="486"/>
        <v>2206.4832260505868</v>
      </c>
      <c r="EG59" s="380">
        <f t="shared" si="487"/>
        <v>1098.1866740269122</v>
      </c>
      <c r="EH59" s="380">
        <f t="shared" si="488"/>
        <v>3782.215795897202</v>
      </c>
      <c r="EI59" s="380">
        <f t="shared" si="489"/>
        <v>2692.5006780122508</v>
      </c>
      <c r="EJ59" s="380">
        <f t="shared" si="490"/>
        <v>3285.0655284074437</v>
      </c>
      <c r="EK59" s="380">
        <f t="shared" si="491"/>
        <v>6437.5156864055907</v>
      </c>
      <c r="EL59" s="380">
        <f t="shared" si="492"/>
        <v>9141.5104472628354</v>
      </c>
      <c r="EM59" s="389">
        <f t="shared" si="493"/>
        <v>2920.5916595329904</v>
      </c>
      <c r="EN59" s="381">
        <f t="shared" si="589"/>
        <v>36392.900877782376</v>
      </c>
      <c r="EO59" s="379">
        <f t="shared" si="494"/>
        <v>0</v>
      </c>
      <c r="EP59" s="380">
        <f t="shared" si="495"/>
        <v>0</v>
      </c>
      <c r="EQ59" s="380">
        <f t="shared" si="496"/>
        <v>1639.7270359090405</v>
      </c>
      <c r="ER59" s="380">
        <f t="shared" si="497"/>
        <v>435.96923690689817</v>
      </c>
      <c r="ES59" s="380">
        <f t="shared" si="498"/>
        <v>416.51059997256135</v>
      </c>
      <c r="ET59" s="380">
        <f t="shared" si="499"/>
        <v>5087.679845974676</v>
      </c>
      <c r="EU59" s="380">
        <f t="shared" si="500"/>
        <v>338.82633267168967</v>
      </c>
      <c r="EV59" s="380">
        <f t="shared" si="501"/>
        <v>1119.4728657701073</v>
      </c>
      <c r="EW59" s="380">
        <f t="shared" si="502"/>
        <v>1302.9083119347576</v>
      </c>
      <c r="EX59" s="380">
        <f t="shared" si="503"/>
        <v>1918.1849578930628</v>
      </c>
      <c r="EY59" s="380">
        <f t="shared" si="504"/>
        <v>4299.7273488016208</v>
      </c>
      <c r="EZ59" s="389">
        <f t="shared" si="505"/>
        <v>14689.370877823492</v>
      </c>
      <c r="FA59" s="381">
        <f t="shared" si="590"/>
        <v>31248.377413657909</v>
      </c>
      <c r="FB59" s="379">
        <f t="shared" si="506"/>
        <v>0</v>
      </c>
      <c r="FC59" s="380">
        <f t="shared" si="507"/>
        <v>455.3433703887585</v>
      </c>
      <c r="FD59" s="380">
        <f t="shared" si="508"/>
        <v>567.04806306973501</v>
      </c>
      <c r="FE59" s="380">
        <f t="shared" si="509"/>
        <v>153.62212379342284</v>
      </c>
      <c r="FF59" s="380">
        <f t="shared" si="510"/>
        <v>50.648868159722035</v>
      </c>
      <c r="FG59" s="380">
        <f t="shared" si="511"/>
        <v>318.44188533514847</v>
      </c>
      <c r="FH59" s="380">
        <f t="shared" si="512"/>
        <v>5478.9003351563342</v>
      </c>
      <c r="FI59" s="380">
        <f t="shared" si="513"/>
        <v>1061.4235909079273</v>
      </c>
      <c r="FJ59" s="380">
        <f t="shared" si="514"/>
        <v>3017.9596813315407</v>
      </c>
      <c r="FK59" s="380">
        <f t="shared" si="515"/>
        <v>10752.276134935428</v>
      </c>
      <c r="FL59" s="380">
        <f t="shared" si="516"/>
        <v>12707.328234467177</v>
      </c>
      <c r="FM59" s="389">
        <f t="shared" si="517"/>
        <v>13878.943020016055</v>
      </c>
      <c r="FN59" s="381">
        <f t="shared" si="591"/>
        <v>48441.935307561253</v>
      </c>
      <c r="FO59" s="379">
        <f t="shared" si="518"/>
        <v>7121.6851522444713</v>
      </c>
      <c r="FP59" s="380">
        <f t="shared" si="519"/>
        <v>7675.5452497661754</v>
      </c>
      <c r="FQ59" s="380">
        <f t="shared" si="520"/>
        <v>10312.54399032798</v>
      </c>
      <c r="FR59" s="380">
        <f t="shared" si="521"/>
        <v>6589.6198101317632</v>
      </c>
      <c r="FS59" s="380">
        <f t="shared" si="522"/>
        <v>8882.0868189487846</v>
      </c>
      <c r="FT59" s="380">
        <f t="shared" si="523"/>
        <v>15253.721234888349</v>
      </c>
      <c r="FU59" s="380">
        <f t="shared" si="524"/>
        <v>10056.499821673166</v>
      </c>
      <c r="FV59" s="380">
        <f t="shared" si="525"/>
        <v>7836.6737298255657</v>
      </c>
      <c r="FW59" s="380">
        <f t="shared" si="526"/>
        <v>6041.4859851312458</v>
      </c>
      <c r="FX59" s="380">
        <f t="shared" si="527"/>
        <v>5736.286996780449</v>
      </c>
      <c r="FY59" s="380">
        <f t="shared" si="528"/>
        <v>7193.8227338809129</v>
      </c>
      <c r="FZ59" s="389">
        <f t="shared" si="529"/>
        <v>14352.845718034489</v>
      </c>
      <c r="GA59" s="381">
        <f t="shared" si="248"/>
        <v>107052.81724163334</v>
      </c>
      <c r="GB59" s="379">
        <f t="shared" si="530"/>
        <v>5210.0570348952506</v>
      </c>
      <c r="GC59" s="380">
        <f t="shared" si="531"/>
        <v>2154.47497710983</v>
      </c>
      <c r="GD59" s="380">
        <f t="shared" si="532"/>
        <v>6664.8477951143041</v>
      </c>
      <c r="GE59" s="380">
        <f t="shared" si="533"/>
        <v>6831.0577490226142</v>
      </c>
      <c r="GF59" s="380">
        <f t="shared" si="534"/>
        <v>16807.460580299437</v>
      </c>
      <c r="GG59" s="380">
        <f t="shared" si="535"/>
        <v>23810.236379010741</v>
      </c>
      <c r="GH59" s="380">
        <f t="shared" si="536"/>
        <v>17560.203318693082</v>
      </c>
      <c r="GI59" s="380">
        <f t="shared" si="537"/>
        <v>16669.636766448108</v>
      </c>
      <c r="GJ59" s="380">
        <f t="shared" si="538"/>
        <v>17589.925749540365</v>
      </c>
      <c r="GK59" s="380">
        <f t="shared" si="539"/>
        <v>21402.359981513553</v>
      </c>
      <c r="GL59" s="380">
        <f t="shared" si="540"/>
        <v>24650.923111143351</v>
      </c>
      <c r="GM59" s="389">
        <f t="shared" si="541"/>
        <v>32085.373046733155</v>
      </c>
      <c r="GN59" s="381">
        <f t="shared" si="249"/>
        <v>191436.55648952379</v>
      </c>
      <c r="GO59" s="379">
        <f t="shared" si="542"/>
        <v>2284.7507067219076</v>
      </c>
      <c r="GP59" s="380">
        <f t="shared" si="543"/>
        <v>7869.6331125213928</v>
      </c>
      <c r="GQ59" s="380">
        <f t="shared" si="544"/>
        <v>13625.531585967483</v>
      </c>
      <c r="GR59" s="380">
        <f t="shared" si="545"/>
        <v>6748.101041414915</v>
      </c>
      <c r="GS59" s="380">
        <f t="shared" si="546"/>
        <v>9184.9473131311479</v>
      </c>
      <c r="GT59" s="380">
        <f t="shared" si="547"/>
        <v>9739.8143522919872</v>
      </c>
      <c r="GU59" s="380">
        <f t="shared" si="548"/>
        <v>27581.047827966038</v>
      </c>
      <c r="GV59" s="380">
        <f t="shared" si="549"/>
        <v>14038.097593950222</v>
      </c>
      <c r="GW59" s="380">
        <f t="shared" si="550"/>
        <v>17917.125707772229</v>
      </c>
      <c r="GX59" s="380">
        <f t="shared" si="551"/>
        <v>15462.968684885389</v>
      </c>
      <c r="GY59" s="380">
        <f t="shared" si="552"/>
        <v>23518.772762367036</v>
      </c>
      <c r="GZ59" s="389">
        <f t="shared" si="553"/>
        <v>38399.483918156409</v>
      </c>
      <c r="HA59" s="381">
        <f t="shared" si="250"/>
        <v>186370.27460714616</v>
      </c>
      <c r="HB59" s="379">
        <f t="shared" si="554"/>
        <v>11032.959461257435</v>
      </c>
      <c r="HC59" s="380">
        <f t="shared" si="555"/>
        <v>11515.818666835612</v>
      </c>
      <c r="HD59" s="380">
        <f t="shared" si="556"/>
        <v>12338.765725844245</v>
      </c>
      <c r="HE59" s="380">
        <f t="shared" si="557"/>
        <v>21742.350587737383</v>
      </c>
      <c r="HF59" s="380">
        <f t="shared" si="558"/>
        <v>21989.909964198749</v>
      </c>
      <c r="HG59" s="380">
        <f t="shared" si="559"/>
        <v>27790.664749769156</v>
      </c>
      <c r="HH59" s="380">
        <f t="shared" si="560"/>
        <v>19756.349754516727</v>
      </c>
      <c r="HI59" s="380">
        <f t="shared" si="561"/>
        <v>22000.987924244506</v>
      </c>
      <c r="HJ59" s="380">
        <f t="shared" si="562"/>
        <v>16595.946104191291</v>
      </c>
      <c r="HK59" s="380">
        <f t="shared" si="563"/>
        <v>25514.748116232393</v>
      </c>
      <c r="HL59" s="380">
        <f t="shared" si="564"/>
        <v>27949.264756949062</v>
      </c>
      <c r="HM59" s="389">
        <f t="shared" si="565"/>
        <v>71452.817485145904</v>
      </c>
      <c r="HN59" s="381">
        <f t="shared" si="251"/>
        <v>289680.5832969225</v>
      </c>
      <c r="HO59" s="379">
        <f t="shared" si="566"/>
        <v>3980.1353263227643</v>
      </c>
      <c r="HP59" s="380">
        <f t="shared" si="567"/>
        <v>26551.818775263429</v>
      </c>
      <c r="HQ59" s="380">
        <f t="shared" si="568"/>
        <v>16274.216986761281</v>
      </c>
      <c r="HR59" s="380">
        <f t="shared" si="569"/>
        <v>33729.327759241234</v>
      </c>
      <c r="HS59" s="380">
        <f t="shared" si="570"/>
        <v>40548.085330527545</v>
      </c>
      <c r="HT59" s="380">
        <f t="shared" si="571"/>
        <v>22320.691045767075</v>
      </c>
      <c r="HU59" s="380">
        <f t="shared" si="572"/>
        <v>20556.138747733916</v>
      </c>
      <c r="HV59" s="380">
        <f t="shared" si="573"/>
        <v>24868.673342432947</v>
      </c>
      <c r="HW59" s="380">
        <f t="shared" si="574"/>
        <v>27559.269562996291</v>
      </c>
      <c r="HX59" s="380">
        <f t="shared" si="575"/>
        <v>33662.713943490104</v>
      </c>
      <c r="HY59" s="380">
        <f t="shared" si="576"/>
        <v>27149.946028802849</v>
      </c>
      <c r="HZ59" s="389">
        <f t="shared" si="237"/>
        <v>53595.295218258703</v>
      </c>
      <c r="IA59" s="379">
        <f t="shared" si="252"/>
        <v>330796.3120675981</v>
      </c>
      <c r="IB59" s="1344">
        <f t="shared" si="577"/>
        <v>9190.2896812901035</v>
      </c>
      <c r="IC59" s="120">
        <f t="shared" si="253"/>
        <v>16419.877283857357</v>
      </c>
      <c r="ID59" s="120">
        <f>+ID25/$ID$37</f>
        <v>21831.53734542723</v>
      </c>
      <c r="IE59" s="120">
        <f t="shared" si="255"/>
        <v>18772.698378118512</v>
      </c>
      <c r="IF59" s="120">
        <f t="shared" si="256"/>
        <v>24930.959450777478</v>
      </c>
      <c r="IG59" s="120">
        <f t="shared" si="257"/>
        <v>26890.755311858255</v>
      </c>
      <c r="IH59" s="120">
        <f t="shared" si="258"/>
        <v>36458.06348801565</v>
      </c>
      <c r="II59" s="120">
        <f t="shared" si="259"/>
        <v>31505.886074950955</v>
      </c>
      <c r="IJ59" s="120"/>
      <c r="IK59" s="120"/>
      <c r="IL59" s="120"/>
      <c r="IM59" s="1345"/>
      <c r="IN59" s="1346">
        <f t="shared" si="260"/>
        <v>186000.06701429552</v>
      </c>
      <c r="IO59" s="120"/>
      <c r="IP59" s="371">
        <f t="shared" si="261"/>
        <v>26.689050280752436</v>
      </c>
      <c r="IQ59" s="348">
        <f t="shared" si="578"/>
        <v>-1.4981909514023006</v>
      </c>
      <c r="IR59" s="320">
        <f t="shared" si="263"/>
        <v>188829.08731405018</v>
      </c>
      <c r="IS59" s="344">
        <f t="shared" si="264"/>
        <v>186000.06701429552</v>
      </c>
    </row>
    <row r="60" spans="1:255" ht="15" customHeight="1" x14ac:dyDescent="0.2">
      <c r="A60" s="1551" t="s">
        <v>402</v>
      </c>
      <c r="B60" s="382">
        <f t="shared" ref="B60:M60" si="593">+B26/B37</f>
        <v>901.34874679151903</v>
      </c>
      <c r="C60" s="383">
        <f t="shared" si="593"/>
        <v>798.17635479075273</v>
      </c>
      <c r="D60" s="383">
        <f t="shared" si="593"/>
        <v>920.50105902782616</v>
      </c>
      <c r="E60" s="383">
        <f t="shared" si="593"/>
        <v>882.70251074340308</v>
      </c>
      <c r="F60" s="383">
        <f t="shared" si="593"/>
        <v>1135.3575757470499</v>
      </c>
      <c r="G60" s="383">
        <f t="shared" si="593"/>
        <v>936.21693685124546</v>
      </c>
      <c r="H60" s="383">
        <f t="shared" si="593"/>
        <v>946.08029508301138</v>
      </c>
      <c r="I60" s="383">
        <f t="shared" si="593"/>
        <v>850.59989481914681</v>
      </c>
      <c r="J60" s="383">
        <f t="shared" si="593"/>
        <v>869.06582027187756</v>
      </c>
      <c r="K60" s="383">
        <f t="shared" si="593"/>
        <v>1138.7673018109463</v>
      </c>
      <c r="L60" s="383">
        <f t="shared" si="593"/>
        <v>946.96299330452075</v>
      </c>
      <c r="M60" s="390">
        <f t="shared" si="593"/>
        <v>1213.0251058845688</v>
      </c>
      <c r="N60" s="384">
        <f t="shared" si="240"/>
        <v>11538.804595125868</v>
      </c>
      <c r="O60" s="382">
        <f t="shared" si="374"/>
        <v>649.48174132062775</v>
      </c>
      <c r="P60" s="383">
        <f t="shared" si="375"/>
        <v>1110.5000424134494</v>
      </c>
      <c r="Q60" s="383">
        <f t="shared" si="376"/>
        <v>964.53804768179111</v>
      </c>
      <c r="R60" s="383">
        <f t="shared" si="377"/>
        <v>1079.7369094242231</v>
      </c>
      <c r="S60" s="383">
        <f t="shared" si="378"/>
        <v>1022.4500240447605</v>
      </c>
      <c r="T60" s="383">
        <f t="shared" si="379"/>
        <v>1135.3348514836462</v>
      </c>
      <c r="U60" s="383">
        <f t="shared" si="380"/>
        <v>1105.6551225043215</v>
      </c>
      <c r="V60" s="383">
        <f t="shared" si="381"/>
        <v>1173.2654643760313</v>
      </c>
      <c r="W60" s="383">
        <f t="shared" si="382"/>
        <v>1077.6892453869398</v>
      </c>
      <c r="X60" s="383">
        <f t="shared" si="383"/>
        <v>1468.9012076441913</v>
      </c>
      <c r="Y60" s="383">
        <f t="shared" si="384"/>
        <v>1435.5502466511275</v>
      </c>
      <c r="Z60" s="390">
        <f t="shared" si="385"/>
        <v>2019.8708000589029</v>
      </c>
      <c r="AA60" s="384">
        <f t="shared" si="580"/>
        <v>14242.973702990013</v>
      </c>
      <c r="AB60" s="382">
        <f t="shared" si="386"/>
        <v>714.26007845944605</v>
      </c>
      <c r="AC60" s="383">
        <f t="shared" si="387"/>
        <v>687.36777160515589</v>
      </c>
      <c r="AD60" s="383">
        <f t="shared" si="388"/>
        <v>857.2651861573562</v>
      </c>
      <c r="AE60" s="383">
        <f t="shared" si="389"/>
        <v>799.75303678087823</v>
      </c>
      <c r="AF60" s="383">
        <f t="shared" si="390"/>
        <v>943.80635484937773</v>
      </c>
      <c r="AG60" s="383">
        <f t="shared" si="391"/>
        <v>1030.9856909391176</v>
      </c>
      <c r="AH60" s="383">
        <f t="shared" si="392"/>
        <v>878.60111376731459</v>
      </c>
      <c r="AI60" s="383">
        <f t="shared" si="393"/>
        <v>944.53669509703036</v>
      </c>
      <c r="AJ60" s="383">
        <f t="shared" si="394"/>
        <v>1059.8886264541577</v>
      </c>
      <c r="AK60" s="383">
        <f t="shared" si="395"/>
        <v>1184.706453677788</v>
      </c>
      <c r="AL60" s="383">
        <f t="shared" si="396"/>
        <v>1711.1715640301279</v>
      </c>
      <c r="AM60" s="390">
        <f t="shared" si="397"/>
        <v>1444.8290157991498</v>
      </c>
      <c r="AN60" s="384">
        <f t="shared" si="581"/>
        <v>12257.171587616902</v>
      </c>
      <c r="AO60" s="382">
        <f t="shared" si="398"/>
        <v>290.88633318535557</v>
      </c>
      <c r="AP60" s="383">
        <f t="shared" si="399"/>
        <v>801.59030617081146</v>
      </c>
      <c r="AQ60" s="383">
        <f t="shared" si="400"/>
        <v>759.71479144824514</v>
      </c>
      <c r="AR60" s="383">
        <f t="shared" si="401"/>
        <v>415.98840744825628</v>
      </c>
      <c r="AS60" s="383">
        <f t="shared" si="402"/>
        <v>798.71677076010678</v>
      </c>
      <c r="AT60" s="383">
        <f t="shared" si="403"/>
        <v>1136.2434752393183</v>
      </c>
      <c r="AU60" s="383">
        <f t="shared" si="404"/>
        <v>1027.943482610468</v>
      </c>
      <c r="AV60" s="383">
        <f t="shared" si="405"/>
        <v>758.22989280624085</v>
      </c>
      <c r="AW60" s="383">
        <f t="shared" si="406"/>
        <v>1053.0036656094323</v>
      </c>
      <c r="AX60" s="383">
        <f t="shared" si="407"/>
        <v>664.40931782556663</v>
      </c>
      <c r="AY60" s="383">
        <f t="shared" si="408"/>
        <v>991.91673910491545</v>
      </c>
      <c r="AZ60" s="390">
        <f t="shared" si="409"/>
        <v>1139.391491655382</v>
      </c>
      <c r="BA60" s="384">
        <f t="shared" si="582"/>
        <v>9838.0346738641001</v>
      </c>
      <c r="BB60" s="382">
        <f t="shared" si="410"/>
        <v>244.76779122630447</v>
      </c>
      <c r="BC60" s="383">
        <f t="shared" si="411"/>
        <v>1242.1936297509997</v>
      </c>
      <c r="BD60" s="383">
        <f t="shared" si="412"/>
        <v>938.75638689934158</v>
      </c>
      <c r="BE60" s="383">
        <f t="shared" si="413"/>
        <v>652.39743448977595</v>
      </c>
      <c r="BF60" s="383">
        <f t="shared" si="414"/>
        <v>639.46553232173494</v>
      </c>
      <c r="BG60" s="383">
        <f t="shared" si="415"/>
        <v>869.58169365376966</v>
      </c>
      <c r="BH60" s="383">
        <f t="shared" si="416"/>
        <v>858.66799806887479</v>
      </c>
      <c r="BI60" s="383">
        <f t="shared" si="417"/>
        <v>1603.6182121264949</v>
      </c>
      <c r="BJ60" s="383">
        <f t="shared" si="418"/>
        <v>884.81429544053401</v>
      </c>
      <c r="BK60" s="383">
        <f t="shared" si="419"/>
        <v>1350.6882710552386</v>
      </c>
      <c r="BL60" s="383">
        <f t="shared" si="420"/>
        <v>1094.4683659962495</v>
      </c>
      <c r="BM60" s="390">
        <f t="shared" si="421"/>
        <v>2240.0985774428664</v>
      </c>
      <c r="BN60" s="384">
        <f t="shared" si="583"/>
        <v>12619.518188472184</v>
      </c>
      <c r="BO60" s="382">
        <f t="shared" si="422"/>
        <v>229.58535906046632</v>
      </c>
      <c r="BP60" s="383">
        <f t="shared" si="423"/>
        <v>970.97637775183819</v>
      </c>
      <c r="BQ60" s="383">
        <f t="shared" si="424"/>
        <v>1038.4028385587922</v>
      </c>
      <c r="BR60" s="383">
        <f t="shared" si="425"/>
        <v>1107.6759508782593</v>
      </c>
      <c r="BS60" s="383">
        <f t="shared" si="426"/>
        <v>1151.7440527255694</v>
      </c>
      <c r="BT60" s="383">
        <f t="shared" si="427"/>
        <v>1087.9068621697602</v>
      </c>
      <c r="BU60" s="383">
        <f t="shared" si="428"/>
        <v>1010.8070627736591</v>
      </c>
      <c r="BV60" s="383">
        <f t="shared" si="429"/>
        <v>1196.5299915569619</v>
      </c>
      <c r="BW60" s="383">
        <f t="shared" si="430"/>
        <v>910.02113212094639</v>
      </c>
      <c r="BX60" s="383">
        <f t="shared" si="431"/>
        <v>1468.4467345871215</v>
      </c>
      <c r="BY60" s="383">
        <f t="shared" si="432"/>
        <v>1875.4208797455774</v>
      </c>
      <c r="BZ60" s="390">
        <f t="shared" si="433"/>
        <v>2669.4019428968245</v>
      </c>
      <c r="CA60" s="384">
        <f t="shared" si="584"/>
        <v>14716.919184825776</v>
      </c>
      <c r="CB60" s="382">
        <f t="shared" si="434"/>
        <v>169.29236066063066</v>
      </c>
      <c r="CC60" s="383">
        <f t="shared" si="435"/>
        <v>1005.6700869668483</v>
      </c>
      <c r="CD60" s="383">
        <f t="shared" si="436"/>
        <v>1559.5760805416746</v>
      </c>
      <c r="CE60" s="383">
        <f t="shared" si="437"/>
        <v>1227.9728923421753</v>
      </c>
      <c r="CF60" s="383">
        <f t="shared" si="438"/>
        <v>1831.76201252995</v>
      </c>
      <c r="CG60" s="383">
        <f t="shared" si="439"/>
        <v>1121.4634592820801</v>
      </c>
      <c r="CH60" s="383">
        <f t="shared" si="440"/>
        <v>1380.1971670561784</v>
      </c>
      <c r="CI60" s="383">
        <f t="shared" si="441"/>
        <v>1201.631412321676</v>
      </c>
      <c r="CJ60" s="383">
        <f t="shared" si="442"/>
        <v>2333.7836111932615</v>
      </c>
      <c r="CK60" s="383">
        <f t="shared" si="443"/>
        <v>1121.9000675573129</v>
      </c>
      <c r="CL60" s="383">
        <f t="shared" si="444"/>
        <v>2367.8932040894883</v>
      </c>
      <c r="CM60" s="390">
        <f t="shared" si="445"/>
        <v>3913.2910392497938</v>
      </c>
      <c r="CN60" s="384">
        <f t="shared" si="585"/>
        <v>19234.433393791071</v>
      </c>
      <c r="CO60" s="382">
        <f t="shared" si="446"/>
        <v>269.55961758245326</v>
      </c>
      <c r="CP60" s="383">
        <f t="shared" si="447"/>
        <v>637.79951315766095</v>
      </c>
      <c r="CQ60" s="383">
        <f t="shared" si="448"/>
        <v>1059.1286772381673</v>
      </c>
      <c r="CR60" s="383">
        <f t="shared" si="449"/>
        <v>1154.9383672122974</v>
      </c>
      <c r="CS60" s="383">
        <f t="shared" si="450"/>
        <v>1019.8678134766445</v>
      </c>
      <c r="CT60" s="383">
        <f t="shared" si="451"/>
        <v>2163.5457208562075</v>
      </c>
      <c r="CU60" s="383">
        <f t="shared" si="452"/>
        <v>1219.8545051478807</v>
      </c>
      <c r="CV60" s="383">
        <f t="shared" si="453"/>
        <v>1729.9608827907493</v>
      </c>
      <c r="CW60" s="383">
        <f t="shared" si="454"/>
        <v>2007.279351370297</v>
      </c>
      <c r="CX60" s="383">
        <f t="shared" si="455"/>
        <v>2433.9487414198384</v>
      </c>
      <c r="CY60" s="383">
        <f t="shared" si="456"/>
        <v>2759.7845230627081</v>
      </c>
      <c r="CZ60" s="390">
        <f t="shared" si="457"/>
        <v>3022.6911559074838</v>
      </c>
      <c r="DA60" s="384">
        <f t="shared" si="586"/>
        <v>19478.358869222389</v>
      </c>
      <c r="DB60" s="382">
        <f t="shared" si="458"/>
        <v>165.30455436134966</v>
      </c>
      <c r="DC60" s="383">
        <f t="shared" si="459"/>
        <v>540.07858976182183</v>
      </c>
      <c r="DD60" s="383">
        <f t="shared" si="460"/>
        <v>2257.0381754045657</v>
      </c>
      <c r="DE60" s="383">
        <f t="shared" si="461"/>
        <v>1292.0568392371574</v>
      </c>
      <c r="DF60" s="383">
        <f t="shared" si="462"/>
        <v>2235.7151550743201</v>
      </c>
      <c r="DG60" s="383">
        <f t="shared" si="463"/>
        <v>1198.3916510678323</v>
      </c>
      <c r="DH60" s="383">
        <f t="shared" si="464"/>
        <v>1581.2360754759386</v>
      </c>
      <c r="DI60" s="383">
        <f t="shared" si="465"/>
        <v>1329.2434688783576</v>
      </c>
      <c r="DJ60" s="383">
        <f t="shared" si="466"/>
        <v>2083.8011531618909</v>
      </c>
      <c r="DK60" s="383">
        <f t="shared" si="467"/>
        <v>2566.3641364730356</v>
      </c>
      <c r="DL60" s="383">
        <f t="shared" si="468"/>
        <v>3396.0423520800205</v>
      </c>
      <c r="DM60" s="390">
        <f t="shared" si="469"/>
        <v>7043.7197473684291</v>
      </c>
      <c r="DN60" s="384">
        <f t="shared" si="587"/>
        <v>25688.991898344717</v>
      </c>
      <c r="DO60" s="382">
        <f t="shared" si="470"/>
        <v>167.63579688539426</v>
      </c>
      <c r="DP60" s="383">
        <f t="shared" si="471"/>
        <v>601.56386442127121</v>
      </c>
      <c r="DQ60" s="383">
        <f t="shared" si="472"/>
        <v>944.55604847467737</v>
      </c>
      <c r="DR60" s="383">
        <f t="shared" si="473"/>
        <v>800.32753492589916</v>
      </c>
      <c r="DS60" s="383">
        <f t="shared" si="474"/>
        <v>942.34728634595785</v>
      </c>
      <c r="DT60" s="383">
        <f t="shared" si="475"/>
        <v>825.24242137668375</v>
      </c>
      <c r="DU60" s="383">
        <f t="shared" si="476"/>
        <v>789.66974813396166</v>
      </c>
      <c r="DV60" s="383">
        <f t="shared" si="477"/>
        <v>691.20225131576296</v>
      </c>
      <c r="DW60" s="383">
        <f t="shared" si="478"/>
        <v>898.59924360250795</v>
      </c>
      <c r="DX60" s="383">
        <f t="shared" si="479"/>
        <v>893.47552175761575</v>
      </c>
      <c r="DY60" s="383">
        <f t="shared" si="480"/>
        <v>1216.5510490025074</v>
      </c>
      <c r="DZ60" s="390">
        <f t="shared" si="481"/>
        <v>3192.5800594610073</v>
      </c>
      <c r="EA60" s="384">
        <f t="shared" si="588"/>
        <v>11963.750825703246</v>
      </c>
      <c r="EB60" s="382">
        <f t="shared" si="482"/>
        <v>143.97990940794838</v>
      </c>
      <c r="EC60" s="383">
        <f t="shared" si="483"/>
        <v>573.04722048649774</v>
      </c>
      <c r="ED60" s="383">
        <f t="shared" si="484"/>
        <v>1359.1743980377341</v>
      </c>
      <c r="EE60" s="383">
        <f t="shared" si="485"/>
        <v>1209.3717390907575</v>
      </c>
      <c r="EF60" s="383">
        <f t="shared" si="486"/>
        <v>1164.0558394242232</v>
      </c>
      <c r="EG60" s="383">
        <f t="shared" si="487"/>
        <v>1053.2608555439931</v>
      </c>
      <c r="EH60" s="383">
        <f t="shared" si="488"/>
        <v>1435.7359360458763</v>
      </c>
      <c r="EI60" s="383">
        <f t="shared" si="489"/>
        <v>1218.8975401383523</v>
      </c>
      <c r="EJ60" s="383">
        <f t="shared" si="490"/>
        <v>1107.5323316294982</v>
      </c>
      <c r="EK60" s="383">
        <f t="shared" si="491"/>
        <v>1824.8354534227324</v>
      </c>
      <c r="EL60" s="383">
        <f t="shared" si="492"/>
        <v>1467.8714494754472</v>
      </c>
      <c r="EM60" s="390">
        <f t="shared" si="493"/>
        <v>1865.228103334596</v>
      </c>
      <c r="EN60" s="384">
        <f t="shared" si="589"/>
        <v>14422.990776037657</v>
      </c>
      <c r="EO60" s="382">
        <f t="shared" si="494"/>
        <v>41.5928434425483</v>
      </c>
      <c r="EP60" s="383">
        <f t="shared" si="495"/>
        <v>345.68765909895467</v>
      </c>
      <c r="EQ60" s="383">
        <f t="shared" si="496"/>
        <v>986.91158342010465</v>
      </c>
      <c r="ER60" s="383">
        <f t="shared" si="497"/>
        <v>750.56463825891592</v>
      </c>
      <c r="ES60" s="383">
        <f t="shared" si="498"/>
        <v>874.11505512636211</v>
      </c>
      <c r="ET60" s="383">
        <f t="shared" si="499"/>
        <v>1001.0836200081715</v>
      </c>
      <c r="EU60" s="383">
        <f t="shared" si="500"/>
        <v>665.12931013169475</v>
      </c>
      <c r="EV60" s="383">
        <f t="shared" si="501"/>
        <v>884.45309643451958</v>
      </c>
      <c r="EW60" s="383">
        <f t="shared" si="502"/>
        <v>940.68033407029191</v>
      </c>
      <c r="EX60" s="383">
        <f t="shared" si="503"/>
        <v>1510.518567493632</v>
      </c>
      <c r="EY60" s="383">
        <f t="shared" si="504"/>
        <v>1203.6184172589242</v>
      </c>
      <c r="EZ60" s="390">
        <f t="shared" si="505"/>
        <v>2832.0946444778692</v>
      </c>
      <c r="FA60" s="384">
        <f t="shared" si="590"/>
        <v>12036.449769221988</v>
      </c>
      <c r="FB60" s="382">
        <f t="shared" si="506"/>
        <v>136.30990541447443</v>
      </c>
      <c r="FC60" s="383">
        <f t="shared" si="507"/>
        <v>816.71603004478391</v>
      </c>
      <c r="FD60" s="383">
        <f t="shared" si="508"/>
        <v>924.71397210040311</v>
      </c>
      <c r="FE60" s="383">
        <f t="shared" si="509"/>
        <v>973.16872170922784</v>
      </c>
      <c r="FF60" s="383">
        <f t="shared" si="510"/>
        <v>134.15105620683136</v>
      </c>
      <c r="FG60" s="383">
        <f t="shared" si="511"/>
        <v>723.35721367078986</v>
      </c>
      <c r="FH60" s="383">
        <f t="shared" si="512"/>
        <v>2479.1682439254782</v>
      </c>
      <c r="FI60" s="383">
        <f t="shared" si="513"/>
        <v>901.38936392825269</v>
      </c>
      <c r="FJ60" s="383">
        <f t="shared" si="514"/>
        <v>971.15606853438578</v>
      </c>
      <c r="FK60" s="383">
        <f t="shared" si="515"/>
        <v>1758.9295309324737</v>
      </c>
      <c r="FL60" s="383">
        <f t="shared" si="516"/>
        <v>1423.7750563662373</v>
      </c>
      <c r="FM60" s="390">
        <f t="shared" si="517"/>
        <v>3296.9448833381252</v>
      </c>
      <c r="FN60" s="384">
        <f t="shared" si="591"/>
        <v>14539.780046171463</v>
      </c>
      <c r="FO60" s="382">
        <f t="shared" si="518"/>
        <v>75.482988270216794</v>
      </c>
      <c r="FP60" s="383">
        <f t="shared" si="519"/>
        <v>649.86373092358247</v>
      </c>
      <c r="FQ60" s="383">
        <f t="shared" si="520"/>
        <v>931.54193605039245</v>
      </c>
      <c r="FR60" s="383">
        <f t="shared" si="521"/>
        <v>1236.600403527827</v>
      </c>
      <c r="FS60" s="383">
        <f t="shared" si="522"/>
        <v>791.00344442537505</v>
      </c>
      <c r="FT60" s="383">
        <f t="shared" si="523"/>
        <v>973.67006270364834</v>
      </c>
      <c r="FU60" s="383">
        <f t="shared" si="524"/>
        <v>4191.9628607615632</v>
      </c>
      <c r="FV60" s="383">
        <f t="shared" si="525"/>
        <v>980.64305008626218</v>
      </c>
      <c r="FW60" s="383">
        <f t="shared" si="526"/>
        <v>1105.2369355117105</v>
      </c>
      <c r="FX60" s="383">
        <f t="shared" si="527"/>
        <v>1968.6627252167775</v>
      </c>
      <c r="FY60" s="383">
        <f t="shared" si="528"/>
        <v>1883.8055778238515</v>
      </c>
      <c r="FZ60" s="390">
        <f t="shared" si="529"/>
        <v>4705.600054059134</v>
      </c>
      <c r="GA60" s="384">
        <f t="shared" si="248"/>
        <v>19494.073769360344</v>
      </c>
      <c r="GB60" s="382">
        <f t="shared" si="530"/>
        <v>36.986941006600311</v>
      </c>
      <c r="GC60" s="383">
        <f t="shared" si="531"/>
        <v>590.58933423872304</v>
      </c>
      <c r="GD60" s="383">
        <f t="shared" si="532"/>
        <v>1342.4916650935195</v>
      </c>
      <c r="GE60" s="383">
        <f t="shared" si="533"/>
        <v>1134.2695581082151</v>
      </c>
      <c r="GF60" s="383">
        <f t="shared" si="534"/>
        <v>1254.8416689226869</v>
      </c>
      <c r="GG60" s="383">
        <f t="shared" si="535"/>
        <v>1679.3067656797734</v>
      </c>
      <c r="GH60" s="383">
        <f t="shared" si="536"/>
        <v>1244.8765586763052</v>
      </c>
      <c r="GI60" s="383">
        <f t="shared" si="537"/>
        <v>1641.7749651689487</v>
      </c>
      <c r="GJ60" s="383">
        <f t="shared" si="538"/>
        <v>1801.9327581723489</v>
      </c>
      <c r="GK60" s="383">
        <f t="shared" si="539"/>
        <v>1355.8244864653411</v>
      </c>
      <c r="GL60" s="383">
        <f t="shared" si="540"/>
        <v>2123.1169286883528</v>
      </c>
      <c r="GM60" s="390">
        <f t="shared" si="541"/>
        <v>3650.597215657273</v>
      </c>
      <c r="GN60" s="384">
        <f t="shared" si="249"/>
        <v>17856.608845878087</v>
      </c>
      <c r="GO60" s="382">
        <f t="shared" si="542"/>
        <v>31.10500576836915</v>
      </c>
      <c r="GP60" s="383">
        <f t="shared" si="543"/>
        <v>424.84783162481642</v>
      </c>
      <c r="GQ60" s="383">
        <f t="shared" si="544"/>
        <v>670.43973021091324</v>
      </c>
      <c r="GR60" s="383">
        <f t="shared" si="545"/>
        <v>423.58832020464973</v>
      </c>
      <c r="GS60" s="383">
        <f t="shared" si="546"/>
        <v>477.80975917860383</v>
      </c>
      <c r="GT60" s="383">
        <f t="shared" si="547"/>
        <v>659.84014757795489</v>
      </c>
      <c r="GU60" s="383">
        <f t="shared" si="548"/>
        <v>967.05416675132176</v>
      </c>
      <c r="GV60" s="383">
        <f t="shared" si="549"/>
        <v>1144.4565469008294</v>
      </c>
      <c r="GW60" s="383">
        <f t="shared" si="550"/>
        <v>966.04696975565457</v>
      </c>
      <c r="GX60" s="383">
        <f t="shared" si="551"/>
        <v>950.87320358746388</v>
      </c>
      <c r="GY60" s="383">
        <f t="shared" si="552"/>
        <v>1611.9248381250682</v>
      </c>
      <c r="GZ60" s="390">
        <f t="shared" si="553"/>
        <v>2604.5521240514358</v>
      </c>
      <c r="HA60" s="384">
        <f t="shared" si="250"/>
        <v>10932.53864373708</v>
      </c>
      <c r="HB60" s="382">
        <f t="shared" si="554"/>
        <v>85.43409835262068</v>
      </c>
      <c r="HC60" s="383">
        <f t="shared" si="555"/>
        <v>283.19443898375988</v>
      </c>
      <c r="HD60" s="383">
        <f t="shared" si="556"/>
        <v>633.6198714021358</v>
      </c>
      <c r="HE60" s="383">
        <f t="shared" si="557"/>
        <v>723.13680223948518</v>
      </c>
      <c r="HF60" s="383">
        <f t="shared" si="558"/>
        <v>820.36817470237395</v>
      </c>
      <c r="HG60" s="383">
        <f t="shared" si="559"/>
        <v>723.48154518893716</v>
      </c>
      <c r="HH60" s="383">
        <f t="shared" si="560"/>
        <v>859.94476431401574</v>
      </c>
      <c r="HI60" s="383">
        <f t="shared" si="561"/>
        <v>1285.4785630679721</v>
      </c>
      <c r="HJ60" s="383">
        <f t="shared" si="562"/>
        <v>1193.4942706188656</v>
      </c>
      <c r="HK60" s="383">
        <f t="shared" si="563"/>
        <v>713.15904124791723</v>
      </c>
      <c r="HL60" s="383">
        <f t="shared" si="564"/>
        <v>713.07705136891286</v>
      </c>
      <c r="HM60" s="390">
        <f t="shared" si="565"/>
        <v>2065.3719018184865</v>
      </c>
      <c r="HN60" s="384">
        <f t="shared" si="251"/>
        <v>10099.760523305482</v>
      </c>
      <c r="HO60" s="382">
        <f t="shared" si="566"/>
        <v>78.842242344971879</v>
      </c>
      <c r="HP60" s="383">
        <f t="shared" si="567"/>
        <v>464.34289481911031</v>
      </c>
      <c r="HQ60" s="383">
        <f t="shared" si="568"/>
        <v>516.52757003157831</v>
      </c>
      <c r="HR60" s="383">
        <f t="shared" si="569"/>
        <v>953.60403088954274</v>
      </c>
      <c r="HS60" s="383">
        <f t="shared" si="570"/>
        <v>1263.4004144820653</v>
      </c>
      <c r="HT60" s="383">
        <f t="shared" si="571"/>
        <v>960.65827799200099</v>
      </c>
      <c r="HU60" s="383">
        <f t="shared" si="572"/>
        <v>1344.1462209446736</v>
      </c>
      <c r="HV60" s="383">
        <f t="shared" si="573"/>
        <v>1647.6848007567403</v>
      </c>
      <c r="HW60" s="383">
        <f t="shared" si="574"/>
        <v>1680.624939215734</v>
      </c>
      <c r="HX60" s="383">
        <f t="shared" si="575"/>
        <v>1921.4533520820685</v>
      </c>
      <c r="HY60" s="383">
        <f t="shared" si="576"/>
        <v>2119.0551633063428</v>
      </c>
      <c r="HZ60" s="390">
        <f t="shared" si="237"/>
        <v>4384.2690666322533</v>
      </c>
      <c r="IA60" s="382">
        <f t="shared" si="252"/>
        <v>17334.608973497081</v>
      </c>
      <c r="IB60" s="1344">
        <f t="shared" si="577"/>
        <v>18.693978412435751</v>
      </c>
      <c r="IC60" s="120">
        <f t="shared" si="253"/>
        <v>662.91090863328338</v>
      </c>
      <c r="ID60" s="120">
        <f t="shared" si="254"/>
        <v>762.17303983718148</v>
      </c>
      <c r="IE60" s="120">
        <f t="shared" si="255"/>
        <v>943.94093879798845</v>
      </c>
      <c r="IF60" s="120">
        <f t="shared" si="256"/>
        <v>1253.1645538345654</v>
      </c>
      <c r="IG60" s="120">
        <f t="shared" si="257"/>
        <v>1152.7260583255415</v>
      </c>
      <c r="IH60" s="120">
        <f t="shared" si="258"/>
        <v>1045.7677075799031</v>
      </c>
      <c r="II60" s="120">
        <f t="shared" si="259"/>
        <v>1228.3665944068043</v>
      </c>
      <c r="IJ60" s="120"/>
      <c r="IK60" s="120"/>
      <c r="IL60" s="120"/>
      <c r="IM60" s="1345"/>
      <c r="IN60" s="1346">
        <f t="shared" si="260"/>
        <v>7067.7437798277024</v>
      </c>
      <c r="IO60" s="120"/>
      <c r="IP60" s="371">
        <f t="shared" si="261"/>
        <v>-25.448933324951085</v>
      </c>
      <c r="IQ60" s="348">
        <f t="shared" si="578"/>
        <v>-2.2334771250375529</v>
      </c>
      <c r="IR60" s="320">
        <f t="shared" si="263"/>
        <v>7229.2064522606834</v>
      </c>
      <c r="IS60" s="344">
        <f t="shared" si="264"/>
        <v>7067.7437798277024</v>
      </c>
    </row>
    <row r="61" spans="1:255" ht="15" customHeight="1" x14ac:dyDescent="0.2">
      <c r="A61" s="1551" t="s">
        <v>328</v>
      </c>
      <c r="B61" s="379">
        <f t="shared" ref="B61:M61" si="594">+B27/B37</f>
        <v>0</v>
      </c>
      <c r="C61" s="380">
        <f t="shared" si="594"/>
        <v>2828.0464769985847</v>
      </c>
      <c r="D61" s="380">
        <f t="shared" si="594"/>
        <v>3065.7772497756796</v>
      </c>
      <c r="E61" s="380">
        <f t="shared" si="594"/>
        <v>1759.654516530823</v>
      </c>
      <c r="F61" s="380">
        <f t="shared" si="594"/>
        <v>957.74907356963081</v>
      </c>
      <c r="G61" s="380">
        <f t="shared" si="594"/>
        <v>1898.0187495071302</v>
      </c>
      <c r="H61" s="380">
        <f t="shared" si="594"/>
        <v>2805.259998468252</v>
      </c>
      <c r="I61" s="380">
        <f t="shared" si="594"/>
        <v>4417.8734625188281</v>
      </c>
      <c r="J61" s="380">
        <f t="shared" si="594"/>
        <v>1745.583437502142</v>
      </c>
      <c r="K61" s="380">
        <f t="shared" si="594"/>
        <v>2738.5964867941293</v>
      </c>
      <c r="L61" s="380">
        <f t="shared" si="594"/>
        <v>3762.0089285664976</v>
      </c>
      <c r="M61" s="389">
        <f t="shared" si="594"/>
        <v>2242.1191873742068</v>
      </c>
      <c r="N61" s="381">
        <f t="shared" si="240"/>
        <v>28220.687567605899</v>
      </c>
      <c r="O61" s="379">
        <f t="shared" si="374"/>
        <v>56.037321386928284</v>
      </c>
      <c r="P61" s="380">
        <f t="shared" si="375"/>
        <v>2003.1288016712799</v>
      </c>
      <c r="Q61" s="380">
        <f t="shared" si="376"/>
        <v>2895.4461241425847</v>
      </c>
      <c r="R61" s="380">
        <f t="shared" si="377"/>
        <v>1721.7178878011359</v>
      </c>
      <c r="S61" s="380">
        <f t="shared" si="378"/>
        <v>1713.2451119746436</v>
      </c>
      <c r="T61" s="380">
        <f t="shared" si="379"/>
        <v>1815.6164628989482</v>
      </c>
      <c r="U61" s="380">
        <f t="shared" si="380"/>
        <v>1918.6098432834326</v>
      </c>
      <c r="V61" s="380">
        <f t="shared" si="381"/>
        <v>2113.9007073671596</v>
      </c>
      <c r="W61" s="380">
        <f t="shared" si="382"/>
        <v>1271.8757789280537</v>
      </c>
      <c r="X61" s="380">
        <f t="shared" si="383"/>
        <v>3352.3671491103669</v>
      </c>
      <c r="Y61" s="380">
        <f t="shared" si="384"/>
        <v>1083.1042566079338</v>
      </c>
      <c r="Z61" s="389">
        <f t="shared" si="385"/>
        <v>1271.3628196556037</v>
      </c>
      <c r="AA61" s="381">
        <f t="shared" si="580"/>
        <v>21216.412264828068</v>
      </c>
      <c r="AB61" s="379">
        <f t="shared" si="386"/>
        <v>0</v>
      </c>
      <c r="AC61" s="380">
        <f t="shared" si="387"/>
        <v>991.85163860266528</v>
      </c>
      <c r="AD61" s="380">
        <f t="shared" si="388"/>
        <v>1144.5353863967248</v>
      </c>
      <c r="AE61" s="380">
        <f t="shared" si="389"/>
        <v>1674.9373258944984</v>
      </c>
      <c r="AF61" s="380">
        <f t="shared" si="390"/>
        <v>2049.9002577468232</v>
      </c>
      <c r="AG61" s="380">
        <f t="shared" si="391"/>
        <v>1954.3509457188011</v>
      </c>
      <c r="AH61" s="380">
        <f t="shared" si="392"/>
        <v>1009.2648691480947</v>
      </c>
      <c r="AI61" s="380">
        <f t="shared" si="393"/>
        <v>1419.0517997699437</v>
      </c>
      <c r="AJ61" s="380">
        <f t="shared" si="394"/>
        <v>2009.2036303011384</v>
      </c>
      <c r="AK61" s="380">
        <f t="shared" si="395"/>
        <v>1065.8757151629945</v>
      </c>
      <c r="AL61" s="380">
        <f t="shared" si="396"/>
        <v>1274.6022802033988</v>
      </c>
      <c r="AM61" s="389">
        <f t="shared" si="397"/>
        <v>2229.2417837050316</v>
      </c>
      <c r="AN61" s="381">
        <f t="shared" si="581"/>
        <v>16822.815632650116</v>
      </c>
      <c r="AO61" s="379">
        <f t="shared" si="398"/>
        <v>0</v>
      </c>
      <c r="AP61" s="380">
        <f t="shared" si="399"/>
        <v>88.273014806351867</v>
      </c>
      <c r="AQ61" s="380">
        <f t="shared" si="400"/>
        <v>1484.8970923761153</v>
      </c>
      <c r="AR61" s="380">
        <f t="shared" si="401"/>
        <v>564.6185149720518</v>
      </c>
      <c r="AS61" s="380">
        <f t="shared" si="402"/>
        <v>582.32434167752285</v>
      </c>
      <c r="AT61" s="380">
        <f t="shared" si="403"/>
        <v>1622.2006614785628</v>
      </c>
      <c r="AU61" s="380">
        <f t="shared" si="404"/>
        <v>896.28999162303739</v>
      </c>
      <c r="AV61" s="380">
        <f t="shared" si="405"/>
        <v>646.93009202734311</v>
      </c>
      <c r="AW61" s="380">
        <f t="shared" si="406"/>
        <v>2982.2103813679478</v>
      </c>
      <c r="AX61" s="380">
        <f t="shared" si="407"/>
        <v>1352.1464010364261</v>
      </c>
      <c r="AY61" s="380">
        <f t="shared" si="408"/>
        <v>1283.5557456587458</v>
      </c>
      <c r="AZ61" s="389">
        <f t="shared" si="409"/>
        <v>1248.3543828001361</v>
      </c>
      <c r="BA61" s="381">
        <f t="shared" si="582"/>
        <v>12751.800619824238</v>
      </c>
      <c r="BB61" s="379">
        <f t="shared" si="410"/>
        <v>78.153926321381419</v>
      </c>
      <c r="BC61" s="380">
        <f t="shared" si="411"/>
        <v>35.09988891784355</v>
      </c>
      <c r="BD61" s="380">
        <f t="shared" si="412"/>
        <v>2541.0138943130592</v>
      </c>
      <c r="BE61" s="380">
        <f t="shared" si="413"/>
        <v>1678.3177524568587</v>
      </c>
      <c r="BF61" s="380">
        <f t="shared" si="414"/>
        <v>1062.678520027401</v>
      </c>
      <c r="BG61" s="380">
        <f t="shared" si="415"/>
        <v>770.70797338409909</v>
      </c>
      <c r="BH61" s="380">
        <f t="shared" si="416"/>
        <v>395.98357039754404</v>
      </c>
      <c r="BI61" s="380">
        <f t="shared" si="417"/>
        <v>2271.4424544735684</v>
      </c>
      <c r="BJ61" s="380">
        <f t="shared" si="418"/>
        <v>815.46624395652611</v>
      </c>
      <c r="BK61" s="380">
        <f t="shared" si="419"/>
        <v>1723.0899319099976</v>
      </c>
      <c r="BL61" s="380">
        <f t="shared" si="420"/>
        <v>1991.1614376777097</v>
      </c>
      <c r="BM61" s="389">
        <f t="shared" si="421"/>
        <v>8635.2456729709902</v>
      </c>
      <c r="BN61" s="381">
        <f t="shared" si="583"/>
        <v>21998.361266806976</v>
      </c>
      <c r="BO61" s="379">
        <f t="shared" si="422"/>
        <v>1019.3589942284705</v>
      </c>
      <c r="BP61" s="380">
        <f t="shared" si="423"/>
        <v>30.917492234783143</v>
      </c>
      <c r="BQ61" s="380">
        <f t="shared" si="424"/>
        <v>1127.834661975339</v>
      </c>
      <c r="BR61" s="380">
        <f t="shared" si="425"/>
        <v>2008.0240392133096</v>
      </c>
      <c r="BS61" s="380">
        <f t="shared" si="426"/>
        <v>1710.7150389445644</v>
      </c>
      <c r="BT61" s="380">
        <f t="shared" si="427"/>
        <v>3121.4621684024264</v>
      </c>
      <c r="BU61" s="380">
        <f t="shared" si="428"/>
        <v>1696.1277088936642</v>
      </c>
      <c r="BV61" s="380">
        <f t="shared" si="429"/>
        <v>2466.267120598714</v>
      </c>
      <c r="BW61" s="380">
        <f t="shared" si="430"/>
        <v>3602.7086605573895</v>
      </c>
      <c r="BX61" s="380">
        <f t="shared" si="431"/>
        <v>929.96211897248554</v>
      </c>
      <c r="BY61" s="380">
        <f t="shared" si="432"/>
        <v>6251.4029324852581</v>
      </c>
      <c r="BZ61" s="389">
        <f t="shared" si="433"/>
        <v>9032.0860259659676</v>
      </c>
      <c r="CA61" s="381">
        <f t="shared" si="584"/>
        <v>32996.86696247237</v>
      </c>
      <c r="CB61" s="379">
        <f t="shared" si="434"/>
        <v>101.25141187836762</v>
      </c>
      <c r="CC61" s="380">
        <f t="shared" si="435"/>
        <v>1666.7230424510617</v>
      </c>
      <c r="CD61" s="380">
        <f t="shared" si="436"/>
        <v>1432.2147057054515</v>
      </c>
      <c r="CE61" s="380">
        <f t="shared" si="437"/>
        <v>2285.1945183027874</v>
      </c>
      <c r="CF61" s="380">
        <f t="shared" si="438"/>
        <v>3596.6539646285587</v>
      </c>
      <c r="CG61" s="380">
        <f t="shared" si="439"/>
        <v>4622.5595174943855</v>
      </c>
      <c r="CH61" s="380">
        <f t="shared" si="440"/>
        <v>2744.5663849488687</v>
      </c>
      <c r="CI61" s="380">
        <f t="shared" si="441"/>
        <v>2490.3949639679295</v>
      </c>
      <c r="CJ61" s="380">
        <f t="shared" si="442"/>
        <v>5497.1636331427853</v>
      </c>
      <c r="CK61" s="380">
        <f t="shared" si="443"/>
        <v>3265.643103950184</v>
      </c>
      <c r="CL61" s="380">
        <f t="shared" si="444"/>
        <v>5644.7544092156613</v>
      </c>
      <c r="CM61" s="389">
        <f t="shared" si="445"/>
        <v>7270.014634373737</v>
      </c>
      <c r="CN61" s="381">
        <f t="shared" si="585"/>
        <v>40617.134290059781</v>
      </c>
      <c r="CO61" s="379">
        <f t="shared" si="446"/>
        <v>77.017033594986643</v>
      </c>
      <c r="CP61" s="380">
        <f t="shared" si="447"/>
        <v>1826.4258785878471</v>
      </c>
      <c r="CQ61" s="380">
        <f t="shared" si="448"/>
        <v>2776.1302332894693</v>
      </c>
      <c r="CR61" s="380">
        <f t="shared" si="449"/>
        <v>3914.0869010890269</v>
      </c>
      <c r="CS61" s="380">
        <f t="shared" si="450"/>
        <v>2988.7364926656956</v>
      </c>
      <c r="CT61" s="380">
        <f t="shared" si="451"/>
        <v>4663.3700172039053</v>
      </c>
      <c r="CU61" s="380">
        <f t="shared" si="452"/>
        <v>4000.4501754035136</v>
      </c>
      <c r="CV61" s="380">
        <f t="shared" si="453"/>
        <v>4758.1538541194504</v>
      </c>
      <c r="CW61" s="380">
        <f t="shared" si="454"/>
        <v>4242.1569302945263</v>
      </c>
      <c r="CX61" s="380">
        <f t="shared" si="455"/>
        <v>4242.3072847795493</v>
      </c>
      <c r="CY61" s="380">
        <f t="shared" si="456"/>
        <v>10833.839820016412</v>
      </c>
      <c r="CZ61" s="389">
        <f t="shared" si="457"/>
        <v>8598.2290091070918</v>
      </c>
      <c r="DA61" s="381">
        <f t="shared" si="586"/>
        <v>52920.903630151472</v>
      </c>
      <c r="DB61" s="379">
        <f t="shared" si="458"/>
        <v>0</v>
      </c>
      <c r="DC61" s="380">
        <f t="shared" si="459"/>
        <v>323.29704470464617</v>
      </c>
      <c r="DD61" s="380">
        <f t="shared" si="460"/>
        <v>3842.2589091046339</v>
      </c>
      <c r="DE61" s="380">
        <f t="shared" si="461"/>
        <v>3971.6022981052147</v>
      </c>
      <c r="DF61" s="380">
        <f t="shared" si="462"/>
        <v>2781.0659732671575</v>
      </c>
      <c r="DG61" s="380">
        <f t="shared" si="463"/>
        <v>1849.966032956542</v>
      </c>
      <c r="DH61" s="380">
        <f t="shared" si="464"/>
        <v>1290.2292484399911</v>
      </c>
      <c r="DI61" s="380">
        <f t="shared" si="465"/>
        <v>2689.5543977972779</v>
      </c>
      <c r="DJ61" s="380">
        <f t="shared" si="466"/>
        <v>2883.9571751340795</v>
      </c>
      <c r="DK61" s="380">
        <f t="shared" si="467"/>
        <v>1639.356065406723</v>
      </c>
      <c r="DL61" s="380">
        <f t="shared" si="468"/>
        <v>2103.010038445409</v>
      </c>
      <c r="DM61" s="389">
        <f t="shared" si="469"/>
        <v>5307.0822782786299</v>
      </c>
      <c r="DN61" s="381">
        <f t="shared" si="587"/>
        <v>28681.379461640307</v>
      </c>
      <c r="DO61" s="379">
        <f t="shared" si="470"/>
        <v>0</v>
      </c>
      <c r="DP61" s="380">
        <f t="shared" si="471"/>
        <v>344.37351658898859</v>
      </c>
      <c r="DQ61" s="380">
        <f t="shared" si="472"/>
        <v>1029.1859753691435</v>
      </c>
      <c r="DR61" s="380">
        <f t="shared" si="473"/>
        <v>1965.9438279311844</v>
      </c>
      <c r="DS61" s="380">
        <f t="shared" si="474"/>
        <v>2427.7176832912724</v>
      </c>
      <c r="DT61" s="380">
        <f t="shared" si="475"/>
        <v>2971.1620219241163</v>
      </c>
      <c r="DU61" s="380">
        <f t="shared" si="476"/>
        <v>1638.5286364388419</v>
      </c>
      <c r="DV61" s="380">
        <f t="shared" si="477"/>
        <v>2559.7427771755952</v>
      </c>
      <c r="DW61" s="380">
        <f t="shared" si="478"/>
        <v>1075.7373227484134</v>
      </c>
      <c r="DX61" s="380">
        <f t="shared" si="479"/>
        <v>1647.8859018223122</v>
      </c>
      <c r="DY61" s="380">
        <f t="shared" si="480"/>
        <v>3529.081025236947</v>
      </c>
      <c r="DZ61" s="389">
        <f t="shared" si="481"/>
        <v>7715.1014622739131</v>
      </c>
      <c r="EA61" s="381">
        <f t="shared" si="588"/>
        <v>26904.460150800729</v>
      </c>
      <c r="EB61" s="379">
        <f t="shared" si="482"/>
        <v>0</v>
      </c>
      <c r="EC61" s="380">
        <f t="shared" si="483"/>
        <v>135.72171011522315</v>
      </c>
      <c r="ED61" s="380">
        <f t="shared" si="484"/>
        <v>1096.9151950514836</v>
      </c>
      <c r="EE61" s="380">
        <f t="shared" si="485"/>
        <v>1661.6338332359403</v>
      </c>
      <c r="EF61" s="380">
        <f t="shared" si="486"/>
        <v>1806.5402547917417</v>
      </c>
      <c r="EG61" s="380">
        <f t="shared" si="487"/>
        <v>1737.1316480062067</v>
      </c>
      <c r="EH61" s="380">
        <f t="shared" si="488"/>
        <v>3367.3371285786507</v>
      </c>
      <c r="EI61" s="380">
        <f t="shared" si="489"/>
        <v>1929.8028574949465</v>
      </c>
      <c r="EJ61" s="380">
        <f t="shared" si="490"/>
        <v>1684.6671463852788</v>
      </c>
      <c r="EK61" s="380">
        <f t="shared" si="491"/>
        <v>2872.7537576177951</v>
      </c>
      <c r="EL61" s="380">
        <f t="shared" si="492"/>
        <v>2737.1526835909522</v>
      </c>
      <c r="EM61" s="389">
        <f t="shared" si="493"/>
        <v>7974.4850529857313</v>
      </c>
      <c r="EN61" s="381">
        <f t="shared" si="589"/>
        <v>27004.141267853949</v>
      </c>
      <c r="EO61" s="379">
        <f t="shared" si="494"/>
        <v>0</v>
      </c>
      <c r="EP61" s="380">
        <f t="shared" si="495"/>
        <v>19.713349195052405</v>
      </c>
      <c r="EQ61" s="380">
        <f t="shared" si="496"/>
        <v>859.00448726863215</v>
      </c>
      <c r="ER61" s="380">
        <f t="shared" si="497"/>
        <v>1654.59044790906</v>
      </c>
      <c r="ES61" s="380">
        <f t="shared" si="498"/>
        <v>2506.028660035578</v>
      </c>
      <c r="ET61" s="380">
        <f t="shared" si="499"/>
        <v>1658.4804540386071</v>
      </c>
      <c r="EU61" s="380">
        <f t="shared" si="500"/>
        <v>1812.4077959132478</v>
      </c>
      <c r="EV61" s="380">
        <f t="shared" si="501"/>
        <v>2042.864148840109</v>
      </c>
      <c r="EW61" s="380">
        <f t="shared" si="502"/>
        <v>2619.0264733501772</v>
      </c>
      <c r="EX61" s="380">
        <f t="shared" si="503"/>
        <v>1968.1883311618176</v>
      </c>
      <c r="EY61" s="380">
        <f t="shared" si="504"/>
        <v>2524.4768993690059</v>
      </c>
      <c r="EZ61" s="389">
        <f t="shared" si="505"/>
        <v>7194.11575297336</v>
      </c>
      <c r="FA61" s="381">
        <f t="shared" si="590"/>
        <v>24858.896800054645</v>
      </c>
      <c r="FB61" s="379">
        <f t="shared" si="506"/>
        <v>4.1515707232834851</v>
      </c>
      <c r="FC61" s="380">
        <f t="shared" si="507"/>
        <v>22.801716574854371</v>
      </c>
      <c r="FD61" s="380">
        <f t="shared" si="508"/>
        <v>1763.6155859880739</v>
      </c>
      <c r="FE61" s="380">
        <f t="shared" si="509"/>
        <v>1962.7969566820366</v>
      </c>
      <c r="FF61" s="380">
        <f t="shared" si="510"/>
        <v>2634.4255884698664</v>
      </c>
      <c r="FG61" s="380">
        <f t="shared" si="511"/>
        <v>1389.0654653412512</v>
      </c>
      <c r="FH61" s="380">
        <f t="shared" si="512"/>
        <v>3193.0648586684169</v>
      </c>
      <c r="FI61" s="380">
        <f t="shared" si="513"/>
        <v>1681.7271971923924</v>
      </c>
      <c r="FJ61" s="380">
        <f t="shared" si="514"/>
        <v>2737.2668935905895</v>
      </c>
      <c r="FK61" s="380">
        <f t="shared" si="515"/>
        <v>3089.0517072742664</v>
      </c>
      <c r="FL61" s="380">
        <f t="shared" si="516"/>
        <v>3132.8485495997552</v>
      </c>
      <c r="FM61" s="389">
        <f t="shared" si="517"/>
        <v>8259.3357713773257</v>
      </c>
      <c r="FN61" s="381">
        <f t="shared" si="591"/>
        <v>29870.151861482114</v>
      </c>
      <c r="FO61" s="379">
        <f t="shared" si="518"/>
        <v>5.3916420193011989</v>
      </c>
      <c r="FP61" s="380">
        <f t="shared" si="519"/>
        <v>174.10679395460463</v>
      </c>
      <c r="FQ61" s="380">
        <f t="shared" si="520"/>
        <v>2091.2848779866927</v>
      </c>
      <c r="FR61" s="380">
        <f t="shared" si="521"/>
        <v>4131.8262670420572</v>
      </c>
      <c r="FS61" s="380">
        <f t="shared" si="522"/>
        <v>3904.2433523833547</v>
      </c>
      <c r="FT61" s="380">
        <f t="shared" si="523"/>
        <v>3614.8747242628965</v>
      </c>
      <c r="FU61" s="380">
        <f t="shared" si="524"/>
        <v>2716.7814553577923</v>
      </c>
      <c r="FV61" s="380">
        <f t="shared" si="525"/>
        <v>2310.5383758178646</v>
      </c>
      <c r="FW61" s="380">
        <f t="shared" si="526"/>
        <v>2083.9200234457439</v>
      </c>
      <c r="FX61" s="380">
        <f t="shared" si="527"/>
        <v>1830.5788762504089</v>
      </c>
      <c r="FY61" s="380">
        <f t="shared" si="528"/>
        <v>2745.9841716333344</v>
      </c>
      <c r="FZ61" s="389">
        <f t="shared" si="529"/>
        <v>7121.5582163045165</v>
      </c>
      <c r="GA61" s="381">
        <f t="shared" si="248"/>
        <v>32731.088776458571</v>
      </c>
      <c r="GB61" s="379">
        <f t="shared" si="530"/>
        <v>52.929587992203892</v>
      </c>
      <c r="GC61" s="380">
        <f t="shared" si="531"/>
        <v>138.58823989670788</v>
      </c>
      <c r="GD61" s="380">
        <f t="shared" si="532"/>
        <v>1100.0538328997761</v>
      </c>
      <c r="GE61" s="380">
        <f t="shared" si="533"/>
        <v>1352.6847027767553</v>
      </c>
      <c r="GF61" s="380">
        <f t="shared" si="534"/>
        <v>2183.91902280978</v>
      </c>
      <c r="GG61" s="380">
        <f t="shared" si="535"/>
        <v>2694.5879022966465</v>
      </c>
      <c r="GH61" s="380">
        <f t="shared" si="536"/>
        <v>2029.2032577742591</v>
      </c>
      <c r="GI61" s="380">
        <f t="shared" si="537"/>
        <v>2737.0931587016566</v>
      </c>
      <c r="GJ61" s="380">
        <f t="shared" si="538"/>
        <v>2081.2233648986971</v>
      </c>
      <c r="GK61" s="380">
        <f t="shared" si="539"/>
        <v>2450.6155113606519</v>
      </c>
      <c r="GL61" s="380">
        <f t="shared" si="540"/>
        <v>3472.5204834760357</v>
      </c>
      <c r="GM61" s="389">
        <f t="shared" si="541"/>
        <v>11236.498229694687</v>
      </c>
      <c r="GN61" s="381">
        <f t="shared" si="249"/>
        <v>31529.917294577859</v>
      </c>
      <c r="GO61" s="379">
        <f t="shared" si="542"/>
        <v>0</v>
      </c>
      <c r="GP61" s="380">
        <f t="shared" si="543"/>
        <v>364.57327700035898</v>
      </c>
      <c r="GQ61" s="380">
        <f t="shared" si="544"/>
        <v>1659.3383322720103</v>
      </c>
      <c r="GR61" s="380">
        <f t="shared" si="545"/>
        <v>1632.2806368808754</v>
      </c>
      <c r="GS61" s="380">
        <f t="shared" si="546"/>
        <v>2565.5061170285226</v>
      </c>
      <c r="GT61" s="380">
        <f t="shared" si="547"/>
        <v>3243.5446558766776</v>
      </c>
      <c r="GU61" s="380">
        <f t="shared" si="548"/>
        <v>2617.1046273961597</v>
      </c>
      <c r="GV61" s="380">
        <f t="shared" si="549"/>
        <v>4484.4476434780754</v>
      </c>
      <c r="GW61" s="380">
        <f t="shared" si="550"/>
        <v>2934.0047625931902</v>
      </c>
      <c r="GX61" s="380">
        <f t="shared" si="551"/>
        <v>3561.9196220870945</v>
      </c>
      <c r="GY61" s="380">
        <f t="shared" si="552"/>
        <v>3120.8878342123394</v>
      </c>
      <c r="GZ61" s="389">
        <f t="shared" si="553"/>
        <v>8668.1682238772191</v>
      </c>
      <c r="HA61" s="381">
        <f t="shared" si="250"/>
        <v>34851.775732702525</v>
      </c>
      <c r="HB61" s="379">
        <f t="shared" si="554"/>
        <v>0</v>
      </c>
      <c r="HC61" s="380">
        <f t="shared" si="555"/>
        <v>84.958331695127967</v>
      </c>
      <c r="HD61" s="380">
        <f t="shared" si="556"/>
        <v>508.57807377144883</v>
      </c>
      <c r="HE61" s="380">
        <f t="shared" si="557"/>
        <v>2114.9928195832886</v>
      </c>
      <c r="HF61" s="380">
        <f t="shared" si="558"/>
        <v>3552.6827113907734</v>
      </c>
      <c r="HG61" s="380">
        <f t="shared" si="559"/>
        <v>3546.1812482400383</v>
      </c>
      <c r="HH61" s="380">
        <f t="shared" si="560"/>
        <v>3449.2904827559573</v>
      </c>
      <c r="HI61" s="380">
        <f t="shared" si="561"/>
        <v>4041.6695793682247</v>
      </c>
      <c r="HJ61" s="380">
        <f t="shared" si="562"/>
        <v>3408.2259068188223</v>
      </c>
      <c r="HK61" s="380">
        <f t="shared" si="563"/>
        <v>3486.306521893272</v>
      </c>
      <c r="HL61" s="380">
        <f t="shared" si="564"/>
        <v>5176.1004787602269</v>
      </c>
      <c r="HM61" s="389">
        <f t="shared" si="565"/>
        <v>5472.6489451484695</v>
      </c>
      <c r="HN61" s="381">
        <f t="shared" si="251"/>
        <v>34841.635099425643</v>
      </c>
      <c r="HO61" s="379">
        <f t="shared" si="566"/>
        <v>0</v>
      </c>
      <c r="HP61" s="380">
        <f t="shared" si="567"/>
        <v>54.136130766170311</v>
      </c>
      <c r="HQ61" s="380">
        <f t="shared" si="568"/>
        <v>1291.5957351379122</v>
      </c>
      <c r="HR61" s="380">
        <f t="shared" si="569"/>
        <v>2239.4242808737063</v>
      </c>
      <c r="HS61" s="380">
        <f t="shared" si="570"/>
        <v>3413.6107352832728</v>
      </c>
      <c r="HT61" s="380">
        <f t="shared" si="571"/>
        <v>2789.3281114142028</v>
      </c>
      <c r="HU61" s="380">
        <f t="shared" si="572"/>
        <v>2472.6128190443569</v>
      </c>
      <c r="HV61" s="380">
        <f t="shared" si="573"/>
        <v>4743.3015898542999</v>
      </c>
      <c r="HW61" s="380">
        <f t="shared" si="574"/>
        <v>2498.8674818476884</v>
      </c>
      <c r="HX61" s="380">
        <f t="shared" si="575"/>
        <v>2880.7992769359207</v>
      </c>
      <c r="HY61" s="380">
        <f t="shared" si="576"/>
        <v>1428.3347612080506</v>
      </c>
      <c r="HZ61" s="389">
        <f t="shared" si="237"/>
        <v>5656.7307892099298</v>
      </c>
      <c r="IA61" s="379">
        <f>SUM(HO61:HZ61)</f>
        <v>29468.741711575509</v>
      </c>
      <c r="IB61" s="1344">
        <f t="shared" si="577"/>
        <v>13.74557236208511</v>
      </c>
      <c r="IC61" s="120">
        <f t="shared" si="253"/>
        <v>1650.7246102128629</v>
      </c>
      <c r="ID61" s="120">
        <f>+ID27/$ID$37</f>
        <v>3760.1958928286417</v>
      </c>
      <c r="IE61" s="120">
        <f>+IE27/$IE$37</f>
        <v>3029.206756378705</v>
      </c>
      <c r="IF61" s="120">
        <f t="shared" si="256"/>
        <v>5752.9712872176297</v>
      </c>
      <c r="IG61" s="120">
        <f t="shared" si="257"/>
        <v>4519.1739627914403</v>
      </c>
      <c r="IH61" s="120">
        <f t="shared" si="258"/>
        <v>3174.3120911576025</v>
      </c>
      <c r="II61" s="120">
        <f t="shared" si="259"/>
        <v>2149.773622641414</v>
      </c>
      <c r="IJ61" s="120"/>
      <c r="IK61" s="120"/>
      <c r="IL61" s="120"/>
      <c r="IM61" s="1345"/>
      <c r="IN61" s="1346">
        <f t="shared" si="260"/>
        <v>24050.103795590381</v>
      </c>
      <c r="IO61" s="120"/>
      <c r="IP61" s="371">
        <f t="shared" si="261"/>
        <v>-54.677694809883491</v>
      </c>
      <c r="IQ61" s="348">
        <f t="shared" si="578"/>
        <v>41.437841079014916</v>
      </c>
      <c r="IR61" s="320">
        <f t="shared" si="263"/>
        <v>17004.009402373922</v>
      </c>
      <c r="IS61" s="344">
        <f t="shared" si="264"/>
        <v>24050.103795590381</v>
      </c>
    </row>
    <row r="62" spans="1:255" ht="15" customHeight="1" x14ac:dyDescent="0.2">
      <c r="A62" s="1551" t="s">
        <v>403</v>
      </c>
      <c r="B62" s="379">
        <f t="shared" ref="B62:M62" si="595">+B28/B37</f>
        <v>0</v>
      </c>
      <c r="C62" s="380">
        <f t="shared" si="595"/>
        <v>142.56612898449654</v>
      </c>
      <c r="D62" s="380">
        <f t="shared" si="595"/>
        <v>230.36522853668225</v>
      </c>
      <c r="E62" s="380">
        <f t="shared" si="595"/>
        <v>35.461447228562335</v>
      </c>
      <c r="F62" s="380">
        <f t="shared" si="595"/>
        <v>280.73601957075914</v>
      </c>
      <c r="G62" s="380">
        <f t="shared" si="595"/>
        <v>83.387743363268825</v>
      </c>
      <c r="H62" s="380">
        <f t="shared" si="595"/>
        <v>507.90565642404692</v>
      </c>
      <c r="I62" s="380">
        <f t="shared" si="595"/>
        <v>56.207041507873136</v>
      </c>
      <c r="J62" s="380">
        <f t="shared" si="595"/>
        <v>79.175342682861299</v>
      </c>
      <c r="K62" s="380">
        <f t="shared" si="595"/>
        <v>421.2513189625858</v>
      </c>
      <c r="L62" s="380">
        <f t="shared" si="595"/>
        <v>20.305249369102782</v>
      </c>
      <c r="M62" s="389">
        <f t="shared" si="595"/>
        <v>1201.0695892988983</v>
      </c>
      <c r="N62" s="381">
        <f t="shared" si="240"/>
        <v>3058.4307659291371</v>
      </c>
      <c r="O62" s="379">
        <f t="shared" si="374"/>
        <v>0</v>
      </c>
      <c r="P62" s="380">
        <f t="shared" si="375"/>
        <v>0</v>
      </c>
      <c r="Q62" s="380">
        <f t="shared" si="376"/>
        <v>0</v>
      </c>
      <c r="R62" s="380">
        <f t="shared" si="377"/>
        <v>0</v>
      </c>
      <c r="S62" s="380">
        <f t="shared" si="378"/>
        <v>64.132169966965265</v>
      </c>
      <c r="T62" s="380">
        <f t="shared" si="379"/>
        <v>0</v>
      </c>
      <c r="U62" s="380">
        <f t="shared" si="380"/>
        <v>16.51601012869526</v>
      </c>
      <c r="V62" s="380">
        <f t="shared" si="381"/>
        <v>133.32562095182175</v>
      </c>
      <c r="W62" s="380">
        <f t="shared" si="382"/>
        <v>0</v>
      </c>
      <c r="X62" s="380">
        <f t="shared" si="383"/>
        <v>0</v>
      </c>
      <c r="Y62" s="380">
        <f t="shared" si="384"/>
        <v>0</v>
      </c>
      <c r="Z62" s="389">
        <f t="shared" si="385"/>
        <v>2.7518675750121293</v>
      </c>
      <c r="AA62" s="381">
        <f t="shared" si="580"/>
        <v>216.7256686224944</v>
      </c>
      <c r="AB62" s="379">
        <f t="shared" si="386"/>
        <v>0</v>
      </c>
      <c r="AC62" s="380">
        <f t="shared" si="387"/>
        <v>0</v>
      </c>
      <c r="AD62" s="380">
        <f t="shared" si="388"/>
        <v>0</v>
      </c>
      <c r="AE62" s="380">
        <f t="shared" si="389"/>
        <v>0</v>
      </c>
      <c r="AF62" s="380">
        <f t="shared" si="390"/>
        <v>0</v>
      </c>
      <c r="AG62" s="380">
        <f t="shared" si="391"/>
        <v>0</v>
      </c>
      <c r="AH62" s="380">
        <f t="shared" si="392"/>
        <v>0</v>
      </c>
      <c r="AI62" s="380">
        <f t="shared" si="393"/>
        <v>0</v>
      </c>
      <c r="AJ62" s="380">
        <f t="shared" si="394"/>
        <v>0</v>
      </c>
      <c r="AK62" s="380">
        <f t="shared" si="395"/>
        <v>0</v>
      </c>
      <c r="AL62" s="380">
        <f t="shared" si="396"/>
        <v>0</v>
      </c>
      <c r="AM62" s="389">
        <f t="shared" si="397"/>
        <v>114.11273943189802</v>
      </c>
      <c r="AN62" s="381">
        <f t="shared" si="581"/>
        <v>114.11273943189802</v>
      </c>
      <c r="AO62" s="379">
        <f t="shared" si="398"/>
        <v>0</v>
      </c>
      <c r="AP62" s="380">
        <f t="shared" si="399"/>
        <v>0</v>
      </c>
      <c r="AQ62" s="380">
        <f t="shared" si="400"/>
        <v>0</v>
      </c>
      <c r="AR62" s="380">
        <f t="shared" si="401"/>
        <v>0</v>
      </c>
      <c r="AS62" s="380">
        <f t="shared" si="402"/>
        <v>0</v>
      </c>
      <c r="AT62" s="380">
        <f t="shared" si="403"/>
        <v>0</v>
      </c>
      <c r="AU62" s="380">
        <f t="shared" si="404"/>
        <v>0</v>
      </c>
      <c r="AV62" s="380">
        <f t="shared" si="405"/>
        <v>0</v>
      </c>
      <c r="AW62" s="380">
        <f t="shared" si="406"/>
        <v>1839.0730686610825</v>
      </c>
      <c r="AX62" s="380">
        <f t="shared" si="407"/>
        <v>5890.6927554417598</v>
      </c>
      <c r="AY62" s="380">
        <f t="shared" si="408"/>
        <v>8516.8913418375214</v>
      </c>
      <c r="AZ62" s="389">
        <f t="shared" si="409"/>
        <v>10439.846137396602</v>
      </c>
      <c r="BA62" s="381">
        <f t="shared" si="582"/>
        <v>26686.503303336965</v>
      </c>
      <c r="BB62" s="379">
        <f t="shared" si="410"/>
        <v>2444.2425748423248</v>
      </c>
      <c r="BC62" s="380">
        <f t="shared" si="411"/>
        <v>2129.963990916945</v>
      </c>
      <c r="BD62" s="380">
        <f t="shared" si="412"/>
        <v>1327.0022410287525</v>
      </c>
      <c r="BE62" s="380">
        <f t="shared" si="413"/>
        <v>2410.1521802653378</v>
      </c>
      <c r="BF62" s="380">
        <f t="shared" si="414"/>
        <v>4232.9746135590667</v>
      </c>
      <c r="BG62" s="380">
        <f t="shared" si="415"/>
        <v>7183.1335238649581</v>
      </c>
      <c r="BH62" s="380">
        <f t="shared" si="416"/>
        <v>3776.6194251347856</v>
      </c>
      <c r="BI62" s="380">
        <f t="shared" si="417"/>
        <v>4987.2610400183339</v>
      </c>
      <c r="BJ62" s="380">
        <f t="shared" si="418"/>
        <v>2343.6299326824342</v>
      </c>
      <c r="BK62" s="380">
        <f t="shared" si="419"/>
        <v>3644.5151303875864</v>
      </c>
      <c r="BL62" s="380">
        <f t="shared" si="420"/>
        <v>5972.6462821250152</v>
      </c>
      <c r="BM62" s="389">
        <f t="shared" si="421"/>
        <v>13399.634438427835</v>
      </c>
      <c r="BN62" s="381">
        <f t="shared" si="583"/>
        <v>53851.775373253375</v>
      </c>
      <c r="BO62" s="379">
        <f t="shared" si="422"/>
        <v>8.348558511289685</v>
      </c>
      <c r="BP62" s="380">
        <f t="shared" si="423"/>
        <v>3431.0060301626913</v>
      </c>
      <c r="BQ62" s="380">
        <f t="shared" si="424"/>
        <v>1570.8534168628619</v>
      </c>
      <c r="BR62" s="380">
        <f t="shared" si="425"/>
        <v>3236.2970734832361</v>
      </c>
      <c r="BS62" s="380">
        <f t="shared" si="426"/>
        <v>1183.0728100652771</v>
      </c>
      <c r="BT62" s="380">
        <f t="shared" si="427"/>
        <v>5623.7301816923582</v>
      </c>
      <c r="BU62" s="380">
        <f t="shared" si="428"/>
        <v>-1148.1983140244479</v>
      </c>
      <c r="BV62" s="380">
        <f t="shared" si="429"/>
        <v>3775.8614689377409</v>
      </c>
      <c r="BW62" s="380">
        <f t="shared" si="430"/>
        <v>-900.27090570536484</v>
      </c>
      <c r="BX62" s="380">
        <f t="shared" si="431"/>
        <v>3147.2517126798093</v>
      </c>
      <c r="BY62" s="380">
        <f t="shared" si="432"/>
        <v>605.60465908450931</v>
      </c>
      <c r="BZ62" s="389">
        <f t="shared" si="433"/>
        <v>830.48060445678982</v>
      </c>
      <c r="CA62" s="381">
        <f t="shared" si="584"/>
        <v>21364.037296206749</v>
      </c>
      <c r="CB62" s="379">
        <f t="shared" si="434"/>
        <v>1619.212578758855</v>
      </c>
      <c r="CC62" s="380">
        <f t="shared" si="435"/>
        <v>128.0236539853714</v>
      </c>
      <c r="CD62" s="380">
        <f t="shared" si="436"/>
        <v>1910.4206225433456</v>
      </c>
      <c r="CE62" s="380">
        <f t="shared" si="437"/>
        <v>436.45300332109804</v>
      </c>
      <c r="CF62" s="380">
        <f t="shared" si="438"/>
        <v>1297.5976012272135</v>
      </c>
      <c r="CG62" s="380">
        <f t="shared" si="439"/>
        <v>2123.7068484774754</v>
      </c>
      <c r="CH62" s="380">
        <f t="shared" si="440"/>
        <v>469.29869269742761</v>
      </c>
      <c r="CI62" s="380">
        <f t="shared" si="441"/>
        <v>125.94554684188957</v>
      </c>
      <c r="CJ62" s="380">
        <f t="shared" si="442"/>
        <v>428.63799297416051</v>
      </c>
      <c r="CK62" s="380">
        <f t="shared" si="443"/>
        <v>509.73970766122295</v>
      </c>
      <c r="CL62" s="380">
        <f t="shared" si="444"/>
        <v>86.793819543433429</v>
      </c>
      <c r="CM62" s="389">
        <f t="shared" si="445"/>
        <v>1038.3485980226269</v>
      </c>
      <c r="CN62" s="381">
        <f t="shared" si="585"/>
        <v>10174.178666054118</v>
      </c>
      <c r="CO62" s="379">
        <f t="shared" si="446"/>
        <v>0</v>
      </c>
      <c r="CP62" s="380">
        <f t="shared" si="447"/>
        <v>0</v>
      </c>
      <c r="CQ62" s="380">
        <f t="shared" si="448"/>
        <v>0</v>
      </c>
      <c r="CR62" s="380">
        <f t="shared" si="449"/>
        <v>0</v>
      </c>
      <c r="CS62" s="380">
        <f t="shared" si="450"/>
        <v>291.17072016176104</v>
      </c>
      <c r="CT62" s="380">
        <f t="shared" si="451"/>
        <v>0</v>
      </c>
      <c r="CU62" s="380">
        <f t="shared" si="452"/>
        <v>6200.1627479696799</v>
      </c>
      <c r="CV62" s="380">
        <f t="shared" si="453"/>
        <v>8001.0690829072155</v>
      </c>
      <c r="CW62" s="380">
        <f t="shared" si="454"/>
        <v>15127.289552439102</v>
      </c>
      <c r="CX62" s="380">
        <f t="shared" si="455"/>
        <v>16602.084466380602</v>
      </c>
      <c r="CY62" s="380">
        <f t="shared" si="456"/>
        <v>17442.019999724344</v>
      </c>
      <c r="CZ62" s="389">
        <f t="shared" si="457"/>
        <v>24336.887126031565</v>
      </c>
      <c r="DA62" s="381">
        <f t="shared" si="586"/>
        <v>88000.683695614265</v>
      </c>
      <c r="DB62" s="379">
        <f t="shared" si="458"/>
        <v>0</v>
      </c>
      <c r="DC62" s="380">
        <f t="shared" si="459"/>
        <v>798.86624735602823</v>
      </c>
      <c r="DD62" s="380">
        <f t="shared" si="460"/>
        <v>1913.3002834780691</v>
      </c>
      <c r="DE62" s="380">
        <f t="shared" si="461"/>
        <v>1344.9916549243114</v>
      </c>
      <c r="DF62" s="380">
        <f t="shared" si="462"/>
        <v>5194.5967430046267</v>
      </c>
      <c r="DG62" s="380">
        <f t="shared" si="463"/>
        <v>8354.5654781511312</v>
      </c>
      <c r="DH62" s="380">
        <f t="shared" si="464"/>
        <v>16084.808472928244</v>
      </c>
      <c r="DI62" s="380">
        <f t="shared" si="465"/>
        <v>14249.608338604721</v>
      </c>
      <c r="DJ62" s="380">
        <f t="shared" si="466"/>
        <v>6910.5725809074111</v>
      </c>
      <c r="DK62" s="380">
        <f t="shared" si="467"/>
        <v>7470.4647249610398</v>
      </c>
      <c r="DL62" s="380">
        <f t="shared" si="468"/>
        <v>2127.1994184623827</v>
      </c>
      <c r="DM62" s="389">
        <f t="shared" si="469"/>
        <v>5977.0429678685941</v>
      </c>
      <c r="DN62" s="381">
        <f t="shared" si="587"/>
        <v>70426.016910646562</v>
      </c>
      <c r="DO62" s="379">
        <f t="shared" si="470"/>
        <v>0</v>
      </c>
      <c r="DP62" s="380">
        <f t="shared" si="471"/>
        <v>818.79525990673028</v>
      </c>
      <c r="DQ62" s="380">
        <f t="shared" si="472"/>
        <v>869.24975759400832</v>
      </c>
      <c r="DR62" s="380">
        <f t="shared" si="473"/>
        <v>2820.9208620973063</v>
      </c>
      <c r="DS62" s="380">
        <f t="shared" si="474"/>
        <v>1116.3746396098475</v>
      </c>
      <c r="DT62" s="380">
        <f t="shared" si="475"/>
        <v>1626.6171828888357</v>
      </c>
      <c r="DU62" s="380">
        <f t="shared" si="476"/>
        <v>902.2734782152213</v>
      </c>
      <c r="DV62" s="380">
        <f t="shared" si="477"/>
        <v>200.04712460279862</v>
      </c>
      <c r="DW62" s="380">
        <f t="shared" si="478"/>
        <v>1744.1287792827609</v>
      </c>
      <c r="DX62" s="380">
        <f t="shared" si="479"/>
        <v>1824.4193718470024</v>
      </c>
      <c r="DY62" s="380">
        <f t="shared" si="480"/>
        <v>680.83539418953376</v>
      </c>
      <c r="DZ62" s="389">
        <f t="shared" si="481"/>
        <v>4227.6997174844901</v>
      </c>
      <c r="EA62" s="381">
        <f t="shared" si="588"/>
        <v>16831.361567718533</v>
      </c>
      <c r="EB62" s="379">
        <f t="shared" si="482"/>
        <v>0</v>
      </c>
      <c r="EC62" s="380">
        <f t="shared" si="483"/>
        <v>370.54181174314891</v>
      </c>
      <c r="ED62" s="380">
        <f t="shared" si="484"/>
        <v>1297.7185630055337</v>
      </c>
      <c r="EE62" s="380">
        <f t="shared" si="485"/>
        <v>3210.9177475149286</v>
      </c>
      <c r="EF62" s="380">
        <f t="shared" si="486"/>
        <v>2484.0822830245256</v>
      </c>
      <c r="EG62" s="380">
        <f t="shared" si="487"/>
        <v>1294.2914372460036</v>
      </c>
      <c r="EH62" s="380">
        <f t="shared" si="488"/>
        <v>1184.2512644178503</v>
      </c>
      <c r="EI62" s="380">
        <f t="shared" si="489"/>
        <v>836.48440036269915</v>
      </c>
      <c r="EJ62" s="380">
        <f t="shared" si="490"/>
        <v>3290.7306554234515</v>
      </c>
      <c r="EK62" s="380">
        <f t="shared" si="491"/>
        <v>5077.5568878485956</v>
      </c>
      <c r="EL62" s="380">
        <f t="shared" si="492"/>
        <v>6807.1920083521945</v>
      </c>
      <c r="EM62" s="389">
        <f t="shared" si="493"/>
        <v>10917.651334041682</v>
      </c>
      <c r="EN62" s="381">
        <f t="shared" si="589"/>
        <v>36771.418392980609</v>
      </c>
      <c r="EO62" s="379">
        <f t="shared" si="494"/>
        <v>0</v>
      </c>
      <c r="EP62" s="380">
        <f t="shared" si="495"/>
        <v>429.46939317792743</v>
      </c>
      <c r="EQ62" s="380">
        <f t="shared" si="496"/>
        <v>6113.6796176881408</v>
      </c>
      <c r="ER62" s="380">
        <f t="shared" si="497"/>
        <v>4609.4155479692536</v>
      </c>
      <c r="ES62" s="380">
        <f t="shared" si="498"/>
        <v>4409.5796127529866</v>
      </c>
      <c r="ET62" s="380">
        <f t="shared" si="499"/>
        <v>4994.9610984391002</v>
      </c>
      <c r="EU62" s="380">
        <f t="shared" si="500"/>
        <v>12299.326301786716</v>
      </c>
      <c r="EV62" s="380">
        <f t="shared" si="501"/>
        <v>2902.9808786274525</v>
      </c>
      <c r="EW62" s="380">
        <f t="shared" si="502"/>
        <v>8148.3913638609174</v>
      </c>
      <c r="EX62" s="380">
        <f t="shared" si="503"/>
        <v>3123.8218467063712</v>
      </c>
      <c r="EY62" s="380">
        <f t="shared" si="504"/>
        <v>3971.5939128572568</v>
      </c>
      <c r="EZ62" s="389">
        <f t="shared" si="505"/>
        <v>6910.9755159673841</v>
      </c>
      <c r="FA62" s="381">
        <f t="shared" si="590"/>
        <v>57914.195089833505</v>
      </c>
      <c r="FB62" s="379">
        <f t="shared" si="506"/>
        <v>0</v>
      </c>
      <c r="FC62" s="380">
        <f t="shared" si="507"/>
        <v>1822.755403771692</v>
      </c>
      <c r="FD62" s="380">
        <f t="shared" si="508"/>
        <v>141.41876633458281</v>
      </c>
      <c r="FE62" s="380">
        <f t="shared" si="509"/>
        <v>146.76399326693075</v>
      </c>
      <c r="FF62" s="380">
        <f t="shared" si="510"/>
        <v>234.76434836195486</v>
      </c>
      <c r="FG62" s="380">
        <f t="shared" si="511"/>
        <v>616.29485567017957</v>
      </c>
      <c r="FH62" s="380">
        <f t="shared" si="512"/>
        <v>455.6641550560193</v>
      </c>
      <c r="FI62" s="380">
        <f t="shared" si="513"/>
        <v>1030.6477780272205</v>
      </c>
      <c r="FJ62" s="380">
        <f t="shared" si="514"/>
        <v>1378.8777091216068</v>
      </c>
      <c r="FK62" s="380">
        <f t="shared" si="515"/>
        <v>3946.6664164556278</v>
      </c>
      <c r="FL62" s="380">
        <f t="shared" si="516"/>
        <v>4757.0117937656296</v>
      </c>
      <c r="FM62" s="389">
        <f t="shared" si="517"/>
        <v>24066.475551830012</v>
      </c>
      <c r="FN62" s="381">
        <f t="shared" si="591"/>
        <v>38597.34077166146</v>
      </c>
      <c r="FO62" s="379">
        <f t="shared" si="518"/>
        <v>2842.7432546765572</v>
      </c>
      <c r="FP62" s="380">
        <f t="shared" si="519"/>
        <v>6095.762286015286</v>
      </c>
      <c r="FQ62" s="380">
        <f t="shared" si="520"/>
        <v>6253.1090879704507</v>
      </c>
      <c r="FR62" s="380">
        <f t="shared" si="521"/>
        <v>4943.0522089013193</v>
      </c>
      <c r="FS62" s="380">
        <f t="shared" si="522"/>
        <v>2471.2176865958295</v>
      </c>
      <c r="FT62" s="380">
        <f t="shared" si="523"/>
        <v>8586.9059454820035</v>
      </c>
      <c r="FU62" s="380">
        <f t="shared" si="524"/>
        <v>7878.6004229726823</v>
      </c>
      <c r="FV62" s="380">
        <f t="shared" si="525"/>
        <v>8717.6234997369447</v>
      </c>
      <c r="FW62" s="380">
        <f t="shared" si="526"/>
        <v>8766.6121696372193</v>
      </c>
      <c r="FX62" s="380">
        <f t="shared" si="527"/>
        <v>16002.240440962334</v>
      </c>
      <c r="FY62" s="380">
        <f t="shared" si="528"/>
        <v>7842.5462246741781</v>
      </c>
      <c r="FZ62" s="389">
        <f t="shared" si="529"/>
        <v>36197.904971165299</v>
      </c>
      <c r="GA62" s="381">
        <f t="shared" si="248"/>
        <v>116598.3181987901</v>
      </c>
      <c r="GB62" s="379">
        <f t="shared" si="530"/>
        <v>7673.5148471107159</v>
      </c>
      <c r="GC62" s="380">
        <f t="shared" si="531"/>
        <v>4661.1420868012028</v>
      </c>
      <c r="GD62" s="380">
        <f t="shared" si="532"/>
        <v>4283.6948231028864</v>
      </c>
      <c r="GE62" s="380">
        <f t="shared" si="533"/>
        <v>2876.6267348958891</v>
      </c>
      <c r="GF62" s="380">
        <f t="shared" si="534"/>
        <v>2257.4787068500755</v>
      </c>
      <c r="GG62" s="380">
        <f t="shared" si="535"/>
        <v>1499.0974183259964</v>
      </c>
      <c r="GH62" s="380">
        <f t="shared" si="536"/>
        <v>-237.23461886296141</v>
      </c>
      <c r="GI62" s="380">
        <f t="shared" si="537"/>
        <v>9150.2954027230207</v>
      </c>
      <c r="GJ62" s="380">
        <f t="shared" si="538"/>
        <v>306.20297782417612</v>
      </c>
      <c r="GK62" s="380">
        <f t="shared" si="539"/>
        <v>686.55376193761458</v>
      </c>
      <c r="GL62" s="380">
        <f t="shared" si="540"/>
        <v>446.44150999785808</v>
      </c>
      <c r="GM62" s="389">
        <f t="shared" si="541"/>
        <v>858.23740535674528</v>
      </c>
      <c r="GN62" s="381">
        <f>SUM(GB62:GM62)</f>
        <v>34462.051056063225</v>
      </c>
      <c r="GO62" s="379">
        <f t="shared" si="542"/>
        <v>0</v>
      </c>
      <c r="GP62" s="380">
        <f t="shared" si="543"/>
        <v>0</v>
      </c>
      <c r="GQ62" s="380">
        <f t="shared" si="544"/>
        <v>0</v>
      </c>
      <c r="GR62" s="380">
        <f t="shared" si="545"/>
        <v>0</v>
      </c>
      <c r="GS62" s="380">
        <f t="shared" si="546"/>
        <v>0</v>
      </c>
      <c r="GT62" s="380">
        <f t="shared" si="547"/>
        <v>0</v>
      </c>
      <c r="GU62" s="380">
        <f t="shared" si="548"/>
        <v>0</v>
      </c>
      <c r="GV62" s="380">
        <f t="shared" si="549"/>
        <v>0</v>
      </c>
      <c r="GW62" s="380">
        <f t="shared" si="550"/>
        <v>11.954617775408806</v>
      </c>
      <c r="GX62" s="380">
        <f t="shared" si="551"/>
        <v>54.825121648286206</v>
      </c>
      <c r="GY62" s="380">
        <f t="shared" si="552"/>
        <v>13.156235371496297</v>
      </c>
      <c r="GZ62" s="389">
        <f t="shared" si="553"/>
        <v>189.1319565146712</v>
      </c>
      <c r="HA62" s="381">
        <f t="shared" si="250"/>
        <v>269.0679313098625</v>
      </c>
      <c r="HB62" s="379">
        <f t="shared" si="554"/>
        <v>0</v>
      </c>
      <c r="HC62" s="380">
        <f t="shared" si="555"/>
        <v>0</v>
      </c>
      <c r="HD62" s="380">
        <f t="shared" si="556"/>
        <v>0</v>
      </c>
      <c r="HE62" s="380">
        <f t="shared" si="557"/>
        <v>0</v>
      </c>
      <c r="HF62" s="380">
        <f t="shared" si="558"/>
        <v>0</v>
      </c>
      <c r="HG62" s="380">
        <f t="shared" si="559"/>
        <v>251.25560639119675</v>
      </c>
      <c r="HH62" s="380">
        <f t="shared" si="560"/>
        <v>0</v>
      </c>
      <c r="HI62" s="380">
        <f t="shared" si="561"/>
        <v>0</v>
      </c>
      <c r="HJ62" s="380">
        <f t="shared" si="562"/>
        <v>0</v>
      </c>
      <c r="HK62" s="380">
        <f t="shared" si="563"/>
        <v>0</v>
      </c>
      <c r="HL62" s="380">
        <f t="shared" si="564"/>
        <v>0</v>
      </c>
      <c r="HM62" s="389">
        <f t="shared" si="565"/>
        <v>0</v>
      </c>
      <c r="HN62" s="381">
        <f t="shared" si="251"/>
        <v>251.25560639119675</v>
      </c>
      <c r="HO62" s="379">
        <f t="shared" si="566"/>
        <v>0</v>
      </c>
      <c r="HP62" s="380">
        <f t="shared" si="567"/>
        <v>0</v>
      </c>
      <c r="HQ62" s="380">
        <f t="shared" si="568"/>
        <v>0</v>
      </c>
      <c r="HR62" s="380">
        <f t="shared" si="569"/>
        <v>0</v>
      </c>
      <c r="HS62" s="380">
        <f t="shared" si="570"/>
        <v>0</v>
      </c>
      <c r="HT62" s="380">
        <f t="shared" si="571"/>
        <v>0</v>
      </c>
      <c r="HU62" s="380">
        <f t="shared" si="572"/>
        <v>0</v>
      </c>
      <c r="HV62" s="380">
        <f t="shared" si="573"/>
        <v>0</v>
      </c>
      <c r="HW62" s="380">
        <f t="shared" si="574"/>
        <v>0</v>
      </c>
      <c r="HX62" s="380">
        <f t="shared" si="575"/>
        <v>0</v>
      </c>
      <c r="HY62" s="380">
        <f t="shared" si="576"/>
        <v>0</v>
      </c>
      <c r="HZ62" s="389">
        <f t="shared" si="237"/>
        <v>0</v>
      </c>
      <c r="IA62" s="379">
        <f t="shared" si="252"/>
        <v>0</v>
      </c>
      <c r="IB62" s="1344">
        <f t="shared" si="577"/>
        <v>0</v>
      </c>
      <c r="IC62" s="120">
        <f t="shared" si="253"/>
        <v>0</v>
      </c>
      <c r="ID62" s="120">
        <f t="shared" si="254"/>
        <v>0</v>
      </c>
      <c r="IE62" s="120">
        <f t="shared" si="255"/>
        <v>0</v>
      </c>
      <c r="IF62" s="120">
        <f t="shared" si="256"/>
        <v>0</v>
      </c>
      <c r="IG62" s="120">
        <f t="shared" si="257"/>
        <v>0</v>
      </c>
      <c r="IH62" s="120">
        <f t="shared" si="258"/>
        <v>0</v>
      </c>
      <c r="II62" s="120">
        <f t="shared" si="259"/>
        <v>0</v>
      </c>
      <c r="IJ62" s="120"/>
      <c r="IK62" s="120"/>
      <c r="IL62" s="120"/>
      <c r="IM62" s="1345"/>
      <c r="IN62" s="1346">
        <f t="shared" si="260"/>
        <v>0</v>
      </c>
      <c r="IO62" s="120"/>
      <c r="IP62" s="371" t="str">
        <f t="shared" si="261"/>
        <v/>
      </c>
      <c r="IQ62" s="348" t="str">
        <f t="shared" si="578"/>
        <v/>
      </c>
      <c r="IR62" s="320">
        <f t="shared" si="263"/>
        <v>0</v>
      </c>
      <c r="IS62" s="344">
        <f t="shared" si="264"/>
        <v>0</v>
      </c>
    </row>
    <row r="63" spans="1:255" ht="15" customHeight="1" x14ac:dyDescent="0.2">
      <c r="A63" s="1551" t="s">
        <v>430</v>
      </c>
      <c r="B63" s="379">
        <f t="shared" ref="B63:M63" si="596">+B29/$O$37</f>
        <v>0</v>
      </c>
      <c r="C63" s="380">
        <f t="shared" si="596"/>
        <v>0</v>
      </c>
      <c r="D63" s="380">
        <f t="shared" si="596"/>
        <v>0</v>
      </c>
      <c r="E63" s="380">
        <f t="shared" si="596"/>
        <v>0</v>
      </c>
      <c r="F63" s="380">
        <f t="shared" si="596"/>
        <v>0</v>
      </c>
      <c r="G63" s="380">
        <f t="shared" si="596"/>
        <v>0</v>
      </c>
      <c r="H63" s="380">
        <f t="shared" si="596"/>
        <v>0</v>
      </c>
      <c r="I63" s="380">
        <f t="shared" si="596"/>
        <v>0</v>
      </c>
      <c r="J63" s="380">
        <f t="shared" si="596"/>
        <v>0</v>
      </c>
      <c r="K63" s="380">
        <f t="shared" si="596"/>
        <v>0</v>
      </c>
      <c r="L63" s="380">
        <f t="shared" si="596"/>
        <v>0</v>
      </c>
      <c r="M63" s="389">
        <f t="shared" si="596"/>
        <v>0</v>
      </c>
      <c r="N63" s="381">
        <f t="shared" si="240"/>
        <v>0</v>
      </c>
      <c r="O63" s="379">
        <f t="shared" si="374"/>
        <v>0</v>
      </c>
      <c r="P63" s="380">
        <f t="shared" si="375"/>
        <v>0</v>
      </c>
      <c r="Q63" s="380">
        <f t="shared" si="376"/>
        <v>0</v>
      </c>
      <c r="R63" s="380">
        <f t="shared" si="377"/>
        <v>0</v>
      </c>
      <c r="S63" s="380">
        <f t="shared" si="378"/>
        <v>0</v>
      </c>
      <c r="T63" s="380">
        <f t="shared" si="379"/>
        <v>0</v>
      </c>
      <c r="U63" s="380">
        <f t="shared" si="380"/>
        <v>0</v>
      </c>
      <c r="V63" s="380">
        <f t="shared" si="381"/>
        <v>0</v>
      </c>
      <c r="W63" s="380">
        <f t="shared" si="382"/>
        <v>0</v>
      </c>
      <c r="X63" s="380">
        <f t="shared" si="383"/>
        <v>0</v>
      </c>
      <c r="Y63" s="380">
        <f t="shared" si="384"/>
        <v>0</v>
      </c>
      <c r="Z63" s="389">
        <f t="shared" si="385"/>
        <v>0</v>
      </c>
      <c r="AA63" s="381">
        <f t="shared" si="580"/>
        <v>0</v>
      </c>
      <c r="AB63" s="379">
        <f t="shared" si="386"/>
        <v>0</v>
      </c>
      <c r="AC63" s="380">
        <f t="shared" si="387"/>
        <v>0</v>
      </c>
      <c r="AD63" s="380">
        <f t="shared" si="388"/>
        <v>0</v>
      </c>
      <c r="AE63" s="380">
        <f t="shared" si="389"/>
        <v>0</v>
      </c>
      <c r="AF63" s="380">
        <f t="shared" si="390"/>
        <v>0</v>
      </c>
      <c r="AG63" s="380">
        <f t="shared" si="391"/>
        <v>0</v>
      </c>
      <c r="AH63" s="380">
        <f t="shared" si="392"/>
        <v>0</v>
      </c>
      <c r="AI63" s="380">
        <f t="shared" si="393"/>
        <v>0</v>
      </c>
      <c r="AJ63" s="380">
        <f t="shared" si="394"/>
        <v>0</v>
      </c>
      <c r="AK63" s="380">
        <f t="shared" si="395"/>
        <v>0</v>
      </c>
      <c r="AL63" s="380">
        <f t="shared" si="396"/>
        <v>0</v>
      </c>
      <c r="AM63" s="389">
        <f t="shared" si="397"/>
        <v>0</v>
      </c>
      <c r="AN63" s="381">
        <f t="shared" si="581"/>
        <v>0</v>
      </c>
      <c r="AO63" s="379">
        <f t="shared" si="398"/>
        <v>0</v>
      </c>
      <c r="AP63" s="380">
        <f t="shared" si="399"/>
        <v>0</v>
      </c>
      <c r="AQ63" s="380">
        <f t="shared" si="400"/>
        <v>0</v>
      </c>
      <c r="AR63" s="380">
        <f t="shared" si="401"/>
        <v>0</v>
      </c>
      <c r="AS63" s="380">
        <f t="shared" si="402"/>
        <v>0</v>
      </c>
      <c r="AT63" s="380">
        <f t="shared" si="403"/>
        <v>0</v>
      </c>
      <c r="AU63" s="380">
        <f t="shared" si="404"/>
        <v>0</v>
      </c>
      <c r="AV63" s="380">
        <f t="shared" si="405"/>
        <v>0</v>
      </c>
      <c r="AW63" s="380">
        <f t="shared" si="406"/>
        <v>0</v>
      </c>
      <c r="AX63" s="380">
        <f t="shared" si="407"/>
        <v>0</v>
      </c>
      <c r="AY63" s="380">
        <f t="shared" si="408"/>
        <v>0</v>
      </c>
      <c r="AZ63" s="389">
        <f t="shared" si="409"/>
        <v>0</v>
      </c>
      <c r="BA63" s="381">
        <f t="shared" si="582"/>
        <v>0</v>
      </c>
      <c r="BB63" s="379">
        <f t="shared" si="410"/>
        <v>0</v>
      </c>
      <c r="BC63" s="380">
        <f t="shared" si="411"/>
        <v>0</v>
      </c>
      <c r="BD63" s="380">
        <f t="shared" si="412"/>
        <v>0</v>
      </c>
      <c r="BE63" s="380">
        <f t="shared" si="413"/>
        <v>0</v>
      </c>
      <c r="BF63" s="380">
        <f t="shared" si="414"/>
        <v>0</v>
      </c>
      <c r="BG63" s="380">
        <f t="shared" si="415"/>
        <v>0</v>
      </c>
      <c r="BH63" s="380">
        <f t="shared" si="416"/>
        <v>0</v>
      </c>
      <c r="BI63" s="380">
        <f t="shared" si="417"/>
        <v>0</v>
      </c>
      <c r="BJ63" s="380">
        <f t="shared" si="418"/>
        <v>0</v>
      </c>
      <c r="BK63" s="380">
        <f t="shared" si="419"/>
        <v>0</v>
      </c>
      <c r="BL63" s="380">
        <f t="shared" si="420"/>
        <v>0</v>
      </c>
      <c r="BM63" s="389">
        <f t="shared" si="421"/>
        <v>0</v>
      </c>
      <c r="BN63" s="381">
        <f t="shared" si="583"/>
        <v>0</v>
      </c>
      <c r="BO63" s="379">
        <f t="shared" si="422"/>
        <v>0</v>
      </c>
      <c r="BP63" s="380">
        <f t="shared" si="423"/>
        <v>0</v>
      </c>
      <c r="BQ63" s="380">
        <f t="shared" si="424"/>
        <v>0</v>
      </c>
      <c r="BR63" s="380">
        <f t="shared" si="425"/>
        <v>0</v>
      </c>
      <c r="BS63" s="380">
        <f t="shared" si="426"/>
        <v>0</v>
      </c>
      <c r="BT63" s="380">
        <f t="shared" si="427"/>
        <v>0</v>
      </c>
      <c r="BU63" s="380">
        <f t="shared" si="428"/>
        <v>0</v>
      </c>
      <c r="BV63" s="380">
        <f t="shared" si="429"/>
        <v>0</v>
      </c>
      <c r="BW63" s="380">
        <f t="shared" si="430"/>
        <v>0</v>
      </c>
      <c r="BX63" s="380">
        <f t="shared" si="431"/>
        <v>0</v>
      </c>
      <c r="BY63" s="380">
        <f t="shared" si="432"/>
        <v>0</v>
      </c>
      <c r="BZ63" s="389">
        <f t="shared" si="433"/>
        <v>0</v>
      </c>
      <c r="CA63" s="381">
        <f t="shared" si="584"/>
        <v>0</v>
      </c>
      <c r="CB63" s="379">
        <f t="shared" si="434"/>
        <v>0</v>
      </c>
      <c r="CC63" s="380">
        <f t="shared" si="435"/>
        <v>0</v>
      </c>
      <c r="CD63" s="380">
        <f t="shared" si="436"/>
        <v>0</v>
      </c>
      <c r="CE63" s="380">
        <f t="shared" si="437"/>
        <v>0</v>
      </c>
      <c r="CF63" s="380">
        <f t="shared" si="438"/>
        <v>0</v>
      </c>
      <c r="CG63" s="380">
        <f t="shared" si="439"/>
        <v>0</v>
      </c>
      <c r="CH63" s="380">
        <f t="shared" si="440"/>
        <v>0</v>
      </c>
      <c r="CI63" s="380">
        <f t="shared" si="441"/>
        <v>0</v>
      </c>
      <c r="CJ63" s="380">
        <f t="shared" si="442"/>
        <v>0</v>
      </c>
      <c r="CK63" s="380">
        <f t="shared" si="443"/>
        <v>0</v>
      </c>
      <c r="CL63" s="380">
        <f t="shared" si="444"/>
        <v>0</v>
      </c>
      <c r="CM63" s="389">
        <f t="shared" si="445"/>
        <v>0</v>
      </c>
      <c r="CN63" s="381">
        <f t="shared" si="585"/>
        <v>0</v>
      </c>
      <c r="CO63" s="379">
        <f t="shared" si="446"/>
        <v>0</v>
      </c>
      <c r="CP63" s="380">
        <f t="shared" si="447"/>
        <v>0</v>
      </c>
      <c r="CQ63" s="380">
        <f t="shared" si="448"/>
        <v>0</v>
      </c>
      <c r="CR63" s="380">
        <f t="shared" si="449"/>
        <v>0</v>
      </c>
      <c r="CS63" s="380">
        <f t="shared" si="450"/>
        <v>0</v>
      </c>
      <c r="CT63" s="380">
        <f t="shared" si="451"/>
        <v>0</v>
      </c>
      <c r="CU63" s="380">
        <f t="shared" si="452"/>
        <v>0</v>
      </c>
      <c r="CV63" s="380">
        <f t="shared" si="453"/>
        <v>0</v>
      </c>
      <c r="CW63" s="380">
        <f t="shared" si="454"/>
        <v>0</v>
      </c>
      <c r="CX63" s="380">
        <f t="shared" si="455"/>
        <v>0</v>
      </c>
      <c r="CY63" s="380">
        <f t="shared" si="456"/>
        <v>0</v>
      </c>
      <c r="CZ63" s="389">
        <f t="shared" si="457"/>
        <v>0</v>
      </c>
      <c r="DA63" s="381">
        <f t="shared" si="586"/>
        <v>0</v>
      </c>
      <c r="DB63" s="379">
        <f t="shared" si="458"/>
        <v>0</v>
      </c>
      <c r="DC63" s="380">
        <f t="shared" si="459"/>
        <v>0</v>
      </c>
      <c r="DD63" s="380">
        <f t="shared" si="460"/>
        <v>0</v>
      </c>
      <c r="DE63" s="380">
        <f t="shared" si="461"/>
        <v>0</v>
      </c>
      <c r="DF63" s="380">
        <f t="shared" si="462"/>
        <v>0</v>
      </c>
      <c r="DG63" s="380">
        <f t="shared" si="463"/>
        <v>0</v>
      </c>
      <c r="DH63" s="380">
        <f t="shared" si="464"/>
        <v>0</v>
      </c>
      <c r="DI63" s="380">
        <f t="shared" si="465"/>
        <v>0</v>
      </c>
      <c r="DJ63" s="380">
        <f t="shared" si="466"/>
        <v>0</v>
      </c>
      <c r="DK63" s="380">
        <f t="shared" si="467"/>
        <v>0</v>
      </c>
      <c r="DL63" s="380">
        <f t="shared" si="468"/>
        <v>0</v>
      </c>
      <c r="DM63" s="389">
        <f t="shared" si="469"/>
        <v>0</v>
      </c>
      <c r="DN63" s="381">
        <f t="shared" si="587"/>
        <v>0</v>
      </c>
      <c r="DO63" s="379">
        <f t="shared" si="470"/>
        <v>0</v>
      </c>
      <c r="DP63" s="380">
        <f t="shared" si="471"/>
        <v>0</v>
      </c>
      <c r="DQ63" s="380">
        <f t="shared" si="472"/>
        <v>0</v>
      </c>
      <c r="DR63" s="380">
        <f t="shared" si="473"/>
        <v>0</v>
      </c>
      <c r="DS63" s="380">
        <f t="shared" si="474"/>
        <v>0</v>
      </c>
      <c r="DT63" s="380">
        <f t="shared" si="475"/>
        <v>0</v>
      </c>
      <c r="DU63" s="380">
        <f t="shared" si="476"/>
        <v>0</v>
      </c>
      <c r="DV63" s="380">
        <f t="shared" si="477"/>
        <v>0</v>
      </c>
      <c r="DW63" s="380">
        <f t="shared" si="478"/>
        <v>0</v>
      </c>
      <c r="DX63" s="380">
        <f t="shared" si="479"/>
        <v>0</v>
      </c>
      <c r="DY63" s="380">
        <f t="shared" si="480"/>
        <v>0</v>
      </c>
      <c r="DZ63" s="389">
        <f t="shared" si="481"/>
        <v>0</v>
      </c>
      <c r="EA63" s="381">
        <f t="shared" si="588"/>
        <v>0</v>
      </c>
      <c r="EB63" s="379">
        <f t="shared" si="482"/>
        <v>0</v>
      </c>
      <c r="EC63" s="380">
        <f t="shared" si="483"/>
        <v>0</v>
      </c>
      <c r="ED63" s="380">
        <f t="shared" si="484"/>
        <v>0</v>
      </c>
      <c r="EE63" s="380">
        <f t="shared" si="485"/>
        <v>0</v>
      </c>
      <c r="EF63" s="380">
        <f t="shared" si="486"/>
        <v>0</v>
      </c>
      <c r="EG63" s="380">
        <f t="shared" si="487"/>
        <v>0</v>
      </c>
      <c r="EH63" s="380">
        <f t="shared" si="488"/>
        <v>0</v>
      </c>
      <c r="EI63" s="380">
        <f t="shared" si="489"/>
        <v>0</v>
      </c>
      <c r="EJ63" s="380">
        <f t="shared" si="490"/>
        <v>0</v>
      </c>
      <c r="EK63" s="380">
        <f t="shared" si="491"/>
        <v>0</v>
      </c>
      <c r="EL63" s="380">
        <f t="shared" si="492"/>
        <v>0</v>
      </c>
      <c r="EM63" s="389">
        <f t="shared" si="493"/>
        <v>0</v>
      </c>
      <c r="EN63" s="381">
        <f t="shared" si="589"/>
        <v>0</v>
      </c>
      <c r="EO63" s="379">
        <f t="shared" si="494"/>
        <v>0</v>
      </c>
      <c r="EP63" s="380">
        <f t="shared" si="495"/>
        <v>0</v>
      </c>
      <c r="EQ63" s="380">
        <f t="shared" si="496"/>
        <v>0</v>
      </c>
      <c r="ER63" s="380">
        <f t="shared" si="497"/>
        <v>0</v>
      </c>
      <c r="ES63" s="380">
        <f t="shared" si="498"/>
        <v>0</v>
      </c>
      <c r="ET63" s="380">
        <f t="shared" si="499"/>
        <v>0</v>
      </c>
      <c r="EU63" s="380">
        <f t="shared" si="500"/>
        <v>0</v>
      </c>
      <c r="EV63" s="380">
        <f t="shared" si="501"/>
        <v>0</v>
      </c>
      <c r="EW63" s="380">
        <f t="shared" si="502"/>
        <v>0</v>
      </c>
      <c r="EX63" s="380">
        <f t="shared" si="503"/>
        <v>0</v>
      </c>
      <c r="EY63" s="380">
        <f t="shared" si="504"/>
        <v>0</v>
      </c>
      <c r="EZ63" s="389">
        <f t="shared" si="505"/>
        <v>0</v>
      </c>
      <c r="FA63" s="381">
        <f t="shared" si="590"/>
        <v>0</v>
      </c>
      <c r="FB63" s="379">
        <f t="shared" si="506"/>
        <v>0</v>
      </c>
      <c r="FC63" s="380">
        <f t="shared" si="507"/>
        <v>0</v>
      </c>
      <c r="FD63" s="380">
        <f>+FD29/$FC$37</f>
        <v>0</v>
      </c>
      <c r="FE63" s="380"/>
      <c r="FF63" s="380"/>
      <c r="FG63" s="380"/>
      <c r="FH63" s="380"/>
      <c r="FI63" s="380"/>
      <c r="FJ63" s="380"/>
      <c r="FK63" s="380"/>
      <c r="FL63" s="380"/>
      <c r="FM63" s="389"/>
      <c r="FN63" s="381">
        <f t="shared" si="591"/>
        <v>0</v>
      </c>
      <c r="FO63" s="379">
        <f>+FO29/$FB$37</f>
        <v>0</v>
      </c>
      <c r="FP63" s="380">
        <f>+FP29/$FC$37</f>
        <v>0</v>
      </c>
      <c r="FQ63" s="380">
        <f>+FQ29/$FC$37</f>
        <v>0</v>
      </c>
      <c r="FR63" s="380"/>
      <c r="FS63" s="380"/>
      <c r="FT63" s="380"/>
      <c r="FU63" s="380"/>
      <c r="FV63" s="380"/>
      <c r="FW63" s="380"/>
      <c r="FX63" s="380"/>
      <c r="FY63" s="380"/>
      <c r="FZ63" s="389"/>
      <c r="GA63" s="381"/>
      <c r="GB63" s="379"/>
      <c r="GC63" s="380"/>
      <c r="GD63" s="380"/>
      <c r="GE63" s="380"/>
      <c r="GF63" s="380"/>
      <c r="GG63" s="380"/>
      <c r="GH63" s="380"/>
      <c r="GI63" s="380"/>
      <c r="GJ63" s="380"/>
      <c r="GK63" s="380"/>
      <c r="GL63" s="380"/>
      <c r="GM63" s="389"/>
      <c r="GN63" s="381"/>
      <c r="GO63" s="379"/>
      <c r="GP63" s="380"/>
      <c r="GQ63" s="380"/>
      <c r="GR63" s="380"/>
      <c r="GS63" s="380"/>
      <c r="GT63" s="380"/>
      <c r="GU63" s="380"/>
      <c r="GV63" s="380"/>
      <c r="GW63" s="380"/>
      <c r="GX63" s="380">
        <f t="shared" si="551"/>
        <v>0</v>
      </c>
      <c r="GY63" s="380"/>
      <c r="GZ63" s="389"/>
      <c r="HA63" s="381"/>
      <c r="HB63" s="379"/>
      <c r="HC63" s="380"/>
      <c r="HD63" s="380"/>
      <c r="HE63" s="380"/>
      <c r="HF63" s="380"/>
      <c r="HG63" s="380"/>
      <c r="HH63" s="380"/>
      <c r="HI63" s="380"/>
      <c r="HJ63" s="380"/>
      <c r="HK63" s="380"/>
      <c r="HL63" s="380">
        <f t="shared" si="564"/>
        <v>0</v>
      </c>
      <c r="HM63" s="389"/>
      <c r="HN63" s="381">
        <f t="shared" si="251"/>
        <v>0</v>
      </c>
      <c r="HO63" s="379">
        <v>0</v>
      </c>
      <c r="HP63" s="380">
        <v>0</v>
      </c>
      <c r="HQ63" s="380">
        <v>0</v>
      </c>
      <c r="HR63" s="380">
        <v>0</v>
      </c>
      <c r="HS63" s="380">
        <v>0</v>
      </c>
      <c r="HT63" s="380">
        <v>0</v>
      </c>
      <c r="HU63" s="380">
        <v>0</v>
      </c>
      <c r="HV63" s="380">
        <v>0</v>
      </c>
      <c r="HW63" s="380">
        <v>0</v>
      </c>
      <c r="HX63" s="380">
        <v>0</v>
      </c>
      <c r="HY63" s="380">
        <v>0</v>
      </c>
      <c r="HZ63" s="389">
        <v>0</v>
      </c>
      <c r="IA63" s="379">
        <f t="shared" si="252"/>
        <v>0</v>
      </c>
      <c r="IB63" s="1344">
        <f t="shared" si="577"/>
        <v>0</v>
      </c>
      <c r="IC63" s="120">
        <f t="shared" si="253"/>
        <v>0</v>
      </c>
      <c r="ID63" s="120">
        <f t="shared" si="254"/>
        <v>0</v>
      </c>
      <c r="IE63" s="120">
        <f t="shared" si="255"/>
        <v>0</v>
      </c>
      <c r="IF63" s="120">
        <f t="shared" si="256"/>
        <v>0</v>
      </c>
      <c r="IG63" s="120">
        <f t="shared" si="257"/>
        <v>0</v>
      </c>
      <c r="IH63" s="120">
        <f t="shared" si="258"/>
        <v>0</v>
      </c>
      <c r="II63" s="120">
        <f t="shared" si="259"/>
        <v>0</v>
      </c>
      <c r="IJ63" s="120"/>
      <c r="IK63" s="120"/>
      <c r="IL63" s="120"/>
      <c r="IM63" s="1345"/>
      <c r="IN63" s="1346">
        <f t="shared" si="260"/>
        <v>0</v>
      </c>
      <c r="IO63" s="120"/>
      <c r="IP63" s="371" t="str">
        <f t="shared" si="261"/>
        <v/>
      </c>
      <c r="IQ63" s="348" t="str">
        <f t="shared" si="578"/>
        <v/>
      </c>
      <c r="IR63" s="320">
        <f t="shared" si="263"/>
        <v>0</v>
      </c>
      <c r="IS63" s="344">
        <f t="shared" si="264"/>
        <v>0</v>
      </c>
    </row>
    <row r="64" spans="1:255" ht="15" customHeight="1" x14ac:dyDescent="0.2">
      <c r="A64" s="1551" t="s">
        <v>405</v>
      </c>
      <c r="B64" s="80">
        <f t="shared" ref="B64:M64" si="597">+B30/$O$37</f>
        <v>0</v>
      </c>
      <c r="C64" s="385">
        <f t="shared" si="597"/>
        <v>0</v>
      </c>
      <c r="D64" s="385">
        <f t="shared" si="597"/>
        <v>0</v>
      </c>
      <c r="E64" s="385">
        <f t="shared" si="597"/>
        <v>0</v>
      </c>
      <c r="F64" s="385">
        <f t="shared" si="597"/>
        <v>0</v>
      </c>
      <c r="G64" s="385">
        <f t="shared" si="597"/>
        <v>0</v>
      </c>
      <c r="H64" s="385">
        <f t="shared" si="597"/>
        <v>0</v>
      </c>
      <c r="I64" s="385">
        <f t="shared" si="597"/>
        <v>0</v>
      </c>
      <c r="J64" s="385">
        <f t="shared" si="597"/>
        <v>0</v>
      </c>
      <c r="K64" s="385">
        <f t="shared" si="597"/>
        <v>0</v>
      </c>
      <c r="L64" s="385">
        <f t="shared" si="597"/>
        <v>0</v>
      </c>
      <c r="M64" s="391">
        <f t="shared" si="597"/>
        <v>0</v>
      </c>
      <c r="N64" s="381">
        <f t="shared" si="240"/>
        <v>0</v>
      </c>
      <c r="O64" s="80">
        <f t="shared" si="374"/>
        <v>0</v>
      </c>
      <c r="P64" s="385">
        <f t="shared" si="375"/>
        <v>0</v>
      </c>
      <c r="Q64" s="385">
        <f t="shared" si="376"/>
        <v>0</v>
      </c>
      <c r="R64" s="385">
        <f t="shared" si="377"/>
        <v>0</v>
      </c>
      <c r="S64" s="385">
        <f t="shared" si="378"/>
        <v>0</v>
      </c>
      <c r="T64" s="385">
        <f t="shared" si="379"/>
        <v>0</v>
      </c>
      <c r="U64" s="385">
        <f t="shared" si="380"/>
        <v>0</v>
      </c>
      <c r="V64" s="385">
        <f t="shared" si="381"/>
        <v>0</v>
      </c>
      <c r="W64" s="385">
        <f t="shared" si="382"/>
        <v>0</v>
      </c>
      <c r="X64" s="385">
        <f t="shared" si="383"/>
        <v>0</v>
      </c>
      <c r="Y64" s="385">
        <f t="shared" si="384"/>
        <v>0</v>
      </c>
      <c r="Z64" s="391">
        <f t="shared" si="385"/>
        <v>0</v>
      </c>
      <c r="AA64" s="381">
        <f t="shared" si="580"/>
        <v>0</v>
      </c>
      <c r="AB64" s="80">
        <f t="shared" si="386"/>
        <v>0</v>
      </c>
      <c r="AC64" s="385">
        <f t="shared" si="387"/>
        <v>0</v>
      </c>
      <c r="AD64" s="385">
        <f t="shared" si="388"/>
        <v>0</v>
      </c>
      <c r="AE64" s="385">
        <f t="shared" si="389"/>
        <v>0</v>
      </c>
      <c r="AF64" s="385">
        <f t="shared" si="390"/>
        <v>0</v>
      </c>
      <c r="AG64" s="385">
        <f t="shared" si="391"/>
        <v>0</v>
      </c>
      <c r="AH64" s="385">
        <f t="shared" si="392"/>
        <v>0</v>
      </c>
      <c r="AI64" s="385">
        <f t="shared" si="393"/>
        <v>0</v>
      </c>
      <c r="AJ64" s="385">
        <f t="shared" si="394"/>
        <v>0</v>
      </c>
      <c r="AK64" s="385">
        <f t="shared" si="395"/>
        <v>0</v>
      </c>
      <c r="AL64" s="385">
        <f t="shared" si="396"/>
        <v>0</v>
      </c>
      <c r="AM64" s="391">
        <f t="shared" si="397"/>
        <v>0</v>
      </c>
      <c r="AN64" s="381">
        <f t="shared" si="581"/>
        <v>0</v>
      </c>
      <c r="AO64" s="80">
        <f t="shared" si="398"/>
        <v>0</v>
      </c>
      <c r="AP64" s="385">
        <f t="shared" si="399"/>
        <v>0</v>
      </c>
      <c r="AQ64" s="385">
        <f t="shared" si="400"/>
        <v>0</v>
      </c>
      <c r="AR64" s="385">
        <f t="shared" si="401"/>
        <v>0</v>
      </c>
      <c r="AS64" s="385">
        <f t="shared" si="402"/>
        <v>0</v>
      </c>
      <c r="AT64" s="385">
        <f t="shared" si="403"/>
        <v>0</v>
      </c>
      <c r="AU64" s="385">
        <f t="shared" si="404"/>
        <v>0</v>
      </c>
      <c r="AV64" s="385">
        <f t="shared" si="405"/>
        <v>0</v>
      </c>
      <c r="AW64" s="385">
        <f t="shared" si="406"/>
        <v>0</v>
      </c>
      <c r="AX64" s="385">
        <f t="shared" si="407"/>
        <v>0</v>
      </c>
      <c r="AY64" s="385">
        <f t="shared" si="408"/>
        <v>0</v>
      </c>
      <c r="AZ64" s="391">
        <f t="shared" si="409"/>
        <v>0</v>
      </c>
      <c r="BA64" s="381">
        <f t="shared" si="582"/>
        <v>0</v>
      </c>
      <c r="BB64" s="80">
        <f t="shared" si="410"/>
        <v>0</v>
      </c>
      <c r="BC64" s="385">
        <f t="shared" si="411"/>
        <v>0</v>
      </c>
      <c r="BD64" s="385">
        <f t="shared" si="412"/>
        <v>0</v>
      </c>
      <c r="BE64" s="385">
        <f t="shared" si="413"/>
        <v>0</v>
      </c>
      <c r="BF64" s="385">
        <f t="shared" si="414"/>
        <v>0</v>
      </c>
      <c r="BG64" s="385">
        <f t="shared" si="415"/>
        <v>0</v>
      </c>
      <c r="BH64" s="385">
        <f t="shared" si="416"/>
        <v>0</v>
      </c>
      <c r="BI64" s="385">
        <f t="shared" si="417"/>
        <v>0</v>
      </c>
      <c r="BJ64" s="385">
        <f t="shared" si="418"/>
        <v>0</v>
      </c>
      <c r="BK64" s="385">
        <f t="shared" si="419"/>
        <v>0</v>
      </c>
      <c r="BL64" s="385">
        <f t="shared" si="420"/>
        <v>0</v>
      </c>
      <c r="BM64" s="391">
        <f t="shared" si="421"/>
        <v>0</v>
      </c>
      <c r="BN64" s="381">
        <f t="shared" si="583"/>
        <v>0</v>
      </c>
      <c r="BO64" s="80">
        <f t="shared" si="422"/>
        <v>0</v>
      </c>
      <c r="BP64" s="385">
        <f t="shared" si="423"/>
        <v>0</v>
      </c>
      <c r="BQ64" s="385">
        <f t="shared" si="424"/>
        <v>0</v>
      </c>
      <c r="BR64" s="385">
        <f t="shared" si="425"/>
        <v>0</v>
      </c>
      <c r="BS64" s="385">
        <f t="shared" si="426"/>
        <v>0</v>
      </c>
      <c r="BT64" s="385">
        <f t="shared" si="427"/>
        <v>0</v>
      </c>
      <c r="BU64" s="385">
        <f t="shared" si="428"/>
        <v>0</v>
      </c>
      <c r="BV64" s="385">
        <f t="shared" si="429"/>
        <v>0</v>
      </c>
      <c r="BW64" s="385">
        <f t="shared" si="430"/>
        <v>0</v>
      </c>
      <c r="BX64" s="385">
        <f t="shared" si="431"/>
        <v>0</v>
      </c>
      <c r="BY64" s="385">
        <f t="shared" si="432"/>
        <v>0</v>
      </c>
      <c r="BZ64" s="391">
        <f t="shared" si="433"/>
        <v>0</v>
      </c>
      <c r="CA64" s="381">
        <f t="shared" si="584"/>
        <v>0</v>
      </c>
      <c r="CB64" s="80">
        <f t="shared" si="434"/>
        <v>0</v>
      </c>
      <c r="CC64" s="385">
        <f t="shared" si="435"/>
        <v>0</v>
      </c>
      <c r="CD64" s="385">
        <f t="shared" si="436"/>
        <v>0</v>
      </c>
      <c r="CE64" s="385">
        <f t="shared" si="437"/>
        <v>0</v>
      </c>
      <c r="CF64" s="385">
        <f t="shared" si="438"/>
        <v>0</v>
      </c>
      <c r="CG64" s="385">
        <f t="shared" si="439"/>
        <v>0</v>
      </c>
      <c r="CH64" s="385">
        <f t="shared" si="440"/>
        <v>0</v>
      </c>
      <c r="CI64" s="385">
        <f t="shared" si="441"/>
        <v>0</v>
      </c>
      <c r="CJ64" s="385">
        <f t="shared" si="442"/>
        <v>0</v>
      </c>
      <c r="CK64" s="385">
        <f t="shared" si="443"/>
        <v>0</v>
      </c>
      <c r="CL64" s="385">
        <f t="shared" si="444"/>
        <v>0</v>
      </c>
      <c r="CM64" s="391">
        <f t="shared" si="445"/>
        <v>0</v>
      </c>
      <c r="CN64" s="381">
        <f t="shared" si="585"/>
        <v>0</v>
      </c>
      <c r="CO64" s="80">
        <f t="shared" si="446"/>
        <v>0</v>
      </c>
      <c r="CP64" s="385">
        <f t="shared" si="447"/>
        <v>0</v>
      </c>
      <c r="CQ64" s="385">
        <f t="shared" si="448"/>
        <v>0</v>
      </c>
      <c r="CR64" s="385">
        <f t="shared" si="449"/>
        <v>0</v>
      </c>
      <c r="CS64" s="385">
        <f t="shared" si="450"/>
        <v>0</v>
      </c>
      <c r="CT64" s="385">
        <f t="shared" si="451"/>
        <v>0</v>
      </c>
      <c r="CU64" s="385">
        <f t="shared" si="452"/>
        <v>0</v>
      </c>
      <c r="CV64" s="385">
        <f t="shared" si="453"/>
        <v>0</v>
      </c>
      <c r="CW64" s="385">
        <f t="shared" si="454"/>
        <v>0</v>
      </c>
      <c r="CX64" s="385">
        <f t="shared" si="455"/>
        <v>0</v>
      </c>
      <c r="CY64" s="385">
        <f t="shared" si="456"/>
        <v>0</v>
      </c>
      <c r="CZ64" s="391">
        <f t="shared" si="457"/>
        <v>0</v>
      </c>
      <c r="DA64" s="381">
        <f t="shared" si="586"/>
        <v>0</v>
      </c>
      <c r="DB64" s="80">
        <f t="shared" si="458"/>
        <v>0</v>
      </c>
      <c r="DC64" s="385">
        <f t="shared" si="459"/>
        <v>0</v>
      </c>
      <c r="DD64" s="385">
        <f t="shared" si="460"/>
        <v>0</v>
      </c>
      <c r="DE64" s="385">
        <f t="shared" si="461"/>
        <v>0</v>
      </c>
      <c r="DF64" s="385">
        <f t="shared" si="462"/>
        <v>0</v>
      </c>
      <c r="DG64" s="385">
        <f t="shared" si="463"/>
        <v>0</v>
      </c>
      <c r="DH64" s="385">
        <f t="shared" si="464"/>
        <v>0</v>
      </c>
      <c r="DI64" s="385">
        <f t="shared" si="465"/>
        <v>0</v>
      </c>
      <c r="DJ64" s="385">
        <f t="shared" si="466"/>
        <v>0</v>
      </c>
      <c r="DK64" s="385">
        <f t="shared" si="467"/>
        <v>0</v>
      </c>
      <c r="DL64" s="385">
        <f t="shared" si="468"/>
        <v>0</v>
      </c>
      <c r="DM64" s="391">
        <f t="shared" si="469"/>
        <v>0</v>
      </c>
      <c r="DN64" s="381">
        <f t="shared" si="587"/>
        <v>0</v>
      </c>
      <c r="DO64" s="80">
        <f t="shared" si="470"/>
        <v>0</v>
      </c>
      <c r="DP64" s="385">
        <f t="shared" si="471"/>
        <v>0</v>
      </c>
      <c r="DQ64" s="385">
        <f t="shared" si="472"/>
        <v>0</v>
      </c>
      <c r="DR64" s="385">
        <f t="shared" si="473"/>
        <v>0</v>
      </c>
      <c r="DS64" s="385">
        <f t="shared" si="474"/>
        <v>0</v>
      </c>
      <c r="DT64" s="385">
        <f t="shared" si="475"/>
        <v>0</v>
      </c>
      <c r="DU64" s="385">
        <f t="shared" si="476"/>
        <v>0</v>
      </c>
      <c r="DV64" s="385">
        <f t="shared" si="477"/>
        <v>0</v>
      </c>
      <c r="DW64" s="385">
        <f t="shared" si="478"/>
        <v>0</v>
      </c>
      <c r="DX64" s="385">
        <f t="shared" si="479"/>
        <v>0</v>
      </c>
      <c r="DY64" s="385">
        <f t="shared" si="480"/>
        <v>0</v>
      </c>
      <c r="DZ64" s="391">
        <f t="shared" si="481"/>
        <v>0</v>
      </c>
      <c r="EA64" s="381">
        <f t="shared" si="588"/>
        <v>0</v>
      </c>
      <c r="EB64" s="80">
        <f t="shared" si="482"/>
        <v>0</v>
      </c>
      <c r="EC64" s="385">
        <f t="shared" si="483"/>
        <v>0</v>
      </c>
      <c r="ED64" s="385">
        <f t="shared" si="484"/>
        <v>0</v>
      </c>
      <c r="EE64" s="385">
        <f t="shared" si="485"/>
        <v>0</v>
      </c>
      <c r="EF64" s="385">
        <f t="shared" si="486"/>
        <v>0</v>
      </c>
      <c r="EG64" s="385">
        <f t="shared" si="487"/>
        <v>0</v>
      </c>
      <c r="EH64" s="385">
        <f t="shared" si="488"/>
        <v>0</v>
      </c>
      <c r="EI64" s="385">
        <f t="shared" si="489"/>
        <v>0</v>
      </c>
      <c r="EJ64" s="385">
        <f t="shared" si="490"/>
        <v>0</v>
      </c>
      <c r="EK64" s="385">
        <f t="shared" si="491"/>
        <v>0</v>
      </c>
      <c r="EL64" s="385">
        <f t="shared" si="492"/>
        <v>0</v>
      </c>
      <c r="EM64" s="391">
        <f t="shared" si="493"/>
        <v>0</v>
      </c>
      <c r="EN64" s="381">
        <f t="shared" si="589"/>
        <v>0</v>
      </c>
      <c r="EO64" s="80">
        <f t="shared" si="494"/>
        <v>0</v>
      </c>
      <c r="EP64" s="385">
        <f t="shared" si="495"/>
        <v>0</v>
      </c>
      <c r="EQ64" s="385">
        <f t="shared" si="496"/>
        <v>0</v>
      </c>
      <c r="ER64" s="385">
        <f t="shared" si="497"/>
        <v>0</v>
      </c>
      <c r="ES64" s="385">
        <f t="shared" si="498"/>
        <v>0</v>
      </c>
      <c r="ET64" s="385">
        <f t="shared" si="499"/>
        <v>0</v>
      </c>
      <c r="EU64" s="385">
        <f t="shared" si="500"/>
        <v>0</v>
      </c>
      <c r="EV64" s="385">
        <f t="shared" si="501"/>
        <v>0</v>
      </c>
      <c r="EW64" s="385">
        <f t="shared" si="502"/>
        <v>0</v>
      </c>
      <c r="EX64" s="385">
        <f t="shared" si="503"/>
        <v>0</v>
      </c>
      <c r="EY64" s="385">
        <f t="shared" si="504"/>
        <v>0</v>
      </c>
      <c r="EZ64" s="391">
        <f t="shared" si="505"/>
        <v>0</v>
      </c>
      <c r="FA64" s="381">
        <f t="shared" si="590"/>
        <v>0</v>
      </c>
      <c r="FB64" s="80">
        <f t="shared" si="506"/>
        <v>0</v>
      </c>
      <c r="FC64" s="385">
        <f t="shared" si="507"/>
        <v>0</v>
      </c>
      <c r="FD64" s="385">
        <f>+FD30/$FC$37</f>
        <v>0</v>
      </c>
      <c r="FE64" s="385"/>
      <c r="FF64" s="385"/>
      <c r="FG64" s="385"/>
      <c r="FH64" s="385"/>
      <c r="FI64" s="385"/>
      <c r="FJ64" s="385"/>
      <c r="FK64" s="385"/>
      <c r="FL64" s="385"/>
      <c r="FM64" s="391"/>
      <c r="FN64" s="381">
        <f t="shared" si="591"/>
        <v>0</v>
      </c>
      <c r="FO64" s="80">
        <f>+FO30/$FB$37</f>
        <v>0</v>
      </c>
      <c r="FP64" s="385">
        <f>+FP30/$FC$37</f>
        <v>0</v>
      </c>
      <c r="FQ64" s="385">
        <f>+FQ30/$FC$37</f>
        <v>0</v>
      </c>
      <c r="FR64" s="385"/>
      <c r="FS64" s="385"/>
      <c r="FT64" s="385"/>
      <c r="FU64" s="385"/>
      <c r="FV64" s="385"/>
      <c r="FW64" s="385"/>
      <c r="FX64" s="385"/>
      <c r="FY64" s="385"/>
      <c r="FZ64" s="391"/>
      <c r="GA64" s="381"/>
      <c r="GB64" s="80"/>
      <c r="GC64" s="385"/>
      <c r="GD64" s="385"/>
      <c r="GE64" s="385"/>
      <c r="GF64" s="385"/>
      <c r="GG64" s="385"/>
      <c r="GH64" s="385"/>
      <c r="GI64" s="385"/>
      <c r="GJ64" s="385"/>
      <c r="GK64" s="385"/>
      <c r="GL64" s="385"/>
      <c r="GM64" s="391"/>
      <c r="GN64" s="381"/>
      <c r="GO64" s="80"/>
      <c r="GP64" s="385"/>
      <c r="GQ64" s="385"/>
      <c r="GR64" s="385"/>
      <c r="GS64" s="385"/>
      <c r="GT64" s="385"/>
      <c r="GU64" s="385"/>
      <c r="GV64" s="385"/>
      <c r="GW64" s="385"/>
      <c r="GX64" s="385">
        <f t="shared" si="551"/>
        <v>0</v>
      </c>
      <c r="GY64" s="385"/>
      <c r="GZ64" s="391"/>
      <c r="HA64" s="381"/>
      <c r="HB64" s="80"/>
      <c r="HC64" s="385"/>
      <c r="HD64" s="385"/>
      <c r="HE64" s="385"/>
      <c r="HF64" s="385"/>
      <c r="HG64" s="385"/>
      <c r="HH64" s="385"/>
      <c r="HI64" s="385"/>
      <c r="HJ64" s="385"/>
      <c r="HK64" s="385"/>
      <c r="HL64" s="385">
        <f t="shared" si="564"/>
        <v>0</v>
      </c>
      <c r="HM64" s="391"/>
      <c r="HN64" s="381">
        <f t="shared" si="251"/>
        <v>0</v>
      </c>
      <c r="HO64" s="80">
        <v>0</v>
      </c>
      <c r="HP64" s="385">
        <v>0</v>
      </c>
      <c r="HQ64" s="385">
        <v>0</v>
      </c>
      <c r="HR64" s="385">
        <v>0</v>
      </c>
      <c r="HS64" s="385">
        <v>0</v>
      </c>
      <c r="HT64" s="385">
        <v>0</v>
      </c>
      <c r="HU64" s="385">
        <v>0</v>
      </c>
      <c r="HV64" s="385">
        <v>0</v>
      </c>
      <c r="HW64" s="385">
        <v>0</v>
      </c>
      <c r="HX64" s="385">
        <v>0</v>
      </c>
      <c r="HY64" s="385">
        <v>0</v>
      </c>
      <c r="HZ64" s="391">
        <v>0</v>
      </c>
      <c r="IA64" s="379">
        <f t="shared" si="252"/>
        <v>0</v>
      </c>
      <c r="IB64" s="1344">
        <f t="shared" si="577"/>
        <v>0</v>
      </c>
      <c r="IC64" s="120">
        <f t="shared" si="253"/>
        <v>0</v>
      </c>
      <c r="ID64" s="120">
        <f t="shared" si="254"/>
        <v>0</v>
      </c>
      <c r="IE64" s="120">
        <f t="shared" si="255"/>
        <v>0</v>
      </c>
      <c r="IF64" s="120">
        <f t="shared" si="256"/>
        <v>0</v>
      </c>
      <c r="IG64" s="120">
        <f t="shared" si="257"/>
        <v>0</v>
      </c>
      <c r="IH64" s="120">
        <f t="shared" si="258"/>
        <v>0</v>
      </c>
      <c r="II64" s="120">
        <f t="shared" si="259"/>
        <v>0</v>
      </c>
      <c r="IJ64" s="120"/>
      <c r="IK64" s="120"/>
      <c r="IL64" s="120"/>
      <c r="IM64" s="1345"/>
      <c r="IN64" s="1346">
        <f t="shared" si="260"/>
        <v>0</v>
      </c>
      <c r="IO64" s="120"/>
      <c r="IP64" s="371" t="str">
        <f t="shared" si="261"/>
        <v/>
      </c>
      <c r="IQ64" s="348" t="str">
        <f t="shared" si="578"/>
        <v/>
      </c>
      <c r="IR64" s="320">
        <f t="shared" si="263"/>
        <v>0</v>
      </c>
      <c r="IS64" s="344">
        <f t="shared" si="264"/>
        <v>0</v>
      </c>
    </row>
    <row r="65" spans="1:255" ht="15" customHeight="1" x14ac:dyDescent="0.2">
      <c r="A65" s="349" t="s">
        <v>352</v>
      </c>
      <c r="B65" s="81"/>
      <c r="C65" s="386"/>
      <c r="D65" s="386"/>
      <c r="E65" s="386"/>
      <c r="F65" s="386"/>
      <c r="G65" s="386"/>
      <c r="H65" s="386"/>
      <c r="I65" s="386"/>
      <c r="J65" s="386"/>
      <c r="K65" s="386"/>
      <c r="L65" s="386"/>
      <c r="M65" s="392"/>
      <c r="N65" s="399"/>
      <c r="O65" s="81"/>
      <c r="P65" s="386"/>
      <c r="Q65" s="386"/>
      <c r="R65" s="386"/>
      <c r="S65" s="386"/>
      <c r="T65" s="386"/>
      <c r="U65" s="386"/>
      <c r="V65" s="386"/>
      <c r="W65" s="386"/>
      <c r="X65" s="386"/>
      <c r="Y65" s="386"/>
      <c r="Z65" s="392"/>
      <c r="AA65" s="399"/>
      <c r="AB65" s="81"/>
      <c r="AC65" s="386">
        <f t="shared" ref="AC65:AN65" si="598">AC57-AC41</f>
        <v>0</v>
      </c>
      <c r="AD65" s="386">
        <f t="shared" si="598"/>
        <v>0</v>
      </c>
      <c r="AE65" s="386">
        <f t="shared" si="598"/>
        <v>0</v>
      </c>
      <c r="AF65" s="386">
        <f t="shared" si="598"/>
        <v>0.90663434663292719</v>
      </c>
      <c r="AG65" s="386">
        <f t="shared" si="598"/>
        <v>0</v>
      </c>
      <c r="AH65" s="386">
        <f t="shared" si="598"/>
        <v>0</v>
      </c>
      <c r="AI65" s="386">
        <f t="shared" si="598"/>
        <v>0</v>
      </c>
      <c r="AJ65" s="386">
        <f t="shared" si="598"/>
        <v>-0.89897254152310779</v>
      </c>
      <c r="AK65" s="386">
        <f t="shared" si="598"/>
        <v>0</v>
      </c>
      <c r="AL65" s="386">
        <f t="shared" si="598"/>
        <v>0</v>
      </c>
      <c r="AM65" s="392">
        <f t="shared" si="598"/>
        <v>0</v>
      </c>
      <c r="AN65" s="399">
        <f t="shared" si="598"/>
        <v>7.6618051389232278E-3</v>
      </c>
      <c r="AO65" s="81"/>
      <c r="AP65" s="386"/>
      <c r="AQ65" s="386"/>
      <c r="AR65" s="386"/>
      <c r="AS65" s="386"/>
      <c r="AT65" s="386"/>
      <c r="AU65" s="386"/>
      <c r="AV65" s="386"/>
      <c r="AW65" s="386"/>
      <c r="AX65" s="386"/>
      <c r="AY65" s="386"/>
      <c r="AZ65" s="392"/>
      <c r="BA65" s="399"/>
      <c r="BB65" s="81"/>
      <c r="BC65" s="386"/>
      <c r="BD65" s="386"/>
      <c r="BE65" s="386"/>
      <c r="BF65" s="386"/>
      <c r="BG65" s="386"/>
      <c r="BH65" s="386"/>
      <c r="BI65" s="386"/>
      <c r="BJ65" s="386"/>
      <c r="BK65" s="386"/>
      <c r="BL65" s="386"/>
      <c r="BM65" s="392"/>
      <c r="BN65" s="399"/>
      <c r="BO65" s="81"/>
      <c r="BP65" s="386"/>
      <c r="BQ65" s="386"/>
      <c r="BR65" s="386"/>
      <c r="BS65" s="386"/>
      <c r="BT65" s="386"/>
      <c r="BU65" s="386"/>
      <c r="BV65" s="386"/>
      <c r="BW65" s="386"/>
      <c r="BX65" s="386"/>
      <c r="BY65" s="386"/>
      <c r="BZ65" s="392"/>
      <c r="CA65" s="399"/>
      <c r="CB65" s="81"/>
      <c r="CC65" s="386"/>
      <c r="CD65" s="386"/>
      <c r="CE65" s="386"/>
      <c r="CF65" s="386"/>
      <c r="CG65" s="386"/>
      <c r="CH65" s="386"/>
      <c r="CI65" s="386"/>
      <c r="CJ65" s="386"/>
      <c r="CK65" s="386"/>
      <c r="CL65" s="386"/>
      <c r="CM65" s="392"/>
      <c r="CN65" s="399"/>
      <c r="CO65" s="81"/>
      <c r="CP65" s="386"/>
      <c r="CQ65" s="386"/>
      <c r="CR65" s="386"/>
      <c r="CS65" s="386"/>
      <c r="CT65" s="386"/>
      <c r="CU65" s="386"/>
      <c r="CV65" s="386"/>
      <c r="CW65" s="386"/>
      <c r="CX65" s="386"/>
      <c r="CY65" s="386"/>
      <c r="CZ65" s="392"/>
      <c r="DA65" s="399"/>
      <c r="DB65" s="81"/>
      <c r="DC65" s="386"/>
      <c r="DD65" s="386"/>
      <c r="DE65" s="386"/>
      <c r="DF65" s="386"/>
      <c r="DG65" s="386"/>
      <c r="DH65" s="386"/>
      <c r="DI65" s="386"/>
      <c r="DJ65" s="386"/>
      <c r="DK65" s="386"/>
      <c r="DL65" s="386"/>
      <c r="DM65" s="392"/>
      <c r="DN65" s="399"/>
      <c r="DO65" s="81"/>
      <c r="DP65" s="386"/>
      <c r="DQ65" s="386"/>
      <c r="DR65" s="386"/>
      <c r="DS65" s="386"/>
      <c r="DT65" s="386"/>
      <c r="DU65" s="386"/>
      <c r="DV65" s="386"/>
      <c r="DW65" s="386"/>
      <c r="DX65" s="386"/>
      <c r="DY65" s="386"/>
      <c r="DZ65" s="392"/>
      <c r="EA65" s="399"/>
      <c r="EB65" s="81"/>
      <c r="EC65" s="386"/>
      <c r="ED65" s="386"/>
      <c r="EE65" s="386"/>
      <c r="EF65" s="386"/>
      <c r="EG65" s="386"/>
      <c r="EH65" s="386"/>
      <c r="EI65" s="386"/>
      <c r="EJ65" s="386"/>
      <c r="EK65" s="386"/>
      <c r="EL65" s="386"/>
      <c r="EM65" s="392"/>
      <c r="EN65" s="399"/>
      <c r="EO65" s="81"/>
      <c r="EP65" s="386"/>
      <c r="EQ65" s="386"/>
      <c r="ER65" s="386"/>
      <c r="ES65" s="386"/>
      <c r="ET65" s="386"/>
      <c r="EU65" s="386"/>
      <c r="EV65" s="386"/>
      <c r="EW65" s="386"/>
      <c r="EX65" s="386"/>
      <c r="EY65" s="386"/>
      <c r="EZ65" s="392"/>
      <c r="FA65" s="399"/>
      <c r="FB65" s="81"/>
      <c r="FC65" s="386"/>
      <c r="FD65" s="386"/>
      <c r="FE65" s="386"/>
      <c r="FF65" s="386"/>
      <c r="FG65" s="386"/>
      <c r="FH65" s="386"/>
      <c r="FI65" s="386"/>
      <c r="FJ65" s="386"/>
      <c r="FK65" s="386"/>
      <c r="FL65" s="386"/>
      <c r="FM65" s="392"/>
      <c r="FN65" s="399"/>
      <c r="FO65" s="81"/>
      <c r="FP65" s="386"/>
      <c r="FQ65" s="386"/>
      <c r="FR65" s="386"/>
      <c r="FS65" s="386"/>
      <c r="FT65" s="386"/>
      <c r="FU65" s="386"/>
      <c r="FV65" s="386"/>
      <c r="FW65" s="386"/>
      <c r="FX65" s="386"/>
      <c r="FY65" s="386"/>
      <c r="FZ65" s="392"/>
      <c r="GA65" s="399"/>
      <c r="GB65" s="81"/>
      <c r="GC65" s="386"/>
      <c r="GD65" s="386"/>
      <c r="GE65" s="386"/>
      <c r="GF65" s="386"/>
      <c r="GG65" s="386"/>
      <c r="GH65" s="386"/>
      <c r="GI65" s="386"/>
      <c r="GJ65" s="386"/>
      <c r="GK65" s="386"/>
      <c r="GL65" s="386"/>
      <c r="GM65" s="392"/>
      <c r="GN65" s="399"/>
      <c r="GO65" s="81"/>
      <c r="GP65" s="386"/>
      <c r="GQ65" s="386"/>
      <c r="GR65" s="386"/>
      <c r="GS65" s="386"/>
      <c r="GT65" s="386"/>
      <c r="GU65" s="386"/>
      <c r="GV65" s="386"/>
      <c r="GW65" s="386"/>
      <c r="GX65" s="386"/>
      <c r="GY65" s="386"/>
      <c r="GZ65" s="392"/>
      <c r="HA65" s="399"/>
      <c r="HB65" s="81"/>
      <c r="HC65" s="386"/>
      <c r="HD65" s="386"/>
      <c r="HE65" s="386"/>
      <c r="HF65" s="386"/>
      <c r="HG65" s="386"/>
      <c r="HH65" s="386"/>
      <c r="HI65" s="386"/>
      <c r="HJ65" s="386"/>
      <c r="HK65" s="386"/>
      <c r="HL65" s="386"/>
      <c r="HM65" s="392"/>
      <c r="HN65" s="399"/>
      <c r="HO65" s="81"/>
      <c r="HP65" s="386"/>
      <c r="HQ65" s="386"/>
      <c r="HR65" s="386"/>
      <c r="HS65" s="386"/>
      <c r="HT65" s="386"/>
      <c r="HU65" s="386"/>
      <c r="HV65" s="386"/>
      <c r="HW65" s="386"/>
      <c r="HX65" s="386"/>
      <c r="HY65" s="386"/>
      <c r="HZ65" s="392"/>
      <c r="IA65" s="1347"/>
      <c r="IB65" s="1347"/>
      <c r="IC65" s="1348"/>
      <c r="ID65" s="1348"/>
      <c r="IE65" s="1348"/>
      <c r="IF65" s="1348"/>
      <c r="IG65" s="1348"/>
      <c r="IH65" s="1348"/>
      <c r="II65" s="1348"/>
      <c r="IJ65" s="1348"/>
      <c r="IK65" s="1348"/>
      <c r="IL65" s="1348"/>
      <c r="IM65" s="1349"/>
      <c r="IN65" s="399"/>
      <c r="IO65" s="120"/>
      <c r="IP65" s="372"/>
      <c r="IQ65" s="351"/>
      <c r="IR65" s="352"/>
      <c r="IS65" s="350"/>
    </row>
    <row r="66" spans="1:255" ht="15" customHeight="1" x14ac:dyDescent="0.2">
      <c r="A66" s="353" t="s">
        <v>298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4"/>
      <c r="Q66" s="354"/>
      <c r="R66" s="354"/>
      <c r="S66" s="354"/>
      <c r="T66" s="354"/>
      <c r="U66" s="354"/>
      <c r="V66" s="354"/>
      <c r="W66" s="354"/>
      <c r="X66" s="354"/>
      <c r="Y66" s="354"/>
      <c r="Z66" s="354"/>
      <c r="AA66" s="354"/>
      <c r="GM66" s="316"/>
      <c r="GN66" s="316"/>
      <c r="GO66" s="316"/>
      <c r="GP66" s="316"/>
      <c r="GQ66" s="316"/>
      <c r="GR66" s="316"/>
      <c r="GS66" s="316"/>
      <c r="GT66" s="316"/>
      <c r="GU66" s="316"/>
      <c r="GV66" s="316"/>
      <c r="GW66" s="316"/>
      <c r="GX66" s="316"/>
      <c r="GY66" s="316"/>
      <c r="GZ66" s="316"/>
      <c r="HA66" s="316"/>
      <c r="HB66" s="316"/>
      <c r="HC66" s="316"/>
      <c r="HD66" s="316"/>
      <c r="HE66" s="316"/>
      <c r="HF66" s="316"/>
      <c r="HG66" s="316"/>
      <c r="HH66" s="316"/>
      <c r="HI66" s="316"/>
      <c r="HJ66" s="316"/>
      <c r="HK66" s="316"/>
      <c r="HL66" s="316"/>
      <c r="HM66" s="316"/>
      <c r="HN66" s="316"/>
      <c r="HO66" s="316"/>
      <c r="HP66" s="316"/>
      <c r="HQ66" s="316"/>
      <c r="HR66" s="316"/>
      <c r="HS66" s="316"/>
      <c r="HT66" s="316"/>
      <c r="HU66" s="316"/>
      <c r="HV66" s="316"/>
      <c r="HW66" s="316"/>
      <c r="HX66" s="316"/>
      <c r="HY66" s="316"/>
      <c r="HZ66" s="316"/>
      <c r="IA66" s="316"/>
      <c r="IB66" s="120"/>
      <c r="IC66" s="120"/>
      <c r="ID66" s="120"/>
      <c r="IE66" s="120"/>
      <c r="IF66" s="120"/>
      <c r="IG66" s="120"/>
      <c r="IH66" s="120"/>
      <c r="II66" s="120"/>
      <c r="IJ66" s="120"/>
      <c r="IK66" s="120"/>
      <c r="IL66" s="120"/>
      <c r="IM66" s="120"/>
      <c r="IN66" s="120"/>
      <c r="IO66" s="120"/>
    </row>
    <row r="67" spans="1:255" ht="15" customHeight="1" x14ac:dyDescent="0.2">
      <c r="A67" s="355" t="s">
        <v>127</v>
      </c>
      <c r="B67" s="356"/>
      <c r="C67" s="356"/>
      <c r="D67" s="356"/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6"/>
      <c r="Q67" s="356"/>
      <c r="R67" s="356"/>
      <c r="S67" s="356"/>
      <c r="T67" s="356"/>
      <c r="U67" s="356"/>
      <c r="V67" s="356"/>
      <c r="W67" s="356"/>
      <c r="X67" s="356"/>
      <c r="Y67" s="356"/>
      <c r="Z67" s="356"/>
      <c r="AA67" s="356"/>
      <c r="AB67" s="356"/>
      <c r="AC67" s="393"/>
      <c r="AD67" s="393"/>
      <c r="AE67" s="393"/>
      <c r="AF67" s="393"/>
      <c r="AG67" s="393"/>
      <c r="AH67" s="393"/>
      <c r="AI67" s="393"/>
      <c r="AJ67" s="393"/>
      <c r="AK67" s="393"/>
      <c r="AL67" s="393"/>
      <c r="AM67" s="393"/>
      <c r="AN67" s="393"/>
      <c r="AO67" s="393"/>
      <c r="AP67" s="393"/>
      <c r="AQ67" s="393"/>
      <c r="AR67" s="393"/>
      <c r="AS67" s="393"/>
      <c r="AT67" s="393"/>
      <c r="AU67" s="393"/>
      <c r="AV67" s="393"/>
      <c r="AW67" s="393"/>
      <c r="AX67" s="393"/>
      <c r="AY67" s="393"/>
      <c r="AZ67" s="393"/>
      <c r="BA67" s="393"/>
      <c r="BB67" s="393"/>
      <c r="BC67" s="393"/>
      <c r="BD67" s="393"/>
      <c r="BE67" s="393"/>
      <c r="BF67" s="393"/>
      <c r="BG67" s="393"/>
      <c r="BH67" s="393"/>
      <c r="BI67" s="393"/>
      <c r="BJ67" s="393"/>
      <c r="BK67" s="393"/>
      <c r="BL67" s="393"/>
      <c r="BM67" s="393"/>
      <c r="BN67" s="393"/>
      <c r="BO67" s="393"/>
      <c r="BP67" s="393"/>
      <c r="BQ67" s="393"/>
      <c r="BR67" s="393"/>
      <c r="BS67" s="393"/>
      <c r="BT67" s="393"/>
      <c r="BU67" s="393"/>
      <c r="BV67" s="393"/>
      <c r="BW67" s="393"/>
      <c r="BX67" s="393"/>
      <c r="BY67" s="393"/>
      <c r="BZ67" s="393"/>
      <c r="CA67" s="393"/>
      <c r="CB67" s="393"/>
      <c r="CC67" s="393"/>
      <c r="CD67" s="393"/>
      <c r="CE67" s="393"/>
      <c r="CF67" s="393"/>
      <c r="CG67" s="393"/>
      <c r="CH67" s="393"/>
      <c r="CI67" s="393"/>
      <c r="CJ67" s="393"/>
      <c r="CK67" s="393"/>
      <c r="CL67" s="393"/>
      <c r="CM67" s="393"/>
      <c r="CN67" s="393"/>
      <c r="CO67" s="393"/>
      <c r="CP67" s="393"/>
      <c r="CQ67" s="393"/>
      <c r="CR67" s="393"/>
      <c r="CS67" s="393"/>
      <c r="CT67" s="393"/>
      <c r="CU67" s="393"/>
      <c r="CV67" s="393"/>
      <c r="CW67" s="393"/>
      <c r="CX67" s="393"/>
      <c r="CY67" s="393"/>
      <c r="CZ67" s="393"/>
      <c r="DA67" s="393"/>
      <c r="DB67" s="393"/>
      <c r="DC67" s="393"/>
      <c r="DD67" s="393"/>
      <c r="DE67" s="393"/>
      <c r="DF67" s="393"/>
      <c r="DG67" s="393"/>
      <c r="DH67" s="393"/>
      <c r="DI67" s="393"/>
      <c r="DJ67" s="393"/>
      <c r="DK67" s="393"/>
      <c r="DL67" s="393"/>
      <c r="DM67" s="393"/>
      <c r="DN67" s="393"/>
      <c r="DO67" s="393"/>
      <c r="DP67" s="393"/>
      <c r="DQ67" s="393"/>
      <c r="DR67" s="393"/>
      <c r="DS67" s="393"/>
      <c r="DT67" s="393"/>
      <c r="DU67" s="393"/>
      <c r="DV67" s="393"/>
      <c r="DW67" s="393"/>
      <c r="DX67" s="393"/>
      <c r="DY67" s="393"/>
      <c r="DZ67" s="393"/>
      <c r="EA67" s="393"/>
      <c r="EB67" s="393"/>
      <c r="EC67" s="393"/>
      <c r="ED67" s="393"/>
      <c r="EE67" s="393"/>
      <c r="EF67" s="393"/>
      <c r="EG67" s="393"/>
      <c r="EH67" s="393"/>
      <c r="EI67" s="393"/>
      <c r="EJ67" s="393"/>
      <c r="EK67" s="393"/>
      <c r="EL67" s="393"/>
      <c r="EM67" s="393"/>
      <c r="EN67" s="393"/>
      <c r="EO67" s="393"/>
      <c r="EP67" s="393"/>
      <c r="EQ67" s="393"/>
      <c r="ER67" s="393"/>
      <c r="ES67" s="393"/>
      <c r="ET67" s="393"/>
      <c r="EU67" s="393"/>
      <c r="EV67" s="393"/>
      <c r="EW67" s="393"/>
      <c r="EX67" s="393"/>
      <c r="EY67" s="393"/>
      <c r="EZ67" s="393"/>
      <c r="FA67" s="393"/>
      <c r="FB67" s="393"/>
      <c r="FC67" s="393"/>
      <c r="FD67" s="393"/>
      <c r="FE67" s="393"/>
      <c r="FF67" s="393"/>
      <c r="FG67" s="393"/>
      <c r="FH67" s="393"/>
      <c r="FI67" s="393"/>
      <c r="FJ67" s="393"/>
      <c r="FK67" s="393"/>
      <c r="FL67" s="393"/>
      <c r="FM67" s="393"/>
      <c r="FN67" s="393"/>
      <c r="FO67" s="393"/>
      <c r="FP67" s="393"/>
      <c r="FQ67" s="393"/>
      <c r="FR67" s="393"/>
      <c r="FS67" s="393"/>
      <c r="FT67" s="393"/>
      <c r="FU67" s="393"/>
      <c r="FV67" s="393"/>
      <c r="FW67" s="393"/>
      <c r="FX67" s="393"/>
      <c r="FY67" s="393"/>
      <c r="FZ67" s="393"/>
      <c r="GA67" s="393"/>
      <c r="GB67" s="393"/>
      <c r="GC67" s="393"/>
      <c r="GD67" s="393"/>
      <c r="GE67" s="393"/>
      <c r="GF67" s="393"/>
      <c r="GG67" s="393"/>
      <c r="GH67" s="393"/>
      <c r="GI67" s="393"/>
      <c r="GJ67" s="393"/>
      <c r="GK67" s="393"/>
      <c r="GL67" s="393"/>
      <c r="GM67" s="394"/>
      <c r="GN67" s="394"/>
      <c r="GO67" s="394"/>
      <c r="GP67" s="394"/>
      <c r="GQ67" s="394"/>
      <c r="GR67" s="394"/>
      <c r="GS67" s="394"/>
      <c r="GT67" s="394"/>
      <c r="GU67" s="394"/>
      <c r="GV67" s="394"/>
      <c r="GW67" s="394"/>
      <c r="GX67" s="394"/>
      <c r="GY67" s="394"/>
      <c r="GZ67" s="394"/>
      <c r="HA67" s="394"/>
      <c r="HB67" s="394"/>
      <c r="HC67" s="394"/>
      <c r="HD67" s="394"/>
      <c r="HE67" s="394"/>
      <c r="HF67" s="394"/>
      <c r="HG67" s="394"/>
      <c r="HH67" s="394"/>
      <c r="HI67" s="394"/>
      <c r="HJ67" s="394"/>
      <c r="HK67" s="394"/>
      <c r="HL67" s="394"/>
      <c r="HM67" s="394"/>
      <c r="HN67" s="394"/>
      <c r="HO67" s="394"/>
      <c r="HP67" s="394"/>
      <c r="HQ67" s="394"/>
      <c r="HR67" s="394"/>
      <c r="HS67" s="394"/>
      <c r="HT67" s="394"/>
      <c r="HU67" s="394"/>
      <c r="HV67" s="394"/>
      <c r="HW67" s="394"/>
      <c r="HX67" s="394"/>
      <c r="HY67" s="394"/>
      <c r="HZ67" s="394"/>
      <c r="IA67" s="394"/>
      <c r="IB67" s="120"/>
      <c r="IC67" s="120"/>
      <c r="ID67" s="120"/>
      <c r="IE67" s="120"/>
      <c r="IF67" s="120"/>
      <c r="IG67" s="120"/>
      <c r="IH67" s="120"/>
      <c r="II67" s="120"/>
      <c r="IJ67" s="120"/>
      <c r="IK67" s="120"/>
      <c r="IL67" s="120"/>
      <c r="IM67" s="120"/>
      <c r="IN67" s="120"/>
      <c r="IO67" s="120"/>
      <c r="IP67" s="393"/>
      <c r="IQ67" s="393"/>
    </row>
    <row r="68" spans="1:255" ht="15" customHeight="1" x14ac:dyDescent="0.2">
      <c r="A68" s="354" t="s">
        <v>352</v>
      </c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BO68" s="358">
        <f>((BO69/BM69)-1)*100</f>
        <v>-0.77600694851628349</v>
      </c>
      <c r="BP68" s="358">
        <f t="shared" ref="BP68:BZ68" si="599">((BP69/BO69)-1)*100</f>
        <v>7.5825035841292632E-2</v>
      </c>
      <c r="BQ68" s="358">
        <f t="shared" si="599"/>
        <v>0.28185905338125039</v>
      </c>
      <c r="BR68" s="358">
        <f t="shared" si="599"/>
        <v>4.7855910106986421E-2</v>
      </c>
      <c r="BS68" s="358">
        <f t="shared" si="599"/>
        <v>-0.29531889212929263</v>
      </c>
      <c r="BT68" s="358">
        <f t="shared" si="599"/>
        <v>0.8173031491823135</v>
      </c>
      <c r="BU68" s="358">
        <f t="shared" si="599"/>
        <v>0.96933284223978955</v>
      </c>
      <c r="BV68" s="358">
        <f t="shared" si="599"/>
        <v>0.84503326186518013</v>
      </c>
      <c r="BW68" s="358">
        <f t="shared" si="599"/>
        <v>0.51947405052708007</v>
      </c>
      <c r="BX68" s="358">
        <f t="shared" si="599"/>
        <v>-0.41469449210098652</v>
      </c>
      <c r="BY68" s="358">
        <f t="shared" si="599"/>
        <v>-0.4033339944458425</v>
      </c>
      <c r="BZ68" s="358">
        <f t="shared" si="599"/>
        <v>-0.10680569083812985</v>
      </c>
      <c r="CA68" s="358"/>
      <c r="CB68" s="358">
        <f>((CB69/BZ69)-1)*100</f>
        <v>3.00000000000189E-2</v>
      </c>
      <c r="CC68" s="358">
        <f t="shared" ref="CC68:CM68" si="600">((CC69/CB69)-1)*100</f>
        <v>0.19999999999988916</v>
      </c>
      <c r="CD68" s="358">
        <f t="shared" si="600"/>
        <v>0.38035266186156047</v>
      </c>
      <c r="CE68" s="358">
        <f t="shared" si="600"/>
        <v>6.1104582843696242E-2</v>
      </c>
      <c r="CF68" s="358">
        <f t="shared" si="600"/>
        <v>0.17850432168358132</v>
      </c>
      <c r="CG68" s="358">
        <f t="shared" si="600"/>
        <v>-0.15005158023071452</v>
      </c>
      <c r="CH68" s="358">
        <f t="shared" si="600"/>
        <v>9.8619329388549559E-2</v>
      </c>
      <c r="CI68" s="358">
        <f t="shared" si="600"/>
        <v>0.2111189303307448</v>
      </c>
      <c r="CJ68" s="358">
        <f t="shared" si="600"/>
        <v>0.34176029962549315</v>
      </c>
      <c r="CK68" s="358">
        <f t="shared" si="600"/>
        <v>0.48989875425742291</v>
      </c>
      <c r="CL68" s="358">
        <f t="shared" si="600"/>
        <v>-6.9644349521780224E-2</v>
      </c>
      <c r="CM68" s="358">
        <f t="shared" si="600"/>
        <v>-0.3112948938344906</v>
      </c>
      <c r="CN68" s="358"/>
      <c r="CO68" s="358">
        <f>((CO69/CM69)-1)*100</f>
        <v>-0.30999999999998806</v>
      </c>
      <c r="CP68" s="358">
        <f t="shared" ref="CP68:CX68" si="601">((CP69/CO69)-1)*100</f>
        <v>0.34999999999998366</v>
      </c>
      <c r="CQ68" s="358">
        <f t="shared" si="601"/>
        <v>0.69000000000001283</v>
      </c>
      <c r="CR68" s="358">
        <f t="shared" si="601"/>
        <v>-4.9999999999983391E-2</v>
      </c>
      <c r="CS68" s="358">
        <f t="shared" si="601"/>
        <v>0.37999999999998035</v>
      </c>
      <c r="CT68" s="358">
        <f t="shared" si="601"/>
        <v>0.25999999999999357</v>
      </c>
      <c r="CU68" s="358">
        <f t="shared" si="601"/>
        <v>-4.2299536598822129E-2</v>
      </c>
      <c r="CV68" s="358">
        <f t="shared" si="601"/>
        <v>0.23926474866931002</v>
      </c>
      <c r="CW68" s="358">
        <f t="shared" si="601"/>
        <v>0.21634954674387696</v>
      </c>
      <c r="CX68" s="358">
        <f t="shared" si="601"/>
        <v>1.9530980943494036E-2</v>
      </c>
      <c r="CY68" s="358">
        <f>((CY69/CX69)-1)*100</f>
        <v>0.71619945035816812</v>
      </c>
      <c r="CZ68" s="358">
        <f>((CZ69/CY69)-1)*100</f>
        <v>8.1921521308747636E-2</v>
      </c>
      <c r="DA68" s="358"/>
      <c r="DB68" s="358">
        <f>((DB69/CZ69)-1)*100</f>
        <v>3.053448358329991E-2</v>
      </c>
      <c r="DC68" s="358">
        <f t="shared" ref="DC68:DL68" si="602">((DC69/DB69)-1)*100</f>
        <v>0.23219235243348013</v>
      </c>
      <c r="DD68" s="358">
        <f t="shared" si="602"/>
        <v>-0.28672930868928193</v>
      </c>
      <c r="DE68" s="358">
        <f t="shared" si="602"/>
        <v>-0.66892865715068028</v>
      </c>
      <c r="DF68" s="358">
        <f t="shared" si="602"/>
        <v>-7.8050303420562628E-2</v>
      </c>
      <c r="DG68" s="358">
        <f t="shared" si="602"/>
        <v>0.55896268753112821</v>
      </c>
      <c r="DH68" s="358">
        <f t="shared" si="602"/>
        <v>-0.30043095942746678</v>
      </c>
      <c r="DI68" s="358">
        <f t="shared" si="602"/>
        <v>0.43162471284821091</v>
      </c>
      <c r="DJ68" s="358">
        <f t="shared" si="602"/>
        <v>0.78869387074389508</v>
      </c>
      <c r="DK68" s="358">
        <f t="shared" si="602"/>
        <v>0.45930640210378737</v>
      </c>
      <c r="DL68" s="358">
        <f t="shared" si="602"/>
        <v>0.22347258548029991</v>
      </c>
      <c r="DM68" s="358">
        <f>((DM69/DL69)-1)*100</f>
        <v>0.53272555389280996</v>
      </c>
      <c r="DN68" s="358"/>
      <c r="DO68" s="358">
        <f>((DO69/DM69)-1)*100</f>
        <v>3.1737347613192135E-2</v>
      </c>
      <c r="DP68" s="358">
        <f t="shared" ref="DP68:DZ68" si="603">((DP69/DO69)-1)*100</f>
        <v>-0.61843213831460631</v>
      </c>
      <c r="DQ68" s="358">
        <f t="shared" si="603"/>
        <v>0.39649345792385216</v>
      </c>
      <c r="DR68" s="358">
        <f t="shared" si="603"/>
        <v>-0.25290356996410246</v>
      </c>
      <c r="DS68" s="358">
        <f t="shared" si="603"/>
        <v>-0.13312826441995718</v>
      </c>
      <c r="DT68" s="358">
        <f t="shared" si="603"/>
        <v>-0.12688342585249757</v>
      </c>
      <c r="DU68" s="358">
        <f t="shared" si="603"/>
        <v>-0.10704403257981721</v>
      </c>
      <c r="DV68" s="358">
        <f t="shared" si="603"/>
        <v>0.18869062535811221</v>
      </c>
      <c r="DW68" s="358">
        <f t="shared" si="603"/>
        <v>0.21102217153214919</v>
      </c>
      <c r="DX68" s="358">
        <f t="shared" si="603"/>
        <v>-7.3444432088232148E-2</v>
      </c>
      <c r="DY68" s="358">
        <f t="shared" si="603"/>
        <v>-0.16134807921911465</v>
      </c>
      <c r="DZ68" s="358">
        <f t="shared" si="603"/>
        <v>6.1335741311441261E-2</v>
      </c>
      <c r="EA68" s="358"/>
      <c r="EB68" s="358">
        <f>((EB69/DZ69)-1)*100</f>
        <v>0.26357487057231399</v>
      </c>
      <c r="EC68" s="358">
        <f t="shared" ref="EC68:EI68" si="604">((EC69/EB69)-1)*100</f>
        <v>0.38205279946403881</v>
      </c>
      <c r="ED68" s="358">
        <f t="shared" si="604"/>
        <v>9.0167422404063835E-2</v>
      </c>
      <c r="EE68" s="358">
        <f t="shared" si="604"/>
        <v>-9.3202373189993359E-2</v>
      </c>
      <c r="EF68" s="358">
        <f t="shared" si="604"/>
        <v>0.70330936786742182</v>
      </c>
      <c r="EG68" s="358">
        <f t="shared" si="604"/>
        <v>0.28221574746070122</v>
      </c>
      <c r="EH68" s="358">
        <f t="shared" si="604"/>
        <v>7.206102002381698E-2</v>
      </c>
      <c r="EI68" s="358">
        <f t="shared" si="604"/>
        <v>0.13031818425597308</v>
      </c>
      <c r="EJ68" s="358">
        <f>((EJ69/EI69)-1)*100</f>
        <v>0.63274317403614333</v>
      </c>
      <c r="EK68" s="358">
        <f>((EK69/EJ69)-1)*100</f>
        <v>0.39157518161896387</v>
      </c>
      <c r="EL68" s="358">
        <f>((EL69/EK69)-1)*100</f>
        <v>0.47741438947532799</v>
      </c>
      <c r="EM68" s="358">
        <f>((EM69/EL69)-1)*100</f>
        <v>-0.13144839318965928</v>
      </c>
      <c r="EN68" s="358"/>
      <c r="EO68" s="358">
        <f>((EO69/EM69)-1)*100</f>
        <v>-0.33058723767540599</v>
      </c>
      <c r="EP68" s="358">
        <f t="shared" ref="EP68:EU68" si="605">((EP69/EO69)-1)*100</f>
        <v>-0.45074289343741691</v>
      </c>
      <c r="EQ68" s="358">
        <f t="shared" si="605"/>
        <v>3.241163410994119E-2</v>
      </c>
      <c r="ER68" s="358">
        <f t="shared" si="605"/>
        <v>0.27101016981727621</v>
      </c>
      <c r="ES68" s="358">
        <f t="shared" si="605"/>
        <v>0.18123261861293649</v>
      </c>
      <c r="ET68" s="358">
        <f t="shared" si="605"/>
        <v>-8.2237010864016913E-2</v>
      </c>
      <c r="EU68" s="358">
        <f t="shared" si="605"/>
        <v>4.2854836252903539E-2</v>
      </c>
      <c r="EV68" s="358">
        <f>((EV69/EU69)-1)*100</f>
        <v>0.30860030910426772</v>
      </c>
      <c r="EW68" s="358">
        <f>((EW69/EV69)-1)*100</f>
        <v>-1.1282458968520093E-2</v>
      </c>
      <c r="EX68" s="358">
        <f>((EX69/EW69)-1)*100</f>
        <v>0.12230891474160899</v>
      </c>
      <c r="EY68" s="358">
        <f>((EY69/EX69)-1)*100</f>
        <v>-0.13689328423007741</v>
      </c>
      <c r="EZ68" s="358">
        <f>((EZ69/EY69)-1)*100</f>
        <v>-3.833217719069193E-2</v>
      </c>
      <c r="FA68" s="358"/>
      <c r="FB68" s="358">
        <f>((FB69/EZ69)-1)*100</f>
        <v>-0.34848401419980135</v>
      </c>
      <c r="FC68" s="358">
        <f t="shared" ref="FC68:FI68" si="606">((FC69/FB69)-1)*100</f>
        <v>-0.14000000000000679</v>
      </c>
      <c r="FD68" s="358">
        <f t="shared" si="606"/>
        <v>0.27999999999999137</v>
      </c>
      <c r="FE68" s="358">
        <f t="shared" si="606"/>
        <v>-0.23000000000000798</v>
      </c>
      <c r="FF68" s="358">
        <f t="shared" si="606"/>
        <v>-0.12000000000000899</v>
      </c>
      <c r="FG68" s="358">
        <f t="shared" si="606"/>
        <v>-0.15000000000000568</v>
      </c>
      <c r="FH68" s="358">
        <f t="shared" si="606"/>
        <v>0.53000000000000824</v>
      </c>
      <c r="FI68" s="358">
        <f t="shared" si="606"/>
        <v>0.34000000000034003</v>
      </c>
      <c r="FJ68" s="358">
        <f>((FJ69/FI69)-1)*100</f>
        <v>0.11999999999927624</v>
      </c>
      <c r="FK68" s="358">
        <f>((FK69/FJ69)-1)*100</f>
        <v>0.25000000000037215</v>
      </c>
      <c r="FL68" s="358">
        <f>((FL69/FK69)-1)*100</f>
        <v>0.36000000000024901</v>
      </c>
      <c r="FM68" s="358">
        <f>((FM69/FL69)-1)*100</f>
        <v>0.64999999999955094</v>
      </c>
      <c r="FN68" s="358"/>
      <c r="FO68" s="358">
        <f>((FO69/FM69)-1)*100</f>
        <v>1.0700000000002374</v>
      </c>
      <c r="FP68" s="358">
        <f t="shared" ref="FP68:FZ68" si="607">((FP69/FO69)-1)*100</f>
        <v>1.0699999999999932</v>
      </c>
      <c r="FQ68" s="358">
        <f t="shared" si="607"/>
        <v>1.6100000000000003</v>
      </c>
      <c r="FR68" s="358">
        <f t="shared" si="607"/>
        <v>-9.9999999999988987E-3</v>
      </c>
      <c r="FS68" s="358">
        <f t="shared" si="607"/>
        <v>1.089999999999991</v>
      </c>
      <c r="FT68" s="358">
        <f t="shared" si="607"/>
        <v>1.8299999999996874</v>
      </c>
      <c r="FU68" s="358">
        <f t="shared" si="607"/>
        <v>1.5100000000002778</v>
      </c>
      <c r="FV68" s="358">
        <f t="shared" si="607"/>
        <v>1.8499999999999961</v>
      </c>
      <c r="FW68" s="358">
        <f t="shared" si="607"/>
        <v>1.1600000000000055</v>
      </c>
      <c r="FX68" s="358">
        <f t="shared" si="607"/>
        <v>0.9100000000000108</v>
      </c>
      <c r="FY68" s="358">
        <f t="shared" si="607"/>
        <v>0.37000000000000366</v>
      </c>
      <c r="FZ68" s="358">
        <f t="shared" si="607"/>
        <v>0.36000000000000476</v>
      </c>
      <c r="GA68" s="358"/>
      <c r="GB68" s="358">
        <f>((GB69/FZ69)-1)*100</f>
        <v>-0.26000000000001577</v>
      </c>
      <c r="GC68" s="358">
        <f>((GC69/GB69)-1)*100</f>
        <v>0.45999999999999375</v>
      </c>
      <c r="GD68" s="358">
        <f t="shared" ref="GD68:GK68" si="608">((GD69/GC69)-1)*100</f>
        <v>1.7700000000000049</v>
      </c>
      <c r="GE68" s="358">
        <f t="shared" si="608"/>
        <v>1.2999999999999901</v>
      </c>
      <c r="GF68" s="358">
        <f t="shared" si="608"/>
        <v>1.6899999999999915</v>
      </c>
      <c r="GG68" s="358">
        <f t="shared" si="608"/>
        <v>0.38000000000000256</v>
      </c>
      <c r="GH68" s="358">
        <f t="shared" si="608"/>
        <v>1.9600000000000062</v>
      </c>
      <c r="GI68" s="358">
        <f t="shared" si="608"/>
        <v>-0.27000000000001467</v>
      </c>
      <c r="GJ68" s="358">
        <f t="shared" si="608"/>
        <v>0.17000000000000348</v>
      </c>
      <c r="GK68" s="358">
        <f t="shared" si="608"/>
        <v>0.81999999999999851</v>
      </c>
      <c r="GL68" s="359">
        <f>((GL69/GK69)-1)*100</f>
        <v>-4.9999999999983391E-2</v>
      </c>
      <c r="GM68" s="359">
        <f>((GM69/GL69)-1)*100</f>
        <v>-1.1099999999999999</v>
      </c>
      <c r="GN68" s="359"/>
      <c r="GO68" s="358">
        <f>((GO69/GM69)-1)*100</f>
        <v>0.39000000000000146</v>
      </c>
      <c r="GP68" s="358">
        <f t="shared" ref="GP68:GZ68" si="609">((GP69/GO69)-1)*100</f>
        <v>0.81999999999999851</v>
      </c>
      <c r="GQ68" s="358">
        <f t="shared" si="609"/>
        <v>-0.51000000000001044</v>
      </c>
      <c r="GR68" s="358">
        <f t="shared" si="609"/>
        <v>-8.0000000000002292E-2</v>
      </c>
      <c r="GS68" s="358">
        <f t="shared" si="609"/>
        <v>-0.8399999999999852</v>
      </c>
      <c r="GT68" s="358">
        <f t="shared" si="609"/>
        <v>-0.74999999999999512</v>
      </c>
      <c r="GU68" s="358">
        <f t="shared" si="609"/>
        <v>-0.32999999999999696</v>
      </c>
      <c r="GV68" s="358">
        <f t="shared" si="609"/>
        <v>1.3100000000000112</v>
      </c>
      <c r="GW68" s="358">
        <f t="shared" si="609"/>
        <v>0.13000000000000789</v>
      </c>
      <c r="GX68" s="358">
        <f t="shared" si="609"/>
        <v>0.48999999999999044</v>
      </c>
      <c r="GY68" s="358">
        <f t="shared" si="609"/>
        <v>-0.9299999999999975</v>
      </c>
      <c r="GZ68" s="358">
        <f t="shared" si="609"/>
        <v>-0.71999999999999842</v>
      </c>
      <c r="HA68" s="358"/>
      <c r="HB68" s="358">
        <f>((HB69/GZ69)-1)*100</f>
        <v>-0.72999999999999732</v>
      </c>
      <c r="HC68" s="358">
        <f t="shared" ref="HC68:HM68" si="610">((HC69/HB69)-1)*100</f>
        <v>0.33000000000000806</v>
      </c>
      <c r="HD68" s="358">
        <f t="shared" si="610"/>
        <v>-0.40999999999998815</v>
      </c>
      <c r="HE68" s="358">
        <f t="shared" si="610"/>
        <v>-0.12999999999999678</v>
      </c>
      <c r="HF68" s="358">
        <f t="shared" si="610"/>
        <v>-0.20999999999999908</v>
      </c>
      <c r="HG68" s="358">
        <f t="shared" si="610"/>
        <v>-9.9999999999988987E-3</v>
      </c>
      <c r="HH68" s="358">
        <f t="shared" si="610"/>
        <v>0.62999999999999723</v>
      </c>
      <c r="HI68" s="358">
        <f t="shared" si="610"/>
        <v>-0.29999999999998916</v>
      </c>
      <c r="HJ68" s="358">
        <f t="shared" si="610"/>
        <v>-0.39000000000001256</v>
      </c>
      <c r="HK68" s="358">
        <f t="shared" si="610"/>
        <v>-0.18000000000000238</v>
      </c>
      <c r="HL68" s="358">
        <f t="shared" si="610"/>
        <v>0.32000000000000917</v>
      </c>
      <c r="HM68" s="358">
        <f t="shared" si="610"/>
        <v>-0.29000000000000137</v>
      </c>
      <c r="HN68" s="358"/>
      <c r="HO68" s="358">
        <f>((HO69/HM69)-1)*100</f>
        <v>9.9999999999988987E-2</v>
      </c>
      <c r="HP68" s="358">
        <f t="shared" ref="HP68:HW68" si="611">((HP69/HO69)-1)*100</f>
        <v>-0.36000000000000476</v>
      </c>
      <c r="HQ68" s="358">
        <f t="shared" si="611"/>
        <v>-0.15000000000000568</v>
      </c>
      <c r="HR68" s="358">
        <f t="shared" si="611"/>
        <v>0.19000000000000128</v>
      </c>
      <c r="HS68" s="358">
        <f t="shared" si="611"/>
        <v>-0.40000000000000036</v>
      </c>
      <c r="HT68" s="358">
        <f t="shared" si="611"/>
        <v>-0.33999999999999586</v>
      </c>
      <c r="HU68" s="358">
        <f t="shared" si="611"/>
        <v>-0.74000000000000732</v>
      </c>
      <c r="HV68" s="358">
        <f t="shared" si="611"/>
        <v>-0.75999999999999401</v>
      </c>
      <c r="HW68" s="358">
        <f t="shared" si="611"/>
        <v>-0.35000000000000586</v>
      </c>
      <c r="HX68" s="358">
        <f>((HX69/HW69)-1)*100</f>
        <v>-0.63000000000000833</v>
      </c>
      <c r="HY68" s="358">
        <f>((HY69/HX69)-1)*100</f>
        <v>-0.39000000000000146</v>
      </c>
      <c r="HZ68" s="358">
        <f>((HZ69/HY69)-1)*100</f>
        <v>-6.9999999999992291E-2</v>
      </c>
      <c r="IA68" s="358"/>
      <c r="IB68" s="358">
        <f>((IB69/HZ69)-1)*100</f>
        <v>6.9999999999859064E-2</v>
      </c>
      <c r="IC68" s="1610">
        <f t="shared" ref="IC68:II68" si="612">((IC69/IB69)-1)*100</f>
        <v>0.38000000000015799</v>
      </c>
      <c r="ID68" s="1611">
        <f t="shared" si="612"/>
        <v>3.1099999999999905</v>
      </c>
      <c r="IE68" s="1611">
        <f t="shared" si="612"/>
        <v>1.419999999999999</v>
      </c>
      <c r="IF68" s="1613">
        <f t="shared" si="612"/>
        <v>-0.43999999999999595</v>
      </c>
      <c r="IG68" s="1613">
        <f t="shared" si="612"/>
        <v>-0.95999999999997199</v>
      </c>
      <c r="IH68" s="1613">
        <f t="shared" si="612"/>
        <v>0.55000000000027249</v>
      </c>
      <c r="II68" s="1613">
        <f t="shared" si="612"/>
        <v>1.219999999999688</v>
      </c>
    </row>
    <row r="69" spans="1:255" ht="15" customHeight="1" x14ac:dyDescent="0.2">
      <c r="A69" s="1536" t="s">
        <v>302</v>
      </c>
      <c r="B69" s="1537">
        <v>103.3340852266025</v>
      </c>
      <c r="C69" s="1538">
        <v>104.49456889528352</v>
      </c>
      <c r="D69" s="1538">
        <v>105.34901169214186</v>
      </c>
      <c r="E69" s="1538">
        <v>105.64951008214622</v>
      </c>
      <c r="F69" s="1538">
        <v>106.90473710216291</v>
      </c>
      <c r="G69" s="1538">
        <v>108.71469563372538</v>
      </c>
      <c r="H69" s="1538">
        <v>109.90433774816657</v>
      </c>
      <c r="I69" s="1538">
        <v>111.43743022815431</v>
      </c>
      <c r="J69" s="1538">
        <v>112.81158402414808</v>
      </c>
      <c r="K69" s="1538">
        <v>113.16575685604862</v>
      </c>
      <c r="L69" s="1538">
        <v>113.01469994708543</v>
      </c>
      <c r="M69" s="1539">
        <v>112.10367369586885</v>
      </c>
      <c r="N69" s="1540"/>
      <c r="O69" s="1537">
        <v>110.41441603134632</v>
      </c>
      <c r="P69" s="1538">
        <v>108.70517415135956</v>
      </c>
      <c r="Q69" s="1538">
        <v>108.16369807004685</v>
      </c>
      <c r="R69" s="1538">
        <v>107.40155487337198</v>
      </c>
      <c r="S69" s="1538">
        <v>106.67042834450946</v>
      </c>
      <c r="T69" s="1538">
        <v>106.26558494227692</v>
      </c>
      <c r="U69" s="1538">
        <v>106.31915718478339</v>
      </c>
      <c r="V69" s="1538">
        <v>105.87219408270143</v>
      </c>
      <c r="W69" s="1538">
        <v>105.8094933455375</v>
      </c>
      <c r="X69" s="1538">
        <v>105.97946786970466</v>
      </c>
      <c r="Y69" s="1538">
        <v>105.90794862387742</v>
      </c>
      <c r="Z69" s="1539">
        <v>106.43855599772056</v>
      </c>
      <c r="AA69" s="1540"/>
      <c r="AB69" s="1537">
        <v>107.30665455280798</v>
      </c>
      <c r="AC69" s="1538">
        <v>107.37970057846782</v>
      </c>
      <c r="AD69" s="1538">
        <v>107.66072687923136</v>
      </c>
      <c r="AE69" s="1538">
        <v>107.91445295628694</v>
      </c>
      <c r="AF69" s="1538">
        <v>108.78453790614179</v>
      </c>
      <c r="AG69" s="1538">
        <v>108.9004506470795</v>
      </c>
      <c r="AH69" s="1538">
        <v>108.91407252705787</v>
      </c>
      <c r="AI69" s="1538">
        <v>109.31179697953843</v>
      </c>
      <c r="AJ69" s="1538">
        <v>109.55713875417746</v>
      </c>
      <c r="AK69" s="1538">
        <v>109.72815164672929</v>
      </c>
      <c r="AL69" s="1538">
        <v>110.70863395830406</v>
      </c>
      <c r="AM69" s="1539">
        <v>111.29997656613162</v>
      </c>
      <c r="AN69" s="1540"/>
      <c r="AO69" s="1537">
        <v>112.384214408372</v>
      </c>
      <c r="AP69" s="1538">
        <v>113.09828549654533</v>
      </c>
      <c r="AQ69" s="1538">
        <v>113.85224370784542</v>
      </c>
      <c r="AR69" s="1538">
        <v>115.11639369446513</v>
      </c>
      <c r="AS69" s="1538">
        <v>115.46281574723764</v>
      </c>
      <c r="AT69" s="1538">
        <v>115.81516536461176</v>
      </c>
      <c r="AU69" s="1538">
        <v>116.18433327491996</v>
      </c>
      <c r="AV69" s="1538">
        <v>116.70066322463322</v>
      </c>
      <c r="AW69" s="1538">
        <v>117.48379060980618</v>
      </c>
      <c r="AX69" s="1538">
        <v>117.73562797438393</v>
      </c>
      <c r="AY69" s="1538">
        <v>118.22886820231662</v>
      </c>
      <c r="AZ69" s="1539">
        <v>118.26928721397971</v>
      </c>
      <c r="BA69" s="1540"/>
      <c r="BB69" s="1537">
        <v>117.65587687826842</v>
      </c>
      <c r="BC69" s="1538">
        <v>117.80654757517335</v>
      </c>
      <c r="BD69" s="1538">
        <v>118.5226146569518</v>
      </c>
      <c r="BE69" s="1538">
        <v>118.66307614300121</v>
      </c>
      <c r="BF69" s="1538">
        <v>118.26491861354893</v>
      </c>
      <c r="BG69" s="1538">
        <v>118.18359104949975</v>
      </c>
      <c r="BH69" s="1538">
        <v>117.19081036827485</v>
      </c>
      <c r="BI69" s="1538">
        <v>117.47175592587421</v>
      </c>
      <c r="BJ69" s="1538">
        <v>117.94336884318255</v>
      </c>
      <c r="BK69" s="1538">
        <v>117.97209025950835</v>
      </c>
      <c r="BL69" s="1538">
        <v>117.70604774440227</v>
      </c>
      <c r="BM69" s="1539">
        <v>117.56979280781768</v>
      </c>
      <c r="BN69" s="1540"/>
      <c r="BO69" s="1537">
        <v>116.65744304627282</v>
      </c>
      <c r="BP69" s="1538">
        <v>116.74589859427418</v>
      </c>
      <c r="BQ69" s="1538">
        <v>117.07495747891343</v>
      </c>
      <c r="BR69" s="1538">
        <v>117.13098476532234</v>
      </c>
      <c r="BS69" s="1538">
        <v>116.78507483877326</v>
      </c>
      <c r="BT69" s="1538">
        <v>117.73956293320546</v>
      </c>
      <c r="BU69" s="1538">
        <v>118.8808511850266</v>
      </c>
      <c r="BV69" s="1538">
        <v>119.88543391952852</v>
      </c>
      <c r="BW69" s="1538">
        <v>120.50820763910227</v>
      </c>
      <c r="BX69" s="1538">
        <v>120.00846673949329</v>
      </c>
      <c r="BY69" s="1538">
        <v>119.52443179691967</v>
      </c>
      <c r="BZ69" s="1539">
        <v>119.39677290181862</v>
      </c>
      <c r="CA69" s="1540"/>
      <c r="CB69" s="1537">
        <v>119.43259193368918</v>
      </c>
      <c r="CC69" s="1538">
        <v>119.67145711755643</v>
      </c>
      <c r="CD69" s="1538">
        <v>120.12663069019156</v>
      </c>
      <c r="CE69" s="1538">
        <v>120.20003356675899</v>
      </c>
      <c r="CF69" s="1538">
        <v>120.41459582134078</v>
      </c>
      <c r="CG69" s="1538">
        <v>120.23391181748244</v>
      </c>
      <c r="CH69" s="1538">
        <v>120.35248569501447</v>
      </c>
      <c r="CI69" s="1538">
        <v>120.60657257544025</v>
      </c>
      <c r="CJ69" s="1538">
        <v>121.01875795924211</v>
      </c>
      <c r="CK69" s="1538">
        <v>121.61162734690225</v>
      </c>
      <c r="CL69" s="1538">
        <v>121.52693172009366</v>
      </c>
      <c r="CM69" s="1539">
        <v>121.14862458701528</v>
      </c>
      <c r="CN69" s="1540"/>
      <c r="CO69" s="1537">
        <v>120.77306385079554</v>
      </c>
      <c r="CP69" s="1538">
        <v>121.19576957427331</v>
      </c>
      <c r="CQ69" s="1538">
        <v>122.03202038433581</v>
      </c>
      <c r="CR69" s="1538">
        <v>121.97100437414366</v>
      </c>
      <c r="CS69" s="1538">
        <v>122.43449419076539</v>
      </c>
      <c r="CT69" s="1538">
        <v>122.75282387566138</v>
      </c>
      <c r="CU69" s="1538">
        <v>122.7009</v>
      </c>
      <c r="CV69" s="1538">
        <v>122.99448</v>
      </c>
      <c r="CW69" s="1538">
        <v>123.260578</v>
      </c>
      <c r="CX69" s="1538">
        <v>123.28465200000001</v>
      </c>
      <c r="CY69" s="1538">
        <v>124.167616</v>
      </c>
      <c r="CZ69" s="1539">
        <v>124.269336</v>
      </c>
      <c r="DA69" s="1540"/>
      <c r="DB69" s="1537">
        <v>124.30728099999999</v>
      </c>
      <c r="DC69" s="1538">
        <v>124.595913</v>
      </c>
      <c r="DD69" s="1538">
        <v>124.23866</v>
      </c>
      <c r="DE69" s="1538">
        <v>123.40759199999999</v>
      </c>
      <c r="DF69" s="1538">
        <v>123.31127199999999</v>
      </c>
      <c r="DG69" s="1538">
        <v>124.000536</v>
      </c>
      <c r="DH69" s="1538">
        <v>123.628</v>
      </c>
      <c r="DI69" s="1538">
        <v>124.161609</v>
      </c>
      <c r="DJ69" s="1538">
        <v>125.14086399999999</v>
      </c>
      <c r="DK69" s="1538">
        <v>125.715644</v>
      </c>
      <c r="DL69" s="1538">
        <v>125.996584</v>
      </c>
      <c r="DM69" s="1539">
        <v>126.66780000000001</v>
      </c>
      <c r="DN69" s="1540"/>
      <c r="DO69" s="1537">
        <v>126.708001</v>
      </c>
      <c r="DP69" s="1538">
        <v>125.924398</v>
      </c>
      <c r="DQ69" s="1538">
        <v>126.42368</v>
      </c>
      <c r="DR69" s="1538">
        <v>126.10395000000001</v>
      </c>
      <c r="DS69" s="1538">
        <v>125.93607</v>
      </c>
      <c r="DT69" s="1538">
        <v>125.776278</v>
      </c>
      <c r="DU69" s="1538">
        <v>125.641642</v>
      </c>
      <c r="DV69" s="1538">
        <v>125.878716</v>
      </c>
      <c r="DW69" s="1538">
        <v>126.14434799999999</v>
      </c>
      <c r="DX69" s="1538">
        <v>126.05170199999999</v>
      </c>
      <c r="DY69" s="1538">
        <v>125.84831999999999</v>
      </c>
      <c r="DZ69" s="1539">
        <v>125.92550999999999</v>
      </c>
      <c r="EA69" s="1540"/>
      <c r="EB69" s="1537">
        <v>126.257418</v>
      </c>
      <c r="EC69" s="1538">
        <v>126.739788</v>
      </c>
      <c r="ED69" s="1538">
        <v>126.85406599999999</v>
      </c>
      <c r="EE69" s="1538">
        <v>126.73583499999999</v>
      </c>
      <c r="EF69" s="1538">
        <v>127.62718</v>
      </c>
      <c r="EG69" s="1538">
        <v>127.987364</v>
      </c>
      <c r="EH69" s="1538">
        <v>128.07959299999999</v>
      </c>
      <c r="EI69" s="1538">
        <v>128.24650400000002</v>
      </c>
      <c r="EJ69" s="1538">
        <v>129.057975</v>
      </c>
      <c r="EK69" s="1538">
        <v>129.563334</v>
      </c>
      <c r="EL69" s="1538">
        <v>130.18188799999999</v>
      </c>
      <c r="EM69" s="1539">
        <v>130.01076600000002</v>
      </c>
      <c r="EN69" s="1540"/>
      <c r="EO69" s="1537">
        <v>129.58096699999999</v>
      </c>
      <c r="EP69" s="1538">
        <v>128.99689000000001</v>
      </c>
      <c r="EQ69" s="1538">
        <v>129.03870000000001</v>
      </c>
      <c r="ER69" s="1538">
        <v>129.388408</v>
      </c>
      <c r="ES69" s="1538">
        <v>129.62290199999998</v>
      </c>
      <c r="ET69" s="1538">
        <v>129.51630399999999</v>
      </c>
      <c r="EU69" s="1538">
        <v>129.571808</v>
      </c>
      <c r="EV69" s="1538">
        <v>129.971667</v>
      </c>
      <c r="EW69" s="1538">
        <v>129.95700300000001</v>
      </c>
      <c r="EX69" s="1538">
        <v>130.11595200000002</v>
      </c>
      <c r="EY69" s="1538">
        <v>129.93783199999999</v>
      </c>
      <c r="EZ69" s="1539">
        <v>129.888024</v>
      </c>
      <c r="FA69" s="1540"/>
      <c r="FB69" s="1537">
        <v>129.435385</v>
      </c>
      <c r="FC69" s="1538">
        <v>129.25417546099999</v>
      </c>
      <c r="FD69" s="1538">
        <v>129.61608715229079</v>
      </c>
      <c r="FE69" s="1538">
        <v>129.31797015184051</v>
      </c>
      <c r="FF69" s="1538">
        <v>129.1627885876583</v>
      </c>
      <c r="FG69" s="1538">
        <v>128.96904440477681</v>
      </c>
      <c r="FH69" s="1538">
        <v>129.65258034012214</v>
      </c>
      <c r="FI69" s="1538">
        <v>130.09339911327899</v>
      </c>
      <c r="FJ69" s="1538">
        <v>130.24951119221399</v>
      </c>
      <c r="FK69" s="1538">
        <v>130.57513497019499</v>
      </c>
      <c r="FL69" s="1538">
        <v>131.04520545608801</v>
      </c>
      <c r="FM69" s="1539">
        <v>131.89699929155199</v>
      </c>
      <c r="FN69" s="1540" t="s">
        <v>29</v>
      </c>
      <c r="FO69" s="1537">
        <v>133.30829718397192</v>
      </c>
      <c r="FP69" s="1538">
        <v>134.73469596384041</v>
      </c>
      <c r="FQ69" s="1538">
        <v>136.90392456885823</v>
      </c>
      <c r="FR69" s="1538">
        <v>136.89023417640135</v>
      </c>
      <c r="FS69" s="1538">
        <v>138.38233772892411</v>
      </c>
      <c r="FT69" s="1538">
        <v>140.914734509363</v>
      </c>
      <c r="FU69" s="1538">
        <v>143.04254700045479</v>
      </c>
      <c r="FV69" s="1538">
        <v>145.68883411996319</v>
      </c>
      <c r="FW69" s="1538">
        <v>147.37882459575476</v>
      </c>
      <c r="FX69" s="1538">
        <v>148.71997189957614</v>
      </c>
      <c r="FY69" s="1538">
        <v>149.27023579560458</v>
      </c>
      <c r="FZ69" s="1539">
        <v>149.80760864446876</v>
      </c>
      <c r="GA69" s="1540" t="s">
        <v>29</v>
      </c>
      <c r="GB69" s="1537">
        <v>149.41810886199312</v>
      </c>
      <c r="GC69" s="1538">
        <v>150.10543216275829</v>
      </c>
      <c r="GD69" s="1538">
        <v>152.76229831203912</v>
      </c>
      <c r="GE69" s="1538">
        <v>154.74820819009562</v>
      </c>
      <c r="GF69" s="1538">
        <v>157.36345290850824</v>
      </c>
      <c r="GG69" s="1538">
        <v>157.96143402956056</v>
      </c>
      <c r="GH69" s="1538">
        <v>161.05747813653997</v>
      </c>
      <c r="GI69" s="1538">
        <v>160.62262294557129</v>
      </c>
      <c r="GJ69" s="1538">
        <v>160.89568140457877</v>
      </c>
      <c r="GK69" s="1538">
        <v>162.21502599209632</v>
      </c>
      <c r="GL69" s="1538">
        <v>162.13391847910029</v>
      </c>
      <c r="GM69" s="1539">
        <v>160.33423198398228</v>
      </c>
      <c r="GN69" s="1540" t="s">
        <v>29</v>
      </c>
      <c r="GO69" s="1537">
        <v>160.95953548871981</v>
      </c>
      <c r="GP69" s="1538">
        <v>162.2794036797273</v>
      </c>
      <c r="GQ69" s="1538">
        <v>161.45177872096068</v>
      </c>
      <c r="GR69" s="1538">
        <v>161.3226172979839</v>
      </c>
      <c r="GS69" s="1538">
        <v>159.96750731268085</v>
      </c>
      <c r="GT69" s="1538">
        <v>158.76775100783576</v>
      </c>
      <c r="GU69" s="1538">
        <v>158.2438174295099</v>
      </c>
      <c r="GV69" s="1538">
        <v>160.31681143783649</v>
      </c>
      <c r="GW69" s="1538">
        <v>160.5252232927057</v>
      </c>
      <c r="GX69" s="1538">
        <v>161.31179688683994</v>
      </c>
      <c r="GY69" s="1538">
        <v>159.81159717579234</v>
      </c>
      <c r="GZ69" s="1539">
        <v>158.66095367612664</v>
      </c>
      <c r="HA69" s="1540" t="s">
        <v>29</v>
      </c>
      <c r="HB69" s="1537">
        <v>157.50272871429092</v>
      </c>
      <c r="HC69" s="1538">
        <v>158.02248771904809</v>
      </c>
      <c r="HD69" s="1538">
        <v>157.3745955194</v>
      </c>
      <c r="HE69" s="1538">
        <v>157.17000854522479</v>
      </c>
      <c r="HF69" s="1538">
        <v>156.83995152727982</v>
      </c>
      <c r="HG69" s="1538">
        <v>156.8242675321271</v>
      </c>
      <c r="HH69" s="1538">
        <v>157.81226041757949</v>
      </c>
      <c r="HI69" s="1538">
        <v>157.33882363632677</v>
      </c>
      <c r="HJ69" s="1538">
        <v>156.72520222414508</v>
      </c>
      <c r="HK69" s="1538">
        <v>156.44309686014162</v>
      </c>
      <c r="HL69" s="1538">
        <v>156.94371477009409</v>
      </c>
      <c r="HM69" s="1539">
        <v>156.48857799726082</v>
      </c>
      <c r="HN69" s="1540" t="s">
        <v>29</v>
      </c>
      <c r="HO69" s="1537">
        <v>156.64506657525806</v>
      </c>
      <c r="HP69" s="1538">
        <v>156.08114433558711</v>
      </c>
      <c r="HQ69" s="1538">
        <v>155.84702261908373</v>
      </c>
      <c r="HR69" s="1538">
        <v>156.14313196205998</v>
      </c>
      <c r="HS69" s="1538">
        <v>155.51855943421174</v>
      </c>
      <c r="HT69" s="1538">
        <v>154.98979633213543</v>
      </c>
      <c r="HU69" s="1538">
        <v>153.84287183927762</v>
      </c>
      <c r="HV69" s="1538">
        <v>152.67366601329911</v>
      </c>
      <c r="HW69" s="1538">
        <v>152.13930818225256</v>
      </c>
      <c r="HX69" s="1538">
        <v>151.18083054070436</v>
      </c>
      <c r="HY69" s="1538">
        <v>150.59122530159561</v>
      </c>
      <c r="HZ69" s="1539">
        <v>150.4858114438845</v>
      </c>
      <c r="IA69" s="1541" t="s">
        <v>29</v>
      </c>
      <c r="IB69" s="1666">
        <v>150.59115151189499</v>
      </c>
      <c r="IC69" s="1665">
        <v>151.16339788764043</v>
      </c>
      <c r="ID69" s="1665">
        <v>155.86457956194604</v>
      </c>
      <c r="IE69" s="1665">
        <v>158.07785659172566</v>
      </c>
      <c r="IF69" s="1338">
        <v>157.38231402272208</v>
      </c>
      <c r="IG69" s="1338">
        <v>155.871443808104</v>
      </c>
      <c r="IH69" s="1607">
        <v>156.72873674904901</v>
      </c>
      <c r="II69" s="1609">
        <v>158.64082733738692</v>
      </c>
      <c r="IJ69" s="1338"/>
      <c r="IK69" s="1338"/>
      <c r="IL69" s="1338"/>
      <c r="IM69" s="1339"/>
      <c r="IN69" s="1320" t="s">
        <v>29</v>
      </c>
      <c r="IO69" s="120"/>
      <c r="IP69" s="1543"/>
      <c r="IQ69" s="1544"/>
      <c r="IR69" s="1545"/>
      <c r="IS69" s="1546"/>
    </row>
    <row r="70" spans="1:255" ht="15" customHeight="1" x14ac:dyDescent="0.2">
      <c r="A70" s="1547" t="s">
        <v>444</v>
      </c>
      <c r="B70" s="395">
        <f t="shared" ref="B70:M70" si="613">+B11/B69*100</f>
        <v>1926.7601736967172</v>
      </c>
      <c r="C70" s="396">
        <f t="shared" si="613"/>
        <v>4326.5406497160639</v>
      </c>
      <c r="D70" s="396">
        <f t="shared" si="613"/>
        <v>3155.2265622705809</v>
      </c>
      <c r="E70" s="396">
        <f t="shared" si="613"/>
        <v>3198.3110923777199</v>
      </c>
      <c r="F70" s="396">
        <f t="shared" si="613"/>
        <v>2938.1298576117547</v>
      </c>
      <c r="G70" s="396">
        <f t="shared" si="613"/>
        <v>2932.4462359171812</v>
      </c>
      <c r="H70" s="396">
        <f t="shared" si="613"/>
        <v>3255.5584914205888</v>
      </c>
      <c r="I70" s="396">
        <f t="shared" si="613"/>
        <v>3549.0768154852708</v>
      </c>
      <c r="J70" s="396">
        <f t="shared" si="613"/>
        <v>3044.9000691850183</v>
      </c>
      <c r="K70" s="396">
        <f t="shared" si="613"/>
        <v>3640.6772812387103</v>
      </c>
      <c r="L70" s="396">
        <f t="shared" si="613"/>
        <v>3753.494016252881</v>
      </c>
      <c r="M70" s="396">
        <f t="shared" si="613"/>
        <v>3251.4545508015076</v>
      </c>
      <c r="N70" s="398">
        <f>SUM(B70:M70)</f>
        <v>38972.575795974</v>
      </c>
      <c r="O70" s="395">
        <f t="shared" ref="O70:Z70" si="614">+O11/O69*100</f>
        <v>1608.4856161316825</v>
      </c>
      <c r="P70" s="396">
        <f t="shared" si="614"/>
        <v>3204.079315626982</v>
      </c>
      <c r="Q70" s="396">
        <f t="shared" si="614"/>
        <v>4311.9827476493929</v>
      </c>
      <c r="R70" s="396">
        <f t="shared" si="614"/>
        <v>3322.112053411819</v>
      </c>
      <c r="S70" s="396">
        <f t="shared" si="614"/>
        <v>3271.7596190093836</v>
      </c>
      <c r="T70" s="396">
        <f t="shared" si="614"/>
        <v>3521.3658326283535</v>
      </c>
      <c r="U70" s="396">
        <f t="shared" si="614"/>
        <v>3992.69530760309</v>
      </c>
      <c r="V70" s="396">
        <f t="shared" si="614"/>
        <v>4700.0064966189593</v>
      </c>
      <c r="W70" s="396">
        <f t="shared" si="614"/>
        <v>3463.7723744044097</v>
      </c>
      <c r="X70" s="396">
        <f t="shared" si="614"/>
        <v>3757.331566238498</v>
      </c>
      <c r="Y70" s="396">
        <f t="shared" si="614"/>
        <v>3691.8853124858592</v>
      </c>
      <c r="Z70" s="396">
        <f t="shared" si="614"/>
        <v>3746.7625923874857</v>
      </c>
      <c r="AA70" s="398">
        <f>SUM(O70:Z70)</f>
        <v>42592.238834195916</v>
      </c>
      <c r="AB70" s="395">
        <f t="shared" ref="AB70:AM70" si="615">+AB11/AB69*100</f>
        <v>2249.6274905411547</v>
      </c>
      <c r="AC70" s="396">
        <f t="shared" si="615"/>
        <v>3366.5580929407929</v>
      </c>
      <c r="AD70" s="396">
        <f t="shared" si="615"/>
        <v>3867.7056348235283</v>
      </c>
      <c r="AE70" s="396">
        <f t="shared" si="615"/>
        <v>4763.032067708361</v>
      </c>
      <c r="AF70" s="396">
        <f t="shared" si="615"/>
        <v>4974.0524748733651</v>
      </c>
      <c r="AG70" s="396">
        <f t="shared" si="615"/>
        <v>5431.5661366444756</v>
      </c>
      <c r="AH70" s="396">
        <f t="shared" si="615"/>
        <v>4925.9015621394165</v>
      </c>
      <c r="AI70" s="396">
        <f t="shared" si="615"/>
        <v>6421.0818904695661</v>
      </c>
      <c r="AJ70" s="396">
        <f t="shared" si="615"/>
        <v>6658.6258850447011</v>
      </c>
      <c r="AK70" s="396">
        <f t="shared" si="615"/>
        <v>5234.7550868193393</v>
      </c>
      <c r="AL70" s="396">
        <f t="shared" si="615"/>
        <v>7577.5481098967675</v>
      </c>
      <c r="AM70" s="396">
        <f t="shared" si="615"/>
        <v>8786.1653719123351</v>
      </c>
      <c r="AN70" s="398">
        <f>SUM(AB70:AM70)</f>
        <v>64256.619803813795</v>
      </c>
      <c r="AO70" s="395">
        <f t="shared" ref="AO70:AZ70" si="616">+AO11/AO69*100</f>
        <v>1197.6771000142617</v>
      </c>
      <c r="AP70" s="396">
        <f t="shared" si="616"/>
        <v>5854.2001507195646</v>
      </c>
      <c r="AQ70" s="396">
        <f t="shared" si="616"/>
        <v>4450.5051766940624</v>
      </c>
      <c r="AR70" s="396">
        <f t="shared" si="616"/>
        <v>78.181740333937555</v>
      </c>
      <c r="AS70" s="396">
        <f t="shared" si="616"/>
        <v>6282.5420920618299</v>
      </c>
      <c r="AT70" s="396">
        <f t="shared" si="616"/>
        <v>6456.8400662016938</v>
      </c>
      <c r="AU70" s="396">
        <f t="shared" si="616"/>
        <v>5056.619799244656</v>
      </c>
      <c r="AV70" s="396">
        <f t="shared" si="616"/>
        <v>5111.3676950731378</v>
      </c>
      <c r="AW70" s="396">
        <f t="shared" si="616"/>
        <v>7339.735937393436</v>
      </c>
      <c r="AX70" s="396">
        <f t="shared" si="616"/>
        <v>5914.9470044149912</v>
      </c>
      <c r="AY70" s="396">
        <f t="shared" si="616"/>
        <v>7939.6852416253341</v>
      </c>
      <c r="AZ70" s="396">
        <f t="shared" si="616"/>
        <v>9127.4753186506096</v>
      </c>
      <c r="BA70" s="398">
        <f>SUM(AO70:AZ70)</f>
        <v>64809.777322427515</v>
      </c>
      <c r="BB70" s="395">
        <f t="shared" ref="BB70:BM70" si="617">+BB11/BB69*100</f>
        <v>1825.6631602197047</v>
      </c>
      <c r="BC70" s="396">
        <f t="shared" si="617"/>
        <v>3520.1778554403049</v>
      </c>
      <c r="BD70" s="396">
        <f t="shared" si="617"/>
        <v>6766.6411369786601</v>
      </c>
      <c r="BE70" s="396">
        <f t="shared" si="617"/>
        <v>4704.0749165082461</v>
      </c>
      <c r="BF70" s="396">
        <f t="shared" si="617"/>
        <v>5362.5369842121836</v>
      </c>
      <c r="BG70" s="396">
        <f t="shared" si="617"/>
        <v>5321.3817114136673</v>
      </c>
      <c r="BH70" s="396">
        <f t="shared" si="617"/>
        <v>5001.2453891065952</v>
      </c>
      <c r="BI70" s="396">
        <f t="shared" si="617"/>
        <v>7082.5535333361313</v>
      </c>
      <c r="BJ70" s="396">
        <f t="shared" si="617"/>
        <v>6264.0232108539149</v>
      </c>
      <c r="BK70" s="396">
        <f t="shared" si="617"/>
        <v>8348.5848036893512</v>
      </c>
      <c r="BL70" s="396">
        <f t="shared" si="617"/>
        <v>9200.8866218303901</v>
      </c>
      <c r="BM70" s="396">
        <f t="shared" si="617"/>
        <v>15308.353931881084</v>
      </c>
      <c r="BN70" s="398">
        <f>SUM(BB70:BM70)</f>
        <v>78706.123255470229</v>
      </c>
      <c r="BO70" s="395">
        <f t="shared" ref="BO70:BZ70" si="618">+BO11/BO69*100</f>
        <v>1889.2922238367348</v>
      </c>
      <c r="BP70" s="396">
        <f t="shared" si="618"/>
        <v>3565.8640261681749</v>
      </c>
      <c r="BQ70" s="396">
        <f t="shared" si="618"/>
        <v>5614.3518148907924</v>
      </c>
      <c r="BR70" s="396">
        <f t="shared" si="618"/>
        <v>6164.8931019128941</v>
      </c>
      <c r="BS70" s="396">
        <f t="shared" si="618"/>
        <v>6761.9942110771799</v>
      </c>
      <c r="BT70" s="396">
        <f t="shared" si="618"/>
        <v>7954.8452250611817</v>
      </c>
      <c r="BU70" s="396">
        <f t="shared" si="618"/>
        <v>6195.2786563894015</v>
      </c>
      <c r="BV70" s="396">
        <f t="shared" si="618"/>
        <v>8212.0068119437456</v>
      </c>
      <c r="BW70" s="396">
        <f t="shared" si="618"/>
        <v>8410.2155351544825</v>
      </c>
      <c r="BX70" s="396">
        <f t="shared" si="618"/>
        <v>5709.5971527358015</v>
      </c>
      <c r="BY70" s="396">
        <f t="shared" si="618"/>
        <v>11527.350344078422</v>
      </c>
      <c r="BZ70" s="396">
        <f t="shared" si="618"/>
        <v>18544.889834005506</v>
      </c>
      <c r="CA70" s="398">
        <f>SUM(BO70:BZ70)</f>
        <v>90550.578937254322</v>
      </c>
      <c r="CB70" s="395">
        <f t="shared" ref="CB70:CM70" si="619">+CB11/CB69*100</f>
        <v>2163.5635283161873</v>
      </c>
      <c r="CC70" s="396">
        <f t="shared" si="619"/>
        <v>6094.185009242341</v>
      </c>
      <c r="CD70" s="396">
        <f t="shared" si="619"/>
        <v>6413.2323996239738</v>
      </c>
      <c r="CE70" s="396">
        <f t="shared" si="619"/>
        <v>6554.9066553496514</v>
      </c>
      <c r="CF70" s="396">
        <f t="shared" si="619"/>
        <v>9263.8271331746873</v>
      </c>
      <c r="CG70" s="396">
        <f t="shared" si="619"/>
        <v>9365.9100246978815</v>
      </c>
      <c r="CH70" s="396">
        <f t="shared" si="619"/>
        <v>8295.6325682383322</v>
      </c>
      <c r="CI70" s="396">
        <f t="shared" si="619"/>
        <v>7978.8354767985356</v>
      </c>
      <c r="CJ70" s="396">
        <f t="shared" si="619"/>
        <v>11325.516995155447</v>
      </c>
      <c r="CK70" s="396">
        <f t="shared" si="619"/>
        <v>9139.7510603932624</v>
      </c>
      <c r="CL70" s="396">
        <f t="shared" si="619"/>
        <v>13371.521661904324</v>
      </c>
      <c r="CM70" s="396">
        <f t="shared" si="619"/>
        <v>19405.090301388118</v>
      </c>
      <c r="CN70" s="398">
        <f>SUM(CB70:CM70)</f>
        <v>109371.97281428274</v>
      </c>
      <c r="CO70" s="395">
        <f t="shared" ref="CO70:CZ70" si="620">+CO11/CO69*100</f>
        <v>2688.5133956785116</v>
      </c>
      <c r="CP70" s="396">
        <f t="shared" si="620"/>
        <v>5432.5328541810841</v>
      </c>
      <c r="CQ70" s="396">
        <f t="shared" si="620"/>
        <v>8366.6565282160718</v>
      </c>
      <c r="CR70" s="396">
        <f t="shared" si="620"/>
        <v>11056.726202427553</v>
      </c>
      <c r="CS70" s="396">
        <f t="shared" si="620"/>
        <v>9562.6645720917058</v>
      </c>
      <c r="CT70" s="396">
        <f t="shared" si="620"/>
        <v>20052.491847302015</v>
      </c>
      <c r="CU70" s="396">
        <f t="shared" si="620"/>
        <v>12968.935028186428</v>
      </c>
      <c r="CV70" s="396">
        <f t="shared" si="620"/>
        <v>32924.241803371988</v>
      </c>
      <c r="CW70" s="396">
        <f t="shared" si="620"/>
        <v>15411.253385490372</v>
      </c>
      <c r="CX70" s="396">
        <f t="shared" si="620"/>
        <v>16229.919682135289</v>
      </c>
      <c r="CY70" s="396">
        <f t="shared" si="620"/>
        <v>20435.280000865929</v>
      </c>
      <c r="CZ70" s="396">
        <f t="shared" si="620"/>
        <v>28700.563749692843</v>
      </c>
      <c r="DA70" s="398">
        <f>SUM(CO70:CZ70)</f>
        <v>183829.77904963979</v>
      </c>
      <c r="DB70" s="395">
        <f t="shared" ref="DB70:DM70" si="621">+DB11/DB69*100+DB37</f>
        <v>2532.9605405745374</v>
      </c>
      <c r="DC70" s="396">
        <f t="shared" si="621"/>
        <v>5815.3280172988625</v>
      </c>
      <c r="DD70" s="396">
        <f t="shared" si="621"/>
        <v>14145.891634749309</v>
      </c>
      <c r="DE70" s="396">
        <f t="shared" si="621"/>
        <v>13838.415412725399</v>
      </c>
      <c r="DF70" s="396">
        <f t="shared" si="621"/>
        <v>13223.979567059852</v>
      </c>
      <c r="DG70" s="396">
        <f t="shared" si="621"/>
        <v>11598.876484559087</v>
      </c>
      <c r="DH70" s="396">
        <f t="shared" si="621"/>
        <v>11938.772226197345</v>
      </c>
      <c r="DI70" s="396">
        <f t="shared" si="621"/>
        <v>12663.075699048306</v>
      </c>
      <c r="DJ70" s="396">
        <f t="shared" si="621"/>
        <v>14046.327287680917</v>
      </c>
      <c r="DK70" s="396">
        <f t="shared" si="621"/>
        <v>11693.620324287407</v>
      </c>
      <c r="DL70" s="396">
        <f t="shared" si="621"/>
        <v>13822.373858610139</v>
      </c>
      <c r="DM70" s="396">
        <f t="shared" si="621"/>
        <v>42972.826360823507</v>
      </c>
      <c r="DN70" s="398">
        <f>SUM(DB70:DM70)</f>
        <v>168292.44741361466</v>
      </c>
      <c r="DO70" s="395">
        <f t="shared" ref="DO70:DZ70" si="622">+DO11/DO69*100</f>
        <v>3148.1831995755342</v>
      </c>
      <c r="DP70" s="396">
        <f t="shared" si="622"/>
        <v>7201.1461988486144</v>
      </c>
      <c r="DQ70" s="396">
        <f t="shared" si="622"/>
        <v>10254.408034950415</v>
      </c>
      <c r="DR70" s="396">
        <f t="shared" si="622"/>
        <v>12050.375900199795</v>
      </c>
      <c r="DS70" s="396">
        <f t="shared" si="622"/>
        <v>13302.781323889176</v>
      </c>
      <c r="DT70" s="396">
        <f t="shared" si="622"/>
        <v>13481.874539171846</v>
      </c>
      <c r="DU70" s="396">
        <f t="shared" si="622"/>
        <v>12212.511517479214</v>
      </c>
      <c r="DV70" s="396">
        <f t="shared" si="622"/>
        <v>13783.108496276685</v>
      </c>
      <c r="DW70" s="396">
        <f t="shared" si="622"/>
        <v>12817.062560741922</v>
      </c>
      <c r="DX70" s="396">
        <f t="shared" si="622"/>
        <v>13147.779630932711</v>
      </c>
      <c r="DY70" s="396">
        <f t="shared" si="622"/>
        <v>17285.888282020769</v>
      </c>
      <c r="DZ70" s="396">
        <f t="shared" si="622"/>
        <v>34461.643236545169</v>
      </c>
      <c r="EA70" s="398">
        <f>SUM(DO70:DZ70)</f>
        <v>163146.76292063185</v>
      </c>
      <c r="EB70" s="395">
        <f t="shared" ref="EB70:EM70" si="623">+EB11/EB69*100</f>
        <v>3823.1417024542666</v>
      </c>
      <c r="EC70" s="396">
        <f t="shared" si="623"/>
        <v>7868.8785561168843</v>
      </c>
      <c r="ED70" s="396">
        <f t="shared" si="623"/>
        <v>9486.4913514084765</v>
      </c>
      <c r="EE70" s="396">
        <f t="shared" si="623"/>
        <v>10152.61389961253</v>
      </c>
      <c r="EF70" s="396">
        <f t="shared" si="623"/>
        <v>10769.649537034353</v>
      </c>
      <c r="EG70" s="396">
        <f t="shared" si="623"/>
        <v>16296.92131170074</v>
      </c>
      <c r="EH70" s="396">
        <f t="shared" si="623"/>
        <v>14750.203024146089</v>
      </c>
      <c r="EI70" s="396">
        <f t="shared" si="623"/>
        <v>15473.326274843328</v>
      </c>
      <c r="EJ70" s="396">
        <f t="shared" si="623"/>
        <v>17138.034282654753</v>
      </c>
      <c r="EK70" s="396">
        <f t="shared" si="623"/>
        <v>24863.515784488842</v>
      </c>
      <c r="EL70" s="396">
        <f t="shared" si="623"/>
        <v>21128.131126812357</v>
      </c>
      <c r="EM70" s="396">
        <f t="shared" si="623"/>
        <v>43000.28506869961</v>
      </c>
      <c r="EN70" s="398">
        <f>SUM(EB70:EM70)</f>
        <v>194751.19191997225</v>
      </c>
      <c r="EO70" s="395">
        <f t="shared" ref="EO70:EZ70" si="624">+EO11/EO69*100</f>
        <v>4551.5943711085292</v>
      </c>
      <c r="EP70" s="396">
        <f t="shared" si="624"/>
        <v>5121.8289061077367</v>
      </c>
      <c r="EQ70" s="396">
        <f t="shared" si="624"/>
        <v>8900.4306459999989</v>
      </c>
      <c r="ER70" s="396">
        <f t="shared" si="624"/>
        <v>10064.270981678668</v>
      </c>
      <c r="ES70" s="396">
        <f t="shared" si="624"/>
        <v>12419.873148650848</v>
      </c>
      <c r="ET70" s="396">
        <f t="shared" si="624"/>
        <v>12427.006873204165</v>
      </c>
      <c r="EU70" s="396">
        <f t="shared" si="624"/>
        <v>13070.744524920114</v>
      </c>
      <c r="EV70" s="396">
        <f t="shared" si="624"/>
        <v>47273.379974421659</v>
      </c>
      <c r="EW70" s="396">
        <f t="shared" si="624"/>
        <v>17889.763124192697</v>
      </c>
      <c r="EX70" s="396">
        <f t="shared" si="624"/>
        <v>19662.462293631757</v>
      </c>
      <c r="EY70" s="396">
        <f t="shared" si="624"/>
        <v>19747.135691782209</v>
      </c>
      <c r="EZ70" s="396">
        <f t="shared" si="624"/>
        <v>40880.597275080574</v>
      </c>
      <c r="FA70" s="398">
        <f>SUM(EO70:EZ70)</f>
        <v>212009.0878107789</v>
      </c>
      <c r="FB70" s="395">
        <f t="shared" ref="FB70:FM70" si="625">+FB11/FB69*100</f>
        <v>5829.9359174463771</v>
      </c>
      <c r="FC70" s="396">
        <f t="shared" si="625"/>
        <v>8889.4613725394811</v>
      </c>
      <c r="FD70" s="396">
        <f t="shared" si="625"/>
        <v>14025.265227024491</v>
      </c>
      <c r="FE70" s="396">
        <f t="shared" si="625"/>
        <v>13119.599681373851</v>
      </c>
      <c r="FF70" s="396">
        <f t="shared" si="625"/>
        <v>14451.53066460162</v>
      </c>
      <c r="FG70" s="396">
        <f t="shared" si="625"/>
        <v>16760.611121655624</v>
      </c>
      <c r="FH70" s="396">
        <f t="shared" si="625"/>
        <v>23653.983530098332</v>
      </c>
      <c r="FI70" s="396">
        <f t="shared" si="625"/>
        <v>17874.850037357814</v>
      </c>
      <c r="FJ70" s="396">
        <f t="shared" si="625"/>
        <v>22770.143034343215</v>
      </c>
      <c r="FK70" s="396">
        <f t="shared" si="625"/>
        <v>23091.685876397889</v>
      </c>
      <c r="FL70" s="396">
        <f t="shared" si="625"/>
        <v>23809.341128817683</v>
      </c>
      <c r="FM70" s="396">
        <f t="shared" si="625"/>
        <v>72109.297793624472</v>
      </c>
      <c r="FN70" s="398">
        <f>SUM(FB70:FM70)</f>
        <v>256385.70538528083</v>
      </c>
      <c r="FO70" s="395">
        <f t="shared" ref="FO70:FZ70" si="626">+FO11/FO69*100</f>
        <v>6472.9654359709966</v>
      </c>
      <c r="FP70" s="396">
        <f t="shared" si="626"/>
        <v>16034.474153411828</v>
      </c>
      <c r="FQ70" s="396">
        <f t="shared" si="626"/>
        <v>21306.182486630569</v>
      </c>
      <c r="FR70" s="396">
        <f t="shared" si="626"/>
        <v>25020.776833402895</v>
      </c>
      <c r="FS70" s="396">
        <f t="shared" si="626"/>
        <v>27309.120961685472</v>
      </c>
      <c r="FT70" s="396">
        <f t="shared" si="626"/>
        <v>26347.138309750797</v>
      </c>
      <c r="FU70" s="396">
        <f t="shared" si="626"/>
        <v>27112.21298364933</v>
      </c>
      <c r="FV70" s="396">
        <f t="shared" si="626"/>
        <v>24315.521648577629</v>
      </c>
      <c r="FW70" s="396">
        <f t="shared" si="626"/>
        <v>23677.757029014312</v>
      </c>
      <c r="FX70" s="396">
        <f t="shared" si="626"/>
        <v>25938.009204337362</v>
      </c>
      <c r="FY70" s="396">
        <f t="shared" si="626"/>
        <v>21946.103203626495</v>
      </c>
      <c r="FZ70" s="396">
        <f t="shared" si="626"/>
        <v>55278.901218251041</v>
      </c>
      <c r="GA70" s="398">
        <f>SUM(FO70:FZ70)</f>
        <v>300759.16346830875</v>
      </c>
      <c r="GB70" s="395">
        <f t="shared" ref="GB70:GM70" si="627">+GB11/GB69*100</f>
        <v>15294.665535559474</v>
      </c>
      <c r="GC70" s="396">
        <f t="shared" si="627"/>
        <v>17217.231666857686</v>
      </c>
      <c r="GD70" s="396">
        <f t="shared" si="627"/>
        <v>25243.139456589954</v>
      </c>
      <c r="GE70" s="396">
        <f t="shared" si="627"/>
        <v>24727.911519979167</v>
      </c>
      <c r="GF70" s="396">
        <f t="shared" si="627"/>
        <v>26361.902483239846</v>
      </c>
      <c r="GG70" s="396">
        <f t="shared" si="627"/>
        <v>29336.274568973608</v>
      </c>
      <c r="GH70" s="396">
        <f t="shared" si="627"/>
        <v>27448.585754286869</v>
      </c>
      <c r="GI70" s="396">
        <f t="shared" si="627"/>
        <v>28845.874354635856</v>
      </c>
      <c r="GJ70" s="396">
        <f t="shared" si="627"/>
        <v>23521.451706859178</v>
      </c>
      <c r="GK70" s="396">
        <f t="shared" si="627"/>
        <v>23163.698782029467</v>
      </c>
      <c r="GL70" s="396">
        <f t="shared" si="627"/>
        <v>29492.903427338017</v>
      </c>
      <c r="GM70" s="396">
        <f t="shared" si="627"/>
        <v>57236.685431697471</v>
      </c>
      <c r="GN70" s="398">
        <f>SUM(GB70:GM70)</f>
        <v>327890.32468804659</v>
      </c>
      <c r="GO70" s="395">
        <f t="shared" ref="GO70:GZ70" si="628">+GO11/GO69*100</f>
        <v>10555.447956788292</v>
      </c>
      <c r="GP70" s="396">
        <f t="shared" si="628"/>
        <v>16866.588968997617</v>
      </c>
      <c r="GQ70" s="396">
        <f t="shared" si="628"/>
        <v>22623.473268218608</v>
      </c>
      <c r="GR70" s="396">
        <f t="shared" si="628"/>
        <v>19521.131337604183</v>
      </c>
      <c r="GS70" s="396">
        <f t="shared" si="628"/>
        <v>25531.434905820028</v>
      </c>
      <c r="GT70" s="396">
        <f t="shared" si="628"/>
        <v>24862.731725696496</v>
      </c>
      <c r="GU70" s="396">
        <f t="shared" si="628"/>
        <v>28001.725893486135</v>
      </c>
      <c r="GV70" s="396">
        <f t="shared" si="628"/>
        <v>29702.437051315781</v>
      </c>
      <c r="GW70" s="396">
        <f t="shared" si="628"/>
        <v>25958.537322211276</v>
      </c>
      <c r="GX70" s="396">
        <f t="shared" si="628"/>
        <v>28211.203940604428</v>
      </c>
      <c r="GY70" s="396">
        <f t="shared" si="628"/>
        <v>34865.429658843372</v>
      </c>
      <c r="GZ70" s="396">
        <f t="shared" si="628"/>
        <v>54380.739558722642</v>
      </c>
      <c r="HA70" s="398">
        <f>SUM(GO70:GZ70)</f>
        <v>321080.8815883089</v>
      </c>
      <c r="HB70" s="395">
        <f t="shared" ref="HB70:HM70" si="629">+HB11/HB69*100</f>
        <v>2667.8902862834871</v>
      </c>
      <c r="HC70" s="396">
        <f t="shared" si="629"/>
        <v>7331.2350458608435</v>
      </c>
      <c r="HD70" s="396">
        <f t="shared" si="629"/>
        <v>9816.7051352932995</v>
      </c>
      <c r="HE70" s="396">
        <f t="shared" si="629"/>
        <v>13794.616543372786</v>
      </c>
      <c r="HF70" s="396">
        <f t="shared" si="629"/>
        <v>16349.150678958213</v>
      </c>
      <c r="HG70" s="396">
        <f t="shared" si="629"/>
        <v>16811.173688153245</v>
      </c>
      <c r="HH70" s="396">
        <f t="shared" si="629"/>
        <v>15481.053205469774</v>
      </c>
      <c r="HI70" s="396">
        <f t="shared" si="629"/>
        <v>17905.942950939509</v>
      </c>
      <c r="HJ70" s="396">
        <f t="shared" si="629"/>
        <v>17174.008786095106</v>
      </c>
      <c r="HK70" s="396">
        <f t="shared" si="629"/>
        <v>17575.719575905045</v>
      </c>
      <c r="HL70" s="396">
        <f t="shared" si="629"/>
        <v>19749.755538414429</v>
      </c>
      <c r="HM70" s="396">
        <f t="shared" si="629"/>
        <v>35157.837526623211</v>
      </c>
      <c r="HN70" s="398">
        <f>SUM(HB70:HL70)</f>
        <v>154657.25143474573</v>
      </c>
      <c r="HO70" s="395">
        <f t="shared" ref="HO70:HZ70" si="630">+HO11/HO69*100</f>
        <v>2588.6547777435612</v>
      </c>
      <c r="HP70" s="396">
        <f t="shared" si="630"/>
        <v>8238.0226354275419</v>
      </c>
      <c r="HQ70" s="396">
        <f t="shared" si="630"/>
        <v>11955.313413679858</v>
      </c>
      <c r="HR70" s="396">
        <f t="shared" si="630"/>
        <v>15609.396131443174</v>
      </c>
      <c r="HS70" s="396">
        <f t="shared" si="630"/>
        <v>17873.750953665971</v>
      </c>
      <c r="HT70" s="396">
        <f t="shared" si="630"/>
        <v>14843.557798281949</v>
      </c>
      <c r="HU70" s="396">
        <f t="shared" si="630"/>
        <v>14804.715829664496</v>
      </c>
      <c r="HV70" s="396">
        <f t="shared" si="630"/>
        <v>20170.472619238411</v>
      </c>
      <c r="HW70" s="396">
        <f t="shared" si="630"/>
        <v>20484.515390767025</v>
      </c>
      <c r="HX70" s="396">
        <f t="shared" si="630"/>
        <v>23812.542814617795</v>
      </c>
      <c r="HY70" s="396">
        <f t="shared" si="630"/>
        <v>19278.015662505139</v>
      </c>
      <c r="HZ70" s="396">
        <f t="shared" si="630"/>
        <v>42518.294174105147</v>
      </c>
      <c r="IA70" s="395">
        <f>SUM(HO70:HY70)</f>
        <v>169658.95802703494</v>
      </c>
      <c r="IB70" s="1347">
        <f t="shared" ref="IB70:IG70" si="631">+IB11/IB69*100</f>
        <v>1442.3158188204948</v>
      </c>
      <c r="IC70" s="1348">
        <f t="shared" si="631"/>
        <v>12102.797539387579</v>
      </c>
      <c r="ID70" s="1348">
        <f t="shared" si="631"/>
        <v>18413.420214304442</v>
      </c>
      <c r="IE70" s="1348">
        <f t="shared" si="631"/>
        <v>16819.560040385637</v>
      </c>
      <c r="IF70" s="1348">
        <f t="shared" si="631"/>
        <v>24715.61067172014</v>
      </c>
      <c r="IG70" s="1348">
        <f t="shared" si="631"/>
        <v>20658.049488296245</v>
      </c>
      <c r="IH70" s="1348">
        <f>+IH11/IH69*100</f>
        <v>20346.619682809061</v>
      </c>
      <c r="II70" s="1348">
        <f t="shared" ref="II70" si="632">+II11/II69*100</f>
        <v>21894.742093175046</v>
      </c>
      <c r="IJ70" s="1348"/>
      <c r="IK70" s="1348"/>
      <c r="IL70" s="1348"/>
      <c r="IM70" s="1349"/>
      <c r="IN70" s="399">
        <f>SUM(IB70:IM70)</f>
        <v>136393.11554889864</v>
      </c>
      <c r="IO70" s="120"/>
      <c r="IP70" s="372">
        <f>IFERROR(((
_xlfn.XLOOKUP((DATE(YEAR($IP$5),MONTH($IP$5),1)),SMN.GGN.DATE,$B70:$IN70) /
_xlfn.XLOOKUP((DATE(YEAR($IP$5)-1,MONTH($IP$5),1)),SMN.GGN.DATE,$B70:$IN70)
)-1)*100,"")</f>
        <v>8.5484832531491648</v>
      </c>
      <c r="IQ70" s="351">
        <f>IFERROR(((IS70/IR70)-1)*100,"-")</f>
        <v>28.571004568690526</v>
      </c>
      <c r="IR70" s="352">
        <f>SUMIFS($B70:$IN70,$B$5:$IN$5,"&gt;="&amp;DATE(YEAR($IP$5)-1,1,1),$B$5:$IN$5,"&lt;="&amp;DATE(YEAR($IP$5)-1,MONTH($IP$5),1))</f>
        <v>106083.88415914496</v>
      </c>
      <c r="IS70" s="350">
        <f>SUMIFS($B70:$IN70,$B$5:$IN$5,"&gt;="&amp;DATE(YEAR($IP$5),1,1),$B$5:$IN$5,"&lt;="&amp;$IP$5)</f>
        <v>136393.11554889864</v>
      </c>
    </row>
    <row r="71" spans="1:255" ht="15" customHeight="1" x14ac:dyDescent="0.2">
      <c r="A71" s="355" t="s">
        <v>352</v>
      </c>
      <c r="C71" s="355"/>
      <c r="D71" s="355"/>
      <c r="E71" s="355"/>
      <c r="F71" s="355"/>
      <c r="G71" s="355"/>
      <c r="H71" s="355"/>
      <c r="I71" s="355"/>
      <c r="J71" s="355"/>
      <c r="K71" s="355"/>
      <c r="L71" s="355"/>
      <c r="M71" s="355"/>
      <c r="N71" s="355"/>
      <c r="GM71" s="316"/>
      <c r="GN71" s="316"/>
      <c r="GO71" s="316"/>
      <c r="GP71" s="316"/>
      <c r="GQ71" s="316"/>
      <c r="GR71" s="316"/>
      <c r="GS71" s="316"/>
      <c r="GT71" s="316"/>
      <c r="GU71" s="316"/>
      <c r="GV71" s="316"/>
      <c r="GW71" s="316"/>
      <c r="GX71" s="316"/>
      <c r="GY71" s="316"/>
      <c r="GZ71" s="316"/>
      <c r="HA71" s="316"/>
      <c r="HB71" s="316"/>
      <c r="HC71" s="316"/>
      <c r="HD71" s="316"/>
      <c r="HE71" s="316"/>
      <c r="HF71" s="316"/>
      <c r="HG71" s="316"/>
      <c r="HH71" s="316"/>
      <c r="HI71" s="316"/>
      <c r="HJ71" s="316"/>
      <c r="HK71" s="316"/>
      <c r="HL71" s="316"/>
      <c r="HM71" s="316"/>
      <c r="HN71" s="316"/>
      <c r="HO71" s="316"/>
      <c r="HP71" s="316"/>
      <c r="HQ71" s="316"/>
      <c r="HR71" s="316"/>
      <c r="HS71" s="316"/>
      <c r="HT71" s="316"/>
      <c r="HU71" s="316"/>
      <c r="HV71" s="316"/>
      <c r="HW71" s="316"/>
      <c r="HX71" s="316"/>
      <c r="HY71" s="316"/>
      <c r="HZ71" s="316"/>
      <c r="IA71" s="316"/>
    </row>
    <row r="72" spans="1:255" ht="15" customHeight="1" x14ac:dyDescent="0.2">
      <c r="A72" s="317" t="s">
        <v>352</v>
      </c>
      <c r="GM72" s="316"/>
      <c r="GN72" s="316"/>
      <c r="GO72" s="316"/>
      <c r="GP72" s="316"/>
      <c r="GQ72" s="316"/>
      <c r="GR72" s="316"/>
      <c r="GS72" s="316"/>
      <c r="GT72" s="316"/>
      <c r="GU72" s="316"/>
      <c r="GV72" s="316"/>
      <c r="GW72" s="316"/>
      <c r="GX72" s="316"/>
      <c r="GY72" s="316"/>
      <c r="GZ72" s="316"/>
      <c r="HA72" s="316"/>
      <c r="HB72" s="316"/>
      <c r="HC72" s="316"/>
      <c r="HD72" s="316"/>
      <c r="HE72" s="316"/>
      <c r="HF72" s="316"/>
      <c r="HG72" s="316"/>
      <c r="HH72" s="316"/>
      <c r="HI72" s="316"/>
      <c r="HJ72" s="316"/>
      <c r="HK72" s="316"/>
      <c r="HL72" s="316"/>
      <c r="HM72" s="316"/>
      <c r="HN72" s="316"/>
      <c r="HO72" s="316"/>
      <c r="HP72" s="316"/>
      <c r="HQ72" s="316"/>
      <c r="HR72" s="316"/>
      <c r="HS72" s="316"/>
      <c r="HT72" s="316"/>
      <c r="HU72" s="316"/>
      <c r="HV72" s="316"/>
      <c r="HW72" s="316"/>
      <c r="HX72" s="316"/>
      <c r="HY72" s="316"/>
      <c r="HZ72" s="316"/>
      <c r="IA72" s="316"/>
    </row>
    <row r="73" spans="1:255" ht="15" customHeight="1" x14ac:dyDescent="0.2">
      <c r="A73" s="1015" t="s">
        <v>352</v>
      </c>
      <c r="B73" s="744"/>
      <c r="C73" s="744"/>
      <c r="D73" s="744"/>
      <c r="E73" s="744"/>
      <c r="F73" s="744"/>
      <c r="G73" s="744"/>
      <c r="H73" s="744"/>
      <c r="I73" s="744"/>
      <c r="J73" s="744"/>
      <c r="K73" s="744"/>
      <c r="L73" s="744"/>
      <c r="M73" s="744"/>
      <c r="N73" s="744"/>
      <c r="O73" s="744"/>
      <c r="P73" s="744"/>
      <c r="Q73" s="744"/>
      <c r="R73" s="744"/>
      <c r="S73" s="744"/>
      <c r="T73" s="744"/>
      <c r="U73" s="744"/>
      <c r="V73" s="744"/>
      <c r="W73" s="744"/>
      <c r="X73" s="744"/>
      <c r="Y73" s="744"/>
      <c r="Z73" s="744"/>
      <c r="AA73" s="744"/>
      <c r="AB73" s="744"/>
      <c r="AC73" s="744"/>
      <c r="AD73" s="744"/>
      <c r="AE73" s="744"/>
      <c r="AF73" s="744"/>
      <c r="AG73" s="744"/>
      <c r="AH73" s="744"/>
      <c r="AI73" s="744"/>
      <c r="AJ73" s="744"/>
      <c r="AK73" s="744"/>
      <c r="AL73" s="744"/>
      <c r="AM73" s="744"/>
      <c r="AN73" s="744"/>
      <c r="AO73" s="744"/>
      <c r="AP73" s="744"/>
      <c r="AQ73" s="744"/>
      <c r="AR73" s="744"/>
      <c r="AS73" s="744"/>
      <c r="AT73" s="744"/>
      <c r="AU73" s="744"/>
      <c r="AV73" s="744"/>
      <c r="AW73" s="744"/>
      <c r="AX73" s="744"/>
      <c r="AY73" s="744"/>
      <c r="AZ73" s="744"/>
      <c r="BA73" s="1015"/>
      <c r="BB73" s="632" t="s">
        <v>0</v>
      </c>
      <c r="BC73" s="633" t="s">
        <v>1</v>
      </c>
      <c r="BD73" s="633" t="s">
        <v>2</v>
      </c>
      <c r="BE73" s="633" t="s">
        <v>3</v>
      </c>
      <c r="BF73" s="633" t="s">
        <v>4</v>
      </c>
      <c r="BG73" s="633" t="s">
        <v>5</v>
      </c>
      <c r="BH73" s="633" t="s">
        <v>6</v>
      </c>
      <c r="BI73" s="633" t="s">
        <v>7</v>
      </c>
      <c r="BJ73" s="633" t="s">
        <v>8</v>
      </c>
      <c r="BK73" s="633" t="s">
        <v>9</v>
      </c>
      <c r="BL73" s="633" t="s">
        <v>179</v>
      </c>
      <c r="BM73" s="633" t="s">
        <v>190</v>
      </c>
      <c r="BN73" s="643">
        <v>2012</v>
      </c>
      <c r="BO73" s="630" t="s">
        <v>0</v>
      </c>
      <c r="BP73" s="630" t="s">
        <v>1</v>
      </c>
      <c r="BQ73" s="630" t="s">
        <v>2</v>
      </c>
      <c r="BR73" s="630" t="s">
        <v>3</v>
      </c>
      <c r="BS73" s="630" t="s">
        <v>4</v>
      </c>
      <c r="BT73" s="630" t="s">
        <v>5</v>
      </c>
      <c r="BU73" s="630" t="s">
        <v>6</v>
      </c>
      <c r="BV73" s="630" t="s">
        <v>7</v>
      </c>
      <c r="BW73" s="630" t="s">
        <v>8</v>
      </c>
      <c r="BX73" s="630" t="s">
        <v>9</v>
      </c>
      <c r="BY73" s="630" t="s">
        <v>10</v>
      </c>
      <c r="BZ73" s="630" t="s">
        <v>11</v>
      </c>
      <c r="CA73" s="643">
        <v>2013</v>
      </c>
      <c r="CB73" s="630" t="s">
        <v>0</v>
      </c>
      <c r="CC73" s="630" t="s">
        <v>1</v>
      </c>
      <c r="CD73" s="630" t="s">
        <v>2</v>
      </c>
      <c r="CE73" s="630" t="s">
        <v>3</v>
      </c>
      <c r="CF73" s="630" t="s">
        <v>4</v>
      </c>
      <c r="CG73" s="630" t="s">
        <v>5</v>
      </c>
      <c r="CH73" s="630" t="s">
        <v>6</v>
      </c>
      <c r="CI73" s="630" t="s">
        <v>7</v>
      </c>
      <c r="CJ73" s="630" t="s">
        <v>8</v>
      </c>
      <c r="CK73" s="630" t="s">
        <v>9</v>
      </c>
      <c r="CL73" s="630" t="s">
        <v>10</v>
      </c>
      <c r="CM73" s="630" t="s">
        <v>11</v>
      </c>
      <c r="CN73" s="631">
        <v>2014</v>
      </c>
      <c r="CO73" s="632">
        <f t="shared" ref="CO73:CX73" si="633">CO5</f>
        <v>42005</v>
      </c>
      <c r="CP73" s="633">
        <f t="shared" si="633"/>
        <v>42036</v>
      </c>
      <c r="CQ73" s="633">
        <f t="shared" si="633"/>
        <v>42064</v>
      </c>
      <c r="CR73" s="633">
        <f t="shared" si="633"/>
        <v>42095</v>
      </c>
      <c r="CS73" s="633">
        <f t="shared" si="633"/>
        <v>42125</v>
      </c>
      <c r="CT73" s="633">
        <f t="shared" si="633"/>
        <v>42156</v>
      </c>
      <c r="CU73" s="633">
        <f t="shared" si="633"/>
        <v>42186</v>
      </c>
      <c r="CV73" s="633">
        <f t="shared" si="633"/>
        <v>42217</v>
      </c>
      <c r="CW73" s="633">
        <f t="shared" si="633"/>
        <v>42248</v>
      </c>
      <c r="CX73" s="633">
        <f t="shared" si="633"/>
        <v>42278</v>
      </c>
      <c r="CY73" s="633" t="s">
        <v>10</v>
      </c>
      <c r="CZ73" s="634" t="s">
        <v>11</v>
      </c>
      <c r="DA73" s="634">
        <v>2015</v>
      </c>
      <c r="DB73" s="632" t="s">
        <v>0</v>
      </c>
      <c r="DC73" s="633" t="s">
        <v>1</v>
      </c>
      <c r="DD73" s="633" t="s">
        <v>2</v>
      </c>
      <c r="DE73" s="633" t="s">
        <v>3</v>
      </c>
      <c r="DF73" s="633" t="s">
        <v>4</v>
      </c>
      <c r="DG73" s="633" t="s">
        <v>5</v>
      </c>
      <c r="DH73" s="633" t="s">
        <v>6</v>
      </c>
      <c r="DI73" s="633" t="s">
        <v>7</v>
      </c>
      <c r="DJ73" s="633" t="s">
        <v>8</v>
      </c>
      <c r="DK73" s="633" t="s">
        <v>9</v>
      </c>
      <c r="DL73" s="633" t="s">
        <v>10</v>
      </c>
      <c r="DM73" s="633" t="s">
        <v>11</v>
      </c>
      <c r="DN73" s="632">
        <v>2016</v>
      </c>
      <c r="DO73" s="632" t="s">
        <v>0</v>
      </c>
      <c r="DP73" s="633" t="s">
        <v>1</v>
      </c>
      <c r="DQ73" s="633" t="s">
        <v>2</v>
      </c>
      <c r="DR73" s="633" t="s">
        <v>3</v>
      </c>
      <c r="DS73" s="633" t="s">
        <v>4</v>
      </c>
      <c r="DT73" s="633" t="s">
        <v>5</v>
      </c>
      <c r="DU73" s="633" t="s">
        <v>6</v>
      </c>
      <c r="DV73" s="633" t="s">
        <v>7</v>
      </c>
      <c r="DW73" s="633" t="s">
        <v>8</v>
      </c>
      <c r="DX73" s="633" t="s">
        <v>9</v>
      </c>
      <c r="DY73" s="633" t="s">
        <v>10</v>
      </c>
      <c r="DZ73" s="633" t="s">
        <v>11</v>
      </c>
      <c r="EA73" s="632">
        <v>2017</v>
      </c>
      <c r="EB73" s="632" t="s">
        <v>0</v>
      </c>
      <c r="EC73" s="633" t="s">
        <v>1</v>
      </c>
      <c r="ED73" s="633" t="s">
        <v>2</v>
      </c>
      <c r="EE73" s="633" t="s">
        <v>3</v>
      </c>
      <c r="EF73" s="633" t="s">
        <v>4</v>
      </c>
      <c r="EG73" s="633" t="s">
        <v>5</v>
      </c>
      <c r="EH73" s="633" t="s">
        <v>6</v>
      </c>
      <c r="EI73" s="633" t="s">
        <v>7</v>
      </c>
      <c r="EJ73" s="633" t="s">
        <v>8</v>
      </c>
      <c r="EK73" s="633" t="s">
        <v>9</v>
      </c>
      <c r="EL73" s="633" t="s">
        <v>10</v>
      </c>
      <c r="EM73" s="633" t="s">
        <v>11</v>
      </c>
      <c r="EN73" s="631">
        <v>2018</v>
      </c>
      <c r="EO73" s="630" t="s">
        <v>0</v>
      </c>
      <c r="EP73" s="630" t="s">
        <v>1</v>
      </c>
      <c r="EQ73" s="630" t="s">
        <v>2</v>
      </c>
      <c r="ER73" s="630" t="s">
        <v>3</v>
      </c>
      <c r="ES73" s="630" t="s">
        <v>4</v>
      </c>
      <c r="ET73" s="630" t="s">
        <v>5</v>
      </c>
      <c r="EU73" s="630" t="s">
        <v>6</v>
      </c>
      <c r="EV73" s="630" t="s">
        <v>7</v>
      </c>
      <c r="EW73" s="630" t="s">
        <v>8</v>
      </c>
      <c r="EX73" s="630" t="s">
        <v>9</v>
      </c>
      <c r="EY73" s="630" t="s">
        <v>10</v>
      </c>
      <c r="EZ73" s="630" t="s">
        <v>11</v>
      </c>
      <c r="FA73" s="631">
        <v>2019</v>
      </c>
      <c r="FB73" s="630" t="s">
        <v>0</v>
      </c>
      <c r="FC73" s="630" t="s">
        <v>1</v>
      </c>
      <c r="FD73" s="630" t="s">
        <v>2</v>
      </c>
      <c r="FE73" s="630" t="s">
        <v>3</v>
      </c>
      <c r="FF73" s="630" t="s">
        <v>4</v>
      </c>
      <c r="FG73" s="630" t="s">
        <v>5</v>
      </c>
      <c r="FH73" s="630" t="s">
        <v>6</v>
      </c>
      <c r="FI73" s="630" t="s">
        <v>7</v>
      </c>
      <c r="FJ73" s="630" t="s">
        <v>8</v>
      </c>
      <c r="FK73" s="630" t="s">
        <v>9</v>
      </c>
      <c r="FL73" s="630" t="s">
        <v>10</v>
      </c>
      <c r="FM73" s="630" t="s">
        <v>190</v>
      </c>
      <c r="FN73" s="631">
        <v>2020</v>
      </c>
      <c r="FO73" s="630" t="s">
        <v>0</v>
      </c>
      <c r="FP73" s="630" t="s">
        <v>1</v>
      </c>
      <c r="FQ73" s="630" t="s">
        <v>2</v>
      </c>
      <c r="FR73" s="630" t="s">
        <v>3</v>
      </c>
      <c r="FS73" s="630" t="s">
        <v>4</v>
      </c>
      <c r="FT73" s="630" t="s">
        <v>5</v>
      </c>
      <c r="FU73" s="630" t="s">
        <v>6</v>
      </c>
      <c r="FV73" s="630" t="s">
        <v>7</v>
      </c>
      <c r="FW73" s="630" t="s">
        <v>8</v>
      </c>
      <c r="FX73" s="630" t="s">
        <v>205</v>
      </c>
      <c r="FY73" s="630" t="s">
        <v>10</v>
      </c>
      <c r="FZ73" s="635" t="s">
        <v>11</v>
      </c>
      <c r="GA73" s="635">
        <v>2021</v>
      </c>
      <c r="GB73" s="630" t="s">
        <v>0</v>
      </c>
      <c r="GC73" s="630" t="s">
        <v>1</v>
      </c>
      <c r="GD73" s="630" t="s">
        <v>2</v>
      </c>
      <c r="GE73" s="630" t="s">
        <v>3</v>
      </c>
      <c r="GF73" s="630" t="s">
        <v>4</v>
      </c>
      <c r="GG73" s="630" t="s">
        <v>5</v>
      </c>
      <c r="GH73" s="630" t="s">
        <v>6</v>
      </c>
      <c r="GI73" s="630" t="s">
        <v>7</v>
      </c>
      <c r="GJ73" s="630" t="s">
        <v>8</v>
      </c>
      <c r="GK73" s="630" t="s">
        <v>9</v>
      </c>
      <c r="GL73" s="636" t="s">
        <v>10</v>
      </c>
      <c r="GM73" s="637" t="s">
        <v>11</v>
      </c>
      <c r="GN73" s="631">
        <v>2022</v>
      </c>
      <c r="GO73" s="638" t="str">
        <f t="shared" ref="GO73:GZ73" si="634">GB73</f>
        <v>Ene.</v>
      </c>
      <c r="GP73" s="630" t="str">
        <f t="shared" si="634"/>
        <v>Feb.</v>
      </c>
      <c r="GQ73" s="630" t="str">
        <f t="shared" si="634"/>
        <v>Mar.</v>
      </c>
      <c r="GR73" s="630" t="str">
        <f t="shared" si="634"/>
        <v>Abr.</v>
      </c>
      <c r="GS73" s="630" t="str">
        <f t="shared" si="634"/>
        <v>May.</v>
      </c>
      <c r="GT73" s="630" t="str">
        <f t="shared" si="634"/>
        <v>Jun.</v>
      </c>
      <c r="GU73" s="630" t="str">
        <f t="shared" si="634"/>
        <v>Jul.</v>
      </c>
      <c r="GV73" s="630" t="str">
        <f t="shared" si="634"/>
        <v>Ago.</v>
      </c>
      <c r="GW73" s="630" t="str">
        <f t="shared" si="634"/>
        <v>Set.</v>
      </c>
      <c r="GX73" s="630" t="str">
        <f t="shared" si="634"/>
        <v>Oct.</v>
      </c>
      <c r="GY73" s="630" t="str">
        <f t="shared" si="634"/>
        <v>Nov.</v>
      </c>
      <c r="GZ73" s="635" t="str">
        <f t="shared" si="634"/>
        <v>Dic.</v>
      </c>
      <c r="HA73" s="635">
        <v>2023</v>
      </c>
      <c r="HB73" s="638" t="s">
        <v>0</v>
      </c>
      <c r="HC73" s="630" t="s">
        <v>93</v>
      </c>
      <c r="HD73" s="630" t="s">
        <v>94</v>
      </c>
      <c r="HE73" s="630" t="s">
        <v>95</v>
      </c>
      <c r="HF73" s="630" t="s">
        <v>96</v>
      </c>
      <c r="HG73" s="630" t="s">
        <v>98</v>
      </c>
      <c r="HH73" s="630" t="s">
        <v>105</v>
      </c>
      <c r="HI73" s="630" t="s">
        <v>99</v>
      </c>
      <c r="HJ73" s="630" t="s">
        <v>126</v>
      </c>
      <c r="HK73" s="630" t="s">
        <v>205</v>
      </c>
      <c r="HL73" s="630" t="s">
        <v>179</v>
      </c>
      <c r="HM73" s="635" t="s">
        <v>190</v>
      </c>
      <c r="HN73" s="635">
        <v>2024</v>
      </c>
      <c r="HO73" s="630" t="s">
        <v>0</v>
      </c>
      <c r="HP73" s="630" t="s">
        <v>93</v>
      </c>
      <c r="HQ73" s="630" t="s">
        <v>94</v>
      </c>
      <c r="HR73" s="630" t="s">
        <v>95</v>
      </c>
      <c r="HS73" s="630" t="s">
        <v>96</v>
      </c>
      <c r="HT73" s="630" t="s">
        <v>98</v>
      </c>
      <c r="HU73" s="630" t="s">
        <v>105</v>
      </c>
      <c r="HV73" s="630" t="s">
        <v>554</v>
      </c>
      <c r="HW73" s="630" t="s">
        <v>204</v>
      </c>
      <c r="HX73" s="630" t="s">
        <v>205</v>
      </c>
      <c r="HY73" s="630" t="s">
        <v>179</v>
      </c>
      <c r="HZ73" s="630" t="s">
        <v>190</v>
      </c>
      <c r="IA73" s="638">
        <v>2025</v>
      </c>
      <c r="IB73" s="1557" t="s">
        <v>0</v>
      </c>
      <c r="IC73" s="1558" t="s">
        <v>1</v>
      </c>
      <c r="ID73" s="1558" t="s">
        <v>2</v>
      </c>
      <c r="IE73" s="1558" t="s">
        <v>3</v>
      </c>
      <c r="IF73" s="1558" t="s">
        <v>4</v>
      </c>
      <c r="IG73" s="1558" t="s">
        <v>5</v>
      </c>
      <c r="IH73" s="1558" t="s">
        <v>6</v>
      </c>
      <c r="II73" s="1558" t="s">
        <v>7</v>
      </c>
      <c r="IJ73" s="1558" t="s">
        <v>8</v>
      </c>
      <c r="IK73" s="1558" t="s">
        <v>9</v>
      </c>
      <c r="IL73" s="1558" t="s">
        <v>10</v>
      </c>
      <c r="IM73" s="1559" t="s">
        <v>11</v>
      </c>
      <c r="IN73" s="1375">
        <v>2026</v>
      </c>
      <c r="IO73" s="1266"/>
      <c r="IP73" s="1385" t="s">
        <v>7</v>
      </c>
      <c r="IQ73" s="1386" t="s">
        <v>664</v>
      </c>
      <c r="IR73" s="330" t="str">
        <f>+IQ73</f>
        <v>Ene-ago.</v>
      </c>
      <c r="IS73" s="1061" t="str">
        <f>+IR73</f>
        <v>Ene-ago.</v>
      </c>
    </row>
    <row r="74" spans="1:255" ht="15" customHeight="1" x14ac:dyDescent="0.2">
      <c r="A74" s="1016" t="s">
        <v>315</v>
      </c>
      <c r="BA74" s="1017"/>
      <c r="BB74" s="339">
        <f t="shared" ref="BB74:BM74" si="635">+BB75+BB81+BB87</f>
        <v>60135</v>
      </c>
      <c r="BC74" s="339">
        <f t="shared" si="635"/>
        <v>54198</v>
      </c>
      <c r="BD74" s="339">
        <f t="shared" si="635"/>
        <v>66426</v>
      </c>
      <c r="BE74" s="339">
        <f t="shared" si="635"/>
        <v>54372</v>
      </c>
      <c r="BF74" s="339">
        <f t="shared" si="635"/>
        <v>81587</v>
      </c>
      <c r="BG74" s="339">
        <f t="shared" si="635"/>
        <v>62005</v>
      </c>
      <c r="BH74" s="339">
        <f t="shared" si="635"/>
        <v>66620</v>
      </c>
      <c r="BI74" s="339">
        <f t="shared" si="635"/>
        <v>72351</v>
      </c>
      <c r="BJ74" s="339">
        <f t="shared" si="635"/>
        <v>67041</v>
      </c>
      <c r="BK74" s="339">
        <f t="shared" si="635"/>
        <v>76678</v>
      </c>
      <c r="BL74" s="339">
        <f t="shared" si="635"/>
        <v>70818</v>
      </c>
      <c r="BM74" s="339">
        <f t="shared" si="635"/>
        <v>107689</v>
      </c>
      <c r="BN74" s="1018">
        <f>SUM(BB74:BM74)</f>
        <v>839920</v>
      </c>
      <c r="BO74" s="339">
        <f t="shared" ref="BO74:BZ74" si="636">+BO75+BO81+BO87</f>
        <v>70498</v>
      </c>
      <c r="BP74" s="339">
        <f t="shared" si="636"/>
        <v>101794</v>
      </c>
      <c r="BQ74" s="339">
        <f t="shared" si="636"/>
        <v>83398</v>
      </c>
      <c r="BR74" s="339">
        <f t="shared" si="636"/>
        <v>90160</v>
      </c>
      <c r="BS74" s="339">
        <f t="shared" si="636"/>
        <v>98051</v>
      </c>
      <c r="BT74" s="339">
        <f t="shared" si="636"/>
        <v>85662</v>
      </c>
      <c r="BU74" s="339">
        <f t="shared" si="636"/>
        <v>84784</v>
      </c>
      <c r="BV74" s="339">
        <f t="shared" si="636"/>
        <v>97905</v>
      </c>
      <c r="BW74" s="339">
        <f t="shared" si="636"/>
        <v>97467</v>
      </c>
      <c r="BX74" s="339">
        <f t="shared" si="636"/>
        <v>96609</v>
      </c>
      <c r="BY74" s="339">
        <f t="shared" si="636"/>
        <v>106888</v>
      </c>
      <c r="BZ74" s="339">
        <f t="shared" si="636"/>
        <v>147207</v>
      </c>
      <c r="CA74" s="339">
        <f>SUM(BO74:BZ74)</f>
        <v>1160423</v>
      </c>
      <c r="CB74" s="339">
        <f t="shared" ref="CB74:CM74" si="637">+CB75+CB81+CB87</f>
        <v>42545</v>
      </c>
      <c r="CC74" s="339">
        <f t="shared" si="637"/>
        <v>43168</v>
      </c>
      <c r="CD74" s="339">
        <f t="shared" si="637"/>
        <v>41060</v>
      </c>
      <c r="CE74" s="339">
        <f t="shared" si="637"/>
        <v>43085</v>
      </c>
      <c r="CF74" s="339">
        <f t="shared" si="637"/>
        <v>46167</v>
      </c>
      <c r="CG74" s="339">
        <f t="shared" si="637"/>
        <v>47032</v>
      </c>
      <c r="CH74" s="339">
        <f t="shared" si="637"/>
        <v>75302</v>
      </c>
      <c r="CI74" s="339">
        <f t="shared" si="637"/>
        <v>44696</v>
      </c>
      <c r="CJ74" s="339">
        <f t="shared" si="637"/>
        <v>52922</v>
      </c>
      <c r="CK74" s="339">
        <f t="shared" si="637"/>
        <v>48173</v>
      </c>
      <c r="CL74" s="339">
        <f t="shared" si="637"/>
        <v>68546</v>
      </c>
      <c r="CM74" s="339">
        <f t="shared" si="637"/>
        <v>81260</v>
      </c>
      <c r="CN74" s="339">
        <f>SUM(CB74:CM74)</f>
        <v>633956</v>
      </c>
      <c r="CO74" s="339">
        <f t="shared" ref="CO74:DH74" si="638">+CO75+CO81+CO87</f>
        <v>42292</v>
      </c>
      <c r="CP74" s="339">
        <f t="shared" si="638"/>
        <v>44617</v>
      </c>
      <c r="CQ74" s="339">
        <f t="shared" si="638"/>
        <v>42498</v>
      </c>
      <c r="CR74" s="339">
        <f t="shared" si="638"/>
        <v>51311</v>
      </c>
      <c r="CS74" s="339">
        <f t="shared" si="638"/>
        <v>51083</v>
      </c>
      <c r="CT74" s="339">
        <f t="shared" si="638"/>
        <v>64830</v>
      </c>
      <c r="CU74" s="339">
        <f t="shared" si="638"/>
        <v>61085</v>
      </c>
      <c r="CV74" s="339">
        <f t="shared" si="638"/>
        <v>80459</v>
      </c>
      <c r="CW74" s="339">
        <f t="shared" si="638"/>
        <v>58181</v>
      </c>
      <c r="CX74" s="339">
        <f t="shared" si="638"/>
        <v>60570</v>
      </c>
      <c r="CY74" s="339">
        <f t="shared" si="638"/>
        <v>82475</v>
      </c>
      <c r="CZ74" s="339">
        <f t="shared" si="638"/>
        <v>97045</v>
      </c>
      <c r="DA74" s="339">
        <f>SUM(CO74:CZ74)</f>
        <v>736446</v>
      </c>
      <c r="DB74" s="339">
        <f t="shared" si="638"/>
        <v>48769</v>
      </c>
      <c r="DC74" s="339">
        <f t="shared" si="638"/>
        <v>48027</v>
      </c>
      <c r="DD74" s="339">
        <f t="shared" si="638"/>
        <v>58075</v>
      </c>
      <c r="DE74" s="339">
        <f t="shared" si="638"/>
        <v>57896</v>
      </c>
      <c r="DF74" s="339">
        <f t="shared" si="638"/>
        <v>58151</v>
      </c>
      <c r="DG74" s="339">
        <f t="shared" si="638"/>
        <v>58010</v>
      </c>
      <c r="DH74" s="339">
        <f t="shared" si="638"/>
        <v>68285</v>
      </c>
      <c r="DI74" s="339">
        <f>+DI75+DI81+DI87</f>
        <v>63099</v>
      </c>
      <c r="DJ74" s="339">
        <f>+DJ75+DJ81+DJ87</f>
        <v>63599</v>
      </c>
      <c r="DK74" s="339">
        <f>+DK75+DK81+DK87</f>
        <v>59491</v>
      </c>
      <c r="DL74" s="339">
        <f>+DL75+DL81+DL87</f>
        <v>67381</v>
      </c>
      <c r="DM74" s="339">
        <f>+DM75+DM81+DM87</f>
        <v>118021</v>
      </c>
      <c r="DN74" s="339">
        <f>SUM(DB74:DM74)</f>
        <v>768804</v>
      </c>
      <c r="DO74" s="339">
        <f t="shared" ref="DO74:DZ74" si="639">+DO75+DO81+DO87</f>
        <v>92990</v>
      </c>
      <c r="DP74" s="339">
        <f t="shared" si="639"/>
        <v>113116</v>
      </c>
      <c r="DQ74" s="339">
        <f t="shared" si="639"/>
        <v>141004</v>
      </c>
      <c r="DR74" s="339">
        <f t="shared" si="639"/>
        <v>149653</v>
      </c>
      <c r="DS74" s="339">
        <f t="shared" si="639"/>
        <v>138441</v>
      </c>
      <c r="DT74" s="339">
        <f t="shared" si="639"/>
        <v>150599</v>
      </c>
      <c r="DU74" s="339">
        <f t="shared" si="639"/>
        <v>150203</v>
      </c>
      <c r="DV74" s="339">
        <f t="shared" si="639"/>
        <v>138584</v>
      </c>
      <c r="DW74" s="339">
        <f t="shared" si="639"/>
        <v>118629</v>
      </c>
      <c r="DX74" s="339">
        <f t="shared" si="639"/>
        <v>149192</v>
      </c>
      <c r="DY74" s="339">
        <f t="shared" si="639"/>
        <v>151102</v>
      </c>
      <c r="DZ74" s="339">
        <f t="shared" si="639"/>
        <v>243827</v>
      </c>
      <c r="EA74" s="339">
        <f>SUM(DO74:DZ74)</f>
        <v>1737340</v>
      </c>
      <c r="EB74" s="339">
        <f t="shared" ref="EB74:EM74" si="640">+EB75+EB81+EB87</f>
        <v>133944</v>
      </c>
      <c r="EC74" s="339">
        <f t="shared" si="640"/>
        <v>136004</v>
      </c>
      <c r="ED74" s="339">
        <f t="shared" si="640"/>
        <v>126308</v>
      </c>
      <c r="EE74" s="339">
        <f t="shared" si="640"/>
        <v>181986</v>
      </c>
      <c r="EF74" s="339">
        <f t="shared" si="640"/>
        <v>131346</v>
      </c>
      <c r="EG74" s="339">
        <f t="shared" si="640"/>
        <v>164895</v>
      </c>
      <c r="EH74" s="339">
        <f t="shared" si="640"/>
        <v>186100</v>
      </c>
      <c r="EI74" s="339">
        <f t="shared" si="640"/>
        <v>153321</v>
      </c>
      <c r="EJ74" s="339">
        <f t="shared" si="640"/>
        <v>145973</v>
      </c>
      <c r="EK74" s="339">
        <f t="shared" si="640"/>
        <v>177602</v>
      </c>
      <c r="EL74" s="339">
        <f t="shared" si="640"/>
        <v>149194</v>
      </c>
      <c r="EM74" s="339">
        <f t="shared" si="640"/>
        <v>307647</v>
      </c>
      <c r="EN74" s="339">
        <f>SUM(EB74:EM74)</f>
        <v>1994320</v>
      </c>
      <c r="EO74" s="339">
        <f t="shared" ref="EO74:EZ74" si="641">+EO75+EO81+EO87</f>
        <v>152342</v>
      </c>
      <c r="EP74" s="339">
        <f t="shared" si="641"/>
        <v>122403</v>
      </c>
      <c r="EQ74" s="339">
        <f t="shared" si="641"/>
        <v>131336</v>
      </c>
      <c r="ER74" s="339">
        <f t="shared" si="641"/>
        <v>168393</v>
      </c>
      <c r="ES74" s="339">
        <f t="shared" si="641"/>
        <v>148771</v>
      </c>
      <c r="ET74" s="339">
        <f t="shared" si="641"/>
        <v>181845</v>
      </c>
      <c r="EU74" s="339">
        <f t="shared" si="641"/>
        <v>199931</v>
      </c>
      <c r="EV74" s="339">
        <f t="shared" si="641"/>
        <v>197617</v>
      </c>
      <c r="EW74" s="339">
        <f t="shared" si="641"/>
        <v>151923</v>
      </c>
      <c r="EX74" s="339">
        <f t="shared" si="641"/>
        <v>186965</v>
      </c>
      <c r="EY74" s="339">
        <f t="shared" si="641"/>
        <v>188262</v>
      </c>
      <c r="EZ74" s="339">
        <f t="shared" si="641"/>
        <v>264038</v>
      </c>
      <c r="FA74" s="341">
        <f>SUM(EO74:EZ74)</f>
        <v>2093826</v>
      </c>
      <c r="FB74" s="339">
        <f t="shared" ref="FB74:FM74" si="642">+FB75+FB81+FB87</f>
        <v>140241</v>
      </c>
      <c r="FC74" s="339">
        <f t="shared" si="642"/>
        <v>158817</v>
      </c>
      <c r="FD74" s="339">
        <f t="shared" si="642"/>
        <v>192403</v>
      </c>
      <c r="FE74" s="339">
        <f t="shared" si="642"/>
        <v>252153</v>
      </c>
      <c r="FF74" s="339">
        <f t="shared" si="642"/>
        <v>213106</v>
      </c>
      <c r="FG74" s="339">
        <f t="shared" si="642"/>
        <v>150518</v>
      </c>
      <c r="FH74" s="339">
        <f t="shared" si="642"/>
        <v>210756</v>
      </c>
      <c r="FI74" s="339">
        <f t="shared" si="642"/>
        <v>257963</v>
      </c>
      <c r="FJ74" s="339">
        <f t="shared" si="642"/>
        <v>180127</v>
      </c>
      <c r="FK74" s="339">
        <f t="shared" si="642"/>
        <v>362287</v>
      </c>
      <c r="FL74" s="339">
        <f t="shared" si="642"/>
        <v>284378</v>
      </c>
      <c r="FM74" s="339">
        <f t="shared" si="642"/>
        <v>461983</v>
      </c>
      <c r="FN74" s="341">
        <f>SUM(FB74:FM74)</f>
        <v>2864732</v>
      </c>
      <c r="FO74" s="339">
        <f t="shared" ref="FO74:GI74" si="643">+FO75+FO81+FO87</f>
        <v>141916</v>
      </c>
      <c r="FP74" s="339">
        <f t="shared" si="643"/>
        <v>196290</v>
      </c>
      <c r="FQ74" s="339">
        <f t="shared" si="643"/>
        <v>194438</v>
      </c>
      <c r="FR74" s="339">
        <f t="shared" si="643"/>
        <v>233813</v>
      </c>
      <c r="FS74" s="339">
        <f t="shared" si="643"/>
        <v>196361</v>
      </c>
      <c r="FT74" s="339">
        <f t="shared" si="643"/>
        <v>208162</v>
      </c>
      <c r="FU74" s="339">
        <f t="shared" si="643"/>
        <v>231952</v>
      </c>
      <c r="FV74" s="339">
        <f t="shared" si="643"/>
        <v>193335</v>
      </c>
      <c r="FW74" s="339">
        <f t="shared" si="643"/>
        <v>283418</v>
      </c>
      <c r="FX74" s="339">
        <f t="shared" si="643"/>
        <v>234463</v>
      </c>
      <c r="FY74" s="339">
        <f t="shared" si="643"/>
        <v>243634</v>
      </c>
      <c r="FZ74" s="642">
        <f t="shared" si="643"/>
        <v>646769</v>
      </c>
      <c r="GA74" s="642">
        <f>SUM(FO74:FZ74)</f>
        <v>3004551</v>
      </c>
      <c r="GB74" s="645">
        <f t="shared" si="643"/>
        <v>171805</v>
      </c>
      <c r="GC74" s="339">
        <f t="shared" si="643"/>
        <v>180106</v>
      </c>
      <c r="GD74" s="339">
        <f t="shared" si="643"/>
        <v>232371</v>
      </c>
      <c r="GE74" s="339">
        <f t="shared" si="643"/>
        <v>213914</v>
      </c>
      <c r="GF74" s="339">
        <f t="shared" si="643"/>
        <v>236638</v>
      </c>
      <c r="GG74" s="339">
        <f t="shared" si="643"/>
        <v>226978</v>
      </c>
      <c r="GH74" s="339">
        <f t="shared" si="643"/>
        <v>262714</v>
      </c>
      <c r="GI74" s="339">
        <f t="shared" si="643"/>
        <v>351538</v>
      </c>
      <c r="GJ74" s="339">
        <f>+GJ75+GJ81+GJ87</f>
        <v>202343</v>
      </c>
      <c r="GK74" s="339">
        <f>+GK75+GK81+GK87</f>
        <v>317123</v>
      </c>
      <c r="GL74" s="646">
        <f>+GL75+GL81+GL87</f>
        <v>242747</v>
      </c>
      <c r="GM74" s="647">
        <f>+GM75+GM81+GM87</f>
        <v>473140</v>
      </c>
      <c r="GN74" s="341">
        <f>SUM(GB74:GM74)</f>
        <v>3111417</v>
      </c>
      <c r="GO74" s="645">
        <f t="shared" ref="GO74:GZ74" si="644">+GO75+GO81+GO87</f>
        <v>197479.03609366593</v>
      </c>
      <c r="GP74" s="339">
        <f t="shared" si="644"/>
        <v>499280</v>
      </c>
      <c r="GQ74" s="339">
        <f t="shared" si="644"/>
        <v>475916</v>
      </c>
      <c r="GR74" s="339">
        <f t="shared" si="644"/>
        <v>205672</v>
      </c>
      <c r="GS74" s="339">
        <f t="shared" si="644"/>
        <v>202562</v>
      </c>
      <c r="GT74" s="339">
        <f t="shared" si="644"/>
        <v>205714</v>
      </c>
      <c r="GU74" s="339">
        <f t="shared" si="644"/>
        <v>260147</v>
      </c>
      <c r="GV74" s="339">
        <f t="shared" si="644"/>
        <v>224150</v>
      </c>
      <c r="GW74" s="339">
        <f t="shared" si="644"/>
        <v>181164</v>
      </c>
      <c r="GX74" s="339">
        <f t="shared" si="644"/>
        <v>219538</v>
      </c>
      <c r="GY74" s="339">
        <f t="shared" si="644"/>
        <v>259408</v>
      </c>
      <c r="GZ74" s="642">
        <f t="shared" si="644"/>
        <v>289078</v>
      </c>
      <c r="HA74" s="642">
        <f>SUM(GO74:GZ74)</f>
        <v>3220108.0360936662</v>
      </c>
      <c r="HB74" s="645">
        <f t="shared" ref="HB74:HM74" si="645">+HB75+HB81+HB87</f>
        <v>199170</v>
      </c>
      <c r="HC74" s="339">
        <f t="shared" si="645"/>
        <v>359306</v>
      </c>
      <c r="HD74" s="339">
        <f t="shared" si="645"/>
        <v>177371</v>
      </c>
      <c r="HE74" s="339">
        <f t="shared" si="645"/>
        <v>236676</v>
      </c>
      <c r="HF74" s="339">
        <f t="shared" si="645"/>
        <v>241109</v>
      </c>
      <c r="HG74" s="339">
        <f t="shared" si="645"/>
        <v>211927</v>
      </c>
      <c r="HH74" s="339">
        <f t="shared" si="645"/>
        <v>223869</v>
      </c>
      <c r="HI74" s="339">
        <f t="shared" si="645"/>
        <v>301710</v>
      </c>
      <c r="HJ74" s="339">
        <f t="shared" si="645"/>
        <v>215170</v>
      </c>
      <c r="HK74" s="339">
        <f t="shared" si="645"/>
        <v>229419</v>
      </c>
      <c r="HL74" s="339">
        <f t="shared" si="645"/>
        <v>297861</v>
      </c>
      <c r="HM74" s="642">
        <f t="shared" si="645"/>
        <v>326596</v>
      </c>
      <c r="HN74" s="642">
        <f>SUM(HB74:HM74)</f>
        <v>3020184</v>
      </c>
      <c r="HO74" s="339">
        <f t="shared" ref="HO74:HZ74" si="646">+HO75+HO81+HO87</f>
        <v>214626</v>
      </c>
      <c r="HP74" s="339">
        <f t="shared" si="646"/>
        <v>274822</v>
      </c>
      <c r="HQ74" s="339">
        <f t="shared" si="646"/>
        <v>224968</v>
      </c>
      <c r="HR74" s="339">
        <f t="shared" si="646"/>
        <v>217514</v>
      </c>
      <c r="HS74" s="339">
        <f t="shared" si="646"/>
        <v>281990</v>
      </c>
      <c r="HT74" s="339">
        <f t="shared" si="646"/>
        <v>259598</v>
      </c>
      <c r="HU74" s="339">
        <f t="shared" si="646"/>
        <v>250331</v>
      </c>
      <c r="HV74" s="339">
        <f t="shared" si="646"/>
        <v>257538</v>
      </c>
      <c r="HW74" s="339">
        <f t="shared" si="646"/>
        <v>229449</v>
      </c>
      <c r="HX74" s="339">
        <f t="shared" si="646"/>
        <v>240491</v>
      </c>
      <c r="HY74" s="339">
        <f t="shared" si="646"/>
        <v>253045</v>
      </c>
      <c r="HZ74" s="339">
        <f t="shared" si="646"/>
        <v>328145</v>
      </c>
      <c r="IA74" s="645">
        <f>SUM(HO74:HZ74)</f>
        <v>3032517</v>
      </c>
      <c r="IB74" s="1328">
        <f>+IB75+IB81+IB87</f>
        <v>300652</v>
      </c>
      <c r="IC74" s="129">
        <f t="shared" ref="IC74:IE74" si="647">+IC75+IC81+IC87</f>
        <v>238748</v>
      </c>
      <c r="ID74" s="129">
        <f t="shared" si="647"/>
        <v>237147</v>
      </c>
      <c r="IE74" s="129">
        <f t="shared" si="647"/>
        <v>246409</v>
      </c>
      <c r="IF74" s="129">
        <f>+IF75+IF81+IF87</f>
        <v>264428</v>
      </c>
      <c r="IG74" s="129">
        <f>+IG75+IG81+IG87</f>
        <v>273896</v>
      </c>
      <c r="IH74" s="129">
        <f>+IH75+IH81+IH87</f>
        <v>272575</v>
      </c>
      <c r="II74" s="129">
        <f>+II75+II81+II87</f>
        <v>276037</v>
      </c>
      <c r="IJ74" s="129"/>
      <c r="IK74" s="129"/>
      <c r="IL74" s="129"/>
      <c r="IM74" s="1268"/>
      <c r="IN74" s="1343">
        <f>SUM(IB74:IM74)</f>
        <v>2109892</v>
      </c>
      <c r="IO74" s="1266"/>
      <c r="IP74" s="1387">
        <f>IFERROR(((
_xlfn.XLOOKUP((DATE(YEAR($IP$5),MONTH($IP$5),1)),$B$5:$IN$5,$B74:$IN74) /
_xlfn.XLOOKUP((DATE(YEAR($IP$5)-1,MONTH($IP$5),1)),$B$5:$IN$5,$B74:$IN74)
)-1)*100,"")</f>
        <v>7.1830176517640121</v>
      </c>
      <c r="IQ74" s="1019">
        <f>IFERROR(((IS74/IR74)-1)*100,"-")</f>
        <v>6.4856083137721177</v>
      </c>
      <c r="IR74" s="341">
        <f>IFERROR(SUM(HO74:HV74),"-")</f>
        <v>1981387</v>
      </c>
      <c r="IS74" s="341">
        <f>IFERROR(SUM(IB74:IM74),"-")</f>
        <v>2109892</v>
      </c>
      <c r="IU74" s="320">
        <f>+II74-HV74</f>
        <v>18499</v>
      </c>
    </row>
    <row r="75" spans="1:255" ht="15" customHeight="1" x14ac:dyDescent="0.2">
      <c r="A75" s="648" t="s">
        <v>316</v>
      </c>
      <c r="BA75" s="648"/>
      <c r="BB75" s="645">
        <f t="shared" ref="BB75:BM75" si="648">+BB76+BB80</f>
        <v>30457</v>
      </c>
      <c r="BC75" s="339">
        <f t="shared" si="648"/>
        <v>28795</v>
      </c>
      <c r="BD75" s="339">
        <f t="shared" si="648"/>
        <v>31862</v>
      </c>
      <c r="BE75" s="339">
        <f t="shared" si="648"/>
        <v>30747</v>
      </c>
      <c r="BF75" s="339">
        <f t="shared" si="648"/>
        <v>33542</v>
      </c>
      <c r="BG75" s="339">
        <f t="shared" si="648"/>
        <v>31338</v>
      </c>
      <c r="BH75" s="339">
        <f t="shared" si="648"/>
        <v>36323</v>
      </c>
      <c r="BI75" s="339">
        <f t="shared" si="648"/>
        <v>33430</v>
      </c>
      <c r="BJ75" s="339">
        <f t="shared" si="648"/>
        <v>33824</v>
      </c>
      <c r="BK75" s="339">
        <f t="shared" si="648"/>
        <v>36425</v>
      </c>
      <c r="BL75" s="339">
        <f t="shared" si="648"/>
        <v>37132</v>
      </c>
      <c r="BM75" s="339">
        <f t="shared" si="648"/>
        <v>56096</v>
      </c>
      <c r="BN75" s="649">
        <f>SUM(BB75:BM75)</f>
        <v>419971</v>
      </c>
      <c r="BO75" s="339">
        <f t="shared" ref="BO75:DA75" si="649">SUM(BO76:BO80)</f>
        <v>36714</v>
      </c>
      <c r="BP75" s="339">
        <f t="shared" si="649"/>
        <v>38567</v>
      </c>
      <c r="BQ75" s="339">
        <f t="shared" si="649"/>
        <v>38919</v>
      </c>
      <c r="BR75" s="339">
        <f t="shared" si="649"/>
        <v>40786</v>
      </c>
      <c r="BS75" s="339">
        <f t="shared" si="649"/>
        <v>41247</v>
      </c>
      <c r="BT75" s="339">
        <f t="shared" si="649"/>
        <v>46371</v>
      </c>
      <c r="BU75" s="339">
        <f t="shared" si="649"/>
        <v>45053</v>
      </c>
      <c r="BV75" s="339">
        <f t="shared" si="649"/>
        <v>43198</v>
      </c>
      <c r="BW75" s="339">
        <f t="shared" si="649"/>
        <v>43873</v>
      </c>
      <c r="BX75" s="339">
        <f t="shared" si="649"/>
        <v>40121</v>
      </c>
      <c r="BY75" s="339">
        <f t="shared" si="649"/>
        <v>48195</v>
      </c>
      <c r="BZ75" s="339">
        <f t="shared" si="649"/>
        <v>73245</v>
      </c>
      <c r="CA75" s="341">
        <f t="shared" si="649"/>
        <v>536289</v>
      </c>
      <c r="CB75" s="339">
        <f t="shared" si="649"/>
        <v>42545</v>
      </c>
      <c r="CC75" s="339">
        <f t="shared" si="649"/>
        <v>43168</v>
      </c>
      <c r="CD75" s="339">
        <f t="shared" si="649"/>
        <v>41060</v>
      </c>
      <c r="CE75" s="339">
        <f t="shared" si="649"/>
        <v>43085</v>
      </c>
      <c r="CF75" s="339">
        <f t="shared" si="649"/>
        <v>46167</v>
      </c>
      <c r="CG75" s="339">
        <f t="shared" si="649"/>
        <v>47032</v>
      </c>
      <c r="CH75" s="339">
        <f t="shared" si="649"/>
        <v>75302</v>
      </c>
      <c r="CI75" s="339">
        <f t="shared" si="649"/>
        <v>44696</v>
      </c>
      <c r="CJ75" s="339">
        <f t="shared" si="649"/>
        <v>52922</v>
      </c>
      <c r="CK75" s="339">
        <f t="shared" si="649"/>
        <v>48173</v>
      </c>
      <c r="CL75" s="339">
        <f t="shared" si="649"/>
        <v>68546</v>
      </c>
      <c r="CM75" s="339">
        <f t="shared" si="649"/>
        <v>81260</v>
      </c>
      <c r="CN75" s="341">
        <f t="shared" si="649"/>
        <v>633956</v>
      </c>
      <c r="CO75" s="645">
        <f t="shared" si="649"/>
        <v>42292</v>
      </c>
      <c r="CP75" s="339">
        <f t="shared" si="649"/>
        <v>44617</v>
      </c>
      <c r="CQ75" s="339">
        <f t="shared" si="649"/>
        <v>42498</v>
      </c>
      <c r="CR75" s="339">
        <f t="shared" si="649"/>
        <v>51311</v>
      </c>
      <c r="CS75" s="339">
        <f t="shared" si="649"/>
        <v>51083</v>
      </c>
      <c r="CT75" s="339">
        <f t="shared" si="649"/>
        <v>64830</v>
      </c>
      <c r="CU75" s="339">
        <f t="shared" si="649"/>
        <v>61085</v>
      </c>
      <c r="CV75" s="339">
        <f t="shared" si="649"/>
        <v>80459</v>
      </c>
      <c r="CW75" s="339">
        <f t="shared" si="649"/>
        <v>58181</v>
      </c>
      <c r="CX75" s="339">
        <f t="shared" si="649"/>
        <v>60570</v>
      </c>
      <c r="CY75" s="339">
        <f t="shared" si="649"/>
        <v>82475</v>
      </c>
      <c r="CZ75" s="339">
        <f t="shared" si="649"/>
        <v>97045</v>
      </c>
      <c r="DA75" s="341">
        <f t="shared" si="649"/>
        <v>736446</v>
      </c>
      <c r="DB75" s="339">
        <f>SUM(DB76:DB80)</f>
        <v>48769</v>
      </c>
      <c r="DC75" s="339">
        <f t="shared" ref="DC75:DH75" si="650">SUM(DC76:DC80)</f>
        <v>48027</v>
      </c>
      <c r="DD75" s="339">
        <f t="shared" si="650"/>
        <v>58075</v>
      </c>
      <c r="DE75" s="339">
        <f t="shared" si="650"/>
        <v>57896</v>
      </c>
      <c r="DF75" s="339">
        <f t="shared" si="650"/>
        <v>58151</v>
      </c>
      <c r="DG75" s="339">
        <f t="shared" si="650"/>
        <v>58010</v>
      </c>
      <c r="DH75" s="339">
        <f t="shared" si="650"/>
        <v>68285</v>
      </c>
      <c r="DI75" s="339">
        <f>SUM(DI76:DI80)</f>
        <v>63099</v>
      </c>
      <c r="DJ75" s="339">
        <f>SUM(DJ76:DJ80)</f>
        <v>63599</v>
      </c>
      <c r="DK75" s="339">
        <f>SUM(DK76:DK80)</f>
        <v>59491</v>
      </c>
      <c r="DL75" s="339">
        <f>SUM(DL76:DL80)</f>
        <v>67381</v>
      </c>
      <c r="DM75" s="339">
        <f>SUM(DM76:DM80)</f>
        <v>118021</v>
      </c>
      <c r="DN75" s="645">
        <f t="shared" ref="DN75:FP75" si="651">SUM(DN76:DN80)</f>
        <v>768804</v>
      </c>
      <c r="DO75" s="645">
        <f t="shared" si="651"/>
        <v>53740</v>
      </c>
      <c r="DP75" s="339">
        <f t="shared" si="651"/>
        <v>52760</v>
      </c>
      <c r="DQ75" s="339">
        <f t="shared" si="651"/>
        <v>57613</v>
      </c>
      <c r="DR75" s="339">
        <f t="shared" si="651"/>
        <v>63612</v>
      </c>
      <c r="DS75" s="339">
        <f t="shared" si="651"/>
        <v>64862</v>
      </c>
      <c r="DT75" s="339">
        <f t="shared" si="651"/>
        <v>70800</v>
      </c>
      <c r="DU75" s="339">
        <f t="shared" si="651"/>
        <v>73943</v>
      </c>
      <c r="DV75" s="339">
        <f t="shared" si="651"/>
        <v>67972</v>
      </c>
      <c r="DW75" s="339">
        <f t="shared" si="651"/>
        <v>66192</v>
      </c>
      <c r="DX75" s="339">
        <f t="shared" si="651"/>
        <v>70255</v>
      </c>
      <c r="DY75" s="339">
        <f t="shared" si="651"/>
        <v>90217</v>
      </c>
      <c r="DZ75" s="339">
        <f t="shared" si="651"/>
        <v>129349</v>
      </c>
      <c r="EA75" s="341">
        <f t="shared" si="651"/>
        <v>861315</v>
      </c>
      <c r="EB75" s="339">
        <f t="shared" si="651"/>
        <v>67110</v>
      </c>
      <c r="EC75" s="339">
        <f t="shared" si="651"/>
        <v>66140</v>
      </c>
      <c r="ED75" s="339">
        <f t="shared" si="651"/>
        <v>66551</v>
      </c>
      <c r="EE75" s="339">
        <f t="shared" si="651"/>
        <v>72855</v>
      </c>
      <c r="EF75" s="339">
        <f t="shared" si="651"/>
        <v>72698</v>
      </c>
      <c r="EG75" s="339">
        <f t="shared" si="651"/>
        <v>87591</v>
      </c>
      <c r="EH75" s="339">
        <f t="shared" si="651"/>
        <v>96798</v>
      </c>
      <c r="EI75" s="339">
        <f t="shared" si="651"/>
        <v>78323</v>
      </c>
      <c r="EJ75" s="339">
        <f t="shared" si="651"/>
        <v>79401</v>
      </c>
      <c r="EK75" s="339">
        <f t="shared" si="651"/>
        <v>90555</v>
      </c>
      <c r="EL75" s="339">
        <f t="shared" si="651"/>
        <v>85684</v>
      </c>
      <c r="EM75" s="339">
        <f t="shared" si="651"/>
        <v>137223</v>
      </c>
      <c r="EN75" s="341">
        <f t="shared" si="651"/>
        <v>1000929</v>
      </c>
      <c r="EO75" s="339">
        <f>SUM(EO76:EO80)</f>
        <v>72799</v>
      </c>
      <c r="EP75" s="339">
        <f>SUM(EP76:EP80)</f>
        <v>62603</v>
      </c>
      <c r="EQ75" s="339">
        <f>SUM(EQ76:EQ80)</f>
        <v>69178</v>
      </c>
      <c r="ER75" s="339">
        <f>SUM(ER76:ER80)</f>
        <v>72965</v>
      </c>
      <c r="ES75" s="339">
        <f>SUM(ES76:ES80)</f>
        <v>77537</v>
      </c>
      <c r="ET75" s="339">
        <f t="shared" si="651"/>
        <v>105591</v>
      </c>
      <c r="EU75" s="339">
        <f t="shared" si="651"/>
        <v>84623</v>
      </c>
      <c r="EV75" s="339">
        <f t="shared" si="651"/>
        <v>122436</v>
      </c>
      <c r="EW75" s="339">
        <f t="shared" si="651"/>
        <v>87142</v>
      </c>
      <c r="EX75" s="339">
        <f t="shared" si="651"/>
        <v>88848</v>
      </c>
      <c r="EY75" s="339">
        <f t="shared" si="651"/>
        <v>93709</v>
      </c>
      <c r="EZ75" s="339">
        <f t="shared" si="651"/>
        <v>161574</v>
      </c>
      <c r="FA75" s="341">
        <f t="shared" si="651"/>
        <v>1099005</v>
      </c>
      <c r="FB75" s="339">
        <f t="shared" si="651"/>
        <v>73908</v>
      </c>
      <c r="FC75" s="339">
        <f t="shared" si="651"/>
        <v>72097</v>
      </c>
      <c r="FD75" s="339">
        <f t="shared" si="651"/>
        <v>83679</v>
      </c>
      <c r="FE75" s="339">
        <f t="shared" si="651"/>
        <v>85533</v>
      </c>
      <c r="FF75" s="339">
        <f t="shared" si="651"/>
        <v>84595</v>
      </c>
      <c r="FG75" s="339">
        <f t="shared" si="651"/>
        <v>86877</v>
      </c>
      <c r="FH75" s="339">
        <f t="shared" si="651"/>
        <v>106716</v>
      </c>
      <c r="FI75" s="339">
        <f t="shared" si="651"/>
        <v>91903</v>
      </c>
      <c r="FJ75" s="339">
        <f t="shared" si="651"/>
        <v>97072</v>
      </c>
      <c r="FK75" s="339">
        <f t="shared" si="651"/>
        <v>109348</v>
      </c>
      <c r="FL75" s="339">
        <f t="shared" si="651"/>
        <v>109915</v>
      </c>
      <c r="FM75" s="339">
        <f t="shared" si="651"/>
        <v>244030</v>
      </c>
      <c r="FN75" s="341">
        <f t="shared" si="651"/>
        <v>1245673</v>
      </c>
      <c r="FO75" s="339">
        <f t="shared" si="651"/>
        <v>81002</v>
      </c>
      <c r="FP75" s="339">
        <f t="shared" si="651"/>
        <v>94424</v>
      </c>
      <c r="FQ75" s="339">
        <f>SUM(FQ76:FQ80)</f>
        <v>100668</v>
      </c>
      <c r="FR75" s="339">
        <f t="shared" ref="FR75:GM75" si="652">SUM(FR76:FR80)</f>
        <v>110633</v>
      </c>
      <c r="FS75" s="339">
        <f t="shared" si="652"/>
        <v>112740</v>
      </c>
      <c r="FT75" s="339">
        <f t="shared" si="652"/>
        <v>111075</v>
      </c>
      <c r="FU75" s="339">
        <f t="shared" si="652"/>
        <v>117295</v>
      </c>
      <c r="FV75" s="339">
        <f t="shared" si="652"/>
        <v>106834</v>
      </c>
      <c r="FW75" s="339">
        <f t="shared" si="652"/>
        <v>115951</v>
      </c>
      <c r="FX75" s="339">
        <f t="shared" si="652"/>
        <v>112403</v>
      </c>
      <c r="FY75" s="339">
        <f t="shared" si="652"/>
        <v>107084</v>
      </c>
      <c r="FZ75" s="642">
        <f t="shared" si="652"/>
        <v>241246</v>
      </c>
      <c r="GA75" s="642">
        <f t="shared" ref="GA75:GA115" si="653">SUM(FO75:FZ75)</f>
        <v>1411355</v>
      </c>
      <c r="GB75" s="645">
        <f t="shared" si="652"/>
        <v>94610</v>
      </c>
      <c r="GC75" s="339">
        <f t="shared" si="652"/>
        <v>98380</v>
      </c>
      <c r="GD75" s="339">
        <f t="shared" si="652"/>
        <v>113120</v>
      </c>
      <c r="GE75" s="339">
        <f t="shared" si="652"/>
        <v>114464</v>
      </c>
      <c r="GF75" s="339">
        <f t="shared" si="652"/>
        <v>116920</v>
      </c>
      <c r="GG75" s="339">
        <f t="shared" si="652"/>
        <v>126857</v>
      </c>
      <c r="GH75" s="339">
        <f t="shared" si="652"/>
        <v>135456</v>
      </c>
      <c r="GI75" s="339">
        <f t="shared" si="652"/>
        <v>128716</v>
      </c>
      <c r="GJ75" s="339">
        <f t="shared" si="652"/>
        <v>112051</v>
      </c>
      <c r="GK75" s="339">
        <f t="shared" si="652"/>
        <v>114775</v>
      </c>
      <c r="GL75" s="646">
        <f t="shared" si="652"/>
        <v>127633</v>
      </c>
      <c r="GM75" s="647">
        <f t="shared" si="652"/>
        <v>193478</v>
      </c>
      <c r="GN75" s="341">
        <f t="shared" ref="GN75:GN114" si="654">SUM(GB75:GM75)</f>
        <v>1476460</v>
      </c>
      <c r="GO75" s="645">
        <f t="shared" ref="GO75:GZ75" si="655">SUM(GO76:GO80)</f>
        <v>131326</v>
      </c>
      <c r="GP75" s="339">
        <f t="shared" si="655"/>
        <v>114093</v>
      </c>
      <c r="GQ75" s="339">
        <f t="shared" si="655"/>
        <v>115001</v>
      </c>
      <c r="GR75" s="339">
        <f t="shared" si="655"/>
        <v>118620</v>
      </c>
      <c r="GS75" s="339">
        <f t="shared" si="655"/>
        <v>127692</v>
      </c>
      <c r="GT75" s="339">
        <f t="shared" si="655"/>
        <v>128749</v>
      </c>
      <c r="GU75" s="339">
        <f t="shared" si="655"/>
        <v>191502</v>
      </c>
      <c r="GV75" s="339">
        <f t="shared" si="655"/>
        <v>138228</v>
      </c>
      <c r="GW75" s="339">
        <f t="shared" si="655"/>
        <v>131363</v>
      </c>
      <c r="GX75" s="339">
        <f t="shared" si="655"/>
        <v>130925</v>
      </c>
      <c r="GY75" s="339">
        <f t="shared" si="655"/>
        <v>154816</v>
      </c>
      <c r="GZ75" s="642">
        <f t="shared" si="655"/>
        <v>203521</v>
      </c>
      <c r="HA75" s="642">
        <f t="shared" ref="HA75:HA115" si="656">SUM(GO75:GZ75)</f>
        <v>1685836</v>
      </c>
      <c r="HB75" s="645">
        <f t="shared" ref="HB75:HM75" si="657">SUM(HB76:HB80)</f>
        <v>156156</v>
      </c>
      <c r="HC75" s="339">
        <f t="shared" si="657"/>
        <v>126186</v>
      </c>
      <c r="HD75" s="339">
        <f t="shared" si="657"/>
        <v>127337</v>
      </c>
      <c r="HE75" s="339">
        <f t="shared" si="657"/>
        <v>144541</v>
      </c>
      <c r="HF75" s="339">
        <f t="shared" si="657"/>
        <v>146139</v>
      </c>
      <c r="HG75" s="339">
        <f t="shared" si="657"/>
        <v>144105</v>
      </c>
      <c r="HH75" s="339">
        <f t="shared" si="657"/>
        <v>151837</v>
      </c>
      <c r="HI75" s="339">
        <f t="shared" si="657"/>
        <v>155025</v>
      </c>
      <c r="HJ75" s="339">
        <f t="shared" si="657"/>
        <v>149248</v>
      </c>
      <c r="HK75" s="339">
        <f t="shared" si="657"/>
        <v>149514</v>
      </c>
      <c r="HL75" s="339">
        <f t="shared" si="657"/>
        <v>204648</v>
      </c>
      <c r="HM75" s="642">
        <f t="shared" si="657"/>
        <v>190749</v>
      </c>
      <c r="HN75" s="642">
        <f t="shared" ref="HN75:HN115" si="658">SUM(HB75:HM75)</f>
        <v>1845485</v>
      </c>
      <c r="HO75" s="339">
        <f t="shared" ref="HO75:HZ75" si="659">SUM(HO76:HO80)</f>
        <v>159689</v>
      </c>
      <c r="HP75" s="339">
        <f t="shared" si="659"/>
        <v>129738</v>
      </c>
      <c r="HQ75" s="339">
        <f t="shared" si="659"/>
        <v>136001</v>
      </c>
      <c r="HR75" s="339">
        <f t="shared" si="659"/>
        <v>151278</v>
      </c>
      <c r="HS75" s="339">
        <f t="shared" si="659"/>
        <v>185663</v>
      </c>
      <c r="HT75" s="339">
        <f t="shared" si="659"/>
        <v>149235</v>
      </c>
      <c r="HU75" s="339">
        <f t="shared" si="659"/>
        <v>156025</v>
      </c>
      <c r="HV75" s="339">
        <f t="shared" si="659"/>
        <v>163660</v>
      </c>
      <c r="HW75" s="339">
        <f t="shared" si="659"/>
        <v>158645</v>
      </c>
      <c r="HX75" s="339">
        <f t="shared" si="659"/>
        <v>158823</v>
      </c>
      <c r="HY75" s="339">
        <f t="shared" si="659"/>
        <v>159332</v>
      </c>
      <c r="HZ75" s="339">
        <f t="shared" si="659"/>
        <v>229324</v>
      </c>
      <c r="IA75" s="645">
        <f t="shared" ref="IA75:IA115" si="660">SUM(HO75:HZ75)</f>
        <v>1937413</v>
      </c>
      <c r="IB75" s="1328">
        <f t="shared" ref="IB75:ID75" si="661">SUM(IB76:IB80)</f>
        <v>189202</v>
      </c>
      <c r="IC75" s="129">
        <f t="shared" si="661"/>
        <v>147186</v>
      </c>
      <c r="ID75" s="129">
        <f t="shared" si="661"/>
        <v>160295</v>
      </c>
      <c r="IE75" s="129">
        <f>SUM(IE76:IE80)</f>
        <v>160369</v>
      </c>
      <c r="IF75" s="129">
        <f>SUM(IF76:IF80)</f>
        <v>173862</v>
      </c>
      <c r="IG75" s="129">
        <f>SUM(IG76:IG80)</f>
        <v>168831</v>
      </c>
      <c r="IH75" s="129">
        <f>SUM(IH76:IH80)</f>
        <v>176363</v>
      </c>
      <c r="II75" s="129">
        <f>SUM(II76:II80)</f>
        <v>178399</v>
      </c>
      <c r="IJ75" s="129"/>
      <c r="IK75" s="129"/>
      <c r="IL75" s="129"/>
      <c r="IM75" s="1268"/>
      <c r="IN75" s="1343">
        <f>SUM(IB75:IM75)</f>
        <v>1354507</v>
      </c>
      <c r="IO75" s="1266"/>
      <c r="IP75" s="1060">
        <f t="shared" ref="IP75:IP115" si="662">IFERROR(((
_xlfn.XLOOKUP((DATE(YEAR($IP$5),MONTH($IP$5),1)),$B$5:$IN$5,$B75:$IN75) /
_xlfn.XLOOKUP((DATE(YEAR($IP$5)-1,MONTH($IP$5),1)),$B$5:$IN$5,$B75:$IN75)
)-1)*100,"")</f>
        <v>9.0058658193816541</v>
      </c>
      <c r="IQ75" s="1019">
        <f t="shared" ref="IQ75:IQ115" si="663">IFERROR(((IS75/IR75)-1)*100,"-")</f>
        <v>10.007236319012037</v>
      </c>
      <c r="IR75" s="341">
        <f t="shared" ref="IR75:IR115" si="664">IFERROR(SUM(HO75:HV75),"-")</f>
        <v>1231289</v>
      </c>
      <c r="IS75" s="341">
        <f t="shared" ref="IS75:IS115" si="665">IFERROR(SUM(IB75:IM75),"-")</f>
        <v>1354507</v>
      </c>
      <c r="IU75" s="320">
        <f t="shared" ref="IU75:IU92" si="666">+II75-HV75</f>
        <v>14739</v>
      </c>
    </row>
    <row r="76" spans="1:255" ht="15" customHeight="1" x14ac:dyDescent="0.2">
      <c r="A76" s="644" t="s">
        <v>317</v>
      </c>
      <c r="BA76" s="644"/>
      <c r="BB76" s="345">
        <v>28309</v>
      </c>
      <c r="BC76" s="320">
        <v>24648</v>
      </c>
      <c r="BD76" s="320">
        <v>23842</v>
      </c>
      <c r="BE76" s="320">
        <v>25165</v>
      </c>
      <c r="BF76" s="320">
        <v>27200</v>
      </c>
      <c r="BG76" s="320">
        <v>25049</v>
      </c>
      <c r="BH76" s="320">
        <v>30462</v>
      </c>
      <c r="BI76" s="320">
        <v>25110</v>
      </c>
      <c r="BJ76" s="320">
        <v>26436</v>
      </c>
      <c r="BK76" s="320">
        <v>26576</v>
      </c>
      <c r="BL76" s="320">
        <v>26302</v>
      </c>
      <c r="BM76" s="320">
        <v>38098</v>
      </c>
      <c r="BN76" s="344">
        <f>SUM(BB76:BM76)</f>
        <v>327197</v>
      </c>
      <c r="BO76" s="320">
        <v>29696</v>
      </c>
      <c r="BP76" s="320">
        <v>30886</v>
      </c>
      <c r="BQ76" s="320">
        <v>28682</v>
      </c>
      <c r="BR76" s="320">
        <v>29416</v>
      </c>
      <c r="BS76" s="320">
        <v>30010</v>
      </c>
      <c r="BT76" s="320">
        <v>31382</v>
      </c>
      <c r="BU76" s="320">
        <v>33298</v>
      </c>
      <c r="BV76" s="320">
        <v>29709</v>
      </c>
      <c r="BW76" s="320">
        <v>29396</v>
      </c>
      <c r="BX76" s="320">
        <v>29910</v>
      </c>
      <c r="BY76" s="320">
        <v>30867</v>
      </c>
      <c r="BZ76" s="320">
        <v>42099</v>
      </c>
      <c r="CA76" s="344">
        <f>SUM(BO76:BZ76)</f>
        <v>375351</v>
      </c>
      <c r="CB76" s="320">
        <f t="shared" ref="CB76:CM76" si="667">CB9</f>
        <v>35238</v>
      </c>
      <c r="CC76" s="320">
        <f t="shared" si="667"/>
        <v>32283</v>
      </c>
      <c r="CD76" s="320">
        <f t="shared" si="667"/>
        <v>29950</v>
      </c>
      <c r="CE76" s="320">
        <f t="shared" si="667"/>
        <v>31211</v>
      </c>
      <c r="CF76" s="320">
        <f t="shared" si="667"/>
        <v>31030</v>
      </c>
      <c r="CG76" s="320">
        <f t="shared" si="667"/>
        <v>32398</v>
      </c>
      <c r="CH76" s="320">
        <f t="shared" si="667"/>
        <v>59837</v>
      </c>
      <c r="CI76" s="320">
        <f t="shared" si="667"/>
        <v>31645</v>
      </c>
      <c r="CJ76" s="320">
        <f t="shared" si="667"/>
        <v>33277</v>
      </c>
      <c r="CK76" s="320">
        <f t="shared" si="667"/>
        <v>33260</v>
      </c>
      <c r="CL76" s="320">
        <f t="shared" si="667"/>
        <v>38816</v>
      </c>
      <c r="CM76" s="320">
        <f t="shared" si="667"/>
        <v>50824</v>
      </c>
      <c r="CN76" s="344">
        <f>SUM(CB76:CM76)</f>
        <v>439769</v>
      </c>
      <c r="CO76" s="345">
        <f t="shared" ref="CO76:CZ76" si="668">CO9</f>
        <v>34307</v>
      </c>
      <c r="CP76" s="320">
        <f t="shared" si="668"/>
        <v>34413</v>
      </c>
      <c r="CQ76" s="320">
        <f t="shared" si="668"/>
        <v>28786</v>
      </c>
      <c r="CR76" s="320">
        <f t="shared" si="668"/>
        <v>34135</v>
      </c>
      <c r="CS76" s="320">
        <f t="shared" si="668"/>
        <v>34280</v>
      </c>
      <c r="CT76" s="320">
        <f t="shared" si="668"/>
        <v>36574</v>
      </c>
      <c r="CU76" s="320">
        <f t="shared" si="668"/>
        <v>40659</v>
      </c>
      <c r="CV76" s="320">
        <f t="shared" si="668"/>
        <v>36201</v>
      </c>
      <c r="CW76" s="320">
        <f t="shared" si="668"/>
        <v>35845</v>
      </c>
      <c r="CX76" s="320">
        <f t="shared" si="668"/>
        <v>37007</v>
      </c>
      <c r="CY76" s="320">
        <f t="shared" si="668"/>
        <v>38114</v>
      </c>
      <c r="CZ76" s="320">
        <f t="shared" si="668"/>
        <v>53388</v>
      </c>
      <c r="DA76" s="344">
        <f>SUM(CO76:CZ76)</f>
        <v>443709</v>
      </c>
      <c r="DB76" s="320">
        <f t="shared" ref="DB76:DM76" si="669">DB9</f>
        <v>40949</v>
      </c>
      <c r="DC76" s="320">
        <f t="shared" si="669"/>
        <v>37270</v>
      </c>
      <c r="DD76" s="320">
        <f t="shared" si="669"/>
        <v>35733</v>
      </c>
      <c r="DE76" s="320">
        <f t="shared" si="669"/>
        <v>37496</v>
      </c>
      <c r="DF76" s="320">
        <f t="shared" si="669"/>
        <v>38349</v>
      </c>
      <c r="DG76" s="320">
        <f t="shared" si="669"/>
        <v>39465</v>
      </c>
      <c r="DH76" s="320">
        <f t="shared" si="669"/>
        <v>48955</v>
      </c>
      <c r="DI76" s="320">
        <f t="shared" si="669"/>
        <v>41212</v>
      </c>
      <c r="DJ76" s="320">
        <f t="shared" si="669"/>
        <v>42582</v>
      </c>
      <c r="DK76" s="320">
        <f t="shared" si="669"/>
        <v>41395</v>
      </c>
      <c r="DL76" s="320">
        <f t="shared" si="669"/>
        <v>46381</v>
      </c>
      <c r="DM76" s="320">
        <f t="shared" si="669"/>
        <v>55540</v>
      </c>
      <c r="DN76" s="345">
        <f>SUM(DB76:DM76)</f>
        <v>505327</v>
      </c>
      <c r="DO76" s="345">
        <f t="shared" ref="DO76:DZ76" si="670">DO9</f>
        <v>45042</v>
      </c>
      <c r="DP76" s="320">
        <f t="shared" si="670"/>
        <v>40337</v>
      </c>
      <c r="DQ76" s="320">
        <f t="shared" si="670"/>
        <v>40762</v>
      </c>
      <c r="DR76" s="320">
        <f t="shared" si="670"/>
        <v>44870</v>
      </c>
      <c r="DS76" s="320">
        <f t="shared" si="670"/>
        <v>44665</v>
      </c>
      <c r="DT76" s="320">
        <f t="shared" si="670"/>
        <v>44388</v>
      </c>
      <c r="DU76" s="320">
        <f t="shared" si="670"/>
        <v>51902</v>
      </c>
      <c r="DV76" s="320">
        <f t="shared" si="670"/>
        <v>47080</v>
      </c>
      <c r="DW76" s="320">
        <f t="shared" si="670"/>
        <v>46592</v>
      </c>
      <c r="DX76" s="320">
        <f t="shared" si="670"/>
        <v>50100</v>
      </c>
      <c r="DY76" s="320">
        <f t="shared" si="670"/>
        <v>64642</v>
      </c>
      <c r="DZ76" s="320">
        <f t="shared" si="670"/>
        <v>76371</v>
      </c>
      <c r="EA76" s="344">
        <f>SUM(DO76:DZ76)</f>
        <v>596751</v>
      </c>
      <c r="EB76" s="320">
        <f t="shared" ref="EB76:EM76" si="671">EB9</f>
        <v>57079</v>
      </c>
      <c r="EC76" s="320">
        <f t="shared" si="671"/>
        <v>52677</v>
      </c>
      <c r="ED76" s="320">
        <f t="shared" si="671"/>
        <v>51171</v>
      </c>
      <c r="EE76" s="320">
        <f t="shared" si="671"/>
        <v>56450</v>
      </c>
      <c r="EF76" s="320">
        <f t="shared" si="671"/>
        <v>54637</v>
      </c>
      <c r="EG76" s="320">
        <f t="shared" si="671"/>
        <v>54630</v>
      </c>
      <c r="EH76" s="320">
        <f t="shared" si="671"/>
        <v>59811</v>
      </c>
      <c r="EI76" s="320">
        <f t="shared" si="671"/>
        <v>54522</v>
      </c>
      <c r="EJ76" s="320">
        <f t="shared" si="671"/>
        <v>53784</v>
      </c>
      <c r="EK76" s="320">
        <f t="shared" si="671"/>
        <v>54263</v>
      </c>
      <c r="EL76" s="320">
        <f t="shared" si="671"/>
        <v>54114</v>
      </c>
      <c r="EM76" s="320">
        <f t="shared" si="671"/>
        <v>74229</v>
      </c>
      <c r="EN76" s="344">
        <f>SUM(EB76:EM76)</f>
        <v>677367</v>
      </c>
      <c r="EO76" s="320">
        <f t="shared" ref="EO76:EZ76" si="672">EO9</f>
        <v>62169</v>
      </c>
      <c r="EP76" s="320">
        <f t="shared" si="672"/>
        <v>52446</v>
      </c>
      <c r="EQ76" s="320">
        <f t="shared" si="672"/>
        <v>54077</v>
      </c>
      <c r="ER76" s="320">
        <f t="shared" si="672"/>
        <v>56379</v>
      </c>
      <c r="ES76" s="320">
        <f t="shared" si="672"/>
        <v>57440</v>
      </c>
      <c r="ET76" s="320">
        <f t="shared" si="672"/>
        <v>57181</v>
      </c>
      <c r="EU76" s="320">
        <f t="shared" si="672"/>
        <v>62523</v>
      </c>
      <c r="EV76" s="320">
        <f t="shared" si="672"/>
        <v>57132</v>
      </c>
      <c r="EW76" s="320">
        <f t="shared" si="672"/>
        <v>59601</v>
      </c>
      <c r="EX76" s="320">
        <f t="shared" si="672"/>
        <v>59323</v>
      </c>
      <c r="EY76" s="320">
        <f t="shared" si="672"/>
        <v>64074</v>
      </c>
      <c r="EZ76" s="320">
        <f t="shared" si="672"/>
        <v>91958</v>
      </c>
      <c r="FA76" s="344">
        <f>SUM(EO76:EZ76)</f>
        <v>734303</v>
      </c>
      <c r="FB76" s="320">
        <f t="shared" ref="FB76:FM76" si="673">FB9</f>
        <v>61620</v>
      </c>
      <c r="FC76" s="320">
        <f t="shared" si="673"/>
        <v>56961</v>
      </c>
      <c r="FD76" s="320">
        <f t="shared" si="673"/>
        <v>61988</v>
      </c>
      <c r="FE76" s="320">
        <f t="shared" si="673"/>
        <v>64758</v>
      </c>
      <c r="FF76" s="320">
        <f t="shared" si="673"/>
        <v>62387</v>
      </c>
      <c r="FG76" s="320">
        <f t="shared" si="673"/>
        <v>61686</v>
      </c>
      <c r="FH76" s="320">
        <f t="shared" si="673"/>
        <v>71266</v>
      </c>
      <c r="FI76" s="320">
        <f t="shared" si="673"/>
        <v>65136</v>
      </c>
      <c r="FJ76" s="320">
        <f t="shared" si="673"/>
        <v>63752</v>
      </c>
      <c r="FK76" s="320">
        <f t="shared" si="673"/>
        <v>65417</v>
      </c>
      <c r="FL76" s="320">
        <f t="shared" si="673"/>
        <v>74529</v>
      </c>
      <c r="FM76" s="320">
        <f t="shared" si="673"/>
        <v>109012</v>
      </c>
      <c r="FN76" s="344">
        <f>SUM(FB76:FM76)</f>
        <v>818512</v>
      </c>
      <c r="FO76" s="320">
        <f t="shared" ref="FO76:FZ76" si="674">FO9</f>
        <v>67710</v>
      </c>
      <c r="FP76" s="320">
        <f t="shared" si="674"/>
        <v>69018</v>
      </c>
      <c r="FQ76" s="320">
        <f t="shared" si="674"/>
        <v>67681</v>
      </c>
      <c r="FR76" s="320">
        <f t="shared" si="674"/>
        <v>72286</v>
      </c>
      <c r="FS76" s="320">
        <f t="shared" si="674"/>
        <v>71073</v>
      </c>
      <c r="FT76" s="320">
        <f t="shared" si="674"/>
        <v>70169</v>
      </c>
      <c r="FU76" s="320">
        <f t="shared" si="674"/>
        <v>74055</v>
      </c>
      <c r="FV76" s="320">
        <f t="shared" si="674"/>
        <v>67523</v>
      </c>
      <c r="FW76" s="320">
        <f t="shared" si="674"/>
        <v>70960</v>
      </c>
      <c r="FX76" s="320">
        <f t="shared" si="674"/>
        <v>69955</v>
      </c>
      <c r="FY76" s="320">
        <f t="shared" si="674"/>
        <v>70357</v>
      </c>
      <c r="FZ76" s="343">
        <f t="shared" si="674"/>
        <v>100119</v>
      </c>
      <c r="GA76" s="343">
        <f t="shared" si="653"/>
        <v>870906</v>
      </c>
      <c r="GB76" s="345">
        <f t="shared" ref="GB76:GM76" si="675">GB9</f>
        <v>67129</v>
      </c>
      <c r="GC76" s="320">
        <f t="shared" si="675"/>
        <v>68656</v>
      </c>
      <c r="GD76" s="320">
        <f t="shared" si="675"/>
        <v>70687</v>
      </c>
      <c r="GE76" s="320">
        <f t="shared" si="675"/>
        <v>72211</v>
      </c>
      <c r="GF76" s="320">
        <f t="shared" si="675"/>
        <v>71478</v>
      </c>
      <c r="GG76" s="320">
        <f t="shared" si="675"/>
        <v>75771</v>
      </c>
      <c r="GH76" s="320">
        <f t="shared" si="675"/>
        <v>78352</v>
      </c>
      <c r="GI76" s="320">
        <f t="shared" si="675"/>
        <v>78756</v>
      </c>
      <c r="GJ76" s="320">
        <f t="shared" si="675"/>
        <v>70710</v>
      </c>
      <c r="GK76" s="320">
        <f t="shared" si="675"/>
        <v>73066</v>
      </c>
      <c r="GL76" s="319">
        <f t="shared" si="675"/>
        <v>75892</v>
      </c>
      <c r="GM76" s="346">
        <f t="shared" si="675"/>
        <v>93938</v>
      </c>
      <c r="GN76" s="344">
        <f t="shared" si="654"/>
        <v>896646</v>
      </c>
      <c r="GO76" s="345">
        <f t="shared" ref="GO76:GZ76" si="676">GO9</f>
        <v>109548</v>
      </c>
      <c r="GP76" s="320">
        <f t="shared" si="676"/>
        <v>82911</v>
      </c>
      <c r="GQ76" s="320">
        <f t="shared" si="676"/>
        <v>74939</v>
      </c>
      <c r="GR76" s="320">
        <f t="shared" si="676"/>
        <v>82659</v>
      </c>
      <c r="GS76" s="320">
        <f t="shared" si="676"/>
        <v>82724</v>
      </c>
      <c r="GT76" s="320">
        <f t="shared" si="676"/>
        <v>85729</v>
      </c>
      <c r="GU76" s="320">
        <f t="shared" si="676"/>
        <v>90841</v>
      </c>
      <c r="GV76" s="320">
        <f t="shared" si="676"/>
        <v>82546</v>
      </c>
      <c r="GW76" s="320">
        <f t="shared" si="676"/>
        <v>83529</v>
      </c>
      <c r="GX76" s="320">
        <f t="shared" si="676"/>
        <v>81882</v>
      </c>
      <c r="GY76" s="320">
        <f t="shared" si="676"/>
        <v>94879</v>
      </c>
      <c r="GZ76" s="343">
        <f t="shared" si="676"/>
        <v>107227</v>
      </c>
      <c r="HA76" s="343">
        <f t="shared" si="656"/>
        <v>1059414</v>
      </c>
      <c r="HB76" s="345">
        <f t="shared" ref="HB76:HM76" si="677">HB9</f>
        <v>146876</v>
      </c>
      <c r="HC76" s="320">
        <f t="shared" si="677"/>
        <v>110607</v>
      </c>
      <c r="HD76" s="320">
        <f t="shared" si="677"/>
        <v>108180</v>
      </c>
      <c r="HE76" s="320">
        <f t="shared" si="677"/>
        <v>118049</v>
      </c>
      <c r="HF76" s="320">
        <f t="shared" si="677"/>
        <v>116455</v>
      </c>
      <c r="HG76" s="320">
        <f t="shared" si="677"/>
        <v>114009</v>
      </c>
      <c r="HH76" s="320">
        <f t="shared" si="677"/>
        <v>122364</v>
      </c>
      <c r="HI76" s="320">
        <f t="shared" si="677"/>
        <v>119411</v>
      </c>
      <c r="HJ76" s="320">
        <f t="shared" si="677"/>
        <v>115685</v>
      </c>
      <c r="HK76" s="320">
        <f t="shared" si="677"/>
        <v>118094</v>
      </c>
      <c r="HL76" s="320">
        <f t="shared" si="677"/>
        <v>169852</v>
      </c>
      <c r="HM76" s="343">
        <f t="shared" si="677"/>
        <v>130581</v>
      </c>
      <c r="HN76" s="343">
        <f t="shared" si="658"/>
        <v>1490163</v>
      </c>
      <c r="HO76" s="320">
        <f t="shared" ref="HO76:HZ76" si="678">HO9</f>
        <v>150875</v>
      </c>
      <c r="HP76" s="320">
        <f t="shared" si="678"/>
        <v>113120</v>
      </c>
      <c r="HQ76" s="320">
        <f t="shared" si="678"/>
        <v>113778</v>
      </c>
      <c r="HR76" s="320">
        <f t="shared" si="678"/>
        <v>121591</v>
      </c>
      <c r="HS76" s="320">
        <f t="shared" si="678"/>
        <v>153772</v>
      </c>
      <c r="HT76" s="320">
        <f t="shared" si="678"/>
        <v>122593</v>
      </c>
      <c r="HU76" s="320">
        <f t="shared" si="678"/>
        <v>128808</v>
      </c>
      <c r="HV76" s="320">
        <f t="shared" si="678"/>
        <v>125918</v>
      </c>
      <c r="HW76" s="320">
        <f t="shared" si="678"/>
        <v>123277</v>
      </c>
      <c r="HX76" s="320">
        <f t="shared" si="678"/>
        <v>119272</v>
      </c>
      <c r="HY76" s="320">
        <f t="shared" si="678"/>
        <v>126054</v>
      </c>
      <c r="HZ76" s="320">
        <f t="shared" si="678"/>
        <v>160417</v>
      </c>
      <c r="IA76" s="345">
        <f t="shared" si="660"/>
        <v>1559475</v>
      </c>
      <c r="IB76" s="1324">
        <f>IB9</f>
        <v>181131</v>
      </c>
      <c r="IC76">
        <f>IC9</f>
        <v>125179</v>
      </c>
      <c r="ID76">
        <f>ID9</f>
        <v>127842</v>
      </c>
      <c r="IE76">
        <f>IE9</f>
        <v>129976</v>
      </c>
      <c r="IF76">
        <f>IF9</f>
        <v>131212</v>
      </c>
      <c r="IG76">
        <f t="shared" ref="IG76" si="679">IG9</f>
        <v>132707</v>
      </c>
      <c r="IH76">
        <f>IH9</f>
        <v>139698</v>
      </c>
      <c r="II76">
        <f>II9</f>
        <v>139899</v>
      </c>
      <c r="IM76" s="1266"/>
      <c r="IN76" s="1059">
        <f t="shared" ref="IN76:IN115" si="680">SUM(IB76:IM76)</f>
        <v>1107644</v>
      </c>
      <c r="IO76" s="1266"/>
      <c r="IP76" s="1060">
        <f t="shared" si="662"/>
        <v>11.103257675630163</v>
      </c>
      <c r="IQ76" s="639">
        <f t="shared" si="663"/>
        <v>7.4907686410372154</v>
      </c>
      <c r="IR76" s="344">
        <f t="shared" si="664"/>
        <v>1030455</v>
      </c>
      <c r="IS76" s="344">
        <f t="shared" si="665"/>
        <v>1107644</v>
      </c>
      <c r="IU76" s="320">
        <f t="shared" si="666"/>
        <v>13981</v>
      </c>
    </row>
    <row r="77" spans="1:255" ht="15" customHeight="1" x14ac:dyDescent="0.2">
      <c r="A77" s="342" t="s">
        <v>318</v>
      </c>
      <c r="BA77" s="644"/>
      <c r="BB77" s="345"/>
      <c r="BC77" s="320"/>
      <c r="BD77" s="320"/>
      <c r="BE77" s="320"/>
      <c r="BF77" s="320"/>
      <c r="BG77" s="320"/>
      <c r="BH77" s="320"/>
      <c r="BI77" s="320"/>
      <c r="BJ77" s="320"/>
      <c r="BK77" s="320"/>
      <c r="BL77" s="320"/>
      <c r="BM77" s="320"/>
      <c r="BN77" s="344"/>
      <c r="BO77" s="320">
        <f t="shared" ref="BO77:CT77" si="681">+BO10</f>
        <v>4737</v>
      </c>
      <c r="BP77" s="320">
        <f t="shared" si="681"/>
        <v>3435</v>
      </c>
      <c r="BQ77" s="320">
        <f t="shared" si="681"/>
        <v>3286</v>
      </c>
      <c r="BR77" s="320">
        <f t="shared" si="681"/>
        <v>3880</v>
      </c>
      <c r="BS77" s="320">
        <f t="shared" si="681"/>
        <v>3288</v>
      </c>
      <c r="BT77" s="320">
        <f t="shared" si="681"/>
        <v>4849</v>
      </c>
      <c r="BU77" s="320">
        <f t="shared" si="681"/>
        <v>4163</v>
      </c>
      <c r="BV77" s="320">
        <f t="shared" si="681"/>
        <v>3264</v>
      </c>
      <c r="BW77" s="320">
        <f t="shared" si="681"/>
        <v>3618</v>
      </c>
      <c r="BX77" s="320">
        <f t="shared" si="681"/>
        <v>3282</v>
      </c>
      <c r="BY77" s="320">
        <f t="shared" si="681"/>
        <v>3435</v>
      </c>
      <c r="BZ77" s="320">
        <f t="shared" si="681"/>
        <v>6715</v>
      </c>
      <c r="CA77" s="344">
        <f t="shared" si="681"/>
        <v>47952</v>
      </c>
      <c r="CB77" s="320">
        <f t="shared" si="681"/>
        <v>4678</v>
      </c>
      <c r="CC77" s="320">
        <f t="shared" si="681"/>
        <v>3532</v>
      </c>
      <c r="CD77" s="320">
        <f t="shared" si="681"/>
        <v>3294</v>
      </c>
      <c r="CE77" s="320">
        <f t="shared" si="681"/>
        <v>3981</v>
      </c>
      <c r="CF77" s="320">
        <f t="shared" si="681"/>
        <v>3918</v>
      </c>
      <c r="CG77" s="320">
        <f t="shared" si="681"/>
        <v>3188</v>
      </c>
      <c r="CH77" s="320">
        <f t="shared" si="681"/>
        <v>5099</v>
      </c>
      <c r="CI77" s="320">
        <f t="shared" si="681"/>
        <v>3353</v>
      </c>
      <c r="CJ77" s="320">
        <f t="shared" si="681"/>
        <v>3735</v>
      </c>
      <c r="CK77" s="320">
        <f t="shared" si="681"/>
        <v>3466</v>
      </c>
      <c r="CL77" s="320">
        <f t="shared" si="681"/>
        <v>3736</v>
      </c>
      <c r="CM77" s="320">
        <f t="shared" si="681"/>
        <v>6846</v>
      </c>
      <c r="CN77" s="344">
        <f t="shared" si="681"/>
        <v>48826</v>
      </c>
      <c r="CO77" s="345">
        <f t="shared" si="681"/>
        <v>4699</v>
      </c>
      <c r="CP77" s="320">
        <f t="shared" si="681"/>
        <v>3590</v>
      </c>
      <c r="CQ77" s="320">
        <f t="shared" si="681"/>
        <v>3468</v>
      </c>
      <c r="CR77" s="320">
        <f t="shared" si="681"/>
        <v>3648</v>
      </c>
      <c r="CS77" s="320">
        <f t="shared" si="681"/>
        <v>3575</v>
      </c>
      <c r="CT77" s="320">
        <f t="shared" si="681"/>
        <v>3610</v>
      </c>
      <c r="CU77" s="320">
        <f t="shared" ref="CU77:DZ77" si="682">+CU10</f>
        <v>4451</v>
      </c>
      <c r="CV77" s="320">
        <f t="shared" si="682"/>
        <v>3457</v>
      </c>
      <c r="CW77" s="320">
        <f t="shared" si="682"/>
        <v>3289</v>
      </c>
      <c r="CX77" s="320">
        <f t="shared" si="682"/>
        <v>3478</v>
      </c>
      <c r="CY77" s="320">
        <f t="shared" si="682"/>
        <v>3905</v>
      </c>
      <c r="CZ77" s="320">
        <f t="shared" si="682"/>
        <v>4696</v>
      </c>
      <c r="DA77" s="344">
        <f t="shared" si="682"/>
        <v>45866</v>
      </c>
      <c r="DB77" s="320">
        <f t="shared" si="682"/>
        <v>4661</v>
      </c>
      <c r="DC77" s="320">
        <f t="shared" si="682"/>
        <v>3482</v>
      </c>
      <c r="DD77" s="320">
        <f t="shared" si="682"/>
        <v>3392</v>
      </c>
      <c r="DE77" s="320">
        <f t="shared" si="682"/>
        <v>3296</v>
      </c>
      <c r="DF77" s="320">
        <f t="shared" si="682"/>
        <v>3480</v>
      </c>
      <c r="DG77" s="320">
        <f t="shared" si="682"/>
        <v>4119</v>
      </c>
      <c r="DH77" s="320">
        <f t="shared" si="682"/>
        <v>4553</v>
      </c>
      <c r="DI77" s="320">
        <f t="shared" si="682"/>
        <v>3560</v>
      </c>
      <c r="DJ77" s="320">
        <f t="shared" si="682"/>
        <v>3423</v>
      </c>
      <c r="DK77" s="320">
        <f t="shared" si="682"/>
        <v>3386</v>
      </c>
      <c r="DL77" s="320">
        <f t="shared" si="682"/>
        <v>3566</v>
      </c>
      <c r="DM77" s="320">
        <f t="shared" si="682"/>
        <v>4789</v>
      </c>
      <c r="DN77" s="345">
        <f t="shared" si="682"/>
        <v>45707</v>
      </c>
      <c r="DO77" s="345">
        <f t="shared" si="682"/>
        <v>4697</v>
      </c>
      <c r="DP77" s="320">
        <f t="shared" si="682"/>
        <v>3336</v>
      </c>
      <c r="DQ77" s="320">
        <f t="shared" si="682"/>
        <v>3845</v>
      </c>
      <c r="DR77" s="320">
        <f t="shared" si="682"/>
        <v>3529</v>
      </c>
      <c r="DS77" s="320">
        <f t="shared" si="682"/>
        <v>3427</v>
      </c>
      <c r="DT77" s="320">
        <f t="shared" si="682"/>
        <v>3420</v>
      </c>
      <c r="DU77" s="320">
        <f t="shared" si="682"/>
        <v>4988</v>
      </c>
      <c r="DV77" s="320">
        <f t="shared" si="682"/>
        <v>3530</v>
      </c>
      <c r="DW77" s="320">
        <f t="shared" si="682"/>
        <v>3419</v>
      </c>
      <c r="DX77" s="320">
        <f t="shared" si="682"/>
        <v>3574</v>
      </c>
      <c r="DY77" s="320">
        <f t="shared" si="682"/>
        <v>3819</v>
      </c>
      <c r="DZ77" s="320">
        <f t="shared" si="682"/>
        <v>5969</v>
      </c>
      <c r="EA77" s="344">
        <f t="shared" ref="EA77:EZ77" si="683">+EA10</f>
        <v>47553</v>
      </c>
      <c r="EB77" s="320">
        <f t="shared" si="683"/>
        <v>5188</v>
      </c>
      <c r="EC77" s="320">
        <f t="shared" si="683"/>
        <v>3477</v>
      </c>
      <c r="ED77" s="320">
        <f t="shared" si="683"/>
        <v>3326</v>
      </c>
      <c r="EE77" s="320">
        <f t="shared" si="683"/>
        <v>3515</v>
      </c>
      <c r="EF77" s="320">
        <f t="shared" si="683"/>
        <v>4286</v>
      </c>
      <c r="EG77" s="320">
        <f t="shared" si="683"/>
        <v>3629</v>
      </c>
      <c r="EH77" s="320">
        <f t="shared" si="683"/>
        <v>4495</v>
      </c>
      <c r="EI77" s="320">
        <f t="shared" si="683"/>
        <v>3681</v>
      </c>
      <c r="EJ77" s="320">
        <f t="shared" si="683"/>
        <v>3478</v>
      </c>
      <c r="EK77" s="320">
        <f t="shared" si="683"/>
        <v>4049</v>
      </c>
      <c r="EL77" s="320">
        <f t="shared" si="683"/>
        <v>4042</v>
      </c>
      <c r="EM77" s="320">
        <f t="shared" si="683"/>
        <v>5671</v>
      </c>
      <c r="EN77" s="344">
        <f t="shared" si="683"/>
        <v>48837</v>
      </c>
      <c r="EO77" s="320">
        <f t="shared" si="683"/>
        <v>4721</v>
      </c>
      <c r="EP77" s="320">
        <f t="shared" si="683"/>
        <v>3542</v>
      </c>
      <c r="EQ77" s="320">
        <f t="shared" si="683"/>
        <v>3599</v>
      </c>
      <c r="ER77" s="320">
        <f t="shared" si="683"/>
        <v>3543</v>
      </c>
      <c r="ES77" s="320">
        <f t="shared" si="683"/>
        <v>3495</v>
      </c>
      <c r="ET77" s="320">
        <f t="shared" si="683"/>
        <v>3516</v>
      </c>
      <c r="EU77" s="320">
        <f t="shared" si="683"/>
        <v>4509</v>
      </c>
      <c r="EV77" s="320">
        <f t="shared" si="683"/>
        <v>3840</v>
      </c>
      <c r="EW77" s="320">
        <f t="shared" si="683"/>
        <v>4273</v>
      </c>
      <c r="EX77" s="320">
        <f t="shared" si="683"/>
        <v>3918</v>
      </c>
      <c r="EY77" s="320">
        <f t="shared" si="683"/>
        <v>3955</v>
      </c>
      <c r="EZ77" s="320">
        <f t="shared" si="683"/>
        <v>6616</v>
      </c>
      <c r="FA77" s="344">
        <f>SUM(EO77:EZ77)</f>
        <v>49527</v>
      </c>
      <c r="FB77" s="320">
        <f t="shared" ref="FB77:FM77" si="684">+FB10</f>
        <v>4729</v>
      </c>
      <c r="FC77" s="320">
        <f t="shared" si="684"/>
        <v>3631</v>
      </c>
      <c r="FD77" s="320">
        <f t="shared" si="684"/>
        <v>3494</v>
      </c>
      <c r="FE77" s="320">
        <f t="shared" si="684"/>
        <v>3782</v>
      </c>
      <c r="FF77" s="320">
        <f t="shared" si="684"/>
        <v>3527</v>
      </c>
      <c r="FG77" s="320">
        <f t="shared" si="684"/>
        <v>3564</v>
      </c>
      <c r="FH77" s="320">
        <f t="shared" si="684"/>
        <v>4753</v>
      </c>
      <c r="FI77" s="320">
        <f t="shared" si="684"/>
        <v>3487</v>
      </c>
      <c r="FJ77" s="320">
        <f t="shared" si="684"/>
        <v>3647</v>
      </c>
      <c r="FK77" s="320">
        <f t="shared" si="684"/>
        <v>3695</v>
      </c>
      <c r="FL77" s="320">
        <f t="shared" si="684"/>
        <v>3816</v>
      </c>
      <c r="FM77" s="320">
        <f t="shared" si="684"/>
        <v>6785</v>
      </c>
      <c r="FN77" s="344">
        <f>SUM(FB77:FM77)</f>
        <v>48910</v>
      </c>
      <c r="FO77" s="320">
        <f t="shared" ref="FO77:FZ77" si="685">+FO10</f>
        <v>4660</v>
      </c>
      <c r="FP77" s="320">
        <f t="shared" si="685"/>
        <v>3778</v>
      </c>
      <c r="FQ77" s="320">
        <f t="shared" si="685"/>
        <v>3799</v>
      </c>
      <c r="FR77" s="320">
        <f t="shared" si="685"/>
        <v>3834</v>
      </c>
      <c r="FS77" s="320">
        <f t="shared" si="685"/>
        <v>3867</v>
      </c>
      <c r="FT77" s="320">
        <f t="shared" si="685"/>
        <v>3741</v>
      </c>
      <c r="FU77" s="320">
        <f t="shared" si="685"/>
        <v>4431</v>
      </c>
      <c r="FV77" s="320">
        <f t="shared" si="685"/>
        <v>3883</v>
      </c>
      <c r="FW77" s="320">
        <f t="shared" si="685"/>
        <v>4084</v>
      </c>
      <c r="FX77" s="320">
        <f t="shared" si="685"/>
        <v>3875</v>
      </c>
      <c r="FY77" s="320">
        <f t="shared" si="685"/>
        <v>3517</v>
      </c>
      <c r="FZ77" s="343">
        <f t="shared" si="685"/>
        <v>6227</v>
      </c>
      <c r="GA77" s="343">
        <f t="shared" si="653"/>
        <v>49696</v>
      </c>
      <c r="GB77" s="345">
        <f t="shared" ref="GB77:GM77" si="686">+GB10</f>
        <v>4622</v>
      </c>
      <c r="GC77" s="320">
        <f t="shared" si="686"/>
        <v>3376</v>
      </c>
      <c r="GD77" s="320">
        <f t="shared" si="686"/>
        <v>3746</v>
      </c>
      <c r="GE77" s="320">
        <f t="shared" si="686"/>
        <v>3927</v>
      </c>
      <c r="GF77" s="320">
        <f t="shared" si="686"/>
        <v>3561</v>
      </c>
      <c r="GG77" s="320">
        <f t="shared" si="686"/>
        <v>4179</v>
      </c>
      <c r="GH77" s="320">
        <f t="shared" si="686"/>
        <v>4473</v>
      </c>
      <c r="GI77" s="320">
        <f t="shared" si="686"/>
        <v>3587</v>
      </c>
      <c r="GJ77" s="320">
        <f t="shared" si="686"/>
        <v>3452</v>
      </c>
      <c r="GK77" s="320">
        <f t="shared" si="686"/>
        <v>4049</v>
      </c>
      <c r="GL77" s="319">
        <f t="shared" si="686"/>
        <v>3867</v>
      </c>
      <c r="GM77" s="346">
        <f t="shared" si="686"/>
        <v>5968</v>
      </c>
      <c r="GN77" s="344">
        <f t="shared" si="654"/>
        <v>48807</v>
      </c>
      <c r="GO77" s="345">
        <f t="shared" ref="GO77:GZ77" si="687">+GO10</f>
        <v>4787</v>
      </c>
      <c r="GP77" s="320">
        <f t="shared" si="687"/>
        <v>3798</v>
      </c>
      <c r="GQ77" s="320">
        <f t="shared" si="687"/>
        <v>3510</v>
      </c>
      <c r="GR77" s="320">
        <f t="shared" si="687"/>
        <v>4456</v>
      </c>
      <c r="GS77" s="320">
        <f t="shared" si="687"/>
        <v>3550</v>
      </c>
      <c r="GT77" s="320">
        <f t="shared" si="687"/>
        <v>3537</v>
      </c>
      <c r="GU77" s="320">
        <f t="shared" si="687"/>
        <v>4794</v>
      </c>
      <c r="GV77" s="320">
        <f t="shared" si="687"/>
        <v>3603</v>
      </c>
      <c r="GW77" s="320">
        <f t="shared" si="687"/>
        <v>3804</v>
      </c>
      <c r="GX77" s="320">
        <f t="shared" si="687"/>
        <v>3503</v>
      </c>
      <c r="GY77" s="320">
        <f t="shared" si="687"/>
        <v>3969</v>
      </c>
      <c r="GZ77" s="343">
        <f t="shared" si="687"/>
        <v>5622</v>
      </c>
      <c r="HA77" s="343">
        <f t="shared" si="656"/>
        <v>48933</v>
      </c>
      <c r="HB77" s="345">
        <f t="shared" ref="HB77:HM77" si="688">+HB10</f>
        <v>4540</v>
      </c>
      <c r="HC77" s="320">
        <f t="shared" si="688"/>
        <v>3859</v>
      </c>
      <c r="HD77" s="320">
        <f t="shared" si="688"/>
        <v>3653</v>
      </c>
      <c r="HE77" s="320">
        <f t="shared" si="688"/>
        <v>4781</v>
      </c>
      <c r="HF77" s="320">
        <f t="shared" si="688"/>
        <v>3888</v>
      </c>
      <c r="HG77" s="320">
        <f t="shared" si="688"/>
        <v>3691</v>
      </c>
      <c r="HH77" s="320">
        <f t="shared" si="688"/>
        <v>5003</v>
      </c>
      <c r="HI77" s="320">
        <f t="shared" si="688"/>
        <v>3821</v>
      </c>
      <c r="HJ77" s="320">
        <f t="shared" si="688"/>
        <v>3675</v>
      </c>
      <c r="HK77" s="320">
        <f t="shared" si="688"/>
        <v>3517</v>
      </c>
      <c r="HL77" s="320">
        <f t="shared" si="688"/>
        <v>3706</v>
      </c>
      <c r="HM77" s="343">
        <f t="shared" si="688"/>
        <v>5057</v>
      </c>
      <c r="HN77" s="343">
        <f t="shared" si="658"/>
        <v>49191</v>
      </c>
      <c r="HO77" s="320">
        <f t="shared" ref="HO77:HZ77" si="689">+HO10</f>
        <v>4751</v>
      </c>
      <c r="HP77" s="320">
        <f t="shared" si="689"/>
        <v>3728</v>
      </c>
      <c r="HQ77" s="320">
        <f t="shared" si="689"/>
        <v>3583</v>
      </c>
      <c r="HR77" s="320">
        <f t="shared" si="689"/>
        <v>5304</v>
      </c>
      <c r="HS77" s="320">
        <f t="shared" si="689"/>
        <v>4002</v>
      </c>
      <c r="HT77" s="320">
        <f t="shared" si="689"/>
        <v>3561</v>
      </c>
      <c r="HU77" s="320">
        <f t="shared" si="689"/>
        <v>4357</v>
      </c>
      <c r="HV77" s="320">
        <f t="shared" si="689"/>
        <v>6473</v>
      </c>
      <c r="HW77" s="320">
        <f t="shared" si="689"/>
        <v>3639</v>
      </c>
      <c r="HX77" s="320">
        <f t="shared" si="689"/>
        <v>3516</v>
      </c>
      <c r="HY77" s="320">
        <f t="shared" si="689"/>
        <v>3647</v>
      </c>
      <c r="HZ77" s="320">
        <f t="shared" si="689"/>
        <v>4897</v>
      </c>
      <c r="IA77" s="345">
        <f t="shared" si="660"/>
        <v>51458</v>
      </c>
      <c r="IB77" s="1324">
        <f>+IB10</f>
        <v>5892</v>
      </c>
      <c r="IC77">
        <f>+IC10</f>
        <v>3612</v>
      </c>
      <c r="ID77">
        <f>+ID10</f>
        <v>3740</v>
      </c>
      <c r="IE77">
        <f>+IE10</f>
        <v>3791</v>
      </c>
      <c r="IF77">
        <f>+IF10</f>
        <v>3604</v>
      </c>
      <c r="IG77">
        <f t="shared" ref="IG77" si="690">+IG10</f>
        <v>3916</v>
      </c>
      <c r="IH77">
        <f>+IH10</f>
        <v>4262</v>
      </c>
      <c r="II77">
        <f>+II10</f>
        <v>3733</v>
      </c>
      <c r="IM77" s="1266"/>
      <c r="IN77" s="1059">
        <f t="shared" si="680"/>
        <v>32550</v>
      </c>
      <c r="IO77" s="1266"/>
      <c r="IP77" s="1060">
        <f t="shared" si="662"/>
        <v>-42.329677120346055</v>
      </c>
      <c r="IQ77" s="639">
        <f t="shared" si="663"/>
        <v>-8.973964596325402</v>
      </c>
      <c r="IR77" s="344">
        <f t="shared" si="664"/>
        <v>35759</v>
      </c>
      <c r="IS77" s="344">
        <f t="shared" si="665"/>
        <v>32550</v>
      </c>
      <c r="IU77" s="320">
        <f t="shared" si="666"/>
        <v>-2740</v>
      </c>
    </row>
    <row r="78" spans="1:255" ht="15" customHeight="1" x14ac:dyDescent="0.2">
      <c r="A78" s="650" t="s">
        <v>319</v>
      </c>
      <c r="B78" s="1020"/>
      <c r="C78" s="1020"/>
      <c r="D78" s="1020"/>
      <c r="E78" s="1020"/>
      <c r="F78" s="1020"/>
      <c r="G78" s="1020"/>
      <c r="H78" s="1020"/>
      <c r="I78" s="1020"/>
      <c r="J78" s="1020"/>
      <c r="K78" s="1020"/>
      <c r="L78" s="1020"/>
      <c r="M78" s="1020"/>
      <c r="N78" s="1020"/>
      <c r="O78" s="1020"/>
      <c r="P78" s="1020"/>
      <c r="Q78" s="1020"/>
      <c r="R78" s="1020"/>
      <c r="S78" s="1020"/>
      <c r="T78" s="1020"/>
      <c r="U78" s="1020"/>
      <c r="V78" s="1020"/>
      <c r="W78" s="1020"/>
      <c r="X78" s="1020"/>
      <c r="Y78" s="1020"/>
      <c r="Z78" s="1020"/>
      <c r="AA78" s="1020"/>
      <c r="AB78" s="1020"/>
      <c r="AC78" s="1020"/>
      <c r="AD78" s="1020"/>
      <c r="AE78" s="1020"/>
      <c r="AF78" s="1020"/>
      <c r="AG78" s="1020"/>
      <c r="AH78" s="1020"/>
      <c r="AI78" s="1020"/>
      <c r="AJ78" s="1020"/>
      <c r="AK78" s="1020"/>
      <c r="AL78" s="1020"/>
      <c r="AM78" s="1020"/>
      <c r="AN78" s="1020"/>
      <c r="AO78" s="1020"/>
      <c r="AP78" s="1020"/>
      <c r="AQ78" s="1020"/>
      <c r="AR78" s="1020"/>
      <c r="AS78" s="1020"/>
      <c r="AT78" s="1020"/>
      <c r="AU78" s="1020"/>
      <c r="AV78" s="1020"/>
      <c r="AW78" s="1020"/>
      <c r="AX78" s="1020"/>
      <c r="AY78" s="1020"/>
      <c r="AZ78" s="1020"/>
      <c r="BA78" s="651"/>
      <c r="BB78" s="652"/>
      <c r="BC78" s="1021"/>
      <c r="BD78" s="1021"/>
      <c r="BE78" s="1021"/>
      <c r="BF78" s="1021"/>
      <c r="BG78" s="1021"/>
      <c r="BH78" s="1021"/>
      <c r="BI78" s="1021"/>
      <c r="BJ78" s="1021"/>
      <c r="BK78" s="1021"/>
      <c r="BL78" s="1021"/>
      <c r="BM78" s="1021"/>
      <c r="BN78" s="653"/>
      <c r="BO78" s="1021">
        <f t="shared" ref="BO78:CT78" si="691">+BO13</f>
        <v>77</v>
      </c>
      <c r="BP78" s="1021">
        <f t="shared" si="691"/>
        <v>83</v>
      </c>
      <c r="BQ78" s="1021">
        <f t="shared" si="691"/>
        <v>378</v>
      </c>
      <c r="BR78" s="1021">
        <f t="shared" si="691"/>
        <v>269</v>
      </c>
      <c r="BS78" s="1021">
        <f t="shared" si="691"/>
        <v>52</v>
      </c>
      <c r="BT78" s="1021">
        <f t="shared" si="691"/>
        <v>774</v>
      </c>
      <c r="BU78" s="1021">
        <f t="shared" si="691"/>
        <v>227</v>
      </c>
      <c r="BV78" s="1021">
        <f t="shared" si="691"/>
        <v>380</v>
      </c>
      <c r="BW78" s="1021">
        <f t="shared" si="691"/>
        <v>724</v>
      </c>
      <c r="BX78" s="1021">
        <f t="shared" si="691"/>
        <v>77</v>
      </c>
      <c r="BY78" s="1021">
        <f t="shared" si="691"/>
        <v>115</v>
      </c>
      <c r="BZ78" s="1021">
        <f t="shared" si="691"/>
        <v>2286</v>
      </c>
      <c r="CA78" s="653">
        <f t="shared" si="691"/>
        <v>5442</v>
      </c>
      <c r="CB78" s="1021">
        <f t="shared" si="691"/>
        <v>45</v>
      </c>
      <c r="CC78" s="1021">
        <f t="shared" si="691"/>
        <v>60</v>
      </c>
      <c r="CD78" s="1021">
        <f t="shared" si="691"/>
        <v>112</v>
      </c>
      <c r="CE78" s="1021">
        <f t="shared" si="691"/>
        <v>14</v>
      </c>
      <c r="CF78" s="1021">
        <f t="shared" si="691"/>
        <v>64</v>
      </c>
      <c r="CG78" s="1021">
        <f t="shared" si="691"/>
        <v>185</v>
      </c>
      <c r="CH78" s="1021">
        <f t="shared" si="691"/>
        <v>382</v>
      </c>
      <c r="CI78" s="1021">
        <f t="shared" si="691"/>
        <v>75</v>
      </c>
      <c r="CJ78" s="1021">
        <f t="shared" si="691"/>
        <v>2204</v>
      </c>
      <c r="CK78" s="1021">
        <f t="shared" si="691"/>
        <v>332</v>
      </c>
      <c r="CL78" s="1021">
        <f t="shared" si="691"/>
        <v>9744</v>
      </c>
      <c r="CM78" s="1021">
        <f t="shared" si="691"/>
        <v>81</v>
      </c>
      <c r="CN78" s="653">
        <f t="shared" si="691"/>
        <v>13298</v>
      </c>
      <c r="CO78" s="652">
        <f t="shared" si="691"/>
        <v>39</v>
      </c>
      <c r="CP78" s="1021">
        <f t="shared" si="691"/>
        <v>30</v>
      </c>
      <c r="CQ78" s="1021">
        <f t="shared" si="691"/>
        <v>34</v>
      </c>
      <c r="CR78" s="1021">
        <f t="shared" si="691"/>
        <v>42</v>
      </c>
      <c r="CS78" s="1021">
        <f t="shared" si="691"/>
        <v>1520</v>
      </c>
      <c r="CT78" s="1021">
        <f t="shared" si="691"/>
        <v>31</v>
      </c>
      <c r="CU78" s="1021">
        <f t="shared" ref="CU78:DZ78" si="692">+CU13</f>
        <v>62</v>
      </c>
      <c r="CV78" s="1021">
        <f t="shared" si="692"/>
        <v>306</v>
      </c>
      <c r="CW78" s="1021">
        <f t="shared" si="692"/>
        <v>51</v>
      </c>
      <c r="CX78" s="1021">
        <f t="shared" si="692"/>
        <v>76</v>
      </c>
      <c r="CY78" s="1021">
        <f t="shared" si="692"/>
        <v>15082</v>
      </c>
      <c r="CZ78" s="1021">
        <f t="shared" si="692"/>
        <v>3295</v>
      </c>
      <c r="DA78" s="653">
        <f t="shared" si="692"/>
        <v>20568</v>
      </c>
      <c r="DB78" s="1021">
        <f t="shared" si="692"/>
        <v>12</v>
      </c>
      <c r="DC78" s="1021">
        <f t="shared" si="692"/>
        <v>31</v>
      </c>
      <c r="DD78" s="1021">
        <f t="shared" si="692"/>
        <v>1377</v>
      </c>
      <c r="DE78" s="1021">
        <f t="shared" si="692"/>
        <v>28</v>
      </c>
      <c r="DF78" s="1021">
        <f t="shared" si="692"/>
        <v>17</v>
      </c>
      <c r="DG78" s="1021">
        <f t="shared" si="692"/>
        <v>45</v>
      </c>
      <c r="DH78" s="1021">
        <f t="shared" si="692"/>
        <v>19</v>
      </c>
      <c r="DI78" s="1021">
        <f t="shared" si="692"/>
        <v>2606</v>
      </c>
      <c r="DJ78" s="1021">
        <f t="shared" si="692"/>
        <v>18</v>
      </c>
      <c r="DK78" s="1021">
        <f t="shared" si="692"/>
        <v>11</v>
      </c>
      <c r="DL78" s="1021">
        <f t="shared" si="692"/>
        <v>20</v>
      </c>
      <c r="DM78" s="1021">
        <f t="shared" si="692"/>
        <v>3261</v>
      </c>
      <c r="DN78" s="652">
        <f t="shared" si="692"/>
        <v>7445</v>
      </c>
      <c r="DO78" s="652">
        <f t="shared" si="692"/>
        <v>12</v>
      </c>
      <c r="DP78" s="1021">
        <f t="shared" si="692"/>
        <v>19</v>
      </c>
      <c r="DQ78" s="1021">
        <f t="shared" si="692"/>
        <v>42</v>
      </c>
      <c r="DR78" s="1021">
        <f t="shared" si="692"/>
        <v>17</v>
      </c>
      <c r="DS78" s="1021">
        <f t="shared" si="692"/>
        <v>17</v>
      </c>
      <c r="DT78" s="1021">
        <f t="shared" si="692"/>
        <v>6035</v>
      </c>
      <c r="DU78" s="1021">
        <f t="shared" si="692"/>
        <v>1709</v>
      </c>
      <c r="DV78" s="1021">
        <f t="shared" si="692"/>
        <v>12</v>
      </c>
      <c r="DW78" s="1021">
        <f t="shared" si="692"/>
        <v>13</v>
      </c>
      <c r="DX78" s="1021">
        <f t="shared" si="692"/>
        <v>8</v>
      </c>
      <c r="DY78" s="1021">
        <f t="shared" si="692"/>
        <v>2</v>
      </c>
      <c r="DZ78" s="1021">
        <f t="shared" si="692"/>
        <v>3613</v>
      </c>
      <c r="EA78" s="653">
        <f t="shared" ref="EA78:EZ78" si="693">+EA13</f>
        <v>11499</v>
      </c>
      <c r="EB78" s="1021">
        <f t="shared" si="693"/>
        <v>16</v>
      </c>
      <c r="EC78" s="1021">
        <f t="shared" si="693"/>
        <v>13</v>
      </c>
      <c r="ED78" s="1021">
        <f t="shared" si="693"/>
        <v>20</v>
      </c>
      <c r="EE78" s="1021">
        <f t="shared" si="693"/>
        <v>23</v>
      </c>
      <c r="EF78" s="1021">
        <f t="shared" si="693"/>
        <v>30</v>
      </c>
      <c r="EG78" s="1021">
        <f t="shared" si="693"/>
        <v>8474</v>
      </c>
      <c r="EH78" s="1021">
        <f t="shared" si="693"/>
        <v>13600</v>
      </c>
      <c r="EI78" s="1021">
        <f t="shared" si="693"/>
        <v>276</v>
      </c>
      <c r="EJ78" s="1021">
        <f t="shared" si="693"/>
        <v>21</v>
      </c>
      <c r="EK78" s="1021">
        <f t="shared" si="693"/>
        <v>29</v>
      </c>
      <c r="EL78" s="1021">
        <f t="shared" si="693"/>
        <v>23</v>
      </c>
      <c r="EM78" s="1021">
        <f t="shared" si="693"/>
        <v>1418</v>
      </c>
      <c r="EN78" s="653">
        <f t="shared" si="693"/>
        <v>23943</v>
      </c>
      <c r="EO78" s="1021">
        <f t="shared" si="693"/>
        <v>11</v>
      </c>
      <c r="EP78" s="1021">
        <f t="shared" si="693"/>
        <v>8</v>
      </c>
      <c r="EQ78" s="1021">
        <f t="shared" si="693"/>
        <v>17</v>
      </c>
      <c r="ER78" s="1021">
        <f t="shared" si="693"/>
        <v>21</v>
      </c>
      <c r="ES78" s="1021">
        <f t="shared" si="693"/>
        <v>17</v>
      </c>
      <c r="ET78" s="1021">
        <f t="shared" si="693"/>
        <v>28799</v>
      </c>
      <c r="EU78" s="1021">
        <f t="shared" si="693"/>
        <v>25</v>
      </c>
      <c r="EV78" s="1021">
        <f t="shared" si="693"/>
        <v>22</v>
      </c>
      <c r="EW78" s="1021">
        <f t="shared" si="693"/>
        <v>19</v>
      </c>
      <c r="EX78" s="1021">
        <f t="shared" si="693"/>
        <v>23</v>
      </c>
      <c r="EY78" s="1021">
        <f t="shared" si="693"/>
        <v>21</v>
      </c>
      <c r="EZ78" s="1021">
        <f t="shared" si="693"/>
        <v>9901</v>
      </c>
      <c r="FA78" s="653">
        <f>SUM(EO78:EZ78)</f>
        <v>38884</v>
      </c>
      <c r="FB78" s="1022">
        <f t="shared" ref="FB78:FM78" si="694">+FB13</f>
        <v>13</v>
      </c>
      <c r="FC78" s="1021">
        <f t="shared" si="694"/>
        <v>15</v>
      </c>
      <c r="FD78" s="1021">
        <f t="shared" si="694"/>
        <v>18</v>
      </c>
      <c r="FE78" s="1021">
        <f t="shared" si="694"/>
        <v>27</v>
      </c>
      <c r="FF78" s="1021">
        <f t="shared" si="694"/>
        <v>15</v>
      </c>
      <c r="FG78" s="1021">
        <f t="shared" si="694"/>
        <v>11</v>
      </c>
      <c r="FH78" s="1021">
        <f t="shared" si="694"/>
        <v>29</v>
      </c>
      <c r="FI78" s="1021">
        <f t="shared" si="694"/>
        <v>26</v>
      </c>
      <c r="FJ78" s="1021">
        <f t="shared" si="694"/>
        <v>15</v>
      </c>
      <c r="FK78" s="1022">
        <f t="shared" si="694"/>
        <v>9355</v>
      </c>
      <c r="FL78" s="1022">
        <f t="shared" si="694"/>
        <v>369</v>
      </c>
      <c r="FM78" s="1022">
        <f t="shared" si="694"/>
        <v>33123</v>
      </c>
      <c r="FN78" s="654">
        <f>SUM(FB78:FM78)</f>
        <v>43016</v>
      </c>
      <c r="FO78" s="1022">
        <f t="shared" ref="FO78:FZ78" si="695">+FO13</f>
        <v>3</v>
      </c>
      <c r="FP78" s="1022">
        <f t="shared" si="695"/>
        <v>24</v>
      </c>
      <c r="FQ78" s="1022">
        <f t="shared" si="695"/>
        <v>19</v>
      </c>
      <c r="FR78" s="1022">
        <f t="shared" si="695"/>
        <v>19</v>
      </c>
      <c r="FS78" s="1022">
        <f t="shared" si="695"/>
        <v>9</v>
      </c>
      <c r="FT78" s="1022">
        <f t="shared" si="695"/>
        <v>38</v>
      </c>
      <c r="FU78" s="1022">
        <f t="shared" si="695"/>
        <v>27</v>
      </c>
      <c r="FV78" s="1022">
        <f t="shared" si="695"/>
        <v>3</v>
      </c>
      <c r="FW78" s="1022">
        <f t="shared" si="695"/>
        <v>6011</v>
      </c>
      <c r="FX78" s="1022">
        <f t="shared" si="695"/>
        <v>-2</v>
      </c>
      <c r="FY78" s="1022">
        <f t="shared" si="695"/>
        <v>451</v>
      </c>
      <c r="FZ78" s="655">
        <f t="shared" si="695"/>
        <v>52088</v>
      </c>
      <c r="GA78" s="655">
        <f t="shared" si="653"/>
        <v>58690</v>
      </c>
      <c r="GB78" s="656">
        <f t="shared" ref="GB78:GM78" si="696">+GB13</f>
        <v>6</v>
      </c>
      <c r="GC78" s="1022">
        <f t="shared" si="696"/>
        <v>11</v>
      </c>
      <c r="GD78" s="1022">
        <f t="shared" si="696"/>
        <v>125</v>
      </c>
      <c r="GE78" s="1022">
        <f t="shared" si="696"/>
        <v>60</v>
      </c>
      <c r="GF78" s="1022">
        <f t="shared" si="696"/>
        <v>397</v>
      </c>
      <c r="GG78" s="1022">
        <f t="shared" si="696"/>
        <v>74</v>
      </c>
      <c r="GH78" s="1022">
        <f t="shared" si="696"/>
        <v>8423</v>
      </c>
      <c r="GI78" s="1022">
        <f t="shared" si="696"/>
        <v>40</v>
      </c>
      <c r="GJ78" s="1022">
        <f t="shared" si="696"/>
        <v>44</v>
      </c>
      <c r="GK78" s="1022">
        <f t="shared" si="696"/>
        <v>85</v>
      </c>
      <c r="GL78" s="319">
        <f t="shared" si="696"/>
        <v>56</v>
      </c>
      <c r="GM78" s="346">
        <f t="shared" si="696"/>
        <v>1802</v>
      </c>
      <c r="GN78" s="654">
        <f t="shared" si="654"/>
        <v>11123</v>
      </c>
      <c r="GO78" s="656">
        <f t="shared" ref="GO78:GZ78" si="697">+GO13</f>
        <v>1</v>
      </c>
      <c r="GP78" s="1022">
        <f t="shared" si="697"/>
        <v>13</v>
      </c>
      <c r="GQ78" s="1022">
        <f t="shared" si="697"/>
        <v>26</v>
      </c>
      <c r="GR78" s="1022">
        <f t="shared" si="697"/>
        <v>13</v>
      </c>
      <c r="GS78" s="1022">
        <f t="shared" si="697"/>
        <v>13</v>
      </c>
      <c r="GT78" s="1022">
        <f t="shared" si="697"/>
        <v>9</v>
      </c>
      <c r="GU78" s="1022">
        <f t="shared" si="697"/>
        <v>51063</v>
      </c>
      <c r="GV78" s="1022">
        <f t="shared" si="697"/>
        <v>4424</v>
      </c>
      <c r="GW78" s="1022">
        <f t="shared" si="697"/>
        <v>11</v>
      </c>
      <c r="GX78" s="1022">
        <f t="shared" si="697"/>
        <v>32</v>
      </c>
      <c r="GY78" s="1022">
        <f t="shared" si="697"/>
        <v>19</v>
      </c>
      <c r="GZ78" s="655">
        <f t="shared" si="697"/>
        <v>-30</v>
      </c>
      <c r="HA78" s="655">
        <f t="shared" si="656"/>
        <v>55594</v>
      </c>
      <c r="HB78" s="656">
        <f t="shared" ref="HB78:HM78" si="698">+HB13</f>
        <v>45</v>
      </c>
      <c r="HC78" s="1022">
        <f t="shared" si="698"/>
        <v>104</v>
      </c>
      <c r="HD78" s="1022">
        <f t="shared" si="698"/>
        <v>55</v>
      </c>
      <c r="HE78" s="1022">
        <f t="shared" si="698"/>
        <v>30</v>
      </c>
      <c r="HF78" s="1022">
        <f t="shared" si="698"/>
        <v>91</v>
      </c>
      <c r="HG78" s="1022">
        <f t="shared" si="698"/>
        <v>41</v>
      </c>
      <c r="HH78" s="1022">
        <f t="shared" si="698"/>
        <v>39</v>
      </c>
      <c r="HI78" s="1022">
        <f t="shared" si="698"/>
        <v>3620</v>
      </c>
      <c r="HJ78" s="1022">
        <f t="shared" si="698"/>
        <v>2972</v>
      </c>
      <c r="HK78" s="1022">
        <f t="shared" si="698"/>
        <v>407</v>
      </c>
      <c r="HL78" s="1022">
        <f t="shared" si="698"/>
        <v>9</v>
      </c>
      <c r="HM78" s="655">
        <f t="shared" si="698"/>
        <v>93</v>
      </c>
      <c r="HN78" s="655">
        <f t="shared" si="658"/>
        <v>7506</v>
      </c>
      <c r="HO78" s="1022">
        <f t="shared" ref="HO78:HZ78" si="699">+HO13</f>
        <v>8</v>
      </c>
      <c r="HP78" s="1022">
        <f t="shared" si="699"/>
        <v>32</v>
      </c>
      <c r="HQ78" s="1022">
        <f t="shared" si="699"/>
        <v>8</v>
      </c>
      <c r="HR78" s="1022">
        <f t="shared" si="699"/>
        <v>10</v>
      </c>
      <c r="HS78" s="1022">
        <f t="shared" si="699"/>
        <v>92</v>
      </c>
      <c r="HT78" s="1022">
        <f t="shared" si="699"/>
        <v>75</v>
      </c>
      <c r="HU78" s="1022">
        <f t="shared" si="699"/>
        <v>84</v>
      </c>
      <c r="HV78" s="1022">
        <f t="shared" si="699"/>
        <v>474</v>
      </c>
      <c r="HW78" s="1022">
        <f t="shared" si="699"/>
        <v>71</v>
      </c>
      <c r="HX78" s="1022">
        <f t="shared" si="699"/>
        <v>35</v>
      </c>
      <c r="HY78" s="1022">
        <f t="shared" si="699"/>
        <v>18</v>
      </c>
      <c r="HZ78" s="1022">
        <f t="shared" si="699"/>
        <v>26</v>
      </c>
      <c r="IA78" s="656">
        <f t="shared" si="660"/>
        <v>933</v>
      </c>
      <c r="IB78" s="1324">
        <f>+IB13</f>
        <v>7</v>
      </c>
      <c r="IC78">
        <f>+IC13</f>
        <v>100</v>
      </c>
      <c r="ID78">
        <f>+ID13</f>
        <v>13</v>
      </c>
      <c r="IE78">
        <f>+IE13</f>
        <v>14</v>
      </c>
      <c r="IF78">
        <f>+IF13</f>
        <v>148</v>
      </c>
      <c r="IG78">
        <f t="shared" ref="IG78" si="700">+IG13</f>
        <v>8</v>
      </c>
      <c r="IH78">
        <f>+IH13</f>
        <v>21</v>
      </c>
      <c r="II78">
        <f>+II13</f>
        <v>33</v>
      </c>
      <c r="IM78" s="1266"/>
      <c r="IN78" s="1059">
        <f t="shared" si="680"/>
        <v>344</v>
      </c>
      <c r="IO78" s="1266"/>
      <c r="IP78" s="1060">
        <f t="shared" si="662"/>
        <v>-93.037974683544306</v>
      </c>
      <c r="IQ78" s="639">
        <f t="shared" si="663"/>
        <v>-56.066411238825033</v>
      </c>
      <c r="IR78" s="344">
        <f t="shared" si="664"/>
        <v>783</v>
      </c>
      <c r="IS78" s="344">
        <f t="shared" si="665"/>
        <v>344</v>
      </c>
      <c r="IU78" s="320">
        <f t="shared" si="666"/>
        <v>-441</v>
      </c>
    </row>
    <row r="79" spans="1:255" ht="15" customHeight="1" x14ac:dyDescent="0.2">
      <c r="A79" s="342" t="s">
        <v>320</v>
      </c>
      <c r="BA79" s="644"/>
      <c r="BB79" s="345"/>
      <c r="BC79" s="320"/>
      <c r="BD79" s="320"/>
      <c r="BE79" s="320"/>
      <c r="BF79" s="320"/>
      <c r="BG79" s="320"/>
      <c r="BH79" s="320"/>
      <c r="BI79" s="320"/>
      <c r="BJ79" s="320"/>
      <c r="BK79" s="320"/>
      <c r="BL79" s="320"/>
      <c r="BM79" s="320"/>
      <c r="BN79" s="344"/>
      <c r="BO79" s="320"/>
      <c r="BP79" s="320"/>
      <c r="BQ79" s="320"/>
      <c r="BR79" s="320"/>
      <c r="BS79" s="320"/>
      <c r="BT79" s="320"/>
      <c r="BU79" s="320"/>
      <c r="BV79" s="320"/>
      <c r="BW79" s="320"/>
      <c r="BX79" s="320"/>
      <c r="BY79" s="320"/>
      <c r="BZ79" s="320"/>
      <c r="CA79" s="344"/>
      <c r="CB79" s="320"/>
      <c r="CC79" s="320"/>
      <c r="CD79" s="320"/>
      <c r="CE79" s="320"/>
      <c r="CF79" s="320"/>
      <c r="CG79" s="320"/>
      <c r="CH79" s="320"/>
      <c r="CI79" s="320"/>
      <c r="CJ79" s="320"/>
      <c r="CK79" s="320"/>
      <c r="CL79" s="320"/>
      <c r="CM79" s="320"/>
      <c r="CN79" s="344"/>
      <c r="CO79" s="345"/>
      <c r="CP79" s="320"/>
      <c r="CQ79" s="320"/>
      <c r="CR79" s="320"/>
      <c r="CS79" s="320"/>
      <c r="CT79" s="320"/>
      <c r="CU79" s="320"/>
      <c r="CV79" s="320"/>
      <c r="CW79" s="320"/>
      <c r="CX79" s="320"/>
      <c r="CY79" s="320"/>
      <c r="CZ79" s="320"/>
      <c r="DA79" s="344"/>
      <c r="DB79" s="320"/>
      <c r="DC79" s="320"/>
      <c r="DD79" s="320"/>
      <c r="DE79" s="320"/>
      <c r="DF79" s="320"/>
      <c r="DG79" s="320"/>
      <c r="DH79" s="320"/>
      <c r="DI79" s="320"/>
      <c r="DJ79" s="320"/>
      <c r="DK79" s="320"/>
      <c r="DL79" s="320"/>
      <c r="DM79" s="320"/>
      <c r="DN79" s="345"/>
      <c r="DO79" s="345"/>
      <c r="DP79" s="320"/>
      <c r="DQ79" s="320"/>
      <c r="DR79" s="320"/>
      <c r="DS79" s="320"/>
      <c r="DT79" s="320"/>
      <c r="DU79" s="320"/>
      <c r="DV79" s="320"/>
      <c r="DW79" s="320"/>
      <c r="DX79" s="320"/>
      <c r="DY79" s="320"/>
      <c r="DZ79" s="320"/>
      <c r="EA79" s="344"/>
      <c r="EB79" s="320">
        <v>0</v>
      </c>
      <c r="EC79" s="320">
        <v>0</v>
      </c>
      <c r="ED79" s="320">
        <v>0</v>
      </c>
      <c r="EE79" s="320">
        <v>0</v>
      </c>
      <c r="EF79" s="320">
        <v>0</v>
      </c>
      <c r="EG79" s="320">
        <v>0</v>
      </c>
      <c r="EH79" s="320">
        <v>0</v>
      </c>
      <c r="EI79" s="320">
        <v>0</v>
      </c>
      <c r="EJ79" s="320">
        <v>0</v>
      </c>
      <c r="EK79" s="320">
        <v>0</v>
      </c>
      <c r="EL79" s="320">
        <v>0</v>
      </c>
      <c r="EM79" s="320">
        <v>0</v>
      </c>
      <c r="EN79" s="344">
        <v>0</v>
      </c>
      <c r="EO79" s="320">
        <f t="shared" ref="EO79:EZ79" si="701">+EO12</f>
        <v>0</v>
      </c>
      <c r="EP79" s="320">
        <f t="shared" si="701"/>
        <v>0</v>
      </c>
      <c r="EQ79" s="320">
        <f t="shared" si="701"/>
        <v>0</v>
      </c>
      <c r="ER79" s="320">
        <f t="shared" si="701"/>
        <v>0</v>
      </c>
      <c r="ES79" s="320">
        <f t="shared" si="701"/>
        <v>486</v>
      </c>
      <c r="ET79" s="320">
        <f t="shared" si="701"/>
        <v>0</v>
      </c>
      <c r="EU79" s="320">
        <f t="shared" si="701"/>
        <v>630</v>
      </c>
      <c r="EV79" s="320">
        <f t="shared" si="701"/>
        <v>0</v>
      </c>
      <c r="EW79" s="320">
        <f t="shared" si="701"/>
        <v>0</v>
      </c>
      <c r="EX79" s="320">
        <f t="shared" si="701"/>
        <v>0</v>
      </c>
      <c r="EY79" s="320">
        <f t="shared" si="701"/>
        <v>0</v>
      </c>
      <c r="EZ79" s="320">
        <f t="shared" si="701"/>
        <v>0</v>
      </c>
      <c r="FA79" s="344">
        <f>SUM(EO79:EZ79)</f>
        <v>1116</v>
      </c>
      <c r="FB79" s="320">
        <f t="shared" ref="FB79:FM79" si="702">+FB12</f>
        <v>0</v>
      </c>
      <c r="FC79" s="320">
        <f t="shared" si="702"/>
        <v>0</v>
      </c>
      <c r="FD79" s="320">
        <f t="shared" si="702"/>
        <v>0</v>
      </c>
      <c r="FE79" s="320">
        <f t="shared" si="702"/>
        <v>0</v>
      </c>
      <c r="FF79" s="320">
        <f t="shared" si="702"/>
        <v>0</v>
      </c>
      <c r="FG79" s="320">
        <f t="shared" si="702"/>
        <v>0</v>
      </c>
      <c r="FH79" s="320">
        <f t="shared" si="702"/>
        <v>0</v>
      </c>
      <c r="FI79" s="320">
        <f t="shared" si="702"/>
        <v>0</v>
      </c>
      <c r="FJ79" s="320">
        <f t="shared" si="702"/>
        <v>0</v>
      </c>
      <c r="FK79" s="320">
        <f t="shared" si="702"/>
        <v>729</v>
      </c>
      <c r="FL79" s="320">
        <f t="shared" si="702"/>
        <v>0</v>
      </c>
      <c r="FM79" s="320">
        <f t="shared" si="702"/>
        <v>0</v>
      </c>
      <c r="FN79" s="344">
        <f>SUM(FB79:FM79)</f>
        <v>729</v>
      </c>
      <c r="FO79" s="320">
        <f t="shared" ref="FO79:FZ79" si="703">+FO12</f>
        <v>0</v>
      </c>
      <c r="FP79" s="320">
        <f t="shared" si="703"/>
        <v>0</v>
      </c>
      <c r="FQ79" s="320">
        <f t="shared" si="703"/>
        <v>0</v>
      </c>
      <c r="FR79" s="320">
        <f t="shared" si="703"/>
        <v>243</v>
      </c>
      <c r="FS79" s="320">
        <f t="shared" si="703"/>
        <v>0</v>
      </c>
      <c r="FT79" s="320">
        <f t="shared" si="703"/>
        <v>0</v>
      </c>
      <c r="FU79" s="320">
        <f t="shared" si="703"/>
        <v>0</v>
      </c>
      <c r="FV79" s="320">
        <f t="shared" si="703"/>
        <v>0</v>
      </c>
      <c r="FW79" s="320">
        <f t="shared" si="703"/>
        <v>0</v>
      </c>
      <c r="FX79" s="320">
        <f t="shared" si="703"/>
        <v>0</v>
      </c>
      <c r="FY79" s="320">
        <f t="shared" si="703"/>
        <v>0</v>
      </c>
      <c r="FZ79" s="343">
        <f t="shared" si="703"/>
        <v>0</v>
      </c>
      <c r="GA79" s="343">
        <f t="shared" si="653"/>
        <v>243</v>
      </c>
      <c r="GB79" s="345">
        <f t="shared" ref="GB79:GM79" si="704">+GB12</f>
        <v>0</v>
      </c>
      <c r="GC79" s="320">
        <f t="shared" si="704"/>
        <v>493</v>
      </c>
      <c r="GD79" s="320">
        <f t="shared" si="704"/>
        <v>0</v>
      </c>
      <c r="GE79" s="320">
        <f t="shared" si="704"/>
        <v>0</v>
      </c>
      <c r="GF79" s="320">
        <f t="shared" si="704"/>
        <v>0</v>
      </c>
      <c r="GG79" s="320">
        <f t="shared" si="704"/>
        <v>493</v>
      </c>
      <c r="GH79" s="320">
        <f t="shared" si="704"/>
        <v>0</v>
      </c>
      <c r="GI79" s="320">
        <f t="shared" si="704"/>
        <v>0</v>
      </c>
      <c r="GJ79" s="320">
        <f t="shared" si="704"/>
        <v>0</v>
      </c>
      <c r="GK79" s="320">
        <f t="shared" si="704"/>
        <v>0</v>
      </c>
      <c r="GL79" s="319">
        <f t="shared" si="704"/>
        <v>0</v>
      </c>
      <c r="GM79" s="346">
        <f t="shared" si="704"/>
        <v>0</v>
      </c>
      <c r="GN79" s="344">
        <f t="shared" si="654"/>
        <v>986</v>
      </c>
      <c r="GO79" s="345">
        <f t="shared" ref="GO79:GZ79" si="705">+GO12</f>
        <v>0</v>
      </c>
      <c r="GP79" s="320">
        <f t="shared" si="705"/>
        <v>0</v>
      </c>
      <c r="GQ79" s="320">
        <f t="shared" si="705"/>
        <v>0</v>
      </c>
      <c r="GR79" s="320">
        <f t="shared" si="705"/>
        <v>0</v>
      </c>
      <c r="GS79" s="320">
        <f t="shared" si="705"/>
        <v>563</v>
      </c>
      <c r="GT79" s="320">
        <f t="shared" si="705"/>
        <v>0</v>
      </c>
      <c r="GU79" s="320">
        <f t="shared" si="705"/>
        <v>493</v>
      </c>
      <c r="GV79" s="320">
        <f t="shared" si="705"/>
        <v>37</v>
      </c>
      <c r="GW79" s="320">
        <f t="shared" si="705"/>
        <v>2349</v>
      </c>
      <c r="GX79" s="320">
        <f t="shared" si="705"/>
        <v>0</v>
      </c>
      <c r="GY79" s="320">
        <f t="shared" si="705"/>
        <v>230</v>
      </c>
      <c r="GZ79" s="343">
        <f t="shared" si="705"/>
        <v>4421</v>
      </c>
      <c r="HA79" s="343">
        <f t="shared" si="656"/>
        <v>8093</v>
      </c>
      <c r="HB79" s="345">
        <f t="shared" ref="HB79:HM79" si="706">+HB12</f>
        <v>493</v>
      </c>
      <c r="HC79" s="320">
        <f t="shared" si="706"/>
        <v>31</v>
      </c>
      <c r="HD79" s="320">
        <f t="shared" si="706"/>
        <v>0</v>
      </c>
      <c r="HE79" s="320">
        <f t="shared" si="706"/>
        <v>0</v>
      </c>
      <c r="HF79" s="320">
        <f t="shared" si="706"/>
        <v>63</v>
      </c>
      <c r="HG79" s="320">
        <f t="shared" si="706"/>
        <v>0</v>
      </c>
      <c r="HH79" s="320">
        <f t="shared" si="706"/>
        <v>0</v>
      </c>
      <c r="HI79" s="320">
        <f t="shared" si="706"/>
        <v>0</v>
      </c>
      <c r="HJ79" s="320">
        <f t="shared" si="706"/>
        <v>0</v>
      </c>
      <c r="HK79" s="320">
        <f t="shared" si="706"/>
        <v>0</v>
      </c>
      <c r="HL79" s="320">
        <f t="shared" si="706"/>
        <v>85</v>
      </c>
      <c r="HM79" s="343">
        <f t="shared" si="706"/>
        <v>0</v>
      </c>
      <c r="HN79" s="343">
        <f t="shared" si="658"/>
        <v>672</v>
      </c>
      <c r="HO79" s="320">
        <f t="shared" ref="HO79:HZ79" si="707">+HO12</f>
        <v>0</v>
      </c>
      <c r="HP79" s="320">
        <f t="shared" si="707"/>
        <v>0</v>
      </c>
      <c r="HQ79" s="320">
        <f t="shared" si="707"/>
        <v>0</v>
      </c>
      <c r="HR79" s="320">
        <f t="shared" si="707"/>
        <v>0</v>
      </c>
      <c r="HS79" s="320">
        <f t="shared" si="707"/>
        <v>0</v>
      </c>
      <c r="HT79" s="320">
        <f t="shared" si="707"/>
        <v>0</v>
      </c>
      <c r="HU79" s="320">
        <f t="shared" si="707"/>
        <v>0</v>
      </c>
      <c r="HV79" s="320">
        <f t="shared" si="707"/>
        <v>0</v>
      </c>
      <c r="HW79" s="320">
        <f t="shared" si="707"/>
        <v>493</v>
      </c>
      <c r="HX79" s="320">
        <f t="shared" si="707"/>
        <v>0</v>
      </c>
      <c r="HY79" s="320">
        <f t="shared" si="707"/>
        <v>582</v>
      </c>
      <c r="HZ79" s="320">
        <f t="shared" si="707"/>
        <v>0</v>
      </c>
      <c r="IA79" s="345">
        <f t="shared" si="660"/>
        <v>1075</v>
      </c>
      <c r="IB79" s="1324">
        <f>+IB12</f>
        <v>0</v>
      </c>
      <c r="IC79">
        <f>+IC12</f>
        <v>0</v>
      </c>
      <c r="ID79">
        <f>+ID12</f>
        <v>0</v>
      </c>
      <c r="IE79">
        <f>+IE12</f>
        <v>0</v>
      </c>
      <c r="IF79">
        <f>+IF12</f>
        <v>0</v>
      </c>
      <c r="IG79">
        <f t="shared" ref="IG79" si="708">+IG12</f>
        <v>0</v>
      </c>
      <c r="IH79">
        <f>+IH12</f>
        <v>493</v>
      </c>
      <c r="II79">
        <f>+II12</f>
        <v>0</v>
      </c>
      <c r="IM79" s="1266"/>
      <c r="IN79" s="1059">
        <f t="shared" si="680"/>
        <v>493</v>
      </c>
      <c r="IO79" s="1266"/>
      <c r="IP79" s="1060" t="str">
        <f t="shared" si="662"/>
        <v/>
      </c>
      <c r="IQ79" s="639" t="str">
        <f t="shared" si="663"/>
        <v>-</v>
      </c>
      <c r="IR79" s="344">
        <f t="shared" si="664"/>
        <v>0</v>
      </c>
      <c r="IS79" s="344">
        <f t="shared" si="665"/>
        <v>493</v>
      </c>
      <c r="IU79" s="320">
        <f t="shared" si="666"/>
        <v>0</v>
      </c>
    </row>
    <row r="80" spans="1:255" ht="15" customHeight="1" x14ac:dyDescent="0.2">
      <c r="A80" s="644" t="s">
        <v>321</v>
      </c>
      <c r="BA80" s="644"/>
      <c r="BB80" s="345">
        <v>2148</v>
      </c>
      <c r="BC80" s="320">
        <v>4147</v>
      </c>
      <c r="BD80" s="320">
        <v>8020</v>
      </c>
      <c r="BE80" s="320">
        <v>5582</v>
      </c>
      <c r="BF80" s="320">
        <v>6342</v>
      </c>
      <c r="BG80" s="320">
        <v>6289</v>
      </c>
      <c r="BH80" s="320">
        <v>5861</v>
      </c>
      <c r="BI80" s="320">
        <v>8320</v>
      </c>
      <c r="BJ80" s="320">
        <v>7388</v>
      </c>
      <c r="BK80" s="320">
        <v>9849</v>
      </c>
      <c r="BL80" s="320">
        <v>10830</v>
      </c>
      <c r="BM80" s="320">
        <v>17998</v>
      </c>
      <c r="BN80" s="344">
        <f>SUM(BB80:BM80)</f>
        <v>92774</v>
      </c>
      <c r="BO80" s="320">
        <v>2204</v>
      </c>
      <c r="BP80" s="320">
        <v>4163</v>
      </c>
      <c r="BQ80" s="320">
        <v>6573</v>
      </c>
      <c r="BR80" s="320">
        <v>7221</v>
      </c>
      <c r="BS80" s="320">
        <v>7897</v>
      </c>
      <c r="BT80" s="320">
        <v>9366</v>
      </c>
      <c r="BU80" s="320">
        <v>7365</v>
      </c>
      <c r="BV80" s="320">
        <v>9845</v>
      </c>
      <c r="BW80" s="320">
        <v>10135</v>
      </c>
      <c r="BX80" s="320">
        <v>6852</v>
      </c>
      <c r="BY80" s="320">
        <v>13778</v>
      </c>
      <c r="BZ80" s="320">
        <v>22145</v>
      </c>
      <c r="CA80" s="344">
        <f>SUM(BO80:BZ80)</f>
        <v>107544</v>
      </c>
      <c r="CB80" s="320">
        <f t="shared" ref="CB80:CM80" si="709">CB11</f>
        <v>2584</v>
      </c>
      <c r="CC80" s="320">
        <f t="shared" si="709"/>
        <v>7293</v>
      </c>
      <c r="CD80" s="320">
        <f t="shared" si="709"/>
        <v>7704</v>
      </c>
      <c r="CE80" s="320">
        <f t="shared" si="709"/>
        <v>7879</v>
      </c>
      <c r="CF80" s="320">
        <f t="shared" si="709"/>
        <v>11155</v>
      </c>
      <c r="CG80" s="320">
        <f t="shared" si="709"/>
        <v>11261</v>
      </c>
      <c r="CH80" s="320">
        <f t="shared" si="709"/>
        <v>9984</v>
      </c>
      <c r="CI80" s="320">
        <f t="shared" si="709"/>
        <v>9623</v>
      </c>
      <c r="CJ80" s="320">
        <f t="shared" si="709"/>
        <v>13706</v>
      </c>
      <c r="CK80" s="320">
        <f t="shared" si="709"/>
        <v>11115</v>
      </c>
      <c r="CL80" s="320">
        <f t="shared" si="709"/>
        <v>16250</v>
      </c>
      <c r="CM80" s="320">
        <f t="shared" si="709"/>
        <v>23509</v>
      </c>
      <c r="CN80" s="344">
        <f>SUM(CB80:CM80)</f>
        <v>132063</v>
      </c>
      <c r="CO80" s="345">
        <f t="shared" ref="CO80:CZ80" si="710">CO11</f>
        <v>3247</v>
      </c>
      <c r="CP80" s="320">
        <f t="shared" si="710"/>
        <v>6584</v>
      </c>
      <c r="CQ80" s="320">
        <f t="shared" si="710"/>
        <v>10210</v>
      </c>
      <c r="CR80" s="320">
        <f t="shared" si="710"/>
        <v>13486</v>
      </c>
      <c r="CS80" s="320">
        <f t="shared" si="710"/>
        <v>11708</v>
      </c>
      <c r="CT80" s="320">
        <f t="shared" si="710"/>
        <v>24615</v>
      </c>
      <c r="CU80" s="320">
        <f t="shared" si="710"/>
        <v>15913</v>
      </c>
      <c r="CV80" s="320">
        <f t="shared" si="710"/>
        <v>40495</v>
      </c>
      <c r="CW80" s="320">
        <f t="shared" si="710"/>
        <v>18996</v>
      </c>
      <c r="CX80" s="320">
        <f t="shared" si="710"/>
        <v>20009</v>
      </c>
      <c r="CY80" s="320">
        <f t="shared" si="710"/>
        <v>25374</v>
      </c>
      <c r="CZ80" s="320">
        <f t="shared" si="710"/>
        <v>35666</v>
      </c>
      <c r="DA80" s="344">
        <f>SUM(CO80:CZ80)</f>
        <v>226303</v>
      </c>
      <c r="DB80" s="320">
        <f t="shared" ref="DB80:DM80" si="711">DB11</f>
        <v>3147</v>
      </c>
      <c r="DC80" s="320">
        <f t="shared" si="711"/>
        <v>7244</v>
      </c>
      <c r="DD80" s="320">
        <f t="shared" si="711"/>
        <v>17573</v>
      </c>
      <c r="DE80" s="320">
        <f t="shared" si="711"/>
        <v>17076</v>
      </c>
      <c r="DF80" s="320">
        <f t="shared" si="711"/>
        <v>16305</v>
      </c>
      <c r="DG80" s="320">
        <f t="shared" si="711"/>
        <v>14381</v>
      </c>
      <c r="DH80" s="320">
        <f t="shared" si="711"/>
        <v>14758</v>
      </c>
      <c r="DI80" s="320">
        <f t="shared" si="711"/>
        <v>15721</v>
      </c>
      <c r="DJ80" s="320">
        <f t="shared" si="711"/>
        <v>17576</v>
      </c>
      <c r="DK80" s="320">
        <f t="shared" si="711"/>
        <v>14699</v>
      </c>
      <c r="DL80" s="320">
        <f t="shared" si="711"/>
        <v>17414</v>
      </c>
      <c r="DM80" s="320">
        <f t="shared" si="711"/>
        <v>54431</v>
      </c>
      <c r="DN80" s="345">
        <f>SUM(DB80:DM80)</f>
        <v>210325</v>
      </c>
      <c r="DO80" s="345">
        <f t="shared" ref="DO80:DZ80" si="712">DO11</f>
        <v>3989</v>
      </c>
      <c r="DP80" s="320">
        <f t="shared" si="712"/>
        <v>9068</v>
      </c>
      <c r="DQ80" s="320">
        <f t="shared" si="712"/>
        <v>12964</v>
      </c>
      <c r="DR80" s="320">
        <f t="shared" si="712"/>
        <v>15196</v>
      </c>
      <c r="DS80" s="320">
        <f t="shared" si="712"/>
        <v>16753</v>
      </c>
      <c r="DT80" s="320">
        <f t="shared" si="712"/>
        <v>16957</v>
      </c>
      <c r="DU80" s="320">
        <f t="shared" si="712"/>
        <v>15344</v>
      </c>
      <c r="DV80" s="320">
        <f t="shared" si="712"/>
        <v>17350</v>
      </c>
      <c r="DW80" s="320">
        <f t="shared" si="712"/>
        <v>16168</v>
      </c>
      <c r="DX80" s="320">
        <f t="shared" si="712"/>
        <v>16573</v>
      </c>
      <c r="DY80" s="320">
        <f t="shared" si="712"/>
        <v>21754</v>
      </c>
      <c r="DZ80" s="320">
        <f t="shared" si="712"/>
        <v>43396</v>
      </c>
      <c r="EA80" s="344">
        <f>SUM(DO80:DZ80)</f>
        <v>205512</v>
      </c>
      <c r="EB80" s="320">
        <f t="shared" ref="EB80:EM80" si="713">EB11</f>
        <v>4827</v>
      </c>
      <c r="EC80" s="320">
        <f t="shared" si="713"/>
        <v>9973</v>
      </c>
      <c r="ED80" s="320">
        <f t="shared" si="713"/>
        <v>12034</v>
      </c>
      <c r="EE80" s="320">
        <f t="shared" si="713"/>
        <v>12867</v>
      </c>
      <c r="EF80" s="320">
        <f t="shared" si="713"/>
        <v>13745</v>
      </c>
      <c r="EG80" s="320">
        <f t="shared" si="713"/>
        <v>20858</v>
      </c>
      <c r="EH80" s="320">
        <f t="shared" si="713"/>
        <v>18892</v>
      </c>
      <c r="EI80" s="320">
        <f t="shared" si="713"/>
        <v>19844</v>
      </c>
      <c r="EJ80" s="320">
        <f t="shared" si="713"/>
        <v>22118</v>
      </c>
      <c r="EK80" s="320">
        <f t="shared" si="713"/>
        <v>32214</v>
      </c>
      <c r="EL80" s="320">
        <f t="shared" si="713"/>
        <v>27505</v>
      </c>
      <c r="EM80" s="320">
        <f t="shared" si="713"/>
        <v>55905</v>
      </c>
      <c r="EN80" s="344">
        <f>SUM(EB80:EM80)</f>
        <v>250782</v>
      </c>
      <c r="EO80" s="320">
        <f t="shared" ref="EO80:EZ80" si="714">EO11</f>
        <v>5898</v>
      </c>
      <c r="EP80" s="320">
        <f t="shared" si="714"/>
        <v>6607</v>
      </c>
      <c r="EQ80" s="320">
        <f t="shared" si="714"/>
        <v>11485</v>
      </c>
      <c r="ER80" s="320">
        <f t="shared" si="714"/>
        <v>13022</v>
      </c>
      <c r="ES80" s="320">
        <f t="shared" si="714"/>
        <v>16099</v>
      </c>
      <c r="ET80" s="320">
        <f t="shared" si="714"/>
        <v>16095</v>
      </c>
      <c r="EU80" s="320">
        <f t="shared" si="714"/>
        <v>16936</v>
      </c>
      <c r="EV80" s="320">
        <f t="shared" si="714"/>
        <v>61442</v>
      </c>
      <c r="EW80" s="320">
        <f t="shared" si="714"/>
        <v>23249</v>
      </c>
      <c r="EX80" s="320">
        <f t="shared" si="714"/>
        <v>25584</v>
      </c>
      <c r="EY80" s="320">
        <f t="shared" si="714"/>
        <v>25659</v>
      </c>
      <c r="EZ80" s="320">
        <f t="shared" si="714"/>
        <v>53099</v>
      </c>
      <c r="FA80" s="344">
        <f>SUM(EO80:EZ80)</f>
        <v>275175</v>
      </c>
      <c r="FB80" s="320">
        <f t="shared" ref="FB80:FM80" si="715">FB11</f>
        <v>7546</v>
      </c>
      <c r="FC80" s="320">
        <f t="shared" si="715"/>
        <v>11490</v>
      </c>
      <c r="FD80" s="320">
        <f t="shared" si="715"/>
        <v>18179</v>
      </c>
      <c r="FE80" s="320">
        <f t="shared" si="715"/>
        <v>16966</v>
      </c>
      <c r="FF80" s="320">
        <f t="shared" si="715"/>
        <v>18666</v>
      </c>
      <c r="FG80" s="320">
        <f t="shared" si="715"/>
        <v>21616</v>
      </c>
      <c r="FH80" s="320">
        <f t="shared" si="715"/>
        <v>30668</v>
      </c>
      <c r="FI80" s="320">
        <f t="shared" si="715"/>
        <v>23254</v>
      </c>
      <c r="FJ80" s="320">
        <f t="shared" si="715"/>
        <v>29658</v>
      </c>
      <c r="FK80" s="320">
        <f t="shared" si="715"/>
        <v>30152</v>
      </c>
      <c r="FL80" s="320">
        <f t="shared" si="715"/>
        <v>31201</v>
      </c>
      <c r="FM80" s="320">
        <f t="shared" si="715"/>
        <v>95110</v>
      </c>
      <c r="FN80" s="344">
        <f>SUM(FB80:FM80)</f>
        <v>334506</v>
      </c>
      <c r="FO80" s="320">
        <f t="shared" ref="FO80:FZ80" si="716">FO11</f>
        <v>8629</v>
      </c>
      <c r="FP80" s="320">
        <f t="shared" si="716"/>
        <v>21604</v>
      </c>
      <c r="FQ80" s="320">
        <f t="shared" si="716"/>
        <v>29169</v>
      </c>
      <c r="FR80" s="320">
        <f t="shared" si="716"/>
        <v>34251</v>
      </c>
      <c r="FS80" s="320">
        <f t="shared" si="716"/>
        <v>37791</v>
      </c>
      <c r="FT80" s="320">
        <f t="shared" si="716"/>
        <v>37127</v>
      </c>
      <c r="FU80" s="320">
        <f t="shared" si="716"/>
        <v>38782</v>
      </c>
      <c r="FV80" s="320">
        <f t="shared" si="716"/>
        <v>35425</v>
      </c>
      <c r="FW80" s="320">
        <f t="shared" si="716"/>
        <v>34896</v>
      </c>
      <c r="FX80" s="320">
        <f t="shared" si="716"/>
        <v>38575</v>
      </c>
      <c r="FY80" s="320">
        <f t="shared" si="716"/>
        <v>32759</v>
      </c>
      <c r="FZ80" s="343">
        <f t="shared" si="716"/>
        <v>82812</v>
      </c>
      <c r="GA80" s="343">
        <f t="shared" si="653"/>
        <v>431820</v>
      </c>
      <c r="GB80" s="345">
        <f t="shared" ref="GB80:GM80" si="717">GB11</f>
        <v>22853</v>
      </c>
      <c r="GC80" s="320">
        <f t="shared" si="717"/>
        <v>25844</v>
      </c>
      <c r="GD80" s="320">
        <f t="shared" si="717"/>
        <v>38562</v>
      </c>
      <c r="GE80" s="320">
        <f t="shared" si="717"/>
        <v>38266</v>
      </c>
      <c r="GF80" s="320">
        <f t="shared" si="717"/>
        <v>41484</v>
      </c>
      <c r="GG80" s="320">
        <f t="shared" si="717"/>
        <v>46340</v>
      </c>
      <c r="GH80" s="320">
        <f t="shared" si="717"/>
        <v>44208</v>
      </c>
      <c r="GI80" s="320">
        <f t="shared" si="717"/>
        <v>46333</v>
      </c>
      <c r="GJ80" s="320">
        <f t="shared" si="717"/>
        <v>37845</v>
      </c>
      <c r="GK80" s="320">
        <f t="shared" si="717"/>
        <v>37575</v>
      </c>
      <c r="GL80" s="319">
        <f t="shared" si="717"/>
        <v>47818</v>
      </c>
      <c r="GM80" s="346">
        <f t="shared" si="717"/>
        <v>91770</v>
      </c>
      <c r="GN80" s="344">
        <f t="shared" si="654"/>
        <v>518898</v>
      </c>
      <c r="GO80" s="345">
        <f t="shared" ref="GO80:GZ80" si="718">GO11</f>
        <v>16990</v>
      </c>
      <c r="GP80" s="320">
        <f t="shared" si="718"/>
        <v>27371</v>
      </c>
      <c r="GQ80" s="320">
        <f t="shared" si="718"/>
        <v>36526</v>
      </c>
      <c r="GR80" s="320">
        <f t="shared" si="718"/>
        <v>31492</v>
      </c>
      <c r="GS80" s="320">
        <f t="shared" si="718"/>
        <v>40842</v>
      </c>
      <c r="GT80" s="320">
        <f t="shared" si="718"/>
        <v>39474</v>
      </c>
      <c r="GU80" s="320">
        <f t="shared" si="718"/>
        <v>44311</v>
      </c>
      <c r="GV80" s="320">
        <f t="shared" si="718"/>
        <v>47618</v>
      </c>
      <c r="GW80" s="320">
        <f t="shared" si="718"/>
        <v>41670</v>
      </c>
      <c r="GX80" s="320">
        <f t="shared" si="718"/>
        <v>45508</v>
      </c>
      <c r="GY80" s="320">
        <f t="shared" si="718"/>
        <v>55719</v>
      </c>
      <c r="GZ80" s="343">
        <f t="shared" si="718"/>
        <v>86281</v>
      </c>
      <c r="HA80" s="343">
        <f t="shared" si="656"/>
        <v>513802</v>
      </c>
      <c r="HB80" s="345">
        <f t="shared" ref="HB80:HM80" si="719">HB11</f>
        <v>4202</v>
      </c>
      <c r="HC80" s="320">
        <f t="shared" si="719"/>
        <v>11585</v>
      </c>
      <c r="HD80" s="320">
        <f t="shared" si="719"/>
        <v>15449</v>
      </c>
      <c r="HE80" s="320">
        <f t="shared" si="719"/>
        <v>21681</v>
      </c>
      <c r="HF80" s="320">
        <f t="shared" si="719"/>
        <v>25642</v>
      </c>
      <c r="HG80" s="320">
        <f t="shared" si="719"/>
        <v>26364</v>
      </c>
      <c r="HH80" s="320">
        <f t="shared" si="719"/>
        <v>24431</v>
      </c>
      <c r="HI80" s="320">
        <f t="shared" si="719"/>
        <v>28173</v>
      </c>
      <c r="HJ80" s="320">
        <f t="shared" si="719"/>
        <v>26916</v>
      </c>
      <c r="HK80" s="320">
        <f t="shared" si="719"/>
        <v>27496</v>
      </c>
      <c r="HL80" s="320">
        <f t="shared" si="719"/>
        <v>30996</v>
      </c>
      <c r="HM80" s="343">
        <f t="shared" si="719"/>
        <v>55018</v>
      </c>
      <c r="HN80" s="343">
        <f t="shared" si="658"/>
        <v>297953</v>
      </c>
      <c r="HO80" s="320">
        <f t="shared" ref="HO80:HZ80" si="720">HO11</f>
        <v>4055</v>
      </c>
      <c r="HP80" s="320">
        <f t="shared" si="720"/>
        <v>12858</v>
      </c>
      <c r="HQ80" s="320">
        <f t="shared" si="720"/>
        <v>18632</v>
      </c>
      <c r="HR80" s="320">
        <f t="shared" si="720"/>
        <v>24373</v>
      </c>
      <c r="HS80" s="320">
        <f t="shared" si="720"/>
        <v>27797</v>
      </c>
      <c r="HT80" s="320">
        <f t="shared" si="720"/>
        <v>23006</v>
      </c>
      <c r="HU80" s="320">
        <f t="shared" si="720"/>
        <v>22776</v>
      </c>
      <c r="HV80" s="320">
        <f t="shared" si="720"/>
        <v>30795</v>
      </c>
      <c r="HW80" s="320">
        <f t="shared" si="720"/>
        <v>31165</v>
      </c>
      <c r="HX80" s="320">
        <f t="shared" si="720"/>
        <v>36000</v>
      </c>
      <c r="HY80" s="320">
        <f t="shared" si="720"/>
        <v>29031</v>
      </c>
      <c r="HZ80" s="320">
        <f t="shared" si="720"/>
        <v>63984</v>
      </c>
      <c r="IA80" s="345">
        <f t="shared" si="660"/>
        <v>324472</v>
      </c>
      <c r="IB80" s="1324">
        <f>IB11</f>
        <v>2172</v>
      </c>
      <c r="IC80">
        <f>IC11</f>
        <v>18295</v>
      </c>
      <c r="ID80">
        <f>ID11</f>
        <v>28700</v>
      </c>
      <c r="IE80">
        <f>IE11</f>
        <v>26588</v>
      </c>
      <c r="IF80">
        <f>IF11</f>
        <v>38898</v>
      </c>
      <c r="IG80">
        <f t="shared" ref="IG80" si="721">IG11</f>
        <v>32200</v>
      </c>
      <c r="IH80">
        <f>IH11</f>
        <v>31889</v>
      </c>
      <c r="II80">
        <f>II11</f>
        <v>34734</v>
      </c>
      <c r="IM80" s="1266"/>
      <c r="IN80" s="1059">
        <f t="shared" si="680"/>
        <v>213476</v>
      </c>
      <c r="IO80" s="1266"/>
      <c r="IP80" s="1060">
        <f t="shared" si="662"/>
        <v>12.791037506088653</v>
      </c>
      <c r="IQ80" s="639">
        <f t="shared" si="663"/>
        <v>29.936941543106176</v>
      </c>
      <c r="IR80" s="344">
        <f t="shared" si="664"/>
        <v>164292</v>
      </c>
      <c r="IS80" s="344">
        <f t="shared" si="665"/>
        <v>213476</v>
      </c>
      <c r="IU80" s="320">
        <f t="shared" si="666"/>
        <v>3939</v>
      </c>
    </row>
    <row r="81" spans="1:255" ht="15" customHeight="1" x14ac:dyDescent="0.2">
      <c r="A81" s="648" t="s">
        <v>322</v>
      </c>
      <c r="BA81" s="648"/>
      <c r="BB81" s="645">
        <f t="shared" ref="BB81:BM81" si="722">+BB82+BB86</f>
        <v>22636</v>
      </c>
      <c r="BC81" s="339">
        <f t="shared" si="722"/>
        <v>14502</v>
      </c>
      <c r="BD81" s="339">
        <f t="shared" si="722"/>
        <v>21701</v>
      </c>
      <c r="BE81" s="339">
        <f t="shared" si="722"/>
        <v>13486</v>
      </c>
      <c r="BF81" s="339">
        <f t="shared" si="722"/>
        <v>35974</v>
      </c>
      <c r="BG81" s="339">
        <f t="shared" si="722"/>
        <v>19019</v>
      </c>
      <c r="BH81" s="339">
        <f t="shared" si="722"/>
        <v>18561</v>
      </c>
      <c r="BI81" s="339">
        <f t="shared" si="722"/>
        <v>25871</v>
      </c>
      <c r="BJ81" s="339">
        <f t="shared" si="722"/>
        <v>20795</v>
      </c>
      <c r="BK81" s="339">
        <f t="shared" si="722"/>
        <v>27493</v>
      </c>
      <c r="BL81" s="339">
        <f t="shared" si="722"/>
        <v>19715</v>
      </c>
      <c r="BM81" s="339">
        <f t="shared" si="722"/>
        <v>29133</v>
      </c>
      <c r="BN81" s="649">
        <f>SUM(BB81:BM81)</f>
        <v>268886</v>
      </c>
      <c r="BO81" s="339">
        <f t="shared" ref="BO81:DH81" si="723">SUM(BO82:BO86)</f>
        <v>21930</v>
      </c>
      <c r="BP81" s="339">
        <f t="shared" si="723"/>
        <v>52527</v>
      </c>
      <c r="BQ81" s="339">
        <f t="shared" si="723"/>
        <v>26468</v>
      </c>
      <c r="BR81" s="339">
        <f t="shared" si="723"/>
        <v>35259</v>
      </c>
      <c r="BS81" s="339">
        <f t="shared" si="723"/>
        <v>43495</v>
      </c>
      <c r="BT81" s="339">
        <f t="shared" si="723"/>
        <v>25129</v>
      </c>
      <c r="BU81" s="339">
        <f t="shared" si="723"/>
        <v>24196</v>
      </c>
      <c r="BV81" s="339">
        <f t="shared" si="723"/>
        <v>39696</v>
      </c>
      <c r="BW81" s="339">
        <f t="shared" si="723"/>
        <v>38972</v>
      </c>
      <c r="BX81" s="339">
        <f t="shared" si="723"/>
        <v>40842</v>
      </c>
      <c r="BY81" s="339">
        <f t="shared" si="723"/>
        <v>44590</v>
      </c>
      <c r="BZ81" s="339">
        <f t="shared" si="723"/>
        <v>53971</v>
      </c>
      <c r="CA81" s="341">
        <f t="shared" si="723"/>
        <v>447075</v>
      </c>
      <c r="CB81" s="339">
        <f t="shared" si="723"/>
        <v>0</v>
      </c>
      <c r="CC81" s="339">
        <f t="shared" si="723"/>
        <v>0</v>
      </c>
      <c r="CD81" s="339">
        <f t="shared" si="723"/>
        <v>0</v>
      </c>
      <c r="CE81" s="339">
        <f t="shared" si="723"/>
        <v>0</v>
      </c>
      <c r="CF81" s="339">
        <f t="shared" si="723"/>
        <v>0</v>
      </c>
      <c r="CG81" s="339">
        <f t="shared" si="723"/>
        <v>0</v>
      </c>
      <c r="CH81" s="339">
        <f t="shared" si="723"/>
        <v>0</v>
      </c>
      <c r="CI81" s="339">
        <f t="shared" si="723"/>
        <v>0</v>
      </c>
      <c r="CJ81" s="339">
        <f t="shared" si="723"/>
        <v>0</v>
      </c>
      <c r="CK81" s="339">
        <f t="shared" si="723"/>
        <v>0</v>
      </c>
      <c r="CL81" s="339">
        <f t="shared" si="723"/>
        <v>0</v>
      </c>
      <c r="CM81" s="339">
        <f t="shared" si="723"/>
        <v>0</v>
      </c>
      <c r="CN81" s="341">
        <f t="shared" si="723"/>
        <v>0</v>
      </c>
      <c r="CO81" s="645">
        <f t="shared" si="723"/>
        <v>0</v>
      </c>
      <c r="CP81" s="339">
        <f t="shared" si="723"/>
        <v>0</v>
      </c>
      <c r="CQ81" s="339">
        <f t="shared" si="723"/>
        <v>0</v>
      </c>
      <c r="CR81" s="339">
        <f t="shared" si="723"/>
        <v>0</v>
      </c>
      <c r="CS81" s="339">
        <f t="shared" si="723"/>
        <v>0</v>
      </c>
      <c r="CT81" s="339">
        <f t="shared" si="723"/>
        <v>0</v>
      </c>
      <c r="CU81" s="339">
        <f t="shared" si="723"/>
        <v>0</v>
      </c>
      <c r="CV81" s="339">
        <f t="shared" si="723"/>
        <v>0</v>
      </c>
      <c r="CW81" s="339">
        <f t="shared" si="723"/>
        <v>0</v>
      </c>
      <c r="CX81" s="339">
        <f t="shared" si="723"/>
        <v>0</v>
      </c>
      <c r="CY81" s="339">
        <f t="shared" si="723"/>
        <v>0</v>
      </c>
      <c r="CZ81" s="339">
        <f t="shared" si="723"/>
        <v>0</v>
      </c>
      <c r="DA81" s="341">
        <f t="shared" si="723"/>
        <v>0</v>
      </c>
      <c r="DB81" s="339">
        <f t="shared" si="723"/>
        <v>0</v>
      </c>
      <c r="DC81" s="339">
        <f t="shared" si="723"/>
        <v>0</v>
      </c>
      <c r="DD81" s="339">
        <f>SUM(DD82:DD86)</f>
        <v>0</v>
      </c>
      <c r="DE81" s="339">
        <f t="shared" si="723"/>
        <v>0</v>
      </c>
      <c r="DF81" s="339">
        <f t="shared" si="723"/>
        <v>0</v>
      </c>
      <c r="DG81" s="339">
        <f t="shared" si="723"/>
        <v>0</v>
      </c>
      <c r="DH81" s="339">
        <f t="shared" si="723"/>
        <v>0</v>
      </c>
      <c r="DI81" s="339">
        <f>SUM(DI82:DI86)</f>
        <v>0</v>
      </c>
      <c r="DJ81" s="339">
        <f>SUM(DJ82:DJ86)</f>
        <v>0</v>
      </c>
      <c r="DK81" s="339">
        <f>SUM(DK82:DK86)</f>
        <v>0</v>
      </c>
      <c r="DL81" s="339">
        <f>SUM(DL82:DL86)</f>
        <v>0</v>
      </c>
      <c r="DM81" s="339">
        <f>SUM(DM82:DM86)</f>
        <v>0</v>
      </c>
      <c r="DN81" s="645">
        <f t="shared" ref="DN81:FY81" si="724">SUM(DN82:DN86)</f>
        <v>0</v>
      </c>
      <c r="DO81" s="645">
        <f t="shared" si="724"/>
        <v>26147</v>
      </c>
      <c r="DP81" s="339">
        <f t="shared" si="724"/>
        <v>46076</v>
      </c>
      <c r="DQ81" s="339">
        <f t="shared" si="724"/>
        <v>61810</v>
      </c>
      <c r="DR81" s="339">
        <f t="shared" si="724"/>
        <v>70730</v>
      </c>
      <c r="DS81" s="339">
        <f t="shared" si="724"/>
        <v>54946</v>
      </c>
      <c r="DT81" s="339">
        <f t="shared" si="724"/>
        <v>58837</v>
      </c>
      <c r="DU81" s="339">
        <f t="shared" si="724"/>
        <v>56500</v>
      </c>
      <c r="DV81" s="339">
        <f t="shared" si="724"/>
        <v>51845</v>
      </c>
      <c r="DW81" s="339">
        <f t="shared" si="724"/>
        <v>33538</v>
      </c>
      <c r="DX81" s="339">
        <f t="shared" si="724"/>
        <v>58653</v>
      </c>
      <c r="DY81" s="339">
        <f t="shared" si="724"/>
        <v>37918</v>
      </c>
      <c r="DZ81" s="339">
        <f t="shared" si="724"/>
        <v>78325</v>
      </c>
      <c r="EA81" s="341">
        <f t="shared" si="724"/>
        <v>635325</v>
      </c>
      <c r="EB81" s="339">
        <f t="shared" si="724"/>
        <v>52455</v>
      </c>
      <c r="EC81" s="339">
        <f t="shared" si="724"/>
        <v>55992</v>
      </c>
      <c r="ED81" s="339">
        <f t="shared" si="724"/>
        <v>36953</v>
      </c>
      <c r="EE81" s="339">
        <f t="shared" si="724"/>
        <v>89949</v>
      </c>
      <c r="EF81" s="339">
        <f t="shared" si="724"/>
        <v>38027</v>
      </c>
      <c r="EG81" s="339">
        <f t="shared" si="724"/>
        <v>56148</v>
      </c>
      <c r="EH81" s="339">
        <f t="shared" si="724"/>
        <v>68092</v>
      </c>
      <c r="EI81" s="339">
        <f t="shared" si="724"/>
        <v>55245</v>
      </c>
      <c r="EJ81" s="339">
        <f t="shared" si="724"/>
        <v>47945</v>
      </c>
      <c r="EK81" s="339">
        <f t="shared" si="724"/>
        <v>66159</v>
      </c>
      <c r="EL81" s="339">
        <f t="shared" si="724"/>
        <v>39947</v>
      </c>
      <c r="EM81" s="339">
        <f t="shared" si="724"/>
        <v>140593</v>
      </c>
      <c r="EN81" s="341">
        <f t="shared" si="724"/>
        <v>747505</v>
      </c>
      <c r="EO81" s="339">
        <f t="shared" si="724"/>
        <v>71158</v>
      </c>
      <c r="EP81" s="339">
        <f t="shared" si="724"/>
        <v>44925</v>
      </c>
      <c r="EQ81" s="339">
        <f t="shared" si="724"/>
        <v>41485</v>
      </c>
      <c r="ER81" s="339">
        <f t="shared" si="724"/>
        <v>75981</v>
      </c>
      <c r="ES81" s="339">
        <f t="shared" si="724"/>
        <v>47925</v>
      </c>
      <c r="ET81" s="339">
        <f t="shared" si="724"/>
        <v>54785</v>
      </c>
      <c r="EU81" s="339">
        <f t="shared" si="724"/>
        <v>91835</v>
      </c>
      <c r="EV81" s="339">
        <f t="shared" si="724"/>
        <v>51514</v>
      </c>
      <c r="EW81" s="339">
        <f t="shared" si="724"/>
        <v>43462</v>
      </c>
      <c r="EX81" s="339">
        <f t="shared" si="724"/>
        <v>75130</v>
      </c>
      <c r="EY81" s="339">
        <f t="shared" si="724"/>
        <v>73851</v>
      </c>
      <c r="EZ81" s="339">
        <f t="shared" si="724"/>
        <v>67675</v>
      </c>
      <c r="FA81" s="341">
        <f t="shared" si="724"/>
        <v>739726</v>
      </c>
      <c r="FB81" s="446">
        <f t="shared" si="724"/>
        <v>50491</v>
      </c>
      <c r="FC81" s="339">
        <f>SUM(FC82:FC86)</f>
        <v>70530</v>
      </c>
      <c r="FD81" s="339">
        <f t="shared" si="724"/>
        <v>83842</v>
      </c>
      <c r="FE81" s="339">
        <f t="shared" si="724"/>
        <v>144938</v>
      </c>
      <c r="FF81" s="339">
        <f t="shared" si="724"/>
        <v>110942</v>
      </c>
      <c r="FG81" s="339">
        <f t="shared" si="724"/>
        <v>44144</v>
      </c>
      <c r="FH81" s="339">
        <f t="shared" si="724"/>
        <v>79189</v>
      </c>
      <c r="FI81" s="339">
        <f t="shared" si="724"/>
        <v>137352</v>
      </c>
      <c r="FJ81" s="339">
        <f t="shared" si="724"/>
        <v>44130</v>
      </c>
      <c r="FK81" s="446">
        <f t="shared" si="724"/>
        <v>204931</v>
      </c>
      <c r="FL81" s="339">
        <f t="shared" si="724"/>
        <v>108549</v>
      </c>
      <c r="FM81" s="339">
        <f t="shared" si="724"/>
        <v>111632</v>
      </c>
      <c r="FN81" s="341">
        <f t="shared" si="724"/>
        <v>1190670</v>
      </c>
      <c r="FO81" s="339">
        <f t="shared" si="724"/>
        <v>46812</v>
      </c>
      <c r="FP81" s="339">
        <f t="shared" si="724"/>
        <v>78683</v>
      </c>
      <c r="FQ81" s="339">
        <f t="shared" si="724"/>
        <v>52865</v>
      </c>
      <c r="FR81" s="339">
        <f t="shared" si="724"/>
        <v>99617</v>
      </c>
      <c r="FS81" s="339">
        <f t="shared" si="724"/>
        <v>50878</v>
      </c>
      <c r="FT81" s="339">
        <f t="shared" si="724"/>
        <v>62108</v>
      </c>
      <c r="FU81" s="339">
        <f t="shared" si="724"/>
        <v>78072</v>
      </c>
      <c r="FV81" s="339">
        <f t="shared" si="724"/>
        <v>53711</v>
      </c>
      <c r="FW81" s="339">
        <f t="shared" si="724"/>
        <v>137274</v>
      </c>
      <c r="FX81" s="339">
        <f t="shared" si="724"/>
        <v>90006</v>
      </c>
      <c r="FY81" s="339">
        <f t="shared" si="724"/>
        <v>101851</v>
      </c>
      <c r="FZ81" s="642">
        <f t="shared" ref="FZ81:GM81" si="725">SUM(FZ82:FZ86)</f>
        <v>343075</v>
      </c>
      <c r="GA81" s="642">
        <f t="shared" si="653"/>
        <v>1194952</v>
      </c>
      <c r="GB81" s="645">
        <f t="shared" si="725"/>
        <v>59202</v>
      </c>
      <c r="GC81" s="339">
        <f t="shared" si="725"/>
        <v>59025</v>
      </c>
      <c r="GD81" s="339">
        <f t="shared" si="725"/>
        <v>82419</v>
      </c>
      <c r="GE81" s="339">
        <f t="shared" si="725"/>
        <v>68747</v>
      </c>
      <c r="GF81" s="339">
        <f t="shared" si="725"/>
        <v>85220</v>
      </c>
      <c r="GG81" s="339">
        <f t="shared" si="725"/>
        <v>66326</v>
      </c>
      <c r="GH81" s="339">
        <f t="shared" si="725"/>
        <v>81451</v>
      </c>
      <c r="GI81" s="339">
        <f t="shared" si="725"/>
        <v>187587</v>
      </c>
      <c r="GJ81" s="339">
        <f t="shared" si="725"/>
        <v>63185</v>
      </c>
      <c r="GK81" s="339">
        <f t="shared" si="725"/>
        <v>172010</v>
      </c>
      <c r="GL81" s="646">
        <f t="shared" si="725"/>
        <v>83656</v>
      </c>
      <c r="GM81" s="647">
        <f t="shared" si="725"/>
        <v>227474</v>
      </c>
      <c r="GN81" s="341">
        <f t="shared" si="654"/>
        <v>1236302</v>
      </c>
      <c r="GO81" s="645">
        <f t="shared" ref="GO81:GZ81" si="726">SUM(GO82:GO86)</f>
        <v>66113</v>
      </c>
      <c r="GP81" s="339">
        <f t="shared" si="726"/>
        <v>97165</v>
      </c>
      <c r="GQ81" s="339">
        <f t="shared" si="726"/>
        <v>51987</v>
      </c>
      <c r="GR81" s="339">
        <f t="shared" si="726"/>
        <v>87052</v>
      </c>
      <c r="GS81" s="339">
        <f t="shared" si="726"/>
        <v>74870</v>
      </c>
      <c r="GT81" s="339">
        <f t="shared" si="726"/>
        <v>76965</v>
      </c>
      <c r="GU81" s="339">
        <f t="shared" si="726"/>
        <v>68645</v>
      </c>
      <c r="GV81" s="339">
        <f t="shared" si="726"/>
        <v>85922</v>
      </c>
      <c r="GW81" s="339">
        <f t="shared" si="726"/>
        <v>49801</v>
      </c>
      <c r="GX81" s="339">
        <f t="shared" si="726"/>
        <v>88613</v>
      </c>
      <c r="GY81" s="339">
        <f t="shared" si="726"/>
        <v>104592</v>
      </c>
      <c r="GZ81" s="642">
        <f t="shared" si="726"/>
        <v>85557</v>
      </c>
      <c r="HA81" s="642">
        <f t="shared" si="656"/>
        <v>937282</v>
      </c>
      <c r="HB81" s="645">
        <f t="shared" ref="HB81:HM81" si="727">SUM(HB82:HB86)</f>
        <v>43014</v>
      </c>
      <c r="HC81" s="339">
        <f t="shared" si="727"/>
        <v>233120</v>
      </c>
      <c r="HD81" s="339">
        <f t="shared" si="727"/>
        <v>50034</v>
      </c>
      <c r="HE81" s="339">
        <f t="shared" si="727"/>
        <v>92135</v>
      </c>
      <c r="HF81" s="339">
        <f t="shared" si="727"/>
        <v>94970</v>
      </c>
      <c r="HG81" s="339">
        <f t="shared" si="727"/>
        <v>67822</v>
      </c>
      <c r="HH81" s="339">
        <f t="shared" si="727"/>
        <v>72032</v>
      </c>
      <c r="HI81" s="339">
        <f t="shared" si="727"/>
        <v>146685</v>
      </c>
      <c r="HJ81" s="339">
        <f t="shared" si="727"/>
        <v>65922</v>
      </c>
      <c r="HK81" s="339">
        <f t="shared" si="727"/>
        <v>79905</v>
      </c>
      <c r="HL81" s="339">
        <f t="shared" si="727"/>
        <v>93213</v>
      </c>
      <c r="HM81" s="642">
        <f t="shared" si="727"/>
        <v>135847</v>
      </c>
      <c r="HN81" s="642">
        <f t="shared" si="658"/>
        <v>1174699</v>
      </c>
      <c r="HO81" s="339">
        <f t="shared" ref="HO81:HZ81" si="728">SUM(HO82:HO86)</f>
        <v>54937</v>
      </c>
      <c r="HP81" s="339">
        <f t="shared" si="728"/>
        <v>145084</v>
      </c>
      <c r="HQ81" s="339">
        <f t="shared" si="728"/>
        <v>88967</v>
      </c>
      <c r="HR81" s="339">
        <f t="shared" si="728"/>
        <v>66236</v>
      </c>
      <c r="HS81" s="339">
        <f t="shared" si="728"/>
        <v>96327</v>
      </c>
      <c r="HT81" s="339">
        <f t="shared" si="728"/>
        <v>110363</v>
      </c>
      <c r="HU81" s="339">
        <f t="shared" si="728"/>
        <v>94306</v>
      </c>
      <c r="HV81" s="339">
        <f t="shared" si="728"/>
        <v>93878</v>
      </c>
      <c r="HW81" s="339">
        <f t="shared" si="728"/>
        <v>70804</v>
      </c>
      <c r="HX81" s="339">
        <f t="shared" si="728"/>
        <v>81668</v>
      </c>
      <c r="HY81" s="339">
        <f t="shared" si="728"/>
        <v>93713</v>
      </c>
      <c r="HZ81" s="339">
        <f t="shared" si="728"/>
        <v>98821</v>
      </c>
      <c r="IA81" s="645">
        <f t="shared" si="660"/>
        <v>1095104</v>
      </c>
      <c r="IB81" s="1328">
        <f t="shared" ref="IB81:IE81" si="729">SUM(IB82:IB86)</f>
        <v>111450</v>
      </c>
      <c r="IC81" s="129">
        <f t="shared" si="729"/>
        <v>91562</v>
      </c>
      <c r="ID81" s="129">
        <f>SUM(ID82:ID86)</f>
        <v>76852</v>
      </c>
      <c r="IE81" s="129">
        <f t="shared" si="729"/>
        <v>86040</v>
      </c>
      <c r="IF81" s="129">
        <f>SUM(IF82:IF86)</f>
        <v>90566</v>
      </c>
      <c r="IG81" s="129">
        <f>SUM(IG82:IG86)</f>
        <v>105065</v>
      </c>
      <c r="IH81" s="129">
        <f>SUM(IH82:IH86)</f>
        <v>96212</v>
      </c>
      <c r="II81" s="129">
        <f>SUM(II82:II86)</f>
        <v>97638</v>
      </c>
      <c r="IM81" s="1266"/>
      <c r="IN81" s="1059">
        <f t="shared" si="680"/>
        <v>755385</v>
      </c>
      <c r="IO81" s="1266"/>
      <c r="IP81" s="1060">
        <f t="shared" si="662"/>
        <v>4.0051982360084448</v>
      </c>
      <c r="IQ81" s="1019">
        <f t="shared" si="663"/>
        <v>0.70484123407874577</v>
      </c>
      <c r="IR81" s="341">
        <f t="shared" si="664"/>
        <v>750098</v>
      </c>
      <c r="IS81" s="341">
        <f t="shared" si="665"/>
        <v>755385</v>
      </c>
      <c r="IU81" s="320">
        <f t="shared" si="666"/>
        <v>3760</v>
      </c>
    </row>
    <row r="82" spans="1:255" ht="15" customHeight="1" x14ac:dyDescent="0.2">
      <c r="A82" s="657" t="s">
        <v>317</v>
      </c>
      <c r="B82" s="405"/>
      <c r="C82" s="405"/>
      <c r="D82" s="405"/>
      <c r="E82" s="405"/>
      <c r="F82" s="405"/>
      <c r="G82" s="405"/>
      <c r="H82" s="405"/>
      <c r="I82" s="405"/>
      <c r="J82" s="405"/>
      <c r="K82" s="405"/>
      <c r="L82" s="405"/>
      <c r="M82" s="405"/>
      <c r="N82" s="405"/>
      <c r="O82" s="405"/>
      <c r="P82" s="405"/>
      <c r="Q82" s="405"/>
      <c r="R82" s="405"/>
      <c r="S82" s="405"/>
      <c r="T82" s="405"/>
      <c r="U82" s="405"/>
      <c r="V82" s="405"/>
      <c r="W82" s="405"/>
      <c r="X82" s="405"/>
      <c r="Y82" s="405"/>
      <c r="Z82" s="405"/>
      <c r="AA82" s="405"/>
      <c r="AB82" s="405"/>
      <c r="AC82" s="405"/>
      <c r="AD82" s="405"/>
      <c r="AE82" s="405"/>
      <c r="AF82" s="405"/>
      <c r="AG82" s="405"/>
      <c r="AH82" s="405"/>
      <c r="AI82" s="405"/>
      <c r="AJ82" s="405"/>
      <c r="AK82" s="405"/>
      <c r="AL82" s="405"/>
      <c r="AM82" s="405"/>
      <c r="AN82" s="405"/>
      <c r="AO82" s="405"/>
      <c r="AP82" s="405"/>
      <c r="AQ82" s="405"/>
      <c r="AR82" s="405"/>
      <c r="AS82" s="405"/>
      <c r="AT82" s="405"/>
      <c r="AU82" s="405"/>
      <c r="AV82" s="405"/>
      <c r="AW82" s="405"/>
      <c r="AX82" s="405"/>
      <c r="AY82" s="405"/>
      <c r="AZ82" s="405"/>
      <c r="BA82" s="657"/>
      <c r="BB82" s="460">
        <v>13339</v>
      </c>
      <c r="BC82" s="406">
        <v>11427</v>
      </c>
      <c r="BD82" s="406">
        <v>11825</v>
      </c>
      <c r="BE82" s="406">
        <v>12385</v>
      </c>
      <c r="BF82" s="406">
        <v>22211</v>
      </c>
      <c r="BG82" s="406">
        <v>12396</v>
      </c>
      <c r="BH82" s="406">
        <v>14730</v>
      </c>
      <c r="BI82" s="406">
        <v>12392</v>
      </c>
      <c r="BJ82" s="406">
        <v>14506</v>
      </c>
      <c r="BK82" s="406">
        <v>12405</v>
      </c>
      <c r="BL82" s="406">
        <v>12251</v>
      </c>
      <c r="BM82" s="406">
        <v>17918</v>
      </c>
      <c r="BN82" s="461">
        <f>SUM(BB82:BM82)</f>
        <v>167785</v>
      </c>
      <c r="BO82" s="406">
        <v>15589</v>
      </c>
      <c r="BP82" s="406">
        <v>13759</v>
      </c>
      <c r="BQ82" s="406">
        <v>15372</v>
      </c>
      <c r="BR82" s="406">
        <v>14167</v>
      </c>
      <c r="BS82" s="406">
        <v>15013</v>
      </c>
      <c r="BT82" s="406">
        <v>14729</v>
      </c>
      <c r="BU82" s="406">
        <v>16675</v>
      </c>
      <c r="BV82" s="406">
        <v>14588</v>
      </c>
      <c r="BW82" s="406">
        <v>14276</v>
      </c>
      <c r="BX82" s="406">
        <v>13638</v>
      </c>
      <c r="BY82" s="406">
        <v>14608</v>
      </c>
      <c r="BZ82" s="406">
        <v>18267</v>
      </c>
      <c r="CA82" s="461">
        <f>SUM(BO82:BZ82)</f>
        <v>180681</v>
      </c>
      <c r="CB82" s="406">
        <v>0</v>
      </c>
      <c r="CC82" s="406">
        <v>0</v>
      </c>
      <c r="CD82" s="406">
        <v>0</v>
      </c>
      <c r="CE82" s="406">
        <v>0</v>
      </c>
      <c r="CF82" s="406">
        <v>0</v>
      </c>
      <c r="CG82" s="406">
        <v>0</v>
      </c>
      <c r="CH82" s="406">
        <v>0</v>
      </c>
      <c r="CI82" s="406">
        <v>0</v>
      </c>
      <c r="CJ82" s="406">
        <v>0</v>
      </c>
      <c r="CK82" s="406">
        <v>0</v>
      </c>
      <c r="CL82" s="406">
        <v>0</v>
      </c>
      <c r="CM82" s="406">
        <v>0</v>
      </c>
      <c r="CN82" s="435">
        <f>SUM(CB82:CM82)</f>
        <v>0</v>
      </c>
      <c r="CO82" s="436">
        <v>0</v>
      </c>
      <c r="CP82" s="405">
        <v>0</v>
      </c>
      <c r="CQ82" s="405">
        <v>0</v>
      </c>
      <c r="CR82" s="405">
        <v>0</v>
      </c>
      <c r="CS82" s="405">
        <v>0</v>
      </c>
      <c r="CT82" s="405">
        <v>0</v>
      </c>
      <c r="CU82" s="405">
        <v>0</v>
      </c>
      <c r="CV82" s="405">
        <v>0</v>
      </c>
      <c r="CW82" s="405">
        <v>0</v>
      </c>
      <c r="CX82" s="405">
        <v>0</v>
      </c>
      <c r="CY82" s="405">
        <v>0</v>
      </c>
      <c r="CZ82" s="405">
        <v>0</v>
      </c>
      <c r="DA82" s="435">
        <f t="shared" ref="DA82:DA115" si="730">SUM(CO82:CZ82)</f>
        <v>0</v>
      </c>
      <c r="DB82" s="405">
        <v>0</v>
      </c>
      <c r="DC82" s="405">
        <v>0</v>
      </c>
      <c r="DD82" s="405">
        <v>0</v>
      </c>
      <c r="DE82" s="405">
        <v>0</v>
      </c>
      <c r="DF82" s="405">
        <v>0</v>
      </c>
      <c r="DG82" s="405">
        <v>0</v>
      </c>
      <c r="DH82" s="405">
        <v>0</v>
      </c>
      <c r="DI82" s="405">
        <v>0</v>
      </c>
      <c r="DJ82" s="405">
        <v>0</v>
      </c>
      <c r="DK82" s="405">
        <v>0</v>
      </c>
      <c r="DL82" s="405">
        <v>0</v>
      </c>
      <c r="DM82" s="405">
        <v>0</v>
      </c>
      <c r="DN82" s="436">
        <f t="shared" ref="DN82:DN115" si="731">SUM(DB82:DM82)</f>
        <v>0</v>
      </c>
      <c r="DO82" s="436">
        <v>20243</v>
      </c>
      <c r="DP82" s="405">
        <v>18663</v>
      </c>
      <c r="DQ82" s="405">
        <v>19670</v>
      </c>
      <c r="DR82" s="405">
        <v>19076</v>
      </c>
      <c r="DS82" s="405">
        <v>18671</v>
      </c>
      <c r="DT82" s="405">
        <v>17649</v>
      </c>
      <c r="DU82" s="405">
        <v>21417</v>
      </c>
      <c r="DV82" s="405">
        <v>16278</v>
      </c>
      <c r="DW82" s="405">
        <v>16700</v>
      </c>
      <c r="DX82" s="405">
        <v>17366</v>
      </c>
      <c r="DY82" s="405">
        <v>17396</v>
      </c>
      <c r="DZ82" s="405">
        <v>22411</v>
      </c>
      <c r="EA82" s="435">
        <f t="shared" ref="EA82:EA115" si="732">SUM(DO82:DZ82)</f>
        <v>225540</v>
      </c>
      <c r="EB82" s="405">
        <v>20488</v>
      </c>
      <c r="EC82" s="405">
        <v>19152</v>
      </c>
      <c r="ED82" s="405">
        <v>21657</v>
      </c>
      <c r="EE82" s="405">
        <v>19649</v>
      </c>
      <c r="EF82" s="405">
        <v>19579</v>
      </c>
      <c r="EG82" s="405">
        <v>18937</v>
      </c>
      <c r="EH82" s="405">
        <v>21590</v>
      </c>
      <c r="EI82" s="405">
        <v>17313</v>
      </c>
      <c r="EJ82" s="405">
        <v>17680</v>
      </c>
      <c r="EK82" s="405">
        <v>15929</v>
      </c>
      <c r="EL82" s="405">
        <v>16947</v>
      </c>
      <c r="EM82" s="405">
        <v>22438</v>
      </c>
      <c r="EN82" s="461">
        <f>SUM(EB82:EM82)</f>
        <v>231359</v>
      </c>
      <c r="EO82" s="405">
        <f>+'GASTO G.N.'!EO9</f>
        <v>17615</v>
      </c>
      <c r="EP82" s="405">
        <f>+'GASTO G.N.'!EP9</f>
        <v>20214</v>
      </c>
      <c r="EQ82" s="405">
        <f>+'GASTO G.N.'!EQ9</f>
        <v>21023</v>
      </c>
      <c r="ER82" s="405">
        <f>+'GASTO G.N.'!ER9</f>
        <v>20340</v>
      </c>
      <c r="ES82" s="405">
        <f>+'GASTO G.N.'!ES9</f>
        <v>22278</v>
      </c>
      <c r="ET82" s="405">
        <f>+'GASTO G.N.'!ET9</f>
        <v>22543</v>
      </c>
      <c r="EU82" s="405">
        <f>+'GASTO G.N.'!EU9</f>
        <v>24884</v>
      </c>
      <c r="EV82" s="405">
        <f>+'GASTO G.N.'!EV9</f>
        <v>20382</v>
      </c>
      <c r="EW82" s="405">
        <f>+'GASTO G.N.'!EW9</f>
        <v>20528</v>
      </c>
      <c r="EX82" s="405">
        <f>+'GASTO G.N.'!EX9</f>
        <v>21015</v>
      </c>
      <c r="EY82" s="405">
        <f>+'GASTO G.N.'!EY9</f>
        <v>22669</v>
      </c>
      <c r="EZ82" s="405">
        <f>+'GASTO G.N.'!EZ9</f>
        <v>27542</v>
      </c>
      <c r="FA82" s="435">
        <f>SUM(EO82:EZ82)</f>
        <v>261033</v>
      </c>
      <c r="FB82" s="405">
        <f>+'GASTO G.N.'!FB9</f>
        <v>20922</v>
      </c>
      <c r="FC82" s="405">
        <f>+'GASTO G.N.'!FC9</f>
        <v>19042</v>
      </c>
      <c r="FD82" s="405">
        <f>+'GASTO G.N.'!FD9</f>
        <v>19182</v>
      </c>
      <c r="FE82" s="405">
        <f>+'GASTO G.N.'!FE9</f>
        <v>19709</v>
      </c>
      <c r="FF82" s="405">
        <f>+'GASTO G.N.'!FF9</f>
        <v>22026</v>
      </c>
      <c r="FG82" s="405">
        <f>+'GASTO G.N.'!FG9</f>
        <v>19258</v>
      </c>
      <c r="FH82" s="405">
        <f>+'GASTO G.N.'!FH9</f>
        <v>24930</v>
      </c>
      <c r="FI82" s="405">
        <f>+'GASTO G.N.'!FI9</f>
        <v>19337</v>
      </c>
      <c r="FJ82" s="405">
        <f>+'GASTO G.N.'!FJ9</f>
        <v>19521</v>
      </c>
      <c r="FK82" s="405">
        <f>+'GASTO G.N.'!FK9</f>
        <v>20225</v>
      </c>
      <c r="FL82" s="405">
        <f>+'GASTO G.N.'!FL9</f>
        <v>21756</v>
      </c>
      <c r="FM82" s="405">
        <f>+'GASTO G.N.'!FM9</f>
        <v>27967</v>
      </c>
      <c r="FN82" s="331">
        <f>SUM(FB82:FM82)</f>
        <v>253875</v>
      </c>
      <c r="FO82" s="405">
        <f>+'GASTO G.N.'!FO9</f>
        <v>21035</v>
      </c>
      <c r="FP82" s="405">
        <f>+'GASTO G.N.'!FP9</f>
        <v>19789</v>
      </c>
      <c r="FQ82" s="405">
        <f>+'GASTO G.N.'!FQ9</f>
        <v>19870</v>
      </c>
      <c r="FR82" s="405">
        <f>+'GASTO G.N.'!FR9</f>
        <v>20582</v>
      </c>
      <c r="FS82" s="405">
        <f>+'GASTO G.N.'!FS9</f>
        <v>21931</v>
      </c>
      <c r="FT82" s="405">
        <f>+'GASTO G.N.'!FT9</f>
        <v>18824</v>
      </c>
      <c r="FU82" s="405">
        <f>+'GASTO G.N.'!FU9</f>
        <v>24892</v>
      </c>
      <c r="FV82" s="405">
        <f>+'GASTO G.N.'!FV9</f>
        <v>19487</v>
      </c>
      <c r="FW82" s="405">
        <f>+'GASTO G.N.'!FW9</f>
        <v>19499</v>
      </c>
      <c r="FX82" s="405">
        <f>+'GASTO G.N.'!FX9</f>
        <v>19920</v>
      </c>
      <c r="FY82" s="405">
        <f>+'GASTO G.N.'!FY9</f>
        <v>21926</v>
      </c>
      <c r="FZ82" s="437">
        <f>+'GASTO G.N.'!FZ9</f>
        <v>27772</v>
      </c>
      <c r="GA82" s="405">
        <f t="shared" si="653"/>
        <v>255527</v>
      </c>
      <c r="GB82" s="436">
        <f>+'GASTO G.N.'!GB9</f>
        <v>21171</v>
      </c>
      <c r="GC82" s="405">
        <f>+'GASTO G.N.'!GC9</f>
        <v>19441</v>
      </c>
      <c r="GD82" s="405">
        <f>+'GASTO G.N.'!GD9</f>
        <v>19457</v>
      </c>
      <c r="GE82" s="405">
        <f>+'GASTO G.N.'!GE9</f>
        <v>19786</v>
      </c>
      <c r="GF82" s="405">
        <f>+'GASTO G.N.'!GF9</f>
        <v>21891</v>
      </c>
      <c r="GG82" s="405">
        <f>+'GASTO G.N.'!GG9</f>
        <v>20868</v>
      </c>
      <c r="GH82" s="405">
        <f>+'GASTO G.N.'!GH9</f>
        <v>25411</v>
      </c>
      <c r="GI82" s="405">
        <f>+'GASTO G.N.'!GI9</f>
        <v>19706</v>
      </c>
      <c r="GJ82" s="405">
        <f>+'GASTO G.N.'!GJ9</f>
        <v>19754</v>
      </c>
      <c r="GK82" s="405">
        <f>+'GASTO G.N.'!GK9</f>
        <v>19889</v>
      </c>
      <c r="GL82" s="405">
        <f>+'GASTO G.N.'!GL9</f>
        <v>21806</v>
      </c>
      <c r="GM82" s="405">
        <f>+'GASTO G.N.'!GM9</f>
        <v>26596</v>
      </c>
      <c r="GN82" s="435">
        <f>SUM(GB82:GM82)</f>
        <v>255776</v>
      </c>
      <c r="GO82" s="436">
        <f>+'GASTO G.N.'!GO9</f>
        <v>21326</v>
      </c>
      <c r="GP82" s="405">
        <f>+'GASTO G.N.'!GP9</f>
        <v>19469</v>
      </c>
      <c r="GQ82" s="405">
        <f>+'GASTO G.N.'!GQ9</f>
        <v>19414</v>
      </c>
      <c r="GR82" s="405">
        <f>+'GASTO G.N.'!GR9</f>
        <v>19971</v>
      </c>
      <c r="GS82" s="405">
        <f>+'GASTO G.N.'!GS9</f>
        <v>22534</v>
      </c>
      <c r="GT82" s="405">
        <f>+'GASTO G.N.'!GT9</f>
        <v>21582</v>
      </c>
      <c r="GU82" s="405">
        <f>+'GASTO G.N.'!GU9</f>
        <v>25792</v>
      </c>
      <c r="GV82" s="405">
        <f>+'GASTO G.N.'!GV9</f>
        <v>20509</v>
      </c>
      <c r="GW82" s="405">
        <f>+'GASTO G.N.'!GW9</f>
        <v>21039</v>
      </c>
      <c r="GX82" s="405">
        <f>+'GASTO G.N.'!GX9</f>
        <v>21674</v>
      </c>
      <c r="GY82" s="405">
        <f>+'GASTO G.N.'!GY9</f>
        <v>24209</v>
      </c>
      <c r="GZ82" s="437">
        <f>+'GASTO G.N.'!GZ9</f>
        <v>29403</v>
      </c>
      <c r="HA82" s="437">
        <f t="shared" si="656"/>
        <v>266922</v>
      </c>
      <c r="HB82" s="436">
        <f>+'GASTO G.N.'!HB9</f>
        <v>30406</v>
      </c>
      <c r="HC82" s="405">
        <f>+'GASTO G.N.'!HC9</f>
        <v>26342</v>
      </c>
      <c r="HD82" s="405">
        <f>+'GASTO G.N.'!HD9</f>
        <v>26229</v>
      </c>
      <c r="HE82" s="405">
        <f>+'GASTO G.N.'!HE9</f>
        <v>26584</v>
      </c>
      <c r="HF82" s="405">
        <f>+'GASTO G.N.'!HF9</f>
        <v>29525</v>
      </c>
      <c r="HG82" s="405">
        <f>+'GASTO G.N.'!HG9</f>
        <v>27056</v>
      </c>
      <c r="HH82" s="405">
        <f>+'GASTO G.N.'!HH9</f>
        <v>34008</v>
      </c>
      <c r="HI82" s="405">
        <f>+'GASTO G.N.'!HI9</f>
        <v>28073</v>
      </c>
      <c r="HJ82" s="405">
        <f>+'GASTO G.N.'!HJ9</f>
        <v>27045</v>
      </c>
      <c r="HK82" s="405">
        <f>+'GASTO G.N.'!HK9</f>
        <v>28699</v>
      </c>
      <c r="HL82" s="405">
        <f>+'GASTO G.N.'!HL9</f>
        <v>30313</v>
      </c>
      <c r="HM82" s="437">
        <f>+'GASTO G.N.'!HM9</f>
        <v>36823</v>
      </c>
      <c r="HN82" s="437">
        <f t="shared" si="658"/>
        <v>351103</v>
      </c>
      <c r="HO82" s="405">
        <v>32561</v>
      </c>
      <c r="HP82" s="405">
        <v>30692</v>
      </c>
      <c r="HQ82" s="405">
        <v>30591</v>
      </c>
      <c r="HR82" s="405">
        <v>29778</v>
      </c>
      <c r="HS82" s="405">
        <v>33293</v>
      </c>
      <c r="HT82" s="405">
        <v>30923</v>
      </c>
      <c r="HU82" s="405">
        <v>38799</v>
      </c>
      <c r="HV82" s="405">
        <v>30712</v>
      </c>
      <c r="HW82" s="405">
        <v>30752</v>
      </c>
      <c r="HX82" s="405">
        <v>31009</v>
      </c>
      <c r="HY82" s="405">
        <v>35850</v>
      </c>
      <c r="HZ82" s="405">
        <v>45613</v>
      </c>
      <c r="IA82" s="436">
        <f t="shared" si="660"/>
        <v>400573</v>
      </c>
      <c r="IB82" s="1324">
        <f>+'[1]GASTO G.N.'!IB9</f>
        <v>36197</v>
      </c>
      <c r="IC82">
        <f>+'[1]GASTO G.N.'!IC9</f>
        <v>35373</v>
      </c>
      <c r="ID82">
        <f>+'[1]GASTO G.N.'!ID9</f>
        <v>35314</v>
      </c>
      <c r="IE82">
        <f>+'[1]GASTO G.N.'!IE9</f>
        <v>34641</v>
      </c>
      <c r="IF82">
        <f>+'[1]GASTO G.N.'!IF9</f>
        <v>39200</v>
      </c>
      <c r="IG82">
        <f>+'[1]GASTO G.N.'!IG9</f>
        <v>36092</v>
      </c>
      <c r="IH82">
        <f>+'[1]GASTO G.N.'!IH9</f>
        <v>44867</v>
      </c>
      <c r="II82">
        <f>+'[1]GASTO G.N.'!II9</f>
        <v>36432</v>
      </c>
      <c r="IM82" s="1266"/>
      <c r="IN82" s="1059">
        <f t="shared" si="680"/>
        <v>298116</v>
      </c>
      <c r="IO82" s="1266"/>
      <c r="IP82" s="1060">
        <f t="shared" si="662"/>
        <v>18.624641833810895</v>
      </c>
      <c r="IQ82" s="640">
        <f t="shared" si="663"/>
        <v>15.841134024223912</v>
      </c>
      <c r="IR82" s="344">
        <f t="shared" si="664"/>
        <v>257349</v>
      </c>
      <c r="IS82" s="344">
        <f t="shared" si="665"/>
        <v>298116</v>
      </c>
      <c r="IU82" s="320">
        <f t="shared" si="666"/>
        <v>5720</v>
      </c>
    </row>
    <row r="83" spans="1:255" ht="15" customHeight="1" x14ac:dyDescent="0.2">
      <c r="A83" s="342" t="s">
        <v>323</v>
      </c>
      <c r="BA83" s="644"/>
      <c r="BB83" s="345"/>
      <c r="BC83" s="320"/>
      <c r="BD83" s="320"/>
      <c r="BE83" s="320"/>
      <c r="BF83" s="320"/>
      <c r="BG83" s="320"/>
      <c r="BH83" s="320"/>
      <c r="BI83" s="320"/>
      <c r="BJ83" s="320"/>
      <c r="BK83" s="320"/>
      <c r="BL83" s="320"/>
      <c r="BM83" s="320"/>
      <c r="BN83" s="344"/>
      <c r="BO83" s="320">
        <v>795</v>
      </c>
      <c r="BP83" s="320">
        <v>662</v>
      </c>
      <c r="BQ83" s="320">
        <v>706</v>
      </c>
      <c r="BR83" s="320">
        <v>1400</v>
      </c>
      <c r="BS83" s="320">
        <v>696</v>
      </c>
      <c r="BT83" s="320">
        <v>714</v>
      </c>
      <c r="BU83" s="320">
        <v>1230</v>
      </c>
      <c r="BV83" s="320">
        <v>678</v>
      </c>
      <c r="BW83" s="320">
        <v>808</v>
      </c>
      <c r="BX83" s="320">
        <v>1966</v>
      </c>
      <c r="BY83" s="320">
        <v>915</v>
      </c>
      <c r="BZ83" s="320">
        <v>1334</v>
      </c>
      <c r="CA83" s="344">
        <f>SUM(BO83:BZ83)</f>
        <v>11904</v>
      </c>
      <c r="CB83" s="320">
        <v>0</v>
      </c>
      <c r="CC83" s="320">
        <v>0</v>
      </c>
      <c r="CD83" s="320">
        <v>0</v>
      </c>
      <c r="CE83" s="320">
        <v>0</v>
      </c>
      <c r="CF83" s="320">
        <v>0</v>
      </c>
      <c r="CG83" s="320">
        <v>0</v>
      </c>
      <c r="CH83" s="320">
        <v>0</v>
      </c>
      <c r="CI83" s="320">
        <v>0</v>
      </c>
      <c r="CJ83" s="320">
        <v>0</v>
      </c>
      <c r="CK83" s="320">
        <v>0</v>
      </c>
      <c r="CL83" s="320">
        <v>0</v>
      </c>
      <c r="CM83" s="320">
        <v>0</v>
      </c>
      <c r="CN83" s="331">
        <f>SUM(CB83:CM83)</f>
        <v>0</v>
      </c>
      <c r="CO83" s="333">
        <v>0</v>
      </c>
      <c r="CP83" s="317">
        <v>0</v>
      </c>
      <c r="CQ83" s="317">
        <v>0</v>
      </c>
      <c r="CR83" s="317">
        <v>0</v>
      </c>
      <c r="CS83" s="317">
        <v>0</v>
      </c>
      <c r="CT83" s="317">
        <v>0</v>
      </c>
      <c r="CU83" s="317">
        <v>0</v>
      </c>
      <c r="CV83" s="317">
        <v>0</v>
      </c>
      <c r="CW83" s="317">
        <v>0</v>
      </c>
      <c r="CX83" s="317">
        <v>0</v>
      </c>
      <c r="CY83" s="317">
        <v>0</v>
      </c>
      <c r="CZ83" s="317">
        <v>0</v>
      </c>
      <c r="DA83" s="331">
        <f t="shared" si="730"/>
        <v>0</v>
      </c>
      <c r="DB83" s="317">
        <v>0</v>
      </c>
      <c r="DC83" s="317">
        <v>0</v>
      </c>
      <c r="DD83" s="317">
        <v>0</v>
      </c>
      <c r="DE83" s="317">
        <v>0</v>
      </c>
      <c r="DF83" s="317">
        <v>0</v>
      </c>
      <c r="DG83" s="317">
        <v>0</v>
      </c>
      <c r="DH83" s="317">
        <v>0</v>
      </c>
      <c r="DI83" s="317">
        <v>0</v>
      </c>
      <c r="DJ83" s="317">
        <v>0</v>
      </c>
      <c r="DK83" s="317">
        <v>0</v>
      </c>
      <c r="DL83" s="317">
        <v>0</v>
      </c>
      <c r="DM83" s="317">
        <v>0</v>
      </c>
      <c r="DN83" s="333">
        <f t="shared" si="731"/>
        <v>0</v>
      </c>
      <c r="DO83" s="333">
        <v>1085</v>
      </c>
      <c r="DP83" s="317">
        <v>994</v>
      </c>
      <c r="DQ83" s="317">
        <v>991</v>
      </c>
      <c r="DR83" s="317">
        <v>1412</v>
      </c>
      <c r="DS83" s="317">
        <v>1061</v>
      </c>
      <c r="DT83" s="317">
        <v>838</v>
      </c>
      <c r="DU83" s="317">
        <v>1608</v>
      </c>
      <c r="DV83" s="317">
        <v>116</v>
      </c>
      <c r="DW83" s="317">
        <v>200</v>
      </c>
      <c r="DX83" s="317">
        <v>1285</v>
      </c>
      <c r="DY83" s="317">
        <v>374</v>
      </c>
      <c r="DZ83" s="317">
        <v>785</v>
      </c>
      <c r="EA83" s="331">
        <f t="shared" si="732"/>
        <v>10749</v>
      </c>
      <c r="EB83" s="317">
        <v>1264</v>
      </c>
      <c r="EC83" s="317">
        <v>1114</v>
      </c>
      <c r="ED83" s="317">
        <v>1163</v>
      </c>
      <c r="EE83" s="317">
        <v>1496</v>
      </c>
      <c r="EF83" s="317">
        <v>1154</v>
      </c>
      <c r="EG83" s="317">
        <v>1100</v>
      </c>
      <c r="EH83" s="317">
        <v>2172</v>
      </c>
      <c r="EI83" s="317">
        <v>3268</v>
      </c>
      <c r="EJ83" s="317">
        <v>1454</v>
      </c>
      <c r="EK83" s="317">
        <v>621</v>
      </c>
      <c r="EL83" s="317">
        <v>1338</v>
      </c>
      <c r="EM83" s="317">
        <v>2292</v>
      </c>
      <c r="EN83" s="344">
        <f t="shared" ref="EN83:EN115" si="733">SUM(EB83:EM83)</f>
        <v>18436</v>
      </c>
      <c r="EO83" s="317">
        <f>+'GASTO G.N.'!EO10</f>
        <v>1470</v>
      </c>
      <c r="EP83" s="317">
        <f>+'GASTO G.N.'!EP10</f>
        <v>1261</v>
      </c>
      <c r="EQ83" s="317">
        <f>+'GASTO G.N.'!EQ10</f>
        <v>1254</v>
      </c>
      <c r="ER83" s="317">
        <f>+'GASTO G.N.'!ER10</f>
        <v>1608</v>
      </c>
      <c r="ES83" s="317">
        <f>+'GASTO G.N.'!ES10</f>
        <v>1269</v>
      </c>
      <c r="ET83" s="317">
        <f>+'GASTO G.N.'!ET10</f>
        <v>1390</v>
      </c>
      <c r="EU83" s="317">
        <f>+'GASTO G.N.'!EU10</f>
        <v>6910</v>
      </c>
      <c r="EV83" s="317">
        <f>+'GASTO G.N.'!EV10</f>
        <v>688</v>
      </c>
      <c r="EW83" s="317">
        <f>+'GASTO G.N.'!EW10</f>
        <v>602</v>
      </c>
      <c r="EX83" s="317">
        <f>+'GASTO G.N.'!EX10</f>
        <v>460</v>
      </c>
      <c r="EY83" s="317">
        <f>+'GASTO G.N.'!EY10</f>
        <v>175</v>
      </c>
      <c r="EZ83" s="317">
        <f>+'GASTO G.N.'!EZ10</f>
        <v>2370</v>
      </c>
      <c r="FA83" s="331">
        <f t="shared" ref="FA83:FA115" si="734">SUM(EO83:EZ83)</f>
        <v>19457</v>
      </c>
      <c r="FB83" s="405">
        <f>+'GASTO G.N.'!FB10</f>
        <v>1581</v>
      </c>
      <c r="FC83" s="405">
        <f>+'GASTO G.N.'!FC10</f>
        <v>1663</v>
      </c>
      <c r="FD83" s="405">
        <f>+'GASTO G.N.'!FD10</f>
        <v>1642</v>
      </c>
      <c r="FE83" s="405">
        <f>+'GASTO G.N.'!FE10</f>
        <v>1860</v>
      </c>
      <c r="FF83" s="405">
        <f>+'GASTO G.N.'!FF10</f>
        <v>5533</v>
      </c>
      <c r="FG83" s="405">
        <f>+'GASTO G.N.'!FG10</f>
        <v>5526</v>
      </c>
      <c r="FH83" s="405">
        <f>+'GASTO G.N.'!FH10</f>
        <v>1339</v>
      </c>
      <c r="FI83" s="405">
        <f>+'GASTO G.N.'!FI10</f>
        <v>172</v>
      </c>
      <c r="FJ83" s="405">
        <f>+'GASTO G.N.'!FJ10</f>
        <v>57</v>
      </c>
      <c r="FK83" s="405">
        <f>+'GASTO G.N.'!FK10</f>
        <v>1829</v>
      </c>
      <c r="FL83" s="405">
        <f>+'GASTO G.N.'!FL10</f>
        <v>1507</v>
      </c>
      <c r="FM83" s="405">
        <f>+'GASTO G.N.'!FM10</f>
        <v>5144</v>
      </c>
      <c r="FN83" s="331">
        <f t="shared" ref="FN83:FN115" si="735">SUM(FB83:FM83)</f>
        <v>27853</v>
      </c>
      <c r="FO83" s="405">
        <f>+'GASTO G.N.'!FO10</f>
        <v>1610</v>
      </c>
      <c r="FP83" s="405">
        <f>+'GASTO G.N.'!FP10</f>
        <v>1588</v>
      </c>
      <c r="FQ83" s="405">
        <f>+'GASTO G.N.'!FQ10</f>
        <v>1613</v>
      </c>
      <c r="FR83" s="405">
        <f>+'GASTO G.N.'!FR10</f>
        <v>1721</v>
      </c>
      <c r="FS83" s="405">
        <f>+'GASTO G.N.'!FS10</f>
        <v>1647</v>
      </c>
      <c r="FT83" s="405">
        <f>+'GASTO G.N.'!FT10</f>
        <v>1623</v>
      </c>
      <c r="FU83" s="405">
        <f>+'GASTO G.N.'!FU10</f>
        <v>3238</v>
      </c>
      <c r="FV83" s="405">
        <f>+'GASTO G.N.'!FV10</f>
        <v>1686</v>
      </c>
      <c r="FW83" s="405">
        <f>+'GASTO G.N.'!FW10</f>
        <v>1647</v>
      </c>
      <c r="FX83" s="405">
        <f>+'GASTO G.N.'!FX10</f>
        <v>1936</v>
      </c>
      <c r="FY83" s="405">
        <f>+'GASTO G.N.'!FY10</f>
        <v>1738</v>
      </c>
      <c r="FZ83" s="437">
        <f>+'GASTO G.N.'!FZ10</f>
        <v>3718</v>
      </c>
      <c r="GA83" s="405">
        <f t="shared" si="653"/>
        <v>23765</v>
      </c>
      <c r="GB83" s="436">
        <f>+'GASTO G.N.'!GB10</f>
        <v>1649</v>
      </c>
      <c r="GC83" s="405">
        <f>+'GASTO G.N.'!GC10</f>
        <v>1376</v>
      </c>
      <c r="GD83" s="405">
        <f>+'GASTO G.N.'!GD10</f>
        <v>1813</v>
      </c>
      <c r="GE83" s="405">
        <f>+'GASTO G.N.'!GE10</f>
        <v>2060</v>
      </c>
      <c r="GF83" s="405">
        <f>+'GASTO G.N.'!GF10</f>
        <v>1883</v>
      </c>
      <c r="GG83" s="405">
        <f>+'GASTO G.N.'!GG10</f>
        <v>1697</v>
      </c>
      <c r="GH83" s="405">
        <f>+'GASTO G.N.'!GH10</f>
        <v>3337</v>
      </c>
      <c r="GI83" s="405">
        <f>+'GASTO G.N.'!GI10</f>
        <v>1877</v>
      </c>
      <c r="GJ83" s="405">
        <f>+'GASTO G.N.'!GJ10</f>
        <v>1925</v>
      </c>
      <c r="GK83" s="405">
        <f>+'GASTO G.N.'!GK10</f>
        <v>2197</v>
      </c>
      <c r="GL83" s="405">
        <f>+'GASTO G.N.'!GL10</f>
        <v>2044</v>
      </c>
      <c r="GM83" s="405">
        <f>+'GASTO G.N.'!GM10</f>
        <v>4721</v>
      </c>
      <c r="GN83" s="435">
        <f>SUM(GB83:GM83)</f>
        <v>26579</v>
      </c>
      <c r="GO83" s="436">
        <f>+'GASTO G.N.'!GO10</f>
        <v>2178</v>
      </c>
      <c r="GP83" s="405">
        <f>+'GASTO G.N.'!GP10</f>
        <v>1774</v>
      </c>
      <c r="GQ83" s="405">
        <f>+'GASTO G.N.'!GQ10</f>
        <v>2225</v>
      </c>
      <c r="GR83" s="405">
        <f>+'GASTO G.N.'!GR10</f>
        <v>2270</v>
      </c>
      <c r="GS83" s="405">
        <f>+'GASTO G.N.'!GS10</f>
        <v>2263</v>
      </c>
      <c r="GT83" s="405">
        <f>+'GASTO G.N.'!GT10</f>
        <v>2493</v>
      </c>
      <c r="GU83" s="405">
        <f>+'GASTO G.N.'!GU10</f>
        <v>3541</v>
      </c>
      <c r="GV83" s="405">
        <f>+'GASTO G.N.'!GV10</f>
        <v>2217</v>
      </c>
      <c r="GW83" s="405">
        <f>+'GASTO G.N.'!GW10</f>
        <v>2286</v>
      </c>
      <c r="GX83" s="405">
        <f>+'GASTO G.N.'!GX10</f>
        <v>2802</v>
      </c>
      <c r="GY83" s="405">
        <f>+'GASTO G.N.'!GY10</f>
        <v>2591</v>
      </c>
      <c r="GZ83" s="437">
        <f>+'GASTO G.N.'!GZ10</f>
        <v>4077</v>
      </c>
      <c r="HA83" s="437">
        <f t="shared" si="656"/>
        <v>30717</v>
      </c>
      <c r="HB83" s="436">
        <f>+'GASTO G.N.'!HB10</f>
        <v>2328</v>
      </c>
      <c r="HC83" s="405">
        <f>+'GASTO G.N.'!HB10</f>
        <v>2328</v>
      </c>
      <c r="HD83" s="405">
        <f>+'GASTO G.N.'!HC10</f>
        <v>2365</v>
      </c>
      <c r="HE83" s="405">
        <f>+'GASTO G.N.'!HD10</f>
        <v>2624</v>
      </c>
      <c r="HF83" s="405">
        <f>+'GASTO G.N.'!HE10</f>
        <v>2565</v>
      </c>
      <c r="HG83" s="405">
        <f>+'GASTO G.N.'!HF10</f>
        <v>2589</v>
      </c>
      <c r="HH83" s="405">
        <f>+'GASTO G.N.'!HG10</f>
        <v>2551</v>
      </c>
      <c r="HI83" s="405">
        <f>+'GASTO G.N.'!HH10</f>
        <v>4435</v>
      </c>
      <c r="HJ83" s="405">
        <f>+'GASTO G.N.'!HI10</f>
        <v>2652</v>
      </c>
      <c r="HK83" s="405">
        <f>+'GASTO G.N.'!HJ10</f>
        <v>2646</v>
      </c>
      <c r="HL83" s="405">
        <f>+'GASTO G.N.'!HK10</f>
        <v>3052</v>
      </c>
      <c r="HM83" s="437">
        <f>+'GASTO G.N.'!HL10</f>
        <v>2775</v>
      </c>
      <c r="HN83" s="437">
        <f t="shared" si="658"/>
        <v>32910</v>
      </c>
      <c r="HO83" s="405">
        <v>3201</v>
      </c>
      <c r="HP83" s="405">
        <v>3130</v>
      </c>
      <c r="HQ83" s="405">
        <v>3272</v>
      </c>
      <c r="HR83" s="405">
        <v>3278</v>
      </c>
      <c r="HS83" s="405">
        <v>3316</v>
      </c>
      <c r="HT83" s="405">
        <v>3359</v>
      </c>
      <c r="HU83" s="405">
        <v>5404</v>
      </c>
      <c r="HV83" s="405">
        <v>3152</v>
      </c>
      <c r="HW83" s="405">
        <v>3288</v>
      </c>
      <c r="HX83" s="405">
        <v>3176</v>
      </c>
      <c r="HY83" s="405">
        <v>3294</v>
      </c>
      <c r="HZ83" s="405">
        <v>5333</v>
      </c>
      <c r="IA83" s="436">
        <f t="shared" si="660"/>
        <v>43203</v>
      </c>
      <c r="IB83" s="1324">
        <f>+'[1]GASTO G.N.'!IB10</f>
        <v>3237</v>
      </c>
      <c r="IC83">
        <f>+'[1]GASTO G.N.'!IC10</f>
        <v>3574</v>
      </c>
      <c r="ID83">
        <f>+'[1]GASTO G.N.'!ID10</f>
        <v>3785</v>
      </c>
      <c r="IE83">
        <f>+'[1]GASTO G.N.'!IE10</f>
        <v>3798</v>
      </c>
      <c r="IF83">
        <f>+'[1]GASTO G.N.'!IF10</f>
        <v>3777</v>
      </c>
      <c r="IG83">
        <f>+'[1]GASTO G.N.'!IG10</f>
        <v>3689</v>
      </c>
      <c r="IH83">
        <f>+'[1]GASTO G.N.'!IH10</f>
        <v>6011</v>
      </c>
      <c r="II83">
        <f>+'[1]GASTO G.N.'!II10</f>
        <v>3688</v>
      </c>
      <c r="IM83" s="1266"/>
      <c r="IN83" s="1059">
        <f t="shared" si="680"/>
        <v>31559</v>
      </c>
      <c r="IO83" s="1266"/>
      <c r="IP83" s="1060">
        <f t="shared" si="662"/>
        <v>17.00507614213198</v>
      </c>
      <c r="IQ83" s="640">
        <f t="shared" si="663"/>
        <v>12.26166761525327</v>
      </c>
      <c r="IR83" s="344">
        <f t="shared" si="664"/>
        <v>28112</v>
      </c>
      <c r="IS83" s="344">
        <f t="shared" si="665"/>
        <v>31559</v>
      </c>
      <c r="IU83" s="320">
        <f t="shared" si="666"/>
        <v>536</v>
      </c>
    </row>
    <row r="84" spans="1:255" ht="15" customHeight="1" x14ac:dyDescent="0.2">
      <c r="A84" s="459" t="s">
        <v>319</v>
      </c>
      <c r="B84" s="405"/>
      <c r="C84" s="405"/>
      <c r="D84" s="405"/>
      <c r="E84" s="405"/>
      <c r="F84" s="405"/>
      <c r="G84" s="405"/>
      <c r="H84" s="405"/>
      <c r="I84" s="405"/>
      <c r="J84" s="405"/>
      <c r="K84" s="405"/>
      <c r="L84" s="405"/>
      <c r="M84" s="405"/>
      <c r="N84" s="405"/>
      <c r="O84" s="405"/>
      <c r="P84" s="405"/>
      <c r="Q84" s="405"/>
      <c r="R84" s="405"/>
      <c r="S84" s="405"/>
      <c r="T84" s="405"/>
      <c r="U84" s="405"/>
      <c r="V84" s="405"/>
      <c r="W84" s="405"/>
      <c r="X84" s="405"/>
      <c r="Y84" s="405"/>
      <c r="Z84" s="405"/>
      <c r="AA84" s="405"/>
      <c r="AB84" s="405"/>
      <c r="AC84" s="405"/>
      <c r="AD84" s="405"/>
      <c r="AE84" s="405"/>
      <c r="AF84" s="405"/>
      <c r="AG84" s="405"/>
      <c r="AH84" s="405"/>
      <c r="AI84" s="405"/>
      <c r="AJ84" s="405"/>
      <c r="AK84" s="405"/>
      <c r="AL84" s="405"/>
      <c r="AM84" s="405"/>
      <c r="AN84" s="405"/>
      <c r="AO84" s="405"/>
      <c r="AP84" s="405"/>
      <c r="AQ84" s="405"/>
      <c r="AR84" s="405"/>
      <c r="AS84" s="405"/>
      <c r="AT84" s="405"/>
      <c r="AU84" s="405"/>
      <c r="AV84" s="405"/>
      <c r="AW84" s="405"/>
      <c r="AX84" s="405"/>
      <c r="AY84" s="405"/>
      <c r="AZ84" s="405"/>
      <c r="BA84" s="657"/>
      <c r="BB84" s="460"/>
      <c r="BC84" s="406"/>
      <c r="BD84" s="406"/>
      <c r="BE84" s="406"/>
      <c r="BF84" s="406"/>
      <c r="BG84" s="406"/>
      <c r="BH84" s="406"/>
      <c r="BI84" s="406"/>
      <c r="BJ84" s="406"/>
      <c r="BK84" s="406"/>
      <c r="BL84" s="406"/>
      <c r="BM84" s="406"/>
      <c r="BN84" s="461"/>
      <c r="BO84" s="406">
        <v>234</v>
      </c>
      <c r="BP84" s="406">
        <v>25101</v>
      </c>
      <c r="BQ84" s="406">
        <v>4941</v>
      </c>
      <c r="BR84" s="406">
        <v>561</v>
      </c>
      <c r="BS84" s="406">
        <v>14613</v>
      </c>
      <c r="BT84" s="406">
        <v>1354</v>
      </c>
      <c r="BU84" s="406">
        <v>243</v>
      </c>
      <c r="BV84" s="406">
        <v>1081</v>
      </c>
      <c r="BW84" s="406">
        <v>1650</v>
      </c>
      <c r="BX84" s="406">
        <v>4319</v>
      </c>
      <c r="BY84" s="406">
        <v>4827</v>
      </c>
      <c r="BZ84" s="406">
        <v>20303</v>
      </c>
      <c r="CA84" s="461">
        <f>SUM(BO84:BZ84)</f>
        <v>79227</v>
      </c>
      <c r="CB84" s="406">
        <v>0</v>
      </c>
      <c r="CC84" s="406">
        <v>0</v>
      </c>
      <c r="CD84" s="406">
        <v>0</v>
      </c>
      <c r="CE84" s="406">
        <v>0</v>
      </c>
      <c r="CF84" s="406">
        <v>0</v>
      </c>
      <c r="CG84" s="406">
        <v>0</v>
      </c>
      <c r="CH84" s="406">
        <v>0</v>
      </c>
      <c r="CI84" s="406">
        <v>0</v>
      </c>
      <c r="CJ84" s="406">
        <v>0</v>
      </c>
      <c r="CK84" s="406">
        <v>0</v>
      </c>
      <c r="CL84" s="406">
        <v>0</v>
      </c>
      <c r="CM84" s="406">
        <v>0</v>
      </c>
      <c r="CN84" s="435">
        <f>SUM(CB84:CM84)</f>
        <v>0</v>
      </c>
      <c r="CO84" s="436">
        <v>0</v>
      </c>
      <c r="CP84" s="405">
        <v>0</v>
      </c>
      <c r="CQ84" s="405">
        <v>0</v>
      </c>
      <c r="CR84" s="405">
        <v>0</v>
      </c>
      <c r="CS84" s="405">
        <v>0</v>
      </c>
      <c r="CT84" s="405">
        <v>0</v>
      </c>
      <c r="CU84" s="405">
        <v>0</v>
      </c>
      <c r="CV84" s="405">
        <v>0</v>
      </c>
      <c r="CW84" s="405">
        <v>0</v>
      </c>
      <c r="CX84" s="405">
        <v>0</v>
      </c>
      <c r="CY84" s="405">
        <v>0</v>
      </c>
      <c r="CZ84" s="405">
        <v>0</v>
      </c>
      <c r="DA84" s="435">
        <f t="shared" si="730"/>
        <v>0</v>
      </c>
      <c r="DB84" s="405">
        <v>0</v>
      </c>
      <c r="DC84" s="405">
        <v>0</v>
      </c>
      <c r="DD84" s="405">
        <v>0</v>
      </c>
      <c r="DE84" s="405">
        <v>0</v>
      </c>
      <c r="DF84" s="405">
        <v>0</v>
      </c>
      <c r="DG84" s="405">
        <v>0</v>
      </c>
      <c r="DH84" s="405">
        <v>0</v>
      </c>
      <c r="DI84" s="405">
        <v>0</v>
      </c>
      <c r="DJ84" s="405">
        <v>0</v>
      </c>
      <c r="DK84" s="405">
        <v>0</v>
      </c>
      <c r="DL84" s="405">
        <v>0</v>
      </c>
      <c r="DM84" s="405">
        <v>0</v>
      </c>
      <c r="DN84" s="436">
        <f t="shared" si="731"/>
        <v>0</v>
      </c>
      <c r="DO84" s="405">
        <v>590</v>
      </c>
      <c r="DP84" s="405">
        <v>11470</v>
      </c>
      <c r="DQ84" s="405">
        <v>11768</v>
      </c>
      <c r="DR84" s="405">
        <v>21450</v>
      </c>
      <c r="DS84" s="405">
        <v>10391</v>
      </c>
      <c r="DT84" s="405">
        <v>25328</v>
      </c>
      <c r="DU84" s="405">
        <v>7340</v>
      </c>
      <c r="DV84" s="405">
        <v>11355</v>
      </c>
      <c r="DW84" s="405">
        <v>6397</v>
      </c>
      <c r="DX84" s="405">
        <v>17741</v>
      </c>
      <c r="DY84" s="405">
        <v>8275</v>
      </c>
      <c r="DZ84" s="405">
        <v>25497</v>
      </c>
      <c r="EA84" s="435">
        <f t="shared" si="732"/>
        <v>157602</v>
      </c>
      <c r="EB84" s="405">
        <v>15569</v>
      </c>
      <c r="EC84" s="405">
        <v>12058</v>
      </c>
      <c r="ED84" s="405">
        <v>4019</v>
      </c>
      <c r="EE84" s="405">
        <v>21111</v>
      </c>
      <c r="EF84" s="405">
        <v>6853</v>
      </c>
      <c r="EG84" s="405">
        <v>26024</v>
      </c>
      <c r="EH84" s="405">
        <v>7843</v>
      </c>
      <c r="EI84" s="405">
        <v>16703</v>
      </c>
      <c r="EJ84" s="405">
        <v>7664</v>
      </c>
      <c r="EK84" s="405">
        <v>18642</v>
      </c>
      <c r="EL84" s="405">
        <v>8543</v>
      </c>
      <c r="EM84" s="405">
        <v>15888</v>
      </c>
      <c r="EN84" s="461">
        <f t="shared" si="733"/>
        <v>160917</v>
      </c>
      <c r="EO84" s="405">
        <f>+'GASTO G.N.'!EO13</f>
        <v>3200</v>
      </c>
      <c r="EP84" s="405">
        <f>+'GASTO G.N.'!EP13</f>
        <v>14128</v>
      </c>
      <c r="EQ84" s="405">
        <f>+'GASTO G.N.'!EQ13</f>
        <v>6659</v>
      </c>
      <c r="ER84" s="405">
        <f>+'GASTO G.N.'!ER13</f>
        <v>26700</v>
      </c>
      <c r="ES84" s="405">
        <f>+'GASTO G.N.'!ES13</f>
        <v>10078</v>
      </c>
      <c r="ET84" s="405">
        <f>+'GASTO G.N.'!ET13</f>
        <v>18709</v>
      </c>
      <c r="EU84" s="405">
        <f>+'GASTO G.N.'!EU13</f>
        <v>19875</v>
      </c>
      <c r="EV84" s="405">
        <f>+'GASTO G.N.'!EV13</f>
        <v>17719</v>
      </c>
      <c r="EW84" s="405">
        <f>+'GASTO G.N.'!EW13</f>
        <v>8670</v>
      </c>
      <c r="EX84" s="405">
        <f>+'GASTO G.N.'!EX13</f>
        <v>19469</v>
      </c>
      <c r="EY84" s="405">
        <f>+'GASTO G.N.'!EY13</f>
        <v>19816</v>
      </c>
      <c r="EZ84" s="405">
        <f>+'GASTO G.N.'!EZ13</f>
        <v>13251</v>
      </c>
      <c r="FA84" s="435">
        <f t="shared" si="734"/>
        <v>178274</v>
      </c>
      <c r="FB84" s="405">
        <f>+'GASTO G.N.'!FB13</f>
        <v>3512</v>
      </c>
      <c r="FC84" s="405">
        <f>+'GASTO G.N.'!FC13</f>
        <v>21822</v>
      </c>
      <c r="FD84" s="405">
        <f>+'GASTO G.N.'!FD13</f>
        <v>53063</v>
      </c>
      <c r="FE84" s="405">
        <f>+'GASTO G.N.'!FE13</f>
        <v>79921</v>
      </c>
      <c r="FF84" s="405">
        <f>+'GASTO G.N.'!FF13</f>
        <v>75709</v>
      </c>
      <c r="FG84" s="405">
        <f>+'GASTO G.N.'!FG13</f>
        <v>10155</v>
      </c>
      <c r="FH84" s="405">
        <f>+'GASTO G.N.'!FH13</f>
        <v>12832</v>
      </c>
      <c r="FI84" s="405">
        <f>+'GASTO G.N.'!FI13</f>
        <v>90682</v>
      </c>
      <c r="FJ84" s="405">
        <f>+'GASTO G.N.'!FJ13</f>
        <v>11703</v>
      </c>
      <c r="FK84" s="405">
        <f>+'GASTO G.N.'!FK13</f>
        <v>149732</v>
      </c>
      <c r="FL84" s="405">
        <f>+'GASTO G.N.'!FL13</f>
        <v>71109</v>
      </c>
      <c r="FM84" s="405">
        <f>+'GASTO G.N.'!FM13</f>
        <v>48681</v>
      </c>
      <c r="FN84" s="331">
        <f t="shared" si="735"/>
        <v>628921</v>
      </c>
      <c r="FO84" s="405">
        <f>+'GASTO G.N.'!FO13</f>
        <v>1166</v>
      </c>
      <c r="FP84" s="405">
        <f>+'GASTO G.N.'!FP13</f>
        <v>24522</v>
      </c>
      <c r="FQ84" s="405">
        <f>+'GASTO G.N.'!FQ13</f>
        <v>14329</v>
      </c>
      <c r="FR84" s="405">
        <f>+'GASTO G.N.'!FR13</f>
        <v>42296</v>
      </c>
      <c r="FS84" s="405">
        <f>+'GASTO G.N.'!FS13</f>
        <v>5723</v>
      </c>
      <c r="FT84" s="405">
        <f>+'GASTO G.N.'!FT13</f>
        <v>20729</v>
      </c>
      <c r="FU84" s="405">
        <f>+'GASTO G.N.'!FU13</f>
        <v>12131</v>
      </c>
      <c r="FV84" s="405">
        <f>+'GASTO G.N.'!FV13</f>
        <v>17600</v>
      </c>
      <c r="FW84" s="405">
        <f>+'GASTO G.N.'!FW13</f>
        <v>75993</v>
      </c>
      <c r="FX84" s="405">
        <f>+'GASTO G.N.'!FX13</f>
        <v>54583</v>
      </c>
      <c r="FY84" s="405">
        <f>+'GASTO G.N.'!FY13</f>
        <v>34548</v>
      </c>
      <c r="FZ84" s="437">
        <f>+'GASTO G.N.'!FZ13</f>
        <v>75669</v>
      </c>
      <c r="GA84" s="405">
        <f t="shared" si="653"/>
        <v>379289</v>
      </c>
      <c r="GB84" s="436">
        <f>+'GASTO G.N.'!GB13</f>
        <v>11595</v>
      </c>
      <c r="GC84" s="405">
        <f>+'GASTO G.N.'!GC13</f>
        <v>23490</v>
      </c>
      <c r="GD84" s="405">
        <f>+'GASTO G.N.'!GD13</f>
        <v>12941</v>
      </c>
      <c r="GE84" s="405">
        <f>+'GASTO G.N.'!GE13</f>
        <v>35069</v>
      </c>
      <c r="GF84" s="405">
        <f>+'GASTO G.N.'!GF13</f>
        <v>14880</v>
      </c>
      <c r="GG84" s="405">
        <f>+'GASTO G.N.'!GG13</f>
        <v>25111</v>
      </c>
      <c r="GH84" s="405">
        <f>+'GASTO G.N.'!GH13</f>
        <v>13411</v>
      </c>
      <c r="GI84" s="405">
        <f>+'GASTO G.N.'!GI13</f>
        <v>31259</v>
      </c>
      <c r="GJ84" s="405">
        <f>+'GASTO G.N.'!GJ13</f>
        <v>9566</v>
      </c>
      <c r="GK84" s="405">
        <f>+'GASTO G.N.'!GK13</f>
        <v>804</v>
      </c>
      <c r="GL84" s="405">
        <f>+'GASTO G.N.'!GL13</f>
        <v>16366</v>
      </c>
      <c r="GM84" s="405">
        <f>+'GASTO G.N.'!GM13</f>
        <v>36659</v>
      </c>
      <c r="GN84" s="435">
        <f t="shared" si="654"/>
        <v>231151</v>
      </c>
      <c r="GO84" s="436">
        <f>+'GASTO G.N.'!GO13</f>
        <v>21110</v>
      </c>
      <c r="GP84" s="405">
        <f>+'GASTO G.N.'!GP13</f>
        <v>21505</v>
      </c>
      <c r="GQ84" s="405">
        <f>+'GASTO G.N.'!GQ13</f>
        <v>16493</v>
      </c>
      <c r="GR84" s="405">
        <f>+'GASTO G.N.'!GR13</f>
        <v>29061</v>
      </c>
      <c r="GS84" s="405">
        <f>+'GASTO G.N.'!GS13</f>
        <v>7550</v>
      </c>
      <c r="GT84" s="405">
        <f>+'GASTO G.N.'!GT13</f>
        <v>33849</v>
      </c>
      <c r="GU84" s="405">
        <f>+'GASTO G.N.'!GU13</f>
        <v>18496</v>
      </c>
      <c r="GV84" s="405">
        <f>+'GASTO G.N.'!GV13</f>
        <v>5297</v>
      </c>
      <c r="GW84" s="405">
        <f>+'GASTO G.N.'!GW13</f>
        <v>11782</v>
      </c>
      <c r="GX84" s="405">
        <f>+'GASTO G.N.'!GX13</f>
        <v>37378</v>
      </c>
      <c r="GY84" s="405">
        <f>+'GASTO G.N.'!GY13</f>
        <v>3849</v>
      </c>
      <c r="GZ84" s="437">
        <f>+'GASTO G.N.'!GZ13</f>
        <v>26553</v>
      </c>
      <c r="HA84" s="437">
        <f t="shared" si="656"/>
        <v>232923</v>
      </c>
      <c r="HB84" s="436">
        <f>+'GASTO G.N.'!HB13</f>
        <v>5861</v>
      </c>
      <c r="HC84" s="405">
        <f>+'GASTO G.N.'!HC13</f>
        <v>22421</v>
      </c>
      <c r="HD84" s="405">
        <f>+'GASTO G.N.'!HD13</f>
        <v>7216</v>
      </c>
      <c r="HE84" s="405">
        <f>+'GASTO G.N.'!HE13</f>
        <v>37315</v>
      </c>
      <c r="HF84" s="405">
        <f>+'GASTO G.N.'!HF13</f>
        <v>32053</v>
      </c>
      <c r="HG84" s="405">
        <f>+'GASTO G.N.'!HG13</f>
        <v>25447</v>
      </c>
      <c r="HH84" s="405">
        <f>+'GASTO G.N.'!HH13</f>
        <v>2100</v>
      </c>
      <c r="HI84" s="405">
        <f>+'GASTO G.N.'!HI13</f>
        <v>27585</v>
      </c>
      <c r="HJ84" s="405">
        <f>+'GASTO G.N.'!HJ13</f>
        <v>3740</v>
      </c>
      <c r="HK84" s="405">
        <f>+'GASTO G.N.'!HK13</f>
        <v>28738</v>
      </c>
      <c r="HL84" s="405">
        <f>+'GASTO G.N.'!HL13</f>
        <v>13097</v>
      </c>
      <c r="HM84" s="437">
        <f>+'GASTO G.N.'!HM13</f>
        <v>26551</v>
      </c>
      <c r="HN84" s="437">
        <f t="shared" si="658"/>
        <v>232124</v>
      </c>
      <c r="HO84" s="405">
        <v>12296</v>
      </c>
      <c r="HP84" s="405">
        <v>21424</v>
      </c>
      <c r="HQ84" s="405">
        <v>23252</v>
      </c>
      <c r="HR84" s="405">
        <v>20146</v>
      </c>
      <c r="HS84" s="405">
        <v>38558</v>
      </c>
      <c r="HT84" s="405">
        <v>28397</v>
      </c>
      <c r="HU84" s="405">
        <v>34945</v>
      </c>
      <c r="HV84" s="405">
        <v>22416</v>
      </c>
      <c r="HW84" s="405">
        <v>17633</v>
      </c>
      <c r="HX84" s="405">
        <v>31553</v>
      </c>
      <c r="HY84" s="405">
        <v>17760</v>
      </c>
      <c r="HZ84" s="405">
        <v>19906</v>
      </c>
      <c r="IA84" s="436">
        <f>SUM(HO84:HZ84)</f>
        <v>288286</v>
      </c>
      <c r="IB84" s="1324">
        <f>+'[1]GASTO G.N.'!IB13</f>
        <v>18740</v>
      </c>
      <c r="IC84">
        <f>+'[1]GASTO G.N.'!IC13</f>
        <v>26199</v>
      </c>
      <c r="ID84">
        <f>+'[1]GASTO G.N.'!ID13</f>
        <v>18657</v>
      </c>
      <c r="IE84">
        <f>+'[1]GASTO G.N.'!IE13</f>
        <v>31853</v>
      </c>
      <c r="IF84">
        <f>+'[1]GASTO G.N.'!IF13</f>
        <v>31456</v>
      </c>
      <c r="IG84">
        <f>+'[1]GASTO G.N.'!IG13</f>
        <v>34039</v>
      </c>
      <c r="IH84">
        <f>+'[1]GASTO G.N.'!IH13</f>
        <v>31584</v>
      </c>
      <c r="II84">
        <f>+'[1]GASTO G.N.'!II13</f>
        <v>15003</v>
      </c>
      <c r="IM84" s="1266"/>
      <c r="IN84" s="1059">
        <f t="shared" si="680"/>
        <v>207531</v>
      </c>
      <c r="IO84" s="1266"/>
      <c r="IP84" s="1060">
        <f t="shared" si="662"/>
        <v>-33.070128479657392</v>
      </c>
      <c r="IQ84" s="640">
        <f t="shared" si="663"/>
        <v>3.0267978593484735</v>
      </c>
      <c r="IR84" s="344">
        <f t="shared" si="664"/>
        <v>201434</v>
      </c>
      <c r="IS84" s="344">
        <f t="shared" si="665"/>
        <v>207531</v>
      </c>
      <c r="IU84" s="320">
        <f t="shared" si="666"/>
        <v>-7413</v>
      </c>
    </row>
    <row r="85" spans="1:255" ht="15" customHeight="1" x14ac:dyDescent="0.2">
      <c r="A85" s="342" t="s">
        <v>324</v>
      </c>
      <c r="BA85" s="644"/>
      <c r="BB85" s="345"/>
      <c r="BC85" s="320"/>
      <c r="BD85" s="320"/>
      <c r="BE85" s="320"/>
      <c r="BF85" s="320"/>
      <c r="BG85" s="320"/>
      <c r="BH85" s="320"/>
      <c r="BI85" s="320"/>
      <c r="BJ85" s="320"/>
      <c r="BK85" s="320"/>
      <c r="BL85" s="320"/>
      <c r="BM85" s="320"/>
      <c r="BN85" s="344"/>
      <c r="BO85" s="320">
        <v>3111</v>
      </c>
      <c r="BP85" s="320">
        <v>430</v>
      </c>
      <c r="BQ85" s="320">
        <v>987</v>
      </c>
      <c r="BR85" s="320">
        <v>4443</v>
      </c>
      <c r="BS85" s="320">
        <v>6787</v>
      </c>
      <c r="BT85" s="320">
        <v>3615</v>
      </c>
      <c r="BU85" s="320">
        <v>16</v>
      </c>
      <c r="BV85" s="320">
        <v>1048</v>
      </c>
      <c r="BW85" s="320">
        <v>4782</v>
      </c>
      <c r="BX85" s="320">
        <v>5897</v>
      </c>
      <c r="BY85" s="320">
        <v>897</v>
      </c>
      <c r="BZ85" s="320">
        <v>1840</v>
      </c>
      <c r="CA85" s="344">
        <f>SUM(BO85:BZ85)</f>
        <v>33853</v>
      </c>
      <c r="CB85" s="320">
        <v>0</v>
      </c>
      <c r="CC85" s="320">
        <v>0</v>
      </c>
      <c r="CD85" s="320">
        <v>0</v>
      </c>
      <c r="CE85" s="320">
        <v>0</v>
      </c>
      <c r="CF85" s="320">
        <v>0</v>
      </c>
      <c r="CG85" s="320">
        <v>0</v>
      </c>
      <c r="CH85" s="320">
        <v>0</v>
      </c>
      <c r="CI85" s="320">
        <v>0</v>
      </c>
      <c r="CJ85" s="320">
        <v>0</v>
      </c>
      <c r="CK85" s="320">
        <v>0</v>
      </c>
      <c r="CL85" s="320">
        <v>0</v>
      </c>
      <c r="CM85" s="320">
        <v>0</v>
      </c>
      <c r="CN85" s="331">
        <f>SUM(CB85:CM85)</f>
        <v>0</v>
      </c>
      <c r="CO85" s="333">
        <v>0</v>
      </c>
      <c r="CP85" s="317">
        <v>0</v>
      </c>
      <c r="CQ85" s="317">
        <v>0</v>
      </c>
      <c r="CR85" s="317">
        <v>0</v>
      </c>
      <c r="CS85" s="317">
        <v>0</v>
      </c>
      <c r="CT85" s="317">
        <v>0</v>
      </c>
      <c r="CU85" s="317">
        <v>0</v>
      </c>
      <c r="CV85" s="317">
        <v>0</v>
      </c>
      <c r="CW85" s="317">
        <v>0</v>
      </c>
      <c r="CX85" s="317">
        <v>0</v>
      </c>
      <c r="CY85" s="317">
        <v>0</v>
      </c>
      <c r="CZ85" s="317">
        <v>0</v>
      </c>
      <c r="DA85" s="331">
        <f t="shared" si="730"/>
        <v>0</v>
      </c>
      <c r="DB85" s="317">
        <v>0</v>
      </c>
      <c r="DC85" s="317">
        <v>0</v>
      </c>
      <c r="DD85" s="317">
        <v>0</v>
      </c>
      <c r="DE85" s="317">
        <v>0</v>
      </c>
      <c r="DF85" s="317">
        <v>0</v>
      </c>
      <c r="DG85" s="317">
        <v>0</v>
      </c>
      <c r="DH85" s="317">
        <v>0</v>
      </c>
      <c r="DI85" s="317">
        <v>0</v>
      </c>
      <c r="DJ85" s="317">
        <v>0</v>
      </c>
      <c r="DK85" s="317">
        <v>0</v>
      </c>
      <c r="DL85" s="317">
        <v>0</v>
      </c>
      <c r="DM85" s="317">
        <v>0</v>
      </c>
      <c r="DN85" s="333">
        <f t="shared" si="731"/>
        <v>0</v>
      </c>
      <c r="DO85" s="317">
        <v>18</v>
      </c>
      <c r="DP85" s="317">
        <v>7723</v>
      </c>
      <c r="DQ85" s="317">
        <v>16391</v>
      </c>
      <c r="DR85" s="317">
        <v>10195</v>
      </c>
      <c r="DS85" s="317">
        <v>105</v>
      </c>
      <c r="DT85" s="317">
        <v>3291</v>
      </c>
      <c r="DU85" s="317">
        <v>501</v>
      </c>
      <c r="DV85" s="317">
        <v>9851</v>
      </c>
      <c r="DW85" s="317">
        <v>12</v>
      </c>
      <c r="DX85" s="317">
        <v>60</v>
      </c>
      <c r="DY85" s="317">
        <v>139</v>
      </c>
      <c r="DZ85" s="317">
        <v>1667</v>
      </c>
      <c r="EA85" s="331">
        <f t="shared" si="732"/>
        <v>49953</v>
      </c>
      <c r="EB85" s="317">
        <v>98</v>
      </c>
      <c r="EC85" s="317">
        <v>8910</v>
      </c>
      <c r="ED85" s="317">
        <v>0</v>
      </c>
      <c r="EE85" s="317">
        <v>22503</v>
      </c>
      <c r="EF85" s="317">
        <v>188</v>
      </c>
      <c r="EG85" s="317">
        <v>135</v>
      </c>
      <c r="EH85" s="317">
        <v>7780</v>
      </c>
      <c r="EI85" s="317">
        <v>0</v>
      </c>
      <c r="EJ85" s="317">
        <v>10204</v>
      </c>
      <c r="EK85" s="317">
        <v>2085</v>
      </c>
      <c r="EL85" s="317">
        <v>820</v>
      </c>
      <c r="EM85" s="317">
        <v>10696</v>
      </c>
      <c r="EN85" s="344">
        <f>SUM(EB85:EM85)</f>
        <v>63419</v>
      </c>
      <c r="EO85" s="317">
        <f>+'GASTO G.N.'!EO12</f>
        <v>25723</v>
      </c>
      <c r="EP85" s="317">
        <f>+'GASTO G.N.'!EP12</f>
        <v>18</v>
      </c>
      <c r="EQ85" s="317">
        <f>+'GASTO G.N.'!EQ12</f>
        <v>41</v>
      </c>
      <c r="ER85" s="317">
        <f>+'GASTO G.N.'!ER12</f>
        <v>864</v>
      </c>
      <c r="ES85" s="317">
        <f>+'GASTO G.N.'!ES12</f>
        <v>-68</v>
      </c>
      <c r="ET85" s="317">
        <f>+'GASTO G.N.'!ET12</f>
        <v>278</v>
      </c>
      <c r="EU85" s="317">
        <f>+'GASTO G.N.'!EU12</f>
        <v>9799</v>
      </c>
      <c r="EV85" s="317">
        <f>+'GASTO G.N.'!EV12</f>
        <v>-1340</v>
      </c>
      <c r="EW85" s="317">
        <f>+'GASTO G.N.'!EW12</f>
        <v>1974</v>
      </c>
      <c r="EX85" s="317">
        <f>+'GASTO G.N.'!EX12</f>
        <v>32</v>
      </c>
      <c r="EY85" s="317">
        <f>+'GASTO G.N.'!EY12</f>
        <v>4279</v>
      </c>
      <c r="EZ85" s="317">
        <f>+'GASTO G.N.'!EZ12</f>
        <v>1903</v>
      </c>
      <c r="FA85" s="331">
        <f>SUM(EO85:EZ85)</f>
        <v>43503</v>
      </c>
      <c r="FB85" s="405">
        <f>+'GASTO G.N.'!FB12</f>
        <v>0</v>
      </c>
      <c r="FC85" s="405">
        <f>+'GASTO G.N.'!FC12</f>
        <v>16020</v>
      </c>
      <c r="FD85" s="405">
        <f>+'GASTO G.N.'!FD12</f>
        <v>1645</v>
      </c>
      <c r="FE85" s="405">
        <f>+'GASTO G.N.'!FE12</f>
        <v>15794</v>
      </c>
      <c r="FF85" s="405">
        <f>+'GASTO G.N.'!FF12</f>
        <v>70</v>
      </c>
      <c r="FG85" s="405">
        <f>+'GASTO G.N.'!FG12</f>
        <v>0</v>
      </c>
      <c r="FH85" s="405">
        <f>+'GASTO G.N.'!FH12</f>
        <v>8158</v>
      </c>
      <c r="FI85" s="405">
        <f>+'GASTO G.N.'!FI12</f>
        <v>3084</v>
      </c>
      <c r="FJ85" s="405">
        <f>+'GASTO G.N.'!FJ12</f>
        <v>2711</v>
      </c>
      <c r="FK85" s="405">
        <f>+'GASTO G.N.'!FK12</f>
        <v>669</v>
      </c>
      <c r="FL85" s="405">
        <f>+'GASTO G.N.'!FL12</f>
        <v>136</v>
      </c>
      <c r="FM85" s="405">
        <f>+'GASTO G.N.'!FM12</f>
        <v>3111</v>
      </c>
      <c r="FN85" s="331">
        <f>SUM(FB85:FM85)</f>
        <v>51398</v>
      </c>
      <c r="FO85" s="405">
        <f>+'GASTO G.N.'!FO12</f>
        <v>0</v>
      </c>
      <c r="FP85" s="405">
        <f>+'GASTO G.N.'!FP12</f>
        <v>24429</v>
      </c>
      <c r="FQ85" s="405">
        <f>+'GASTO G.N.'!FQ12</f>
        <v>494</v>
      </c>
      <c r="FR85" s="405">
        <f>+'GASTO G.N.'!FR12</f>
        <v>4700</v>
      </c>
      <c r="FS85" s="405">
        <f>+'GASTO G.N.'!FS12</f>
        <v>0</v>
      </c>
      <c r="FT85" s="405">
        <f>+'GASTO G.N.'!FT12</f>
        <v>2557</v>
      </c>
      <c r="FU85" s="405">
        <f>+'GASTO G.N.'!FU12</f>
        <v>3945</v>
      </c>
      <c r="FV85" s="405">
        <f>+'GASTO G.N.'!FV12</f>
        <v>1494</v>
      </c>
      <c r="FW85" s="405">
        <f>+'GASTO G.N.'!FW12</f>
        <v>20415</v>
      </c>
      <c r="FX85" s="405">
        <f>+'GASTO G.N.'!FX12</f>
        <v>1031</v>
      </c>
      <c r="FY85" s="405">
        <f>+'GASTO G.N.'!FY12</f>
        <v>10063</v>
      </c>
      <c r="FZ85" s="437">
        <f>+'GASTO G.N.'!FZ12</f>
        <v>2637</v>
      </c>
      <c r="GA85" s="405">
        <f t="shared" si="653"/>
        <v>71765</v>
      </c>
      <c r="GB85" s="436">
        <f>+'GASTO G.N.'!GB12</f>
        <v>116</v>
      </c>
      <c r="GC85" s="405">
        <f>+'GASTO G.N.'!GC12</f>
        <v>4671</v>
      </c>
      <c r="GD85" s="405">
        <f>+'GASTO G.N.'!GD12</f>
        <v>33591</v>
      </c>
      <c r="GE85" s="405">
        <f>+'GASTO G.N.'!GE12</f>
        <v>-28</v>
      </c>
      <c r="GF85" s="405">
        <f>+'GASTO G.N.'!GF12</f>
        <v>16945</v>
      </c>
      <c r="GG85" s="405">
        <f>+'GASTO G.N.'!GG12</f>
        <v>7695</v>
      </c>
      <c r="GH85" s="405">
        <f>+'GASTO G.N.'!GH12</f>
        <v>1489</v>
      </c>
      <c r="GI85" s="405">
        <f>+'GASTO G.N.'!GI12</f>
        <v>9812</v>
      </c>
      <c r="GJ85" s="405">
        <f>+'GASTO G.N.'!GJ12</f>
        <v>16216</v>
      </c>
      <c r="GK85" s="405">
        <f>+'GASTO G.N.'!GK12</f>
        <v>66527</v>
      </c>
      <c r="GL85" s="405">
        <f>+'GASTO G.N.'!GL12</f>
        <v>7200</v>
      </c>
      <c r="GM85" s="405">
        <f>+'GASTO G.N.'!GM12</f>
        <v>1581</v>
      </c>
      <c r="GN85" s="435">
        <f t="shared" si="654"/>
        <v>165815</v>
      </c>
      <c r="GO85" s="436">
        <f>+'GASTO G.N.'!GO12</f>
        <v>10522</v>
      </c>
      <c r="GP85" s="405">
        <f>+'GASTO G.N.'!GP12</f>
        <v>27071</v>
      </c>
      <c r="GQ85" s="405">
        <f>+'GASTO G.N.'!GQ12</f>
        <v>135</v>
      </c>
      <c r="GR85" s="405">
        <f>+'GASTO G.N.'!GR12</f>
        <v>24321</v>
      </c>
      <c r="GS85" s="405">
        <f>+'GASTO G.N.'!GS12</f>
        <v>5876</v>
      </c>
      <c r="GT85" s="405">
        <f>+'GASTO G.N.'!GT12</f>
        <v>1251</v>
      </c>
      <c r="GU85" s="405">
        <f>+'GASTO G.N.'!GU12</f>
        <v>4899</v>
      </c>
      <c r="GV85" s="405">
        <f>+'GASTO G.N.'!GV12</f>
        <v>18909</v>
      </c>
      <c r="GW85" s="405">
        <f>+'GASTO G.N.'!GW12</f>
        <v>-129</v>
      </c>
      <c r="GX85" s="405">
        <f>+'GASTO G.N.'!GX12</f>
        <v>1221</v>
      </c>
      <c r="GY85" s="405">
        <f>+'GASTO G.N.'!GY12</f>
        <v>2028</v>
      </c>
      <c r="GZ85" s="437">
        <f>+'GASTO G.N.'!GZ12</f>
        <v>582</v>
      </c>
      <c r="HA85" s="437">
        <f t="shared" si="656"/>
        <v>96686</v>
      </c>
      <c r="HB85" s="436">
        <f>+'GASTO G.N.'!HB12</f>
        <v>0</v>
      </c>
      <c r="HC85" s="405">
        <f>+'GASTO G.N.'!HC12</f>
        <v>43624</v>
      </c>
      <c r="HD85" s="405">
        <f>+'GASTO G.N.'!HD12</f>
        <v>6310</v>
      </c>
      <c r="HE85" s="405">
        <f>+'GASTO G.N.'!HE12</f>
        <v>9441</v>
      </c>
      <c r="HF85" s="405">
        <f>+'GASTO G.N.'!HF12</f>
        <v>3073</v>
      </c>
      <c r="HG85" s="405">
        <f>+'GASTO G.N.'!HG12</f>
        <v>2674</v>
      </c>
      <c r="HH85" s="405">
        <f>+'GASTO G.N.'!HH12</f>
        <v>23793</v>
      </c>
      <c r="HI85" s="405">
        <f>+'GASTO G.N.'!HI12</f>
        <v>133</v>
      </c>
      <c r="HJ85" s="405">
        <f>+'GASTO G.N.'!HJ12</f>
        <v>14526</v>
      </c>
      <c r="HK85" s="405">
        <f>+'GASTO G.N.'!HK12</f>
        <v>4399</v>
      </c>
      <c r="HL85" s="405">
        <f>+'GASTO G.N.'!HL12</f>
        <v>140</v>
      </c>
      <c r="HM85" s="437">
        <f>+'GASTO G.N.'!HM12</f>
        <v>1376</v>
      </c>
      <c r="HN85" s="437">
        <f t="shared" si="658"/>
        <v>109489</v>
      </c>
      <c r="HO85" s="405">
        <v>0</v>
      </c>
      <c r="HP85" s="405">
        <v>39356</v>
      </c>
      <c r="HQ85" s="405">
        <v>6459</v>
      </c>
      <c r="HR85" s="405">
        <v>0</v>
      </c>
      <c r="HS85" s="405">
        <v>-5</v>
      </c>
      <c r="HT85" s="405">
        <v>17655</v>
      </c>
      <c r="HU85" s="405">
        <v>688</v>
      </c>
      <c r="HV85" s="405">
        <v>453</v>
      </c>
      <c r="HW85" s="405">
        <v>1554</v>
      </c>
      <c r="HX85" s="405">
        <v>69</v>
      </c>
      <c r="HY85" s="405">
        <v>-97</v>
      </c>
      <c r="HZ85" s="405">
        <v>796</v>
      </c>
      <c r="IA85" s="436">
        <f t="shared" si="660"/>
        <v>66928</v>
      </c>
      <c r="IB85" s="1324">
        <f>+'[1]GASTO G.N.'!IB12</f>
        <v>49326</v>
      </c>
      <c r="IC85">
        <f>+'[1]GASTO G.N.'!IC12</f>
        <v>0</v>
      </c>
      <c r="ID85">
        <f>+'[1]GASTO G.N.'!ID12</f>
        <v>6114</v>
      </c>
      <c r="IE85">
        <f>+'[1]GASTO G.N.'!IE12</f>
        <v>3632</v>
      </c>
      <c r="IF85">
        <f>+'[1]GASTO G.N.'!IF12</f>
        <v>0</v>
      </c>
      <c r="IG85">
        <f>+'[1]GASTO G.N.'!IG12</f>
        <v>-2</v>
      </c>
      <c r="IH85">
        <f>+'[1]GASTO G.N.'!IH12</f>
        <v>-15</v>
      </c>
      <c r="II85">
        <f>+'[1]GASTO G.N.'!II12</f>
        <v>7086</v>
      </c>
      <c r="IM85" s="1266"/>
      <c r="IN85" s="1059">
        <f t="shared" si="680"/>
        <v>66141</v>
      </c>
      <c r="IO85" s="1266"/>
      <c r="IP85" s="1060">
        <f t="shared" si="662"/>
        <v>1464.2384105960264</v>
      </c>
      <c r="IQ85" s="640">
        <f t="shared" si="663"/>
        <v>2.3759403151410119</v>
      </c>
      <c r="IR85" s="344">
        <f t="shared" si="664"/>
        <v>64606</v>
      </c>
      <c r="IS85" s="344">
        <f t="shared" si="665"/>
        <v>66141</v>
      </c>
      <c r="IU85" s="320">
        <f t="shared" si="666"/>
        <v>6633</v>
      </c>
    </row>
    <row r="86" spans="1:255" ht="15" customHeight="1" x14ac:dyDescent="0.2">
      <c r="A86" s="657" t="s">
        <v>321</v>
      </c>
      <c r="B86" s="405"/>
      <c r="C86" s="405"/>
      <c r="D86" s="405"/>
      <c r="E86" s="405"/>
      <c r="F86" s="405"/>
      <c r="G86" s="405"/>
      <c r="H86" s="405"/>
      <c r="I86" s="405"/>
      <c r="J86" s="405"/>
      <c r="K86" s="405"/>
      <c r="L86" s="405"/>
      <c r="M86" s="405"/>
      <c r="N86" s="405"/>
      <c r="O86" s="405"/>
      <c r="P86" s="405"/>
      <c r="Q86" s="405"/>
      <c r="R86" s="405"/>
      <c r="S86" s="405"/>
      <c r="T86" s="405"/>
      <c r="U86" s="405"/>
      <c r="V86" s="405"/>
      <c r="W86" s="405"/>
      <c r="X86" s="405"/>
      <c r="Y86" s="405"/>
      <c r="Z86" s="405"/>
      <c r="AA86" s="405"/>
      <c r="AB86" s="405"/>
      <c r="AC86" s="405"/>
      <c r="AD86" s="405"/>
      <c r="AE86" s="405"/>
      <c r="AF86" s="405"/>
      <c r="AG86" s="405"/>
      <c r="AH86" s="405"/>
      <c r="AI86" s="405"/>
      <c r="AJ86" s="405"/>
      <c r="AK86" s="405"/>
      <c r="AL86" s="405"/>
      <c r="AM86" s="405"/>
      <c r="AN86" s="405"/>
      <c r="AO86" s="405"/>
      <c r="AP86" s="405"/>
      <c r="AQ86" s="405"/>
      <c r="AR86" s="405"/>
      <c r="AS86" s="405"/>
      <c r="AT86" s="405"/>
      <c r="AU86" s="405"/>
      <c r="AV86" s="405"/>
      <c r="AW86" s="405"/>
      <c r="AX86" s="405"/>
      <c r="AY86" s="405"/>
      <c r="AZ86" s="405"/>
      <c r="BA86" s="657"/>
      <c r="BB86" s="460">
        <v>9297</v>
      </c>
      <c r="BC86" s="406">
        <v>3075</v>
      </c>
      <c r="BD86" s="406">
        <v>9876</v>
      </c>
      <c r="BE86" s="406">
        <v>1101</v>
      </c>
      <c r="BF86" s="406">
        <v>13763</v>
      </c>
      <c r="BG86" s="406">
        <v>6623</v>
      </c>
      <c r="BH86" s="406">
        <v>3831</v>
      </c>
      <c r="BI86" s="406">
        <v>13479</v>
      </c>
      <c r="BJ86" s="406">
        <v>6289</v>
      </c>
      <c r="BK86" s="406">
        <v>15088</v>
      </c>
      <c r="BL86" s="406">
        <v>7464</v>
      </c>
      <c r="BM86" s="406">
        <v>11215</v>
      </c>
      <c r="BN86" s="461">
        <f>SUM(BB86:BM86)</f>
        <v>101101</v>
      </c>
      <c r="BO86" s="406">
        <v>2201</v>
      </c>
      <c r="BP86" s="406">
        <v>12575</v>
      </c>
      <c r="BQ86" s="406">
        <v>4462</v>
      </c>
      <c r="BR86" s="406">
        <v>14688</v>
      </c>
      <c r="BS86" s="406">
        <v>6386</v>
      </c>
      <c r="BT86" s="406">
        <v>4717</v>
      </c>
      <c r="BU86" s="406">
        <v>6032</v>
      </c>
      <c r="BV86" s="406">
        <v>22301</v>
      </c>
      <c r="BW86" s="406">
        <v>17456</v>
      </c>
      <c r="BX86" s="406">
        <v>15022</v>
      </c>
      <c r="BY86" s="406">
        <v>23343</v>
      </c>
      <c r="BZ86" s="406">
        <v>12227</v>
      </c>
      <c r="CA86" s="461">
        <f>SUM(BO86:BZ86)</f>
        <v>141410</v>
      </c>
      <c r="CB86" s="406">
        <v>0</v>
      </c>
      <c r="CC86" s="406">
        <v>0</v>
      </c>
      <c r="CD86" s="406">
        <v>0</v>
      </c>
      <c r="CE86" s="406">
        <v>0</v>
      </c>
      <c r="CF86" s="406">
        <v>0</v>
      </c>
      <c r="CG86" s="406">
        <v>0</v>
      </c>
      <c r="CH86" s="406">
        <v>0</v>
      </c>
      <c r="CI86" s="406">
        <v>0</v>
      </c>
      <c r="CJ86" s="406">
        <v>0</v>
      </c>
      <c r="CK86" s="406">
        <v>0</v>
      </c>
      <c r="CL86" s="406">
        <v>0</v>
      </c>
      <c r="CM86" s="406">
        <v>0</v>
      </c>
      <c r="CN86" s="435">
        <f>SUM(CB86:CM86)</f>
        <v>0</v>
      </c>
      <c r="CO86" s="436">
        <v>0</v>
      </c>
      <c r="CP86" s="405">
        <v>0</v>
      </c>
      <c r="CQ86" s="405">
        <v>0</v>
      </c>
      <c r="CR86" s="405">
        <v>0</v>
      </c>
      <c r="CS86" s="405">
        <v>0</v>
      </c>
      <c r="CT86" s="405">
        <v>0</v>
      </c>
      <c r="CU86" s="405">
        <v>0</v>
      </c>
      <c r="CV86" s="405">
        <v>0</v>
      </c>
      <c r="CW86" s="405">
        <v>0</v>
      </c>
      <c r="CX86" s="405">
        <v>0</v>
      </c>
      <c r="CY86" s="405">
        <v>0</v>
      </c>
      <c r="CZ86" s="405">
        <v>0</v>
      </c>
      <c r="DA86" s="435">
        <f t="shared" si="730"/>
        <v>0</v>
      </c>
      <c r="DB86" s="405">
        <v>0</v>
      </c>
      <c r="DC86" s="405">
        <v>0</v>
      </c>
      <c r="DD86" s="405">
        <v>0</v>
      </c>
      <c r="DE86" s="405">
        <v>0</v>
      </c>
      <c r="DF86" s="405">
        <v>0</v>
      </c>
      <c r="DG86" s="405">
        <v>0</v>
      </c>
      <c r="DH86" s="405">
        <v>0</v>
      </c>
      <c r="DI86" s="405">
        <v>0</v>
      </c>
      <c r="DJ86" s="405">
        <v>0</v>
      </c>
      <c r="DK86" s="405">
        <v>0</v>
      </c>
      <c r="DL86" s="405">
        <v>0</v>
      </c>
      <c r="DM86" s="405">
        <v>0</v>
      </c>
      <c r="DN86" s="436">
        <f t="shared" si="731"/>
        <v>0</v>
      </c>
      <c r="DO86" s="405">
        <v>4211</v>
      </c>
      <c r="DP86" s="405">
        <v>7226</v>
      </c>
      <c r="DQ86" s="405">
        <v>12990</v>
      </c>
      <c r="DR86" s="405">
        <v>18597</v>
      </c>
      <c r="DS86" s="405">
        <v>24718</v>
      </c>
      <c r="DT86" s="405">
        <v>11731</v>
      </c>
      <c r="DU86" s="405">
        <v>25634</v>
      </c>
      <c r="DV86" s="405">
        <v>14245</v>
      </c>
      <c r="DW86" s="405">
        <v>10229</v>
      </c>
      <c r="DX86" s="405">
        <v>22201</v>
      </c>
      <c r="DY86" s="405">
        <v>11734</v>
      </c>
      <c r="DZ86" s="405">
        <v>27965</v>
      </c>
      <c r="EA86" s="435">
        <f t="shared" si="732"/>
        <v>191481</v>
      </c>
      <c r="EB86" s="405">
        <v>15036</v>
      </c>
      <c r="EC86" s="405">
        <v>14758</v>
      </c>
      <c r="ED86" s="405">
        <v>10114</v>
      </c>
      <c r="EE86" s="405">
        <v>25190</v>
      </c>
      <c r="EF86" s="405">
        <v>10253</v>
      </c>
      <c r="EG86" s="405">
        <v>9952</v>
      </c>
      <c r="EH86" s="405">
        <v>28707</v>
      </c>
      <c r="EI86" s="405">
        <v>17961</v>
      </c>
      <c r="EJ86" s="405">
        <v>10943</v>
      </c>
      <c r="EK86" s="405">
        <v>28882</v>
      </c>
      <c r="EL86" s="405">
        <v>12299</v>
      </c>
      <c r="EM86" s="405">
        <v>89279</v>
      </c>
      <c r="EN86" s="461">
        <f>SUM(EB86:EM86)</f>
        <v>273374</v>
      </c>
      <c r="EO86" s="405">
        <f>+'GASTO G.N.'!EO11</f>
        <v>23150</v>
      </c>
      <c r="EP86" s="405">
        <f>+'GASTO G.N.'!EP11</f>
        <v>9304</v>
      </c>
      <c r="EQ86" s="405">
        <f>+'GASTO G.N.'!EQ11</f>
        <v>12508</v>
      </c>
      <c r="ER86" s="405">
        <f>+'GASTO G.N.'!ER11</f>
        <v>26469</v>
      </c>
      <c r="ES86" s="405">
        <f>+'GASTO G.N.'!ES11</f>
        <v>14368</v>
      </c>
      <c r="ET86" s="405">
        <f>+'GASTO G.N.'!ET11</f>
        <v>11865</v>
      </c>
      <c r="EU86" s="405">
        <f>+'GASTO G.N.'!EU11</f>
        <v>30367</v>
      </c>
      <c r="EV86" s="405">
        <f>+'GASTO G.N.'!EV11</f>
        <v>14065</v>
      </c>
      <c r="EW86" s="405">
        <f>+'GASTO G.N.'!EW11</f>
        <v>11688</v>
      </c>
      <c r="EX86" s="405">
        <f>+'GASTO G.N.'!EX11</f>
        <v>34154</v>
      </c>
      <c r="EY86" s="405">
        <f>+'GASTO G.N.'!EY11</f>
        <v>26912</v>
      </c>
      <c r="EZ86" s="405">
        <f>+'GASTO G.N.'!EZ11</f>
        <v>22609</v>
      </c>
      <c r="FA86" s="435">
        <f>SUM(EO86:EZ86)</f>
        <v>237459</v>
      </c>
      <c r="FB86" s="405">
        <f>+'GASTO G.N.'!FB11</f>
        <v>24476</v>
      </c>
      <c r="FC86" s="405">
        <f>+'GASTO G.N.'!FC11</f>
        <v>11983</v>
      </c>
      <c r="FD86" s="405">
        <f>+'GASTO G.N.'!FD11</f>
        <v>8310</v>
      </c>
      <c r="FE86" s="405">
        <f>+'GASTO G.N.'!FE11</f>
        <v>27654</v>
      </c>
      <c r="FF86" s="405">
        <f>+'GASTO G.N.'!FF11</f>
        <v>7604</v>
      </c>
      <c r="FG86" s="405">
        <f>+'GASTO G.N.'!FG11</f>
        <v>9205</v>
      </c>
      <c r="FH86" s="405">
        <f>+'GASTO G.N.'!FH11</f>
        <v>31930</v>
      </c>
      <c r="FI86" s="405">
        <f>+'GASTO G.N.'!FI11</f>
        <v>24077</v>
      </c>
      <c r="FJ86" s="405">
        <f>+'GASTO G.N.'!FJ11</f>
        <v>10138</v>
      </c>
      <c r="FK86" s="405">
        <f>+'GASTO G.N.'!FK11</f>
        <v>32476</v>
      </c>
      <c r="FL86" s="405">
        <f>+'GASTO G.N.'!FL11</f>
        <v>14041</v>
      </c>
      <c r="FM86" s="405">
        <f>+'GASTO G.N.'!FM11</f>
        <v>26729</v>
      </c>
      <c r="FN86" s="331">
        <f>SUM(FB86:FM86)</f>
        <v>228623</v>
      </c>
      <c r="FO86" s="405">
        <f>+'GASTO G.N.'!FO11</f>
        <v>23001</v>
      </c>
      <c r="FP86" s="405">
        <f>+'GASTO G.N.'!FP11</f>
        <v>8355</v>
      </c>
      <c r="FQ86" s="405">
        <f>+'GASTO G.N.'!FQ11</f>
        <v>16559</v>
      </c>
      <c r="FR86" s="405">
        <f>+'GASTO G.N.'!FR11</f>
        <v>30318</v>
      </c>
      <c r="FS86" s="405">
        <f>+'GASTO G.N.'!FS11</f>
        <v>21577</v>
      </c>
      <c r="FT86" s="405">
        <f>+'GASTO G.N.'!FT11</f>
        <v>18375</v>
      </c>
      <c r="FU86" s="405">
        <f>+'GASTO G.N.'!FU11</f>
        <v>33866</v>
      </c>
      <c r="FV86" s="405">
        <f>+'GASTO G.N.'!FV11</f>
        <v>13444</v>
      </c>
      <c r="FW86" s="405">
        <f>+'GASTO G.N.'!FW11</f>
        <v>19720</v>
      </c>
      <c r="FX86" s="405">
        <f>+'GASTO G.N.'!FX11</f>
        <v>12536</v>
      </c>
      <c r="FY86" s="405">
        <f>+'GASTO G.N.'!FY11</f>
        <v>33576</v>
      </c>
      <c r="FZ86" s="437">
        <f>+'GASTO G.N.'!FZ11</f>
        <v>233279</v>
      </c>
      <c r="GA86" s="405">
        <f t="shared" si="653"/>
        <v>464606</v>
      </c>
      <c r="GB86" s="436">
        <f>+'GASTO G.N.'!GB11</f>
        <v>24671</v>
      </c>
      <c r="GC86" s="405">
        <f>+'GASTO G.N.'!GC11</f>
        <v>10047</v>
      </c>
      <c r="GD86" s="405">
        <f>+'GASTO G.N.'!GD11</f>
        <v>14617</v>
      </c>
      <c r="GE86" s="405">
        <f>+'GASTO G.N.'!GE11</f>
        <v>11860</v>
      </c>
      <c r="GF86" s="405">
        <f>+'GASTO G.N.'!GF11</f>
        <v>29621</v>
      </c>
      <c r="GG86" s="405">
        <f>+'GASTO G.N.'!GG11</f>
        <v>10955</v>
      </c>
      <c r="GH86" s="405">
        <f>+'GASTO G.N.'!GH11</f>
        <v>37803</v>
      </c>
      <c r="GI86" s="405">
        <f>+'GASTO G.N.'!GI11</f>
        <v>124933</v>
      </c>
      <c r="GJ86" s="405">
        <f>+'GASTO G.N.'!GJ11</f>
        <v>15724</v>
      </c>
      <c r="GK86" s="405">
        <f>+'GASTO G.N.'!GK11</f>
        <v>82593</v>
      </c>
      <c r="GL86" s="405">
        <f>+'GASTO G.N.'!GL11</f>
        <v>36240</v>
      </c>
      <c r="GM86" s="405">
        <f>+'GASTO G.N.'!GM11</f>
        <v>157917</v>
      </c>
      <c r="GN86" s="435">
        <f t="shared" si="654"/>
        <v>556981</v>
      </c>
      <c r="GO86" s="436">
        <f>+'GASTO G.N.'!GO11</f>
        <v>10977</v>
      </c>
      <c r="GP86" s="405">
        <f>+'GASTO G.N.'!GP11</f>
        <v>27346</v>
      </c>
      <c r="GQ86" s="405">
        <f>+'GASTO G.N.'!GQ11</f>
        <v>13720</v>
      </c>
      <c r="GR86" s="405">
        <f>+'GASTO G.N.'!GR11</f>
        <v>11429</v>
      </c>
      <c r="GS86" s="405">
        <f>+'GASTO G.N.'!GS11</f>
        <v>36647</v>
      </c>
      <c r="GT86" s="405">
        <f>+'GASTO G.N.'!GT11</f>
        <v>17790</v>
      </c>
      <c r="GU86" s="405">
        <f>+'GASTO G.N.'!GU11</f>
        <v>15917</v>
      </c>
      <c r="GV86" s="405">
        <f>+'GASTO G.N.'!GV11</f>
        <v>38990</v>
      </c>
      <c r="GW86" s="405">
        <f>+'GASTO G.N.'!GW11</f>
        <v>14823</v>
      </c>
      <c r="GX86" s="405">
        <f>+'GASTO G.N.'!GX11</f>
        <v>25538</v>
      </c>
      <c r="GY86" s="405">
        <f>+'GASTO G.N.'!GY11</f>
        <v>71915</v>
      </c>
      <c r="GZ86" s="437">
        <f>+'GASTO G.N.'!GZ11</f>
        <v>24942</v>
      </c>
      <c r="HA86" s="437">
        <f t="shared" si="656"/>
        <v>310034</v>
      </c>
      <c r="HB86" s="436">
        <f>+'GASTO G.N.'!HB11</f>
        <v>4419</v>
      </c>
      <c r="HC86" s="405">
        <f>+'GASTO G.N.'!HC11</f>
        <v>138405</v>
      </c>
      <c r="HD86" s="405">
        <f>+'GASTO G.N.'!HD11</f>
        <v>7914</v>
      </c>
      <c r="HE86" s="405">
        <f>+'GASTO G.N.'!HE11</f>
        <v>16171</v>
      </c>
      <c r="HF86" s="405">
        <f>+'GASTO G.N.'!HF11</f>
        <v>27754</v>
      </c>
      <c r="HG86" s="405">
        <f>+'GASTO G.N.'!HG11</f>
        <v>10056</v>
      </c>
      <c r="HH86" s="405">
        <f>+'GASTO G.N.'!HH11</f>
        <v>9580</v>
      </c>
      <c r="HI86" s="405">
        <f>+'GASTO G.N.'!HI11</f>
        <v>86459</v>
      </c>
      <c r="HJ86" s="405">
        <f>+'GASTO G.N.'!HJ11</f>
        <v>17959</v>
      </c>
      <c r="HK86" s="405">
        <f>+'GASTO G.N.'!HK11</f>
        <v>15423</v>
      </c>
      <c r="HL86" s="405">
        <f>+'GASTO G.N.'!HL11</f>
        <v>46611</v>
      </c>
      <c r="HM86" s="437">
        <f>+'GASTO G.N.'!HM11</f>
        <v>68322</v>
      </c>
      <c r="HN86" s="437">
        <f t="shared" si="658"/>
        <v>449073</v>
      </c>
      <c r="HO86" s="405">
        <v>6879</v>
      </c>
      <c r="HP86" s="405">
        <v>50482</v>
      </c>
      <c r="HQ86" s="405">
        <v>25393</v>
      </c>
      <c r="HR86" s="405">
        <v>13034</v>
      </c>
      <c r="HS86" s="405">
        <v>21165</v>
      </c>
      <c r="HT86" s="405">
        <v>30029</v>
      </c>
      <c r="HU86" s="405">
        <v>14470</v>
      </c>
      <c r="HV86" s="405">
        <v>37145</v>
      </c>
      <c r="HW86" s="405">
        <v>17577</v>
      </c>
      <c r="HX86" s="405">
        <v>15861</v>
      </c>
      <c r="HY86" s="405">
        <v>36906</v>
      </c>
      <c r="HZ86" s="405">
        <v>27173</v>
      </c>
      <c r="IA86" s="436">
        <f>SUM(HO86:HZ86)</f>
        <v>296114</v>
      </c>
      <c r="IB86" s="1324">
        <f>+'[1]GASTO G.N.'!IB11</f>
        <v>3950</v>
      </c>
      <c r="IC86">
        <f>+'[1]GASTO G.N.'!IC11</f>
        <v>26416</v>
      </c>
      <c r="ID86">
        <f>+'[1]GASTO G.N.'!ID11</f>
        <v>12982</v>
      </c>
      <c r="IE86">
        <f>+'[1]GASTO G.N.'!IE11</f>
        <v>12116</v>
      </c>
      <c r="IF86">
        <f>+'[1]GASTO G.N.'!IF11</f>
        <v>16133</v>
      </c>
      <c r="IG86">
        <f>+'[1]GASTO G.N.'!IG11</f>
        <v>31247</v>
      </c>
      <c r="IH86">
        <f>+'[1]GASTO G.N.'!IH11</f>
        <v>13765</v>
      </c>
      <c r="II86">
        <f>+'[1]GASTO G.N.'!II11</f>
        <v>35429</v>
      </c>
      <c r="IM86" s="1266"/>
      <c r="IN86" s="1059">
        <f t="shared" si="680"/>
        <v>152038</v>
      </c>
      <c r="IO86" s="1266"/>
      <c r="IP86" s="1060">
        <f t="shared" si="662"/>
        <v>-4.6197334769147886</v>
      </c>
      <c r="IQ86" s="640">
        <f t="shared" si="663"/>
        <v>-23.443959375015734</v>
      </c>
      <c r="IR86" s="344">
        <f t="shared" si="664"/>
        <v>198597</v>
      </c>
      <c r="IS86" s="344">
        <f t="shared" si="665"/>
        <v>152038</v>
      </c>
      <c r="IU86" s="320">
        <f t="shared" si="666"/>
        <v>-1716</v>
      </c>
    </row>
    <row r="87" spans="1:255" ht="15" customHeight="1" x14ac:dyDescent="0.2">
      <c r="A87" s="648" t="s">
        <v>325</v>
      </c>
      <c r="BA87" s="648"/>
      <c r="BB87" s="645">
        <f t="shared" ref="BB87:BM87" si="736">+BB88+BB92</f>
        <v>7042</v>
      </c>
      <c r="BC87" s="339">
        <f t="shared" si="736"/>
        <v>10901</v>
      </c>
      <c r="BD87" s="339">
        <f t="shared" si="736"/>
        <v>12863</v>
      </c>
      <c r="BE87" s="339">
        <f t="shared" si="736"/>
        <v>10139</v>
      </c>
      <c r="BF87" s="339">
        <f t="shared" si="736"/>
        <v>12071</v>
      </c>
      <c r="BG87" s="339">
        <f t="shared" si="736"/>
        <v>11648</v>
      </c>
      <c r="BH87" s="339">
        <f t="shared" si="736"/>
        <v>11736</v>
      </c>
      <c r="BI87" s="339">
        <f t="shared" si="736"/>
        <v>13050</v>
      </c>
      <c r="BJ87" s="339">
        <f t="shared" si="736"/>
        <v>12422</v>
      </c>
      <c r="BK87" s="339">
        <f t="shared" si="736"/>
        <v>12760</v>
      </c>
      <c r="BL87" s="339">
        <f t="shared" si="736"/>
        <v>13971</v>
      </c>
      <c r="BM87" s="339">
        <f t="shared" si="736"/>
        <v>22460</v>
      </c>
      <c r="BN87" s="649">
        <f>SUM(BB87:BM87)</f>
        <v>151063</v>
      </c>
      <c r="BO87" s="339">
        <f t="shared" ref="BO87:DM87" si="737">SUM(BO88:BO92)</f>
        <v>11854</v>
      </c>
      <c r="BP87" s="339">
        <f t="shared" si="737"/>
        <v>10700</v>
      </c>
      <c r="BQ87" s="339">
        <f t="shared" si="737"/>
        <v>18011</v>
      </c>
      <c r="BR87" s="339">
        <f t="shared" si="737"/>
        <v>14115</v>
      </c>
      <c r="BS87" s="339">
        <f t="shared" si="737"/>
        <v>13309</v>
      </c>
      <c r="BT87" s="339">
        <f t="shared" si="737"/>
        <v>14162</v>
      </c>
      <c r="BU87" s="339">
        <f t="shared" si="737"/>
        <v>15535</v>
      </c>
      <c r="BV87" s="339">
        <f t="shared" si="737"/>
        <v>15011</v>
      </c>
      <c r="BW87" s="339">
        <f t="shared" si="737"/>
        <v>14622</v>
      </c>
      <c r="BX87" s="339">
        <f t="shared" si="737"/>
        <v>15646</v>
      </c>
      <c r="BY87" s="339">
        <f t="shared" si="737"/>
        <v>14103</v>
      </c>
      <c r="BZ87" s="339">
        <f t="shared" si="737"/>
        <v>19991</v>
      </c>
      <c r="CA87" s="341">
        <f t="shared" si="737"/>
        <v>177059</v>
      </c>
      <c r="CB87" s="339">
        <f t="shared" si="737"/>
        <v>0</v>
      </c>
      <c r="CC87" s="339">
        <f t="shared" si="737"/>
        <v>0</v>
      </c>
      <c r="CD87" s="339">
        <f t="shared" si="737"/>
        <v>0</v>
      </c>
      <c r="CE87" s="339">
        <f t="shared" si="737"/>
        <v>0</v>
      </c>
      <c r="CF87" s="339">
        <f t="shared" si="737"/>
        <v>0</v>
      </c>
      <c r="CG87" s="339">
        <f t="shared" si="737"/>
        <v>0</v>
      </c>
      <c r="CH87" s="339">
        <f t="shared" si="737"/>
        <v>0</v>
      </c>
      <c r="CI87" s="339">
        <f t="shared" si="737"/>
        <v>0</v>
      </c>
      <c r="CJ87" s="339">
        <f t="shared" si="737"/>
        <v>0</v>
      </c>
      <c r="CK87" s="339">
        <f t="shared" si="737"/>
        <v>0</v>
      </c>
      <c r="CL87" s="339">
        <f t="shared" si="737"/>
        <v>0</v>
      </c>
      <c r="CM87" s="339">
        <f t="shared" si="737"/>
        <v>0</v>
      </c>
      <c r="CN87" s="341">
        <f t="shared" si="737"/>
        <v>0</v>
      </c>
      <c r="CO87" s="645">
        <f t="shared" si="737"/>
        <v>0</v>
      </c>
      <c r="CP87" s="339">
        <f t="shared" si="737"/>
        <v>0</v>
      </c>
      <c r="CQ87" s="339">
        <f t="shared" si="737"/>
        <v>0</v>
      </c>
      <c r="CR87" s="339">
        <f t="shared" si="737"/>
        <v>0</v>
      </c>
      <c r="CS87" s="339">
        <f t="shared" si="737"/>
        <v>0</v>
      </c>
      <c r="CT87" s="339">
        <f t="shared" si="737"/>
        <v>0</v>
      </c>
      <c r="CU87" s="339">
        <f t="shared" si="737"/>
        <v>0</v>
      </c>
      <c r="CV87" s="339">
        <f t="shared" si="737"/>
        <v>0</v>
      </c>
      <c r="CW87" s="339">
        <f t="shared" si="737"/>
        <v>0</v>
      </c>
      <c r="CX87" s="339">
        <f t="shared" si="737"/>
        <v>0</v>
      </c>
      <c r="CY87" s="339">
        <f t="shared" si="737"/>
        <v>0</v>
      </c>
      <c r="CZ87" s="339">
        <f t="shared" si="737"/>
        <v>0</v>
      </c>
      <c r="DA87" s="341">
        <f t="shared" si="730"/>
        <v>0</v>
      </c>
      <c r="DB87" s="339">
        <f t="shared" si="737"/>
        <v>0</v>
      </c>
      <c r="DC87" s="339">
        <f t="shared" si="737"/>
        <v>0</v>
      </c>
      <c r="DD87" s="339">
        <f t="shared" si="737"/>
        <v>0</v>
      </c>
      <c r="DE87" s="339">
        <f t="shared" si="737"/>
        <v>0</v>
      </c>
      <c r="DF87" s="339">
        <f t="shared" si="737"/>
        <v>0</v>
      </c>
      <c r="DG87" s="339">
        <f t="shared" si="737"/>
        <v>0</v>
      </c>
      <c r="DH87" s="339">
        <f t="shared" si="737"/>
        <v>0</v>
      </c>
      <c r="DI87" s="339">
        <f t="shared" si="737"/>
        <v>0</v>
      </c>
      <c r="DJ87" s="339">
        <f t="shared" si="737"/>
        <v>0</v>
      </c>
      <c r="DK87" s="339">
        <f t="shared" si="737"/>
        <v>0</v>
      </c>
      <c r="DL87" s="339">
        <f t="shared" si="737"/>
        <v>0</v>
      </c>
      <c r="DM87" s="339">
        <f t="shared" si="737"/>
        <v>0</v>
      </c>
      <c r="DN87" s="645">
        <f t="shared" si="731"/>
        <v>0</v>
      </c>
      <c r="DO87" s="645">
        <f t="shared" ref="DO87:DZ87" si="738">SUM(DO88:DO92)</f>
        <v>13103</v>
      </c>
      <c r="DP87" s="339">
        <f t="shared" si="738"/>
        <v>14280</v>
      </c>
      <c r="DQ87" s="339">
        <f t="shared" si="738"/>
        <v>21581</v>
      </c>
      <c r="DR87" s="339">
        <f t="shared" si="738"/>
        <v>15311</v>
      </c>
      <c r="DS87" s="339">
        <f t="shared" si="738"/>
        <v>18633</v>
      </c>
      <c r="DT87" s="339">
        <f t="shared" si="738"/>
        <v>20962</v>
      </c>
      <c r="DU87" s="339">
        <f t="shared" si="738"/>
        <v>19760</v>
      </c>
      <c r="DV87" s="339">
        <f t="shared" si="738"/>
        <v>18767</v>
      </c>
      <c r="DW87" s="339">
        <f t="shared" si="738"/>
        <v>18899</v>
      </c>
      <c r="DX87" s="339">
        <f t="shared" si="738"/>
        <v>20284</v>
      </c>
      <c r="DY87" s="339">
        <f t="shared" si="738"/>
        <v>22967</v>
      </c>
      <c r="DZ87" s="339">
        <f t="shared" si="738"/>
        <v>36153</v>
      </c>
      <c r="EA87" s="341">
        <f t="shared" si="732"/>
        <v>240700</v>
      </c>
      <c r="EB87" s="339">
        <f t="shared" ref="EB87:EM87" si="739">SUM(EB88:EB92)</f>
        <v>14379</v>
      </c>
      <c r="EC87" s="339">
        <f t="shared" si="739"/>
        <v>13872</v>
      </c>
      <c r="ED87" s="339">
        <f t="shared" si="739"/>
        <v>22804</v>
      </c>
      <c r="EE87" s="339">
        <f t="shared" si="739"/>
        <v>19182</v>
      </c>
      <c r="EF87" s="339">
        <f t="shared" si="739"/>
        <v>20621</v>
      </c>
      <c r="EG87" s="339">
        <f t="shared" si="739"/>
        <v>21156</v>
      </c>
      <c r="EH87" s="339">
        <f t="shared" si="739"/>
        <v>21210</v>
      </c>
      <c r="EI87" s="339">
        <f t="shared" si="739"/>
        <v>19753</v>
      </c>
      <c r="EJ87" s="339">
        <f t="shared" si="739"/>
        <v>18627</v>
      </c>
      <c r="EK87" s="339">
        <f t="shared" si="739"/>
        <v>20888</v>
      </c>
      <c r="EL87" s="339">
        <f t="shared" si="739"/>
        <v>23563</v>
      </c>
      <c r="EM87" s="339">
        <f t="shared" si="739"/>
        <v>29831</v>
      </c>
      <c r="EN87" s="341">
        <f t="shared" si="733"/>
        <v>245886</v>
      </c>
      <c r="EO87" s="339">
        <f t="shared" ref="EO87:EZ87" si="740">SUM(EO88:EO92)</f>
        <v>8385</v>
      </c>
      <c r="EP87" s="339">
        <f t="shared" si="740"/>
        <v>14875</v>
      </c>
      <c r="EQ87" s="339">
        <f t="shared" si="740"/>
        <v>20673</v>
      </c>
      <c r="ER87" s="339">
        <f t="shared" si="740"/>
        <v>19447</v>
      </c>
      <c r="ES87" s="339">
        <f t="shared" si="740"/>
        <v>23309</v>
      </c>
      <c r="ET87" s="339">
        <f t="shared" si="740"/>
        <v>21469</v>
      </c>
      <c r="EU87" s="339">
        <f t="shared" si="740"/>
        <v>23473</v>
      </c>
      <c r="EV87" s="339">
        <f t="shared" si="740"/>
        <v>23667</v>
      </c>
      <c r="EW87" s="339">
        <f t="shared" si="740"/>
        <v>21319</v>
      </c>
      <c r="EX87" s="339">
        <f t="shared" si="740"/>
        <v>22987</v>
      </c>
      <c r="EY87" s="339">
        <f t="shared" si="740"/>
        <v>20702</v>
      </c>
      <c r="EZ87" s="339">
        <f t="shared" si="740"/>
        <v>34789</v>
      </c>
      <c r="FA87" s="341">
        <f t="shared" si="734"/>
        <v>255095</v>
      </c>
      <c r="FB87" s="446">
        <f t="shared" ref="FB87:FM87" si="741">SUM(FB88:FB92)</f>
        <v>15842</v>
      </c>
      <c r="FC87" s="339">
        <f t="shared" si="741"/>
        <v>16190</v>
      </c>
      <c r="FD87" s="339">
        <f t="shared" si="741"/>
        <v>24882</v>
      </c>
      <c r="FE87" s="339">
        <f t="shared" si="741"/>
        <v>21682</v>
      </c>
      <c r="FF87" s="339">
        <f t="shared" si="741"/>
        <v>17569</v>
      </c>
      <c r="FG87" s="339">
        <f t="shared" si="741"/>
        <v>19497</v>
      </c>
      <c r="FH87" s="339">
        <f t="shared" si="741"/>
        <v>24851</v>
      </c>
      <c r="FI87" s="339">
        <f t="shared" si="741"/>
        <v>28708</v>
      </c>
      <c r="FJ87" s="339">
        <f t="shared" si="741"/>
        <v>38925</v>
      </c>
      <c r="FK87" s="446">
        <f t="shared" si="741"/>
        <v>48008</v>
      </c>
      <c r="FL87" s="339">
        <f t="shared" si="741"/>
        <v>65914</v>
      </c>
      <c r="FM87" s="339">
        <f t="shared" si="741"/>
        <v>106321</v>
      </c>
      <c r="FN87" s="341">
        <f t="shared" si="735"/>
        <v>428389</v>
      </c>
      <c r="FO87" s="446">
        <f t="shared" ref="FO87:GM87" si="742">SUM(FO88:FO92)</f>
        <v>14102</v>
      </c>
      <c r="FP87" s="446">
        <f t="shared" si="742"/>
        <v>23183</v>
      </c>
      <c r="FQ87" s="446">
        <f t="shared" si="742"/>
        <v>40905</v>
      </c>
      <c r="FR87" s="446">
        <f t="shared" si="742"/>
        <v>23563</v>
      </c>
      <c r="FS87" s="446">
        <f t="shared" si="742"/>
        <v>32743</v>
      </c>
      <c r="FT87" s="446">
        <f t="shared" si="742"/>
        <v>34979</v>
      </c>
      <c r="FU87" s="446">
        <f t="shared" si="742"/>
        <v>36585</v>
      </c>
      <c r="FV87" s="446">
        <f t="shared" si="742"/>
        <v>32790</v>
      </c>
      <c r="FW87" s="446">
        <f t="shared" si="742"/>
        <v>30193</v>
      </c>
      <c r="FX87" s="446">
        <f t="shared" si="742"/>
        <v>32054</v>
      </c>
      <c r="FY87" s="446">
        <f t="shared" si="742"/>
        <v>34699</v>
      </c>
      <c r="FZ87" s="458">
        <f t="shared" si="742"/>
        <v>62448</v>
      </c>
      <c r="GA87" s="458">
        <f t="shared" si="653"/>
        <v>398244</v>
      </c>
      <c r="GB87" s="449">
        <f t="shared" si="742"/>
        <v>17993</v>
      </c>
      <c r="GC87" s="446">
        <f t="shared" si="742"/>
        <v>22701</v>
      </c>
      <c r="GD87" s="446">
        <f t="shared" si="742"/>
        <v>36832</v>
      </c>
      <c r="GE87" s="446">
        <f t="shared" si="742"/>
        <v>30703</v>
      </c>
      <c r="GF87" s="446">
        <f t="shared" si="742"/>
        <v>34498</v>
      </c>
      <c r="GG87" s="446">
        <f t="shared" si="742"/>
        <v>33795</v>
      </c>
      <c r="GH87" s="446">
        <f t="shared" si="742"/>
        <v>45807</v>
      </c>
      <c r="GI87" s="446">
        <f t="shared" si="742"/>
        <v>35235</v>
      </c>
      <c r="GJ87" s="446">
        <f t="shared" si="742"/>
        <v>27107</v>
      </c>
      <c r="GK87" s="446">
        <f t="shared" si="742"/>
        <v>30338</v>
      </c>
      <c r="GL87" s="450">
        <f t="shared" si="742"/>
        <v>31458</v>
      </c>
      <c r="GM87" s="451">
        <f t="shared" si="742"/>
        <v>52188</v>
      </c>
      <c r="GN87" s="447">
        <f t="shared" si="654"/>
        <v>398655</v>
      </c>
      <c r="GO87" s="449">
        <f>SUM(GO88:GO92)</f>
        <v>40.036093665928441</v>
      </c>
      <c r="GP87" s="446">
        <f t="shared" ref="GP87:GZ87" si="743">SUM(GP88:GP92)</f>
        <v>288022</v>
      </c>
      <c r="GQ87" s="446">
        <f t="shared" si="743"/>
        <v>308928</v>
      </c>
      <c r="GR87" s="446">
        <f t="shared" si="743"/>
        <v>0</v>
      </c>
      <c r="GS87" s="446">
        <f t="shared" si="743"/>
        <v>0</v>
      </c>
      <c r="GT87" s="446">
        <f t="shared" si="743"/>
        <v>0</v>
      </c>
      <c r="GU87" s="446">
        <f t="shared" si="743"/>
        <v>0</v>
      </c>
      <c r="GV87" s="446">
        <f t="shared" si="743"/>
        <v>0</v>
      </c>
      <c r="GW87" s="446">
        <f t="shared" si="743"/>
        <v>0</v>
      </c>
      <c r="GX87" s="446">
        <f t="shared" si="743"/>
        <v>0</v>
      </c>
      <c r="GY87" s="446">
        <f t="shared" si="743"/>
        <v>0</v>
      </c>
      <c r="GZ87" s="458">
        <f t="shared" si="743"/>
        <v>0</v>
      </c>
      <c r="HA87" s="458">
        <f t="shared" si="656"/>
        <v>596990.03609366599</v>
      </c>
      <c r="HB87" s="449">
        <f t="shared" ref="HB87:HM87" si="744">SUM(HB88:HB92)</f>
        <v>0</v>
      </c>
      <c r="HC87" s="446">
        <f t="shared" si="744"/>
        <v>0</v>
      </c>
      <c r="HD87" s="446">
        <f t="shared" si="744"/>
        <v>0</v>
      </c>
      <c r="HE87" s="446">
        <f t="shared" si="744"/>
        <v>0</v>
      </c>
      <c r="HF87" s="446">
        <f t="shared" si="744"/>
        <v>0</v>
      </c>
      <c r="HG87" s="446">
        <f t="shared" si="744"/>
        <v>0</v>
      </c>
      <c r="HH87" s="446">
        <f t="shared" si="744"/>
        <v>0</v>
      </c>
      <c r="HI87" s="446">
        <f t="shared" si="744"/>
        <v>0</v>
      </c>
      <c r="HJ87" s="446">
        <f t="shared" si="744"/>
        <v>0</v>
      </c>
      <c r="HK87" s="446">
        <f t="shared" si="744"/>
        <v>0</v>
      </c>
      <c r="HL87" s="446">
        <f t="shared" si="744"/>
        <v>0</v>
      </c>
      <c r="HM87" s="458">
        <f t="shared" si="744"/>
        <v>0</v>
      </c>
      <c r="HN87" s="458">
        <f t="shared" si="658"/>
        <v>0</v>
      </c>
      <c r="HO87" s="446">
        <f t="shared" ref="HO87:HZ87" si="745">SUM(HO88:HO92)</f>
        <v>0</v>
      </c>
      <c r="HP87" s="446">
        <f t="shared" si="745"/>
        <v>0</v>
      </c>
      <c r="HQ87" s="446">
        <f t="shared" si="745"/>
        <v>0</v>
      </c>
      <c r="HR87" s="446">
        <f t="shared" si="745"/>
        <v>0</v>
      </c>
      <c r="HS87" s="446">
        <f t="shared" si="745"/>
        <v>0</v>
      </c>
      <c r="HT87" s="446">
        <f t="shared" si="745"/>
        <v>0</v>
      </c>
      <c r="HU87" s="446">
        <f t="shared" si="745"/>
        <v>0</v>
      </c>
      <c r="HV87" s="446">
        <f t="shared" si="745"/>
        <v>0</v>
      </c>
      <c r="HW87" s="446">
        <f t="shared" si="745"/>
        <v>0</v>
      </c>
      <c r="HX87" s="446">
        <f t="shared" si="745"/>
        <v>0</v>
      </c>
      <c r="HY87" s="446">
        <f t="shared" si="745"/>
        <v>0</v>
      </c>
      <c r="HZ87" s="446">
        <f t="shared" si="745"/>
        <v>0</v>
      </c>
      <c r="IA87" s="449">
        <f t="shared" si="660"/>
        <v>0</v>
      </c>
      <c r="IB87">
        <v>0</v>
      </c>
      <c r="IC87">
        <f t="shared" ref="IC87:IG87" si="746">SUM(IC88:IC92)</f>
        <v>0</v>
      </c>
      <c r="ID87">
        <f t="shared" si="746"/>
        <v>0</v>
      </c>
      <c r="IE87">
        <f t="shared" si="746"/>
        <v>0</v>
      </c>
      <c r="IF87">
        <f t="shared" si="746"/>
        <v>0</v>
      </c>
      <c r="IG87">
        <f t="shared" si="746"/>
        <v>0</v>
      </c>
      <c r="IH87">
        <f t="shared" ref="IH87" si="747">SUM(IH88:IH92)</f>
        <v>0</v>
      </c>
      <c r="II87">
        <f t="shared" ref="II87" si="748">SUM(II88:II92)</f>
        <v>0</v>
      </c>
      <c r="IM87" s="1266"/>
      <c r="IN87" s="1059">
        <f t="shared" si="680"/>
        <v>0</v>
      </c>
      <c r="IO87" s="1266"/>
      <c r="IP87" s="1060" t="str">
        <f t="shared" si="662"/>
        <v/>
      </c>
      <c r="IQ87" s="1019" t="str">
        <f t="shared" si="663"/>
        <v>-</v>
      </c>
      <c r="IR87" s="341">
        <f t="shared" si="664"/>
        <v>0</v>
      </c>
      <c r="IS87" s="341">
        <f t="shared" si="665"/>
        <v>0</v>
      </c>
      <c r="IU87" s="320">
        <f t="shared" si="666"/>
        <v>0</v>
      </c>
    </row>
    <row r="88" spans="1:255" ht="15" customHeight="1" x14ac:dyDescent="0.2">
      <c r="A88" s="644" t="s">
        <v>317</v>
      </c>
      <c r="BA88" s="644"/>
      <c r="BB88" s="345">
        <v>2981</v>
      </c>
      <c r="BC88" s="320">
        <v>2928</v>
      </c>
      <c r="BD88" s="320">
        <v>3226</v>
      </c>
      <c r="BE88" s="320">
        <v>2806</v>
      </c>
      <c r="BF88" s="320">
        <v>3001</v>
      </c>
      <c r="BG88" s="320">
        <v>2893</v>
      </c>
      <c r="BH88" s="320">
        <v>3624</v>
      </c>
      <c r="BI88" s="320">
        <v>3053</v>
      </c>
      <c r="BJ88" s="320">
        <v>2874</v>
      </c>
      <c r="BK88" s="320">
        <v>3090</v>
      </c>
      <c r="BL88" s="320">
        <v>3104</v>
      </c>
      <c r="BM88" s="320">
        <v>3877</v>
      </c>
      <c r="BN88" s="344">
        <f>SUM(BB88:BM88)</f>
        <v>37457</v>
      </c>
      <c r="BO88" s="320">
        <v>4761</v>
      </c>
      <c r="BP88" s="320">
        <v>2608</v>
      </c>
      <c r="BQ88" s="320">
        <v>3506</v>
      </c>
      <c r="BR88" s="320">
        <v>3077</v>
      </c>
      <c r="BS88" s="320">
        <v>2422</v>
      </c>
      <c r="BT88" s="320">
        <v>3511</v>
      </c>
      <c r="BU88" s="320">
        <v>3655</v>
      </c>
      <c r="BV88" s="320">
        <v>3198</v>
      </c>
      <c r="BW88" s="320">
        <v>3207</v>
      </c>
      <c r="BX88" s="320">
        <v>3458</v>
      </c>
      <c r="BY88" s="320">
        <v>3177</v>
      </c>
      <c r="BZ88" s="320">
        <v>4217</v>
      </c>
      <c r="CA88" s="344">
        <f t="shared" ref="CA88:CA115" si="749">SUM(BO88:BZ88)</f>
        <v>40797</v>
      </c>
      <c r="CB88" s="320">
        <v>0</v>
      </c>
      <c r="CC88" s="320">
        <v>0</v>
      </c>
      <c r="CD88" s="320">
        <v>0</v>
      </c>
      <c r="CE88" s="320">
        <v>0</v>
      </c>
      <c r="CF88" s="320">
        <v>0</v>
      </c>
      <c r="CG88" s="320">
        <v>0</v>
      </c>
      <c r="CH88" s="320">
        <v>0</v>
      </c>
      <c r="CI88" s="320">
        <v>0</v>
      </c>
      <c r="CJ88" s="320">
        <v>0</v>
      </c>
      <c r="CK88" s="320">
        <v>0</v>
      </c>
      <c r="CL88" s="320">
        <v>0</v>
      </c>
      <c r="CM88" s="320">
        <v>0</v>
      </c>
      <c r="CN88" s="331">
        <f t="shared" ref="CN88:CN115" si="750">SUM(CB88:CM88)</f>
        <v>0</v>
      </c>
      <c r="CO88" s="333">
        <v>0</v>
      </c>
      <c r="CP88" s="317">
        <v>0</v>
      </c>
      <c r="CQ88" s="317">
        <v>0</v>
      </c>
      <c r="CR88" s="317">
        <v>0</v>
      </c>
      <c r="CS88" s="317">
        <v>0</v>
      </c>
      <c r="CT88" s="317">
        <v>0</v>
      </c>
      <c r="CU88" s="317">
        <v>0</v>
      </c>
      <c r="CV88" s="317">
        <v>0</v>
      </c>
      <c r="CW88" s="317">
        <v>0</v>
      </c>
      <c r="CX88" s="317">
        <v>0</v>
      </c>
      <c r="CY88" s="317">
        <v>0</v>
      </c>
      <c r="CZ88" s="317">
        <v>0</v>
      </c>
      <c r="DA88" s="331">
        <f t="shared" si="730"/>
        <v>0</v>
      </c>
      <c r="DB88" s="317">
        <v>0</v>
      </c>
      <c r="DC88" s="317">
        <v>0</v>
      </c>
      <c r="DD88" s="317">
        <v>0</v>
      </c>
      <c r="DE88" s="317">
        <v>0</v>
      </c>
      <c r="DF88" s="317">
        <v>0</v>
      </c>
      <c r="DG88" s="317">
        <v>0</v>
      </c>
      <c r="DH88" s="317">
        <v>0</v>
      </c>
      <c r="DI88" s="317">
        <v>0</v>
      </c>
      <c r="DJ88" s="317">
        <v>0</v>
      </c>
      <c r="DK88" s="317">
        <v>0</v>
      </c>
      <c r="DL88" s="317">
        <v>0</v>
      </c>
      <c r="DM88" s="317">
        <v>0</v>
      </c>
      <c r="DN88" s="333">
        <f t="shared" si="731"/>
        <v>0</v>
      </c>
      <c r="DO88" s="333">
        <v>4152</v>
      </c>
      <c r="DP88" s="317">
        <v>2795</v>
      </c>
      <c r="DQ88" s="317">
        <v>4207</v>
      </c>
      <c r="DR88" s="317">
        <v>3485</v>
      </c>
      <c r="DS88" s="317">
        <v>3413</v>
      </c>
      <c r="DT88" s="317">
        <v>3242</v>
      </c>
      <c r="DU88" s="317">
        <v>4457</v>
      </c>
      <c r="DV88" s="317">
        <v>3388</v>
      </c>
      <c r="DW88" s="317">
        <v>3339</v>
      </c>
      <c r="DX88" s="317">
        <v>3886</v>
      </c>
      <c r="DY88" s="317">
        <v>3609</v>
      </c>
      <c r="DZ88" s="317">
        <v>4764</v>
      </c>
      <c r="EA88" s="331">
        <f t="shared" si="732"/>
        <v>44737</v>
      </c>
      <c r="EB88" s="317">
        <v>4533</v>
      </c>
      <c r="EC88" s="317">
        <v>2981</v>
      </c>
      <c r="ED88" s="317">
        <v>4551</v>
      </c>
      <c r="EE88" s="317">
        <v>3735</v>
      </c>
      <c r="EF88" s="317">
        <v>3727</v>
      </c>
      <c r="EG88" s="317">
        <v>3651</v>
      </c>
      <c r="EH88" s="317">
        <v>4700</v>
      </c>
      <c r="EI88" s="317">
        <v>3720</v>
      </c>
      <c r="EJ88" s="317">
        <v>3421</v>
      </c>
      <c r="EK88" s="317">
        <v>4096</v>
      </c>
      <c r="EL88" s="317">
        <v>3946</v>
      </c>
      <c r="EM88" s="317">
        <v>5770</v>
      </c>
      <c r="EN88" s="331">
        <f>SUM(EB88:EM88)</f>
        <v>48831</v>
      </c>
      <c r="EO88" s="317">
        <f>+'GASTO G.L.'!EO9</f>
        <v>4034</v>
      </c>
      <c r="EP88" s="317">
        <f>+'GASTO G.L.'!EP9</f>
        <v>3540</v>
      </c>
      <c r="EQ88" s="317">
        <f>+'GASTO G.L.'!EQ9</f>
        <v>4100</v>
      </c>
      <c r="ER88" s="317">
        <f>+'GASTO G.L.'!ER9</f>
        <v>3876</v>
      </c>
      <c r="ES88" s="317">
        <f>+'GASTO G.L.'!ES9</f>
        <v>3534</v>
      </c>
      <c r="ET88" s="317">
        <f>+'GASTO G.L.'!ET9</f>
        <v>3438</v>
      </c>
      <c r="EU88" s="317">
        <f>+'GASTO G.L.'!EU9</f>
        <v>5000</v>
      </c>
      <c r="EV88" s="317">
        <f>+'GASTO G.L.'!EV9</f>
        <v>3729</v>
      </c>
      <c r="EW88" s="317">
        <f>+'GASTO G.L.'!EW9</f>
        <v>3737</v>
      </c>
      <c r="EX88" s="317">
        <f>+'GASTO G.L.'!EX9</f>
        <v>4252</v>
      </c>
      <c r="EY88" s="317">
        <f>+'GASTO G.L.'!EY9</f>
        <v>4243</v>
      </c>
      <c r="EZ88" s="317">
        <f>+'GASTO G.L.'!EZ9</f>
        <v>5245</v>
      </c>
      <c r="FA88" s="331">
        <f>SUM(EO88:EZ88)</f>
        <v>48728</v>
      </c>
      <c r="FB88" s="405">
        <f>+'GASTO G.L.'!FB9</f>
        <v>4854</v>
      </c>
      <c r="FC88" s="405">
        <f>+'GASTO G.L.'!FC9</f>
        <v>3217</v>
      </c>
      <c r="FD88" s="405">
        <f>+'GASTO G.L.'!FD9</f>
        <v>4821</v>
      </c>
      <c r="FE88" s="405">
        <f>+'GASTO G.L.'!FE9</f>
        <v>3771</v>
      </c>
      <c r="FF88" s="405">
        <f>+'GASTO G.L.'!FF9</f>
        <v>3900</v>
      </c>
      <c r="FG88" s="405">
        <f>+'GASTO G.L.'!FG9</f>
        <v>3646</v>
      </c>
      <c r="FH88" s="405">
        <f>+'GASTO G.L.'!FH9</f>
        <v>4807</v>
      </c>
      <c r="FI88" s="405">
        <f>+'GASTO G.L.'!FI9</f>
        <v>4183</v>
      </c>
      <c r="FJ88" s="405">
        <f>+'GASTO G.L.'!FJ9</f>
        <v>4006</v>
      </c>
      <c r="FK88" s="405">
        <f>+'GASTO G.L.'!FK9</f>
        <v>4383</v>
      </c>
      <c r="FL88" s="405">
        <f>+'GASTO G.L.'!FL9</f>
        <v>4139</v>
      </c>
      <c r="FM88" s="405">
        <f>+'GASTO G.L.'!FM9</f>
        <v>6745</v>
      </c>
      <c r="FN88" s="331">
        <f>SUM(FB88:FM88)</f>
        <v>52472</v>
      </c>
      <c r="FO88" s="405">
        <f>+'GASTO G.L.'!FO9</f>
        <v>4962</v>
      </c>
      <c r="FP88" s="405">
        <f>+'GASTO G.L.'!FP9</f>
        <v>3799</v>
      </c>
      <c r="FQ88" s="405">
        <f>+'GASTO G.L.'!FQ9</f>
        <v>4554</v>
      </c>
      <c r="FR88" s="405">
        <f>+'GASTO G.L.'!FR9</f>
        <v>4039</v>
      </c>
      <c r="FS88" s="405">
        <f>+'GASTO G.L.'!FS9</f>
        <v>4398</v>
      </c>
      <c r="FT88" s="405">
        <f>+'GASTO G.L.'!FT9</f>
        <v>4139</v>
      </c>
      <c r="FU88" s="405">
        <f>+'GASTO G.L.'!FU9</f>
        <v>5566</v>
      </c>
      <c r="FV88" s="405">
        <f>+'GASTO G.L.'!FV9</f>
        <v>4053</v>
      </c>
      <c r="FW88" s="405">
        <f>+'GASTO G.L.'!FW9</f>
        <v>3948</v>
      </c>
      <c r="FX88" s="405">
        <f>+'GASTO G.L.'!FX9</f>
        <v>4520</v>
      </c>
      <c r="FY88" s="405">
        <f>+'GASTO G.L.'!FY9</f>
        <v>4337</v>
      </c>
      <c r="FZ88" s="405">
        <f>+'GASTO G.L.'!FZ9</f>
        <v>6171</v>
      </c>
      <c r="GA88" s="435">
        <f t="shared" si="653"/>
        <v>54486</v>
      </c>
      <c r="GB88" s="405">
        <f>+'GASTO G.L.'!GB9</f>
        <v>5236</v>
      </c>
      <c r="GC88" s="405">
        <f>+'GASTO G.L.'!GC9</f>
        <v>4074</v>
      </c>
      <c r="GD88" s="405">
        <f>+'GASTO G.L.'!GD9</f>
        <v>5075</v>
      </c>
      <c r="GE88" s="405">
        <f>+'GASTO G.L.'!GE9</f>
        <v>4209</v>
      </c>
      <c r="GF88" s="405">
        <f>+'GASTO G.L.'!GF9</f>
        <v>4611</v>
      </c>
      <c r="GG88" s="405">
        <f>+'GASTO G.L.'!GG9</f>
        <v>4007</v>
      </c>
      <c r="GH88" s="405">
        <f>+'GASTO G.L.'!GH9</f>
        <v>5803</v>
      </c>
      <c r="GI88" s="405">
        <f>+'GASTO G.L.'!GI9</f>
        <v>4108</v>
      </c>
      <c r="GJ88" s="405">
        <f>+'GASTO G.L.'!GJ9</f>
        <v>3760</v>
      </c>
      <c r="GK88" s="405">
        <f>+'GASTO G.L.'!GK9</f>
        <v>4623</v>
      </c>
      <c r="GL88" s="405">
        <f>+'GASTO G.L.'!GL9</f>
        <v>4506</v>
      </c>
      <c r="GM88" s="405">
        <f>+'GASTO G.L.'!GM9</f>
        <v>7914</v>
      </c>
      <c r="GN88" s="435">
        <f t="shared" si="654"/>
        <v>57926</v>
      </c>
      <c r="GO88" s="436">
        <f>+'GASTO G.L.'!IQ9</f>
        <v>6.8748261771816033</v>
      </c>
      <c r="GP88" s="405">
        <f>+'GASTO G.L.'!IR9</f>
        <v>93486</v>
      </c>
      <c r="GQ88" s="405">
        <f>+'GASTO G.L.'!IS9</f>
        <v>99913</v>
      </c>
      <c r="GR88" s="405">
        <f>+'GASTO G.L.'!IT9</f>
        <v>0</v>
      </c>
      <c r="GS88" s="405">
        <f>+'GASTO G.L.'!IU9</f>
        <v>0</v>
      </c>
      <c r="GT88" s="405">
        <f>+'GASTO G.L.'!IV9</f>
        <v>0</v>
      </c>
      <c r="GU88" s="405">
        <f>+'GASTO G.L.'!IW9</f>
        <v>0</v>
      </c>
      <c r="GV88" s="405">
        <f>+'GASTO G.L.'!IX9</f>
        <v>0</v>
      </c>
      <c r="GW88" s="405">
        <f>+'GASTO G.L.'!IY9</f>
        <v>0</v>
      </c>
      <c r="GX88" s="405">
        <f>+'GASTO G.L.'!IZ9</f>
        <v>0</v>
      </c>
      <c r="GY88" s="405">
        <f>+'GASTO G.L.'!JA9</f>
        <v>0</v>
      </c>
      <c r="GZ88" s="437">
        <f>+'GASTO G.L.'!JB9</f>
        <v>0</v>
      </c>
      <c r="HA88" s="437">
        <f t="shared" si="656"/>
        <v>193405.8748261772</v>
      </c>
      <c r="HB88" s="436">
        <f>+'GASTO G.L.'!JC9</f>
        <v>0</v>
      </c>
      <c r="HC88" s="405">
        <f>+'GASTO G.L.'!JD9</f>
        <v>0</v>
      </c>
      <c r="HD88" s="405">
        <f>+'GASTO G.L.'!JE9</f>
        <v>0</v>
      </c>
      <c r="HE88" s="405">
        <f>+'GASTO G.L.'!JF9</f>
        <v>0</v>
      </c>
      <c r="HF88" s="405">
        <f>+'GASTO G.L.'!JG9</f>
        <v>0</v>
      </c>
      <c r="HG88" s="405">
        <f>+'GASTO G.L.'!JH9</f>
        <v>0</v>
      </c>
      <c r="HH88" s="405">
        <f>+'GASTO G.L.'!JI9</f>
        <v>0</v>
      </c>
      <c r="HI88" s="405">
        <f>+'GASTO G.L.'!JJ9</f>
        <v>0</v>
      </c>
      <c r="HJ88" s="405">
        <f>+'GASTO G.L.'!JK9</f>
        <v>0</v>
      </c>
      <c r="HK88" s="405">
        <f>+'GASTO G.L.'!JL9</f>
        <v>0</v>
      </c>
      <c r="HL88" s="405">
        <f>+'GASTO G.L.'!JM9</f>
        <v>0</v>
      </c>
      <c r="HM88" s="437">
        <f>+'GASTO G.L.'!JN9</f>
        <v>0</v>
      </c>
      <c r="HN88" s="437">
        <f t="shared" si="658"/>
        <v>0</v>
      </c>
      <c r="HO88" s="405">
        <v>0</v>
      </c>
      <c r="HP88" s="405">
        <v>0</v>
      </c>
      <c r="HQ88" s="405">
        <v>0</v>
      </c>
      <c r="HR88" s="405">
        <v>0</v>
      </c>
      <c r="HS88" s="405">
        <v>0</v>
      </c>
      <c r="HT88" s="405">
        <v>0</v>
      </c>
      <c r="HU88" s="405">
        <v>0</v>
      </c>
      <c r="HV88" s="405">
        <v>0</v>
      </c>
      <c r="HW88" s="405">
        <v>0</v>
      </c>
      <c r="HX88" s="405">
        <v>0</v>
      </c>
      <c r="HY88" s="405">
        <v>0</v>
      </c>
      <c r="HZ88" s="405">
        <v>0</v>
      </c>
      <c r="IA88" s="436">
        <f t="shared" si="660"/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M88" s="1266"/>
      <c r="IN88" s="1059">
        <f t="shared" si="680"/>
        <v>0</v>
      </c>
      <c r="IO88" s="1266"/>
      <c r="IP88" s="1060" t="str">
        <f t="shared" si="662"/>
        <v/>
      </c>
      <c r="IQ88" s="640" t="str">
        <f t="shared" si="663"/>
        <v>-</v>
      </c>
      <c r="IR88" s="344">
        <f t="shared" si="664"/>
        <v>0</v>
      </c>
      <c r="IS88" s="344">
        <f t="shared" si="665"/>
        <v>0</v>
      </c>
      <c r="IU88" s="320">
        <f t="shared" si="666"/>
        <v>0</v>
      </c>
    </row>
    <row r="89" spans="1:255" ht="15" customHeight="1" x14ac:dyDescent="0.2">
      <c r="A89" s="342" t="s">
        <v>326</v>
      </c>
      <c r="BA89" s="644"/>
      <c r="BB89" s="345"/>
      <c r="BC89" s="320"/>
      <c r="BD89" s="320"/>
      <c r="BE89" s="320"/>
      <c r="BF89" s="320"/>
      <c r="BG89" s="320"/>
      <c r="BH89" s="320"/>
      <c r="BI89" s="320"/>
      <c r="BJ89" s="320"/>
      <c r="BK89" s="320"/>
      <c r="BL89" s="320"/>
      <c r="BM89" s="320"/>
      <c r="BN89" s="344"/>
      <c r="BO89" s="320">
        <v>306</v>
      </c>
      <c r="BP89" s="320">
        <v>960</v>
      </c>
      <c r="BQ89" s="320">
        <v>1056</v>
      </c>
      <c r="BR89" s="320">
        <v>1069</v>
      </c>
      <c r="BS89" s="320">
        <v>1149</v>
      </c>
      <c r="BT89" s="320">
        <v>1034</v>
      </c>
      <c r="BU89" s="320">
        <v>1257</v>
      </c>
      <c r="BV89" s="320">
        <v>1288</v>
      </c>
      <c r="BW89" s="320">
        <v>932</v>
      </c>
      <c r="BX89" s="320">
        <v>1487</v>
      </c>
      <c r="BY89" s="320">
        <v>1055</v>
      </c>
      <c r="BZ89" s="320">
        <v>1997</v>
      </c>
      <c r="CA89" s="344">
        <f t="shared" si="749"/>
        <v>13590</v>
      </c>
      <c r="CB89" s="320">
        <v>0</v>
      </c>
      <c r="CC89" s="320">
        <v>0</v>
      </c>
      <c r="CD89" s="320">
        <v>0</v>
      </c>
      <c r="CE89" s="320">
        <v>0</v>
      </c>
      <c r="CF89" s="320">
        <v>0</v>
      </c>
      <c r="CG89" s="320">
        <v>0</v>
      </c>
      <c r="CH89" s="320">
        <v>0</v>
      </c>
      <c r="CI89" s="320">
        <v>0</v>
      </c>
      <c r="CJ89" s="320">
        <v>0</v>
      </c>
      <c r="CK89" s="320">
        <v>0</v>
      </c>
      <c r="CL89" s="320">
        <v>0</v>
      </c>
      <c r="CM89" s="320">
        <v>0</v>
      </c>
      <c r="CN89" s="331">
        <f t="shared" si="750"/>
        <v>0</v>
      </c>
      <c r="CO89" s="333">
        <v>0</v>
      </c>
      <c r="CP89" s="317">
        <v>0</v>
      </c>
      <c r="CQ89" s="317">
        <v>0</v>
      </c>
      <c r="CR89" s="317">
        <v>0</v>
      </c>
      <c r="CS89" s="317">
        <v>0</v>
      </c>
      <c r="CT89" s="317">
        <v>0</v>
      </c>
      <c r="CU89" s="317">
        <v>0</v>
      </c>
      <c r="CV89" s="317">
        <v>0</v>
      </c>
      <c r="CW89" s="317">
        <v>0</v>
      </c>
      <c r="CX89" s="317">
        <v>0</v>
      </c>
      <c r="CY89" s="317">
        <v>0</v>
      </c>
      <c r="CZ89" s="317">
        <v>0</v>
      </c>
      <c r="DA89" s="331">
        <f t="shared" si="730"/>
        <v>0</v>
      </c>
      <c r="DB89" s="317">
        <v>0</v>
      </c>
      <c r="DC89" s="317">
        <v>0</v>
      </c>
      <c r="DD89" s="317">
        <v>0</v>
      </c>
      <c r="DE89" s="317">
        <v>0</v>
      </c>
      <c r="DF89" s="317">
        <v>0</v>
      </c>
      <c r="DG89" s="317">
        <v>0</v>
      </c>
      <c r="DH89" s="317">
        <v>0</v>
      </c>
      <c r="DI89" s="317">
        <v>0</v>
      </c>
      <c r="DJ89" s="317">
        <v>0</v>
      </c>
      <c r="DK89" s="317">
        <v>0</v>
      </c>
      <c r="DL89" s="317">
        <v>0</v>
      </c>
      <c r="DM89" s="317">
        <v>0</v>
      </c>
      <c r="DN89" s="333">
        <f t="shared" si="731"/>
        <v>0</v>
      </c>
      <c r="DO89" s="317">
        <v>319</v>
      </c>
      <c r="DP89" s="317">
        <v>778</v>
      </c>
      <c r="DQ89" s="317">
        <v>1256</v>
      </c>
      <c r="DR89" s="317">
        <v>849</v>
      </c>
      <c r="DS89" s="317">
        <v>1446</v>
      </c>
      <c r="DT89" s="317">
        <v>1205</v>
      </c>
      <c r="DU89" s="317">
        <v>1354</v>
      </c>
      <c r="DV89" s="317">
        <v>1212</v>
      </c>
      <c r="DW89" s="317">
        <v>1339</v>
      </c>
      <c r="DX89" s="317">
        <v>1264</v>
      </c>
      <c r="DY89" s="317">
        <v>1293</v>
      </c>
      <c r="DZ89" s="317">
        <v>1538</v>
      </c>
      <c r="EA89" s="331">
        <f t="shared" si="732"/>
        <v>13853</v>
      </c>
      <c r="EB89" s="317">
        <v>307</v>
      </c>
      <c r="EC89" s="317">
        <v>815</v>
      </c>
      <c r="ED89" s="317">
        <v>1110</v>
      </c>
      <c r="EE89" s="317">
        <v>1300</v>
      </c>
      <c r="EF89" s="317">
        <v>1188</v>
      </c>
      <c r="EG89" s="317">
        <v>1021</v>
      </c>
      <c r="EH89" s="317">
        <v>1484</v>
      </c>
      <c r="EI89" s="317">
        <v>1172</v>
      </c>
      <c r="EJ89" s="317">
        <v>1156</v>
      </c>
      <c r="EK89" s="317">
        <v>1496</v>
      </c>
      <c r="EL89" s="317">
        <v>1204</v>
      </c>
      <c r="EM89" s="317">
        <v>1858</v>
      </c>
      <c r="EN89" s="331">
        <f>SUM(EB89:EM89)</f>
        <v>14111</v>
      </c>
      <c r="EO89" s="317">
        <f>+'GASTO G.L.'!EO10</f>
        <v>165</v>
      </c>
      <c r="EP89" s="317">
        <f>+'GASTO G.L.'!EP10</f>
        <v>560</v>
      </c>
      <c r="EQ89" s="317">
        <f>+'GASTO G.L.'!EQ10</f>
        <v>1029</v>
      </c>
      <c r="ER89" s="317">
        <f>+'GASTO G.L.'!ER10</f>
        <v>1043</v>
      </c>
      <c r="ES89" s="317">
        <f>+'GASTO G.L.'!ES10</f>
        <v>1177</v>
      </c>
      <c r="ET89" s="317">
        <f>+'GASTO G.L.'!ET10</f>
        <v>1130</v>
      </c>
      <c r="EU89" s="317">
        <f>+'GASTO G.L.'!EU10</f>
        <v>1448</v>
      </c>
      <c r="EV89" s="317">
        <f>+'GASTO G.L.'!EV10</f>
        <v>1650</v>
      </c>
      <c r="EW89" s="317">
        <f>+'GASTO G.L.'!EW10</f>
        <v>1286</v>
      </c>
      <c r="EX89" s="317">
        <f>+'GASTO G.L.'!EX10</f>
        <v>1325</v>
      </c>
      <c r="EY89" s="317">
        <f>+'GASTO G.L.'!EY10</f>
        <v>1193</v>
      </c>
      <c r="EZ89" s="317">
        <f>+'GASTO G.L.'!EZ10</f>
        <v>2058</v>
      </c>
      <c r="FA89" s="331">
        <f>SUM(EO89:EZ89)</f>
        <v>14064</v>
      </c>
      <c r="FB89" s="405">
        <f>+'GASTO G.L.'!FB10</f>
        <v>366</v>
      </c>
      <c r="FC89" s="405">
        <f>+'GASTO G.L.'!FC10</f>
        <v>591</v>
      </c>
      <c r="FD89" s="405">
        <f>+'GASTO G.L.'!FD10</f>
        <v>976</v>
      </c>
      <c r="FE89" s="405">
        <f>+'GASTO G.L.'!FE10</f>
        <v>754</v>
      </c>
      <c r="FF89" s="405">
        <f>+'GASTO G.L.'!FF10</f>
        <v>1488</v>
      </c>
      <c r="FG89" s="405">
        <f>+'GASTO G.L.'!FG10</f>
        <v>1651</v>
      </c>
      <c r="FH89" s="405">
        <f>+'GASTO G.L.'!FH10</f>
        <v>1335</v>
      </c>
      <c r="FI89" s="405">
        <f>+'GASTO G.L.'!FI10</f>
        <v>1678</v>
      </c>
      <c r="FJ89" s="405">
        <f>+'GASTO G.L.'!FJ10</f>
        <v>1575</v>
      </c>
      <c r="FK89" s="405">
        <f>+'GASTO G.L.'!FK10</f>
        <v>1495</v>
      </c>
      <c r="FL89" s="405">
        <f>+'GASTO G.L.'!FL10</f>
        <v>1474</v>
      </c>
      <c r="FM89" s="405">
        <f>+'GASTO G.L.'!FM10</f>
        <v>1476</v>
      </c>
      <c r="FN89" s="331">
        <f>SUM(FB89:FM89)</f>
        <v>14859</v>
      </c>
      <c r="FO89" s="405">
        <f>+'GASTO G.L.'!FO10</f>
        <v>144</v>
      </c>
      <c r="FP89" s="405">
        <f>+'GASTO G.L.'!FP10</f>
        <v>1071</v>
      </c>
      <c r="FQ89" s="405">
        <f>+'GASTO G.L.'!FQ10</f>
        <v>1479</v>
      </c>
      <c r="FR89" s="405">
        <f>+'GASTO G.L.'!FR10</f>
        <v>1026</v>
      </c>
      <c r="FS89" s="405">
        <f>+'GASTO G.L.'!FS10</f>
        <v>1649</v>
      </c>
      <c r="FT89" s="405">
        <f>+'GASTO G.L.'!FT10</f>
        <v>1869</v>
      </c>
      <c r="FU89" s="405">
        <f>+'GASTO G.L.'!FU10</f>
        <v>1394</v>
      </c>
      <c r="FV89" s="405">
        <f>+'GASTO G.L.'!FV10</f>
        <v>1468</v>
      </c>
      <c r="FW89" s="405">
        <f>+'GASTO G.L.'!FW10</f>
        <v>1026</v>
      </c>
      <c r="FX89" s="405">
        <f>+'GASTO G.L.'!FX10</f>
        <v>1176</v>
      </c>
      <c r="FY89" s="405">
        <f>+'GASTO G.L.'!FY10</f>
        <v>1175</v>
      </c>
      <c r="FZ89" s="405">
        <f>+'GASTO G.L.'!FZ10</f>
        <v>1577</v>
      </c>
      <c r="GA89" s="435">
        <f t="shared" si="653"/>
        <v>15054</v>
      </c>
      <c r="GB89" s="405">
        <f>+'GASTO G.L.'!GB10</f>
        <v>296</v>
      </c>
      <c r="GC89" s="405">
        <f>+'GASTO G.L.'!GC10</f>
        <v>1513</v>
      </c>
      <c r="GD89" s="405">
        <f>+'GASTO G.L.'!GD10</f>
        <v>1091</v>
      </c>
      <c r="GE89" s="405">
        <f>+'GASTO G.L.'!GE10</f>
        <v>1525</v>
      </c>
      <c r="GF89" s="405">
        <f>+'GASTO G.L.'!GF10</f>
        <v>1429</v>
      </c>
      <c r="GG89" s="405">
        <f>+'GASTO G.L.'!GG10</f>
        <v>1600</v>
      </c>
      <c r="GH89" s="405">
        <f>+'GASTO G.L.'!GH10</f>
        <v>1588</v>
      </c>
      <c r="GI89" s="405">
        <f>+'GASTO G.L.'!GI10</f>
        <v>1352</v>
      </c>
      <c r="GJ89" s="405">
        <f>+'GASTO G.L.'!GJ10</f>
        <v>1827</v>
      </c>
      <c r="GK89" s="405">
        <f>+'GASTO G.L.'!GK10</f>
        <v>1133</v>
      </c>
      <c r="GL89" s="405">
        <f>+'GASTO G.L.'!GL10</f>
        <v>1105</v>
      </c>
      <c r="GM89" s="405">
        <f>+'GASTO G.L.'!GM10</f>
        <v>1375</v>
      </c>
      <c r="GN89" s="435">
        <f t="shared" si="654"/>
        <v>15834</v>
      </c>
      <c r="GO89" s="436">
        <f>+'GASTO G.L.'!IQ10</f>
        <v>2.3812682409127151</v>
      </c>
      <c r="GP89" s="405">
        <f>+'GASTO G.L.'!IR10</f>
        <v>15076</v>
      </c>
      <c r="GQ89" s="405">
        <f>+'GASTO G.L.'!IS10</f>
        <v>15435</v>
      </c>
      <c r="GR89" s="405">
        <f>+'GASTO G.L.'!IT10</f>
        <v>0</v>
      </c>
      <c r="GS89" s="405">
        <f>+'GASTO G.L.'!IU10</f>
        <v>0</v>
      </c>
      <c r="GT89" s="405">
        <f>+'GASTO G.L.'!IV10</f>
        <v>0</v>
      </c>
      <c r="GU89" s="405">
        <f>+'GASTO G.L.'!IW10</f>
        <v>0</v>
      </c>
      <c r="GV89" s="405">
        <f>+'GASTO G.L.'!IX10</f>
        <v>0</v>
      </c>
      <c r="GW89" s="405">
        <f>+'GASTO G.L.'!IY10</f>
        <v>0</v>
      </c>
      <c r="GX89" s="405">
        <f>+'GASTO G.L.'!IZ10</f>
        <v>0</v>
      </c>
      <c r="GY89" s="405">
        <f>+'GASTO G.L.'!JA10</f>
        <v>0</v>
      </c>
      <c r="GZ89" s="437">
        <f>+'GASTO G.L.'!JB10</f>
        <v>0</v>
      </c>
      <c r="HA89" s="437">
        <f t="shared" si="656"/>
        <v>30513.381268240912</v>
      </c>
      <c r="HB89" s="436">
        <f>+'GASTO G.L.'!JC10</f>
        <v>0</v>
      </c>
      <c r="HC89" s="405">
        <f>+'GASTO G.L.'!JD10</f>
        <v>0</v>
      </c>
      <c r="HD89" s="405">
        <f>+'GASTO G.L.'!JE10</f>
        <v>0</v>
      </c>
      <c r="HE89" s="405">
        <f>+'GASTO G.L.'!JF10</f>
        <v>0</v>
      </c>
      <c r="HF89" s="405">
        <f>+'GASTO G.L.'!JG10</f>
        <v>0</v>
      </c>
      <c r="HG89" s="405">
        <f>+'GASTO G.L.'!JH10</f>
        <v>0</v>
      </c>
      <c r="HH89" s="405">
        <f>+'GASTO G.L.'!JI10</f>
        <v>0</v>
      </c>
      <c r="HI89" s="405">
        <f>+'GASTO G.L.'!JJ10</f>
        <v>0</v>
      </c>
      <c r="HJ89" s="405">
        <f>+'GASTO G.L.'!JK10</f>
        <v>0</v>
      </c>
      <c r="HK89" s="405">
        <f>+'GASTO G.L.'!JL10</f>
        <v>0</v>
      </c>
      <c r="HL89" s="405">
        <f>+'GASTO G.L.'!JM10</f>
        <v>0</v>
      </c>
      <c r="HM89" s="437">
        <f>+'GASTO G.L.'!JN10</f>
        <v>0</v>
      </c>
      <c r="HN89" s="437">
        <f t="shared" si="658"/>
        <v>0</v>
      </c>
      <c r="HO89" s="405">
        <v>0</v>
      </c>
      <c r="HP89" s="405">
        <v>0</v>
      </c>
      <c r="HQ89" s="405">
        <v>0</v>
      </c>
      <c r="HR89" s="405">
        <v>0</v>
      </c>
      <c r="HS89" s="405">
        <v>0</v>
      </c>
      <c r="HT89" s="405">
        <v>0</v>
      </c>
      <c r="HU89" s="405">
        <v>0</v>
      </c>
      <c r="HV89" s="405">
        <v>0</v>
      </c>
      <c r="HW89" s="405">
        <v>0</v>
      </c>
      <c r="HX89" s="405">
        <v>0</v>
      </c>
      <c r="HY89" s="405">
        <v>0</v>
      </c>
      <c r="HZ89" s="405">
        <v>0</v>
      </c>
      <c r="IA89" s="436">
        <f t="shared" si="660"/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M89" s="1266"/>
      <c r="IN89" s="1059">
        <f t="shared" si="680"/>
        <v>0</v>
      </c>
      <c r="IO89" s="1266"/>
      <c r="IP89" s="1060" t="str">
        <f t="shared" si="662"/>
        <v/>
      </c>
      <c r="IQ89" s="640" t="str">
        <f t="shared" si="663"/>
        <v>-</v>
      </c>
      <c r="IR89" s="344">
        <f t="shared" si="664"/>
        <v>0</v>
      </c>
      <c r="IS89" s="344">
        <f t="shared" si="665"/>
        <v>0</v>
      </c>
      <c r="IU89" s="320">
        <f t="shared" si="666"/>
        <v>0</v>
      </c>
    </row>
    <row r="90" spans="1:255" ht="15" customHeight="1" x14ac:dyDescent="0.2">
      <c r="A90" s="342" t="s">
        <v>324</v>
      </c>
      <c r="BA90" s="644"/>
      <c r="BB90" s="345"/>
      <c r="BC90" s="320"/>
      <c r="BD90" s="320"/>
      <c r="BE90" s="320"/>
      <c r="BF90" s="320"/>
      <c r="BG90" s="320"/>
      <c r="BH90" s="320"/>
      <c r="BI90" s="320"/>
      <c r="BJ90" s="320"/>
      <c r="BK90" s="320"/>
      <c r="BL90" s="320"/>
      <c r="BM90" s="320"/>
      <c r="BN90" s="344"/>
      <c r="BO90" s="320">
        <v>29</v>
      </c>
      <c r="BP90" s="320">
        <v>70</v>
      </c>
      <c r="BQ90" s="320">
        <v>2822</v>
      </c>
      <c r="BR90" s="320">
        <v>783</v>
      </c>
      <c r="BS90" s="320">
        <v>559</v>
      </c>
      <c r="BT90" s="320">
        <v>571</v>
      </c>
      <c r="BU90" s="320">
        <v>629</v>
      </c>
      <c r="BV90" s="320">
        <v>598</v>
      </c>
      <c r="BW90" s="320">
        <v>488</v>
      </c>
      <c r="BX90" s="320">
        <v>1039</v>
      </c>
      <c r="BY90" s="320">
        <v>572</v>
      </c>
      <c r="BZ90" s="320">
        <v>2019</v>
      </c>
      <c r="CA90" s="344">
        <f t="shared" si="749"/>
        <v>10179</v>
      </c>
      <c r="CB90" s="320">
        <v>0</v>
      </c>
      <c r="CC90" s="320">
        <v>0</v>
      </c>
      <c r="CD90" s="320">
        <v>0</v>
      </c>
      <c r="CE90" s="320">
        <v>0</v>
      </c>
      <c r="CF90" s="320">
        <v>0</v>
      </c>
      <c r="CG90" s="320">
        <v>0</v>
      </c>
      <c r="CH90" s="320">
        <v>0</v>
      </c>
      <c r="CI90" s="320">
        <v>0</v>
      </c>
      <c r="CJ90" s="320">
        <v>0</v>
      </c>
      <c r="CK90" s="320">
        <v>0</v>
      </c>
      <c r="CL90" s="320">
        <v>0</v>
      </c>
      <c r="CM90" s="320">
        <v>0</v>
      </c>
      <c r="CN90" s="331">
        <f t="shared" si="750"/>
        <v>0</v>
      </c>
      <c r="CO90" s="333">
        <v>0</v>
      </c>
      <c r="CP90" s="317">
        <v>0</v>
      </c>
      <c r="CQ90" s="317">
        <v>0</v>
      </c>
      <c r="CR90" s="317">
        <v>0</v>
      </c>
      <c r="CS90" s="317">
        <v>0</v>
      </c>
      <c r="CT90" s="317">
        <v>0</v>
      </c>
      <c r="CU90" s="317">
        <v>0</v>
      </c>
      <c r="CV90" s="317">
        <v>0</v>
      </c>
      <c r="CW90" s="317">
        <v>0</v>
      </c>
      <c r="CX90" s="317">
        <v>0</v>
      </c>
      <c r="CY90" s="317">
        <v>0</v>
      </c>
      <c r="CZ90" s="317">
        <v>0</v>
      </c>
      <c r="DA90" s="331">
        <f t="shared" si="730"/>
        <v>0</v>
      </c>
      <c r="DB90" s="317">
        <v>0</v>
      </c>
      <c r="DC90" s="317">
        <v>0</v>
      </c>
      <c r="DD90" s="317">
        <v>0</v>
      </c>
      <c r="DE90" s="317">
        <v>0</v>
      </c>
      <c r="DF90" s="317">
        <v>0</v>
      </c>
      <c r="DG90" s="317">
        <v>0</v>
      </c>
      <c r="DH90" s="317">
        <v>0</v>
      </c>
      <c r="DI90" s="317">
        <v>0</v>
      </c>
      <c r="DJ90" s="317">
        <v>0</v>
      </c>
      <c r="DK90" s="317">
        <v>0</v>
      </c>
      <c r="DL90" s="317">
        <v>0</v>
      </c>
      <c r="DM90" s="317">
        <v>0</v>
      </c>
      <c r="DN90" s="333">
        <f t="shared" si="731"/>
        <v>0</v>
      </c>
      <c r="DO90" s="317">
        <v>80</v>
      </c>
      <c r="DP90" s="317">
        <v>675</v>
      </c>
      <c r="DQ90" s="317">
        <v>740</v>
      </c>
      <c r="DR90" s="317">
        <v>334</v>
      </c>
      <c r="DS90" s="317">
        <v>905</v>
      </c>
      <c r="DT90" s="317">
        <v>976</v>
      </c>
      <c r="DU90" s="317">
        <v>674</v>
      </c>
      <c r="DV90" s="317">
        <v>854</v>
      </c>
      <c r="DW90" s="317">
        <v>996</v>
      </c>
      <c r="DX90" s="317">
        <v>1313</v>
      </c>
      <c r="DY90" s="317">
        <v>1298</v>
      </c>
      <c r="DZ90" s="317">
        <v>4698</v>
      </c>
      <c r="EA90" s="331">
        <f t="shared" si="732"/>
        <v>13543</v>
      </c>
      <c r="EB90" s="317">
        <v>99</v>
      </c>
      <c r="EC90" s="317">
        <v>107</v>
      </c>
      <c r="ED90" s="317">
        <v>307</v>
      </c>
      <c r="EE90" s="317">
        <v>895</v>
      </c>
      <c r="EF90" s="317">
        <v>473</v>
      </c>
      <c r="EG90" s="317">
        <v>1638</v>
      </c>
      <c r="EH90" s="317">
        <v>541</v>
      </c>
      <c r="EI90" s="317">
        <v>960</v>
      </c>
      <c r="EJ90" s="317">
        <v>630</v>
      </c>
      <c r="EK90" s="317">
        <v>758</v>
      </c>
      <c r="EL90" s="317">
        <v>775</v>
      </c>
      <c r="EM90" s="317">
        <v>469</v>
      </c>
      <c r="EN90" s="331">
        <f>SUM(EB90:EM90)</f>
        <v>7652</v>
      </c>
      <c r="EO90" s="317">
        <f>+'GASTO G.L.'!EO12</f>
        <v>32</v>
      </c>
      <c r="EP90" s="317">
        <f>+'GASTO G.L.'!EP12</f>
        <v>229</v>
      </c>
      <c r="EQ90" s="317">
        <f>+'GASTO G.L.'!EQ12</f>
        <v>398</v>
      </c>
      <c r="ER90" s="317">
        <f>+'GASTO G.L.'!ER12</f>
        <v>461</v>
      </c>
      <c r="ES90" s="317">
        <f>+'GASTO G.L.'!ES12</f>
        <v>500</v>
      </c>
      <c r="ET90" s="317">
        <f>+'GASTO G.L.'!ET12</f>
        <v>895</v>
      </c>
      <c r="EU90" s="317">
        <f>+'GASTO G.L.'!EU12</f>
        <v>879</v>
      </c>
      <c r="EV90" s="317">
        <f>+'GASTO G.L.'!EV12</f>
        <v>1307</v>
      </c>
      <c r="EW90" s="317">
        <f>+'GASTO G.L.'!EW12</f>
        <v>1398</v>
      </c>
      <c r="EX90" s="317">
        <f>+'GASTO G.L.'!EX12</f>
        <v>1220</v>
      </c>
      <c r="EY90" s="317">
        <f>+'GASTO G.L.'!EY12</f>
        <v>707</v>
      </c>
      <c r="EZ90" s="317">
        <f>+'GASTO G.L.'!EZ12</f>
        <v>5649</v>
      </c>
      <c r="FA90" s="331">
        <f>SUM(EO90:EZ90)</f>
        <v>13675</v>
      </c>
      <c r="FB90" s="405">
        <f>+'GASTO G.L.'!FB12</f>
        <v>210</v>
      </c>
      <c r="FC90" s="405">
        <f>+'GASTO G.L.'!FC12</f>
        <v>248</v>
      </c>
      <c r="FD90" s="405">
        <f>+'GASTO G.L.'!FD12</f>
        <v>389</v>
      </c>
      <c r="FE90" s="405">
        <f>+'GASTO G.L.'!FE12</f>
        <v>361</v>
      </c>
      <c r="FF90" s="405">
        <f>+'GASTO G.L.'!FF12</f>
        <v>312</v>
      </c>
      <c r="FG90" s="405">
        <f>+'GASTO G.L.'!FG12</f>
        <v>420</v>
      </c>
      <c r="FH90" s="405">
        <f>+'GASTO G.L.'!FH12</f>
        <v>294</v>
      </c>
      <c r="FI90" s="405">
        <f>+'GASTO G.L.'!FI12</f>
        <v>747</v>
      </c>
      <c r="FJ90" s="405">
        <f>+'GASTO G.L.'!FJ12</f>
        <v>1140</v>
      </c>
      <c r="FK90" s="405">
        <f>+'GASTO G.L.'!FK12</f>
        <v>1167</v>
      </c>
      <c r="FL90" s="405">
        <f>+'GASTO G.L.'!FL12</f>
        <v>951</v>
      </c>
      <c r="FM90" s="405">
        <f>+'GASTO G.L.'!FM12</f>
        <v>2541</v>
      </c>
      <c r="FN90" s="331">
        <f>SUM(FB90:FM90)</f>
        <v>8780</v>
      </c>
      <c r="FO90" s="405">
        <f>+'GASTO G.L.'!FO12</f>
        <v>110</v>
      </c>
      <c r="FP90" s="405">
        <f>+'GASTO G.L.'!FP12</f>
        <v>394</v>
      </c>
      <c r="FQ90" s="405">
        <f>+'GASTO G.L.'!FQ12</f>
        <v>646</v>
      </c>
      <c r="FR90" s="405">
        <f>+'GASTO G.L.'!FR12</f>
        <v>265</v>
      </c>
      <c r="FS90" s="405">
        <f>+'GASTO G.L.'!FS12</f>
        <v>390</v>
      </c>
      <c r="FT90" s="405">
        <f>+'GASTO G.L.'!FT12</f>
        <v>374</v>
      </c>
      <c r="FU90" s="405">
        <f>+'GASTO G.L.'!FU12</f>
        <v>364</v>
      </c>
      <c r="FV90" s="405">
        <f>+'GASTO G.L.'!FV12</f>
        <v>413</v>
      </c>
      <c r="FW90" s="405">
        <f>+'GASTO G.L.'!FW12</f>
        <v>407</v>
      </c>
      <c r="FX90" s="405">
        <f>+'GASTO G.L.'!FX12</f>
        <v>383</v>
      </c>
      <c r="FY90" s="405">
        <f>+'GASTO G.L.'!FY12</f>
        <v>479</v>
      </c>
      <c r="FZ90" s="405">
        <f>+'GASTO G.L.'!FZ12</f>
        <v>790</v>
      </c>
      <c r="GA90" s="435">
        <f t="shared" si="653"/>
        <v>5015</v>
      </c>
      <c r="GB90" s="405">
        <f>+'GASTO G.L.'!GB12</f>
        <v>322</v>
      </c>
      <c r="GC90" s="405">
        <f>+'GASTO G.L.'!GC12</f>
        <v>402</v>
      </c>
      <c r="GD90" s="405">
        <f>+'GASTO G.L.'!GD12</f>
        <v>697</v>
      </c>
      <c r="GE90" s="405">
        <f>+'GASTO G.L.'!GE12</f>
        <v>751</v>
      </c>
      <c r="GF90" s="405">
        <f>+'GASTO G.L.'!GF12</f>
        <v>687</v>
      </c>
      <c r="GG90" s="405">
        <f>+'GASTO G.L.'!GG12</f>
        <v>1180</v>
      </c>
      <c r="GH90" s="405">
        <f>+'GASTO G.L.'!GH12</f>
        <v>2094</v>
      </c>
      <c r="GI90" s="405">
        <f>+'GASTO G.L.'!GI12</f>
        <v>1186</v>
      </c>
      <c r="GJ90" s="405">
        <f>+'GASTO G.L.'!GJ12</f>
        <v>950</v>
      </c>
      <c r="GK90" s="405">
        <f>+'GASTO G.L.'!GK12</f>
        <v>1804</v>
      </c>
      <c r="GL90" s="405">
        <f>+'GASTO G.L.'!GL12</f>
        <v>1589</v>
      </c>
      <c r="GM90" s="405">
        <f>+'GASTO G.L.'!GM12</f>
        <v>2966</v>
      </c>
      <c r="GN90" s="435">
        <f t="shared" si="654"/>
        <v>14628</v>
      </c>
      <c r="GO90" s="436">
        <f>+'GASTO G.L.'!IQ12</f>
        <v>19.504761904761914</v>
      </c>
      <c r="GP90" s="405">
        <f>+'GASTO G.L.'!IR12</f>
        <v>10500</v>
      </c>
      <c r="GQ90" s="405">
        <f>+'GASTO G.L.'!IS12</f>
        <v>12548</v>
      </c>
      <c r="GR90" s="405">
        <f>+'GASTO G.L.'!IT12</f>
        <v>0</v>
      </c>
      <c r="GS90" s="405">
        <f>+'GASTO G.L.'!IU12</f>
        <v>0</v>
      </c>
      <c r="GT90" s="405">
        <f>+'GASTO G.L.'!IV12</f>
        <v>0</v>
      </c>
      <c r="GU90" s="405">
        <f>+'GASTO G.L.'!IW12</f>
        <v>0</v>
      </c>
      <c r="GV90" s="405">
        <f>+'GASTO G.L.'!IX12</f>
        <v>0</v>
      </c>
      <c r="GW90" s="405">
        <f>+'GASTO G.L.'!IY12</f>
        <v>0</v>
      </c>
      <c r="GX90" s="405">
        <f>+'GASTO G.L.'!IZ12</f>
        <v>0</v>
      </c>
      <c r="GY90" s="405">
        <f>+'GASTO G.L.'!JA12</f>
        <v>0</v>
      </c>
      <c r="GZ90" s="437">
        <f>+'GASTO G.L.'!JB12</f>
        <v>0</v>
      </c>
      <c r="HA90" s="437">
        <f t="shared" si="656"/>
        <v>23067.504761904762</v>
      </c>
      <c r="HB90" s="436">
        <f>+'GASTO G.L.'!JC12</f>
        <v>0</v>
      </c>
      <c r="HC90" s="405">
        <f>+'GASTO G.L.'!JD12</f>
        <v>0</v>
      </c>
      <c r="HD90" s="405">
        <f>+'GASTO G.L.'!JE12</f>
        <v>0</v>
      </c>
      <c r="HE90" s="405">
        <f>+'GASTO G.L.'!JF12</f>
        <v>0</v>
      </c>
      <c r="HF90" s="405">
        <f>+'GASTO G.L.'!JG12</f>
        <v>0</v>
      </c>
      <c r="HG90" s="405">
        <f>+'GASTO G.L.'!JH12</f>
        <v>0</v>
      </c>
      <c r="HH90" s="405">
        <f>+'GASTO G.L.'!JI12</f>
        <v>0</v>
      </c>
      <c r="HI90" s="405">
        <f>+'GASTO G.L.'!JJ12</f>
        <v>0</v>
      </c>
      <c r="HJ90" s="405">
        <f>+'GASTO G.L.'!JK12</f>
        <v>0</v>
      </c>
      <c r="HK90" s="405">
        <f>+'GASTO G.L.'!JL12</f>
        <v>0</v>
      </c>
      <c r="HL90" s="405">
        <f>+'GASTO G.L.'!JM12</f>
        <v>0</v>
      </c>
      <c r="HM90" s="437">
        <f>+'GASTO G.L.'!JN12</f>
        <v>0</v>
      </c>
      <c r="HN90" s="437">
        <f t="shared" si="658"/>
        <v>0</v>
      </c>
      <c r="HO90" s="405">
        <v>0</v>
      </c>
      <c r="HP90" s="405">
        <v>0</v>
      </c>
      <c r="HQ90" s="405">
        <v>0</v>
      </c>
      <c r="HR90" s="405">
        <v>0</v>
      </c>
      <c r="HS90" s="405">
        <v>0</v>
      </c>
      <c r="HT90" s="405">
        <v>0</v>
      </c>
      <c r="HU90" s="405">
        <v>0</v>
      </c>
      <c r="HV90" s="405">
        <v>0</v>
      </c>
      <c r="HW90" s="405">
        <v>0</v>
      </c>
      <c r="HX90" s="405">
        <v>0</v>
      </c>
      <c r="HY90" s="405">
        <v>0</v>
      </c>
      <c r="HZ90" s="405">
        <v>0</v>
      </c>
      <c r="IA90" s="436">
        <f t="shared" si="660"/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M90" s="1266"/>
      <c r="IN90" s="1059">
        <f t="shared" si="680"/>
        <v>0</v>
      </c>
      <c r="IO90" s="1266"/>
      <c r="IP90" s="1060" t="str">
        <f t="shared" si="662"/>
        <v/>
      </c>
      <c r="IQ90" s="640" t="str">
        <f t="shared" si="663"/>
        <v>-</v>
      </c>
      <c r="IR90" s="344">
        <f t="shared" si="664"/>
        <v>0</v>
      </c>
      <c r="IS90" s="344">
        <f t="shared" si="665"/>
        <v>0</v>
      </c>
      <c r="IU90" s="320">
        <f t="shared" si="666"/>
        <v>0</v>
      </c>
    </row>
    <row r="91" spans="1:255" ht="15" customHeight="1" x14ac:dyDescent="0.2">
      <c r="A91" s="342" t="s">
        <v>319</v>
      </c>
      <c r="BA91" s="644"/>
      <c r="BB91" s="345"/>
      <c r="BC91" s="320"/>
      <c r="BD91" s="320"/>
      <c r="BE91" s="320"/>
      <c r="BF91" s="320"/>
      <c r="BG91" s="320"/>
      <c r="BH91" s="320"/>
      <c r="BI91" s="320"/>
      <c r="BJ91" s="320"/>
      <c r="BK91" s="320"/>
      <c r="BL91" s="320"/>
      <c r="BM91" s="320"/>
      <c r="BN91" s="344"/>
      <c r="BO91" s="320">
        <v>134</v>
      </c>
      <c r="BP91" s="320">
        <v>95</v>
      </c>
      <c r="BQ91" s="320">
        <v>117</v>
      </c>
      <c r="BR91" s="320">
        <v>283</v>
      </c>
      <c r="BS91" s="320">
        <v>239</v>
      </c>
      <c r="BT91" s="320">
        <v>180</v>
      </c>
      <c r="BU91" s="320">
        <v>152</v>
      </c>
      <c r="BV91" s="320">
        <v>116</v>
      </c>
      <c r="BW91" s="320">
        <v>139</v>
      </c>
      <c r="BX91" s="320">
        <v>133</v>
      </c>
      <c r="BY91" s="320">
        <v>159</v>
      </c>
      <c r="BZ91" s="320">
        <v>30</v>
      </c>
      <c r="CA91" s="344">
        <f t="shared" si="749"/>
        <v>1777</v>
      </c>
      <c r="CB91" s="320">
        <v>0</v>
      </c>
      <c r="CC91" s="320">
        <v>0</v>
      </c>
      <c r="CD91" s="320">
        <v>0</v>
      </c>
      <c r="CE91" s="320">
        <v>0</v>
      </c>
      <c r="CF91" s="320">
        <v>0</v>
      </c>
      <c r="CG91" s="320">
        <v>0</v>
      </c>
      <c r="CH91" s="320">
        <v>0</v>
      </c>
      <c r="CI91" s="320">
        <v>0</v>
      </c>
      <c r="CJ91" s="320">
        <v>0</v>
      </c>
      <c r="CK91" s="320">
        <v>0</v>
      </c>
      <c r="CL91" s="320">
        <v>0</v>
      </c>
      <c r="CM91" s="320">
        <v>0</v>
      </c>
      <c r="CN91" s="331">
        <f t="shared" si="750"/>
        <v>0</v>
      </c>
      <c r="CO91" s="333">
        <v>0</v>
      </c>
      <c r="CP91" s="317">
        <v>0</v>
      </c>
      <c r="CQ91" s="317">
        <v>0</v>
      </c>
      <c r="CR91" s="317">
        <v>0</v>
      </c>
      <c r="CS91" s="317">
        <v>0</v>
      </c>
      <c r="CT91" s="317">
        <v>0</v>
      </c>
      <c r="CU91" s="317">
        <v>0</v>
      </c>
      <c r="CV91" s="317">
        <v>0</v>
      </c>
      <c r="CW91" s="317">
        <v>0</v>
      </c>
      <c r="CX91" s="317">
        <v>0</v>
      </c>
      <c r="CY91" s="317">
        <v>0</v>
      </c>
      <c r="CZ91" s="317">
        <v>0</v>
      </c>
      <c r="DA91" s="331">
        <f t="shared" si="730"/>
        <v>0</v>
      </c>
      <c r="DB91" s="317">
        <v>0</v>
      </c>
      <c r="DC91" s="317">
        <v>0</v>
      </c>
      <c r="DD91" s="317">
        <v>0</v>
      </c>
      <c r="DE91" s="317">
        <v>0</v>
      </c>
      <c r="DF91" s="317">
        <v>0</v>
      </c>
      <c r="DG91" s="317">
        <v>0</v>
      </c>
      <c r="DH91" s="317">
        <v>0</v>
      </c>
      <c r="DI91" s="317">
        <v>0</v>
      </c>
      <c r="DJ91" s="317">
        <v>0</v>
      </c>
      <c r="DK91" s="317">
        <v>0</v>
      </c>
      <c r="DL91" s="317">
        <v>0</v>
      </c>
      <c r="DM91" s="317">
        <v>0</v>
      </c>
      <c r="DN91" s="333">
        <f t="shared" si="731"/>
        <v>0</v>
      </c>
      <c r="DO91" s="317">
        <v>332</v>
      </c>
      <c r="DP91" s="317">
        <v>400</v>
      </c>
      <c r="DQ91" s="317">
        <v>483</v>
      </c>
      <c r="DR91" s="317">
        <v>504</v>
      </c>
      <c r="DS91" s="317">
        <v>500</v>
      </c>
      <c r="DT91" s="317">
        <v>457</v>
      </c>
      <c r="DU91" s="317">
        <v>305</v>
      </c>
      <c r="DV91" s="317">
        <v>347</v>
      </c>
      <c r="DW91" s="317">
        <v>334</v>
      </c>
      <c r="DX91" s="317">
        <v>291</v>
      </c>
      <c r="DY91" s="317">
        <v>319</v>
      </c>
      <c r="DZ91" s="317">
        <v>215</v>
      </c>
      <c r="EA91" s="331">
        <f t="shared" si="732"/>
        <v>4487</v>
      </c>
      <c r="EB91" s="317">
        <v>231</v>
      </c>
      <c r="EC91" s="317">
        <v>238</v>
      </c>
      <c r="ED91" s="317">
        <v>389</v>
      </c>
      <c r="EE91" s="317">
        <v>507</v>
      </c>
      <c r="EF91" s="317">
        <v>158</v>
      </c>
      <c r="EG91" s="317">
        <v>231</v>
      </c>
      <c r="EH91" s="317">
        <v>619</v>
      </c>
      <c r="EI91" s="317">
        <v>194</v>
      </c>
      <c r="EJ91" s="317">
        <v>252</v>
      </c>
      <c r="EK91" s="317">
        <v>338</v>
      </c>
      <c r="EL91" s="317">
        <v>210</v>
      </c>
      <c r="EM91" s="317">
        <v>298</v>
      </c>
      <c r="EN91" s="331">
        <f>SUM(EB91:EM91)</f>
        <v>3665</v>
      </c>
      <c r="EO91" s="317">
        <f>+'GASTO G.L.'!EO13</f>
        <v>123</v>
      </c>
      <c r="EP91" s="317">
        <f>+'GASTO G.L.'!EP13</f>
        <v>161</v>
      </c>
      <c r="EQ91" s="317">
        <f>+'GASTO G.L.'!EQ13</f>
        <v>245</v>
      </c>
      <c r="ER91" s="317">
        <f>+'GASTO G.L.'!ER13</f>
        <v>417</v>
      </c>
      <c r="ES91" s="317">
        <f>+'GASTO G.L.'!ES13</f>
        <v>367</v>
      </c>
      <c r="ET91" s="317">
        <f>+'GASTO G.L.'!ET13</f>
        <v>175</v>
      </c>
      <c r="EU91" s="317">
        <f>+'GASTO G.L.'!EU13</f>
        <v>291</v>
      </c>
      <c r="EV91" s="317">
        <f>+'GASTO G.L.'!EV13</f>
        <v>238</v>
      </c>
      <c r="EW91" s="317">
        <f>+'GASTO G.L.'!EW13</f>
        <v>284</v>
      </c>
      <c r="EX91" s="317">
        <f>+'GASTO G.L.'!EX13</f>
        <v>224</v>
      </c>
      <c r="EY91" s="317">
        <f>+'GASTO G.L.'!EY13</f>
        <v>184</v>
      </c>
      <c r="EZ91" s="317">
        <f>+'GASTO G.L.'!EZ13</f>
        <v>518</v>
      </c>
      <c r="FA91" s="331">
        <f>SUM(EO91:EZ91)</f>
        <v>3227</v>
      </c>
      <c r="FB91" s="405">
        <f>+'GASTO G.L.'!FB13</f>
        <v>160</v>
      </c>
      <c r="FC91" s="405">
        <f>+'GASTO G.L.'!FC13</f>
        <v>271</v>
      </c>
      <c r="FD91" s="405">
        <f>+'GASTO G.L.'!FD13</f>
        <v>819</v>
      </c>
      <c r="FE91" s="405">
        <f>+'GASTO G.L.'!FE13</f>
        <v>194</v>
      </c>
      <c r="FF91" s="405">
        <f>+'GASTO G.L.'!FF13</f>
        <v>126</v>
      </c>
      <c r="FG91" s="405">
        <f>+'GASTO G.L.'!FG13</f>
        <v>151</v>
      </c>
      <c r="FH91" s="405">
        <f>+'GASTO G.L.'!FH13</f>
        <v>123</v>
      </c>
      <c r="FI91" s="405">
        <f>+'GASTO G.L.'!FI13</f>
        <v>193</v>
      </c>
      <c r="FJ91" s="405">
        <f>+'GASTO G.L.'!FJ13</f>
        <v>257</v>
      </c>
      <c r="FK91" s="405">
        <f>+'GASTO G.L.'!FK13</f>
        <v>372</v>
      </c>
      <c r="FL91" s="405">
        <f>+'GASTO G.L.'!FL13</f>
        <v>343</v>
      </c>
      <c r="FM91" s="405">
        <f>+'GASTO G.L.'!FM13</f>
        <v>517</v>
      </c>
      <c r="FN91" s="331">
        <f>SUM(FB91:FM91)</f>
        <v>3526</v>
      </c>
      <c r="FO91" s="405">
        <f>+'GASTO G.L.'!FO13</f>
        <v>202</v>
      </c>
      <c r="FP91" s="405">
        <f>+'GASTO G.L.'!FP13</f>
        <v>240</v>
      </c>
      <c r="FQ91" s="405">
        <f>+'GASTO G.L.'!FQ13</f>
        <v>329</v>
      </c>
      <c r="FR91" s="405">
        <f>+'GASTO G.L.'!FR13</f>
        <v>285</v>
      </c>
      <c r="FS91" s="405">
        <f>+'GASTO G.L.'!FS13</f>
        <v>264</v>
      </c>
      <c r="FT91" s="405">
        <f>+'GASTO G.L.'!FT13</f>
        <v>439</v>
      </c>
      <c r="FU91" s="405">
        <f>+'GASTO G.L.'!FU13</f>
        <v>236</v>
      </c>
      <c r="FV91" s="405">
        <f>+'GASTO G.L.'!FV13</f>
        <v>250</v>
      </c>
      <c r="FW91" s="405">
        <f>+'GASTO G.L.'!FW13</f>
        <v>273</v>
      </c>
      <c r="FX91" s="405">
        <f>+'GASTO G.L.'!FX13</f>
        <v>277</v>
      </c>
      <c r="FY91" s="405">
        <f>+'GASTO G.L.'!FY13</f>
        <v>310</v>
      </c>
      <c r="FZ91" s="405">
        <f>+'GASTO G.L.'!FZ13</f>
        <v>580</v>
      </c>
      <c r="GA91" s="435">
        <f t="shared" si="653"/>
        <v>3685</v>
      </c>
      <c r="GB91" s="405">
        <f>+'GASTO G.L.'!GB13</f>
        <v>198</v>
      </c>
      <c r="GC91" s="405">
        <f>+'GASTO G.L.'!GC13</f>
        <v>370</v>
      </c>
      <c r="GD91" s="405">
        <f>+'GASTO G.L.'!GD13</f>
        <v>543</v>
      </c>
      <c r="GE91" s="405">
        <f>+'GASTO G.L.'!GE13</f>
        <v>864</v>
      </c>
      <c r="GF91" s="405">
        <f>+'GASTO G.L.'!GF13</f>
        <v>315</v>
      </c>
      <c r="GG91" s="405">
        <f>+'GASTO G.L.'!GG13</f>
        <v>222</v>
      </c>
      <c r="GH91" s="405">
        <f>+'GASTO G.L.'!GH13</f>
        <v>199</v>
      </c>
      <c r="GI91" s="405">
        <f>+'GASTO G.L.'!GI13</f>
        <v>274</v>
      </c>
      <c r="GJ91" s="405">
        <f>+'GASTO G.L.'!GJ13</f>
        <v>269</v>
      </c>
      <c r="GK91" s="405">
        <f>+'GASTO G.L.'!GK13</f>
        <v>288</v>
      </c>
      <c r="GL91" s="405">
        <f>+'GASTO G.L.'!GL13</f>
        <v>243</v>
      </c>
      <c r="GM91" s="405">
        <f>+'GASTO G.L.'!GM13</f>
        <v>379</v>
      </c>
      <c r="GN91" s="435">
        <f t="shared" si="654"/>
        <v>4164</v>
      </c>
      <c r="GO91" s="436">
        <f>+'GASTO G.L.'!IQ13</f>
        <v>4.0858439950474557</v>
      </c>
      <c r="GP91" s="405">
        <f>+'GASTO G.L.'!IR13</f>
        <v>2423</v>
      </c>
      <c r="GQ91" s="405">
        <f>+'GASTO G.L.'!IS13</f>
        <v>2522</v>
      </c>
      <c r="GR91" s="405">
        <f>+'GASTO G.L.'!IT13</f>
        <v>0</v>
      </c>
      <c r="GS91" s="405">
        <f>+'GASTO G.L.'!IU13</f>
        <v>0</v>
      </c>
      <c r="GT91" s="405">
        <f>+'GASTO G.L.'!IV13</f>
        <v>0</v>
      </c>
      <c r="GU91" s="405">
        <f>+'GASTO G.L.'!IW13</f>
        <v>0</v>
      </c>
      <c r="GV91" s="405">
        <f>+'GASTO G.L.'!IX13</f>
        <v>0</v>
      </c>
      <c r="GW91" s="405">
        <f>+'GASTO G.L.'!IY13</f>
        <v>0</v>
      </c>
      <c r="GX91" s="405">
        <f>+'GASTO G.L.'!IZ13</f>
        <v>0</v>
      </c>
      <c r="GY91" s="405">
        <f>+'GASTO G.L.'!JA13</f>
        <v>0</v>
      </c>
      <c r="GZ91" s="437">
        <f>+'GASTO G.L.'!JB13</f>
        <v>0</v>
      </c>
      <c r="HA91" s="437">
        <f t="shared" si="656"/>
        <v>4949.085843995048</v>
      </c>
      <c r="HB91" s="436">
        <f>+'GASTO G.L.'!JC13</f>
        <v>0</v>
      </c>
      <c r="HC91" s="405">
        <f>+'GASTO G.L.'!JD13</f>
        <v>0</v>
      </c>
      <c r="HD91" s="405">
        <f>+'GASTO G.L.'!JE13</f>
        <v>0</v>
      </c>
      <c r="HE91" s="405">
        <f>+'GASTO G.L.'!JF13</f>
        <v>0</v>
      </c>
      <c r="HF91" s="405">
        <f>+'GASTO G.L.'!JG13</f>
        <v>0</v>
      </c>
      <c r="HG91" s="405">
        <f>+'GASTO G.L.'!JH13</f>
        <v>0</v>
      </c>
      <c r="HH91" s="405">
        <f>+'GASTO G.L.'!JI13</f>
        <v>0</v>
      </c>
      <c r="HI91" s="405">
        <f>+'GASTO G.L.'!JJ13</f>
        <v>0</v>
      </c>
      <c r="HJ91" s="405">
        <f>+'GASTO G.L.'!JK13</f>
        <v>0</v>
      </c>
      <c r="HK91" s="405">
        <f>+'GASTO G.L.'!JL13</f>
        <v>0</v>
      </c>
      <c r="HL91" s="405">
        <f>+'GASTO G.L.'!JM13</f>
        <v>0</v>
      </c>
      <c r="HM91" s="437">
        <f>+'GASTO G.L.'!JN13</f>
        <v>0</v>
      </c>
      <c r="HN91" s="437">
        <f t="shared" si="658"/>
        <v>0</v>
      </c>
      <c r="HO91" s="405">
        <v>0</v>
      </c>
      <c r="HP91" s="405">
        <v>0</v>
      </c>
      <c r="HQ91" s="405">
        <v>0</v>
      </c>
      <c r="HR91" s="405">
        <v>0</v>
      </c>
      <c r="HS91" s="405">
        <v>0</v>
      </c>
      <c r="HT91" s="405">
        <v>0</v>
      </c>
      <c r="HU91" s="405">
        <v>0</v>
      </c>
      <c r="HV91" s="405">
        <v>0</v>
      </c>
      <c r="HW91" s="405">
        <v>0</v>
      </c>
      <c r="HX91" s="405">
        <v>0</v>
      </c>
      <c r="HY91" s="405">
        <v>0</v>
      </c>
      <c r="HZ91" s="405">
        <v>0</v>
      </c>
      <c r="IA91" s="436">
        <f t="shared" si="660"/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M91" s="1266"/>
      <c r="IN91" s="1059">
        <f t="shared" si="680"/>
        <v>0</v>
      </c>
      <c r="IO91" s="1266"/>
      <c r="IP91" s="1060" t="str">
        <f t="shared" si="662"/>
        <v/>
      </c>
      <c r="IQ91" s="640" t="str">
        <f t="shared" si="663"/>
        <v>-</v>
      </c>
      <c r="IR91" s="344">
        <f t="shared" si="664"/>
        <v>0</v>
      </c>
      <c r="IS91" s="344">
        <f t="shared" si="665"/>
        <v>0</v>
      </c>
      <c r="IU91" s="320">
        <f t="shared" si="666"/>
        <v>0</v>
      </c>
    </row>
    <row r="92" spans="1:255" ht="15" customHeight="1" x14ac:dyDescent="0.2">
      <c r="A92" s="657" t="s">
        <v>321</v>
      </c>
      <c r="B92" s="405"/>
      <c r="C92" s="405"/>
      <c r="D92" s="405"/>
      <c r="E92" s="405"/>
      <c r="F92" s="405"/>
      <c r="G92" s="405"/>
      <c r="H92" s="405"/>
      <c r="I92" s="405"/>
      <c r="J92" s="405"/>
      <c r="K92" s="405"/>
      <c r="L92" s="405"/>
      <c r="M92" s="405"/>
      <c r="N92" s="405"/>
      <c r="O92" s="405"/>
      <c r="P92" s="405"/>
      <c r="Q92" s="405"/>
      <c r="R92" s="405"/>
      <c r="S92" s="405"/>
      <c r="T92" s="405"/>
      <c r="U92" s="405"/>
      <c r="V92" s="405"/>
      <c r="W92" s="405"/>
      <c r="X92" s="405"/>
      <c r="Y92" s="405"/>
      <c r="Z92" s="405"/>
      <c r="AA92" s="405"/>
      <c r="AB92" s="405"/>
      <c r="AC92" s="405"/>
      <c r="AD92" s="405"/>
      <c r="AE92" s="405"/>
      <c r="AF92" s="405"/>
      <c r="AG92" s="405"/>
      <c r="AH92" s="405"/>
      <c r="AI92" s="405"/>
      <c r="AJ92" s="405"/>
      <c r="AK92" s="405"/>
      <c r="AL92" s="405"/>
      <c r="AM92" s="405"/>
      <c r="AN92" s="405"/>
      <c r="AO92" s="405"/>
      <c r="AP92" s="405"/>
      <c r="AQ92" s="405"/>
      <c r="AR92" s="405"/>
      <c r="AS92" s="405"/>
      <c r="AT92" s="405"/>
      <c r="AU92" s="405"/>
      <c r="AV92" s="405"/>
      <c r="AW92" s="405"/>
      <c r="AX92" s="405"/>
      <c r="AY92" s="405"/>
      <c r="AZ92" s="405"/>
      <c r="BA92" s="657"/>
      <c r="BB92" s="460">
        <v>4061</v>
      </c>
      <c r="BC92" s="406">
        <v>7973</v>
      </c>
      <c r="BD92" s="406">
        <v>9637</v>
      </c>
      <c r="BE92" s="406">
        <v>7333</v>
      </c>
      <c r="BF92" s="406">
        <v>9070</v>
      </c>
      <c r="BG92" s="406">
        <v>8755</v>
      </c>
      <c r="BH92" s="406">
        <v>8112</v>
      </c>
      <c r="BI92" s="406">
        <v>9997</v>
      </c>
      <c r="BJ92" s="406">
        <v>9548</v>
      </c>
      <c r="BK92" s="406">
        <v>9670</v>
      </c>
      <c r="BL92" s="406">
        <v>10867</v>
      </c>
      <c r="BM92" s="406">
        <v>18583</v>
      </c>
      <c r="BN92" s="461">
        <f>SUM(BB92:BM92)</f>
        <v>113606</v>
      </c>
      <c r="BO92" s="406">
        <v>6624</v>
      </c>
      <c r="BP92" s="406">
        <v>6967</v>
      </c>
      <c r="BQ92" s="406">
        <v>10510</v>
      </c>
      <c r="BR92" s="406">
        <v>8903</v>
      </c>
      <c r="BS92" s="406">
        <v>8940</v>
      </c>
      <c r="BT92" s="406">
        <v>8866</v>
      </c>
      <c r="BU92" s="406">
        <v>9842</v>
      </c>
      <c r="BV92" s="406">
        <v>9811</v>
      </c>
      <c r="BW92" s="406">
        <v>9856</v>
      </c>
      <c r="BX92" s="406">
        <v>9529</v>
      </c>
      <c r="BY92" s="406">
        <v>9140</v>
      </c>
      <c r="BZ92" s="406">
        <v>11728</v>
      </c>
      <c r="CA92" s="461">
        <f t="shared" si="749"/>
        <v>110716</v>
      </c>
      <c r="CB92" s="406">
        <v>0</v>
      </c>
      <c r="CC92" s="406">
        <v>0</v>
      </c>
      <c r="CD92" s="406">
        <v>0</v>
      </c>
      <c r="CE92" s="406">
        <v>0</v>
      </c>
      <c r="CF92" s="406">
        <v>0</v>
      </c>
      <c r="CG92" s="406">
        <v>0</v>
      </c>
      <c r="CH92" s="406">
        <v>0</v>
      </c>
      <c r="CI92" s="406">
        <v>0</v>
      </c>
      <c r="CJ92" s="406">
        <v>0</v>
      </c>
      <c r="CK92" s="406">
        <v>0</v>
      </c>
      <c r="CL92" s="406">
        <v>0</v>
      </c>
      <c r="CM92" s="406">
        <v>0</v>
      </c>
      <c r="CN92" s="435">
        <f t="shared" si="750"/>
        <v>0</v>
      </c>
      <c r="CO92" s="436">
        <v>0</v>
      </c>
      <c r="CP92" s="405">
        <v>0</v>
      </c>
      <c r="CQ92" s="405">
        <v>0</v>
      </c>
      <c r="CR92" s="405">
        <v>0</v>
      </c>
      <c r="CS92" s="405">
        <v>0</v>
      </c>
      <c r="CT92" s="405">
        <v>0</v>
      </c>
      <c r="CU92" s="405">
        <v>0</v>
      </c>
      <c r="CV92" s="405">
        <v>0</v>
      </c>
      <c r="CW92" s="405">
        <v>0</v>
      </c>
      <c r="CX92" s="405">
        <v>0</v>
      </c>
      <c r="CY92" s="405">
        <v>0</v>
      </c>
      <c r="CZ92" s="405">
        <v>0</v>
      </c>
      <c r="DA92" s="435">
        <f t="shared" si="730"/>
        <v>0</v>
      </c>
      <c r="DB92" s="405">
        <v>0</v>
      </c>
      <c r="DC92" s="405">
        <v>0</v>
      </c>
      <c r="DD92" s="405">
        <v>0</v>
      </c>
      <c r="DE92" s="405">
        <v>0</v>
      </c>
      <c r="DF92" s="405">
        <v>0</v>
      </c>
      <c r="DG92" s="405">
        <v>0</v>
      </c>
      <c r="DH92" s="405">
        <v>0</v>
      </c>
      <c r="DI92" s="405">
        <v>0</v>
      </c>
      <c r="DJ92" s="405">
        <v>0</v>
      </c>
      <c r="DK92" s="405">
        <v>0</v>
      </c>
      <c r="DL92" s="405">
        <v>0</v>
      </c>
      <c r="DM92" s="405">
        <v>0</v>
      </c>
      <c r="DN92" s="436">
        <f t="shared" si="731"/>
        <v>0</v>
      </c>
      <c r="DO92" s="405">
        <v>8220</v>
      </c>
      <c r="DP92" s="405">
        <v>9632</v>
      </c>
      <c r="DQ92" s="405">
        <v>14895</v>
      </c>
      <c r="DR92" s="405">
        <v>10139</v>
      </c>
      <c r="DS92" s="405">
        <v>12369</v>
      </c>
      <c r="DT92" s="405">
        <v>15082</v>
      </c>
      <c r="DU92" s="405">
        <v>12970</v>
      </c>
      <c r="DV92" s="405">
        <v>12966</v>
      </c>
      <c r="DW92" s="405">
        <v>12891</v>
      </c>
      <c r="DX92" s="405">
        <v>13530</v>
      </c>
      <c r="DY92" s="405">
        <v>16448</v>
      </c>
      <c r="DZ92" s="405">
        <v>24938</v>
      </c>
      <c r="EA92" s="435">
        <f t="shared" si="732"/>
        <v>164080</v>
      </c>
      <c r="EB92" s="405">
        <v>9209</v>
      </c>
      <c r="EC92" s="405">
        <v>9731</v>
      </c>
      <c r="ED92" s="405">
        <v>16447</v>
      </c>
      <c r="EE92" s="405">
        <v>12745</v>
      </c>
      <c r="EF92" s="405">
        <v>15075</v>
      </c>
      <c r="EG92" s="405">
        <v>14615</v>
      </c>
      <c r="EH92" s="405">
        <v>13866</v>
      </c>
      <c r="EI92" s="405">
        <v>13707</v>
      </c>
      <c r="EJ92" s="405">
        <v>13168</v>
      </c>
      <c r="EK92" s="405">
        <v>14200</v>
      </c>
      <c r="EL92" s="405">
        <v>17428</v>
      </c>
      <c r="EM92" s="405">
        <v>21436</v>
      </c>
      <c r="EN92" s="435">
        <f>SUM(EB92:EM92)</f>
        <v>171627</v>
      </c>
      <c r="EO92" s="405">
        <f>+'GASTO G.L.'!EO11</f>
        <v>4031</v>
      </c>
      <c r="EP92" s="405">
        <f>+'GASTO G.L.'!EP11</f>
        <v>10385</v>
      </c>
      <c r="EQ92" s="405">
        <f>+'GASTO G.L.'!EQ11</f>
        <v>14901</v>
      </c>
      <c r="ER92" s="405">
        <f>+'GASTO G.L.'!ER11</f>
        <v>13650</v>
      </c>
      <c r="ES92" s="405">
        <f>+'GASTO G.L.'!ES11</f>
        <v>17731</v>
      </c>
      <c r="ET92" s="405">
        <f>+'GASTO G.L.'!ET11</f>
        <v>15831</v>
      </c>
      <c r="EU92" s="405">
        <f>+'GASTO G.L.'!EU11</f>
        <v>15855</v>
      </c>
      <c r="EV92" s="405">
        <f>+'GASTO G.L.'!EV11</f>
        <v>16743</v>
      </c>
      <c r="EW92" s="405">
        <f>+'GASTO G.L.'!EW11</f>
        <v>14614</v>
      </c>
      <c r="EX92" s="405">
        <f>+'GASTO G.L.'!EX11</f>
        <v>15966</v>
      </c>
      <c r="EY92" s="405">
        <f>+'GASTO G.L.'!EY11</f>
        <v>14375</v>
      </c>
      <c r="EZ92" s="405">
        <f>+'GASTO G.L.'!EZ11</f>
        <v>21319</v>
      </c>
      <c r="FA92" s="435">
        <f>SUM(EO92:EZ92)</f>
        <v>175401</v>
      </c>
      <c r="FB92" s="405">
        <f>+'GASTO G.L.'!FB11</f>
        <v>10252</v>
      </c>
      <c r="FC92" s="405">
        <f>+'GASTO G.L.'!FC11</f>
        <v>11863</v>
      </c>
      <c r="FD92" s="405">
        <f>+'GASTO G.L.'!FD11</f>
        <v>17877</v>
      </c>
      <c r="FE92" s="405">
        <f>+'GASTO G.L.'!FE11</f>
        <v>16602</v>
      </c>
      <c r="FF92" s="405">
        <f>+'GASTO G.L.'!FF11</f>
        <v>11743</v>
      </c>
      <c r="FG92" s="405">
        <f>+'GASTO G.L.'!FG11</f>
        <v>13629</v>
      </c>
      <c r="FH92" s="405">
        <f>+'GASTO G.L.'!FH11</f>
        <v>18292</v>
      </c>
      <c r="FI92" s="405">
        <f>+'GASTO G.L.'!FI11</f>
        <v>21907</v>
      </c>
      <c r="FJ92" s="405">
        <f>+'GASTO G.L.'!FJ11</f>
        <v>31947</v>
      </c>
      <c r="FK92" s="405">
        <f>+'GASTO G.L.'!FK11</f>
        <v>40591</v>
      </c>
      <c r="FL92" s="405">
        <f>+'GASTO G.L.'!FL11</f>
        <v>59007</v>
      </c>
      <c r="FM92" s="405">
        <f>+'GASTO G.L.'!FM11</f>
        <v>95042</v>
      </c>
      <c r="FN92" s="331">
        <f>SUM(FB92:FM92)</f>
        <v>348752</v>
      </c>
      <c r="FO92" s="405">
        <f>+'GASTO G.L.'!FO11</f>
        <v>8684</v>
      </c>
      <c r="FP92" s="405">
        <f>+'GASTO G.L.'!FP11</f>
        <v>17679</v>
      </c>
      <c r="FQ92" s="405">
        <f>+'GASTO G.L.'!FQ11</f>
        <v>33897</v>
      </c>
      <c r="FR92" s="405">
        <f>+'GASTO G.L.'!FR11</f>
        <v>17948</v>
      </c>
      <c r="FS92" s="405">
        <f>+'GASTO G.L.'!FS11</f>
        <v>26042</v>
      </c>
      <c r="FT92" s="405">
        <f>+'GASTO G.L.'!FT11</f>
        <v>28158</v>
      </c>
      <c r="FU92" s="405">
        <f>+'GASTO G.L.'!FU11</f>
        <v>29025</v>
      </c>
      <c r="FV92" s="405">
        <f>+'GASTO G.L.'!FV11</f>
        <v>26606</v>
      </c>
      <c r="FW92" s="405">
        <f>+'GASTO G.L.'!FW11</f>
        <v>24539</v>
      </c>
      <c r="FX92" s="405">
        <f>+'GASTO G.L.'!FX11</f>
        <v>25698</v>
      </c>
      <c r="FY92" s="405">
        <f>+'GASTO G.L.'!FY11</f>
        <v>28398</v>
      </c>
      <c r="FZ92" s="405">
        <f>+'GASTO G.L.'!FZ11</f>
        <v>53330</v>
      </c>
      <c r="GA92" s="435">
        <f t="shared" si="653"/>
        <v>320004</v>
      </c>
      <c r="GB92" s="405">
        <f>+'GASTO G.L.'!GB11</f>
        <v>11941</v>
      </c>
      <c r="GC92" s="405">
        <f>+'GASTO G.L.'!GC11</f>
        <v>16342</v>
      </c>
      <c r="GD92" s="405">
        <f>+'GASTO G.L.'!GD11</f>
        <v>29426</v>
      </c>
      <c r="GE92" s="405">
        <f>+'GASTO G.L.'!GE11</f>
        <v>23354</v>
      </c>
      <c r="GF92" s="405">
        <f>+'GASTO G.L.'!GF11</f>
        <v>27456</v>
      </c>
      <c r="GG92" s="405">
        <f>+'GASTO G.L.'!GG11</f>
        <v>26786</v>
      </c>
      <c r="GH92" s="405">
        <f>+'GASTO G.L.'!GH11</f>
        <v>36123</v>
      </c>
      <c r="GI92" s="405">
        <f>+'GASTO G.L.'!GI11</f>
        <v>28315</v>
      </c>
      <c r="GJ92" s="405">
        <f>+'GASTO G.L.'!GJ11</f>
        <v>20301</v>
      </c>
      <c r="GK92" s="405">
        <f>+'GASTO G.L.'!GK11</f>
        <v>22490</v>
      </c>
      <c r="GL92" s="405">
        <f>+'GASTO G.L.'!GL11</f>
        <v>24015</v>
      </c>
      <c r="GM92" s="405">
        <f>+'GASTO G.L.'!GM11</f>
        <v>39554</v>
      </c>
      <c r="GN92" s="435">
        <f t="shared" si="654"/>
        <v>306103</v>
      </c>
      <c r="GO92" s="436">
        <f>+'GASTO G.L.'!IQ11</f>
        <v>7.1893933480247529</v>
      </c>
      <c r="GP92" s="405">
        <f>+'GASTO G.L.'!IR11</f>
        <v>166537</v>
      </c>
      <c r="GQ92" s="405">
        <f>+'GASTO G.L.'!IS11</f>
        <v>178510</v>
      </c>
      <c r="GR92" s="405">
        <f>+'GASTO G.L.'!IT11</f>
        <v>0</v>
      </c>
      <c r="GS92" s="405">
        <f>+'GASTO G.L.'!IU11</f>
        <v>0</v>
      </c>
      <c r="GT92" s="405">
        <f>+'GASTO G.L.'!IV11</f>
        <v>0</v>
      </c>
      <c r="GU92" s="405">
        <f>+'GASTO G.L.'!IW11</f>
        <v>0</v>
      </c>
      <c r="GV92" s="405">
        <f>+'GASTO G.L.'!IX11</f>
        <v>0</v>
      </c>
      <c r="GW92" s="405">
        <f>+'GASTO G.L.'!IY11</f>
        <v>0</v>
      </c>
      <c r="GX92" s="405">
        <f>+'GASTO G.L.'!IZ11</f>
        <v>0</v>
      </c>
      <c r="GY92" s="405">
        <f>+'GASTO G.L.'!JA11</f>
        <v>0</v>
      </c>
      <c r="GZ92" s="437">
        <f>+'GASTO G.L.'!JB11</f>
        <v>0</v>
      </c>
      <c r="HA92" s="437">
        <f t="shared" si="656"/>
        <v>345054.18939334806</v>
      </c>
      <c r="HB92" s="436">
        <f>+'GASTO G.L.'!JC11</f>
        <v>0</v>
      </c>
      <c r="HC92" s="405">
        <f>+'GASTO G.L.'!JD11</f>
        <v>0</v>
      </c>
      <c r="HD92" s="405">
        <f>+'GASTO G.L.'!JE11</f>
        <v>0</v>
      </c>
      <c r="HE92" s="405">
        <f>+'GASTO G.L.'!JF11</f>
        <v>0</v>
      </c>
      <c r="HF92" s="405">
        <f>+'GASTO G.L.'!JG11</f>
        <v>0</v>
      </c>
      <c r="HG92" s="405">
        <f>+'GASTO G.L.'!JH11</f>
        <v>0</v>
      </c>
      <c r="HH92" s="405">
        <f>+'GASTO G.L.'!JI11</f>
        <v>0</v>
      </c>
      <c r="HI92" s="405">
        <f>+'GASTO G.L.'!JJ11</f>
        <v>0</v>
      </c>
      <c r="HJ92" s="405">
        <f>+'GASTO G.L.'!JK11</f>
        <v>0</v>
      </c>
      <c r="HK92" s="405">
        <f>+'GASTO G.L.'!JL11</f>
        <v>0</v>
      </c>
      <c r="HL92" s="405">
        <f>+'GASTO G.L.'!JM11</f>
        <v>0</v>
      </c>
      <c r="HM92" s="437">
        <f>+'GASTO G.L.'!JN11</f>
        <v>0</v>
      </c>
      <c r="HN92" s="437">
        <f t="shared" si="658"/>
        <v>0</v>
      </c>
      <c r="HO92" s="405">
        <v>0</v>
      </c>
      <c r="HP92" s="405">
        <v>0</v>
      </c>
      <c r="HQ92" s="405">
        <v>0</v>
      </c>
      <c r="HR92" s="405">
        <v>0</v>
      </c>
      <c r="HS92" s="405">
        <v>0</v>
      </c>
      <c r="HT92" s="405">
        <v>0</v>
      </c>
      <c r="HU92" s="405">
        <v>0</v>
      </c>
      <c r="HV92" s="405">
        <v>0</v>
      </c>
      <c r="HW92" s="405">
        <v>0</v>
      </c>
      <c r="HX92" s="405">
        <v>0</v>
      </c>
      <c r="HY92" s="405">
        <v>0</v>
      </c>
      <c r="HZ92" s="405">
        <v>0</v>
      </c>
      <c r="IA92" s="436">
        <f t="shared" si="660"/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M92" s="1266"/>
      <c r="IN92" s="1059">
        <f t="shared" si="680"/>
        <v>0</v>
      </c>
      <c r="IO92" s="1266"/>
      <c r="IP92" s="1060" t="str">
        <f t="shared" si="662"/>
        <v/>
      </c>
      <c r="IQ92" s="640" t="str">
        <f t="shared" si="663"/>
        <v>-</v>
      </c>
      <c r="IR92" s="344">
        <f t="shared" si="664"/>
        <v>0</v>
      </c>
      <c r="IS92" s="344">
        <f t="shared" si="665"/>
        <v>0</v>
      </c>
      <c r="IU92" s="320">
        <f t="shared" si="666"/>
        <v>0</v>
      </c>
    </row>
    <row r="93" spans="1:255" ht="15" customHeight="1" x14ac:dyDescent="0.2">
      <c r="A93" s="1023" t="s">
        <v>327</v>
      </c>
      <c r="B93" s="1024"/>
      <c r="C93" s="1024"/>
      <c r="D93" s="1024"/>
      <c r="E93" s="1024"/>
      <c r="F93" s="1024"/>
      <c r="G93" s="1024"/>
      <c r="H93" s="1024"/>
      <c r="I93" s="1024"/>
      <c r="J93" s="1024"/>
      <c r="K93" s="1024"/>
      <c r="L93" s="1024"/>
      <c r="M93" s="1024"/>
      <c r="N93" s="1024"/>
      <c r="O93" s="1024"/>
      <c r="P93" s="1024"/>
      <c r="Q93" s="1024"/>
      <c r="R93" s="1024"/>
      <c r="S93" s="1024"/>
      <c r="T93" s="1024"/>
      <c r="U93" s="1024"/>
      <c r="V93" s="1024"/>
      <c r="W93" s="1024"/>
      <c r="X93" s="1024"/>
      <c r="Y93" s="1024"/>
      <c r="Z93" s="1024"/>
      <c r="AA93" s="1024"/>
      <c r="AB93" s="1024"/>
      <c r="AC93" s="1024"/>
      <c r="AD93" s="1024"/>
      <c r="AE93" s="1024"/>
      <c r="AF93" s="1024"/>
      <c r="AG93" s="1024"/>
      <c r="AH93" s="1024"/>
      <c r="AI93" s="1024"/>
      <c r="AJ93" s="1024"/>
      <c r="AK93" s="1024"/>
      <c r="AL93" s="1024"/>
      <c r="AM93" s="1024"/>
      <c r="AN93" s="1024"/>
      <c r="AO93" s="1024"/>
      <c r="AP93" s="1024"/>
      <c r="AQ93" s="1024"/>
      <c r="AR93" s="1024"/>
      <c r="AS93" s="1024"/>
      <c r="AT93" s="1024"/>
      <c r="AU93" s="1024"/>
      <c r="AV93" s="1024"/>
      <c r="AW93" s="1024"/>
      <c r="AX93" s="1024"/>
      <c r="AY93" s="1024"/>
      <c r="AZ93" s="1024"/>
      <c r="BA93" s="1025"/>
      <c r="BB93" s="1026">
        <f t="shared" ref="BB93:BM93" si="751">+BB94+BB100+BB106</f>
        <v>51508.030617201701</v>
      </c>
      <c r="BC93" s="1026">
        <f t="shared" si="751"/>
        <v>46288.531910329832</v>
      </c>
      <c r="BD93" s="1026">
        <f t="shared" si="751"/>
        <v>56271.84204731624</v>
      </c>
      <c r="BE93" s="1026">
        <f t="shared" si="751"/>
        <v>45915.415706690823</v>
      </c>
      <c r="BF93" s="1026">
        <f t="shared" si="751"/>
        <v>68943.521698219163</v>
      </c>
      <c r="BG93" s="1026">
        <f t="shared" si="751"/>
        <v>52421.956843394997</v>
      </c>
      <c r="BH93" s="1026">
        <f t="shared" si="751"/>
        <v>56408.381414157004</v>
      </c>
      <c r="BI93" s="1026">
        <f t="shared" si="751"/>
        <v>61134.368412947908</v>
      </c>
      <c r="BJ93" s="1026">
        <f t="shared" si="751"/>
        <v>56300.740941985496</v>
      </c>
      <c r="BK93" s="1026">
        <f t="shared" si="751"/>
        <v>64542.343305469272</v>
      </c>
      <c r="BL93" s="1026">
        <f t="shared" si="751"/>
        <v>59684.281496735814</v>
      </c>
      <c r="BM93" s="1026">
        <f t="shared" si="751"/>
        <v>90715.323424524104</v>
      </c>
      <c r="BN93" s="1027">
        <f>SUM(BB93:BM93)</f>
        <v>710134.73781897244</v>
      </c>
      <c r="BO93" s="1026">
        <f t="shared" ref="BO93:BZ93" si="752">+BO94+BO100+BO106</f>
        <v>59102.218625623165</v>
      </c>
      <c r="BP93" s="1026">
        <f t="shared" si="752"/>
        <v>85556.566991141517</v>
      </c>
      <c r="BQ93" s="1026">
        <f t="shared" si="752"/>
        <v>69621.504546484794</v>
      </c>
      <c r="BR93" s="1026">
        <f t="shared" si="752"/>
        <v>75327.481280939144</v>
      </c>
      <c r="BS93" s="1026">
        <f t="shared" si="752"/>
        <v>81576.516341872266</v>
      </c>
      <c r="BT93" s="1026">
        <f t="shared" si="752"/>
        <v>71060.41198065276</v>
      </c>
      <c r="BU93" s="1026">
        <f t="shared" si="752"/>
        <v>69879.956865048953</v>
      </c>
      <c r="BV93" s="1026">
        <f t="shared" si="752"/>
        <v>80506.389773642324</v>
      </c>
      <c r="BW93" s="1026">
        <f t="shared" si="752"/>
        <v>79841.614437993339</v>
      </c>
      <c r="BX93" s="1026">
        <f t="shared" si="752"/>
        <v>79127.241736957643</v>
      </c>
      <c r="BY93" s="1026">
        <f t="shared" si="752"/>
        <v>88053.674658746138</v>
      </c>
      <c r="BZ93" s="1026">
        <f t="shared" si="752"/>
        <v>120770.64380462114</v>
      </c>
      <c r="CA93" s="356">
        <f t="shared" si="749"/>
        <v>960424.22104372329</v>
      </c>
      <c r="CB93" s="1026">
        <f t="shared" ref="CB93:CM93" si="753">+CB94+CB100+CB106</f>
        <v>34532.424888887777</v>
      </c>
      <c r="CC93" s="1026">
        <f t="shared" si="753"/>
        <v>34980.025177325355</v>
      </c>
      <c r="CD93" s="1026">
        <f t="shared" si="753"/>
        <v>33131.886607404194</v>
      </c>
      <c r="CE93" s="1026">
        <f t="shared" si="753"/>
        <v>34645.883684458568</v>
      </c>
      <c r="CF93" s="1026">
        <f t="shared" si="753"/>
        <v>37135.905178676039</v>
      </c>
      <c r="CG93" s="1026">
        <f t="shared" si="753"/>
        <v>37796.717538503188</v>
      </c>
      <c r="CH93" s="1026">
        <f t="shared" si="753"/>
        <v>59988.131741274723</v>
      </c>
      <c r="CI93" s="1026">
        <f t="shared" si="753"/>
        <v>35760.522045261379</v>
      </c>
      <c r="CJ93" s="1026">
        <f t="shared" si="753"/>
        <v>42339.294730348578</v>
      </c>
      <c r="CK93" s="1026">
        <f t="shared" si="753"/>
        <v>38335.939756698674</v>
      </c>
      <c r="CL93" s="1026">
        <f t="shared" si="753"/>
        <v>54634.881542298812</v>
      </c>
      <c r="CM93" s="1026">
        <f t="shared" si="753"/>
        <v>64868.069743696477</v>
      </c>
      <c r="CN93" s="1026">
        <f t="shared" si="750"/>
        <v>508149.68263483379</v>
      </c>
      <c r="CO93" s="1026">
        <f t="shared" ref="CO93:CZ93" si="754">+CO94+CO100+CO106</f>
        <v>33373.514178497426</v>
      </c>
      <c r="CP93" s="1026">
        <f t="shared" si="754"/>
        <v>35232.814038364522</v>
      </c>
      <c r="CQ93" s="1026">
        <f t="shared" si="754"/>
        <v>33474.693775401051</v>
      </c>
      <c r="CR93" s="1026">
        <f t="shared" si="754"/>
        <v>40356.218985663734</v>
      </c>
      <c r="CS93" s="1026">
        <f t="shared" si="754"/>
        <v>39892.947922275147</v>
      </c>
      <c r="CT93" s="1026">
        <f t="shared" si="754"/>
        <v>50927.932288832315</v>
      </c>
      <c r="CU93" s="1026">
        <f t="shared" si="754"/>
        <v>47494.791987171426</v>
      </c>
      <c r="CV93" s="1026">
        <f t="shared" si="754"/>
        <v>63353.888246967719</v>
      </c>
      <c r="CW93" s="1026">
        <f t="shared" si="754"/>
        <v>45238.80036442291</v>
      </c>
      <c r="CX93" s="1026">
        <f t="shared" si="754"/>
        <v>47061.710719215262</v>
      </c>
      <c r="CY93" s="1026">
        <f t="shared" si="754"/>
        <v>63692.610786318488</v>
      </c>
      <c r="CZ93" s="1026">
        <f t="shared" si="754"/>
        <v>74990.42414351656</v>
      </c>
      <c r="DA93" s="1026">
        <f t="shared" si="730"/>
        <v>575090.34743664647</v>
      </c>
      <c r="DB93" s="1026">
        <f t="shared" ref="DB93:DM93" si="755">+DB94+DB100+DB106</f>
        <v>36811.285932268234</v>
      </c>
      <c r="DC93" s="1026">
        <f t="shared" si="755"/>
        <v>36405.696442231063</v>
      </c>
      <c r="DD93" s="1026">
        <f t="shared" si="755"/>
        <v>44344.273053665645</v>
      </c>
      <c r="DE93" s="1026">
        <f t="shared" si="755"/>
        <v>44270.865356654947</v>
      </c>
      <c r="DF93" s="1026">
        <f t="shared" si="755"/>
        <v>44355.992010318645</v>
      </c>
      <c r="DG93" s="1026">
        <f t="shared" si="755"/>
        <v>44012.055835932879</v>
      </c>
      <c r="DH93" s="1026">
        <f t="shared" si="755"/>
        <v>51673.961991907898</v>
      </c>
      <c r="DI93" s="1026">
        <f t="shared" si="755"/>
        <v>47707.298130855997</v>
      </c>
      <c r="DJ93" s="1026">
        <f t="shared" si="755"/>
        <v>48016.910374055864</v>
      </c>
      <c r="DK93" s="1026">
        <f t="shared" si="755"/>
        <v>44620.527694035591</v>
      </c>
      <c r="DL93" s="1026">
        <f t="shared" si="755"/>
        <v>50447.396026839502</v>
      </c>
      <c r="DM93" s="1026">
        <f t="shared" si="755"/>
        <v>89430.345574755338</v>
      </c>
      <c r="DN93" s="1026">
        <f t="shared" si="731"/>
        <v>582096.60842352163</v>
      </c>
      <c r="DO93" s="1026">
        <f t="shared" ref="DO93:DZ93" si="756">+DO94+DO100+DO106</f>
        <v>68767.072426273182</v>
      </c>
      <c r="DP93" s="1026">
        <f t="shared" si="756"/>
        <v>83934.381295160318</v>
      </c>
      <c r="DQ93" s="1026">
        <f t="shared" si="756"/>
        <v>104142.63705777771</v>
      </c>
      <c r="DR93" s="1026">
        <f t="shared" si="756"/>
        <v>110858.9741831721</v>
      </c>
      <c r="DS93" s="1026">
        <f t="shared" si="756"/>
        <v>103842.67225225948</v>
      </c>
      <c r="DT93" s="1026">
        <f t="shared" si="756"/>
        <v>112065.28600032574</v>
      </c>
      <c r="DU93" s="1026">
        <f t="shared" si="756"/>
        <v>112416.66035658974</v>
      </c>
      <c r="DV93" s="1026">
        <f t="shared" si="756"/>
        <v>102815.82898552847</v>
      </c>
      <c r="DW93" s="1026">
        <f t="shared" si="756"/>
        <v>88045.321713830417</v>
      </c>
      <c r="DX93" s="1026">
        <f t="shared" si="756"/>
        <v>111306.22692441716</v>
      </c>
      <c r="DY93" s="1026">
        <f t="shared" si="756"/>
        <v>112720.22680477853</v>
      </c>
      <c r="DZ93" s="1026">
        <f t="shared" si="756"/>
        <v>182816.39519806567</v>
      </c>
      <c r="EA93" s="1026">
        <f t="shared" si="732"/>
        <v>1293731.6831981787</v>
      </c>
      <c r="EB93" s="1026">
        <f t="shared" ref="EB93:EM93" si="757">+EB94+EB100+EB106</f>
        <v>98523.279105676876</v>
      </c>
      <c r="EC93" s="1026">
        <f t="shared" si="757"/>
        <v>100108.89081450072</v>
      </c>
      <c r="ED93" s="1026">
        <f t="shared" si="757"/>
        <v>93104.673936815932</v>
      </c>
      <c r="EE93" s="1026">
        <f t="shared" si="757"/>
        <v>133960.82422032804</v>
      </c>
      <c r="EF93" s="1026">
        <f t="shared" si="757"/>
        <v>96632.729875740886</v>
      </c>
      <c r="EG93" s="1026">
        <f t="shared" si="757"/>
        <v>120686.82517931818</v>
      </c>
      <c r="EH93" s="1026">
        <f t="shared" si="757"/>
        <v>136531.47573313152</v>
      </c>
      <c r="EI93" s="1026">
        <f t="shared" si="757"/>
        <v>112398.49231470926</v>
      </c>
      <c r="EJ93" s="1026">
        <f t="shared" si="757"/>
        <v>106453.13941878485</v>
      </c>
      <c r="EK93" s="1026">
        <f t="shared" si="757"/>
        <v>130504.35643586595</v>
      </c>
      <c r="EL93" s="1026">
        <f t="shared" si="757"/>
        <v>108955.10984222226</v>
      </c>
      <c r="EM93" s="1026">
        <f t="shared" si="757"/>
        <v>227647.09068650415</v>
      </c>
      <c r="EN93" s="1026">
        <f t="shared" si="733"/>
        <v>1465506.8875635983</v>
      </c>
      <c r="EO93" s="1026">
        <f t="shared" ref="EO93:EZ93" si="758">+EO94+EO100+EO106</f>
        <v>109603.72445563285</v>
      </c>
      <c r="EP93" s="1026">
        <f t="shared" si="758"/>
        <v>88048.946543517828</v>
      </c>
      <c r="EQ93" s="1026">
        <f t="shared" si="758"/>
        <v>94753.300288611266</v>
      </c>
      <c r="ER93" s="1026">
        <f t="shared" si="758"/>
        <v>121465.03501484994</v>
      </c>
      <c r="ES93" s="1026">
        <f>+ES94+ES100+ES106</f>
        <v>107232.94400515813</v>
      </c>
      <c r="ET93" s="1026">
        <f t="shared" si="758"/>
        <v>130053.24714195769</v>
      </c>
      <c r="EU93" s="1026">
        <f t="shared" si="758"/>
        <v>143902.34251085247</v>
      </c>
      <c r="EV93" s="1026">
        <f t="shared" si="758"/>
        <v>144241.29175630579</v>
      </c>
      <c r="EW93" s="1026">
        <f t="shared" si="758"/>
        <v>109303.43379026483</v>
      </c>
      <c r="EX93" s="1026">
        <f t="shared" si="758"/>
        <v>135451.7474510246</v>
      </c>
      <c r="EY93" s="1026">
        <f t="shared" si="758"/>
        <v>135681.89111033938</v>
      </c>
      <c r="EZ93" s="1026">
        <f t="shared" si="758"/>
        <v>190317.94024946011</v>
      </c>
      <c r="FA93" s="617">
        <f t="shared" si="734"/>
        <v>1510055.844317975</v>
      </c>
      <c r="FB93" s="1026">
        <f t="shared" ref="FB93:FM93" si="759">+FB94+FB100+FB106</f>
        <v>100446.46639368146</v>
      </c>
      <c r="FC93" s="1026">
        <f t="shared" si="759"/>
        <v>112658.95043305996</v>
      </c>
      <c r="FD93" s="1026">
        <f t="shared" si="759"/>
        <v>135856.00848058955</v>
      </c>
      <c r="FE93" s="1026">
        <f t="shared" si="759"/>
        <v>178285.19355698526</v>
      </c>
      <c r="FF93" s="1026">
        <f t="shared" si="759"/>
        <v>149271.68502885327</v>
      </c>
      <c r="FG93" s="1026">
        <f t="shared" si="759"/>
        <v>107259.80279103191</v>
      </c>
      <c r="FH93" s="1026">
        <f t="shared" si="759"/>
        <v>151108.37359001077</v>
      </c>
      <c r="FI93" s="1026">
        <f t="shared" si="759"/>
        <v>182292.10226052286</v>
      </c>
      <c r="FJ93" s="1026">
        <f t="shared" si="759"/>
        <v>129102.14665672241</v>
      </c>
      <c r="FK93" s="1026">
        <f t="shared" si="759"/>
        <v>255944.83107415901</v>
      </c>
      <c r="FL93" s="1026">
        <f t="shared" si="759"/>
        <v>201910.32357933378</v>
      </c>
      <c r="FM93" s="1026">
        <f t="shared" si="759"/>
        <v>330842.26547468826</v>
      </c>
      <c r="FN93" s="617">
        <f t="shared" si="735"/>
        <v>2034978.1493196385</v>
      </c>
      <c r="FO93" s="1026">
        <f t="shared" ref="FO93:GM93" si="760">+FO94+FO100+FO106</f>
        <v>98716.379975578457</v>
      </c>
      <c r="FP93" s="1026">
        <f t="shared" si="760"/>
        <v>135672.09725285252</v>
      </c>
      <c r="FQ93" s="1026">
        <f t="shared" si="760"/>
        <v>134995.36631328979</v>
      </c>
      <c r="FR93" s="1026">
        <f t="shared" si="760"/>
        <v>161630.0057002604</v>
      </c>
      <c r="FS93" s="1026">
        <f t="shared" si="760"/>
        <v>135844.14147109038</v>
      </c>
      <c r="FT93" s="1026">
        <f t="shared" si="760"/>
        <v>142115.90412694655</v>
      </c>
      <c r="FU93" s="1026">
        <f t="shared" si="760"/>
        <v>156799.2614007782</v>
      </c>
      <c r="FV93" s="1026">
        <f t="shared" si="760"/>
        <v>128602.02263887091</v>
      </c>
      <c r="FW93" s="1026">
        <f t="shared" si="760"/>
        <v>186274.00968426108</v>
      </c>
      <c r="FX93" s="1026">
        <f t="shared" si="760"/>
        <v>153373.22900837215</v>
      </c>
      <c r="FY93" s="1026">
        <f t="shared" si="760"/>
        <v>159198.06291716031</v>
      </c>
      <c r="FZ93" s="618">
        <f t="shared" si="760"/>
        <v>423534.1509751493</v>
      </c>
      <c r="GA93" s="618">
        <f t="shared" si="653"/>
        <v>2016754.6314646103</v>
      </c>
      <c r="GB93" s="619">
        <f t="shared" si="760"/>
        <v>111437.5980968381</v>
      </c>
      <c r="GC93" s="1026">
        <f t="shared" si="760"/>
        <v>116089.71577965346</v>
      </c>
      <c r="GD93" s="1026">
        <f t="shared" si="760"/>
        <v>147895.76777476247</v>
      </c>
      <c r="GE93" s="1026">
        <f t="shared" si="760"/>
        <v>134622.54271354451</v>
      </c>
      <c r="GF93" s="1026">
        <f t="shared" si="760"/>
        <v>147984.81809503</v>
      </c>
      <c r="GG93" s="1026">
        <f t="shared" si="760"/>
        <v>140521.61230129341</v>
      </c>
      <c r="GH93" s="1026">
        <f t="shared" si="760"/>
        <v>160847.39059606119</v>
      </c>
      <c r="GI93" s="1026">
        <f t="shared" si="760"/>
        <v>215605.461360999</v>
      </c>
      <c r="GJ93" s="1026">
        <f t="shared" si="760"/>
        <v>122745.35907942375</v>
      </c>
      <c r="GK93" s="1026">
        <f t="shared" si="760"/>
        <v>191919.11325215129</v>
      </c>
      <c r="GL93" s="1028">
        <f t="shared" si="760"/>
        <v>146502.66062877834</v>
      </c>
      <c r="GM93" s="620">
        <f t="shared" si="760"/>
        <v>288574.92944764777</v>
      </c>
      <c r="GN93" s="617">
        <f t="shared" si="654"/>
        <v>1924746.9691261835</v>
      </c>
      <c r="GO93" s="619">
        <f>+GO94+GO100+GO106</f>
        <v>116859.81521503266</v>
      </c>
      <c r="GP93" s="1026">
        <f t="shared" ref="GP93:GZ93" si="761">+GP94+GP100+GP106</f>
        <v>299039.38672730105</v>
      </c>
      <c r="GQ93" s="1026">
        <f t="shared" si="761"/>
        <v>284536.78720621695</v>
      </c>
      <c r="GR93" s="1026">
        <f t="shared" si="761"/>
        <v>120146.29349599333</v>
      </c>
      <c r="GS93" s="1026">
        <f t="shared" si="761"/>
        <v>120096.45747048249</v>
      </c>
      <c r="GT93" s="1026">
        <f t="shared" si="761"/>
        <v>121244.53446115644</v>
      </c>
      <c r="GU93" s="1026">
        <f t="shared" si="761"/>
        <v>152322.96274066536</v>
      </c>
      <c r="GV93" s="1026">
        <f t="shared" si="761"/>
        <v>132336.88246489986</v>
      </c>
      <c r="GW93" s="1026">
        <f t="shared" si="761"/>
        <v>106163.75029415842</v>
      </c>
      <c r="GX93" s="1026">
        <f t="shared" si="761"/>
        <v>128845.69741955849</v>
      </c>
      <c r="GY93" s="1026">
        <f t="shared" si="761"/>
        <v>155241.36930692574</v>
      </c>
      <c r="GZ93" s="618">
        <f t="shared" si="761"/>
        <v>171420.52374610974</v>
      </c>
      <c r="HA93" s="618">
        <f t="shared" si="656"/>
        <v>1908254.4605485005</v>
      </c>
      <c r="HB93" s="619">
        <f t="shared" ref="HB93:HM93" si="762">+HB94+HB100+HB106</f>
        <v>114002.76934331945</v>
      </c>
      <c r="HC93" s="1026">
        <f t="shared" si="762"/>
        <v>213471.1248621917</v>
      </c>
      <c r="HD93" s="1026">
        <f t="shared" si="762"/>
        <v>101201.69152969611</v>
      </c>
      <c r="HE93" s="1026">
        <f t="shared" si="762"/>
        <v>135624.942650738</v>
      </c>
      <c r="HF93" s="1026">
        <f t="shared" si="762"/>
        <v>139447.88893862348</v>
      </c>
      <c r="HG93" s="1026">
        <f t="shared" si="762"/>
        <v>121654.51290228861</v>
      </c>
      <c r="HH93" s="1026">
        <f t="shared" si="762"/>
        <v>127776.27644494676</v>
      </c>
      <c r="HI93" s="1026">
        <f t="shared" si="762"/>
        <v>177233.84499815406</v>
      </c>
      <c r="HJ93" s="1026">
        <f t="shared" si="762"/>
        <v>123874.76836050994</v>
      </c>
      <c r="HK93" s="1026">
        <f t="shared" si="762"/>
        <v>131833.12683805238</v>
      </c>
      <c r="HL93" s="1026">
        <f t="shared" si="762"/>
        <v>172631.74011791221</v>
      </c>
      <c r="HM93" s="618">
        <f t="shared" si="762"/>
        <v>192368.57433363405</v>
      </c>
      <c r="HN93" s="618">
        <f t="shared" si="658"/>
        <v>1751121.2613200666</v>
      </c>
      <c r="HO93" s="1026">
        <f t="shared" ref="HO93:HZ93" si="763">+HO94+HO100+HO106</f>
        <v>120877.51575652488</v>
      </c>
      <c r="HP93" s="1026">
        <f t="shared" si="763"/>
        <v>158610.49878309941</v>
      </c>
      <c r="HQ93" s="1026">
        <f t="shared" si="763"/>
        <v>128422.54035754382</v>
      </c>
      <c r="HR93" s="1026">
        <f t="shared" si="763"/>
        <v>123349.6670439094</v>
      </c>
      <c r="HS93" s="1026">
        <f t="shared" si="763"/>
        <v>160157.74083867355</v>
      </c>
      <c r="HT93" s="1026">
        <f t="shared" si="763"/>
        <v>148131.38730210502</v>
      </c>
      <c r="HU93" s="1026">
        <f t="shared" si="763"/>
        <v>141450.44820109286</v>
      </c>
      <c r="HV93" s="1026">
        <f t="shared" si="763"/>
        <v>149120.95460149512</v>
      </c>
      <c r="HW93" s="1026">
        <f t="shared" si="763"/>
        <v>131742.49998452532</v>
      </c>
      <c r="HX93" s="1026">
        <f t="shared" si="763"/>
        <v>138484.39087825923</v>
      </c>
      <c r="HY93" s="1026">
        <f t="shared" si="763"/>
        <v>147011.70801560287</v>
      </c>
      <c r="HZ93" s="1026">
        <f t="shared" si="763"/>
        <v>191006.87555165391</v>
      </c>
      <c r="IA93" s="619">
        <f t="shared" si="660"/>
        <v>1738366.2273144852</v>
      </c>
      <c r="IB93" s="1560">
        <f t="shared" ref="IB93" si="764">+IB94+IB100+IB106</f>
        <v>166004.64901036429</v>
      </c>
      <c r="IC93" s="1561">
        <f t="shared" ref="IC93:IG93" si="765">+IC94+IC100+IC106</f>
        <v>135532.82353851444</v>
      </c>
      <c r="ID93" s="1561">
        <f t="shared" si="765"/>
        <v>130995.87657686675</v>
      </c>
      <c r="IE93" s="1561">
        <f t="shared" si="765"/>
        <v>134692.82381677162</v>
      </c>
      <c r="IF93" s="1561">
        <f t="shared" si="765"/>
        <v>146250.96479264053</v>
      </c>
      <c r="IG93" s="1561">
        <f t="shared" si="765"/>
        <v>152291.6554942808</v>
      </c>
      <c r="IH93" s="1561">
        <f t="shared" ref="IH93" si="766">+IH94+IH100+IH106</f>
        <v>149102.34058307763</v>
      </c>
      <c r="II93" s="1561">
        <f t="shared" ref="II93" si="767">+II94+II100+II106</f>
        <v>152996.93311029742</v>
      </c>
      <c r="IJ93" s="1561"/>
      <c r="IK93" s="1561"/>
      <c r="IL93" s="1561"/>
      <c r="IM93" s="1562"/>
      <c r="IN93" s="1388">
        <f t="shared" si="680"/>
        <v>1167868.0669228134</v>
      </c>
      <c r="IO93" s="1266"/>
      <c r="IP93" s="1060">
        <f t="shared" si="662"/>
        <v>2.5992178759586926</v>
      </c>
      <c r="IQ93" s="1029">
        <f t="shared" si="663"/>
        <v>3.3401133411651518</v>
      </c>
      <c r="IR93" s="658">
        <f t="shared" si="664"/>
        <v>1130120.7528844441</v>
      </c>
      <c r="IS93" s="658">
        <f t="shared" si="665"/>
        <v>1167868.0669228134</v>
      </c>
    </row>
    <row r="94" spans="1:255" ht="15" customHeight="1" x14ac:dyDescent="0.2">
      <c r="A94" s="648" t="s">
        <v>316</v>
      </c>
      <c r="BA94" s="648"/>
      <c r="BB94" s="1030">
        <f t="shared" ref="BB94:BM94" si="768">+BB95+BB99</f>
        <v>26138.40492101077</v>
      </c>
      <c r="BC94" s="1030">
        <f t="shared" si="768"/>
        <v>24621.203759025862</v>
      </c>
      <c r="BD94" s="1030">
        <f t="shared" si="768"/>
        <v>27021.690708430338</v>
      </c>
      <c r="BE94" s="1030">
        <f t="shared" si="768"/>
        <v>25970.372117201525</v>
      </c>
      <c r="BF94" s="1030">
        <f t="shared" si="768"/>
        <v>28339.369849669503</v>
      </c>
      <c r="BG94" s="1030">
        <f t="shared" si="768"/>
        <v>26489.653668977589</v>
      </c>
      <c r="BH94" s="1030">
        <f t="shared" si="768"/>
        <v>30720.758228019145</v>
      </c>
      <c r="BI94" s="1030">
        <f t="shared" si="768"/>
        <v>28175.719225581437</v>
      </c>
      <c r="BJ94" s="1030">
        <f t="shared" si="768"/>
        <v>28351.795367856706</v>
      </c>
      <c r="BK94" s="1030">
        <f t="shared" si="768"/>
        <v>30588.91410453447</v>
      </c>
      <c r="BL94" s="1030">
        <f t="shared" si="768"/>
        <v>31242.77556703204</v>
      </c>
      <c r="BM94" s="1030">
        <f t="shared" si="768"/>
        <v>47152.8597540521</v>
      </c>
      <c r="BN94" s="649">
        <f>SUM(BB94:BM94)</f>
        <v>354813.51727139147</v>
      </c>
      <c r="BO94" s="1030">
        <f t="shared" ref="BO94:BZ94" si="769">SUM(BO95:BO99)</f>
        <v>30700.167646297436</v>
      </c>
      <c r="BP94" s="1030">
        <f t="shared" si="769"/>
        <v>32314.118157127072</v>
      </c>
      <c r="BQ94" s="1030">
        <f t="shared" si="769"/>
        <v>32399.182928146533</v>
      </c>
      <c r="BR94" s="1030">
        <f t="shared" si="769"/>
        <v>33889.832170689013</v>
      </c>
      <c r="BS94" s="1030">
        <f t="shared" si="769"/>
        <v>34257.10098158379</v>
      </c>
      <c r="BT94" s="1030">
        <f t="shared" si="769"/>
        <v>38384.167549015816</v>
      </c>
      <c r="BU94" s="1030">
        <f t="shared" si="769"/>
        <v>37016.716020316315</v>
      </c>
      <c r="BV94" s="1030">
        <f t="shared" si="769"/>
        <v>35341.758551168321</v>
      </c>
      <c r="BW94" s="1030">
        <f t="shared" si="769"/>
        <v>35822.977102562065</v>
      </c>
      <c r="BX94" s="1030">
        <f t="shared" si="769"/>
        <v>32730.479018321497</v>
      </c>
      <c r="BY94" s="1030">
        <f t="shared" si="769"/>
        <v>39542.263720034818</v>
      </c>
      <c r="BZ94" s="1030">
        <f t="shared" si="769"/>
        <v>60071.432687569497</v>
      </c>
      <c r="CA94" s="344">
        <f t="shared" si="749"/>
        <v>442470.19653283223</v>
      </c>
      <c r="CB94" s="1030">
        <f t="shared" ref="CB94:CM94" si="770">SUM(CB95:CB99)</f>
        <v>34532.424888887777</v>
      </c>
      <c r="CC94" s="1030">
        <f t="shared" si="770"/>
        <v>34980.025177325355</v>
      </c>
      <c r="CD94" s="1030">
        <f t="shared" si="770"/>
        <v>33131.886607404194</v>
      </c>
      <c r="CE94" s="1030">
        <f t="shared" si="770"/>
        <v>34645.883684458568</v>
      </c>
      <c r="CF94" s="1030">
        <f t="shared" si="770"/>
        <v>37135.905178676039</v>
      </c>
      <c r="CG94" s="1030">
        <f t="shared" si="770"/>
        <v>37796.717538503188</v>
      </c>
      <c r="CH94" s="1030">
        <f t="shared" si="770"/>
        <v>59988.131741274723</v>
      </c>
      <c r="CI94" s="1030">
        <f t="shared" si="770"/>
        <v>35760.522045261379</v>
      </c>
      <c r="CJ94" s="1030">
        <f t="shared" si="770"/>
        <v>42339.294730348578</v>
      </c>
      <c r="CK94" s="1030">
        <f t="shared" si="770"/>
        <v>38335.939756698674</v>
      </c>
      <c r="CL94" s="1030">
        <f t="shared" si="770"/>
        <v>54634.881542298812</v>
      </c>
      <c r="CM94" s="1030">
        <f t="shared" si="770"/>
        <v>64868.069743696477</v>
      </c>
      <c r="CN94" s="621">
        <f t="shared" si="750"/>
        <v>508149.68263483379</v>
      </c>
      <c r="CO94" s="622">
        <f t="shared" ref="CO94:CZ94" si="771">SUM(CO95:CO99)</f>
        <v>33373.514178497426</v>
      </c>
      <c r="CP94" s="1030">
        <f t="shared" si="771"/>
        <v>35232.814038364522</v>
      </c>
      <c r="CQ94" s="1030">
        <f t="shared" si="771"/>
        <v>33474.693775401051</v>
      </c>
      <c r="CR94" s="1030">
        <f t="shared" si="771"/>
        <v>40356.218985663734</v>
      </c>
      <c r="CS94" s="1030">
        <f t="shared" si="771"/>
        <v>39892.947922275147</v>
      </c>
      <c r="CT94" s="1030">
        <f t="shared" si="771"/>
        <v>50927.932288832315</v>
      </c>
      <c r="CU94" s="1030">
        <f t="shared" si="771"/>
        <v>47494.791987171426</v>
      </c>
      <c r="CV94" s="1030">
        <f t="shared" si="771"/>
        <v>63353.888246967719</v>
      </c>
      <c r="CW94" s="1030">
        <f t="shared" si="771"/>
        <v>45238.80036442291</v>
      </c>
      <c r="CX94" s="1030">
        <f t="shared" si="771"/>
        <v>47061.710719215262</v>
      </c>
      <c r="CY94" s="1030">
        <f t="shared" si="771"/>
        <v>63692.610786318488</v>
      </c>
      <c r="CZ94" s="1030">
        <f t="shared" si="771"/>
        <v>74990.42414351656</v>
      </c>
      <c r="DA94" s="621">
        <f t="shared" si="730"/>
        <v>575090.34743664647</v>
      </c>
      <c r="DB94" s="1030">
        <f t="shared" ref="DB94:DM94" si="772">SUM(DB95:DB99)</f>
        <v>36811.285932268234</v>
      </c>
      <c r="DC94" s="1030">
        <f t="shared" si="772"/>
        <v>36405.696442231063</v>
      </c>
      <c r="DD94" s="1030">
        <f t="shared" si="772"/>
        <v>44344.273053665645</v>
      </c>
      <c r="DE94" s="1030">
        <f t="shared" si="772"/>
        <v>44270.865356654947</v>
      </c>
      <c r="DF94" s="1030">
        <f t="shared" si="772"/>
        <v>44355.992010318645</v>
      </c>
      <c r="DG94" s="1030">
        <f t="shared" si="772"/>
        <v>44012.055835932879</v>
      </c>
      <c r="DH94" s="1030">
        <f t="shared" si="772"/>
        <v>51673.961991907898</v>
      </c>
      <c r="DI94" s="1030">
        <f t="shared" si="772"/>
        <v>47707.298130855997</v>
      </c>
      <c r="DJ94" s="1030">
        <f t="shared" si="772"/>
        <v>48016.910374055864</v>
      </c>
      <c r="DK94" s="1030">
        <f t="shared" si="772"/>
        <v>44620.527694035591</v>
      </c>
      <c r="DL94" s="1030">
        <f t="shared" si="772"/>
        <v>50447.396026839502</v>
      </c>
      <c r="DM94" s="1030">
        <f t="shared" si="772"/>
        <v>89430.345574755338</v>
      </c>
      <c r="DN94" s="622">
        <f t="shared" si="731"/>
        <v>582096.60842352163</v>
      </c>
      <c r="DO94" s="622">
        <f t="shared" ref="DO94:DZ94" si="773">SUM(DO95:DO99)</f>
        <v>39409.263768467928</v>
      </c>
      <c r="DP94" s="1030">
        <f t="shared" si="773"/>
        <v>38944.537943165262</v>
      </c>
      <c r="DQ94" s="1030">
        <f t="shared" si="773"/>
        <v>42276.794525721765</v>
      </c>
      <c r="DR94" s="1030">
        <f t="shared" si="773"/>
        <v>46864.983205655619</v>
      </c>
      <c r="DS94" s="1030">
        <f t="shared" si="773"/>
        <v>48042.540403442952</v>
      </c>
      <c r="DT94" s="1030">
        <f t="shared" si="773"/>
        <v>52424.493026625642</v>
      </c>
      <c r="DU94" s="1030">
        <f t="shared" si="773"/>
        <v>54510.370357426218</v>
      </c>
      <c r="DV94" s="1030">
        <f t="shared" si="773"/>
        <v>50079.830867756515</v>
      </c>
      <c r="DW94" s="1030">
        <f t="shared" si="773"/>
        <v>48692.185116186338</v>
      </c>
      <c r="DX94" s="1030">
        <f t="shared" si="773"/>
        <v>51828.064275281366</v>
      </c>
      <c r="DY94" s="1030">
        <f t="shared" si="773"/>
        <v>66715.404286684658</v>
      </c>
      <c r="DZ94" s="1030">
        <f t="shared" si="773"/>
        <v>96419.609786748828</v>
      </c>
      <c r="EA94" s="622">
        <f t="shared" si="732"/>
        <v>636208.07756316313</v>
      </c>
      <c r="EB94" s="622">
        <f t="shared" ref="EB94:EM94" si="774">SUM(EB95:EB99)</f>
        <v>48660.645190730516</v>
      </c>
      <c r="EC94" s="1030">
        <f t="shared" si="774"/>
        <v>48202.642006073183</v>
      </c>
      <c r="ED94" s="1030">
        <f t="shared" si="774"/>
        <v>48444.488542692998</v>
      </c>
      <c r="EE94" s="1030">
        <f t="shared" si="774"/>
        <v>53080.301405279017</v>
      </c>
      <c r="EF94" s="1030">
        <f t="shared" si="774"/>
        <v>52948.250582871013</v>
      </c>
      <c r="EG94" s="1030">
        <f t="shared" si="774"/>
        <v>63884.772816790304</v>
      </c>
      <c r="EH94" s="1030">
        <f t="shared" si="774"/>
        <v>70095.301407911567</v>
      </c>
      <c r="EI94" s="1030">
        <f t="shared" si="774"/>
        <v>56963.378224640008</v>
      </c>
      <c r="EJ94" s="1030">
        <f t="shared" si="774"/>
        <v>57702.468139900622</v>
      </c>
      <c r="EK94" s="1030">
        <f t="shared" si="774"/>
        <v>66144.138191675986</v>
      </c>
      <c r="EL94" s="1030">
        <f t="shared" si="774"/>
        <v>62244.786427261104</v>
      </c>
      <c r="EM94" s="1030">
        <f t="shared" si="774"/>
        <v>100366.63110007733</v>
      </c>
      <c r="EN94" s="621">
        <f t="shared" si="733"/>
        <v>728737.80403590365</v>
      </c>
      <c r="EO94" s="1030">
        <f t="shared" ref="EO94:EZ94" si="775">SUM(EO95:EO99)</f>
        <v>51714.354017717407</v>
      </c>
      <c r="EP94" s="1030">
        <f t="shared" si="775"/>
        <v>44545.711103470392</v>
      </c>
      <c r="EQ94" s="1030">
        <f t="shared" si="775"/>
        <v>49224.715335983063</v>
      </c>
      <c r="ER94" s="1030">
        <f t="shared" si="775"/>
        <v>51877.557330334981</v>
      </c>
      <c r="ES94" s="1030">
        <f t="shared" si="775"/>
        <v>55211.810006701395</v>
      </c>
      <c r="ET94" s="1030">
        <f t="shared" si="775"/>
        <v>74817.661229925143</v>
      </c>
      <c r="EU94" s="1030">
        <f t="shared" si="775"/>
        <v>60163.430314547746</v>
      </c>
      <c r="EV94" s="1030">
        <f t="shared" si="775"/>
        <v>89684.018468075024</v>
      </c>
      <c r="EW94" s="1030">
        <f t="shared" si="775"/>
        <v>62311.70590671536</v>
      </c>
      <c r="EX94" s="1030">
        <f t="shared" si="775"/>
        <v>63598.759605777566</v>
      </c>
      <c r="EY94" s="1030">
        <f t="shared" si="775"/>
        <v>66955.339319718682</v>
      </c>
      <c r="EZ94" s="1030">
        <f t="shared" si="775"/>
        <v>115975.06477929396</v>
      </c>
      <c r="FA94" s="621">
        <f t="shared" si="734"/>
        <v>786080.12741826056</v>
      </c>
      <c r="FB94" s="1030">
        <f t="shared" ref="FB94:FM94" si="776">SUM(FB95:FB99)</f>
        <v>51747.691973869485</v>
      </c>
      <c r="FC94" s="1030">
        <f t="shared" si="776"/>
        <v>50766.541265030362</v>
      </c>
      <c r="FD94" s="1030">
        <f t="shared" si="776"/>
        <v>58990.940930496203</v>
      </c>
      <c r="FE94" s="1030">
        <f t="shared" si="776"/>
        <v>60143.743262372183</v>
      </c>
      <c r="FF94" s="1030">
        <f t="shared" si="776"/>
        <v>59576.249974092352</v>
      </c>
      <c r="FG94" s="1030">
        <f t="shared" si="776"/>
        <v>61549.050515744253</v>
      </c>
      <c r="FH94" s="1030">
        <f t="shared" si="776"/>
        <v>75606.528753037099</v>
      </c>
      <c r="FI94" s="1030">
        <f t="shared" si="776"/>
        <v>64824.378447305171</v>
      </c>
      <c r="FJ94" s="1030">
        <f t="shared" si="776"/>
        <v>68810.58973207674</v>
      </c>
      <c r="FK94" s="1030">
        <f t="shared" si="776"/>
        <v>77167.843924429006</v>
      </c>
      <c r="FL94" s="1030">
        <f t="shared" si="776"/>
        <v>77278.343889701282</v>
      </c>
      <c r="FM94" s="1030">
        <f t="shared" si="776"/>
        <v>173217.41806271707</v>
      </c>
      <c r="FN94" s="621">
        <f t="shared" si="735"/>
        <v>879679.32073087129</v>
      </c>
      <c r="FO94" s="1030">
        <f t="shared" ref="FO94:GM94" si="777">SUM(FO95:FO99)</f>
        <v>55249.12891883171</v>
      </c>
      <c r="FP94" s="1030">
        <f t="shared" si="777"/>
        <v>65175.779330831632</v>
      </c>
      <c r="FQ94" s="1030">
        <f t="shared" si="777"/>
        <v>69154.111283805149</v>
      </c>
      <c r="FR94" s="1030">
        <f t="shared" si="777"/>
        <v>76187.630583274236</v>
      </c>
      <c r="FS94" s="1030">
        <f t="shared" si="777"/>
        <v>77380.841532831953</v>
      </c>
      <c r="FT94" s="1030">
        <f t="shared" si="777"/>
        <v>75494.54704477427</v>
      </c>
      <c r="FU94" s="1030">
        <f t="shared" si="777"/>
        <v>78771.855125694943</v>
      </c>
      <c r="FV94" s="1030">
        <f t="shared" si="777"/>
        <v>70844.916707454642</v>
      </c>
      <c r="FW94" s="1030">
        <f t="shared" si="777"/>
        <v>76281.973005468622</v>
      </c>
      <c r="FX94" s="1030">
        <f t="shared" si="777"/>
        <v>73575.646594473132</v>
      </c>
      <c r="FY94" s="1030">
        <f t="shared" si="777"/>
        <v>69732.399985796379</v>
      </c>
      <c r="FZ94" s="623">
        <f t="shared" si="777"/>
        <v>156353.60823625603</v>
      </c>
      <c r="GA94" s="623">
        <f t="shared" si="653"/>
        <v>944202.43834949273</v>
      </c>
      <c r="GB94" s="622">
        <f t="shared" si="777"/>
        <v>61054.526325397717</v>
      </c>
      <c r="GC94" s="1030">
        <f t="shared" si="777"/>
        <v>63330.243451938426</v>
      </c>
      <c r="GD94" s="1030">
        <f t="shared" si="777"/>
        <v>71950.322641864157</v>
      </c>
      <c r="GE94" s="1030">
        <f t="shared" si="777"/>
        <v>72008.585365017338</v>
      </c>
      <c r="GF94" s="1030">
        <f t="shared" si="777"/>
        <v>72992.560678733353</v>
      </c>
      <c r="GG94" s="1030">
        <f t="shared" si="777"/>
        <v>78522.430571970443</v>
      </c>
      <c r="GH94" s="1030">
        <f t="shared" si="777"/>
        <v>82670.995198183547</v>
      </c>
      <c r="GI94" s="1030">
        <f t="shared" si="777"/>
        <v>78371.449951674862</v>
      </c>
      <c r="GJ94" s="1030">
        <f t="shared" si="777"/>
        <v>67900.54969986857</v>
      </c>
      <c r="GK94" s="1030">
        <f t="shared" si="777"/>
        <v>69172.336300765441</v>
      </c>
      <c r="GL94" s="1031">
        <f t="shared" si="777"/>
        <v>76813.92483567672</v>
      </c>
      <c r="GM94" s="624">
        <f t="shared" si="777"/>
        <v>117065.06790189887</v>
      </c>
      <c r="GN94" s="621">
        <f t="shared" si="654"/>
        <v>911852.99292298942</v>
      </c>
      <c r="GO94" s="622">
        <f t="shared" ref="GO94:GZ94" si="778">SUM(GO95:GO99)</f>
        <v>77657.748702679906</v>
      </c>
      <c r="GP94" s="1030">
        <f t="shared" si="778"/>
        <v>67615.42320338788</v>
      </c>
      <c r="GQ94" s="1030">
        <f t="shared" si="778"/>
        <v>67979.298982271546</v>
      </c>
      <c r="GR94" s="1030">
        <f t="shared" si="778"/>
        <v>69597.662087659439</v>
      </c>
      <c r="GS94" s="1030">
        <f t="shared" si="778"/>
        <v>75288.961985750182</v>
      </c>
      <c r="GT94" s="1030">
        <f t="shared" si="778"/>
        <v>76086.409269193828</v>
      </c>
      <c r="GU94" s="1030">
        <f t="shared" si="778"/>
        <v>112128.00831564559</v>
      </c>
      <c r="GV94" s="1030">
        <f t="shared" si="778"/>
        <v>81294.08268051187</v>
      </c>
      <c r="GW94" s="1030">
        <f t="shared" si="778"/>
        <v>77017.848376008522</v>
      </c>
      <c r="GX94" s="1030">
        <f t="shared" si="778"/>
        <v>76992.427022184245</v>
      </c>
      <c r="GY94" s="1030">
        <f t="shared" si="778"/>
        <v>91549.927772285489</v>
      </c>
      <c r="GZ94" s="623">
        <f t="shared" si="778"/>
        <v>121169.38588938545</v>
      </c>
      <c r="HA94" s="623">
        <f t="shared" si="656"/>
        <v>994377.18428696413</v>
      </c>
      <c r="HB94" s="622">
        <f t="shared" ref="HB94:HM94" si="779">SUM(HB95:HB99)</f>
        <v>89214.910160110958</v>
      </c>
      <c r="HC94" s="1030">
        <f t="shared" si="779"/>
        <v>72239.966849816585</v>
      </c>
      <c r="HD94" s="1030">
        <f t="shared" si="779"/>
        <v>72555.165464003192</v>
      </c>
      <c r="HE94" s="1030">
        <f t="shared" si="779"/>
        <v>82719.820207564524</v>
      </c>
      <c r="HF94" s="1030">
        <f t="shared" si="779"/>
        <v>84009.591436735063</v>
      </c>
      <c r="HG94" s="1030">
        <f t="shared" si="779"/>
        <v>82844.848581246755</v>
      </c>
      <c r="HH94" s="1030">
        <f t="shared" si="779"/>
        <v>86764.151866622313</v>
      </c>
      <c r="HI94" s="1030">
        <f t="shared" si="779"/>
        <v>88680.911129020416</v>
      </c>
      <c r="HJ94" s="1030">
        <f t="shared" si="779"/>
        <v>85591.319523371145</v>
      </c>
      <c r="HK94" s="1030">
        <f t="shared" si="779"/>
        <v>85878.890608078014</v>
      </c>
      <c r="HL94" s="1030">
        <f t="shared" si="779"/>
        <v>116869.17210650418</v>
      </c>
      <c r="HM94" s="623">
        <f t="shared" si="779"/>
        <v>110985.53393066025</v>
      </c>
      <c r="HN94" s="623">
        <f t="shared" si="658"/>
        <v>1058354.2818637334</v>
      </c>
      <c r="HO94" s="1030">
        <f t="shared" ref="HO94:HZ94" si="780">SUM(HO95:HO99)</f>
        <v>89613.715381412723</v>
      </c>
      <c r="HP94" s="1030">
        <f t="shared" si="780"/>
        <v>73469.269686458327</v>
      </c>
      <c r="HQ94" s="1030">
        <f t="shared" si="780"/>
        <v>76933.153035369367</v>
      </c>
      <c r="HR94" s="1030">
        <f t="shared" si="780"/>
        <v>85642.451420816695</v>
      </c>
      <c r="HS94" s="1030">
        <f t="shared" si="780"/>
        <v>105045.06643995343</v>
      </c>
      <c r="HT94" s="1030">
        <f t="shared" si="780"/>
        <v>84454.886025981323</v>
      </c>
      <c r="HU94" s="1030">
        <f t="shared" si="780"/>
        <v>88118.73130025671</v>
      </c>
      <c r="HV94" s="1030">
        <f t="shared" si="780"/>
        <v>93485.82461272279</v>
      </c>
      <c r="HW94" s="1030">
        <f t="shared" si="780"/>
        <v>90821.372663000046</v>
      </c>
      <c r="HX94" s="1030">
        <f t="shared" si="780"/>
        <v>91647.74403990549</v>
      </c>
      <c r="HY94" s="1030">
        <f t="shared" si="780"/>
        <v>91164.244986634207</v>
      </c>
      <c r="HZ94" s="1030">
        <f t="shared" si="780"/>
        <v>133516.91926536511</v>
      </c>
      <c r="IA94" s="622">
        <f t="shared" si="660"/>
        <v>1103913.3788578762</v>
      </c>
      <c r="IB94" s="1328">
        <f t="shared" ref="IB94:IG94" si="781">SUM(IB95:IB99)</f>
        <v>104275.69177405164</v>
      </c>
      <c r="IC94" s="129">
        <f t="shared" si="781"/>
        <v>82484.387263154087</v>
      </c>
      <c r="ID94" s="129">
        <f t="shared" si="781"/>
        <v>88601.076741508004</v>
      </c>
      <c r="IE94" s="129">
        <f t="shared" si="781"/>
        <v>87804.024758392217</v>
      </c>
      <c r="IF94" s="129">
        <f t="shared" si="781"/>
        <v>96442.540630892443</v>
      </c>
      <c r="IG94" s="129">
        <f t="shared" si="781"/>
        <v>93104.284113446716</v>
      </c>
      <c r="IH94" s="129">
        <f t="shared" ref="IH94" si="782">SUM(IH95:IH99)</f>
        <v>96729.958300048136</v>
      </c>
      <c r="II94" s="129">
        <f t="shared" ref="II94" si="783">SUM(II95:II99)</f>
        <v>97797.231033155083</v>
      </c>
      <c r="IJ94" s="129"/>
      <c r="IK94" s="129"/>
      <c r="IL94" s="129"/>
      <c r="IM94" s="1268"/>
      <c r="IN94" s="1343">
        <f t="shared" si="680"/>
        <v>747239.19461464835</v>
      </c>
      <c r="IO94" s="1266"/>
      <c r="IP94" s="1060">
        <f t="shared" si="662"/>
        <v>4.6118290535413831</v>
      </c>
      <c r="IQ94" s="1032">
        <f t="shared" si="663"/>
        <v>7.2443699822211549</v>
      </c>
      <c r="IR94" s="341">
        <f t="shared" si="664"/>
        <v>696763.09790297132</v>
      </c>
      <c r="IS94" s="341">
        <f t="shared" si="665"/>
        <v>747239.19461464835</v>
      </c>
    </row>
    <row r="95" spans="1:255" ht="15" customHeight="1" x14ac:dyDescent="0.2">
      <c r="A95" s="644" t="s">
        <v>317</v>
      </c>
      <c r="BA95" s="644"/>
      <c r="BB95" s="1033">
        <f t="shared" ref="BB95:BM95" si="784">+BB76/BB37</f>
        <v>24312.741760791065</v>
      </c>
      <c r="BC95" s="1033">
        <f t="shared" si="784"/>
        <v>21101.025903585556</v>
      </c>
      <c r="BD95" s="1033">
        <f t="shared" si="784"/>
        <v>20255.049571451676</v>
      </c>
      <c r="BE95" s="1033">
        <f t="shared" si="784"/>
        <v>21266.29720069328</v>
      </c>
      <c r="BF95" s="1033">
        <f t="shared" si="784"/>
        <v>22976.83286545732</v>
      </c>
      <c r="BG95" s="1033">
        <f t="shared" si="784"/>
        <v>21168.271957563924</v>
      </c>
      <c r="BH95" s="1033">
        <f t="shared" si="784"/>
        <v>25719.512838912549</v>
      </c>
      <c r="BI95" s="1033">
        <f t="shared" si="784"/>
        <v>21093.165692245304</v>
      </c>
      <c r="BJ95" s="1033">
        <f t="shared" si="784"/>
        <v>22087.772157002793</v>
      </c>
      <c r="BK95" s="1033">
        <f t="shared" si="784"/>
        <v>22240.329300845118</v>
      </c>
      <c r="BL95" s="1033">
        <f t="shared" si="784"/>
        <v>22041.888945201648</v>
      </c>
      <c r="BM95" s="1033">
        <f t="shared" si="784"/>
        <v>31844.505822171021</v>
      </c>
      <c r="BN95" s="649">
        <f>SUM(BB95:BM95)</f>
        <v>276107.39401592128</v>
      </c>
      <c r="BO95" s="1033">
        <f t="shared" ref="BO95:BZ95" si="785">+BO76/BO37</f>
        <v>24791.879355125846</v>
      </c>
      <c r="BP95" s="1033">
        <f t="shared" si="785"/>
        <v>25808.585544959788</v>
      </c>
      <c r="BQ95" s="1033">
        <f t="shared" si="785"/>
        <v>23750.773696605487</v>
      </c>
      <c r="BR95" s="1033">
        <f t="shared" si="785"/>
        <v>24297.834281159488</v>
      </c>
      <c r="BS95" s="1033">
        <f t="shared" si="785"/>
        <v>24741.473888542831</v>
      </c>
      <c r="BT95" s="1033">
        <f t="shared" si="785"/>
        <v>25805.51258398444</v>
      </c>
      <c r="BU95" s="1033">
        <f t="shared" si="785"/>
        <v>27231.273119933092</v>
      </c>
      <c r="BV95" s="1033">
        <f t="shared" si="785"/>
        <v>24165.676083729286</v>
      </c>
      <c r="BW95" s="1033">
        <f t="shared" si="785"/>
        <v>23884.804642702984</v>
      </c>
      <c r="BX95" s="1033">
        <f t="shared" si="785"/>
        <v>24292.722251936284</v>
      </c>
      <c r="BY95" s="1033">
        <f t="shared" si="785"/>
        <v>25125.267489195634</v>
      </c>
      <c r="BZ95" s="1033">
        <f t="shared" si="785"/>
        <v>34209.787638969072</v>
      </c>
      <c r="CA95" s="344">
        <f t="shared" si="749"/>
        <v>308105.59057684423</v>
      </c>
      <c r="CB95" s="1033">
        <f t="shared" ref="CB95:CM95" si="786">+CB76/CB37</f>
        <v>28543.178014159348</v>
      </c>
      <c r="CC95" s="1033">
        <f t="shared" si="786"/>
        <v>25993.632840312861</v>
      </c>
      <c r="CD95" s="1033">
        <f t="shared" si="786"/>
        <v>23990.397335502388</v>
      </c>
      <c r="CE95" s="1033">
        <f t="shared" si="786"/>
        <v>24903.354088948428</v>
      </c>
      <c r="CF95" s="1033">
        <f t="shared" si="786"/>
        <v>24702.118752196588</v>
      </c>
      <c r="CG95" s="1033">
        <f t="shared" si="786"/>
        <v>25749.945537789394</v>
      </c>
      <c r="CH95" s="1033">
        <f t="shared" si="786"/>
        <v>47354.849704782428</v>
      </c>
      <c r="CI95" s="1033">
        <f t="shared" si="786"/>
        <v>25066.332262966007</v>
      </c>
      <c r="CJ95" s="1033">
        <f t="shared" si="786"/>
        <v>26316.949247603578</v>
      </c>
      <c r="CK95" s="1033">
        <f t="shared" si="786"/>
        <v>26203.929948705216</v>
      </c>
      <c r="CL95" s="1033">
        <f t="shared" si="786"/>
        <v>30627.17181270829</v>
      </c>
      <c r="CM95" s="1033">
        <f t="shared" si="786"/>
        <v>40009.878048447303</v>
      </c>
      <c r="CN95" s="625">
        <f t="shared" si="750"/>
        <v>349461.73759412183</v>
      </c>
      <c r="CO95" s="626">
        <f t="shared" ref="CO95:CZ95" si="787">+CO76/CO37</f>
        <v>26961.462974930681</v>
      </c>
      <c r="CP95" s="1033">
        <f t="shared" si="787"/>
        <v>26963.875486848385</v>
      </c>
      <c r="CQ95" s="1033">
        <f t="shared" si="787"/>
        <v>22384.785685005787</v>
      </c>
      <c r="CR95" s="1033">
        <f t="shared" si="787"/>
        <v>26441.194610859675</v>
      </c>
      <c r="CS95" s="1033">
        <f t="shared" si="787"/>
        <v>26405.640971283516</v>
      </c>
      <c r="CT95" s="1033">
        <f t="shared" si="787"/>
        <v>28080.028812844193</v>
      </c>
      <c r="CU95" s="1033">
        <f t="shared" si="787"/>
        <v>31076.481406521103</v>
      </c>
      <c r="CV95" s="1033">
        <f t="shared" si="787"/>
        <v>27564.398731473553</v>
      </c>
      <c r="CW95" s="1033">
        <f t="shared" si="787"/>
        <v>27285.145373480584</v>
      </c>
      <c r="CX95" s="1033">
        <f t="shared" si="787"/>
        <v>28130.27516356151</v>
      </c>
      <c r="CY95" s="1033">
        <f t="shared" si="787"/>
        <v>28873.573239640969</v>
      </c>
      <c r="CZ95" s="1033">
        <f t="shared" si="787"/>
        <v>40263.33219351017</v>
      </c>
      <c r="DA95" s="625">
        <f t="shared" si="730"/>
        <v>340430.19464996015</v>
      </c>
      <c r="DB95" s="1033">
        <f t="shared" ref="DB95:DM95" si="788">+DB76/DB37</f>
        <v>30768.437257013211</v>
      </c>
      <c r="DC95" s="1033">
        <f t="shared" si="788"/>
        <v>27956.568111698751</v>
      </c>
      <c r="DD95" s="1033">
        <f t="shared" si="788"/>
        <v>26643.787618675698</v>
      </c>
      <c r="DE95" s="1033">
        <f t="shared" si="788"/>
        <v>27955.547169092009</v>
      </c>
      <c r="DF95" s="1033">
        <f t="shared" si="788"/>
        <v>28531.594170364428</v>
      </c>
      <c r="DG95" s="1033">
        <f t="shared" si="788"/>
        <v>29320.847184991941</v>
      </c>
      <c r="DH95" s="1033">
        <f t="shared" si="788"/>
        <v>36342.44698353266</v>
      </c>
      <c r="DI95" s="1033">
        <f t="shared" si="788"/>
        <v>30484.575314087298</v>
      </c>
      <c r="DJ95" s="1033">
        <f t="shared" si="788"/>
        <v>31431.959158320806</v>
      </c>
      <c r="DK95" s="1033">
        <f t="shared" si="788"/>
        <v>30431.006424892959</v>
      </c>
      <c r="DL95" s="1033">
        <f t="shared" si="788"/>
        <v>33997.807108099165</v>
      </c>
      <c r="DM95" s="1033">
        <f t="shared" si="788"/>
        <v>40577.553653027957</v>
      </c>
      <c r="DN95" s="626">
        <f t="shared" si="731"/>
        <v>374442.13015379693</v>
      </c>
      <c r="DO95" s="626">
        <f t="shared" ref="DO95:DZ95" si="789">+DO76/DO37</f>
        <v>32828.919840486647</v>
      </c>
      <c r="DP95" s="1033">
        <f t="shared" si="789"/>
        <v>29305.895651160408</v>
      </c>
      <c r="DQ95" s="1033">
        <f t="shared" si="789"/>
        <v>29234.619322646013</v>
      </c>
      <c r="DR95" s="1033">
        <f t="shared" si="789"/>
        <v>32264.776722484359</v>
      </c>
      <c r="DS95" s="1033">
        <f t="shared" si="789"/>
        <v>32252.828769840769</v>
      </c>
      <c r="DT95" s="1033">
        <f t="shared" si="789"/>
        <v>32104.172305055421</v>
      </c>
      <c r="DU95" s="1033">
        <f t="shared" si="789"/>
        <v>37463.838453061129</v>
      </c>
      <c r="DV95" s="1033">
        <f t="shared" si="789"/>
        <v>33757.056008242864</v>
      </c>
      <c r="DW95" s="1033">
        <f t="shared" si="789"/>
        <v>33413.835560996049</v>
      </c>
      <c r="DX95" s="1033">
        <f t="shared" si="789"/>
        <v>36099.293258110119</v>
      </c>
      <c r="DY95" s="1033">
        <f t="shared" si="789"/>
        <v>46670.796979003011</v>
      </c>
      <c r="DZ95" s="1033">
        <f t="shared" si="789"/>
        <v>55050.921589771191</v>
      </c>
      <c r="EA95" s="626">
        <f t="shared" si="732"/>
        <v>430446.95446085796</v>
      </c>
      <c r="EB95" s="626">
        <f t="shared" ref="EB95:EM95" si="790">+EB76/EB37</f>
        <v>41091.146245481432</v>
      </c>
      <c r="EC95" s="1033">
        <f t="shared" si="790"/>
        <v>37827.57949068577</v>
      </c>
      <c r="ED95" s="1033">
        <f t="shared" si="790"/>
        <v>36566.936446892163</v>
      </c>
      <c r="EE95" s="1033">
        <f t="shared" si="790"/>
        <v>40395.878503948676</v>
      </c>
      <c r="EF95" s="1033">
        <f t="shared" si="790"/>
        <v>39090.669267745106</v>
      </c>
      <c r="EG95" s="1033">
        <f t="shared" si="790"/>
        <v>38957.102598759877</v>
      </c>
      <c r="EH95" s="1033">
        <f t="shared" si="790"/>
        <v>42490.253374982633</v>
      </c>
      <c r="EI95" s="1033">
        <f t="shared" si="790"/>
        <v>38682.614483948331</v>
      </c>
      <c r="EJ95" s="1033">
        <f t="shared" si="790"/>
        <v>38086.648928619521</v>
      </c>
      <c r="EK95" s="1033">
        <f t="shared" si="790"/>
        <v>38395.132302860693</v>
      </c>
      <c r="EL95" s="1033">
        <f t="shared" si="790"/>
        <v>38243.811081807587</v>
      </c>
      <c r="EM95" s="1033">
        <f t="shared" si="790"/>
        <v>52365.361907119412</v>
      </c>
      <c r="EN95" s="625">
        <f t="shared" si="733"/>
        <v>482193.13463285117</v>
      </c>
      <c r="EO95" s="1033">
        <f t="shared" ref="EO95:EZ95" si="791">+EO76/EO37</f>
        <v>43826.872609826867</v>
      </c>
      <c r="EP95" s="1033">
        <f t="shared" si="791"/>
        <v>36924.511138704227</v>
      </c>
      <c r="EQ95" s="1033">
        <f t="shared" si="791"/>
        <v>37796.89638570042</v>
      </c>
      <c r="ER95" s="1033">
        <f t="shared" si="791"/>
        <v>39327.215372118422</v>
      </c>
      <c r="ES95" s="1033">
        <f t="shared" si="791"/>
        <v>40007.305790006561</v>
      </c>
      <c r="ET95" s="1033">
        <f t="shared" si="791"/>
        <v>39862.787239336525</v>
      </c>
      <c r="EU95" s="1033">
        <f t="shared" si="791"/>
        <v>43499.874327786558</v>
      </c>
      <c r="EV95" s="1033">
        <f t="shared" si="791"/>
        <v>39725.294265327808</v>
      </c>
      <c r="EW95" s="1033">
        <f t="shared" si="791"/>
        <v>41437.907310364724</v>
      </c>
      <c r="EX95" s="1033">
        <f t="shared" si="791"/>
        <v>41199.307116976888</v>
      </c>
      <c r="EY95" s="1033">
        <f t="shared" si="791"/>
        <v>44449.940327059543</v>
      </c>
      <c r="EZ95" s="1033">
        <f t="shared" si="791"/>
        <v>63660.170940331438</v>
      </c>
      <c r="FA95" s="625">
        <f t="shared" si="734"/>
        <v>511718.08282353997</v>
      </c>
      <c r="FB95" s="1033">
        <f t="shared" ref="FB95:FM95" si="792">+FB76/FB37</f>
        <v>42636.631328121395</v>
      </c>
      <c r="FC95" s="1033">
        <f t="shared" si="792"/>
        <v>39357.835691523636</v>
      </c>
      <c r="FD95" s="1033">
        <f t="shared" si="792"/>
        <v>42554.691687126789</v>
      </c>
      <c r="FE95" s="1033">
        <f t="shared" si="792"/>
        <v>44411.881663457491</v>
      </c>
      <c r="FF95" s="1033">
        <f t="shared" si="792"/>
        <v>42700.418079467279</v>
      </c>
      <c r="FG95" s="1033">
        <f t="shared" si="792"/>
        <v>42334.927023241311</v>
      </c>
      <c r="FH95" s="1033">
        <f t="shared" si="792"/>
        <v>48685.699661502651</v>
      </c>
      <c r="FI95" s="1033">
        <f t="shared" si="792"/>
        <v>44546.963284393525</v>
      </c>
      <c r="FJ95" s="1033">
        <f t="shared" si="792"/>
        <v>43539.480788469875</v>
      </c>
      <c r="FK95" s="1033">
        <f t="shared" si="792"/>
        <v>44667.660374615538</v>
      </c>
      <c r="FL95" s="1033">
        <f t="shared" si="792"/>
        <v>50626.207622098904</v>
      </c>
      <c r="FM95" s="1033">
        <f t="shared" si="792"/>
        <v>74012.882129830265</v>
      </c>
      <c r="FN95" s="625">
        <f t="shared" si="735"/>
        <v>560075.27933384874</v>
      </c>
      <c r="FO95" s="1033">
        <f t="shared" ref="FO95:FZ95" si="793">+FO76/FO37</f>
        <v>45633.510140860526</v>
      </c>
      <c r="FP95" s="1033">
        <f t="shared" si="793"/>
        <v>46575.591880460866</v>
      </c>
      <c r="FQ95" s="1033">
        <f t="shared" si="793"/>
        <v>45292.880584645558</v>
      </c>
      <c r="FR95" s="1033">
        <f t="shared" si="793"/>
        <v>48423.021001848596</v>
      </c>
      <c r="FS95" s="1033">
        <f t="shared" si="793"/>
        <v>47482.253214226927</v>
      </c>
      <c r="FT95" s="1033">
        <f t="shared" si="793"/>
        <v>46635.805208090307</v>
      </c>
      <c r="FU95" s="1033">
        <f t="shared" si="793"/>
        <v>48726.386698116083</v>
      </c>
      <c r="FV95" s="1033">
        <f t="shared" si="793"/>
        <v>43997.316060448298</v>
      </c>
      <c r="FW95" s="1033">
        <f t="shared" si="793"/>
        <v>46052.620636471504</v>
      </c>
      <c r="FX95" s="1033">
        <f t="shared" si="793"/>
        <v>45138.577824496773</v>
      </c>
      <c r="FY95" s="1033">
        <f t="shared" si="793"/>
        <v>45235.122538891716</v>
      </c>
      <c r="FZ95" s="627">
        <f t="shared" si="793"/>
        <v>63872.013532042627</v>
      </c>
      <c r="GA95" s="627">
        <f t="shared" si="653"/>
        <v>573065.09932059981</v>
      </c>
      <c r="GB95" s="626">
        <f t="shared" ref="GB95:GM95" si="794">+GB76/GB37</f>
        <v>42808.557979863312</v>
      </c>
      <c r="GC95" s="1033">
        <f t="shared" si="794"/>
        <v>43646.39540526778</v>
      </c>
      <c r="GD95" s="1033">
        <f t="shared" si="794"/>
        <v>44282.178408990017</v>
      </c>
      <c r="GE95" s="1033">
        <f t="shared" si="794"/>
        <v>44806.750033124903</v>
      </c>
      <c r="GF95" s="1033">
        <f t="shared" si="794"/>
        <v>44184.026015396958</v>
      </c>
      <c r="GG95" s="1033">
        <f t="shared" si="794"/>
        <v>46286.923587603531</v>
      </c>
      <c r="GH95" s="1033">
        <f t="shared" si="794"/>
        <v>47417.874635588654</v>
      </c>
      <c r="GI95" s="1033">
        <f t="shared" si="794"/>
        <v>47345.158973579542</v>
      </c>
      <c r="GJ95" s="1033">
        <f t="shared" si="794"/>
        <v>42288.305785053693</v>
      </c>
      <c r="GK95" s="1033">
        <f t="shared" si="794"/>
        <v>43544.910737616097</v>
      </c>
      <c r="GL95" s="1034">
        <f t="shared" si="794"/>
        <v>44995.138216145344</v>
      </c>
      <c r="GM95" s="628">
        <f t="shared" si="794"/>
        <v>55257.782991365275</v>
      </c>
      <c r="GN95" s="625">
        <f t="shared" si="654"/>
        <v>546864.00276959513</v>
      </c>
      <c r="GO95" s="626">
        <f t="shared" ref="GO95:GZ95" si="795">+GO76/GO37</f>
        <v>64292.286262515161</v>
      </c>
      <c r="GP95" s="1033">
        <f t="shared" si="795"/>
        <v>48518.675713285338</v>
      </c>
      <c r="GQ95" s="1033">
        <f t="shared" si="795"/>
        <v>43312.140467478988</v>
      </c>
      <c r="GR95" s="1033">
        <f t="shared" si="795"/>
        <v>47507.987733780385</v>
      </c>
      <c r="GS95" s="1033">
        <f t="shared" si="795"/>
        <v>47393.686472770773</v>
      </c>
      <c r="GT95" s="1033">
        <f t="shared" si="795"/>
        <v>49189.07479279174</v>
      </c>
      <c r="GU95" s="1033">
        <f t="shared" si="795"/>
        <v>51919.720781239259</v>
      </c>
      <c r="GV95" s="1033">
        <f t="shared" si="795"/>
        <v>47000.154288793958</v>
      </c>
      <c r="GW95" s="1033">
        <f t="shared" si="795"/>
        <v>47550.346102958203</v>
      </c>
      <c r="GX95" s="1033">
        <f t="shared" si="795"/>
        <v>46762.402195885115</v>
      </c>
      <c r="GY95" s="1033">
        <f t="shared" si="795"/>
        <v>54271.758948356401</v>
      </c>
      <c r="GZ95" s="627">
        <f t="shared" si="795"/>
        <v>61084.494883128464</v>
      </c>
      <c r="HA95" s="627">
        <f t="shared" si="656"/>
        <v>608802.72864298383</v>
      </c>
      <c r="HB95" s="626">
        <f t="shared" ref="HB95:HM95" si="796">+HB76/HB37</f>
        <v>83654.790864263428</v>
      </c>
      <c r="HC95" s="1033">
        <f t="shared" si="796"/>
        <v>62646.57462535346</v>
      </c>
      <c r="HD95" s="1033">
        <f t="shared" si="796"/>
        <v>60659.289989631019</v>
      </c>
      <c r="HE95" s="1033">
        <f t="shared" si="796"/>
        <v>66226.20354349805</v>
      </c>
      <c r="HF95" s="1033">
        <f t="shared" si="796"/>
        <v>65390.811625574926</v>
      </c>
      <c r="HG95" s="1033">
        <f t="shared" si="796"/>
        <v>63940.625957709715</v>
      </c>
      <c r="HH95" s="1033">
        <f t="shared" si="796"/>
        <v>68462.121757007291</v>
      </c>
      <c r="HI95" s="1033">
        <f t="shared" si="796"/>
        <v>66623.385718103134</v>
      </c>
      <c r="HJ95" s="1033">
        <f t="shared" si="796"/>
        <v>64699.805387321212</v>
      </c>
      <c r="HK95" s="1033">
        <f t="shared" si="796"/>
        <v>66106.596402772018</v>
      </c>
      <c r="HL95" s="1033">
        <f t="shared" si="796"/>
        <v>94994.167316951047</v>
      </c>
      <c r="HM95" s="627">
        <f t="shared" si="796"/>
        <v>72950.589210538208</v>
      </c>
      <c r="HN95" s="627">
        <f t="shared" si="658"/>
        <v>836354.96239872347</v>
      </c>
      <c r="HO95" s="1033">
        <f t="shared" ref="HO95:HZ95" si="797">+HO76/HO37</f>
        <v>84363.995133316537</v>
      </c>
      <c r="HP95" s="1033">
        <f t="shared" si="797"/>
        <v>63132.774353290573</v>
      </c>
      <c r="HQ95" s="1033">
        <f t="shared" si="797"/>
        <v>62989.789778191764</v>
      </c>
      <c r="HR95" s="1033">
        <f t="shared" si="797"/>
        <v>67100.502152714354</v>
      </c>
      <c r="HS95" s="1033">
        <f t="shared" si="797"/>
        <v>84910.668066318249</v>
      </c>
      <c r="HT95" s="1033">
        <f t="shared" si="797"/>
        <v>67606.1884465404</v>
      </c>
      <c r="HU95" s="1033">
        <f t="shared" si="797"/>
        <v>70870.563416881501</v>
      </c>
      <c r="HV95" s="1033">
        <f t="shared" si="797"/>
        <v>69481.97412648602</v>
      </c>
      <c r="HW95" s="1033">
        <f t="shared" si="797"/>
        <v>68017.859695239022</v>
      </c>
      <c r="HX95" s="1033">
        <f t="shared" si="797"/>
        <v>65873.982239014789</v>
      </c>
      <c r="HY95" s="1033">
        <f t="shared" si="797"/>
        <v>69543.186554391505</v>
      </c>
      <c r="HZ95" s="1033">
        <f t="shared" si="797"/>
        <v>88289.140203608622</v>
      </c>
      <c r="IA95" s="626">
        <f t="shared" si="660"/>
        <v>862180.62416599342</v>
      </c>
      <c r="IB95" s="1324">
        <f>+IB76/IB37</f>
        <v>99589.970700673526</v>
      </c>
      <c r="IC95">
        <f>+IC76/IC37</f>
        <v>68354.633139872967</v>
      </c>
      <c r="ID95">
        <f>+ID76/ID37</f>
        <v>68185.952245531807</v>
      </c>
      <c r="IE95">
        <f>+IE76/IE37</f>
        <v>68965.524149076649</v>
      </c>
      <c r="IF95">
        <f>+IF76/IF37</f>
        <v>69732.920881145459</v>
      </c>
      <c r="IG95">
        <f t="shared" ref="IG95" si="798">+IG76/IG37</f>
        <v>70365.601206167281</v>
      </c>
      <c r="IH95">
        <f t="shared" ref="IH95" si="799">+IH76/IH37</f>
        <v>73858.269572041099</v>
      </c>
      <c r="II95">
        <f t="shared" ref="II95" si="800">+II76/II37</f>
        <v>73912.799221900015</v>
      </c>
      <c r="IM95" s="1266"/>
      <c r="IN95" s="1059">
        <f t="shared" si="680"/>
        <v>592965.67111640889</v>
      </c>
      <c r="IO95" s="1266"/>
      <c r="IP95" s="1060">
        <f t="shared" si="662"/>
        <v>6.376941863148633</v>
      </c>
      <c r="IQ95" s="639">
        <f t="shared" si="663"/>
        <v>3.945825387141344</v>
      </c>
      <c r="IR95" s="344">
        <f t="shared" si="664"/>
        <v>570456.45547373942</v>
      </c>
      <c r="IS95" s="344">
        <f t="shared" si="665"/>
        <v>592965.67111640889</v>
      </c>
    </row>
    <row r="96" spans="1:255" ht="15" customHeight="1" x14ac:dyDescent="0.2">
      <c r="A96" s="342" t="s">
        <v>318</v>
      </c>
      <c r="BA96" s="644"/>
      <c r="BB96" s="1033"/>
      <c r="BC96" s="1033"/>
      <c r="BD96" s="1033"/>
      <c r="BE96" s="1033"/>
      <c r="BF96" s="1033"/>
      <c r="BG96" s="1033"/>
      <c r="BH96" s="1033"/>
      <c r="BI96" s="1033"/>
      <c r="BJ96" s="1033"/>
      <c r="BK96" s="1033"/>
      <c r="BL96" s="1033"/>
      <c r="BM96" s="1033"/>
      <c r="BN96" s="649"/>
      <c r="BO96" s="1033">
        <f t="shared" ref="BO96:BZ96" si="801">+BO77/BO37</f>
        <v>3954.7121667979236</v>
      </c>
      <c r="BP96" s="1033">
        <f t="shared" si="801"/>
        <v>2870.3131304454078</v>
      </c>
      <c r="BQ96" s="1033">
        <f t="shared" si="801"/>
        <v>2721.0460346923378</v>
      </c>
      <c r="BR96" s="1033">
        <f t="shared" si="801"/>
        <v>3204.908791504583</v>
      </c>
      <c r="BS96" s="1033">
        <f t="shared" si="801"/>
        <v>2710.7619508673388</v>
      </c>
      <c r="BT96" s="1033">
        <f t="shared" si="801"/>
        <v>3987.347221966113</v>
      </c>
      <c r="BU96" s="1033">
        <f t="shared" si="801"/>
        <v>3404.5224937918633</v>
      </c>
      <c r="BV96" s="1033">
        <f t="shared" si="801"/>
        <v>2654.9788527817291</v>
      </c>
      <c r="BW96" s="1033">
        <f t="shared" si="801"/>
        <v>2939.6932642978431</v>
      </c>
      <c r="BX96" s="1033">
        <f t="shared" si="801"/>
        <v>2665.6206763910022</v>
      </c>
      <c r="BY96" s="1033">
        <f t="shared" si="801"/>
        <v>2796.0376397248515</v>
      </c>
      <c r="BZ96" s="1033">
        <f t="shared" si="801"/>
        <v>5456.6313688134478</v>
      </c>
      <c r="CA96" s="344">
        <f t="shared" si="749"/>
        <v>39366.573592074441</v>
      </c>
      <c r="CB96" s="1033">
        <f t="shared" ref="CB96:CM96" si="802">+CB77/CB37</f>
        <v>3789.2328381360298</v>
      </c>
      <c r="CC96" s="1033">
        <f t="shared" si="802"/>
        <v>2843.896514945483</v>
      </c>
      <c r="CD96" s="1033">
        <f t="shared" si="802"/>
        <v>2638.5431994372243</v>
      </c>
      <c r="CE96" s="1033">
        <f t="shared" si="802"/>
        <v>3176.4522965654319</v>
      </c>
      <c r="CF96" s="1033">
        <f t="shared" si="802"/>
        <v>3119.0106758332654</v>
      </c>
      <c r="CG96" s="1033">
        <f t="shared" si="802"/>
        <v>2533.8238895756708</v>
      </c>
      <c r="CH96" s="1033">
        <f t="shared" si="802"/>
        <v>4035.3356392313381</v>
      </c>
      <c r="CI96" s="1033">
        <f t="shared" si="802"/>
        <v>2655.946028684627</v>
      </c>
      <c r="CJ96" s="1033">
        <f t="shared" si="802"/>
        <v>2953.806095495368</v>
      </c>
      <c r="CK96" s="1033">
        <f t="shared" si="802"/>
        <v>2730.6921588157629</v>
      </c>
      <c r="CL96" s="1033">
        <f t="shared" si="802"/>
        <v>2947.833725584248</v>
      </c>
      <c r="CM96" s="1033">
        <f t="shared" si="802"/>
        <v>5389.3362411394264</v>
      </c>
      <c r="CN96" s="625">
        <f t="shared" si="750"/>
        <v>38813.909303443877</v>
      </c>
      <c r="CO96" s="626">
        <f t="shared" ref="CO96:CZ96" si="803">+CO77/CO37</f>
        <v>3692.8881720698187</v>
      </c>
      <c r="CP96" s="1033">
        <f t="shared" si="803"/>
        <v>2812.8995727715023</v>
      </c>
      <c r="CQ96" s="1033">
        <f t="shared" si="803"/>
        <v>2696.8122266240562</v>
      </c>
      <c r="CR96" s="1033">
        <f t="shared" si="803"/>
        <v>2825.7646972437701</v>
      </c>
      <c r="CS96" s="1033">
        <f t="shared" si="803"/>
        <v>2753.7971549690365</v>
      </c>
      <c r="CT96" s="1033">
        <f t="shared" si="803"/>
        <v>2771.6110902380797</v>
      </c>
      <c r="CU96" s="1033">
        <f t="shared" si="803"/>
        <v>3401.9877208102862</v>
      </c>
      <c r="CV96" s="1033">
        <f t="shared" si="803"/>
        <v>2632.2512199857483</v>
      </c>
      <c r="CW96" s="1033">
        <f t="shared" si="803"/>
        <v>2503.5805030932524</v>
      </c>
      <c r="CX96" s="1033">
        <f t="shared" si="803"/>
        <v>2643.7456972698928</v>
      </c>
      <c r="CY96" s="1033">
        <f t="shared" si="803"/>
        <v>2958.2647714959853</v>
      </c>
      <c r="CZ96" s="1033">
        <f t="shared" si="803"/>
        <v>3541.5563044265332</v>
      </c>
      <c r="DA96" s="625">
        <f t="shared" si="730"/>
        <v>35235.159130997963</v>
      </c>
      <c r="DB96" s="1033">
        <f t="shared" ref="DB96:DM96" si="804">+DB77/DB37</f>
        <v>3502.202399446594</v>
      </c>
      <c r="DC96" s="1033">
        <f t="shared" si="804"/>
        <v>2611.8800688203664</v>
      </c>
      <c r="DD96" s="1033">
        <f t="shared" si="804"/>
        <v>2529.1950746522257</v>
      </c>
      <c r="DE96" s="1033">
        <f t="shared" si="804"/>
        <v>2457.3683451388752</v>
      </c>
      <c r="DF96" s="1033">
        <f t="shared" si="804"/>
        <v>2589.1143892374821</v>
      </c>
      <c r="DG96" s="1033">
        <f t="shared" si="804"/>
        <v>3060.2450159630507</v>
      </c>
      <c r="DH96" s="1033">
        <f t="shared" si="804"/>
        <v>3379.9849068741541</v>
      </c>
      <c r="DI96" s="1033">
        <f t="shared" si="804"/>
        <v>2633.3370891524505</v>
      </c>
      <c r="DJ96" s="1033">
        <f t="shared" si="804"/>
        <v>2526.6919402313679</v>
      </c>
      <c r="DK96" s="1033">
        <f t="shared" si="804"/>
        <v>2489.1747253215981</v>
      </c>
      <c r="DL96" s="1033">
        <f t="shared" si="804"/>
        <v>2613.9190648645272</v>
      </c>
      <c r="DM96" s="1033">
        <f t="shared" si="804"/>
        <v>3498.8459568662388</v>
      </c>
      <c r="DN96" s="626">
        <f t="shared" si="731"/>
        <v>33891.958976568931</v>
      </c>
      <c r="DO96" s="626">
        <f t="shared" ref="DO96:DZ96" si="805">+DO77/DO37</f>
        <v>3423.4145129160734</v>
      </c>
      <c r="DP96" s="1033">
        <f t="shared" si="805"/>
        <v>2423.6920914364259</v>
      </c>
      <c r="DQ96" s="1033">
        <f t="shared" si="805"/>
        <v>2757.644651773071</v>
      </c>
      <c r="DR96" s="1033">
        <f t="shared" si="805"/>
        <v>2537.6063528782552</v>
      </c>
      <c r="DS96" s="1033">
        <f t="shared" si="805"/>
        <v>2474.6545213085037</v>
      </c>
      <c r="DT96" s="1033">
        <f t="shared" si="805"/>
        <v>2473.5574768696392</v>
      </c>
      <c r="DU96" s="1033">
        <f t="shared" si="805"/>
        <v>3600.4320874700188</v>
      </c>
      <c r="DV96" s="1033">
        <f t="shared" si="805"/>
        <v>2531.0621858346922</v>
      </c>
      <c r="DW96" s="1033">
        <f t="shared" si="805"/>
        <v>2451.9639376512168</v>
      </c>
      <c r="DX96" s="1033">
        <f t="shared" si="805"/>
        <v>2575.2270280336443</v>
      </c>
      <c r="DY96" s="1033">
        <f t="shared" si="805"/>
        <v>2757.2750481546441</v>
      </c>
      <c r="DZ96" s="1033">
        <f t="shared" si="805"/>
        <v>4302.6666007953836</v>
      </c>
      <c r="EA96" s="626">
        <f t="shared" si="732"/>
        <v>34309.19649512157</v>
      </c>
      <c r="EB96" s="626">
        <f t="shared" ref="EB96:EM96" si="806">+EB77/EB37</f>
        <v>3734.8388500421811</v>
      </c>
      <c r="EC96" s="1033">
        <f t="shared" si="806"/>
        <v>2496.8486035483115</v>
      </c>
      <c r="ED96" s="1033">
        <f t="shared" si="806"/>
        <v>2376.768689733703</v>
      </c>
      <c r="EE96" s="1033">
        <f t="shared" si="806"/>
        <v>2515.3500963929068</v>
      </c>
      <c r="EF96" s="1033">
        <f t="shared" si="806"/>
        <v>3066.4679334801604</v>
      </c>
      <c r="EG96" s="1033">
        <f t="shared" si="806"/>
        <v>2587.8697662621198</v>
      </c>
      <c r="EH96" s="1033">
        <f t="shared" si="806"/>
        <v>3193.2870027343956</v>
      </c>
      <c r="EI96" s="1033">
        <f t="shared" si="806"/>
        <v>2611.6192347201832</v>
      </c>
      <c r="EJ96" s="1033">
        <f t="shared" si="806"/>
        <v>2462.9139702093316</v>
      </c>
      <c r="EK96" s="1033">
        <f t="shared" si="806"/>
        <v>2864.9704346291755</v>
      </c>
      <c r="EL96" s="1033">
        <f t="shared" si="806"/>
        <v>2856.5895035049389</v>
      </c>
      <c r="EM96" s="1033">
        <f t="shared" si="806"/>
        <v>4000.6462080221231</v>
      </c>
      <c r="EN96" s="625">
        <f t="shared" si="733"/>
        <v>34768.170293279531</v>
      </c>
      <c r="EO96" s="1033">
        <f t="shared" ref="EO96:EZ96" si="807">+EO77/EO37</f>
        <v>3328.1324388520429</v>
      </c>
      <c r="EP96" s="1033">
        <f t="shared" si="807"/>
        <v>2493.7386731741294</v>
      </c>
      <c r="EQ96" s="1033">
        <f t="shared" si="807"/>
        <v>2515.506224312292</v>
      </c>
      <c r="ER96" s="1033">
        <f t="shared" si="807"/>
        <v>2471.4224101778245</v>
      </c>
      <c r="ES96" s="1033">
        <f t="shared" si="807"/>
        <v>2434.2885399734146</v>
      </c>
      <c r="ET96" s="1033">
        <f t="shared" si="807"/>
        <v>2451.1211754517622</v>
      </c>
      <c r="EU96" s="1033">
        <f t="shared" si="807"/>
        <v>3137.1004805269995</v>
      </c>
      <c r="EV96" s="1033">
        <f t="shared" si="807"/>
        <v>2670.0470835759083</v>
      </c>
      <c r="EW96" s="1033">
        <f t="shared" si="807"/>
        <v>2970.8256226772783</v>
      </c>
      <c r="EX96" s="1033">
        <f t="shared" si="807"/>
        <v>2721.0168953747357</v>
      </c>
      <c r="EY96" s="1033">
        <f t="shared" si="807"/>
        <v>2743.6950087948385</v>
      </c>
      <c r="EZ96" s="1033">
        <f t="shared" si="807"/>
        <v>4580.0875501993605</v>
      </c>
      <c r="FA96" s="625">
        <f t="shared" si="734"/>
        <v>34516.982103090588</v>
      </c>
      <c r="FB96" s="1033">
        <f t="shared" ref="FB96:FM96" si="808">+FB77/FB37</f>
        <v>3272.1296584012671</v>
      </c>
      <c r="FC96" s="1033">
        <f t="shared" si="808"/>
        <v>2508.8797843423099</v>
      </c>
      <c r="FD96" s="1033">
        <f t="shared" si="808"/>
        <v>2398.6270367622928</v>
      </c>
      <c r="FE96" s="1033">
        <f t="shared" si="808"/>
        <v>2593.7449651193092</v>
      </c>
      <c r="FF96" s="1033">
        <f t="shared" si="808"/>
        <v>2414.0345675586436</v>
      </c>
      <c r="FG96" s="1033">
        <f t="shared" si="808"/>
        <v>2445.9631020139423</v>
      </c>
      <c r="FH96" s="1033">
        <f t="shared" si="808"/>
        <v>3247.0340764336725</v>
      </c>
      <c r="FI96" s="1033">
        <f t="shared" si="808"/>
        <v>2384.7835447783132</v>
      </c>
      <c r="FJ96" s="1033">
        <f t="shared" si="808"/>
        <v>2490.7216469373452</v>
      </c>
      <c r="FK96" s="1033">
        <f t="shared" si="808"/>
        <v>2522.9986866442118</v>
      </c>
      <c r="FL96" s="1033">
        <f t="shared" si="808"/>
        <v>2592.1400835370046</v>
      </c>
      <c r="FM96" s="1033">
        <f t="shared" si="808"/>
        <v>4606.6250068882173</v>
      </c>
      <c r="FN96" s="625">
        <f t="shared" si="735"/>
        <v>33477.68215941653</v>
      </c>
      <c r="FO96" s="1033">
        <f t="shared" ref="FO96:FZ96" si="809">+FO77/FO37</f>
        <v>3140.6314762429483</v>
      </c>
      <c r="FP96" s="1033">
        <f t="shared" si="809"/>
        <v>2549.5173161259549</v>
      </c>
      <c r="FQ96" s="1033">
        <f t="shared" si="809"/>
        <v>2542.3332004708627</v>
      </c>
      <c r="FR96" s="1033">
        <f t="shared" si="809"/>
        <v>2568.3239150193331</v>
      </c>
      <c r="FS96" s="1033">
        <f t="shared" si="809"/>
        <v>2583.454661818349</v>
      </c>
      <c r="FT96" s="1033">
        <f t="shared" si="809"/>
        <v>2486.3479212111592</v>
      </c>
      <c r="FU96" s="1033">
        <f t="shared" si="809"/>
        <v>2915.4901014023681</v>
      </c>
      <c r="FV96" s="1033">
        <f t="shared" si="809"/>
        <v>2530.1242282292069</v>
      </c>
      <c r="FW96" s="1033">
        <f t="shared" si="809"/>
        <v>2650.4918641396507</v>
      </c>
      <c r="FX96" s="1033">
        <f t="shared" si="809"/>
        <v>2500.3500689003645</v>
      </c>
      <c r="FY96" s="1033">
        <f t="shared" si="809"/>
        <v>2261.2096304458996</v>
      </c>
      <c r="FZ96" s="627">
        <f t="shared" si="809"/>
        <v>3972.5829089786098</v>
      </c>
      <c r="GA96" s="627">
        <f t="shared" si="653"/>
        <v>32700.857292984707</v>
      </c>
      <c r="GB96" s="626">
        <f t="shared" ref="GB96:GM96" si="810">+GB77/GB37</f>
        <v>2947.4765746983903</v>
      </c>
      <c r="GC96" s="1033">
        <f t="shared" si="810"/>
        <v>2146.2105407857148</v>
      </c>
      <c r="GD96" s="1033">
        <f t="shared" si="810"/>
        <v>2346.6979829399552</v>
      </c>
      <c r="GE96" s="1033">
        <f t="shared" si="810"/>
        <v>2436.6939577084031</v>
      </c>
      <c r="GF96" s="1033">
        <f t="shared" si="810"/>
        <v>2201.2271837604376</v>
      </c>
      <c r="GG96" s="1033">
        <f t="shared" si="810"/>
        <v>2552.8639409879133</v>
      </c>
      <c r="GH96" s="1033">
        <f t="shared" si="810"/>
        <v>2707.0164545255775</v>
      </c>
      <c r="GI96" s="1033">
        <f t="shared" si="810"/>
        <v>2156.3701208572024</v>
      </c>
      <c r="GJ96" s="1033">
        <f t="shared" si="810"/>
        <v>2064.4778895489371</v>
      </c>
      <c r="GK96" s="1033">
        <f t="shared" si="810"/>
        <v>2413.0696025046886</v>
      </c>
      <c r="GL96" s="1034">
        <f t="shared" si="810"/>
        <v>2292.6816987539405</v>
      </c>
      <c r="GM96" s="628">
        <f t="shared" si="810"/>
        <v>3510.5968712604908</v>
      </c>
      <c r="GN96" s="625">
        <f t="shared" si="654"/>
        <v>29775.382818331647</v>
      </c>
      <c r="GO96" s="626">
        <f t="shared" ref="GO96:GZ96" si="811">+GO77/GO37</f>
        <v>2809.4275964751532</v>
      </c>
      <c r="GP96" s="1033">
        <f t="shared" si="811"/>
        <v>2222.5510530455272</v>
      </c>
      <c r="GQ96" s="1033">
        <f t="shared" si="811"/>
        <v>2028.6581491726772</v>
      </c>
      <c r="GR96" s="1033">
        <f t="shared" si="811"/>
        <v>2561.0713091342186</v>
      </c>
      <c r="GS96" s="1033">
        <f t="shared" si="811"/>
        <v>2033.8425001007718</v>
      </c>
      <c r="GT96" s="1033">
        <f t="shared" si="811"/>
        <v>2029.4387843332404</v>
      </c>
      <c r="GU96" s="1033">
        <f t="shared" si="811"/>
        <v>2739.9868057954118</v>
      </c>
      <c r="GV96" s="1033">
        <f t="shared" si="811"/>
        <v>2051.4810639222328</v>
      </c>
      <c r="GW96" s="1033">
        <f t="shared" si="811"/>
        <v>2165.4936198883383</v>
      </c>
      <c r="GX96" s="1033">
        <f t="shared" si="811"/>
        <v>2000.5458451452769</v>
      </c>
      <c r="GY96" s="1033">
        <f t="shared" si="811"/>
        <v>2270.3086169334265</v>
      </c>
      <c r="GZ96" s="627">
        <f t="shared" si="811"/>
        <v>3202.7104202574742</v>
      </c>
      <c r="HA96" s="627">
        <f t="shared" si="656"/>
        <v>28115.515764203748</v>
      </c>
      <c r="HB96" s="626">
        <f t="shared" ref="HB96:HM96" si="812">+HB77/HB37</f>
        <v>2585.8053768059858</v>
      </c>
      <c r="HC96" s="1033">
        <f t="shared" si="812"/>
        <v>2185.6946800766586</v>
      </c>
      <c r="HD96" s="1033">
        <f t="shared" si="812"/>
        <v>2048.3304338336302</v>
      </c>
      <c r="HE96" s="1033">
        <f t="shared" si="812"/>
        <v>2682.1699391054917</v>
      </c>
      <c r="HF96" s="1033">
        <f t="shared" si="812"/>
        <v>2183.1563745673034</v>
      </c>
      <c r="HG96" s="1033">
        <f t="shared" si="812"/>
        <v>2070.0545606917572</v>
      </c>
      <c r="HH96" s="1033">
        <f t="shared" si="812"/>
        <v>2799.1565750572677</v>
      </c>
      <c r="HI96" s="1033">
        <f t="shared" si="812"/>
        <v>2131.8635371018754</v>
      </c>
      <c r="HJ96" s="1033">
        <f t="shared" si="812"/>
        <v>2055.3380714734449</v>
      </c>
      <c r="HK96" s="1033">
        <f t="shared" si="812"/>
        <v>1968.7443862393445</v>
      </c>
      <c r="HL96" s="1033">
        <f t="shared" si="812"/>
        <v>2072.6772959789737</v>
      </c>
      <c r="HM96" s="627">
        <f t="shared" si="812"/>
        <v>2825.1516655385681</v>
      </c>
      <c r="HN96" s="627">
        <f t="shared" si="658"/>
        <v>27608.142896470301</v>
      </c>
      <c r="HO96" s="1033">
        <f t="shared" ref="HO96:HZ96" si="813">+HO77/HO37</f>
        <v>2656.592151638024</v>
      </c>
      <c r="HP96" s="1033">
        <f t="shared" si="813"/>
        <v>2080.6133556317827</v>
      </c>
      <c r="HQ96" s="1033">
        <f t="shared" si="813"/>
        <v>1983.6208825542819</v>
      </c>
      <c r="HR96" s="1033">
        <f t="shared" si="813"/>
        <v>2927.0345948137356</v>
      </c>
      <c r="HS96" s="1033">
        <f t="shared" si="813"/>
        <v>2209.8463543519342</v>
      </c>
      <c r="HT96" s="1033">
        <f t="shared" si="813"/>
        <v>1963.7796371581605</v>
      </c>
      <c r="HU96" s="1033">
        <f t="shared" si="813"/>
        <v>2397.2349916725107</v>
      </c>
      <c r="HV96" s="1033">
        <f t="shared" si="813"/>
        <v>3571.8230794703218</v>
      </c>
      <c r="HW96" s="1033">
        <f t="shared" si="813"/>
        <v>2007.8116066336363</v>
      </c>
      <c r="HX96" s="1033">
        <f t="shared" si="813"/>
        <v>1941.8884696523578</v>
      </c>
      <c r="HY96" s="1033">
        <f t="shared" si="813"/>
        <v>2012.0266025978217</v>
      </c>
      <c r="HZ96" s="1033">
        <f t="shared" si="813"/>
        <v>2695.1751969995162</v>
      </c>
      <c r="IA96" s="626">
        <f t="shared" si="660"/>
        <v>28447.44692317408</v>
      </c>
      <c r="IB96" s="1324">
        <f>+IB77/IB37</f>
        <v>3239.5564942962187</v>
      </c>
      <c r="IC96">
        <f>+IC77/IC37</f>
        <v>1972.3510724739863</v>
      </c>
      <c r="ID96">
        <f>+ID77/ID37</f>
        <v>1994.7705871176056</v>
      </c>
      <c r="IE96">
        <f>+IE77/IE37</f>
        <v>2011.5121410810423</v>
      </c>
      <c r="IF96">
        <f>+IF77/IF37</f>
        <v>1915.354135716613</v>
      </c>
      <c r="IG96">
        <f t="shared" ref="IG96" si="814">+IG77/IG37</f>
        <v>2076.391556763027</v>
      </c>
      <c r="IH96">
        <f t="shared" ref="IH96" si="815">+IH77/IH37</f>
        <v>2253.317477100883</v>
      </c>
      <c r="II96">
        <f t="shared" ref="II96" si="816">+II77/II37</f>
        <v>1972.2548373852046</v>
      </c>
      <c r="IM96" s="1266"/>
      <c r="IN96" s="1059">
        <f t="shared" si="680"/>
        <v>17435.50830193458</v>
      </c>
      <c r="IO96" s="1266"/>
      <c r="IP96" s="1060">
        <f t="shared" si="662"/>
        <v>-44.782963951347853</v>
      </c>
      <c r="IQ96" s="639">
        <f t="shared" si="663"/>
        <v>-11.899807406661422</v>
      </c>
      <c r="IR96" s="344">
        <f t="shared" si="664"/>
        <v>19790.545047290751</v>
      </c>
      <c r="IS96" s="344">
        <f t="shared" si="665"/>
        <v>17435.50830193458</v>
      </c>
    </row>
    <row r="97" spans="1:253" ht="15" customHeight="1" x14ac:dyDescent="0.2">
      <c r="A97" s="342" t="s">
        <v>319</v>
      </c>
      <c r="BA97" s="644"/>
      <c r="BB97" s="1033"/>
      <c r="BC97" s="1033"/>
      <c r="BD97" s="1033"/>
      <c r="BE97" s="1033"/>
      <c r="BF97" s="1033"/>
      <c r="BG97" s="1033"/>
      <c r="BH97" s="1033"/>
      <c r="BI97" s="1033"/>
      <c r="BJ97" s="1033"/>
      <c r="BK97" s="1033"/>
      <c r="BL97" s="1033"/>
      <c r="BM97" s="1033"/>
      <c r="BN97" s="649"/>
      <c r="BO97" s="1033">
        <f t="shared" ref="BO97:BZ97" si="817">+BO78/BO37</f>
        <v>64.283900536930574</v>
      </c>
      <c r="BP97" s="1033">
        <f t="shared" si="817"/>
        <v>69.355455553702726</v>
      </c>
      <c r="BQ97" s="1033">
        <f t="shared" si="817"/>
        <v>313.01138195791344</v>
      </c>
      <c r="BR97" s="1033">
        <f t="shared" si="817"/>
        <v>222.19599611204455</v>
      </c>
      <c r="BS97" s="1033">
        <f t="shared" si="817"/>
        <v>42.870931096442092</v>
      </c>
      <c r="BT97" s="1033">
        <f t="shared" si="817"/>
        <v>636.46251800407742</v>
      </c>
      <c r="BU97" s="1033">
        <f t="shared" si="817"/>
        <v>185.64175020195844</v>
      </c>
      <c r="BV97" s="1033">
        <f t="shared" si="817"/>
        <v>309.09680271355916</v>
      </c>
      <c r="BW97" s="1033">
        <f t="shared" si="817"/>
        <v>588.26366040675464</v>
      </c>
      <c r="BX97" s="1033">
        <f t="shared" si="817"/>
        <v>62.538937258411693</v>
      </c>
      <c r="BY97" s="1033">
        <f t="shared" si="817"/>
        <v>93.608247035912072</v>
      </c>
      <c r="BZ97" s="1033">
        <f t="shared" si="817"/>
        <v>1857.6112150569681</v>
      </c>
      <c r="CA97" s="344">
        <f t="shared" si="749"/>
        <v>4444.9407959346754</v>
      </c>
      <c r="CB97" s="1033">
        <f t="shared" ref="CB97:CM97" si="818">+CB78/CB37</f>
        <v>36.450508276212346</v>
      </c>
      <c r="CC97" s="1033">
        <f t="shared" si="818"/>
        <v>48.310812824668453</v>
      </c>
      <c r="CD97" s="1033">
        <f t="shared" si="818"/>
        <v>89.713672840609931</v>
      </c>
      <c r="CE97" s="1033">
        <f t="shared" si="818"/>
        <v>11.170643595055525</v>
      </c>
      <c r="CF97" s="1033">
        <f t="shared" si="818"/>
        <v>50.948617471497954</v>
      </c>
      <c r="CG97" s="1033">
        <f t="shared" si="818"/>
        <v>147.03808644024437</v>
      </c>
      <c r="CH97" s="1033">
        <f t="shared" si="818"/>
        <v>302.31382902262624</v>
      </c>
      <c r="CI97" s="1033">
        <f t="shared" si="818"/>
        <v>59.408276812212058</v>
      </c>
      <c r="CJ97" s="1033">
        <f t="shared" si="818"/>
        <v>1743.0223920941878</v>
      </c>
      <c r="CK97" s="1033">
        <f t="shared" si="818"/>
        <v>261.56658878442971</v>
      </c>
      <c r="CL97" s="1033">
        <f t="shared" si="818"/>
        <v>7688.3543421019567</v>
      </c>
      <c r="CM97" s="1033">
        <f t="shared" si="818"/>
        <v>63.765152721632127</v>
      </c>
      <c r="CN97" s="625">
        <f t="shared" si="750"/>
        <v>10502.062922985333</v>
      </c>
      <c r="CO97" s="626">
        <f t="shared" ref="CO97:CZ97" si="819">+CO78/CO37</f>
        <v>30.649635818413053</v>
      </c>
      <c r="CP97" s="1033">
        <f t="shared" si="819"/>
        <v>23.506124563550159</v>
      </c>
      <c r="CQ97" s="1033">
        <f t="shared" si="819"/>
        <v>26.439335555137802</v>
      </c>
      <c r="CR97" s="1033">
        <f t="shared" si="819"/>
        <v>32.533475132740776</v>
      </c>
      <c r="CS97" s="1033">
        <f t="shared" si="819"/>
        <v>1170.8452239308911</v>
      </c>
      <c r="CT97" s="1033">
        <f t="shared" si="819"/>
        <v>23.800538448027833</v>
      </c>
      <c r="CU97" s="1033">
        <f t="shared" si="819"/>
        <v>47.387831653614413</v>
      </c>
      <c r="CV97" s="1033">
        <f t="shared" si="819"/>
        <v>232.99649213643013</v>
      </c>
      <c r="CW97" s="1033">
        <f t="shared" si="819"/>
        <v>38.821102358697445</v>
      </c>
      <c r="CX97" s="1033">
        <f t="shared" si="819"/>
        <v>57.770176248565804</v>
      </c>
      <c r="CY97" s="1033">
        <f t="shared" si="819"/>
        <v>11425.492774315608</v>
      </c>
      <c r="CZ97" s="1033">
        <f t="shared" si="819"/>
        <v>2484.9718958870158</v>
      </c>
      <c r="DA97" s="625">
        <f t="shared" si="730"/>
        <v>15595.214606048692</v>
      </c>
      <c r="DB97" s="1033">
        <f t="shared" ref="DB97:DM97" si="820">+DB78/DB37</f>
        <v>9.0166120560736172</v>
      </c>
      <c r="DC97" s="1033">
        <f t="shared" si="820"/>
        <v>23.253383725856221</v>
      </c>
      <c r="DD97" s="1033">
        <f t="shared" si="820"/>
        <v>1026.739863737062</v>
      </c>
      <c r="DE97" s="1033">
        <f t="shared" si="820"/>
        <v>20.87570196113122</v>
      </c>
      <c r="DF97" s="1033">
        <f t="shared" si="820"/>
        <v>12.647972591102643</v>
      </c>
      <c r="DG97" s="1033">
        <f t="shared" si="820"/>
        <v>33.433121077527872</v>
      </c>
      <c r="DH97" s="1033">
        <f t="shared" si="820"/>
        <v>14.104922738987245</v>
      </c>
      <c r="DI97" s="1033">
        <f t="shared" si="820"/>
        <v>1927.6619253739566</v>
      </c>
      <c r="DJ97" s="1033">
        <f t="shared" si="820"/>
        <v>13.28672361208432</v>
      </c>
      <c r="DK97" s="1033">
        <f t="shared" si="820"/>
        <v>8.086509739674419</v>
      </c>
      <c r="DL97" s="1033">
        <f t="shared" si="820"/>
        <v>14.660230313317594</v>
      </c>
      <c r="DM97" s="1033">
        <f t="shared" si="820"/>
        <v>2382.4883410609323</v>
      </c>
      <c r="DN97" s="626">
        <f t="shared" si="731"/>
        <v>5486.2553079877061</v>
      </c>
      <c r="DO97" s="626">
        <f t="shared" ref="DO97:DZ97" si="821">+DO78/DO37</f>
        <v>8.7462154896727444</v>
      </c>
      <c r="DP97" s="1033">
        <f t="shared" si="821"/>
        <v>13.804001719811779</v>
      </c>
      <c r="DQ97" s="1033">
        <f t="shared" si="821"/>
        <v>30.122516352267613</v>
      </c>
      <c r="DR97" s="1033">
        <f t="shared" si="821"/>
        <v>12.224230093207803</v>
      </c>
      <c r="DS97" s="1033">
        <f t="shared" si="821"/>
        <v>12.275788404506731</v>
      </c>
      <c r="DT97" s="1033">
        <f t="shared" si="821"/>
        <v>4364.888705528735</v>
      </c>
      <c r="DU97" s="1033">
        <f t="shared" si="821"/>
        <v>1233.5882994158505</v>
      </c>
      <c r="DV97" s="1033">
        <f t="shared" si="821"/>
        <v>8.6041774022709081</v>
      </c>
      <c r="DW97" s="1033">
        <f t="shared" si="821"/>
        <v>9.3230567971529155</v>
      </c>
      <c r="DX97" s="1033">
        <f t="shared" si="821"/>
        <v>5.7643582048878432</v>
      </c>
      <c r="DY97" s="1033">
        <f t="shared" si="821"/>
        <v>1.44397750623443</v>
      </c>
      <c r="DZ97" s="1033">
        <f t="shared" si="821"/>
        <v>2604.3783596370781</v>
      </c>
      <c r="EA97" s="626">
        <f t="shared" si="732"/>
        <v>8305.1636865516757</v>
      </c>
      <c r="EB97" s="626">
        <f t="shared" ref="EB97:EM97" si="822">+EB78/EB37</f>
        <v>11.518392752635872</v>
      </c>
      <c r="EC97" s="1033">
        <f t="shared" si="822"/>
        <v>9.3353557222111174</v>
      </c>
      <c r="ED97" s="1033">
        <f t="shared" si="822"/>
        <v>14.292054658651251</v>
      </c>
      <c r="EE97" s="1033">
        <f t="shared" si="822"/>
        <v>16.458905324903803</v>
      </c>
      <c r="EF97" s="1033">
        <f t="shared" si="822"/>
        <v>21.463844611387032</v>
      </c>
      <c r="EG97" s="1033">
        <f t="shared" si="822"/>
        <v>6042.8791400675673</v>
      </c>
      <c r="EH97" s="1033">
        <f t="shared" si="822"/>
        <v>9661.5580060484499</v>
      </c>
      <c r="EI97" s="1033">
        <f t="shared" si="822"/>
        <v>195.81823112816369</v>
      </c>
      <c r="EJ97" s="1033">
        <f t="shared" si="822"/>
        <v>14.870958417020116</v>
      </c>
      <c r="EK97" s="1033">
        <f t="shared" si="822"/>
        <v>20.519669697269965</v>
      </c>
      <c r="EL97" s="1033">
        <f t="shared" si="822"/>
        <v>16.254715136223055</v>
      </c>
      <c r="EM97" s="1033">
        <f t="shared" si="822"/>
        <v>1000.3379162361789</v>
      </c>
      <c r="EN97" s="625">
        <f t="shared" si="733"/>
        <v>17025.307189800664</v>
      </c>
      <c r="EO97" s="1033">
        <f t="shared" ref="EO97:EZ97" si="823">+EO78/EO37</f>
        <v>7.7545979299666321</v>
      </c>
      <c r="EP97" s="1033">
        <f t="shared" si="823"/>
        <v>5.6323854843006869</v>
      </c>
      <c r="EQ97" s="1033">
        <f t="shared" si="823"/>
        <v>11.882079970355367</v>
      </c>
      <c r="ER97" s="1033">
        <f t="shared" si="823"/>
        <v>14.648566360071779</v>
      </c>
      <c r="ES97" s="1033">
        <f t="shared" si="823"/>
        <v>11.840602340357096</v>
      </c>
      <c r="ET97" s="1033">
        <f t="shared" si="823"/>
        <v>20076.745941932681</v>
      </c>
      <c r="EU97" s="1033">
        <f t="shared" si="823"/>
        <v>17.393548905117541</v>
      </c>
      <c r="EV97" s="1033">
        <f t="shared" si="823"/>
        <v>15.297144749653642</v>
      </c>
      <c r="EW97" s="1033">
        <f t="shared" si="823"/>
        <v>13.209849480661896</v>
      </c>
      <c r="EX97" s="1033">
        <f t="shared" si="823"/>
        <v>15.973299794185534</v>
      </c>
      <c r="EY97" s="1033">
        <f t="shared" si="823"/>
        <v>14.568292082096487</v>
      </c>
      <c r="EZ97" s="1033">
        <f t="shared" si="823"/>
        <v>6854.2090136825673</v>
      </c>
      <c r="FA97" s="625">
        <f t="shared" si="734"/>
        <v>27059.15532271202</v>
      </c>
      <c r="FB97" s="1033">
        <f t="shared" ref="FB97:FM97" si="824">+FB78/FB37</f>
        <v>8.9950699004475521</v>
      </c>
      <c r="FC97" s="1033">
        <f t="shared" si="824"/>
        <v>10.364416624933806</v>
      </c>
      <c r="FD97" s="1033">
        <f t="shared" si="824"/>
        <v>12.35697958263345</v>
      </c>
      <c r="FE97" s="1033">
        <f t="shared" si="824"/>
        <v>18.516952421528647</v>
      </c>
      <c r="FF97" s="1033">
        <f t="shared" si="824"/>
        <v>10.266662464808521</v>
      </c>
      <c r="FG97" s="1033">
        <f t="shared" si="824"/>
        <v>7.5492688333763649</v>
      </c>
      <c r="FH97" s="1033">
        <f t="shared" si="824"/>
        <v>19.811485002435621</v>
      </c>
      <c r="FI97" s="1033">
        <f t="shared" si="824"/>
        <v>17.781580775519402</v>
      </c>
      <c r="FJ97" s="1033">
        <f t="shared" si="824"/>
        <v>10.244262326312086</v>
      </c>
      <c r="FK97" s="1033">
        <f t="shared" si="824"/>
        <v>6387.7273920315565</v>
      </c>
      <c r="FL97" s="1033">
        <f t="shared" si="824"/>
        <v>250.65505524768207</v>
      </c>
      <c r="FM97" s="1033">
        <f t="shared" si="824"/>
        <v>22488.613132374121</v>
      </c>
      <c r="FN97" s="625">
        <f t="shared" si="735"/>
        <v>29242.882257585356</v>
      </c>
      <c r="FO97" s="1033">
        <f t="shared" ref="FO97:FZ97" si="825">+FO78/FO37</f>
        <v>2.0218657572379497</v>
      </c>
      <c r="FP97" s="1033">
        <f t="shared" si="825"/>
        <v>16.195980832986479</v>
      </c>
      <c r="FQ97" s="1033">
        <f t="shared" si="825"/>
        <v>12.715012058159093</v>
      </c>
      <c r="FR97" s="1033">
        <f t="shared" si="825"/>
        <v>12.727739797957049</v>
      </c>
      <c r="FS97" s="1033">
        <f t="shared" si="825"/>
        <v>6.0126951012063978</v>
      </c>
      <c r="FT97" s="1033">
        <f t="shared" si="825"/>
        <v>25.255605722005896</v>
      </c>
      <c r="FU97" s="1033">
        <f t="shared" si="825"/>
        <v>17.765342527164059</v>
      </c>
      <c r="FV97" s="1033">
        <f t="shared" si="825"/>
        <v>1.9547701995074995</v>
      </c>
      <c r="FW97" s="1033">
        <f t="shared" si="825"/>
        <v>3901.1034758431538</v>
      </c>
      <c r="FX97" s="1033">
        <f t="shared" si="825"/>
        <v>-1.2905032613679301</v>
      </c>
      <c r="FY97" s="1033">
        <f t="shared" si="825"/>
        <v>289.96461283227205</v>
      </c>
      <c r="FZ97" s="627">
        <f t="shared" si="825"/>
        <v>33230.110576983752</v>
      </c>
      <c r="GA97" s="627">
        <f t="shared" si="653"/>
        <v>37514.537174394034</v>
      </c>
      <c r="GB97" s="626">
        <f t="shared" ref="GB97:GM97" si="826">+GB78/GB37</f>
        <v>3.82623527654486</v>
      </c>
      <c r="GC97" s="1033">
        <f t="shared" si="826"/>
        <v>6.9929845819439755</v>
      </c>
      <c r="GD97" s="1033">
        <f t="shared" si="826"/>
        <v>78.306793344232361</v>
      </c>
      <c r="GE97" s="1033">
        <f t="shared" si="826"/>
        <v>37.229854204864829</v>
      </c>
      <c r="GF97" s="1033">
        <f t="shared" si="826"/>
        <v>245.40499633611168</v>
      </c>
      <c r="GG97" s="1033">
        <f t="shared" si="826"/>
        <v>45.205056624337296</v>
      </c>
      <c r="GH97" s="1033">
        <f t="shared" si="826"/>
        <v>5097.5183537824587</v>
      </c>
      <c r="GI97" s="1033">
        <f t="shared" si="826"/>
        <v>24.046502602254833</v>
      </c>
      <c r="GJ97" s="1033">
        <f t="shared" si="826"/>
        <v>26.314318406765135</v>
      </c>
      <c r="GK97" s="1033">
        <f t="shared" si="826"/>
        <v>50.65717861518857</v>
      </c>
      <c r="GL97" s="1034">
        <f t="shared" si="826"/>
        <v>33.201493439415742</v>
      </c>
      <c r="GM97" s="628">
        <f t="shared" si="826"/>
        <v>1060.0026075756375</v>
      </c>
      <c r="GN97" s="625">
        <f t="shared" si="654"/>
        <v>6708.7063747897555</v>
      </c>
      <c r="GO97" s="626">
        <f t="shared" ref="GO97:GZ97" si="827">+GO78/GO37</f>
        <v>0.58688690128998389</v>
      </c>
      <c r="GP97" s="1033">
        <f t="shared" si="827"/>
        <v>7.6074680593975392</v>
      </c>
      <c r="GQ97" s="1033">
        <f t="shared" si="827"/>
        <v>15.027097401279091</v>
      </c>
      <c r="GR97" s="1033">
        <f t="shared" si="827"/>
        <v>7.4717071406518949</v>
      </c>
      <c r="GS97" s="1033">
        <f t="shared" si="827"/>
        <v>7.4478739440309951</v>
      </c>
      <c r="GT97" s="1033">
        <f t="shared" si="827"/>
        <v>5.1639663723492122</v>
      </c>
      <c r="GU97" s="1033">
        <f t="shared" si="827"/>
        <v>29184.803142330227</v>
      </c>
      <c r="GV97" s="1033">
        <f t="shared" si="827"/>
        <v>2518.9431659150591</v>
      </c>
      <c r="GW97" s="1033">
        <f t="shared" si="827"/>
        <v>6.2619426442617563</v>
      </c>
      <c r="GX97" s="1033">
        <f t="shared" si="827"/>
        <v>18.275040549428734</v>
      </c>
      <c r="GY97" s="1033">
        <f t="shared" si="827"/>
        <v>10.868194437323028</v>
      </c>
      <c r="GZ97" s="627">
        <f t="shared" si="827"/>
        <v>-17.090237034458241</v>
      </c>
      <c r="HA97" s="627">
        <f t="shared" si="656"/>
        <v>31765.366248660841</v>
      </c>
      <c r="HB97" s="626">
        <f t="shared" ref="HB97:HM97" si="828">+HB78/HB37</f>
        <v>25.630229505786204</v>
      </c>
      <c r="HC97" s="1033">
        <f t="shared" si="828"/>
        <v>58.904443308622056</v>
      </c>
      <c r="HD97" s="1033">
        <f t="shared" si="828"/>
        <v>30.839905245236697</v>
      </c>
      <c r="HE97" s="1033">
        <f t="shared" si="828"/>
        <v>16.830181588195931</v>
      </c>
      <c r="HF97" s="1033">
        <f t="shared" si="828"/>
        <v>51.097538602269701</v>
      </c>
      <c r="HG97" s="1033">
        <f t="shared" si="828"/>
        <v>22.99437469205149</v>
      </c>
      <c r="HH97" s="1033">
        <f t="shared" si="828"/>
        <v>21.82032908799389</v>
      </c>
      <c r="HI97" s="1033">
        <f t="shared" si="828"/>
        <v>2019.7189228758937</v>
      </c>
      <c r="HJ97" s="1033">
        <f t="shared" si="828"/>
        <v>1662.1672784813818</v>
      </c>
      <c r="HK97" s="1033">
        <f t="shared" si="828"/>
        <v>227.8302431616188</v>
      </c>
      <c r="HL97" s="1033">
        <f t="shared" si="828"/>
        <v>5.0334850684864438</v>
      </c>
      <c r="HM97" s="627">
        <f t="shared" si="828"/>
        <v>51.955527960270281</v>
      </c>
      <c r="HN97" s="627">
        <f t="shared" si="658"/>
        <v>4194.8224595778065</v>
      </c>
      <c r="HO97" s="1033">
        <f t="shared" ref="HO97:HZ97" si="829">+HO78/HO37</f>
        <v>4.4733187146083333</v>
      </c>
      <c r="HP97" s="1033">
        <f t="shared" si="829"/>
        <v>17.85934210842732</v>
      </c>
      <c r="HQ97" s="1033">
        <f t="shared" si="829"/>
        <v>4.4289609434647659</v>
      </c>
      <c r="HR97" s="1033">
        <f t="shared" si="829"/>
        <v>5.5185418454255952</v>
      </c>
      <c r="HS97" s="1033">
        <f t="shared" si="829"/>
        <v>50.801065617285843</v>
      </c>
      <c r="HT97" s="1033">
        <f t="shared" si="829"/>
        <v>41.360144000803722</v>
      </c>
      <c r="HU97" s="1033">
        <f t="shared" si="829"/>
        <v>46.217062038212276</v>
      </c>
      <c r="HV97" s="1033">
        <f t="shared" si="829"/>
        <v>261.55478752802912</v>
      </c>
      <c r="HW97" s="1033">
        <f t="shared" si="829"/>
        <v>39.174120382244624</v>
      </c>
      <c r="HX97" s="1033">
        <f t="shared" si="829"/>
        <v>19.330516620543946</v>
      </c>
      <c r="HY97" s="1033">
        <f t="shared" si="829"/>
        <v>9.930485014192703</v>
      </c>
      <c r="HZ97" s="1033">
        <f t="shared" si="829"/>
        <v>14.309690651825081</v>
      </c>
      <c r="IA97" s="626">
        <f t="shared" si="660"/>
        <v>514.9580354650634</v>
      </c>
      <c r="IB97" s="1324">
        <f>+IB78/IB37</f>
        <v>3.8487602613838305</v>
      </c>
      <c r="IC97">
        <f>+IC78/IC37</f>
        <v>54.605511419545579</v>
      </c>
      <c r="ID97">
        <f>+ID78/ID37</f>
        <v>6.9336945541521056</v>
      </c>
      <c r="IE97">
        <f>+IE78/IE37</f>
        <v>7.4284278488880489</v>
      </c>
      <c r="IF97">
        <f>+IF78/IF37</f>
        <v>78.65494231022717</v>
      </c>
      <c r="IG97">
        <f t="shared" ref="IG97" si="830">+IG78/IG37</f>
        <v>4.2418622201491871</v>
      </c>
      <c r="IH97">
        <f t="shared" ref="IH97" si="831">+IH78/IH37</f>
        <v>11.102690525368031</v>
      </c>
      <c r="II97">
        <f t="shared" ref="II97" si="832">+II78/II37</f>
        <v>17.434880694806257</v>
      </c>
      <c r="IM97" s="1266"/>
      <c r="IN97" s="1059">
        <f t="shared" si="680"/>
        <v>184.25076983452018</v>
      </c>
      <c r="IO97" s="1266"/>
      <c r="IP97" s="1060">
        <f t="shared" si="662"/>
        <v>-93.334138189713741</v>
      </c>
      <c r="IQ97" s="639">
        <f t="shared" si="663"/>
        <v>-57.370399581371665</v>
      </c>
      <c r="IR97" s="344">
        <f t="shared" si="664"/>
        <v>432.21322279625701</v>
      </c>
      <c r="IS97" s="344">
        <f t="shared" si="665"/>
        <v>184.25076983452018</v>
      </c>
    </row>
    <row r="98" spans="1:253" ht="15" customHeight="1" x14ac:dyDescent="0.2">
      <c r="A98" s="342" t="s">
        <v>328</v>
      </c>
      <c r="BA98" s="644"/>
      <c r="BB98" s="1033"/>
      <c r="BC98" s="1033"/>
      <c r="BD98" s="1033"/>
      <c r="BE98" s="1033"/>
      <c r="BF98" s="1033"/>
      <c r="BG98" s="1033"/>
      <c r="BH98" s="1033"/>
      <c r="BI98" s="1033"/>
      <c r="BJ98" s="1033"/>
      <c r="BK98" s="1033"/>
      <c r="BL98" s="1033"/>
      <c r="BM98" s="1033"/>
      <c r="BN98" s="649"/>
      <c r="BO98" s="1033"/>
      <c r="BP98" s="1033"/>
      <c r="BQ98" s="1033"/>
      <c r="BR98" s="1033"/>
      <c r="BS98" s="1033"/>
      <c r="BT98" s="1033"/>
      <c r="BU98" s="1033"/>
      <c r="BV98" s="1033"/>
      <c r="BW98" s="1033"/>
      <c r="BX98" s="1033"/>
      <c r="BY98" s="1033"/>
      <c r="BZ98" s="1033"/>
      <c r="CA98" s="344"/>
      <c r="CB98" s="1033"/>
      <c r="CC98" s="1033"/>
      <c r="CD98" s="1033"/>
      <c r="CE98" s="1033"/>
      <c r="CF98" s="1033"/>
      <c r="CG98" s="1033"/>
      <c r="CH98" s="1033"/>
      <c r="CI98" s="1033"/>
      <c r="CJ98" s="1033"/>
      <c r="CK98" s="1033"/>
      <c r="CL98" s="1033"/>
      <c r="CM98" s="1033"/>
      <c r="CN98" s="625"/>
      <c r="CO98" s="626"/>
      <c r="CP98" s="1033"/>
      <c r="CQ98" s="1033"/>
      <c r="CR98" s="1033"/>
      <c r="CS98" s="1033"/>
      <c r="CT98" s="1033"/>
      <c r="CU98" s="1033"/>
      <c r="CV98" s="1033"/>
      <c r="CW98" s="1033"/>
      <c r="CX98" s="1033"/>
      <c r="CY98" s="1033"/>
      <c r="CZ98" s="1033"/>
      <c r="DA98" s="625"/>
      <c r="DB98" s="1033"/>
      <c r="DC98" s="1033"/>
      <c r="DD98" s="1033"/>
      <c r="DE98" s="1033"/>
      <c r="DF98" s="1033"/>
      <c r="DG98" s="1033"/>
      <c r="DH98" s="1033"/>
      <c r="DI98" s="1033"/>
      <c r="DJ98" s="1033"/>
      <c r="DK98" s="1033"/>
      <c r="DL98" s="1033"/>
      <c r="DM98" s="1033"/>
      <c r="DN98" s="626"/>
      <c r="DO98" s="626"/>
      <c r="DP98" s="1033"/>
      <c r="DQ98" s="1033"/>
      <c r="DR98" s="1033"/>
      <c r="DS98" s="1033"/>
      <c r="DT98" s="1033"/>
      <c r="DU98" s="1033"/>
      <c r="DV98" s="1033"/>
      <c r="DW98" s="1033"/>
      <c r="DX98" s="1033"/>
      <c r="DY98" s="1033"/>
      <c r="DZ98" s="1033"/>
      <c r="EA98" s="626"/>
      <c r="EB98" s="626">
        <f t="shared" ref="EB98:EM98" si="833">+EB79/EB37</f>
        <v>0</v>
      </c>
      <c r="EC98" s="626">
        <f t="shared" si="833"/>
        <v>0</v>
      </c>
      <c r="ED98" s="626">
        <f t="shared" si="833"/>
        <v>0</v>
      </c>
      <c r="EE98" s="626">
        <f t="shared" si="833"/>
        <v>0</v>
      </c>
      <c r="EF98" s="626">
        <f t="shared" si="833"/>
        <v>0</v>
      </c>
      <c r="EG98" s="626">
        <f t="shared" si="833"/>
        <v>0</v>
      </c>
      <c r="EH98" s="626">
        <f t="shared" si="833"/>
        <v>0</v>
      </c>
      <c r="EI98" s="626">
        <f t="shared" si="833"/>
        <v>0</v>
      </c>
      <c r="EJ98" s="626">
        <f t="shared" si="833"/>
        <v>0</v>
      </c>
      <c r="EK98" s="626">
        <f t="shared" si="833"/>
        <v>0</v>
      </c>
      <c r="EL98" s="626">
        <f t="shared" si="833"/>
        <v>0</v>
      </c>
      <c r="EM98" s="626">
        <f t="shared" si="833"/>
        <v>0</v>
      </c>
      <c r="EN98" s="625">
        <f t="shared" si="733"/>
        <v>0</v>
      </c>
      <c r="EO98" s="1033">
        <f t="shared" ref="EO98:EZ98" si="834">+EO79/EO37</f>
        <v>0</v>
      </c>
      <c r="EP98" s="1033">
        <f t="shared" si="834"/>
        <v>0</v>
      </c>
      <c r="EQ98" s="1033">
        <f t="shared" si="834"/>
        <v>0</v>
      </c>
      <c r="ER98" s="1033">
        <f t="shared" si="834"/>
        <v>0</v>
      </c>
      <c r="ES98" s="1033">
        <f t="shared" si="834"/>
        <v>338.50192573020871</v>
      </c>
      <c r="ET98" s="1033">
        <f t="shared" si="834"/>
        <v>0</v>
      </c>
      <c r="EU98" s="1033">
        <f t="shared" si="834"/>
        <v>438.31743240896202</v>
      </c>
      <c r="EV98" s="1033">
        <f t="shared" si="834"/>
        <v>0</v>
      </c>
      <c r="EW98" s="1033">
        <f t="shared" si="834"/>
        <v>0</v>
      </c>
      <c r="EX98" s="1033">
        <f t="shared" si="834"/>
        <v>0</v>
      </c>
      <c r="EY98" s="1033">
        <f t="shared" si="834"/>
        <v>0</v>
      </c>
      <c r="EZ98" s="1033">
        <f t="shared" si="834"/>
        <v>0</v>
      </c>
      <c r="FA98" s="625">
        <f t="shared" si="734"/>
        <v>776.81935813917073</v>
      </c>
      <c r="FB98" s="1033">
        <f t="shared" ref="FB98:FM98" si="835">+FB79/FB37</f>
        <v>0</v>
      </c>
      <c r="FC98" s="1033">
        <f t="shared" si="835"/>
        <v>0</v>
      </c>
      <c r="FD98" s="1033">
        <f t="shared" si="835"/>
        <v>0</v>
      </c>
      <c r="FE98" s="1033">
        <f t="shared" si="835"/>
        <v>0</v>
      </c>
      <c r="FF98" s="1033">
        <f t="shared" si="835"/>
        <v>0</v>
      </c>
      <c r="FG98" s="1033">
        <f t="shared" si="835"/>
        <v>0</v>
      </c>
      <c r="FH98" s="1033">
        <f t="shared" si="835"/>
        <v>0</v>
      </c>
      <c r="FI98" s="1033">
        <f t="shared" si="835"/>
        <v>0</v>
      </c>
      <c r="FJ98" s="1033">
        <f t="shared" si="835"/>
        <v>0</v>
      </c>
      <c r="FK98" s="1033">
        <f t="shared" si="835"/>
        <v>497.7715947398188</v>
      </c>
      <c r="FL98" s="1033">
        <f t="shared" si="835"/>
        <v>0</v>
      </c>
      <c r="FM98" s="1033">
        <f t="shared" si="835"/>
        <v>0</v>
      </c>
      <c r="FN98" s="625">
        <f t="shared" si="735"/>
        <v>497.7715947398188</v>
      </c>
      <c r="FO98" s="1033">
        <f t="shared" ref="FO98:FZ98" si="836">+FO79/FO37</f>
        <v>0</v>
      </c>
      <c r="FP98" s="1033">
        <f t="shared" si="836"/>
        <v>0</v>
      </c>
      <c r="FQ98" s="1033">
        <f t="shared" si="836"/>
        <v>0</v>
      </c>
      <c r="FR98" s="1033">
        <f t="shared" si="836"/>
        <v>162.78109320545067</v>
      </c>
      <c r="FS98" s="1033">
        <f t="shared" si="836"/>
        <v>0</v>
      </c>
      <c r="FT98" s="1033">
        <f t="shared" si="836"/>
        <v>0</v>
      </c>
      <c r="FU98" s="1033">
        <f t="shared" si="836"/>
        <v>0</v>
      </c>
      <c r="FV98" s="1033">
        <f t="shared" si="836"/>
        <v>0</v>
      </c>
      <c r="FW98" s="1033">
        <f t="shared" si="836"/>
        <v>0</v>
      </c>
      <c r="FX98" s="1033">
        <f t="shared" si="836"/>
        <v>0</v>
      </c>
      <c r="FY98" s="1033">
        <f t="shared" si="836"/>
        <v>0</v>
      </c>
      <c r="FZ98" s="627">
        <f t="shared" si="836"/>
        <v>0</v>
      </c>
      <c r="GA98" s="627">
        <f t="shared" si="653"/>
        <v>162.78109320545067</v>
      </c>
      <c r="GB98" s="626">
        <f t="shared" ref="GB98:GM98" si="837">+GB79/GB37</f>
        <v>0</v>
      </c>
      <c r="GC98" s="1033">
        <f t="shared" si="837"/>
        <v>313.41285444530723</v>
      </c>
      <c r="GD98" s="1033">
        <f t="shared" si="837"/>
        <v>0</v>
      </c>
      <c r="GE98" s="1033">
        <f t="shared" si="837"/>
        <v>0</v>
      </c>
      <c r="GF98" s="1033">
        <f t="shared" si="837"/>
        <v>0</v>
      </c>
      <c r="GG98" s="1033">
        <f t="shared" si="837"/>
        <v>301.16341778105794</v>
      </c>
      <c r="GH98" s="1033">
        <f t="shared" si="837"/>
        <v>0</v>
      </c>
      <c r="GI98" s="1033">
        <f t="shared" si="837"/>
        <v>0</v>
      </c>
      <c r="GJ98" s="1033">
        <f t="shared" si="837"/>
        <v>0</v>
      </c>
      <c r="GK98" s="1033">
        <f t="shared" si="837"/>
        <v>0</v>
      </c>
      <c r="GL98" s="1034">
        <f t="shared" si="837"/>
        <v>0</v>
      </c>
      <c r="GM98" s="628">
        <f t="shared" si="837"/>
        <v>0</v>
      </c>
      <c r="GN98" s="625">
        <f t="shared" si="654"/>
        <v>614.57627222636518</v>
      </c>
      <c r="GO98" s="626">
        <f t="shared" ref="GO98:GZ98" si="838">+GO79/GO37</f>
        <v>0</v>
      </c>
      <c r="GP98" s="1033">
        <f t="shared" si="838"/>
        <v>0</v>
      </c>
      <c r="GQ98" s="1033">
        <f t="shared" si="838"/>
        <v>0</v>
      </c>
      <c r="GR98" s="1033">
        <f t="shared" si="838"/>
        <v>0</v>
      </c>
      <c r="GS98" s="1033">
        <f t="shared" si="838"/>
        <v>322.55023311457307</v>
      </c>
      <c r="GT98" s="1033">
        <f t="shared" si="838"/>
        <v>0</v>
      </c>
      <c r="GU98" s="1033">
        <f t="shared" si="838"/>
        <v>281.77169279456359</v>
      </c>
      <c r="GV98" s="1033">
        <f t="shared" si="838"/>
        <v>21.067110564841137</v>
      </c>
      <c r="GW98" s="1033">
        <f t="shared" si="838"/>
        <v>1337.2093883064422</v>
      </c>
      <c r="GX98" s="1033">
        <f t="shared" si="838"/>
        <v>0</v>
      </c>
      <c r="GY98" s="1033">
        <f t="shared" si="838"/>
        <v>131.562353714963</v>
      </c>
      <c r="GZ98" s="627">
        <f t="shared" si="838"/>
        <v>2518.5312643113293</v>
      </c>
      <c r="HA98" s="627">
        <f t="shared" si="656"/>
        <v>4612.6920428067124</v>
      </c>
      <c r="HB98" s="626">
        <f t="shared" ref="HB98:HM98" si="839">+HB79/HB37</f>
        <v>280.79340325227997</v>
      </c>
      <c r="HC98" s="1033">
        <f t="shared" si="839"/>
        <v>17.558055216993111</v>
      </c>
      <c r="HD98" s="1033">
        <f t="shared" si="839"/>
        <v>0</v>
      </c>
      <c r="HE98" s="1033">
        <f t="shared" si="839"/>
        <v>0</v>
      </c>
      <c r="HF98" s="1033">
        <f t="shared" si="839"/>
        <v>35.37521903234056</v>
      </c>
      <c r="HG98" s="1033">
        <f t="shared" si="839"/>
        <v>0</v>
      </c>
      <c r="HH98" s="1033">
        <f t="shared" si="839"/>
        <v>0</v>
      </c>
      <c r="HI98" s="1033">
        <f t="shared" si="839"/>
        <v>0</v>
      </c>
      <c r="HJ98" s="1033">
        <f t="shared" si="839"/>
        <v>0</v>
      </c>
      <c r="HK98" s="1033">
        <f t="shared" si="839"/>
        <v>0</v>
      </c>
      <c r="HL98" s="1033">
        <f t="shared" si="839"/>
        <v>47.538470091260862</v>
      </c>
      <c r="HM98" s="627">
        <f t="shared" si="839"/>
        <v>0</v>
      </c>
      <c r="HN98" s="627">
        <f t="shared" si="658"/>
        <v>381.26514759287454</v>
      </c>
      <c r="HO98" s="1033">
        <f t="shared" ref="HO98:HZ98" si="840">+HO79/HO37</f>
        <v>0</v>
      </c>
      <c r="HP98" s="1033">
        <f t="shared" si="840"/>
        <v>0</v>
      </c>
      <c r="HQ98" s="1033">
        <f t="shared" si="840"/>
        <v>0</v>
      </c>
      <c r="HR98" s="1033">
        <f t="shared" si="840"/>
        <v>0</v>
      </c>
      <c r="HS98" s="1033">
        <f t="shared" si="840"/>
        <v>0</v>
      </c>
      <c r="HT98" s="1033">
        <f t="shared" si="840"/>
        <v>0</v>
      </c>
      <c r="HU98" s="1033">
        <f t="shared" si="840"/>
        <v>0</v>
      </c>
      <c r="HV98" s="1033">
        <f t="shared" si="840"/>
        <v>0</v>
      </c>
      <c r="HW98" s="1033">
        <f t="shared" si="840"/>
        <v>272.01184997812112</v>
      </c>
      <c r="HX98" s="1033">
        <f t="shared" si="840"/>
        <v>0</v>
      </c>
      <c r="HY98" s="1033">
        <f t="shared" si="840"/>
        <v>321.08568212556406</v>
      </c>
      <c r="HZ98" s="1033">
        <f t="shared" si="840"/>
        <v>0</v>
      </c>
      <c r="IA98" s="626">
        <f t="shared" si="660"/>
        <v>593.09753210368513</v>
      </c>
      <c r="IB98" s="1324">
        <f>+IB79/IB37</f>
        <v>0</v>
      </c>
      <c r="IC98">
        <f>+IC79/IC37</f>
        <v>0</v>
      </c>
      <c r="ID98">
        <f>+ID79/ID37</f>
        <v>0</v>
      </c>
      <c r="IE98">
        <f>+IE79/IE37</f>
        <v>0</v>
      </c>
      <c r="IF98">
        <f>+IF79/IF37</f>
        <v>0</v>
      </c>
      <c r="IG98">
        <f t="shared" ref="IG98" si="841">+IG79/IG37</f>
        <v>0</v>
      </c>
      <c r="IH98">
        <f t="shared" ref="IH98" si="842">+IH79/IH37</f>
        <v>260.64887757173517</v>
      </c>
      <c r="II98">
        <f t="shared" ref="II98" si="843">+II79/II37</f>
        <v>0</v>
      </c>
      <c r="IM98" s="1266"/>
      <c r="IN98" s="1059">
        <f t="shared" si="680"/>
        <v>260.64887757173517</v>
      </c>
      <c r="IO98" s="1266"/>
      <c r="IP98" s="1060" t="str">
        <f t="shared" si="662"/>
        <v/>
      </c>
      <c r="IQ98" s="639" t="str">
        <f t="shared" si="663"/>
        <v>-</v>
      </c>
      <c r="IR98" s="344">
        <f t="shared" si="664"/>
        <v>0</v>
      </c>
      <c r="IS98" s="344">
        <f t="shared" si="665"/>
        <v>260.64887757173517</v>
      </c>
    </row>
    <row r="99" spans="1:253" ht="15" customHeight="1" x14ac:dyDescent="0.2">
      <c r="A99" s="644" t="s">
        <v>321</v>
      </c>
      <c r="BA99" s="644"/>
      <c r="BB99" s="1033">
        <f t="shared" ref="BB99:BM99" si="844">+BB80/BB69*100</f>
        <v>1825.6631602197047</v>
      </c>
      <c r="BC99" s="1033">
        <f t="shared" si="844"/>
        <v>3520.1778554403049</v>
      </c>
      <c r="BD99" s="1033">
        <f t="shared" si="844"/>
        <v>6766.6411369786601</v>
      </c>
      <c r="BE99" s="1033">
        <f t="shared" si="844"/>
        <v>4704.0749165082461</v>
      </c>
      <c r="BF99" s="1033">
        <f t="shared" si="844"/>
        <v>5362.5369842121836</v>
      </c>
      <c r="BG99" s="1033">
        <f t="shared" si="844"/>
        <v>5321.3817114136673</v>
      </c>
      <c r="BH99" s="1033">
        <f t="shared" si="844"/>
        <v>5001.2453891065952</v>
      </c>
      <c r="BI99" s="1033">
        <f t="shared" si="844"/>
        <v>7082.5535333361313</v>
      </c>
      <c r="BJ99" s="1033">
        <f t="shared" si="844"/>
        <v>6264.0232108539149</v>
      </c>
      <c r="BK99" s="1033">
        <f t="shared" si="844"/>
        <v>8348.5848036893512</v>
      </c>
      <c r="BL99" s="1033">
        <f t="shared" si="844"/>
        <v>9200.8866218303901</v>
      </c>
      <c r="BM99" s="1033">
        <f t="shared" si="844"/>
        <v>15308.353931881084</v>
      </c>
      <c r="BN99" s="649">
        <f>SUM(BB99:BM99)</f>
        <v>78706.123255470229</v>
      </c>
      <c r="BO99" s="1033">
        <f t="shared" ref="BO99:BZ99" si="845">+BO80/BO69*100</f>
        <v>1889.2922238367348</v>
      </c>
      <c r="BP99" s="1033">
        <f t="shared" si="845"/>
        <v>3565.8640261681749</v>
      </c>
      <c r="BQ99" s="1033">
        <f t="shared" si="845"/>
        <v>5614.3518148907924</v>
      </c>
      <c r="BR99" s="1033">
        <f t="shared" si="845"/>
        <v>6164.8931019128941</v>
      </c>
      <c r="BS99" s="1033">
        <f t="shared" si="845"/>
        <v>6761.9942110771799</v>
      </c>
      <c r="BT99" s="1033">
        <f t="shared" si="845"/>
        <v>7954.8452250611817</v>
      </c>
      <c r="BU99" s="1033">
        <f t="shared" si="845"/>
        <v>6195.2786563894015</v>
      </c>
      <c r="BV99" s="1033">
        <f t="shared" si="845"/>
        <v>8212.0068119437456</v>
      </c>
      <c r="BW99" s="1033">
        <f t="shared" si="845"/>
        <v>8410.2155351544825</v>
      </c>
      <c r="BX99" s="1033">
        <f t="shared" si="845"/>
        <v>5709.5971527358015</v>
      </c>
      <c r="BY99" s="1033">
        <f t="shared" si="845"/>
        <v>11527.350344078422</v>
      </c>
      <c r="BZ99" s="1033">
        <f t="shared" si="845"/>
        <v>18547.40246473001</v>
      </c>
      <c r="CA99" s="344">
        <f t="shared" si="749"/>
        <v>90553.09156797883</v>
      </c>
      <c r="CB99" s="1033">
        <f t="shared" ref="CB99:CM99" si="846">+CB80/CB69*100</f>
        <v>2163.5635283161873</v>
      </c>
      <c r="CC99" s="1033">
        <f t="shared" si="846"/>
        <v>6094.185009242341</v>
      </c>
      <c r="CD99" s="1033">
        <f t="shared" si="846"/>
        <v>6413.2323996239738</v>
      </c>
      <c r="CE99" s="1033">
        <f t="shared" si="846"/>
        <v>6554.9066553496514</v>
      </c>
      <c r="CF99" s="1033">
        <f t="shared" si="846"/>
        <v>9263.8271331746873</v>
      </c>
      <c r="CG99" s="1033">
        <f t="shared" si="846"/>
        <v>9365.9100246978815</v>
      </c>
      <c r="CH99" s="1033">
        <f t="shared" si="846"/>
        <v>8295.6325682383322</v>
      </c>
      <c r="CI99" s="1033">
        <f t="shared" si="846"/>
        <v>7978.8354767985356</v>
      </c>
      <c r="CJ99" s="1033">
        <f t="shared" si="846"/>
        <v>11325.516995155447</v>
      </c>
      <c r="CK99" s="1033">
        <f t="shared" si="846"/>
        <v>9139.7510603932624</v>
      </c>
      <c r="CL99" s="1033">
        <f t="shared" si="846"/>
        <v>13371.521661904324</v>
      </c>
      <c r="CM99" s="1033">
        <f t="shared" si="846"/>
        <v>19405.090301388118</v>
      </c>
      <c r="CN99" s="625">
        <f t="shared" si="750"/>
        <v>109371.97281428274</v>
      </c>
      <c r="CO99" s="626">
        <f t="shared" ref="CO99:CZ99" si="847">+CO80/CO69*100</f>
        <v>2688.5133956785116</v>
      </c>
      <c r="CP99" s="1033">
        <f t="shared" si="847"/>
        <v>5432.5328541810841</v>
      </c>
      <c r="CQ99" s="1033">
        <f t="shared" si="847"/>
        <v>8366.6565282160718</v>
      </c>
      <c r="CR99" s="1033">
        <f t="shared" si="847"/>
        <v>11056.726202427553</v>
      </c>
      <c r="CS99" s="1033">
        <f t="shared" si="847"/>
        <v>9562.6645720917058</v>
      </c>
      <c r="CT99" s="1033">
        <f t="shared" si="847"/>
        <v>20052.491847302015</v>
      </c>
      <c r="CU99" s="1033">
        <f t="shared" si="847"/>
        <v>12968.935028186428</v>
      </c>
      <c r="CV99" s="1033">
        <f t="shared" si="847"/>
        <v>32924.241803371988</v>
      </c>
      <c r="CW99" s="1033">
        <f t="shared" si="847"/>
        <v>15411.253385490372</v>
      </c>
      <c r="CX99" s="1033">
        <f t="shared" si="847"/>
        <v>16229.919682135289</v>
      </c>
      <c r="CY99" s="1033">
        <f t="shared" si="847"/>
        <v>20435.280000865929</v>
      </c>
      <c r="CZ99" s="1033">
        <f t="shared" si="847"/>
        <v>28700.563749692843</v>
      </c>
      <c r="DA99" s="625">
        <f t="shared" si="730"/>
        <v>183829.77904963979</v>
      </c>
      <c r="DB99" s="1033">
        <f t="shared" ref="DB99:DM99" si="848">+DB80/DB69*100</f>
        <v>2531.6296637523592</v>
      </c>
      <c r="DC99" s="1033">
        <f t="shared" si="848"/>
        <v>5813.994877986087</v>
      </c>
      <c r="DD99" s="1033">
        <f t="shared" si="848"/>
        <v>14144.550496600656</v>
      </c>
      <c r="DE99" s="1033">
        <f t="shared" si="848"/>
        <v>13837.074140462932</v>
      </c>
      <c r="DF99" s="1033">
        <f t="shared" si="848"/>
        <v>13222.635478125634</v>
      </c>
      <c r="DG99" s="1033">
        <f t="shared" si="848"/>
        <v>11597.530513900359</v>
      </c>
      <c r="DH99" s="1033">
        <f t="shared" si="848"/>
        <v>11937.425178762092</v>
      </c>
      <c r="DI99" s="1033">
        <f t="shared" si="848"/>
        <v>12661.723802242286</v>
      </c>
      <c r="DJ99" s="1033">
        <f t="shared" si="848"/>
        <v>14044.972551891604</v>
      </c>
      <c r="DK99" s="1033">
        <f t="shared" si="848"/>
        <v>11692.260034081359</v>
      </c>
      <c r="DL99" s="1033">
        <f t="shared" si="848"/>
        <v>13821.009623562491</v>
      </c>
      <c r="DM99" s="1033">
        <f t="shared" si="848"/>
        <v>42971.457623800205</v>
      </c>
      <c r="DN99" s="626">
        <f t="shared" si="731"/>
        <v>168276.26398516807</v>
      </c>
      <c r="DO99" s="626">
        <f t="shared" ref="DO99:DZ99" si="849">+DO80/DO69*100</f>
        <v>3148.1831995755342</v>
      </c>
      <c r="DP99" s="1033">
        <f t="shared" si="849"/>
        <v>7201.1461988486144</v>
      </c>
      <c r="DQ99" s="1033">
        <f t="shared" si="849"/>
        <v>10254.408034950415</v>
      </c>
      <c r="DR99" s="1033">
        <f t="shared" si="849"/>
        <v>12050.375900199795</v>
      </c>
      <c r="DS99" s="1033">
        <f t="shared" si="849"/>
        <v>13302.781323889176</v>
      </c>
      <c r="DT99" s="1033">
        <f t="shared" si="849"/>
        <v>13481.874539171846</v>
      </c>
      <c r="DU99" s="1033">
        <f t="shared" si="849"/>
        <v>12212.511517479214</v>
      </c>
      <c r="DV99" s="1033">
        <f t="shared" si="849"/>
        <v>13783.108496276685</v>
      </c>
      <c r="DW99" s="1033">
        <f t="shared" si="849"/>
        <v>12817.062560741922</v>
      </c>
      <c r="DX99" s="1033">
        <f t="shared" si="849"/>
        <v>13147.779630932711</v>
      </c>
      <c r="DY99" s="1033">
        <f t="shared" si="849"/>
        <v>17285.888282020769</v>
      </c>
      <c r="DZ99" s="1033">
        <f t="shared" si="849"/>
        <v>34461.643236545169</v>
      </c>
      <c r="EA99" s="626">
        <f t="shared" si="732"/>
        <v>163146.76292063185</v>
      </c>
      <c r="EB99" s="626">
        <f t="shared" ref="EB99:EM99" si="850">+EB80/EB69*100</f>
        <v>3823.1417024542666</v>
      </c>
      <c r="EC99" s="1033">
        <f t="shared" si="850"/>
        <v>7868.8785561168843</v>
      </c>
      <c r="ED99" s="1033">
        <f t="shared" si="850"/>
        <v>9486.4913514084765</v>
      </c>
      <c r="EE99" s="1033">
        <f t="shared" si="850"/>
        <v>10152.61389961253</v>
      </c>
      <c r="EF99" s="1033">
        <f t="shared" si="850"/>
        <v>10769.649537034353</v>
      </c>
      <c r="EG99" s="1033">
        <f t="shared" si="850"/>
        <v>16296.92131170074</v>
      </c>
      <c r="EH99" s="1033">
        <f t="shared" si="850"/>
        <v>14750.203024146089</v>
      </c>
      <c r="EI99" s="1033">
        <f t="shared" si="850"/>
        <v>15473.326274843328</v>
      </c>
      <c r="EJ99" s="1033">
        <f t="shared" si="850"/>
        <v>17138.034282654753</v>
      </c>
      <c r="EK99" s="1033">
        <f t="shared" si="850"/>
        <v>24863.515784488842</v>
      </c>
      <c r="EL99" s="1033">
        <f t="shared" si="850"/>
        <v>21128.131126812357</v>
      </c>
      <c r="EM99" s="1033">
        <f t="shared" si="850"/>
        <v>43000.28506869961</v>
      </c>
      <c r="EN99" s="625">
        <f t="shared" si="733"/>
        <v>194751.19191997225</v>
      </c>
      <c r="EO99" s="1033">
        <f t="shared" ref="EO99:EZ99" si="851">+EO80/EO69*100</f>
        <v>4551.5943711085292</v>
      </c>
      <c r="EP99" s="1033">
        <f t="shared" si="851"/>
        <v>5121.8289061077367</v>
      </c>
      <c r="EQ99" s="1033">
        <f t="shared" si="851"/>
        <v>8900.4306459999989</v>
      </c>
      <c r="ER99" s="1033">
        <f t="shared" si="851"/>
        <v>10064.270981678668</v>
      </c>
      <c r="ES99" s="1033">
        <f t="shared" si="851"/>
        <v>12419.873148650848</v>
      </c>
      <c r="ET99" s="1033">
        <f t="shared" si="851"/>
        <v>12427.006873204165</v>
      </c>
      <c r="EU99" s="1033">
        <f t="shared" si="851"/>
        <v>13070.744524920114</v>
      </c>
      <c r="EV99" s="1033">
        <f t="shared" si="851"/>
        <v>47273.379974421659</v>
      </c>
      <c r="EW99" s="1033">
        <f t="shared" si="851"/>
        <v>17889.763124192697</v>
      </c>
      <c r="EX99" s="1033">
        <f t="shared" si="851"/>
        <v>19662.462293631757</v>
      </c>
      <c r="EY99" s="1033">
        <f t="shared" si="851"/>
        <v>19747.135691782209</v>
      </c>
      <c r="EZ99" s="1033">
        <f t="shared" si="851"/>
        <v>40880.597275080574</v>
      </c>
      <c r="FA99" s="625">
        <f t="shared" si="734"/>
        <v>212009.0878107789</v>
      </c>
      <c r="FB99" s="1033">
        <f t="shared" ref="FB99:FM99" si="852">+FB80/FB69*100</f>
        <v>5829.9359174463771</v>
      </c>
      <c r="FC99" s="1033">
        <f t="shared" si="852"/>
        <v>8889.4613725394811</v>
      </c>
      <c r="FD99" s="1033">
        <f t="shared" si="852"/>
        <v>14025.265227024491</v>
      </c>
      <c r="FE99" s="1033">
        <f t="shared" si="852"/>
        <v>13119.599681373851</v>
      </c>
      <c r="FF99" s="1033">
        <f t="shared" si="852"/>
        <v>14451.53066460162</v>
      </c>
      <c r="FG99" s="1033">
        <f t="shared" si="852"/>
        <v>16760.611121655624</v>
      </c>
      <c r="FH99" s="1033">
        <f t="shared" si="852"/>
        <v>23653.983530098332</v>
      </c>
      <c r="FI99" s="1033">
        <f t="shared" si="852"/>
        <v>17874.850037357814</v>
      </c>
      <c r="FJ99" s="1033">
        <f t="shared" si="852"/>
        <v>22770.143034343215</v>
      </c>
      <c r="FK99" s="1033">
        <f t="shared" si="852"/>
        <v>23091.685876397889</v>
      </c>
      <c r="FL99" s="1033">
        <f t="shared" si="852"/>
        <v>23809.341128817683</v>
      </c>
      <c r="FM99" s="1033">
        <f t="shared" si="852"/>
        <v>72109.297793624472</v>
      </c>
      <c r="FN99" s="625">
        <f t="shared" si="735"/>
        <v>256385.70538528083</v>
      </c>
      <c r="FO99" s="1033">
        <f t="shared" ref="FO99:FZ99" si="853">+FO80/FO69*100</f>
        <v>6472.9654359709966</v>
      </c>
      <c r="FP99" s="1033">
        <f t="shared" si="853"/>
        <v>16034.474153411828</v>
      </c>
      <c r="FQ99" s="1033">
        <f t="shared" si="853"/>
        <v>21306.182486630569</v>
      </c>
      <c r="FR99" s="1033">
        <f t="shared" si="853"/>
        <v>25020.776833402895</v>
      </c>
      <c r="FS99" s="1033">
        <f t="shared" si="853"/>
        <v>27309.120961685472</v>
      </c>
      <c r="FT99" s="1033">
        <f t="shared" si="853"/>
        <v>26347.138309750797</v>
      </c>
      <c r="FU99" s="1033">
        <f t="shared" si="853"/>
        <v>27112.21298364933</v>
      </c>
      <c r="FV99" s="1033">
        <f t="shared" si="853"/>
        <v>24315.521648577629</v>
      </c>
      <c r="FW99" s="1033">
        <f t="shared" si="853"/>
        <v>23677.757029014312</v>
      </c>
      <c r="FX99" s="1033">
        <f t="shared" si="853"/>
        <v>25938.009204337362</v>
      </c>
      <c r="FY99" s="1033">
        <f t="shared" si="853"/>
        <v>21946.103203626495</v>
      </c>
      <c r="FZ99" s="627">
        <f t="shared" si="853"/>
        <v>55278.901218251041</v>
      </c>
      <c r="GA99" s="627">
        <f t="shared" si="653"/>
        <v>300759.16346830875</v>
      </c>
      <c r="GB99" s="626">
        <f t="shared" ref="GB99:GM99" si="854">+GB80/GB69*100</f>
        <v>15294.665535559474</v>
      </c>
      <c r="GC99" s="1033">
        <f t="shared" si="854"/>
        <v>17217.231666857686</v>
      </c>
      <c r="GD99" s="1033">
        <f t="shared" si="854"/>
        <v>25243.139456589954</v>
      </c>
      <c r="GE99" s="1033">
        <f t="shared" si="854"/>
        <v>24727.911519979167</v>
      </c>
      <c r="GF99" s="1033">
        <f t="shared" si="854"/>
        <v>26361.902483239846</v>
      </c>
      <c r="GG99" s="1033">
        <f t="shared" si="854"/>
        <v>29336.274568973608</v>
      </c>
      <c r="GH99" s="1033">
        <f t="shared" si="854"/>
        <v>27448.585754286869</v>
      </c>
      <c r="GI99" s="1033">
        <f t="shared" si="854"/>
        <v>28845.874354635856</v>
      </c>
      <c r="GJ99" s="1033">
        <f t="shared" si="854"/>
        <v>23521.451706859178</v>
      </c>
      <c r="GK99" s="1033">
        <f t="shared" si="854"/>
        <v>23163.698782029467</v>
      </c>
      <c r="GL99" s="1034">
        <f t="shared" si="854"/>
        <v>29492.903427338017</v>
      </c>
      <c r="GM99" s="628">
        <f t="shared" si="854"/>
        <v>57236.685431697471</v>
      </c>
      <c r="GN99" s="625">
        <f t="shared" si="654"/>
        <v>327890.32468804659</v>
      </c>
      <c r="GO99" s="626">
        <f t="shared" ref="GO99:GZ99" si="855">+GO80/GO69*100</f>
        <v>10555.447956788292</v>
      </c>
      <c r="GP99" s="1033">
        <f t="shared" si="855"/>
        <v>16866.588968997617</v>
      </c>
      <c r="GQ99" s="1033">
        <f t="shared" si="855"/>
        <v>22623.473268218608</v>
      </c>
      <c r="GR99" s="1033">
        <f t="shared" si="855"/>
        <v>19521.131337604183</v>
      </c>
      <c r="GS99" s="1033">
        <f t="shared" si="855"/>
        <v>25531.434905820028</v>
      </c>
      <c r="GT99" s="1033">
        <f t="shared" si="855"/>
        <v>24862.731725696496</v>
      </c>
      <c r="GU99" s="1033">
        <f t="shared" si="855"/>
        <v>28001.725893486135</v>
      </c>
      <c r="GV99" s="1033">
        <f t="shared" si="855"/>
        <v>29702.437051315781</v>
      </c>
      <c r="GW99" s="1033">
        <f t="shared" si="855"/>
        <v>25958.537322211276</v>
      </c>
      <c r="GX99" s="1033">
        <f t="shared" si="855"/>
        <v>28211.203940604428</v>
      </c>
      <c r="GY99" s="1033">
        <f t="shared" si="855"/>
        <v>34865.429658843372</v>
      </c>
      <c r="GZ99" s="627">
        <f t="shared" si="855"/>
        <v>54380.739558722642</v>
      </c>
      <c r="HA99" s="627">
        <f t="shared" si="656"/>
        <v>321080.8815883089</v>
      </c>
      <c r="HB99" s="626">
        <f t="shared" ref="HB99:HM99" si="856">+HB80/HB69*100</f>
        <v>2667.8902862834871</v>
      </c>
      <c r="HC99" s="1033">
        <f t="shared" si="856"/>
        <v>7331.2350458608435</v>
      </c>
      <c r="HD99" s="1033">
        <f t="shared" si="856"/>
        <v>9816.7051352932995</v>
      </c>
      <c r="HE99" s="1033">
        <f t="shared" si="856"/>
        <v>13794.616543372786</v>
      </c>
      <c r="HF99" s="1033">
        <f t="shared" si="856"/>
        <v>16349.150678958213</v>
      </c>
      <c r="HG99" s="1033">
        <f t="shared" si="856"/>
        <v>16811.173688153245</v>
      </c>
      <c r="HH99" s="1033">
        <f t="shared" si="856"/>
        <v>15481.053205469774</v>
      </c>
      <c r="HI99" s="1033">
        <f t="shared" si="856"/>
        <v>17905.942950939509</v>
      </c>
      <c r="HJ99" s="1033">
        <f t="shared" si="856"/>
        <v>17174.008786095106</v>
      </c>
      <c r="HK99" s="1033">
        <f t="shared" si="856"/>
        <v>17575.719575905045</v>
      </c>
      <c r="HL99" s="1033">
        <f t="shared" si="856"/>
        <v>19749.755538414429</v>
      </c>
      <c r="HM99" s="627">
        <f t="shared" si="856"/>
        <v>35157.837526623211</v>
      </c>
      <c r="HN99" s="627">
        <f t="shared" si="658"/>
        <v>189815.08896136895</v>
      </c>
      <c r="HO99" s="1033">
        <f t="shared" ref="HO99:HZ99" si="857">+HO80/HO69*100</f>
        <v>2588.6547777435612</v>
      </c>
      <c r="HP99" s="1033">
        <f t="shared" si="857"/>
        <v>8238.0226354275419</v>
      </c>
      <c r="HQ99" s="1033">
        <f t="shared" si="857"/>
        <v>11955.313413679858</v>
      </c>
      <c r="HR99" s="1033">
        <f t="shared" si="857"/>
        <v>15609.396131443174</v>
      </c>
      <c r="HS99" s="1033">
        <f t="shared" si="857"/>
        <v>17873.750953665971</v>
      </c>
      <c r="HT99" s="1033">
        <f t="shared" si="857"/>
        <v>14843.557798281949</v>
      </c>
      <c r="HU99" s="1033">
        <f t="shared" si="857"/>
        <v>14804.715829664496</v>
      </c>
      <c r="HV99" s="1033">
        <f t="shared" si="857"/>
        <v>20170.472619238411</v>
      </c>
      <c r="HW99" s="1033">
        <f t="shared" si="857"/>
        <v>20484.515390767025</v>
      </c>
      <c r="HX99" s="1033">
        <f t="shared" si="857"/>
        <v>23812.542814617795</v>
      </c>
      <c r="HY99" s="1033">
        <f t="shared" si="857"/>
        <v>19278.015662505139</v>
      </c>
      <c r="HZ99" s="1033">
        <f t="shared" si="857"/>
        <v>42518.294174105147</v>
      </c>
      <c r="IA99" s="626">
        <f t="shared" si="660"/>
        <v>212177.2522011401</v>
      </c>
      <c r="IB99" s="1324">
        <f t="shared" ref="IB99:IG99" si="858">+IB80/IB69*100</f>
        <v>1442.3158188204948</v>
      </c>
      <c r="IC99">
        <f t="shared" si="858"/>
        <v>12102.797539387579</v>
      </c>
      <c r="ID99">
        <f t="shared" si="858"/>
        <v>18413.420214304442</v>
      </c>
      <c r="IE99">
        <f t="shared" si="858"/>
        <v>16819.560040385637</v>
      </c>
      <c r="IF99">
        <f t="shared" si="858"/>
        <v>24715.61067172014</v>
      </c>
      <c r="IG99">
        <f t="shared" si="858"/>
        <v>20658.049488296245</v>
      </c>
      <c r="IH99">
        <f t="shared" ref="IH99" si="859">+IH80/IH69*100</f>
        <v>20346.619682809061</v>
      </c>
      <c r="II99">
        <f t="shared" ref="II99" si="860">+II80/II69*100</f>
        <v>21894.742093175046</v>
      </c>
      <c r="IM99" s="1266"/>
      <c r="IN99" s="1059">
        <f t="shared" si="680"/>
        <v>136393.11554889864</v>
      </c>
      <c r="IO99" s="1266"/>
      <c r="IP99" s="1060">
        <f t="shared" si="662"/>
        <v>8.5484832531491648</v>
      </c>
      <c r="IQ99" s="639">
        <f t="shared" si="663"/>
        <v>28.571004568690526</v>
      </c>
      <c r="IR99" s="344">
        <f t="shared" si="664"/>
        <v>106083.88415914496</v>
      </c>
      <c r="IS99" s="344">
        <f t="shared" si="665"/>
        <v>136393.11554889864</v>
      </c>
    </row>
    <row r="100" spans="1:253" ht="15" customHeight="1" x14ac:dyDescent="0.2">
      <c r="A100" s="648" t="s">
        <v>322</v>
      </c>
      <c r="BA100" s="648"/>
      <c r="BB100" s="1030">
        <f t="shared" ref="BB100:BM100" si="861">+BB101+BB105</f>
        <v>19357.849192127323</v>
      </c>
      <c r="BC100" s="1030">
        <f t="shared" si="861"/>
        <v>12392.807325242851</v>
      </c>
      <c r="BD100" s="1030">
        <f t="shared" si="861"/>
        <v>18378.55468581993</v>
      </c>
      <c r="BE100" s="1030">
        <f t="shared" si="861"/>
        <v>11394.083469473595</v>
      </c>
      <c r="BF100" s="1030">
        <f t="shared" si="861"/>
        <v>30399.874891676565</v>
      </c>
      <c r="BG100" s="1030">
        <f t="shared" si="861"/>
        <v>16079.53675791788</v>
      </c>
      <c r="BH100" s="1030">
        <f t="shared" si="861"/>
        <v>15705.782435240526</v>
      </c>
      <c r="BI100" s="1030">
        <f t="shared" si="861"/>
        <v>21883.905360755813</v>
      </c>
      <c r="BJ100" s="1030">
        <f t="shared" si="861"/>
        <v>17452.254237522931</v>
      </c>
      <c r="BK100" s="1030">
        <f t="shared" si="861"/>
        <v>23170.685015996234</v>
      </c>
      <c r="BL100" s="1030">
        <f t="shared" si="861"/>
        <v>16607.937130399496</v>
      </c>
      <c r="BM100" s="1030">
        <f t="shared" si="861"/>
        <v>24515.912731306093</v>
      </c>
      <c r="BN100" s="649">
        <f>SUM(BB100:BM100)</f>
        <v>227339.18323347924</v>
      </c>
      <c r="BO100" s="1030">
        <f t="shared" ref="BO100:BZ100" si="862">SUM(BO101:BO105)</f>
        <v>18357.591678876524</v>
      </c>
      <c r="BP100" s="1030">
        <f t="shared" si="862"/>
        <v>44155.463086931602</v>
      </c>
      <c r="BQ100" s="1030">
        <f t="shared" si="862"/>
        <v>22033.795593947274</v>
      </c>
      <c r="BR100" s="1030">
        <f t="shared" si="862"/>
        <v>29531.606136309303</v>
      </c>
      <c r="BS100" s="1030">
        <f t="shared" si="862"/>
        <v>36062.344921079617</v>
      </c>
      <c r="BT100" s="1030">
        <f t="shared" si="862"/>
        <v>20791.148637368424</v>
      </c>
      <c r="BU100" s="1030">
        <f t="shared" si="862"/>
        <v>19928.599132601179</v>
      </c>
      <c r="BV100" s="1030">
        <f t="shared" si="862"/>
        <v>32751.239098694794</v>
      </c>
      <c r="BW100" s="1030">
        <f t="shared" si="862"/>
        <v>31967.476375733379</v>
      </c>
      <c r="BX100" s="1030">
        <f t="shared" si="862"/>
        <v>33488.2989814143</v>
      </c>
      <c r="BY100" s="1030">
        <f t="shared" si="862"/>
        <v>36824.632450547215</v>
      </c>
      <c r="BZ100" s="1030">
        <f t="shared" si="862"/>
        <v>44161.958745915836</v>
      </c>
      <c r="CA100" s="344">
        <f t="shared" si="749"/>
        <v>370054.15483941947</v>
      </c>
      <c r="CB100" s="1030">
        <f t="shared" ref="CB100:CM100" si="863">SUM(CB101:CB105)</f>
        <v>0</v>
      </c>
      <c r="CC100" s="1030">
        <f t="shared" si="863"/>
        <v>0</v>
      </c>
      <c r="CD100" s="1030">
        <f t="shared" si="863"/>
        <v>0</v>
      </c>
      <c r="CE100" s="1030">
        <f t="shared" si="863"/>
        <v>0</v>
      </c>
      <c r="CF100" s="1030">
        <f t="shared" si="863"/>
        <v>0</v>
      </c>
      <c r="CG100" s="1030">
        <f t="shared" si="863"/>
        <v>0</v>
      </c>
      <c r="CH100" s="1030">
        <f t="shared" si="863"/>
        <v>0</v>
      </c>
      <c r="CI100" s="1030">
        <f t="shared" si="863"/>
        <v>0</v>
      </c>
      <c r="CJ100" s="1030">
        <f t="shared" si="863"/>
        <v>0</v>
      </c>
      <c r="CK100" s="1030">
        <f t="shared" si="863"/>
        <v>0</v>
      </c>
      <c r="CL100" s="1030">
        <f t="shared" si="863"/>
        <v>0</v>
      </c>
      <c r="CM100" s="1030">
        <f t="shared" si="863"/>
        <v>0</v>
      </c>
      <c r="CN100" s="621">
        <f t="shared" si="750"/>
        <v>0</v>
      </c>
      <c r="CO100" s="622">
        <f t="shared" ref="CO100:CZ100" si="864">SUM(CO101:CO105)</f>
        <v>0</v>
      </c>
      <c r="CP100" s="1030">
        <f t="shared" si="864"/>
        <v>0</v>
      </c>
      <c r="CQ100" s="1030">
        <f t="shared" si="864"/>
        <v>0</v>
      </c>
      <c r="CR100" s="1030">
        <f t="shared" si="864"/>
        <v>0</v>
      </c>
      <c r="CS100" s="1030">
        <f t="shared" si="864"/>
        <v>0</v>
      </c>
      <c r="CT100" s="1030">
        <f t="shared" si="864"/>
        <v>0</v>
      </c>
      <c r="CU100" s="1030">
        <f t="shared" si="864"/>
        <v>0</v>
      </c>
      <c r="CV100" s="1030">
        <f t="shared" si="864"/>
        <v>0</v>
      </c>
      <c r="CW100" s="1030">
        <f t="shared" si="864"/>
        <v>0</v>
      </c>
      <c r="CX100" s="1030">
        <f t="shared" si="864"/>
        <v>0</v>
      </c>
      <c r="CY100" s="1030">
        <f t="shared" si="864"/>
        <v>0</v>
      </c>
      <c r="CZ100" s="1030">
        <f t="shared" si="864"/>
        <v>0</v>
      </c>
      <c r="DA100" s="621">
        <f t="shared" si="730"/>
        <v>0</v>
      </c>
      <c r="DB100" s="1030">
        <f>SUM(DB101:DB105)</f>
        <v>0</v>
      </c>
      <c r="DC100" s="1030">
        <f t="shared" ref="DC100:DM100" si="865">SUM(DC101:DC105)</f>
        <v>0</v>
      </c>
      <c r="DD100" s="1030">
        <f t="shared" si="865"/>
        <v>0</v>
      </c>
      <c r="DE100" s="1030">
        <f t="shared" si="865"/>
        <v>0</v>
      </c>
      <c r="DF100" s="1030">
        <f t="shared" si="865"/>
        <v>0</v>
      </c>
      <c r="DG100" s="1030">
        <f t="shared" si="865"/>
        <v>0</v>
      </c>
      <c r="DH100" s="1030">
        <f t="shared" si="865"/>
        <v>0</v>
      </c>
      <c r="DI100" s="1030">
        <f t="shared" si="865"/>
        <v>0</v>
      </c>
      <c r="DJ100" s="1030">
        <f t="shared" si="865"/>
        <v>0</v>
      </c>
      <c r="DK100" s="1030">
        <f t="shared" si="865"/>
        <v>0</v>
      </c>
      <c r="DL100" s="1030">
        <f t="shared" si="865"/>
        <v>0</v>
      </c>
      <c r="DM100" s="1030">
        <f t="shared" si="865"/>
        <v>0</v>
      </c>
      <c r="DN100" s="622">
        <f t="shared" si="731"/>
        <v>0</v>
      </c>
      <c r="DO100" s="622">
        <f t="shared" ref="DO100:DZ100" si="866">SUM(DO101:DO105)</f>
        <v>19311.471098729839</v>
      </c>
      <c r="DP100" s="1030">
        <f t="shared" si="866"/>
        <v>33963.914629235886</v>
      </c>
      <c r="DQ100" s="1030">
        <f t="shared" si="866"/>
        <v>45288.813048035903</v>
      </c>
      <c r="DR100" s="1030">
        <f t="shared" si="866"/>
        <v>52234.756501518757</v>
      </c>
      <c r="DS100" s="1030">
        <f t="shared" si="866"/>
        <v>41455.214889566021</v>
      </c>
      <c r="DT100" s="1030">
        <f t="shared" si="866"/>
        <v>43396.877561397865</v>
      </c>
      <c r="DU100" s="1030">
        <f t="shared" si="866"/>
        <v>42682.129882749126</v>
      </c>
      <c r="DV100" s="1030">
        <f t="shared" si="866"/>
        <v>38276.204305950945</v>
      </c>
      <c r="DW100" s="1030">
        <f t="shared" si="866"/>
        <v>24825.205021723006</v>
      </c>
      <c r="DX100" s="1030">
        <f t="shared" si="866"/>
        <v>43877.912387708195</v>
      </c>
      <c r="DY100" s="1030">
        <f t="shared" si="866"/>
        <v>28228.47615119235</v>
      </c>
      <c r="DZ100" s="1030">
        <f t="shared" si="866"/>
        <v>58508.844922775446</v>
      </c>
      <c r="EA100" s="622">
        <f t="shared" si="732"/>
        <v>472049.82040058332</v>
      </c>
      <c r="EB100" s="622">
        <f t="shared" ref="EB100:EM100" si="867">SUM(EB101:EB105)</f>
        <v>38846.924390394699</v>
      </c>
      <c r="EC100" s="1030">
        <f t="shared" si="867"/>
        <v>41254.64280819628</v>
      </c>
      <c r="ED100" s="1030">
        <f t="shared" si="867"/>
        <v>27152.163876661285</v>
      </c>
      <c r="EE100" s="1030">
        <f t="shared" si="867"/>
        <v>66217.825461622037</v>
      </c>
      <c r="EF100" s="1030">
        <f t="shared" si="867"/>
        <v>27904.782576086662</v>
      </c>
      <c r="EG100" s="1030">
        <f t="shared" si="867"/>
        <v>40718.515401946963</v>
      </c>
      <c r="EH100" s="1030">
        <f t="shared" si="867"/>
        <v>50392.852378790034</v>
      </c>
      <c r="EI100" s="1030">
        <f t="shared" si="867"/>
        <v>40457.549004712244</v>
      </c>
      <c r="EJ100" s="1030">
        <f t="shared" si="867"/>
        <v>34681.763786178315</v>
      </c>
      <c r="EK100" s="1030">
        <f t="shared" si="867"/>
        <v>48668.067007863508</v>
      </c>
      <c r="EL100" s="1030">
        <f t="shared" si="867"/>
        <v>28987.131846309123</v>
      </c>
      <c r="EM100" s="1030">
        <f t="shared" si="867"/>
        <v>104870.28340093991</v>
      </c>
      <c r="EN100" s="621">
        <f t="shared" si="733"/>
        <v>550152.50193970103</v>
      </c>
      <c r="EO100" s="1030">
        <f t="shared" ref="EO100:EZ100" si="868">SUM(EO101:EO105)</f>
        <v>51709.163228163437</v>
      </c>
      <c r="EP100" s="1030">
        <f t="shared" si="868"/>
        <v>32291.477402417484</v>
      </c>
      <c r="EQ100" s="1030">
        <f t="shared" si="868"/>
        <v>29946.570848598923</v>
      </c>
      <c r="ER100" s="1030">
        <f t="shared" si="868"/>
        <v>54994.144509807957</v>
      </c>
      <c r="ES100" s="1030">
        <f t="shared" si="868"/>
        <v>34457.113498987776</v>
      </c>
      <c r="ET100" s="1030">
        <f t="shared" si="868"/>
        <v>39081.976044518386</v>
      </c>
      <c r="EU100" s="1030">
        <f t="shared" si="868"/>
        <v>66202.291870335015</v>
      </c>
      <c r="EV100" s="1030">
        <f t="shared" si="868"/>
        <v>36860.806280712917</v>
      </c>
      <c r="EW100" s="1030">
        <f t="shared" si="868"/>
        <v>31084.783740046849</v>
      </c>
      <c r="EX100" s="1030">
        <f t="shared" si="868"/>
        <v>54706.370613307576</v>
      </c>
      <c r="EY100" s="1030">
        <f t="shared" si="868"/>
        <v>53274.350708478116</v>
      </c>
      <c r="EZ100" s="1030">
        <f t="shared" si="868"/>
        <v>48604.570570952215</v>
      </c>
      <c r="FA100" s="621">
        <f t="shared" si="734"/>
        <v>533213.61931632669</v>
      </c>
      <c r="FB100" s="1030">
        <f t="shared" ref="FB100:FM100" si="869">SUM(FB101:FB105)</f>
        <v>36910.340025797341</v>
      </c>
      <c r="FC100" s="1030">
        <f t="shared" si="869"/>
        <v>49724.580394637094</v>
      </c>
      <c r="FD100" s="1030">
        <f t="shared" si="869"/>
        <v>58263.873538592539</v>
      </c>
      <c r="FE100" s="1030">
        <f t="shared" si="869"/>
        <v>101819.39704066396</v>
      </c>
      <c r="FF100" s="1030">
        <f t="shared" si="869"/>
        <v>76616.235549163946</v>
      </c>
      <c r="FG100" s="1030">
        <f t="shared" si="869"/>
        <v>31115.908346516153</v>
      </c>
      <c r="FH100" s="1030">
        <f t="shared" si="869"/>
        <v>56912.559906369905</v>
      </c>
      <c r="FI100" s="1030">
        <f t="shared" si="869"/>
        <v>95977.032540145723</v>
      </c>
      <c r="FJ100" s="1030">
        <f t="shared" si="869"/>
        <v>30998.386825553429</v>
      </c>
      <c r="FK100" s="1030">
        <f t="shared" si="869"/>
        <v>142626.23708248109</v>
      </c>
      <c r="FL100" s="1030">
        <f t="shared" si="869"/>
        <v>74912.205761543766</v>
      </c>
      <c r="FM100" s="1030">
        <f t="shared" si="869"/>
        <v>77909.31230143545</v>
      </c>
      <c r="FN100" s="621">
        <f t="shared" si="735"/>
        <v>833786.0693129003</v>
      </c>
      <c r="FO100" s="1030">
        <f t="shared" ref="FO100:GM100" si="870">SUM(FO101:FO105)</f>
        <v>33301.538316190636</v>
      </c>
      <c r="FP100" s="1030">
        <f t="shared" si="870"/>
        <v>53660.697836595325</v>
      </c>
      <c r="FQ100" s="1030">
        <f t="shared" si="870"/>
        <v>36391.723952328284</v>
      </c>
      <c r="FR100" s="1030">
        <f t="shared" si="870"/>
        <v>68569.758281610295</v>
      </c>
      <c r="FS100" s="1030">
        <f t="shared" si="870"/>
        <v>35167.638789262295</v>
      </c>
      <c r="FT100" s="1030">
        <f t="shared" si="870"/>
        <v>42105.679398963111</v>
      </c>
      <c r="FU100" s="1030">
        <f t="shared" si="870"/>
        <v>52761.944830619439</v>
      </c>
      <c r="FV100" s="1030">
        <f t="shared" si="870"/>
        <v>35465.463532301539</v>
      </c>
      <c r="FW100" s="1030">
        <f t="shared" si="870"/>
        <v>89672.335242402609</v>
      </c>
      <c r="FX100" s="1030">
        <f t="shared" si="870"/>
        <v>58416.908466431509</v>
      </c>
      <c r="FY100" s="1030">
        <f t="shared" si="870"/>
        <v>66389.96026566514</v>
      </c>
      <c r="FZ100" s="623">
        <f t="shared" si="870"/>
        <v>225764.62176606001</v>
      </c>
      <c r="GA100" s="623">
        <f t="shared" si="653"/>
        <v>797668.27067843021</v>
      </c>
      <c r="GB100" s="622">
        <f t="shared" si="870"/>
        <v>38532.007248487411</v>
      </c>
      <c r="GC100" s="1030">
        <f t="shared" si="870"/>
        <v>37829.877123301238</v>
      </c>
      <c r="GD100" s="1030">
        <f t="shared" si="870"/>
        <v>52043.318005436093</v>
      </c>
      <c r="GE100" s="1030">
        <f t="shared" si="870"/>
        <v>42962.30816124635</v>
      </c>
      <c r="GF100" s="1030">
        <f t="shared" si="870"/>
        <v>53191.747595102453</v>
      </c>
      <c r="GG100" s="1030">
        <f t="shared" si="870"/>
        <v>40760.226173602823</v>
      </c>
      <c r="GH100" s="1030">
        <f t="shared" si="870"/>
        <v>49887.093227036836</v>
      </c>
      <c r="GI100" s="1030">
        <f t="shared" si="870"/>
        <v>115445.69001790397</v>
      </c>
      <c r="GJ100" s="1030">
        <f t="shared" si="870"/>
        <v>38156.970596102503</v>
      </c>
      <c r="GK100" s="1030">
        <f t="shared" si="870"/>
        <v>104205.3157926212</v>
      </c>
      <c r="GL100" s="1031">
        <f t="shared" si="870"/>
        <v>50464.07181752575</v>
      </c>
      <c r="GM100" s="624">
        <f t="shared" si="870"/>
        <v>139408.36235907997</v>
      </c>
      <c r="GN100" s="621">
        <f t="shared" si="654"/>
        <v>762886.98811744666</v>
      </c>
      <c r="GO100" s="622">
        <f t="shared" ref="GO100:GZ100" si="871">SUM(GO101:GO105)</f>
        <v>39178.322629881528</v>
      </c>
      <c r="GP100" s="1030">
        <f t="shared" si="871"/>
        <v>57708.553627985508</v>
      </c>
      <c r="GQ100" s="1030">
        <f t="shared" si="871"/>
        <v>30614.890918460434</v>
      </c>
      <c r="GR100" s="1030">
        <f t="shared" si="871"/>
        <v>50548.631408333895</v>
      </c>
      <c r="GS100" s="1030">
        <f t="shared" si="871"/>
        <v>44807.49548473231</v>
      </c>
      <c r="GT100" s="1030">
        <f t="shared" si="871"/>
        <v>45158.125191962608</v>
      </c>
      <c r="GU100" s="1030">
        <f t="shared" si="871"/>
        <v>40194.954425019765</v>
      </c>
      <c r="GV100" s="1030">
        <f t="shared" si="871"/>
        <v>51042.799784387986</v>
      </c>
      <c r="GW100" s="1030">
        <f t="shared" si="871"/>
        <v>29145.901918149906</v>
      </c>
      <c r="GX100" s="1030">
        <f t="shared" si="871"/>
        <v>51853.270397374246</v>
      </c>
      <c r="GY100" s="1030">
        <f t="shared" si="871"/>
        <v>63691.441534640246</v>
      </c>
      <c r="GZ100" s="623">
        <f t="shared" si="871"/>
        <v>50251.137856724308</v>
      </c>
      <c r="HA100" s="623">
        <f t="shared" si="656"/>
        <v>554195.52517765283</v>
      </c>
      <c r="HB100" s="622">
        <f t="shared" ref="HB100:HM100" si="872">SUM(HB101:HB105)</f>
        <v>24787.859183208489</v>
      </c>
      <c r="HC100" s="1030">
        <f t="shared" si="872"/>
        <v>141231.15801237512</v>
      </c>
      <c r="HD100" s="1030">
        <f t="shared" si="872"/>
        <v>28646.526065692924</v>
      </c>
      <c r="HE100" s="1030">
        <f t="shared" si="872"/>
        <v>52905.122443173481</v>
      </c>
      <c r="HF100" s="1030">
        <f t="shared" si="872"/>
        <v>55438.29750188841</v>
      </c>
      <c r="HG100" s="1030">
        <f t="shared" si="872"/>
        <v>38809.664321041862</v>
      </c>
      <c r="HH100" s="1030">
        <f t="shared" si="872"/>
        <v>41012.124578324459</v>
      </c>
      <c r="HI100" s="1030">
        <f t="shared" si="872"/>
        <v>88552.933869133645</v>
      </c>
      <c r="HJ100" s="1030">
        <f t="shared" si="872"/>
        <v>38283.448837138807</v>
      </c>
      <c r="HK100" s="1030">
        <f t="shared" si="872"/>
        <v>45954.236229974376</v>
      </c>
      <c r="HL100" s="1030">
        <f t="shared" si="872"/>
        <v>55762.568011408031</v>
      </c>
      <c r="HM100" s="623">
        <f t="shared" si="872"/>
        <v>81383.040402973798</v>
      </c>
      <c r="HN100" s="623">
        <f t="shared" si="658"/>
        <v>692766.97945633344</v>
      </c>
      <c r="HO100" s="1030">
        <f t="shared" ref="HO100:HZ100" si="873">SUM(HO101:HO105)</f>
        <v>31263.800375112154</v>
      </c>
      <c r="HP100" s="1030">
        <f t="shared" si="873"/>
        <v>85141.229096641095</v>
      </c>
      <c r="HQ100" s="1030">
        <f t="shared" si="873"/>
        <v>51489.387322174451</v>
      </c>
      <c r="HR100" s="1030">
        <f t="shared" si="873"/>
        <v>37707.215623092714</v>
      </c>
      <c r="HS100" s="1030">
        <f t="shared" si="873"/>
        <v>55112.674398720119</v>
      </c>
      <c r="HT100" s="1030">
        <f t="shared" si="873"/>
        <v>63676.501276123694</v>
      </c>
      <c r="HU100" s="1030">
        <f t="shared" si="873"/>
        <v>53331.716900836152</v>
      </c>
      <c r="HV100" s="1030">
        <f t="shared" si="873"/>
        <v>55635.129988772343</v>
      </c>
      <c r="HW100" s="1030">
        <f t="shared" si="873"/>
        <v>40921.127321525259</v>
      </c>
      <c r="HX100" s="1030">
        <f t="shared" si="873"/>
        <v>46836.64683835375</v>
      </c>
      <c r="HY100" s="1030">
        <f t="shared" si="873"/>
        <v>55847.463028968661</v>
      </c>
      <c r="HZ100" s="1030">
        <f t="shared" si="873"/>
        <v>57489.956286288783</v>
      </c>
      <c r="IA100" s="622">
        <f t="shared" si="660"/>
        <v>634452.84845660918</v>
      </c>
      <c r="IB100" s="1328">
        <f t="shared" ref="IB100:IG100" si="874">SUM(IB101:IB105)</f>
        <v>61728.957236312643</v>
      </c>
      <c r="IC100" s="129">
        <f t="shared" si="874"/>
        <v>53048.436275360349</v>
      </c>
      <c r="ID100" s="129">
        <f t="shared" si="874"/>
        <v>42394.799835358746</v>
      </c>
      <c r="IE100" s="129">
        <f t="shared" si="874"/>
        <v>46888.799058379394</v>
      </c>
      <c r="IF100" s="129">
        <f t="shared" si="874"/>
        <v>49808.42416174808</v>
      </c>
      <c r="IG100" s="129">
        <f t="shared" si="874"/>
        <v>59187.371380834098</v>
      </c>
      <c r="IH100" s="129">
        <f t="shared" ref="IH100" si="875">SUM(IH101:IH105)</f>
        <v>52372.382283029481</v>
      </c>
      <c r="II100" s="129">
        <f t="shared" ref="II100" si="876">SUM(II101:II105)</f>
        <v>55199.702077142334</v>
      </c>
      <c r="IJ100" s="129"/>
      <c r="IK100" s="129"/>
      <c r="IL100" s="129"/>
      <c r="IM100" s="1268"/>
      <c r="IN100" s="1343">
        <f t="shared" si="680"/>
        <v>420628.87230816513</v>
      </c>
      <c r="IO100" s="1266"/>
      <c r="IP100" s="1060">
        <f t="shared" si="662"/>
        <v>-0.78264922130654169</v>
      </c>
      <c r="IQ100" s="1019">
        <f t="shared" si="663"/>
        <v>-2.9372465276635729</v>
      </c>
      <c r="IR100" s="341">
        <f t="shared" si="664"/>
        <v>433357.6549814727</v>
      </c>
      <c r="IS100" s="341">
        <f t="shared" si="665"/>
        <v>420628.87230816513</v>
      </c>
    </row>
    <row r="101" spans="1:253" ht="15" customHeight="1" x14ac:dyDescent="0.2">
      <c r="A101" s="644" t="s">
        <v>317</v>
      </c>
      <c r="BA101" s="644"/>
      <c r="BB101" s="1033">
        <f t="shared" ref="BB101:BM101" si="877">+BB82/BB37</f>
        <v>11455.991463746228</v>
      </c>
      <c r="BC101" s="1033">
        <f t="shared" si="877"/>
        <v>9782.5958698584927</v>
      </c>
      <c r="BD101" s="1033">
        <f t="shared" si="877"/>
        <v>10045.967669759923</v>
      </c>
      <c r="BE101" s="1033">
        <f t="shared" si="877"/>
        <v>10466.246406937662</v>
      </c>
      <c r="BF101" s="1033">
        <f t="shared" si="877"/>
        <v>18762.442454951197</v>
      </c>
      <c r="BG101" s="1033">
        <f t="shared" si="877"/>
        <v>10475.543901391768</v>
      </c>
      <c r="BH101" s="1033">
        <f t="shared" si="877"/>
        <v>12436.754780289602</v>
      </c>
      <c r="BI101" s="1033">
        <f t="shared" si="877"/>
        <v>10409.657875679164</v>
      </c>
      <c r="BJ101" s="1033">
        <f t="shared" si="877"/>
        <v>12120.034154542385</v>
      </c>
      <c r="BK101" s="1033">
        <f t="shared" si="877"/>
        <v>10381.219332366936</v>
      </c>
      <c r="BL101" s="1033">
        <f t="shared" si="877"/>
        <v>10266.716655298662</v>
      </c>
      <c r="BM101" s="1033">
        <f t="shared" si="877"/>
        <v>14976.897877097494</v>
      </c>
      <c r="BN101" s="649">
        <f>SUM(BB101:BM101)</f>
        <v>141580.06844191952</v>
      </c>
      <c r="BO101" s="1033">
        <f t="shared" ref="BO101:BZ101" si="878">+BO82/BO37</f>
        <v>13014.567863249489</v>
      </c>
      <c r="BP101" s="1033">
        <f t="shared" si="878"/>
        <v>11497.129071848141</v>
      </c>
      <c r="BQ101" s="1033">
        <f t="shared" si="878"/>
        <v>12729.129532955147</v>
      </c>
      <c r="BR101" s="1033">
        <f t="shared" si="878"/>
        <v>11702.047126094183</v>
      </c>
      <c r="BS101" s="1033">
        <f t="shared" si="878"/>
        <v>12377.332472132406</v>
      </c>
      <c r="BT101" s="1033">
        <f t="shared" si="878"/>
        <v>12111.70081095873</v>
      </c>
      <c r="BU101" s="1033">
        <f t="shared" si="878"/>
        <v>13636.89949170774</v>
      </c>
      <c r="BV101" s="1033">
        <f t="shared" si="878"/>
        <v>11866.063573645792</v>
      </c>
      <c r="BW101" s="1033">
        <f t="shared" si="878"/>
        <v>11599.519359070206</v>
      </c>
      <c r="BX101" s="1033">
        <f t="shared" si="878"/>
        <v>11076.701640652191</v>
      </c>
      <c r="BY101" s="1033">
        <f t="shared" si="878"/>
        <v>11890.689327831335</v>
      </c>
      <c r="BZ101" s="1033">
        <f t="shared" si="878"/>
        <v>14843.825050501153</v>
      </c>
      <c r="CA101" s="344">
        <f t="shared" si="749"/>
        <v>148345.60532064651</v>
      </c>
      <c r="CB101" s="1033">
        <f t="shared" ref="CB101:CM101" si="879">+CB82/CB37</f>
        <v>0</v>
      </c>
      <c r="CC101" s="1033">
        <f t="shared" si="879"/>
        <v>0</v>
      </c>
      <c r="CD101" s="1033">
        <f t="shared" si="879"/>
        <v>0</v>
      </c>
      <c r="CE101" s="1033">
        <f t="shared" si="879"/>
        <v>0</v>
      </c>
      <c r="CF101" s="1033">
        <f t="shared" si="879"/>
        <v>0</v>
      </c>
      <c r="CG101" s="1033">
        <f t="shared" si="879"/>
        <v>0</v>
      </c>
      <c r="CH101" s="1033">
        <f t="shared" si="879"/>
        <v>0</v>
      </c>
      <c r="CI101" s="1033">
        <f t="shared" si="879"/>
        <v>0</v>
      </c>
      <c r="CJ101" s="1033">
        <f t="shared" si="879"/>
        <v>0</v>
      </c>
      <c r="CK101" s="1033">
        <f t="shared" si="879"/>
        <v>0</v>
      </c>
      <c r="CL101" s="1033">
        <f t="shared" si="879"/>
        <v>0</v>
      </c>
      <c r="CM101" s="1033">
        <f t="shared" si="879"/>
        <v>0</v>
      </c>
      <c r="CN101" s="625">
        <f t="shared" si="750"/>
        <v>0</v>
      </c>
      <c r="CO101" s="626">
        <f t="shared" ref="CO101:CZ101" si="880">+CO82/CO37</f>
        <v>0</v>
      </c>
      <c r="CP101" s="1033">
        <f t="shared" si="880"/>
        <v>0</v>
      </c>
      <c r="CQ101" s="1033">
        <f t="shared" si="880"/>
        <v>0</v>
      </c>
      <c r="CR101" s="1033">
        <f t="shared" si="880"/>
        <v>0</v>
      </c>
      <c r="CS101" s="1033">
        <f t="shared" si="880"/>
        <v>0</v>
      </c>
      <c r="CT101" s="1033">
        <f t="shared" si="880"/>
        <v>0</v>
      </c>
      <c r="CU101" s="1033">
        <f t="shared" si="880"/>
        <v>0</v>
      </c>
      <c r="CV101" s="1033">
        <f t="shared" si="880"/>
        <v>0</v>
      </c>
      <c r="CW101" s="1033">
        <f t="shared" si="880"/>
        <v>0</v>
      </c>
      <c r="CX101" s="1033">
        <f t="shared" si="880"/>
        <v>0</v>
      </c>
      <c r="CY101" s="1033">
        <f t="shared" si="880"/>
        <v>0</v>
      </c>
      <c r="CZ101" s="1033">
        <f t="shared" si="880"/>
        <v>0</v>
      </c>
      <c r="DA101" s="625">
        <f t="shared" si="730"/>
        <v>0</v>
      </c>
      <c r="DB101" s="1033">
        <f t="shared" ref="DB101:DM101" si="881">+DB82/DB37</f>
        <v>0</v>
      </c>
      <c r="DC101" s="1033">
        <f t="shared" si="881"/>
        <v>0</v>
      </c>
      <c r="DD101" s="1033">
        <f t="shared" si="881"/>
        <v>0</v>
      </c>
      <c r="DE101" s="1033">
        <f t="shared" si="881"/>
        <v>0</v>
      </c>
      <c r="DF101" s="1033">
        <f t="shared" si="881"/>
        <v>0</v>
      </c>
      <c r="DG101" s="1033">
        <f t="shared" si="881"/>
        <v>0</v>
      </c>
      <c r="DH101" s="1033">
        <f t="shared" si="881"/>
        <v>0</v>
      </c>
      <c r="DI101" s="1033">
        <f t="shared" si="881"/>
        <v>0</v>
      </c>
      <c r="DJ101" s="1033">
        <f t="shared" si="881"/>
        <v>0</v>
      </c>
      <c r="DK101" s="1033">
        <f t="shared" si="881"/>
        <v>0</v>
      </c>
      <c r="DL101" s="1033">
        <f t="shared" si="881"/>
        <v>0</v>
      </c>
      <c r="DM101" s="1033">
        <f t="shared" si="881"/>
        <v>0</v>
      </c>
      <c r="DN101" s="626">
        <f t="shared" si="731"/>
        <v>0</v>
      </c>
      <c r="DO101" s="626">
        <f t="shared" ref="DO101:DZ101" si="882">+DO82/DO37</f>
        <v>14754.136679787112</v>
      </c>
      <c r="DP101" s="1033">
        <f t="shared" si="882"/>
        <v>13559.162320886697</v>
      </c>
      <c r="DQ101" s="1033">
        <f t="shared" si="882"/>
        <v>14107.378491645333</v>
      </c>
      <c r="DR101" s="1033">
        <f t="shared" si="882"/>
        <v>13717.024309296003</v>
      </c>
      <c r="DS101" s="1033">
        <f t="shared" si="882"/>
        <v>13482.426194149715</v>
      </c>
      <c r="DT101" s="1033">
        <f t="shared" si="882"/>
        <v>12764.858453003586</v>
      </c>
      <c r="DU101" s="1033">
        <f t="shared" si="882"/>
        <v>15459.192866348316</v>
      </c>
      <c r="DV101" s="1033">
        <f t="shared" si="882"/>
        <v>11671.566646180487</v>
      </c>
      <c r="DW101" s="1033">
        <f t="shared" si="882"/>
        <v>11976.542193265668</v>
      </c>
      <c r="DX101" s="1033">
        <f t="shared" si="882"/>
        <v>12512.980573260285</v>
      </c>
      <c r="DY101" s="1033">
        <f t="shared" si="882"/>
        <v>12559.716349227072</v>
      </c>
      <c r="DZ101" s="1033">
        <f t="shared" si="882"/>
        <v>16154.642518080975</v>
      </c>
      <c r="EA101" s="626">
        <f t="shared" si="732"/>
        <v>162719.62759513123</v>
      </c>
      <c r="EB101" s="626">
        <f t="shared" ref="EB101:EM101" si="883">+EB82/EB37</f>
        <v>14749.301919750233</v>
      </c>
      <c r="EC101" s="1033">
        <f t="shared" si="883"/>
        <v>13753.133291675947</v>
      </c>
      <c r="ED101" s="1033">
        <f t="shared" si="883"/>
        <v>15476.151387120508</v>
      </c>
      <c r="EE101" s="1033">
        <f t="shared" si="883"/>
        <v>14060.914379523252</v>
      </c>
      <c r="EF101" s="1033">
        <f t="shared" si="883"/>
        <v>14008.020454878222</v>
      </c>
      <c r="EG101" s="1033">
        <f t="shared" si="883"/>
        <v>13504.130549381582</v>
      </c>
      <c r="EH101" s="1033">
        <f t="shared" si="883"/>
        <v>15337.723334601913</v>
      </c>
      <c r="EI101" s="1033">
        <f t="shared" si="883"/>
        <v>12283.337085224268</v>
      </c>
      <c r="EJ101" s="1033">
        <f t="shared" si="883"/>
        <v>12519.930705376935</v>
      </c>
      <c r="EK101" s="1033">
        <f t="shared" si="883"/>
        <v>11270.959262338389</v>
      </c>
      <c r="EL101" s="1033">
        <f t="shared" si="883"/>
        <v>11976.89814841618</v>
      </c>
      <c r="EM101" s="1033">
        <f t="shared" si="883"/>
        <v>15829.042429130735</v>
      </c>
      <c r="EN101" s="625">
        <f t="shared" si="733"/>
        <v>164769.54294741817</v>
      </c>
      <c r="EO101" s="1033">
        <f t="shared" ref="EO101:EZ101" si="884">+EO82/EO37</f>
        <v>12417.931139669294</v>
      </c>
      <c r="EP101" s="1033">
        <f t="shared" si="884"/>
        <v>14231.630022456762</v>
      </c>
      <c r="EQ101" s="1033">
        <f t="shared" si="884"/>
        <v>14693.939248045934</v>
      </c>
      <c r="ER101" s="1033">
        <f t="shared" si="884"/>
        <v>14188.182845898094</v>
      </c>
      <c r="ES101" s="1033">
        <f t="shared" si="884"/>
        <v>15516.761114027964</v>
      </c>
      <c r="ET101" s="1033">
        <f t="shared" si="884"/>
        <v>15715.479140560034</v>
      </c>
      <c r="EU101" s="1033">
        <f t="shared" si="884"/>
        <v>17312.842838197794</v>
      </c>
      <c r="EV101" s="1033">
        <f t="shared" si="884"/>
        <v>14172.109285792751</v>
      </c>
      <c r="EW101" s="1033">
        <f t="shared" si="884"/>
        <v>14272.199481001444</v>
      </c>
      <c r="EX101" s="1033">
        <f t="shared" si="884"/>
        <v>14594.734572817782</v>
      </c>
      <c r="EY101" s="1033">
        <f t="shared" si="884"/>
        <v>15726.124438525967</v>
      </c>
      <c r="EZ101" s="1033">
        <f t="shared" si="884"/>
        <v>19066.62202351735</v>
      </c>
      <c r="FA101" s="625">
        <f t="shared" si="734"/>
        <v>181908.55615051117</v>
      </c>
      <c r="FB101" s="1033">
        <f t="shared" ref="FB101:FM101" si="885">+FB82/FB37</f>
        <v>14476.527112089514</v>
      </c>
      <c r="FC101" s="1033">
        <f t="shared" si="885"/>
        <v>13157.281424799301</v>
      </c>
      <c r="FD101" s="1033">
        <f t="shared" si="885"/>
        <v>13168.421241893046</v>
      </c>
      <c r="FE101" s="1033">
        <f t="shared" si="885"/>
        <v>13516.689454663263</v>
      </c>
      <c r="FF101" s="1033">
        <f t="shared" si="885"/>
        <v>15075.567163324833</v>
      </c>
      <c r="FG101" s="1033">
        <f t="shared" si="885"/>
        <v>13216.710835742004</v>
      </c>
      <c r="FH101" s="1033">
        <f t="shared" si="885"/>
        <v>17031.04555554207</v>
      </c>
      <c r="FI101" s="1033">
        <f t="shared" si="885"/>
        <v>13224.708748316101</v>
      </c>
      <c r="FJ101" s="1033">
        <f t="shared" si="885"/>
        <v>13331.882991462549</v>
      </c>
      <c r="FK101" s="1033">
        <f t="shared" si="885"/>
        <v>13809.918386300185</v>
      </c>
      <c r="FL101" s="1033">
        <f t="shared" si="885"/>
        <v>14778.459029725125</v>
      </c>
      <c r="FM101" s="1033">
        <f t="shared" si="885"/>
        <v>18987.985492651846</v>
      </c>
      <c r="FN101" s="625">
        <f t="shared" si="735"/>
        <v>173775.19743650983</v>
      </c>
      <c r="FO101" s="1033">
        <f t="shared" ref="FO101:FZ101" si="886">+FO82/FO37</f>
        <v>14176.64873450009</v>
      </c>
      <c r="FP101" s="1033">
        <f t="shared" si="886"/>
        <v>13354.261029332059</v>
      </c>
      <c r="FQ101" s="1033">
        <f t="shared" si="886"/>
        <v>13297.225768190588</v>
      </c>
      <c r="FR101" s="1033">
        <f t="shared" si="886"/>
        <v>13787.491606397472</v>
      </c>
      <c r="FS101" s="1033">
        <f t="shared" si="886"/>
        <v>14651.601807173058</v>
      </c>
      <c r="FT101" s="1033">
        <f t="shared" si="886"/>
        <v>12510.829529237868</v>
      </c>
      <c r="FU101" s="1033">
        <f t="shared" si="886"/>
        <v>16378.329858746953</v>
      </c>
      <c r="FV101" s="1033">
        <f t="shared" si="886"/>
        <v>12697.535625934213</v>
      </c>
      <c r="FW101" s="1033">
        <f t="shared" si="886"/>
        <v>12654.735763677534</v>
      </c>
      <c r="FX101" s="1033">
        <f t="shared" si="886"/>
        <v>12853.412483224583</v>
      </c>
      <c r="FY101" s="1033">
        <f t="shared" si="886"/>
        <v>14097.037917872276</v>
      </c>
      <c r="FZ101" s="627">
        <f t="shared" si="886"/>
        <v>17717.451830440656</v>
      </c>
      <c r="GA101" s="627">
        <f t="shared" si="653"/>
        <v>168176.56195472737</v>
      </c>
      <c r="GB101" s="626">
        <f t="shared" ref="GB101:GM101" si="887">+GB82/GB37</f>
        <v>13500.871173288537</v>
      </c>
      <c r="GC101" s="1033">
        <f t="shared" si="887"/>
        <v>12359.146659779348</v>
      </c>
      <c r="GD101" s="1033">
        <f t="shared" si="887"/>
        <v>12188.922224789832</v>
      </c>
      <c r="GE101" s="1033">
        <f t="shared" si="887"/>
        <v>12277.164921624257</v>
      </c>
      <c r="GF101" s="1033">
        <f t="shared" si="887"/>
        <v>13531.891120387458</v>
      </c>
      <c r="GG101" s="1033">
        <f t="shared" si="887"/>
        <v>12747.825968063118</v>
      </c>
      <c r="GH101" s="1033">
        <f t="shared" si="887"/>
        <v>15378.492091649776</v>
      </c>
      <c r="GI101" s="1033">
        <f t="shared" si="887"/>
        <v>11846.509507000845</v>
      </c>
      <c r="GJ101" s="1033">
        <f t="shared" si="887"/>
        <v>11813.932859255419</v>
      </c>
      <c r="GK101" s="1033">
        <f t="shared" si="887"/>
        <v>11853.183829146888</v>
      </c>
      <c r="GL101" s="1034">
        <f t="shared" si="887"/>
        <v>12928.424391783921</v>
      </c>
      <c r="GM101" s="628">
        <f t="shared" si="887"/>
        <v>15644.744367969841</v>
      </c>
      <c r="GN101" s="625">
        <f t="shared" si="654"/>
        <v>156071.10911473926</v>
      </c>
      <c r="GO101" s="626">
        <f t="shared" ref="GO101:GZ101" si="888">+GO82/GO37</f>
        <v>12515.950056910198</v>
      </c>
      <c r="GP101" s="1033">
        <f t="shared" si="888"/>
        <v>11393.061203723899</v>
      </c>
      <c r="GQ101" s="1033">
        <f t="shared" si="888"/>
        <v>11220.618036478165</v>
      </c>
      <c r="GR101" s="1033">
        <f t="shared" si="888"/>
        <v>11478.266408150692</v>
      </c>
      <c r="GS101" s="1033">
        <f t="shared" si="888"/>
        <v>12910.030111907265</v>
      </c>
      <c r="GT101" s="1033">
        <f t="shared" si="888"/>
        <v>12383.191360893412</v>
      </c>
      <c r="GU101" s="1033">
        <f t="shared" si="888"/>
        <v>14741.289047783743</v>
      </c>
      <c r="GV101" s="1033">
        <f t="shared" si="888"/>
        <v>11677.44244795478</v>
      </c>
      <c r="GW101" s="1033">
        <f t="shared" si="888"/>
        <v>11976.81920842028</v>
      </c>
      <c r="GX101" s="1033">
        <f t="shared" si="888"/>
        <v>12377.913402134951</v>
      </c>
      <c r="GY101" s="1033">
        <f t="shared" si="888"/>
        <v>13847.795743850169</v>
      </c>
      <c r="GZ101" s="627">
        <f t="shared" si="888"/>
        <v>16750.14131747252</v>
      </c>
      <c r="HA101" s="627">
        <f t="shared" si="656"/>
        <v>153272.51834568006</v>
      </c>
      <c r="HB101" s="626">
        <f t="shared" ref="HB101:HM101" si="889">+HB82/HB37</f>
        <v>17318.061296731896</v>
      </c>
      <c r="HC101" s="1033">
        <f t="shared" si="889"/>
        <v>14919.815823420406</v>
      </c>
      <c r="HD101" s="1033">
        <f t="shared" si="889"/>
        <v>14707.270448678424</v>
      </c>
      <c r="HE101" s="1033">
        <f t="shared" si="889"/>
        <v>14913.784911353354</v>
      </c>
      <c r="HF101" s="1033">
        <f t="shared" si="889"/>
        <v>16578.624475077064</v>
      </c>
      <c r="HG101" s="1033">
        <f t="shared" si="889"/>
        <v>15174.043943125491</v>
      </c>
      <c r="HH101" s="1033">
        <f t="shared" si="889"/>
        <v>19027.326964730673</v>
      </c>
      <c r="HI101" s="1033">
        <f t="shared" si="889"/>
        <v>15662.864453562144</v>
      </c>
      <c r="HJ101" s="1033">
        <f t="shared" si="889"/>
        <v>15125.610379047432</v>
      </c>
      <c r="HK101" s="1033">
        <f t="shared" si="889"/>
        <v>16065.110929963876</v>
      </c>
      <c r="HL101" s="1033">
        <f t="shared" si="889"/>
        <v>16953.336986781065</v>
      </c>
      <c r="HM101" s="627">
        <f t="shared" si="889"/>
        <v>20571.59576431218</v>
      </c>
      <c r="HN101" s="627">
        <f t="shared" si="658"/>
        <v>197017.44637678401</v>
      </c>
      <c r="HO101" s="1033">
        <f t="shared" ref="HO101:HZ101" si="890">+HO82/HO37</f>
        <v>18206.96633329524</v>
      </c>
      <c r="HP101" s="1033">
        <f t="shared" si="890"/>
        <v>17129.341499745355</v>
      </c>
      <c r="HQ101" s="1033">
        <f t="shared" si="890"/>
        <v>16935.793027691332</v>
      </c>
      <c r="HR101" s="1033">
        <f t="shared" si="890"/>
        <v>16433.113907308336</v>
      </c>
      <c r="HS101" s="1033">
        <f t="shared" si="890"/>
        <v>18383.911713003235</v>
      </c>
      <c r="HT101" s="1033">
        <f t="shared" si="890"/>
        <v>17053.063105824713</v>
      </c>
      <c r="HU101" s="1033">
        <f t="shared" si="890"/>
        <v>21347.330833578548</v>
      </c>
      <c r="HV101" s="1033">
        <f t="shared" si="890"/>
        <v>16946.984461098797</v>
      </c>
      <c r="HW101" s="1033">
        <f t="shared" si="890"/>
        <v>16967.359859081502</v>
      </c>
      <c r="HX101" s="1033">
        <f t="shared" si="890"/>
        <v>17126.285425327063</v>
      </c>
      <c r="HY101" s="1033">
        <f t="shared" si="890"/>
        <v>19778.215986600469</v>
      </c>
      <c r="HZ101" s="1033">
        <f t="shared" si="890"/>
        <v>25104.150757757594</v>
      </c>
      <c r="IA101" s="626">
        <f t="shared" si="660"/>
        <v>221412.5169103122</v>
      </c>
      <c r="IB101" s="1324">
        <f>+IB82/IB37</f>
        <v>19901.939311615788</v>
      </c>
      <c r="IC101">
        <f>+IC82/IC37</f>
        <v>19315.607554435857</v>
      </c>
      <c r="ID101">
        <f>+ID82/ID37</f>
        <v>18835.114575794418</v>
      </c>
      <c r="IE101">
        <f>+IE82/IE37</f>
        <v>18380.583508095064</v>
      </c>
      <c r="IF101">
        <f>+IF82/IF37</f>
        <v>20832.930665952063</v>
      </c>
      <c r="IG101">
        <f t="shared" ref="IG101" si="891">+IG82/IG37</f>
        <v>19137.16140620306</v>
      </c>
      <c r="IH101">
        <f t="shared" ref="IH101" si="892">+IH82/IH37</f>
        <v>23721.162657223209</v>
      </c>
      <c r="II101">
        <f t="shared" ref="II101" si="893">+II82/II37</f>
        <v>19248.108287066105</v>
      </c>
      <c r="IM101" s="1266"/>
      <c r="IN101" s="1059">
        <f t="shared" si="680"/>
        <v>159372.60796638558</v>
      </c>
      <c r="IO101" s="1266"/>
      <c r="IP101" s="1060">
        <f t="shared" si="662"/>
        <v>13.578367474458108</v>
      </c>
      <c r="IQ101" s="640">
        <f t="shared" si="663"/>
        <v>11.890282690469412</v>
      </c>
      <c r="IR101" s="344">
        <f t="shared" si="664"/>
        <v>142436.50488154555</v>
      </c>
      <c r="IS101" s="344">
        <f t="shared" si="665"/>
        <v>159372.60796638558</v>
      </c>
    </row>
    <row r="102" spans="1:253" ht="15" customHeight="1" x14ac:dyDescent="0.2">
      <c r="A102" s="342" t="s">
        <v>323</v>
      </c>
      <c r="BA102" s="644"/>
      <c r="BB102" s="1033"/>
      <c r="BC102" s="1033"/>
      <c r="BD102" s="1033"/>
      <c r="BE102" s="1033"/>
      <c r="BF102" s="1033"/>
      <c r="BG102" s="1033"/>
      <c r="BH102" s="1033"/>
      <c r="BI102" s="1033"/>
      <c r="BJ102" s="1033"/>
      <c r="BK102" s="1033"/>
      <c r="BL102" s="1033"/>
      <c r="BM102" s="1033"/>
      <c r="BN102" s="649"/>
      <c r="BO102" s="1033">
        <f t="shared" ref="BO102:BZ102" si="894">+BO83/BO37</f>
        <v>663.71040164752992</v>
      </c>
      <c r="BP102" s="1033">
        <f t="shared" si="894"/>
        <v>553.17242863314698</v>
      </c>
      <c r="BQ102" s="1033">
        <f t="shared" si="894"/>
        <v>584.61914196372197</v>
      </c>
      <c r="BR102" s="1033">
        <f t="shared" si="894"/>
        <v>1156.4103886872208</v>
      </c>
      <c r="BS102" s="1033">
        <f t="shared" si="894"/>
        <v>573.81092390622496</v>
      </c>
      <c r="BT102" s="1033">
        <f t="shared" si="894"/>
        <v>587.12433831383885</v>
      </c>
      <c r="BU102" s="1033">
        <f t="shared" si="894"/>
        <v>1005.9002323718453</v>
      </c>
      <c r="BV102" s="1033">
        <f t="shared" si="894"/>
        <v>551.49376905208715</v>
      </c>
      <c r="BW102" s="1033">
        <f t="shared" si="894"/>
        <v>656.51524531582561</v>
      </c>
      <c r="BX102" s="1033">
        <f t="shared" si="894"/>
        <v>1596.7733850654206</v>
      </c>
      <c r="BY102" s="1033">
        <f t="shared" si="894"/>
        <v>744.79605250312648</v>
      </c>
      <c r="BZ102" s="1033">
        <f t="shared" si="894"/>
        <v>1084.0128437821502</v>
      </c>
      <c r="CA102" s="344">
        <f t="shared" si="749"/>
        <v>9758.3391512421367</v>
      </c>
      <c r="CB102" s="1033">
        <f t="shared" ref="CB102:CM102" si="895">+CB83/CB37</f>
        <v>0</v>
      </c>
      <c r="CC102" s="1033">
        <f t="shared" si="895"/>
        <v>0</v>
      </c>
      <c r="CD102" s="1033">
        <f t="shared" si="895"/>
        <v>0</v>
      </c>
      <c r="CE102" s="1033">
        <f t="shared" si="895"/>
        <v>0</v>
      </c>
      <c r="CF102" s="1033">
        <f t="shared" si="895"/>
        <v>0</v>
      </c>
      <c r="CG102" s="1033">
        <f t="shared" si="895"/>
        <v>0</v>
      </c>
      <c r="CH102" s="1033">
        <f t="shared" si="895"/>
        <v>0</v>
      </c>
      <c r="CI102" s="1033">
        <f t="shared" si="895"/>
        <v>0</v>
      </c>
      <c r="CJ102" s="1033">
        <f t="shared" si="895"/>
        <v>0</v>
      </c>
      <c r="CK102" s="1033">
        <f t="shared" si="895"/>
        <v>0</v>
      </c>
      <c r="CL102" s="1033">
        <f t="shared" si="895"/>
        <v>0</v>
      </c>
      <c r="CM102" s="1033">
        <f t="shared" si="895"/>
        <v>0</v>
      </c>
      <c r="CN102" s="625">
        <f t="shared" si="750"/>
        <v>0</v>
      </c>
      <c r="CO102" s="626">
        <f t="shared" ref="CO102:CZ102" si="896">+CO83/CO37</f>
        <v>0</v>
      </c>
      <c r="CP102" s="1033">
        <f t="shared" si="896"/>
        <v>0</v>
      </c>
      <c r="CQ102" s="1033">
        <f t="shared" si="896"/>
        <v>0</v>
      </c>
      <c r="CR102" s="1033">
        <f t="shared" si="896"/>
        <v>0</v>
      </c>
      <c r="CS102" s="1033">
        <f t="shared" si="896"/>
        <v>0</v>
      </c>
      <c r="CT102" s="1033">
        <f t="shared" si="896"/>
        <v>0</v>
      </c>
      <c r="CU102" s="1033">
        <f t="shared" si="896"/>
        <v>0</v>
      </c>
      <c r="CV102" s="1033">
        <f t="shared" si="896"/>
        <v>0</v>
      </c>
      <c r="CW102" s="1033">
        <f t="shared" si="896"/>
        <v>0</v>
      </c>
      <c r="CX102" s="1033">
        <f t="shared" si="896"/>
        <v>0</v>
      </c>
      <c r="CY102" s="1033">
        <f t="shared" si="896"/>
        <v>0</v>
      </c>
      <c r="CZ102" s="1033">
        <f t="shared" si="896"/>
        <v>0</v>
      </c>
      <c r="DA102" s="625">
        <f t="shared" si="730"/>
        <v>0</v>
      </c>
      <c r="DB102" s="1033">
        <f t="shared" ref="DB102:DM102" si="897">+DB83/DB37</f>
        <v>0</v>
      </c>
      <c r="DC102" s="1033">
        <f t="shared" si="897"/>
        <v>0</v>
      </c>
      <c r="DD102" s="1033">
        <f t="shared" si="897"/>
        <v>0</v>
      </c>
      <c r="DE102" s="1033">
        <f t="shared" si="897"/>
        <v>0</v>
      </c>
      <c r="DF102" s="1033">
        <f t="shared" si="897"/>
        <v>0</v>
      </c>
      <c r="DG102" s="1033">
        <f t="shared" si="897"/>
        <v>0</v>
      </c>
      <c r="DH102" s="1033">
        <f t="shared" si="897"/>
        <v>0</v>
      </c>
      <c r="DI102" s="1033">
        <f t="shared" si="897"/>
        <v>0</v>
      </c>
      <c r="DJ102" s="1033">
        <f t="shared" si="897"/>
        <v>0</v>
      </c>
      <c r="DK102" s="1033">
        <f t="shared" si="897"/>
        <v>0</v>
      </c>
      <c r="DL102" s="1033">
        <f t="shared" si="897"/>
        <v>0</v>
      </c>
      <c r="DM102" s="1033">
        <f t="shared" si="897"/>
        <v>0</v>
      </c>
      <c r="DN102" s="626">
        <f t="shared" si="731"/>
        <v>0</v>
      </c>
      <c r="DO102" s="626">
        <f t="shared" ref="DO102:DZ102" si="898">+DO83/DO37</f>
        <v>790.80365052457728</v>
      </c>
      <c r="DP102" s="1033">
        <f t="shared" si="898"/>
        <v>722.16724786804775</v>
      </c>
      <c r="DQ102" s="1033">
        <f t="shared" si="898"/>
        <v>710.74794535945728</v>
      </c>
      <c r="DR102" s="1033">
        <f t="shared" si="898"/>
        <v>1015.3301700946716</v>
      </c>
      <c r="DS102" s="1033">
        <f t="shared" si="898"/>
        <v>766.15361748127293</v>
      </c>
      <c r="DT102" s="1033">
        <f t="shared" si="898"/>
        <v>606.09390807507532</v>
      </c>
      <c r="DU102" s="1033">
        <f t="shared" si="898"/>
        <v>1160.6846023760606</v>
      </c>
      <c r="DV102" s="1033">
        <f t="shared" si="898"/>
        <v>83.17371488861879</v>
      </c>
      <c r="DW102" s="1033">
        <f t="shared" si="898"/>
        <v>143.43164303312179</v>
      </c>
      <c r="DX102" s="1033">
        <f t="shared" si="898"/>
        <v>925.90003666010989</v>
      </c>
      <c r="DY102" s="1033">
        <f t="shared" si="898"/>
        <v>270.02379366583841</v>
      </c>
      <c r="DZ102" s="1033">
        <f t="shared" si="898"/>
        <v>565.85580191395138</v>
      </c>
      <c r="EA102" s="626">
        <f t="shared" si="732"/>
        <v>7760.3661319408038</v>
      </c>
      <c r="EB102" s="626">
        <f t="shared" ref="EB102:EM102" si="899">+EB83/EB37</f>
        <v>909.95302745823381</v>
      </c>
      <c r="EC102" s="1033">
        <f t="shared" si="899"/>
        <v>799.96817496486028</v>
      </c>
      <c r="ED102" s="1033">
        <f t="shared" si="899"/>
        <v>831.08297840057025</v>
      </c>
      <c r="EE102" s="1033">
        <f t="shared" si="899"/>
        <v>1070.5444506980907</v>
      </c>
      <c r="EF102" s="1033">
        <f t="shared" si="899"/>
        <v>825.6425560513544</v>
      </c>
      <c r="EG102" s="1033">
        <f t="shared" si="899"/>
        <v>784.41905287636587</v>
      </c>
      <c r="EH102" s="1033">
        <f t="shared" si="899"/>
        <v>1543.0076462600907</v>
      </c>
      <c r="EI102" s="1033">
        <f t="shared" si="899"/>
        <v>2318.6013743726048</v>
      </c>
      <c r="EJ102" s="1033">
        <f t="shared" si="899"/>
        <v>1029.6368351593928</v>
      </c>
      <c r="EK102" s="1033">
        <f t="shared" si="899"/>
        <v>439.40396144843612</v>
      </c>
      <c r="EL102" s="1033">
        <f t="shared" si="899"/>
        <v>945.60038488115003</v>
      </c>
      <c r="EM102" s="1033">
        <f t="shared" si="899"/>
        <v>1616.9072665820324</v>
      </c>
      <c r="EN102" s="625">
        <f t="shared" si="733"/>
        <v>13114.767709153184</v>
      </c>
      <c r="EO102" s="1033">
        <f t="shared" ref="EO102:EZ102" si="900">+EO83/EO37</f>
        <v>1036.2962688228135</v>
      </c>
      <c r="EP102" s="1033">
        <f t="shared" si="900"/>
        <v>887.80476196289578</v>
      </c>
      <c r="EQ102" s="1033">
        <f t="shared" si="900"/>
        <v>876.47813428386064</v>
      </c>
      <c r="ER102" s="1033">
        <f t="shared" si="900"/>
        <v>1121.6616527140677</v>
      </c>
      <c r="ES102" s="1033">
        <f t="shared" si="900"/>
        <v>883.86613940665609</v>
      </c>
      <c r="ET102" s="1033">
        <f t="shared" si="900"/>
        <v>969.01548176278436</v>
      </c>
      <c r="EU102" s="1033">
        <f t="shared" si="900"/>
        <v>4807.5769173744884</v>
      </c>
      <c r="EV102" s="1033">
        <f t="shared" si="900"/>
        <v>478.38343580735022</v>
      </c>
      <c r="EW102" s="1033">
        <f t="shared" si="900"/>
        <v>418.54365196623485</v>
      </c>
      <c r="EX102" s="1033">
        <f t="shared" si="900"/>
        <v>319.46599588371072</v>
      </c>
      <c r="EY102" s="1033">
        <f t="shared" si="900"/>
        <v>121.40243401747074</v>
      </c>
      <c r="EZ102" s="1033">
        <f t="shared" si="900"/>
        <v>1640.6903709148253</v>
      </c>
      <c r="FA102" s="625">
        <f t="shared" si="734"/>
        <v>13561.185244917158</v>
      </c>
      <c r="FB102" s="1033">
        <f t="shared" ref="FB102:FM102" si="901">+FB83/FB37</f>
        <v>1093.9388855851985</v>
      </c>
      <c r="FC102" s="1033">
        <f t="shared" si="901"/>
        <v>1149.0683231509945</v>
      </c>
      <c r="FD102" s="1033">
        <f t="shared" si="901"/>
        <v>1127.2311374824512</v>
      </c>
      <c r="FE102" s="1033">
        <f t="shared" si="901"/>
        <v>1275.612277927529</v>
      </c>
      <c r="FF102" s="1033">
        <f t="shared" si="901"/>
        <v>3787.0295611857032</v>
      </c>
      <c r="FG102" s="1033">
        <f t="shared" si="901"/>
        <v>3792.4781430216176</v>
      </c>
      <c r="FH102" s="1033">
        <f t="shared" si="901"/>
        <v>914.74408338832052</v>
      </c>
      <c r="FI102" s="1033">
        <f t="shared" si="901"/>
        <v>117.63199589958988</v>
      </c>
      <c r="FJ102" s="1033">
        <f t="shared" si="901"/>
        <v>38.92819683998593</v>
      </c>
      <c r="FK102" s="1033">
        <f t="shared" si="901"/>
        <v>1248.8672795324123</v>
      </c>
      <c r="FL102" s="1033">
        <f t="shared" si="901"/>
        <v>1023.6779627595037</v>
      </c>
      <c r="FM102" s="1033">
        <f t="shared" si="901"/>
        <v>3492.4803294669105</v>
      </c>
      <c r="FN102" s="625">
        <f t="shared" si="735"/>
        <v>19061.688176240219</v>
      </c>
      <c r="FO102" s="1033">
        <f t="shared" ref="FO102:FZ102" si="902">+FO83/FO37</f>
        <v>1085.0679563843664</v>
      </c>
      <c r="FP102" s="1033">
        <f t="shared" si="902"/>
        <v>1071.6340651159387</v>
      </c>
      <c r="FQ102" s="1033">
        <f t="shared" si="902"/>
        <v>1079.4376026216114</v>
      </c>
      <c r="FR102" s="1033">
        <f t="shared" si="902"/>
        <v>1152.8652732781095</v>
      </c>
      <c r="FS102" s="1033">
        <f t="shared" si="902"/>
        <v>1100.3232035207709</v>
      </c>
      <c r="FT102" s="1033">
        <f t="shared" si="902"/>
        <v>1078.6802128109359</v>
      </c>
      <c r="FU102" s="1033">
        <f t="shared" si="902"/>
        <v>2130.5251519613785</v>
      </c>
      <c r="FV102" s="1033">
        <f t="shared" si="902"/>
        <v>1098.5808521232148</v>
      </c>
      <c r="FW102" s="1033">
        <f t="shared" si="902"/>
        <v>1068.8932664637623</v>
      </c>
      <c r="FX102" s="1033">
        <f t="shared" si="902"/>
        <v>1249.2071570041564</v>
      </c>
      <c r="FY102" s="1033">
        <f t="shared" si="902"/>
        <v>1117.4246055487556</v>
      </c>
      <c r="FZ102" s="627">
        <f t="shared" si="902"/>
        <v>2371.9388558828441</v>
      </c>
      <c r="GA102" s="627">
        <f t="shared" si="653"/>
        <v>15604.578202715842</v>
      </c>
      <c r="GB102" s="626">
        <f t="shared" ref="GB102:GM102" si="903">+GB83/GB37</f>
        <v>1051.5769951704124</v>
      </c>
      <c r="GC102" s="1033">
        <f t="shared" si="903"/>
        <v>874.75879861408271</v>
      </c>
      <c r="GD102" s="1033">
        <f t="shared" si="903"/>
        <v>1135.761730664746</v>
      </c>
      <c r="GE102" s="1033">
        <f t="shared" si="903"/>
        <v>1278.2249943670256</v>
      </c>
      <c r="GF102" s="1033">
        <f t="shared" si="903"/>
        <v>1163.9738239317337</v>
      </c>
      <c r="GG102" s="1033">
        <f t="shared" si="903"/>
        <v>1036.6619066418973</v>
      </c>
      <c r="GH102" s="1033">
        <f t="shared" si="903"/>
        <v>2019.5202121063833</v>
      </c>
      <c r="GI102" s="1033">
        <f t="shared" si="903"/>
        <v>1128.3821346108082</v>
      </c>
      <c r="GJ102" s="1033">
        <f t="shared" si="903"/>
        <v>1151.2514302959746</v>
      </c>
      <c r="GK102" s="1033">
        <f t="shared" si="903"/>
        <v>1309.3390755008152</v>
      </c>
      <c r="GL102" s="1034">
        <f t="shared" si="903"/>
        <v>1211.8545105386745</v>
      </c>
      <c r="GM102" s="628">
        <f t="shared" si="903"/>
        <v>2777.0656550302911</v>
      </c>
      <c r="GN102" s="625">
        <f t="shared" si="654"/>
        <v>16138.371267472845</v>
      </c>
      <c r="GO102" s="626">
        <f t="shared" ref="GO102:GZ102" si="904">+GO83/GO37</f>
        <v>1278.239671009585</v>
      </c>
      <c r="GP102" s="1033">
        <f t="shared" si="904"/>
        <v>1038.1267951824027</v>
      </c>
      <c r="GQ102" s="1033">
        <f t="shared" si="904"/>
        <v>1285.9727583786914</v>
      </c>
      <c r="GR102" s="1033">
        <f t="shared" si="904"/>
        <v>1304.6750160984461</v>
      </c>
      <c r="GS102" s="1033">
        <f t="shared" si="904"/>
        <v>1296.5029796417032</v>
      </c>
      <c r="GT102" s="1033">
        <f t="shared" si="904"/>
        <v>1430.4186851407319</v>
      </c>
      <c r="GU102" s="1033">
        <f t="shared" si="904"/>
        <v>2023.8409009848879</v>
      </c>
      <c r="GV102" s="1033">
        <f t="shared" si="904"/>
        <v>1262.3184897906162</v>
      </c>
      <c r="GW102" s="1033">
        <f t="shared" si="904"/>
        <v>1301.3455349802159</v>
      </c>
      <c r="GX102" s="1033">
        <f t="shared" si="904"/>
        <v>1600.2082381093537</v>
      </c>
      <c r="GY102" s="1033">
        <f t="shared" si="904"/>
        <v>1482.0785151107352</v>
      </c>
      <c r="GZ102" s="627">
        <f t="shared" si="904"/>
        <v>2322.563212982875</v>
      </c>
      <c r="HA102" s="627">
        <f t="shared" si="656"/>
        <v>17626.290797410242</v>
      </c>
      <c r="HB102" s="626">
        <f t="shared" ref="HB102:HM102" si="905">+HB83/HB37</f>
        <v>1325.9372064326731</v>
      </c>
      <c r="HC102" s="1033">
        <f t="shared" si="905"/>
        <v>1318.5533079083859</v>
      </c>
      <c r="HD102" s="1033">
        <f t="shared" si="905"/>
        <v>1326.115925545178</v>
      </c>
      <c r="HE102" s="1033">
        <f t="shared" si="905"/>
        <v>1472.0798829142041</v>
      </c>
      <c r="HF102" s="1033">
        <f t="shared" si="905"/>
        <v>1440.2767748881515</v>
      </c>
      <c r="HG102" s="1033">
        <f t="shared" si="905"/>
        <v>1452.0106360419832</v>
      </c>
      <c r="HH102" s="1033">
        <f t="shared" si="905"/>
        <v>1427.2733206018568</v>
      </c>
      <c r="HI102" s="1033">
        <f t="shared" si="905"/>
        <v>2474.4346472250245</v>
      </c>
      <c r="HJ102" s="1033">
        <f t="shared" si="905"/>
        <v>1483.1990654551225</v>
      </c>
      <c r="HK102" s="1033">
        <f t="shared" si="905"/>
        <v>1481.1764702841358</v>
      </c>
      <c r="HL102" s="1033">
        <f t="shared" si="905"/>
        <v>1706.9107143356252</v>
      </c>
      <c r="HM102" s="627">
        <f t="shared" si="905"/>
        <v>1550.2859149435487</v>
      </c>
      <c r="HN102" s="627">
        <f t="shared" si="658"/>
        <v>18458.253866575891</v>
      </c>
      <c r="HO102" s="1033">
        <f t="shared" ref="HO102:HZ102" si="906">+HO83/HO37</f>
        <v>1789.8866506826594</v>
      </c>
      <c r="HP102" s="1033">
        <f t="shared" si="906"/>
        <v>1746.8668999805473</v>
      </c>
      <c r="HQ102" s="1033">
        <f t="shared" si="906"/>
        <v>1811.4450258770892</v>
      </c>
      <c r="HR102" s="1033">
        <f t="shared" si="906"/>
        <v>1808.97801693051</v>
      </c>
      <c r="HS102" s="1033">
        <f t="shared" si="906"/>
        <v>1831.0471042056506</v>
      </c>
      <c r="HT102" s="1033">
        <f t="shared" si="906"/>
        <v>1852.3829826493293</v>
      </c>
      <c r="HU102" s="1033">
        <f t="shared" si="906"/>
        <v>2973.2976577916565</v>
      </c>
      <c r="HV102" s="1033">
        <f t="shared" si="906"/>
        <v>1739.284156726472</v>
      </c>
      <c r="HW102" s="1033">
        <f t="shared" si="906"/>
        <v>1814.1479974200045</v>
      </c>
      <c r="HX102" s="1033">
        <f t="shared" si="906"/>
        <v>1754.1063081956452</v>
      </c>
      <c r="HY102" s="1033">
        <f t="shared" si="906"/>
        <v>1817.2787575972648</v>
      </c>
      <c r="HZ102" s="1033">
        <f t="shared" si="906"/>
        <v>2935.1377017762752</v>
      </c>
      <c r="IA102" s="626">
        <f t="shared" si="660"/>
        <v>23873.859259833102</v>
      </c>
      <c r="IB102" s="1324">
        <f>+IB83/IB37</f>
        <v>1779.77670944278</v>
      </c>
      <c r="IC102">
        <f>+IC83/IC37</f>
        <v>1951.600978134559</v>
      </c>
      <c r="ID102">
        <f>+ID83/ID37</f>
        <v>2018.7718374973629</v>
      </c>
      <c r="IE102">
        <f>+IE83/IE37</f>
        <v>2015.2263550054863</v>
      </c>
      <c r="IF102">
        <f>+IF83/IF37</f>
        <v>2007.2953858495137</v>
      </c>
      <c r="IG102">
        <f t="shared" ref="IG102" si="907">+IG83/IG37</f>
        <v>1956.0287162662939</v>
      </c>
      <c r="IH102">
        <f t="shared" ref="IH102" si="908">+IH83/IH37</f>
        <v>3178.012987999392</v>
      </c>
      <c r="II102">
        <f t="shared" ref="II102" si="909">+II83/II37</f>
        <v>1948.4800000741052</v>
      </c>
      <c r="IM102" s="1266"/>
      <c r="IN102" s="1059">
        <f t="shared" si="680"/>
        <v>16855.192970269491</v>
      </c>
      <c r="IO102" s="1266"/>
      <c r="IP102" s="1060">
        <f t="shared" si="662"/>
        <v>12.027697862858888</v>
      </c>
      <c r="IQ102" s="640">
        <f t="shared" si="663"/>
        <v>8.3713026165484372</v>
      </c>
      <c r="IR102" s="344">
        <f t="shared" si="664"/>
        <v>15553.188494843913</v>
      </c>
      <c r="IS102" s="344">
        <f t="shared" si="665"/>
        <v>16855.192970269491</v>
      </c>
    </row>
    <row r="103" spans="1:253" ht="15" customHeight="1" x14ac:dyDescent="0.2">
      <c r="A103" s="342" t="s">
        <v>319</v>
      </c>
      <c r="BA103" s="644"/>
      <c r="BB103" s="1033"/>
      <c r="BC103" s="1033"/>
      <c r="BD103" s="1033"/>
      <c r="BE103" s="1033"/>
      <c r="BF103" s="1033"/>
      <c r="BG103" s="1033"/>
      <c r="BH103" s="1033"/>
      <c r="BI103" s="1033"/>
      <c r="BJ103" s="1033"/>
      <c r="BK103" s="1033"/>
      <c r="BL103" s="1033"/>
      <c r="BM103" s="1033"/>
      <c r="BN103" s="649"/>
      <c r="BO103" s="1033">
        <f t="shared" ref="BO103:BZ103" si="910">+BO84/BO37</f>
        <v>195.35626916417863</v>
      </c>
      <c r="BP103" s="1033">
        <f t="shared" si="910"/>
        <v>20974.59385365653</v>
      </c>
      <c r="BQ103" s="1033">
        <f t="shared" si="910"/>
        <v>4091.5059213070117</v>
      </c>
      <c r="BR103" s="1033">
        <f t="shared" si="910"/>
        <v>463.39016289537915</v>
      </c>
      <c r="BS103" s="1033">
        <f t="shared" si="910"/>
        <v>12047.556079082853</v>
      </c>
      <c r="BT103" s="1033">
        <f t="shared" si="910"/>
        <v>1113.3982550097169</v>
      </c>
      <c r="BU103" s="1033">
        <f t="shared" si="910"/>
        <v>198.72663127346212</v>
      </c>
      <c r="BV103" s="1033">
        <f t="shared" si="910"/>
        <v>879.29906245620384</v>
      </c>
      <c r="BW103" s="1033">
        <f t="shared" si="910"/>
        <v>1340.6561321424656</v>
      </c>
      <c r="BX103" s="1033">
        <f t="shared" si="910"/>
        <v>3507.8658444036378</v>
      </c>
      <c r="BY103" s="1033">
        <f t="shared" si="910"/>
        <v>3929.1044212378047</v>
      </c>
      <c r="BZ103" s="1033">
        <f t="shared" si="910"/>
        <v>16498.285432765366</v>
      </c>
      <c r="CA103" s="344">
        <f t="shared" si="749"/>
        <v>65239.738065394602</v>
      </c>
      <c r="CB103" s="1033">
        <f t="shared" ref="CB103:CM103" si="911">+CB84/CB37</f>
        <v>0</v>
      </c>
      <c r="CC103" s="1033">
        <f t="shared" si="911"/>
        <v>0</v>
      </c>
      <c r="CD103" s="1033">
        <f t="shared" si="911"/>
        <v>0</v>
      </c>
      <c r="CE103" s="1033">
        <f t="shared" si="911"/>
        <v>0</v>
      </c>
      <c r="CF103" s="1033">
        <f t="shared" si="911"/>
        <v>0</v>
      </c>
      <c r="CG103" s="1033">
        <f t="shared" si="911"/>
        <v>0</v>
      </c>
      <c r="CH103" s="1033">
        <f t="shared" si="911"/>
        <v>0</v>
      </c>
      <c r="CI103" s="1033">
        <f t="shared" si="911"/>
        <v>0</v>
      </c>
      <c r="CJ103" s="1033">
        <f t="shared" si="911"/>
        <v>0</v>
      </c>
      <c r="CK103" s="1033">
        <f t="shared" si="911"/>
        <v>0</v>
      </c>
      <c r="CL103" s="1033">
        <f t="shared" si="911"/>
        <v>0</v>
      </c>
      <c r="CM103" s="1033">
        <f t="shared" si="911"/>
        <v>0</v>
      </c>
      <c r="CN103" s="625">
        <f t="shared" si="750"/>
        <v>0</v>
      </c>
      <c r="CO103" s="626">
        <f t="shared" ref="CO103:CZ103" si="912">+CO84/CO37</f>
        <v>0</v>
      </c>
      <c r="CP103" s="1033">
        <f t="shared" si="912"/>
        <v>0</v>
      </c>
      <c r="CQ103" s="1033">
        <f t="shared" si="912"/>
        <v>0</v>
      </c>
      <c r="CR103" s="1033">
        <f t="shared" si="912"/>
        <v>0</v>
      </c>
      <c r="CS103" s="1033">
        <f t="shared" si="912"/>
        <v>0</v>
      </c>
      <c r="CT103" s="1033">
        <f t="shared" si="912"/>
        <v>0</v>
      </c>
      <c r="CU103" s="1033">
        <f t="shared" si="912"/>
        <v>0</v>
      </c>
      <c r="CV103" s="1033">
        <f t="shared" si="912"/>
        <v>0</v>
      </c>
      <c r="CW103" s="1033">
        <f t="shared" si="912"/>
        <v>0</v>
      </c>
      <c r="CX103" s="1033">
        <f t="shared" si="912"/>
        <v>0</v>
      </c>
      <c r="CY103" s="1033">
        <f t="shared" si="912"/>
        <v>0</v>
      </c>
      <c r="CZ103" s="1033">
        <f t="shared" si="912"/>
        <v>0</v>
      </c>
      <c r="DA103" s="625">
        <f t="shared" si="730"/>
        <v>0</v>
      </c>
      <c r="DB103" s="1033">
        <f t="shared" ref="DB103:DM103" si="913">+DB84/DB37</f>
        <v>0</v>
      </c>
      <c r="DC103" s="1033">
        <f t="shared" si="913"/>
        <v>0</v>
      </c>
      <c r="DD103" s="1033">
        <f t="shared" si="913"/>
        <v>0</v>
      </c>
      <c r="DE103" s="1033">
        <f t="shared" si="913"/>
        <v>0</v>
      </c>
      <c r="DF103" s="1033">
        <f t="shared" si="913"/>
        <v>0</v>
      </c>
      <c r="DG103" s="1033">
        <f t="shared" si="913"/>
        <v>0</v>
      </c>
      <c r="DH103" s="1033">
        <f t="shared" si="913"/>
        <v>0</v>
      </c>
      <c r="DI103" s="1033">
        <f t="shared" si="913"/>
        <v>0</v>
      </c>
      <c r="DJ103" s="1033">
        <f t="shared" si="913"/>
        <v>0</v>
      </c>
      <c r="DK103" s="1033">
        <f t="shared" si="913"/>
        <v>0</v>
      </c>
      <c r="DL103" s="1033">
        <f t="shared" si="913"/>
        <v>0</v>
      </c>
      <c r="DM103" s="1033">
        <f t="shared" si="913"/>
        <v>0</v>
      </c>
      <c r="DN103" s="626">
        <f t="shared" si="731"/>
        <v>0</v>
      </c>
      <c r="DO103" s="626">
        <f t="shared" ref="DO103:DZ103" si="914">+DO84/DO37</f>
        <v>430.02226157557658</v>
      </c>
      <c r="DP103" s="1033">
        <f t="shared" si="914"/>
        <v>8333.2578803284796</v>
      </c>
      <c r="DQ103" s="1033">
        <f t="shared" si="914"/>
        <v>8440.0422007972684</v>
      </c>
      <c r="DR103" s="1033">
        <f t="shared" si="914"/>
        <v>15424.102088194551</v>
      </c>
      <c r="DS103" s="1033">
        <f t="shared" si="914"/>
        <v>7503.3951359546727</v>
      </c>
      <c r="DT103" s="1033">
        <f t="shared" si="914"/>
        <v>18318.790577238076</v>
      </c>
      <c r="DU103" s="1033">
        <f t="shared" si="914"/>
        <v>5298.149864079779</v>
      </c>
      <c r="DV103" s="1033">
        <f t="shared" si="914"/>
        <v>8141.7028668988469</v>
      </c>
      <c r="DW103" s="1033">
        <f t="shared" si="914"/>
        <v>4587.6611024144004</v>
      </c>
      <c r="DX103" s="1033">
        <f t="shared" si="914"/>
        <v>12783.184864114404</v>
      </c>
      <c r="DY103" s="1033">
        <f t="shared" si="914"/>
        <v>5974.4569320449546</v>
      </c>
      <c r="DZ103" s="1033">
        <f t="shared" si="914"/>
        <v>18379.14061324843</v>
      </c>
      <c r="EA103" s="626">
        <f t="shared" si="732"/>
        <v>113613.90638688943</v>
      </c>
      <c r="EB103" s="626">
        <f t="shared" ref="EB103:EM103" si="915">+EB84/EB37</f>
        <v>11208.116047861742</v>
      </c>
      <c r="EC103" s="1033">
        <f t="shared" si="915"/>
        <v>8658.901484493972</v>
      </c>
      <c r="ED103" s="1033">
        <f t="shared" si="915"/>
        <v>2871.9883836559688</v>
      </c>
      <c r="EE103" s="1033">
        <f t="shared" si="915"/>
        <v>15107.128274523659</v>
      </c>
      <c r="EF103" s="1033">
        <f t="shared" si="915"/>
        <v>4903.057570727844</v>
      </c>
      <c r="EG103" s="1033">
        <f t="shared" si="915"/>
        <v>18557.92857459504</v>
      </c>
      <c r="EH103" s="1033">
        <f t="shared" si="915"/>
        <v>5571.7352530469107</v>
      </c>
      <c r="EI103" s="1033">
        <f t="shared" si="915"/>
        <v>11850.550414977239</v>
      </c>
      <c r="EJ103" s="1033">
        <f t="shared" si="915"/>
        <v>5427.1916813353409</v>
      </c>
      <c r="EK103" s="1033">
        <f t="shared" si="915"/>
        <v>13190.609741258851</v>
      </c>
      <c r="EL103" s="1033">
        <f t="shared" si="915"/>
        <v>6037.566582989286</v>
      </c>
      <c r="EM103" s="1033">
        <f t="shared" si="915"/>
        <v>11208.299586149797</v>
      </c>
      <c r="EN103" s="625">
        <f t="shared" si="733"/>
        <v>114593.07359561566</v>
      </c>
      <c r="EO103" s="1033">
        <f t="shared" ref="EO103:EZ103" si="916">+EO84/EO37</f>
        <v>2255.8830341721114</v>
      </c>
      <c r="EP103" s="1033">
        <f t="shared" si="916"/>
        <v>9946.7927652750132</v>
      </c>
      <c r="EQ103" s="1033">
        <f t="shared" si="916"/>
        <v>4654.2806189762578</v>
      </c>
      <c r="ER103" s="1033">
        <f t="shared" si="916"/>
        <v>18624.605800662692</v>
      </c>
      <c r="ES103" s="1033">
        <f t="shared" si="916"/>
        <v>7019.3876697716951</v>
      </c>
      <c r="ET103" s="1033">
        <f t="shared" si="916"/>
        <v>13042.66953115103</v>
      </c>
      <c r="EU103" s="1033">
        <f t="shared" si="916"/>
        <v>13827.871379568445</v>
      </c>
      <c r="EV103" s="1033">
        <f t="shared" si="916"/>
        <v>12320.459446323312</v>
      </c>
      <c r="EW103" s="1033">
        <f t="shared" si="916"/>
        <v>6027.8628945967712</v>
      </c>
      <c r="EX103" s="1033">
        <f t="shared" si="916"/>
        <v>13521.051030130355</v>
      </c>
      <c r="EY103" s="1033">
        <f t="shared" si="916"/>
        <v>13746.917899944001</v>
      </c>
      <c r="EZ103" s="1033">
        <f t="shared" si="916"/>
        <v>9173.3283143427634</v>
      </c>
      <c r="FA103" s="625">
        <f t="shared" si="734"/>
        <v>124161.11038491444</v>
      </c>
      <c r="FB103" s="1033">
        <f t="shared" ref="FB103:FM103" si="917">+FB84/FB37</f>
        <v>2430.0527300286003</v>
      </c>
      <c r="FC103" s="1033">
        <f t="shared" si="917"/>
        <v>15078.1533059537</v>
      </c>
      <c r="FD103" s="1033">
        <f t="shared" si="917"/>
        <v>36427.689310737704</v>
      </c>
      <c r="FE103" s="1033">
        <f t="shared" si="917"/>
        <v>54810.864980777449</v>
      </c>
      <c r="FF103" s="1033">
        <f t="shared" si="917"/>
        <v>51818.583236545892</v>
      </c>
      <c r="FG103" s="1033">
        <f t="shared" si="917"/>
        <v>6969.3477275397263</v>
      </c>
      <c r="FH103" s="1033">
        <f t="shared" si="917"/>
        <v>8766.240536250134</v>
      </c>
      <c r="FI103" s="1033">
        <f t="shared" si="917"/>
        <v>62018.050303294236</v>
      </c>
      <c r="FJ103" s="1033">
        <f t="shared" si="917"/>
        <v>7992.5734669886897</v>
      </c>
      <c r="FK103" s="1033">
        <f t="shared" si="917"/>
        <v>102239.14461396783</v>
      </c>
      <c r="FL103" s="1033">
        <f t="shared" si="917"/>
        <v>48303.063207608197</v>
      </c>
      <c r="FM103" s="1033">
        <f t="shared" si="917"/>
        <v>33051.600878456193</v>
      </c>
      <c r="FN103" s="625">
        <f t="shared" si="735"/>
        <v>429905.36429814837</v>
      </c>
      <c r="FO103" s="1033">
        <f t="shared" ref="FO103:FZ103" si="918">+FO84/FO37</f>
        <v>785.83182431314981</v>
      </c>
      <c r="FP103" s="1033">
        <f t="shared" si="918"/>
        <v>16548.243416103935</v>
      </c>
      <c r="FQ103" s="1033">
        <f t="shared" si="918"/>
        <v>9589.1267253348233</v>
      </c>
      <c r="FR103" s="1033">
        <f t="shared" si="918"/>
        <v>28333.288552336388</v>
      </c>
      <c r="FS103" s="1033">
        <f t="shared" si="918"/>
        <v>3823.4060071338017</v>
      </c>
      <c r="FT103" s="1033">
        <f t="shared" si="918"/>
        <v>13776.932921354215</v>
      </c>
      <c r="FU103" s="1033">
        <f t="shared" si="918"/>
        <v>7981.902599889896</v>
      </c>
      <c r="FV103" s="1033">
        <f t="shared" si="918"/>
        <v>11467.985170443997</v>
      </c>
      <c r="FW103" s="1033">
        <f t="shared" si="918"/>
        <v>49319.007892155845</v>
      </c>
      <c r="FX103" s="1033">
        <f t="shared" si="918"/>
        <v>35219.769757622867</v>
      </c>
      <c r="FY103" s="1033">
        <f t="shared" si="918"/>
        <v>22212.189454832227</v>
      </c>
      <c r="FZ103" s="627">
        <f t="shared" si="918"/>
        <v>48273.868016621556</v>
      </c>
      <c r="GA103" s="627">
        <f t="shared" si="653"/>
        <v>247331.5523381427</v>
      </c>
      <c r="GB103" s="626">
        <f t="shared" ref="GB103:GM103" si="919">+GB84/GB37</f>
        <v>7394.1996719229419</v>
      </c>
      <c r="GC103" s="1033">
        <f t="shared" si="919"/>
        <v>14933.200711805815</v>
      </c>
      <c r="GD103" s="1033">
        <f t="shared" si="919"/>
        <v>8106.9457013416877</v>
      </c>
      <c r="GE103" s="1033">
        <f t="shared" si="919"/>
        <v>21760.229285173409</v>
      </c>
      <c r="GF103" s="1033">
        <f t="shared" si="919"/>
        <v>9198.0512480638336</v>
      </c>
      <c r="GG103" s="1033">
        <f t="shared" si="919"/>
        <v>15339.786174239647</v>
      </c>
      <c r="GH103" s="1033">
        <f t="shared" si="919"/>
        <v>8116.2078407427944</v>
      </c>
      <c r="GI103" s="1033">
        <f t="shared" si="919"/>
        <v>18791.740621097095</v>
      </c>
      <c r="GJ103" s="1033">
        <f t="shared" si="919"/>
        <v>5720.9720427071652</v>
      </c>
      <c r="GK103" s="1033">
        <f t="shared" si="919"/>
        <v>479.15731301896017</v>
      </c>
      <c r="GL103" s="1034">
        <f t="shared" si="919"/>
        <v>9703.1364576692504</v>
      </c>
      <c r="GM103" s="628">
        <f t="shared" si="919"/>
        <v>21564.170694292614</v>
      </c>
      <c r="GN103" s="625">
        <f t="shared" si="654"/>
        <v>141107.79776207521</v>
      </c>
      <c r="GO103" s="626">
        <f t="shared" ref="GO103:GZ103" si="920">+GO84/GO37</f>
        <v>12389.182486231561</v>
      </c>
      <c r="GP103" s="1033">
        <f t="shared" si="920"/>
        <v>12584.507739795697</v>
      </c>
      <c r="GQ103" s="1033">
        <f t="shared" si="920"/>
        <v>9532.3814399729254</v>
      </c>
      <c r="GR103" s="1033">
        <f t="shared" si="920"/>
        <v>16702.713939575748</v>
      </c>
      <c r="GS103" s="1033">
        <f t="shared" si="920"/>
        <v>4325.4960213410777</v>
      </c>
      <c r="GT103" s="1033">
        <f t="shared" si="920"/>
        <v>19421.677526405387</v>
      </c>
      <c r="GU103" s="1033">
        <f t="shared" si="920"/>
        <v>10571.296612430524</v>
      </c>
      <c r="GV103" s="1033">
        <f t="shared" si="920"/>
        <v>3016.0130989719864</v>
      </c>
      <c r="GW103" s="1033">
        <f t="shared" si="920"/>
        <v>6707.1098395174558</v>
      </c>
      <c r="GX103" s="1033">
        <f t="shared" si="920"/>
        <v>21346.389551767101</v>
      </c>
      <c r="GY103" s="1033">
        <f t="shared" si="920"/>
        <v>2201.6673889082285</v>
      </c>
      <c r="GZ103" s="627">
        <f t="shared" si="920"/>
        <v>15126.568799198989</v>
      </c>
      <c r="HA103" s="627">
        <f t="shared" si="656"/>
        <v>133925.0044441167</v>
      </c>
      <c r="HB103" s="626">
        <f t="shared" ref="HB103:HM103" si="921">+HB84/HB37</f>
        <v>3338.1950029647323</v>
      </c>
      <c r="HC103" s="1033">
        <f t="shared" si="921"/>
        <v>12699.005032909761</v>
      </c>
      <c r="HD103" s="1033">
        <f t="shared" si="921"/>
        <v>4046.1955681750546</v>
      </c>
      <c r="HE103" s="1033">
        <f t="shared" si="921"/>
        <v>20933.940865451041</v>
      </c>
      <c r="HF103" s="1033">
        <f t="shared" si="921"/>
        <v>17998.125327676382</v>
      </c>
      <c r="HG103" s="1033">
        <f t="shared" si="921"/>
        <v>14271.654946064251</v>
      </c>
      <c r="HH103" s="1033">
        <f t="shared" si="921"/>
        <v>1174.9407970458249</v>
      </c>
      <c r="HI103" s="1033">
        <f t="shared" si="921"/>
        <v>15390.592952356774</v>
      </c>
      <c r="HJ103" s="1033">
        <f t="shared" si="921"/>
        <v>2091.6909897444039</v>
      </c>
      <c r="HK103" s="1033">
        <f t="shared" si="921"/>
        <v>16086.942329185751</v>
      </c>
      <c r="HL103" s="1033">
        <f t="shared" si="921"/>
        <v>7324.8393268852169</v>
      </c>
      <c r="HM103" s="627">
        <f t="shared" si="921"/>
        <v>14833.023901861681</v>
      </c>
      <c r="HN103" s="627">
        <f t="shared" si="658"/>
        <v>130189.14704032088</v>
      </c>
      <c r="HO103" s="1033">
        <f t="shared" ref="HO103:HZ103" si="922">+HO84/HO37</f>
        <v>6875.490864353008</v>
      </c>
      <c r="HP103" s="1033">
        <f t="shared" si="922"/>
        <v>11956.829541592091</v>
      </c>
      <c r="HQ103" s="1033">
        <f t="shared" si="922"/>
        <v>12872.774982180341</v>
      </c>
      <c r="HR103" s="1033">
        <f t="shared" si="922"/>
        <v>11117.654401794403</v>
      </c>
      <c r="HS103" s="1033">
        <f t="shared" si="922"/>
        <v>21291.168348601168</v>
      </c>
      <c r="HT103" s="1033">
        <f t="shared" si="922"/>
        <v>15660.053455877642</v>
      </c>
      <c r="HU103" s="1033">
        <f t="shared" si="922"/>
        <v>19226.848011015809</v>
      </c>
      <c r="HV103" s="1033">
        <f t="shared" si="922"/>
        <v>12369.223876009073</v>
      </c>
      <c r="HW103" s="1033">
        <f t="shared" si="922"/>
        <v>9728.9755591566118</v>
      </c>
      <c r="HX103" s="1033">
        <f t="shared" si="922"/>
        <v>17426.736883657806</v>
      </c>
      <c r="HY103" s="1033">
        <f t="shared" si="922"/>
        <v>9798.0785473368014</v>
      </c>
      <c r="HZ103" s="1033">
        <f t="shared" si="922"/>
        <v>10955.719312124233</v>
      </c>
      <c r="IA103" s="626">
        <f t="shared" si="660"/>
        <v>159279.553783699</v>
      </c>
      <c r="IB103" s="1324">
        <f>+IB84/IB37</f>
        <v>10303.681042618999</v>
      </c>
      <c r="IC103">
        <f>+IC84/IC37</f>
        <v>14306.097936806747</v>
      </c>
      <c r="ID103">
        <f>+ID84/ID37</f>
        <v>9950.9184074473724</v>
      </c>
      <c r="IE103">
        <f>+IE84/IE37</f>
        <v>16901.26516218793</v>
      </c>
      <c r="IF103">
        <f>+IF84/IF37</f>
        <v>16717.363954800716</v>
      </c>
      <c r="IG103">
        <f t="shared" ref="IG103" si="923">+IG84/IG37</f>
        <v>18048.593513957272</v>
      </c>
      <c r="IH103">
        <f t="shared" ref="IH103" si="924">+IH84/IH37</f>
        <v>16698.446550153516</v>
      </c>
      <c r="II103">
        <f t="shared" ref="II103" si="925">+II84/II37</f>
        <v>7926.5307595205531</v>
      </c>
      <c r="IM103" s="1266"/>
      <c r="IN103" s="1059">
        <f t="shared" si="680"/>
        <v>110852.8973274931</v>
      </c>
      <c r="IO103" s="1266"/>
      <c r="IP103" s="1060">
        <f t="shared" si="662"/>
        <v>-35.917315112271652</v>
      </c>
      <c r="IQ103" s="640">
        <f t="shared" si="663"/>
        <v>-0.46434942266740942</v>
      </c>
      <c r="IR103" s="344">
        <f t="shared" si="664"/>
        <v>111370.04348142353</v>
      </c>
      <c r="IS103" s="344">
        <f t="shared" si="665"/>
        <v>110852.8973274931</v>
      </c>
    </row>
    <row r="104" spans="1:253" ht="15" customHeight="1" x14ac:dyDescent="0.2">
      <c r="A104" s="342" t="s">
        <v>324</v>
      </c>
      <c r="BA104" s="644"/>
      <c r="BB104" s="1033"/>
      <c r="BC104" s="1033"/>
      <c r="BD104" s="1033"/>
      <c r="BE104" s="1033"/>
      <c r="BF104" s="1033"/>
      <c r="BG104" s="1033"/>
      <c r="BH104" s="1033"/>
      <c r="BI104" s="1033"/>
      <c r="BJ104" s="1033"/>
      <c r="BK104" s="1033"/>
      <c r="BL104" s="1033"/>
      <c r="BM104" s="1033"/>
      <c r="BN104" s="649"/>
      <c r="BO104" s="1033">
        <f t="shared" ref="BO104:BZ104" si="926">+BO85/BO37</f>
        <v>2597.2365528622208</v>
      </c>
      <c r="BP104" s="1033">
        <f t="shared" si="926"/>
        <v>359.31139624207435</v>
      </c>
      <c r="BQ104" s="1033">
        <f t="shared" si="926"/>
        <v>817.30749733455184</v>
      </c>
      <c r="BR104" s="1033">
        <f t="shared" si="926"/>
        <v>3669.9509692409438</v>
      </c>
      <c r="BS104" s="1033">
        <f t="shared" si="926"/>
        <v>5595.4809490683174</v>
      </c>
      <c r="BT104" s="1033">
        <f t="shared" si="926"/>
        <v>2972.6253263368731</v>
      </c>
      <c r="BU104" s="1033">
        <f t="shared" si="926"/>
        <v>13.084881071503679</v>
      </c>
      <c r="BV104" s="1033">
        <f t="shared" si="926"/>
        <v>852.45644537844737</v>
      </c>
      <c r="BW104" s="1033">
        <f t="shared" si="926"/>
        <v>3885.4652266092553</v>
      </c>
      <c r="BX104" s="1033">
        <f t="shared" si="926"/>
        <v>4789.5079612058926</v>
      </c>
      <c r="BY104" s="1033">
        <f t="shared" si="926"/>
        <v>730.14432688011414</v>
      </c>
      <c r="BZ104" s="1033">
        <f t="shared" si="926"/>
        <v>1495.19012935469</v>
      </c>
      <c r="CA104" s="344">
        <f t="shared" si="749"/>
        <v>27777.761661584889</v>
      </c>
      <c r="CB104" s="1033">
        <f t="shared" ref="CB104:CM104" si="927">+CB85/CB37</f>
        <v>0</v>
      </c>
      <c r="CC104" s="1033">
        <f t="shared" si="927"/>
        <v>0</v>
      </c>
      <c r="CD104" s="1033">
        <f t="shared" si="927"/>
        <v>0</v>
      </c>
      <c r="CE104" s="1033">
        <f t="shared" si="927"/>
        <v>0</v>
      </c>
      <c r="CF104" s="1033">
        <f t="shared" si="927"/>
        <v>0</v>
      </c>
      <c r="CG104" s="1033">
        <f t="shared" si="927"/>
        <v>0</v>
      </c>
      <c r="CH104" s="1033">
        <f t="shared" si="927"/>
        <v>0</v>
      </c>
      <c r="CI104" s="1033">
        <f t="shared" si="927"/>
        <v>0</v>
      </c>
      <c r="CJ104" s="1033">
        <f t="shared" si="927"/>
        <v>0</v>
      </c>
      <c r="CK104" s="1033">
        <f t="shared" si="927"/>
        <v>0</v>
      </c>
      <c r="CL104" s="1033">
        <f t="shared" si="927"/>
        <v>0</v>
      </c>
      <c r="CM104" s="1033">
        <f t="shared" si="927"/>
        <v>0</v>
      </c>
      <c r="CN104" s="625">
        <f t="shared" si="750"/>
        <v>0</v>
      </c>
      <c r="CO104" s="626">
        <f t="shared" ref="CO104:CZ104" si="928">+CO85/CO37</f>
        <v>0</v>
      </c>
      <c r="CP104" s="1033">
        <f t="shared" si="928"/>
        <v>0</v>
      </c>
      <c r="CQ104" s="1033">
        <f t="shared" si="928"/>
        <v>0</v>
      </c>
      <c r="CR104" s="1033">
        <f t="shared" si="928"/>
        <v>0</v>
      </c>
      <c r="CS104" s="1033">
        <f t="shared" si="928"/>
        <v>0</v>
      </c>
      <c r="CT104" s="1033">
        <f t="shared" si="928"/>
        <v>0</v>
      </c>
      <c r="CU104" s="1033">
        <f t="shared" si="928"/>
        <v>0</v>
      </c>
      <c r="CV104" s="1033">
        <f t="shared" si="928"/>
        <v>0</v>
      </c>
      <c r="CW104" s="1033">
        <f t="shared" si="928"/>
        <v>0</v>
      </c>
      <c r="CX104" s="1033">
        <f t="shared" si="928"/>
        <v>0</v>
      </c>
      <c r="CY104" s="1033">
        <f t="shared" si="928"/>
        <v>0</v>
      </c>
      <c r="CZ104" s="1033">
        <f t="shared" si="928"/>
        <v>0</v>
      </c>
      <c r="DA104" s="625">
        <f t="shared" si="730"/>
        <v>0</v>
      </c>
      <c r="DB104" s="1033">
        <f t="shared" ref="DB104:DM104" si="929">+DB85/DB37</f>
        <v>0</v>
      </c>
      <c r="DC104" s="1033">
        <f t="shared" si="929"/>
        <v>0</v>
      </c>
      <c r="DD104" s="1033">
        <f t="shared" si="929"/>
        <v>0</v>
      </c>
      <c r="DE104" s="1033">
        <f t="shared" si="929"/>
        <v>0</v>
      </c>
      <c r="DF104" s="1033">
        <f t="shared" si="929"/>
        <v>0</v>
      </c>
      <c r="DG104" s="1033">
        <f t="shared" si="929"/>
        <v>0</v>
      </c>
      <c r="DH104" s="1033">
        <f t="shared" si="929"/>
        <v>0</v>
      </c>
      <c r="DI104" s="1033">
        <f t="shared" si="929"/>
        <v>0</v>
      </c>
      <c r="DJ104" s="1033">
        <f t="shared" si="929"/>
        <v>0</v>
      </c>
      <c r="DK104" s="1033">
        <f t="shared" si="929"/>
        <v>0</v>
      </c>
      <c r="DL104" s="1033">
        <f t="shared" si="929"/>
        <v>0</v>
      </c>
      <c r="DM104" s="1033">
        <f t="shared" si="929"/>
        <v>0</v>
      </c>
      <c r="DN104" s="626">
        <f t="shared" si="731"/>
        <v>0</v>
      </c>
      <c r="DO104" s="626">
        <f t="shared" ref="DO104:DZ104" si="930">+DO85/DO37</f>
        <v>13.119323234509116</v>
      </c>
      <c r="DP104" s="1033">
        <f t="shared" si="930"/>
        <v>5610.9634359003348</v>
      </c>
      <c r="DQ104" s="1033">
        <f t="shared" si="930"/>
        <v>11755.670607857583</v>
      </c>
      <c r="DR104" s="1033">
        <f t="shared" si="930"/>
        <v>7330.9426941325619</v>
      </c>
      <c r="DS104" s="1033">
        <f t="shared" si="930"/>
        <v>75.821046027835692</v>
      </c>
      <c r="DT104" s="1033">
        <f t="shared" si="930"/>
        <v>2380.2566246719248</v>
      </c>
      <c r="DU104" s="1033">
        <f t="shared" si="930"/>
        <v>361.63121006866066</v>
      </c>
      <c r="DV104" s="1033">
        <f t="shared" si="930"/>
        <v>7063.3126324808936</v>
      </c>
      <c r="DW104" s="1033">
        <f t="shared" si="930"/>
        <v>8.6058985819873062</v>
      </c>
      <c r="DX104" s="1033">
        <f t="shared" si="930"/>
        <v>43.232686536658825</v>
      </c>
      <c r="DY104" s="1033">
        <f t="shared" si="930"/>
        <v>100.35643668329288</v>
      </c>
      <c r="DZ104" s="1033">
        <f t="shared" si="930"/>
        <v>1201.6326392236394</v>
      </c>
      <c r="EA104" s="626">
        <f t="shared" si="732"/>
        <v>35945.545235399877</v>
      </c>
      <c r="EB104" s="626">
        <f t="shared" ref="EB104:EM104" si="931">+EB85/EB37</f>
        <v>70.550155609894716</v>
      </c>
      <c r="EC104" s="1033">
        <f t="shared" si="931"/>
        <v>6398.3091911462343</v>
      </c>
      <c r="ED104" s="1033">
        <f t="shared" si="931"/>
        <v>0</v>
      </c>
      <c r="EE104" s="1033">
        <f t="shared" si="931"/>
        <v>16103.24984897001</v>
      </c>
      <c r="EF104" s="1033">
        <f t="shared" si="931"/>
        <v>134.50675956469206</v>
      </c>
      <c r="EG104" s="1033">
        <f t="shared" si="931"/>
        <v>96.269611034826724</v>
      </c>
      <c r="EH104" s="1033">
        <f t="shared" si="931"/>
        <v>5526.9795064012451</v>
      </c>
      <c r="EI104" s="1033">
        <f t="shared" si="931"/>
        <v>0</v>
      </c>
      <c r="EJ104" s="1033">
        <f t="shared" si="931"/>
        <v>7225.8695089177745</v>
      </c>
      <c r="EK104" s="1033">
        <f t="shared" si="931"/>
        <v>1475.2934937519956</v>
      </c>
      <c r="EL104" s="1033">
        <f t="shared" si="931"/>
        <v>579.51593094360464</v>
      </c>
      <c r="EM104" s="1033">
        <f t="shared" si="931"/>
        <v>7545.5672440494855</v>
      </c>
      <c r="EN104" s="625">
        <f t="shared" si="733"/>
        <v>45156.11125038976</v>
      </c>
      <c r="EO104" s="1033">
        <f t="shared" ref="EO104:EZ104" si="932">+EO85/EO37</f>
        <v>18133.77477750288</v>
      </c>
      <c r="EP104" s="1033">
        <f t="shared" si="932"/>
        <v>12.672867339676547</v>
      </c>
      <c r="EQ104" s="1033">
        <f t="shared" si="932"/>
        <v>28.656781104974709</v>
      </c>
      <c r="ER104" s="1033">
        <f t="shared" si="932"/>
        <v>602.68387310009609</v>
      </c>
      <c r="ES104" s="1033">
        <f t="shared" si="932"/>
        <v>-47.362409361428384</v>
      </c>
      <c r="ET104" s="1033">
        <f t="shared" si="932"/>
        <v>193.80309635255688</v>
      </c>
      <c r="EU104" s="1033">
        <f t="shared" si="932"/>
        <v>6817.5754288498711</v>
      </c>
      <c r="EV104" s="1033">
        <f t="shared" si="932"/>
        <v>-931.73518020617632</v>
      </c>
      <c r="EW104" s="1033">
        <f t="shared" si="932"/>
        <v>1372.4338355171888</v>
      </c>
      <c r="EX104" s="1033">
        <f t="shared" si="932"/>
        <v>22.223721452779873</v>
      </c>
      <c r="EY104" s="1033">
        <f t="shared" si="932"/>
        <v>2968.4629437757558</v>
      </c>
      <c r="EZ104" s="1033">
        <f t="shared" si="932"/>
        <v>1317.3982176586128</v>
      </c>
      <c r="FA104" s="625">
        <f t="shared" si="734"/>
        <v>30490.587953086797</v>
      </c>
      <c r="FB104" s="1033">
        <f t="shared" ref="FB104:FM104" si="933">+FB85/FB37</f>
        <v>0</v>
      </c>
      <c r="FC104" s="1033">
        <f t="shared" si="933"/>
        <v>11069.196955429305</v>
      </c>
      <c r="FD104" s="1033">
        <f t="shared" si="933"/>
        <v>1129.2906340795569</v>
      </c>
      <c r="FE104" s="1033">
        <f t="shared" si="933"/>
        <v>10831.731353541611</v>
      </c>
      <c r="FF104" s="1033">
        <f t="shared" si="933"/>
        <v>47.911091502439767</v>
      </c>
      <c r="FG104" s="1033">
        <f t="shared" si="933"/>
        <v>0</v>
      </c>
      <c r="FH104" s="1033">
        <f t="shared" si="933"/>
        <v>5573.1756775817166</v>
      </c>
      <c r="FI104" s="1033">
        <f t="shared" si="933"/>
        <v>2109.1690427577628</v>
      </c>
      <c r="FJ104" s="1033">
        <f t="shared" si="933"/>
        <v>1851.4796777754711</v>
      </c>
      <c r="FK104" s="1033">
        <f t="shared" si="933"/>
        <v>456.80273920567737</v>
      </c>
      <c r="FL104" s="1033">
        <f t="shared" si="933"/>
        <v>92.382350985595551</v>
      </c>
      <c r="FM104" s="1033">
        <f t="shared" si="933"/>
        <v>2112.1901837036467</v>
      </c>
      <c r="FN104" s="625">
        <f t="shared" si="735"/>
        <v>35273.329706562785</v>
      </c>
      <c r="FO104" s="1033">
        <f t="shared" ref="FO104:FZ104" si="934">+FO85/FO37</f>
        <v>0</v>
      </c>
      <c r="FP104" s="1033">
        <f t="shared" si="934"/>
        <v>16485.483990376113</v>
      </c>
      <c r="FQ104" s="1033">
        <f t="shared" si="934"/>
        <v>330.59031351213639</v>
      </c>
      <c r="FR104" s="1033">
        <f t="shared" si="934"/>
        <v>3148.4408973893756</v>
      </c>
      <c r="FS104" s="1033">
        <f t="shared" si="934"/>
        <v>0</v>
      </c>
      <c r="FT104" s="1033">
        <f t="shared" si="934"/>
        <v>1699.4364166097125</v>
      </c>
      <c r="FU104" s="1033">
        <f t="shared" si="934"/>
        <v>2595.7139359134153</v>
      </c>
      <c r="FV104" s="1033">
        <f t="shared" si="934"/>
        <v>973.47555935473474</v>
      </c>
      <c r="FW104" s="1033">
        <f t="shared" si="934"/>
        <v>13249.214350247545</v>
      </c>
      <c r="FX104" s="1033">
        <f t="shared" si="934"/>
        <v>665.254431235168</v>
      </c>
      <c r="FY104" s="1033">
        <f t="shared" si="934"/>
        <v>6469.8756073861496</v>
      </c>
      <c r="FZ104" s="627">
        <f t="shared" si="934"/>
        <v>1682.3030562030824</v>
      </c>
      <c r="GA104" s="627">
        <f t="shared" si="653"/>
        <v>47299.788558227432</v>
      </c>
      <c r="GB104" s="626">
        <f t="shared" ref="GB104:GM104" si="935">+GB85/GB37</f>
        <v>73.973882013200623</v>
      </c>
      <c r="GC104" s="1033">
        <f t="shared" si="935"/>
        <v>2969.475543841846</v>
      </c>
      <c r="GD104" s="1033">
        <f t="shared" si="935"/>
        <v>21043.227961808872</v>
      </c>
      <c r="GE104" s="1033">
        <f t="shared" si="935"/>
        <v>-17.373931962270252</v>
      </c>
      <c r="GF104" s="1033">
        <f t="shared" si="935"/>
        <v>10474.528118174843</v>
      </c>
      <c r="GG104" s="1033">
        <f t="shared" si="935"/>
        <v>4700.7150097875074</v>
      </c>
      <c r="GH104" s="1033">
        <f t="shared" si="935"/>
        <v>901.12843746670796</v>
      </c>
      <c r="GI104" s="1033">
        <f t="shared" si="935"/>
        <v>5898.6070883331104</v>
      </c>
      <c r="GJ104" s="1033">
        <f t="shared" si="935"/>
        <v>9698.0224382750785</v>
      </c>
      <c r="GK104" s="1033">
        <f t="shared" si="935"/>
        <v>39647.883785090002</v>
      </c>
      <c r="GL104" s="1034">
        <f t="shared" si="935"/>
        <v>4268.7634422105948</v>
      </c>
      <c r="GM104" s="628">
        <f t="shared" si="935"/>
        <v>930.00228777862526</v>
      </c>
      <c r="GN104" s="625">
        <f t="shared" si="654"/>
        <v>100588.95406281811</v>
      </c>
      <c r="GO104" s="626">
        <f t="shared" ref="GO104:GZ104" si="936">+GO85/GO37</f>
        <v>6175.223975373211</v>
      </c>
      <c r="GP104" s="1033">
        <f t="shared" si="936"/>
        <v>15841.674448919292</v>
      </c>
      <c r="GQ104" s="1033">
        <f t="shared" si="936"/>
        <v>78.025313429718352</v>
      </c>
      <c r="GR104" s="1033">
        <f t="shared" si="936"/>
        <v>13978.414566753441</v>
      </c>
      <c r="GS104" s="1033">
        <f t="shared" si="936"/>
        <v>3366.4390227020099</v>
      </c>
      <c r="GT104" s="1033">
        <f t="shared" si="936"/>
        <v>717.79132575654057</v>
      </c>
      <c r="GU104" s="1033">
        <f t="shared" si="936"/>
        <v>2799.9990324555115</v>
      </c>
      <c r="GV104" s="1033">
        <f t="shared" si="936"/>
        <v>10766.432261367056</v>
      </c>
      <c r="GW104" s="1033">
        <f t="shared" si="936"/>
        <v>-73.435509191796953</v>
      </c>
      <c r="GX104" s="1033">
        <f t="shared" si="936"/>
        <v>697.30701596414019</v>
      </c>
      <c r="GY104" s="1033">
        <f t="shared" si="936"/>
        <v>1160.0367536258475</v>
      </c>
      <c r="GZ104" s="627">
        <f t="shared" si="936"/>
        <v>331.55059846848985</v>
      </c>
      <c r="HA104" s="627">
        <f t="shared" si="656"/>
        <v>55839.458805623472</v>
      </c>
      <c r="HB104" s="626">
        <f t="shared" ref="HB104:HM104" si="937">+HB85/HB37</f>
        <v>0</v>
      </c>
      <c r="HC104" s="1033">
        <f t="shared" si="937"/>
        <v>24708.148412455081</v>
      </c>
      <c r="HD104" s="1033">
        <f t="shared" si="937"/>
        <v>3538.1782199535191</v>
      </c>
      <c r="HE104" s="1033">
        <f t="shared" si="937"/>
        <v>5296.4581458052598</v>
      </c>
      <c r="HF104" s="1033">
        <f t="shared" si="937"/>
        <v>1725.524572799723</v>
      </c>
      <c r="HG104" s="1033">
        <f t="shared" si="937"/>
        <v>1499.6819006474557</v>
      </c>
      <c r="HH104" s="1033">
        <f t="shared" si="937"/>
        <v>13312.079230529196</v>
      </c>
      <c r="HI104" s="1033">
        <f t="shared" si="937"/>
        <v>74.205142746545263</v>
      </c>
      <c r="HJ104" s="1033">
        <f t="shared" si="937"/>
        <v>8124.0383200607503</v>
      </c>
      <c r="HK104" s="1033">
        <f t="shared" si="937"/>
        <v>2462.4698763340566</v>
      </c>
      <c r="HL104" s="1033">
        <f t="shared" si="937"/>
        <v>78.298656620900232</v>
      </c>
      <c r="HM104" s="627">
        <f t="shared" si="937"/>
        <v>768.71834917561193</v>
      </c>
      <c r="HN104" s="627">
        <f t="shared" si="658"/>
        <v>61587.8008271281</v>
      </c>
      <c r="HO104" s="1033">
        <f t="shared" ref="HO104:HZ104" si="938">+HO85/HO37</f>
        <v>0</v>
      </c>
      <c r="HP104" s="1033">
        <f t="shared" si="938"/>
        <v>21964.75837560205</v>
      </c>
      <c r="HQ104" s="1033">
        <f t="shared" si="938"/>
        <v>3575.8323417298652</v>
      </c>
      <c r="HR104" s="1033">
        <f t="shared" si="938"/>
        <v>0</v>
      </c>
      <c r="HS104" s="1033">
        <f t="shared" si="938"/>
        <v>-2.7609274792003178</v>
      </c>
      <c r="HT104" s="1033">
        <f t="shared" si="938"/>
        <v>9736.1778977891954</v>
      </c>
      <c r="HU104" s="1033">
        <f t="shared" si="938"/>
        <v>378.53974621773864</v>
      </c>
      <c r="HV104" s="1033">
        <f t="shared" si="938"/>
        <v>249.96691719450885</v>
      </c>
      <c r="HW104" s="1033">
        <f t="shared" si="938"/>
        <v>857.41666301419912</v>
      </c>
      <c r="HX104" s="1033">
        <f t="shared" si="938"/>
        <v>38.108732766215212</v>
      </c>
      <c r="HY104" s="1033">
        <f t="shared" si="938"/>
        <v>-53.514280354260677</v>
      </c>
      <c r="HZ104" s="1033">
        <f t="shared" si="938"/>
        <v>438.09668303279864</v>
      </c>
      <c r="IA104" s="626">
        <f t="shared" si="660"/>
        <v>37182.622149513096</v>
      </c>
      <c r="IB104" s="1324">
        <f>+IB85/IB37</f>
        <v>27120.564093288405</v>
      </c>
      <c r="IC104">
        <f>+IC85/IC37</f>
        <v>0</v>
      </c>
      <c r="ID104">
        <f>+ID85/ID37</f>
        <v>3260.9698849296901</v>
      </c>
      <c r="IE104">
        <f>+IE85/IE37</f>
        <v>1927.1464247972424</v>
      </c>
      <c r="IF104">
        <f>+IF85/IF37</f>
        <v>0</v>
      </c>
      <c r="IG104">
        <f t="shared" ref="IG104" si="939">+IG85/IG37</f>
        <v>-1.0604655550372968</v>
      </c>
      <c r="IH104">
        <f t="shared" ref="IH104" si="940">+IH85/IH37</f>
        <v>-7.9304932324057358</v>
      </c>
      <c r="II104">
        <f t="shared" ref="II104" si="941">+II85/II37</f>
        <v>3743.7443819211253</v>
      </c>
      <c r="IM104" s="1266"/>
      <c r="IN104" s="1059">
        <f t="shared" si="680"/>
        <v>36043.433826149019</v>
      </c>
      <c r="IO104" s="1266"/>
      <c r="IP104" s="1060">
        <f t="shared" si="662"/>
        <v>1397.695944702944</v>
      </c>
      <c r="IQ104" s="640">
        <f t="shared" si="663"/>
        <v>0.39250586662806786</v>
      </c>
      <c r="IR104" s="344">
        <f t="shared" si="664"/>
        <v>35902.514351054146</v>
      </c>
      <c r="IS104" s="344">
        <f t="shared" si="665"/>
        <v>36043.433826149019</v>
      </c>
    </row>
    <row r="105" spans="1:253" ht="15" customHeight="1" x14ac:dyDescent="0.2">
      <c r="A105" s="644" t="s">
        <v>321</v>
      </c>
      <c r="BA105" s="644"/>
      <c r="BB105" s="1033">
        <f t="shared" ref="BB105:BM105" si="942">+BB86/BB69*100</f>
        <v>7901.8577283810955</v>
      </c>
      <c r="BC105" s="1033">
        <f t="shared" si="942"/>
        <v>2610.2114553843594</v>
      </c>
      <c r="BD105" s="1033">
        <f t="shared" si="942"/>
        <v>8332.5870160600061</v>
      </c>
      <c r="BE105" s="1033">
        <f t="shared" si="942"/>
        <v>927.83706253593311</v>
      </c>
      <c r="BF105" s="1033">
        <f t="shared" si="942"/>
        <v>11637.432436725368</v>
      </c>
      <c r="BG105" s="1033">
        <f t="shared" si="942"/>
        <v>5603.9928565261125</v>
      </c>
      <c r="BH105" s="1033">
        <f t="shared" si="942"/>
        <v>3269.0276549509244</v>
      </c>
      <c r="BI105" s="1033">
        <f t="shared" si="942"/>
        <v>11474.247485076648</v>
      </c>
      <c r="BJ105" s="1033">
        <f t="shared" si="942"/>
        <v>5332.2200829805461</v>
      </c>
      <c r="BK105" s="1033">
        <f t="shared" si="942"/>
        <v>12789.465683629296</v>
      </c>
      <c r="BL105" s="1033">
        <f t="shared" si="942"/>
        <v>6341.2204751008339</v>
      </c>
      <c r="BM105" s="1033">
        <f t="shared" si="942"/>
        <v>9539.014854208599</v>
      </c>
      <c r="BN105" s="649">
        <f>SUM(BB105:BM105)</f>
        <v>85759.114791559725</v>
      </c>
      <c r="BO105" s="1033">
        <f t="shared" ref="BO105:BZ105" si="943">+BO86/BO69*100</f>
        <v>1886.7205919531095</v>
      </c>
      <c r="BP105" s="1033">
        <f t="shared" si="943"/>
        <v>10771.256336551716</v>
      </c>
      <c r="BQ105" s="1033">
        <f t="shared" si="943"/>
        <v>3811.2335003868425</v>
      </c>
      <c r="BR105" s="1033">
        <f t="shared" si="943"/>
        <v>12539.807489391578</v>
      </c>
      <c r="BS105" s="1033">
        <f t="shared" si="943"/>
        <v>5468.1644968898154</v>
      </c>
      <c r="BT105" s="1033">
        <f t="shared" si="943"/>
        <v>4006.2999067492628</v>
      </c>
      <c r="BU105" s="1033">
        <f t="shared" si="943"/>
        <v>5073.987896176629</v>
      </c>
      <c r="BV105" s="1033">
        <f t="shared" si="943"/>
        <v>18601.926248162265</v>
      </c>
      <c r="BW105" s="1033">
        <f t="shared" si="943"/>
        <v>14485.320412595624</v>
      </c>
      <c r="BX105" s="1033">
        <f t="shared" si="943"/>
        <v>12517.450150087159</v>
      </c>
      <c r="BY105" s="1033">
        <f t="shared" si="943"/>
        <v>19529.898322094836</v>
      </c>
      <c r="BZ105" s="1033">
        <f t="shared" si="943"/>
        <v>10240.645289512478</v>
      </c>
      <c r="CA105" s="344">
        <f t="shared" si="749"/>
        <v>118932.7106405513</v>
      </c>
      <c r="CB105" s="1033">
        <f t="shared" ref="CB105:CM105" si="944">+CB86/CB69*100</f>
        <v>0</v>
      </c>
      <c r="CC105" s="1033">
        <f t="shared" si="944"/>
        <v>0</v>
      </c>
      <c r="CD105" s="1033">
        <f t="shared" si="944"/>
        <v>0</v>
      </c>
      <c r="CE105" s="1033">
        <f t="shared" si="944"/>
        <v>0</v>
      </c>
      <c r="CF105" s="1033">
        <f t="shared" si="944"/>
        <v>0</v>
      </c>
      <c r="CG105" s="1033">
        <f t="shared" si="944"/>
        <v>0</v>
      </c>
      <c r="CH105" s="1033">
        <f t="shared" si="944"/>
        <v>0</v>
      </c>
      <c r="CI105" s="1033">
        <f t="shared" si="944"/>
        <v>0</v>
      </c>
      <c r="CJ105" s="1033">
        <f t="shared" si="944"/>
        <v>0</v>
      </c>
      <c r="CK105" s="1033">
        <f t="shared" si="944"/>
        <v>0</v>
      </c>
      <c r="CL105" s="1033">
        <f t="shared" si="944"/>
        <v>0</v>
      </c>
      <c r="CM105" s="1033">
        <f t="shared" si="944"/>
        <v>0</v>
      </c>
      <c r="CN105" s="625">
        <f t="shared" si="750"/>
        <v>0</v>
      </c>
      <c r="CO105" s="626">
        <f t="shared" ref="CO105:CZ105" si="945">+CO86/CO69*100</f>
        <v>0</v>
      </c>
      <c r="CP105" s="1033">
        <f t="shared" si="945"/>
        <v>0</v>
      </c>
      <c r="CQ105" s="1033">
        <f t="shared" si="945"/>
        <v>0</v>
      </c>
      <c r="CR105" s="1033">
        <f t="shared" si="945"/>
        <v>0</v>
      </c>
      <c r="CS105" s="1033">
        <f t="shared" si="945"/>
        <v>0</v>
      </c>
      <c r="CT105" s="1033">
        <f t="shared" si="945"/>
        <v>0</v>
      </c>
      <c r="CU105" s="1033">
        <f t="shared" si="945"/>
        <v>0</v>
      </c>
      <c r="CV105" s="1033">
        <f t="shared" si="945"/>
        <v>0</v>
      </c>
      <c r="CW105" s="1033">
        <f t="shared" si="945"/>
        <v>0</v>
      </c>
      <c r="CX105" s="1033">
        <f t="shared" si="945"/>
        <v>0</v>
      </c>
      <c r="CY105" s="1033">
        <f t="shared" si="945"/>
        <v>0</v>
      </c>
      <c r="CZ105" s="1033">
        <f t="shared" si="945"/>
        <v>0</v>
      </c>
      <c r="DA105" s="625">
        <f t="shared" si="730"/>
        <v>0</v>
      </c>
      <c r="DB105" s="1033">
        <f t="shared" ref="DB105:DM105" si="946">+DB86/DB69*100</f>
        <v>0</v>
      </c>
      <c r="DC105" s="1033">
        <f t="shared" si="946"/>
        <v>0</v>
      </c>
      <c r="DD105" s="1033">
        <f t="shared" si="946"/>
        <v>0</v>
      </c>
      <c r="DE105" s="1033">
        <f t="shared" si="946"/>
        <v>0</v>
      </c>
      <c r="DF105" s="1033">
        <f t="shared" si="946"/>
        <v>0</v>
      </c>
      <c r="DG105" s="1033">
        <f t="shared" si="946"/>
        <v>0</v>
      </c>
      <c r="DH105" s="1033">
        <f t="shared" si="946"/>
        <v>0</v>
      </c>
      <c r="DI105" s="1033">
        <f t="shared" si="946"/>
        <v>0</v>
      </c>
      <c r="DJ105" s="1033">
        <f t="shared" si="946"/>
        <v>0</v>
      </c>
      <c r="DK105" s="1033">
        <f t="shared" si="946"/>
        <v>0</v>
      </c>
      <c r="DL105" s="1033">
        <f t="shared" si="946"/>
        <v>0</v>
      </c>
      <c r="DM105" s="1033">
        <f t="shared" si="946"/>
        <v>0</v>
      </c>
      <c r="DN105" s="626">
        <f t="shared" si="731"/>
        <v>0</v>
      </c>
      <c r="DO105" s="626">
        <f t="shared" ref="DO105:DZ105" si="947">+DO86/DO69*100</f>
        <v>3323.3891836080657</v>
      </c>
      <c r="DP105" s="1033">
        <f t="shared" si="947"/>
        <v>5738.363744252325</v>
      </c>
      <c r="DQ105" s="1033">
        <f t="shared" si="947"/>
        <v>10274.973802376264</v>
      </c>
      <c r="DR105" s="1033">
        <f t="shared" si="947"/>
        <v>14747.357239800973</v>
      </c>
      <c r="DS105" s="1033">
        <f t="shared" si="947"/>
        <v>19627.418895952524</v>
      </c>
      <c r="DT105" s="1033">
        <f t="shared" si="947"/>
        <v>9326.8779984092071</v>
      </c>
      <c r="DU105" s="1033">
        <f t="shared" si="947"/>
        <v>20402.471339876312</v>
      </c>
      <c r="DV105" s="1033">
        <f t="shared" si="947"/>
        <v>11316.448445502097</v>
      </c>
      <c r="DW105" s="1033">
        <f t="shared" si="947"/>
        <v>8108.9641844278276</v>
      </c>
      <c r="DX105" s="1033">
        <f t="shared" si="947"/>
        <v>17612.614227136735</v>
      </c>
      <c r="DY105" s="1033">
        <f t="shared" si="947"/>
        <v>9323.9226395711921</v>
      </c>
      <c r="DZ105" s="1033">
        <f t="shared" si="947"/>
        <v>22207.573350308452</v>
      </c>
      <c r="EA105" s="626">
        <f t="shared" si="732"/>
        <v>152010.37505122198</v>
      </c>
      <c r="EB105" s="626">
        <f t="shared" ref="EB105:EM105" si="948">+EB86/EB69*100</f>
        <v>11909.003239714597</v>
      </c>
      <c r="EC105" s="1033">
        <f t="shared" si="948"/>
        <v>11644.330665915268</v>
      </c>
      <c r="ED105" s="1033">
        <f t="shared" si="948"/>
        <v>7972.9411274842387</v>
      </c>
      <c r="EE105" s="1033">
        <f t="shared" si="948"/>
        <v>19875.988507907019</v>
      </c>
      <c r="EF105" s="1033">
        <f t="shared" si="948"/>
        <v>8033.5552348645497</v>
      </c>
      <c r="EG105" s="1033">
        <f t="shared" si="948"/>
        <v>7775.7676140591502</v>
      </c>
      <c r="EH105" s="1033">
        <f t="shared" si="948"/>
        <v>22413.406638479872</v>
      </c>
      <c r="EI105" s="1033">
        <f t="shared" si="948"/>
        <v>14005.060130138128</v>
      </c>
      <c r="EJ105" s="1033">
        <f t="shared" si="948"/>
        <v>8479.1350553888678</v>
      </c>
      <c r="EK105" s="1033">
        <f t="shared" si="948"/>
        <v>22291.800549065836</v>
      </c>
      <c r="EL105" s="1033">
        <f t="shared" si="948"/>
        <v>9447.5507990789029</v>
      </c>
      <c r="EM105" s="1033">
        <f t="shared" si="948"/>
        <v>68670.466875027865</v>
      </c>
      <c r="EN105" s="625">
        <f t="shared" si="733"/>
        <v>212519.00643712428</v>
      </c>
      <c r="EO105" s="1033">
        <f t="shared" ref="EO105:EZ105" si="949">+EO86/EO69*100</f>
        <v>17865.278007996345</v>
      </c>
      <c r="EP105" s="1033">
        <f t="shared" si="949"/>
        <v>7212.5769853831362</v>
      </c>
      <c r="EQ105" s="1033">
        <f t="shared" si="949"/>
        <v>9693.2160661878952</v>
      </c>
      <c r="ER105" s="1033">
        <f t="shared" si="949"/>
        <v>20457.01033743301</v>
      </c>
      <c r="ES105" s="1033">
        <f t="shared" si="949"/>
        <v>11084.46098514289</v>
      </c>
      <c r="ET105" s="1033">
        <f t="shared" si="949"/>
        <v>9161.0087946919812</v>
      </c>
      <c r="EU105" s="1033">
        <f t="shared" si="949"/>
        <v>23436.425306344416</v>
      </c>
      <c r="EV105" s="1033">
        <f t="shared" si="949"/>
        <v>10821.589292995681</v>
      </c>
      <c r="EW105" s="1033">
        <f t="shared" si="949"/>
        <v>8993.7438769652126</v>
      </c>
      <c r="EX105" s="1033">
        <f t="shared" si="949"/>
        <v>26248.895293022946</v>
      </c>
      <c r="EY105" s="1033">
        <f t="shared" si="949"/>
        <v>20711.442992214925</v>
      </c>
      <c r="EZ105" s="1033">
        <f t="shared" si="949"/>
        <v>17406.531644518665</v>
      </c>
      <c r="FA105" s="625">
        <f t="shared" si="734"/>
        <v>183092.17958289708</v>
      </c>
      <c r="FB105" s="1033">
        <f t="shared" ref="FB105:FM105" si="950">+FB86/FB69*100</f>
        <v>18909.821298094026</v>
      </c>
      <c r="FC105" s="1033">
        <f t="shared" si="950"/>
        <v>9270.8803853037971</v>
      </c>
      <c r="FD105" s="1033">
        <f t="shared" si="950"/>
        <v>6411.2412143997763</v>
      </c>
      <c r="FE105" s="1033">
        <f t="shared" si="950"/>
        <v>21384.498973754125</v>
      </c>
      <c r="FF105" s="1033">
        <f t="shared" si="950"/>
        <v>5887.1444966050958</v>
      </c>
      <c r="FG105" s="1033">
        <f t="shared" si="950"/>
        <v>7137.3716402128057</v>
      </c>
      <c r="FH105" s="1033">
        <f t="shared" si="950"/>
        <v>24627.354053607662</v>
      </c>
      <c r="FI105" s="1033">
        <f t="shared" si="950"/>
        <v>18507.472449878045</v>
      </c>
      <c r="FJ105" s="1033">
        <f t="shared" si="950"/>
        <v>7783.5224924867334</v>
      </c>
      <c r="FK105" s="1033">
        <f t="shared" si="950"/>
        <v>24871.504063474989</v>
      </c>
      <c r="FL105" s="1033">
        <f t="shared" si="950"/>
        <v>10714.623210465341</v>
      </c>
      <c r="FM105" s="1033">
        <f t="shared" si="950"/>
        <v>20265.055417156858</v>
      </c>
      <c r="FN105" s="625">
        <f t="shared" si="735"/>
        <v>175770.48969543926</v>
      </c>
      <c r="FO105" s="1033">
        <f t="shared" ref="FO105:FZ105" si="951">+FO86/FO69*100</f>
        <v>17253.989800993033</v>
      </c>
      <c r="FP105" s="1033">
        <f t="shared" si="951"/>
        <v>6201.0753356672758</v>
      </c>
      <c r="FQ105" s="1033">
        <f t="shared" si="951"/>
        <v>12095.343542669123</v>
      </c>
      <c r="FR105" s="1033">
        <f t="shared" si="951"/>
        <v>22147.671952208955</v>
      </c>
      <c r="FS105" s="1033">
        <f t="shared" si="951"/>
        <v>15592.307771434665</v>
      </c>
      <c r="FT105" s="1033">
        <f t="shared" si="951"/>
        <v>13039.800318950382</v>
      </c>
      <c r="FU105" s="1033">
        <f t="shared" si="951"/>
        <v>23675.473284107789</v>
      </c>
      <c r="FV105" s="1033">
        <f t="shared" si="951"/>
        <v>9227.8863244453823</v>
      </c>
      <c r="FW105" s="1033">
        <f t="shared" si="951"/>
        <v>13380.483969857929</v>
      </c>
      <c r="FX105" s="1033">
        <f t="shared" si="951"/>
        <v>8429.2646373447369</v>
      </c>
      <c r="FY105" s="1033">
        <f t="shared" si="951"/>
        <v>22493.43268002574</v>
      </c>
      <c r="FZ105" s="627">
        <f t="shared" si="951"/>
        <v>155719.06000691187</v>
      </c>
      <c r="GA105" s="627">
        <f t="shared" si="653"/>
        <v>319255.78962461691</v>
      </c>
      <c r="GB105" s="626">
        <f t="shared" ref="GB105:GM105" si="952">+GB86/GB69*100</f>
        <v>16511.385526092319</v>
      </c>
      <c r="GC105" s="1033">
        <f t="shared" si="952"/>
        <v>6693.2954092601431</v>
      </c>
      <c r="GD105" s="1033">
        <f t="shared" si="952"/>
        <v>9568.4603868309587</v>
      </c>
      <c r="GE105" s="1033">
        <f t="shared" si="952"/>
        <v>7664.0628920439267</v>
      </c>
      <c r="GF105" s="1033">
        <f t="shared" si="952"/>
        <v>18823.303284544585</v>
      </c>
      <c r="GG105" s="1033">
        <f t="shared" si="952"/>
        <v>6935.2371148706497</v>
      </c>
      <c r="GH105" s="1033">
        <f t="shared" si="952"/>
        <v>23471.744645071176</v>
      </c>
      <c r="GI105" s="1033">
        <f t="shared" si="952"/>
        <v>77780.450666862103</v>
      </c>
      <c r="GJ105" s="1033">
        <f t="shared" si="952"/>
        <v>9772.7918255688655</v>
      </c>
      <c r="GK105" s="1033">
        <f t="shared" si="952"/>
        <v>50915.751789864531</v>
      </c>
      <c r="GL105" s="1034">
        <f t="shared" si="952"/>
        <v>22351.893015323309</v>
      </c>
      <c r="GM105" s="628">
        <f t="shared" si="952"/>
        <v>98492.37935400859</v>
      </c>
      <c r="GN105" s="625">
        <f t="shared" si="654"/>
        <v>348980.75591034116</v>
      </c>
      <c r="GO105" s="626">
        <f t="shared" ref="GO105:GZ105" si="953">+GO86/GO69*100</f>
        <v>6819.7264403569789</v>
      </c>
      <c r="GP105" s="1033">
        <f t="shared" si="953"/>
        <v>16851.183440364213</v>
      </c>
      <c r="GQ105" s="1033">
        <f t="shared" si="953"/>
        <v>8497.8933702009344</v>
      </c>
      <c r="GR105" s="1033">
        <f t="shared" si="953"/>
        <v>7084.5614777555638</v>
      </c>
      <c r="GS105" s="1033">
        <f t="shared" si="953"/>
        <v>22909.027349140259</v>
      </c>
      <c r="GT105" s="1033">
        <f t="shared" si="953"/>
        <v>11205.046293766547</v>
      </c>
      <c r="GU105" s="1033">
        <f t="shared" si="953"/>
        <v>10058.528831365096</v>
      </c>
      <c r="GV105" s="1033">
        <f t="shared" si="953"/>
        <v>24320.593486303544</v>
      </c>
      <c r="GW105" s="1033">
        <f t="shared" si="953"/>
        <v>9234.0628444237518</v>
      </c>
      <c r="GX105" s="1033">
        <f t="shared" si="953"/>
        <v>15831.452189398695</v>
      </c>
      <c r="GY105" s="1033">
        <f t="shared" si="953"/>
        <v>44999.863133145263</v>
      </c>
      <c r="GZ105" s="627">
        <f t="shared" si="953"/>
        <v>15720.31392860143</v>
      </c>
      <c r="HA105" s="627">
        <f t="shared" si="656"/>
        <v>193532.25278482225</v>
      </c>
      <c r="HB105" s="626">
        <f t="shared" ref="HB105:HM105" si="954">+HB86/HB69*100</f>
        <v>2805.6656770791838</v>
      </c>
      <c r="HC105" s="1033">
        <f t="shared" si="954"/>
        <v>87585.635435681485</v>
      </c>
      <c r="HD105" s="1033">
        <f t="shared" si="954"/>
        <v>5028.7659033407454</v>
      </c>
      <c r="HE105" s="1033">
        <f t="shared" si="954"/>
        <v>10288.858637649617</v>
      </c>
      <c r="HF105" s="1033">
        <f t="shared" si="954"/>
        <v>17695.746351447087</v>
      </c>
      <c r="HG105" s="1033">
        <f t="shared" si="954"/>
        <v>6412.2728951626841</v>
      </c>
      <c r="HH105" s="1033">
        <f t="shared" si="954"/>
        <v>6070.5042654169074</v>
      </c>
      <c r="HI105" s="1033">
        <f t="shared" si="954"/>
        <v>54950.836673243146</v>
      </c>
      <c r="HJ105" s="1033">
        <f t="shared" si="954"/>
        <v>11458.910082831104</v>
      </c>
      <c r="HK105" s="1033">
        <f t="shared" si="954"/>
        <v>9858.5366242065575</v>
      </c>
      <c r="HL105" s="1033">
        <f t="shared" si="954"/>
        <v>29699.182326785227</v>
      </c>
      <c r="HM105" s="627">
        <f t="shared" si="954"/>
        <v>43659.416472680779</v>
      </c>
      <c r="HN105" s="627">
        <f t="shared" si="658"/>
        <v>285514.33134552452</v>
      </c>
      <c r="HO105" s="1033">
        <f t="shared" ref="HO105:HZ105" si="955">+HO86/HO69*100</f>
        <v>4391.4565267812468</v>
      </c>
      <c r="HP105" s="1033">
        <f t="shared" si="955"/>
        <v>32343.432779721046</v>
      </c>
      <c r="HQ105" s="1033">
        <f t="shared" si="955"/>
        <v>16293.541944695826</v>
      </c>
      <c r="HR105" s="1033">
        <f t="shared" si="955"/>
        <v>8347.4692970594642</v>
      </c>
      <c r="HS105" s="1033">
        <f t="shared" si="955"/>
        <v>13609.308160389261</v>
      </c>
      <c r="HT105" s="1033">
        <f t="shared" si="955"/>
        <v>19374.823833982817</v>
      </c>
      <c r="HU105" s="1033">
        <f t="shared" si="955"/>
        <v>9405.7006522324064</v>
      </c>
      <c r="HV105" s="1033">
        <f t="shared" si="955"/>
        <v>24329.670577743495</v>
      </c>
      <c r="HW105" s="1033">
        <f t="shared" si="955"/>
        <v>11553.227242852943</v>
      </c>
      <c r="HX105" s="1033">
        <f t="shared" si="955"/>
        <v>10491.409488407022</v>
      </c>
      <c r="HY105" s="1033">
        <f t="shared" si="955"/>
        <v>24507.404017788383</v>
      </c>
      <c r="HZ105" s="1033">
        <f t="shared" si="955"/>
        <v>18056.851831597884</v>
      </c>
      <c r="IA105" s="626">
        <f t="shared" si="660"/>
        <v>192704.29635325182</v>
      </c>
      <c r="IB105" s="1324">
        <f>+IB86/IB69*100</f>
        <v>2622.9960793466639</v>
      </c>
      <c r="IC105">
        <f>+IC86/IC69*100</f>
        <v>17475.129805983179</v>
      </c>
      <c r="ID105">
        <f>+ID86/ID69*100</f>
        <v>8329.0251296899041</v>
      </c>
      <c r="IE105">
        <f>+IE86/IE69*100</f>
        <v>7664.5776082936809</v>
      </c>
      <c r="IF105">
        <f>+IF86/IF69*100</f>
        <v>10250.834155145792</v>
      </c>
      <c r="IG105">
        <f t="shared" ref="IG105" si="956">+IG86/IG69*100</f>
        <v>20046.64820996251</v>
      </c>
      <c r="IH105">
        <f t="shared" ref="IH105" si="957">+IH86/IH69*100</f>
        <v>8782.6905808857809</v>
      </c>
      <c r="II105">
        <f t="shared" ref="II105" si="958">+II86/II69*100</f>
        <v>22332.83864856045</v>
      </c>
      <c r="IM105" s="1266"/>
      <c r="IN105" s="1059">
        <f t="shared" si="680"/>
        <v>97504.740217867977</v>
      </c>
      <c r="IO105" s="1266"/>
      <c r="IP105" s="1060">
        <f t="shared" si="662"/>
        <v>-8.2073940245196866</v>
      </c>
      <c r="IQ105" s="640">
        <f t="shared" si="663"/>
        <v>-23.881156273992477</v>
      </c>
      <c r="IR105" s="344">
        <f t="shared" si="664"/>
        <v>128095.40377260557</v>
      </c>
      <c r="IS105" s="344">
        <f t="shared" si="665"/>
        <v>97504.740217867977</v>
      </c>
    </row>
    <row r="106" spans="1:253" ht="15" customHeight="1" x14ac:dyDescent="0.2">
      <c r="A106" s="648" t="s">
        <v>325</v>
      </c>
      <c r="BA106" s="648"/>
      <c r="BB106" s="1030">
        <f t="shared" ref="BB106:BM106" si="959">+BB107+BB111</f>
        <v>6011.7765040636095</v>
      </c>
      <c r="BC106" s="1030">
        <f t="shared" si="959"/>
        <v>9274.520826061118</v>
      </c>
      <c r="BD106" s="1030">
        <f t="shared" si="959"/>
        <v>10871.596653065972</v>
      </c>
      <c r="BE106" s="1030">
        <f t="shared" si="959"/>
        <v>8550.9601200157067</v>
      </c>
      <c r="BF106" s="1030">
        <f t="shared" si="959"/>
        <v>10204.2769568731</v>
      </c>
      <c r="BG106" s="1030">
        <f t="shared" si="959"/>
        <v>9852.7664164995276</v>
      </c>
      <c r="BH106" s="1030">
        <f t="shared" si="959"/>
        <v>9981.840750897336</v>
      </c>
      <c r="BI106" s="1030">
        <f t="shared" si="959"/>
        <v>11074.743826610662</v>
      </c>
      <c r="BJ106" s="1030">
        <f t="shared" si="959"/>
        <v>10496.691336605858</v>
      </c>
      <c r="BK106" s="1030">
        <f t="shared" si="959"/>
        <v>10782.744184938565</v>
      </c>
      <c r="BL106" s="1030">
        <f t="shared" si="959"/>
        <v>11833.568799304279</v>
      </c>
      <c r="BM106" s="1030">
        <f t="shared" si="959"/>
        <v>19046.550939165922</v>
      </c>
      <c r="BN106" s="649">
        <f>SUM(BB106:BM106)</f>
        <v>127982.03731410165</v>
      </c>
      <c r="BO106" s="1030">
        <f t="shared" ref="BO106:BZ106" si="960">SUM(BO107:BO111)</f>
        <v>10044.459300449209</v>
      </c>
      <c r="BP106" s="1030">
        <f t="shared" si="960"/>
        <v>9086.9857470828374</v>
      </c>
      <c r="BQ106" s="1030">
        <f t="shared" si="960"/>
        <v>15188.526024390983</v>
      </c>
      <c r="BR106" s="1030">
        <f t="shared" si="960"/>
        <v>11906.042973940828</v>
      </c>
      <c r="BS106" s="1030">
        <f t="shared" si="960"/>
        <v>11257.070439208868</v>
      </c>
      <c r="BT106" s="1030">
        <f t="shared" si="960"/>
        <v>11885.095794268516</v>
      </c>
      <c r="BU106" s="1030">
        <f t="shared" si="960"/>
        <v>12934.641712131455</v>
      </c>
      <c r="BV106" s="1030">
        <f t="shared" si="960"/>
        <v>12413.392123779204</v>
      </c>
      <c r="BW106" s="1030">
        <f t="shared" si="960"/>
        <v>12051.160959697894</v>
      </c>
      <c r="BX106" s="1030">
        <f t="shared" si="960"/>
        <v>12908.46373722184</v>
      </c>
      <c r="BY106" s="1030">
        <f t="shared" si="960"/>
        <v>11686.778488164095</v>
      </c>
      <c r="BZ106" s="1030">
        <f t="shared" si="960"/>
        <v>16537.252371135808</v>
      </c>
      <c r="CA106" s="344">
        <f t="shared" si="749"/>
        <v>147899.86967147156</v>
      </c>
      <c r="CB106" s="1030">
        <f t="shared" ref="CB106:CM106" si="961">SUM(CB107:CB111)</f>
        <v>0</v>
      </c>
      <c r="CC106" s="1030">
        <f t="shared" si="961"/>
        <v>0</v>
      </c>
      <c r="CD106" s="1030">
        <f t="shared" si="961"/>
        <v>0</v>
      </c>
      <c r="CE106" s="1030">
        <f t="shared" si="961"/>
        <v>0</v>
      </c>
      <c r="CF106" s="1030">
        <f t="shared" si="961"/>
        <v>0</v>
      </c>
      <c r="CG106" s="1030">
        <f t="shared" si="961"/>
        <v>0</v>
      </c>
      <c r="CH106" s="1030">
        <f t="shared" si="961"/>
        <v>0</v>
      </c>
      <c r="CI106" s="1030">
        <f t="shared" si="961"/>
        <v>0</v>
      </c>
      <c r="CJ106" s="1030">
        <f t="shared" si="961"/>
        <v>0</v>
      </c>
      <c r="CK106" s="1030">
        <f t="shared" si="961"/>
        <v>0</v>
      </c>
      <c r="CL106" s="1030">
        <f t="shared" si="961"/>
        <v>0</v>
      </c>
      <c r="CM106" s="1030">
        <f t="shared" si="961"/>
        <v>0</v>
      </c>
      <c r="CN106" s="621">
        <f t="shared" si="750"/>
        <v>0</v>
      </c>
      <c r="CO106" s="622">
        <f t="shared" ref="CO106:CZ106" si="962">SUM(CO107:CO111)</f>
        <v>0</v>
      </c>
      <c r="CP106" s="1030">
        <f t="shared" si="962"/>
        <v>0</v>
      </c>
      <c r="CQ106" s="1030">
        <f t="shared" si="962"/>
        <v>0</v>
      </c>
      <c r="CR106" s="1030">
        <f t="shared" si="962"/>
        <v>0</v>
      </c>
      <c r="CS106" s="1030">
        <f t="shared" si="962"/>
        <v>0</v>
      </c>
      <c r="CT106" s="1030">
        <f t="shared" si="962"/>
        <v>0</v>
      </c>
      <c r="CU106" s="1030">
        <f t="shared" si="962"/>
        <v>0</v>
      </c>
      <c r="CV106" s="1030">
        <f t="shared" si="962"/>
        <v>0</v>
      </c>
      <c r="CW106" s="1030">
        <f t="shared" si="962"/>
        <v>0</v>
      </c>
      <c r="CX106" s="1030">
        <f t="shared" si="962"/>
        <v>0</v>
      </c>
      <c r="CY106" s="1030">
        <f t="shared" si="962"/>
        <v>0</v>
      </c>
      <c r="CZ106" s="1030">
        <f t="shared" si="962"/>
        <v>0</v>
      </c>
      <c r="DA106" s="621">
        <f t="shared" si="730"/>
        <v>0</v>
      </c>
      <c r="DB106" s="1030">
        <f>SUM(DB107:DB111)</f>
        <v>0</v>
      </c>
      <c r="DC106" s="1030">
        <f t="shared" ref="DC106:DM106" si="963">SUM(DC107:DC111)</f>
        <v>0</v>
      </c>
      <c r="DD106" s="1030">
        <f t="shared" si="963"/>
        <v>0</v>
      </c>
      <c r="DE106" s="1030">
        <f t="shared" si="963"/>
        <v>0</v>
      </c>
      <c r="DF106" s="1030">
        <f t="shared" si="963"/>
        <v>0</v>
      </c>
      <c r="DG106" s="1030">
        <f t="shared" si="963"/>
        <v>0</v>
      </c>
      <c r="DH106" s="1030">
        <f t="shared" si="963"/>
        <v>0</v>
      </c>
      <c r="DI106" s="1030">
        <f t="shared" si="963"/>
        <v>0</v>
      </c>
      <c r="DJ106" s="1030">
        <f t="shared" si="963"/>
        <v>0</v>
      </c>
      <c r="DK106" s="1030">
        <f t="shared" si="963"/>
        <v>0</v>
      </c>
      <c r="DL106" s="1030">
        <f t="shared" si="963"/>
        <v>0</v>
      </c>
      <c r="DM106" s="1030">
        <f t="shared" si="963"/>
        <v>0</v>
      </c>
      <c r="DN106" s="622">
        <f t="shared" si="731"/>
        <v>0</v>
      </c>
      <c r="DO106" s="622">
        <f t="shared" ref="DO106:DZ106" si="964">SUM(DO107:DO111)</f>
        <v>10046.337559075415</v>
      </c>
      <c r="DP106" s="1030">
        <f t="shared" si="964"/>
        <v>11025.928722759176</v>
      </c>
      <c r="DQ106" s="1030">
        <f t="shared" si="964"/>
        <v>16577.029484020037</v>
      </c>
      <c r="DR106" s="1030">
        <f t="shared" si="964"/>
        <v>11759.234475997726</v>
      </c>
      <c r="DS106" s="1030">
        <f t="shared" si="964"/>
        <v>14344.916959250499</v>
      </c>
      <c r="DT106" s="1030">
        <f t="shared" si="964"/>
        <v>16243.915412302227</v>
      </c>
      <c r="DU106" s="1030">
        <f t="shared" si="964"/>
        <v>15224.16011641439</v>
      </c>
      <c r="DV106" s="1030">
        <f t="shared" si="964"/>
        <v>14459.793811821004</v>
      </c>
      <c r="DW106" s="1030">
        <f t="shared" si="964"/>
        <v>14527.931575921073</v>
      </c>
      <c r="DX106" s="1030">
        <f t="shared" si="964"/>
        <v>15600.250261427602</v>
      </c>
      <c r="DY106" s="1030">
        <f t="shared" si="964"/>
        <v>17776.346366901533</v>
      </c>
      <c r="DZ106" s="1030">
        <f t="shared" si="964"/>
        <v>27887.940488541368</v>
      </c>
      <c r="EA106" s="622">
        <f t="shared" si="732"/>
        <v>185473.78523443209</v>
      </c>
      <c r="EB106" s="622">
        <f t="shared" ref="EB106:EM106" si="965">SUM(EB107:EB111)</f>
        <v>11015.709524551659</v>
      </c>
      <c r="EC106" s="1030">
        <f t="shared" si="965"/>
        <v>10651.606000231264</v>
      </c>
      <c r="ED106" s="1030">
        <f t="shared" si="965"/>
        <v>17508.021517461642</v>
      </c>
      <c r="EE106" s="1030">
        <f t="shared" si="965"/>
        <v>14662.697353426973</v>
      </c>
      <c r="EF106" s="1030">
        <f t="shared" si="965"/>
        <v>15779.696716783215</v>
      </c>
      <c r="EG106" s="1030">
        <f t="shared" si="965"/>
        <v>16083.536960580928</v>
      </c>
      <c r="EH106" s="1030">
        <f t="shared" si="965"/>
        <v>16043.321946429916</v>
      </c>
      <c r="EI106" s="1030">
        <f t="shared" si="965"/>
        <v>14977.565085357015</v>
      </c>
      <c r="EJ106" s="1030">
        <f t="shared" si="965"/>
        <v>14068.907492705919</v>
      </c>
      <c r="EK106" s="1030">
        <f t="shared" si="965"/>
        <v>15692.151236326461</v>
      </c>
      <c r="EL106" s="1030">
        <f t="shared" si="965"/>
        <v>17723.191568652037</v>
      </c>
      <c r="EM106" s="1030">
        <f t="shared" si="965"/>
        <v>22410.176185486896</v>
      </c>
      <c r="EN106" s="621">
        <f t="shared" si="733"/>
        <v>186616.58158799395</v>
      </c>
      <c r="EO106" s="1030">
        <f t="shared" ref="EO106:EZ106" si="966">SUM(EO107:EO111)</f>
        <v>6180.2072097519958</v>
      </c>
      <c r="EP106" s="1030">
        <f t="shared" si="966"/>
        <v>11211.758037629956</v>
      </c>
      <c r="EQ106" s="1030">
        <f t="shared" si="966"/>
        <v>15582.01410402928</v>
      </c>
      <c r="ER106" s="1030">
        <f t="shared" si="966"/>
        <v>14593.333174706997</v>
      </c>
      <c r="ES106" s="1030">
        <f t="shared" si="966"/>
        <v>17564.02049946897</v>
      </c>
      <c r="ET106" s="1030">
        <f t="shared" si="966"/>
        <v>16153.609867514173</v>
      </c>
      <c r="EU106" s="1030">
        <f t="shared" si="966"/>
        <v>17536.620325969707</v>
      </c>
      <c r="EV106" s="1030">
        <f t="shared" si="966"/>
        <v>17696.467007517829</v>
      </c>
      <c r="EW106" s="1030">
        <f t="shared" si="966"/>
        <v>15906.94414350262</v>
      </c>
      <c r="EX106" s="1030">
        <f t="shared" si="966"/>
        <v>17146.617231939439</v>
      </c>
      <c r="EY106" s="1030">
        <f t="shared" si="966"/>
        <v>15452.201082142574</v>
      </c>
      <c r="EZ106" s="1030">
        <f t="shared" si="966"/>
        <v>25738.304899213959</v>
      </c>
      <c r="FA106" s="621">
        <f t="shared" si="734"/>
        <v>190762.09758338748</v>
      </c>
      <c r="FB106" s="1030">
        <f t="shared" ref="FB106:FM106" si="967">SUM(FB107:FB111)</f>
        <v>11788.434394014637</v>
      </c>
      <c r="FC106" s="1030">
        <f t="shared" si="967"/>
        <v>12167.828773392492</v>
      </c>
      <c r="FD106" s="1030">
        <f t="shared" si="967"/>
        <v>18601.194011500818</v>
      </c>
      <c r="FE106" s="1030">
        <f t="shared" si="967"/>
        <v>16322.053253949121</v>
      </c>
      <c r="FF106" s="1030">
        <f t="shared" si="967"/>
        <v>13079.199505596969</v>
      </c>
      <c r="FG106" s="1030">
        <f t="shared" si="967"/>
        <v>14594.843928771497</v>
      </c>
      <c r="FH106" s="1030">
        <f t="shared" si="967"/>
        <v>18589.28493060379</v>
      </c>
      <c r="FI106" s="1030">
        <f t="shared" si="967"/>
        <v>21490.691273071967</v>
      </c>
      <c r="FJ106" s="1030">
        <f t="shared" si="967"/>
        <v>29293.17009909224</v>
      </c>
      <c r="FK106" s="1030">
        <f t="shared" si="967"/>
        <v>36150.750067248897</v>
      </c>
      <c r="FL106" s="1030">
        <f t="shared" si="967"/>
        <v>49719.773928088718</v>
      </c>
      <c r="FM106" s="1030">
        <f t="shared" si="967"/>
        <v>79715.535110535711</v>
      </c>
      <c r="FN106" s="621">
        <f t="shared" si="735"/>
        <v>321512.75927586691</v>
      </c>
      <c r="FO106" s="1030">
        <f t="shared" ref="FO106:GM106" si="968">SUM(FO107:FO111)</f>
        <v>10165.712740556108</v>
      </c>
      <c r="FP106" s="1030">
        <f t="shared" si="968"/>
        <v>16835.620085425555</v>
      </c>
      <c r="FQ106" s="1030">
        <f t="shared" si="968"/>
        <v>29449.531077156367</v>
      </c>
      <c r="FR106" s="1030">
        <f t="shared" si="968"/>
        <v>16872.616835375862</v>
      </c>
      <c r="FS106" s="1030">
        <f t="shared" si="968"/>
        <v>23295.661148996136</v>
      </c>
      <c r="FT106" s="1030">
        <f t="shared" si="968"/>
        <v>24515.677683209164</v>
      </c>
      <c r="FU106" s="1030">
        <f t="shared" si="968"/>
        <v>25265.461444463803</v>
      </c>
      <c r="FV106" s="1030">
        <f t="shared" si="968"/>
        <v>22291.642399114731</v>
      </c>
      <c r="FW106" s="1030">
        <f t="shared" si="968"/>
        <v>20319.701436389856</v>
      </c>
      <c r="FX106" s="1030">
        <f t="shared" si="968"/>
        <v>21380.673947467505</v>
      </c>
      <c r="FY106" s="1030">
        <f t="shared" si="968"/>
        <v>23075.702665698802</v>
      </c>
      <c r="FZ106" s="623">
        <f t="shared" si="968"/>
        <v>41415.92097283325</v>
      </c>
      <c r="GA106" s="623">
        <f t="shared" si="653"/>
        <v>274883.92243668716</v>
      </c>
      <c r="GB106" s="622">
        <f t="shared" si="968"/>
        <v>11851.064522952975</v>
      </c>
      <c r="GC106" s="1030">
        <f t="shared" si="968"/>
        <v>14929.595204413788</v>
      </c>
      <c r="GD106" s="1030">
        <f t="shared" si="968"/>
        <v>23902.12712746222</v>
      </c>
      <c r="GE106" s="1030">
        <f t="shared" si="968"/>
        <v>19651.649187280826</v>
      </c>
      <c r="GF106" s="1030">
        <f t="shared" si="968"/>
        <v>21800.509821194206</v>
      </c>
      <c r="GG106" s="1030">
        <f t="shared" si="968"/>
        <v>21238.955555720142</v>
      </c>
      <c r="GH106" s="1030">
        <f t="shared" si="968"/>
        <v>28289.302170840798</v>
      </c>
      <c r="GI106" s="1030">
        <f t="shared" si="968"/>
        <v>21788.321391420184</v>
      </c>
      <c r="GJ106" s="1030">
        <f t="shared" si="968"/>
        <v>16687.838783452677</v>
      </c>
      <c r="GK106" s="1030">
        <f t="shared" si="968"/>
        <v>18541.461158764676</v>
      </c>
      <c r="GL106" s="1031">
        <f t="shared" si="968"/>
        <v>19224.663975575852</v>
      </c>
      <c r="GM106" s="624">
        <f t="shared" si="968"/>
        <v>32101.499186668909</v>
      </c>
      <c r="GN106" s="621">
        <f t="shared" si="654"/>
        <v>250006.98808574723</v>
      </c>
      <c r="GO106" s="622">
        <f t="shared" ref="GO106:GZ106" si="969">SUM(GO107:GO111)</f>
        <v>23.7438824712338</v>
      </c>
      <c r="GP106" s="1030">
        <f t="shared" si="969"/>
        <v>173715.4098959277</v>
      </c>
      <c r="GQ106" s="1030">
        <f t="shared" si="969"/>
        <v>185942.59730548499</v>
      </c>
      <c r="GR106" s="1030">
        <f t="shared" si="969"/>
        <v>0</v>
      </c>
      <c r="GS106" s="1030">
        <f t="shared" si="969"/>
        <v>0</v>
      </c>
      <c r="GT106" s="1030">
        <f t="shared" si="969"/>
        <v>0</v>
      </c>
      <c r="GU106" s="1030">
        <f t="shared" si="969"/>
        <v>0</v>
      </c>
      <c r="GV106" s="1030">
        <f t="shared" si="969"/>
        <v>0</v>
      </c>
      <c r="GW106" s="1030">
        <f t="shared" si="969"/>
        <v>0</v>
      </c>
      <c r="GX106" s="1030">
        <f t="shared" si="969"/>
        <v>0</v>
      </c>
      <c r="GY106" s="1030">
        <f t="shared" si="969"/>
        <v>0</v>
      </c>
      <c r="GZ106" s="623">
        <f t="shared" si="969"/>
        <v>0</v>
      </c>
      <c r="HA106" s="623">
        <f t="shared" si="656"/>
        <v>359681.75108388392</v>
      </c>
      <c r="HB106" s="622">
        <f t="shared" ref="HB106:HM106" si="970">SUM(HB107:HB111)</f>
        <v>0</v>
      </c>
      <c r="HC106" s="1030">
        <f t="shared" si="970"/>
        <v>0</v>
      </c>
      <c r="HD106" s="1030">
        <f t="shared" si="970"/>
        <v>0</v>
      </c>
      <c r="HE106" s="1030">
        <f t="shared" si="970"/>
        <v>0</v>
      </c>
      <c r="HF106" s="1030">
        <f t="shared" si="970"/>
        <v>0</v>
      </c>
      <c r="HG106" s="1030">
        <f t="shared" si="970"/>
        <v>0</v>
      </c>
      <c r="HH106" s="1030">
        <f t="shared" si="970"/>
        <v>0</v>
      </c>
      <c r="HI106" s="1030">
        <f t="shared" si="970"/>
        <v>0</v>
      </c>
      <c r="HJ106" s="1030">
        <f t="shared" si="970"/>
        <v>0</v>
      </c>
      <c r="HK106" s="1030">
        <f t="shared" si="970"/>
        <v>0</v>
      </c>
      <c r="HL106" s="1030">
        <f t="shared" si="970"/>
        <v>0</v>
      </c>
      <c r="HM106" s="623">
        <f t="shared" si="970"/>
        <v>0</v>
      </c>
      <c r="HN106" s="623">
        <f t="shared" si="658"/>
        <v>0</v>
      </c>
      <c r="HO106" s="1030">
        <f t="shared" ref="HO106:HZ106" si="971">SUM(HO107:HO111)</f>
        <v>0</v>
      </c>
      <c r="HP106" s="1030">
        <f t="shared" si="971"/>
        <v>0</v>
      </c>
      <c r="HQ106" s="1030">
        <f t="shared" si="971"/>
        <v>0</v>
      </c>
      <c r="HR106" s="1030">
        <f t="shared" si="971"/>
        <v>0</v>
      </c>
      <c r="HS106" s="1030">
        <f t="shared" si="971"/>
        <v>0</v>
      </c>
      <c r="HT106" s="1030">
        <f t="shared" si="971"/>
        <v>0</v>
      </c>
      <c r="HU106" s="1030">
        <f t="shared" si="971"/>
        <v>0</v>
      </c>
      <c r="HV106" s="1030">
        <f t="shared" si="971"/>
        <v>0</v>
      </c>
      <c r="HW106" s="1030">
        <f t="shared" si="971"/>
        <v>0</v>
      </c>
      <c r="HX106" s="1030">
        <f t="shared" si="971"/>
        <v>0</v>
      </c>
      <c r="HY106" s="1030">
        <f t="shared" si="971"/>
        <v>0</v>
      </c>
      <c r="HZ106" s="1030">
        <f t="shared" si="971"/>
        <v>0</v>
      </c>
      <c r="IA106" s="622">
        <f t="shared" si="660"/>
        <v>0</v>
      </c>
      <c r="IB106" s="1328">
        <f>SUM(IB107:IB111)</f>
        <v>0</v>
      </c>
      <c r="IC106" s="129">
        <f>SUM(IC107:IC111)</f>
        <v>0</v>
      </c>
      <c r="ID106" s="129">
        <f>SUM(ID107:ID111)</f>
        <v>0</v>
      </c>
      <c r="IE106" s="129">
        <f>SUM(IE107:IE111)</f>
        <v>0</v>
      </c>
      <c r="IF106" s="129">
        <f>SUM(IF107:IF111)</f>
        <v>0</v>
      </c>
      <c r="IG106" s="129">
        <f t="shared" ref="IG106" si="972">SUM(IG107:IG111)</f>
        <v>0</v>
      </c>
      <c r="IH106" s="129">
        <f t="shared" ref="IH106" si="973">SUM(IH107:IH111)</f>
        <v>0</v>
      </c>
      <c r="II106" s="129">
        <f t="shared" ref="II106" si="974">SUM(II107:II111)</f>
        <v>0</v>
      </c>
      <c r="IJ106" s="129"/>
      <c r="IK106" s="129"/>
      <c r="IL106" s="129"/>
      <c r="IM106" s="1268"/>
      <c r="IN106" s="1343">
        <f t="shared" si="680"/>
        <v>0</v>
      </c>
      <c r="IO106" s="1266"/>
      <c r="IP106" s="1060" t="str">
        <f t="shared" si="662"/>
        <v/>
      </c>
      <c r="IQ106" s="1019" t="str">
        <f t="shared" si="663"/>
        <v>-</v>
      </c>
      <c r="IR106" s="341">
        <f t="shared" si="664"/>
        <v>0</v>
      </c>
      <c r="IS106" s="341">
        <f t="shared" si="665"/>
        <v>0</v>
      </c>
    </row>
    <row r="107" spans="1:253" ht="15" customHeight="1" x14ac:dyDescent="0.2">
      <c r="A107" s="644" t="s">
        <v>317</v>
      </c>
      <c r="BA107" s="644"/>
      <c r="BB107" s="1033">
        <f t="shared" ref="BB107:BM107" si="975">+BB88/BB37</f>
        <v>2560.1852127916268</v>
      </c>
      <c r="BC107" s="1033">
        <f t="shared" si="975"/>
        <v>2506.6457256450221</v>
      </c>
      <c r="BD107" s="1033">
        <f t="shared" si="975"/>
        <v>2740.6589177712904</v>
      </c>
      <c r="BE107" s="1033">
        <f t="shared" si="975"/>
        <v>2371.278758002994</v>
      </c>
      <c r="BF107" s="1033">
        <f t="shared" si="975"/>
        <v>2535.0542437219638</v>
      </c>
      <c r="BG107" s="1033">
        <f t="shared" si="975"/>
        <v>2444.8006217107441</v>
      </c>
      <c r="BH107" s="1033">
        <f t="shared" si="975"/>
        <v>3059.796288103837</v>
      </c>
      <c r="BI107" s="1033">
        <f t="shared" si="975"/>
        <v>2564.6130967114659</v>
      </c>
      <c r="BJ107" s="1033">
        <f t="shared" si="975"/>
        <v>2401.2807224703442</v>
      </c>
      <c r="BK107" s="1033">
        <f t="shared" si="975"/>
        <v>2585.8901843622598</v>
      </c>
      <c r="BL107" s="1033">
        <f t="shared" si="975"/>
        <v>2601.2479387843482</v>
      </c>
      <c r="BM107" s="1033">
        <f t="shared" si="975"/>
        <v>3240.6202181888038</v>
      </c>
      <c r="BN107" s="649">
        <f>SUM(BB107:BM107)</f>
        <v>31612.071928264697</v>
      </c>
      <c r="BO107" s="1033">
        <f t="shared" ref="BO107:BZ107" si="976">+BO88/BO37</f>
        <v>3974.7487072250187</v>
      </c>
      <c r="BP107" s="1033">
        <f t="shared" si="976"/>
        <v>2179.2653986030928</v>
      </c>
      <c r="BQ107" s="1033">
        <f t="shared" si="976"/>
        <v>2903.2219712815995</v>
      </c>
      <c r="BR107" s="1033">
        <f t="shared" si="976"/>
        <v>2541.624832850413</v>
      </c>
      <c r="BS107" s="1033">
        <f t="shared" si="976"/>
        <v>1996.7960599150529</v>
      </c>
      <c r="BT107" s="1033">
        <f t="shared" si="976"/>
        <v>2887.105814873793</v>
      </c>
      <c r="BU107" s="1033">
        <f t="shared" si="976"/>
        <v>2989.0775197716216</v>
      </c>
      <c r="BV107" s="1033">
        <f t="shared" si="976"/>
        <v>2601.2936186262164</v>
      </c>
      <c r="BW107" s="1033">
        <f t="shared" si="976"/>
        <v>2605.748009564174</v>
      </c>
      <c r="BX107" s="1033">
        <f t="shared" si="976"/>
        <v>2808.5668186959433</v>
      </c>
      <c r="BY107" s="1033">
        <f t="shared" si="976"/>
        <v>2586.0295724616749</v>
      </c>
      <c r="BZ107" s="1033">
        <f t="shared" si="976"/>
        <v>3426.7482475482216</v>
      </c>
      <c r="CA107" s="344">
        <f t="shared" si="749"/>
        <v>33500.226571416824</v>
      </c>
      <c r="CB107" s="1033">
        <f t="shared" ref="CB107:CM107" si="977">+CB88/CB37</f>
        <v>0</v>
      </c>
      <c r="CC107" s="1033">
        <f t="shared" si="977"/>
        <v>0</v>
      </c>
      <c r="CD107" s="1033">
        <f t="shared" si="977"/>
        <v>0</v>
      </c>
      <c r="CE107" s="1033">
        <f t="shared" si="977"/>
        <v>0</v>
      </c>
      <c r="CF107" s="1033">
        <f t="shared" si="977"/>
        <v>0</v>
      </c>
      <c r="CG107" s="1033">
        <f t="shared" si="977"/>
        <v>0</v>
      </c>
      <c r="CH107" s="1033">
        <f t="shared" si="977"/>
        <v>0</v>
      </c>
      <c r="CI107" s="1033">
        <f t="shared" si="977"/>
        <v>0</v>
      </c>
      <c r="CJ107" s="1033">
        <f t="shared" si="977"/>
        <v>0</v>
      </c>
      <c r="CK107" s="1033">
        <f t="shared" si="977"/>
        <v>0</v>
      </c>
      <c r="CL107" s="1033">
        <f t="shared" si="977"/>
        <v>0</v>
      </c>
      <c r="CM107" s="1033">
        <f t="shared" si="977"/>
        <v>0</v>
      </c>
      <c r="CN107" s="625">
        <f t="shared" si="750"/>
        <v>0</v>
      </c>
      <c r="CO107" s="626">
        <f t="shared" ref="CO107:CZ107" si="978">+CO88/CO37</f>
        <v>0</v>
      </c>
      <c r="CP107" s="1033">
        <f t="shared" si="978"/>
        <v>0</v>
      </c>
      <c r="CQ107" s="1033">
        <f t="shared" si="978"/>
        <v>0</v>
      </c>
      <c r="CR107" s="1033">
        <f t="shared" si="978"/>
        <v>0</v>
      </c>
      <c r="CS107" s="1033">
        <f t="shared" si="978"/>
        <v>0</v>
      </c>
      <c r="CT107" s="1033">
        <f t="shared" si="978"/>
        <v>0</v>
      </c>
      <c r="CU107" s="1033">
        <f t="shared" si="978"/>
        <v>0</v>
      </c>
      <c r="CV107" s="1033">
        <f t="shared" si="978"/>
        <v>0</v>
      </c>
      <c r="CW107" s="1033">
        <f t="shared" si="978"/>
        <v>0</v>
      </c>
      <c r="CX107" s="1033">
        <f t="shared" si="978"/>
        <v>0</v>
      </c>
      <c r="CY107" s="1033">
        <f t="shared" si="978"/>
        <v>0</v>
      </c>
      <c r="CZ107" s="1033">
        <f t="shared" si="978"/>
        <v>0</v>
      </c>
      <c r="DA107" s="625">
        <f t="shared" si="730"/>
        <v>0</v>
      </c>
      <c r="DB107" s="1033">
        <f t="shared" ref="DB107:DM107" si="979">+DB88/DB37</f>
        <v>0</v>
      </c>
      <c r="DC107" s="1033">
        <f t="shared" si="979"/>
        <v>0</v>
      </c>
      <c r="DD107" s="1033">
        <f t="shared" si="979"/>
        <v>0</v>
      </c>
      <c r="DE107" s="1033">
        <f t="shared" si="979"/>
        <v>0</v>
      </c>
      <c r="DF107" s="1033">
        <f t="shared" si="979"/>
        <v>0</v>
      </c>
      <c r="DG107" s="1033">
        <f t="shared" si="979"/>
        <v>0</v>
      </c>
      <c r="DH107" s="1033">
        <f t="shared" si="979"/>
        <v>0</v>
      </c>
      <c r="DI107" s="1033">
        <f t="shared" si="979"/>
        <v>0</v>
      </c>
      <c r="DJ107" s="1033">
        <f t="shared" si="979"/>
        <v>0</v>
      </c>
      <c r="DK107" s="1033">
        <f t="shared" si="979"/>
        <v>0</v>
      </c>
      <c r="DL107" s="1033">
        <f t="shared" si="979"/>
        <v>0</v>
      </c>
      <c r="DM107" s="1033">
        <f t="shared" si="979"/>
        <v>0</v>
      </c>
      <c r="DN107" s="626">
        <f t="shared" si="731"/>
        <v>0</v>
      </c>
      <c r="DO107" s="626">
        <f t="shared" ref="DO107:DZ107" si="980">+DO88/DO37</f>
        <v>3026.1905594267696</v>
      </c>
      <c r="DP107" s="1033">
        <f t="shared" si="980"/>
        <v>2030.6413056249432</v>
      </c>
      <c r="DQ107" s="1033">
        <f t="shared" si="980"/>
        <v>3017.2720546188061</v>
      </c>
      <c r="DR107" s="1033">
        <f t="shared" si="980"/>
        <v>2505.9671691075996</v>
      </c>
      <c r="DS107" s="1033">
        <f t="shared" si="980"/>
        <v>2464.5450485047922</v>
      </c>
      <c r="DT107" s="1033">
        <f t="shared" si="980"/>
        <v>2344.8167660851959</v>
      </c>
      <c r="DU107" s="1033">
        <f t="shared" si="980"/>
        <v>3217.1463139241928</v>
      </c>
      <c r="DV107" s="1033">
        <f t="shared" si="980"/>
        <v>2429.2460865744865</v>
      </c>
      <c r="DW107" s="1033">
        <f t="shared" si="980"/>
        <v>2394.5912804379682</v>
      </c>
      <c r="DX107" s="1033">
        <f t="shared" si="980"/>
        <v>2800.0369980242699</v>
      </c>
      <c r="DY107" s="1033">
        <f t="shared" si="980"/>
        <v>2605.6574100000289</v>
      </c>
      <c r="DZ107" s="1033">
        <f t="shared" si="980"/>
        <v>3434.0599239720568</v>
      </c>
      <c r="EA107" s="626">
        <f t="shared" si="732"/>
        <v>32270.170916301111</v>
      </c>
      <c r="EB107" s="626">
        <f t="shared" ref="EB107:EM107" si="981">+EB88/EB37</f>
        <v>3263.3046467311501</v>
      </c>
      <c r="EC107" s="1033">
        <f t="shared" si="981"/>
        <v>2140.6688775316416</v>
      </c>
      <c r="ED107" s="1033">
        <f t="shared" si="981"/>
        <v>3252.1570375760925</v>
      </c>
      <c r="EE107" s="1033">
        <f t="shared" si="981"/>
        <v>2672.7831038485087</v>
      </c>
      <c r="EF107" s="1033">
        <f t="shared" si="981"/>
        <v>2666.5249622213155</v>
      </c>
      <c r="EG107" s="1033">
        <f t="shared" si="981"/>
        <v>2603.5581473196471</v>
      </c>
      <c r="EH107" s="1033">
        <f t="shared" si="981"/>
        <v>3338.9207815020377</v>
      </c>
      <c r="EI107" s="1033">
        <f t="shared" si="981"/>
        <v>2639.289202162206</v>
      </c>
      <c r="EJ107" s="1033">
        <f t="shared" si="981"/>
        <v>2422.5499402202768</v>
      </c>
      <c r="EK107" s="1033">
        <f t="shared" si="981"/>
        <v>2898.2264510350956</v>
      </c>
      <c r="EL107" s="1033">
        <f t="shared" si="981"/>
        <v>2788.7437359798341</v>
      </c>
      <c r="EM107" s="1033">
        <f t="shared" si="981"/>
        <v>4070.4864433587818</v>
      </c>
      <c r="EN107" s="625">
        <f t="shared" si="733"/>
        <v>34757.213329486585</v>
      </c>
      <c r="EO107" s="1033">
        <f t="shared" ref="EO107:EZ107" si="982">+EO88/EO37</f>
        <v>2843.8225499532177</v>
      </c>
      <c r="EP107" s="1033">
        <f t="shared" si="982"/>
        <v>2492.3305768030541</v>
      </c>
      <c r="EQ107" s="1033">
        <f t="shared" si="982"/>
        <v>2865.6781104974707</v>
      </c>
      <c r="ER107" s="1033">
        <f t="shared" si="982"/>
        <v>2703.7068196018199</v>
      </c>
      <c r="ES107" s="1033">
        <f t="shared" si="982"/>
        <v>2461.4522747542337</v>
      </c>
      <c r="ET107" s="1033">
        <f t="shared" si="982"/>
        <v>2396.7447671226278</v>
      </c>
      <c r="EU107" s="1033">
        <f t="shared" si="982"/>
        <v>3478.7097810235082</v>
      </c>
      <c r="EV107" s="1033">
        <f t="shared" si="982"/>
        <v>2592.8660350662922</v>
      </c>
      <c r="EW107" s="1033">
        <f t="shared" si="982"/>
        <v>2598.1688162754476</v>
      </c>
      <c r="EX107" s="1033">
        <f t="shared" si="982"/>
        <v>2952.9769880381259</v>
      </c>
      <c r="EY107" s="1033">
        <f t="shared" si="982"/>
        <v>2943.4887287778761</v>
      </c>
      <c r="EZ107" s="1033">
        <f t="shared" si="982"/>
        <v>3630.9793229739489</v>
      </c>
      <c r="FA107" s="625">
        <f t="shared" si="734"/>
        <v>33960.924770887621</v>
      </c>
      <c r="FB107" s="1033">
        <f t="shared" ref="FB107:FM107" si="983">+FB88/FB37</f>
        <v>3358.6207151363396</v>
      </c>
      <c r="FC107" s="1033">
        <f t="shared" si="983"/>
        <v>2222.821885494137</v>
      </c>
      <c r="FD107" s="1033">
        <f t="shared" si="983"/>
        <v>3309.611031548659</v>
      </c>
      <c r="FE107" s="1033">
        <f t="shared" si="983"/>
        <v>2586.2010215401679</v>
      </c>
      <c r="FF107" s="1033">
        <f t="shared" si="983"/>
        <v>2669.3322408502154</v>
      </c>
      <c r="FG107" s="1033">
        <f t="shared" si="983"/>
        <v>2502.2394696809297</v>
      </c>
      <c r="FH107" s="1033">
        <f t="shared" si="983"/>
        <v>3283.9244278175183</v>
      </c>
      <c r="FI107" s="1033">
        <f t="shared" si="983"/>
        <v>2860.7827839999095</v>
      </c>
      <c r="FJ107" s="1033">
        <f t="shared" si="983"/>
        <v>2735.9009919470814</v>
      </c>
      <c r="FK107" s="1033">
        <f t="shared" si="983"/>
        <v>2992.7748967690341</v>
      </c>
      <c r="FL107" s="1033">
        <f t="shared" si="983"/>
        <v>2811.5481671277944</v>
      </c>
      <c r="FM107" s="1033">
        <f t="shared" si="983"/>
        <v>4579.4673060369969</v>
      </c>
      <c r="FN107" s="625">
        <f t="shared" si="735"/>
        <v>35913.224937948777</v>
      </c>
      <c r="FO107" s="1033">
        <f t="shared" ref="FO107:FZ107" si="984">+FO88/FO37</f>
        <v>3344.1659624715689</v>
      </c>
      <c r="FP107" s="1033">
        <f t="shared" si="984"/>
        <v>2563.688799354818</v>
      </c>
      <c r="FQ107" s="1033">
        <f t="shared" si="984"/>
        <v>3047.5876269924479</v>
      </c>
      <c r="FR107" s="1033">
        <f t="shared" si="984"/>
        <v>2705.6495286288696</v>
      </c>
      <c r="FS107" s="1033">
        <f t="shared" si="984"/>
        <v>2938.2036727895265</v>
      </c>
      <c r="FT107" s="1033">
        <f t="shared" si="984"/>
        <v>2750.8671600890107</v>
      </c>
      <c r="FU107" s="1033">
        <f t="shared" si="984"/>
        <v>3662.2924631924129</v>
      </c>
      <c r="FV107" s="1033">
        <f t="shared" si="984"/>
        <v>2640.8945395346318</v>
      </c>
      <c r="FW107" s="1033">
        <f t="shared" si="984"/>
        <v>2562.228667880348</v>
      </c>
      <c r="FX107" s="1033">
        <f t="shared" si="984"/>
        <v>2916.537370691522</v>
      </c>
      <c r="FY107" s="1033">
        <f t="shared" si="984"/>
        <v>2788.4180174136668</v>
      </c>
      <c r="FZ107" s="627">
        <f t="shared" si="984"/>
        <v>3936.8570951191587</v>
      </c>
      <c r="GA107" s="627">
        <f t="shared" si="653"/>
        <v>35857.390904157983</v>
      </c>
      <c r="GB107" s="626">
        <f t="shared" ref="GB107:GM107" si="985">+GB88/GB37</f>
        <v>3339.0279846648141</v>
      </c>
      <c r="GC107" s="1033">
        <f t="shared" si="985"/>
        <v>2589.9471988036139</v>
      </c>
      <c r="GD107" s="1033">
        <f t="shared" si="985"/>
        <v>3179.2558097758338</v>
      </c>
      <c r="GE107" s="1033">
        <f t="shared" si="985"/>
        <v>2611.6742724712676</v>
      </c>
      <c r="GF107" s="1033">
        <f t="shared" si="985"/>
        <v>2850.2832194101034</v>
      </c>
      <c r="GG107" s="1033">
        <f t="shared" si="985"/>
        <v>2447.7927282935075</v>
      </c>
      <c r="GH107" s="1033">
        <f t="shared" si="985"/>
        <v>3511.9196256677678</v>
      </c>
      <c r="GI107" s="1033">
        <f t="shared" si="985"/>
        <v>2469.5758172515716</v>
      </c>
      <c r="GJ107" s="1033">
        <f t="shared" si="985"/>
        <v>2248.6781183962935</v>
      </c>
      <c r="GK107" s="1033">
        <f t="shared" si="985"/>
        <v>2755.1545498590208</v>
      </c>
      <c r="GL107" s="1034">
        <f t="shared" si="985"/>
        <v>2671.5344542501307</v>
      </c>
      <c r="GM107" s="628">
        <f t="shared" si="985"/>
        <v>4655.3055695635931</v>
      </c>
      <c r="GN107" s="625">
        <f t="shared" si="654"/>
        <v>35330.149348407518</v>
      </c>
      <c r="GO107" s="626">
        <f t="shared" ref="GO107:GZ107" si="986">+GO88/GO37</f>
        <v>4.0347454320333771</v>
      </c>
      <c r="GP107" s="1033">
        <f t="shared" si="986"/>
        <v>54707.058384679869</v>
      </c>
      <c r="GQ107" s="1033">
        <f t="shared" si="986"/>
        <v>57746.24548669222</v>
      </c>
      <c r="GR107" s="1033">
        <f t="shared" si="986"/>
        <v>0</v>
      </c>
      <c r="GS107" s="1033">
        <f t="shared" si="986"/>
        <v>0</v>
      </c>
      <c r="GT107" s="1033">
        <f t="shared" si="986"/>
        <v>0</v>
      </c>
      <c r="GU107" s="1033">
        <f t="shared" si="986"/>
        <v>0</v>
      </c>
      <c r="GV107" s="1033">
        <f t="shared" si="986"/>
        <v>0</v>
      </c>
      <c r="GW107" s="1033">
        <f t="shared" si="986"/>
        <v>0</v>
      </c>
      <c r="GX107" s="1033">
        <f t="shared" si="986"/>
        <v>0</v>
      </c>
      <c r="GY107" s="1033">
        <f t="shared" si="986"/>
        <v>0</v>
      </c>
      <c r="GZ107" s="627">
        <f t="shared" si="986"/>
        <v>0</v>
      </c>
      <c r="HA107" s="627">
        <f t="shared" si="656"/>
        <v>112457.33861680413</v>
      </c>
      <c r="HB107" s="626">
        <f t="shared" ref="HB107:HM107" si="987">+HB88/HB37</f>
        <v>0</v>
      </c>
      <c r="HC107" s="1033">
        <f t="shared" si="987"/>
        <v>0</v>
      </c>
      <c r="HD107" s="1033">
        <f t="shared" si="987"/>
        <v>0</v>
      </c>
      <c r="HE107" s="1033">
        <f t="shared" si="987"/>
        <v>0</v>
      </c>
      <c r="HF107" s="1033">
        <f t="shared" si="987"/>
        <v>0</v>
      </c>
      <c r="HG107" s="1033">
        <f t="shared" si="987"/>
        <v>0</v>
      </c>
      <c r="HH107" s="1033">
        <f t="shared" si="987"/>
        <v>0</v>
      </c>
      <c r="HI107" s="1033">
        <f t="shared" si="987"/>
        <v>0</v>
      </c>
      <c r="HJ107" s="1033">
        <f t="shared" si="987"/>
        <v>0</v>
      </c>
      <c r="HK107" s="1033">
        <f t="shared" si="987"/>
        <v>0</v>
      </c>
      <c r="HL107" s="1033">
        <f t="shared" si="987"/>
        <v>0</v>
      </c>
      <c r="HM107" s="627">
        <f t="shared" si="987"/>
        <v>0</v>
      </c>
      <c r="HN107" s="627">
        <f t="shared" si="658"/>
        <v>0</v>
      </c>
      <c r="HO107" s="1033">
        <f t="shared" ref="HO107:HZ107" si="988">+HO88/HO37</f>
        <v>0</v>
      </c>
      <c r="HP107" s="1033">
        <f t="shared" si="988"/>
        <v>0</v>
      </c>
      <c r="HQ107" s="1033">
        <f t="shared" si="988"/>
        <v>0</v>
      </c>
      <c r="HR107" s="1033">
        <f t="shared" si="988"/>
        <v>0</v>
      </c>
      <c r="HS107" s="1033">
        <f t="shared" si="988"/>
        <v>0</v>
      </c>
      <c r="HT107" s="1033">
        <f t="shared" si="988"/>
        <v>0</v>
      </c>
      <c r="HU107" s="1033">
        <f t="shared" si="988"/>
        <v>0</v>
      </c>
      <c r="HV107" s="1033">
        <f t="shared" si="988"/>
        <v>0</v>
      </c>
      <c r="HW107" s="1033">
        <f t="shared" si="988"/>
        <v>0</v>
      </c>
      <c r="HX107" s="1033">
        <f t="shared" si="988"/>
        <v>0</v>
      </c>
      <c r="HY107" s="1033">
        <f t="shared" si="988"/>
        <v>0</v>
      </c>
      <c r="HZ107" s="1033">
        <f t="shared" si="988"/>
        <v>0</v>
      </c>
      <c r="IA107" s="626">
        <f t="shared" si="660"/>
        <v>0</v>
      </c>
      <c r="IB107" s="1324">
        <f>+IB88/IB37</f>
        <v>0</v>
      </c>
      <c r="IC107">
        <f>+IC88/IC37</f>
        <v>0</v>
      </c>
      <c r="ID107">
        <f>+ID88/ID37</f>
        <v>0</v>
      </c>
      <c r="IE107">
        <f>+IE88/IE37</f>
        <v>0</v>
      </c>
      <c r="IF107">
        <f>+IF88/IF37</f>
        <v>0</v>
      </c>
      <c r="IG107">
        <f t="shared" ref="IG107" si="989">+IG88/IG37</f>
        <v>0</v>
      </c>
      <c r="IH107">
        <f t="shared" ref="IH107" si="990">+IH88/IH37</f>
        <v>0</v>
      </c>
      <c r="II107">
        <f t="shared" ref="II107" si="991">+II88/II37</f>
        <v>0</v>
      </c>
      <c r="IM107" s="1266"/>
      <c r="IN107" s="1059">
        <f t="shared" si="680"/>
        <v>0</v>
      </c>
      <c r="IO107" s="1266"/>
      <c r="IP107" s="1060" t="str">
        <f t="shared" si="662"/>
        <v/>
      </c>
      <c r="IQ107" s="640" t="str">
        <f t="shared" si="663"/>
        <v>-</v>
      </c>
      <c r="IR107" s="344">
        <f t="shared" si="664"/>
        <v>0</v>
      </c>
      <c r="IS107" s="344">
        <f t="shared" si="665"/>
        <v>0</v>
      </c>
    </row>
    <row r="108" spans="1:253" ht="15" customHeight="1" x14ac:dyDescent="0.2">
      <c r="A108" s="342" t="s">
        <v>326</v>
      </c>
      <c r="BA108" s="644"/>
      <c r="BB108" s="1033"/>
      <c r="BC108" s="1033"/>
      <c r="BD108" s="1033"/>
      <c r="BE108" s="1033"/>
      <c r="BF108" s="1033"/>
      <c r="BG108" s="1033"/>
      <c r="BH108" s="1033"/>
      <c r="BI108" s="1033"/>
      <c r="BJ108" s="1033"/>
      <c r="BK108" s="1033"/>
      <c r="BL108" s="1033"/>
      <c r="BM108" s="1033"/>
      <c r="BN108" s="649"/>
      <c r="BO108" s="1033">
        <f t="shared" ref="BO108:BZ108" si="992">+BO89/BO37</f>
        <v>255.46589044546434</v>
      </c>
      <c r="BP108" s="1033">
        <f t="shared" si="992"/>
        <v>802.18358230788692</v>
      </c>
      <c r="BQ108" s="1033">
        <f t="shared" si="992"/>
        <v>874.44449562845659</v>
      </c>
      <c r="BR108" s="1033">
        <f t="shared" si="992"/>
        <v>883.00193250474206</v>
      </c>
      <c r="BS108" s="1033">
        <f t="shared" si="992"/>
        <v>947.28268903484548</v>
      </c>
      <c r="BT108" s="1033">
        <f t="shared" si="992"/>
        <v>850.26129666177792</v>
      </c>
      <c r="BU108" s="1033">
        <f t="shared" si="992"/>
        <v>1027.9809691800078</v>
      </c>
      <c r="BV108" s="1033">
        <f t="shared" si="992"/>
        <v>1047.6754786712215</v>
      </c>
      <c r="BW108" s="1033">
        <f t="shared" si="992"/>
        <v>757.26758494350179</v>
      </c>
      <c r="BX108" s="1033">
        <f t="shared" si="992"/>
        <v>1207.7324636786777</v>
      </c>
      <c r="BY108" s="1033">
        <f t="shared" si="992"/>
        <v>858.75391845988895</v>
      </c>
      <c r="BZ108" s="1033">
        <f t="shared" si="992"/>
        <v>1622.7688523485413</v>
      </c>
      <c r="CA108" s="344">
        <f t="shared" si="749"/>
        <v>11134.819153865012</v>
      </c>
      <c r="CB108" s="1033">
        <f t="shared" ref="CB108:CM108" si="993">+CB89/CB37</f>
        <v>0</v>
      </c>
      <c r="CC108" s="1033">
        <f t="shared" si="993"/>
        <v>0</v>
      </c>
      <c r="CD108" s="1033">
        <f t="shared" si="993"/>
        <v>0</v>
      </c>
      <c r="CE108" s="1033">
        <f t="shared" si="993"/>
        <v>0</v>
      </c>
      <c r="CF108" s="1033">
        <f t="shared" si="993"/>
        <v>0</v>
      </c>
      <c r="CG108" s="1033">
        <f t="shared" si="993"/>
        <v>0</v>
      </c>
      <c r="CH108" s="1033">
        <f t="shared" si="993"/>
        <v>0</v>
      </c>
      <c r="CI108" s="1033">
        <f t="shared" si="993"/>
        <v>0</v>
      </c>
      <c r="CJ108" s="1033">
        <f t="shared" si="993"/>
        <v>0</v>
      </c>
      <c r="CK108" s="1033">
        <f t="shared" si="993"/>
        <v>0</v>
      </c>
      <c r="CL108" s="1033">
        <f t="shared" si="993"/>
        <v>0</v>
      </c>
      <c r="CM108" s="1033">
        <f t="shared" si="993"/>
        <v>0</v>
      </c>
      <c r="CN108" s="625">
        <f t="shared" si="750"/>
        <v>0</v>
      </c>
      <c r="CO108" s="626">
        <f t="shared" ref="CO108:CZ108" si="994">+CO89/CO37</f>
        <v>0</v>
      </c>
      <c r="CP108" s="1033">
        <f t="shared" si="994"/>
        <v>0</v>
      </c>
      <c r="CQ108" s="1033">
        <f t="shared" si="994"/>
        <v>0</v>
      </c>
      <c r="CR108" s="1033">
        <f t="shared" si="994"/>
        <v>0</v>
      </c>
      <c r="CS108" s="1033">
        <f t="shared" si="994"/>
        <v>0</v>
      </c>
      <c r="CT108" s="1033">
        <f t="shared" si="994"/>
        <v>0</v>
      </c>
      <c r="CU108" s="1033">
        <f t="shared" si="994"/>
        <v>0</v>
      </c>
      <c r="CV108" s="1033">
        <f t="shared" si="994"/>
        <v>0</v>
      </c>
      <c r="CW108" s="1033">
        <f t="shared" si="994"/>
        <v>0</v>
      </c>
      <c r="CX108" s="1033">
        <f t="shared" si="994"/>
        <v>0</v>
      </c>
      <c r="CY108" s="1033">
        <f t="shared" si="994"/>
        <v>0</v>
      </c>
      <c r="CZ108" s="1033">
        <f t="shared" si="994"/>
        <v>0</v>
      </c>
      <c r="DA108" s="625">
        <f t="shared" si="730"/>
        <v>0</v>
      </c>
      <c r="DB108" s="1033">
        <f t="shared" ref="DB108:DM108" si="995">+DB89/DB37</f>
        <v>0</v>
      </c>
      <c r="DC108" s="1033">
        <f t="shared" si="995"/>
        <v>0</v>
      </c>
      <c r="DD108" s="1033">
        <f t="shared" si="995"/>
        <v>0</v>
      </c>
      <c r="DE108" s="1033">
        <f t="shared" si="995"/>
        <v>0</v>
      </c>
      <c r="DF108" s="1033">
        <f t="shared" si="995"/>
        <v>0</v>
      </c>
      <c r="DG108" s="1033">
        <f t="shared" si="995"/>
        <v>0</v>
      </c>
      <c r="DH108" s="1033">
        <f t="shared" si="995"/>
        <v>0</v>
      </c>
      <c r="DI108" s="1033">
        <f t="shared" si="995"/>
        <v>0</v>
      </c>
      <c r="DJ108" s="1033">
        <f t="shared" si="995"/>
        <v>0</v>
      </c>
      <c r="DK108" s="1033">
        <f t="shared" si="995"/>
        <v>0</v>
      </c>
      <c r="DL108" s="1033">
        <f t="shared" si="995"/>
        <v>0</v>
      </c>
      <c r="DM108" s="1033">
        <f t="shared" si="995"/>
        <v>0</v>
      </c>
      <c r="DN108" s="626">
        <f t="shared" si="731"/>
        <v>0</v>
      </c>
      <c r="DO108" s="626">
        <f t="shared" ref="DO108:DZ108" si="996">+DO89/DO37</f>
        <v>232.50356176713379</v>
      </c>
      <c r="DP108" s="1033">
        <f t="shared" si="996"/>
        <v>565.23754410597701</v>
      </c>
      <c r="DQ108" s="1033">
        <f t="shared" si="996"/>
        <v>900.80667948686005</v>
      </c>
      <c r="DR108" s="1033">
        <f t="shared" si="996"/>
        <v>610.49243230196612</v>
      </c>
      <c r="DS108" s="1033">
        <f t="shared" si="996"/>
        <v>1044.1641195833372</v>
      </c>
      <c r="DT108" s="1033">
        <f t="shared" si="996"/>
        <v>871.53121626547227</v>
      </c>
      <c r="DU108" s="1033">
        <f t="shared" si="996"/>
        <v>977.34263160272769</v>
      </c>
      <c r="DV108" s="1033">
        <f t="shared" si="996"/>
        <v>869.02191762936172</v>
      </c>
      <c r="DW108" s="1033">
        <f t="shared" si="996"/>
        <v>960.27485010675036</v>
      </c>
      <c r="DX108" s="1033">
        <f t="shared" si="996"/>
        <v>910.76859637227926</v>
      </c>
      <c r="DY108" s="1033">
        <f t="shared" si="996"/>
        <v>933.53145778055898</v>
      </c>
      <c r="DZ108" s="1033">
        <f t="shared" si="996"/>
        <v>1108.6448705014743</v>
      </c>
      <c r="EA108" s="626">
        <f t="shared" si="732"/>
        <v>9984.3198775039</v>
      </c>
      <c r="EB108" s="626">
        <f t="shared" ref="EB108:EM108" si="997">+EB89/EB37</f>
        <v>221.00916094120078</v>
      </c>
      <c r="EC108" s="1033">
        <f t="shared" si="997"/>
        <v>585.25499335400457</v>
      </c>
      <c r="ED108" s="1033">
        <f t="shared" si="997"/>
        <v>793.20903355514452</v>
      </c>
      <c r="EE108" s="1033">
        <f t="shared" si="997"/>
        <v>930.28595314673657</v>
      </c>
      <c r="EF108" s="1033">
        <f t="shared" si="997"/>
        <v>849.96824661092637</v>
      </c>
      <c r="EG108" s="1033">
        <f t="shared" si="997"/>
        <v>728.083502715245</v>
      </c>
      <c r="EH108" s="1033">
        <f t="shared" si="997"/>
        <v>1054.2464765423456</v>
      </c>
      <c r="EI108" s="1033">
        <f t="shared" si="997"/>
        <v>831.51799595002842</v>
      </c>
      <c r="EJ108" s="1033">
        <f t="shared" si="997"/>
        <v>818.61085381310738</v>
      </c>
      <c r="EK108" s="1033">
        <f t="shared" si="997"/>
        <v>1058.5319264522711</v>
      </c>
      <c r="EL108" s="1033">
        <f t="shared" si="997"/>
        <v>850.89900104402432</v>
      </c>
      <c r="EM108" s="1033">
        <f t="shared" si="997"/>
        <v>1310.7389621768832</v>
      </c>
      <c r="EN108" s="625">
        <f t="shared" si="733"/>
        <v>10032.356106301919</v>
      </c>
      <c r="EO108" s="1033">
        <f t="shared" ref="EO108:EZ108" si="998">+EO89/EO37</f>
        <v>116.31896894949948</v>
      </c>
      <c r="EP108" s="1033">
        <f t="shared" si="998"/>
        <v>394.26698390104809</v>
      </c>
      <c r="EQ108" s="1033">
        <f t="shared" si="998"/>
        <v>719.21531114680431</v>
      </c>
      <c r="ER108" s="1033">
        <f t="shared" si="998"/>
        <v>727.54546255023172</v>
      </c>
      <c r="ES108" s="1033">
        <f t="shared" si="998"/>
        <v>819.7875855647236</v>
      </c>
      <c r="ET108" s="1033">
        <f t="shared" si="998"/>
        <v>787.76078733233544</v>
      </c>
      <c r="EU108" s="1033">
        <f t="shared" si="998"/>
        <v>1007.434352584408</v>
      </c>
      <c r="EV108" s="1033">
        <f t="shared" si="998"/>
        <v>1147.2858562240231</v>
      </c>
      <c r="EW108" s="1033">
        <f t="shared" si="998"/>
        <v>894.09823327006313</v>
      </c>
      <c r="EX108" s="1033">
        <f t="shared" si="998"/>
        <v>920.20096640416671</v>
      </c>
      <c r="EY108" s="1033">
        <f t="shared" si="998"/>
        <v>827.61773590195764</v>
      </c>
      <c r="EZ108" s="1033">
        <f t="shared" si="998"/>
        <v>1424.7007524652786</v>
      </c>
      <c r="FA108" s="625">
        <f t="shared" si="734"/>
        <v>9786.2329962945405</v>
      </c>
      <c r="FB108" s="1033">
        <f t="shared" ref="FB108:FM108" si="999">+FB89/FB37</f>
        <v>253.24581412029261</v>
      </c>
      <c r="FC108" s="1033">
        <f t="shared" si="999"/>
        <v>408.35801502239195</v>
      </c>
      <c r="FD108" s="1033">
        <f t="shared" si="999"/>
        <v>670.02289292501371</v>
      </c>
      <c r="FE108" s="1033">
        <f t="shared" si="999"/>
        <v>517.10304169750373</v>
      </c>
      <c r="FF108" s="1033">
        <f t="shared" si="999"/>
        <v>1018.4529165090053</v>
      </c>
      <c r="FG108" s="1033">
        <f t="shared" si="999"/>
        <v>1133.0766221731253</v>
      </c>
      <c r="FH108" s="1033">
        <f t="shared" si="999"/>
        <v>912.01146476729491</v>
      </c>
      <c r="FI108" s="1033">
        <f t="shared" si="999"/>
        <v>1147.5958669739059</v>
      </c>
      <c r="FJ108" s="1033">
        <f t="shared" si="999"/>
        <v>1075.6475442627691</v>
      </c>
      <c r="FK108" s="1033">
        <f t="shared" si="999"/>
        <v>1020.8073170590249</v>
      </c>
      <c r="FL108" s="1033">
        <f t="shared" si="999"/>
        <v>1001.2616570056459</v>
      </c>
      <c r="FM108" s="1033">
        <f t="shared" si="999"/>
        <v>1002.1191614100233</v>
      </c>
      <c r="FN108" s="625">
        <f t="shared" si="735"/>
        <v>10159.702313925996</v>
      </c>
      <c r="FO108" s="1033">
        <f t="shared" ref="FO108:FZ108" si="1000">+FO89/FO37</f>
        <v>97.049556347421586</v>
      </c>
      <c r="FP108" s="1033">
        <f t="shared" si="1000"/>
        <v>722.74564467202163</v>
      </c>
      <c r="FQ108" s="1033">
        <f t="shared" si="1000"/>
        <v>989.76330705354201</v>
      </c>
      <c r="FR108" s="1033">
        <f t="shared" si="1000"/>
        <v>687.29794908968063</v>
      </c>
      <c r="FS108" s="1033">
        <f t="shared" si="1000"/>
        <v>1101.6593579877056</v>
      </c>
      <c r="FT108" s="1033">
        <f t="shared" si="1000"/>
        <v>1242.1770288007635</v>
      </c>
      <c r="FU108" s="1033">
        <f t="shared" si="1000"/>
        <v>917.21805492098872</v>
      </c>
      <c r="FV108" s="1033">
        <f t="shared" si="1000"/>
        <v>956.53421762566973</v>
      </c>
      <c r="FW108" s="1033">
        <f t="shared" si="1000"/>
        <v>665.86793648562229</v>
      </c>
      <c r="FX108" s="1033">
        <f t="shared" si="1000"/>
        <v>758.81591768434293</v>
      </c>
      <c r="FY108" s="1033">
        <f t="shared" si="1000"/>
        <v>755.45104230137395</v>
      </c>
      <c r="FZ108" s="627">
        <f t="shared" si="1000"/>
        <v>1006.0644367206147</v>
      </c>
      <c r="GA108" s="627">
        <f t="shared" si="653"/>
        <v>9900.6444496897475</v>
      </c>
      <c r="GB108" s="626">
        <f t="shared" ref="GB108:GM108" si="1001">+GB89/GB37</f>
        <v>188.76094030954641</v>
      </c>
      <c r="GC108" s="1033">
        <f t="shared" si="1001"/>
        <v>961.85324295283954</v>
      </c>
      <c r="GD108" s="1033">
        <f t="shared" si="1001"/>
        <v>683.46169230845999</v>
      </c>
      <c r="GE108" s="1033">
        <f t="shared" si="1001"/>
        <v>946.25879437364767</v>
      </c>
      <c r="GF108" s="1033">
        <f t="shared" si="1001"/>
        <v>883.33435708892591</v>
      </c>
      <c r="GG108" s="1033">
        <f t="shared" si="1001"/>
        <v>977.4066297154011</v>
      </c>
      <c r="GH108" s="1033">
        <f t="shared" si="1001"/>
        <v>961.04228253669066</v>
      </c>
      <c r="GI108" s="1033">
        <f t="shared" si="1001"/>
        <v>812.77178795621342</v>
      </c>
      <c r="GJ108" s="1033">
        <f t="shared" si="1001"/>
        <v>1092.642266571816</v>
      </c>
      <c r="GK108" s="1033">
        <f t="shared" si="1001"/>
        <v>675.23039260010182</v>
      </c>
      <c r="GL108" s="1034">
        <f t="shared" si="1001"/>
        <v>655.13661161704272</v>
      </c>
      <c r="GM108" s="628">
        <f t="shared" si="1001"/>
        <v>808.82551909905749</v>
      </c>
      <c r="GN108" s="625">
        <f t="shared" si="654"/>
        <v>9646.7245171297418</v>
      </c>
      <c r="GO108" s="626">
        <f t="shared" ref="GO108:GZ108" si="1002">+GO89/GO37</f>
        <v>1.3975351390495143</v>
      </c>
      <c r="GP108" s="1033">
        <f t="shared" si="1002"/>
        <v>8822.3221894982544</v>
      </c>
      <c r="GQ108" s="1033">
        <f t="shared" si="1002"/>
        <v>8920.8941687977986</v>
      </c>
      <c r="GR108" s="1033">
        <f t="shared" si="1002"/>
        <v>0</v>
      </c>
      <c r="GS108" s="1033">
        <f t="shared" si="1002"/>
        <v>0</v>
      </c>
      <c r="GT108" s="1033">
        <f t="shared" si="1002"/>
        <v>0</v>
      </c>
      <c r="GU108" s="1033">
        <f t="shared" si="1002"/>
        <v>0</v>
      </c>
      <c r="GV108" s="1033">
        <f t="shared" si="1002"/>
        <v>0</v>
      </c>
      <c r="GW108" s="1033">
        <f t="shared" si="1002"/>
        <v>0</v>
      </c>
      <c r="GX108" s="1033">
        <f t="shared" si="1002"/>
        <v>0</v>
      </c>
      <c r="GY108" s="1033">
        <f t="shared" si="1002"/>
        <v>0</v>
      </c>
      <c r="GZ108" s="627">
        <f t="shared" si="1002"/>
        <v>0</v>
      </c>
      <c r="HA108" s="627">
        <f t="shared" si="656"/>
        <v>17744.613893435104</v>
      </c>
      <c r="HB108" s="626">
        <f t="shared" ref="HB108:HM108" si="1003">+HB89/HB37</f>
        <v>0</v>
      </c>
      <c r="HC108" s="1033">
        <f t="shared" si="1003"/>
        <v>0</v>
      </c>
      <c r="HD108" s="1033">
        <f t="shared" si="1003"/>
        <v>0</v>
      </c>
      <c r="HE108" s="1033">
        <f t="shared" si="1003"/>
        <v>0</v>
      </c>
      <c r="HF108" s="1033">
        <f t="shared" si="1003"/>
        <v>0</v>
      </c>
      <c r="HG108" s="1033">
        <f t="shared" si="1003"/>
        <v>0</v>
      </c>
      <c r="HH108" s="1033">
        <f t="shared" si="1003"/>
        <v>0</v>
      </c>
      <c r="HI108" s="1033">
        <f t="shared" si="1003"/>
        <v>0</v>
      </c>
      <c r="HJ108" s="1033">
        <f t="shared" si="1003"/>
        <v>0</v>
      </c>
      <c r="HK108" s="1033">
        <f t="shared" si="1003"/>
        <v>0</v>
      </c>
      <c r="HL108" s="1033">
        <f t="shared" si="1003"/>
        <v>0</v>
      </c>
      <c r="HM108" s="627">
        <f t="shared" si="1003"/>
        <v>0</v>
      </c>
      <c r="HN108" s="627">
        <f t="shared" si="658"/>
        <v>0</v>
      </c>
      <c r="HO108" s="1033">
        <f t="shared" ref="HO108:HZ108" si="1004">+HO89/HO37</f>
        <v>0</v>
      </c>
      <c r="HP108" s="1033">
        <f t="shared" si="1004"/>
        <v>0</v>
      </c>
      <c r="HQ108" s="1033">
        <f t="shared" si="1004"/>
        <v>0</v>
      </c>
      <c r="HR108" s="1033">
        <f t="shared" si="1004"/>
        <v>0</v>
      </c>
      <c r="HS108" s="1033">
        <f t="shared" si="1004"/>
        <v>0</v>
      </c>
      <c r="HT108" s="1033">
        <f t="shared" si="1004"/>
        <v>0</v>
      </c>
      <c r="HU108" s="1033">
        <f t="shared" si="1004"/>
        <v>0</v>
      </c>
      <c r="HV108" s="1033">
        <f t="shared" si="1004"/>
        <v>0</v>
      </c>
      <c r="HW108" s="1033">
        <f t="shared" si="1004"/>
        <v>0</v>
      </c>
      <c r="HX108" s="1033">
        <f t="shared" si="1004"/>
        <v>0</v>
      </c>
      <c r="HY108" s="1033">
        <f t="shared" si="1004"/>
        <v>0</v>
      </c>
      <c r="HZ108" s="1033">
        <f t="shared" si="1004"/>
        <v>0</v>
      </c>
      <c r="IA108" s="626">
        <f t="shared" si="660"/>
        <v>0</v>
      </c>
      <c r="IB108" s="1324">
        <f>+IB89/IB37</f>
        <v>0</v>
      </c>
      <c r="IC108">
        <f>+IC89/IC37</f>
        <v>0</v>
      </c>
      <c r="ID108">
        <f>+ID89/ID37</f>
        <v>0</v>
      </c>
      <c r="IE108">
        <f>+IE89/IE37</f>
        <v>0</v>
      </c>
      <c r="IF108">
        <f>+IF89/IF37</f>
        <v>0</v>
      </c>
      <c r="IG108">
        <f t="shared" ref="IG108" si="1005">+IG89/IG37</f>
        <v>0</v>
      </c>
      <c r="IH108">
        <f t="shared" ref="IH108" si="1006">+IH89/IH37</f>
        <v>0</v>
      </c>
      <c r="II108">
        <f t="shared" ref="II108" si="1007">+II89/II37</f>
        <v>0</v>
      </c>
      <c r="IM108" s="1266"/>
      <c r="IN108" s="1059">
        <f t="shared" si="680"/>
        <v>0</v>
      </c>
      <c r="IO108" s="1266"/>
      <c r="IP108" s="1060" t="str">
        <f t="shared" si="662"/>
        <v/>
      </c>
      <c r="IQ108" s="640" t="str">
        <f t="shared" si="663"/>
        <v>-</v>
      </c>
      <c r="IR108" s="344">
        <f t="shared" si="664"/>
        <v>0</v>
      </c>
      <c r="IS108" s="344">
        <f t="shared" si="665"/>
        <v>0</v>
      </c>
    </row>
    <row r="109" spans="1:253" ht="15" customHeight="1" x14ac:dyDescent="0.2">
      <c r="A109" s="342" t="s">
        <v>324</v>
      </c>
      <c r="BA109" s="644"/>
      <c r="BB109" s="1033"/>
      <c r="BC109" s="1033"/>
      <c r="BD109" s="1033"/>
      <c r="BE109" s="1033"/>
      <c r="BF109" s="1033"/>
      <c r="BG109" s="1033"/>
      <c r="BH109" s="1033"/>
      <c r="BI109" s="1033"/>
      <c r="BJ109" s="1033"/>
      <c r="BK109" s="1033"/>
      <c r="BL109" s="1033"/>
      <c r="BM109" s="1033"/>
      <c r="BN109" s="649"/>
      <c r="BO109" s="1033">
        <f t="shared" ref="BO109:BZ109" si="1008">+BO90/BO37</f>
        <v>24.210819682740084</v>
      </c>
      <c r="BP109" s="1033">
        <f t="shared" si="1008"/>
        <v>58.492552876616756</v>
      </c>
      <c r="BQ109" s="1033">
        <f t="shared" si="1008"/>
        <v>2336.8204229768035</v>
      </c>
      <c r="BR109" s="1033">
        <f t="shared" si="1008"/>
        <v>646.76381024435273</v>
      </c>
      <c r="BS109" s="1033">
        <f t="shared" si="1008"/>
        <v>460.86250928675253</v>
      </c>
      <c r="BT109" s="1033">
        <f t="shared" si="1008"/>
        <v>469.53501005210364</v>
      </c>
      <c r="BU109" s="1033">
        <f t="shared" si="1008"/>
        <v>514.3993871234884</v>
      </c>
      <c r="BV109" s="1033">
        <f t="shared" si="1008"/>
        <v>486.42075795449574</v>
      </c>
      <c r="BW109" s="1033">
        <f t="shared" si="1008"/>
        <v>396.50920756698378</v>
      </c>
      <c r="BX109" s="1033">
        <f t="shared" si="1008"/>
        <v>843.86955599337341</v>
      </c>
      <c r="BY109" s="1033">
        <f t="shared" si="1008"/>
        <v>465.59928090905828</v>
      </c>
      <c r="BZ109" s="1033">
        <f t="shared" si="1008"/>
        <v>1640.6461256343039</v>
      </c>
      <c r="CA109" s="344">
        <f t="shared" si="749"/>
        <v>8344.1294403010725</v>
      </c>
      <c r="CB109" s="1033">
        <f t="shared" ref="CB109:CM109" si="1009">+CB90/CB37</f>
        <v>0</v>
      </c>
      <c r="CC109" s="1033">
        <f t="shared" si="1009"/>
        <v>0</v>
      </c>
      <c r="CD109" s="1033">
        <f t="shared" si="1009"/>
        <v>0</v>
      </c>
      <c r="CE109" s="1033">
        <f t="shared" si="1009"/>
        <v>0</v>
      </c>
      <c r="CF109" s="1033">
        <f t="shared" si="1009"/>
        <v>0</v>
      </c>
      <c r="CG109" s="1033">
        <f t="shared" si="1009"/>
        <v>0</v>
      </c>
      <c r="CH109" s="1033">
        <f t="shared" si="1009"/>
        <v>0</v>
      </c>
      <c r="CI109" s="1033">
        <f t="shared" si="1009"/>
        <v>0</v>
      </c>
      <c r="CJ109" s="1033">
        <f t="shared" si="1009"/>
        <v>0</v>
      </c>
      <c r="CK109" s="1033">
        <f t="shared" si="1009"/>
        <v>0</v>
      </c>
      <c r="CL109" s="1033">
        <f t="shared" si="1009"/>
        <v>0</v>
      </c>
      <c r="CM109" s="1033">
        <f t="shared" si="1009"/>
        <v>0</v>
      </c>
      <c r="CN109" s="625">
        <f t="shared" si="750"/>
        <v>0</v>
      </c>
      <c r="CO109" s="626">
        <f t="shared" ref="CO109:CZ109" si="1010">+CO90/CO37</f>
        <v>0</v>
      </c>
      <c r="CP109" s="1033">
        <f t="shared" si="1010"/>
        <v>0</v>
      </c>
      <c r="CQ109" s="1033">
        <f t="shared" si="1010"/>
        <v>0</v>
      </c>
      <c r="CR109" s="1033">
        <f t="shared" si="1010"/>
        <v>0</v>
      </c>
      <c r="CS109" s="1033">
        <f t="shared" si="1010"/>
        <v>0</v>
      </c>
      <c r="CT109" s="1033">
        <f t="shared" si="1010"/>
        <v>0</v>
      </c>
      <c r="CU109" s="1033">
        <f t="shared" si="1010"/>
        <v>0</v>
      </c>
      <c r="CV109" s="1033">
        <f t="shared" si="1010"/>
        <v>0</v>
      </c>
      <c r="CW109" s="1033">
        <f t="shared" si="1010"/>
        <v>0</v>
      </c>
      <c r="CX109" s="1033">
        <f t="shared" si="1010"/>
        <v>0</v>
      </c>
      <c r="CY109" s="1033">
        <f t="shared" si="1010"/>
        <v>0</v>
      </c>
      <c r="CZ109" s="1033">
        <f t="shared" si="1010"/>
        <v>0</v>
      </c>
      <c r="DA109" s="625">
        <f t="shared" si="730"/>
        <v>0</v>
      </c>
      <c r="DB109" s="1033">
        <f t="shared" ref="DB109:DM109" si="1011">+DB90/DB37</f>
        <v>0</v>
      </c>
      <c r="DC109" s="1033">
        <f t="shared" si="1011"/>
        <v>0</v>
      </c>
      <c r="DD109" s="1033">
        <f t="shared" si="1011"/>
        <v>0</v>
      </c>
      <c r="DE109" s="1033">
        <f t="shared" si="1011"/>
        <v>0</v>
      </c>
      <c r="DF109" s="1033">
        <f t="shared" si="1011"/>
        <v>0</v>
      </c>
      <c r="DG109" s="1033">
        <f t="shared" si="1011"/>
        <v>0</v>
      </c>
      <c r="DH109" s="1033">
        <f t="shared" si="1011"/>
        <v>0</v>
      </c>
      <c r="DI109" s="1033">
        <f t="shared" si="1011"/>
        <v>0</v>
      </c>
      <c r="DJ109" s="1033">
        <f t="shared" si="1011"/>
        <v>0</v>
      </c>
      <c r="DK109" s="1033">
        <f t="shared" si="1011"/>
        <v>0</v>
      </c>
      <c r="DL109" s="1033">
        <f t="shared" si="1011"/>
        <v>0</v>
      </c>
      <c r="DM109" s="1033">
        <f t="shared" si="1011"/>
        <v>0</v>
      </c>
      <c r="DN109" s="626">
        <f t="shared" si="731"/>
        <v>0</v>
      </c>
      <c r="DO109" s="626">
        <f t="shared" ref="DO109:DZ109" si="1012">+DO90/DO37</f>
        <v>58.308103264484956</v>
      </c>
      <c r="DP109" s="1033">
        <f t="shared" si="1012"/>
        <v>490.40532425647109</v>
      </c>
      <c r="DQ109" s="1033">
        <f t="shared" si="1012"/>
        <v>530.73005001614365</v>
      </c>
      <c r="DR109" s="1033">
        <f t="shared" si="1012"/>
        <v>240.17016771361213</v>
      </c>
      <c r="DS109" s="1033">
        <f t="shared" si="1012"/>
        <v>653.50520623991713</v>
      </c>
      <c r="DT109" s="1033">
        <f t="shared" si="1012"/>
        <v>705.90412205402572</v>
      </c>
      <c r="DU109" s="1033">
        <f t="shared" si="1012"/>
        <v>486.5058594536473</v>
      </c>
      <c r="DV109" s="1033">
        <f t="shared" si="1012"/>
        <v>612.33062512827962</v>
      </c>
      <c r="DW109" s="1033">
        <f t="shared" si="1012"/>
        <v>714.28958230494652</v>
      </c>
      <c r="DX109" s="1033">
        <f t="shared" si="1012"/>
        <v>946.07529037721736</v>
      </c>
      <c r="DY109" s="1033">
        <f t="shared" si="1012"/>
        <v>937.14140154614506</v>
      </c>
      <c r="DZ109" s="1033">
        <f t="shared" si="1012"/>
        <v>3386.4847864862977</v>
      </c>
      <c r="EA109" s="626">
        <f t="shared" si="732"/>
        <v>9761.8505188411873</v>
      </c>
      <c r="EB109" s="626">
        <f t="shared" ref="EB109:EM109" si="1013">+EB90/EB37</f>
        <v>71.270055156934461</v>
      </c>
      <c r="EC109" s="1033">
        <f t="shared" si="1013"/>
        <v>76.837158636660732</v>
      </c>
      <c r="ED109" s="1033">
        <f t="shared" si="1013"/>
        <v>219.38303901029673</v>
      </c>
      <c r="EE109" s="1033">
        <f t="shared" si="1013"/>
        <v>640.46609851256096</v>
      </c>
      <c r="EF109" s="1033">
        <f t="shared" si="1013"/>
        <v>338.41328337286882</v>
      </c>
      <c r="EG109" s="1033">
        <f t="shared" si="1013"/>
        <v>1168.0712805558976</v>
      </c>
      <c r="EH109" s="1033">
        <f t="shared" si="1013"/>
        <v>384.33109421119201</v>
      </c>
      <c r="EI109" s="1033">
        <f t="shared" si="1013"/>
        <v>681.10689088056927</v>
      </c>
      <c r="EJ109" s="1033">
        <f t="shared" si="1013"/>
        <v>446.12875251060348</v>
      </c>
      <c r="EK109" s="1033">
        <f t="shared" si="1013"/>
        <v>536.34171139760804</v>
      </c>
      <c r="EL109" s="1033">
        <f t="shared" si="1013"/>
        <v>547.71322741621168</v>
      </c>
      <c r="EM109" s="1033">
        <f t="shared" si="1013"/>
        <v>330.85929669588711</v>
      </c>
      <c r="EN109" s="625">
        <f t="shared" si="733"/>
        <v>5440.9218883572903</v>
      </c>
      <c r="EO109" s="1033">
        <f t="shared" ref="EO109:EZ109" si="1014">+EO90/EO37</f>
        <v>22.558830341721112</v>
      </c>
      <c r="EP109" s="1033">
        <f t="shared" si="1014"/>
        <v>161.22703448810717</v>
      </c>
      <c r="EQ109" s="1033">
        <f t="shared" si="1014"/>
        <v>278.18046048243741</v>
      </c>
      <c r="ER109" s="1033">
        <f t="shared" si="1014"/>
        <v>321.57090914252808</v>
      </c>
      <c r="ES109" s="1033">
        <f t="shared" si="1014"/>
        <v>348.25301001050281</v>
      </c>
      <c r="ET109" s="1033">
        <f t="shared" si="1014"/>
        <v>623.93442890481435</v>
      </c>
      <c r="EU109" s="1033">
        <f t="shared" si="1014"/>
        <v>611.55717950393273</v>
      </c>
      <c r="EV109" s="1033">
        <f t="shared" si="1014"/>
        <v>908.78946308169589</v>
      </c>
      <c r="EW109" s="1033">
        <f t="shared" si="1014"/>
        <v>971.9668196823859</v>
      </c>
      <c r="EX109" s="1033">
        <f t="shared" si="1014"/>
        <v>847.27938038723266</v>
      </c>
      <c r="EY109" s="1033">
        <f t="shared" si="1014"/>
        <v>490.46583343058177</v>
      </c>
      <c r="EZ109" s="1033">
        <f t="shared" si="1014"/>
        <v>3910.6581878893871</v>
      </c>
      <c r="FA109" s="625">
        <f t="shared" si="734"/>
        <v>9496.4415373453267</v>
      </c>
      <c r="FB109" s="1033">
        <f t="shared" ref="FB109:FM109" si="1015">+FB90/FB37</f>
        <v>145.30497531492199</v>
      </c>
      <c r="FC109" s="1033">
        <f t="shared" si="1015"/>
        <v>171.35835486557227</v>
      </c>
      <c r="FD109" s="1033">
        <f t="shared" si="1015"/>
        <v>267.04805875802288</v>
      </c>
      <c r="FE109" s="1033">
        <f t="shared" si="1015"/>
        <v>247.57851200636452</v>
      </c>
      <c r="FF109" s="1033">
        <f t="shared" si="1015"/>
        <v>213.54657926801724</v>
      </c>
      <c r="FG109" s="1033">
        <f t="shared" si="1015"/>
        <v>288.24481000164303</v>
      </c>
      <c r="FH109" s="1033">
        <f t="shared" si="1015"/>
        <v>200.84746864538181</v>
      </c>
      <c r="FI109" s="1033">
        <f t="shared" si="1015"/>
        <v>510.87849381973047</v>
      </c>
      <c r="FJ109" s="1033">
        <f t="shared" si="1015"/>
        <v>778.56393679971859</v>
      </c>
      <c r="FK109" s="1033">
        <f t="shared" si="1015"/>
        <v>796.84424013905152</v>
      </c>
      <c r="FL109" s="1033">
        <f t="shared" si="1015"/>
        <v>645.99717490662772</v>
      </c>
      <c r="FM109" s="1033">
        <f t="shared" si="1015"/>
        <v>1725.1929465737596</v>
      </c>
      <c r="FN109" s="625">
        <f t="shared" si="735"/>
        <v>5991.4055510988119</v>
      </c>
      <c r="FO109" s="1033">
        <f t="shared" ref="FO109:FZ109" si="1016">+FO90/FO37</f>
        <v>74.135077765391486</v>
      </c>
      <c r="FP109" s="1033">
        <f t="shared" si="1016"/>
        <v>265.88401867486135</v>
      </c>
      <c r="FQ109" s="1033">
        <f t="shared" si="1016"/>
        <v>432.31040997740917</v>
      </c>
      <c r="FR109" s="1033">
        <f t="shared" si="1016"/>
        <v>177.51847612940094</v>
      </c>
      <c r="FS109" s="1033">
        <f t="shared" si="1016"/>
        <v>260.55012105227723</v>
      </c>
      <c r="FT109" s="1033">
        <f t="shared" si="1016"/>
        <v>248.56833000079484</v>
      </c>
      <c r="FU109" s="1033">
        <f t="shared" si="1016"/>
        <v>239.50313629213767</v>
      </c>
      <c r="FV109" s="1033">
        <f t="shared" si="1016"/>
        <v>269.10669746553242</v>
      </c>
      <c r="FW109" s="1033">
        <f t="shared" si="1016"/>
        <v>264.1405946877664</v>
      </c>
      <c r="FX109" s="1033">
        <f t="shared" si="1016"/>
        <v>247.13137455195863</v>
      </c>
      <c r="FY109" s="1033">
        <f t="shared" si="1016"/>
        <v>307.96685043604947</v>
      </c>
      <c r="FZ109" s="627">
        <f t="shared" si="1016"/>
        <v>503.98915980297124</v>
      </c>
      <c r="GA109" s="627">
        <f t="shared" si="653"/>
        <v>3290.8042468365506</v>
      </c>
      <c r="GB109" s="626">
        <f t="shared" ref="GB109:GM109" si="1017">+GB90/GB37</f>
        <v>205.34129317457413</v>
      </c>
      <c r="GC109" s="1033">
        <f t="shared" si="1017"/>
        <v>255.561800176498</v>
      </c>
      <c r="GD109" s="1033">
        <f t="shared" si="1017"/>
        <v>436.63867968743961</v>
      </c>
      <c r="GE109" s="1033">
        <f t="shared" si="1017"/>
        <v>465.9936751308914</v>
      </c>
      <c r="GF109" s="1033">
        <f t="shared" si="1017"/>
        <v>424.66809189649553</v>
      </c>
      <c r="GG109" s="1033">
        <f t="shared" si="1017"/>
        <v>720.83738941510831</v>
      </c>
      <c r="GH109" s="1033">
        <f t="shared" si="1017"/>
        <v>1267.2686017832684</v>
      </c>
      <c r="GI109" s="1033">
        <f t="shared" si="1017"/>
        <v>712.97880215685586</v>
      </c>
      <c r="GJ109" s="1033">
        <f t="shared" si="1017"/>
        <v>568.15005650970181</v>
      </c>
      <c r="GK109" s="1033">
        <f t="shared" si="1017"/>
        <v>1075.1241202564727</v>
      </c>
      <c r="GL109" s="1034">
        <f t="shared" si="1017"/>
        <v>942.09237634342162</v>
      </c>
      <c r="GM109" s="628">
        <f t="shared" si="1017"/>
        <v>1744.7101742893124</v>
      </c>
      <c r="GN109" s="625">
        <f t="shared" si="654"/>
        <v>8819.3650608200387</v>
      </c>
      <c r="GO109" s="626">
        <f t="shared" ref="GO109:GZ109" si="1018">+GO90/GO37</f>
        <v>11.447089274684645</v>
      </c>
      <c r="GP109" s="1033">
        <f t="shared" si="1018"/>
        <v>6144.4934325903205</v>
      </c>
      <c r="GQ109" s="1033">
        <f t="shared" si="1018"/>
        <v>7252.3083919711553</v>
      </c>
      <c r="GR109" s="1033">
        <f t="shared" si="1018"/>
        <v>0</v>
      </c>
      <c r="GS109" s="1033">
        <f t="shared" si="1018"/>
        <v>0</v>
      </c>
      <c r="GT109" s="1033">
        <f t="shared" si="1018"/>
        <v>0</v>
      </c>
      <c r="GU109" s="1033">
        <f t="shared" si="1018"/>
        <v>0</v>
      </c>
      <c r="GV109" s="1033">
        <f t="shared" si="1018"/>
        <v>0</v>
      </c>
      <c r="GW109" s="1033">
        <f t="shared" si="1018"/>
        <v>0</v>
      </c>
      <c r="GX109" s="1033">
        <f t="shared" si="1018"/>
        <v>0</v>
      </c>
      <c r="GY109" s="1033">
        <f t="shared" si="1018"/>
        <v>0</v>
      </c>
      <c r="GZ109" s="627">
        <f t="shared" si="1018"/>
        <v>0</v>
      </c>
      <c r="HA109" s="627">
        <f t="shared" si="656"/>
        <v>13408.24891383616</v>
      </c>
      <c r="HB109" s="626">
        <f t="shared" ref="HB109:HM109" si="1019">+HB90/HB37</f>
        <v>0</v>
      </c>
      <c r="HC109" s="1033">
        <f t="shared" si="1019"/>
        <v>0</v>
      </c>
      <c r="HD109" s="1033">
        <f t="shared" si="1019"/>
        <v>0</v>
      </c>
      <c r="HE109" s="1033">
        <f t="shared" si="1019"/>
        <v>0</v>
      </c>
      <c r="HF109" s="1033">
        <f t="shared" si="1019"/>
        <v>0</v>
      </c>
      <c r="HG109" s="1033">
        <f t="shared" si="1019"/>
        <v>0</v>
      </c>
      <c r="HH109" s="1033">
        <f t="shared" si="1019"/>
        <v>0</v>
      </c>
      <c r="HI109" s="1033">
        <f t="shared" si="1019"/>
        <v>0</v>
      </c>
      <c r="HJ109" s="1033">
        <f t="shared" si="1019"/>
        <v>0</v>
      </c>
      <c r="HK109" s="1033">
        <f t="shared" si="1019"/>
        <v>0</v>
      </c>
      <c r="HL109" s="1033">
        <f t="shared" si="1019"/>
        <v>0</v>
      </c>
      <c r="HM109" s="627">
        <f t="shared" si="1019"/>
        <v>0</v>
      </c>
      <c r="HN109" s="627">
        <f t="shared" si="658"/>
        <v>0</v>
      </c>
      <c r="HO109" s="1033">
        <f t="shared" ref="HO109:HZ109" si="1020">+HO90/HO37</f>
        <v>0</v>
      </c>
      <c r="HP109" s="1033">
        <f t="shared" si="1020"/>
        <v>0</v>
      </c>
      <c r="HQ109" s="1033">
        <f t="shared" si="1020"/>
        <v>0</v>
      </c>
      <c r="HR109" s="1033">
        <f t="shared" si="1020"/>
        <v>0</v>
      </c>
      <c r="HS109" s="1033">
        <f t="shared" si="1020"/>
        <v>0</v>
      </c>
      <c r="HT109" s="1033">
        <f t="shared" si="1020"/>
        <v>0</v>
      </c>
      <c r="HU109" s="1033">
        <f t="shared" si="1020"/>
        <v>0</v>
      </c>
      <c r="HV109" s="1033">
        <f t="shared" si="1020"/>
        <v>0</v>
      </c>
      <c r="HW109" s="1033">
        <f t="shared" si="1020"/>
        <v>0</v>
      </c>
      <c r="HX109" s="1033">
        <f t="shared" si="1020"/>
        <v>0</v>
      </c>
      <c r="HY109" s="1033">
        <f t="shared" si="1020"/>
        <v>0</v>
      </c>
      <c r="HZ109" s="1033">
        <f t="shared" si="1020"/>
        <v>0</v>
      </c>
      <c r="IA109" s="626">
        <f t="shared" si="660"/>
        <v>0</v>
      </c>
      <c r="IB109" s="1324">
        <f>+IB90/IB37</f>
        <v>0</v>
      </c>
      <c r="IC109">
        <f>+IC90/IC37</f>
        <v>0</v>
      </c>
      <c r="ID109">
        <f>+ID90/ID37</f>
        <v>0</v>
      </c>
      <c r="IE109">
        <f>+IE90/IE37</f>
        <v>0</v>
      </c>
      <c r="IF109">
        <f>+IF90/IF37</f>
        <v>0</v>
      </c>
      <c r="IG109">
        <f t="shared" ref="IG109" si="1021">+IG90/IG37</f>
        <v>0</v>
      </c>
      <c r="IH109">
        <f t="shared" ref="IH109" si="1022">+IH90/IH37</f>
        <v>0</v>
      </c>
      <c r="II109">
        <f t="shared" ref="II109" si="1023">+II90/II37</f>
        <v>0</v>
      </c>
      <c r="IM109" s="1266"/>
      <c r="IN109" s="1059">
        <f t="shared" si="680"/>
        <v>0</v>
      </c>
      <c r="IO109" s="1266"/>
      <c r="IP109" s="1060" t="str">
        <f t="shared" si="662"/>
        <v/>
      </c>
      <c r="IQ109" s="640" t="str">
        <f t="shared" si="663"/>
        <v>-</v>
      </c>
      <c r="IR109" s="344">
        <f t="shared" si="664"/>
        <v>0</v>
      </c>
      <c r="IS109" s="344">
        <f t="shared" si="665"/>
        <v>0</v>
      </c>
    </row>
    <row r="110" spans="1:253" ht="15" customHeight="1" x14ac:dyDescent="0.2">
      <c r="A110" s="342" t="s">
        <v>319</v>
      </c>
      <c r="BA110" s="644"/>
      <c r="BB110" s="1033"/>
      <c r="BC110" s="1033"/>
      <c r="BD110" s="1033"/>
      <c r="BE110" s="1033"/>
      <c r="BF110" s="1033"/>
      <c r="BG110" s="1033"/>
      <c r="BH110" s="1033"/>
      <c r="BI110" s="1033"/>
      <c r="BJ110" s="1033"/>
      <c r="BK110" s="1033"/>
      <c r="BL110" s="1033"/>
      <c r="BM110" s="1033"/>
      <c r="BN110" s="649"/>
      <c r="BO110" s="1033">
        <f t="shared" ref="BO110:BZ110" si="1024">+BO91/BO37</f>
        <v>111.87068405128177</v>
      </c>
      <c r="BP110" s="1033">
        <f t="shared" si="1024"/>
        <v>79.382750332551311</v>
      </c>
      <c r="BQ110" s="1033">
        <f t="shared" si="1024"/>
        <v>96.884475367925589</v>
      </c>
      <c r="BR110" s="1033">
        <f t="shared" si="1024"/>
        <v>233.76009999891676</v>
      </c>
      <c r="BS110" s="1033">
        <f t="shared" si="1024"/>
        <v>197.04139484710885</v>
      </c>
      <c r="BT110" s="1033">
        <f t="shared" si="1024"/>
        <v>148.01453907071567</v>
      </c>
      <c r="BU110" s="1033">
        <f t="shared" si="1024"/>
        <v>124.30637017928495</v>
      </c>
      <c r="BV110" s="1033">
        <f t="shared" si="1024"/>
        <v>94.355866091507536</v>
      </c>
      <c r="BW110" s="1033">
        <f t="shared" si="1024"/>
        <v>112.94012264715317</v>
      </c>
      <c r="BX110" s="1033">
        <f t="shared" si="1024"/>
        <v>108.02180071907475</v>
      </c>
      <c r="BY110" s="1033">
        <f t="shared" si="1024"/>
        <v>129.42357633660885</v>
      </c>
      <c r="BZ110" s="1033">
        <f t="shared" si="1024"/>
        <v>24.378099935130816</v>
      </c>
      <c r="CA110" s="344">
        <f t="shared" si="749"/>
        <v>1460.37977957726</v>
      </c>
      <c r="CB110" s="1033">
        <f t="shared" ref="CB110:CM110" si="1025">+CB91/CB37</f>
        <v>0</v>
      </c>
      <c r="CC110" s="1033">
        <f t="shared" si="1025"/>
        <v>0</v>
      </c>
      <c r="CD110" s="1033">
        <f t="shared" si="1025"/>
        <v>0</v>
      </c>
      <c r="CE110" s="1033">
        <f t="shared" si="1025"/>
        <v>0</v>
      </c>
      <c r="CF110" s="1033">
        <f t="shared" si="1025"/>
        <v>0</v>
      </c>
      <c r="CG110" s="1033">
        <f t="shared" si="1025"/>
        <v>0</v>
      </c>
      <c r="CH110" s="1033">
        <f t="shared" si="1025"/>
        <v>0</v>
      </c>
      <c r="CI110" s="1033">
        <f t="shared" si="1025"/>
        <v>0</v>
      </c>
      <c r="CJ110" s="1033">
        <f t="shared" si="1025"/>
        <v>0</v>
      </c>
      <c r="CK110" s="1033">
        <f t="shared" si="1025"/>
        <v>0</v>
      </c>
      <c r="CL110" s="1033">
        <f t="shared" si="1025"/>
        <v>0</v>
      </c>
      <c r="CM110" s="1033">
        <f t="shared" si="1025"/>
        <v>0</v>
      </c>
      <c r="CN110" s="625">
        <f t="shared" si="750"/>
        <v>0</v>
      </c>
      <c r="CO110" s="626">
        <f t="shared" ref="CO110:CZ110" si="1026">+CO91/CO37</f>
        <v>0</v>
      </c>
      <c r="CP110" s="1033">
        <f t="shared" si="1026"/>
        <v>0</v>
      </c>
      <c r="CQ110" s="1033">
        <f t="shared" si="1026"/>
        <v>0</v>
      </c>
      <c r="CR110" s="1033">
        <f t="shared" si="1026"/>
        <v>0</v>
      </c>
      <c r="CS110" s="1033">
        <f t="shared" si="1026"/>
        <v>0</v>
      </c>
      <c r="CT110" s="1033">
        <f t="shared" si="1026"/>
        <v>0</v>
      </c>
      <c r="CU110" s="1033">
        <f t="shared" si="1026"/>
        <v>0</v>
      </c>
      <c r="CV110" s="1033">
        <f t="shared" si="1026"/>
        <v>0</v>
      </c>
      <c r="CW110" s="1033">
        <f t="shared" si="1026"/>
        <v>0</v>
      </c>
      <c r="CX110" s="1033">
        <f t="shared" si="1026"/>
        <v>0</v>
      </c>
      <c r="CY110" s="1033">
        <f t="shared" si="1026"/>
        <v>0</v>
      </c>
      <c r="CZ110" s="1033">
        <f t="shared" si="1026"/>
        <v>0</v>
      </c>
      <c r="DA110" s="625">
        <f t="shared" si="730"/>
        <v>0</v>
      </c>
      <c r="DB110" s="1033">
        <f t="shared" ref="DB110:DM110" si="1027">+DB91/DB37</f>
        <v>0</v>
      </c>
      <c r="DC110" s="1033">
        <f t="shared" si="1027"/>
        <v>0</v>
      </c>
      <c r="DD110" s="1033">
        <f t="shared" si="1027"/>
        <v>0</v>
      </c>
      <c r="DE110" s="1033">
        <f t="shared" si="1027"/>
        <v>0</v>
      </c>
      <c r="DF110" s="1033">
        <f t="shared" si="1027"/>
        <v>0</v>
      </c>
      <c r="DG110" s="1033">
        <f t="shared" si="1027"/>
        <v>0</v>
      </c>
      <c r="DH110" s="1033">
        <f t="shared" si="1027"/>
        <v>0</v>
      </c>
      <c r="DI110" s="1033">
        <f t="shared" si="1027"/>
        <v>0</v>
      </c>
      <c r="DJ110" s="1033">
        <f t="shared" si="1027"/>
        <v>0</v>
      </c>
      <c r="DK110" s="1033">
        <f t="shared" si="1027"/>
        <v>0</v>
      </c>
      <c r="DL110" s="1033">
        <f t="shared" si="1027"/>
        <v>0</v>
      </c>
      <c r="DM110" s="1033">
        <f t="shared" si="1027"/>
        <v>0</v>
      </c>
      <c r="DN110" s="626">
        <f t="shared" si="731"/>
        <v>0</v>
      </c>
      <c r="DO110" s="626">
        <f t="shared" ref="DO110:DZ110" si="1028">+DO91/DO37</f>
        <v>241.97862854761257</v>
      </c>
      <c r="DP110" s="1033">
        <f t="shared" si="1028"/>
        <v>290.61056252235323</v>
      </c>
      <c r="DQ110" s="1033">
        <f t="shared" si="1028"/>
        <v>346.40893805107754</v>
      </c>
      <c r="DR110" s="1033">
        <f t="shared" si="1028"/>
        <v>362.41246864569018</v>
      </c>
      <c r="DS110" s="1033">
        <f t="shared" si="1028"/>
        <v>361.05260013255088</v>
      </c>
      <c r="DT110" s="1033">
        <f t="shared" si="1028"/>
        <v>330.5309260027559</v>
      </c>
      <c r="DU110" s="1033">
        <f t="shared" si="1028"/>
        <v>220.154728684514</v>
      </c>
      <c r="DV110" s="1033">
        <f t="shared" si="1028"/>
        <v>248.80412988233377</v>
      </c>
      <c r="DW110" s="1033">
        <f t="shared" si="1028"/>
        <v>239.53084386531339</v>
      </c>
      <c r="DX110" s="1033">
        <f t="shared" si="1028"/>
        <v>209.67852970279532</v>
      </c>
      <c r="DY110" s="1033">
        <f t="shared" si="1028"/>
        <v>230.31441224439158</v>
      </c>
      <c r="DZ110" s="1033">
        <f t="shared" si="1028"/>
        <v>154.97961453694211</v>
      </c>
      <c r="EA110" s="626">
        <f t="shared" si="732"/>
        <v>3236.45638281833</v>
      </c>
      <c r="EB110" s="626">
        <f t="shared" ref="EB110:EM110" si="1029">+EB91/EB37</f>
        <v>166.29679536618039</v>
      </c>
      <c r="EC110" s="1033">
        <f t="shared" si="1029"/>
        <v>170.90882014509583</v>
      </c>
      <c r="ED110" s="1033">
        <f t="shared" si="1029"/>
        <v>277.98046311076683</v>
      </c>
      <c r="EE110" s="1033">
        <f t="shared" si="1029"/>
        <v>362.81152172722727</v>
      </c>
      <c r="EF110" s="1033">
        <f t="shared" si="1029"/>
        <v>113.04291495330503</v>
      </c>
      <c r="EG110" s="1033">
        <f t="shared" si="1029"/>
        <v>164.72800110403682</v>
      </c>
      <c r="EH110" s="1033">
        <f t="shared" si="1029"/>
        <v>439.7429710105875</v>
      </c>
      <c r="EI110" s="1033">
        <f t="shared" si="1029"/>
        <v>137.64035086544837</v>
      </c>
      <c r="EJ110" s="1033">
        <f t="shared" si="1029"/>
        <v>178.45150100424138</v>
      </c>
      <c r="EK110" s="1033">
        <f t="shared" si="1029"/>
        <v>239.16028819576718</v>
      </c>
      <c r="EL110" s="1033">
        <f t="shared" si="1029"/>
        <v>148.41261646116703</v>
      </c>
      <c r="EM110" s="1033">
        <f t="shared" si="1029"/>
        <v>210.22616293256792</v>
      </c>
      <c r="EN110" s="625">
        <f t="shared" si="733"/>
        <v>2609.402406876392</v>
      </c>
      <c r="EO110" s="1033">
        <f t="shared" ref="EO110:EZ110" si="1030">+EO91/EO37</f>
        <v>86.710504125990525</v>
      </c>
      <c r="EP110" s="1033">
        <f t="shared" si="1030"/>
        <v>113.35175787155133</v>
      </c>
      <c r="EQ110" s="1033">
        <f t="shared" si="1030"/>
        <v>171.24174074923911</v>
      </c>
      <c r="ER110" s="1033">
        <f t="shared" si="1030"/>
        <v>290.87867486428246</v>
      </c>
      <c r="ES110" s="1033">
        <f t="shared" si="1030"/>
        <v>255.61770934770905</v>
      </c>
      <c r="ET110" s="1033">
        <f t="shared" si="1030"/>
        <v>121.99835202049444</v>
      </c>
      <c r="EU110" s="1033">
        <f t="shared" si="1030"/>
        <v>202.46090925556817</v>
      </c>
      <c r="EV110" s="1033">
        <f t="shared" si="1030"/>
        <v>165.48729320079849</v>
      </c>
      <c r="EW110" s="1033">
        <f t="shared" si="1030"/>
        <v>197.45248697410415</v>
      </c>
      <c r="EX110" s="1033">
        <f t="shared" si="1030"/>
        <v>155.56605016945912</v>
      </c>
      <c r="EY110" s="1033">
        <f t="shared" si="1030"/>
        <v>127.64598776694066</v>
      </c>
      <c r="EZ110" s="1033">
        <f t="shared" si="1030"/>
        <v>358.59814857969599</v>
      </c>
      <c r="FA110" s="625">
        <f t="shared" si="734"/>
        <v>2247.0096149258329</v>
      </c>
      <c r="FB110" s="1033">
        <f t="shared" ref="FB110:FM110" si="1031">+FB91/FB37</f>
        <v>110.70855262089295</v>
      </c>
      <c r="FC110" s="1033">
        <f t="shared" si="1031"/>
        <v>187.25046035713743</v>
      </c>
      <c r="FD110" s="1033">
        <f t="shared" si="1031"/>
        <v>562.24257100982197</v>
      </c>
      <c r="FE110" s="1033">
        <f t="shared" si="1031"/>
        <v>133.04773221394657</v>
      </c>
      <c r="FF110" s="1033">
        <f t="shared" si="1031"/>
        <v>86.239964704391582</v>
      </c>
      <c r="FG110" s="1033">
        <f t="shared" si="1031"/>
        <v>103.63087216725738</v>
      </c>
      <c r="FH110" s="1033">
        <f t="shared" si="1031"/>
        <v>84.028022596537284</v>
      </c>
      <c r="FI110" s="1033">
        <f t="shared" si="1031"/>
        <v>131.9940419105863</v>
      </c>
      <c r="FJ110" s="1033">
        <f t="shared" si="1031"/>
        <v>175.51836119081375</v>
      </c>
      <c r="FK110" s="1033">
        <f t="shared" si="1031"/>
        <v>254.00690431167709</v>
      </c>
      <c r="FL110" s="1033">
        <f t="shared" si="1031"/>
        <v>232.99372344161233</v>
      </c>
      <c r="FM110" s="1033">
        <f t="shared" si="1031"/>
        <v>351.01328350202039</v>
      </c>
      <c r="FN110" s="625">
        <f t="shared" si="735"/>
        <v>2412.6744900266949</v>
      </c>
      <c r="FO110" s="1033">
        <f t="shared" ref="FO110:FZ110" si="1032">+FO91/FO37</f>
        <v>136.13896098735529</v>
      </c>
      <c r="FP110" s="1033">
        <f t="shared" si="1032"/>
        <v>161.95980832986479</v>
      </c>
      <c r="FQ110" s="1033">
        <f t="shared" si="1032"/>
        <v>220.17047195443902</v>
      </c>
      <c r="FR110" s="1033">
        <f t="shared" si="1032"/>
        <v>190.91609696935575</v>
      </c>
      <c r="FS110" s="1033">
        <f t="shared" si="1032"/>
        <v>176.37238963538769</v>
      </c>
      <c r="FT110" s="1033">
        <f t="shared" si="1032"/>
        <v>291.76870820948915</v>
      </c>
      <c r="FU110" s="1033">
        <f t="shared" si="1032"/>
        <v>155.28225320039695</v>
      </c>
      <c r="FV110" s="1033">
        <f t="shared" si="1032"/>
        <v>162.89751662562495</v>
      </c>
      <c r="FW110" s="1033">
        <f t="shared" si="1032"/>
        <v>177.17538660874746</v>
      </c>
      <c r="FX110" s="1033">
        <f t="shared" si="1032"/>
        <v>178.73470169945833</v>
      </c>
      <c r="FY110" s="1033">
        <f t="shared" si="1032"/>
        <v>199.31048775610716</v>
      </c>
      <c r="FZ110" s="627">
        <f t="shared" si="1032"/>
        <v>370.01735783002948</v>
      </c>
      <c r="GA110" s="627">
        <f t="shared" si="653"/>
        <v>2420.744139806256</v>
      </c>
      <c r="GB110" s="626">
        <f t="shared" ref="GB110:GM110" si="1033">+GB91/GB37</f>
        <v>126.26576412598037</v>
      </c>
      <c r="GC110" s="1033">
        <f t="shared" si="1033"/>
        <v>235.21857230175189</v>
      </c>
      <c r="GD110" s="1033">
        <f t="shared" si="1033"/>
        <v>340.16471028734537</v>
      </c>
      <c r="GE110" s="1033">
        <f t="shared" si="1033"/>
        <v>536.10990055005345</v>
      </c>
      <c r="GF110" s="1033">
        <f t="shared" si="1033"/>
        <v>194.71681069489969</v>
      </c>
      <c r="GG110" s="1033">
        <f t="shared" si="1033"/>
        <v>135.61516987301189</v>
      </c>
      <c r="GH110" s="1033">
        <f t="shared" si="1033"/>
        <v>120.43288049420745</v>
      </c>
      <c r="GI110" s="1033">
        <f t="shared" si="1033"/>
        <v>164.71854282544561</v>
      </c>
      <c r="GJ110" s="1033">
        <f t="shared" si="1033"/>
        <v>160.87617389590503</v>
      </c>
      <c r="GK110" s="1033">
        <f t="shared" si="1033"/>
        <v>171.63844048440365</v>
      </c>
      <c r="GL110" s="1034">
        <f t="shared" si="1033"/>
        <v>144.0707661746076</v>
      </c>
      <c r="GM110" s="628">
        <f t="shared" si="1033"/>
        <v>222.94172490075837</v>
      </c>
      <c r="GN110" s="625">
        <f t="shared" si="654"/>
        <v>2552.7694566083705</v>
      </c>
      <c r="GO110" s="626">
        <f t="shared" ref="GO110:GZ110" si="1034">+GO91/GO37</f>
        <v>2.3979283214076896</v>
      </c>
      <c r="GP110" s="1033">
        <f t="shared" si="1034"/>
        <v>1417.9150083015568</v>
      </c>
      <c r="GQ110" s="1033">
        <f t="shared" si="1034"/>
        <v>1457.6284479240717</v>
      </c>
      <c r="GR110" s="1033">
        <f t="shared" si="1034"/>
        <v>0</v>
      </c>
      <c r="GS110" s="1033">
        <f t="shared" si="1034"/>
        <v>0</v>
      </c>
      <c r="GT110" s="1033">
        <f t="shared" si="1034"/>
        <v>0</v>
      </c>
      <c r="GU110" s="1033">
        <f t="shared" si="1034"/>
        <v>0</v>
      </c>
      <c r="GV110" s="1033">
        <f t="shared" si="1034"/>
        <v>0</v>
      </c>
      <c r="GW110" s="1033">
        <f t="shared" si="1034"/>
        <v>0</v>
      </c>
      <c r="GX110" s="1033">
        <f t="shared" si="1034"/>
        <v>0</v>
      </c>
      <c r="GY110" s="1033">
        <f t="shared" si="1034"/>
        <v>0</v>
      </c>
      <c r="GZ110" s="627">
        <f t="shared" si="1034"/>
        <v>0</v>
      </c>
      <c r="HA110" s="627">
        <f t="shared" si="656"/>
        <v>2877.9413845470363</v>
      </c>
      <c r="HB110" s="626">
        <f t="shared" ref="HB110:HM110" si="1035">+HB91/HB37</f>
        <v>0</v>
      </c>
      <c r="HC110" s="1033">
        <f t="shared" si="1035"/>
        <v>0</v>
      </c>
      <c r="HD110" s="1033">
        <f t="shared" si="1035"/>
        <v>0</v>
      </c>
      <c r="HE110" s="1033">
        <f t="shared" si="1035"/>
        <v>0</v>
      </c>
      <c r="HF110" s="1033">
        <f t="shared" si="1035"/>
        <v>0</v>
      </c>
      <c r="HG110" s="1033">
        <f t="shared" si="1035"/>
        <v>0</v>
      </c>
      <c r="HH110" s="1033">
        <f t="shared" si="1035"/>
        <v>0</v>
      </c>
      <c r="HI110" s="1033">
        <f t="shared" si="1035"/>
        <v>0</v>
      </c>
      <c r="HJ110" s="1033">
        <f t="shared" si="1035"/>
        <v>0</v>
      </c>
      <c r="HK110" s="1033">
        <f t="shared" si="1035"/>
        <v>0</v>
      </c>
      <c r="HL110" s="1033">
        <f t="shared" si="1035"/>
        <v>0</v>
      </c>
      <c r="HM110" s="627">
        <f t="shared" si="1035"/>
        <v>0</v>
      </c>
      <c r="HN110" s="627">
        <f t="shared" si="658"/>
        <v>0</v>
      </c>
      <c r="HO110" s="1033">
        <f t="shared" ref="HO110:HZ110" si="1036">+HO91/HO37</f>
        <v>0</v>
      </c>
      <c r="HP110" s="1033">
        <f t="shared" si="1036"/>
        <v>0</v>
      </c>
      <c r="HQ110" s="1033">
        <f t="shared" si="1036"/>
        <v>0</v>
      </c>
      <c r="HR110" s="1033">
        <f t="shared" si="1036"/>
        <v>0</v>
      </c>
      <c r="HS110" s="1033">
        <f t="shared" si="1036"/>
        <v>0</v>
      </c>
      <c r="HT110" s="1033">
        <f t="shared" si="1036"/>
        <v>0</v>
      </c>
      <c r="HU110" s="1033">
        <f t="shared" si="1036"/>
        <v>0</v>
      </c>
      <c r="HV110" s="1033">
        <f t="shared" si="1036"/>
        <v>0</v>
      </c>
      <c r="HW110" s="1033">
        <f t="shared" si="1036"/>
        <v>0</v>
      </c>
      <c r="HX110" s="1033">
        <f t="shared" si="1036"/>
        <v>0</v>
      </c>
      <c r="HY110" s="1033">
        <f t="shared" si="1036"/>
        <v>0</v>
      </c>
      <c r="HZ110" s="1033">
        <f t="shared" si="1036"/>
        <v>0</v>
      </c>
      <c r="IA110" s="626">
        <f t="shared" si="660"/>
        <v>0</v>
      </c>
      <c r="IB110" s="1324">
        <f>+IB91/IB37</f>
        <v>0</v>
      </c>
      <c r="IC110">
        <f>+IC91/IC37</f>
        <v>0</v>
      </c>
      <c r="ID110">
        <f>+ID91/ID37</f>
        <v>0</v>
      </c>
      <c r="IE110">
        <f>+IE91/IE37</f>
        <v>0</v>
      </c>
      <c r="IF110">
        <f>+IF91/IF37</f>
        <v>0</v>
      </c>
      <c r="IG110">
        <f t="shared" ref="IG110" si="1037">+IG91/IG37</f>
        <v>0</v>
      </c>
      <c r="IH110">
        <f t="shared" ref="IH110" si="1038">+IH91/IH37</f>
        <v>0</v>
      </c>
      <c r="II110">
        <f t="shared" ref="II110" si="1039">+II91/II37</f>
        <v>0</v>
      </c>
      <c r="IM110" s="1266"/>
      <c r="IN110" s="1059">
        <f t="shared" si="680"/>
        <v>0</v>
      </c>
      <c r="IO110" s="1266"/>
      <c r="IP110" s="1060" t="str">
        <f t="shared" si="662"/>
        <v/>
      </c>
      <c r="IQ110" s="640" t="str">
        <f t="shared" si="663"/>
        <v>-</v>
      </c>
      <c r="IR110" s="344">
        <f t="shared" si="664"/>
        <v>0</v>
      </c>
      <c r="IS110" s="344">
        <f t="shared" si="665"/>
        <v>0</v>
      </c>
    </row>
    <row r="111" spans="1:253" ht="15" customHeight="1" x14ac:dyDescent="0.2">
      <c r="A111" s="644" t="s">
        <v>321</v>
      </c>
      <c r="BA111" s="644"/>
      <c r="BB111" s="1033">
        <f t="shared" ref="BB111:BM111" si="1040">+BB92/BB69*100</f>
        <v>3451.5912912719832</v>
      </c>
      <c r="BC111" s="1033">
        <f t="shared" si="1040"/>
        <v>6767.8751004160958</v>
      </c>
      <c r="BD111" s="1033">
        <f t="shared" si="1040"/>
        <v>8130.9377352946822</v>
      </c>
      <c r="BE111" s="1033">
        <f t="shared" si="1040"/>
        <v>6179.6813620127132</v>
      </c>
      <c r="BF111" s="1033">
        <f t="shared" si="1040"/>
        <v>7669.2227131511363</v>
      </c>
      <c r="BG111" s="1033">
        <f t="shared" si="1040"/>
        <v>7407.9657947887836</v>
      </c>
      <c r="BH111" s="1033">
        <f t="shared" si="1040"/>
        <v>6922.0444627934994</v>
      </c>
      <c r="BI111" s="1033">
        <f t="shared" si="1040"/>
        <v>8510.130729899196</v>
      </c>
      <c r="BJ111" s="1033">
        <f t="shared" si="1040"/>
        <v>8095.4106141355142</v>
      </c>
      <c r="BK111" s="1033">
        <f t="shared" si="1040"/>
        <v>8196.8540005763061</v>
      </c>
      <c r="BL111" s="1033">
        <f t="shared" si="1040"/>
        <v>9232.3208605199306</v>
      </c>
      <c r="BM111" s="1033">
        <f t="shared" si="1040"/>
        <v>15805.930720977116</v>
      </c>
      <c r="BN111" s="649">
        <f>SUM(BB111:BM111)</f>
        <v>96369.965385836957</v>
      </c>
      <c r="BO111" s="1033">
        <f t="shared" ref="BO111:BZ111" si="1041">+BO92/BO69*100</f>
        <v>5678.1631990447049</v>
      </c>
      <c r="BP111" s="1033">
        <f t="shared" si="1041"/>
        <v>5967.6614629626893</v>
      </c>
      <c r="BQ111" s="1033">
        <f t="shared" si="1041"/>
        <v>8977.1546591361985</v>
      </c>
      <c r="BR111" s="1033">
        <f t="shared" si="1041"/>
        <v>7600.8922983424045</v>
      </c>
      <c r="BS111" s="1033">
        <f t="shared" si="1041"/>
        <v>7655.0877861251092</v>
      </c>
      <c r="BT111" s="1033">
        <f t="shared" si="1041"/>
        <v>7530.179133610126</v>
      </c>
      <c r="BU111" s="1033">
        <f t="shared" si="1041"/>
        <v>8278.8774658770526</v>
      </c>
      <c r="BV111" s="1033">
        <f t="shared" si="1041"/>
        <v>8183.6464024357629</v>
      </c>
      <c r="BW111" s="1033">
        <f t="shared" si="1041"/>
        <v>8178.696034976082</v>
      </c>
      <c r="BX111" s="1033">
        <f t="shared" si="1041"/>
        <v>7940.2730981347713</v>
      </c>
      <c r="BY111" s="1033">
        <f t="shared" si="1041"/>
        <v>7646.972139996863</v>
      </c>
      <c r="BZ111" s="1033">
        <f t="shared" si="1041"/>
        <v>9822.7110456696118</v>
      </c>
      <c r="CA111" s="344">
        <f t="shared" si="749"/>
        <v>93460.314726311379</v>
      </c>
      <c r="CB111" s="1033">
        <f t="shared" ref="CB111:CM111" si="1042">+CB92/CB69*100</f>
        <v>0</v>
      </c>
      <c r="CC111" s="1033">
        <f t="shared" si="1042"/>
        <v>0</v>
      </c>
      <c r="CD111" s="1033">
        <f t="shared" si="1042"/>
        <v>0</v>
      </c>
      <c r="CE111" s="1033">
        <f t="shared" si="1042"/>
        <v>0</v>
      </c>
      <c r="CF111" s="1033">
        <f t="shared" si="1042"/>
        <v>0</v>
      </c>
      <c r="CG111" s="1033">
        <f t="shared" si="1042"/>
        <v>0</v>
      </c>
      <c r="CH111" s="1033">
        <f t="shared" si="1042"/>
        <v>0</v>
      </c>
      <c r="CI111" s="1033">
        <f t="shared" si="1042"/>
        <v>0</v>
      </c>
      <c r="CJ111" s="1033">
        <f t="shared" si="1042"/>
        <v>0</v>
      </c>
      <c r="CK111" s="1033">
        <f t="shared" si="1042"/>
        <v>0</v>
      </c>
      <c r="CL111" s="1033">
        <f t="shared" si="1042"/>
        <v>0</v>
      </c>
      <c r="CM111" s="1033">
        <f t="shared" si="1042"/>
        <v>0</v>
      </c>
      <c r="CN111" s="625">
        <f t="shared" si="750"/>
        <v>0</v>
      </c>
      <c r="CO111" s="626">
        <f t="shared" ref="CO111:CZ111" si="1043">+CO92/CO69*100</f>
        <v>0</v>
      </c>
      <c r="CP111" s="1033">
        <f t="shared" si="1043"/>
        <v>0</v>
      </c>
      <c r="CQ111" s="1033">
        <f t="shared" si="1043"/>
        <v>0</v>
      </c>
      <c r="CR111" s="1033">
        <f t="shared" si="1043"/>
        <v>0</v>
      </c>
      <c r="CS111" s="1033">
        <f t="shared" si="1043"/>
        <v>0</v>
      </c>
      <c r="CT111" s="1033">
        <f t="shared" si="1043"/>
        <v>0</v>
      </c>
      <c r="CU111" s="1033">
        <f t="shared" si="1043"/>
        <v>0</v>
      </c>
      <c r="CV111" s="1033">
        <f t="shared" si="1043"/>
        <v>0</v>
      </c>
      <c r="CW111" s="1033">
        <f t="shared" si="1043"/>
        <v>0</v>
      </c>
      <c r="CX111" s="1033">
        <f t="shared" si="1043"/>
        <v>0</v>
      </c>
      <c r="CY111" s="1033">
        <f t="shared" si="1043"/>
        <v>0</v>
      </c>
      <c r="CZ111" s="1033">
        <f t="shared" si="1043"/>
        <v>0</v>
      </c>
      <c r="DA111" s="625">
        <f t="shared" si="730"/>
        <v>0</v>
      </c>
      <c r="DB111" s="1033">
        <f t="shared" ref="DB111:DM111" si="1044">+DB92/DB69*100</f>
        <v>0</v>
      </c>
      <c r="DC111" s="1033">
        <f t="shared" si="1044"/>
        <v>0</v>
      </c>
      <c r="DD111" s="1033">
        <f t="shared" si="1044"/>
        <v>0</v>
      </c>
      <c r="DE111" s="1033">
        <f t="shared" si="1044"/>
        <v>0</v>
      </c>
      <c r="DF111" s="1033">
        <f t="shared" si="1044"/>
        <v>0</v>
      </c>
      <c r="DG111" s="1033">
        <f t="shared" si="1044"/>
        <v>0</v>
      </c>
      <c r="DH111" s="1033">
        <f t="shared" si="1044"/>
        <v>0</v>
      </c>
      <c r="DI111" s="1033">
        <f t="shared" si="1044"/>
        <v>0</v>
      </c>
      <c r="DJ111" s="1033">
        <f t="shared" si="1044"/>
        <v>0</v>
      </c>
      <c r="DK111" s="1033">
        <f t="shared" si="1044"/>
        <v>0</v>
      </c>
      <c r="DL111" s="1033">
        <f t="shared" si="1044"/>
        <v>0</v>
      </c>
      <c r="DM111" s="1033">
        <f t="shared" si="1044"/>
        <v>0</v>
      </c>
      <c r="DN111" s="626">
        <f t="shared" si="731"/>
        <v>0</v>
      </c>
      <c r="DO111" s="626">
        <f t="shared" ref="DO111:DZ111" si="1045">+DO92/DO69*100</f>
        <v>6487.356706069414</v>
      </c>
      <c r="DP111" s="1033">
        <f t="shared" si="1045"/>
        <v>7649.033986249432</v>
      </c>
      <c r="DQ111" s="1033">
        <f t="shared" si="1045"/>
        <v>11781.811761847148</v>
      </c>
      <c r="DR111" s="1033">
        <f t="shared" si="1045"/>
        <v>8040.1922382288576</v>
      </c>
      <c r="DS111" s="1033">
        <f t="shared" si="1045"/>
        <v>9821.6499847899013</v>
      </c>
      <c r="DT111" s="1033">
        <f t="shared" si="1045"/>
        <v>11991.132381894779</v>
      </c>
      <c r="DU111" s="1033">
        <f t="shared" si="1045"/>
        <v>10323.010582749308</v>
      </c>
      <c r="DV111" s="1033">
        <f t="shared" si="1045"/>
        <v>10300.391052606543</v>
      </c>
      <c r="DW111" s="1033">
        <f t="shared" si="1045"/>
        <v>10219.245019206093</v>
      </c>
      <c r="DX111" s="1033">
        <f t="shared" si="1045"/>
        <v>10733.69084695104</v>
      </c>
      <c r="DY111" s="1033">
        <f t="shared" si="1045"/>
        <v>13069.701685330407</v>
      </c>
      <c r="DZ111" s="1033">
        <f t="shared" si="1045"/>
        <v>19803.771293044596</v>
      </c>
      <c r="EA111" s="626">
        <f t="shared" si="732"/>
        <v>130220.98753896753</v>
      </c>
      <c r="EB111" s="626">
        <f t="shared" ref="EB111:EM111" si="1046">+EB92/EB69*100</f>
        <v>7293.8288663561934</v>
      </c>
      <c r="EC111" s="1033">
        <f t="shared" si="1046"/>
        <v>7677.9361505638617</v>
      </c>
      <c r="ED111" s="1033">
        <f t="shared" si="1046"/>
        <v>12965.291944209341</v>
      </c>
      <c r="EE111" s="1033">
        <f t="shared" si="1046"/>
        <v>10056.35067619194</v>
      </c>
      <c r="EF111" s="1033">
        <f t="shared" si="1046"/>
        <v>11811.7473096248</v>
      </c>
      <c r="EG111" s="1033">
        <f t="shared" si="1046"/>
        <v>11419.096028886102</v>
      </c>
      <c r="EH111" s="1033">
        <f t="shared" si="1046"/>
        <v>10826.080623163754</v>
      </c>
      <c r="EI111" s="1033">
        <f t="shared" si="1046"/>
        <v>10688.010645498764</v>
      </c>
      <c r="EJ111" s="1033">
        <f t="shared" si="1046"/>
        <v>10203.166445157691</v>
      </c>
      <c r="EK111" s="1033">
        <f t="shared" si="1046"/>
        <v>10959.890859245719</v>
      </c>
      <c r="EL111" s="1033">
        <f t="shared" si="1046"/>
        <v>13387.422987750801</v>
      </c>
      <c r="EM111" s="1033">
        <f t="shared" si="1046"/>
        <v>16487.865320322777</v>
      </c>
      <c r="EN111" s="625">
        <f t="shared" si="733"/>
        <v>133776.68785697175</v>
      </c>
      <c r="EO111" s="1033">
        <f t="shared" ref="EO111:EZ111" si="1047">+EO92/EO69*100</f>
        <v>3110.7963563815665</v>
      </c>
      <c r="EP111" s="1033">
        <f t="shared" si="1047"/>
        <v>8050.5816845661939</v>
      </c>
      <c r="EQ111" s="1033">
        <f t="shared" si="1047"/>
        <v>11547.698481153329</v>
      </c>
      <c r="ER111" s="1033">
        <f t="shared" si="1047"/>
        <v>10549.631308548134</v>
      </c>
      <c r="ES111" s="1033">
        <f t="shared" si="1047"/>
        <v>13678.9099197918</v>
      </c>
      <c r="ET111" s="1033">
        <f t="shared" si="1047"/>
        <v>12223.171532133902</v>
      </c>
      <c r="EU111" s="1033">
        <f t="shared" si="1047"/>
        <v>12236.45810360229</v>
      </c>
      <c r="EV111" s="1033">
        <f t="shared" si="1047"/>
        <v>12882.03835994502</v>
      </c>
      <c r="EW111" s="1033">
        <f t="shared" si="1047"/>
        <v>11245.257787300619</v>
      </c>
      <c r="EX111" s="1033">
        <f t="shared" si="1047"/>
        <v>12270.593846940455</v>
      </c>
      <c r="EY111" s="1033">
        <f t="shared" si="1047"/>
        <v>11062.982796265218</v>
      </c>
      <c r="EZ111" s="1033">
        <f t="shared" si="1047"/>
        <v>16413.368487305648</v>
      </c>
      <c r="FA111" s="625">
        <f t="shared" si="734"/>
        <v>135271.48866393417</v>
      </c>
      <c r="FB111" s="1033">
        <f t="shared" ref="FB111:FM111" si="1048">+FB92/FB69*100</f>
        <v>7920.5543368221906</v>
      </c>
      <c r="FC111" s="1033">
        <f t="shared" si="1048"/>
        <v>9178.040057653252</v>
      </c>
      <c r="FD111" s="1033">
        <f t="shared" si="1048"/>
        <v>13792.269457259301</v>
      </c>
      <c r="FE111" s="1033">
        <f t="shared" si="1048"/>
        <v>12838.122946491139</v>
      </c>
      <c r="FF111" s="1033">
        <f t="shared" si="1048"/>
        <v>9091.6278042653394</v>
      </c>
      <c r="FG111" s="1033">
        <f t="shared" si="1048"/>
        <v>10567.652154748543</v>
      </c>
      <c r="FH111" s="1033">
        <f t="shared" si="1048"/>
        <v>14108.473546777055</v>
      </c>
      <c r="FI111" s="1033">
        <f t="shared" si="1048"/>
        <v>16839.440086367835</v>
      </c>
      <c r="FJ111" s="1033">
        <f t="shared" si="1048"/>
        <v>24527.539264891857</v>
      </c>
      <c r="FK111" s="1033">
        <f t="shared" si="1048"/>
        <v>31086.316708970109</v>
      </c>
      <c r="FL111" s="1033">
        <f t="shared" si="1048"/>
        <v>45027.973205607035</v>
      </c>
      <c r="FM111" s="1033">
        <f t="shared" si="1048"/>
        <v>72057.742413012907</v>
      </c>
      <c r="FN111" s="625">
        <f t="shared" si="735"/>
        <v>267035.75198286655</v>
      </c>
      <c r="FO111" s="1033">
        <f t="shared" ref="FO111:FZ111" si="1049">+FO92/FO69*100</f>
        <v>6514.2231829843713</v>
      </c>
      <c r="FP111" s="1033">
        <f t="shared" si="1049"/>
        <v>13121.341814393989</v>
      </c>
      <c r="FQ111" s="1033">
        <f t="shared" si="1049"/>
        <v>24759.699261178528</v>
      </c>
      <c r="FR111" s="1033">
        <f t="shared" si="1049"/>
        <v>13111.234784558555</v>
      </c>
      <c r="FS111" s="1033">
        <f t="shared" si="1049"/>
        <v>18818.875607531241</v>
      </c>
      <c r="FT111" s="1033">
        <f t="shared" si="1049"/>
        <v>19982.296456109107</v>
      </c>
      <c r="FU111" s="1033">
        <f t="shared" si="1049"/>
        <v>20291.165536857869</v>
      </c>
      <c r="FV111" s="1033">
        <f t="shared" si="1049"/>
        <v>18262.209427863272</v>
      </c>
      <c r="FW111" s="1033">
        <f t="shared" si="1049"/>
        <v>16650.288850727371</v>
      </c>
      <c r="FX111" s="1033">
        <f t="shared" si="1049"/>
        <v>17279.454582840222</v>
      </c>
      <c r="FY111" s="1033">
        <f t="shared" si="1049"/>
        <v>19024.556267791606</v>
      </c>
      <c r="FZ111" s="627">
        <f t="shared" si="1049"/>
        <v>35598.992923360478</v>
      </c>
      <c r="GA111" s="627">
        <f t="shared" si="653"/>
        <v>223414.33869619662</v>
      </c>
      <c r="GB111" s="626">
        <f t="shared" ref="GB111:GM111" si="1050">+GB92/GB69*100</f>
        <v>7991.6685406780598</v>
      </c>
      <c r="GC111" s="1033">
        <f t="shared" si="1050"/>
        <v>10887.014390179085</v>
      </c>
      <c r="GD111" s="1033">
        <f t="shared" si="1050"/>
        <v>19262.606235403142</v>
      </c>
      <c r="GE111" s="1033">
        <f t="shared" si="1050"/>
        <v>15091.612544754964</v>
      </c>
      <c r="GF111" s="1033">
        <f t="shared" si="1050"/>
        <v>17447.507342103781</v>
      </c>
      <c r="GG111" s="1033">
        <f t="shared" si="1050"/>
        <v>16957.303638423113</v>
      </c>
      <c r="GH111" s="1033">
        <f t="shared" si="1050"/>
        <v>22428.638780358862</v>
      </c>
      <c r="GI111" s="1033">
        <f t="shared" si="1050"/>
        <v>17628.2764412301</v>
      </c>
      <c r="GJ111" s="1033">
        <f t="shared" si="1050"/>
        <v>12617.492168078959</v>
      </c>
      <c r="GK111" s="1033">
        <f t="shared" si="1050"/>
        <v>13864.313655564678</v>
      </c>
      <c r="GL111" s="1034">
        <f t="shared" si="1050"/>
        <v>14811.829767190651</v>
      </c>
      <c r="GM111" s="628">
        <f t="shared" si="1050"/>
        <v>24669.716198816186</v>
      </c>
      <c r="GN111" s="625">
        <f t="shared" si="654"/>
        <v>193657.97970278159</v>
      </c>
      <c r="GO111" s="626">
        <f t="shared" ref="GO111:GZ111" si="1051">+GO92/GO69*100</f>
        <v>4.4665843040585758</v>
      </c>
      <c r="GP111" s="1033">
        <f t="shared" si="1051"/>
        <v>102623.62088085772</v>
      </c>
      <c r="GQ111" s="1033">
        <f t="shared" si="1051"/>
        <v>110565.52081009977</v>
      </c>
      <c r="GR111" s="1033">
        <f t="shared" si="1051"/>
        <v>0</v>
      </c>
      <c r="GS111" s="1033">
        <f t="shared" si="1051"/>
        <v>0</v>
      </c>
      <c r="GT111" s="1033">
        <f t="shared" si="1051"/>
        <v>0</v>
      </c>
      <c r="GU111" s="1033">
        <f t="shared" si="1051"/>
        <v>0</v>
      </c>
      <c r="GV111" s="1033">
        <f t="shared" si="1051"/>
        <v>0</v>
      </c>
      <c r="GW111" s="1033">
        <f t="shared" si="1051"/>
        <v>0</v>
      </c>
      <c r="GX111" s="1033">
        <f t="shared" si="1051"/>
        <v>0</v>
      </c>
      <c r="GY111" s="1033">
        <f t="shared" si="1051"/>
        <v>0</v>
      </c>
      <c r="GZ111" s="627">
        <f t="shared" si="1051"/>
        <v>0</v>
      </c>
      <c r="HA111" s="627">
        <f t="shared" si="656"/>
        <v>213193.60827526153</v>
      </c>
      <c r="HB111" s="626">
        <f t="shared" ref="HB111:HM111" si="1052">+HB92/HB69*100</f>
        <v>0</v>
      </c>
      <c r="HC111" s="1033">
        <f t="shared" si="1052"/>
        <v>0</v>
      </c>
      <c r="HD111" s="1033">
        <f t="shared" si="1052"/>
        <v>0</v>
      </c>
      <c r="HE111" s="1033">
        <f t="shared" si="1052"/>
        <v>0</v>
      </c>
      <c r="HF111" s="1033">
        <f t="shared" si="1052"/>
        <v>0</v>
      </c>
      <c r="HG111" s="1033">
        <f t="shared" si="1052"/>
        <v>0</v>
      </c>
      <c r="HH111" s="1033">
        <f t="shared" si="1052"/>
        <v>0</v>
      </c>
      <c r="HI111" s="1033">
        <f t="shared" si="1052"/>
        <v>0</v>
      </c>
      <c r="HJ111" s="1033">
        <f t="shared" si="1052"/>
        <v>0</v>
      </c>
      <c r="HK111" s="1033">
        <f t="shared" si="1052"/>
        <v>0</v>
      </c>
      <c r="HL111" s="1033">
        <f t="shared" si="1052"/>
        <v>0</v>
      </c>
      <c r="HM111" s="627">
        <f t="shared" si="1052"/>
        <v>0</v>
      </c>
      <c r="HN111" s="627">
        <f t="shared" si="658"/>
        <v>0</v>
      </c>
      <c r="HO111" s="1033">
        <f t="shared" ref="HO111:HZ111" si="1053">+HO92/HO69*100</f>
        <v>0</v>
      </c>
      <c r="HP111" s="1033">
        <f t="shared" si="1053"/>
        <v>0</v>
      </c>
      <c r="HQ111" s="1033">
        <f t="shared" si="1053"/>
        <v>0</v>
      </c>
      <c r="HR111" s="1033">
        <f t="shared" si="1053"/>
        <v>0</v>
      </c>
      <c r="HS111" s="1033">
        <f t="shared" si="1053"/>
        <v>0</v>
      </c>
      <c r="HT111" s="1033">
        <f t="shared" si="1053"/>
        <v>0</v>
      </c>
      <c r="HU111" s="1033">
        <f t="shared" si="1053"/>
        <v>0</v>
      </c>
      <c r="HV111" s="1033">
        <f t="shared" si="1053"/>
        <v>0</v>
      </c>
      <c r="HW111" s="1033">
        <f t="shared" si="1053"/>
        <v>0</v>
      </c>
      <c r="HX111" s="1033">
        <f t="shared" si="1053"/>
        <v>0</v>
      </c>
      <c r="HY111" s="1033">
        <f t="shared" si="1053"/>
        <v>0</v>
      </c>
      <c r="HZ111" s="1033">
        <f t="shared" si="1053"/>
        <v>0</v>
      </c>
      <c r="IA111" s="626">
        <f t="shared" si="660"/>
        <v>0</v>
      </c>
      <c r="IB111" s="1324">
        <f>+IB92/IB69*100</f>
        <v>0</v>
      </c>
      <c r="IC111">
        <f>+IC92/IC69*100</f>
        <v>0</v>
      </c>
      <c r="ID111">
        <f>+ID92/ID69*100</f>
        <v>0</v>
      </c>
      <c r="IE111">
        <f>+IE92/IE69*100</f>
        <v>0</v>
      </c>
      <c r="IF111">
        <f>+IF92/IF69*100</f>
        <v>0</v>
      </c>
      <c r="IG111">
        <f t="shared" ref="IG111" si="1054">+IG92/IG69*100</f>
        <v>0</v>
      </c>
      <c r="IH111">
        <f t="shared" ref="IH111" si="1055">+IH92/IH69*100</f>
        <v>0</v>
      </c>
      <c r="II111">
        <f t="shared" ref="II111" si="1056">+II92/II69*100</f>
        <v>0</v>
      </c>
      <c r="IM111" s="1266"/>
      <c r="IN111" s="1059">
        <f t="shared" si="680"/>
        <v>0</v>
      </c>
      <c r="IO111" s="1266"/>
      <c r="IP111" s="1060" t="str">
        <f t="shared" si="662"/>
        <v/>
      </c>
      <c r="IQ111" s="640" t="str">
        <f t="shared" si="663"/>
        <v>-</v>
      </c>
      <c r="IR111" s="344">
        <f t="shared" si="664"/>
        <v>0</v>
      </c>
      <c r="IS111" s="344">
        <f t="shared" si="665"/>
        <v>0</v>
      </c>
    </row>
    <row r="112" spans="1:253" ht="15" customHeight="1" x14ac:dyDescent="0.2">
      <c r="A112" s="1016" t="s">
        <v>29</v>
      </c>
      <c r="BA112" s="1017"/>
      <c r="BB112" s="339">
        <f t="shared" ref="BB112:BM112" si="1057">+BB113+BB114+BB115</f>
        <v>51508.030617201701</v>
      </c>
      <c r="BC112" s="339">
        <f t="shared" si="1057"/>
        <v>46288.531910329832</v>
      </c>
      <c r="BD112" s="339">
        <f t="shared" si="1057"/>
        <v>56271.84204731624</v>
      </c>
      <c r="BE112" s="339">
        <f t="shared" si="1057"/>
        <v>45915.415706690823</v>
      </c>
      <c r="BF112" s="339">
        <f t="shared" si="1057"/>
        <v>68943.521698219163</v>
      </c>
      <c r="BG112" s="339">
        <f t="shared" si="1057"/>
        <v>52421.956843394997</v>
      </c>
      <c r="BH112" s="339">
        <f t="shared" si="1057"/>
        <v>56408.381414157004</v>
      </c>
      <c r="BI112" s="339">
        <f t="shared" si="1057"/>
        <v>61134.368412947908</v>
      </c>
      <c r="BJ112" s="339">
        <f t="shared" si="1057"/>
        <v>56300.740941985496</v>
      </c>
      <c r="BK112" s="339">
        <f t="shared" si="1057"/>
        <v>64542.343305469272</v>
      </c>
      <c r="BL112" s="339">
        <f t="shared" si="1057"/>
        <v>59684.281496735814</v>
      </c>
      <c r="BM112" s="339">
        <f t="shared" si="1057"/>
        <v>90715.323424524104</v>
      </c>
      <c r="BN112" s="1018">
        <f>SUM(BB112:BM112)</f>
        <v>710134.73781897244</v>
      </c>
      <c r="BO112" s="339">
        <f t="shared" ref="BO112:BZ112" si="1058">+BO113+BO114+BO115</f>
        <v>59102.218625623165</v>
      </c>
      <c r="BP112" s="339">
        <f t="shared" si="1058"/>
        <v>85556.566991141517</v>
      </c>
      <c r="BQ112" s="339">
        <f t="shared" si="1058"/>
        <v>69621.504546484794</v>
      </c>
      <c r="BR112" s="339">
        <f t="shared" si="1058"/>
        <v>75327.481280939144</v>
      </c>
      <c r="BS112" s="339">
        <f t="shared" si="1058"/>
        <v>81576.516341872266</v>
      </c>
      <c r="BT112" s="339">
        <f t="shared" si="1058"/>
        <v>71060.41198065276</v>
      </c>
      <c r="BU112" s="339">
        <f t="shared" si="1058"/>
        <v>69879.956865048953</v>
      </c>
      <c r="BV112" s="339">
        <f t="shared" si="1058"/>
        <v>80506.389773642324</v>
      </c>
      <c r="BW112" s="339">
        <f t="shared" si="1058"/>
        <v>79841.614437993339</v>
      </c>
      <c r="BX112" s="339">
        <f t="shared" si="1058"/>
        <v>79127.241736957643</v>
      </c>
      <c r="BY112" s="339">
        <f t="shared" si="1058"/>
        <v>88053.674658746138</v>
      </c>
      <c r="BZ112" s="339">
        <f t="shared" si="1058"/>
        <v>120770.64380462114</v>
      </c>
      <c r="CA112" s="320">
        <f t="shared" si="749"/>
        <v>960424.22104372329</v>
      </c>
      <c r="CB112" s="339">
        <f t="shared" ref="CB112:CM112" si="1059">+CB113+CB114+CB115</f>
        <v>34532.424888887777</v>
      </c>
      <c r="CC112" s="339">
        <f t="shared" si="1059"/>
        <v>34980.025177325355</v>
      </c>
      <c r="CD112" s="339">
        <f t="shared" si="1059"/>
        <v>33131.886607404194</v>
      </c>
      <c r="CE112" s="339">
        <f t="shared" si="1059"/>
        <v>34645.883684458568</v>
      </c>
      <c r="CF112" s="339">
        <f t="shared" si="1059"/>
        <v>37135.905178676039</v>
      </c>
      <c r="CG112" s="339">
        <f t="shared" si="1059"/>
        <v>37796.717538503188</v>
      </c>
      <c r="CH112" s="339">
        <f t="shared" si="1059"/>
        <v>59988.131741274723</v>
      </c>
      <c r="CI112" s="339">
        <f t="shared" si="1059"/>
        <v>35760.522045261379</v>
      </c>
      <c r="CJ112" s="339">
        <f t="shared" si="1059"/>
        <v>42339.294730348578</v>
      </c>
      <c r="CK112" s="339">
        <f t="shared" si="1059"/>
        <v>38335.939756698674</v>
      </c>
      <c r="CL112" s="339">
        <f t="shared" si="1059"/>
        <v>54634.881542298812</v>
      </c>
      <c r="CM112" s="339">
        <f t="shared" si="1059"/>
        <v>64868.069743696477</v>
      </c>
      <c r="CN112" s="339">
        <f t="shared" si="750"/>
        <v>508149.68263483379</v>
      </c>
      <c r="CO112" s="339">
        <f t="shared" ref="CO112:CZ112" si="1060">+CO113+CO114+CO115</f>
        <v>33373.514178497426</v>
      </c>
      <c r="CP112" s="339">
        <f t="shared" si="1060"/>
        <v>35232.814038364522</v>
      </c>
      <c r="CQ112" s="339">
        <f t="shared" si="1060"/>
        <v>33474.693775401051</v>
      </c>
      <c r="CR112" s="339">
        <f t="shared" si="1060"/>
        <v>40356.218985663734</v>
      </c>
      <c r="CS112" s="339">
        <f t="shared" si="1060"/>
        <v>39892.947922275147</v>
      </c>
      <c r="CT112" s="339">
        <f t="shared" si="1060"/>
        <v>50927.932288832315</v>
      </c>
      <c r="CU112" s="339">
        <f t="shared" si="1060"/>
        <v>47494.791987171426</v>
      </c>
      <c r="CV112" s="339">
        <f t="shared" si="1060"/>
        <v>63353.888246967719</v>
      </c>
      <c r="CW112" s="339">
        <f t="shared" si="1060"/>
        <v>45238.80036442291</v>
      </c>
      <c r="CX112" s="339">
        <f t="shared" si="1060"/>
        <v>47061.710719215262</v>
      </c>
      <c r="CY112" s="339">
        <f t="shared" si="1060"/>
        <v>63692.610786318488</v>
      </c>
      <c r="CZ112" s="339">
        <f t="shared" si="1060"/>
        <v>74990.42414351656</v>
      </c>
      <c r="DA112" s="339">
        <f t="shared" si="730"/>
        <v>575090.34743664647</v>
      </c>
      <c r="DB112" s="339">
        <f>+DB113+DB114+DB115</f>
        <v>36811.285932268234</v>
      </c>
      <c r="DC112" s="339">
        <f t="shared" ref="DC112:DM112" si="1061">+DC113+DC114+DC115</f>
        <v>36405.696442231063</v>
      </c>
      <c r="DD112" s="339">
        <f t="shared" si="1061"/>
        <v>44344.273053665645</v>
      </c>
      <c r="DE112" s="339">
        <f t="shared" si="1061"/>
        <v>44270.865356654947</v>
      </c>
      <c r="DF112" s="339">
        <f t="shared" si="1061"/>
        <v>44355.992010318645</v>
      </c>
      <c r="DG112" s="339">
        <f t="shared" si="1061"/>
        <v>44012.055835932879</v>
      </c>
      <c r="DH112" s="339">
        <f t="shared" si="1061"/>
        <v>51673.961991907898</v>
      </c>
      <c r="DI112" s="339">
        <f t="shared" si="1061"/>
        <v>47707.298130855997</v>
      </c>
      <c r="DJ112" s="339">
        <f t="shared" si="1061"/>
        <v>48016.910374055864</v>
      </c>
      <c r="DK112" s="339">
        <f t="shared" si="1061"/>
        <v>44620.527694035591</v>
      </c>
      <c r="DL112" s="339">
        <f t="shared" si="1061"/>
        <v>50447.396026839502</v>
      </c>
      <c r="DM112" s="339">
        <f t="shared" si="1061"/>
        <v>89430.345574755338</v>
      </c>
      <c r="DN112" s="339">
        <f t="shared" si="731"/>
        <v>582096.60842352163</v>
      </c>
      <c r="DO112" s="339">
        <f t="shared" ref="DO112:DZ112" si="1062">+DO113+DO114+DO115</f>
        <v>68767.072426273182</v>
      </c>
      <c r="DP112" s="339">
        <f t="shared" si="1062"/>
        <v>83934.381295160318</v>
      </c>
      <c r="DQ112" s="339">
        <f t="shared" si="1062"/>
        <v>104142.63705777771</v>
      </c>
      <c r="DR112" s="339">
        <f t="shared" si="1062"/>
        <v>110858.9741831721</v>
      </c>
      <c r="DS112" s="339">
        <f t="shared" si="1062"/>
        <v>103842.67225225948</v>
      </c>
      <c r="DT112" s="339">
        <f t="shared" si="1062"/>
        <v>112065.28600032574</v>
      </c>
      <c r="DU112" s="339">
        <f t="shared" si="1062"/>
        <v>112416.66035658974</v>
      </c>
      <c r="DV112" s="339">
        <f t="shared" si="1062"/>
        <v>102815.82898552847</v>
      </c>
      <c r="DW112" s="339">
        <f t="shared" si="1062"/>
        <v>88045.321713830417</v>
      </c>
      <c r="DX112" s="339">
        <f t="shared" si="1062"/>
        <v>111306.22692441716</v>
      </c>
      <c r="DY112" s="339">
        <f t="shared" si="1062"/>
        <v>112720.22680477853</v>
      </c>
      <c r="DZ112" s="339">
        <f t="shared" si="1062"/>
        <v>182816.39519806567</v>
      </c>
      <c r="EA112" s="339">
        <f t="shared" si="732"/>
        <v>1293731.6831981787</v>
      </c>
      <c r="EB112" s="339">
        <f t="shared" ref="EB112:EM112" si="1063">+EB113+EB114+EB115</f>
        <v>98523.279105676876</v>
      </c>
      <c r="EC112" s="339">
        <f t="shared" si="1063"/>
        <v>100108.89081450072</v>
      </c>
      <c r="ED112" s="339">
        <f t="shared" si="1063"/>
        <v>93104.673936815932</v>
      </c>
      <c r="EE112" s="339">
        <f t="shared" si="1063"/>
        <v>133960.82422032804</v>
      </c>
      <c r="EF112" s="339">
        <f t="shared" si="1063"/>
        <v>96632.729875740886</v>
      </c>
      <c r="EG112" s="339">
        <f t="shared" si="1063"/>
        <v>120686.82517931818</v>
      </c>
      <c r="EH112" s="339">
        <f t="shared" si="1063"/>
        <v>136531.47573313152</v>
      </c>
      <c r="EI112" s="339">
        <f t="shared" si="1063"/>
        <v>112398.49231470926</v>
      </c>
      <c r="EJ112" s="339">
        <f t="shared" si="1063"/>
        <v>106453.13941878485</v>
      </c>
      <c r="EK112" s="339">
        <f t="shared" si="1063"/>
        <v>130504.35643586595</v>
      </c>
      <c r="EL112" s="339">
        <f t="shared" si="1063"/>
        <v>108955.10984222226</v>
      </c>
      <c r="EM112" s="339">
        <f t="shared" si="1063"/>
        <v>227647.09068650415</v>
      </c>
      <c r="EN112" s="339">
        <f t="shared" si="733"/>
        <v>1465506.8875635983</v>
      </c>
      <c r="EO112" s="339">
        <f t="shared" ref="EO112:EZ112" si="1064">+EO113+EO114+EO115</f>
        <v>109603.72445563285</v>
      </c>
      <c r="EP112" s="339">
        <f t="shared" si="1064"/>
        <v>88048.946543517828</v>
      </c>
      <c r="EQ112" s="339">
        <f t="shared" si="1064"/>
        <v>94753.300288611266</v>
      </c>
      <c r="ER112" s="339">
        <f t="shared" si="1064"/>
        <v>121465.03501484994</v>
      </c>
      <c r="ES112" s="339">
        <f t="shared" si="1064"/>
        <v>107232.94400515813</v>
      </c>
      <c r="ET112" s="339">
        <f t="shared" si="1064"/>
        <v>130053.24714195769</v>
      </c>
      <c r="EU112" s="339">
        <f t="shared" si="1064"/>
        <v>143902.34251085247</v>
      </c>
      <c r="EV112" s="339">
        <f t="shared" si="1064"/>
        <v>144241.29175630579</v>
      </c>
      <c r="EW112" s="339">
        <f t="shared" si="1064"/>
        <v>109303.43379026483</v>
      </c>
      <c r="EX112" s="339">
        <f t="shared" si="1064"/>
        <v>135451.7474510246</v>
      </c>
      <c r="EY112" s="339">
        <f t="shared" si="1064"/>
        <v>135681.89111033938</v>
      </c>
      <c r="EZ112" s="339">
        <f t="shared" si="1064"/>
        <v>190317.94024946011</v>
      </c>
      <c r="FA112" s="341">
        <f t="shared" si="734"/>
        <v>1510055.844317975</v>
      </c>
      <c r="FB112" s="339">
        <f t="shared" ref="FB112:FM112" si="1065">+FB113+FB114+FB115</f>
        <v>100446.46639368146</v>
      </c>
      <c r="FC112" s="339">
        <f t="shared" si="1065"/>
        <v>112658.95043305996</v>
      </c>
      <c r="FD112" s="339">
        <f t="shared" si="1065"/>
        <v>135856.00848058955</v>
      </c>
      <c r="FE112" s="339">
        <f t="shared" si="1065"/>
        <v>178285.19355698526</v>
      </c>
      <c r="FF112" s="339">
        <f t="shared" si="1065"/>
        <v>149271.68502885327</v>
      </c>
      <c r="FG112" s="339">
        <f t="shared" si="1065"/>
        <v>107259.80279103191</v>
      </c>
      <c r="FH112" s="339">
        <f t="shared" si="1065"/>
        <v>151108.37359001077</v>
      </c>
      <c r="FI112" s="339">
        <f t="shared" si="1065"/>
        <v>182292.10226052286</v>
      </c>
      <c r="FJ112" s="339">
        <f t="shared" si="1065"/>
        <v>129102.14665672241</v>
      </c>
      <c r="FK112" s="339">
        <f t="shared" si="1065"/>
        <v>255944.83107415901</v>
      </c>
      <c r="FL112" s="339">
        <f t="shared" si="1065"/>
        <v>201910.32357933378</v>
      </c>
      <c r="FM112" s="339">
        <f t="shared" si="1065"/>
        <v>330842.26547468826</v>
      </c>
      <c r="FN112" s="341">
        <f t="shared" si="735"/>
        <v>2034978.1493196385</v>
      </c>
      <c r="FO112" s="339">
        <f t="shared" ref="FO112:GM112" si="1066">+FO113+FO114+FO115</f>
        <v>98716.379975578457</v>
      </c>
      <c r="FP112" s="339">
        <f t="shared" si="1066"/>
        <v>135672.09725285252</v>
      </c>
      <c r="FQ112" s="339">
        <f t="shared" si="1066"/>
        <v>134995.36631328979</v>
      </c>
      <c r="FR112" s="339">
        <f t="shared" si="1066"/>
        <v>161630.0057002604</v>
      </c>
      <c r="FS112" s="339">
        <f t="shared" si="1066"/>
        <v>135844.14147109038</v>
      </c>
      <c r="FT112" s="339">
        <f t="shared" si="1066"/>
        <v>142115.90412694655</v>
      </c>
      <c r="FU112" s="339">
        <f t="shared" si="1066"/>
        <v>156799.2614007782</v>
      </c>
      <c r="FV112" s="339">
        <f t="shared" si="1066"/>
        <v>128602.02263887091</v>
      </c>
      <c r="FW112" s="339">
        <f t="shared" si="1066"/>
        <v>186274.00968426108</v>
      </c>
      <c r="FX112" s="339">
        <f t="shared" si="1066"/>
        <v>153373.22900837215</v>
      </c>
      <c r="FY112" s="339">
        <f t="shared" si="1066"/>
        <v>159198.06291716031</v>
      </c>
      <c r="FZ112" s="642">
        <f t="shared" si="1066"/>
        <v>423534.1509751493</v>
      </c>
      <c r="GA112" s="642">
        <f t="shared" si="653"/>
        <v>2016754.6314646103</v>
      </c>
      <c r="GB112" s="645">
        <f t="shared" si="1066"/>
        <v>111437.5980968381</v>
      </c>
      <c r="GC112" s="339">
        <f t="shared" si="1066"/>
        <v>116089.71577965346</v>
      </c>
      <c r="GD112" s="339">
        <f t="shared" si="1066"/>
        <v>147895.76777476247</v>
      </c>
      <c r="GE112" s="339">
        <f t="shared" si="1066"/>
        <v>134622.54271354451</v>
      </c>
      <c r="GF112" s="339">
        <f t="shared" si="1066"/>
        <v>147984.81809503</v>
      </c>
      <c r="GG112" s="339">
        <f t="shared" si="1066"/>
        <v>140521.61230129341</v>
      </c>
      <c r="GH112" s="339">
        <f t="shared" si="1066"/>
        <v>160847.39059606119</v>
      </c>
      <c r="GI112" s="339">
        <f t="shared" si="1066"/>
        <v>215605.461360999</v>
      </c>
      <c r="GJ112" s="339">
        <f t="shared" si="1066"/>
        <v>122745.35907942375</v>
      </c>
      <c r="GK112" s="339">
        <f t="shared" si="1066"/>
        <v>191919.11325215129</v>
      </c>
      <c r="GL112" s="646">
        <f t="shared" si="1066"/>
        <v>146502.66062877834</v>
      </c>
      <c r="GM112" s="647">
        <f t="shared" si="1066"/>
        <v>288574.92944764777</v>
      </c>
      <c r="GN112" s="341">
        <f t="shared" si="654"/>
        <v>1924746.9691261835</v>
      </c>
      <c r="GO112" s="645">
        <f t="shared" ref="GO112:GZ112" si="1067">+GO113+GO114+GO115</f>
        <v>116859.81521503266</v>
      </c>
      <c r="GP112" s="339">
        <f t="shared" si="1067"/>
        <v>299039.38672730105</v>
      </c>
      <c r="GQ112" s="339">
        <f t="shared" si="1067"/>
        <v>284536.78720621695</v>
      </c>
      <c r="GR112" s="339">
        <f t="shared" si="1067"/>
        <v>120146.29349599333</v>
      </c>
      <c r="GS112" s="339">
        <f t="shared" si="1067"/>
        <v>120096.45747048249</v>
      </c>
      <c r="GT112" s="339">
        <f t="shared" si="1067"/>
        <v>121244.53446115644</v>
      </c>
      <c r="GU112" s="339">
        <f t="shared" si="1067"/>
        <v>152322.96274066536</v>
      </c>
      <c r="GV112" s="339">
        <f t="shared" si="1067"/>
        <v>132336.88246489986</v>
      </c>
      <c r="GW112" s="339">
        <f t="shared" si="1067"/>
        <v>106163.75029415842</v>
      </c>
      <c r="GX112" s="339">
        <f t="shared" si="1067"/>
        <v>128845.69741955849</v>
      </c>
      <c r="GY112" s="339">
        <f t="shared" si="1067"/>
        <v>155241.36930692574</v>
      </c>
      <c r="GZ112" s="642">
        <f t="shared" si="1067"/>
        <v>171420.52374610974</v>
      </c>
      <c r="HA112" s="642">
        <f t="shared" si="656"/>
        <v>1908254.4605485005</v>
      </c>
      <c r="HB112" s="645">
        <f t="shared" ref="HB112:HM112" si="1068">+HB113+HB114+HB115</f>
        <v>114002.76934331945</v>
      </c>
      <c r="HC112" s="339">
        <f t="shared" si="1068"/>
        <v>213471.1248621917</v>
      </c>
      <c r="HD112" s="339">
        <f t="shared" si="1068"/>
        <v>101201.69152969611</v>
      </c>
      <c r="HE112" s="339">
        <f t="shared" si="1068"/>
        <v>135624.942650738</v>
      </c>
      <c r="HF112" s="339">
        <f t="shared" si="1068"/>
        <v>139447.88893862348</v>
      </c>
      <c r="HG112" s="339">
        <f t="shared" si="1068"/>
        <v>121654.51290228861</v>
      </c>
      <c r="HH112" s="339">
        <f t="shared" si="1068"/>
        <v>127776.27644494676</v>
      </c>
      <c r="HI112" s="339">
        <f t="shared" si="1068"/>
        <v>177233.84499815406</v>
      </c>
      <c r="HJ112" s="339">
        <f t="shared" si="1068"/>
        <v>123874.76836050994</v>
      </c>
      <c r="HK112" s="339">
        <f t="shared" si="1068"/>
        <v>131833.12683805238</v>
      </c>
      <c r="HL112" s="339">
        <f t="shared" si="1068"/>
        <v>172631.74011791221</v>
      </c>
      <c r="HM112" s="642">
        <f t="shared" si="1068"/>
        <v>192368.57433363405</v>
      </c>
      <c r="HN112" s="642">
        <f t="shared" si="658"/>
        <v>1751121.2613200666</v>
      </c>
      <c r="HO112" s="339">
        <f t="shared" ref="HO112:HZ112" si="1069">+HO113+HO114+HO115</f>
        <v>120877.51575652488</v>
      </c>
      <c r="HP112" s="339">
        <f t="shared" si="1069"/>
        <v>158610.49878309941</v>
      </c>
      <c r="HQ112" s="339">
        <f t="shared" si="1069"/>
        <v>128422.54035754382</v>
      </c>
      <c r="HR112" s="339">
        <f t="shared" si="1069"/>
        <v>123349.6670439094</v>
      </c>
      <c r="HS112" s="339">
        <f t="shared" si="1069"/>
        <v>160157.74083867355</v>
      </c>
      <c r="HT112" s="339">
        <f t="shared" si="1069"/>
        <v>148131.38730210502</v>
      </c>
      <c r="HU112" s="339">
        <f t="shared" si="1069"/>
        <v>141450.44820109286</v>
      </c>
      <c r="HV112" s="339">
        <f t="shared" si="1069"/>
        <v>149120.95460149512</v>
      </c>
      <c r="HW112" s="339">
        <f t="shared" si="1069"/>
        <v>131742.49998452532</v>
      </c>
      <c r="HX112" s="339">
        <f t="shared" si="1069"/>
        <v>138484.39087825923</v>
      </c>
      <c r="HY112" s="339">
        <f t="shared" si="1069"/>
        <v>147011.70801560287</v>
      </c>
      <c r="HZ112" s="339">
        <f t="shared" si="1069"/>
        <v>191006.87555165391</v>
      </c>
      <c r="IA112" s="645">
        <f t="shared" si="660"/>
        <v>1738366.2273144852</v>
      </c>
      <c r="IB112" s="1328">
        <f t="shared" ref="IB112:IG112" si="1070">+IB113+IB114+IB115</f>
        <v>166004.64901036429</v>
      </c>
      <c r="IC112" s="129">
        <f t="shared" si="1070"/>
        <v>135532.82353851444</v>
      </c>
      <c r="ID112" s="129">
        <f t="shared" si="1070"/>
        <v>130995.87657686675</v>
      </c>
      <c r="IE112" s="129">
        <f t="shared" si="1070"/>
        <v>134692.82381677162</v>
      </c>
      <c r="IF112" s="129">
        <f t="shared" si="1070"/>
        <v>146250.96479264053</v>
      </c>
      <c r="IG112" s="129">
        <f t="shared" si="1070"/>
        <v>152291.6554942808</v>
      </c>
      <c r="IH112" s="129">
        <f t="shared" ref="IH112" si="1071">+IH113+IH114+IH115</f>
        <v>149102.34058307763</v>
      </c>
      <c r="II112" s="129">
        <f t="shared" ref="II112" si="1072">+II113+II114+II115</f>
        <v>152996.93311029742</v>
      </c>
      <c r="IJ112" s="129"/>
      <c r="IK112" s="129"/>
      <c r="IL112" s="129"/>
      <c r="IM112" s="1268"/>
      <c r="IN112" s="1343">
        <f t="shared" si="680"/>
        <v>1167868.0669228134</v>
      </c>
      <c r="IO112" s="1266"/>
      <c r="IP112" s="1060">
        <f t="shared" si="662"/>
        <v>2.5992178759586926</v>
      </c>
      <c r="IQ112" s="1019">
        <f t="shared" si="663"/>
        <v>3.3401133411651518</v>
      </c>
      <c r="IR112" s="341">
        <f t="shared" si="664"/>
        <v>1130120.7528844441</v>
      </c>
      <c r="IS112" s="341">
        <f t="shared" si="665"/>
        <v>1167868.0669228134</v>
      </c>
    </row>
    <row r="113" spans="1:253" ht="15" customHeight="1" x14ac:dyDescent="0.2">
      <c r="A113" s="644" t="s">
        <v>329</v>
      </c>
      <c r="BA113" s="644"/>
      <c r="BB113" s="320">
        <f t="shared" ref="BB113:BM113" si="1073">+BB94</f>
        <v>26138.40492101077</v>
      </c>
      <c r="BC113" s="320">
        <f t="shared" si="1073"/>
        <v>24621.203759025862</v>
      </c>
      <c r="BD113" s="320">
        <f t="shared" si="1073"/>
        <v>27021.690708430338</v>
      </c>
      <c r="BE113" s="320">
        <f t="shared" si="1073"/>
        <v>25970.372117201525</v>
      </c>
      <c r="BF113" s="320">
        <f t="shared" si="1073"/>
        <v>28339.369849669503</v>
      </c>
      <c r="BG113" s="320">
        <f t="shared" si="1073"/>
        <v>26489.653668977589</v>
      </c>
      <c r="BH113" s="320">
        <f t="shared" si="1073"/>
        <v>30720.758228019145</v>
      </c>
      <c r="BI113" s="320">
        <f t="shared" si="1073"/>
        <v>28175.719225581437</v>
      </c>
      <c r="BJ113" s="320">
        <f t="shared" si="1073"/>
        <v>28351.795367856706</v>
      </c>
      <c r="BK113" s="320">
        <f t="shared" si="1073"/>
        <v>30588.91410453447</v>
      </c>
      <c r="BL113" s="320">
        <f t="shared" si="1073"/>
        <v>31242.77556703204</v>
      </c>
      <c r="BM113" s="320">
        <f t="shared" si="1073"/>
        <v>47152.8597540521</v>
      </c>
      <c r="BN113" s="649">
        <f>SUM(BB113:BM113)</f>
        <v>354813.51727139147</v>
      </c>
      <c r="BO113" s="320">
        <f t="shared" ref="BO113:BZ113" si="1074">+BO94</f>
        <v>30700.167646297436</v>
      </c>
      <c r="BP113" s="320">
        <f t="shared" si="1074"/>
        <v>32314.118157127072</v>
      </c>
      <c r="BQ113" s="320">
        <f t="shared" si="1074"/>
        <v>32399.182928146533</v>
      </c>
      <c r="BR113" s="320">
        <f t="shared" si="1074"/>
        <v>33889.832170689013</v>
      </c>
      <c r="BS113" s="320">
        <f t="shared" si="1074"/>
        <v>34257.10098158379</v>
      </c>
      <c r="BT113" s="320">
        <f t="shared" si="1074"/>
        <v>38384.167549015816</v>
      </c>
      <c r="BU113" s="320">
        <f t="shared" si="1074"/>
        <v>37016.716020316315</v>
      </c>
      <c r="BV113" s="320">
        <f t="shared" si="1074"/>
        <v>35341.758551168321</v>
      </c>
      <c r="BW113" s="320">
        <f t="shared" si="1074"/>
        <v>35822.977102562065</v>
      </c>
      <c r="BX113" s="320">
        <f t="shared" si="1074"/>
        <v>32730.479018321497</v>
      </c>
      <c r="BY113" s="320">
        <f t="shared" si="1074"/>
        <v>39542.263720034818</v>
      </c>
      <c r="BZ113" s="320">
        <f t="shared" si="1074"/>
        <v>60071.432687569497</v>
      </c>
      <c r="CA113" s="344">
        <f t="shared" si="749"/>
        <v>442470.19653283223</v>
      </c>
      <c r="CB113" s="320">
        <f t="shared" ref="CB113:CM113" si="1075">+CB94</f>
        <v>34532.424888887777</v>
      </c>
      <c r="CC113" s="320">
        <f t="shared" si="1075"/>
        <v>34980.025177325355</v>
      </c>
      <c r="CD113" s="320">
        <f t="shared" si="1075"/>
        <v>33131.886607404194</v>
      </c>
      <c r="CE113" s="320">
        <f t="shared" si="1075"/>
        <v>34645.883684458568</v>
      </c>
      <c r="CF113" s="320">
        <f t="shared" si="1075"/>
        <v>37135.905178676039</v>
      </c>
      <c r="CG113" s="320">
        <f t="shared" si="1075"/>
        <v>37796.717538503188</v>
      </c>
      <c r="CH113" s="320">
        <f t="shared" si="1075"/>
        <v>59988.131741274723</v>
      </c>
      <c r="CI113" s="320">
        <f t="shared" si="1075"/>
        <v>35760.522045261379</v>
      </c>
      <c r="CJ113" s="320">
        <f t="shared" si="1075"/>
        <v>42339.294730348578</v>
      </c>
      <c r="CK113" s="320">
        <f t="shared" si="1075"/>
        <v>38335.939756698674</v>
      </c>
      <c r="CL113" s="320">
        <f t="shared" si="1075"/>
        <v>54634.881542298812</v>
      </c>
      <c r="CM113" s="320">
        <f t="shared" si="1075"/>
        <v>64868.069743696477</v>
      </c>
      <c r="CN113" s="344">
        <f t="shared" si="750"/>
        <v>508149.68263483379</v>
      </c>
      <c r="CO113" s="345">
        <f t="shared" ref="CO113:CZ113" si="1076">+CO94</f>
        <v>33373.514178497426</v>
      </c>
      <c r="CP113" s="320">
        <f t="shared" si="1076"/>
        <v>35232.814038364522</v>
      </c>
      <c r="CQ113" s="320">
        <f t="shared" si="1076"/>
        <v>33474.693775401051</v>
      </c>
      <c r="CR113" s="320">
        <f t="shared" si="1076"/>
        <v>40356.218985663734</v>
      </c>
      <c r="CS113" s="320">
        <f t="shared" si="1076"/>
        <v>39892.947922275147</v>
      </c>
      <c r="CT113" s="320">
        <f t="shared" si="1076"/>
        <v>50927.932288832315</v>
      </c>
      <c r="CU113" s="320">
        <f t="shared" si="1076"/>
        <v>47494.791987171426</v>
      </c>
      <c r="CV113" s="320">
        <f t="shared" si="1076"/>
        <v>63353.888246967719</v>
      </c>
      <c r="CW113" s="320">
        <f t="shared" si="1076"/>
        <v>45238.80036442291</v>
      </c>
      <c r="CX113" s="320">
        <f t="shared" si="1076"/>
        <v>47061.710719215262</v>
      </c>
      <c r="CY113" s="320">
        <f t="shared" si="1076"/>
        <v>63692.610786318488</v>
      </c>
      <c r="CZ113" s="320">
        <f t="shared" si="1076"/>
        <v>74990.42414351656</v>
      </c>
      <c r="DA113" s="344">
        <f t="shared" si="730"/>
        <v>575090.34743664647</v>
      </c>
      <c r="DB113" s="320">
        <f>+DB94</f>
        <v>36811.285932268234</v>
      </c>
      <c r="DC113" s="320">
        <f t="shared" ref="DC113:DZ113" si="1077">+DC94</f>
        <v>36405.696442231063</v>
      </c>
      <c r="DD113" s="320">
        <f t="shared" si="1077"/>
        <v>44344.273053665645</v>
      </c>
      <c r="DE113" s="320">
        <f t="shared" si="1077"/>
        <v>44270.865356654947</v>
      </c>
      <c r="DF113" s="320">
        <f t="shared" si="1077"/>
        <v>44355.992010318645</v>
      </c>
      <c r="DG113" s="320">
        <f t="shared" si="1077"/>
        <v>44012.055835932879</v>
      </c>
      <c r="DH113" s="320">
        <f t="shared" si="1077"/>
        <v>51673.961991907898</v>
      </c>
      <c r="DI113" s="320">
        <f t="shared" si="1077"/>
        <v>47707.298130855997</v>
      </c>
      <c r="DJ113" s="320">
        <f t="shared" si="1077"/>
        <v>48016.910374055864</v>
      </c>
      <c r="DK113" s="320">
        <f t="shared" si="1077"/>
        <v>44620.527694035591</v>
      </c>
      <c r="DL113" s="320">
        <f t="shared" si="1077"/>
        <v>50447.396026839502</v>
      </c>
      <c r="DM113" s="320">
        <f t="shared" si="1077"/>
        <v>89430.345574755338</v>
      </c>
      <c r="DN113" s="345">
        <f t="shared" si="731"/>
        <v>582096.60842352163</v>
      </c>
      <c r="DO113" s="345">
        <f t="shared" si="1077"/>
        <v>39409.263768467928</v>
      </c>
      <c r="DP113" s="320">
        <f t="shared" si="1077"/>
        <v>38944.537943165262</v>
      </c>
      <c r="DQ113" s="320">
        <f t="shared" si="1077"/>
        <v>42276.794525721765</v>
      </c>
      <c r="DR113" s="320">
        <f t="shared" si="1077"/>
        <v>46864.983205655619</v>
      </c>
      <c r="DS113" s="320">
        <f t="shared" si="1077"/>
        <v>48042.540403442952</v>
      </c>
      <c r="DT113" s="320">
        <f t="shared" si="1077"/>
        <v>52424.493026625642</v>
      </c>
      <c r="DU113" s="320">
        <f t="shared" si="1077"/>
        <v>54510.370357426218</v>
      </c>
      <c r="DV113" s="320">
        <f t="shared" si="1077"/>
        <v>50079.830867756515</v>
      </c>
      <c r="DW113" s="320">
        <f t="shared" si="1077"/>
        <v>48692.185116186338</v>
      </c>
      <c r="DX113" s="320">
        <f t="shared" si="1077"/>
        <v>51828.064275281366</v>
      </c>
      <c r="DY113" s="320">
        <f t="shared" si="1077"/>
        <v>66715.404286684658</v>
      </c>
      <c r="DZ113" s="320">
        <f t="shared" si="1077"/>
        <v>96419.609786748828</v>
      </c>
      <c r="EA113" s="345">
        <f t="shared" si="732"/>
        <v>636208.07756316313</v>
      </c>
      <c r="EB113" s="345">
        <f t="shared" ref="EB113:EM113" si="1078">+EB94</f>
        <v>48660.645190730516</v>
      </c>
      <c r="EC113" s="320">
        <f t="shared" si="1078"/>
        <v>48202.642006073183</v>
      </c>
      <c r="ED113" s="320">
        <f t="shared" si="1078"/>
        <v>48444.488542692998</v>
      </c>
      <c r="EE113" s="320">
        <f t="shared" si="1078"/>
        <v>53080.301405279017</v>
      </c>
      <c r="EF113" s="320">
        <f t="shared" si="1078"/>
        <v>52948.250582871013</v>
      </c>
      <c r="EG113" s="320">
        <f t="shared" si="1078"/>
        <v>63884.772816790304</v>
      </c>
      <c r="EH113" s="320">
        <f t="shared" si="1078"/>
        <v>70095.301407911567</v>
      </c>
      <c r="EI113" s="320">
        <f t="shared" si="1078"/>
        <v>56963.378224640008</v>
      </c>
      <c r="EJ113" s="320">
        <f t="shared" si="1078"/>
        <v>57702.468139900622</v>
      </c>
      <c r="EK113" s="320">
        <f t="shared" si="1078"/>
        <v>66144.138191675986</v>
      </c>
      <c r="EL113" s="320">
        <f t="shared" si="1078"/>
        <v>62244.786427261104</v>
      </c>
      <c r="EM113" s="320">
        <f t="shared" si="1078"/>
        <v>100366.63110007733</v>
      </c>
      <c r="EN113" s="344">
        <f t="shared" si="733"/>
        <v>728737.80403590365</v>
      </c>
      <c r="EO113" s="320">
        <f t="shared" ref="EO113:EZ113" si="1079">+EO94</f>
        <v>51714.354017717407</v>
      </c>
      <c r="EP113" s="320">
        <f t="shared" si="1079"/>
        <v>44545.711103470392</v>
      </c>
      <c r="EQ113" s="320">
        <f t="shared" si="1079"/>
        <v>49224.715335983063</v>
      </c>
      <c r="ER113" s="320">
        <f t="shared" si="1079"/>
        <v>51877.557330334981</v>
      </c>
      <c r="ES113" s="320">
        <f t="shared" si="1079"/>
        <v>55211.810006701395</v>
      </c>
      <c r="ET113" s="320">
        <f t="shared" si="1079"/>
        <v>74817.661229925143</v>
      </c>
      <c r="EU113" s="320">
        <f t="shared" si="1079"/>
        <v>60163.430314547746</v>
      </c>
      <c r="EV113" s="320">
        <f t="shared" si="1079"/>
        <v>89684.018468075024</v>
      </c>
      <c r="EW113" s="320">
        <f t="shared" si="1079"/>
        <v>62311.70590671536</v>
      </c>
      <c r="EX113" s="320">
        <f t="shared" si="1079"/>
        <v>63598.759605777566</v>
      </c>
      <c r="EY113" s="320">
        <f t="shared" si="1079"/>
        <v>66955.339319718682</v>
      </c>
      <c r="EZ113" s="320">
        <f t="shared" si="1079"/>
        <v>115975.06477929396</v>
      </c>
      <c r="FA113" s="344">
        <f t="shared" si="734"/>
        <v>786080.12741826056</v>
      </c>
      <c r="FB113" s="320">
        <f t="shared" ref="FB113:FM113" si="1080">+FB94</f>
        <v>51747.691973869485</v>
      </c>
      <c r="FC113" s="320">
        <f t="shared" si="1080"/>
        <v>50766.541265030362</v>
      </c>
      <c r="FD113" s="320">
        <f t="shared" si="1080"/>
        <v>58990.940930496203</v>
      </c>
      <c r="FE113" s="320">
        <f t="shared" si="1080"/>
        <v>60143.743262372183</v>
      </c>
      <c r="FF113" s="320">
        <f t="shared" si="1080"/>
        <v>59576.249974092352</v>
      </c>
      <c r="FG113" s="320">
        <f t="shared" si="1080"/>
        <v>61549.050515744253</v>
      </c>
      <c r="FH113" s="320">
        <f t="shared" si="1080"/>
        <v>75606.528753037099</v>
      </c>
      <c r="FI113" s="320">
        <f t="shared" si="1080"/>
        <v>64824.378447305171</v>
      </c>
      <c r="FJ113" s="320">
        <f t="shared" si="1080"/>
        <v>68810.58973207674</v>
      </c>
      <c r="FK113" s="320">
        <f t="shared" si="1080"/>
        <v>77167.843924429006</v>
      </c>
      <c r="FL113" s="320">
        <f t="shared" si="1080"/>
        <v>77278.343889701282</v>
      </c>
      <c r="FM113" s="320">
        <f t="shared" si="1080"/>
        <v>173217.41806271707</v>
      </c>
      <c r="FN113" s="344">
        <f t="shared" si="735"/>
        <v>879679.32073087129</v>
      </c>
      <c r="FO113" s="320">
        <f t="shared" ref="FO113:GM113" si="1081">+FO94</f>
        <v>55249.12891883171</v>
      </c>
      <c r="FP113" s="320">
        <f t="shared" si="1081"/>
        <v>65175.779330831632</v>
      </c>
      <c r="FQ113" s="320">
        <f t="shared" si="1081"/>
        <v>69154.111283805149</v>
      </c>
      <c r="FR113" s="320">
        <f t="shared" si="1081"/>
        <v>76187.630583274236</v>
      </c>
      <c r="FS113" s="320">
        <f t="shared" si="1081"/>
        <v>77380.841532831953</v>
      </c>
      <c r="FT113" s="320">
        <f t="shared" si="1081"/>
        <v>75494.54704477427</v>
      </c>
      <c r="FU113" s="320">
        <f t="shared" si="1081"/>
        <v>78771.855125694943</v>
      </c>
      <c r="FV113" s="320">
        <f t="shared" si="1081"/>
        <v>70844.916707454642</v>
      </c>
      <c r="FW113" s="320">
        <f t="shared" si="1081"/>
        <v>76281.973005468622</v>
      </c>
      <c r="FX113" s="320">
        <f t="shared" si="1081"/>
        <v>73575.646594473132</v>
      </c>
      <c r="FY113" s="320">
        <f t="shared" si="1081"/>
        <v>69732.399985796379</v>
      </c>
      <c r="FZ113" s="343">
        <f t="shared" si="1081"/>
        <v>156353.60823625603</v>
      </c>
      <c r="GA113" s="343">
        <f t="shared" si="653"/>
        <v>944202.43834949273</v>
      </c>
      <c r="GB113" s="345">
        <f t="shared" si="1081"/>
        <v>61054.526325397717</v>
      </c>
      <c r="GC113" s="320">
        <f t="shared" si="1081"/>
        <v>63330.243451938426</v>
      </c>
      <c r="GD113" s="320">
        <f t="shared" si="1081"/>
        <v>71950.322641864157</v>
      </c>
      <c r="GE113" s="320">
        <f t="shared" si="1081"/>
        <v>72008.585365017338</v>
      </c>
      <c r="GF113" s="320">
        <f t="shared" si="1081"/>
        <v>72992.560678733353</v>
      </c>
      <c r="GG113" s="320">
        <f t="shared" si="1081"/>
        <v>78522.430571970443</v>
      </c>
      <c r="GH113" s="320">
        <f t="shared" si="1081"/>
        <v>82670.995198183547</v>
      </c>
      <c r="GI113" s="320">
        <f t="shared" si="1081"/>
        <v>78371.449951674862</v>
      </c>
      <c r="GJ113" s="320">
        <f t="shared" si="1081"/>
        <v>67900.54969986857</v>
      </c>
      <c r="GK113" s="320">
        <f t="shared" si="1081"/>
        <v>69172.336300765441</v>
      </c>
      <c r="GL113" s="319">
        <f t="shared" si="1081"/>
        <v>76813.92483567672</v>
      </c>
      <c r="GM113" s="346">
        <f t="shared" si="1081"/>
        <v>117065.06790189887</v>
      </c>
      <c r="GN113" s="344">
        <f t="shared" si="654"/>
        <v>911852.99292298942</v>
      </c>
      <c r="GO113" s="345">
        <f t="shared" ref="GO113:GZ113" si="1082">+GO94</f>
        <v>77657.748702679906</v>
      </c>
      <c r="GP113" s="320">
        <f t="shared" si="1082"/>
        <v>67615.42320338788</v>
      </c>
      <c r="GQ113" s="320">
        <f t="shared" si="1082"/>
        <v>67979.298982271546</v>
      </c>
      <c r="GR113" s="320">
        <f t="shared" si="1082"/>
        <v>69597.662087659439</v>
      </c>
      <c r="GS113" s="320">
        <f t="shared" si="1082"/>
        <v>75288.961985750182</v>
      </c>
      <c r="GT113" s="320">
        <f t="shared" si="1082"/>
        <v>76086.409269193828</v>
      </c>
      <c r="GU113" s="320">
        <f t="shared" si="1082"/>
        <v>112128.00831564559</v>
      </c>
      <c r="GV113" s="320">
        <f t="shared" si="1082"/>
        <v>81294.08268051187</v>
      </c>
      <c r="GW113" s="320">
        <f t="shared" si="1082"/>
        <v>77017.848376008522</v>
      </c>
      <c r="GX113" s="320">
        <f t="shared" si="1082"/>
        <v>76992.427022184245</v>
      </c>
      <c r="GY113" s="320">
        <f t="shared" si="1082"/>
        <v>91549.927772285489</v>
      </c>
      <c r="GZ113" s="343">
        <f t="shared" si="1082"/>
        <v>121169.38588938545</v>
      </c>
      <c r="HA113" s="343">
        <f t="shared" si="656"/>
        <v>994377.18428696413</v>
      </c>
      <c r="HB113" s="345">
        <f t="shared" ref="HB113:HM113" si="1083">+HB94</f>
        <v>89214.910160110958</v>
      </c>
      <c r="HC113" s="320">
        <f t="shared" si="1083"/>
        <v>72239.966849816585</v>
      </c>
      <c r="HD113" s="320">
        <f t="shared" si="1083"/>
        <v>72555.165464003192</v>
      </c>
      <c r="HE113" s="320">
        <f t="shared" si="1083"/>
        <v>82719.820207564524</v>
      </c>
      <c r="HF113" s="320">
        <f t="shared" si="1083"/>
        <v>84009.591436735063</v>
      </c>
      <c r="HG113" s="320">
        <f t="shared" si="1083"/>
        <v>82844.848581246755</v>
      </c>
      <c r="HH113" s="320">
        <f t="shared" si="1083"/>
        <v>86764.151866622313</v>
      </c>
      <c r="HI113" s="320">
        <f t="shared" si="1083"/>
        <v>88680.911129020416</v>
      </c>
      <c r="HJ113" s="320">
        <f t="shared" si="1083"/>
        <v>85591.319523371145</v>
      </c>
      <c r="HK113" s="320">
        <f t="shared" si="1083"/>
        <v>85878.890608078014</v>
      </c>
      <c r="HL113" s="320">
        <f t="shared" si="1083"/>
        <v>116869.17210650418</v>
      </c>
      <c r="HM113" s="343">
        <f t="shared" si="1083"/>
        <v>110985.53393066025</v>
      </c>
      <c r="HN113" s="343">
        <f t="shared" si="658"/>
        <v>1058354.2818637334</v>
      </c>
      <c r="HO113" s="320">
        <f t="shared" ref="HO113:HZ113" si="1084">+HO94</f>
        <v>89613.715381412723</v>
      </c>
      <c r="HP113" s="320">
        <f t="shared" si="1084"/>
        <v>73469.269686458327</v>
      </c>
      <c r="HQ113" s="320">
        <f t="shared" si="1084"/>
        <v>76933.153035369367</v>
      </c>
      <c r="HR113" s="320">
        <f t="shared" si="1084"/>
        <v>85642.451420816695</v>
      </c>
      <c r="HS113" s="320">
        <f t="shared" si="1084"/>
        <v>105045.06643995343</v>
      </c>
      <c r="HT113" s="320">
        <f t="shared" si="1084"/>
        <v>84454.886025981323</v>
      </c>
      <c r="HU113" s="320">
        <f t="shared" si="1084"/>
        <v>88118.73130025671</v>
      </c>
      <c r="HV113" s="320">
        <f t="shared" si="1084"/>
        <v>93485.82461272279</v>
      </c>
      <c r="HW113" s="320">
        <f t="shared" si="1084"/>
        <v>90821.372663000046</v>
      </c>
      <c r="HX113" s="320">
        <f t="shared" si="1084"/>
        <v>91647.74403990549</v>
      </c>
      <c r="HY113" s="320">
        <f t="shared" si="1084"/>
        <v>91164.244986634207</v>
      </c>
      <c r="HZ113" s="320">
        <f t="shared" si="1084"/>
        <v>133516.91926536511</v>
      </c>
      <c r="IA113" s="345">
        <f t="shared" si="660"/>
        <v>1103913.3788578762</v>
      </c>
      <c r="IB113" s="1324">
        <f>+IB94</f>
        <v>104275.69177405164</v>
      </c>
      <c r="IC113">
        <f>+IC94</f>
        <v>82484.387263154087</v>
      </c>
      <c r="ID113">
        <f>+ID94</f>
        <v>88601.076741508004</v>
      </c>
      <c r="IE113">
        <f>+IE94</f>
        <v>87804.024758392217</v>
      </c>
      <c r="IF113">
        <f>+IF94</f>
        <v>96442.540630892443</v>
      </c>
      <c r="IG113">
        <f t="shared" ref="IG113" si="1085">+IG94</f>
        <v>93104.284113446716</v>
      </c>
      <c r="IH113">
        <f t="shared" ref="IH113" si="1086">+IH94</f>
        <v>96729.958300048136</v>
      </c>
      <c r="II113">
        <f t="shared" ref="II113" si="1087">+II94</f>
        <v>97797.231033155083</v>
      </c>
      <c r="IM113" s="1266"/>
      <c r="IN113" s="1059">
        <f t="shared" si="680"/>
        <v>747239.19461464835</v>
      </c>
      <c r="IO113" s="1266"/>
      <c r="IP113" s="1060">
        <f t="shared" si="662"/>
        <v>4.6118290535413831</v>
      </c>
      <c r="IQ113" s="640">
        <f t="shared" si="663"/>
        <v>7.2443699822211549</v>
      </c>
      <c r="IR113" s="344">
        <f t="shared" si="664"/>
        <v>696763.09790297132</v>
      </c>
      <c r="IS113" s="344">
        <f t="shared" si="665"/>
        <v>747239.19461464835</v>
      </c>
    </row>
    <row r="114" spans="1:253" ht="15" customHeight="1" x14ac:dyDescent="0.2">
      <c r="A114" s="644" t="s">
        <v>330</v>
      </c>
      <c r="BA114" s="644"/>
      <c r="BB114" s="320">
        <f t="shared" ref="BB114:BM114" si="1088">+BB100</f>
        <v>19357.849192127323</v>
      </c>
      <c r="BC114" s="320">
        <f t="shared" si="1088"/>
        <v>12392.807325242851</v>
      </c>
      <c r="BD114" s="320">
        <f t="shared" si="1088"/>
        <v>18378.55468581993</v>
      </c>
      <c r="BE114" s="320">
        <f t="shared" si="1088"/>
        <v>11394.083469473595</v>
      </c>
      <c r="BF114" s="320">
        <f t="shared" si="1088"/>
        <v>30399.874891676565</v>
      </c>
      <c r="BG114" s="320">
        <f t="shared" si="1088"/>
        <v>16079.53675791788</v>
      </c>
      <c r="BH114" s="320">
        <f t="shared" si="1088"/>
        <v>15705.782435240526</v>
      </c>
      <c r="BI114" s="320">
        <f t="shared" si="1088"/>
        <v>21883.905360755813</v>
      </c>
      <c r="BJ114" s="320">
        <f t="shared" si="1088"/>
        <v>17452.254237522931</v>
      </c>
      <c r="BK114" s="320">
        <f t="shared" si="1088"/>
        <v>23170.685015996234</v>
      </c>
      <c r="BL114" s="320">
        <f t="shared" si="1088"/>
        <v>16607.937130399496</v>
      </c>
      <c r="BM114" s="320">
        <f t="shared" si="1088"/>
        <v>24515.912731306093</v>
      </c>
      <c r="BN114" s="649">
        <f>SUM(BB114:BM114)</f>
        <v>227339.18323347924</v>
      </c>
      <c r="BO114" s="320">
        <f t="shared" ref="BO114:BZ114" si="1089">+BO100</f>
        <v>18357.591678876524</v>
      </c>
      <c r="BP114" s="320">
        <f t="shared" si="1089"/>
        <v>44155.463086931602</v>
      </c>
      <c r="BQ114" s="320">
        <f t="shared" si="1089"/>
        <v>22033.795593947274</v>
      </c>
      <c r="BR114" s="320">
        <f t="shared" si="1089"/>
        <v>29531.606136309303</v>
      </c>
      <c r="BS114" s="320">
        <f t="shared" si="1089"/>
        <v>36062.344921079617</v>
      </c>
      <c r="BT114" s="320">
        <f t="shared" si="1089"/>
        <v>20791.148637368424</v>
      </c>
      <c r="BU114" s="320">
        <f t="shared" si="1089"/>
        <v>19928.599132601179</v>
      </c>
      <c r="BV114" s="320">
        <f t="shared" si="1089"/>
        <v>32751.239098694794</v>
      </c>
      <c r="BW114" s="320">
        <f t="shared" si="1089"/>
        <v>31967.476375733379</v>
      </c>
      <c r="BX114" s="320">
        <f t="shared" si="1089"/>
        <v>33488.2989814143</v>
      </c>
      <c r="BY114" s="320">
        <f t="shared" si="1089"/>
        <v>36824.632450547215</v>
      </c>
      <c r="BZ114" s="320">
        <f t="shared" si="1089"/>
        <v>44161.958745915836</v>
      </c>
      <c r="CA114" s="344">
        <f t="shared" si="749"/>
        <v>370054.15483941947</v>
      </c>
      <c r="CB114" s="320">
        <f t="shared" ref="CB114:CM114" si="1090">+CB100</f>
        <v>0</v>
      </c>
      <c r="CC114" s="320">
        <f t="shared" si="1090"/>
        <v>0</v>
      </c>
      <c r="CD114" s="320">
        <f t="shared" si="1090"/>
        <v>0</v>
      </c>
      <c r="CE114" s="320">
        <f t="shared" si="1090"/>
        <v>0</v>
      </c>
      <c r="CF114" s="320">
        <f t="shared" si="1090"/>
        <v>0</v>
      </c>
      <c r="CG114" s="320">
        <f t="shared" si="1090"/>
        <v>0</v>
      </c>
      <c r="CH114" s="320">
        <f t="shared" si="1090"/>
        <v>0</v>
      </c>
      <c r="CI114" s="320">
        <f t="shared" si="1090"/>
        <v>0</v>
      </c>
      <c r="CJ114" s="320">
        <f t="shared" si="1090"/>
        <v>0</v>
      </c>
      <c r="CK114" s="320">
        <f t="shared" si="1090"/>
        <v>0</v>
      </c>
      <c r="CL114" s="320">
        <f t="shared" si="1090"/>
        <v>0</v>
      </c>
      <c r="CM114" s="320">
        <f t="shared" si="1090"/>
        <v>0</v>
      </c>
      <c r="CN114" s="344">
        <f t="shared" si="750"/>
        <v>0</v>
      </c>
      <c r="CO114" s="345">
        <f t="shared" ref="CO114:CZ114" si="1091">+CO100</f>
        <v>0</v>
      </c>
      <c r="CP114" s="320">
        <f t="shared" si="1091"/>
        <v>0</v>
      </c>
      <c r="CQ114" s="320">
        <f t="shared" si="1091"/>
        <v>0</v>
      </c>
      <c r="CR114" s="320">
        <f t="shared" si="1091"/>
        <v>0</v>
      </c>
      <c r="CS114" s="320">
        <f t="shared" si="1091"/>
        <v>0</v>
      </c>
      <c r="CT114" s="320">
        <f t="shared" si="1091"/>
        <v>0</v>
      </c>
      <c r="CU114" s="320">
        <f t="shared" si="1091"/>
        <v>0</v>
      </c>
      <c r="CV114" s="320">
        <f t="shared" si="1091"/>
        <v>0</v>
      </c>
      <c r="CW114" s="320">
        <f t="shared" si="1091"/>
        <v>0</v>
      </c>
      <c r="CX114" s="320">
        <f t="shared" si="1091"/>
        <v>0</v>
      </c>
      <c r="CY114" s="320">
        <f t="shared" si="1091"/>
        <v>0</v>
      </c>
      <c r="CZ114" s="320">
        <f t="shared" si="1091"/>
        <v>0</v>
      </c>
      <c r="DA114" s="344">
        <f t="shared" si="730"/>
        <v>0</v>
      </c>
      <c r="DB114" s="320">
        <f>+DB100</f>
        <v>0</v>
      </c>
      <c r="DC114" s="320">
        <f t="shared" ref="DC114:DZ114" si="1092">+DC100</f>
        <v>0</v>
      </c>
      <c r="DD114" s="320">
        <f t="shared" si="1092"/>
        <v>0</v>
      </c>
      <c r="DE114" s="320">
        <f t="shared" si="1092"/>
        <v>0</v>
      </c>
      <c r="DF114" s="320">
        <f t="shared" si="1092"/>
        <v>0</v>
      </c>
      <c r="DG114" s="320">
        <f t="shared" si="1092"/>
        <v>0</v>
      </c>
      <c r="DH114" s="320">
        <f t="shared" si="1092"/>
        <v>0</v>
      </c>
      <c r="DI114" s="320">
        <f t="shared" si="1092"/>
        <v>0</v>
      </c>
      <c r="DJ114" s="320">
        <f t="shared" si="1092"/>
        <v>0</v>
      </c>
      <c r="DK114" s="320">
        <f t="shared" si="1092"/>
        <v>0</v>
      </c>
      <c r="DL114" s="320">
        <f t="shared" si="1092"/>
        <v>0</v>
      </c>
      <c r="DM114" s="320">
        <f t="shared" si="1092"/>
        <v>0</v>
      </c>
      <c r="DN114" s="345">
        <f t="shared" si="731"/>
        <v>0</v>
      </c>
      <c r="DO114" s="345">
        <f t="shared" si="1092"/>
        <v>19311.471098729839</v>
      </c>
      <c r="DP114" s="320">
        <f t="shared" si="1092"/>
        <v>33963.914629235886</v>
      </c>
      <c r="DQ114" s="320">
        <f t="shared" si="1092"/>
        <v>45288.813048035903</v>
      </c>
      <c r="DR114" s="320">
        <f t="shared" si="1092"/>
        <v>52234.756501518757</v>
      </c>
      <c r="DS114" s="320">
        <f t="shared" si="1092"/>
        <v>41455.214889566021</v>
      </c>
      <c r="DT114" s="320">
        <f t="shared" si="1092"/>
        <v>43396.877561397865</v>
      </c>
      <c r="DU114" s="320">
        <f t="shared" si="1092"/>
        <v>42682.129882749126</v>
      </c>
      <c r="DV114" s="320">
        <f t="shared" si="1092"/>
        <v>38276.204305950945</v>
      </c>
      <c r="DW114" s="320">
        <f t="shared" si="1092"/>
        <v>24825.205021723006</v>
      </c>
      <c r="DX114" s="320">
        <f t="shared" si="1092"/>
        <v>43877.912387708195</v>
      </c>
      <c r="DY114" s="320">
        <f t="shared" si="1092"/>
        <v>28228.47615119235</v>
      </c>
      <c r="DZ114" s="320">
        <f t="shared" si="1092"/>
        <v>58508.844922775446</v>
      </c>
      <c r="EA114" s="345">
        <f t="shared" si="732"/>
        <v>472049.82040058332</v>
      </c>
      <c r="EB114" s="345">
        <f t="shared" ref="EB114:EM114" si="1093">+EB100</f>
        <v>38846.924390394699</v>
      </c>
      <c r="EC114" s="320">
        <f t="shared" si="1093"/>
        <v>41254.64280819628</v>
      </c>
      <c r="ED114" s="320">
        <f t="shared" si="1093"/>
        <v>27152.163876661285</v>
      </c>
      <c r="EE114" s="320">
        <f t="shared" si="1093"/>
        <v>66217.825461622037</v>
      </c>
      <c r="EF114" s="320">
        <f t="shared" si="1093"/>
        <v>27904.782576086662</v>
      </c>
      <c r="EG114" s="320">
        <f t="shared" si="1093"/>
        <v>40718.515401946963</v>
      </c>
      <c r="EH114" s="320">
        <f t="shared" si="1093"/>
        <v>50392.852378790034</v>
      </c>
      <c r="EI114" s="320">
        <f t="shared" si="1093"/>
        <v>40457.549004712244</v>
      </c>
      <c r="EJ114" s="320">
        <f t="shared" si="1093"/>
        <v>34681.763786178315</v>
      </c>
      <c r="EK114" s="320">
        <f t="shared" si="1093"/>
        <v>48668.067007863508</v>
      </c>
      <c r="EL114" s="320">
        <f t="shared" si="1093"/>
        <v>28987.131846309123</v>
      </c>
      <c r="EM114" s="320">
        <f t="shared" si="1093"/>
        <v>104870.28340093991</v>
      </c>
      <c r="EN114" s="344">
        <f t="shared" si="733"/>
        <v>550152.50193970103</v>
      </c>
      <c r="EO114" s="320">
        <f t="shared" ref="EO114:EZ114" si="1094">+EO100</f>
        <v>51709.163228163437</v>
      </c>
      <c r="EP114" s="320">
        <f t="shared" si="1094"/>
        <v>32291.477402417484</v>
      </c>
      <c r="EQ114" s="320">
        <f t="shared" si="1094"/>
        <v>29946.570848598923</v>
      </c>
      <c r="ER114" s="320">
        <f t="shared" si="1094"/>
        <v>54994.144509807957</v>
      </c>
      <c r="ES114" s="320">
        <f t="shared" si="1094"/>
        <v>34457.113498987776</v>
      </c>
      <c r="ET114" s="320">
        <f t="shared" si="1094"/>
        <v>39081.976044518386</v>
      </c>
      <c r="EU114" s="320">
        <f t="shared" si="1094"/>
        <v>66202.291870335015</v>
      </c>
      <c r="EV114" s="320">
        <f t="shared" si="1094"/>
        <v>36860.806280712917</v>
      </c>
      <c r="EW114" s="320">
        <f t="shared" si="1094"/>
        <v>31084.783740046849</v>
      </c>
      <c r="EX114" s="320">
        <f t="shared" si="1094"/>
        <v>54706.370613307576</v>
      </c>
      <c r="EY114" s="320">
        <f t="shared" si="1094"/>
        <v>53274.350708478116</v>
      </c>
      <c r="EZ114" s="320">
        <f t="shared" si="1094"/>
        <v>48604.570570952215</v>
      </c>
      <c r="FA114" s="344">
        <f t="shared" si="734"/>
        <v>533213.61931632669</v>
      </c>
      <c r="FB114" s="320">
        <f t="shared" ref="FB114:FM114" si="1095">+FB100</f>
        <v>36910.340025797341</v>
      </c>
      <c r="FC114" s="320">
        <f t="shared" si="1095"/>
        <v>49724.580394637094</v>
      </c>
      <c r="FD114" s="320">
        <f t="shared" si="1095"/>
        <v>58263.873538592539</v>
      </c>
      <c r="FE114" s="320">
        <f t="shared" si="1095"/>
        <v>101819.39704066396</v>
      </c>
      <c r="FF114" s="320">
        <f t="shared" si="1095"/>
        <v>76616.235549163946</v>
      </c>
      <c r="FG114" s="320">
        <f t="shared" si="1095"/>
        <v>31115.908346516153</v>
      </c>
      <c r="FH114" s="320">
        <f t="shared" si="1095"/>
        <v>56912.559906369905</v>
      </c>
      <c r="FI114" s="320">
        <f t="shared" si="1095"/>
        <v>95977.032540145723</v>
      </c>
      <c r="FJ114" s="320">
        <f t="shared" si="1095"/>
        <v>30998.386825553429</v>
      </c>
      <c r="FK114" s="320">
        <f t="shared" si="1095"/>
        <v>142626.23708248109</v>
      </c>
      <c r="FL114" s="320">
        <f t="shared" si="1095"/>
        <v>74912.205761543766</v>
      </c>
      <c r="FM114" s="320">
        <f t="shared" si="1095"/>
        <v>77909.31230143545</v>
      </c>
      <c r="FN114" s="344">
        <f t="shared" si="735"/>
        <v>833786.0693129003</v>
      </c>
      <c r="FO114" s="320">
        <f t="shared" ref="FO114:GM114" si="1096">+FO100</f>
        <v>33301.538316190636</v>
      </c>
      <c r="FP114" s="320">
        <f t="shared" si="1096"/>
        <v>53660.697836595325</v>
      </c>
      <c r="FQ114" s="320">
        <f t="shared" si="1096"/>
        <v>36391.723952328284</v>
      </c>
      <c r="FR114" s="320">
        <f t="shared" si="1096"/>
        <v>68569.758281610295</v>
      </c>
      <c r="FS114" s="320">
        <f t="shared" si="1096"/>
        <v>35167.638789262295</v>
      </c>
      <c r="FT114" s="320">
        <f t="shared" si="1096"/>
        <v>42105.679398963111</v>
      </c>
      <c r="FU114" s="320">
        <f t="shared" si="1096"/>
        <v>52761.944830619439</v>
      </c>
      <c r="FV114" s="320">
        <f t="shared" si="1096"/>
        <v>35465.463532301539</v>
      </c>
      <c r="FW114" s="320">
        <f t="shared" si="1096"/>
        <v>89672.335242402609</v>
      </c>
      <c r="FX114" s="320">
        <f t="shared" si="1096"/>
        <v>58416.908466431509</v>
      </c>
      <c r="FY114" s="320">
        <f t="shared" si="1096"/>
        <v>66389.96026566514</v>
      </c>
      <c r="FZ114" s="343">
        <f t="shared" si="1096"/>
        <v>225764.62176606001</v>
      </c>
      <c r="GA114" s="343">
        <f t="shared" si="653"/>
        <v>797668.27067843021</v>
      </c>
      <c r="GB114" s="345">
        <f t="shared" si="1096"/>
        <v>38532.007248487411</v>
      </c>
      <c r="GC114" s="320">
        <f t="shared" si="1096"/>
        <v>37829.877123301238</v>
      </c>
      <c r="GD114" s="320">
        <f t="shared" si="1096"/>
        <v>52043.318005436093</v>
      </c>
      <c r="GE114" s="320">
        <f t="shared" si="1096"/>
        <v>42962.30816124635</v>
      </c>
      <c r="GF114" s="320">
        <f t="shared" si="1096"/>
        <v>53191.747595102453</v>
      </c>
      <c r="GG114" s="320">
        <f t="shared" si="1096"/>
        <v>40760.226173602823</v>
      </c>
      <c r="GH114" s="320">
        <f t="shared" si="1096"/>
        <v>49887.093227036836</v>
      </c>
      <c r="GI114" s="320">
        <f t="shared" si="1096"/>
        <v>115445.69001790397</v>
      </c>
      <c r="GJ114" s="320">
        <f t="shared" si="1096"/>
        <v>38156.970596102503</v>
      </c>
      <c r="GK114" s="320">
        <f t="shared" si="1096"/>
        <v>104205.3157926212</v>
      </c>
      <c r="GL114" s="319">
        <f t="shared" si="1096"/>
        <v>50464.07181752575</v>
      </c>
      <c r="GM114" s="346">
        <f t="shared" si="1096"/>
        <v>139408.36235907997</v>
      </c>
      <c r="GN114" s="344">
        <f t="shared" si="654"/>
        <v>762886.98811744666</v>
      </c>
      <c r="GO114" s="345">
        <f t="shared" ref="GO114:GZ114" si="1097">+GO100</f>
        <v>39178.322629881528</v>
      </c>
      <c r="GP114" s="320">
        <f t="shared" si="1097"/>
        <v>57708.553627985508</v>
      </c>
      <c r="GQ114" s="320">
        <f t="shared" si="1097"/>
        <v>30614.890918460434</v>
      </c>
      <c r="GR114" s="320">
        <f t="shared" si="1097"/>
        <v>50548.631408333895</v>
      </c>
      <c r="GS114" s="320">
        <f t="shared" si="1097"/>
        <v>44807.49548473231</v>
      </c>
      <c r="GT114" s="320">
        <f t="shared" si="1097"/>
        <v>45158.125191962608</v>
      </c>
      <c r="GU114" s="320">
        <f t="shared" si="1097"/>
        <v>40194.954425019765</v>
      </c>
      <c r="GV114" s="320">
        <f t="shared" si="1097"/>
        <v>51042.799784387986</v>
      </c>
      <c r="GW114" s="320">
        <f t="shared" si="1097"/>
        <v>29145.901918149906</v>
      </c>
      <c r="GX114" s="320">
        <f t="shared" si="1097"/>
        <v>51853.270397374246</v>
      </c>
      <c r="GY114" s="320">
        <f t="shared" si="1097"/>
        <v>63691.441534640246</v>
      </c>
      <c r="GZ114" s="343">
        <f t="shared" si="1097"/>
        <v>50251.137856724308</v>
      </c>
      <c r="HA114" s="343">
        <f t="shared" si="656"/>
        <v>554195.52517765283</v>
      </c>
      <c r="HB114" s="345">
        <f t="shared" ref="HB114:HM114" si="1098">+HB100</f>
        <v>24787.859183208489</v>
      </c>
      <c r="HC114" s="320">
        <f t="shared" si="1098"/>
        <v>141231.15801237512</v>
      </c>
      <c r="HD114" s="320">
        <f t="shared" si="1098"/>
        <v>28646.526065692924</v>
      </c>
      <c r="HE114" s="320">
        <f t="shared" si="1098"/>
        <v>52905.122443173481</v>
      </c>
      <c r="HF114" s="320">
        <f t="shared" si="1098"/>
        <v>55438.29750188841</v>
      </c>
      <c r="HG114" s="320">
        <f t="shared" si="1098"/>
        <v>38809.664321041862</v>
      </c>
      <c r="HH114" s="320">
        <f t="shared" si="1098"/>
        <v>41012.124578324459</v>
      </c>
      <c r="HI114" s="320">
        <f t="shared" si="1098"/>
        <v>88552.933869133645</v>
      </c>
      <c r="HJ114" s="320">
        <f t="shared" si="1098"/>
        <v>38283.448837138807</v>
      </c>
      <c r="HK114" s="320">
        <f t="shared" si="1098"/>
        <v>45954.236229974376</v>
      </c>
      <c r="HL114" s="320">
        <f t="shared" si="1098"/>
        <v>55762.568011408031</v>
      </c>
      <c r="HM114" s="343">
        <f t="shared" si="1098"/>
        <v>81383.040402973798</v>
      </c>
      <c r="HN114" s="343">
        <f t="shared" si="658"/>
        <v>692766.97945633344</v>
      </c>
      <c r="HO114" s="320">
        <f t="shared" ref="HO114:HZ114" si="1099">+HO100</f>
        <v>31263.800375112154</v>
      </c>
      <c r="HP114" s="320">
        <f t="shared" si="1099"/>
        <v>85141.229096641095</v>
      </c>
      <c r="HQ114" s="320">
        <f t="shared" si="1099"/>
        <v>51489.387322174451</v>
      </c>
      <c r="HR114" s="320">
        <f t="shared" si="1099"/>
        <v>37707.215623092714</v>
      </c>
      <c r="HS114" s="320">
        <f t="shared" si="1099"/>
        <v>55112.674398720119</v>
      </c>
      <c r="HT114" s="320">
        <f t="shared" si="1099"/>
        <v>63676.501276123694</v>
      </c>
      <c r="HU114" s="320">
        <f t="shared" si="1099"/>
        <v>53331.716900836152</v>
      </c>
      <c r="HV114" s="320">
        <f t="shared" si="1099"/>
        <v>55635.129988772343</v>
      </c>
      <c r="HW114" s="320">
        <f t="shared" si="1099"/>
        <v>40921.127321525259</v>
      </c>
      <c r="HX114" s="320">
        <f t="shared" si="1099"/>
        <v>46836.64683835375</v>
      </c>
      <c r="HY114" s="320">
        <f t="shared" si="1099"/>
        <v>55847.463028968661</v>
      </c>
      <c r="HZ114" s="320">
        <f t="shared" si="1099"/>
        <v>57489.956286288783</v>
      </c>
      <c r="IA114" s="345">
        <f t="shared" si="660"/>
        <v>634452.84845660918</v>
      </c>
      <c r="IB114" s="1324">
        <f t="shared" ref="IB114:IG114" si="1100">+IB100</f>
        <v>61728.957236312643</v>
      </c>
      <c r="IC114">
        <f t="shared" si="1100"/>
        <v>53048.436275360349</v>
      </c>
      <c r="ID114">
        <f t="shared" si="1100"/>
        <v>42394.799835358746</v>
      </c>
      <c r="IE114">
        <f t="shared" si="1100"/>
        <v>46888.799058379394</v>
      </c>
      <c r="IF114">
        <f t="shared" si="1100"/>
        <v>49808.42416174808</v>
      </c>
      <c r="IG114">
        <f t="shared" si="1100"/>
        <v>59187.371380834098</v>
      </c>
      <c r="IH114">
        <f t="shared" ref="IH114" si="1101">+IH100</f>
        <v>52372.382283029481</v>
      </c>
      <c r="II114">
        <f t="shared" ref="II114" si="1102">+II100</f>
        <v>55199.702077142334</v>
      </c>
      <c r="IM114" s="1266"/>
      <c r="IN114" s="1059">
        <f t="shared" si="680"/>
        <v>420628.87230816513</v>
      </c>
      <c r="IO114" s="1266"/>
      <c r="IP114" s="1060">
        <f t="shared" si="662"/>
        <v>-0.78264922130654169</v>
      </c>
      <c r="IQ114" s="640">
        <f t="shared" si="663"/>
        <v>-2.9372465276635729</v>
      </c>
      <c r="IR114" s="344">
        <f t="shared" si="664"/>
        <v>433357.6549814727</v>
      </c>
      <c r="IS114" s="344">
        <f t="shared" si="665"/>
        <v>420628.87230816513</v>
      </c>
    </row>
    <row r="115" spans="1:253" ht="15" customHeight="1" x14ac:dyDescent="0.2">
      <c r="A115" s="659" t="s">
        <v>331</v>
      </c>
      <c r="B115" s="977"/>
      <c r="C115" s="977"/>
      <c r="D115" s="977"/>
      <c r="E115" s="977"/>
      <c r="F115" s="977"/>
      <c r="G115" s="977"/>
      <c r="H115" s="977"/>
      <c r="I115" s="977"/>
      <c r="J115" s="977"/>
      <c r="K115" s="977"/>
      <c r="L115" s="977"/>
      <c r="M115" s="977"/>
      <c r="N115" s="977"/>
      <c r="O115" s="977"/>
      <c r="P115" s="977"/>
      <c r="Q115" s="977"/>
      <c r="R115" s="977"/>
      <c r="S115" s="977"/>
      <c r="T115" s="977"/>
      <c r="U115" s="977"/>
      <c r="V115" s="977"/>
      <c r="W115" s="977"/>
      <c r="X115" s="977"/>
      <c r="Y115" s="977"/>
      <c r="Z115" s="977"/>
      <c r="AA115" s="977"/>
      <c r="AB115" s="977"/>
      <c r="AC115" s="977"/>
      <c r="AD115" s="977"/>
      <c r="AE115" s="977"/>
      <c r="AF115" s="977"/>
      <c r="AG115" s="977"/>
      <c r="AH115" s="977"/>
      <c r="AI115" s="977"/>
      <c r="AJ115" s="977"/>
      <c r="AK115" s="977"/>
      <c r="AL115" s="977"/>
      <c r="AM115" s="977"/>
      <c r="AN115" s="977"/>
      <c r="AO115" s="977"/>
      <c r="AP115" s="977"/>
      <c r="AQ115" s="977"/>
      <c r="AR115" s="977"/>
      <c r="AS115" s="977"/>
      <c r="AT115" s="977"/>
      <c r="AU115" s="977"/>
      <c r="AV115" s="977"/>
      <c r="AW115" s="977"/>
      <c r="AX115" s="977"/>
      <c r="AY115" s="977"/>
      <c r="AZ115" s="977"/>
      <c r="BA115" s="659"/>
      <c r="BB115" s="660">
        <f t="shared" ref="BB115:BM115" si="1103">+BB106</f>
        <v>6011.7765040636095</v>
      </c>
      <c r="BC115" s="660">
        <f t="shared" si="1103"/>
        <v>9274.520826061118</v>
      </c>
      <c r="BD115" s="660">
        <f t="shared" si="1103"/>
        <v>10871.596653065972</v>
      </c>
      <c r="BE115" s="660">
        <f t="shared" si="1103"/>
        <v>8550.9601200157067</v>
      </c>
      <c r="BF115" s="660">
        <f t="shared" si="1103"/>
        <v>10204.2769568731</v>
      </c>
      <c r="BG115" s="660">
        <f t="shared" si="1103"/>
        <v>9852.7664164995276</v>
      </c>
      <c r="BH115" s="660">
        <f t="shared" si="1103"/>
        <v>9981.840750897336</v>
      </c>
      <c r="BI115" s="660">
        <f t="shared" si="1103"/>
        <v>11074.743826610662</v>
      </c>
      <c r="BJ115" s="660">
        <f t="shared" si="1103"/>
        <v>10496.691336605858</v>
      </c>
      <c r="BK115" s="660">
        <f t="shared" si="1103"/>
        <v>10782.744184938565</v>
      </c>
      <c r="BL115" s="660">
        <f t="shared" si="1103"/>
        <v>11833.568799304279</v>
      </c>
      <c r="BM115" s="660">
        <f t="shared" si="1103"/>
        <v>19046.550939165922</v>
      </c>
      <c r="BN115" s="661">
        <f>SUM(BB115:BM115)</f>
        <v>127982.03731410165</v>
      </c>
      <c r="BO115" s="660">
        <f t="shared" ref="BO115:BZ115" si="1104">+BO106</f>
        <v>10044.459300449209</v>
      </c>
      <c r="BP115" s="660">
        <f t="shared" si="1104"/>
        <v>9086.9857470828374</v>
      </c>
      <c r="BQ115" s="660">
        <f t="shared" si="1104"/>
        <v>15188.526024390983</v>
      </c>
      <c r="BR115" s="660">
        <f t="shared" si="1104"/>
        <v>11906.042973940828</v>
      </c>
      <c r="BS115" s="660">
        <f t="shared" si="1104"/>
        <v>11257.070439208868</v>
      </c>
      <c r="BT115" s="660">
        <f t="shared" si="1104"/>
        <v>11885.095794268516</v>
      </c>
      <c r="BU115" s="660">
        <f t="shared" si="1104"/>
        <v>12934.641712131455</v>
      </c>
      <c r="BV115" s="660">
        <f t="shared" si="1104"/>
        <v>12413.392123779204</v>
      </c>
      <c r="BW115" s="660">
        <f t="shared" si="1104"/>
        <v>12051.160959697894</v>
      </c>
      <c r="BX115" s="660">
        <f t="shared" si="1104"/>
        <v>12908.46373722184</v>
      </c>
      <c r="BY115" s="660">
        <f t="shared" si="1104"/>
        <v>11686.778488164095</v>
      </c>
      <c r="BZ115" s="660">
        <f t="shared" si="1104"/>
        <v>16537.252371135808</v>
      </c>
      <c r="CA115" s="350">
        <f t="shared" si="749"/>
        <v>147899.86967147156</v>
      </c>
      <c r="CB115" s="660">
        <f t="shared" ref="CB115:CM115" si="1105">+CB106</f>
        <v>0</v>
      </c>
      <c r="CC115" s="660">
        <f t="shared" si="1105"/>
        <v>0</v>
      </c>
      <c r="CD115" s="660">
        <f t="shared" si="1105"/>
        <v>0</v>
      </c>
      <c r="CE115" s="660">
        <f t="shared" si="1105"/>
        <v>0</v>
      </c>
      <c r="CF115" s="660">
        <f t="shared" si="1105"/>
        <v>0</v>
      </c>
      <c r="CG115" s="660">
        <f t="shared" si="1105"/>
        <v>0</v>
      </c>
      <c r="CH115" s="660">
        <f t="shared" si="1105"/>
        <v>0</v>
      </c>
      <c r="CI115" s="660">
        <f t="shared" si="1105"/>
        <v>0</v>
      </c>
      <c r="CJ115" s="660">
        <f t="shared" si="1105"/>
        <v>0</v>
      </c>
      <c r="CK115" s="396">
        <f t="shared" si="1105"/>
        <v>0</v>
      </c>
      <c r="CL115" s="396">
        <f t="shared" si="1105"/>
        <v>0</v>
      </c>
      <c r="CM115" s="396">
        <f t="shared" si="1105"/>
        <v>0</v>
      </c>
      <c r="CN115" s="398">
        <f t="shared" si="750"/>
        <v>0</v>
      </c>
      <c r="CO115" s="395">
        <f t="shared" ref="CO115:CZ115" si="1106">+CO106</f>
        <v>0</v>
      </c>
      <c r="CP115" s="396">
        <f t="shared" si="1106"/>
        <v>0</v>
      </c>
      <c r="CQ115" s="396">
        <f t="shared" si="1106"/>
        <v>0</v>
      </c>
      <c r="CR115" s="396">
        <f t="shared" si="1106"/>
        <v>0</v>
      </c>
      <c r="CS115" s="396">
        <f t="shared" si="1106"/>
        <v>0</v>
      </c>
      <c r="CT115" s="396">
        <f t="shared" si="1106"/>
        <v>0</v>
      </c>
      <c r="CU115" s="396">
        <f t="shared" si="1106"/>
        <v>0</v>
      </c>
      <c r="CV115" s="396">
        <f t="shared" si="1106"/>
        <v>0</v>
      </c>
      <c r="CW115" s="396">
        <f t="shared" si="1106"/>
        <v>0</v>
      </c>
      <c r="CX115" s="396">
        <f t="shared" si="1106"/>
        <v>0</v>
      </c>
      <c r="CY115" s="396">
        <f t="shared" si="1106"/>
        <v>0</v>
      </c>
      <c r="CZ115" s="396">
        <f t="shared" si="1106"/>
        <v>0</v>
      </c>
      <c r="DA115" s="398">
        <f t="shared" si="730"/>
        <v>0</v>
      </c>
      <c r="DB115" s="396">
        <f>+DB106</f>
        <v>0</v>
      </c>
      <c r="DC115" s="396">
        <f t="shared" ref="DC115:DZ115" si="1107">+DC106</f>
        <v>0</v>
      </c>
      <c r="DD115" s="396">
        <f t="shared" si="1107"/>
        <v>0</v>
      </c>
      <c r="DE115" s="396">
        <f t="shared" si="1107"/>
        <v>0</v>
      </c>
      <c r="DF115" s="396">
        <f t="shared" si="1107"/>
        <v>0</v>
      </c>
      <c r="DG115" s="396">
        <f t="shared" si="1107"/>
        <v>0</v>
      </c>
      <c r="DH115" s="396">
        <f t="shared" si="1107"/>
        <v>0</v>
      </c>
      <c r="DI115" s="396">
        <f t="shared" si="1107"/>
        <v>0</v>
      </c>
      <c r="DJ115" s="396">
        <f t="shared" si="1107"/>
        <v>0</v>
      </c>
      <c r="DK115" s="396">
        <f t="shared" si="1107"/>
        <v>0</v>
      </c>
      <c r="DL115" s="396">
        <f t="shared" si="1107"/>
        <v>0</v>
      </c>
      <c r="DM115" s="396">
        <f t="shared" si="1107"/>
        <v>0</v>
      </c>
      <c r="DN115" s="395">
        <f t="shared" si="731"/>
        <v>0</v>
      </c>
      <c r="DO115" s="395">
        <f t="shared" si="1107"/>
        <v>10046.337559075415</v>
      </c>
      <c r="DP115" s="396">
        <f t="shared" si="1107"/>
        <v>11025.928722759176</v>
      </c>
      <c r="DQ115" s="396">
        <f t="shared" si="1107"/>
        <v>16577.029484020037</v>
      </c>
      <c r="DR115" s="396">
        <f t="shared" si="1107"/>
        <v>11759.234475997726</v>
      </c>
      <c r="DS115" s="396">
        <f t="shared" si="1107"/>
        <v>14344.916959250499</v>
      </c>
      <c r="DT115" s="396">
        <f t="shared" si="1107"/>
        <v>16243.915412302227</v>
      </c>
      <c r="DU115" s="396">
        <f t="shared" si="1107"/>
        <v>15224.16011641439</v>
      </c>
      <c r="DV115" s="396">
        <f t="shared" si="1107"/>
        <v>14459.793811821004</v>
      </c>
      <c r="DW115" s="396">
        <f t="shared" si="1107"/>
        <v>14527.931575921073</v>
      </c>
      <c r="DX115" s="396">
        <f t="shared" si="1107"/>
        <v>15600.250261427602</v>
      </c>
      <c r="DY115" s="396">
        <f t="shared" si="1107"/>
        <v>17776.346366901533</v>
      </c>
      <c r="DZ115" s="396">
        <f t="shared" si="1107"/>
        <v>27887.940488541368</v>
      </c>
      <c r="EA115" s="395">
        <f t="shared" si="732"/>
        <v>185473.78523443209</v>
      </c>
      <c r="EB115" s="395">
        <f t="shared" ref="EB115:EM115" si="1108">+EB106</f>
        <v>11015.709524551659</v>
      </c>
      <c r="EC115" s="396">
        <f t="shared" si="1108"/>
        <v>10651.606000231264</v>
      </c>
      <c r="ED115" s="396">
        <f t="shared" si="1108"/>
        <v>17508.021517461642</v>
      </c>
      <c r="EE115" s="396">
        <f t="shared" si="1108"/>
        <v>14662.697353426973</v>
      </c>
      <c r="EF115" s="396">
        <f t="shared" si="1108"/>
        <v>15779.696716783215</v>
      </c>
      <c r="EG115" s="396">
        <f t="shared" si="1108"/>
        <v>16083.536960580928</v>
      </c>
      <c r="EH115" s="396">
        <f t="shared" si="1108"/>
        <v>16043.321946429916</v>
      </c>
      <c r="EI115" s="396">
        <f t="shared" si="1108"/>
        <v>14977.565085357015</v>
      </c>
      <c r="EJ115" s="396">
        <f t="shared" si="1108"/>
        <v>14068.907492705919</v>
      </c>
      <c r="EK115" s="396">
        <f t="shared" si="1108"/>
        <v>15692.151236326461</v>
      </c>
      <c r="EL115" s="396">
        <f t="shared" si="1108"/>
        <v>17723.191568652037</v>
      </c>
      <c r="EM115" s="396">
        <f t="shared" si="1108"/>
        <v>22410.176185486896</v>
      </c>
      <c r="EN115" s="398">
        <f t="shared" si="733"/>
        <v>186616.58158799395</v>
      </c>
      <c r="EO115" s="396">
        <f t="shared" ref="EO115:EZ115" si="1109">+EO106</f>
        <v>6180.2072097519958</v>
      </c>
      <c r="EP115" s="396">
        <f t="shared" si="1109"/>
        <v>11211.758037629956</v>
      </c>
      <c r="EQ115" s="396">
        <f t="shared" si="1109"/>
        <v>15582.01410402928</v>
      </c>
      <c r="ER115" s="396">
        <f t="shared" si="1109"/>
        <v>14593.333174706997</v>
      </c>
      <c r="ES115" s="396">
        <f t="shared" si="1109"/>
        <v>17564.02049946897</v>
      </c>
      <c r="ET115" s="396">
        <f t="shared" si="1109"/>
        <v>16153.609867514173</v>
      </c>
      <c r="EU115" s="396">
        <f t="shared" si="1109"/>
        <v>17536.620325969707</v>
      </c>
      <c r="EV115" s="396">
        <f t="shared" si="1109"/>
        <v>17696.467007517829</v>
      </c>
      <c r="EW115" s="396">
        <f t="shared" si="1109"/>
        <v>15906.94414350262</v>
      </c>
      <c r="EX115" s="396">
        <f t="shared" si="1109"/>
        <v>17146.617231939439</v>
      </c>
      <c r="EY115" s="396">
        <f t="shared" si="1109"/>
        <v>15452.201082142574</v>
      </c>
      <c r="EZ115" s="396">
        <f t="shared" si="1109"/>
        <v>25738.304899213959</v>
      </c>
      <c r="FA115" s="398">
        <f t="shared" si="734"/>
        <v>190762.09758338748</v>
      </c>
      <c r="FB115" s="396">
        <f t="shared" ref="FB115:FM115" si="1110">+FB106</f>
        <v>11788.434394014637</v>
      </c>
      <c r="FC115" s="396">
        <f t="shared" si="1110"/>
        <v>12167.828773392492</v>
      </c>
      <c r="FD115" s="396">
        <f t="shared" si="1110"/>
        <v>18601.194011500818</v>
      </c>
      <c r="FE115" s="396">
        <f t="shared" si="1110"/>
        <v>16322.053253949121</v>
      </c>
      <c r="FF115" s="396">
        <f t="shared" si="1110"/>
        <v>13079.199505596969</v>
      </c>
      <c r="FG115" s="396">
        <f t="shared" si="1110"/>
        <v>14594.843928771497</v>
      </c>
      <c r="FH115" s="396">
        <f t="shared" si="1110"/>
        <v>18589.28493060379</v>
      </c>
      <c r="FI115" s="396">
        <f t="shared" si="1110"/>
        <v>21490.691273071967</v>
      </c>
      <c r="FJ115" s="396">
        <f t="shared" si="1110"/>
        <v>29293.17009909224</v>
      </c>
      <c r="FK115" s="396">
        <f t="shared" si="1110"/>
        <v>36150.750067248897</v>
      </c>
      <c r="FL115" s="396">
        <f t="shared" si="1110"/>
        <v>49719.773928088718</v>
      </c>
      <c r="FM115" s="396">
        <f t="shared" si="1110"/>
        <v>79715.535110535711</v>
      </c>
      <c r="FN115" s="398">
        <f t="shared" si="735"/>
        <v>321512.75927586691</v>
      </c>
      <c r="FO115" s="396">
        <f t="shared" ref="FO115:GM115" si="1111">+FO106</f>
        <v>10165.712740556108</v>
      </c>
      <c r="FP115" s="396">
        <f t="shared" si="1111"/>
        <v>16835.620085425555</v>
      </c>
      <c r="FQ115" s="396">
        <f t="shared" si="1111"/>
        <v>29449.531077156367</v>
      </c>
      <c r="FR115" s="396">
        <f t="shared" si="1111"/>
        <v>16872.616835375862</v>
      </c>
      <c r="FS115" s="396">
        <f t="shared" si="1111"/>
        <v>23295.661148996136</v>
      </c>
      <c r="FT115" s="396">
        <f t="shared" si="1111"/>
        <v>24515.677683209164</v>
      </c>
      <c r="FU115" s="396">
        <f t="shared" si="1111"/>
        <v>25265.461444463803</v>
      </c>
      <c r="FV115" s="396">
        <f t="shared" si="1111"/>
        <v>22291.642399114731</v>
      </c>
      <c r="FW115" s="396">
        <f t="shared" si="1111"/>
        <v>20319.701436389856</v>
      </c>
      <c r="FX115" s="396">
        <f t="shared" si="1111"/>
        <v>21380.673947467505</v>
      </c>
      <c r="FY115" s="396">
        <f t="shared" si="1111"/>
        <v>23075.702665698802</v>
      </c>
      <c r="FZ115" s="397">
        <f t="shared" si="1111"/>
        <v>41415.92097283325</v>
      </c>
      <c r="GA115" s="397">
        <f t="shared" si="653"/>
        <v>274883.92243668716</v>
      </c>
      <c r="GB115" s="395">
        <f t="shared" si="1111"/>
        <v>11851.064522952975</v>
      </c>
      <c r="GC115" s="396">
        <f t="shared" si="1111"/>
        <v>14929.595204413788</v>
      </c>
      <c r="GD115" s="396">
        <f t="shared" si="1111"/>
        <v>23902.12712746222</v>
      </c>
      <c r="GE115" s="396">
        <f t="shared" si="1111"/>
        <v>19651.649187280826</v>
      </c>
      <c r="GF115" s="396">
        <f t="shared" si="1111"/>
        <v>21800.509821194206</v>
      </c>
      <c r="GG115" s="396">
        <f t="shared" si="1111"/>
        <v>21238.955555720142</v>
      </c>
      <c r="GH115" s="396">
        <f t="shared" si="1111"/>
        <v>28289.302170840798</v>
      </c>
      <c r="GI115" s="396">
        <f t="shared" si="1111"/>
        <v>21788.321391420184</v>
      </c>
      <c r="GJ115" s="396">
        <f t="shared" si="1111"/>
        <v>16687.838783452677</v>
      </c>
      <c r="GK115" s="396">
        <f t="shared" si="1111"/>
        <v>18541.461158764676</v>
      </c>
      <c r="GL115" s="386">
        <f t="shared" si="1111"/>
        <v>19224.663975575852</v>
      </c>
      <c r="GM115" s="392">
        <f t="shared" si="1111"/>
        <v>32101.499186668909</v>
      </c>
      <c r="GN115" s="398">
        <f>SUM(GB115:GM115)</f>
        <v>250006.98808574723</v>
      </c>
      <c r="GO115" s="395">
        <f t="shared" ref="GO115:GZ115" si="1112">+GO106</f>
        <v>23.7438824712338</v>
      </c>
      <c r="GP115" s="396">
        <f t="shared" si="1112"/>
        <v>173715.4098959277</v>
      </c>
      <c r="GQ115" s="396">
        <f t="shared" si="1112"/>
        <v>185942.59730548499</v>
      </c>
      <c r="GR115" s="396">
        <f t="shared" si="1112"/>
        <v>0</v>
      </c>
      <c r="GS115" s="396">
        <f t="shared" si="1112"/>
        <v>0</v>
      </c>
      <c r="GT115" s="396">
        <f t="shared" si="1112"/>
        <v>0</v>
      </c>
      <c r="GU115" s="396">
        <f t="shared" si="1112"/>
        <v>0</v>
      </c>
      <c r="GV115" s="396">
        <f t="shared" si="1112"/>
        <v>0</v>
      </c>
      <c r="GW115" s="396">
        <f t="shared" si="1112"/>
        <v>0</v>
      </c>
      <c r="GX115" s="396">
        <f t="shared" si="1112"/>
        <v>0</v>
      </c>
      <c r="GY115" s="396">
        <f t="shared" si="1112"/>
        <v>0</v>
      </c>
      <c r="GZ115" s="397">
        <f t="shared" si="1112"/>
        <v>0</v>
      </c>
      <c r="HA115" s="397">
        <f t="shared" si="656"/>
        <v>359681.75108388392</v>
      </c>
      <c r="HB115" s="395">
        <f t="shared" ref="HB115:HM115" si="1113">+HB106</f>
        <v>0</v>
      </c>
      <c r="HC115" s="396">
        <f t="shared" si="1113"/>
        <v>0</v>
      </c>
      <c r="HD115" s="396">
        <f t="shared" si="1113"/>
        <v>0</v>
      </c>
      <c r="HE115" s="396">
        <f t="shared" si="1113"/>
        <v>0</v>
      </c>
      <c r="HF115" s="396">
        <f t="shared" si="1113"/>
        <v>0</v>
      </c>
      <c r="HG115" s="396">
        <f t="shared" si="1113"/>
        <v>0</v>
      </c>
      <c r="HH115" s="396">
        <f t="shared" si="1113"/>
        <v>0</v>
      </c>
      <c r="HI115" s="396">
        <f t="shared" si="1113"/>
        <v>0</v>
      </c>
      <c r="HJ115" s="396">
        <f t="shared" si="1113"/>
        <v>0</v>
      </c>
      <c r="HK115" s="396">
        <f t="shared" si="1113"/>
        <v>0</v>
      </c>
      <c r="HL115" s="396">
        <f t="shared" si="1113"/>
        <v>0</v>
      </c>
      <c r="HM115" s="397">
        <f t="shared" si="1113"/>
        <v>0</v>
      </c>
      <c r="HN115" s="397">
        <f t="shared" si="658"/>
        <v>0</v>
      </c>
      <c r="HO115" s="396">
        <f t="shared" ref="HO115:HZ115" si="1114">+HO106</f>
        <v>0</v>
      </c>
      <c r="HP115" s="396">
        <f t="shared" si="1114"/>
        <v>0</v>
      </c>
      <c r="HQ115" s="396">
        <f t="shared" si="1114"/>
        <v>0</v>
      </c>
      <c r="HR115" s="396">
        <f t="shared" si="1114"/>
        <v>0</v>
      </c>
      <c r="HS115" s="396">
        <f t="shared" si="1114"/>
        <v>0</v>
      </c>
      <c r="HT115" s="396">
        <f t="shared" si="1114"/>
        <v>0</v>
      </c>
      <c r="HU115" s="396">
        <f t="shared" si="1114"/>
        <v>0</v>
      </c>
      <c r="HV115" s="396">
        <f t="shared" si="1114"/>
        <v>0</v>
      </c>
      <c r="HW115" s="396">
        <f t="shared" si="1114"/>
        <v>0</v>
      </c>
      <c r="HX115" s="396">
        <f t="shared" si="1114"/>
        <v>0</v>
      </c>
      <c r="HY115" s="396">
        <f t="shared" si="1114"/>
        <v>0</v>
      </c>
      <c r="HZ115" s="396">
        <f t="shared" si="1114"/>
        <v>0</v>
      </c>
      <c r="IA115" s="395">
        <f t="shared" si="660"/>
        <v>0</v>
      </c>
      <c r="IB115" s="1331">
        <f>+IB106</f>
        <v>0</v>
      </c>
      <c r="IC115" s="1332">
        <f>+IC106</f>
        <v>0</v>
      </c>
      <c r="ID115" s="1332">
        <f>+ID106</f>
        <v>0</v>
      </c>
      <c r="IE115" s="1332">
        <f>+IE106</f>
        <v>0</v>
      </c>
      <c r="IF115" s="1332">
        <f>+IF106</f>
        <v>0</v>
      </c>
      <c r="IG115" s="1332">
        <f t="shared" ref="IG115" si="1115">+IG106</f>
        <v>0</v>
      </c>
      <c r="IH115" s="1332">
        <f t="shared" ref="IH115" si="1116">+IH106</f>
        <v>0</v>
      </c>
      <c r="II115" s="1332">
        <f t="shared" ref="II115" si="1117">+II106</f>
        <v>0</v>
      </c>
      <c r="IJ115" s="1332"/>
      <c r="IK115" s="1332"/>
      <c r="IL115" s="1332"/>
      <c r="IM115" s="1290"/>
      <c r="IN115" s="1358">
        <f t="shared" si="680"/>
        <v>0</v>
      </c>
      <c r="IO115" s="1266"/>
      <c r="IP115" s="1389" t="str">
        <f t="shared" si="662"/>
        <v/>
      </c>
      <c r="IQ115" s="662" t="str">
        <f t="shared" si="663"/>
        <v>-</v>
      </c>
      <c r="IR115" s="350">
        <f t="shared" si="664"/>
        <v>0</v>
      </c>
      <c r="IS115" s="350">
        <f t="shared" si="665"/>
        <v>0</v>
      </c>
    </row>
    <row r="117" spans="1:253" ht="15" customHeight="1" x14ac:dyDescent="0.2">
      <c r="CI117" s="358"/>
    </row>
  </sheetData>
  <mergeCells count="2">
    <mergeCell ref="IP4:IQ4"/>
    <mergeCell ref="IP38:IQ38"/>
  </mergeCells>
  <printOptions horizontalCentered="1" verticalCentered="1"/>
  <pageMargins left="0.74803149606299213" right="0.74803149606299213" top="0.98425196850393704" bottom="0.98425196850393704" header="0" footer="0"/>
  <pageSetup paperSize="9" scale="10" orientation="landscape" horizontalDpi="4294967293" r:id="rId1"/>
  <headerFooter alignWithMargins="0"/>
  <colBreaks count="1" manualBreakCount="1">
    <brk id="131" max="70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1D3A4-E753-42D5-9FD5-2FFB9CDE43E0}">
  <sheetPr>
    <tabColor theme="7" tint="0.59999389629810485"/>
  </sheetPr>
  <dimension ref="A1:JD92"/>
  <sheetViews>
    <sheetView showGridLines="0" view="pageBreakPreview" zoomScale="80" zoomScaleSheetLayoutView="80" workbookViewId="0">
      <pane xSplit="1" topLeftCell="HO1" activePane="topRight" state="frozen"/>
      <selection activeCell="IB59" sqref="IB59:JB59"/>
      <selection pane="topRight" activeCell="II7" sqref="II7"/>
    </sheetView>
  </sheetViews>
  <sheetFormatPr baseColWidth="10" defaultColWidth="8.7109375" defaultRowHeight="13.9" customHeight="1" x14ac:dyDescent="0.2"/>
  <cols>
    <col min="1" max="1" width="30.7109375" style="105" customWidth="1"/>
    <col min="2" max="174" width="8.7109375" style="105"/>
    <col min="175" max="193" width="8.7109375" style="120"/>
    <col min="194" max="216" width="8.7109375" style="105"/>
    <col min="217" max="218" width="9.85546875" style="105" bestFit="1" customWidth="1"/>
    <col min="219" max="219" width="9.7109375" style="105" bestFit="1" customWidth="1"/>
    <col min="220" max="220" width="9.85546875" style="105" bestFit="1" customWidth="1"/>
    <col min="221" max="221" width="9.7109375" style="105" bestFit="1" customWidth="1"/>
    <col min="222" max="222" width="11.140625" style="105" bestFit="1" customWidth="1"/>
    <col min="223" max="224" width="8.7109375" style="105"/>
    <col min="225" max="225" width="9.85546875" style="105" bestFit="1" customWidth="1"/>
    <col min="226" max="227" width="8.7109375" style="105"/>
    <col min="228" max="228" width="9.85546875" style="105" bestFit="1" customWidth="1"/>
    <col min="229" max="231" width="8.7109375" style="105"/>
    <col min="232" max="232" width="9.7109375" style="105" bestFit="1" customWidth="1"/>
    <col min="233" max="233" width="8.7109375" style="105"/>
    <col min="234" max="234" width="9.7109375" style="105" bestFit="1" customWidth="1"/>
    <col min="235" max="235" width="10.7109375" style="105" customWidth="1"/>
    <col min="236" max="236" width="10.28515625" customWidth="1"/>
    <col min="237" max="237" width="9.42578125" customWidth="1"/>
    <col min="238" max="239" width="8.85546875" customWidth="1"/>
    <col min="240" max="240" width="11" customWidth="1"/>
    <col min="241" max="241" width="10.85546875" customWidth="1"/>
    <col min="242" max="242" width="9.42578125" customWidth="1"/>
    <col min="243" max="243" width="10.140625" customWidth="1"/>
    <col min="244" max="245" width="10" customWidth="1"/>
    <col min="246" max="246" width="9.85546875" customWidth="1"/>
    <col min="247" max="247" width="10.5703125" customWidth="1"/>
    <col min="248" max="248" width="10.42578125" customWidth="1"/>
    <col min="249" max="249" width="3.85546875" customWidth="1"/>
    <col min="250" max="250" width="7.42578125" style="105" customWidth="1"/>
    <col min="251" max="251" width="8.28515625" style="105" customWidth="1"/>
    <col min="252" max="253" width="11.85546875" style="105" bestFit="1" customWidth="1"/>
    <col min="254" max="254" width="3.5703125" style="105" customWidth="1"/>
    <col min="255" max="255" width="10.5703125" style="105" bestFit="1" customWidth="1"/>
    <col min="265" max="16384" width="8.7109375" style="105"/>
  </cols>
  <sheetData>
    <row r="1" spans="1:264" s="317" customFormat="1" ht="15" customHeight="1" x14ac:dyDescent="0.2">
      <c r="A1" s="1524" t="s">
        <v>332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6"/>
      <c r="AC1" s="316"/>
      <c r="AD1" s="316"/>
      <c r="AE1" s="316"/>
      <c r="AF1" s="316"/>
      <c r="AG1" s="316"/>
      <c r="AH1" s="316"/>
      <c r="AI1" s="316"/>
      <c r="AJ1" s="316"/>
      <c r="AK1" s="316"/>
      <c r="AL1" s="316"/>
      <c r="AM1" s="316"/>
      <c r="AN1" s="316"/>
      <c r="AO1" s="316"/>
      <c r="AP1" s="316"/>
      <c r="AQ1" s="316"/>
      <c r="AR1" s="316"/>
      <c r="AS1" s="316"/>
      <c r="AT1" s="316"/>
      <c r="AU1" s="316"/>
      <c r="AV1" s="316"/>
      <c r="AW1" s="316"/>
      <c r="AX1" s="316"/>
      <c r="AY1" s="316"/>
      <c r="AZ1" s="316"/>
      <c r="BA1" s="316"/>
      <c r="BB1" s="316"/>
      <c r="BC1" s="316"/>
      <c r="BD1" s="316"/>
      <c r="BE1" s="316"/>
      <c r="BF1" s="316"/>
      <c r="BG1" s="316"/>
      <c r="BH1" s="316"/>
      <c r="BI1" s="316"/>
      <c r="BJ1" s="316"/>
      <c r="BK1" s="316"/>
      <c r="BL1" s="316"/>
      <c r="BM1" s="316"/>
      <c r="BN1" s="316"/>
      <c r="BO1" s="316"/>
      <c r="BP1" s="316"/>
      <c r="BQ1" s="316"/>
      <c r="BR1" s="316"/>
      <c r="BS1" s="316"/>
      <c r="BT1" s="316"/>
      <c r="BU1" s="316"/>
      <c r="BV1" s="316"/>
      <c r="BW1" s="316"/>
      <c r="BX1" s="316"/>
      <c r="BY1" s="316"/>
      <c r="BZ1" s="316"/>
      <c r="CA1" s="316"/>
      <c r="CB1" s="316"/>
      <c r="CC1" s="316"/>
      <c r="CD1" s="316"/>
      <c r="CE1" s="316"/>
      <c r="CF1" s="316"/>
      <c r="CG1" s="316"/>
      <c r="CH1" s="316"/>
      <c r="CI1" s="316"/>
      <c r="CJ1" s="316"/>
      <c r="CK1" s="316"/>
      <c r="CL1" s="316"/>
      <c r="CM1" s="316"/>
      <c r="CN1" s="316"/>
      <c r="CO1" s="316"/>
      <c r="CP1" s="316"/>
      <c r="CQ1" s="316"/>
      <c r="CR1" s="316"/>
      <c r="CS1" s="316"/>
      <c r="CT1" s="316"/>
      <c r="CU1" s="316"/>
      <c r="CV1" s="316"/>
      <c r="CW1" s="316"/>
      <c r="CX1" s="316"/>
      <c r="CY1" s="316"/>
      <c r="CZ1" s="316"/>
      <c r="DA1" s="316"/>
      <c r="DB1" s="316"/>
      <c r="DC1" s="316"/>
      <c r="DD1" s="316"/>
      <c r="DE1" s="316"/>
      <c r="DF1" s="316"/>
      <c r="DG1" s="316"/>
      <c r="DH1" s="316"/>
      <c r="DI1" s="316"/>
      <c r="DJ1" s="316"/>
      <c r="DK1" s="316"/>
      <c r="DL1" s="316"/>
      <c r="DM1" s="316"/>
      <c r="DN1" s="316"/>
      <c r="DO1" s="316"/>
      <c r="DP1" s="316"/>
      <c r="DQ1" s="316"/>
      <c r="DR1" s="316"/>
      <c r="DS1" s="316"/>
      <c r="DT1" s="316"/>
      <c r="DU1" s="316"/>
      <c r="DV1" s="316"/>
      <c r="DW1" s="316"/>
      <c r="DX1" s="316"/>
      <c r="DY1" s="316"/>
      <c r="DZ1" s="316"/>
      <c r="EA1" s="316"/>
      <c r="EB1" s="316"/>
      <c r="EC1" s="316"/>
      <c r="ED1" s="316"/>
      <c r="EE1" s="316"/>
      <c r="EF1" s="316"/>
      <c r="EG1" s="316"/>
      <c r="EH1" s="316"/>
      <c r="EI1" s="316"/>
      <c r="EJ1" s="316"/>
      <c r="IB1" s="120"/>
      <c r="IC1" s="120"/>
      <c r="ID1" s="120"/>
      <c r="IE1" s="120"/>
      <c r="IF1" s="120"/>
      <c r="IG1" s="120"/>
      <c r="IH1" s="120"/>
      <c r="II1" s="120"/>
      <c r="IJ1" s="120"/>
      <c r="IK1" s="120"/>
      <c r="IL1" s="120"/>
      <c r="IM1" s="120"/>
      <c r="IN1" s="120"/>
      <c r="IO1" s="120"/>
      <c r="IV1"/>
      <c r="IW1"/>
      <c r="IX1"/>
      <c r="IY1"/>
      <c r="IZ1"/>
      <c r="JA1"/>
      <c r="JB1"/>
      <c r="JC1"/>
      <c r="JD1"/>
    </row>
    <row r="2" spans="1:264" s="317" customFormat="1" ht="15" customHeight="1" x14ac:dyDescent="0.2">
      <c r="A2" s="1524" t="s">
        <v>461</v>
      </c>
      <c r="B2" s="318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9"/>
      <c r="BN2" s="319"/>
      <c r="BO2" s="319"/>
      <c r="BP2" s="319"/>
      <c r="BQ2" s="319"/>
      <c r="BR2" s="319"/>
      <c r="BS2" s="319"/>
      <c r="BT2" s="319"/>
      <c r="BU2" s="319"/>
      <c r="BV2" s="319"/>
      <c r="BW2" s="319"/>
      <c r="BX2" s="319"/>
      <c r="BY2" s="319"/>
      <c r="BZ2" s="319"/>
      <c r="CA2" s="319"/>
      <c r="CB2" s="319"/>
      <c r="CC2" s="319"/>
      <c r="CD2" s="319"/>
      <c r="CE2" s="319"/>
      <c r="CF2" s="319"/>
      <c r="CG2" s="319"/>
      <c r="CH2" s="319"/>
      <c r="CI2" s="319"/>
      <c r="CJ2" s="319"/>
      <c r="CK2" s="319"/>
      <c r="CL2" s="319"/>
      <c r="CM2" s="319"/>
      <c r="CN2" s="319"/>
      <c r="CO2" s="319"/>
      <c r="CP2" s="319"/>
      <c r="CQ2" s="319"/>
      <c r="CR2" s="319"/>
      <c r="CS2" s="319"/>
      <c r="CT2" s="319"/>
      <c r="CU2" s="319"/>
      <c r="CV2" s="319"/>
      <c r="CW2" s="319"/>
      <c r="CX2" s="319"/>
      <c r="CY2" s="319"/>
      <c r="CZ2" s="319"/>
      <c r="DA2" s="319"/>
      <c r="DB2" s="319"/>
      <c r="DC2" s="319"/>
      <c r="DD2" s="319"/>
      <c r="DE2" s="319"/>
      <c r="DF2" s="319"/>
      <c r="DG2" s="319"/>
      <c r="DH2" s="319"/>
      <c r="DI2" s="319"/>
      <c r="DJ2" s="319"/>
      <c r="DK2" s="319"/>
      <c r="DL2" s="319"/>
      <c r="DM2" s="319"/>
      <c r="DN2" s="319"/>
      <c r="DO2" s="319"/>
      <c r="DP2" s="319"/>
      <c r="DQ2" s="319"/>
      <c r="DR2" s="319"/>
      <c r="DS2" s="319"/>
      <c r="DT2" s="319"/>
      <c r="DU2" s="319"/>
      <c r="DV2" s="319"/>
      <c r="DW2" s="319"/>
      <c r="DX2" s="319"/>
      <c r="DY2" s="319"/>
      <c r="DZ2" s="319"/>
      <c r="EA2" s="319"/>
      <c r="EB2" s="319"/>
      <c r="EC2" s="319"/>
      <c r="ED2" s="319"/>
      <c r="EE2" s="319"/>
      <c r="EF2" s="319"/>
      <c r="EG2" s="319"/>
      <c r="EH2" s="319"/>
      <c r="EI2" s="319"/>
      <c r="EJ2" s="319"/>
      <c r="EK2" s="320"/>
      <c r="EL2" s="320"/>
      <c r="EM2" s="320"/>
      <c r="EN2" s="320"/>
      <c r="EO2" s="320"/>
      <c r="EP2" s="320"/>
      <c r="EQ2" s="320"/>
      <c r="ER2" s="320"/>
      <c r="ES2" s="320"/>
      <c r="ET2" s="320"/>
      <c r="EU2" s="320"/>
      <c r="EV2" s="320"/>
      <c r="EW2" s="320"/>
      <c r="EX2" s="320"/>
      <c r="EY2" s="320"/>
      <c r="EZ2" s="320"/>
      <c r="FA2" s="320"/>
      <c r="FB2" s="320"/>
      <c r="FC2" s="320"/>
      <c r="FD2" s="320"/>
      <c r="FE2" s="320"/>
      <c r="FF2" s="320"/>
      <c r="FG2" s="320"/>
      <c r="FH2" s="320"/>
      <c r="FI2" s="320"/>
      <c r="GB2" s="321"/>
      <c r="GC2" s="321"/>
      <c r="GD2" s="321"/>
      <c r="GE2" s="321"/>
      <c r="GF2" s="321"/>
      <c r="GG2" s="321"/>
      <c r="GH2" s="321"/>
      <c r="GI2" s="321"/>
      <c r="GJ2" s="321"/>
      <c r="GK2" s="321"/>
      <c r="GL2" s="321"/>
      <c r="GM2" s="321"/>
      <c r="GN2" s="321"/>
      <c r="GO2" s="321"/>
      <c r="GP2" s="321"/>
      <c r="GQ2" s="321"/>
      <c r="GR2" s="321"/>
      <c r="GS2" s="321"/>
      <c r="GT2" s="321"/>
      <c r="GU2" s="321"/>
      <c r="GV2" s="321"/>
      <c r="GW2" s="321"/>
      <c r="GX2" s="321"/>
      <c r="GY2" s="321"/>
      <c r="GZ2" s="321"/>
      <c r="HA2" s="321"/>
      <c r="HB2" s="321"/>
      <c r="HC2" s="321"/>
      <c r="HD2" s="321"/>
      <c r="HE2" s="321"/>
      <c r="HF2" s="321"/>
      <c r="HG2" s="321"/>
      <c r="HH2" s="321"/>
      <c r="HI2" s="321"/>
      <c r="HJ2" s="321"/>
      <c r="HK2" s="321"/>
      <c r="HL2" s="321"/>
      <c r="HM2" s="321"/>
      <c r="HN2" s="321"/>
      <c r="HO2" s="321"/>
      <c r="HP2" s="321"/>
      <c r="HQ2" s="321"/>
      <c r="HR2" s="321"/>
      <c r="HS2" s="321"/>
      <c r="HT2" s="321"/>
      <c r="HU2" s="321"/>
      <c r="HV2" s="321"/>
      <c r="HW2" s="321"/>
      <c r="HX2" s="321"/>
      <c r="HY2" s="321"/>
      <c r="HZ2" s="321"/>
      <c r="IA2" s="321"/>
      <c r="IB2" s="120"/>
      <c r="IC2" s="120"/>
      <c r="ID2" s="120"/>
      <c r="IE2" s="120"/>
      <c r="IF2" s="120"/>
      <c r="IG2" s="120"/>
      <c r="IH2" s="120"/>
      <c r="II2" s="120"/>
      <c r="IJ2" s="120"/>
      <c r="IK2" s="120"/>
      <c r="IL2" s="120"/>
      <c r="IM2" s="120"/>
      <c r="IN2" s="120"/>
      <c r="IO2" s="120"/>
      <c r="IV2"/>
      <c r="IW2"/>
      <c r="IX2"/>
      <c r="IY2"/>
      <c r="IZ2"/>
      <c r="JA2"/>
      <c r="JB2"/>
      <c r="JC2"/>
      <c r="JD2"/>
    </row>
    <row r="3" spans="1:264" s="317" customFormat="1" ht="15" customHeight="1" x14ac:dyDescent="0.2">
      <c r="A3" s="1550" t="s">
        <v>618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6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  <c r="AX3" s="316"/>
      <c r="AY3" s="316"/>
      <c r="AZ3" s="316"/>
      <c r="BA3" s="316"/>
      <c r="BB3" s="316"/>
      <c r="BC3" s="316"/>
      <c r="BD3" s="316"/>
      <c r="BE3" s="316"/>
      <c r="BF3" s="316"/>
      <c r="BG3" s="316"/>
      <c r="BH3" s="316"/>
      <c r="BI3" s="316"/>
      <c r="BJ3" s="316"/>
      <c r="BK3" s="316"/>
      <c r="BL3" s="316"/>
      <c r="BM3" s="316"/>
      <c r="BN3" s="316"/>
      <c r="BO3" s="316"/>
      <c r="BP3" s="316"/>
      <c r="BQ3" s="316"/>
      <c r="BR3" s="316"/>
      <c r="BS3" s="316"/>
      <c r="BT3" s="316"/>
      <c r="BU3" s="316"/>
      <c r="BV3" s="316"/>
      <c r="BW3" s="316"/>
      <c r="BX3" s="316"/>
      <c r="BY3" s="316"/>
      <c r="BZ3" s="316"/>
      <c r="CA3" s="316"/>
      <c r="CB3" s="316"/>
      <c r="CC3" s="316"/>
      <c r="CD3" s="316"/>
      <c r="CE3" s="316"/>
      <c r="CF3" s="316"/>
      <c r="CG3" s="316"/>
      <c r="CH3" s="316"/>
      <c r="CI3" s="316"/>
      <c r="CJ3" s="316"/>
      <c r="CK3" s="316"/>
      <c r="CL3" s="316"/>
      <c r="CM3" s="316"/>
      <c r="CN3" s="316"/>
      <c r="CO3" s="316"/>
      <c r="CP3" s="316"/>
      <c r="CQ3" s="316"/>
      <c r="CR3" s="316"/>
      <c r="CS3" s="316"/>
      <c r="CT3" s="316"/>
      <c r="CU3" s="316"/>
      <c r="CV3" s="316"/>
      <c r="CW3" s="316"/>
      <c r="CX3" s="316"/>
      <c r="CY3" s="316"/>
      <c r="CZ3" s="316"/>
      <c r="DA3" s="316"/>
      <c r="DB3" s="316"/>
      <c r="DC3" s="316"/>
      <c r="DD3" s="316"/>
      <c r="DE3" s="316"/>
      <c r="DF3" s="316"/>
      <c r="DG3" s="316"/>
      <c r="DH3" s="316"/>
      <c r="DI3" s="316"/>
      <c r="DJ3" s="316"/>
      <c r="DK3" s="316"/>
      <c r="DL3" s="316"/>
      <c r="DM3" s="316"/>
      <c r="DN3" s="316"/>
      <c r="DO3" s="316"/>
      <c r="DP3" s="316"/>
      <c r="DQ3" s="316"/>
      <c r="DR3" s="316"/>
      <c r="DS3" s="316"/>
      <c r="DT3" s="316"/>
      <c r="DU3" s="316"/>
      <c r="DV3" s="316"/>
      <c r="DW3" s="316"/>
      <c r="DX3" s="316"/>
      <c r="DY3" s="316"/>
      <c r="DZ3" s="316"/>
      <c r="EA3" s="316"/>
      <c r="EB3" s="316"/>
      <c r="EC3" s="316"/>
      <c r="ED3" s="316"/>
      <c r="EE3" s="316"/>
      <c r="EF3" s="316"/>
      <c r="EG3" s="316"/>
      <c r="EH3" s="316"/>
      <c r="EI3" s="316"/>
      <c r="EJ3" s="316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V3"/>
      <c r="IW3"/>
      <c r="IX3"/>
      <c r="IY3"/>
      <c r="IZ3"/>
      <c r="JA3"/>
      <c r="JB3"/>
      <c r="JC3"/>
      <c r="JD3"/>
    </row>
    <row r="4" spans="1:264" s="1530" customFormat="1" ht="15" customHeight="1" x14ac:dyDescent="0.2">
      <c r="A4" s="1525"/>
      <c r="B4" s="1526">
        <f>YEAR(B5)</f>
        <v>2008</v>
      </c>
      <c r="C4" s="1527"/>
      <c r="D4" s="1527"/>
      <c r="E4" s="1527"/>
      <c r="F4" s="1527"/>
      <c r="G4" s="1527"/>
      <c r="H4" s="1527"/>
      <c r="I4" s="1527"/>
      <c r="J4" s="1527"/>
      <c r="K4" s="1527"/>
      <c r="L4" s="1527"/>
      <c r="M4" s="1527"/>
      <c r="N4" s="1528" t="s">
        <v>29</v>
      </c>
      <c r="O4" s="1526">
        <f>YEAR(O5)</f>
        <v>2009</v>
      </c>
      <c r="P4" s="1527"/>
      <c r="Q4" s="1527"/>
      <c r="R4" s="1527"/>
      <c r="S4" s="1527"/>
      <c r="T4" s="1527"/>
      <c r="U4" s="1527"/>
      <c r="V4" s="1527"/>
      <c r="W4" s="1527"/>
      <c r="X4" s="1527"/>
      <c r="Y4" s="1527"/>
      <c r="Z4" s="1527"/>
      <c r="AA4" s="1528" t="s">
        <v>29</v>
      </c>
      <c r="AB4" s="1526">
        <f>YEAR(AB5)</f>
        <v>2010</v>
      </c>
      <c r="AC4" s="1527"/>
      <c r="AD4" s="1527"/>
      <c r="AE4" s="1527"/>
      <c r="AF4" s="1527"/>
      <c r="AG4" s="1527"/>
      <c r="AH4" s="1527"/>
      <c r="AI4" s="1527"/>
      <c r="AJ4" s="1527"/>
      <c r="AK4" s="1527"/>
      <c r="AL4" s="1527"/>
      <c r="AM4" s="1527"/>
      <c r="AN4" s="1528" t="s">
        <v>29</v>
      </c>
      <c r="AO4" s="1526">
        <f>YEAR(AO5)</f>
        <v>2011</v>
      </c>
      <c r="AP4" s="1527"/>
      <c r="AQ4" s="1527"/>
      <c r="AR4" s="1527"/>
      <c r="AS4" s="1527"/>
      <c r="AT4" s="1527"/>
      <c r="AU4" s="1527"/>
      <c r="AV4" s="1527"/>
      <c r="AW4" s="1527"/>
      <c r="AX4" s="1527"/>
      <c r="AY4" s="1527"/>
      <c r="AZ4" s="1527"/>
      <c r="BA4" s="1528" t="s">
        <v>29</v>
      </c>
      <c r="BB4" s="1526">
        <f>YEAR(BB5)</f>
        <v>2012</v>
      </c>
      <c r="BC4" s="1527"/>
      <c r="BD4" s="1527"/>
      <c r="BE4" s="1527"/>
      <c r="BF4" s="1527"/>
      <c r="BG4" s="1527"/>
      <c r="BH4" s="1527"/>
      <c r="BI4" s="1527"/>
      <c r="BJ4" s="1527"/>
      <c r="BK4" s="1527"/>
      <c r="BL4" s="1527"/>
      <c r="BM4" s="1527"/>
      <c r="BN4" s="1528" t="s">
        <v>29</v>
      </c>
      <c r="BO4" s="1526">
        <f>YEAR(BO5)</f>
        <v>2013</v>
      </c>
      <c r="BP4" s="1527"/>
      <c r="BQ4" s="1527"/>
      <c r="BR4" s="1527"/>
      <c r="BS4" s="1527"/>
      <c r="BT4" s="1527"/>
      <c r="BU4" s="1527"/>
      <c r="BV4" s="1527"/>
      <c r="BW4" s="1527"/>
      <c r="BX4" s="1527"/>
      <c r="BY4" s="1527"/>
      <c r="BZ4" s="1527"/>
      <c r="CA4" s="1528" t="s">
        <v>29</v>
      </c>
      <c r="CB4" s="1526">
        <f>YEAR(CB5)</f>
        <v>2014</v>
      </c>
      <c r="CC4" s="1527"/>
      <c r="CD4" s="1527"/>
      <c r="CE4" s="1527"/>
      <c r="CF4" s="1527"/>
      <c r="CG4" s="1527"/>
      <c r="CH4" s="1527"/>
      <c r="CI4" s="1527"/>
      <c r="CJ4" s="1527"/>
      <c r="CK4" s="1527"/>
      <c r="CL4" s="1527"/>
      <c r="CM4" s="1527"/>
      <c r="CN4" s="1528" t="s">
        <v>29</v>
      </c>
      <c r="CO4" s="1526">
        <f>YEAR(CO5)</f>
        <v>2015</v>
      </c>
      <c r="CP4" s="1527"/>
      <c r="CQ4" s="1527"/>
      <c r="CR4" s="1527"/>
      <c r="CS4" s="1527"/>
      <c r="CT4" s="1527"/>
      <c r="CU4" s="1527"/>
      <c r="CV4" s="1527"/>
      <c r="CW4" s="1527"/>
      <c r="CX4" s="1527"/>
      <c r="CY4" s="1527"/>
      <c r="CZ4" s="1527"/>
      <c r="DA4" s="1528" t="s">
        <v>29</v>
      </c>
      <c r="DB4" s="1526">
        <f>YEAR(DB5)</f>
        <v>2016</v>
      </c>
      <c r="DC4" s="1527"/>
      <c r="DD4" s="1527"/>
      <c r="DE4" s="1527"/>
      <c r="DF4" s="1527"/>
      <c r="DG4" s="1527"/>
      <c r="DH4" s="1527"/>
      <c r="DI4" s="1527"/>
      <c r="DJ4" s="1527"/>
      <c r="DK4" s="1527"/>
      <c r="DL4" s="1527"/>
      <c r="DM4" s="1527"/>
      <c r="DN4" s="1528" t="s">
        <v>29</v>
      </c>
      <c r="DO4" s="1526">
        <f>YEAR(DO5)</f>
        <v>2017</v>
      </c>
      <c r="DP4" s="1527"/>
      <c r="DQ4" s="1527"/>
      <c r="DR4" s="1527"/>
      <c r="DS4" s="1527"/>
      <c r="DT4" s="1527"/>
      <c r="DU4" s="1527"/>
      <c r="DV4" s="1527"/>
      <c r="DW4" s="1527"/>
      <c r="DX4" s="1527"/>
      <c r="DY4" s="1527"/>
      <c r="DZ4" s="1527"/>
      <c r="EA4" s="1528" t="s">
        <v>29</v>
      </c>
      <c r="EB4" s="1526">
        <f>YEAR(EB5)</f>
        <v>2018</v>
      </c>
      <c r="EC4" s="1527"/>
      <c r="ED4" s="1527"/>
      <c r="EE4" s="1527"/>
      <c r="EF4" s="1527"/>
      <c r="EG4" s="1527"/>
      <c r="EH4" s="1527"/>
      <c r="EI4" s="1527"/>
      <c r="EJ4" s="1527"/>
      <c r="EK4" s="1527"/>
      <c r="EL4" s="1527"/>
      <c r="EM4" s="1527"/>
      <c r="EN4" s="1528" t="s">
        <v>29</v>
      </c>
      <c r="EO4" s="1526">
        <f>YEAR(EO5)</f>
        <v>2019</v>
      </c>
      <c r="EP4" s="1527"/>
      <c r="EQ4" s="1527"/>
      <c r="ER4" s="1527"/>
      <c r="ES4" s="1527"/>
      <c r="ET4" s="1527"/>
      <c r="EU4" s="1527"/>
      <c r="EV4" s="1527"/>
      <c r="EW4" s="1527"/>
      <c r="EX4" s="1527"/>
      <c r="EY4" s="1527"/>
      <c r="EZ4" s="1527"/>
      <c r="FA4" s="1528" t="s">
        <v>29</v>
      </c>
      <c r="FB4" s="1526">
        <f>YEAR(FB5)</f>
        <v>2020</v>
      </c>
      <c r="FC4" s="1527"/>
      <c r="FD4" s="1527"/>
      <c r="FE4" s="1527"/>
      <c r="FF4" s="1527"/>
      <c r="FG4" s="1527"/>
      <c r="FH4" s="1527"/>
      <c r="FI4" s="1527"/>
      <c r="FJ4" s="1527"/>
      <c r="FK4" s="1527"/>
      <c r="FL4" s="1527"/>
      <c r="FM4" s="1527"/>
      <c r="FN4" s="1528" t="s">
        <v>29</v>
      </c>
      <c r="FO4" s="1526">
        <f>YEAR(FO5)</f>
        <v>2021</v>
      </c>
      <c r="FP4" s="1527"/>
      <c r="FQ4" s="1527"/>
      <c r="FR4" s="1527"/>
      <c r="FS4" s="1527"/>
      <c r="FT4" s="1527"/>
      <c r="FU4" s="1527"/>
      <c r="FV4" s="1527"/>
      <c r="FW4" s="1527"/>
      <c r="FX4" s="1527"/>
      <c r="FY4" s="1527"/>
      <c r="FZ4" s="1527"/>
      <c r="GA4" s="1528" t="s">
        <v>29</v>
      </c>
      <c r="GB4" s="1526">
        <f>YEAR(GB5)</f>
        <v>2022</v>
      </c>
      <c r="GC4" s="1527"/>
      <c r="GD4" s="1527"/>
      <c r="GE4" s="1527"/>
      <c r="GF4" s="1527"/>
      <c r="GG4" s="1527"/>
      <c r="GH4" s="1527"/>
      <c r="GI4" s="1527"/>
      <c r="GJ4" s="1527"/>
      <c r="GK4" s="1527"/>
      <c r="GL4" s="1527"/>
      <c r="GM4" s="1527"/>
      <c r="GN4" s="1528" t="s">
        <v>29</v>
      </c>
      <c r="GO4" s="1526">
        <f>YEAR(GO5)</f>
        <v>2023</v>
      </c>
      <c r="GP4" s="1527"/>
      <c r="GQ4" s="1527"/>
      <c r="GR4" s="1527"/>
      <c r="GS4" s="1527"/>
      <c r="GT4" s="1527"/>
      <c r="GU4" s="1527"/>
      <c r="GV4" s="1527"/>
      <c r="GW4" s="1527"/>
      <c r="GX4" s="1527"/>
      <c r="GY4" s="1527"/>
      <c r="GZ4" s="1527"/>
      <c r="HA4" s="1528" t="s">
        <v>29</v>
      </c>
      <c r="HB4" s="1526">
        <f>YEAR(HB5)</f>
        <v>2024</v>
      </c>
      <c r="HC4" s="1527"/>
      <c r="HD4" s="1527"/>
      <c r="HE4" s="1527"/>
      <c r="HF4" s="1527"/>
      <c r="HG4" s="1527"/>
      <c r="HH4" s="1527"/>
      <c r="HI4" s="1527"/>
      <c r="HJ4" s="1527"/>
      <c r="HK4" s="1527"/>
      <c r="HL4" s="1527"/>
      <c r="HM4" s="1527"/>
      <c r="HN4" s="1528" t="s">
        <v>29</v>
      </c>
      <c r="HO4" s="1526">
        <f>YEAR(HO5)</f>
        <v>2025</v>
      </c>
      <c r="HP4" s="1527"/>
      <c r="HQ4" s="1527"/>
      <c r="HR4" s="1527"/>
      <c r="HS4" s="1527"/>
      <c r="HT4" s="1527"/>
      <c r="HU4" s="1527"/>
      <c r="HV4" s="1527"/>
      <c r="HW4" s="1527"/>
      <c r="HX4" s="1527"/>
      <c r="HY4" s="1527"/>
      <c r="HZ4" s="1527"/>
      <c r="IA4" s="1529" t="s">
        <v>29</v>
      </c>
      <c r="IB4" s="1526">
        <f>YEAR(IB5)</f>
        <v>2026</v>
      </c>
      <c r="IC4" s="1527"/>
      <c r="ID4" s="1527"/>
      <c r="IE4" s="1527"/>
      <c r="IF4" s="1527"/>
      <c r="IG4" s="1527"/>
      <c r="IH4" s="1527"/>
      <c r="II4" s="1420"/>
      <c r="IJ4" s="1527"/>
      <c r="IK4" s="1527"/>
      <c r="IL4" s="1527"/>
      <c r="IM4" s="1527"/>
      <c r="IN4" s="1533" t="s">
        <v>29</v>
      </c>
      <c r="IO4" s="1422"/>
      <c r="IP4" s="1692" t="str">
        <f>CONCATENATE("Var.% ",IS4,"/",IS4-1)</f>
        <v>Var.% 2026/2025</v>
      </c>
      <c r="IQ4" s="1693"/>
      <c r="IR4" s="1534">
        <f>IS4-1</f>
        <v>2025</v>
      </c>
      <c r="IS4" s="1534">
        <f>YEAR(IP5)</f>
        <v>2026</v>
      </c>
      <c r="IV4"/>
      <c r="IW4"/>
      <c r="IX4"/>
      <c r="IY4"/>
      <c r="IZ4"/>
      <c r="JA4"/>
      <c r="JB4"/>
      <c r="JC4"/>
      <c r="JD4"/>
    </row>
    <row r="5" spans="1:264" s="1530" customFormat="1" ht="15" customHeight="1" x14ac:dyDescent="0.2">
      <c r="A5" s="1531"/>
      <c r="B5" s="1429">
        <v>39448</v>
      </c>
      <c r="C5" s="1430">
        <v>39479</v>
      </c>
      <c r="D5" s="1430">
        <v>39508</v>
      </c>
      <c r="E5" s="1430">
        <v>39539</v>
      </c>
      <c r="F5" s="1430">
        <v>39569</v>
      </c>
      <c r="G5" s="1430">
        <v>39600</v>
      </c>
      <c r="H5" s="1430">
        <v>39630</v>
      </c>
      <c r="I5" s="1430">
        <v>39661</v>
      </c>
      <c r="J5" s="1430">
        <v>39692</v>
      </c>
      <c r="K5" s="1430">
        <v>39722</v>
      </c>
      <c r="L5" s="1430">
        <v>39753</v>
      </c>
      <c r="M5" s="1430">
        <v>39783</v>
      </c>
      <c r="N5" s="1432">
        <f>YEAR(M5)</f>
        <v>2008</v>
      </c>
      <c r="O5" s="1429">
        <v>39814</v>
      </c>
      <c r="P5" s="1430">
        <v>39845</v>
      </c>
      <c r="Q5" s="1430">
        <v>39873</v>
      </c>
      <c r="R5" s="1430">
        <v>39904</v>
      </c>
      <c r="S5" s="1430">
        <v>39934</v>
      </c>
      <c r="T5" s="1430">
        <v>39965</v>
      </c>
      <c r="U5" s="1430">
        <v>39995</v>
      </c>
      <c r="V5" s="1430">
        <v>40026</v>
      </c>
      <c r="W5" s="1430">
        <v>40057</v>
      </c>
      <c r="X5" s="1430">
        <v>40087</v>
      </c>
      <c r="Y5" s="1430">
        <v>40118</v>
      </c>
      <c r="Z5" s="1430">
        <v>40148</v>
      </c>
      <c r="AA5" s="1432">
        <f>YEAR(Z5)</f>
        <v>2009</v>
      </c>
      <c r="AB5" s="1429">
        <v>40179</v>
      </c>
      <c r="AC5" s="1430">
        <v>40210</v>
      </c>
      <c r="AD5" s="1430">
        <v>40238</v>
      </c>
      <c r="AE5" s="1430">
        <v>40269</v>
      </c>
      <c r="AF5" s="1430">
        <v>40299</v>
      </c>
      <c r="AG5" s="1430">
        <v>40330</v>
      </c>
      <c r="AH5" s="1430">
        <v>40360</v>
      </c>
      <c r="AI5" s="1430">
        <v>40391</v>
      </c>
      <c r="AJ5" s="1430">
        <v>40422</v>
      </c>
      <c r="AK5" s="1430">
        <v>40452</v>
      </c>
      <c r="AL5" s="1430">
        <v>40483</v>
      </c>
      <c r="AM5" s="1430">
        <v>40513</v>
      </c>
      <c r="AN5" s="1432">
        <f>YEAR(AM5)</f>
        <v>2010</v>
      </c>
      <c r="AO5" s="1429">
        <v>40544</v>
      </c>
      <c r="AP5" s="1430">
        <v>40575</v>
      </c>
      <c r="AQ5" s="1430">
        <v>40603</v>
      </c>
      <c r="AR5" s="1430">
        <v>40634</v>
      </c>
      <c r="AS5" s="1430">
        <v>40664</v>
      </c>
      <c r="AT5" s="1430">
        <v>40695</v>
      </c>
      <c r="AU5" s="1430">
        <v>40725</v>
      </c>
      <c r="AV5" s="1430">
        <v>40756</v>
      </c>
      <c r="AW5" s="1430">
        <v>40787</v>
      </c>
      <c r="AX5" s="1430">
        <v>40817</v>
      </c>
      <c r="AY5" s="1430">
        <v>40848</v>
      </c>
      <c r="AZ5" s="1430">
        <v>40878</v>
      </c>
      <c r="BA5" s="1432">
        <f>YEAR(AZ5)</f>
        <v>2011</v>
      </c>
      <c r="BB5" s="1429">
        <v>40909</v>
      </c>
      <c r="BC5" s="1430">
        <v>40940</v>
      </c>
      <c r="BD5" s="1430">
        <v>40969</v>
      </c>
      <c r="BE5" s="1430">
        <v>41000</v>
      </c>
      <c r="BF5" s="1430">
        <v>41030</v>
      </c>
      <c r="BG5" s="1430">
        <v>41061</v>
      </c>
      <c r="BH5" s="1430">
        <v>41091</v>
      </c>
      <c r="BI5" s="1430">
        <v>41122</v>
      </c>
      <c r="BJ5" s="1430">
        <v>41153</v>
      </c>
      <c r="BK5" s="1430">
        <v>41183</v>
      </c>
      <c r="BL5" s="1430">
        <v>41214</v>
      </c>
      <c r="BM5" s="1430">
        <v>41244</v>
      </c>
      <c r="BN5" s="1432">
        <f>YEAR(BM5)</f>
        <v>2012</v>
      </c>
      <c r="BO5" s="1429">
        <v>41275</v>
      </c>
      <c r="BP5" s="1430">
        <v>41306</v>
      </c>
      <c r="BQ5" s="1430">
        <v>41334</v>
      </c>
      <c r="BR5" s="1430">
        <v>41365</v>
      </c>
      <c r="BS5" s="1430">
        <v>41395</v>
      </c>
      <c r="BT5" s="1430">
        <v>41426</v>
      </c>
      <c r="BU5" s="1430">
        <v>41456</v>
      </c>
      <c r="BV5" s="1430">
        <v>41487</v>
      </c>
      <c r="BW5" s="1430">
        <v>41518</v>
      </c>
      <c r="BX5" s="1430">
        <v>41548</v>
      </c>
      <c r="BY5" s="1430">
        <v>41579</v>
      </c>
      <c r="BZ5" s="1430">
        <v>41609</v>
      </c>
      <c r="CA5" s="1432">
        <f>YEAR(BZ5)</f>
        <v>2013</v>
      </c>
      <c r="CB5" s="1429">
        <v>41640</v>
      </c>
      <c r="CC5" s="1430">
        <v>41671</v>
      </c>
      <c r="CD5" s="1430">
        <v>41699</v>
      </c>
      <c r="CE5" s="1430">
        <v>41730</v>
      </c>
      <c r="CF5" s="1430">
        <v>41760</v>
      </c>
      <c r="CG5" s="1430">
        <v>41791</v>
      </c>
      <c r="CH5" s="1430">
        <v>41821</v>
      </c>
      <c r="CI5" s="1430">
        <v>41852</v>
      </c>
      <c r="CJ5" s="1430">
        <v>41883</v>
      </c>
      <c r="CK5" s="1430">
        <v>41913</v>
      </c>
      <c r="CL5" s="1430">
        <v>41944</v>
      </c>
      <c r="CM5" s="1430">
        <v>41974</v>
      </c>
      <c r="CN5" s="1432">
        <f>YEAR(CM5)</f>
        <v>2014</v>
      </c>
      <c r="CO5" s="1429">
        <v>42005</v>
      </c>
      <c r="CP5" s="1430">
        <v>42036</v>
      </c>
      <c r="CQ5" s="1430">
        <v>42064</v>
      </c>
      <c r="CR5" s="1430">
        <v>42095</v>
      </c>
      <c r="CS5" s="1430">
        <v>42125</v>
      </c>
      <c r="CT5" s="1430">
        <v>42156</v>
      </c>
      <c r="CU5" s="1430">
        <v>42186</v>
      </c>
      <c r="CV5" s="1430">
        <v>42217</v>
      </c>
      <c r="CW5" s="1430">
        <v>42248</v>
      </c>
      <c r="CX5" s="1430">
        <v>42278</v>
      </c>
      <c r="CY5" s="1430">
        <v>42309</v>
      </c>
      <c r="CZ5" s="1430">
        <v>42339</v>
      </c>
      <c r="DA5" s="1432">
        <f>YEAR(CZ5)</f>
        <v>2015</v>
      </c>
      <c r="DB5" s="1429">
        <v>42370</v>
      </c>
      <c r="DC5" s="1430">
        <v>42401</v>
      </c>
      <c r="DD5" s="1430">
        <v>42430</v>
      </c>
      <c r="DE5" s="1430">
        <v>42461</v>
      </c>
      <c r="DF5" s="1430">
        <v>42491</v>
      </c>
      <c r="DG5" s="1430">
        <v>42522</v>
      </c>
      <c r="DH5" s="1430">
        <v>42552</v>
      </c>
      <c r="DI5" s="1430">
        <v>42583</v>
      </c>
      <c r="DJ5" s="1430">
        <v>42614</v>
      </c>
      <c r="DK5" s="1430">
        <v>42644</v>
      </c>
      <c r="DL5" s="1430">
        <v>42675</v>
      </c>
      <c r="DM5" s="1430">
        <v>42705</v>
      </c>
      <c r="DN5" s="1432">
        <f>YEAR(DM5)</f>
        <v>2016</v>
      </c>
      <c r="DO5" s="1429">
        <v>42736</v>
      </c>
      <c r="DP5" s="1430">
        <v>42767</v>
      </c>
      <c r="DQ5" s="1430">
        <v>42795</v>
      </c>
      <c r="DR5" s="1430">
        <v>42826</v>
      </c>
      <c r="DS5" s="1430">
        <v>42856</v>
      </c>
      <c r="DT5" s="1430">
        <v>42887</v>
      </c>
      <c r="DU5" s="1430">
        <v>42917</v>
      </c>
      <c r="DV5" s="1430">
        <v>42948</v>
      </c>
      <c r="DW5" s="1430">
        <v>42979</v>
      </c>
      <c r="DX5" s="1430">
        <v>43009</v>
      </c>
      <c r="DY5" s="1430">
        <v>43040</v>
      </c>
      <c r="DZ5" s="1430">
        <v>43070</v>
      </c>
      <c r="EA5" s="1432">
        <f>YEAR(DZ5)</f>
        <v>2017</v>
      </c>
      <c r="EB5" s="1429">
        <v>43101</v>
      </c>
      <c r="EC5" s="1430">
        <v>43132</v>
      </c>
      <c r="ED5" s="1430">
        <v>43160</v>
      </c>
      <c r="EE5" s="1430">
        <v>43191</v>
      </c>
      <c r="EF5" s="1430">
        <v>43221</v>
      </c>
      <c r="EG5" s="1430">
        <v>43252</v>
      </c>
      <c r="EH5" s="1430">
        <v>43282</v>
      </c>
      <c r="EI5" s="1430">
        <v>43313</v>
      </c>
      <c r="EJ5" s="1430">
        <v>43344</v>
      </c>
      <c r="EK5" s="1430">
        <v>43374</v>
      </c>
      <c r="EL5" s="1430">
        <v>43405</v>
      </c>
      <c r="EM5" s="1430">
        <v>43435</v>
      </c>
      <c r="EN5" s="1432">
        <f>YEAR(EM5)</f>
        <v>2018</v>
      </c>
      <c r="EO5" s="1429">
        <v>43466</v>
      </c>
      <c r="EP5" s="1430">
        <v>43497</v>
      </c>
      <c r="EQ5" s="1430">
        <v>43525</v>
      </c>
      <c r="ER5" s="1430">
        <v>43556</v>
      </c>
      <c r="ES5" s="1430">
        <v>43586</v>
      </c>
      <c r="ET5" s="1430">
        <v>43617</v>
      </c>
      <c r="EU5" s="1430">
        <v>43647</v>
      </c>
      <c r="EV5" s="1430">
        <v>43678</v>
      </c>
      <c r="EW5" s="1430">
        <v>43709</v>
      </c>
      <c r="EX5" s="1430">
        <v>43739</v>
      </c>
      <c r="EY5" s="1430">
        <v>43770</v>
      </c>
      <c r="EZ5" s="1430">
        <v>43800</v>
      </c>
      <c r="FA5" s="1432">
        <f>YEAR(EZ5)</f>
        <v>2019</v>
      </c>
      <c r="FB5" s="1429">
        <v>43831</v>
      </c>
      <c r="FC5" s="1430">
        <v>43862</v>
      </c>
      <c r="FD5" s="1430">
        <v>43891</v>
      </c>
      <c r="FE5" s="1430">
        <v>43922</v>
      </c>
      <c r="FF5" s="1430">
        <v>43952</v>
      </c>
      <c r="FG5" s="1430">
        <v>43983</v>
      </c>
      <c r="FH5" s="1430">
        <v>44013</v>
      </c>
      <c r="FI5" s="1430">
        <v>44044</v>
      </c>
      <c r="FJ5" s="1430">
        <v>44075</v>
      </c>
      <c r="FK5" s="1430">
        <v>44105</v>
      </c>
      <c r="FL5" s="1430">
        <v>44136</v>
      </c>
      <c r="FM5" s="1430">
        <v>44166</v>
      </c>
      <c r="FN5" s="1432">
        <f>YEAR(FM5)</f>
        <v>2020</v>
      </c>
      <c r="FO5" s="1429">
        <v>44197</v>
      </c>
      <c r="FP5" s="1430">
        <v>44228</v>
      </c>
      <c r="FQ5" s="1430">
        <v>44256</v>
      </c>
      <c r="FR5" s="1430">
        <v>44287</v>
      </c>
      <c r="FS5" s="1430">
        <v>44317</v>
      </c>
      <c r="FT5" s="1430">
        <v>44348</v>
      </c>
      <c r="FU5" s="1430">
        <v>44378</v>
      </c>
      <c r="FV5" s="1430">
        <v>44409</v>
      </c>
      <c r="FW5" s="1430">
        <v>44440</v>
      </c>
      <c r="FX5" s="1430">
        <v>44470</v>
      </c>
      <c r="FY5" s="1430">
        <v>44501</v>
      </c>
      <c r="FZ5" s="1430">
        <v>44531</v>
      </c>
      <c r="GA5" s="1432">
        <f>YEAR(FZ5)</f>
        <v>2021</v>
      </c>
      <c r="GB5" s="1429">
        <v>44562</v>
      </c>
      <c r="GC5" s="1430">
        <v>44593</v>
      </c>
      <c r="GD5" s="1430">
        <v>44621</v>
      </c>
      <c r="GE5" s="1430">
        <v>44652</v>
      </c>
      <c r="GF5" s="1430">
        <v>44682</v>
      </c>
      <c r="GG5" s="1430">
        <v>44713</v>
      </c>
      <c r="GH5" s="1430">
        <v>44743</v>
      </c>
      <c r="GI5" s="1430">
        <v>44774</v>
      </c>
      <c r="GJ5" s="1430">
        <v>44805</v>
      </c>
      <c r="GK5" s="1430">
        <v>44835</v>
      </c>
      <c r="GL5" s="1430">
        <v>44866</v>
      </c>
      <c r="GM5" s="1430">
        <v>44896</v>
      </c>
      <c r="GN5" s="1432">
        <f>YEAR(GM5)</f>
        <v>2022</v>
      </c>
      <c r="GO5" s="1429">
        <v>44927</v>
      </c>
      <c r="GP5" s="1430">
        <v>44958</v>
      </c>
      <c r="GQ5" s="1430">
        <v>44986</v>
      </c>
      <c r="GR5" s="1430">
        <v>45017</v>
      </c>
      <c r="GS5" s="1430">
        <v>45047</v>
      </c>
      <c r="GT5" s="1430">
        <v>45078</v>
      </c>
      <c r="GU5" s="1430">
        <v>45108</v>
      </c>
      <c r="GV5" s="1430">
        <v>45139</v>
      </c>
      <c r="GW5" s="1430">
        <v>45170</v>
      </c>
      <c r="GX5" s="1430">
        <v>45200</v>
      </c>
      <c r="GY5" s="1430">
        <v>45231</v>
      </c>
      <c r="GZ5" s="1430">
        <v>45261</v>
      </c>
      <c r="HA5" s="1432">
        <f>YEAR(GZ5)</f>
        <v>2023</v>
      </c>
      <c r="HB5" s="1429">
        <v>45292</v>
      </c>
      <c r="HC5" s="1430">
        <v>45323</v>
      </c>
      <c r="HD5" s="1430">
        <v>45352</v>
      </c>
      <c r="HE5" s="1430">
        <v>45383</v>
      </c>
      <c r="HF5" s="1430">
        <v>45413</v>
      </c>
      <c r="HG5" s="1430">
        <v>45444</v>
      </c>
      <c r="HH5" s="1430">
        <v>45474</v>
      </c>
      <c r="HI5" s="1430">
        <v>45505</v>
      </c>
      <c r="HJ5" s="1430">
        <v>45536</v>
      </c>
      <c r="HK5" s="1430">
        <v>45566</v>
      </c>
      <c r="HL5" s="1430">
        <v>45597</v>
      </c>
      <c r="HM5" s="1430">
        <v>45627</v>
      </c>
      <c r="HN5" s="1432">
        <f>YEAR(HM5)</f>
        <v>2024</v>
      </c>
      <c r="HO5" s="1429">
        <v>45658</v>
      </c>
      <c r="HP5" s="1430">
        <v>45689</v>
      </c>
      <c r="HQ5" s="1430">
        <v>45717</v>
      </c>
      <c r="HR5" s="1430">
        <v>45748</v>
      </c>
      <c r="HS5" s="1430">
        <v>45778</v>
      </c>
      <c r="HT5" s="1430">
        <v>45809</v>
      </c>
      <c r="HU5" s="1430">
        <v>45839</v>
      </c>
      <c r="HV5" s="1430">
        <v>45870</v>
      </c>
      <c r="HW5" s="1430">
        <v>45901</v>
      </c>
      <c r="HX5" s="1430">
        <v>45931</v>
      </c>
      <c r="HY5" s="1430">
        <v>45962</v>
      </c>
      <c r="HZ5" s="1430">
        <v>45992</v>
      </c>
      <c r="IA5" s="1532">
        <f>YEAR(HZ5)</f>
        <v>2025</v>
      </c>
      <c r="IB5" s="1429">
        <v>46023</v>
      </c>
      <c r="IC5" s="1430">
        <v>46054</v>
      </c>
      <c r="ID5" s="1430">
        <v>46082</v>
      </c>
      <c r="IE5" s="1430">
        <v>46113</v>
      </c>
      <c r="IF5" s="1430">
        <v>46143</v>
      </c>
      <c r="IG5" s="1430">
        <v>46174</v>
      </c>
      <c r="IH5" s="1430">
        <v>46204</v>
      </c>
      <c r="II5" s="1430">
        <v>46235</v>
      </c>
      <c r="IJ5" s="1430">
        <v>46266</v>
      </c>
      <c r="IK5" s="1430">
        <v>46296</v>
      </c>
      <c r="IL5" s="1430">
        <v>46327</v>
      </c>
      <c r="IM5" s="1430">
        <v>46357</v>
      </c>
      <c r="IN5" s="1431">
        <f>YEAR(IM5)</f>
        <v>2026</v>
      </c>
      <c r="IO5" s="1422"/>
      <c r="IP5" s="1433">
        <f>IH5</f>
        <v>46204</v>
      </c>
      <c r="IQ5" s="1535" t="str">
        <f>CONCATENATE("Ene.-",TEXT(IP5,"MMM."))</f>
        <v>Ene.-Jul.</v>
      </c>
      <c r="IR5" s="1535" t="str">
        <f>IQ5</f>
        <v>Ene.-Jul.</v>
      </c>
      <c r="IS5" s="1535" t="str">
        <f>IQ5</f>
        <v>Ene.-Jul.</v>
      </c>
      <c r="IV5"/>
      <c r="IW5"/>
      <c r="IX5"/>
      <c r="IY5"/>
      <c r="IZ5"/>
      <c r="JA5"/>
      <c r="JB5"/>
      <c r="JC5"/>
      <c r="JD5"/>
    </row>
    <row r="6" spans="1:264" s="317" customFormat="1" ht="15" customHeight="1" x14ac:dyDescent="0.2">
      <c r="A6" s="331"/>
      <c r="B6" s="373"/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87"/>
      <c r="N6" s="375"/>
      <c r="O6" s="373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87"/>
      <c r="AA6" s="375"/>
      <c r="AB6" s="373"/>
      <c r="AC6" s="374"/>
      <c r="AD6" s="374"/>
      <c r="AE6" s="374"/>
      <c r="AF6" s="374"/>
      <c r="AG6" s="374"/>
      <c r="AH6" s="374"/>
      <c r="AI6" s="374"/>
      <c r="AJ6" s="374"/>
      <c r="AK6" s="374"/>
      <c r="AL6" s="374"/>
      <c r="AM6" s="387"/>
      <c r="AN6" s="375"/>
      <c r="AO6" s="373"/>
      <c r="AP6" s="374"/>
      <c r="AQ6" s="374"/>
      <c r="AR6" s="374"/>
      <c r="AS6" s="374"/>
      <c r="AT6" s="374"/>
      <c r="AU6" s="374"/>
      <c r="AV6" s="374"/>
      <c r="AW6" s="374"/>
      <c r="AX6" s="374"/>
      <c r="AY6" s="374"/>
      <c r="AZ6" s="387"/>
      <c r="BA6" s="375"/>
      <c r="BB6" s="373"/>
      <c r="BC6" s="374"/>
      <c r="BD6" s="374"/>
      <c r="BE6" s="374"/>
      <c r="BF6" s="374"/>
      <c r="BG6" s="374"/>
      <c r="BH6" s="374"/>
      <c r="BI6" s="374"/>
      <c r="BJ6" s="374"/>
      <c r="BK6" s="374"/>
      <c r="BL6" s="374"/>
      <c r="BM6" s="387"/>
      <c r="BN6" s="375"/>
      <c r="BO6" s="373"/>
      <c r="BP6" s="374"/>
      <c r="BQ6" s="374"/>
      <c r="BR6" s="374"/>
      <c r="BS6" s="374"/>
      <c r="BT6" s="374"/>
      <c r="BU6" s="374"/>
      <c r="BV6" s="374"/>
      <c r="BW6" s="374"/>
      <c r="BX6" s="374"/>
      <c r="BY6" s="374"/>
      <c r="BZ6" s="387"/>
      <c r="CA6" s="375"/>
      <c r="CB6" s="373"/>
      <c r="CC6" s="374"/>
      <c r="CD6" s="374"/>
      <c r="CE6" s="374"/>
      <c r="CF6" s="374"/>
      <c r="CG6" s="374"/>
      <c r="CH6" s="374"/>
      <c r="CI6" s="374"/>
      <c r="CJ6" s="374"/>
      <c r="CK6" s="374"/>
      <c r="CL6" s="374"/>
      <c r="CM6" s="387"/>
      <c r="CN6" s="375"/>
      <c r="CO6" s="373"/>
      <c r="CP6" s="374"/>
      <c r="CQ6" s="374"/>
      <c r="CR6" s="374"/>
      <c r="CS6" s="374"/>
      <c r="CT6" s="374"/>
      <c r="CU6" s="374"/>
      <c r="CV6" s="374"/>
      <c r="CW6" s="374"/>
      <c r="CX6" s="374"/>
      <c r="CY6" s="374"/>
      <c r="CZ6" s="387"/>
      <c r="DA6" s="375"/>
      <c r="DB6" s="373"/>
      <c r="DC6" s="374"/>
      <c r="DD6" s="374"/>
      <c r="DE6" s="374"/>
      <c r="DF6" s="374"/>
      <c r="DG6" s="374"/>
      <c r="DH6" s="374"/>
      <c r="DI6" s="374"/>
      <c r="DJ6" s="374"/>
      <c r="DK6" s="374"/>
      <c r="DL6" s="374"/>
      <c r="DM6" s="387"/>
      <c r="DN6" s="375"/>
      <c r="DO6" s="373"/>
      <c r="DP6" s="374"/>
      <c r="DQ6" s="374"/>
      <c r="DR6" s="374"/>
      <c r="DS6" s="374"/>
      <c r="DT6" s="374"/>
      <c r="DU6" s="374"/>
      <c r="DV6" s="374"/>
      <c r="DW6" s="374"/>
      <c r="DX6" s="374"/>
      <c r="DY6" s="374"/>
      <c r="DZ6" s="387"/>
      <c r="EA6" s="375"/>
      <c r="EB6" s="373"/>
      <c r="EC6" s="374"/>
      <c r="ED6" s="374"/>
      <c r="EE6" s="374"/>
      <c r="EF6" s="374"/>
      <c r="EG6" s="374"/>
      <c r="EH6" s="374"/>
      <c r="EI6" s="374"/>
      <c r="EJ6" s="374"/>
      <c r="EK6" s="374"/>
      <c r="EL6" s="374"/>
      <c r="EM6" s="387"/>
      <c r="EN6" s="375"/>
      <c r="EO6" s="373"/>
      <c r="EP6" s="374"/>
      <c r="EQ6" s="374"/>
      <c r="ER6" s="374"/>
      <c r="ES6" s="374"/>
      <c r="ET6" s="374"/>
      <c r="EU6" s="374"/>
      <c r="EV6" s="374"/>
      <c r="EW6" s="374"/>
      <c r="EX6" s="374"/>
      <c r="EY6" s="374"/>
      <c r="EZ6" s="387"/>
      <c r="FA6" s="375"/>
      <c r="FB6" s="373"/>
      <c r="FC6" s="374"/>
      <c r="FD6" s="374"/>
      <c r="FE6" s="374"/>
      <c r="FF6" s="374"/>
      <c r="FG6" s="374"/>
      <c r="FH6" s="374"/>
      <c r="FI6" s="374"/>
      <c r="FJ6" s="374"/>
      <c r="FK6" s="374"/>
      <c r="FL6" s="374"/>
      <c r="FM6" s="387"/>
      <c r="FN6" s="375"/>
      <c r="FO6" s="373"/>
      <c r="FP6" s="374"/>
      <c r="FQ6" s="374"/>
      <c r="FR6" s="374"/>
      <c r="FS6" s="374"/>
      <c r="FT6" s="374"/>
      <c r="FU6" s="374"/>
      <c r="FV6" s="374"/>
      <c r="FW6" s="374"/>
      <c r="FX6" s="374"/>
      <c r="FY6" s="374"/>
      <c r="FZ6" s="387"/>
      <c r="GA6" s="375"/>
      <c r="GB6" s="373"/>
      <c r="GC6" s="374"/>
      <c r="GD6" s="374"/>
      <c r="GE6" s="374"/>
      <c r="GF6" s="374"/>
      <c r="GG6" s="374"/>
      <c r="GH6" s="374"/>
      <c r="GI6" s="374"/>
      <c r="GJ6" s="374"/>
      <c r="GK6" s="374"/>
      <c r="GL6" s="374"/>
      <c r="GM6" s="387"/>
      <c r="GN6" s="375"/>
      <c r="GO6" s="373"/>
      <c r="GP6" s="374"/>
      <c r="GQ6" s="374"/>
      <c r="GR6" s="374"/>
      <c r="GS6" s="374"/>
      <c r="GT6" s="374"/>
      <c r="GU6" s="374"/>
      <c r="GV6" s="374"/>
      <c r="GW6" s="374"/>
      <c r="GX6" s="374"/>
      <c r="GY6" s="374"/>
      <c r="GZ6" s="387"/>
      <c r="HA6" s="375"/>
      <c r="HB6" s="373"/>
      <c r="HC6" s="374"/>
      <c r="HD6" s="374"/>
      <c r="HE6" s="374"/>
      <c r="HF6" s="374"/>
      <c r="HG6" s="374"/>
      <c r="HH6" s="374"/>
      <c r="HI6" s="374"/>
      <c r="HJ6" s="374"/>
      <c r="HK6" s="374"/>
      <c r="HL6" s="374"/>
      <c r="HM6" s="387"/>
      <c r="HN6" s="375"/>
      <c r="HO6" s="1652"/>
      <c r="HP6" s="1653"/>
      <c r="HQ6" s="1653"/>
      <c r="HR6" s="1653"/>
      <c r="HS6" s="1653"/>
      <c r="HT6" s="1653"/>
      <c r="HU6" s="1653"/>
      <c r="HV6" s="1653"/>
      <c r="HW6" s="1653"/>
      <c r="HX6" s="1653"/>
      <c r="HY6" s="1653"/>
      <c r="HZ6" s="1654"/>
      <c r="IA6" s="1652"/>
      <c r="IB6" s="1354"/>
      <c r="IC6" s="1355"/>
      <c r="ID6" s="1355"/>
      <c r="IE6" s="1355"/>
      <c r="IF6" s="1355"/>
      <c r="IG6" s="1355"/>
      <c r="IH6" s="1355"/>
      <c r="II6" s="1355"/>
      <c r="IJ6" s="1355"/>
      <c r="IK6" s="1355"/>
      <c r="IL6" s="1355"/>
      <c r="IM6" s="1356"/>
      <c r="IN6" s="1357"/>
      <c r="IO6"/>
      <c r="IP6" s="1592"/>
      <c r="IQ6" s="1593"/>
      <c r="IR6" s="1594"/>
      <c r="IS6" s="1595"/>
      <c r="IT6" s="1655"/>
      <c r="IU6" s="1655"/>
      <c r="IV6"/>
      <c r="IW6"/>
      <c r="IX6"/>
      <c r="IY6"/>
      <c r="IZ6"/>
      <c r="JA6"/>
      <c r="JB6"/>
      <c r="JC6"/>
      <c r="JD6"/>
    </row>
    <row r="7" spans="1:264" s="1523" customFormat="1" ht="15" customHeight="1" x14ac:dyDescent="0.2">
      <c r="A7" s="1511" t="s">
        <v>304</v>
      </c>
      <c r="B7" s="1588">
        <f t="shared" ref="B7:M7" si="0">SUM(B9:B29)</f>
        <v>1655</v>
      </c>
      <c r="C7" s="1589">
        <f t="shared" si="0"/>
        <v>3825</v>
      </c>
      <c r="D7" s="1589">
        <f t="shared" si="0"/>
        <v>8043</v>
      </c>
      <c r="E7" s="1589">
        <f t="shared" si="0"/>
        <v>6147</v>
      </c>
      <c r="F7" s="1589">
        <f t="shared" si="0"/>
        <v>8272</v>
      </c>
      <c r="G7" s="1589">
        <f t="shared" si="0"/>
        <v>15588</v>
      </c>
      <c r="H7" s="1589">
        <f t="shared" si="0"/>
        <v>45110</v>
      </c>
      <c r="I7" s="1589">
        <f t="shared" si="0"/>
        <v>18854</v>
      </c>
      <c r="J7" s="1589">
        <f t="shared" si="0"/>
        <v>10255</v>
      </c>
      <c r="K7" s="1589">
        <f t="shared" si="0"/>
        <v>15502</v>
      </c>
      <c r="L7" s="1589">
        <f t="shared" si="0"/>
        <v>16454</v>
      </c>
      <c r="M7" s="1590">
        <f t="shared" si="0"/>
        <v>81317</v>
      </c>
      <c r="N7" s="1591">
        <f t="shared" ref="N7:N29" si="1">SUM(B7:M7)</f>
        <v>231022</v>
      </c>
      <c r="O7" s="1588">
        <f t="shared" ref="O7:Z7" si="2">SUM(O9:O29)</f>
        <v>6428</v>
      </c>
      <c r="P7" s="1589">
        <f t="shared" si="2"/>
        <v>9622</v>
      </c>
      <c r="Q7" s="1589">
        <f t="shared" si="2"/>
        <v>11475</v>
      </c>
      <c r="R7" s="1589">
        <f t="shared" si="2"/>
        <v>34763</v>
      </c>
      <c r="S7" s="1589">
        <f t="shared" si="2"/>
        <v>13739</v>
      </c>
      <c r="T7" s="1589">
        <f t="shared" si="2"/>
        <v>13158</v>
      </c>
      <c r="U7" s="1589">
        <f t="shared" si="2"/>
        <v>15448</v>
      </c>
      <c r="V7" s="1589">
        <f t="shared" si="2"/>
        <v>14048</v>
      </c>
      <c r="W7" s="1589">
        <f t="shared" si="2"/>
        <v>20920</v>
      </c>
      <c r="X7" s="1589">
        <f t="shared" si="2"/>
        <v>20644</v>
      </c>
      <c r="Y7" s="1589">
        <f t="shared" si="2"/>
        <v>19092</v>
      </c>
      <c r="Z7" s="1590">
        <f t="shared" si="2"/>
        <v>39888</v>
      </c>
      <c r="AA7" s="1591">
        <f t="shared" ref="AA7:AA29" si="3">SUM(O7:Z7)</f>
        <v>219225</v>
      </c>
      <c r="AB7" s="1588">
        <f t="shared" ref="AB7:AM7" si="4">SUM(AB9:AB29)</f>
        <v>2800</v>
      </c>
      <c r="AC7" s="1589">
        <f t="shared" si="4"/>
        <v>25192</v>
      </c>
      <c r="AD7" s="1589">
        <f t="shared" si="4"/>
        <v>13901</v>
      </c>
      <c r="AE7" s="1589">
        <f t="shared" si="4"/>
        <v>14314</v>
      </c>
      <c r="AF7" s="1589">
        <f t="shared" si="4"/>
        <v>23015</v>
      </c>
      <c r="AG7" s="1589">
        <f t="shared" si="4"/>
        <v>25150</v>
      </c>
      <c r="AH7" s="1589">
        <f t="shared" si="4"/>
        <v>19299</v>
      </c>
      <c r="AI7" s="1589">
        <f t="shared" si="4"/>
        <v>18636</v>
      </c>
      <c r="AJ7" s="1589">
        <f t="shared" si="4"/>
        <v>14606</v>
      </c>
      <c r="AK7" s="1589">
        <f t="shared" si="4"/>
        <v>16977</v>
      </c>
      <c r="AL7" s="1589">
        <f t="shared" si="4"/>
        <v>17713</v>
      </c>
      <c r="AM7" s="1590">
        <f t="shared" si="4"/>
        <v>30530</v>
      </c>
      <c r="AN7" s="1591">
        <f t="shared" ref="AN7:AN29" si="5">SUM(AB7:AM7)</f>
        <v>222133</v>
      </c>
      <c r="AO7" s="1588">
        <f t="shared" ref="AO7:AZ7" si="6">SUM(AO9:AO29)</f>
        <v>12628</v>
      </c>
      <c r="AP7" s="1589">
        <f t="shared" si="6"/>
        <v>10187</v>
      </c>
      <c r="AQ7" s="1589">
        <f t="shared" si="6"/>
        <v>22324</v>
      </c>
      <c r="AR7" s="1589">
        <f t="shared" si="6"/>
        <v>6861</v>
      </c>
      <c r="AS7" s="1589">
        <f t="shared" si="6"/>
        <v>14405</v>
      </c>
      <c r="AT7" s="1589">
        <f t="shared" si="6"/>
        <v>17211</v>
      </c>
      <c r="AU7" s="1589">
        <f t="shared" si="6"/>
        <v>8555</v>
      </c>
      <c r="AV7" s="1589">
        <f t="shared" si="6"/>
        <v>30423</v>
      </c>
      <c r="AW7" s="1589">
        <f t="shared" si="6"/>
        <v>25539</v>
      </c>
      <c r="AX7" s="1589">
        <f t="shared" si="6"/>
        <v>30108</v>
      </c>
      <c r="AY7" s="1589">
        <f t="shared" si="6"/>
        <v>26602</v>
      </c>
      <c r="AZ7" s="1590">
        <f t="shared" si="6"/>
        <v>55631</v>
      </c>
      <c r="BA7" s="1591">
        <f t="shared" ref="BA7:BA29" si="7">SUM(AO7:AZ7)</f>
        <v>260474</v>
      </c>
      <c r="BB7" s="1588">
        <f t="shared" ref="BB7:BM7" si="8">SUM(BB9:BB29)</f>
        <v>12026</v>
      </c>
      <c r="BC7" s="1589">
        <f t="shared" si="8"/>
        <v>11858</v>
      </c>
      <c r="BD7" s="1589">
        <f t="shared" si="8"/>
        <v>13039</v>
      </c>
      <c r="BE7" s="1589">
        <f t="shared" si="8"/>
        <v>10087</v>
      </c>
      <c r="BF7" s="1589">
        <f t="shared" si="8"/>
        <v>34815</v>
      </c>
      <c r="BG7" s="1589">
        <f t="shared" si="8"/>
        <v>38647</v>
      </c>
      <c r="BH7" s="1589">
        <f t="shared" si="8"/>
        <v>14490</v>
      </c>
      <c r="BI7" s="1589">
        <f t="shared" si="8"/>
        <v>18613</v>
      </c>
      <c r="BJ7" s="1589">
        <f t="shared" si="8"/>
        <v>20958</v>
      </c>
      <c r="BK7" s="1589">
        <f t="shared" si="8"/>
        <v>61801</v>
      </c>
      <c r="BL7" s="1589">
        <f t="shared" si="8"/>
        <v>79362</v>
      </c>
      <c r="BM7" s="1590">
        <f t="shared" si="8"/>
        <v>34833</v>
      </c>
      <c r="BN7" s="1591">
        <f t="shared" ref="BN7:BN28" si="9">SUM(BB7:BM7)</f>
        <v>350529</v>
      </c>
      <c r="BO7" s="1588">
        <f t="shared" ref="BO7:BZ7" si="10">SUM(BO9:BO29)</f>
        <v>5470</v>
      </c>
      <c r="BP7" s="1589">
        <f t="shared" si="10"/>
        <v>26238</v>
      </c>
      <c r="BQ7" s="1589">
        <f t="shared" si="10"/>
        <v>28467</v>
      </c>
      <c r="BR7" s="1589">
        <f t="shared" si="10"/>
        <v>41210</v>
      </c>
      <c r="BS7" s="1589">
        <f t="shared" si="10"/>
        <v>27832</v>
      </c>
      <c r="BT7" s="1589">
        <f t="shared" si="10"/>
        <v>52663</v>
      </c>
      <c r="BU7" s="1589">
        <f t="shared" si="10"/>
        <v>3907.7219999999998</v>
      </c>
      <c r="BV7" s="1589">
        <f t="shared" si="10"/>
        <v>20209</v>
      </c>
      <c r="BW7" s="1589">
        <f t="shared" si="10"/>
        <v>34113</v>
      </c>
      <c r="BX7" s="1589">
        <f t="shared" si="10"/>
        <v>55607</v>
      </c>
      <c r="BY7" s="1589">
        <f t="shared" si="10"/>
        <v>61650.19</v>
      </c>
      <c r="BZ7" s="1590">
        <f t="shared" si="10"/>
        <v>34843</v>
      </c>
      <c r="CA7" s="1591">
        <f t="shared" ref="CA7:CA29" si="11">SUM(BO7:BZ7)</f>
        <v>392209.91200000001</v>
      </c>
      <c r="CB7" s="1588">
        <f t="shared" ref="CB7:CM7" si="12">SUM(CB9:CB29)</f>
        <v>48870</v>
      </c>
      <c r="CC7" s="1589">
        <f t="shared" si="12"/>
        <v>25955</v>
      </c>
      <c r="CD7" s="1589">
        <f t="shared" si="12"/>
        <v>21799</v>
      </c>
      <c r="CE7" s="1589">
        <f t="shared" si="12"/>
        <v>13057.7</v>
      </c>
      <c r="CF7" s="1589">
        <f t="shared" si="12"/>
        <v>23096</v>
      </c>
      <c r="CG7" s="1589">
        <f t="shared" si="12"/>
        <v>84001</v>
      </c>
      <c r="CH7" s="1589">
        <f t="shared" si="12"/>
        <v>19339</v>
      </c>
      <c r="CI7" s="1589">
        <f t="shared" si="12"/>
        <v>28911</v>
      </c>
      <c r="CJ7" s="1589">
        <f t="shared" si="12"/>
        <v>32268.38</v>
      </c>
      <c r="CK7" s="1589">
        <f t="shared" si="12"/>
        <v>14571</v>
      </c>
      <c r="CL7" s="1589">
        <f t="shared" si="12"/>
        <v>37281</v>
      </c>
      <c r="CM7" s="1590">
        <f t="shared" si="12"/>
        <v>108396.9</v>
      </c>
      <c r="CN7" s="1591">
        <f t="shared" ref="CN7:CN29" si="13">SUM(CB7:CM7)</f>
        <v>457545.98</v>
      </c>
      <c r="CO7" s="1588">
        <f t="shared" ref="CO7:CZ7" si="14">SUM(CO9:CO29)</f>
        <v>12506</v>
      </c>
      <c r="CP7" s="1589">
        <f t="shared" si="14"/>
        <v>11365</v>
      </c>
      <c r="CQ7" s="1589">
        <f t="shared" si="14"/>
        <v>15887</v>
      </c>
      <c r="CR7" s="1589">
        <f t="shared" si="14"/>
        <v>72418.38</v>
      </c>
      <c r="CS7" s="1589">
        <f t="shared" si="14"/>
        <v>809</v>
      </c>
      <c r="CT7" s="1589">
        <f t="shared" si="14"/>
        <v>11924</v>
      </c>
      <c r="CU7" s="1589">
        <f t="shared" si="14"/>
        <v>31520</v>
      </c>
      <c r="CV7" s="1589">
        <f t="shared" si="14"/>
        <v>54640</v>
      </c>
      <c r="CW7" s="1589">
        <f t="shared" si="14"/>
        <v>70267</v>
      </c>
      <c r="CX7" s="1589">
        <f t="shared" si="14"/>
        <v>75249</v>
      </c>
      <c r="CY7" s="1589">
        <f t="shared" si="14"/>
        <v>98767</v>
      </c>
      <c r="CZ7" s="1590">
        <f t="shared" si="14"/>
        <v>155573</v>
      </c>
      <c r="DA7" s="1591">
        <f t="shared" ref="DA7:DA36" si="15">SUM(CO7:CZ7)</f>
        <v>610925.38</v>
      </c>
      <c r="DB7" s="1588">
        <f t="shared" ref="DB7:DM7" si="16">SUM(DB8:DB29)</f>
        <v>2463</v>
      </c>
      <c r="DC7" s="1589">
        <f t="shared" si="16"/>
        <v>15630</v>
      </c>
      <c r="DD7" s="1589">
        <f t="shared" si="16"/>
        <v>25637</v>
      </c>
      <c r="DE7" s="1589">
        <f t="shared" si="16"/>
        <v>42857</v>
      </c>
      <c r="DF7" s="1589">
        <f t="shared" si="16"/>
        <v>29991</v>
      </c>
      <c r="DG7" s="1589">
        <f t="shared" si="16"/>
        <v>40215</v>
      </c>
      <c r="DH7" s="1589">
        <f t="shared" si="16"/>
        <v>47763</v>
      </c>
      <c r="DI7" s="1589">
        <f t="shared" si="16"/>
        <v>49407</v>
      </c>
      <c r="DJ7" s="1589">
        <f t="shared" si="16"/>
        <v>36050</v>
      </c>
      <c r="DK7" s="1589">
        <f t="shared" si="16"/>
        <v>30834</v>
      </c>
      <c r="DL7" s="1589">
        <f t="shared" si="16"/>
        <v>24195</v>
      </c>
      <c r="DM7" s="1590">
        <f t="shared" si="16"/>
        <v>95030</v>
      </c>
      <c r="DN7" s="1591">
        <f>SUM(DB7:DM7)</f>
        <v>440072</v>
      </c>
      <c r="DO7" s="1588">
        <f t="shared" ref="DO7:DZ7" si="17">SUM(DO8:DO29)</f>
        <v>2210</v>
      </c>
      <c r="DP7" s="1589">
        <f t="shared" si="17"/>
        <v>16268</v>
      </c>
      <c r="DQ7" s="1589">
        <f t="shared" si="17"/>
        <v>47413</v>
      </c>
      <c r="DR7" s="1589">
        <f t="shared" si="17"/>
        <v>21067</v>
      </c>
      <c r="DS7" s="1589">
        <f t="shared" si="17"/>
        <v>27977</v>
      </c>
      <c r="DT7" s="1589">
        <f t="shared" si="17"/>
        <v>26728</v>
      </c>
      <c r="DU7" s="1589">
        <f t="shared" si="17"/>
        <v>24845</v>
      </c>
      <c r="DV7" s="1589">
        <f t="shared" si="17"/>
        <v>33573</v>
      </c>
      <c r="DW7" s="1589">
        <f t="shared" si="17"/>
        <v>25950</v>
      </c>
      <c r="DX7" s="1589">
        <f t="shared" si="17"/>
        <v>31551</v>
      </c>
      <c r="DY7" s="1589">
        <f t="shared" si="17"/>
        <v>28597</v>
      </c>
      <c r="DZ7" s="1590">
        <f t="shared" si="17"/>
        <v>73134</v>
      </c>
      <c r="EA7" s="1591">
        <f>SUM(DO7:DZ7)</f>
        <v>359313</v>
      </c>
      <c r="EB7" s="1588">
        <f t="shared" ref="EB7:EM7" si="18">SUM(EB8:EB29)</f>
        <v>4600</v>
      </c>
      <c r="EC7" s="1589">
        <f t="shared" si="18"/>
        <v>12253</v>
      </c>
      <c r="ED7" s="1589">
        <f t="shared" si="18"/>
        <v>17066</v>
      </c>
      <c r="EE7" s="1589">
        <f t="shared" si="18"/>
        <v>25516</v>
      </c>
      <c r="EF7" s="1589">
        <f t="shared" si="18"/>
        <v>18917</v>
      </c>
      <c r="EG7" s="1589">
        <f t="shared" si="18"/>
        <v>19911</v>
      </c>
      <c r="EH7" s="1589">
        <f t="shared" si="18"/>
        <v>16183</v>
      </c>
      <c r="EI7" s="1589">
        <f t="shared" si="18"/>
        <v>17220</v>
      </c>
      <c r="EJ7" s="1589">
        <f t="shared" si="18"/>
        <v>17315</v>
      </c>
      <c r="EK7" s="1589">
        <f t="shared" si="18"/>
        <v>21612</v>
      </c>
      <c r="EL7" s="1589">
        <f t="shared" si="18"/>
        <v>27145</v>
      </c>
      <c r="EM7" s="1590">
        <f t="shared" si="18"/>
        <v>47517</v>
      </c>
      <c r="EN7" s="1591">
        <f>SUM(EB7:EM7)</f>
        <v>245255</v>
      </c>
      <c r="EO7" s="1588">
        <f t="shared" ref="EO7:EZ7" si="19">SUM(EO8:EO29)</f>
        <v>2850</v>
      </c>
      <c r="EP7" s="1589">
        <f t="shared" si="19"/>
        <v>11445</v>
      </c>
      <c r="EQ7" s="1589">
        <f t="shared" si="19"/>
        <v>17681</v>
      </c>
      <c r="ER7" s="1589">
        <f t="shared" si="19"/>
        <v>13027</v>
      </c>
      <c r="ES7" s="1589">
        <f t="shared" si="19"/>
        <v>17745</v>
      </c>
      <c r="ET7" s="1589">
        <f t="shared" si="19"/>
        <v>19320</v>
      </c>
      <c r="EU7" s="1589">
        <f t="shared" si="19"/>
        <v>35067</v>
      </c>
      <c r="EV7" s="1589">
        <f t="shared" si="19"/>
        <v>25536</v>
      </c>
      <c r="EW7" s="1589">
        <f t="shared" si="19"/>
        <v>26932</v>
      </c>
      <c r="EX7" s="1589">
        <f t="shared" si="19"/>
        <v>21230</v>
      </c>
      <c r="EY7" s="1589">
        <f t="shared" si="19"/>
        <v>31303</v>
      </c>
      <c r="EZ7" s="1590">
        <f t="shared" si="19"/>
        <v>82082</v>
      </c>
      <c r="FA7" s="1591">
        <f>SUM(EO7:EZ7)</f>
        <v>304218</v>
      </c>
      <c r="FB7" s="1588">
        <f t="shared" ref="FB7:FM7" si="20">SUM(FB8:FB29)</f>
        <v>7707</v>
      </c>
      <c r="FC7" s="1589">
        <f t="shared" si="20"/>
        <v>20237</v>
      </c>
      <c r="FD7" s="1589">
        <f t="shared" si="20"/>
        <v>12794</v>
      </c>
      <c r="FE7" s="1589">
        <f t="shared" si="20"/>
        <v>6782</v>
      </c>
      <c r="FF7" s="1589">
        <f t="shared" si="20"/>
        <v>5256</v>
      </c>
      <c r="FG7" s="1589">
        <f t="shared" si="20"/>
        <v>14534</v>
      </c>
      <c r="FH7" s="1589">
        <f t="shared" si="20"/>
        <v>13237</v>
      </c>
      <c r="FI7" s="1589">
        <f t="shared" si="20"/>
        <v>24526</v>
      </c>
      <c r="FJ7" s="1589">
        <f t="shared" si="20"/>
        <v>22180</v>
      </c>
      <c r="FK7" s="1589">
        <f t="shared" si="20"/>
        <v>31441</v>
      </c>
      <c r="FL7" s="1589">
        <f t="shared" si="20"/>
        <v>40829</v>
      </c>
      <c r="FM7" s="1590">
        <f t="shared" si="20"/>
        <v>65086</v>
      </c>
      <c r="FN7" s="1591">
        <f>SUM(FB7:FM7)</f>
        <v>264609</v>
      </c>
      <c r="FO7" s="1588">
        <f t="shared" ref="FO7:GL7" si="21">SUM(FO8:FO29)</f>
        <v>14752</v>
      </c>
      <c r="FP7" s="1589">
        <f t="shared" si="21"/>
        <v>14993</v>
      </c>
      <c r="FQ7" s="1589">
        <f t="shared" si="21"/>
        <v>20807</v>
      </c>
      <c r="FR7" s="1589">
        <f t="shared" si="21"/>
        <v>14297</v>
      </c>
      <c r="FS7" s="1589">
        <f t="shared" si="21"/>
        <v>16755</v>
      </c>
      <c r="FT7" s="1589">
        <f t="shared" si="21"/>
        <v>27374</v>
      </c>
      <c r="FU7" s="1589">
        <f t="shared" si="21"/>
        <v>21409</v>
      </c>
      <c r="FV7" s="1589">
        <f t="shared" si="21"/>
        <v>19714</v>
      </c>
      <c r="FW7" s="1589">
        <f t="shared" si="21"/>
        <v>15392</v>
      </c>
      <c r="FX7" s="1589">
        <f t="shared" si="21"/>
        <v>18597</v>
      </c>
      <c r="FY7" s="1589">
        <f t="shared" si="21"/>
        <v>17395</v>
      </c>
      <c r="FZ7" s="1590">
        <f t="shared" si="21"/>
        <v>38343</v>
      </c>
      <c r="GA7" s="1591">
        <f>SUM(FO7:FZ7)</f>
        <v>239828</v>
      </c>
      <c r="GB7" s="1588">
        <f t="shared" si="21"/>
        <v>10873</v>
      </c>
      <c r="GC7" s="1589">
        <f t="shared" si="21"/>
        <v>6985</v>
      </c>
      <c r="GD7" s="1589">
        <f t="shared" si="21"/>
        <v>22510</v>
      </c>
      <c r="GE7" s="1589">
        <f t="shared" si="21"/>
        <v>24190</v>
      </c>
      <c r="GF7" s="1589">
        <f t="shared" si="21"/>
        <v>38092</v>
      </c>
      <c r="GG7" s="1589">
        <f t="shared" si="21"/>
        <v>35731</v>
      </c>
      <c r="GH7" s="1589">
        <f t="shared" si="21"/>
        <v>36372</v>
      </c>
      <c r="GI7" s="1589">
        <f t="shared" si="21"/>
        <v>37269</v>
      </c>
      <c r="GJ7" s="1589">
        <f t="shared" si="21"/>
        <v>37891</v>
      </c>
      <c r="GK7" s="1589">
        <f t="shared" si="21"/>
        <v>45093</v>
      </c>
      <c r="GL7" s="1589">
        <f t="shared" si="21"/>
        <v>51590</v>
      </c>
      <c r="GM7" s="1590">
        <f>SUM(GM8:GM29)</f>
        <v>62029</v>
      </c>
      <c r="GN7" s="1591">
        <f>SUM(GB7:GM7)</f>
        <v>408625</v>
      </c>
      <c r="GO7" s="1588">
        <f t="shared" ref="GO7:GZ7" si="22">SUM(GO8:GO29)</f>
        <v>5760</v>
      </c>
      <c r="GP7" s="1589">
        <f t="shared" si="22"/>
        <v>15428</v>
      </c>
      <c r="GQ7" s="1589">
        <f t="shared" si="22"/>
        <v>28499</v>
      </c>
      <c r="GR7" s="1589">
        <f t="shared" si="22"/>
        <v>15774</v>
      </c>
      <c r="GS7" s="1589">
        <f t="shared" si="22"/>
        <v>19309</v>
      </c>
      <c r="GT7" s="1589">
        <f t="shared" si="22"/>
        <v>23234</v>
      </c>
      <c r="GU7" s="1589">
        <f t="shared" si="22"/>
        <v>49314</v>
      </c>
      <c r="GV7" s="1589">
        <f t="shared" si="22"/>
        <v>28134</v>
      </c>
      <c r="GW7" s="1589">
        <f t="shared" si="22"/>
        <v>34555</v>
      </c>
      <c r="GX7" s="1589">
        <f t="shared" si="22"/>
        <v>30695</v>
      </c>
      <c r="GY7" s="1589">
        <f t="shared" si="22"/>
        <v>47677</v>
      </c>
      <c r="GZ7" s="1590">
        <f t="shared" si="22"/>
        <v>78324</v>
      </c>
      <c r="HA7" s="1591">
        <f>SUM(GO7:GZ7)</f>
        <v>376703</v>
      </c>
      <c r="HB7" s="1588">
        <f t="shared" ref="HB7:HM7" si="23">SUM(HB8:HB29)</f>
        <v>21217</v>
      </c>
      <c r="HC7" s="1589">
        <f t="shared" si="23"/>
        <v>22576</v>
      </c>
      <c r="HD7" s="1589">
        <f t="shared" si="23"/>
        <v>23292</v>
      </c>
      <c r="HE7" s="1589">
        <f t="shared" si="23"/>
        <v>40824</v>
      </c>
      <c r="HF7" s="1589">
        <f t="shared" si="23"/>
        <v>39902</v>
      </c>
      <c r="HG7" s="1589">
        <f t="shared" si="23"/>
        <v>44753</v>
      </c>
      <c r="HH7" s="1589">
        <f t="shared" si="23"/>
        <v>36232</v>
      </c>
      <c r="HI7" s="1589">
        <f t="shared" si="23"/>
        <v>43123</v>
      </c>
      <c r="HJ7" s="1589">
        <f t="shared" si="23"/>
        <v>27624</v>
      </c>
      <c r="HK7" s="1589">
        <f t="shared" si="23"/>
        <v>53233</v>
      </c>
      <c r="HL7" s="1589">
        <f t="shared" si="23"/>
        <v>58465</v>
      </c>
      <c r="HM7" s="1590">
        <f t="shared" si="23"/>
        <v>133319</v>
      </c>
      <c r="HN7" s="1591">
        <f>SUM(HB7:HM7)</f>
        <v>544560</v>
      </c>
      <c r="HO7" s="1588">
        <f t="shared" ref="HO7:HZ7" si="24">SUM(HO8:HO29)</f>
        <v>8926</v>
      </c>
      <c r="HP7" s="1589">
        <f t="shared" si="24"/>
        <v>73868</v>
      </c>
      <c r="HQ7" s="1589">
        <f t="shared" si="24"/>
        <v>35342</v>
      </c>
      <c r="HR7" s="1589">
        <f t="shared" si="24"/>
        <v>73008</v>
      </c>
      <c r="HS7" s="1589">
        <f t="shared" si="24"/>
        <v>82095</v>
      </c>
      <c r="HT7" s="1589">
        <f t="shared" si="24"/>
        <v>35167</v>
      </c>
      <c r="HU7" s="1589">
        <f t="shared" si="24"/>
        <v>39011</v>
      </c>
      <c r="HV7" s="1589">
        <f t="shared" si="24"/>
        <v>45244</v>
      </c>
      <c r="HW7" s="1589">
        <f t="shared" si="24"/>
        <v>48658</v>
      </c>
      <c r="HX7" s="1589">
        <f t="shared" si="24"/>
        <v>62227</v>
      </c>
      <c r="HY7" s="1589">
        <f t="shared" si="24"/>
        <v>49605</v>
      </c>
      <c r="HZ7" s="1590">
        <f t="shared" si="24"/>
        <v>84900</v>
      </c>
      <c r="IA7" s="1588">
        <f>SUM(HO7:HZ7)</f>
        <v>638051</v>
      </c>
      <c r="IB7" s="1572">
        <f t="shared" ref="IB7:IG7" si="25">SUM(IB8:IB29)</f>
        <v>41894</v>
      </c>
      <c r="IC7" s="1573">
        <f t="shared" si="25"/>
        <v>32712</v>
      </c>
      <c r="ID7" s="1573">
        <f t="shared" si="25"/>
        <v>41835</v>
      </c>
      <c r="IE7" s="1573">
        <f t="shared" si="25"/>
        <v>37118</v>
      </c>
      <c r="IF7" s="1573">
        <v>44811</v>
      </c>
      <c r="IG7" s="1573">
        <f t="shared" si="25"/>
        <v>49262</v>
      </c>
      <c r="IH7" s="1573">
        <v>74711</v>
      </c>
      <c r="II7" s="1573">
        <f t="shared" ref="II7" si="26">SUM(II8:II29)</f>
        <v>60785</v>
      </c>
      <c r="IJ7" s="1573"/>
      <c r="IK7" s="1573"/>
      <c r="IL7" s="1573"/>
      <c r="IM7" s="1574"/>
      <c r="IN7" s="1575">
        <f>SUM(IB7:IM7)</f>
        <v>383128</v>
      </c>
      <c r="IO7" s="1422"/>
      <c r="IP7" s="1596">
        <f>IFERROR(((II7/HV7)-1)*100,"")</f>
        <v>34.349305985324023</v>
      </c>
      <c r="IQ7" s="1597">
        <f>IFERROR(((IS7/IR7)-1)*100,"")</f>
        <v>-2.4277939494882328</v>
      </c>
      <c r="IR7" s="1589">
        <f>IFERROR(SUM(HO7:HV7),"")</f>
        <v>392661</v>
      </c>
      <c r="IS7" s="1591">
        <f>IFERROR(SUM(IB7:IM7),"")</f>
        <v>383128</v>
      </c>
      <c r="IU7" s="1521">
        <f>+II7-HV7</f>
        <v>15541</v>
      </c>
      <c r="IV7"/>
      <c r="IW7"/>
      <c r="IX7"/>
      <c r="IY7"/>
      <c r="IZ7"/>
      <c r="JA7"/>
      <c r="JB7"/>
      <c r="JC7"/>
      <c r="JD7"/>
    </row>
    <row r="8" spans="1:264" ht="15" customHeight="1" x14ac:dyDescent="0.2">
      <c r="A8" s="1551" t="s">
        <v>645</v>
      </c>
      <c r="B8" s="1565"/>
      <c r="C8" s="1566"/>
      <c r="D8" s="1566"/>
      <c r="E8" s="1566"/>
      <c r="F8" s="1566"/>
      <c r="G8" s="1566"/>
      <c r="H8" s="1566"/>
      <c r="I8" s="1566"/>
      <c r="J8" s="1566"/>
      <c r="K8" s="1566"/>
      <c r="L8" s="1566"/>
      <c r="M8" s="1567"/>
      <c r="N8" s="1568"/>
      <c r="O8" s="1565"/>
      <c r="P8" s="1566"/>
      <c r="Q8" s="1566"/>
      <c r="R8" s="1566"/>
      <c r="S8" s="1566"/>
      <c r="T8" s="1566"/>
      <c r="U8" s="1566"/>
      <c r="V8" s="1566"/>
      <c r="W8" s="1566"/>
      <c r="X8" s="1566"/>
      <c r="Y8" s="1566"/>
      <c r="Z8" s="1567"/>
      <c r="AA8" s="1568"/>
      <c r="AB8" s="1565"/>
      <c r="AC8" s="1566"/>
      <c r="AD8" s="1566"/>
      <c r="AE8" s="1566"/>
      <c r="AF8" s="1566"/>
      <c r="AG8" s="1566"/>
      <c r="AH8" s="1566"/>
      <c r="AI8" s="1566"/>
      <c r="AJ8" s="1566"/>
      <c r="AK8" s="1566"/>
      <c r="AL8" s="1566"/>
      <c r="AM8" s="1567"/>
      <c r="AN8" s="1568"/>
      <c r="AO8" s="1565"/>
      <c r="AP8" s="1566"/>
      <c r="AQ8" s="1566"/>
      <c r="AR8" s="1566"/>
      <c r="AS8" s="1566"/>
      <c r="AT8" s="1566"/>
      <c r="AU8" s="1566"/>
      <c r="AV8" s="1566"/>
      <c r="AW8" s="1566"/>
      <c r="AX8" s="1566"/>
      <c r="AY8" s="1566"/>
      <c r="AZ8" s="1567"/>
      <c r="BA8" s="1568"/>
      <c r="BB8" s="1565"/>
      <c r="BC8" s="1566"/>
      <c r="BD8" s="1566"/>
      <c r="BE8" s="1566"/>
      <c r="BF8" s="1566"/>
      <c r="BG8" s="1566"/>
      <c r="BH8" s="1566"/>
      <c r="BI8" s="1566"/>
      <c r="BJ8" s="1566"/>
      <c r="BK8" s="1566"/>
      <c r="BL8" s="1566"/>
      <c r="BM8" s="1567"/>
      <c r="BN8" s="1568"/>
      <c r="BO8" s="1565"/>
      <c r="BP8" s="1566"/>
      <c r="BQ8" s="1566"/>
      <c r="BR8" s="1566"/>
      <c r="BS8" s="1566"/>
      <c r="BT8" s="1566"/>
      <c r="BU8" s="1566"/>
      <c r="BV8" s="1566"/>
      <c r="BW8" s="1566"/>
      <c r="BX8" s="1566"/>
      <c r="BY8" s="1566"/>
      <c r="BZ8" s="1567"/>
      <c r="CA8" s="1568"/>
      <c r="CB8" s="1565"/>
      <c r="CC8" s="1566"/>
      <c r="CD8" s="1566"/>
      <c r="CE8" s="1566"/>
      <c r="CF8" s="1566"/>
      <c r="CG8" s="1566"/>
      <c r="CH8" s="1566"/>
      <c r="CI8" s="1566"/>
      <c r="CJ8" s="1566"/>
      <c r="CK8" s="1566"/>
      <c r="CL8" s="1566"/>
      <c r="CM8" s="1567"/>
      <c r="CN8" s="1568"/>
      <c r="CO8" s="1565"/>
      <c r="CP8" s="1566"/>
      <c r="CQ8" s="1566"/>
      <c r="CR8" s="1566"/>
      <c r="CS8" s="1566"/>
      <c r="CT8" s="1566"/>
      <c r="CU8" s="1566"/>
      <c r="CV8" s="1566"/>
      <c r="CW8" s="1566"/>
      <c r="CX8" s="1566"/>
      <c r="CY8" s="1566"/>
      <c r="CZ8" s="1567"/>
      <c r="DA8" s="1568"/>
      <c r="DB8" s="1565">
        <v>0</v>
      </c>
      <c r="DC8" s="1566">
        <v>0</v>
      </c>
      <c r="DD8" s="1566">
        <v>0</v>
      </c>
      <c r="DE8" s="1566">
        <v>0</v>
      </c>
      <c r="DF8" s="1566">
        <v>0</v>
      </c>
      <c r="DG8" s="1566">
        <v>0</v>
      </c>
      <c r="DH8" s="1566">
        <v>0</v>
      </c>
      <c r="DI8" s="1566">
        <v>0</v>
      </c>
      <c r="DJ8" s="1566">
        <v>0</v>
      </c>
      <c r="DK8" s="1566">
        <v>0</v>
      </c>
      <c r="DL8" s="1566">
        <v>0</v>
      </c>
      <c r="DM8" s="1567">
        <v>0</v>
      </c>
      <c r="DN8" s="1568">
        <f t="shared" ref="DN8:DN36" si="27">SUM(DB8:DM8)</f>
        <v>0</v>
      </c>
      <c r="DO8" s="1565">
        <v>0</v>
      </c>
      <c r="DP8" s="1566">
        <v>0</v>
      </c>
      <c r="DQ8" s="1566">
        <v>0</v>
      </c>
      <c r="DR8" s="1566">
        <v>6</v>
      </c>
      <c r="DS8" s="1566">
        <v>2</v>
      </c>
      <c r="DT8" s="1566">
        <v>2</v>
      </c>
      <c r="DU8" s="1566">
        <v>6</v>
      </c>
      <c r="DV8" s="1566">
        <v>1</v>
      </c>
      <c r="DW8" s="1566">
        <v>1</v>
      </c>
      <c r="DX8" s="1566">
        <v>0</v>
      </c>
      <c r="DY8" s="1566">
        <v>0</v>
      </c>
      <c r="DZ8" s="1567">
        <v>0</v>
      </c>
      <c r="EA8" s="1568">
        <f t="shared" ref="EA8:EA29" si="28">SUM(DO8:DZ8)</f>
        <v>18</v>
      </c>
      <c r="EB8" s="1565">
        <v>0</v>
      </c>
      <c r="EC8" s="1566">
        <v>0</v>
      </c>
      <c r="ED8" s="1566">
        <v>0</v>
      </c>
      <c r="EE8" s="1566">
        <v>0</v>
      </c>
      <c r="EF8" s="1566">
        <v>0</v>
      </c>
      <c r="EG8" s="1566">
        <v>0</v>
      </c>
      <c r="EH8" s="1566">
        <v>0</v>
      </c>
      <c r="EI8" s="1566">
        <v>0</v>
      </c>
      <c r="EJ8" s="1566">
        <v>0</v>
      </c>
      <c r="EK8" s="1566">
        <v>0</v>
      </c>
      <c r="EL8" s="1566">
        <v>0</v>
      </c>
      <c r="EM8" s="1567">
        <v>0</v>
      </c>
      <c r="EN8" s="1568">
        <f t="shared" ref="EN8:EN29" si="29">SUM(EB8:EM8)</f>
        <v>0</v>
      </c>
      <c r="EO8" s="1565">
        <v>0</v>
      </c>
      <c r="EP8" s="1566">
        <v>0</v>
      </c>
      <c r="EQ8" s="1566">
        <v>0</v>
      </c>
      <c r="ER8" s="1566">
        <v>0</v>
      </c>
      <c r="ES8" s="1566">
        <v>0</v>
      </c>
      <c r="ET8" s="1566">
        <v>0</v>
      </c>
      <c r="EU8" s="1566">
        <v>0</v>
      </c>
      <c r="EV8" s="1566">
        <v>0</v>
      </c>
      <c r="EW8" s="1566">
        <v>0</v>
      </c>
      <c r="EX8" s="1566">
        <v>0</v>
      </c>
      <c r="EY8" s="1566">
        <v>0</v>
      </c>
      <c r="EZ8" s="1567">
        <v>0</v>
      </c>
      <c r="FA8" s="1568">
        <f t="shared" ref="FA8:FA29" si="30">SUM(EO8:EZ8)</f>
        <v>0</v>
      </c>
      <c r="FB8" s="1565">
        <v>0</v>
      </c>
      <c r="FC8" s="1566">
        <v>0</v>
      </c>
      <c r="FD8" s="1566">
        <v>0</v>
      </c>
      <c r="FE8" s="1566">
        <v>0</v>
      </c>
      <c r="FF8" s="1566">
        <v>0</v>
      </c>
      <c r="FG8" s="1566">
        <v>0</v>
      </c>
      <c r="FH8" s="1566">
        <v>0</v>
      </c>
      <c r="FI8" s="1566">
        <v>0</v>
      </c>
      <c r="FJ8" s="1566">
        <v>0</v>
      </c>
      <c r="FK8" s="1566">
        <v>0</v>
      </c>
      <c r="FL8" s="1566">
        <v>0</v>
      </c>
      <c r="FM8" s="1567">
        <v>0</v>
      </c>
      <c r="FN8" s="1568">
        <f t="shared" ref="FN8:FN29" si="31">SUM(FB8:FM8)</f>
        <v>0</v>
      </c>
      <c r="FO8" s="1565">
        <v>0</v>
      </c>
      <c r="FP8" s="1566">
        <v>0</v>
      </c>
      <c r="FQ8" s="1566">
        <v>0</v>
      </c>
      <c r="FR8" s="1566">
        <v>0</v>
      </c>
      <c r="FS8" s="1566">
        <v>0</v>
      </c>
      <c r="FT8" s="1566">
        <v>0</v>
      </c>
      <c r="FU8" s="1566">
        <v>0</v>
      </c>
      <c r="FV8" s="1566">
        <v>0</v>
      </c>
      <c r="FW8" s="1566">
        <v>0</v>
      </c>
      <c r="FX8" s="1566">
        <v>0</v>
      </c>
      <c r="FY8" s="1566">
        <v>0</v>
      </c>
      <c r="FZ8" s="1567">
        <v>0</v>
      </c>
      <c r="GA8" s="1568">
        <f t="shared" ref="GA8:GA38" si="32">SUM(FO8:FZ8)</f>
        <v>0</v>
      </c>
      <c r="GB8" s="1565">
        <v>0</v>
      </c>
      <c r="GC8" s="1566">
        <v>0</v>
      </c>
      <c r="GD8" s="1566">
        <v>0</v>
      </c>
      <c r="GE8" s="1566">
        <v>0</v>
      </c>
      <c r="GF8" s="1566">
        <v>0</v>
      </c>
      <c r="GG8" s="1566">
        <v>0</v>
      </c>
      <c r="GH8" s="1566">
        <v>0</v>
      </c>
      <c r="GI8" s="1566">
        <v>0</v>
      </c>
      <c r="GJ8" s="1566">
        <v>0</v>
      </c>
      <c r="GK8" s="1566">
        <v>0</v>
      </c>
      <c r="GL8" s="1566">
        <v>0</v>
      </c>
      <c r="GM8" s="1567">
        <v>0</v>
      </c>
      <c r="GN8" s="1568">
        <f t="shared" ref="GN8:GN38" si="33">SUM(GB8:GM8)</f>
        <v>0</v>
      </c>
      <c r="GO8" s="1565">
        <v>0</v>
      </c>
      <c r="GP8" s="1566">
        <v>0</v>
      </c>
      <c r="GQ8" s="1566">
        <v>0</v>
      </c>
      <c r="GR8" s="1566">
        <v>0</v>
      </c>
      <c r="GS8" s="1566">
        <v>0</v>
      </c>
      <c r="GT8" s="1566">
        <v>0</v>
      </c>
      <c r="GU8" s="1566">
        <v>0</v>
      </c>
      <c r="GV8" s="1566">
        <v>0</v>
      </c>
      <c r="GW8" s="1566">
        <v>0</v>
      </c>
      <c r="GX8" s="1566">
        <v>0</v>
      </c>
      <c r="GY8" s="1566">
        <v>0</v>
      </c>
      <c r="GZ8" s="1567">
        <v>0</v>
      </c>
      <c r="HA8" s="1568">
        <f t="shared" ref="HA8:HA38" si="34">SUM(GO8:GZ8)</f>
        <v>0</v>
      </c>
      <c r="HB8" s="1565">
        <v>0</v>
      </c>
      <c r="HC8" s="1566">
        <v>0</v>
      </c>
      <c r="HD8" s="1566">
        <v>0</v>
      </c>
      <c r="HE8" s="1566">
        <v>0</v>
      </c>
      <c r="HF8" s="1566">
        <v>0</v>
      </c>
      <c r="HG8" s="1566">
        <v>0</v>
      </c>
      <c r="HH8" s="1566">
        <v>0</v>
      </c>
      <c r="HI8" s="1566">
        <v>0</v>
      </c>
      <c r="HJ8" s="1566">
        <v>0</v>
      </c>
      <c r="HK8" s="1566">
        <v>0</v>
      </c>
      <c r="HL8" s="1566">
        <v>0</v>
      </c>
      <c r="HM8" s="1567">
        <v>0</v>
      </c>
      <c r="HN8" s="1568">
        <f t="shared" ref="HN8:HN38" si="35">SUM(HB8:HM8)</f>
        <v>0</v>
      </c>
      <c r="HO8" s="1565">
        <v>0</v>
      </c>
      <c r="HP8" s="1566">
        <v>0</v>
      </c>
      <c r="HQ8" s="1566">
        <v>0</v>
      </c>
      <c r="HR8" s="1566">
        <v>0</v>
      </c>
      <c r="HS8" s="1566">
        <v>0</v>
      </c>
      <c r="HT8" s="1566">
        <v>0</v>
      </c>
      <c r="HU8" s="1566">
        <v>0</v>
      </c>
      <c r="HV8" s="1566">
        <v>0</v>
      </c>
      <c r="HW8" s="1566">
        <v>0</v>
      </c>
      <c r="HX8" s="1566">
        <v>0</v>
      </c>
      <c r="HY8" s="1566">
        <v>0</v>
      </c>
      <c r="HZ8" s="1567">
        <v>0</v>
      </c>
      <c r="IA8" s="1565">
        <f t="shared" ref="IA8:IA38" si="36">SUM(HO8:HZ8)</f>
        <v>0</v>
      </c>
      <c r="IB8" s="1569">
        <v>0</v>
      </c>
      <c r="IC8" s="1068">
        <v>0</v>
      </c>
      <c r="ID8" s="1068">
        <v>0</v>
      </c>
      <c r="IE8" s="1068">
        <v>0</v>
      </c>
      <c r="IF8" s="1068">
        <v>0</v>
      </c>
      <c r="IG8" s="1068">
        <v>0</v>
      </c>
      <c r="IH8" s="1068">
        <v>0</v>
      </c>
      <c r="II8" s="1068">
        <v>0</v>
      </c>
      <c r="IJ8" s="1068"/>
      <c r="IK8" s="1068"/>
      <c r="IL8" s="1068"/>
      <c r="IM8" s="1570"/>
      <c r="IN8" s="1571">
        <f t="shared" ref="IN8:IN38" si="37">SUM(IB8:IM8)</f>
        <v>0</v>
      </c>
      <c r="IP8" s="1656" t="str">
        <f t="shared" ref="IP8:IP38" si="38">IFERROR(((II8/HV8)-1)*100,"")</f>
        <v/>
      </c>
      <c r="IQ8" s="1656" t="str">
        <f t="shared" ref="IQ8:IQ35" si="39">IFERROR(((IS8/IR8)-1)*100,"")</f>
        <v/>
      </c>
      <c r="IR8" s="1657">
        <f t="shared" ref="IR8:IR38" si="40">IFERROR(SUM(HO8:HV8),"")</f>
        <v>0</v>
      </c>
      <c r="IS8" s="1657">
        <f t="shared" ref="IS8:IS37" si="41">IFERROR(SUM(IB8:IM8),"")</f>
        <v>0</v>
      </c>
      <c r="IT8" s="1658"/>
      <c r="IU8" s="221">
        <f t="shared" ref="IU8:IU29" si="42">+II8-HV8</f>
        <v>0</v>
      </c>
    </row>
    <row r="9" spans="1:264" ht="15" customHeight="1" x14ac:dyDescent="0.2">
      <c r="A9" s="1551" t="s">
        <v>624</v>
      </c>
      <c r="B9" s="1565">
        <v>243</v>
      </c>
      <c r="C9" s="1566">
        <v>551</v>
      </c>
      <c r="D9" s="1566">
        <v>1457</v>
      </c>
      <c r="E9" s="1566">
        <v>1399</v>
      </c>
      <c r="F9" s="1566">
        <v>1816</v>
      </c>
      <c r="G9" s="1566">
        <v>2149</v>
      </c>
      <c r="H9" s="1566">
        <v>2888</v>
      </c>
      <c r="I9" s="1566">
        <v>1965</v>
      </c>
      <c r="J9" s="1566">
        <v>1227</v>
      </c>
      <c r="K9" s="1566">
        <v>2160</v>
      </c>
      <c r="L9" s="1566">
        <v>1330</v>
      </c>
      <c r="M9" s="1567">
        <v>3178</v>
      </c>
      <c r="N9" s="1568">
        <f t="shared" si="1"/>
        <v>20363</v>
      </c>
      <c r="O9" s="1565">
        <v>367</v>
      </c>
      <c r="P9" s="1566">
        <v>1155</v>
      </c>
      <c r="Q9" s="1566">
        <v>1356</v>
      </c>
      <c r="R9" s="1566">
        <v>1473</v>
      </c>
      <c r="S9" s="1566">
        <v>1186</v>
      </c>
      <c r="T9" s="1566">
        <v>912</v>
      </c>
      <c r="U9" s="1566">
        <v>1191</v>
      </c>
      <c r="V9" s="1566">
        <v>715</v>
      </c>
      <c r="W9" s="1566">
        <v>2721</v>
      </c>
      <c r="X9" s="1566">
        <v>1264</v>
      </c>
      <c r="Y9" s="1566">
        <v>593</v>
      </c>
      <c r="Z9" s="1567">
        <v>528</v>
      </c>
      <c r="AA9" s="1568">
        <f t="shared" si="3"/>
        <v>13461</v>
      </c>
      <c r="AB9" s="1565">
        <v>136</v>
      </c>
      <c r="AC9" s="1566">
        <v>793</v>
      </c>
      <c r="AD9" s="1566">
        <v>908</v>
      </c>
      <c r="AE9" s="1566">
        <v>1034</v>
      </c>
      <c r="AF9" s="1566">
        <v>1334</v>
      </c>
      <c r="AG9" s="1566">
        <v>947</v>
      </c>
      <c r="AH9" s="1566">
        <v>772</v>
      </c>
      <c r="AI9" s="1566">
        <v>1095</v>
      </c>
      <c r="AJ9" s="1566">
        <v>1406</v>
      </c>
      <c r="AK9" s="1566">
        <v>1679</v>
      </c>
      <c r="AL9" s="1566">
        <v>2675</v>
      </c>
      <c r="AM9" s="1567">
        <v>2774</v>
      </c>
      <c r="AN9" s="1568">
        <f t="shared" si="5"/>
        <v>15553</v>
      </c>
      <c r="AO9" s="1565">
        <v>416</v>
      </c>
      <c r="AP9" s="1566">
        <v>886</v>
      </c>
      <c r="AQ9" s="1566">
        <v>1350</v>
      </c>
      <c r="AR9" s="1566">
        <v>904</v>
      </c>
      <c r="AS9" s="1566">
        <v>1354</v>
      </c>
      <c r="AT9" s="1566">
        <v>915</v>
      </c>
      <c r="AU9" s="1566">
        <v>909</v>
      </c>
      <c r="AV9" s="1566">
        <v>1227</v>
      </c>
      <c r="AW9" s="1566">
        <v>1432</v>
      </c>
      <c r="AX9" s="1566">
        <v>1615</v>
      </c>
      <c r="AY9" s="1566">
        <v>1487</v>
      </c>
      <c r="AZ9" s="1567">
        <v>1742</v>
      </c>
      <c r="BA9" s="1568">
        <f t="shared" si="7"/>
        <v>14237</v>
      </c>
      <c r="BB9" s="1565">
        <v>127</v>
      </c>
      <c r="BC9" s="1566">
        <v>489</v>
      </c>
      <c r="BD9" s="1566">
        <v>549</v>
      </c>
      <c r="BE9" s="1566">
        <v>440</v>
      </c>
      <c r="BF9" s="1566">
        <v>494</v>
      </c>
      <c r="BG9" s="1566">
        <v>741</v>
      </c>
      <c r="BH9" s="1566">
        <v>544</v>
      </c>
      <c r="BI9" s="1566">
        <v>725</v>
      </c>
      <c r="BJ9" s="1566">
        <v>420</v>
      </c>
      <c r="BK9" s="1566">
        <v>600</v>
      </c>
      <c r="BL9" s="1566">
        <v>1604</v>
      </c>
      <c r="BM9" s="1567">
        <v>10422</v>
      </c>
      <c r="BN9" s="1568">
        <f t="shared" si="9"/>
        <v>17155</v>
      </c>
      <c r="BO9" s="1565">
        <v>598</v>
      </c>
      <c r="BP9" s="1566">
        <v>1273</v>
      </c>
      <c r="BQ9" s="1566">
        <v>1030</v>
      </c>
      <c r="BR9" s="1566">
        <v>1614</v>
      </c>
      <c r="BS9" s="1566">
        <v>2193</v>
      </c>
      <c r="BT9" s="1566">
        <v>7311</v>
      </c>
      <c r="BU9" s="1566">
        <v>-1762</v>
      </c>
      <c r="BV9" s="1566">
        <v>5324</v>
      </c>
      <c r="BW9" s="1566">
        <v>-1223</v>
      </c>
      <c r="BX9" s="1566">
        <v>10105</v>
      </c>
      <c r="BY9" s="1566">
        <v>3472</v>
      </c>
      <c r="BZ9" s="1567">
        <v>1625</v>
      </c>
      <c r="CA9" s="1568">
        <f t="shared" si="11"/>
        <v>31560</v>
      </c>
      <c r="CB9" s="1565">
        <v>8607</v>
      </c>
      <c r="CC9" s="1566">
        <v>2480</v>
      </c>
      <c r="CD9" s="1566">
        <v>3105</v>
      </c>
      <c r="CE9" s="1566">
        <v>410</v>
      </c>
      <c r="CF9" s="1566">
        <v>2492</v>
      </c>
      <c r="CG9" s="1566">
        <v>4427</v>
      </c>
      <c r="CH9" s="1566">
        <v>1789</v>
      </c>
      <c r="CI9" s="1566">
        <v>1336</v>
      </c>
      <c r="CJ9" s="1566">
        <v>1280</v>
      </c>
      <c r="CK9" s="1566">
        <v>1895</v>
      </c>
      <c r="CL9" s="1566">
        <v>942</v>
      </c>
      <c r="CM9" s="1567">
        <v>1725</v>
      </c>
      <c r="CN9" s="1568">
        <f t="shared" si="13"/>
        <v>30488</v>
      </c>
      <c r="CO9" s="1565">
        <v>1515</v>
      </c>
      <c r="CP9" s="1566">
        <v>528</v>
      </c>
      <c r="CQ9" s="1566">
        <v>302</v>
      </c>
      <c r="CR9" s="1566">
        <v>223</v>
      </c>
      <c r="CS9" s="1566">
        <v>629</v>
      </c>
      <c r="CT9" s="1566">
        <v>253</v>
      </c>
      <c r="CU9" s="1566">
        <v>214</v>
      </c>
      <c r="CV9" s="1566">
        <v>180</v>
      </c>
      <c r="CW9" s="1566">
        <v>172</v>
      </c>
      <c r="CX9" s="1566">
        <v>573</v>
      </c>
      <c r="CY9" s="1566">
        <v>388</v>
      </c>
      <c r="CZ9" s="1567">
        <v>751</v>
      </c>
      <c r="DA9" s="1568">
        <f t="shared" si="15"/>
        <v>5728</v>
      </c>
      <c r="DB9" s="1565">
        <v>119</v>
      </c>
      <c r="DC9" s="1566">
        <v>283</v>
      </c>
      <c r="DD9" s="1566">
        <v>373</v>
      </c>
      <c r="DE9" s="1566">
        <v>367</v>
      </c>
      <c r="DF9" s="1566">
        <v>345</v>
      </c>
      <c r="DG9" s="1566">
        <v>326</v>
      </c>
      <c r="DH9" s="1566">
        <v>458</v>
      </c>
      <c r="DI9" s="1566">
        <v>406</v>
      </c>
      <c r="DJ9" s="1566">
        <v>347</v>
      </c>
      <c r="DK9" s="1566">
        <v>794</v>
      </c>
      <c r="DL9" s="1566">
        <v>933</v>
      </c>
      <c r="DM9" s="1567">
        <v>2179</v>
      </c>
      <c r="DN9" s="1568">
        <f t="shared" si="27"/>
        <v>6930</v>
      </c>
      <c r="DO9" s="1565">
        <v>305</v>
      </c>
      <c r="DP9" s="1566">
        <v>101</v>
      </c>
      <c r="DQ9" s="1566">
        <v>911</v>
      </c>
      <c r="DR9" s="1566">
        <v>645</v>
      </c>
      <c r="DS9" s="1566">
        <v>602</v>
      </c>
      <c r="DT9" s="1566">
        <v>370</v>
      </c>
      <c r="DU9" s="1566">
        <v>877</v>
      </c>
      <c r="DV9" s="1566">
        <v>1160</v>
      </c>
      <c r="DW9" s="1566">
        <v>1472</v>
      </c>
      <c r="DX9" s="1566">
        <v>1791</v>
      </c>
      <c r="DY9" s="1566">
        <v>993</v>
      </c>
      <c r="DZ9" s="1567">
        <v>1569</v>
      </c>
      <c r="EA9" s="1568">
        <f t="shared" si="28"/>
        <v>10796</v>
      </c>
      <c r="EB9" s="1565">
        <v>1329</v>
      </c>
      <c r="EC9" s="1566">
        <v>245</v>
      </c>
      <c r="ED9" s="1566">
        <v>535</v>
      </c>
      <c r="EE9" s="1566">
        <v>725</v>
      </c>
      <c r="EF9" s="1566">
        <v>552</v>
      </c>
      <c r="EG9" s="1566">
        <v>899</v>
      </c>
      <c r="EH9" s="1566">
        <v>842</v>
      </c>
      <c r="EI9" s="1566">
        <v>1076</v>
      </c>
      <c r="EJ9" s="1566">
        <v>607</v>
      </c>
      <c r="EK9" s="1566">
        <v>679</v>
      </c>
      <c r="EL9" s="1566">
        <v>1034</v>
      </c>
      <c r="EM9" s="1567">
        <v>1376</v>
      </c>
      <c r="EN9" s="1568">
        <f t="shared" si="29"/>
        <v>9899</v>
      </c>
      <c r="EO9" s="1565">
        <v>0</v>
      </c>
      <c r="EP9" s="1566">
        <v>109</v>
      </c>
      <c r="EQ9" s="1566">
        <v>899</v>
      </c>
      <c r="ER9" s="1566">
        <v>844</v>
      </c>
      <c r="ES9" s="1566">
        <v>1131</v>
      </c>
      <c r="ET9" s="1566">
        <v>1015</v>
      </c>
      <c r="EU9" s="1566">
        <v>1487</v>
      </c>
      <c r="EV9" s="1566">
        <v>1465</v>
      </c>
      <c r="EW9" s="1566">
        <v>1614</v>
      </c>
      <c r="EX9" s="1566">
        <v>2092</v>
      </c>
      <c r="EY9" s="1566">
        <v>3192</v>
      </c>
      <c r="EZ9" s="1567">
        <v>7914</v>
      </c>
      <c r="FA9" s="1568">
        <f t="shared" si="30"/>
        <v>21762</v>
      </c>
      <c r="FB9" s="1565">
        <v>29</v>
      </c>
      <c r="FC9" s="1566">
        <v>1222</v>
      </c>
      <c r="FD9" s="1566">
        <v>1022</v>
      </c>
      <c r="FE9" s="1566">
        <v>968</v>
      </c>
      <c r="FF9" s="1566">
        <v>502</v>
      </c>
      <c r="FG9" s="1566">
        <v>993</v>
      </c>
      <c r="FH9" s="1566">
        <v>1432</v>
      </c>
      <c r="FI9" s="1566">
        <v>2427</v>
      </c>
      <c r="FJ9" s="1566">
        <v>2384</v>
      </c>
      <c r="FK9" s="1566">
        <v>3231</v>
      </c>
      <c r="FL9" s="1566">
        <v>4879</v>
      </c>
      <c r="FM9" s="1567">
        <v>4087</v>
      </c>
      <c r="FN9" s="1568">
        <f t="shared" si="31"/>
        <v>23176</v>
      </c>
      <c r="FO9" s="1565">
        <v>0</v>
      </c>
      <c r="FP9" s="1566">
        <v>892</v>
      </c>
      <c r="FQ9" s="1566">
        <v>2525</v>
      </c>
      <c r="FR9" s="1566">
        <v>1115</v>
      </c>
      <c r="FS9" s="1566">
        <v>1149</v>
      </c>
      <c r="FT9" s="1566">
        <v>2053</v>
      </c>
      <c r="FU9" s="1566">
        <v>3175</v>
      </c>
      <c r="FV9" s="1566">
        <v>2178</v>
      </c>
      <c r="FW9" s="1566">
        <v>2008</v>
      </c>
      <c r="FX9" s="1566">
        <v>2365</v>
      </c>
      <c r="FY9" s="1566">
        <v>2036</v>
      </c>
      <c r="FZ9" s="1567">
        <v>2615</v>
      </c>
      <c r="GA9" s="1568">
        <f t="shared" si="32"/>
        <v>22111</v>
      </c>
      <c r="GB9" s="1565">
        <v>0</v>
      </c>
      <c r="GC9" s="1566">
        <v>883</v>
      </c>
      <c r="GD9" s="1566">
        <v>1473</v>
      </c>
      <c r="GE9" s="1566">
        <v>5467</v>
      </c>
      <c r="GF9" s="1566">
        <v>3196</v>
      </c>
      <c r="GG9" s="1566">
        <v>3203</v>
      </c>
      <c r="GH9" s="1566">
        <v>2897</v>
      </c>
      <c r="GI9" s="1566">
        <v>3378</v>
      </c>
      <c r="GJ9" s="1566">
        <v>2608</v>
      </c>
      <c r="GK9" s="1566">
        <v>3049</v>
      </c>
      <c r="GL9" s="1566">
        <v>2956</v>
      </c>
      <c r="GM9" s="1567">
        <v>3196</v>
      </c>
      <c r="GN9" s="1568">
        <f t="shared" si="33"/>
        <v>32306</v>
      </c>
      <c r="GO9" s="1565">
        <v>91</v>
      </c>
      <c r="GP9" s="1566">
        <v>194</v>
      </c>
      <c r="GQ9" s="1566">
        <v>414</v>
      </c>
      <c r="GR9" s="1566">
        <v>697</v>
      </c>
      <c r="GS9" s="1566">
        <v>1051</v>
      </c>
      <c r="GT9" s="1566">
        <v>1130</v>
      </c>
      <c r="GU9" s="1566">
        <v>1037</v>
      </c>
      <c r="GV9" s="1566">
        <v>1618</v>
      </c>
      <c r="GW9" s="1566">
        <v>1632</v>
      </c>
      <c r="GX9" s="1566">
        <v>1034</v>
      </c>
      <c r="GY9" s="1566">
        <v>1803</v>
      </c>
      <c r="GZ9" s="1567">
        <v>4605</v>
      </c>
      <c r="HA9" s="1568">
        <f t="shared" si="34"/>
        <v>15306</v>
      </c>
      <c r="HB9" s="1565">
        <v>0</v>
      </c>
      <c r="HC9" s="1566">
        <v>521</v>
      </c>
      <c r="HD9" s="1566">
        <v>733</v>
      </c>
      <c r="HE9" s="1566">
        <v>2163</v>
      </c>
      <c r="HF9" s="1566">
        <v>1583</v>
      </c>
      <c r="HG9" s="1566">
        <v>10075</v>
      </c>
      <c r="HH9" s="1566">
        <v>1436</v>
      </c>
      <c r="HI9" s="1566">
        <v>2362</v>
      </c>
      <c r="HJ9" s="1566">
        <v>1498</v>
      </c>
      <c r="HK9" s="1566">
        <v>8628</v>
      </c>
      <c r="HL9" s="1566">
        <v>16867</v>
      </c>
      <c r="HM9" s="1567">
        <v>17262</v>
      </c>
      <c r="HN9" s="1568">
        <f t="shared" si="35"/>
        <v>63128</v>
      </c>
      <c r="HO9" s="1565">
        <v>1861</v>
      </c>
      <c r="HP9" s="1566">
        <v>5196</v>
      </c>
      <c r="HQ9" s="1566">
        <v>2414</v>
      </c>
      <c r="HR9" s="1566">
        <v>5855</v>
      </c>
      <c r="HS9" s="1566">
        <v>5010</v>
      </c>
      <c r="HT9" s="1566">
        <v>6553</v>
      </c>
      <c r="HU9" s="1566">
        <v>6137</v>
      </c>
      <c r="HV9" s="1566">
        <v>5267</v>
      </c>
      <c r="HW9" s="1566">
        <v>4297</v>
      </c>
      <c r="HX9" s="1566">
        <v>12930</v>
      </c>
      <c r="HY9" s="1566">
        <v>6280</v>
      </c>
      <c r="HZ9" s="1567">
        <v>8675</v>
      </c>
      <c r="IA9" s="1565">
        <f>SUM(HO9:HZ9)</f>
        <v>70475</v>
      </c>
      <c r="IB9" s="1569">
        <v>4693</v>
      </c>
      <c r="IC9" s="1068">
        <v>791</v>
      </c>
      <c r="ID9" s="1068">
        <v>2793</v>
      </c>
      <c r="IE9" s="1068">
        <v>4208</v>
      </c>
      <c r="IF9" s="1068">
        <v>2735</v>
      </c>
      <c r="IG9" s="1068">
        <v>4378</v>
      </c>
      <c r="IH9" s="1068">
        <v>4813</v>
      </c>
      <c r="II9" s="1068">
        <v>778</v>
      </c>
      <c r="IJ9" s="1068"/>
      <c r="IK9" s="1068"/>
      <c r="IL9" s="1068"/>
      <c r="IM9" s="1570"/>
      <c r="IN9" s="1571">
        <f t="shared" si="37"/>
        <v>25189</v>
      </c>
      <c r="IP9" s="1656">
        <f t="shared" si="38"/>
        <v>-85.228782988418445</v>
      </c>
      <c r="IQ9" s="1656">
        <f t="shared" si="39"/>
        <v>-34.220353589428875</v>
      </c>
      <c r="IR9" s="1657">
        <f t="shared" si="40"/>
        <v>38293</v>
      </c>
      <c r="IS9" s="1657">
        <f t="shared" si="41"/>
        <v>25189</v>
      </c>
      <c r="IT9" s="1658"/>
      <c r="IU9" s="221">
        <f t="shared" si="42"/>
        <v>-4489</v>
      </c>
    </row>
    <row r="10" spans="1:264" ht="15" customHeight="1" x14ac:dyDescent="0.2">
      <c r="A10" s="1551" t="s">
        <v>625</v>
      </c>
      <c r="B10" s="1565">
        <v>0</v>
      </c>
      <c r="C10" s="1566">
        <v>0</v>
      </c>
      <c r="D10" s="1566">
        <v>0</v>
      </c>
      <c r="E10" s="1566">
        <v>0</v>
      </c>
      <c r="F10" s="1566">
        <v>0</v>
      </c>
      <c r="G10" s="1566">
        <v>0</v>
      </c>
      <c r="H10" s="1566">
        <v>113</v>
      </c>
      <c r="I10" s="1566">
        <v>0</v>
      </c>
      <c r="J10" s="1566">
        <v>0</v>
      </c>
      <c r="K10" s="1566">
        <v>0</v>
      </c>
      <c r="L10" s="1566">
        <v>0</v>
      </c>
      <c r="M10" s="1567">
        <v>0</v>
      </c>
      <c r="N10" s="1568">
        <f t="shared" si="1"/>
        <v>113</v>
      </c>
      <c r="O10" s="1565">
        <v>0</v>
      </c>
      <c r="P10" s="1566">
        <v>0</v>
      </c>
      <c r="Q10" s="1566">
        <v>0</v>
      </c>
      <c r="R10" s="1566">
        <v>0</v>
      </c>
      <c r="S10" s="1566">
        <v>0</v>
      </c>
      <c r="T10" s="1566">
        <v>0</v>
      </c>
      <c r="U10" s="1566">
        <v>0</v>
      </c>
      <c r="V10" s="1566">
        <v>0</v>
      </c>
      <c r="W10" s="1566">
        <v>0</v>
      </c>
      <c r="X10" s="1566">
        <v>11</v>
      </c>
      <c r="Y10" s="1566">
        <v>1</v>
      </c>
      <c r="Z10" s="1567">
        <v>11</v>
      </c>
      <c r="AA10" s="1568">
        <f t="shared" si="3"/>
        <v>23</v>
      </c>
      <c r="AB10" s="1565">
        <v>0</v>
      </c>
      <c r="AC10" s="1566">
        <v>0</v>
      </c>
      <c r="AD10" s="1566">
        <v>0</v>
      </c>
      <c r="AE10" s="1566">
        <v>3</v>
      </c>
      <c r="AF10" s="1566">
        <v>28</v>
      </c>
      <c r="AG10" s="1566">
        <v>202</v>
      </c>
      <c r="AH10" s="1566">
        <v>35</v>
      </c>
      <c r="AI10" s="1566">
        <v>1812</v>
      </c>
      <c r="AJ10" s="1566">
        <v>120</v>
      </c>
      <c r="AK10" s="1566">
        <v>25</v>
      </c>
      <c r="AL10" s="1566">
        <v>35</v>
      </c>
      <c r="AM10" s="1567">
        <v>104</v>
      </c>
      <c r="AN10" s="1568">
        <f t="shared" si="5"/>
        <v>2364</v>
      </c>
      <c r="AO10" s="1565">
        <v>0</v>
      </c>
      <c r="AP10" s="1566">
        <v>42</v>
      </c>
      <c r="AQ10" s="1566">
        <v>39</v>
      </c>
      <c r="AR10" s="1566">
        <v>55</v>
      </c>
      <c r="AS10" s="1566">
        <v>18</v>
      </c>
      <c r="AT10" s="1566">
        <v>14</v>
      </c>
      <c r="AU10" s="1566">
        <v>19</v>
      </c>
      <c r="AV10" s="1566">
        <v>31</v>
      </c>
      <c r="AW10" s="1566">
        <v>32</v>
      </c>
      <c r="AX10" s="1566">
        <v>21</v>
      </c>
      <c r="AY10" s="1566">
        <v>38</v>
      </c>
      <c r="AZ10" s="1567">
        <v>85</v>
      </c>
      <c r="BA10" s="1568">
        <f t="shared" si="7"/>
        <v>394</v>
      </c>
      <c r="BB10" s="1565">
        <v>6</v>
      </c>
      <c r="BC10" s="1566">
        <v>11</v>
      </c>
      <c r="BD10" s="1566">
        <v>21</v>
      </c>
      <c r="BE10" s="1566">
        <v>23</v>
      </c>
      <c r="BF10" s="1566">
        <v>24</v>
      </c>
      <c r="BG10" s="1566">
        <v>11</v>
      </c>
      <c r="BH10" s="1566">
        <v>147</v>
      </c>
      <c r="BI10" s="1566">
        <v>49</v>
      </c>
      <c r="BJ10" s="1566">
        <v>1</v>
      </c>
      <c r="BK10" s="1566">
        <v>4</v>
      </c>
      <c r="BL10" s="1566">
        <v>0</v>
      </c>
      <c r="BM10" s="1567">
        <v>8</v>
      </c>
      <c r="BN10" s="1568">
        <f t="shared" si="9"/>
        <v>305</v>
      </c>
      <c r="BO10" s="1565">
        <v>0</v>
      </c>
      <c r="BP10" s="1566">
        <v>0</v>
      </c>
      <c r="BQ10" s="1566">
        <v>0</v>
      </c>
      <c r="BR10" s="1566">
        <v>0</v>
      </c>
      <c r="BS10" s="1566">
        <v>0</v>
      </c>
      <c r="BT10" s="1566">
        <v>0</v>
      </c>
      <c r="BU10" s="1566">
        <v>0</v>
      </c>
      <c r="BV10" s="1566">
        <v>0</v>
      </c>
      <c r="BW10" s="1566">
        <v>0</v>
      </c>
      <c r="BX10" s="1566">
        <v>0</v>
      </c>
      <c r="BY10" s="1566">
        <v>0</v>
      </c>
      <c r="BZ10" s="1567">
        <v>0</v>
      </c>
      <c r="CA10" s="1568">
        <f t="shared" si="11"/>
        <v>0</v>
      </c>
      <c r="CB10" s="1565">
        <v>0</v>
      </c>
      <c r="CC10" s="1566">
        <v>0</v>
      </c>
      <c r="CD10" s="1566">
        <v>0</v>
      </c>
      <c r="CE10" s="1566">
        <v>0</v>
      </c>
      <c r="CF10" s="1566">
        <v>0</v>
      </c>
      <c r="CG10" s="1566">
        <v>0</v>
      </c>
      <c r="CH10" s="1566">
        <v>0</v>
      </c>
      <c r="CI10" s="1566">
        <v>0</v>
      </c>
      <c r="CJ10" s="1566">
        <v>0</v>
      </c>
      <c r="CK10" s="1566">
        <v>0</v>
      </c>
      <c r="CL10" s="1566">
        <v>0</v>
      </c>
      <c r="CM10" s="1567">
        <v>0</v>
      </c>
      <c r="CN10" s="1568">
        <f t="shared" si="13"/>
        <v>0</v>
      </c>
      <c r="CO10" s="1565">
        <v>0</v>
      </c>
      <c r="CP10" s="1566">
        <v>0</v>
      </c>
      <c r="CQ10" s="1566">
        <v>0</v>
      </c>
      <c r="CR10" s="1566">
        <v>0</v>
      </c>
      <c r="CS10" s="1566">
        <v>0</v>
      </c>
      <c r="CT10" s="1566"/>
      <c r="CU10" s="1566">
        <v>0</v>
      </c>
      <c r="CV10" s="1566">
        <v>0</v>
      </c>
      <c r="CW10" s="1566">
        <v>0</v>
      </c>
      <c r="CX10" s="1566">
        <v>0</v>
      </c>
      <c r="CY10" s="1566">
        <v>0</v>
      </c>
      <c r="CZ10" s="1567">
        <v>0</v>
      </c>
      <c r="DA10" s="1568">
        <f t="shared" si="15"/>
        <v>0</v>
      </c>
      <c r="DB10" s="1565">
        <v>0</v>
      </c>
      <c r="DC10" s="1566">
        <v>0</v>
      </c>
      <c r="DD10" s="1566">
        <v>0</v>
      </c>
      <c r="DE10" s="1566">
        <v>0</v>
      </c>
      <c r="DF10" s="1566">
        <v>0</v>
      </c>
      <c r="DG10" s="1566">
        <v>0</v>
      </c>
      <c r="DH10" s="1566">
        <v>0</v>
      </c>
      <c r="DI10" s="1566">
        <v>0</v>
      </c>
      <c r="DJ10" s="1566">
        <v>0</v>
      </c>
      <c r="DK10" s="1566">
        <v>0</v>
      </c>
      <c r="DL10" s="1566">
        <v>0</v>
      </c>
      <c r="DM10" s="1567">
        <v>0</v>
      </c>
      <c r="DN10" s="1568">
        <f t="shared" si="27"/>
        <v>0</v>
      </c>
      <c r="DO10" s="1565">
        <v>0</v>
      </c>
      <c r="DP10" s="1566">
        <v>0</v>
      </c>
      <c r="DQ10" s="1566">
        <v>0</v>
      </c>
      <c r="DR10" s="1566">
        <v>0</v>
      </c>
      <c r="DS10" s="1566">
        <v>0</v>
      </c>
      <c r="DT10" s="1566">
        <v>0</v>
      </c>
      <c r="DU10" s="1566">
        <v>0</v>
      </c>
      <c r="DV10" s="1566">
        <v>0</v>
      </c>
      <c r="DW10" s="1566">
        <v>0</v>
      </c>
      <c r="DX10" s="1566">
        <v>0</v>
      </c>
      <c r="DY10" s="1566">
        <v>0</v>
      </c>
      <c r="DZ10" s="1567">
        <v>0</v>
      </c>
      <c r="EA10" s="1568">
        <f t="shared" si="28"/>
        <v>0</v>
      </c>
      <c r="EB10" s="1565">
        <v>0</v>
      </c>
      <c r="EC10" s="1566">
        <v>0</v>
      </c>
      <c r="ED10" s="1566">
        <v>0</v>
      </c>
      <c r="EE10" s="1566">
        <v>0</v>
      </c>
      <c r="EF10" s="1566">
        <v>0</v>
      </c>
      <c r="EG10" s="1566">
        <v>0</v>
      </c>
      <c r="EH10" s="1566">
        <v>0</v>
      </c>
      <c r="EI10" s="1566">
        <v>0</v>
      </c>
      <c r="EJ10" s="1566">
        <v>0</v>
      </c>
      <c r="EK10" s="1566">
        <v>0</v>
      </c>
      <c r="EL10" s="1566">
        <v>0</v>
      </c>
      <c r="EM10" s="1567">
        <v>0</v>
      </c>
      <c r="EN10" s="1568">
        <f t="shared" si="29"/>
        <v>0</v>
      </c>
      <c r="EO10" s="1565">
        <v>0</v>
      </c>
      <c r="EP10" s="1566">
        <v>0</v>
      </c>
      <c r="EQ10" s="1566">
        <v>0</v>
      </c>
      <c r="ER10" s="1566">
        <v>0</v>
      </c>
      <c r="ES10" s="1566">
        <v>0</v>
      </c>
      <c r="ET10" s="1566">
        <v>0</v>
      </c>
      <c r="EU10" s="1566">
        <v>0</v>
      </c>
      <c r="EV10" s="1566">
        <v>0</v>
      </c>
      <c r="EW10" s="1566">
        <v>0</v>
      </c>
      <c r="EX10" s="1566">
        <v>0</v>
      </c>
      <c r="EY10" s="1566">
        <v>0</v>
      </c>
      <c r="EZ10" s="1567">
        <v>0</v>
      </c>
      <c r="FA10" s="1568">
        <f t="shared" si="30"/>
        <v>0</v>
      </c>
      <c r="FB10" s="1565">
        <v>0</v>
      </c>
      <c r="FC10" s="1566">
        <v>0</v>
      </c>
      <c r="FD10" s="1566">
        <v>0</v>
      </c>
      <c r="FE10" s="1566">
        <v>0</v>
      </c>
      <c r="FF10" s="1566">
        <v>0</v>
      </c>
      <c r="FG10" s="1566">
        <v>0</v>
      </c>
      <c r="FH10" s="1566">
        <v>0</v>
      </c>
      <c r="FI10" s="1566">
        <v>0</v>
      </c>
      <c r="FJ10" s="1566">
        <v>0</v>
      </c>
      <c r="FK10" s="1566">
        <v>0</v>
      </c>
      <c r="FL10" s="1566">
        <v>0</v>
      </c>
      <c r="FM10" s="1567">
        <v>0</v>
      </c>
      <c r="FN10" s="1568">
        <f t="shared" si="31"/>
        <v>0</v>
      </c>
      <c r="FO10" s="1565">
        <v>0</v>
      </c>
      <c r="FP10" s="1566">
        <v>0</v>
      </c>
      <c r="FQ10" s="1566">
        <v>0</v>
      </c>
      <c r="FR10" s="1566">
        <v>0</v>
      </c>
      <c r="FS10" s="1566">
        <v>0</v>
      </c>
      <c r="FT10" s="1566">
        <v>0</v>
      </c>
      <c r="FU10" s="1566">
        <v>0</v>
      </c>
      <c r="FV10" s="1566">
        <v>0</v>
      </c>
      <c r="FW10" s="1566">
        <v>0</v>
      </c>
      <c r="FX10" s="1566">
        <v>0</v>
      </c>
      <c r="FY10" s="1566">
        <v>0</v>
      </c>
      <c r="FZ10" s="1567">
        <v>0</v>
      </c>
      <c r="GA10" s="1568">
        <f t="shared" si="32"/>
        <v>0</v>
      </c>
      <c r="GB10" s="1565">
        <v>0</v>
      </c>
      <c r="GC10" s="1566">
        <v>0</v>
      </c>
      <c r="GD10" s="1566">
        <v>0</v>
      </c>
      <c r="GE10" s="1566">
        <v>0</v>
      </c>
      <c r="GF10" s="1566">
        <v>0</v>
      </c>
      <c r="GG10" s="1566">
        <v>0</v>
      </c>
      <c r="GH10" s="1566">
        <v>0</v>
      </c>
      <c r="GI10" s="1566">
        <v>0</v>
      </c>
      <c r="GJ10" s="1566">
        <v>0</v>
      </c>
      <c r="GK10" s="1566">
        <v>0</v>
      </c>
      <c r="GL10" s="1566">
        <v>0</v>
      </c>
      <c r="GM10" s="1567">
        <v>0</v>
      </c>
      <c r="GN10" s="1568">
        <f t="shared" si="33"/>
        <v>0</v>
      </c>
      <c r="GO10" s="1565">
        <v>0</v>
      </c>
      <c r="GP10" s="1566">
        <v>0</v>
      </c>
      <c r="GQ10" s="1566">
        <v>0</v>
      </c>
      <c r="GR10" s="1566">
        <v>0</v>
      </c>
      <c r="GS10" s="1566">
        <v>0</v>
      </c>
      <c r="GT10" s="1566">
        <v>0</v>
      </c>
      <c r="GU10" s="1566">
        <v>0</v>
      </c>
      <c r="GV10" s="1566">
        <v>0</v>
      </c>
      <c r="GW10" s="1566">
        <v>0</v>
      </c>
      <c r="GX10" s="1566">
        <v>0</v>
      </c>
      <c r="GY10" s="1566">
        <v>0</v>
      </c>
      <c r="GZ10" s="1567">
        <v>0</v>
      </c>
      <c r="HA10" s="1568">
        <f t="shared" si="34"/>
        <v>0</v>
      </c>
      <c r="HB10" s="1565">
        <v>0</v>
      </c>
      <c r="HC10" s="1566">
        <v>0</v>
      </c>
      <c r="HD10" s="1566">
        <v>0</v>
      </c>
      <c r="HE10" s="1566">
        <v>0</v>
      </c>
      <c r="HF10" s="1566">
        <v>0</v>
      </c>
      <c r="HG10" s="1566">
        <v>0</v>
      </c>
      <c r="HH10" s="1566">
        <v>0</v>
      </c>
      <c r="HI10" s="1566">
        <v>0</v>
      </c>
      <c r="HJ10" s="1566">
        <v>0</v>
      </c>
      <c r="HK10" s="1566">
        <v>0</v>
      </c>
      <c r="HL10" s="1566">
        <v>0</v>
      </c>
      <c r="HM10" s="1567">
        <v>0</v>
      </c>
      <c r="HN10" s="1568">
        <f t="shared" si="35"/>
        <v>0</v>
      </c>
      <c r="HO10" s="1565">
        <v>0</v>
      </c>
      <c r="HP10" s="1566">
        <v>0</v>
      </c>
      <c r="HQ10" s="1566">
        <v>0</v>
      </c>
      <c r="HR10" s="1566">
        <v>0</v>
      </c>
      <c r="HS10" s="1566">
        <v>0</v>
      </c>
      <c r="HT10" s="1566">
        <v>0</v>
      </c>
      <c r="HU10" s="1566">
        <v>0</v>
      </c>
      <c r="HV10" s="1566">
        <v>0</v>
      </c>
      <c r="HW10" s="1566">
        <v>0</v>
      </c>
      <c r="HX10" s="1566">
        <v>0</v>
      </c>
      <c r="HY10" s="1566">
        <v>0</v>
      </c>
      <c r="HZ10" s="1567">
        <v>0</v>
      </c>
      <c r="IA10" s="1565">
        <f t="shared" si="36"/>
        <v>0</v>
      </c>
      <c r="IB10" s="1569">
        <v>0</v>
      </c>
      <c r="IC10" s="1068">
        <v>0</v>
      </c>
      <c r="ID10" s="1068">
        <v>0</v>
      </c>
      <c r="IE10" s="1068">
        <v>0</v>
      </c>
      <c r="IF10" s="1068">
        <v>0</v>
      </c>
      <c r="IG10" s="1068">
        <v>0</v>
      </c>
      <c r="IH10" s="1068">
        <v>0</v>
      </c>
      <c r="II10" s="1068">
        <v>0</v>
      </c>
      <c r="IJ10" s="1068"/>
      <c r="IK10" s="1068"/>
      <c r="IL10" s="1068"/>
      <c r="IM10" s="1570"/>
      <c r="IN10" s="1571">
        <f t="shared" si="37"/>
        <v>0</v>
      </c>
      <c r="IP10" s="1656" t="str">
        <f t="shared" si="38"/>
        <v/>
      </c>
      <c r="IQ10" s="1656" t="str">
        <f t="shared" si="39"/>
        <v/>
      </c>
      <c r="IR10" s="1657">
        <f t="shared" si="40"/>
        <v>0</v>
      </c>
      <c r="IS10" s="1657">
        <f t="shared" si="41"/>
        <v>0</v>
      </c>
      <c r="IT10" s="1658"/>
      <c r="IU10" s="221">
        <f t="shared" si="42"/>
        <v>0</v>
      </c>
    </row>
    <row r="11" spans="1:264" ht="15" customHeight="1" x14ac:dyDescent="0.2">
      <c r="A11" s="1551" t="s">
        <v>626</v>
      </c>
      <c r="B11" s="1565">
        <v>0</v>
      </c>
      <c r="C11" s="1566">
        <v>0</v>
      </c>
      <c r="D11" s="1566">
        <v>0</v>
      </c>
      <c r="E11" s="1566">
        <v>0</v>
      </c>
      <c r="F11" s="1566">
        <v>0</v>
      </c>
      <c r="G11" s="1566">
        <v>0</v>
      </c>
      <c r="H11" s="1566">
        <v>0</v>
      </c>
      <c r="I11" s="1566">
        <v>0</v>
      </c>
      <c r="J11" s="1566">
        <v>0</v>
      </c>
      <c r="K11" s="1566">
        <v>0</v>
      </c>
      <c r="L11" s="1566">
        <v>0</v>
      </c>
      <c r="M11" s="1567">
        <v>0</v>
      </c>
      <c r="N11" s="1568">
        <f t="shared" si="1"/>
        <v>0</v>
      </c>
      <c r="O11" s="1565">
        <v>259</v>
      </c>
      <c r="P11" s="1566">
        <v>25</v>
      </c>
      <c r="Q11" s="1566">
        <v>234</v>
      </c>
      <c r="R11" s="1566">
        <v>72</v>
      </c>
      <c r="S11" s="1566">
        <v>278</v>
      </c>
      <c r="T11" s="1566">
        <v>35</v>
      </c>
      <c r="U11" s="1566">
        <v>338</v>
      </c>
      <c r="V11" s="1566">
        <v>59</v>
      </c>
      <c r="W11" s="1566">
        <v>2027</v>
      </c>
      <c r="X11" s="1566">
        <v>315</v>
      </c>
      <c r="Y11" s="1566">
        <v>327</v>
      </c>
      <c r="Z11" s="1567">
        <v>616</v>
      </c>
      <c r="AA11" s="1568">
        <f t="shared" si="3"/>
        <v>4585</v>
      </c>
      <c r="AB11" s="1565">
        <v>105</v>
      </c>
      <c r="AC11" s="1566">
        <v>418</v>
      </c>
      <c r="AD11" s="1566">
        <v>736</v>
      </c>
      <c r="AE11" s="1566">
        <v>955</v>
      </c>
      <c r="AF11" s="1566">
        <v>916</v>
      </c>
      <c r="AG11" s="1566">
        <v>1064</v>
      </c>
      <c r="AH11" s="1566">
        <v>802</v>
      </c>
      <c r="AI11" s="1566">
        <v>725</v>
      </c>
      <c r="AJ11" s="1566">
        <v>498</v>
      </c>
      <c r="AK11" s="1566">
        <v>338</v>
      </c>
      <c r="AL11" s="1566">
        <v>297</v>
      </c>
      <c r="AM11" s="1567">
        <v>457</v>
      </c>
      <c r="AN11" s="1568">
        <f t="shared" si="5"/>
        <v>7311</v>
      </c>
      <c r="AO11" s="1565">
        <v>0</v>
      </c>
      <c r="AP11" s="1566">
        <v>0</v>
      </c>
      <c r="AQ11" s="1566">
        <v>166</v>
      </c>
      <c r="AR11" s="1566">
        <v>168</v>
      </c>
      <c r="AS11" s="1566">
        <v>181</v>
      </c>
      <c r="AT11" s="1566">
        <v>324</v>
      </c>
      <c r="AU11" s="1566">
        <v>193</v>
      </c>
      <c r="AV11" s="1566">
        <v>217</v>
      </c>
      <c r="AW11" s="1566">
        <v>582</v>
      </c>
      <c r="AX11" s="1566">
        <v>646</v>
      </c>
      <c r="AY11" s="1566">
        <v>481</v>
      </c>
      <c r="AZ11" s="1567">
        <v>452</v>
      </c>
      <c r="BA11" s="1568">
        <f t="shared" si="7"/>
        <v>3410</v>
      </c>
      <c r="BB11" s="1565">
        <v>1042</v>
      </c>
      <c r="BC11" s="1566">
        <v>1390</v>
      </c>
      <c r="BD11" s="1566">
        <v>1668</v>
      </c>
      <c r="BE11" s="1566">
        <v>-546</v>
      </c>
      <c r="BF11" s="1566">
        <v>561</v>
      </c>
      <c r="BG11" s="1566">
        <v>1055</v>
      </c>
      <c r="BH11" s="1566">
        <v>798</v>
      </c>
      <c r="BI11" s="1566">
        <v>957</v>
      </c>
      <c r="BJ11" s="1566">
        <v>1067</v>
      </c>
      <c r="BK11" s="1566">
        <v>1554</v>
      </c>
      <c r="BL11" s="1566">
        <v>2852</v>
      </c>
      <c r="BM11" s="1567">
        <v>974</v>
      </c>
      <c r="BN11" s="1568">
        <f t="shared" si="9"/>
        <v>13372</v>
      </c>
      <c r="BO11" s="1565">
        <v>8</v>
      </c>
      <c r="BP11" s="1566">
        <v>488</v>
      </c>
      <c r="BQ11" s="1566">
        <v>76</v>
      </c>
      <c r="BR11" s="1566">
        <v>239</v>
      </c>
      <c r="BS11" s="1566">
        <v>750</v>
      </c>
      <c r="BT11" s="1566">
        <v>226</v>
      </c>
      <c r="BU11" s="1566">
        <v>267</v>
      </c>
      <c r="BV11" s="1566">
        <v>718</v>
      </c>
      <c r="BW11" s="1566">
        <v>217</v>
      </c>
      <c r="BX11" s="1566">
        <v>35</v>
      </c>
      <c r="BY11" s="1566">
        <v>6</v>
      </c>
      <c r="BZ11" s="1567">
        <v>12</v>
      </c>
      <c r="CA11" s="1568">
        <f t="shared" si="11"/>
        <v>3042</v>
      </c>
      <c r="CB11" s="1565">
        <v>10</v>
      </c>
      <c r="CC11" s="1566">
        <v>14</v>
      </c>
      <c r="CD11" s="1566">
        <v>48</v>
      </c>
      <c r="CE11" s="1566">
        <v>31</v>
      </c>
      <c r="CF11" s="1566">
        <v>29</v>
      </c>
      <c r="CG11" s="1566">
        <v>57</v>
      </c>
      <c r="CH11" s="1566">
        <v>77</v>
      </c>
      <c r="CI11" s="1566">
        <v>87</v>
      </c>
      <c r="CJ11" s="1566">
        <v>116</v>
      </c>
      <c r="CK11" s="1566">
        <v>98</v>
      </c>
      <c r="CL11" s="1566">
        <v>136</v>
      </c>
      <c r="CM11" s="1567">
        <v>84</v>
      </c>
      <c r="CN11" s="1568">
        <f t="shared" si="13"/>
        <v>787</v>
      </c>
      <c r="CO11" s="1565">
        <v>0</v>
      </c>
      <c r="CP11" s="1566">
        <v>0</v>
      </c>
      <c r="CQ11" s="1566">
        <v>0</v>
      </c>
      <c r="CR11" s="1566">
        <v>50</v>
      </c>
      <c r="CS11" s="1566">
        <v>58</v>
      </c>
      <c r="CT11" s="1566">
        <v>0</v>
      </c>
      <c r="CU11" s="1566">
        <v>35</v>
      </c>
      <c r="CV11" s="1566">
        <v>0</v>
      </c>
      <c r="CW11" s="1566">
        <v>0</v>
      </c>
      <c r="CX11" s="1566">
        <v>0</v>
      </c>
      <c r="CY11" s="1566">
        <v>0</v>
      </c>
      <c r="CZ11" s="1567">
        <v>0</v>
      </c>
      <c r="DA11" s="1568">
        <f t="shared" si="15"/>
        <v>143</v>
      </c>
      <c r="DB11" s="1565">
        <v>0</v>
      </c>
      <c r="DC11" s="1566">
        <v>0</v>
      </c>
      <c r="DD11" s="1566">
        <v>0</v>
      </c>
      <c r="DE11" s="1566">
        <v>0</v>
      </c>
      <c r="DF11" s="1566">
        <v>0</v>
      </c>
      <c r="DG11" s="1566">
        <v>0</v>
      </c>
      <c r="DH11" s="1566">
        <v>64</v>
      </c>
      <c r="DI11" s="1566">
        <v>0</v>
      </c>
      <c r="DJ11" s="1566">
        <v>0</v>
      </c>
      <c r="DK11" s="1566">
        <v>600</v>
      </c>
      <c r="DL11" s="1566">
        <v>213</v>
      </c>
      <c r="DM11" s="1567">
        <v>1483</v>
      </c>
      <c r="DN11" s="1568">
        <f t="shared" si="27"/>
        <v>2360</v>
      </c>
      <c r="DO11" s="1565">
        <v>0</v>
      </c>
      <c r="DP11" s="1566">
        <v>949</v>
      </c>
      <c r="DQ11" s="1566">
        <v>2144</v>
      </c>
      <c r="DR11" s="1566">
        <v>2155</v>
      </c>
      <c r="DS11" s="1566">
        <v>796</v>
      </c>
      <c r="DT11" s="1566">
        <v>1361</v>
      </c>
      <c r="DU11" s="1566">
        <v>2197</v>
      </c>
      <c r="DV11" s="1566">
        <v>4989</v>
      </c>
      <c r="DW11" s="1566">
        <v>2536</v>
      </c>
      <c r="DX11" s="1566">
        <v>2006</v>
      </c>
      <c r="DY11" s="1566">
        <v>1567</v>
      </c>
      <c r="DZ11" s="1567">
        <v>3104</v>
      </c>
      <c r="EA11" s="1568">
        <f t="shared" si="28"/>
        <v>23804</v>
      </c>
      <c r="EB11" s="1565">
        <v>265</v>
      </c>
      <c r="EC11" s="1566">
        <v>1570</v>
      </c>
      <c r="ED11" s="1566">
        <v>1288</v>
      </c>
      <c r="EE11" s="1566">
        <v>2187</v>
      </c>
      <c r="EF11" s="1566">
        <v>1351</v>
      </c>
      <c r="EG11" s="1566">
        <v>943</v>
      </c>
      <c r="EH11" s="1566">
        <v>1315</v>
      </c>
      <c r="EI11" s="1566">
        <v>1855</v>
      </c>
      <c r="EJ11" s="1566">
        <v>2337</v>
      </c>
      <c r="EK11" s="1566">
        <v>1782</v>
      </c>
      <c r="EL11" s="1566">
        <v>1237</v>
      </c>
      <c r="EM11" s="1567">
        <v>2790</v>
      </c>
      <c r="EN11" s="1568">
        <f t="shared" si="29"/>
        <v>18920</v>
      </c>
      <c r="EO11" s="1565">
        <v>0</v>
      </c>
      <c r="EP11" s="1566">
        <v>141</v>
      </c>
      <c r="EQ11" s="1566">
        <v>1330</v>
      </c>
      <c r="ER11" s="1566">
        <v>1816</v>
      </c>
      <c r="ES11" s="1566">
        <v>519</v>
      </c>
      <c r="ET11" s="1566">
        <v>525</v>
      </c>
      <c r="EU11" s="1566">
        <v>623</v>
      </c>
      <c r="EV11" s="1566">
        <v>694</v>
      </c>
      <c r="EW11" s="1566">
        <v>3393</v>
      </c>
      <c r="EX11" s="1566">
        <v>813</v>
      </c>
      <c r="EY11" s="1566">
        <v>2944</v>
      </c>
      <c r="EZ11" s="1567">
        <v>6728</v>
      </c>
      <c r="FA11" s="1568">
        <f t="shared" si="30"/>
        <v>19526</v>
      </c>
      <c r="FB11" s="1565">
        <v>0</v>
      </c>
      <c r="FC11" s="1566">
        <v>617</v>
      </c>
      <c r="FD11" s="1566">
        <v>438</v>
      </c>
      <c r="FE11" s="1566">
        <v>365</v>
      </c>
      <c r="FF11" s="1566">
        <v>94</v>
      </c>
      <c r="FG11" s="1566">
        <v>7</v>
      </c>
      <c r="FH11" s="1566">
        <v>413</v>
      </c>
      <c r="FI11" s="1566">
        <v>201</v>
      </c>
      <c r="FJ11" s="1566">
        <v>1461</v>
      </c>
      <c r="FK11" s="1566">
        <v>402</v>
      </c>
      <c r="FL11" s="1566">
        <v>1362</v>
      </c>
      <c r="FM11" s="1567">
        <v>1638</v>
      </c>
      <c r="FN11" s="1568">
        <f t="shared" si="31"/>
        <v>6998</v>
      </c>
      <c r="FO11" s="1565">
        <v>0</v>
      </c>
      <c r="FP11" s="1566">
        <v>616</v>
      </c>
      <c r="FQ11" s="1566">
        <v>1016</v>
      </c>
      <c r="FR11" s="1566">
        <v>978</v>
      </c>
      <c r="FS11" s="1566">
        <v>1252</v>
      </c>
      <c r="FT11" s="1566">
        <v>1202</v>
      </c>
      <c r="FU11" s="1566">
        <v>180</v>
      </c>
      <c r="FV11" s="1566">
        <v>217</v>
      </c>
      <c r="FW11" s="1566">
        <v>85</v>
      </c>
      <c r="FX11" s="1566">
        <v>30</v>
      </c>
      <c r="FY11" s="1566">
        <v>570</v>
      </c>
      <c r="FZ11" s="1567">
        <v>443</v>
      </c>
      <c r="GA11" s="1568">
        <f t="shared" si="32"/>
        <v>6589</v>
      </c>
      <c r="GB11" s="1565">
        <v>0</v>
      </c>
      <c r="GC11" s="1566">
        <v>0</v>
      </c>
      <c r="GD11" s="1566">
        <v>84</v>
      </c>
      <c r="GE11" s="1566">
        <v>0</v>
      </c>
      <c r="GF11" s="1566">
        <v>393</v>
      </c>
      <c r="GG11" s="1566">
        <v>731</v>
      </c>
      <c r="GH11" s="1566">
        <v>582</v>
      </c>
      <c r="GI11" s="1566">
        <v>299</v>
      </c>
      <c r="GJ11" s="1566">
        <v>558</v>
      </c>
      <c r="GK11" s="1566">
        <v>560</v>
      </c>
      <c r="GL11" s="1566">
        <v>231</v>
      </c>
      <c r="GM11" s="1567">
        <v>352</v>
      </c>
      <c r="GN11" s="1568">
        <f t="shared" si="33"/>
        <v>3790</v>
      </c>
      <c r="GO11" s="1565">
        <v>0</v>
      </c>
      <c r="GP11" s="1566">
        <v>0</v>
      </c>
      <c r="GQ11" s="1566">
        <v>815</v>
      </c>
      <c r="GR11" s="1566">
        <v>381</v>
      </c>
      <c r="GS11" s="1566">
        <v>975</v>
      </c>
      <c r="GT11" s="1566">
        <v>278</v>
      </c>
      <c r="GU11" s="1566">
        <v>1828</v>
      </c>
      <c r="GV11" s="1566">
        <v>406</v>
      </c>
      <c r="GW11" s="1566">
        <v>393</v>
      </c>
      <c r="GX11" s="1566">
        <v>557</v>
      </c>
      <c r="GY11" s="1566">
        <v>643</v>
      </c>
      <c r="GZ11" s="1567">
        <v>360</v>
      </c>
      <c r="HA11" s="1568">
        <f t="shared" si="34"/>
        <v>6636</v>
      </c>
      <c r="HB11" s="1565">
        <v>424</v>
      </c>
      <c r="HC11" s="1566">
        <v>316</v>
      </c>
      <c r="HD11" s="1566">
        <v>406</v>
      </c>
      <c r="HE11" s="1566">
        <v>240</v>
      </c>
      <c r="HF11" s="1566">
        <v>200</v>
      </c>
      <c r="HG11" s="1566">
        <v>146</v>
      </c>
      <c r="HH11" s="1566">
        <v>61</v>
      </c>
      <c r="HI11" s="1566">
        <v>331</v>
      </c>
      <c r="HJ11" s="1566">
        <v>44</v>
      </c>
      <c r="HK11" s="1566">
        <v>36</v>
      </c>
      <c r="HL11" s="1566">
        <v>43</v>
      </c>
      <c r="HM11" s="1567">
        <v>126</v>
      </c>
      <c r="HN11" s="1568">
        <f>SUM(HB11:HM11)</f>
        <v>2373</v>
      </c>
      <c r="HO11" s="1565">
        <v>0</v>
      </c>
      <c r="HP11" s="1566">
        <v>165</v>
      </c>
      <c r="HQ11" s="1566">
        <v>361</v>
      </c>
      <c r="HR11" s="1566">
        <v>130</v>
      </c>
      <c r="HS11" s="1566">
        <v>50</v>
      </c>
      <c r="HT11" s="1566">
        <v>85</v>
      </c>
      <c r="HU11" s="1566">
        <v>192</v>
      </c>
      <c r="HV11" s="1566">
        <v>1512</v>
      </c>
      <c r="HW11" s="1566">
        <v>1264</v>
      </c>
      <c r="HX11" s="1566">
        <v>1786</v>
      </c>
      <c r="HY11" s="1566">
        <v>860</v>
      </c>
      <c r="HZ11" s="1567">
        <v>842</v>
      </c>
      <c r="IA11" s="1565">
        <f>SUM(HO11:HZ11)</f>
        <v>7247</v>
      </c>
      <c r="IB11" s="1569">
        <v>689</v>
      </c>
      <c r="IC11" s="1068">
        <v>151</v>
      </c>
      <c r="ID11" s="1068">
        <v>137</v>
      </c>
      <c r="IE11" s="1068">
        <v>166</v>
      </c>
      <c r="IF11" s="1068">
        <v>43</v>
      </c>
      <c r="IG11" s="1068">
        <v>517</v>
      </c>
      <c r="IH11" s="1068">
        <v>383</v>
      </c>
      <c r="II11" s="1068">
        <v>74</v>
      </c>
      <c r="IJ11" s="1068"/>
      <c r="IK11" s="1068"/>
      <c r="IL11" s="1068"/>
      <c r="IM11" s="1570"/>
      <c r="IN11" s="1571">
        <f t="shared" si="37"/>
        <v>2160</v>
      </c>
      <c r="IP11" s="1656">
        <f t="shared" si="38"/>
        <v>-95.105820105820101</v>
      </c>
      <c r="IQ11" s="1656">
        <f t="shared" si="39"/>
        <v>-13.426853707414832</v>
      </c>
      <c r="IR11" s="1657">
        <f t="shared" si="40"/>
        <v>2495</v>
      </c>
      <c r="IS11" s="1657">
        <f t="shared" si="41"/>
        <v>2160</v>
      </c>
      <c r="IT11" s="1658"/>
      <c r="IU11" s="221">
        <f t="shared" si="42"/>
        <v>-1438</v>
      </c>
    </row>
    <row r="12" spans="1:264" ht="15" customHeight="1" x14ac:dyDescent="0.2">
      <c r="A12" s="1551" t="s">
        <v>627</v>
      </c>
      <c r="B12" s="1565">
        <v>0</v>
      </c>
      <c r="C12" s="1566">
        <v>690</v>
      </c>
      <c r="D12" s="1566">
        <v>1568</v>
      </c>
      <c r="E12" s="1566">
        <v>1113</v>
      </c>
      <c r="F12" s="1566">
        <v>817</v>
      </c>
      <c r="G12" s="1566">
        <v>1200</v>
      </c>
      <c r="H12" s="1566">
        <v>1900</v>
      </c>
      <c r="I12" s="1566">
        <v>1129</v>
      </c>
      <c r="J12" s="1566">
        <v>1254</v>
      </c>
      <c r="K12" s="1566">
        <v>461</v>
      </c>
      <c r="L12" s="1566">
        <v>739</v>
      </c>
      <c r="M12" s="1567">
        <v>787</v>
      </c>
      <c r="N12" s="1568">
        <f t="shared" si="1"/>
        <v>11658</v>
      </c>
      <c r="O12" s="1565">
        <v>20</v>
      </c>
      <c r="P12" s="1566">
        <v>115</v>
      </c>
      <c r="Q12" s="1566">
        <v>73</v>
      </c>
      <c r="R12" s="1566">
        <v>26</v>
      </c>
      <c r="S12" s="1566">
        <v>136</v>
      </c>
      <c r="T12" s="1566">
        <v>13</v>
      </c>
      <c r="U12" s="1566">
        <v>17</v>
      </c>
      <c r="V12" s="1566">
        <v>166</v>
      </c>
      <c r="W12" s="1566">
        <v>326</v>
      </c>
      <c r="X12" s="1566">
        <v>291</v>
      </c>
      <c r="Y12" s="1566">
        <v>66</v>
      </c>
      <c r="Z12" s="1567">
        <v>180</v>
      </c>
      <c r="AA12" s="1568">
        <f t="shared" si="3"/>
        <v>1429</v>
      </c>
      <c r="AB12" s="1565">
        <v>8</v>
      </c>
      <c r="AC12" s="1566">
        <v>45</v>
      </c>
      <c r="AD12" s="1566">
        <v>491</v>
      </c>
      <c r="AE12" s="1566">
        <v>870</v>
      </c>
      <c r="AF12" s="1566">
        <v>188</v>
      </c>
      <c r="AG12" s="1566">
        <v>383</v>
      </c>
      <c r="AH12" s="1566">
        <v>95</v>
      </c>
      <c r="AI12" s="1566">
        <v>190</v>
      </c>
      <c r="AJ12" s="1566">
        <v>289</v>
      </c>
      <c r="AK12" s="1566">
        <v>409</v>
      </c>
      <c r="AL12" s="1566">
        <v>207</v>
      </c>
      <c r="AM12" s="1567">
        <v>308</v>
      </c>
      <c r="AN12" s="1568">
        <f t="shared" si="5"/>
        <v>3483</v>
      </c>
      <c r="AO12" s="1565">
        <v>0</v>
      </c>
      <c r="AP12" s="1566">
        <v>22</v>
      </c>
      <c r="AQ12" s="1566">
        <v>68</v>
      </c>
      <c r="AR12" s="1566">
        <v>104</v>
      </c>
      <c r="AS12" s="1566">
        <v>0</v>
      </c>
      <c r="AT12" s="1566">
        <v>30</v>
      </c>
      <c r="AU12" s="1566">
        <v>47</v>
      </c>
      <c r="AV12" s="1566">
        <v>431</v>
      </c>
      <c r="AW12" s="1566">
        <v>769</v>
      </c>
      <c r="AX12" s="1566">
        <v>210</v>
      </c>
      <c r="AY12" s="1566">
        <v>161</v>
      </c>
      <c r="AZ12" s="1567">
        <v>388</v>
      </c>
      <c r="BA12" s="1568">
        <f t="shared" si="7"/>
        <v>2230</v>
      </c>
      <c r="BB12" s="1565">
        <v>180</v>
      </c>
      <c r="BC12" s="1566">
        <v>474</v>
      </c>
      <c r="BD12" s="1566">
        <v>142</v>
      </c>
      <c r="BE12" s="1566">
        <v>234</v>
      </c>
      <c r="BF12" s="1566">
        <v>142</v>
      </c>
      <c r="BG12" s="1566">
        <v>91</v>
      </c>
      <c r="BH12" s="1566">
        <v>124</v>
      </c>
      <c r="BI12" s="1566">
        <v>132</v>
      </c>
      <c r="BJ12" s="1566">
        <v>2878</v>
      </c>
      <c r="BK12" s="1566">
        <v>834</v>
      </c>
      <c r="BL12" s="1566">
        <v>4542</v>
      </c>
      <c r="BM12" s="1567">
        <v>7138</v>
      </c>
      <c r="BN12" s="1568">
        <f t="shared" si="9"/>
        <v>16911</v>
      </c>
      <c r="BO12" s="1565">
        <v>1</v>
      </c>
      <c r="BP12" s="1566">
        <v>5777</v>
      </c>
      <c r="BQ12" s="1566">
        <v>2649</v>
      </c>
      <c r="BR12" s="1566">
        <v>1974</v>
      </c>
      <c r="BS12" s="1566">
        <v>3127</v>
      </c>
      <c r="BT12" s="1566">
        <v>2698</v>
      </c>
      <c r="BU12" s="1566">
        <v>3343</v>
      </c>
      <c r="BV12" s="1566">
        <v>2337</v>
      </c>
      <c r="BW12" s="1566">
        <v>4038</v>
      </c>
      <c r="BX12" s="1566">
        <v>1829</v>
      </c>
      <c r="BY12" s="1566">
        <v>2594</v>
      </c>
      <c r="BZ12" s="1567">
        <v>5943</v>
      </c>
      <c r="CA12" s="1568">
        <f t="shared" si="11"/>
        <v>36310</v>
      </c>
      <c r="CB12" s="1565">
        <v>278</v>
      </c>
      <c r="CC12" s="1566">
        <v>1634</v>
      </c>
      <c r="CD12" s="1566">
        <v>1174</v>
      </c>
      <c r="CE12" s="1566">
        <v>993</v>
      </c>
      <c r="CF12" s="1566">
        <v>677</v>
      </c>
      <c r="CG12" s="1566">
        <v>4143</v>
      </c>
      <c r="CH12" s="1566">
        <v>747</v>
      </c>
      <c r="CI12" s="1566">
        <v>576</v>
      </c>
      <c r="CJ12" s="1566">
        <v>5735</v>
      </c>
      <c r="CK12" s="1566">
        <v>2421</v>
      </c>
      <c r="CL12" s="1566">
        <v>2393</v>
      </c>
      <c r="CM12" s="1567">
        <v>8889</v>
      </c>
      <c r="CN12" s="1568">
        <f t="shared" si="13"/>
        <v>29660</v>
      </c>
      <c r="CO12" s="1565">
        <v>0</v>
      </c>
      <c r="CP12" s="1566">
        <v>1859</v>
      </c>
      <c r="CQ12" s="1566">
        <v>3204</v>
      </c>
      <c r="CR12" s="1566">
        <v>5252</v>
      </c>
      <c r="CS12" s="1566">
        <v>1011</v>
      </c>
      <c r="CT12" s="1566">
        <v>961</v>
      </c>
      <c r="CU12" s="1566">
        <v>5163</v>
      </c>
      <c r="CV12" s="1566">
        <v>3926</v>
      </c>
      <c r="CW12" s="1566">
        <v>1598</v>
      </c>
      <c r="CX12" s="1566">
        <v>2545</v>
      </c>
      <c r="CY12" s="1566">
        <v>6391</v>
      </c>
      <c r="CZ12" s="1567">
        <v>11373</v>
      </c>
      <c r="DA12" s="1568">
        <f t="shared" si="15"/>
        <v>43283</v>
      </c>
      <c r="DB12" s="1565">
        <v>269</v>
      </c>
      <c r="DC12" s="1566">
        <v>209</v>
      </c>
      <c r="DD12" s="1566">
        <v>3831</v>
      </c>
      <c r="DE12" s="1566">
        <v>1828</v>
      </c>
      <c r="DF12" s="1566">
        <v>1044</v>
      </c>
      <c r="DG12" s="1566">
        <v>1280</v>
      </c>
      <c r="DH12" s="1566">
        <v>8574</v>
      </c>
      <c r="DI12" s="1566">
        <v>4336</v>
      </c>
      <c r="DJ12" s="1566">
        <v>3631</v>
      </c>
      <c r="DK12" s="1566">
        <v>2167</v>
      </c>
      <c r="DL12" s="1566">
        <v>3948</v>
      </c>
      <c r="DM12" s="1567">
        <v>8213</v>
      </c>
      <c r="DN12" s="1568">
        <f t="shared" si="27"/>
        <v>39330</v>
      </c>
      <c r="DO12" s="1565">
        <v>10</v>
      </c>
      <c r="DP12" s="1566">
        <v>1155</v>
      </c>
      <c r="DQ12" s="1566">
        <v>10680</v>
      </c>
      <c r="DR12" s="1566">
        <v>2103</v>
      </c>
      <c r="DS12" s="1566">
        <v>6123</v>
      </c>
      <c r="DT12" s="1566">
        <v>7189</v>
      </c>
      <c r="DU12" s="1566">
        <v>3761</v>
      </c>
      <c r="DV12" s="1566">
        <v>5903</v>
      </c>
      <c r="DW12" s="1566">
        <v>7019</v>
      </c>
      <c r="DX12" s="1566">
        <v>6925</v>
      </c>
      <c r="DY12" s="1566">
        <v>4597</v>
      </c>
      <c r="DZ12" s="1567">
        <v>13625</v>
      </c>
      <c r="EA12" s="1568">
        <f t="shared" si="28"/>
        <v>69090</v>
      </c>
      <c r="EB12" s="1565">
        <v>273</v>
      </c>
      <c r="EC12" s="1566">
        <v>3620</v>
      </c>
      <c r="ED12" s="1566">
        <v>5236</v>
      </c>
      <c r="EE12" s="1566">
        <v>2792</v>
      </c>
      <c r="EF12" s="1566">
        <v>4447</v>
      </c>
      <c r="EG12" s="1566">
        <v>4841</v>
      </c>
      <c r="EH12" s="1566">
        <v>1565</v>
      </c>
      <c r="EI12" s="1566">
        <v>3979</v>
      </c>
      <c r="EJ12" s="1566">
        <v>3458</v>
      </c>
      <c r="EK12" s="1566">
        <v>4555</v>
      </c>
      <c r="EL12" s="1566">
        <v>5090</v>
      </c>
      <c r="EM12" s="1567">
        <v>19138</v>
      </c>
      <c r="EN12" s="1568">
        <f t="shared" si="29"/>
        <v>58994</v>
      </c>
      <c r="EO12" s="1565">
        <v>33</v>
      </c>
      <c r="EP12" s="1566">
        <v>4826</v>
      </c>
      <c r="EQ12" s="1566">
        <v>6746</v>
      </c>
      <c r="ER12" s="1566">
        <v>5245</v>
      </c>
      <c r="ES12" s="1566">
        <v>7593</v>
      </c>
      <c r="ET12" s="1566">
        <v>8139</v>
      </c>
      <c r="EU12" s="1566">
        <v>10022</v>
      </c>
      <c r="EV12" s="1566">
        <v>13996</v>
      </c>
      <c r="EW12" s="1566">
        <v>5100</v>
      </c>
      <c r="EX12" s="1566">
        <v>9301</v>
      </c>
      <c r="EY12" s="1566">
        <v>14868</v>
      </c>
      <c r="EZ12" s="1567">
        <v>30675</v>
      </c>
      <c r="FA12" s="1568">
        <f t="shared" si="30"/>
        <v>116544</v>
      </c>
      <c r="FB12" s="1565">
        <v>1172</v>
      </c>
      <c r="FC12" s="1566">
        <v>9950</v>
      </c>
      <c r="FD12" s="1566">
        <v>7078</v>
      </c>
      <c r="FE12" s="1566">
        <v>3002</v>
      </c>
      <c r="FF12" s="1566">
        <v>798</v>
      </c>
      <c r="FG12" s="1566">
        <v>227</v>
      </c>
      <c r="FH12" s="1566">
        <v>1233</v>
      </c>
      <c r="FI12" s="1566">
        <v>1820</v>
      </c>
      <c r="FJ12" s="1566">
        <v>9276</v>
      </c>
      <c r="FK12" s="1566">
        <v>8297</v>
      </c>
      <c r="FL12" s="1566">
        <v>8208</v>
      </c>
      <c r="FM12" s="1567">
        <v>14928</v>
      </c>
      <c r="FN12" s="1568">
        <f t="shared" si="31"/>
        <v>65989</v>
      </c>
      <c r="FO12" s="1565">
        <v>0</v>
      </c>
      <c r="FP12" s="1566">
        <v>1510</v>
      </c>
      <c r="FQ12" s="1566">
        <v>6850</v>
      </c>
      <c r="FR12" s="1566">
        <v>1292</v>
      </c>
      <c r="FS12" s="1566">
        <v>2325</v>
      </c>
      <c r="FT12" s="1566">
        <v>2303</v>
      </c>
      <c r="FU12" s="1566">
        <v>1180</v>
      </c>
      <c r="FV12" s="1566">
        <v>1340</v>
      </c>
      <c r="FW12" s="1566">
        <v>1868</v>
      </c>
      <c r="FX12" s="1566">
        <v>1562</v>
      </c>
      <c r="FY12" s="1566">
        <v>2417</v>
      </c>
      <c r="FZ12" s="1567">
        <v>5633</v>
      </c>
      <c r="GA12" s="1568">
        <f t="shared" si="32"/>
        <v>28280</v>
      </c>
      <c r="GB12" s="1565">
        <v>1043</v>
      </c>
      <c r="GC12" s="1566">
        <v>-67</v>
      </c>
      <c r="GD12" s="1566">
        <v>4572</v>
      </c>
      <c r="GE12" s="1566">
        <v>6851</v>
      </c>
      <c r="GF12" s="1566">
        <v>4837</v>
      </c>
      <c r="GG12" s="1566">
        <v>2697</v>
      </c>
      <c r="GH12" s="1566">
        <v>4212</v>
      </c>
      <c r="GI12" s="1566">
        <v>3021</v>
      </c>
      <c r="GJ12" s="1566">
        <v>2615</v>
      </c>
      <c r="GK12" s="1566">
        <v>3550</v>
      </c>
      <c r="GL12" s="1566">
        <v>2440</v>
      </c>
      <c r="GM12" s="1567">
        <v>3299</v>
      </c>
      <c r="GN12" s="1568">
        <f t="shared" si="33"/>
        <v>39070</v>
      </c>
      <c r="GO12" s="1565">
        <v>0</v>
      </c>
      <c r="GP12" s="1566">
        <v>561</v>
      </c>
      <c r="GQ12" s="1566">
        <v>2274</v>
      </c>
      <c r="GR12" s="1566">
        <v>1698</v>
      </c>
      <c r="GS12" s="1566">
        <v>732</v>
      </c>
      <c r="GT12" s="1566">
        <v>3427</v>
      </c>
      <c r="GU12" s="1566">
        <v>3059</v>
      </c>
      <c r="GV12" s="1566">
        <v>2576</v>
      </c>
      <c r="GW12" s="1566">
        <v>3109</v>
      </c>
      <c r="GX12" s="1566">
        <v>3570</v>
      </c>
      <c r="GY12" s="1566">
        <v>8782</v>
      </c>
      <c r="GZ12" s="1567">
        <v>12475</v>
      </c>
      <c r="HA12" s="1568">
        <f t="shared" si="34"/>
        <v>42263</v>
      </c>
      <c r="HB12" s="1565">
        <v>1117</v>
      </c>
      <c r="HC12" s="1566">
        <v>5948</v>
      </c>
      <c r="HD12" s="1566">
        <v>6560</v>
      </c>
      <c r="HE12" s="1566">
        <v>5634</v>
      </c>
      <c r="HF12" s="1566">
        <v>8193</v>
      </c>
      <c r="HG12" s="1566">
        <v>5687</v>
      </c>
      <c r="HH12" s="1566">
        <v>3486</v>
      </c>
      <c r="HI12" s="1566">
        <v>9192</v>
      </c>
      <c r="HJ12" s="1566">
        <v>5217</v>
      </c>
      <c r="HK12" s="1566">
        <v>5455</v>
      </c>
      <c r="HL12" s="1566">
        <v>6825</v>
      </c>
      <c r="HM12" s="1567">
        <v>24196</v>
      </c>
      <c r="HN12" s="1568">
        <f t="shared" si="35"/>
        <v>87510</v>
      </c>
      <c r="HO12" s="1565">
        <v>1764</v>
      </c>
      <c r="HP12" s="1566">
        <v>11636</v>
      </c>
      <c r="HQ12" s="1566">
        <v>11128</v>
      </c>
      <c r="HR12" s="1566">
        <v>12881</v>
      </c>
      <c r="HS12" s="1566">
        <v>14865</v>
      </c>
      <c r="HT12" s="1566">
        <v>4318</v>
      </c>
      <c r="HU12" s="1566">
        <v>4960</v>
      </c>
      <c r="HV12" s="1566">
        <v>6122</v>
      </c>
      <c r="HW12" s="1566">
        <v>7570</v>
      </c>
      <c r="HX12" s="1566">
        <v>9420</v>
      </c>
      <c r="HY12" s="1566">
        <v>6628</v>
      </c>
      <c r="HZ12" s="1567">
        <v>17671</v>
      </c>
      <c r="IA12" s="1565">
        <f t="shared" si="36"/>
        <v>108963</v>
      </c>
      <c r="IB12" s="1569">
        <v>647</v>
      </c>
      <c r="IC12" s="1068">
        <v>8379</v>
      </c>
      <c r="ID12" s="1068">
        <v>5381</v>
      </c>
      <c r="IE12" s="1068">
        <v>8000</v>
      </c>
      <c r="IF12" s="1068">
        <v>8831</v>
      </c>
      <c r="IG12" s="1068">
        <v>6381</v>
      </c>
      <c r="IH12" s="1068">
        <v>10258</v>
      </c>
      <c r="II12" s="1068">
        <v>5431</v>
      </c>
      <c r="IJ12" s="1068"/>
      <c r="IK12" s="1068"/>
      <c r="IL12" s="1068"/>
      <c r="IM12" s="1570"/>
      <c r="IN12" s="1571">
        <f t="shared" si="37"/>
        <v>53308</v>
      </c>
      <c r="IP12" s="1656">
        <f t="shared" si="38"/>
        <v>-11.287161058477624</v>
      </c>
      <c r="IQ12" s="1656">
        <f t="shared" si="39"/>
        <v>-21.228241274344651</v>
      </c>
      <c r="IR12" s="1657">
        <f t="shared" si="40"/>
        <v>67674</v>
      </c>
      <c r="IS12" s="1657">
        <f t="shared" si="41"/>
        <v>53308</v>
      </c>
      <c r="IT12" s="1658"/>
      <c r="IU12" s="221">
        <f t="shared" si="42"/>
        <v>-691</v>
      </c>
    </row>
    <row r="13" spans="1:264" ht="15" customHeight="1" x14ac:dyDescent="0.2">
      <c r="A13" s="1551" t="s">
        <v>628</v>
      </c>
      <c r="B13" s="1565">
        <v>0</v>
      </c>
      <c r="C13" s="1566">
        <v>63</v>
      </c>
      <c r="D13" s="1566">
        <v>518</v>
      </c>
      <c r="E13" s="1566">
        <v>225</v>
      </c>
      <c r="F13" s="1566">
        <v>223</v>
      </c>
      <c r="G13" s="1566">
        <v>1260</v>
      </c>
      <c r="H13" s="1566">
        <v>30287</v>
      </c>
      <c r="I13" s="1566">
        <v>2967</v>
      </c>
      <c r="J13" s="1566">
        <v>919</v>
      </c>
      <c r="K13" s="1566">
        <v>6639</v>
      </c>
      <c r="L13" s="1566">
        <v>3214</v>
      </c>
      <c r="M13" s="1567">
        <v>1028</v>
      </c>
      <c r="N13" s="1568">
        <f t="shared" si="1"/>
        <v>47343</v>
      </c>
      <c r="O13" s="1565">
        <v>0</v>
      </c>
      <c r="P13" s="1566">
        <v>276</v>
      </c>
      <c r="Q13" s="1566">
        <v>12</v>
      </c>
      <c r="R13" s="1566">
        <v>969</v>
      </c>
      <c r="S13" s="1566">
        <v>356</v>
      </c>
      <c r="T13" s="1566">
        <v>16</v>
      </c>
      <c r="U13" s="1566">
        <v>258</v>
      </c>
      <c r="V13" s="1566">
        <v>143</v>
      </c>
      <c r="W13" s="1566">
        <v>1599</v>
      </c>
      <c r="X13" s="1566">
        <v>199</v>
      </c>
      <c r="Y13" s="1566">
        <v>41</v>
      </c>
      <c r="Z13" s="1567">
        <v>1900</v>
      </c>
      <c r="AA13" s="1568">
        <f t="shared" si="3"/>
        <v>5769</v>
      </c>
      <c r="AB13" s="1565">
        <v>0</v>
      </c>
      <c r="AC13" s="1566">
        <v>453</v>
      </c>
      <c r="AD13" s="1566">
        <v>1383</v>
      </c>
      <c r="AE13" s="1566">
        <v>686</v>
      </c>
      <c r="AF13" s="1566">
        <v>1536</v>
      </c>
      <c r="AG13" s="1566">
        <v>2096</v>
      </c>
      <c r="AH13" s="1566">
        <v>842</v>
      </c>
      <c r="AI13" s="1566">
        <v>419</v>
      </c>
      <c r="AJ13" s="1566">
        <v>279</v>
      </c>
      <c r="AK13" s="1566">
        <v>592</v>
      </c>
      <c r="AL13" s="1566">
        <v>651</v>
      </c>
      <c r="AM13" s="1567">
        <v>1848</v>
      </c>
      <c r="AN13" s="1568">
        <f t="shared" si="5"/>
        <v>10785</v>
      </c>
      <c r="AO13" s="1565">
        <v>0</v>
      </c>
      <c r="AP13" s="1566">
        <v>339</v>
      </c>
      <c r="AQ13" s="1566">
        <v>320</v>
      </c>
      <c r="AR13" s="1566">
        <v>93</v>
      </c>
      <c r="AS13" s="1566">
        <v>62</v>
      </c>
      <c r="AT13" s="1566">
        <v>52</v>
      </c>
      <c r="AU13" s="1566">
        <v>24</v>
      </c>
      <c r="AV13" s="1566">
        <v>160</v>
      </c>
      <c r="AW13" s="1566">
        <v>23</v>
      </c>
      <c r="AX13" s="1566">
        <v>0</v>
      </c>
      <c r="AY13" s="1566">
        <v>2</v>
      </c>
      <c r="AZ13" s="1567">
        <v>512</v>
      </c>
      <c r="BA13" s="1568">
        <f t="shared" si="7"/>
        <v>1587</v>
      </c>
      <c r="BB13" s="1565">
        <v>0</v>
      </c>
      <c r="BC13" s="1566">
        <v>83</v>
      </c>
      <c r="BD13" s="1566">
        <v>10</v>
      </c>
      <c r="BE13" s="1566">
        <v>113</v>
      </c>
      <c r="BF13" s="1566">
        <v>415</v>
      </c>
      <c r="BG13" s="1566">
        <v>11</v>
      </c>
      <c r="BH13" s="1566">
        <v>4</v>
      </c>
      <c r="BI13" s="1566">
        <v>70</v>
      </c>
      <c r="BJ13" s="1566">
        <v>1865</v>
      </c>
      <c r="BK13" s="1566">
        <v>910</v>
      </c>
      <c r="BL13" s="1566">
        <v>501</v>
      </c>
      <c r="BM13" s="1567">
        <v>147</v>
      </c>
      <c r="BN13" s="1568">
        <f t="shared" si="9"/>
        <v>4129</v>
      </c>
      <c r="BO13" s="1565">
        <v>0</v>
      </c>
      <c r="BP13" s="1566">
        <v>530</v>
      </c>
      <c r="BQ13" s="1566">
        <v>251</v>
      </c>
      <c r="BR13" s="1566">
        <v>413</v>
      </c>
      <c r="BS13" s="1566">
        <v>1017</v>
      </c>
      <c r="BT13" s="1566">
        <v>522</v>
      </c>
      <c r="BU13" s="1566">
        <v>-143</v>
      </c>
      <c r="BV13" s="1566">
        <v>192</v>
      </c>
      <c r="BW13" s="1566">
        <v>482</v>
      </c>
      <c r="BX13" s="1566">
        <v>5</v>
      </c>
      <c r="BY13" s="1566">
        <v>166</v>
      </c>
      <c r="BZ13" s="1567">
        <v>123</v>
      </c>
      <c r="CA13" s="1568">
        <f t="shared" si="11"/>
        <v>3558</v>
      </c>
      <c r="CB13" s="1565">
        <v>0</v>
      </c>
      <c r="CC13" s="1566">
        <v>68</v>
      </c>
      <c r="CD13" s="1566">
        <v>0</v>
      </c>
      <c r="CE13" s="1566">
        <v>0</v>
      </c>
      <c r="CF13" s="1566">
        <v>0</v>
      </c>
      <c r="CG13" s="1566">
        <v>0</v>
      </c>
      <c r="CH13" s="1566">
        <v>0</v>
      </c>
      <c r="CI13" s="1566">
        <v>0</v>
      </c>
      <c r="CJ13" s="1566">
        <v>0</v>
      </c>
      <c r="CK13" s="1566">
        <v>0</v>
      </c>
      <c r="CL13" s="1566">
        <v>0</v>
      </c>
      <c r="CM13" s="1567">
        <v>0</v>
      </c>
      <c r="CN13" s="1568">
        <f t="shared" si="13"/>
        <v>68</v>
      </c>
      <c r="CO13" s="1565">
        <v>0</v>
      </c>
      <c r="CP13" s="1566">
        <v>0</v>
      </c>
      <c r="CQ13" s="1566">
        <v>0</v>
      </c>
      <c r="CR13" s="1566">
        <v>0</v>
      </c>
      <c r="CS13" s="1566">
        <v>0</v>
      </c>
      <c r="CT13" s="1566"/>
      <c r="CU13" s="1566">
        <v>0</v>
      </c>
      <c r="CV13" s="1566">
        <v>0</v>
      </c>
      <c r="CW13" s="1566">
        <v>0</v>
      </c>
      <c r="CX13" s="1566">
        <v>0</v>
      </c>
      <c r="CY13" s="1566">
        <v>0</v>
      </c>
      <c r="CZ13" s="1567">
        <v>227</v>
      </c>
      <c r="DA13" s="1568">
        <f t="shared" si="15"/>
        <v>227</v>
      </c>
      <c r="DB13" s="1565">
        <v>0</v>
      </c>
      <c r="DC13" s="1566">
        <v>26</v>
      </c>
      <c r="DD13" s="1566">
        <v>24</v>
      </c>
      <c r="DE13" s="1566">
        <v>51</v>
      </c>
      <c r="DF13" s="1566">
        <v>41</v>
      </c>
      <c r="DG13" s="1566">
        <v>34</v>
      </c>
      <c r="DH13" s="1566">
        <v>23</v>
      </c>
      <c r="DI13" s="1566">
        <v>50</v>
      </c>
      <c r="DJ13" s="1566">
        <v>27</v>
      </c>
      <c r="DK13" s="1566">
        <v>30</v>
      </c>
      <c r="DL13" s="1566">
        <v>23</v>
      </c>
      <c r="DM13" s="1567">
        <v>26</v>
      </c>
      <c r="DN13" s="1568">
        <f t="shared" si="27"/>
        <v>355</v>
      </c>
      <c r="DO13" s="1565">
        <v>0</v>
      </c>
      <c r="DP13" s="1566">
        <v>80</v>
      </c>
      <c r="DQ13" s="1566">
        <v>51</v>
      </c>
      <c r="DR13" s="1566">
        <v>127</v>
      </c>
      <c r="DS13" s="1566">
        <v>549</v>
      </c>
      <c r="DT13" s="1566">
        <v>141</v>
      </c>
      <c r="DU13" s="1566">
        <v>103</v>
      </c>
      <c r="DV13" s="1566">
        <v>100</v>
      </c>
      <c r="DW13" s="1566">
        <v>169</v>
      </c>
      <c r="DX13" s="1566">
        <v>138</v>
      </c>
      <c r="DY13" s="1566">
        <v>70</v>
      </c>
      <c r="DZ13" s="1567">
        <v>114</v>
      </c>
      <c r="EA13" s="1568">
        <f t="shared" si="28"/>
        <v>1642</v>
      </c>
      <c r="EB13" s="1565">
        <v>0</v>
      </c>
      <c r="EC13" s="1566">
        <v>0</v>
      </c>
      <c r="ED13" s="1566">
        <v>103</v>
      </c>
      <c r="EE13" s="1566">
        <v>44</v>
      </c>
      <c r="EF13" s="1566">
        <v>81</v>
      </c>
      <c r="EG13" s="1566">
        <v>57</v>
      </c>
      <c r="EH13" s="1566"/>
      <c r="EI13" s="1566">
        <v>109</v>
      </c>
      <c r="EJ13" s="1566">
        <v>56</v>
      </c>
      <c r="EK13" s="1566">
        <v>5</v>
      </c>
      <c r="EL13" s="1566">
        <v>114</v>
      </c>
      <c r="EM13" s="1567">
        <v>163</v>
      </c>
      <c r="EN13" s="1568">
        <f t="shared" si="29"/>
        <v>732</v>
      </c>
      <c r="EO13" s="1565">
        <v>0</v>
      </c>
      <c r="EP13" s="1566">
        <v>0</v>
      </c>
      <c r="EQ13" s="1566">
        <v>0</v>
      </c>
      <c r="ER13" s="1566">
        <v>12</v>
      </c>
      <c r="ES13" s="1566">
        <v>0</v>
      </c>
      <c r="ET13" s="1566">
        <v>0</v>
      </c>
      <c r="EU13" s="1566">
        <v>14</v>
      </c>
      <c r="EV13" s="1566">
        <v>45</v>
      </c>
      <c r="EW13" s="1566">
        <v>29</v>
      </c>
      <c r="EX13" s="1566">
        <v>23</v>
      </c>
      <c r="EY13" s="1566">
        <v>30</v>
      </c>
      <c r="EZ13" s="1567">
        <v>95</v>
      </c>
      <c r="FA13" s="1568">
        <f t="shared" si="30"/>
        <v>248</v>
      </c>
      <c r="FB13" s="1565">
        <v>0</v>
      </c>
      <c r="FC13" s="1566">
        <v>38</v>
      </c>
      <c r="FD13" s="1566">
        <v>48</v>
      </c>
      <c r="FE13" s="1566">
        <v>0</v>
      </c>
      <c r="FF13" s="1566">
        <v>10</v>
      </c>
      <c r="FG13" s="1566">
        <v>5</v>
      </c>
      <c r="FH13" s="1566">
        <v>31</v>
      </c>
      <c r="FI13" s="1566">
        <v>110</v>
      </c>
      <c r="FJ13" s="1566">
        <v>105</v>
      </c>
      <c r="FK13" s="1566">
        <v>134</v>
      </c>
      <c r="FL13" s="1566">
        <v>101</v>
      </c>
      <c r="FM13" s="1567">
        <v>559</v>
      </c>
      <c r="FN13" s="1568">
        <f t="shared" si="31"/>
        <v>1141</v>
      </c>
      <c r="FO13" s="1565">
        <v>0</v>
      </c>
      <c r="FP13" s="1566">
        <v>259</v>
      </c>
      <c r="FQ13" s="1566">
        <v>412</v>
      </c>
      <c r="FR13" s="1566">
        <v>397</v>
      </c>
      <c r="FS13" s="1566">
        <v>202</v>
      </c>
      <c r="FT13" s="1566">
        <v>101</v>
      </c>
      <c r="FU13" s="1566">
        <v>204</v>
      </c>
      <c r="FV13" s="1566">
        <v>112</v>
      </c>
      <c r="FW13" s="1566">
        <v>54</v>
      </c>
      <c r="FX13" s="1566">
        <v>67</v>
      </c>
      <c r="FY13" s="1566">
        <v>79</v>
      </c>
      <c r="FZ13" s="1567">
        <v>89</v>
      </c>
      <c r="GA13" s="1568">
        <f t="shared" si="32"/>
        <v>1976</v>
      </c>
      <c r="GB13" s="1565">
        <v>21</v>
      </c>
      <c r="GC13" s="1566">
        <v>57</v>
      </c>
      <c r="GD13" s="1566">
        <v>101</v>
      </c>
      <c r="GE13" s="1566">
        <v>1025</v>
      </c>
      <c r="GF13" s="1566">
        <v>1504</v>
      </c>
      <c r="GG13" s="1566">
        <v>2341</v>
      </c>
      <c r="GH13" s="1566">
        <v>1212</v>
      </c>
      <c r="GI13" s="1566">
        <v>1360</v>
      </c>
      <c r="GJ13" s="1566">
        <v>893</v>
      </c>
      <c r="GK13" s="1566">
        <v>1986</v>
      </c>
      <c r="GL13" s="1566">
        <v>1136</v>
      </c>
      <c r="GM13" s="1567">
        <v>2607</v>
      </c>
      <c r="GN13" s="1568">
        <f t="shared" si="33"/>
        <v>14243</v>
      </c>
      <c r="GO13" s="1565">
        <v>0</v>
      </c>
      <c r="GP13" s="1566">
        <v>361</v>
      </c>
      <c r="GQ13" s="1566">
        <v>279</v>
      </c>
      <c r="GR13" s="1566">
        <v>184</v>
      </c>
      <c r="GS13" s="1566">
        <v>108</v>
      </c>
      <c r="GT13" s="1566">
        <v>119</v>
      </c>
      <c r="GU13" s="1566">
        <v>197</v>
      </c>
      <c r="GV13" s="1566">
        <v>102</v>
      </c>
      <c r="GW13" s="1566">
        <v>166</v>
      </c>
      <c r="GX13" s="1566">
        <v>279</v>
      </c>
      <c r="GY13" s="1566">
        <v>450</v>
      </c>
      <c r="GZ13" s="1567">
        <v>924</v>
      </c>
      <c r="HA13" s="1568">
        <f t="shared" si="34"/>
        <v>3169</v>
      </c>
      <c r="HB13" s="1565">
        <v>0</v>
      </c>
      <c r="HC13" s="1566">
        <v>190</v>
      </c>
      <c r="HD13" s="1566">
        <v>260</v>
      </c>
      <c r="HE13" s="1566">
        <v>296</v>
      </c>
      <c r="HF13" s="1566">
        <v>129</v>
      </c>
      <c r="HG13" s="1566">
        <v>309</v>
      </c>
      <c r="HH13" s="1566">
        <v>204</v>
      </c>
      <c r="HI13" s="1566">
        <v>226</v>
      </c>
      <c r="HJ13" s="1566">
        <v>315</v>
      </c>
      <c r="HK13" s="1566">
        <v>171</v>
      </c>
      <c r="HL13" s="1566">
        <v>251</v>
      </c>
      <c r="HM13" s="1567">
        <v>116</v>
      </c>
      <c r="HN13" s="1568">
        <f t="shared" si="35"/>
        <v>2467</v>
      </c>
      <c r="HO13" s="1565">
        <v>0</v>
      </c>
      <c r="HP13" s="1566">
        <v>22</v>
      </c>
      <c r="HQ13" s="1566">
        <v>179</v>
      </c>
      <c r="HR13" s="1566">
        <v>9</v>
      </c>
      <c r="HS13" s="1566">
        <v>63</v>
      </c>
      <c r="HT13" s="1566">
        <v>67</v>
      </c>
      <c r="HU13" s="1566">
        <v>102</v>
      </c>
      <c r="HV13" s="1566">
        <v>261</v>
      </c>
      <c r="HW13" s="1566">
        <v>181</v>
      </c>
      <c r="HX13" s="1566">
        <v>242</v>
      </c>
      <c r="HY13" s="1566">
        <v>324</v>
      </c>
      <c r="HZ13" s="1567">
        <v>185</v>
      </c>
      <c r="IA13" s="1565">
        <f t="shared" si="36"/>
        <v>1635</v>
      </c>
      <c r="IB13" s="1569">
        <v>0</v>
      </c>
      <c r="IC13" s="1068">
        <v>126</v>
      </c>
      <c r="ID13" s="1068">
        <v>251</v>
      </c>
      <c r="IE13" s="1068">
        <v>68</v>
      </c>
      <c r="IF13" s="1068">
        <v>62</v>
      </c>
      <c r="IG13" s="1068">
        <v>46</v>
      </c>
      <c r="IH13" s="1068">
        <v>48</v>
      </c>
      <c r="II13" s="1068">
        <v>54</v>
      </c>
      <c r="IJ13" s="1068"/>
      <c r="IK13" s="1068"/>
      <c r="IL13" s="1068"/>
      <c r="IM13" s="1570"/>
      <c r="IN13" s="1571">
        <f t="shared" si="37"/>
        <v>655</v>
      </c>
      <c r="IP13" s="1656">
        <f t="shared" si="38"/>
        <v>-79.310344827586206</v>
      </c>
      <c r="IQ13" s="1656">
        <f t="shared" si="39"/>
        <v>-6.8278805120910331</v>
      </c>
      <c r="IR13" s="1657">
        <f t="shared" si="40"/>
        <v>703</v>
      </c>
      <c r="IS13" s="1657">
        <f t="shared" si="41"/>
        <v>655</v>
      </c>
      <c r="IT13" s="1658"/>
      <c r="IU13" s="221">
        <f t="shared" si="42"/>
        <v>-207</v>
      </c>
    </row>
    <row r="14" spans="1:264" ht="15" customHeight="1" x14ac:dyDescent="0.2">
      <c r="A14" s="1551" t="s">
        <v>629</v>
      </c>
      <c r="B14" s="1565">
        <v>71</v>
      </c>
      <c r="C14" s="1566">
        <v>56</v>
      </c>
      <c r="D14" s="1566">
        <v>322</v>
      </c>
      <c r="E14" s="1566">
        <v>182</v>
      </c>
      <c r="F14" s="1566">
        <v>326</v>
      </c>
      <c r="G14" s="1566">
        <v>144</v>
      </c>
      <c r="H14" s="1566">
        <v>229</v>
      </c>
      <c r="I14" s="1566">
        <v>230</v>
      </c>
      <c r="J14" s="1566">
        <v>149</v>
      </c>
      <c r="K14" s="1566">
        <v>109</v>
      </c>
      <c r="L14" s="1566">
        <v>198</v>
      </c>
      <c r="M14" s="1567">
        <v>102</v>
      </c>
      <c r="N14" s="1568">
        <f t="shared" si="1"/>
        <v>2118</v>
      </c>
      <c r="O14" s="1565">
        <v>0</v>
      </c>
      <c r="P14" s="1566">
        <v>0</v>
      </c>
      <c r="Q14" s="1566">
        <v>0</v>
      </c>
      <c r="R14" s="1566">
        <v>0</v>
      </c>
      <c r="S14" s="1566">
        <v>0</v>
      </c>
      <c r="T14" s="1566">
        <v>0</v>
      </c>
      <c r="U14" s="1566">
        <v>0</v>
      </c>
      <c r="V14" s="1566">
        <v>0</v>
      </c>
      <c r="W14" s="1566">
        <v>0</v>
      </c>
      <c r="X14" s="1566">
        <v>0</v>
      </c>
      <c r="Y14" s="1566">
        <v>0</v>
      </c>
      <c r="Z14" s="1567">
        <v>0</v>
      </c>
      <c r="AA14" s="1568">
        <f t="shared" si="3"/>
        <v>0</v>
      </c>
      <c r="AB14" s="1565">
        <v>0</v>
      </c>
      <c r="AC14" s="1566">
        <v>0</v>
      </c>
      <c r="AD14" s="1566">
        <v>0</v>
      </c>
      <c r="AE14" s="1566">
        <v>0</v>
      </c>
      <c r="AF14" s="1566">
        <v>0</v>
      </c>
      <c r="AG14" s="1566">
        <v>0</v>
      </c>
      <c r="AH14" s="1566">
        <v>0</v>
      </c>
      <c r="AI14" s="1566">
        <v>0</v>
      </c>
      <c r="AJ14" s="1566">
        <v>0</v>
      </c>
      <c r="AK14" s="1566">
        <v>0</v>
      </c>
      <c r="AL14" s="1566">
        <v>0</v>
      </c>
      <c r="AM14" s="1567">
        <v>0</v>
      </c>
      <c r="AN14" s="1568">
        <f t="shared" si="5"/>
        <v>0</v>
      </c>
      <c r="AO14" s="1565">
        <v>0</v>
      </c>
      <c r="AP14" s="1566">
        <v>0</v>
      </c>
      <c r="AQ14" s="1566">
        <v>0</v>
      </c>
      <c r="AR14" s="1566">
        <v>0</v>
      </c>
      <c r="AS14" s="1566">
        <v>0</v>
      </c>
      <c r="AT14" s="1566">
        <v>0</v>
      </c>
      <c r="AU14" s="1566">
        <v>0</v>
      </c>
      <c r="AV14" s="1566">
        <v>0</v>
      </c>
      <c r="AW14" s="1566">
        <v>0</v>
      </c>
      <c r="AX14" s="1566">
        <v>0</v>
      </c>
      <c r="AY14" s="1566">
        <v>0</v>
      </c>
      <c r="AZ14" s="1567">
        <v>0</v>
      </c>
      <c r="BA14" s="1568">
        <f t="shared" si="7"/>
        <v>0</v>
      </c>
      <c r="BB14" s="1565">
        <v>0</v>
      </c>
      <c r="BC14" s="1566">
        <v>0</v>
      </c>
      <c r="BD14" s="1566">
        <v>0</v>
      </c>
      <c r="BE14" s="1566">
        <v>0</v>
      </c>
      <c r="BF14" s="1566">
        <v>0</v>
      </c>
      <c r="BG14" s="1566">
        <v>0</v>
      </c>
      <c r="BH14" s="1566">
        <v>0</v>
      </c>
      <c r="BI14" s="1566">
        <v>0</v>
      </c>
      <c r="BJ14" s="1566">
        <v>0</v>
      </c>
      <c r="BK14" s="1566">
        <v>0</v>
      </c>
      <c r="BL14" s="1566">
        <v>0</v>
      </c>
      <c r="BM14" s="1567">
        <v>0</v>
      </c>
      <c r="BN14" s="1568">
        <f t="shared" si="9"/>
        <v>0</v>
      </c>
      <c r="BO14" s="1565">
        <v>0</v>
      </c>
      <c r="BP14" s="1566">
        <v>0</v>
      </c>
      <c r="BQ14" s="1566">
        <v>0</v>
      </c>
      <c r="BR14" s="1566">
        <v>0</v>
      </c>
      <c r="BS14" s="1566">
        <v>0</v>
      </c>
      <c r="BT14" s="1566">
        <v>0</v>
      </c>
      <c r="BU14" s="1566">
        <v>0</v>
      </c>
      <c r="BV14" s="1566">
        <v>0</v>
      </c>
      <c r="BW14" s="1566">
        <v>0</v>
      </c>
      <c r="BX14" s="1566">
        <v>0</v>
      </c>
      <c r="BY14" s="1566">
        <v>0</v>
      </c>
      <c r="BZ14" s="1567">
        <v>0</v>
      </c>
      <c r="CA14" s="1568">
        <f t="shared" si="11"/>
        <v>0</v>
      </c>
      <c r="CB14" s="1565">
        <v>0</v>
      </c>
      <c r="CC14" s="1566">
        <v>0</v>
      </c>
      <c r="CD14" s="1566">
        <v>0</v>
      </c>
      <c r="CE14" s="1566">
        <v>0</v>
      </c>
      <c r="CF14" s="1566">
        <v>0</v>
      </c>
      <c r="CG14" s="1566">
        <v>0</v>
      </c>
      <c r="CH14" s="1566">
        <v>0</v>
      </c>
      <c r="CI14" s="1566">
        <v>0</v>
      </c>
      <c r="CJ14" s="1566">
        <v>0</v>
      </c>
      <c r="CK14" s="1566">
        <v>0</v>
      </c>
      <c r="CL14" s="1566">
        <v>0</v>
      </c>
      <c r="CM14" s="1567">
        <v>0</v>
      </c>
      <c r="CN14" s="1568">
        <f t="shared" si="13"/>
        <v>0</v>
      </c>
      <c r="CO14" s="1565">
        <v>0</v>
      </c>
      <c r="CP14" s="1566">
        <v>0</v>
      </c>
      <c r="CQ14" s="1566">
        <v>0</v>
      </c>
      <c r="CR14" s="1566">
        <v>0</v>
      </c>
      <c r="CS14" s="1566">
        <v>0</v>
      </c>
      <c r="CT14" s="1566"/>
      <c r="CU14" s="1566">
        <v>0</v>
      </c>
      <c r="CV14" s="1566">
        <v>0</v>
      </c>
      <c r="CW14" s="1566">
        <v>0</v>
      </c>
      <c r="CX14" s="1566">
        <v>0</v>
      </c>
      <c r="CY14" s="1566">
        <v>0</v>
      </c>
      <c r="CZ14" s="1567">
        <v>0</v>
      </c>
      <c r="DA14" s="1568">
        <f t="shared" si="15"/>
        <v>0</v>
      </c>
      <c r="DB14" s="1565">
        <v>0</v>
      </c>
      <c r="DC14" s="1566">
        <v>0</v>
      </c>
      <c r="DD14" s="1566">
        <v>0</v>
      </c>
      <c r="DE14" s="1566">
        <v>0</v>
      </c>
      <c r="DF14" s="1566">
        <v>0</v>
      </c>
      <c r="DG14" s="1566">
        <v>0</v>
      </c>
      <c r="DH14" s="1566">
        <v>0</v>
      </c>
      <c r="DI14" s="1566">
        <v>0</v>
      </c>
      <c r="DJ14" s="1566">
        <v>0</v>
      </c>
      <c r="DK14" s="1566">
        <v>0</v>
      </c>
      <c r="DL14" s="1566">
        <v>0</v>
      </c>
      <c r="DM14" s="1567">
        <v>0</v>
      </c>
      <c r="DN14" s="1568">
        <f t="shared" si="27"/>
        <v>0</v>
      </c>
      <c r="DO14" s="1565">
        <v>0</v>
      </c>
      <c r="DP14" s="1566">
        <v>0</v>
      </c>
      <c r="DQ14" s="1566">
        <v>0</v>
      </c>
      <c r="DR14" s="1566">
        <v>0</v>
      </c>
      <c r="DS14" s="1566">
        <v>0</v>
      </c>
      <c r="DT14" s="1566">
        <v>0</v>
      </c>
      <c r="DU14" s="1566">
        <v>0</v>
      </c>
      <c r="DV14" s="1566">
        <v>0</v>
      </c>
      <c r="DW14" s="1566">
        <v>0</v>
      </c>
      <c r="DX14" s="1566">
        <v>0</v>
      </c>
      <c r="DY14" s="1566">
        <v>0</v>
      </c>
      <c r="DZ14" s="1567">
        <v>0</v>
      </c>
      <c r="EA14" s="1568">
        <f t="shared" si="28"/>
        <v>0</v>
      </c>
      <c r="EB14" s="1565">
        <v>0</v>
      </c>
      <c r="EC14" s="1566">
        <v>0</v>
      </c>
      <c r="ED14" s="1566">
        <v>0</v>
      </c>
      <c r="EE14" s="1566">
        <v>0</v>
      </c>
      <c r="EF14" s="1566">
        <v>0</v>
      </c>
      <c r="EG14" s="1566">
        <v>0</v>
      </c>
      <c r="EH14" s="1566">
        <v>0</v>
      </c>
      <c r="EI14" s="1566">
        <v>0</v>
      </c>
      <c r="EJ14" s="1566">
        <v>0</v>
      </c>
      <c r="EK14" s="1566">
        <v>0</v>
      </c>
      <c r="EL14" s="1566">
        <v>0</v>
      </c>
      <c r="EM14" s="1567">
        <v>0</v>
      </c>
      <c r="EN14" s="1568">
        <f t="shared" si="29"/>
        <v>0</v>
      </c>
      <c r="EO14" s="1565">
        <v>0</v>
      </c>
      <c r="EP14" s="1566">
        <v>0</v>
      </c>
      <c r="EQ14" s="1566">
        <v>0</v>
      </c>
      <c r="ER14" s="1566">
        <v>0</v>
      </c>
      <c r="ES14" s="1566">
        <v>0</v>
      </c>
      <c r="ET14" s="1566">
        <v>0</v>
      </c>
      <c r="EU14" s="1566">
        <v>69</v>
      </c>
      <c r="EV14" s="1566">
        <v>0</v>
      </c>
      <c r="EW14" s="1566">
        <v>17</v>
      </c>
      <c r="EX14" s="1566">
        <v>0</v>
      </c>
      <c r="EY14" s="1566">
        <v>0</v>
      </c>
      <c r="EZ14" s="1567">
        <v>0</v>
      </c>
      <c r="FA14" s="1568">
        <f t="shared" si="30"/>
        <v>86</v>
      </c>
      <c r="FB14" s="1565">
        <v>0</v>
      </c>
      <c r="FC14" s="1566">
        <v>38</v>
      </c>
      <c r="FD14" s="1566">
        <v>153</v>
      </c>
      <c r="FE14" s="1566">
        <v>31</v>
      </c>
      <c r="FF14" s="1566">
        <v>9</v>
      </c>
      <c r="FG14" s="1566">
        <v>21</v>
      </c>
      <c r="FH14" s="1566">
        <v>82</v>
      </c>
      <c r="FI14" s="1566">
        <v>188</v>
      </c>
      <c r="FJ14" s="1566">
        <v>186</v>
      </c>
      <c r="FK14" s="1566">
        <v>93</v>
      </c>
      <c r="FL14" s="1566">
        <v>168</v>
      </c>
      <c r="FM14" s="1567">
        <v>612</v>
      </c>
      <c r="FN14" s="1568">
        <f t="shared" si="31"/>
        <v>1581</v>
      </c>
      <c r="FO14" s="1565">
        <v>0</v>
      </c>
      <c r="FP14" s="1566">
        <v>687</v>
      </c>
      <c r="FQ14" s="1566">
        <v>99</v>
      </c>
      <c r="FR14" s="1566">
        <v>54</v>
      </c>
      <c r="FS14" s="1566">
        <v>76</v>
      </c>
      <c r="FT14" s="1566">
        <v>51</v>
      </c>
      <c r="FU14" s="1566">
        <v>109</v>
      </c>
      <c r="FV14" s="1566">
        <v>118</v>
      </c>
      <c r="FW14" s="1566">
        <v>264</v>
      </c>
      <c r="FX14" s="1566">
        <v>104</v>
      </c>
      <c r="FY14" s="1566">
        <v>65</v>
      </c>
      <c r="FZ14" s="1567">
        <v>69</v>
      </c>
      <c r="GA14" s="1568">
        <f t="shared" si="32"/>
        <v>1696</v>
      </c>
      <c r="GB14" s="1565">
        <v>0</v>
      </c>
      <c r="GC14" s="1566">
        <v>7</v>
      </c>
      <c r="GD14" s="1566">
        <v>96</v>
      </c>
      <c r="GE14" s="1566">
        <v>35</v>
      </c>
      <c r="GF14" s="1566">
        <v>50</v>
      </c>
      <c r="GG14" s="1566">
        <v>36</v>
      </c>
      <c r="GH14" s="1566">
        <v>15</v>
      </c>
      <c r="GI14" s="1566">
        <v>48</v>
      </c>
      <c r="GJ14" s="1566">
        <v>53</v>
      </c>
      <c r="GK14" s="1566">
        <v>88</v>
      </c>
      <c r="GL14" s="1566">
        <v>45</v>
      </c>
      <c r="GM14" s="1567">
        <v>631</v>
      </c>
      <c r="GN14" s="1568">
        <f t="shared" si="33"/>
        <v>1104</v>
      </c>
      <c r="GO14" s="1565">
        <v>0</v>
      </c>
      <c r="GP14" s="1566">
        <v>0</v>
      </c>
      <c r="GQ14" s="1566">
        <v>3</v>
      </c>
      <c r="GR14" s="1566">
        <v>0</v>
      </c>
      <c r="GS14" s="1566">
        <v>5</v>
      </c>
      <c r="GT14" s="1566">
        <v>0</v>
      </c>
      <c r="GU14" s="1566">
        <v>7</v>
      </c>
      <c r="GV14" s="1566">
        <v>6</v>
      </c>
      <c r="GW14" s="1566">
        <v>32</v>
      </c>
      <c r="GX14" s="1566">
        <v>34</v>
      </c>
      <c r="GY14" s="1566">
        <v>87</v>
      </c>
      <c r="GZ14" s="1567">
        <v>473</v>
      </c>
      <c r="HA14" s="1568">
        <f t="shared" si="34"/>
        <v>647</v>
      </c>
      <c r="HB14" s="1565">
        <v>34</v>
      </c>
      <c r="HC14" s="1566">
        <v>70</v>
      </c>
      <c r="HD14" s="1566">
        <v>337</v>
      </c>
      <c r="HE14" s="1566">
        <v>122</v>
      </c>
      <c r="HF14" s="1566">
        <v>341</v>
      </c>
      <c r="HG14" s="1566">
        <v>252</v>
      </c>
      <c r="HH14" s="1566">
        <v>314</v>
      </c>
      <c r="HI14" s="1566">
        <v>530</v>
      </c>
      <c r="HJ14" s="1566">
        <v>1136</v>
      </c>
      <c r="HK14" s="1566">
        <v>807</v>
      </c>
      <c r="HL14" s="1566">
        <v>1162</v>
      </c>
      <c r="HM14" s="1567">
        <v>2116</v>
      </c>
      <c r="HN14" s="1568">
        <f t="shared" si="35"/>
        <v>7221</v>
      </c>
      <c r="HO14" s="1565">
        <v>0</v>
      </c>
      <c r="HP14" s="1566">
        <v>1008</v>
      </c>
      <c r="HQ14" s="1566">
        <v>719</v>
      </c>
      <c r="HR14" s="1566">
        <v>382</v>
      </c>
      <c r="HS14" s="1566">
        <v>523</v>
      </c>
      <c r="HT14" s="1566">
        <v>160</v>
      </c>
      <c r="HU14" s="1566">
        <v>234</v>
      </c>
      <c r="HV14" s="1566">
        <v>1172</v>
      </c>
      <c r="HW14" s="1566">
        <v>255</v>
      </c>
      <c r="HX14" s="1566">
        <v>724</v>
      </c>
      <c r="HY14" s="1566">
        <v>316</v>
      </c>
      <c r="HZ14" s="1567">
        <v>1287</v>
      </c>
      <c r="IA14" s="1565">
        <f t="shared" si="36"/>
        <v>6780</v>
      </c>
      <c r="IB14" s="1569">
        <v>0</v>
      </c>
      <c r="IC14" s="1068">
        <v>114</v>
      </c>
      <c r="ID14" s="1068">
        <v>331</v>
      </c>
      <c r="IE14" s="1068">
        <v>295</v>
      </c>
      <c r="IF14" s="1068">
        <v>304</v>
      </c>
      <c r="IG14" s="1068">
        <v>327</v>
      </c>
      <c r="IH14" s="1068">
        <v>523</v>
      </c>
      <c r="II14" s="1068">
        <v>373</v>
      </c>
      <c r="IJ14" s="1068"/>
      <c r="IK14" s="1068"/>
      <c r="IL14" s="1068"/>
      <c r="IM14" s="1570"/>
      <c r="IN14" s="1571">
        <f t="shared" si="37"/>
        <v>2267</v>
      </c>
      <c r="IP14" s="1656">
        <f t="shared" si="38"/>
        <v>-68.174061433447093</v>
      </c>
      <c r="IQ14" s="1656">
        <f t="shared" si="39"/>
        <v>-45.998094330633634</v>
      </c>
      <c r="IR14" s="1657">
        <f t="shared" si="40"/>
        <v>4198</v>
      </c>
      <c r="IS14" s="1657">
        <f t="shared" si="41"/>
        <v>2267</v>
      </c>
      <c r="IT14" s="1658"/>
      <c r="IU14" s="221">
        <f t="shared" si="42"/>
        <v>-799</v>
      </c>
    </row>
    <row r="15" spans="1:264" ht="15" customHeight="1" x14ac:dyDescent="0.2">
      <c r="A15" s="1551" t="s">
        <v>630</v>
      </c>
      <c r="B15" s="1565">
        <v>0</v>
      </c>
      <c r="C15" s="1566">
        <v>0</v>
      </c>
      <c r="D15" s="1566">
        <v>0</v>
      </c>
      <c r="E15" s="1566">
        <v>0</v>
      </c>
      <c r="F15" s="1566">
        <v>0</v>
      </c>
      <c r="G15" s="1566">
        <v>0</v>
      </c>
      <c r="H15" s="1566">
        <v>0</v>
      </c>
      <c r="I15" s="1566">
        <v>0</v>
      </c>
      <c r="J15" s="1566">
        <v>0</v>
      </c>
      <c r="K15" s="1566">
        <v>0</v>
      </c>
      <c r="L15" s="1566">
        <v>0</v>
      </c>
      <c r="M15" s="1567">
        <v>0</v>
      </c>
      <c r="N15" s="1568">
        <f t="shared" si="1"/>
        <v>0</v>
      </c>
      <c r="O15" s="1565">
        <v>0</v>
      </c>
      <c r="P15" s="1566">
        <v>0</v>
      </c>
      <c r="Q15" s="1566">
        <v>0</v>
      </c>
      <c r="R15" s="1566">
        <v>0</v>
      </c>
      <c r="S15" s="1566">
        <v>0</v>
      </c>
      <c r="T15" s="1566">
        <v>0</v>
      </c>
      <c r="U15" s="1566">
        <v>0</v>
      </c>
      <c r="V15" s="1566">
        <v>0</v>
      </c>
      <c r="W15" s="1566">
        <v>0</v>
      </c>
      <c r="X15" s="1566">
        <v>0</v>
      </c>
      <c r="Y15" s="1566">
        <v>0</v>
      </c>
      <c r="Z15" s="1567">
        <v>0</v>
      </c>
      <c r="AA15" s="1568">
        <f t="shared" si="3"/>
        <v>0</v>
      </c>
      <c r="AB15" s="1565">
        <v>0</v>
      </c>
      <c r="AC15" s="1566">
        <v>0</v>
      </c>
      <c r="AD15" s="1566">
        <v>0</v>
      </c>
      <c r="AE15" s="1566">
        <v>0</v>
      </c>
      <c r="AF15" s="1566">
        <v>0</v>
      </c>
      <c r="AG15" s="1566">
        <v>0</v>
      </c>
      <c r="AH15" s="1566">
        <v>0</v>
      </c>
      <c r="AI15" s="1566">
        <v>0</v>
      </c>
      <c r="AJ15" s="1566">
        <v>0</v>
      </c>
      <c r="AK15" s="1566">
        <v>0</v>
      </c>
      <c r="AL15" s="1566">
        <v>0</v>
      </c>
      <c r="AM15" s="1567">
        <v>0</v>
      </c>
      <c r="AN15" s="1568">
        <f t="shared" si="5"/>
        <v>0</v>
      </c>
      <c r="AO15" s="1565">
        <v>0</v>
      </c>
      <c r="AP15" s="1566">
        <v>0</v>
      </c>
      <c r="AQ15" s="1566">
        <v>0</v>
      </c>
      <c r="AR15" s="1566">
        <v>0</v>
      </c>
      <c r="AS15" s="1566">
        <v>0</v>
      </c>
      <c r="AT15" s="1566">
        <v>0</v>
      </c>
      <c r="AU15" s="1566">
        <v>0</v>
      </c>
      <c r="AV15" s="1566">
        <v>0</v>
      </c>
      <c r="AW15" s="1566">
        <v>0</v>
      </c>
      <c r="AX15" s="1566">
        <v>0</v>
      </c>
      <c r="AY15" s="1566">
        <v>0</v>
      </c>
      <c r="AZ15" s="1567">
        <v>0</v>
      </c>
      <c r="BA15" s="1568">
        <f t="shared" si="7"/>
        <v>0</v>
      </c>
      <c r="BB15" s="1565">
        <v>0</v>
      </c>
      <c r="BC15" s="1566">
        <v>0</v>
      </c>
      <c r="BD15" s="1566">
        <v>0</v>
      </c>
      <c r="BE15" s="1566">
        <v>0</v>
      </c>
      <c r="BF15" s="1566">
        <v>0</v>
      </c>
      <c r="BG15" s="1566">
        <v>0</v>
      </c>
      <c r="BH15" s="1566">
        <v>0</v>
      </c>
      <c r="BI15" s="1566">
        <v>0</v>
      </c>
      <c r="BJ15" s="1566">
        <v>0</v>
      </c>
      <c r="BK15" s="1566">
        <v>0</v>
      </c>
      <c r="BL15" s="1566">
        <v>0</v>
      </c>
      <c r="BM15" s="1567">
        <v>0</v>
      </c>
      <c r="BN15" s="1568">
        <f t="shared" si="9"/>
        <v>0</v>
      </c>
      <c r="BO15" s="1565">
        <v>0</v>
      </c>
      <c r="BP15" s="1566">
        <v>0</v>
      </c>
      <c r="BQ15" s="1566">
        <v>0</v>
      </c>
      <c r="BR15" s="1566">
        <v>0</v>
      </c>
      <c r="BS15" s="1566">
        <v>0</v>
      </c>
      <c r="BT15" s="1566">
        <v>0</v>
      </c>
      <c r="BU15" s="1566">
        <v>0</v>
      </c>
      <c r="BV15" s="1566">
        <v>0</v>
      </c>
      <c r="BW15" s="1566">
        <v>0</v>
      </c>
      <c r="BX15" s="1566">
        <v>0</v>
      </c>
      <c r="BY15" s="1566">
        <v>0</v>
      </c>
      <c r="BZ15" s="1567">
        <v>0</v>
      </c>
      <c r="CA15" s="1568">
        <f t="shared" si="11"/>
        <v>0</v>
      </c>
      <c r="CB15" s="1565">
        <v>0</v>
      </c>
      <c r="CC15" s="1566">
        <v>0</v>
      </c>
      <c r="CD15" s="1566">
        <v>0</v>
      </c>
      <c r="CE15" s="1566">
        <v>0</v>
      </c>
      <c r="CF15" s="1566">
        <v>0</v>
      </c>
      <c r="CG15" s="1566">
        <v>0</v>
      </c>
      <c r="CH15" s="1566">
        <v>0</v>
      </c>
      <c r="CI15" s="1566">
        <v>0</v>
      </c>
      <c r="CJ15" s="1566">
        <v>0</v>
      </c>
      <c r="CK15" s="1566">
        <v>0</v>
      </c>
      <c r="CL15" s="1566">
        <v>0</v>
      </c>
      <c r="CM15" s="1567">
        <v>0</v>
      </c>
      <c r="CN15" s="1568">
        <f t="shared" si="13"/>
        <v>0</v>
      </c>
      <c r="CO15" s="1565">
        <v>0</v>
      </c>
      <c r="CP15" s="1566">
        <v>0</v>
      </c>
      <c r="CQ15" s="1566">
        <v>0</v>
      </c>
      <c r="CR15" s="1566">
        <v>0</v>
      </c>
      <c r="CS15" s="1566">
        <v>0</v>
      </c>
      <c r="CT15" s="1566"/>
      <c r="CU15" s="1566">
        <v>0</v>
      </c>
      <c r="CV15" s="1566">
        <v>0</v>
      </c>
      <c r="CW15" s="1566">
        <v>0</v>
      </c>
      <c r="CX15" s="1566">
        <v>0</v>
      </c>
      <c r="CY15" s="1566">
        <v>0</v>
      </c>
      <c r="CZ15" s="1567">
        <v>0</v>
      </c>
      <c r="DA15" s="1568">
        <f t="shared" si="15"/>
        <v>0</v>
      </c>
      <c r="DB15" s="1565">
        <v>0</v>
      </c>
      <c r="DC15" s="1566">
        <v>0</v>
      </c>
      <c r="DD15" s="1566">
        <v>0</v>
      </c>
      <c r="DE15" s="1566">
        <v>0</v>
      </c>
      <c r="DF15" s="1566">
        <v>0</v>
      </c>
      <c r="DG15" s="1566">
        <v>0</v>
      </c>
      <c r="DH15" s="1566">
        <v>0</v>
      </c>
      <c r="DI15" s="1566">
        <v>0</v>
      </c>
      <c r="DJ15" s="1566">
        <v>0</v>
      </c>
      <c r="DK15" s="1566">
        <v>0</v>
      </c>
      <c r="DL15" s="1566">
        <v>0</v>
      </c>
      <c r="DM15" s="1567">
        <v>0</v>
      </c>
      <c r="DN15" s="1568">
        <f t="shared" si="27"/>
        <v>0</v>
      </c>
      <c r="DO15" s="1565">
        <v>0</v>
      </c>
      <c r="DP15" s="1566">
        <v>0</v>
      </c>
      <c r="DQ15" s="1566">
        <v>0</v>
      </c>
      <c r="DR15" s="1566">
        <v>0</v>
      </c>
      <c r="DS15" s="1566">
        <v>0</v>
      </c>
      <c r="DT15" s="1566">
        <v>0</v>
      </c>
      <c r="DU15" s="1566">
        <v>0</v>
      </c>
      <c r="DV15" s="1566">
        <v>0</v>
      </c>
      <c r="DW15" s="1566">
        <v>0</v>
      </c>
      <c r="DX15" s="1566">
        <v>0</v>
      </c>
      <c r="DY15" s="1566">
        <v>0</v>
      </c>
      <c r="DZ15" s="1567">
        <v>0</v>
      </c>
      <c r="EA15" s="1568">
        <f t="shared" si="28"/>
        <v>0</v>
      </c>
      <c r="EB15" s="1565">
        <v>0</v>
      </c>
      <c r="EC15" s="1566">
        <v>0</v>
      </c>
      <c r="ED15" s="1566">
        <v>0</v>
      </c>
      <c r="EE15" s="1566">
        <v>0</v>
      </c>
      <c r="EF15" s="1566">
        <v>0</v>
      </c>
      <c r="EG15" s="1566">
        <v>0</v>
      </c>
      <c r="EH15" s="1566">
        <v>0</v>
      </c>
      <c r="EI15" s="1566">
        <v>0</v>
      </c>
      <c r="EJ15" s="1566">
        <v>0</v>
      </c>
      <c r="EK15" s="1566">
        <v>0</v>
      </c>
      <c r="EL15" s="1566">
        <v>0</v>
      </c>
      <c r="EM15" s="1567">
        <v>0</v>
      </c>
      <c r="EN15" s="1568">
        <f t="shared" si="29"/>
        <v>0</v>
      </c>
      <c r="EO15" s="1565">
        <v>0</v>
      </c>
      <c r="EP15" s="1566">
        <v>0</v>
      </c>
      <c r="EQ15" s="1566">
        <v>0</v>
      </c>
      <c r="ER15" s="1566">
        <v>0</v>
      </c>
      <c r="ES15" s="1566">
        <v>0</v>
      </c>
      <c r="ET15" s="1566">
        <v>0</v>
      </c>
      <c r="EU15" s="1566">
        <v>0</v>
      </c>
      <c r="EV15" s="1566">
        <v>0</v>
      </c>
      <c r="EW15" s="1566">
        <v>0</v>
      </c>
      <c r="EX15" s="1566">
        <v>0</v>
      </c>
      <c r="EY15" s="1566">
        <v>0</v>
      </c>
      <c r="EZ15" s="1567">
        <v>0</v>
      </c>
      <c r="FA15" s="1568">
        <f t="shared" si="30"/>
        <v>0</v>
      </c>
      <c r="FB15" s="1565">
        <v>0</v>
      </c>
      <c r="FC15" s="1566">
        <v>0</v>
      </c>
      <c r="FD15" s="1566">
        <v>0</v>
      </c>
      <c r="FE15" s="1566">
        <v>0</v>
      </c>
      <c r="FF15" s="1566">
        <v>0</v>
      </c>
      <c r="FG15" s="1566">
        <v>0</v>
      </c>
      <c r="FH15" s="1566">
        <v>0</v>
      </c>
      <c r="FI15" s="1566">
        <v>0</v>
      </c>
      <c r="FJ15" s="1566">
        <v>0</v>
      </c>
      <c r="FK15" s="1566">
        <v>0</v>
      </c>
      <c r="FL15" s="1566">
        <v>0</v>
      </c>
      <c r="FM15" s="1567">
        <v>0</v>
      </c>
      <c r="FN15" s="1568">
        <f t="shared" si="31"/>
        <v>0</v>
      </c>
      <c r="FO15" s="1565">
        <v>0</v>
      </c>
      <c r="FP15" s="1566">
        <v>0</v>
      </c>
      <c r="FQ15" s="1566">
        <v>0</v>
      </c>
      <c r="FR15" s="1566">
        <v>0</v>
      </c>
      <c r="FS15" s="1566">
        <v>0</v>
      </c>
      <c r="FT15" s="1566">
        <v>0</v>
      </c>
      <c r="FU15" s="1566">
        <v>0</v>
      </c>
      <c r="FV15" s="1566">
        <v>0</v>
      </c>
      <c r="FW15" s="1566">
        <v>0</v>
      </c>
      <c r="FX15" s="1566">
        <v>0</v>
      </c>
      <c r="FY15" s="1566">
        <v>0</v>
      </c>
      <c r="FZ15" s="1567">
        <v>0</v>
      </c>
      <c r="GA15" s="1568">
        <f t="shared" si="32"/>
        <v>0</v>
      </c>
      <c r="GB15" s="1565">
        <v>0</v>
      </c>
      <c r="GC15" s="1566">
        <v>0</v>
      </c>
      <c r="GD15" s="1566">
        <v>0</v>
      </c>
      <c r="GE15" s="1566">
        <v>0</v>
      </c>
      <c r="GF15" s="1566">
        <v>0</v>
      </c>
      <c r="GG15" s="1566">
        <v>0</v>
      </c>
      <c r="GH15" s="1566">
        <v>0</v>
      </c>
      <c r="GI15" s="1566">
        <v>0</v>
      </c>
      <c r="GJ15" s="1566">
        <v>0</v>
      </c>
      <c r="GK15" s="1566">
        <v>0</v>
      </c>
      <c r="GL15" s="1566">
        <v>0</v>
      </c>
      <c r="GM15" s="1567">
        <v>0</v>
      </c>
      <c r="GN15" s="1568">
        <f t="shared" si="33"/>
        <v>0</v>
      </c>
      <c r="GO15" s="1565">
        <v>0</v>
      </c>
      <c r="GP15" s="1566">
        <v>0</v>
      </c>
      <c r="GQ15" s="1566">
        <v>0</v>
      </c>
      <c r="GR15" s="1566">
        <v>0</v>
      </c>
      <c r="GS15" s="1566">
        <v>0</v>
      </c>
      <c r="GT15" s="1566">
        <v>0</v>
      </c>
      <c r="GU15" s="1566">
        <v>0</v>
      </c>
      <c r="GV15" s="1566">
        <v>0</v>
      </c>
      <c r="GW15" s="1566">
        <v>0</v>
      </c>
      <c r="GX15" s="1566">
        <v>0</v>
      </c>
      <c r="GY15" s="1566">
        <v>0</v>
      </c>
      <c r="GZ15" s="1567">
        <v>0</v>
      </c>
      <c r="HA15" s="1568">
        <f t="shared" si="34"/>
        <v>0</v>
      </c>
      <c r="HB15" s="1565">
        <v>0</v>
      </c>
      <c r="HC15" s="1566">
        <v>0</v>
      </c>
      <c r="HD15" s="1566">
        <v>0</v>
      </c>
      <c r="HE15" s="1566">
        <v>0</v>
      </c>
      <c r="HF15" s="1566">
        <v>0</v>
      </c>
      <c r="HG15" s="1566">
        <v>0</v>
      </c>
      <c r="HH15" s="1566">
        <v>0</v>
      </c>
      <c r="HI15" s="1566">
        <v>0</v>
      </c>
      <c r="HJ15" s="1566">
        <v>0</v>
      </c>
      <c r="HK15" s="1566">
        <v>0</v>
      </c>
      <c r="HL15" s="1566">
        <v>0</v>
      </c>
      <c r="HM15" s="1567">
        <v>0</v>
      </c>
      <c r="HN15" s="1568">
        <f t="shared" si="35"/>
        <v>0</v>
      </c>
      <c r="HO15" s="1565">
        <v>0</v>
      </c>
      <c r="HP15" s="1566">
        <v>0</v>
      </c>
      <c r="HQ15" s="1566">
        <v>0</v>
      </c>
      <c r="HR15" s="1566">
        <v>0</v>
      </c>
      <c r="HS15" s="1566">
        <v>0</v>
      </c>
      <c r="HT15" s="1566">
        <v>0</v>
      </c>
      <c r="HU15" s="1566">
        <v>0</v>
      </c>
      <c r="HV15" s="1566">
        <v>0</v>
      </c>
      <c r="HW15" s="1566">
        <v>0</v>
      </c>
      <c r="HX15" s="1566">
        <v>0</v>
      </c>
      <c r="HY15" s="1566">
        <v>0</v>
      </c>
      <c r="HZ15" s="1567">
        <v>0</v>
      </c>
      <c r="IA15" s="1565">
        <f>SUM(HO15:HZ15)</f>
        <v>0</v>
      </c>
      <c r="IB15" s="1569">
        <v>0</v>
      </c>
      <c r="IC15" s="1068">
        <v>0</v>
      </c>
      <c r="ID15" s="1068">
        <v>0</v>
      </c>
      <c r="IE15" s="1068">
        <v>0</v>
      </c>
      <c r="IF15" s="1068">
        <v>0</v>
      </c>
      <c r="IG15" s="1068">
        <v>0</v>
      </c>
      <c r="IH15" s="1068">
        <v>0</v>
      </c>
      <c r="II15" s="1068">
        <v>0</v>
      </c>
      <c r="IJ15" s="1068"/>
      <c r="IK15" s="1068"/>
      <c r="IL15" s="1068"/>
      <c r="IM15" s="1570"/>
      <c r="IN15" s="1571">
        <f t="shared" si="37"/>
        <v>0</v>
      </c>
      <c r="IP15" s="1656" t="str">
        <f t="shared" si="38"/>
        <v/>
      </c>
      <c r="IQ15" s="1656" t="str">
        <f t="shared" si="39"/>
        <v/>
      </c>
      <c r="IR15" s="1657">
        <f t="shared" si="40"/>
        <v>0</v>
      </c>
      <c r="IS15" s="1657">
        <f t="shared" si="41"/>
        <v>0</v>
      </c>
      <c r="IT15" s="1658"/>
      <c r="IU15" s="221">
        <f t="shared" si="42"/>
        <v>0</v>
      </c>
    </row>
    <row r="16" spans="1:264" ht="15" customHeight="1" x14ac:dyDescent="0.2">
      <c r="A16" s="1551" t="s">
        <v>646</v>
      </c>
      <c r="B16" s="1565">
        <v>0</v>
      </c>
      <c r="C16" s="1566">
        <v>0</v>
      </c>
      <c r="D16" s="1566">
        <v>0</v>
      </c>
      <c r="E16" s="1566">
        <v>0</v>
      </c>
      <c r="F16" s="1566">
        <v>0</v>
      </c>
      <c r="G16" s="1566">
        <v>0</v>
      </c>
      <c r="H16" s="1566">
        <v>0</v>
      </c>
      <c r="I16" s="1566">
        <v>0</v>
      </c>
      <c r="J16" s="1566">
        <v>0</v>
      </c>
      <c r="K16" s="1566">
        <v>0</v>
      </c>
      <c r="L16" s="1566">
        <v>0</v>
      </c>
      <c r="M16" s="1567">
        <v>0</v>
      </c>
      <c r="N16" s="1568">
        <f t="shared" si="1"/>
        <v>0</v>
      </c>
      <c r="O16" s="1565">
        <v>290</v>
      </c>
      <c r="P16" s="1566">
        <v>337</v>
      </c>
      <c r="Q16" s="1566">
        <v>307</v>
      </c>
      <c r="R16" s="1566">
        <v>322</v>
      </c>
      <c r="S16" s="1566">
        <v>383</v>
      </c>
      <c r="T16" s="1566">
        <v>254</v>
      </c>
      <c r="U16" s="1566">
        <v>364</v>
      </c>
      <c r="V16" s="1566">
        <v>344</v>
      </c>
      <c r="W16" s="1566">
        <v>395</v>
      </c>
      <c r="X16" s="1566">
        <v>354</v>
      </c>
      <c r="Y16" s="1566">
        <v>393</v>
      </c>
      <c r="Z16" s="1567">
        <v>328</v>
      </c>
      <c r="AA16" s="1568">
        <f t="shared" si="3"/>
        <v>4071</v>
      </c>
      <c r="AB16" s="1565">
        <v>84</v>
      </c>
      <c r="AC16" s="1566">
        <v>438</v>
      </c>
      <c r="AD16" s="1566">
        <v>499</v>
      </c>
      <c r="AE16" s="1566">
        <v>832</v>
      </c>
      <c r="AF16" s="1566">
        <v>479</v>
      </c>
      <c r="AG16" s="1566">
        <v>702</v>
      </c>
      <c r="AH16" s="1566">
        <v>536</v>
      </c>
      <c r="AI16" s="1566">
        <v>427</v>
      </c>
      <c r="AJ16" s="1566">
        <v>867</v>
      </c>
      <c r="AK16" s="1566">
        <v>819</v>
      </c>
      <c r="AL16" s="1566">
        <v>623</v>
      </c>
      <c r="AM16" s="1567">
        <v>704</v>
      </c>
      <c r="AN16" s="1568">
        <f t="shared" si="5"/>
        <v>7010</v>
      </c>
      <c r="AO16" s="1565">
        <v>35</v>
      </c>
      <c r="AP16" s="1566">
        <v>249</v>
      </c>
      <c r="AQ16" s="1566">
        <v>362</v>
      </c>
      <c r="AR16" s="1566">
        <v>203</v>
      </c>
      <c r="AS16" s="1566">
        <v>351</v>
      </c>
      <c r="AT16" s="1566">
        <v>270</v>
      </c>
      <c r="AU16" s="1566">
        <v>331</v>
      </c>
      <c r="AV16" s="1566">
        <v>294</v>
      </c>
      <c r="AW16" s="1566">
        <v>317</v>
      </c>
      <c r="AX16" s="1566">
        <v>380</v>
      </c>
      <c r="AY16" s="1566">
        <v>475</v>
      </c>
      <c r="AZ16" s="1567">
        <v>811</v>
      </c>
      <c r="BA16" s="1568">
        <f t="shared" si="7"/>
        <v>4078</v>
      </c>
      <c r="BB16" s="1565">
        <v>108</v>
      </c>
      <c r="BC16" s="1566">
        <v>129</v>
      </c>
      <c r="BD16" s="1566">
        <v>311</v>
      </c>
      <c r="BE16" s="1566">
        <v>366</v>
      </c>
      <c r="BF16" s="1566">
        <v>763</v>
      </c>
      <c r="BG16" s="1566">
        <v>227</v>
      </c>
      <c r="BH16" s="1566">
        <v>168</v>
      </c>
      <c r="BI16" s="1566">
        <v>271</v>
      </c>
      <c r="BJ16" s="1566">
        <v>555</v>
      </c>
      <c r="BK16" s="1566">
        <v>360</v>
      </c>
      <c r="BL16" s="1566">
        <v>451</v>
      </c>
      <c r="BM16" s="1567">
        <v>820</v>
      </c>
      <c r="BN16" s="1568">
        <f t="shared" si="9"/>
        <v>4529</v>
      </c>
      <c r="BO16" s="1565">
        <v>462</v>
      </c>
      <c r="BP16" s="1566">
        <v>-10</v>
      </c>
      <c r="BQ16" s="1566">
        <v>340</v>
      </c>
      <c r="BR16" s="1566">
        <v>431</v>
      </c>
      <c r="BS16" s="1566">
        <v>475</v>
      </c>
      <c r="BT16" s="1566">
        <v>481</v>
      </c>
      <c r="BU16" s="1566">
        <v>567</v>
      </c>
      <c r="BV16" s="1566">
        <v>266</v>
      </c>
      <c r="BW16" s="1566">
        <v>349</v>
      </c>
      <c r="BX16" s="1566">
        <v>241</v>
      </c>
      <c r="BY16" s="1566">
        <v>289</v>
      </c>
      <c r="BZ16" s="1567">
        <v>564</v>
      </c>
      <c r="CA16" s="1568">
        <f t="shared" si="11"/>
        <v>4455</v>
      </c>
      <c r="CB16" s="1565">
        <v>194</v>
      </c>
      <c r="CC16" s="1566">
        <v>128</v>
      </c>
      <c r="CD16" s="1566">
        <v>161</v>
      </c>
      <c r="CE16" s="1566">
        <v>217</v>
      </c>
      <c r="CF16" s="1566">
        <v>187</v>
      </c>
      <c r="CG16" s="1566">
        <v>233</v>
      </c>
      <c r="CH16" s="1566">
        <v>398</v>
      </c>
      <c r="CI16" s="1566">
        <v>308</v>
      </c>
      <c r="CJ16" s="1566">
        <v>278</v>
      </c>
      <c r="CK16" s="1566">
        <v>463</v>
      </c>
      <c r="CL16" s="1566">
        <v>578</v>
      </c>
      <c r="CM16" s="1567">
        <v>1078</v>
      </c>
      <c r="CN16" s="1568">
        <f t="shared" si="13"/>
        <v>4223</v>
      </c>
      <c r="CO16" s="1565">
        <v>188</v>
      </c>
      <c r="CP16" s="1566">
        <v>237</v>
      </c>
      <c r="CQ16" s="1566">
        <v>354</v>
      </c>
      <c r="CR16" s="1566">
        <v>266</v>
      </c>
      <c r="CS16" s="1566">
        <v>291</v>
      </c>
      <c r="CT16" s="1566">
        <v>479</v>
      </c>
      <c r="CU16" s="1566">
        <v>456</v>
      </c>
      <c r="CV16" s="1566">
        <v>467</v>
      </c>
      <c r="CW16" s="1566">
        <v>279</v>
      </c>
      <c r="CX16" s="1566">
        <v>617</v>
      </c>
      <c r="CY16" s="1566">
        <v>757</v>
      </c>
      <c r="CZ16" s="1567">
        <v>1823</v>
      </c>
      <c r="DA16" s="1568">
        <f t="shared" si="15"/>
        <v>6214</v>
      </c>
      <c r="DB16" s="1565">
        <v>152</v>
      </c>
      <c r="DC16" s="1566">
        <v>440</v>
      </c>
      <c r="DD16" s="1566">
        <v>548</v>
      </c>
      <c r="DE16" s="1566">
        <v>481</v>
      </c>
      <c r="DF16" s="1566">
        <v>468</v>
      </c>
      <c r="DG16" s="1566">
        <v>461</v>
      </c>
      <c r="DH16" s="1566">
        <v>465</v>
      </c>
      <c r="DI16" s="1566">
        <v>584</v>
      </c>
      <c r="DJ16" s="1566">
        <v>714</v>
      </c>
      <c r="DK16" s="1566">
        <v>583</v>
      </c>
      <c r="DL16" s="1566">
        <v>899</v>
      </c>
      <c r="DM16" s="1567">
        <v>1572</v>
      </c>
      <c r="DN16" s="1568">
        <f t="shared" si="27"/>
        <v>7367</v>
      </c>
      <c r="DO16" s="1565">
        <v>0</v>
      </c>
      <c r="DP16" s="1566">
        <v>175</v>
      </c>
      <c r="DQ16" s="1566">
        <v>224</v>
      </c>
      <c r="DR16" s="1566">
        <v>538</v>
      </c>
      <c r="DS16" s="1566">
        <v>361</v>
      </c>
      <c r="DT16" s="1566">
        <v>293</v>
      </c>
      <c r="DU16" s="1566">
        <v>417</v>
      </c>
      <c r="DV16" s="1566">
        <v>638</v>
      </c>
      <c r="DW16" s="1566">
        <v>340</v>
      </c>
      <c r="DX16" s="1566">
        <v>98</v>
      </c>
      <c r="DY16" s="1566">
        <v>590</v>
      </c>
      <c r="DZ16" s="1567">
        <v>671</v>
      </c>
      <c r="EA16" s="1568">
        <f t="shared" si="28"/>
        <v>4345</v>
      </c>
      <c r="EB16" s="1565">
        <v>63</v>
      </c>
      <c r="EC16" s="1566">
        <v>81</v>
      </c>
      <c r="ED16" s="1566">
        <v>557</v>
      </c>
      <c r="EE16" s="1566">
        <v>98</v>
      </c>
      <c r="EF16" s="1566">
        <v>425</v>
      </c>
      <c r="EG16" s="1566">
        <v>641</v>
      </c>
      <c r="EH16" s="1566">
        <v>476</v>
      </c>
      <c r="EI16" s="1566">
        <v>404</v>
      </c>
      <c r="EJ16" s="1566">
        <v>402</v>
      </c>
      <c r="EK16" s="1566">
        <v>352</v>
      </c>
      <c r="EL16" s="1566">
        <v>537</v>
      </c>
      <c r="EM16" s="1567">
        <v>1154</v>
      </c>
      <c r="EN16" s="1568">
        <f t="shared" si="29"/>
        <v>5190</v>
      </c>
      <c r="EO16" s="1565">
        <v>0</v>
      </c>
      <c r="EP16" s="1566">
        <v>0</v>
      </c>
      <c r="EQ16" s="1566">
        <v>0</v>
      </c>
      <c r="ER16" s="1566">
        <v>14</v>
      </c>
      <c r="ES16" s="1566">
        <v>95</v>
      </c>
      <c r="ET16" s="1566">
        <v>251</v>
      </c>
      <c r="EU16" s="1566">
        <v>132</v>
      </c>
      <c r="EV16" s="1566">
        <v>704</v>
      </c>
      <c r="EW16" s="1566">
        <v>190</v>
      </c>
      <c r="EX16" s="1566">
        <v>374</v>
      </c>
      <c r="EY16" s="1566">
        <v>582</v>
      </c>
      <c r="EZ16" s="1567">
        <v>1675</v>
      </c>
      <c r="FA16" s="1568">
        <f t="shared" si="30"/>
        <v>4017</v>
      </c>
      <c r="FB16" s="1565">
        <v>0</v>
      </c>
      <c r="FC16" s="1566">
        <v>65</v>
      </c>
      <c r="FD16" s="1566">
        <v>31</v>
      </c>
      <c r="FE16" s="1566">
        <v>57</v>
      </c>
      <c r="FF16" s="1566">
        <v>22</v>
      </c>
      <c r="FG16" s="1566">
        <v>16</v>
      </c>
      <c r="FH16" s="1566">
        <v>79</v>
      </c>
      <c r="FI16" s="1566">
        <v>355</v>
      </c>
      <c r="FJ16" s="1566">
        <v>536</v>
      </c>
      <c r="FK16" s="1566">
        <v>535</v>
      </c>
      <c r="FL16" s="1566">
        <v>644</v>
      </c>
      <c r="FM16" s="1567">
        <v>1309</v>
      </c>
      <c r="FN16" s="1568">
        <f t="shared" si="31"/>
        <v>3649</v>
      </c>
      <c r="FO16" s="1565">
        <v>0</v>
      </c>
      <c r="FP16" s="1566">
        <v>159</v>
      </c>
      <c r="FQ16" s="1566">
        <v>1085</v>
      </c>
      <c r="FR16" s="1566">
        <v>330</v>
      </c>
      <c r="FS16" s="1566">
        <v>790</v>
      </c>
      <c r="FT16" s="1566">
        <v>1423</v>
      </c>
      <c r="FU16" s="1566">
        <v>627</v>
      </c>
      <c r="FV16" s="1566">
        <v>435</v>
      </c>
      <c r="FW16" s="1566">
        <v>670</v>
      </c>
      <c r="FX16" s="1566">
        <v>620</v>
      </c>
      <c r="FY16" s="1566">
        <v>710</v>
      </c>
      <c r="FZ16" s="1567">
        <v>939</v>
      </c>
      <c r="GA16" s="1568">
        <f t="shared" si="32"/>
        <v>7788</v>
      </c>
      <c r="GB16" s="1565">
        <v>0</v>
      </c>
      <c r="GC16" s="1566">
        <v>233</v>
      </c>
      <c r="GD16" s="1566">
        <v>396</v>
      </c>
      <c r="GE16" s="1566">
        <v>530</v>
      </c>
      <c r="GF16" s="1566">
        <v>316</v>
      </c>
      <c r="GG16" s="1566">
        <v>301</v>
      </c>
      <c r="GH16" s="1566">
        <v>772</v>
      </c>
      <c r="GI16" s="1566">
        <v>375</v>
      </c>
      <c r="GJ16" s="1566">
        <v>239</v>
      </c>
      <c r="GK16" s="1566">
        <v>354</v>
      </c>
      <c r="GL16" s="1566">
        <v>527</v>
      </c>
      <c r="GM16" s="1567">
        <v>323</v>
      </c>
      <c r="GN16" s="1568">
        <f t="shared" si="33"/>
        <v>4366</v>
      </c>
      <c r="GO16" s="1565">
        <v>0</v>
      </c>
      <c r="GP16" s="1566">
        <v>0</v>
      </c>
      <c r="GQ16" s="1566">
        <v>0</v>
      </c>
      <c r="GR16" s="1566">
        <v>0</v>
      </c>
      <c r="GS16" s="1566">
        <v>76</v>
      </c>
      <c r="GT16" s="1566">
        <v>228</v>
      </c>
      <c r="GU16" s="1566">
        <v>145</v>
      </c>
      <c r="GV16" s="1566">
        <v>594</v>
      </c>
      <c r="GW16" s="1566">
        <v>633</v>
      </c>
      <c r="GX16" s="1566">
        <v>385</v>
      </c>
      <c r="GY16" s="1566">
        <v>999</v>
      </c>
      <c r="GZ16" s="1567">
        <v>1082</v>
      </c>
      <c r="HA16" s="1568">
        <f t="shared" si="34"/>
        <v>4142</v>
      </c>
      <c r="HB16" s="1565">
        <v>499</v>
      </c>
      <c r="HC16" s="1566">
        <v>62</v>
      </c>
      <c r="HD16" s="1566">
        <v>246</v>
      </c>
      <c r="HE16" s="1566">
        <v>485</v>
      </c>
      <c r="HF16" s="1566">
        <v>438</v>
      </c>
      <c r="HG16" s="1566">
        <v>451</v>
      </c>
      <c r="HH16" s="1566">
        <v>912</v>
      </c>
      <c r="HI16" s="1566">
        <v>444</v>
      </c>
      <c r="HJ16" s="1566">
        <v>355</v>
      </c>
      <c r="HK16" s="1566">
        <v>821</v>
      </c>
      <c r="HL16" s="1566">
        <v>965</v>
      </c>
      <c r="HM16" s="1567">
        <v>2303</v>
      </c>
      <c r="HN16" s="1568">
        <f t="shared" si="35"/>
        <v>7981</v>
      </c>
      <c r="HO16" s="1565">
        <v>0</v>
      </c>
      <c r="HP16" s="1566">
        <v>48</v>
      </c>
      <c r="HQ16" s="1566">
        <v>339</v>
      </c>
      <c r="HR16" s="1566">
        <v>568</v>
      </c>
      <c r="HS16" s="1566">
        <v>436</v>
      </c>
      <c r="HT16" s="1566">
        <v>620</v>
      </c>
      <c r="HU16" s="1566">
        <v>355</v>
      </c>
      <c r="HV16" s="1566">
        <v>630</v>
      </c>
      <c r="HW16" s="1566">
        <v>537</v>
      </c>
      <c r="HX16" s="1566">
        <v>721</v>
      </c>
      <c r="HY16" s="1566">
        <v>948</v>
      </c>
      <c r="HZ16" s="1567">
        <v>1656</v>
      </c>
      <c r="IA16" s="1565">
        <f t="shared" si="36"/>
        <v>6858</v>
      </c>
      <c r="IB16" s="1569">
        <v>0</v>
      </c>
      <c r="IC16" s="1068">
        <v>132</v>
      </c>
      <c r="ID16" s="1068">
        <v>385</v>
      </c>
      <c r="IE16" s="1068">
        <v>437</v>
      </c>
      <c r="IF16" s="1068">
        <v>610</v>
      </c>
      <c r="IG16" s="1068">
        <v>440</v>
      </c>
      <c r="IH16" s="1068">
        <v>419</v>
      </c>
      <c r="II16" s="1068">
        <v>703</v>
      </c>
      <c r="IJ16" s="1068"/>
      <c r="IK16" s="1068"/>
      <c r="IL16" s="1068"/>
      <c r="IM16" s="1570"/>
      <c r="IN16" s="1571">
        <f t="shared" si="37"/>
        <v>3126</v>
      </c>
      <c r="IP16" s="1656">
        <f t="shared" si="38"/>
        <v>11.587301587301591</v>
      </c>
      <c r="IQ16" s="1656">
        <f t="shared" si="39"/>
        <v>4.3391188251001411</v>
      </c>
      <c r="IR16" s="1657">
        <f t="shared" si="40"/>
        <v>2996</v>
      </c>
      <c r="IS16" s="1657">
        <f t="shared" si="41"/>
        <v>3126</v>
      </c>
      <c r="IT16" s="1658"/>
      <c r="IU16" s="221">
        <f t="shared" si="42"/>
        <v>73</v>
      </c>
    </row>
    <row r="17" spans="1:264" ht="15" customHeight="1" x14ac:dyDescent="0.2">
      <c r="A17" s="1551" t="s">
        <v>632</v>
      </c>
      <c r="B17" s="1565">
        <v>0</v>
      </c>
      <c r="C17" s="1566">
        <v>0</v>
      </c>
      <c r="D17" s="1566">
        <v>0</v>
      </c>
      <c r="E17" s="1566">
        <v>0</v>
      </c>
      <c r="F17" s="1566">
        <v>0</v>
      </c>
      <c r="G17" s="1566">
        <v>0</v>
      </c>
      <c r="H17" s="1566">
        <v>0</v>
      </c>
      <c r="I17" s="1566">
        <v>0</v>
      </c>
      <c r="J17" s="1566">
        <v>0</v>
      </c>
      <c r="K17" s="1566">
        <v>0</v>
      </c>
      <c r="L17" s="1566">
        <v>0</v>
      </c>
      <c r="M17" s="1567">
        <v>0</v>
      </c>
      <c r="N17" s="1568">
        <f t="shared" si="1"/>
        <v>0</v>
      </c>
      <c r="O17" s="1565">
        <v>0</v>
      </c>
      <c r="P17" s="1566">
        <v>0</v>
      </c>
      <c r="Q17" s="1566">
        <v>0</v>
      </c>
      <c r="R17" s="1566">
        <v>0</v>
      </c>
      <c r="S17" s="1566">
        <v>0</v>
      </c>
      <c r="T17" s="1566">
        <v>0</v>
      </c>
      <c r="U17" s="1566">
        <v>0</v>
      </c>
      <c r="V17" s="1566">
        <v>0</v>
      </c>
      <c r="W17" s="1566">
        <v>0</v>
      </c>
      <c r="X17" s="1566">
        <v>0</v>
      </c>
      <c r="Y17" s="1566">
        <v>0</v>
      </c>
      <c r="Z17" s="1567">
        <v>0</v>
      </c>
      <c r="AA17" s="1568">
        <f t="shared" si="3"/>
        <v>0</v>
      </c>
      <c r="AB17" s="1565">
        <v>0</v>
      </c>
      <c r="AC17" s="1566">
        <v>0</v>
      </c>
      <c r="AD17" s="1566">
        <v>0</v>
      </c>
      <c r="AE17" s="1566">
        <v>0</v>
      </c>
      <c r="AF17" s="1566">
        <v>0</v>
      </c>
      <c r="AG17" s="1566">
        <v>0</v>
      </c>
      <c r="AH17" s="1566">
        <v>0</v>
      </c>
      <c r="AI17" s="1566">
        <v>0</v>
      </c>
      <c r="AJ17" s="1566">
        <v>0</v>
      </c>
      <c r="AK17" s="1566">
        <v>0</v>
      </c>
      <c r="AL17" s="1566">
        <v>0</v>
      </c>
      <c r="AM17" s="1567">
        <v>0</v>
      </c>
      <c r="AN17" s="1568">
        <f t="shared" si="5"/>
        <v>0</v>
      </c>
      <c r="AO17" s="1565">
        <v>0</v>
      </c>
      <c r="AP17" s="1566">
        <v>0</v>
      </c>
      <c r="AQ17" s="1566">
        <v>0</v>
      </c>
      <c r="AR17" s="1566">
        <v>0</v>
      </c>
      <c r="AS17" s="1566">
        <v>0</v>
      </c>
      <c r="AT17" s="1566">
        <v>0</v>
      </c>
      <c r="AU17" s="1566">
        <v>0</v>
      </c>
      <c r="AV17" s="1566">
        <v>0</v>
      </c>
      <c r="AW17" s="1566">
        <v>0</v>
      </c>
      <c r="AX17" s="1566">
        <v>0</v>
      </c>
      <c r="AY17" s="1566">
        <v>0</v>
      </c>
      <c r="AZ17" s="1567">
        <v>0</v>
      </c>
      <c r="BA17" s="1568">
        <f t="shared" si="7"/>
        <v>0</v>
      </c>
      <c r="BB17" s="1565">
        <v>0</v>
      </c>
      <c r="BC17" s="1566">
        <v>0</v>
      </c>
      <c r="BD17" s="1566">
        <v>0</v>
      </c>
      <c r="BE17" s="1566">
        <v>0</v>
      </c>
      <c r="BF17" s="1566">
        <v>0</v>
      </c>
      <c r="BG17" s="1566">
        <v>0</v>
      </c>
      <c r="BH17" s="1566">
        <v>0</v>
      </c>
      <c r="BI17" s="1566">
        <v>0</v>
      </c>
      <c r="BJ17" s="1566">
        <v>0</v>
      </c>
      <c r="BK17" s="1566">
        <v>0</v>
      </c>
      <c r="BL17" s="1566">
        <v>0</v>
      </c>
      <c r="BM17" s="1567">
        <v>0</v>
      </c>
      <c r="BN17" s="1568">
        <f t="shared" si="9"/>
        <v>0</v>
      </c>
      <c r="BO17" s="1565">
        <v>0</v>
      </c>
      <c r="BP17" s="1566">
        <v>0</v>
      </c>
      <c r="BQ17" s="1566">
        <v>0</v>
      </c>
      <c r="BR17" s="1566">
        <v>0</v>
      </c>
      <c r="BS17" s="1566">
        <v>0</v>
      </c>
      <c r="BT17" s="1566">
        <v>0</v>
      </c>
      <c r="BU17" s="1566">
        <v>0</v>
      </c>
      <c r="BV17" s="1566">
        <v>0</v>
      </c>
      <c r="BW17" s="1566">
        <v>0</v>
      </c>
      <c r="BX17" s="1566">
        <v>0</v>
      </c>
      <c r="BY17" s="1566">
        <v>0</v>
      </c>
      <c r="BZ17" s="1567">
        <v>0</v>
      </c>
      <c r="CA17" s="1568">
        <f t="shared" si="11"/>
        <v>0</v>
      </c>
      <c r="CB17" s="1565">
        <v>0</v>
      </c>
      <c r="CC17" s="1566">
        <v>0</v>
      </c>
      <c r="CD17" s="1566">
        <v>0</v>
      </c>
      <c r="CE17" s="1566">
        <v>0</v>
      </c>
      <c r="CF17" s="1566">
        <v>0</v>
      </c>
      <c r="CG17" s="1566">
        <v>0</v>
      </c>
      <c r="CH17" s="1566">
        <v>0</v>
      </c>
      <c r="CI17" s="1566">
        <v>0</v>
      </c>
      <c r="CJ17" s="1566">
        <v>0</v>
      </c>
      <c r="CK17" s="1566">
        <v>0</v>
      </c>
      <c r="CL17" s="1566">
        <v>32</v>
      </c>
      <c r="CM17" s="1567">
        <v>162</v>
      </c>
      <c r="CN17" s="1568">
        <f t="shared" si="13"/>
        <v>194</v>
      </c>
      <c r="CO17" s="1565">
        <v>0</v>
      </c>
      <c r="CP17" s="1566">
        <v>0</v>
      </c>
      <c r="CQ17" s="1566">
        <v>0</v>
      </c>
      <c r="CR17" s="1566">
        <v>6</v>
      </c>
      <c r="CS17" s="1566">
        <v>4</v>
      </c>
      <c r="CT17" s="1566">
        <v>8</v>
      </c>
      <c r="CU17" s="1566">
        <v>0</v>
      </c>
      <c r="CV17" s="1566">
        <v>2</v>
      </c>
      <c r="CW17" s="1566">
        <v>4</v>
      </c>
      <c r="CX17" s="1566">
        <v>2</v>
      </c>
      <c r="CY17" s="1566">
        <v>0</v>
      </c>
      <c r="CZ17" s="1567">
        <v>5</v>
      </c>
      <c r="DA17" s="1568">
        <f t="shared" si="15"/>
        <v>31</v>
      </c>
      <c r="DB17" s="1565">
        <v>0</v>
      </c>
      <c r="DC17" s="1566">
        <v>17</v>
      </c>
      <c r="DD17" s="1566">
        <v>24</v>
      </c>
      <c r="DE17" s="1566">
        <v>16</v>
      </c>
      <c r="DF17" s="1566">
        <v>17</v>
      </c>
      <c r="DG17" s="1566">
        <v>18</v>
      </c>
      <c r="DH17" s="1566">
        <v>22</v>
      </c>
      <c r="DI17" s="1566">
        <v>3</v>
      </c>
      <c r="DJ17" s="1566">
        <v>0</v>
      </c>
      <c r="DK17" s="1566">
        <v>2</v>
      </c>
      <c r="DL17" s="1566">
        <v>0</v>
      </c>
      <c r="DM17" s="1567">
        <v>81</v>
      </c>
      <c r="DN17" s="1568">
        <f t="shared" si="27"/>
        <v>200</v>
      </c>
      <c r="DO17" s="1565">
        <v>0</v>
      </c>
      <c r="DP17" s="1566">
        <v>0</v>
      </c>
      <c r="DQ17" s="1566">
        <v>0</v>
      </c>
      <c r="DR17" s="1566">
        <v>0</v>
      </c>
      <c r="DS17" s="1566">
        <v>0</v>
      </c>
      <c r="DT17" s="1566">
        <v>0</v>
      </c>
      <c r="DU17" s="1566">
        <v>0</v>
      </c>
      <c r="DV17" s="1566">
        <v>0</v>
      </c>
      <c r="DW17" s="1566">
        <v>0</v>
      </c>
      <c r="DX17" s="1566">
        <v>0</v>
      </c>
      <c r="DY17" s="1566">
        <v>0</v>
      </c>
      <c r="DZ17" s="1567">
        <v>0</v>
      </c>
      <c r="EA17" s="1568">
        <f t="shared" si="28"/>
        <v>0</v>
      </c>
      <c r="EB17" s="1565">
        <v>0</v>
      </c>
      <c r="EC17" s="1566">
        <v>0</v>
      </c>
      <c r="ED17" s="1566">
        <v>0</v>
      </c>
      <c r="EE17" s="1566">
        <v>0</v>
      </c>
      <c r="EF17" s="1566">
        <v>0</v>
      </c>
      <c r="EG17" s="1566">
        <v>14</v>
      </c>
      <c r="EH17" s="1566">
        <v>10</v>
      </c>
      <c r="EI17" s="1566">
        <v>19</v>
      </c>
      <c r="EJ17" s="1566">
        <v>0</v>
      </c>
      <c r="EK17" s="1566">
        <v>32</v>
      </c>
      <c r="EL17" s="1566">
        <v>8</v>
      </c>
      <c r="EM17" s="1567">
        <v>0</v>
      </c>
      <c r="EN17" s="1568">
        <f t="shared" si="29"/>
        <v>83</v>
      </c>
      <c r="EO17" s="1565">
        <v>0</v>
      </c>
      <c r="EP17" s="1566">
        <v>0</v>
      </c>
      <c r="EQ17" s="1566">
        <v>0</v>
      </c>
      <c r="ER17" s="1566">
        <v>0</v>
      </c>
      <c r="ES17" s="1566">
        <v>0</v>
      </c>
      <c r="ET17" s="1566">
        <v>4</v>
      </c>
      <c r="EU17" s="1566">
        <v>7</v>
      </c>
      <c r="EV17" s="1566">
        <v>5</v>
      </c>
      <c r="EW17" s="1566">
        <v>2</v>
      </c>
      <c r="EX17" s="1566">
        <v>5</v>
      </c>
      <c r="EY17" s="1566">
        <v>26</v>
      </c>
      <c r="EZ17" s="1567">
        <v>14</v>
      </c>
      <c r="FA17" s="1568">
        <f t="shared" si="30"/>
        <v>63</v>
      </c>
      <c r="FB17" s="1565">
        <v>0</v>
      </c>
      <c r="FC17" s="1566">
        <v>0</v>
      </c>
      <c r="FD17" s="1566">
        <v>0</v>
      </c>
      <c r="FE17" s="1566">
        <v>0</v>
      </c>
      <c r="FF17" s="1566">
        <v>0</v>
      </c>
      <c r="FG17" s="1566">
        <v>1</v>
      </c>
      <c r="FH17" s="1566">
        <v>1</v>
      </c>
      <c r="FI17" s="1566">
        <v>10</v>
      </c>
      <c r="FJ17" s="1566">
        <v>3</v>
      </c>
      <c r="FK17" s="1566">
        <v>0</v>
      </c>
      <c r="FL17" s="1566">
        <v>4</v>
      </c>
      <c r="FM17" s="1567">
        <v>2</v>
      </c>
      <c r="FN17" s="1568">
        <f t="shared" si="31"/>
        <v>21</v>
      </c>
      <c r="FO17" s="1565">
        <v>0</v>
      </c>
      <c r="FP17" s="1566">
        <v>0</v>
      </c>
      <c r="FQ17" s="1566">
        <v>0</v>
      </c>
      <c r="FR17" s="1566">
        <v>3</v>
      </c>
      <c r="FS17" s="1566">
        <v>0</v>
      </c>
      <c r="FT17" s="1566">
        <v>10</v>
      </c>
      <c r="FU17" s="1566">
        <v>3</v>
      </c>
      <c r="FV17" s="1566">
        <v>3</v>
      </c>
      <c r="FW17" s="1566">
        <v>2</v>
      </c>
      <c r="FX17" s="1566">
        <v>0</v>
      </c>
      <c r="FY17" s="1566">
        <v>0</v>
      </c>
      <c r="FZ17" s="1567">
        <v>0</v>
      </c>
      <c r="GA17" s="1568">
        <f t="shared" si="32"/>
        <v>21</v>
      </c>
      <c r="GB17" s="1565">
        <v>0</v>
      </c>
      <c r="GC17" s="1566">
        <v>0</v>
      </c>
      <c r="GD17" s="1566">
        <v>0</v>
      </c>
      <c r="GE17" s="1566">
        <v>0</v>
      </c>
      <c r="GF17" s="1566">
        <v>10</v>
      </c>
      <c r="GG17" s="1566">
        <v>0</v>
      </c>
      <c r="GH17" s="1566">
        <v>9</v>
      </c>
      <c r="GI17" s="1566">
        <v>7</v>
      </c>
      <c r="GJ17" s="1566">
        <v>0</v>
      </c>
      <c r="GK17" s="1566">
        <v>0</v>
      </c>
      <c r="GL17" s="1566">
        <v>0</v>
      </c>
      <c r="GM17" s="1567">
        <v>0</v>
      </c>
      <c r="GN17" s="1568">
        <f t="shared" si="33"/>
        <v>26</v>
      </c>
      <c r="GO17" s="1565">
        <v>0</v>
      </c>
      <c r="GP17" s="1566">
        <v>0</v>
      </c>
      <c r="GQ17" s="1566">
        <v>0</v>
      </c>
      <c r="GR17" s="1566">
        <v>0</v>
      </c>
      <c r="GS17" s="1566">
        <v>0</v>
      </c>
      <c r="GT17" s="1566">
        <v>0</v>
      </c>
      <c r="GU17" s="1566">
        <v>0</v>
      </c>
      <c r="GV17" s="1566">
        <v>20</v>
      </c>
      <c r="GW17" s="1566">
        <v>35</v>
      </c>
      <c r="GX17" s="1566">
        <v>7</v>
      </c>
      <c r="GY17" s="1566">
        <v>0</v>
      </c>
      <c r="GZ17" s="1567">
        <v>5</v>
      </c>
      <c r="HA17" s="1568">
        <f t="shared" si="34"/>
        <v>67</v>
      </c>
      <c r="HB17" s="1565">
        <v>0</v>
      </c>
      <c r="HC17" s="1566">
        <v>0</v>
      </c>
      <c r="HD17" s="1566">
        <v>0</v>
      </c>
      <c r="HE17" s="1566">
        <v>0</v>
      </c>
      <c r="HF17" s="1566">
        <v>0</v>
      </c>
      <c r="HG17" s="1566">
        <v>0</v>
      </c>
      <c r="HH17" s="1566">
        <v>29</v>
      </c>
      <c r="HI17" s="1566">
        <v>34</v>
      </c>
      <c r="HJ17" s="1566">
        <v>45</v>
      </c>
      <c r="HK17" s="1566">
        <v>3</v>
      </c>
      <c r="HL17" s="1566">
        <v>7</v>
      </c>
      <c r="HM17" s="1567">
        <v>0</v>
      </c>
      <c r="HN17" s="1568">
        <f t="shared" si="35"/>
        <v>118</v>
      </c>
      <c r="HO17" s="1565">
        <v>0</v>
      </c>
      <c r="HP17" s="1566">
        <v>0</v>
      </c>
      <c r="HQ17" s="1566">
        <v>0</v>
      </c>
      <c r="HR17" s="1566">
        <v>0</v>
      </c>
      <c r="HS17" s="1566">
        <v>0</v>
      </c>
      <c r="HT17" s="1566">
        <v>0</v>
      </c>
      <c r="HU17" s="1566">
        <v>0</v>
      </c>
      <c r="HV17" s="1566">
        <v>0</v>
      </c>
      <c r="HW17" s="1566">
        <v>0</v>
      </c>
      <c r="HX17" s="1566">
        <v>0</v>
      </c>
      <c r="HY17" s="1566">
        <v>0</v>
      </c>
      <c r="HZ17" s="1567">
        <v>199</v>
      </c>
      <c r="IA17" s="1565">
        <f t="shared" si="36"/>
        <v>199</v>
      </c>
      <c r="IB17" s="1569">
        <v>0</v>
      </c>
      <c r="IC17" s="1068">
        <v>0</v>
      </c>
      <c r="ID17" s="1068">
        <v>0</v>
      </c>
      <c r="IE17" s="1068">
        <v>0</v>
      </c>
      <c r="IF17" s="1068">
        <v>9</v>
      </c>
      <c r="IG17" s="1068">
        <v>24</v>
      </c>
      <c r="IH17" s="1068">
        <v>6</v>
      </c>
      <c r="II17" s="1068">
        <v>4</v>
      </c>
      <c r="IJ17" s="1068"/>
      <c r="IK17" s="1068"/>
      <c r="IL17" s="1068"/>
      <c r="IM17" s="1570"/>
      <c r="IN17" s="1571">
        <f t="shared" si="37"/>
        <v>43</v>
      </c>
      <c r="IP17" s="1656" t="str">
        <f t="shared" si="38"/>
        <v/>
      </c>
      <c r="IQ17" s="1656" t="str">
        <f t="shared" si="39"/>
        <v/>
      </c>
      <c r="IR17" s="1657">
        <f t="shared" si="40"/>
        <v>0</v>
      </c>
      <c r="IS17" s="1657">
        <f t="shared" si="41"/>
        <v>43</v>
      </c>
      <c r="IT17" s="1658"/>
      <c r="IU17" s="221">
        <f t="shared" si="42"/>
        <v>4</v>
      </c>
    </row>
    <row r="18" spans="1:264" ht="15" customHeight="1" x14ac:dyDescent="0.2">
      <c r="A18" s="1551" t="s">
        <v>634</v>
      </c>
      <c r="B18" s="1565">
        <v>0</v>
      </c>
      <c r="C18" s="1566">
        <v>0</v>
      </c>
      <c r="D18" s="1566">
        <v>0</v>
      </c>
      <c r="E18" s="1566">
        <v>0</v>
      </c>
      <c r="F18" s="1566">
        <v>0</v>
      </c>
      <c r="G18" s="1566">
        <v>0</v>
      </c>
      <c r="H18" s="1566">
        <v>0</v>
      </c>
      <c r="I18" s="1566">
        <v>0</v>
      </c>
      <c r="J18" s="1566">
        <v>0</v>
      </c>
      <c r="K18" s="1566">
        <v>0</v>
      </c>
      <c r="L18" s="1566">
        <v>0</v>
      </c>
      <c r="M18" s="1567">
        <v>0</v>
      </c>
      <c r="N18" s="1568">
        <f t="shared" si="1"/>
        <v>0</v>
      </c>
      <c r="O18" s="1565">
        <v>195</v>
      </c>
      <c r="P18" s="1566">
        <v>78</v>
      </c>
      <c r="Q18" s="1566">
        <v>104</v>
      </c>
      <c r="R18" s="1566">
        <v>117</v>
      </c>
      <c r="S18" s="1566">
        <v>148</v>
      </c>
      <c r="T18" s="1566">
        <v>249</v>
      </c>
      <c r="U18" s="1566">
        <v>140</v>
      </c>
      <c r="V18" s="1566">
        <v>129</v>
      </c>
      <c r="W18" s="1566">
        <v>162</v>
      </c>
      <c r="X18" s="1566">
        <v>106</v>
      </c>
      <c r="Y18" s="1566">
        <v>110</v>
      </c>
      <c r="Z18" s="1567">
        <v>120</v>
      </c>
      <c r="AA18" s="1568">
        <f t="shared" si="3"/>
        <v>1658</v>
      </c>
      <c r="AB18" s="1565">
        <v>0</v>
      </c>
      <c r="AC18" s="1566">
        <v>50</v>
      </c>
      <c r="AD18" s="1566">
        <v>116</v>
      </c>
      <c r="AE18" s="1566">
        <v>167</v>
      </c>
      <c r="AF18" s="1566">
        <v>80</v>
      </c>
      <c r="AG18" s="1566">
        <v>45</v>
      </c>
      <c r="AH18" s="1566">
        <v>107</v>
      </c>
      <c r="AI18" s="1566">
        <v>182</v>
      </c>
      <c r="AJ18" s="1566">
        <v>147</v>
      </c>
      <c r="AK18" s="1566">
        <v>239</v>
      </c>
      <c r="AL18" s="1566">
        <v>150</v>
      </c>
      <c r="AM18" s="1567">
        <v>883</v>
      </c>
      <c r="AN18" s="1568">
        <f t="shared" si="5"/>
        <v>2166</v>
      </c>
      <c r="AO18" s="1565">
        <v>0</v>
      </c>
      <c r="AP18" s="1566">
        <v>120</v>
      </c>
      <c r="AQ18" s="1566">
        <v>51</v>
      </c>
      <c r="AR18" s="1566">
        <v>27</v>
      </c>
      <c r="AS18" s="1566">
        <v>251</v>
      </c>
      <c r="AT18" s="1566">
        <v>16</v>
      </c>
      <c r="AU18" s="1566">
        <v>25</v>
      </c>
      <c r="AV18" s="1566">
        <v>25</v>
      </c>
      <c r="AW18" s="1566">
        <v>67</v>
      </c>
      <c r="AX18" s="1566">
        <v>83</v>
      </c>
      <c r="AY18" s="1566">
        <v>58</v>
      </c>
      <c r="AZ18" s="1567">
        <v>57</v>
      </c>
      <c r="BA18" s="1568">
        <f t="shared" si="7"/>
        <v>780</v>
      </c>
      <c r="BB18" s="1565">
        <v>0</v>
      </c>
      <c r="BC18" s="1566">
        <v>0</v>
      </c>
      <c r="BD18" s="1566">
        <v>0</v>
      </c>
      <c r="BE18" s="1566">
        <v>0</v>
      </c>
      <c r="BF18" s="1566">
        <v>0</v>
      </c>
      <c r="BG18" s="1566">
        <v>0</v>
      </c>
      <c r="BH18" s="1566">
        <v>0</v>
      </c>
      <c r="BI18" s="1566">
        <v>0</v>
      </c>
      <c r="BJ18" s="1566">
        <v>0</v>
      </c>
      <c r="BK18" s="1566">
        <v>0</v>
      </c>
      <c r="BL18" s="1566">
        <v>0</v>
      </c>
      <c r="BM18" s="1567">
        <v>7</v>
      </c>
      <c r="BN18" s="1568">
        <f t="shared" si="9"/>
        <v>7</v>
      </c>
      <c r="BO18" s="1565">
        <v>0</v>
      </c>
      <c r="BP18" s="1566">
        <v>0</v>
      </c>
      <c r="BQ18" s="1566">
        <v>0</v>
      </c>
      <c r="BR18" s="1566">
        <v>20</v>
      </c>
      <c r="BS18" s="1566">
        <v>394</v>
      </c>
      <c r="BT18" s="1566">
        <v>0</v>
      </c>
      <c r="BU18" s="1566">
        <v>0.72199999999999998</v>
      </c>
      <c r="BV18" s="1566">
        <v>37</v>
      </c>
      <c r="BW18" s="1566">
        <v>28</v>
      </c>
      <c r="BX18" s="1566">
        <v>188</v>
      </c>
      <c r="BY18" s="1566">
        <v>366</v>
      </c>
      <c r="BZ18" s="1567">
        <v>284</v>
      </c>
      <c r="CA18" s="1568">
        <f t="shared" si="11"/>
        <v>1317.722</v>
      </c>
      <c r="CB18" s="1565">
        <v>0</v>
      </c>
      <c r="CC18" s="1566">
        <v>102</v>
      </c>
      <c r="CD18" s="1566">
        <v>281</v>
      </c>
      <c r="CE18" s="1566">
        <v>27</v>
      </c>
      <c r="CF18" s="1566">
        <v>239</v>
      </c>
      <c r="CG18" s="1566">
        <v>192</v>
      </c>
      <c r="CH18" s="1566">
        <v>181</v>
      </c>
      <c r="CI18" s="1566">
        <v>138</v>
      </c>
      <c r="CJ18" s="1566">
        <v>287</v>
      </c>
      <c r="CK18" s="1566">
        <v>185</v>
      </c>
      <c r="CL18" s="1566">
        <v>254</v>
      </c>
      <c r="CM18" s="1567">
        <v>497</v>
      </c>
      <c r="CN18" s="1568">
        <f t="shared" si="13"/>
        <v>2383</v>
      </c>
      <c r="CO18" s="1565">
        <v>0</v>
      </c>
      <c r="CP18" s="1566">
        <v>99</v>
      </c>
      <c r="CQ18" s="1566">
        <v>175</v>
      </c>
      <c r="CR18" s="1566">
        <v>181</v>
      </c>
      <c r="CS18" s="1566">
        <v>322</v>
      </c>
      <c r="CT18" s="1566">
        <v>266</v>
      </c>
      <c r="CU18" s="1566">
        <v>243</v>
      </c>
      <c r="CV18" s="1566">
        <v>161</v>
      </c>
      <c r="CW18" s="1566">
        <v>2593</v>
      </c>
      <c r="CX18" s="1566">
        <v>351</v>
      </c>
      <c r="CY18" s="1566">
        <v>1270</v>
      </c>
      <c r="CZ18" s="1567">
        <v>671</v>
      </c>
      <c r="DA18" s="1568">
        <f t="shared" si="15"/>
        <v>6332</v>
      </c>
      <c r="DB18" s="1565">
        <v>131</v>
      </c>
      <c r="DC18" s="1566">
        <v>138</v>
      </c>
      <c r="DD18" s="1566">
        <v>14</v>
      </c>
      <c r="DE18" s="1566">
        <v>25</v>
      </c>
      <c r="DF18" s="1566">
        <v>140</v>
      </c>
      <c r="DG18" s="1566">
        <v>14</v>
      </c>
      <c r="DH18" s="1566">
        <v>688</v>
      </c>
      <c r="DI18" s="1566">
        <v>14</v>
      </c>
      <c r="DJ18" s="1566">
        <v>14</v>
      </c>
      <c r="DK18" s="1566">
        <v>13</v>
      </c>
      <c r="DL18" s="1566">
        <v>78</v>
      </c>
      <c r="DM18" s="1567">
        <v>40</v>
      </c>
      <c r="DN18" s="1568">
        <f t="shared" si="27"/>
        <v>1309</v>
      </c>
      <c r="DO18" s="1565">
        <v>0</v>
      </c>
      <c r="DP18" s="1566">
        <v>14</v>
      </c>
      <c r="DQ18" s="1566">
        <v>24</v>
      </c>
      <c r="DR18" s="1566">
        <v>23</v>
      </c>
      <c r="DS18" s="1566">
        <v>31</v>
      </c>
      <c r="DT18" s="1566">
        <v>22</v>
      </c>
      <c r="DU18" s="1566">
        <v>225</v>
      </c>
      <c r="DV18" s="1566">
        <v>30</v>
      </c>
      <c r="DW18" s="1566">
        <v>16</v>
      </c>
      <c r="DX18" s="1566">
        <v>20</v>
      </c>
      <c r="DY18" s="1566">
        <v>14</v>
      </c>
      <c r="DZ18" s="1567">
        <v>14</v>
      </c>
      <c r="EA18" s="1568">
        <f t="shared" si="28"/>
        <v>433</v>
      </c>
      <c r="EB18" s="1565">
        <v>0</v>
      </c>
      <c r="EC18" s="1566">
        <v>0</v>
      </c>
      <c r="ED18" s="1566">
        <v>0</v>
      </c>
      <c r="EE18" s="1566">
        <v>10</v>
      </c>
      <c r="EF18" s="1566">
        <v>5</v>
      </c>
      <c r="EG18" s="1566">
        <v>0</v>
      </c>
      <c r="EH18" s="1566">
        <v>16</v>
      </c>
      <c r="EI18" s="1566">
        <v>0</v>
      </c>
      <c r="EJ18" s="1566">
        <v>11</v>
      </c>
      <c r="EK18" s="1566">
        <v>1</v>
      </c>
      <c r="EL18" s="1566">
        <v>0</v>
      </c>
      <c r="EM18" s="1567">
        <v>0</v>
      </c>
      <c r="EN18" s="1568">
        <f t="shared" si="29"/>
        <v>43</v>
      </c>
      <c r="EO18" s="1565">
        <v>0</v>
      </c>
      <c r="EP18" s="1566">
        <v>0</v>
      </c>
      <c r="EQ18" s="1566">
        <v>0</v>
      </c>
      <c r="ER18" s="1566">
        <v>0</v>
      </c>
      <c r="ES18" s="1566">
        <v>0</v>
      </c>
      <c r="ET18" s="1566">
        <v>0</v>
      </c>
      <c r="EU18" s="1566">
        <v>0</v>
      </c>
      <c r="EV18" s="1566">
        <v>30</v>
      </c>
      <c r="EW18" s="1566">
        <v>17</v>
      </c>
      <c r="EX18" s="1566">
        <v>0</v>
      </c>
      <c r="EY18" s="1566">
        <v>0</v>
      </c>
      <c r="EZ18" s="1567">
        <v>0</v>
      </c>
      <c r="FA18" s="1568">
        <f t="shared" si="30"/>
        <v>47</v>
      </c>
      <c r="FB18" s="1565">
        <v>0</v>
      </c>
      <c r="FC18" s="1566">
        <v>0</v>
      </c>
      <c r="FD18" s="1566">
        <v>1</v>
      </c>
      <c r="FE18" s="1566">
        <v>0</v>
      </c>
      <c r="FF18" s="1566">
        <v>39</v>
      </c>
      <c r="FG18" s="1566">
        <v>79</v>
      </c>
      <c r="FH18" s="1566">
        <v>0</v>
      </c>
      <c r="FI18" s="1566">
        <v>6</v>
      </c>
      <c r="FJ18" s="1566">
        <v>8</v>
      </c>
      <c r="FK18" s="1566">
        <v>23</v>
      </c>
      <c r="FL18" s="1566">
        <v>3</v>
      </c>
      <c r="FM18" s="1567">
        <v>113</v>
      </c>
      <c r="FN18" s="1568">
        <f t="shared" si="31"/>
        <v>272</v>
      </c>
      <c r="FO18" s="1565">
        <v>0</v>
      </c>
      <c r="FP18" s="1566">
        <v>46</v>
      </c>
      <c r="FQ18" s="1566">
        <v>39</v>
      </c>
      <c r="FR18" s="1566">
        <v>17</v>
      </c>
      <c r="FS18" s="1566">
        <v>298</v>
      </c>
      <c r="FT18" s="1566">
        <v>314</v>
      </c>
      <c r="FU18" s="1566">
        <v>491</v>
      </c>
      <c r="FV18" s="1566">
        <v>876</v>
      </c>
      <c r="FW18" s="1566">
        <v>450</v>
      </c>
      <c r="FX18" s="1566">
        <v>68</v>
      </c>
      <c r="FY18" s="1566">
        <v>32</v>
      </c>
      <c r="FZ18" s="1567">
        <v>316</v>
      </c>
      <c r="GA18" s="1568">
        <f t="shared" si="32"/>
        <v>2947</v>
      </c>
      <c r="GB18" s="1565">
        <v>0</v>
      </c>
      <c r="GC18" s="1566">
        <v>1</v>
      </c>
      <c r="GD18" s="1566">
        <v>66</v>
      </c>
      <c r="GE18" s="1566">
        <v>220</v>
      </c>
      <c r="GF18" s="1566">
        <v>169</v>
      </c>
      <c r="GG18" s="1566">
        <v>16</v>
      </c>
      <c r="GH18" s="1566">
        <v>0</v>
      </c>
      <c r="GI18" s="1566">
        <v>865</v>
      </c>
      <c r="GJ18" s="1566">
        <v>1754</v>
      </c>
      <c r="GK18" s="1566">
        <v>620</v>
      </c>
      <c r="GL18" s="1566">
        <v>2377</v>
      </c>
      <c r="GM18" s="1567">
        <v>785</v>
      </c>
      <c r="GN18" s="1568">
        <f t="shared" si="33"/>
        <v>6873</v>
      </c>
      <c r="GO18" s="1565">
        <v>0</v>
      </c>
      <c r="GP18" s="1566">
        <v>0</v>
      </c>
      <c r="GQ18" s="1566">
        <v>1073</v>
      </c>
      <c r="GR18" s="1566">
        <v>587</v>
      </c>
      <c r="GS18" s="1566">
        <v>749</v>
      </c>
      <c r="GT18" s="1566">
        <v>147</v>
      </c>
      <c r="GU18" s="1566">
        <v>444</v>
      </c>
      <c r="GV18" s="1566">
        <v>712</v>
      </c>
      <c r="GW18" s="1566">
        <v>1422</v>
      </c>
      <c r="GX18" s="1566">
        <v>288</v>
      </c>
      <c r="GY18" s="1566">
        <v>1006</v>
      </c>
      <c r="GZ18" s="1567">
        <v>360</v>
      </c>
      <c r="HA18" s="1568">
        <f t="shared" si="34"/>
        <v>6788</v>
      </c>
      <c r="HB18" s="1565">
        <v>0</v>
      </c>
      <c r="HC18" s="1566">
        <v>0</v>
      </c>
      <c r="HD18" s="1566">
        <v>117</v>
      </c>
      <c r="HE18" s="1566">
        <v>4751</v>
      </c>
      <c r="HF18" s="1566">
        <v>2447</v>
      </c>
      <c r="HG18" s="1566">
        <v>2210</v>
      </c>
      <c r="HH18" s="1566">
        <v>122</v>
      </c>
      <c r="HI18" s="1566">
        <v>102</v>
      </c>
      <c r="HJ18" s="1566">
        <v>190</v>
      </c>
      <c r="HK18" s="1566">
        <v>453</v>
      </c>
      <c r="HL18" s="1566">
        <v>942</v>
      </c>
      <c r="HM18" s="1567">
        <v>12472</v>
      </c>
      <c r="HN18" s="1568">
        <f t="shared" si="35"/>
        <v>23806</v>
      </c>
      <c r="HO18" s="1565">
        <v>47</v>
      </c>
      <c r="HP18" s="1566">
        <v>10499</v>
      </c>
      <c r="HQ18" s="1566">
        <v>51</v>
      </c>
      <c r="HR18" s="1566">
        <v>25</v>
      </c>
      <c r="HS18" s="1566">
        <v>10760</v>
      </c>
      <c r="HT18" s="1566">
        <v>53</v>
      </c>
      <c r="HU18" s="1566">
        <v>153</v>
      </c>
      <c r="HV18" s="1566">
        <v>2356</v>
      </c>
      <c r="HW18" s="1566">
        <v>413</v>
      </c>
      <c r="HX18" s="1566">
        <v>1096</v>
      </c>
      <c r="HY18" s="1566">
        <v>2813</v>
      </c>
      <c r="HZ18" s="1567">
        <v>119</v>
      </c>
      <c r="IA18" s="1565">
        <f t="shared" si="36"/>
        <v>28385</v>
      </c>
      <c r="IB18" s="1569">
        <v>0</v>
      </c>
      <c r="IC18" s="1068">
        <v>4041</v>
      </c>
      <c r="ID18" s="1068">
        <v>1825</v>
      </c>
      <c r="IE18" s="1068">
        <v>2272</v>
      </c>
      <c r="IF18" s="1068">
        <v>1110</v>
      </c>
      <c r="IG18" s="1068">
        <v>642</v>
      </c>
      <c r="IH18" s="1068">
        <v>1544</v>
      </c>
      <c r="II18" s="1068">
        <v>1157</v>
      </c>
      <c r="IJ18" s="1068"/>
      <c r="IK18" s="1068"/>
      <c r="IL18" s="1068"/>
      <c r="IM18" s="1570"/>
      <c r="IN18" s="1571">
        <f t="shared" si="37"/>
        <v>12591</v>
      </c>
      <c r="IP18" s="1656">
        <f t="shared" si="38"/>
        <v>-50.891341256366715</v>
      </c>
      <c r="IQ18" s="1656">
        <f t="shared" si="39"/>
        <v>-47.414801202806544</v>
      </c>
      <c r="IR18" s="1657">
        <f t="shared" si="40"/>
        <v>23944</v>
      </c>
      <c r="IS18" s="1657">
        <f t="shared" si="41"/>
        <v>12591</v>
      </c>
      <c r="IT18" s="1658"/>
      <c r="IU18" s="221">
        <f t="shared" si="42"/>
        <v>-1199</v>
      </c>
    </row>
    <row r="19" spans="1:264" ht="15" customHeight="1" x14ac:dyDescent="0.2">
      <c r="A19" s="1551" t="s">
        <v>635</v>
      </c>
      <c r="B19" s="1565">
        <v>0</v>
      </c>
      <c r="C19" s="1566">
        <v>285</v>
      </c>
      <c r="D19" s="1566">
        <v>84</v>
      </c>
      <c r="E19" s="1566">
        <v>145</v>
      </c>
      <c r="F19" s="1566">
        <v>172</v>
      </c>
      <c r="G19" s="1566">
        <v>390</v>
      </c>
      <c r="H19" s="1566">
        <v>248</v>
      </c>
      <c r="I19" s="1566">
        <v>283</v>
      </c>
      <c r="J19" s="1566">
        <v>161</v>
      </c>
      <c r="K19" s="1566">
        <v>331</v>
      </c>
      <c r="L19" s="1566">
        <v>89</v>
      </c>
      <c r="M19" s="1567">
        <v>338</v>
      </c>
      <c r="N19" s="1568">
        <f t="shared" si="1"/>
        <v>2526</v>
      </c>
      <c r="O19" s="1565">
        <v>9</v>
      </c>
      <c r="P19" s="1566">
        <v>453</v>
      </c>
      <c r="Q19" s="1566">
        <v>41</v>
      </c>
      <c r="R19" s="1566">
        <v>703</v>
      </c>
      <c r="S19" s="1566">
        <v>23</v>
      </c>
      <c r="T19" s="1566">
        <v>124</v>
      </c>
      <c r="U19" s="1566">
        <v>145</v>
      </c>
      <c r="V19" s="1566">
        <v>191</v>
      </c>
      <c r="W19" s="1566">
        <v>158</v>
      </c>
      <c r="X19" s="1566">
        <v>63</v>
      </c>
      <c r="Y19" s="1566">
        <v>104</v>
      </c>
      <c r="Z19" s="1567">
        <v>54</v>
      </c>
      <c r="AA19" s="1568">
        <f t="shared" si="3"/>
        <v>2068</v>
      </c>
      <c r="AB19" s="1565">
        <v>44</v>
      </c>
      <c r="AC19" s="1566">
        <v>180</v>
      </c>
      <c r="AD19" s="1566">
        <v>180</v>
      </c>
      <c r="AE19" s="1566">
        <v>96</v>
      </c>
      <c r="AF19" s="1566">
        <v>110</v>
      </c>
      <c r="AG19" s="1566">
        <v>137</v>
      </c>
      <c r="AH19" s="1566">
        <v>60</v>
      </c>
      <c r="AI19" s="1566">
        <v>54</v>
      </c>
      <c r="AJ19" s="1566">
        <v>36</v>
      </c>
      <c r="AK19" s="1566">
        <v>37</v>
      </c>
      <c r="AL19" s="1566">
        <v>142</v>
      </c>
      <c r="AM19" s="1567">
        <v>38</v>
      </c>
      <c r="AN19" s="1568">
        <f t="shared" si="5"/>
        <v>1114</v>
      </c>
      <c r="AO19" s="1565">
        <v>0</v>
      </c>
      <c r="AP19" s="1566">
        <v>69</v>
      </c>
      <c r="AQ19" s="1566">
        <v>186</v>
      </c>
      <c r="AR19" s="1566">
        <v>30</v>
      </c>
      <c r="AS19" s="1566">
        <v>179</v>
      </c>
      <c r="AT19" s="1566">
        <v>39</v>
      </c>
      <c r="AU19" s="1566">
        <v>48</v>
      </c>
      <c r="AV19" s="1566">
        <v>31</v>
      </c>
      <c r="AW19" s="1566">
        <v>37</v>
      </c>
      <c r="AX19" s="1566">
        <v>43</v>
      </c>
      <c r="AY19" s="1566">
        <v>49</v>
      </c>
      <c r="AZ19" s="1567">
        <v>198</v>
      </c>
      <c r="BA19" s="1568">
        <f t="shared" si="7"/>
        <v>909</v>
      </c>
      <c r="BB19" s="1565">
        <v>0</v>
      </c>
      <c r="BC19" s="1566">
        <v>64</v>
      </c>
      <c r="BD19" s="1566">
        <v>46</v>
      </c>
      <c r="BE19" s="1566">
        <v>106</v>
      </c>
      <c r="BF19" s="1566">
        <v>57</v>
      </c>
      <c r="BG19" s="1566">
        <v>97</v>
      </c>
      <c r="BH19" s="1566">
        <v>104</v>
      </c>
      <c r="BI19" s="1566">
        <v>179</v>
      </c>
      <c r="BJ19" s="1566">
        <v>92</v>
      </c>
      <c r="BK19" s="1566">
        <v>129</v>
      </c>
      <c r="BL19" s="1566">
        <v>191</v>
      </c>
      <c r="BM19" s="1567">
        <v>353</v>
      </c>
      <c r="BN19" s="1568">
        <f t="shared" si="9"/>
        <v>1418</v>
      </c>
      <c r="BO19" s="1565">
        <v>30</v>
      </c>
      <c r="BP19" s="1566">
        <v>53</v>
      </c>
      <c r="BQ19" s="1566">
        <v>101</v>
      </c>
      <c r="BR19" s="1566">
        <v>86</v>
      </c>
      <c r="BS19" s="1566">
        <v>175</v>
      </c>
      <c r="BT19" s="1566">
        <v>58</v>
      </c>
      <c r="BU19" s="1566">
        <v>67</v>
      </c>
      <c r="BV19" s="1566">
        <v>72</v>
      </c>
      <c r="BW19" s="1566">
        <v>85</v>
      </c>
      <c r="BX19" s="1566">
        <v>111</v>
      </c>
      <c r="BY19" s="1566">
        <v>130</v>
      </c>
      <c r="BZ19" s="1567">
        <v>111</v>
      </c>
      <c r="CA19" s="1568">
        <f t="shared" si="11"/>
        <v>1079</v>
      </c>
      <c r="CB19" s="1565">
        <v>0</v>
      </c>
      <c r="CC19" s="1566">
        <v>0</v>
      </c>
      <c r="CD19" s="1566">
        <v>0</v>
      </c>
      <c r="CE19" s="1566">
        <v>0</v>
      </c>
      <c r="CF19" s="1566">
        <v>0</v>
      </c>
      <c r="CG19" s="1566">
        <v>0</v>
      </c>
      <c r="CH19" s="1566">
        <v>0</v>
      </c>
      <c r="CI19" s="1566">
        <v>0</v>
      </c>
      <c r="CJ19" s="1566">
        <v>0</v>
      </c>
      <c r="CK19" s="1566">
        <v>0</v>
      </c>
      <c r="CL19" s="1566">
        <v>0</v>
      </c>
      <c r="CM19" s="1567">
        <v>0</v>
      </c>
      <c r="CN19" s="1568">
        <f t="shared" si="13"/>
        <v>0</v>
      </c>
      <c r="CO19" s="1565">
        <v>0</v>
      </c>
      <c r="CP19" s="1566">
        <v>0</v>
      </c>
      <c r="CQ19" s="1566">
        <v>0</v>
      </c>
      <c r="CR19" s="1566">
        <v>12</v>
      </c>
      <c r="CS19" s="1566">
        <v>8</v>
      </c>
      <c r="CT19" s="1566"/>
      <c r="CU19" s="1566">
        <v>0</v>
      </c>
      <c r="CV19" s="1566">
        <v>0</v>
      </c>
      <c r="CW19" s="1566">
        <v>0</v>
      </c>
      <c r="CX19" s="1566">
        <v>0</v>
      </c>
      <c r="CY19" s="1566">
        <v>0</v>
      </c>
      <c r="CZ19" s="1567">
        <v>25</v>
      </c>
      <c r="DA19" s="1568">
        <f t="shared" si="15"/>
        <v>45</v>
      </c>
      <c r="DB19" s="1565">
        <v>0</v>
      </c>
      <c r="DC19" s="1566">
        <v>12</v>
      </c>
      <c r="DD19" s="1566">
        <v>73</v>
      </c>
      <c r="DE19" s="1566">
        <v>69</v>
      </c>
      <c r="DF19" s="1566">
        <v>25</v>
      </c>
      <c r="DG19" s="1566">
        <v>17</v>
      </c>
      <c r="DH19" s="1566">
        <v>8</v>
      </c>
      <c r="DI19" s="1566">
        <v>28</v>
      </c>
      <c r="DJ19" s="1566">
        <v>8</v>
      </c>
      <c r="DK19" s="1566">
        <v>8</v>
      </c>
      <c r="DL19" s="1566">
        <v>0</v>
      </c>
      <c r="DM19" s="1567">
        <v>17</v>
      </c>
      <c r="DN19" s="1568">
        <f t="shared" si="27"/>
        <v>265</v>
      </c>
      <c r="DO19" s="1565">
        <v>0</v>
      </c>
      <c r="DP19" s="1566">
        <v>0</v>
      </c>
      <c r="DQ19" s="1566">
        <v>20</v>
      </c>
      <c r="DR19" s="1566">
        <v>0</v>
      </c>
      <c r="DS19" s="1566">
        <v>0</v>
      </c>
      <c r="DT19" s="1566">
        <v>0</v>
      </c>
      <c r="DU19" s="1566">
        <v>0</v>
      </c>
      <c r="DV19" s="1566">
        <v>0</v>
      </c>
      <c r="DW19" s="1566">
        <v>0</v>
      </c>
      <c r="DX19" s="1566">
        <v>0</v>
      </c>
      <c r="DY19" s="1566">
        <v>9</v>
      </c>
      <c r="DZ19" s="1567">
        <v>11</v>
      </c>
      <c r="EA19" s="1568">
        <f t="shared" si="28"/>
        <v>40</v>
      </c>
      <c r="EB19" s="1565">
        <v>0</v>
      </c>
      <c r="EC19" s="1566">
        <v>0</v>
      </c>
      <c r="ED19" s="1566">
        <v>20</v>
      </c>
      <c r="EE19" s="1566">
        <v>0</v>
      </c>
      <c r="EF19" s="1566">
        <v>0</v>
      </c>
      <c r="EG19" s="1566">
        <v>0</v>
      </c>
      <c r="EH19" s="1566">
        <v>0</v>
      </c>
      <c r="EI19" s="1566">
        <v>0</v>
      </c>
      <c r="EJ19" s="1566">
        <v>0</v>
      </c>
      <c r="EK19" s="1566">
        <v>40</v>
      </c>
      <c r="EL19" s="1566">
        <v>30</v>
      </c>
      <c r="EM19" s="1567">
        <v>40</v>
      </c>
      <c r="EN19" s="1568">
        <f t="shared" si="29"/>
        <v>130</v>
      </c>
      <c r="EO19" s="1565">
        <v>0</v>
      </c>
      <c r="EP19" s="1566">
        <v>0</v>
      </c>
      <c r="EQ19" s="1566">
        <v>0</v>
      </c>
      <c r="ER19" s="1566">
        <v>204</v>
      </c>
      <c r="ES19" s="1566">
        <v>203</v>
      </c>
      <c r="ET19" s="1566">
        <v>0</v>
      </c>
      <c r="EU19" s="1566">
        <v>1</v>
      </c>
      <c r="EV19" s="1566">
        <v>40</v>
      </c>
      <c r="EW19" s="1566">
        <v>25</v>
      </c>
      <c r="EX19" s="1566">
        <v>14</v>
      </c>
      <c r="EY19" s="1566">
        <v>244</v>
      </c>
      <c r="EZ19" s="1567">
        <v>289</v>
      </c>
      <c r="FA19" s="1568">
        <f t="shared" si="30"/>
        <v>1020</v>
      </c>
      <c r="FB19" s="1565">
        <v>0</v>
      </c>
      <c r="FC19" s="1566">
        <v>5</v>
      </c>
      <c r="FD19" s="1566">
        <v>145</v>
      </c>
      <c r="FE19" s="1566">
        <v>258</v>
      </c>
      <c r="FF19" s="1566">
        <v>114</v>
      </c>
      <c r="FG19" s="1566">
        <v>20</v>
      </c>
      <c r="FH19" s="1566">
        <v>314</v>
      </c>
      <c r="FI19" s="1566">
        <v>199</v>
      </c>
      <c r="FJ19" s="1566">
        <v>230</v>
      </c>
      <c r="FK19" s="1566">
        <v>297</v>
      </c>
      <c r="FL19" s="1566">
        <v>575</v>
      </c>
      <c r="FM19" s="1567">
        <v>696</v>
      </c>
      <c r="FN19" s="1568">
        <f t="shared" si="31"/>
        <v>2853</v>
      </c>
      <c r="FO19" s="1565">
        <v>0</v>
      </c>
      <c r="FP19" s="1566">
        <v>110</v>
      </c>
      <c r="FQ19" s="1566">
        <v>129</v>
      </c>
      <c r="FR19" s="1566">
        <v>324</v>
      </c>
      <c r="FS19" s="1566">
        <v>343</v>
      </c>
      <c r="FT19" s="1566">
        <v>459</v>
      </c>
      <c r="FU19" s="1566">
        <v>793</v>
      </c>
      <c r="FV19" s="1566">
        <v>1595</v>
      </c>
      <c r="FW19" s="1566">
        <v>395</v>
      </c>
      <c r="FX19" s="1566">
        <v>897</v>
      </c>
      <c r="FY19" s="1566">
        <v>929</v>
      </c>
      <c r="FZ19" s="1567">
        <v>704</v>
      </c>
      <c r="GA19" s="1568">
        <f t="shared" si="32"/>
        <v>6678</v>
      </c>
      <c r="GB19" s="1565">
        <v>0</v>
      </c>
      <c r="GC19" s="1566">
        <v>21</v>
      </c>
      <c r="GD19" s="1566">
        <v>953</v>
      </c>
      <c r="GE19" s="1566">
        <v>310</v>
      </c>
      <c r="GF19" s="1566">
        <v>439</v>
      </c>
      <c r="GG19" s="1566">
        <v>470</v>
      </c>
      <c r="GH19" s="1566">
        <v>539</v>
      </c>
      <c r="GI19" s="1566">
        <v>264</v>
      </c>
      <c r="GJ19" s="1566">
        <v>173</v>
      </c>
      <c r="GK19" s="1566">
        <v>351</v>
      </c>
      <c r="GL19" s="1566">
        <v>437</v>
      </c>
      <c r="GM19" s="1567">
        <v>778</v>
      </c>
      <c r="GN19" s="1568">
        <f t="shared" si="33"/>
        <v>4735</v>
      </c>
      <c r="GO19" s="1565">
        <v>0</v>
      </c>
      <c r="GP19" s="1566">
        <v>0</v>
      </c>
      <c r="GQ19" s="1566">
        <v>18</v>
      </c>
      <c r="GR19" s="1566">
        <v>35</v>
      </c>
      <c r="GS19" s="1566">
        <v>155</v>
      </c>
      <c r="GT19" s="1566">
        <v>216</v>
      </c>
      <c r="GU19" s="1566">
        <v>500</v>
      </c>
      <c r="GV19" s="1566">
        <v>295</v>
      </c>
      <c r="GW19" s="1566">
        <v>324</v>
      </c>
      <c r="GX19" s="1566">
        <v>438</v>
      </c>
      <c r="GY19" s="1566">
        <v>400</v>
      </c>
      <c r="GZ19" s="1567">
        <v>592</v>
      </c>
      <c r="HA19" s="1568">
        <f t="shared" si="34"/>
        <v>2973</v>
      </c>
      <c r="HB19" s="1565">
        <v>10</v>
      </c>
      <c r="HC19" s="1566">
        <v>137</v>
      </c>
      <c r="HD19" s="1566">
        <v>506</v>
      </c>
      <c r="HE19" s="1566">
        <v>627</v>
      </c>
      <c r="HF19" s="1566">
        <v>423</v>
      </c>
      <c r="HG19" s="1566">
        <v>484</v>
      </c>
      <c r="HH19" s="1566">
        <v>735</v>
      </c>
      <c r="HI19" s="1566">
        <v>483</v>
      </c>
      <c r="HJ19" s="1566">
        <v>769</v>
      </c>
      <c r="HK19" s="1566">
        <v>524</v>
      </c>
      <c r="HL19" s="1566">
        <v>890</v>
      </c>
      <c r="HM19" s="1567">
        <v>925</v>
      </c>
      <c r="HN19" s="1568">
        <f t="shared" si="35"/>
        <v>6513</v>
      </c>
      <c r="HO19" s="1565">
        <v>0</v>
      </c>
      <c r="HP19" s="1566">
        <v>896</v>
      </c>
      <c r="HQ19" s="1566">
        <v>716</v>
      </c>
      <c r="HR19" s="1566">
        <v>182</v>
      </c>
      <c r="HS19" s="1566">
        <v>238</v>
      </c>
      <c r="HT19" s="1566">
        <v>126</v>
      </c>
      <c r="HU19" s="1566">
        <v>237</v>
      </c>
      <c r="HV19" s="1566">
        <v>280</v>
      </c>
      <c r="HW19" s="1566">
        <v>253</v>
      </c>
      <c r="HX19" s="1566">
        <v>279</v>
      </c>
      <c r="HY19" s="1566">
        <v>290</v>
      </c>
      <c r="HZ19" s="1567">
        <v>476</v>
      </c>
      <c r="IA19" s="1565">
        <f t="shared" si="36"/>
        <v>3973</v>
      </c>
      <c r="IB19" s="1569">
        <v>0</v>
      </c>
      <c r="IC19" s="1068">
        <v>84</v>
      </c>
      <c r="ID19" s="1068">
        <v>168</v>
      </c>
      <c r="IE19" s="1068">
        <v>286</v>
      </c>
      <c r="IF19" s="1068">
        <v>186</v>
      </c>
      <c r="IG19" s="1068">
        <v>134</v>
      </c>
      <c r="IH19" s="1068">
        <v>629</v>
      </c>
      <c r="II19" s="1068">
        <v>533</v>
      </c>
      <c r="IJ19" s="1068"/>
      <c r="IK19" s="1068"/>
      <c r="IL19" s="1068"/>
      <c r="IM19" s="1570"/>
      <c r="IN19" s="1571">
        <f t="shared" si="37"/>
        <v>2020</v>
      </c>
      <c r="IP19" s="1656">
        <f t="shared" si="38"/>
        <v>90.357142857142847</v>
      </c>
      <c r="IQ19" s="1656">
        <f t="shared" si="39"/>
        <v>-24.485981308411219</v>
      </c>
      <c r="IR19" s="1657">
        <f t="shared" si="40"/>
        <v>2675</v>
      </c>
      <c r="IS19" s="1657">
        <f t="shared" si="41"/>
        <v>2020</v>
      </c>
      <c r="IT19" s="1658"/>
      <c r="IU19" s="221">
        <f t="shared" si="42"/>
        <v>253</v>
      </c>
    </row>
    <row r="20" spans="1:264" ht="15" customHeight="1" x14ac:dyDescent="0.2">
      <c r="A20" s="1551" t="s">
        <v>636</v>
      </c>
      <c r="B20" s="1565">
        <v>898</v>
      </c>
      <c r="C20" s="1566">
        <v>1328</v>
      </c>
      <c r="D20" s="1566">
        <v>1158</v>
      </c>
      <c r="E20" s="1566">
        <v>1472</v>
      </c>
      <c r="F20" s="1566">
        <v>1355</v>
      </c>
      <c r="G20" s="1566">
        <v>2738</v>
      </c>
      <c r="H20" s="1566">
        <v>1819</v>
      </c>
      <c r="I20" s="1566">
        <v>1322</v>
      </c>
      <c r="J20" s="1566">
        <v>1694</v>
      </c>
      <c r="K20" s="1566">
        <v>1873</v>
      </c>
      <c r="L20" s="1566">
        <v>1465</v>
      </c>
      <c r="M20" s="1567">
        <v>2204</v>
      </c>
      <c r="N20" s="1568">
        <f t="shared" si="1"/>
        <v>19326</v>
      </c>
      <c r="O20" s="1565">
        <v>977</v>
      </c>
      <c r="P20" s="1566">
        <v>1730</v>
      </c>
      <c r="Q20" s="1566">
        <v>1738</v>
      </c>
      <c r="R20" s="1566">
        <v>1679</v>
      </c>
      <c r="S20" s="1566">
        <v>2448</v>
      </c>
      <c r="T20" s="1566">
        <v>2932</v>
      </c>
      <c r="U20" s="1566">
        <v>1623</v>
      </c>
      <c r="V20" s="1566">
        <v>1404</v>
      </c>
      <c r="W20" s="1566">
        <v>1475</v>
      </c>
      <c r="X20" s="1566">
        <v>1436</v>
      </c>
      <c r="Y20" s="1566">
        <v>1924</v>
      </c>
      <c r="Z20" s="1567">
        <v>2400</v>
      </c>
      <c r="AA20" s="1568">
        <f t="shared" si="3"/>
        <v>21766</v>
      </c>
      <c r="AB20" s="1565">
        <v>1026</v>
      </c>
      <c r="AC20" s="1566">
        <v>4380</v>
      </c>
      <c r="AD20" s="1566">
        <v>1983</v>
      </c>
      <c r="AE20" s="1566">
        <v>2724</v>
      </c>
      <c r="AF20" s="1566">
        <v>1952</v>
      </c>
      <c r="AG20" s="1566">
        <v>1815</v>
      </c>
      <c r="AH20" s="1566">
        <v>2256</v>
      </c>
      <c r="AI20" s="1566">
        <v>3066</v>
      </c>
      <c r="AJ20" s="1566">
        <v>2085</v>
      </c>
      <c r="AK20" s="1566">
        <v>2301</v>
      </c>
      <c r="AL20" s="1566">
        <v>2483</v>
      </c>
      <c r="AM20" s="1567">
        <v>5468</v>
      </c>
      <c r="AN20" s="1568">
        <f t="shared" si="5"/>
        <v>31539</v>
      </c>
      <c r="AO20" s="1565">
        <v>759</v>
      </c>
      <c r="AP20" s="1566">
        <v>2046</v>
      </c>
      <c r="AQ20" s="1566">
        <v>2355</v>
      </c>
      <c r="AR20" s="1566">
        <v>1724</v>
      </c>
      <c r="AS20" s="1566">
        <v>2342</v>
      </c>
      <c r="AT20" s="1566">
        <v>2166</v>
      </c>
      <c r="AU20" s="1566">
        <v>3113</v>
      </c>
      <c r="AV20" s="1566">
        <v>2427</v>
      </c>
      <c r="AW20" s="1566">
        <v>3058</v>
      </c>
      <c r="AX20" s="1566">
        <v>2708</v>
      </c>
      <c r="AY20" s="1566">
        <v>2936</v>
      </c>
      <c r="AZ20" s="1567">
        <v>8579</v>
      </c>
      <c r="BA20" s="1568">
        <f t="shared" si="7"/>
        <v>34213</v>
      </c>
      <c r="BB20" s="1565">
        <v>1651</v>
      </c>
      <c r="BC20" s="1566">
        <v>3107</v>
      </c>
      <c r="BD20" s="1566">
        <v>4284</v>
      </c>
      <c r="BE20" s="1566">
        <v>2860</v>
      </c>
      <c r="BF20" s="1566">
        <v>3048</v>
      </c>
      <c r="BG20" s="1566">
        <v>3629</v>
      </c>
      <c r="BH20" s="1566">
        <v>3442</v>
      </c>
      <c r="BI20" s="1566">
        <v>4026</v>
      </c>
      <c r="BJ20" s="1566">
        <v>3314</v>
      </c>
      <c r="BK20" s="1566">
        <v>4130</v>
      </c>
      <c r="BL20" s="1566">
        <v>4058</v>
      </c>
      <c r="BM20" s="1567">
        <v>7653</v>
      </c>
      <c r="BN20" s="1568">
        <f t="shared" si="9"/>
        <v>45202</v>
      </c>
      <c r="BO20" s="1565">
        <v>1847</v>
      </c>
      <c r="BP20" s="1566">
        <v>3319</v>
      </c>
      <c r="BQ20" s="1566">
        <v>4249</v>
      </c>
      <c r="BR20" s="1566">
        <v>4304</v>
      </c>
      <c r="BS20" s="1566">
        <v>4019</v>
      </c>
      <c r="BT20" s="1566">
        <v>3186</v>
      </c>
      <c r="BU20" s="1566">
        <v>4261</v>
      </c>
      <c r="BV20" s="1566">
        <v>4057</v>
      </c>
      <c r="BW20" s="1566">
        <v>4555</v>
      </c>
      <c r="BX20" s="1566">
        <v>4149</v>
      </c>
      <c r="BY20" s="1566">
        <v>4133</v>
      </c>
      <c r="BZ20" s="1567">
        <v>7254</v>
      </c>
      <c r="CA20" s="1568">
        <f t="shared" si="11"/>
        <v>49333</v>
      </c>
      <c r="CB20" s="1565">
        <v>1995</v>
      </c>
      <c r="CC20" s="1566">
        <v>2567</v>
      </c>
      <c r="CD20" s="1566">
        <v>3168</v>
      </c>
      <c r="CE20" s="1566">
        <v>3189</v>
      </c>
      <c r="CF20" s="1566">
        <v>2910</v>
      </c>
      <c r="CG20" s="1566">
        <v>2739</v>
      </c>
      <c r="CH20" s="1566">
        <v>4004</v>
      </c>
      <c r="CI20" s="1566">
        <v>3138</v>
      </c>
      <c r="CJ20" s="1566">
        <v>3141</v>
      </c>
      <c r="CK20" s="1566">
        <v>3492</v>
      </c>
      <c r="CL20" s="1566">
        <v>3252</v>
      </c>
      <c r="CM20" s="1567">
        <v>8583</v>
      </c>
      <c r="CN20" s="1568">
        <f t="shared" si="13"/>
        <v>42178</v>
      </c>
      <c r="CO20" s="1565">
        <v>1512</v>
      </c>
      <c r="CP20" s="1566">
        <v>2874</v>
      </c>
      <c r="CQ20" s="1566">
        <v>3033</v>
      </c>
      <c r="CR20" s="1566">
        <v>7039</v>
      </c>
      <c r="CS20" s="1566">
        <v>-1001</v>
      </c>
      <c r="CT20" s="1566">
        <v>2664</v>
      </c>
      <c r="CU20" s="1566">
        <v>3953</v>
      </c>
      <c r="CV20" s="1566">
        <v>3062</v>
      </c>
      <c r="CW20" s="1566">
        <v>2899</v>
      </c>
      <c r="CX20" s="1566">
        <v>3455</v>
      </c>
      <c r="CY20" s="1566">
        <v>3940</v>
      </c>
      <c r="CZ20" s="1567">
        <v>17563</v>
      </c>
      <c r="DA20" s="1568">
        <f t="shared" si="15"/>
        <v>50993</v>
      </c>
      <c r="DB20" s="1565">
        <v>1510</v>
      </c>
      <c r="DC20" s="1566">
        <v>2592</v>
      </c>
      <c r="DD20" s="1566">
        <v>2427</v>
      </c>
      <c r="DE20" s="1566">
        <v>2123</v>
      </c>
      <c r="DF20" s="1566">
        <v>2559</v>
      </c>
      <c r="DG20" s="1566">
        <v>2478</v>
      </c>
      <c r="DH20" s="1566">
        <v>3461</v>
      </c>
      <c r="DI20" s="1566">
        <v>2860</v>
      </c>
      <c r="DJ20" s="1566">
        <v>3071</v>
      </c>
      <c r="DK20" s="1566">
        <v>2616</v>
      </c>
      <c r="DL20" s="1566">
        <v>3526</v>
      </c>
      <c r="DM20" s="1567">
        <v>7608</v>
      </c>
      <c r="DN20" s="1568">
        <f t="shared" si="27"/>
        <v>36831</v>
      </c>
      <c r="DO20" s="1565">
        <v>1661</v>
      </c>
      <c r="DP20" s="1566">
        <v>4158</v>
      </c>
      <c r="DQ20" s="1566">
        <v>3418</v>
      </c>
      <c r="DR20" s="1566">
        <v>3147</v>
      </c>
      <c r="DS20" s="1566">
        <v>3897</v>
      </c>
      <c r="DT20" s="1566">
        <v>3201</v>
      </c>
      <c r="DU20" s="1566">
        <v>4199</v>
      </c>
      <c r="DV20" s="1566">
        <v>4264</v>
      </c>
      <c r="DW20" s="1566">
        <v>3152</v>
      </c>
      <c r="DX20" s="1566">
        <v>2680</v>
      </c>
      <c r="DY20" s="1566">
        <v>3398</v>
      </c>
      <c r="DZ20" s="1567">
        <v>10432</v>
      </c>
      <c r="EA20" s="1568">
        <f t="shared" si="28"/>
        <v>47607</v>
      </c>
      <c r="EB20" s="1565">
        <v>2365</v>
      </c>
      <c r="EC20" s="1566">
        <v>2569</v>
      </c>
      <c r="ED20" s="1566">
        <v>4095</v>
      </c>
      <c r="EE20" s="1566">
        <v>3531</v>
      </c>
      <c r="EF20" s="1566">
        <v>3247</v>
      </c>
      <c r="EG20" s="1566">
        <v>3028</v>
      </c>
      <c r="EH20" s="1566">
        <v>3931</v>
      </c>
      <c r="EI20" s="1566">
        <v>2399</v>
      </c>
      <c r="EJ20" s="1566">
        <v>2115</v>
      </c>
      <c r="EK20" s="1566">
        <v>2548</v>
      </c>
      <c r="EL20" s="1566">
        <v>2263</v>
      </c>
      <c r="EM20" s="1567">
        <v>4309</v>
      </c>
      <c r="EN20" s="1568">
        <f t="shared" si="29"/>
        <v>36400</v>
      </c>
      <c r="EO20" s="1565">
        <v>2233</v>
      </c>
      <c r="EP20" s="1566">
        <v>1740</v>
      </c>
      <c r="EQ20" s="1566">
        <v>2056</v>
      </c>
      <c r="ER20" s="1566">
        <v>1694</v>
      </c>
      <c r="ES20" s="1566">
        <v>2636</v>
      </c>
      <c r="ET20" s="1566">
        <v>2131</v>
      </c>
      <c r="EU20" s="1566">
        <v>2816</v>
      </c>
      <c r="EV20" s="1566">
        <v>2909</v>
      </c>
      <c r="EW20" s="1566">
        <v>3288</v>
      </c>
      <c r="EX20" s="1566">
        <v>2142</v>
      </c>
      <c r="EY20" s="1566">
        <v>2384</v>
      </c>
      <c r="EZ20" s="1567">
        <v>7700</v>
      </c>
      <c r="FA20" s="1568">
        <f t="shared" si="30"/>
        <v>33729</v>
      </c>
      <c r="FB20" s="1565">
        <v>2183</v>
      </c>
      <c r="FC20" s="1566">
        <v>2463</v>
      </c>
      <c r="FD20" s="1566">
        <v>1740</v>
      </c>
      <c r="FE20" s="1566">
        <v>1656</v>
      </c>
      <c r="FF20" s="1566">
        <v>1788</v>
      </c>
      <c r="FG20" s="1566">
        <v>2144</v>
      </c>
      <c r="FH20" s="1566">
        <v>5352</v>
      </c>
      <c r="FI20" s="1566">
        <v>2358</v>
      </c>
      <c r="FJ20" s="1566">
        <v>2149</v>
      </c>
      <c r="FK20" s="1566">
        <v>2360</v>
      </c>
      <c r="FL20" s="1566">
        <v>2287</v>
      </c>
      <c r="FM20" s="1567">
        <v>4304</v>
      </c>
      <c r="FN20" s="1568">
        <f t="shared" si="31"/>
        <v>30784</v>
      </c>
      <c r="FO20" s="1565">
        <v>2190</v>
      </c>
      <c r="FP20" s="1566">
        <v>1965</v>
      </c>
      <c r="FQ20" s="1566">
        <v>2819</v>
      </c>
      <c r="FR20" s="1566">
        <v>3009</v>
      </c>
      <c r="FS20" s="1566">
        <v>2466</v>
      </c>
      <c r="FT20" s="1566">
        <v>2031</v>
      </c>
      <c r="FU20" s="1566">
        <v>1832</v>
      </c>
      <c r="FV20" s="1566">
        <v>1661</v>
      </c>
      <c r="FW20" s="1566">
        <v>1690</v>
      </c>
      <c r="FX20" s="1566">
        <v>1994</v>
      </c>
      <c r="FY20" s="1566">
        <v>2103</v>
      </c>
      <c r="FZ20" s="1567">
        <v>5786</v>
      </c>
      <c r="GA20" s="1568">
        <f t="shared" si="32"/>
        <v>29546</v>
      </c>
      <c r="GB20" s="1565">
        <v>1800</v>
      </c>
      <c r="GC20" s="1566">
        <v>2172</v>
      </c>
      <c r="GD20" s="1566">
        <v>4542</v>
      </c>
      <c r="GE20" s="1566">
        <v>2268</v>
      </c>
      <c r="GF20" s="1566">
        <v>3986</v>
      </c>
      <c r="GG20" s="1566">
        <v>4413</v>
      </c>
      <c r="GH20" s="1566">
        <v>3050</v>
      </c>
      <c r="GI20" s="1566">
        <v>3033</v>
      </c>
      <c r="GJ20" s="1566">
        <v>2371</v>
      </c>
      <c r="GK20" s="1566">
        <v>2770</v>
      </c>
      <c r="GL20" s="1566">
        <v>2795</v>
      </c>
      <c r="GM20" s="1567">
        <v>5221</v>
      </c>
      <c r="GN20" s="1568">
        <f t="shared" si="33"/>
        <v>38421</v>
      </c>
      <c r="GO20" s="1565">
        <v>1789</v>
      </c>
      <c r="GP20" s="1566">
        <v>1768</v>
      </c>
      <c r="GQ20" s="1566">
        <v>2521</v>
      </c>
      <c r="GR20" s="1566">
        <v>2235</v>
      </c>
      <c r="GS20" s="1566">
        <v>2068</v>
      </c>
      <c r="GT20" s="1566">
        <v>2129</v>
      </c>
      <c r="GU20" s="1566">
        <v>2704</v>
      </c>
      <c r="GV20" s="1566">
        <v>2481</v>
      </c>
      <c r="GW20" s="1566">
        <v>2216</v>
      </c>
      <c r="GX20" s="1566">
        <v>1874</v>
      </c>
      <c r="GY20" s="1566">
        <v>1879</v>
      </c>
      <c r="GZ20" s="1567">
        <v>4219</v>
      </c>
      <c r="HA20" s="1568">
        <f t="shared" si="34"/>
        <v>27883</v>
      </c>
      <c r="HB20" s="1565">
        <v>1568</v>
      </c>
      <c r="HC20" s="1566">
        <v>1867</v>
      </c>
      <c r="HD20" s="1566">
        <v>1681</v>
      </c>
      <c r="HE20" s="1566">
        <v>1831</v>
      </c>
      <c r="HF20" s="1566">
        <v>1978</v>
      </c>
      <c r="HG20" s="1566">
        <v>1626</v>
      </c>
      <c r="HH20" s="1566">
        <v>2211</v>
      </c>
      <c r="HI20" s="1566">
        <v>1576</v>
      </c>
      <c r="HJ20" s="1566">
        <v>2724</v>
      </c>
      <c r="HK20" s="1566">
        <v>1748</v>
      </c>
      <c r="HL20" s="1566">
        <v>1729</v>
      </c>
      <c r="HM20" s="1567">
        <v>4391</v>
      </c>
      <c r="HN20" s="1568">
        <f t="shared" si="35"/>
        <v>24930</v>
      </c>
      <c r="HO20" s="1565">
        <v>3285</v>
      </c>
      <c r="HP20" s="1566">
        <v>1213</v>
      </c>
      <c r="HQ20" s="1566">
        <v>1874</v>
      </c>
      <c r="HR20" s="1566">
        <v>1847</v>
      </c>
      <c r="HS20" s="1566">
        <v>2087</v>
      </c>
      <c r="HT20" s="1566">
        <v>4704</v>
      </c>
      <c r="HU20" s="1566">
        <v>2740</v>
      </c>
      <c r="HV20" s="1566">
        <v>2193</v>
      </c>
      <c r="HW20" s="1566">
        <v>4665</v>
      </c>
      <c r="HX20" s="1566">
        <v>4016</v>
      </c>
      <c r="HY20" s="1566">
        <v>3445</v>
      </c>
      <c r="HZ20" s="1567">
        <v>5794</v>
      </c>
      <c r="IA20" s="1565">
        <f t="shared" si="36"/>
        <v>37863</v>
      </c>
      <c r="IB20" s="1569">
        <v>0</v>
      </c>
      <c r="IC20" s="1068">
        <v>1502</v>
      </c>
      <c r="ID20" s="1068">
        <v>1547</v>
      </c>
      <c r="IE20" s="1068">
        <v>1912</v>
      </c>
      <c r="IF20" s="1068">
        <v>3592</v>
      </c>
      <c r="IG20" s="1068">
        <v>1520</v>
      </c>
      <c r="IH20" s="1068">
        <v>4219</v>
      </c>
      <c r="II20" s="1068">
        <v>780</v>
      </c>
      <c r="IJ20" s="1068"/>
      <c r="IK20" s="1068"/>
      <c r="IL20" s="1068"/>
      <c r="IM20" s="1570"/>
      <c r="IN20" s="1571">
        <f t="shared" si="37"/>
        <v>15072</v>
      </c>
      <c r="IP20" s="1656">
        <f t="shared" si="38"/>
        <v>-64.432284541723675</v>
      </c>
      <c r="IQ20" s="1656">
        <f t="shared" si="39"/>
        <v>-24.424610138895851</v>
      </c>
      <c r="IR20" s="1657">
        <f t="shared" si="40"/>
        <v>19943</v>
      </c>
      <c r="IS20" s="1657">
        <f t="shared" si="41"/>
        <v>15072</v>
      </c>
      <c r="IT20" s="1658"/>
      <c r="IU20" s="221">
        <f t="shared" si="42"/>
        <v>-1413</v>
      </c>
    </row>
    <row r="21" spans="1:264" ht="15" customHeight="1" x14ac:dyDescent="0.2">
      <c r="A21" s="1551" t="s">
        <v>637</v>
      </c>
      <c r="B21" s="1565">
        <v>59</v>
      </c>
      <c r="C21" s="1566">
        <v>79</v>
      </c>
      <c r="D21" s="1566">
        <v>111</v>
      </c>
      <c r="E21" s="1566">
        <v>118</v>
      </c>
      <c r="F21" s="1566">
        <v>109</v>
      </c>
      <c r="G21" s="1566">
        <v>1512</v>
      </c>
      <c r="H21" s="1566">
        <v>404</v>
      </c>
      <c r="I21" s="1566">
        <v>351</v>
      </c>
      <c r="J21" s="1566">
        <v>312</v>
      </c>
      <c r="K21" s="1566">
        <v>56</v>
      </c>
      <c r="L21" s="1566">
        <v>156</v>
      </c>
      <c r="M21" s="1567">
        <v>300</v>
      </c>
      <c r="N21" s="1568">
        <f t="shared" si="1"/>
        <v>3567</v>
      </c>
      <c r="O21" s="1565">
        <v>48</v>
      </c>
      <c r="P21" s="1566">
        <v>77</v>
      </c>
      <c r="Q21" s="1566">
        <v>110</v>
      </c>
      <c r="R21" s="1566">
        <v>56</v>
      </c>
      <c r="S21" s="1566">
        <v>68</v>
      </c>
      <c r="T21" s="1566">
        <v>53</v>
      </c>
      <c r="U21" s="1566">
        <v>83</v>
      </c>
      <c r="V21" s="1566">
        <v>99</v>
      </c>
      <c r="W21" s="1566">
        <v>68</v>
      </c>
      <c r="X21" s="1566">
        <v>104</v>
      </c>
      <c r="Y21" s="1566">
        <v>97</v>
      </c>
      <c r="Z21" s="1567">
        <v>131</v>
      </c>
      <c r="AA21" s="1568">
        <f t="shared" si="3"/>
        <v>994</v>
      </c>
      <c r="AB21" s="1565">
        <v>14</v>
      </c>
      <c r="AC21" s="1566">
        <v>85</v>
      </c>
      <c r="AD21" s="1566">
        <v>96</v>
      </c>
      <c r="AE21" s="1566">
        <v>99</v>
      </c>
      <c r="AF21" s="1566">
        <v>130</v>
      </c>
      <c r="AG21" s="1566">
        <v>94</v>
      </c>
      <c r="AH21" s="1566">
        <v>113</v>
      </c>
      <c r="AI21" s="1566">
        <v>230</v>
      </c>
      <c r="AJ21" s="1566">
        <v>141</v>
      </c>
      <c r="AK21" s="1566">
        <v>155</v>
      </c>
      <c r="AL21" s="1566">
        <v>190</v>
      </c>
      <c r="AM21" s="1567">
        <v>93</v>
      </c>
      <c r="AN21" s="1568">
        <f t="shared" si="5"/>
        <v>1440</v>
      </c>
      <c r="AO21" s="1565">
        <v>0</v>
      </c>
      <c r="AP21" s="1566">
        <v>21</v>
      </c>
      <c r="AQ21" s="1566">
        <v>38</v>
      </c>
      <c r="AR21" s="1566">
        <v>37</v>
      </c>
      <c r="AS21" s="1566">
        <v>36</v>
      </c>
      <c r="AT21" s="1566">
        <v>26</v>
      </c>
      <c r="AU21" s="1566">
        <v>17</v>
      </c>
      <c r="AV21" s="1566">
        <v>36</v>
      </c>
      <c r="AW21" s="1566">
        <v>22</v>
      </c>
      <c r="AX21" s="1566">
        <v>71</v>
      </c>
      <c r="AY21" s="1566">
        <v>13</v>
      </c>
      <c r="AZ21" s="1567">
        <v>21</v>
      </c>
      <c r="BA21" s="1568">
        <f t="shared" si="7"/>
        <v>338</v>
      </c>
      <c r="BB21" s="1565">
        <v>3</v>
      </c>
      <c r="BC21" s="1566">
        <v>5</v>
      </c>
      <c r="BD21" s="1566">
        <v>4</v>
      </c>
      <c r="BE21" s="1566">
        <v>2</v>
      </c>
      <c r="BF21" s="1566">
        <v>36</v>
      </c>
      <c r="BG21" s="1566">
        <v>0</v>
      </c>
      <c r="BH21" s="1566">
        <v>0</v>
      </c>
      <c r="BI21" s="1566">
        <v>0</v>
      </c>
      <c r="BJ21" s="1566">
        <v>1</v>
      </c>
      <c r="BK21" s="1566">
        <v>1</v>
      </c>
      <c r="BL21" s="1566">
        <v>0</v>
      </c>
      <c r="BM21" s="1567">
        <v>2</v>
      </c>
      <c r="BN21" s="1568">
        <f t="shared" si="9"/>
        <v>54</v>
      </c>
      <c r="BO21" s="1565">
        <v>0</v>
      </c>
      <c r="BP21" s="1566">
        <v>0</v>
      </c>
      <c r="BQ21" s="1566">
        <v>0</v>
      </c>
      <c r="BR21" s="1566">
        <v>0</v>
      </c>
      <c r="BS21" s="1566">
        <v>0</v>
      </c>
      <c r="BT21" s="1566">
        <v>0</v>
      </c>
      <c r="BU21" s="1566">
        <v>0</v>
      </c>
      <c r="BV21" s="1566">
        <v>0</v>
      </c>
      <c r="BW21" s="1566">
        <v>7</v>
      </c>
      <c r="BX21" s="1566">
        <v>0</v>
      </c>
      <c r="BY21" s="1566">
        <v>0</v>
      </c>
      <c r="BZ21" s="1567">
        <v>0</v>
      </c>
      <c r="CA21" s="1568">
        <f t="shared" si="11"/>
        <v>7</v>
      </c>
      <c r="CB21" s="1565">
        <v>0</v>
      </c>
      <c r="CC21" s="1566">
        <v>0</v>
      </c>
      <c r="CD21" s="1566">
        <v>0</v>
      </c>
      <c r="CE21" s="1566">
        <v>0</v>
      </c>
      <c r="CF21" s="1566">
        <v>0</v>
      </c>
      <c r="CG21" s="1566">
        <v>0</v>
      </c>
      <c r="CH21" s="1566">
        <v>0</v>
      </c>
      <c r="CI21" s="1566">
        <v>0</v>
      </c>
      <c r="CJ21" s="1566">
        <v>2</v>
      </c>
      <c r="CK21" s="1566">
        <v>1</v>
      </c>
      <c r="CL21" s="1566">
        <v>1</v>
      </c>
      <c r="CM21" s="1567">
        <v>0.9</v>
      </c>
      <c r="CN21" s="1568">
        <f t="shared" si="13"/>
        <v>4.9000000000000004</v>
      </c>
      <c r="CO21" s="1565">
        <v>0</v>
      </c>
      <c r="CP21" s="1566">
        <v>0</v>
      </c>
      <c r="CQ21" s="1566">
        <v>0</v>
      </c>
      <c r="CR21" s="1566">
        <v>0</v>
      </c>
      <c r="CS21" s="1566">
        <v>25</v>
      </c>
      <c r="CT21" s="1566">
        <v>0</v>
      </c>
      <c r="CU21" s="1566">
        <v>0</v>
      </c>
      <c r="CV21" s="1566">
        <v>1</v>
      </c>
      <c r="CW21" s="1566">
        <v>0</v>
      </c>
      <c r="CX21" s="1566">
        <v>6</v>
      </c>
      <c r="CY21" s="1566">
        <v>1</v>
      </c>
      <c r="CZ21" s="1567">
        <v>2</v>
      </c>
      <c r="DA21" s="1568">
        <f t="shared" si="15"/>
        <v>35</v>
      </c>
      <c r="DB21" s="1565">
        <v>0</v>
      </c>
      <c r="DC21" s="1566"/>
      <c r="DD21" s="1566">
        <v>0</v>
      </c>
      <c r="DE21" s="1566">
        <v>13</v>
      </c>
      <c r="DF21" s="1566">
        <v>0</v>
      </c>
      <c r="DG21" s="1566">
        <v>0</v>
      </c>
      <c r="DH21" s="1566">
        <v>0</v>
      </c>
      <c r="DI21" s="1566">
        <v>0</v>
      </c>
      <c r="DJ21" s="1566">
        <v>0</v>
      </c>
      <c r="DK21" s="1566">
        <v>303</v>
      </c>
      <c r="DL21" s="1566">
        <v>14</v>
      </c>
      <c r="DM21" s="1567">
        <v>3</v>
      </c>
      <c r="DN21" s="1568">
        <f t="shared" si="27"/>
        <v>333</v>
      </c>
      <c r="DO21" s="1565">
        <v>0</v>
      </c>
      <c r="DP21" s="1566">
        <v>32</v>
      </c>
      <c r="DQ21" s="1566">
        <v>135</v>
      </c>
      <c r="DR21" s="1566">
        <v>137</v>
      </c>
      <c r="DS21" s="1566">
        <v>56</v>
      </c>
      <c r="DT21" s="1566">
        <v>240</v>
      </c>
      <c r="DU21" s="1566">
        <v>102</v>
      </c>
      <c r="DV21" s="1566">
        <v>326</v>
      </c>
      <c r="DW21" s="1566">
        <v>147</v>
      </c>
      <c r="DX21" s="1566">
        <v>51</v>
      </c>
      <c r="DY21" s="1566">
        <v>51</v>
      </c>
      <c r="DZ21" s="1567">
        <v>33</v>
      </c>
      <c r="EA21" s="1568">
        <f t="shared" si="28"/>
        <v>1310</v>
      </c>
      <c r="EB21" s="1565">
        <v>0</v>
      </c>
      <c r="EC21" s="1566">
        <v>0</v>
      </c>
      <c r="ED21" s="1566">
        <v>0</v>
      </c>
      <c r="EE21" s="1566"/>
      <c r="EF21" s="1566">
        <v>3</v>
      </c>
      <c r="EG21" s="1566">
        <v>0</v>
      </c>
      <c r="EH21" s="1566">
        <v>20</v>
      </c>
      <c r="EI21" s="1566">
        <v>36</v>
      </c>
      <c r="EJ21" s="1566">
        <v>7</v>
      </c>
      <c r="EK21" s="1566">
        <v>0</v>
      </c>
      <c r="EL21" s="1566">
        <v>0</v>
      </c>
      <c r="EM21" s="1567">
        <v>0</v>
      </c>
      <c r="EN21" s="1568">
        <f t="shared" si="29"/>
        <v>66</v>
      </c>
      <c r="EO21" s="1565">
        <v>0</v>
      </c>
      <c r="EP21" s="1566">
        <v>0</v>
      </c>
      <c r="EQ21" s="1566">
        <v>0</v>
      </c>
      <c r="ER21" s="1566">
        <v>0</v>
      </c>
      <c r="ES21" s="1566">
        <v>0</v>
      </c>
      <c r="ET21" s="1566">
        <v>0</v>
      </c>
      <c r="EU21" s="1566">
        <v>0</v>
      </c>
      <c r="EV21" s="1566">
        <v>0</v>
      </c>
      <c r="EW21" s="1566">
        <v>0</v>
      </c>
      <c r="EX21" s="1566">
        <v>0</v>
      </c>
      <c r="EY21" s="1566">
        <v>0</v>
      </c>
      <c r="EZ21" s="1567">
        <v>0</v>
      </c>
      <c r="FA21" s="1568">
        <f t="shared" si="30"/>
        <v>0</v>
      </c>
      <c r="FB21" s="1565">
        <v>0</v>
      </c>
      <c r="FC21" s="1566">
        <v>0</v>
      </c>
      <c r="FD21" s="1566">
        <v>0</v>
      </c>
      <c r="FE21" s="1566">
        <v>0</v>
      </c>
      <c r="FF21" s="1566">
        <v>0</v>
      </c>
      <c r="FG21" s="1566">
        <v>0</v>
      </c>
      <c r="FH21" s="1566">
        <v>0</v>
      </c>
      <c r="FI21" s="1566">
        <v>0</v>
      </c>
      <c r="FJ21" s="1566">
        <v>0</v>
      </c>
      <c r="FK21" s="1566">
        <v>0</v>
      </c>
      <c r="FL21" s="1566">
        <v>0</v>
      </c>
      <c r="FM21" s="1567">
        <v>0</v>
      </c>
      <c r="FN21" s="1568">
        <f t="shared" si="31"/>
        <v>0</v>
      </c>
      <c r="FO21" s="1565">
        <v>0</v>
      </c>
      <c r="FP21" s="1566">
        <v>0</v>
      </c>
      <c r="FQ21" s="1566">
        <v>0</v>
      </c>
      <c r="FR21" s="1566">
        <v>0</v>
      </c>
      <c r="FS21" s="1566">
        <v>0</v>
      </c>
      <c r="FT21" s="1566">
        <v>0</v>
      </c>
      <c r="FU21" s="1566">
        <v>0</v>
      </c>
      <c r="FV21" s="1566">
        <v>0</v>
      </c>
      <c r="FW21" s="1566">
        <v>1</v>
      </c>
      <c r="FX21" s="1566">
        <v>0</v>
      </c>
      <c r="FY21" s="1566">
        <v>0</v>
      </c>
      <c r="FZ21" s="1567">
        <v>0</v>
      </c>
      <c r="GA21" s="1568">
        <f t="shared" si="32"/>
        <v>1</v>
      </c>
      <c r="GB21" s="1565">
        <v>0</v>
      </c>
      <c r="GC21" s="1566">
        <v>0</v>
      </c>
      <c r="GD21" s="1566">
        <v>0</v>
      </c>
      <c r="GE21" s="1566">
        <v>0</v>
      </c>
      <c r="GF21" s="1566">
        <v>2</v>
      </c>
      <c r="GG21" s="1566">
        <v>0</v>
      </c>
      <c r="GH21" s="1566">
        <v>16</v>
      </c>
      <c r="GI21" s="1566">
        <v>0</v>
      </c>
      <c r="GJ21" s="1566">
        <v>0</v>
      </c>
      <c r="GK21" s="1566">
        <v>0</v>
      </c>
      <c r="GL21" s="1566">
        <v>7</v>
      </c>
      <c r="GM21" s="1567">
        <v>0</v>
      </c>
      <c r="GN21" s="1568">
        <f t="shared" si="33"/>
        <v>25</v>
      </c>
      <c r="GO21" s="1565">
        <v>0</v>
      </c>
      <c r="GP21" s="1566">
        <v>0</v>
      </c>
      <c r="GQ21" s="1566">
        <v>0</v>
      </c>
      <c r="GR21" s="1566">
        <v>0</v>
      </c>
      <c r="GS21" s="1566">
        <v>0</v>
      </c>
      <c r="GT21" s="1566">
        <v>0</v>
      </c>
      <c r="GU21" s="1566">
        <v>0</v>
      </c>
      <c r="GV21" s="1566">
        <v>0</v>
      </c>
      <c r="GW21" s="1566">
        <v>14</v>
      </c>
      <c r="GX21" s="1566">
        <v>0</v>
      </c>
      <c r="GY21" s="1566">
        <v>54</v>
      </c>
      <c r="GZ21" s="1567">
        <v>34</v>
      </c>
      <c r="HA21" s="1568">
        <f t="shared" si="34"/>
        <v>102</v>
      </c>
      <c r="HB21" s="1565">
        <v>0</v>
      </c>
      <c r="HC21" s="1566">
        <v>0</v>
      </c>
      <c r="HD21" s="1566">
        <v>0</v>
      </c>
      <c r="HE21" s="1566">
        <v>17</v>
      </c>
      <c r="HF21" s="1566">
        <v>24</v>
      </c>
      <c r="HG21" s="1566">
        <v>35</v>
      </c>
      <c r="HH21" s="1566">
        <v>17</v>
      </c>
      <c r="HI21" s="1566">
        <v>5</v>
      </c>
      <c r="HJ21" s="1566">
        <v>6</v>
      </c>
      <c r="HK21" s="1566">
        <v>18</v>
      </c>
      <c r="HL21" s="1566">
        <v>6</v>
      </c>
      <c r="HM21" s="1567">
        <v>146</v>
      </c>
      <c r="HN21" s="1568">
        <f t="shared" si="35"/>
        <v>274</v>
      </c>
      <c r="HO21" s="1565">
        <v>0</v>
      </c>
      <c r="HP21" s="1566">
        <v>96</v>
      </c>
      <c r="HQ21" s="1566">
        <v>1</v>
      </c>
      <c r="HR21" s="1566">
        <v>300</v>
      </c>
      <c r="HS21" s="1566">
        <v>300</v>
      </c>
      <c r="HT21" s="1566">
        <v>420</v>
      </c>
      <c r="HU21" s="1566">
        <v>0</v>
      </c>
      <c r="HV21" s="1566">
        <v>25</v>
      </c>
      <c r="HW21" s="1566">
        <v>72</v>
      </c>
      <c r="HX21" s="1566">
        <v>39</v>
      </c>
      <c r="HY21" s="1566">
        <v>23</v>
      </c>
      <c r="HZ21" s="1567">
        <v>70</v>
      </c>
      <c r="IA21" s="1565">
        <f t="shared" si="36"/>
        <v>1346</v>
      </c>
      <c r="IB21" s="1569">
        <v>0</v>
      </c>
      <c r="IC21" s="1068">
        <v>0</v>
      </c>
      <c r="ID21" s="1068">
        <v>7</v>
      </c>
      <c r="IE21" s="1068">
        <v>13</v>
      </c>
      <c r="IF21" s="1068">
        <v>0</v>
      </c>
      <c r="IG21" s="1068">
        <v>1</v>
      </c>
      <c r="IH21" s="1068">
        <v>58</v>
      </c>
      <c r="II21" s="1068">
        <v>149</v>
      </c>
      <c r="IJ21" s="1068"/>
      <c r="IK21" s="1068"/>
      <c r="IL21" s="1068"/>
      <c r="IM21" s="1570"/>
      <c r="IN21" s="1571">
        <f t="shared" si="37"/>
        <v>228</v>
      </c>
      <c r="IP21" s="1656">
        <f t="shared" si="38"/>
        <v>496</v>
      </c>
      <c r="IQ21" s="1656">
        <f t="shared" si="39"/>
        <v>-80.035026269702286</v>
      </c>
      <c r="IR21" s="1657">
        <f t="shared" si="40"/>
        <v>1142</v>
      </c>
      <c r="IS21" s="1657">
        <f t="shared" si="41"/>
        <v>228</v>
      </c>
      <c r="IT21" s="1658"/>
      <c r="IU21" s="221">
        <f t="shared" si="42"/>
        <v>124</v>
      </c>
    </row>
    <row r="22" spans="1:264" ht="15" customHeight="1" x14ac:dyDescent="0.2">
      <c r="A22" s="1551" t="s">
        <v>638</v>
      </c>
      <c r="B22" s="1565">
        <v>0</v>
      </c>
      <c r="C22" s="1566">
        <v>0</v>
      </c>
      <c r="D22" s="1566">
        <v>0</v>
      </c>
      <c r="E22" s="1566">
        <v>0</v>
      </c>
      <c r="F22" s="1566">
        <v>0</v>
      </c>
      <c r="G22" s="1566">
        <v>0</v>
      </c>
      <c r="H22" s="1566">
        <v>0</v>
      </c>
      <c r="I22" s="1566">
        <v>0</v>
      </c>
      <c r="J22" s="1566">
        <v>0</v>
      </c>
      <c r="K22" s="1566">
        <v>0</v>
      </c>
      <c r="L22" s="1566">
        <v>0</v>
      </c>
      <c r="M22" s="1567">
        <v>0</v>
      </c>
      <c r="N22" s="1568">
        <f t="shared" si="1"/>
        <v>0</v>
      </c>
      <c r="O22" s="1565">
        <v>0</v>
      </c>
      <c r="P22" s="1566">
        <v>502</v>
      </c>
      <c r="Q22" s="1566">
        <v>578</v>
      </c>
      <c r="R22" s="1566">
        <v>871</v>
      </c>
      <c r="S22" s="1566">
        <v>210</v>
      </c>
      <c r="T22" s="1566">
        <v>143</v>
      </c>
      <c r="U22" s="1566">
        <v>89</v>
      </c>
      <c r="V22" s="1566">
        <v>180</v>
      </c>
      <c r="W22" s="1566">
        <v>959</v>
      </c>
      <c r="X22" s="1566">
        <v>3500</v>
      </c>
      <c r="Y22" s="1566">
        <v>559</v>
      </c>
      <c r="Z22" s="1567">
        <v>3287</v>
      </c>
      <c r="AA22" s="1568">
        <f t="shared" si="3"/>
        <v>10878</v>
      </c>
      <c r="AB22" s="1565">
        <v>8</v>
      </c>
      <c r="AC22" s="1566">
        <v>661</v>
      </c>
      <c r="AD22" s="1566">
        <v>63</v>
      </c>
      <c r="AE22" s="1566">
        <v>324</v>
      </c>
      <c r="AF22" s="1566">
        <v>517</v>
      </c>
      <c r="AG22" s="1566">
        <v>1009</v>
      </c>
      <c r="AH22" s="1566">
        <v>353</v>
      </c>
      <c r="AI22" s="1566">
        <v>397</v>
      </c>
      <c r="AJ22" s="1566">
        <v>550</v>
      </c>
      <c r="AK22" s="1566">
        <v>110</v>
      </c>
      <c r="AL22" s="1566">
        <v>1247</v>
      </c>
      <c r="AM22" s="1567">
        <v>1831</v>
      </c>
      <c r="AN22" s="1568">
        <f t="shared" si="5"/>
        <v>7070</v>
      </c>
      <c r="AO22" s="1565">
        <v>0</v>
      </c>
      <c r="AP22" s="1566">
        <v>224</v>
      </c>
      <c r="AQ22" s="1566">
        <v>549</v>
      </c>
      <c r="AR22" s="1566">
        <v>372</v>
      </c>
      <c r="AS22" s="1566">
        <v>922</v>
      </c>
      <c r="AT22" s="1566">
        <v>258</v>
      </c>
      <c r="AU22" s="1566">
        <v>266</v>
      </c>
      <c r="AV22" s="1566">
        <v>1602</v>
      </c>
      <c r="AW22" s="1566">
        <v>401</v>
      </c>
      <c r="AX22" s="1566">
        <v>386</v>
      </c>
      <c r="AY22" s="1566">
        <v>1095</v>
      </c>
      <c r="AZ22" s="1567">
        <v>4332</v>
      </c>
      <c r="BA22" s="1568">
        <f t="shared" si="7"/>
        <v>10407</v>
      </c>
      <c r="BB22" s="1565">
        <v>692</v>
      </c>
      <c r="BC22" s="1566">
        <v>681</v>
      </c>
      <c r="BD22" s="1566">
        <v>3</v>
      </c>
      <c r="BE22" s="1566">
        <v>719</v>
      </c>
      <c r="BF22" s="1566">
        <v>20502</v>
      </c>
      <c r="BG22" s="1566">
        <v>19239</v>
      </c>
      <c r="BH22" s="1566">
        <v>958</v>
      </c>
      <c r="BI22" s="1566">
        <v>1036</v>
      </c>
      <c r="BJ22" s="1566">
        <v>3540</v>
      </c>
      <c r="BK22" s="1566">
        <v>1756</v>
      </c>
      <c r="BL22" s="1566">
        <v>17395</v>
      </c>
      <c r="BM22" s="1567">
        <v>-8203</v>
      </c>
      <c r="BN22" s="1568">
        <f t="shared" si="9"/>
        <v>58318</v>
      </c>
      <c r="BO22" s="1565">
        <v>0</v>
      </c>
      <c r="BP22" s="1566">
        <v>3658</v>
      </c>
      <c r="BQ22" s="1566">
        <v>12049</v>
      </c>
      <c r="BR22" s="1566">
        <v>7834</v>
      </c>
      <c r="BS22" s="1566">
        <v>1581</v>
      </c>
      <c r="BT22" s="1566">
        <v>13219</v>
      </c>
      <c r="BU22" s="1566">
        <v>1373</v>
      </c>
      <c r="BV22" s="1566">
        <v>-6074</v>
      </c>
      <c r="BW22" s="1566">
        <v>11407</v>
      </c>
      <c r="BX22" s="1566">
        <v>24207</v>
      </c>
      <c r="BY22" s="1566">
        <v>35051</v>
      </c>
      <c r="BZ22" s="1567">
        <v>12454</v>
      </c>
      <c r="CA22" s="1568">
        <f t="shared" si="11"/>
        <v>116759</v>
      </c>
      <c r="CB22" s="1565">
        <v>3888</v>
      </c>
      <c r="CC22" s="1566">
        <v>5769</v>
      </c>
      <c r="CD22" s="1566">
        <v>2964</v>
      </c>
      <c r="CE22" s="1566">
        <v>1658</v>
      </c>
      <c r="CF22" s="1566">
        <v>4337</v>
      </c>
      <c r="CG22" s="1566">
        <v>6629</v>
      </c>
      <c r="CH22" s="1566">
        <v>7214</v>
      </c>
      <c r="CI22" s="1566">
        <v>16053</v>
      </c>
      <c r="CJ22" s="1566">
        <v>13371</v>
      </c>
      <c r="CK22" s="1566">
        <v>2097</v>
      </c>
      <c r="CL22" s="1566">
        <v>6090</v>
      </c>
      <c r="CM22" s="1567">
        <v>56943</v>
      </c>
      <c r="CN22" s="1568">
        <f t="shared" si="13"/>
        <v>127013</v>
      </c>
      <c r="CO22" s="1565">
        <v>2171</v>
      </c>
      <c r="CP22" s="1566">
        <v>4659</v>
      </c>
      <c r="CQ22" s="1566">
        <v>4716</v>
      </c>
      <c r="CR22" s="1566">
        <v>5062</v>
      </c>
      <c r="CS22" s="1566">
        <v>7671</v>
      </c>
      <c r="CT22" s="1566">
        <v>4345</v>
      </c>
      <c r="CU22" s="1566">
        <v>11382</v>
      </c>
      <c r="CV22" s="1566">
        <v>11596</v>
      </c>
      <c r="CW22" s="1566">
        <v>26320</v>
      </c>
      <c r="CX22" s="1566">
        <v>39933</v>
      </c>
      <c r="CY22" s="1566">
        <v>55787</v>
      </c>
      <c r="CZ22" s="1567">
        <v>45637</v>
      </c>
      <c r="DA22" s="1568">
        <f t="shared" si="15"/>
        <v>219279</v>
      </c>
      <c r="DB22" s="1565">
        <v>64</v>
      </c>
      <c r="DC22" s="1566">
        <v>4228</v>
      </c>
      <c r="DD22" s="1566">
        <v>6686</v>
      </c>
      <c r="DE22" s="1566">
        <v>18321</v>
      </c>
      <c r="DF22" s="1566">
        <v>9574</v>
      </c>
      <c r="DG22" s="1566">
        <v>16323</v>
      </c>
      <c r="DH22" s="1566">
        <v>18361</v>
      </c>
      <c r="DI22" s="1566">
        <v>29286</v>
      </c>
      <c r="DJ22" s="1566">
        <v>10931</v>
      </c>
      <c r="DK22" s="1566">
        <v>19989</v>
      </c>
      <c r="DL22" s="1566">
        <v>7330</v>
      </c>
      <c r="DM22" s="1567">
        <v>33418</v>
      </c>
      <c r="DN22" s="1568">
        <f t="shared" si="27"/>
        <v>174511</v>
      </c>
      <c r="DO22" s="1565">
        <v>0</v>
      </c>
      <c r="DP22" s="1566">
        <v>6159</v>
      </c>
      <c r="DQ22" s="1566">
        <v>19158</v>
      </c>
      <c r="DR22" s="1566">
        <v>9006</v>
      </c>
      <c r="DS22" s="1566">
        <v>9027</v>
      </c>
      <c r="DT22" s="1566">
        <v>9210</v>
      </c>
      <c r="DU22" s="1566">
        <v>5911</v>
      </c>
      <c r="DV22" s="1566">
        <v>7865</v>
      </c>
      <c r="DW22" s="1566">
        <v>5247</v>
      </c>
      <c r="DX22" s="1566">
        <v>7610</v>
      </c>
      <c r="DY22" s="1566">
        <v>8405</v>
      </c>
      <c r="DZ22" s="1567">
        <v>26897</v>
      </c>
      <c r="EA22" s="1568">
        <f t="shared" si="28"/>
        <v>114495</v>
      </c>
      <c r="EB22" s="1565">
        <v>8</v>
      </c>
      <c r="EC22" s="1566">
        <v>465</v>
      </c>
      <c r="ED22" s="1566">
        <v>1933</v>
      </c>
      <c r="EE22" s="1566">
        <v>14658</v>
      </c>
      <c r="EF22" s="1566">
        <v>6432</v>
      </c>
      <c r="EG22" s="1566">
        <v>1894</v>
      </c>
      <c r="EH22" s="1566">
        <v>2845</v>
      </c>
      <c r="EI22" s="1566">
        <v>2265</v>
      </c>
      <c r="EJ22" s="1566">
        <v>4505</v>
      </c>
      <c r="EK22" s="1566">
        <v>6543</v>
      </c>
      <c r="EL22" s="1566">
        <v>9381</v>
      </c>
      <c r="EM22" s="1567">
        <v>10773</v>
      </c>
      <c r="EN22" s="1568">
        <f t="shared" si="29"/>
        <v>61702</v>
      </c>
      <c r="EO22" s="1565">
        <v>283</v>
      </c>
      <c r="EP22" s="1566">
        <v>3753</v>
      </c>
      <c r="EQ22" s="1566">
        <v>3601</v>
      </c>
      <c r="ER22" s="1566">
        <v>1904</v>
      </c>
      <c r="ES22" s="1566">
        <v>3901</v>
      </c>
      <c r="ET22" s="1566">
        <v>5118</v>
      </c>
      <c r="EU22" s="1566">
        <v>16743</v>
      </c>
      <c r="EV22" s="1566">
        <v>2873</v>
      </c>
      <c r="EW22" s="1566">
        <v>9659</v>
      </c>
      <c r="EX22" s="1566">
        <v>4151</v>
      </c>
      <c r="EY22" s="1566">
        <v>4396</v>
      </c>
      <c r="EZ22" s="1567">
        <v>15664</v>
      </c>
      <c r="FA22" s="1568">
        <f t="shared" si="30"/>
        <v>72046</v>
      </c>
      <c r="FB22" s="1565">
        <v>301</v>
      </c>
      <c r="FC22" s="1566">
        <v>305</v>
      </c>
      <c r="FD22" s="1566">
        <v>408</v>
      </c>
      <c r="FE22" s="1566">
        <v>132</v>
      </c>
      <c r="FF22" s="1566">
        <v>1155</v>
      </c>
      <c r="FG22" s="1566">
        <v>10725</v>
      </c>
      <c r="FH22" s="1566">
        <v>3827</v>
      </c>
      <c r="FI22" s="1566">
        <v>14974</v>
      </c>
      <c r="FJ22" s="1566">
        <v>2839</v>
      </c>
      <c r="FK22" s="1566">
        <v>2985</v>
      </c>
      <c r="FL22" s="1566">
        <v>7518</v>
      </c>
      <c r="FM22" s="1567">
        <v>13990</v>
      </c>
      <c r="FN22" s="1568">
        <f t="shared" si="31"/>
        <v>59159</v>
      </c>
      <c r="FO22" s="1565">
        <v>2782</v>
      </c>
      <c r="FP22" s="1566">
        <v>2932</v>
      </c>
      <c r="FQ22" s="1566">
        <v>1004</v>
      </c>
      <c r="FR22" s="1566">
        <v>2607</v>
      </c>
      <c r="FS22" s="1566">
        <v>1154</v>
      </c>
      <c r="FT22" s="1566">
        <v>6179</v>
      </c>
      <c r="FU22" s="1566">
        <v>3462</v>
      </c>
      <c r="FV22" s="1566">
        <v>4294</v>
      </c>
      <c r="FW22" s="1566">
        <v>2090</v>
      </c>
      <c r="FX22" s="1566">
        <v>2991</v>
      </c>
      <c r="FY22" s="1566">
        <v>2341</v>
      </c>
      <c r="FZ22" s="1567">
        <v>8820</v>
      </c>
      <c r="GA22" s="1568">
        <f t="shared" si="32"/>
        <v>40656</v>
      </c>
      <c r="GB22" s="1565">
        <v>0</v>
      </c>
      <c r="GC22" s="1566">
        <v>2</v>
      </c>
      <c r="GD22" s="1566">
        <v>349</v>
      </c>
      <c r="GE22" s="1566">
        <v>1095</v>
      </c>
      <c r="GF22" s="1566">
        <v>2606</v>
      </c>
      <c r="GG22" s="1566">
        <v>2136</v>
      </c>
      <c r="GH22" s="1566">
        <v>1505</v>
      </c>
      <c r="GI22" s="1566">
        <v>3713</v>
      </c>
      <c r="GJ22" s="1566">
        <v>3190</v>
      </c>
      <c r="GK22" s="1566">
        <v>1185</v>
      </c>
      <c r="GL22" s="1566">
        <v>3790</v>
      </c>
      <c r="GM22" s="1567">
        <v>6036</v>
      </c>
      <c r="GN22" s="1568">
        <f t="shared" si="33"/>
        <v>25607</v>
      </c>
      <c r="GO22" s="1565">
        <v>522</v>
      </c>
      <c r="GP22" s="1566">
        <v>0</v>
      </c>
      <c r="GQ22" s="1566">
        <v>1071</v>
      </c>
      <c r="GR22" s="1566">
        <v>381</v>
      </c>
      <c r="GS22" s="1566">
        <v>540</v>
      </c>
      <c r="GT22" s="1566">
        <v>2586</v>
      </c>
      <c r="GU22" s="1566">
        <v>4927</v>
      </c>
      <c r="GV22" s="1566">
        <v>3035</v>
      </c>
      <c r="GW22" s="1566">
        <v>1801</v>
      </c>
      <c r="GX22" s="1566">
        <v>1422</v>
      </c>
      <c r="GY22" s="1566">
        <v>2152</v>
      </c>
      <c r="GZ22" s="1567">
        <v>4443</v>
      </c>
      <c r="HA22" s="1568">
        <f t="shared" si="34"/>
        <v>22880</v>
      </c>
      <c r="HB22" s="1565">
        <v>1030</v>
      </c>
      <c r="HC22" s="1566">
        <v>335</v>
      </c>
      <c r="HD22" s="1566">
        <v>243</v>
      </c>
      <c r="HE22" s="1566">
        <v>6611</v>
      </c>
      <c r="HF22" s="1566">
        <v>1463</v>
      </c>
      <c r="HG22" s="1566">
        <v>714</v>
      </c>
      <c r="HH22" s="1566">
        <v>780</v>
      </c>
      <c r="HI22" s="1566">
        <v>5670</v>
      </c>
      <c r="HJ22" s="1566">
        <v>744</v>
      </c>
      <c r="HK22" s="1566">
        <v>14154</v>
      </c>
      <c r="HL22" s="1566">
        <v>12979</v>
      </c>
      <c r="HM22" s="1567">
        <v>24196</v>
      </c>
      <c r="HN22" s="1568">
        <f t="shared" si="35"/>
        <v>68919</v>
      </c>
      <c r="HO22" s="1565">
        <v>209</v>
      </c>
      <c r="HP22" s="1566">
        <v>1249</v>
      </c>
      <c r="HQ22" s="1566">
        <v>620</v>
      </c>
      <c r="HR22" s="1566">
        <v>4677</v>
      </c>
      <c r="HS22" s="1566">
        <v>17412</v>
      </c>
      <c r="HT22" s="1566">
        <v>4486</v>
      </c>
      <c r="HU22" s="1566">
        <v>5601</v>
      </c>
      <c r="HV22" s="1566">
        <v>3788</v>
      </c>
      <c r="HW22" s="1566">
        <v>7004</v>
      </c>
      <c r="HX22" s="1566">
        <v>9199</v>
      </c>
      <c r="HY22" s="1566">
        <v>5827</v>
      </c>
      <c r="HZ22" s="1567">
        <v>9095</v>
      </c>
      <c r="IA22" s="1565">
        <f>SUM(HO22:HZ22)</f>
        <v>69167</v>
      </c>
      <c r="IB22" s="1569">
        <v>3511</v>
      </c>
      <c r="IC22" s="1068">
        <v>2673</v>
      </c>
      <c r="ID22" s="1068">
        <v>8849</v>
      </c>
      <c r="IE22" s="1068">
        <v>5206</v>
      </c>
      <c r="IF22" s="1068">
        <v>9062</v>
      </c>
      <c r="IG22" s="1068">
        <v>4985</v>
      </c>
      <c r="IH22" s="1068">
        <v>5494</v>
      </c>
      <c r="II22" s="1068">
        <v>4274</v>
      </c>
      <c r="IJ22" s="1068"/>
      <c r="IK22" s="1068"/>
      <c r="IL22" s="1068"/>
      <c r="IM22" s="1570"/>
      <c r="IN22" s="1571">
        <f t="shared" si="37"/>
        <v>44054</v>
      </c>
      <c r="IP22" s="1656">
        <f t="shared" si="38"/>
        <v>12.829989440337908</v>
      </c>
      <c r="IQ22" s="1656">
        <f t="shared" si="39"/>
        <v>15.803585510751272</v>
      </c>
      <c r="IR22" s="1657">
        <f t="shared" si="40"/>
        <v>38042</v>
      </c>
      <c r="IS22" s="1657">
        <f t="shared" si="41"/>
        <v>44054</v>
      </c>
      <c r="IT22" s="1658"/>
      <c r="IU22" s="221">
        <f t="shared" si="42"/>
        <v>486</v>
      </c>
    </row>
    <row r="23" spans="1:264" ht="15" customHeight="1" x14ac:dyDescent="0.2">
      <c r="A23" s="1551" t="s">
        <v>639</v>
      </c>
      <c r="B23" s="1565">
        <v>0</v>
      </c>
      <c r="C23" s="1566">
        <v>0</v>
      </c>
      <c r="D23" s="1566">
        <v>1996</v>
      </c>
      <c r="E23" s="1566">
        <v>543</v>
      </c>
      <c r="F23" s="1566">
        <v>2711</v>
      </c>
      <c r="G23" s="1566">
        <v>1094</v>
      </c>
      <c r="H23" s="1566">
        <v>2464</v>
      </c>
      <c r="I23" s="1566">
        <v>4841</v>
      </c>
      <c r="J23" s="1566">
        <v>2241</v>
      </c>
      <c r="K23" s="1566">
        <v>1980</v>
      </c>
      <c r="L23" s="1566">
        <v>4336</v>
      </c>
      <c r="M23" s="1567">
        <v>1873</v>
      </c>
      <c r="N23" s="1568">
        <f t="shared" si="1"/>
        <v>24079</v>
      </c>
      <c r="O23" s="1565">
        <v>1571</v>
      </c>
      <c r="P23" s="1566">
        <v>1491</v>
      </c>
      <c r="Q23" s="1566">
        <v>1805</v>
      </c>
      <c r="R23" s="1566">
        <v>1536</v>
      </c>
      <c r="S23" s="1566">
        <v>2019</v>
      </c>
      <c r="T23" s="1566">
        <v>1732</v>
      </c>
      <c r="U23" s="1566">
        <v>1278</v>
      </c>
      <c r="V23" s="1566">
        <v>1346</v>
      </c>
      <c r="W23" s="1566">
        <v>1886</v>
      </c>
      <c r="X23" s="1566">
        <v>3669</v>
      </c>
      <c r="Y23" s="1566">
        <v>2692</v>
      </c>
      <c r="Z23" s="1567">
        <v>2294</v>
      </c>
      <c r="AA23" s="1568">
        <f t="shared" si="3"/>
        <v>23319</v>
      </c>
      <c r="AB23" s="1565">
        <v>508</v>
      </c>
      <c r="AC23" s="1566">
        <v>1304</v>
      </c>
      <c r="AD23" s="1566">
        <v>1334</v>
      </c>
      <c r="AE23" s="1566">
        <v>1967</v>
      </c>
      <c r="AF23" s="1566">
        <v>2436</v>
      </c>
      <c r="AG23" s="1566">
        <v>2157</v>
      </c>
      <c r="AH23" s="1566">
        <v>3510</v>
      </c>
      <c r="AI23" s="1566">
        <v>2639</v>
      </c>
      <c r="AJ23" s="1566">
        <v>2296</v>
      </c>
      <c r="AK23" s="1566">
        <v>3905</v>
      </c>
      <c r="AL23" s="1566">
        <v>2896</v>
      </c>
      <c r="AM23" s="1567">
        <v>4964</v>
      </c>
      <c r="AN23" s="1568">
        <f t="shared" si="5"/>
        <v>29916</v>
      </c>
      <c r="AO23" s="1565">
        <v>0</v>
      </c>
      <c r="AP23" s="1566">
        <v>1988</v>
      </c>
      <c r="AQ23" s="1566">
        <v>1089</v>
      </c>
      <c r="AR23" s="1566">
        <v>1109</v>
      </c>
      <c r="AS23" s="1566">
        <v>1355</v>
      </c>
      <c r="AT23" s="1566">
        <v>1314</v>
      </c>
      <c r="AU23" s="1566">
        <v>2012</v>
      </c>
      <c r="AV23" s="1566">
        <v>1220</v>
      </c>
      <c r="AW23" s="1566">
        <v>2606</v>
      </c>
      <c r="AX23" s="1566">
        <v>12129</v>
      </c>
      <c r="AY23" s="1566">
        <v>10204</v>
      </c>
      <c r="AZ23" s="1567">
        <v>31147</v>
      </c>
      <c r="BA23" s="1568">
        <f t="shared" si="7"/>
        <v>66173</v>
      </c>
      <c r="BB23" s="1565">
        <v>4751</v>
      </c>
      <c r="BC23" s="1566">
        <v>3286</v>
      </c>
      <c r="BD23" s="1566">
        <v>3422</v>
      </c>
      <c r="BE23" s="1566">
        <v>3681</v>
      </c>
      <c r="BF23" s="1566">
        <v>6947</v>
      </c>
      <c r="BG23" s="1566">
        <v>10290</v>
      </c>
      <c r="BH23" s="1566">
        <v>6309</v>
      </c>
      <c r="BI23" s="1566">
        <v>7699</v>
      </c>
      <c r="BJ23" s="1566">
        <v>4069</v>
      </c>
      <c r="BK23" s="1566">
        <v>12898</v>
      </c>
      <c r="BL23" s="1566">
        <v>10755</v>
      </c>
      <c r="BM23" s="1567">
        <v>6361</v>
      </c>
      <c r="BN23" s="1568">
        <f t="shared" si="9"/>
        <v>80468</v>
      </c>
      <c r="BO23" s="1565">
        <v>953</v>
      </c>
      <c r="BP23" s="1566">
        <v>6103</v>
      </c>
      <c r="BQ23" s="1566">
        <v>3771</v>
      </c>
      <c r="BR23" s="1566">
        <v>5423</v>
      </c>
      <c r="BS23" s="1566">
        <v>2186</v>
      </c>
      <c r="BT23" s="1566">
        <v>3590</v>
      </c>
      <c r="BU23" s="1566">
        <v>2518</v>
      </c>
      <c r="BV23" s="1566">
        <v>2880</v>
      </c>
      <c r="BW23" s="1566">
        <v>3664</v>
      </c>
      <c r="BX23" s="1566">
        <v>2283</v>
      </c>
      <c r="BY23" s="1566">
        <v>2796</v>
      </c>
      <c r="BZ23" s="1567">
        <v>1757</v>
      </c>
      <c r="CA23" s="1568">
        <f t="shared" si="11"/>
        <v>37924</v>
      </c>
      <c r="CB23" s="1565">
        <v>2278</v>
      </c>
      <c r="CC23" s="1566">
        <v>1650</v>
      </c>
      <c r="CD23" s="1566">
        <v>2964</v>
      </c>
      <c r="CE23" s="1566">
        <v>1303</v>
      </c>
      <c r="CF23" s="1566">
        <v>3887</v>
      </c>
      <c r="CG23" s="1566">
        <v>3405</v>
      </c>
      <c r="CH23" s="1566">
        <v>1765</v>
      </c>
      <c r="CI23" s="1566">
        <v>1865</v>
      </c>
      <c r="CJ23" s="1566">
        <v>1482</v>
      </c>
      <c r="CK23" s="1566">
        <v>1210</v>
      </c>
      <c r="CL23" s="1566">
        <v>2471</v>
      </c>
      <c r="CM23" s="1567">
        <v>1681</v>
      </c>
      <c r="CN23" s="1568">
        <f t="shared" si="13"/>
        <v>25961</v>
      </c>
      <c r="CO23" s="1565">
        <v>0</v>
      </c>
      <c r="CP23" s="1566">
        <v>268</v>
      </c>
      <c r="CQ23" s="1566">
        <v>2047</v>
      </c>
      <c r="CR23" s="1566">
        <v>702</v>
      </c>
      <c r="CS23" s="1566">
        <v>452</v>
      </c>
      <c r="CT23" s="1566">
        <v>52</v>
      </c>
      <c r="CU23" s="1566">
        <v>1652</v>
      </c>
      <c r="CV23" s="1566">
        <v>208</v>
      </c>
      <c r="CW23" s="1566">
        <v>125</v>
      </c>
      <c r="CX23" s="1566">
        <v>336</v>
      </c>
      <c r="CY23" s="1566">
        <v>176</v>
      </c>
      <c r="CZ23" s="1567">
        <v>622</v>
      </c>
      <c r="DA23" s="1568">
        <f t="shared" si="15"/>
        <v>6640</v>
      </c>
      <c r="DB23" s="1565">
        <v>12</v>
      </c>
      <c r="DC23" s="1566">
        <v>15</v>
      </c>
      <c r="DD23" s="1566">
        <v>726</v>
      </c>
      <c r="DE23" s="1566">
        <v>3394</v>
      </c>
      <c r="DF23" s="1566">
        <v>2739</v>
      </c>
      <c r="DG23" s="1566">
        <v>2074</v>
      </c>
      <c r="DH23" s="1566">
        <v>1960</v>
      </c>
      <c r="DI23" s="1566">
        <v>791</v>
      </c>
      <c r="DJ23" s="1566">
        <v>2419</v>
      </c>
      <c r="DK23" s="1566">
        <v>1476</v>
      </c>
      <c r="DL23" s="1566">
        <v>990</v>
      </c>
      <c r="DM23" s="1567">
        <v>1483</v>
      </c>
      <c r="DN23" s="1568">
        <f t="shared" si="27"/>
        <v>18079</v>
      </c>
      <c r="DO23" s="1565">
        <v>0</v>
      </c>
      <c r="DP23" s="1566">
        <v>390</v>
      </c>
      <c r="DQ23" s="1566">
        <v>527</v>
      </c>
      <c r="DR23" s="1566">
        <v>275</v>
      </c>
      <c r="DS23" s="1566">
        <v>527</v>
      </c>
      <c r="DT23" s="1566">
        <v>132</v>
      </c>
      <c r="DU23" s="1566">
        <v>1007</v>
      </c>
      <c r="DV23" s="1566">
        <v>111</v>
      </c>
      <c r="DW23" s="1566">
        <v>56</v>
      </c>
      <c r="DX23" s="1566">
        <v>951</v>
      </c>
      <c r="DY23" s="1566">
        <v>314</v>
      </c>
      <c r="DZ23" s="1567">
        <v>3156</v>
      </c>
      <c r="EA23" s="1568">
        <f t="shared" si="28"/>
        <v>7446</v>
      </c>
      <c r="EB23" s="1565">
        <v>0</v>
      </c>
      <c r="EC23" s="1566">
        <v>2092</v>
      </c>
      <c r="ED23" s="1566">
        <v>2034</v>
      </c>
      <c r="EE23" s="1566">
        <v>219</v>
      </c>
      <c r="EF23" s="1566">
        <v>972</v>
      </c>
      <c r="EG23" s="1566">
        <v>508</v>
      </c>
      <c r="EH23" s="1566">
        <v>215</v>
      </c>
      <c r="EI23" s="1566">
        <v>287</v>
      </c>
      <c r="EJ23" s="1566">
        <v>307</v>
      </c>
      <c r="EK23" s="1566">
        <v>223</v>
      </c>
      <c r="EL23" s="1566">
        <v>196</v>
      </c>
      <c r="EM23" s="1567">
        <v>183</v>
      </c>
      <c r="EN23" s="1568">
        <f t="shared" si="29"/>
        <v>7236</v>
      </c>
      <c r="EO23" s="1565">
        <v>0</v>
      </c>
      <c r="EP23" s="1566">
        <v>0</v>
      </c>
      <c r="EQ23" s="1566">
        <v>0</v>
      </c>
      <c r="ER23" s="1566">
        <v>0</v>
      </c>
      <c r="ES23" s="1566">
        <v>13</v>
      </c>
      <c r="ET23" s="1566">
        <v>106</v>
      </c>
      <c r="EU23" s="1566">
        <v>747</v>
      </c>
      <c r="EV23" s="1566">
        <v>99</v>
      </c>
      <c r="EW23" s="1566">
        <v>151</v>
      </c>
      <c r="EX23" s="1566">
        <v>189</v>
      </c>
      <c r="EY23" s="1566">
        <v>775</v>
      </c>
      <c r="EZ23" s="1567">
        <v>4150</v>
      </c>
      <c r="FA23" s="1568">
        <f t="shared" si="30"/>
        <v>6230</v>
      </c>
      <c r="FB23" s="1565">
        <v>0</v>
      </c>
      <c r="FC23" s="1566">
        <v>692</v>
      </c>
      <c r="FD23" s="1566">
        <v>522</v>
      </c>
      <c r="FE23" s="1566">
        <v>95</v>
      </c>
      <c r="FF23" s="1566">
        <v>81</v>
      </c>
      <c r="FG23" s="1566">
        <v>51</v>
      </c>
      <c r="FH23" s="1566">
        <v>390</v>
      </c>
      <c r="FI23" s="1566">
        <v>714</v>
      </c>
      <c r="FJ23" s="1566">
        <v>992</v>
      </c>
      <c r="FK23" s="1566">
        <v>1200</v>
      </c>
      <c r="FL23" s="1566">
        <v>1499</v>
      </c>
      <c r="FM23" s="1567">
        <v>1882</v>
      </c>
      <c r="FN23" s="1568">
        <f t="shared" si="31"/>
        <v>8118</v>
      </c>
      <c r="FO23" s="1565">
        <v>102</v>
      </c>
      <c r="FP23" s="1566">
        <v>136</v>
      </c>
      <c r="FQ23" s="1566">
        <v>689</v>
      </c>
      <c r="FR23" s="1566">
        <v>706</v>
      </c>
      <c r="FS23" s="1566">
        <v>612</v>
      </c>
      <c r="FT23" s="1566">
        <v>904</v>
      </c>
      <c r="FU23" s="1566">
        <v>393</v>
      </c>
      <c r="FV23" s="1566">
        <v>382</v>
      </c>
      <c r="FW23" s="1566">
        <v>271</v>
      </c>
      <c r="FX23" s="1566">
        <v>259</v>
      </c>
      <c r="FY23" s="1566">
        <v>341</v>
      </c>
      <c r="FZ23" s="1567">
        <v>2490</v>
      </c>
      <c r="GA23" s="1568">
        <f t="shared" si="32"/>
        <v>7285</v>
      </c>
      <c r="GB23" s="1565">
        <v>2600</v>
      </c>
      <c r="GC23" s="1566">
        <v>0</v>
      </c>
      <c r="GD23" s="1566">
        <v>188</v>
      </c>
      <c r="GE23" s="1566">
        <v>2</v>
      </c>
      <c r="GF23" s="1566">
        <v>44</v>
      </c>
      <c r="GG23" s="1566">
        <v>818</v>
      </c>
      <c r="GH23" s="1566">
        <v>3113</v>
      </c>
      <c r="GI23" s="1566">
        <v>5293</v>
      </c>
      <c r="GJ23" s="1566">
        <v>791</v>
      </c>
      <c r="GK23" s="1566">
        <v>1399</v>
      </c>
      <c r="GL23" s="1566">
        <v>1901</v>
      </c>
      <c r="GM23" s="1567">
        <v>2432</v>
      </c>
      <c r="GN23" s="1568">
        <f t="shared" si="33"/>
        <v>18581</v>
      </c>
      <c r="GO23" s="1565">
        <v>953</v>
      </c>
      <c r="GP23" s="1566">
        <v>1066</v>
      </c>
      <c r="GQ23" s="1566">
        <v>1646</v>
      </c>
      <c r="GR23" s="1566">
        <v>782</v>
      </c>
      <c r="GS23" s="1566">
        <v>843</v>
      </c>
      <c r="GT23" s="1566">
        <v>1339</v>
      </c>
      <c r="GU23" s="1566">
        <v>700</v>
      </c>
      <c r="GV23" s="1566">
        <v>1543</v>
      </c>
      <c r="GW23" s="1566">
        <v>2036</v>
      </c>
      <c r="GX23" s="1566">
        <v>2350</v>
      </c>
      <c r="GY23" s="1566">
        <v>1704</v>
      </c>
      <c r="GZ23" s="1567">
        <v>3866</v>
      </c>
      <c r="HA23" s="1568">
        <f t="shared" si="34"/>
        <v>18828</v>
      </c>
      <c r="HB23" s="1565">
        <v>2663</v>
      </c>
      <c r="HC23" s="1566">
        <v>4031</v>
      </c>
      <c r="HD23" s="1566">
        <v>1021</v>
      </c>
      <c r="HE23" s="1566">
        <v>2245</v>
      </c>
      <c r="HF23" s="1566">
        <v>2499</v>
      </c>
      <c r="HG23" s="1566">
        <v>4730</v>
      </c>
      <c r="HH23" s="1566">
        <v>5293</v>
      </c>
      <c r="HI23" s="1566">
        <v>6045</v>
      </c>
      <c r="HJ23" s="1566">
        <v>2450</v>
      </c>
      <c r="HK23" s="1566">
        <v>5098</v>
      </c>
      <c r="HL23" s="1566">
        <v>4089</v>
      </c>
      <c r="HM23" s="1567">
        <v>9085</v>
      </c>
      <c r="HN23" s="1568">
        <f t="shared" si="35"/>
        <v>49249</v>
      </c>
      <c r="HO23" s="1565">
        <v>393</v>
      </c>
      <c r="HP23" s="1566">
        <v>3599</v>
      </c>
      <c r="HQ23" s="1566">
        <v>2927</v>
      </c>
      <c r="HR23" s="1566">
        <v>1996</v>
      </c>
      <c r="HS23" s="1566">
        <v>5548</v>
      </c>
      <c r="HT23" s="1566">
        <v>4942</v>
      </c>
      <c r="HU23" s="1566">
        <v>2582</v>
      </c>
      <c r="HV23" s="1566">
        <v>2542</v>
      </c>
      <c r="HW23" s="1566">
        <v>1930</v>
      </c>
      <c r="HX23" s="1566">
        <v>5933</v>
      </c>
      <c r="HY23" s="1566">
        <v>2061</v>
      </c>
      <c r="HZ23" s="1567">
        <v>11605</v>
      </c>
      <c r="IA23" s="1565">
        <f t="shared" si="36"/>
        <v>46058</v>
      </c>
      <c r="IB23" s="1569">
        <v>1650</v>
      </c>
      <c r="IC23" s="1068">
        <v>3409</v>
      </c>
      <c r="ID23" s="1068">
        <v>3148</v>
      </c>
      <c r="IE23" s="1068">
        <v>1351</v>
      </c>
      <c r="IF23" s="1068">
        <v>3278</v>
      </c>
      <c r="IG23" s="1068">
        <v>2532</v>
      </c>
      <c r="IH23" s="1068">
        <v>2322</v>
      </c>
      <c r="II23" s="1068">
        <v>3124</v>
      </c>
      <c r="IJ23" s="1068"/>
      <c r="IK23" s="1068"/>
      <c r="IL23" s="1068"/>
      <c r="IM23" s="1570"/>
      <c r="IN23" s="1571">
        <f t="shared" si="37"/>
        <v>20814</v>
      </c>
      <c r="IP23" s="1656">
        <f t="shared" si="38"/>
        <v>22.895357985837926</v>
      </c>
      <c r="IQ23" s="1656">
        <f t="shared" si="39"/>
        <v>-15.145338171144363</v>
      </c>
      <c r="IR23" s="1657">
        <f t="shared" si="40"/>
        <v>24529</v>
      </c>
      <c r="IS23" s="1657">
        <f t="shared" si="41"/>
        <v>20814</v>
      </c>
      <c r="IT23" s="1658"/>
      <c r="IU23" s="1676">
        <f t="shared" si="42"/>
        <v>582</v>
      </c>
    </row>
    <row r="24" spans="1:264" ht="15" customHeight="1" x14ac:dyDescent="0.2">
      <c r="A24" s="1551" t="s">
        <v>640</v>
      </c>
      <c r="B24" s="1565">
        <v>0</v>
      </c>
      <c r="C24" s="1566">
        <v>0</v>
      </c>
      <c r="D24" s="1566">
        <v>0</v>
      </c>
      <c r="E24" s="1566">
        <v>0</v>
      </c>
      <c r="F24" s="1566">
        <v>0</v>
      </c>
      <c r="G24" s="1566">
        <v>0</v>
      </c>
      <c r="H24" s="1566">
        <v>0</v>
      </c>
      <c r="I24" s="1566">
        <v>0</v>
      </c>
      <c r="J24" s="1566">
        <v>0</v>
      </c>
      <c r="K24" s="1566">
        <v>0</v>
      </c>
      <c r="L24" s="1566">
        <v>0</v>
      </c>
      <c r="M24" s="1567">
        <v>0</v>
      </c>
      <c r="N24" s="1568">
        <f t="shared" si="1"/>
        <v>0</v>
      </c>
      <c r="O24" s="1565">
        <v>0</v>
      </c>
      <c r="P24" s="1566">
        <v>0</v>
      </c>
      <c r="Q24" s="1566">
        <v>0</v>
      </c>
      <c r="R24" s="1566">
        <v>0</v>
      </c>
      <c r="S24" s="1566">
        <v>0</v>
      </c>
      <c r="T24" s="1566">
        <v>0</v>
      </c>
      <c r="U24" s="1566">
        <v>0</v>
      </c>
      <c r="V24" s="1566">
        <v>0</v>
      </c>
      <c r="W24" s="1566">
        <v>0</v>
      </c>
      <c r="X24" s="1566">
        <v>0</v>
      </c>
      <c r="Y24" s="1566">
        <v>0</v>
      </c>
      <c r="Z24" s="1567">
        <v>0</v>
      </c>
      <c r="AA24" s="1568">
        <f t="shared" si="3"/>
        <v>0</v>
      </c>
      <c r="AB24" s="1565">
        <v>0</v>
      </c>
      <c r="AC24" s="1566">
        <v>4</v>
      </c>
      <c r="AD24" s="1566">
        <v>0</v>
      </c>
      <c r="AE24" s="1566">
        <v>0</v>
      </c>
      <c r="AF24" s="1566">
        <v>0</v>
      </c>
      <c r="AG24" s="1566">
        <v>0</v>
      </c>
      <c r="AH24" s="1566">
        <v>0</v>
      </c>
      <c r="AI24" s="1566">
        <v>0</v>
      </c>
      <c r="AJ24" s="1566">
        <v>0</v>
      </c>
      <c r="AK24" s="1566">
        <v>0</v>
      </c>
      <c r="AL24" s="1566">
        <v>0</v>
      </c>
      <c r="AM24" s="1567">
        <v>0</v>
      </c>
      <c r="AN24" s="1568">
        <f t="shared" si="5"/>
        <v>4</v>
      </c>
      <c r="AO24" s="1565">
        <v>0</v>
      </c>
      <c r="AP24" s="1566">
        <v>0</v>
      </c>
      <c r="AQ24" s="1566">
        <v>0</v>
      </c>
      <c r="AR24" s="1566">
        <v>0</v>
      </c>
      <c r="AS24" s="1566">
        <v>0</v>
      </c>
      <c r="AT24" s="1566">
        <v>0</v>
      </c>
      <c r="AU24" s="1566">
        <v>0</v>
      </c>
      <c r="AV24" s="1566">
        <v>0</v>
      </c>
      <c r="AW24" s="1566">
        <v>12</v>
      </c>
      <c r="AX24" s="1566">
        <v>0</v>
      </c>
      <c r="AY24" s="1566">
        <v>0</v>
      </c>
      <c r="AZ24" s="1567">
        <v>0</v>
      </c>
      <c r="BA24" s="1568">
        <f t="shared" si="7"/>
        <v>12</v>
      </c>
      <c r="BB24" s="1565">
        <v>0</v>
      </c>
      <c r="BC24" s="1566"/>
      <c r="BD24" s="1566">
        <v>16</v>
      </c>
      <c r="BE24" s="1566">
        <v>4</v>
      </c>
      <c r="BF24" s="1566">
        <v>6</v>
      </c>
      <c r="BG24" s="1566">
        <v>10</v>
      </c>
      <c r="BH24" s="1566">
        <v>5</v>
      </c>
      <c r="BI24" s="1566">
        <v>3</v>
      </c>
      <c r="BJ24" s="1566">
        <v>1</v>
      </c>
      <c r="BK24" s="1566">
        <v>0</v>
      </c>
      <c r="BL24" s="1566">
        <v>0</v>
      </c>
      <c r="BM24" s="1567">
        <v>4</v>
      </c>
      <c r="BN24" s="1568">
        <f t="shared" si="9"/>
        <v>49</v>
      </c>
      <c r="BO24" s="1565">
        <v>0</v>
      </c>
      <c r="BP24" s="1566">
        <v>1</v>
      </c>
      <c r="BQ24" s="1566">
        <v>0</v>
      </c>
      <c r="BR24" s="1566">
        <v>2</v>
      </c>
      <c r="BS24" s="1566">
        <v>8</v>
      </c>
      <c r="BT24" s="1566">
        <v>5</v>
      </c>
      <c r="BU24" s="1566">
        <v>2</v>
      </c>
      <c r="BV24" s="1566">
        <v>0</v>
      </c>
      <c r="BW24" s="1566">
        <v>51</v>
      </c>
      <c r="BX24" s="1566">
        <v>0</v>
      </c>
      <c r="BY24" s="1566">
        <v>0</v>
      </c>
      <c r="BZ24" s="1567">
        <v>0</v>
      </c>
      <c r="CA24" s="1568">
        <f t="shared" si="11"/>
        <v>69</v>
      </c>
      <c r="CB24" s="1565">
        <v>0</v>
      </c>
      <c r="CC24" s="1566">
        <v>3</v>
      </c>
      <c r="CD24" s="1566">
        <v>15</v>
      </c>
      <c r="CE24" s="1566">
        <v>0.7</v>
      </c>
      <c r="CF24" s="1566">
        <v>0</v>
      </c>
      <c r="CG24" s="1566">
        <v>0</v>
      </c>
      <c r="CH24" s="1566">
        <v>3</v>
      </c>
      <c r="CI24" s="1566">
        <v>0</v>
      </c>
      <c r="CJ24" s="1566">
        <v>0.38</v>
      </c>
      <c r="CK24" s="1566">
        <v>4</v>
      </c>
      <c r="CL24" s="1566">
        <v>4</v>
      </c>
      <c r="CM24" s="1567">
        <v>3</v>
      </c>
      <c r="CN24" s="1568">
        <f t="shared" si="13"/>
        <v>33.08</v>
      </c>
      <c r="CO24" s="1565">
        <v>0</v>
      </c>
      <c r="CP24" s="1566">
        <v>0</v>
      </c>
      <c r="CQ24" s="1566">
        <v>4</v>
      </c>
      <c r="CR24" s="1566">
        <v>0.38</v>
      </c>
      <c r="CS24" s="1566">
        <v>9</v>
      </c>
      <c r="CT24" s="1566">
        <v>1</v>
      </c>
      <c r="CU24" s="1566">
        <v>0</v>
      </c>
      <c r="CV24" s="1566">
        <v>13</v>
      </c>
      <c r="CW24" s="1566">
        <v>8</v>
      </c>
      <c r="CX24" s="1566">
        <v>5</v>
      </c>
      <c r="CY24" s="1566">
        <v>3</v>
      </c>
      <c r="CZ24" s="1567">
        <v>3</v>
      </c>
      <c r="DA24" s="1568">
        <f t="shared" si="15"/>
        <v>46.379999999999995</v>
      </c>
      <c r="DB24" s="1565">
        <v>0</v>
      </c>
      <c r="DC24" s="1566">
        <v>0</v>
      </c>
      <c r="DD24" s="1566">
        <v>20</v>
      </c>
      <c r="DE24" s="1566">
        <v>1</v>
      </c>
      <c r="DF24" s="1566">
        <v>0</v>
      </c>
      <c r="DG24" s="1566">
        <v>5</v>
      </c>
      <c r="DH24" s="1566">
        <v>3</v>
      </c>
      <c r="DI24" s="1566">
        <v>-4</v>
      </c>
      <c r="DJ24" s="1566">
        <v>9</v>
      </c>
      <c r="DK24" s="1566">
        <v>0</v>
      </c>
      <c r="DL24" s="1566">
        <v>0</v>
      </c>
      <c r="DM24" s="1567">
        <v>0</v>
      </c>
      <c r="DN24" s="1568">
        <f t="shared" si="27"/>
        <v>34</v>
      </c>
      <c r="DO24" s="1565">
        <v>0</v>
      </c>
      <c r="DP24" s="1566">
        <v>84</v>
      </c>
      <c r="DQ24" s="1566">
        <v>60</v>
      </c>
      <c r="DR24" s="1566">
        <v>38</v>
      </c>
      <c r="DS24" s="1566">
        <v>56</v>
      </c>
      <c r="DT24" s="1566">
        <v>45</v>
      </c>
      <c r="DU24" s="1566">
        <v>0</v>
      </c>
      <c r="DV24" s="1566">
        <v>35</v>
      </c>
      <c r="DW24" s="1566">
        <v>18</v>
      </c>
      <c r="DX24" s="1566">
        <v>31</v>
      </c>
      <c r="DY24" s="1566">
        <v>91</v>
      </c>
      <c r="DZ24" s="1567">
        <v>30</v>
      </c>
      <c r="EA24" s="1568">
        <f t="shared" si="28"/>
        <v>488</v>
      </c>
      <c r="EB24" s="1565">
        <v>0</v>
      </c>
      <c r="EC24" s="1566">
        <v>0</v>
      </c>
      <c r="ED24" s="1566">
        <v>0</v>
      </c>
      <c r="EE24" s="1566"/>
      <c r="EF24" s="1566">
        <v>0</v>
      </c>
      <c r="EG24" s="1566">
        <v>0</v>
      </c>
      <c r="EH24" s="1566">
        <v>0</v>
      </c>
      <c r="EI24" s="1566">
        <v>0</v>
      </c>
      <c r="EJ24" s="1566">
        <v>0</v>
      </c>
      <c r="EK24" s="1566">
        <v>0</v>
      </c>
      <c r="EL24" s="1566">
        <v>0</v>
      </c>
      <c r="EM24" s="1567">
        <v>0</v>
      </c>
      <c r="EN24" s="1568">
        <f t="shared" si="29"/>
        <v>0</v>
      </c>
      <c r="EO24" s="1565">
        <v>0</v>
      </c>
      <c r="EP24" s="1566">
        <v>0</v>
      </c>
      <c r="EQ24" s="1566">
        <v>0</v>
      </c>
      <c r="ER24" s="1566">
        <v>0</v>
      </c>
      <c r="ES24" s="1566">
        <v>0</v>
      </c>
      <c r="ET24" s="1566">
        <v>0</v>
      </c>
      <c r="EU24" s="1566">
        <v>0</v>
      </c>
      <c r="EV24" s="1566">
        <v>0</v>
      </c>
      <c r="EW24" s="1566">
        <v>0</v>
      </c>
      <c r="EX24" s="1566">
        <v>0</v>
      </c>
      <c r="EY24" s="1566">
        <v>0</v>
      </c>
      <c r="EZ24" s="1567">
        <v>0</v>
      </c>
      <c r="FA24" s="1568">
        <f t="shared" si="30"/>
        <v>0</v>
      </c>
      <c r="FB24" s="1565">
        <v>0</v>
      </c>
      <c r="FC24" s="1566">
        <v>0</v>
      </c>
      <c r="FD24" s="1566">
        <v>0</v>
      </c>
      <c r="FE24" s="1566">
        <v>0</v>
      </c>
      <c r="FF24" s="1566">
        <v>0</v>
      </c>
      <c r="FG24" s="1566">
        <v>0</v>
      </c>
      <c r="FH24" s="1566">
        <v>6</v>
      </c>
      <c r="FI24" s="1566">
        <v>3</v>
      </c>
      <c r="FJ24" s="1566">
        <v>2</v>
      </c>
      <c r="FK24" s="1566">
        <v>1</v>
      </c>
      <c r="FL24" s="1566">
        <v>1</v>
      </c>
      <c r="FM24" s="1567">
        <v>42</v>
      </c>
      <c r="FN24" s="1568">
        <f t="shared" si="31"/>
        <v>55</v>
      </c>
      <c r="FO24" s="1565">
        <v>0</v>
      </c>
      <c r="FP24" s="1566">
        <v>0</v>
      </c>
      <c r="FQ24" s="1566">
        <v>0</v>
      </c>
      <c r="FR24" s="1566">
        <v>0</v>
      </c>
      <c r="FS24" s="1566">
        <v>31</v>
      </c>
      <c r="FT24" s="1566">
        <v>2</v>
      </c>
      <c r="FU24" s="1566">
        <v>0</v>
      </c>
      <c r="FV24" s="1566">
        <v>8</v>
      </c>
      <c r="FW24" s="1566">
        <v>20</v>
      </c>
      <c r="FX24" s="1566">
        <v>0</v>
      </c>
      <c r="FY24" s="1566">
        <v>0</v>
      </c>
      <c r="FZ24" s="1567">
        <v>4</v>
      </c>
      <c r="GA24" s="1568">
        <f t="shared" si="32"/>
        <v>65</v>
      </c>
      <c r="GB24" s="1565">
        <v>0</v>
      </c>
      <c r="GC24" s="1566">
        <v>0</v>
      </c>
      <c r="GD24" s="1566">
        <v>0</v>
      </c>
      <c r="GE24" s="1566">
        <v>0</v>
      </c>
      <c r="GF24" s="1566">
        <v>0</v>
      </c>
      <c r="GG24" s="1566">
        <v>0</v>
      </c>
      <c r="GH24" s="1566">
        <v>1</v>
      </c>
      <c r="GI24" s="1566">
        <v>95</v>
      </c>
      <c r="GJ24" s="1566">
        <v>0</v>
      </c>
      <c r="GK24" s="1566">
        <v>0</v>
      </c>
      <c r="GL24" s="1566">
        <v>2</v>
      </c>
      <c r="GM24" s="1567">
        <v>3</v>
      </c>
      <c r="GN24" s="1568">
        <f t="shared" si="33"/>
        <v>101</v>
      </c>
      <c r="GO24" s="1565">
        <v>0</v>
      </c>
      <c r="GP24" s="1566">
        <v>0</v>
      </c>
      <c r="GQ24" s="1566">
        <v>0</v>
      </c>
      <c r="GR24" s="1566">
        <v>0</v>
      </c>
      <c r="GS24" s="1566">
        <v>0</v>
      </c>
      <c r="GT24" s="1566">
        <v>0</v>
      </c>
      <c r="GU24" s="1566">
        <v>0</v>
      </c>
      <c r="GV24" s="1566">
        <v>15</v>
      </c>
      <c r="GW24" s="1566">
        <v>72</v>
      </c>
      <c r="GX24" s="1566">
        <v>41</v>
      </c>
      <c r="GY24" s="1566">
        <v>241</v>
      </c>
      <c r="GZ24" s="1567">
        <v>122</v>
      </c>
      <c r="HA24" s="1568">
        <f t="shared" si="34"/>
        <v>491</v>
      </c>
      <c r="HB24" s="1565">
        <v>0</v>
      </c>
      <c r="HC24" s="1566">
        <v>0</v>
      </c>
      <c r="HD24" s="1566">
        <v>0</v>
      </c>
      <c r="HE24" s="1566">
        <v>0</v>
      </c>
      <c r="HF24" s="1566">
        <v>28</v>
      </c>
      <c r="HG24" s="1566">
        <v>19</v>
      </c>
      <c r="HH24" s="1566">
        <v>5</v>
      </c>
      <c r="HI24" s="1566">
        <v>0</v>
      </c>
      <c r="HJ24" s="1566">
        <v>1</v>
      </c>
      <c r="HK24" s="1566">
        <v>1</v>
      </c>
      <c r="HL24" s="1566">
        <v>8</v>
      </c>
      <c r="HM24" s="1567">
        <v>84</v>
      </c>
      <c r="HN24" s="1568">
        <f t="shared" si="35"/>
        <v>146</v>
      </c>
      <c r="HO24" s="1565">
        <v>0</v>
      </c>
      <c r="HP24" s="1566">
        <v>0</v>
      </c>
      <c r="HQ24" s="1566">
        <v>0</v>
      </c>
      <c r="HR24" s="1566">
        <v>0</v>
      </c>
      <c r="HS24" s="1566">
        <v>0</v>
      </c>
      <c r="HT24" s="1566">
        <v>0</v>
      </c>
      <c r="HU24" s="1566">
        <v>0</v>
      </c>
      <c r="HV24" s="1566">
        <v>0</v>
      </c>
      <c r="HW24" s="1566">
        <v>0</v>
      </c>
      <c r="HX24" s="1566">
        <v>0</v>
      </c>
      <c r="HY24" s="1566">
        <v>87</v>
      </c>
      <c r="HZ24" s="1567">
        <v>47</v>
      </c>
      <c r="IA24" s="1565">
        <f t="shared" si="36"/>
        <v>134</v>
      </c>
      <c r="IB24" s="1569">
        <v>0</v>
      </c>
      <c r="IC24" s="1068">
        <v>0</v>
      </c>
      <c r="ID24" s="1068">
        <v>0</v>
      </c>
      <c r="IE24" s="1068">
        <v>0</v>
      </c>
      <c r="IF24" s="1068">
        <v>0</v>
      </c>
      <c r="IG24" s="1068">
        <v>5</v>
      </c>
      <c r="IH24" s="1068">
        <v>3</v>
      </c>
      <c r="II24" s="1068">
        <v>5</v>
      </c>
      <c r="IJ24" s="1068"/>
      <c r="IK24" s="1068"/>
      <c r="IL24" s="1068"/>
      <c r="IM24" s="1570"/>
      <c r="IN24" s="1571">
        <f t="shared" si="37"/>
        <v>13</v>
      </c>
      <c r="IP24" s="1656" t="str">
        <f t="shared" si="38"/>
        <v/>
      </c>
      <c r="IQ24" s="1656" t="str">
        <f t="shared" si="39"/>
        <v/>
      </c>
      <c r="IR24" s="1657">
        <f t="shared" si="40"/>
        <v>0</v>
      </c>
      <c r="IS24" s="1657">
        <f t="shared" si="41"/>
        <v>13</v>
      </c>
      <c r="IT24" s="1658"/>
      <c r="IU24" s="221">
        <f t="shared" si="42"/>
        <v>5</v>
      </c>
    </row>
    <row r="25" spans="1:264" ht="15" customHeight="1" x14ac:dyDescent="0.2">
      <c r="A25" s="1551" t="s">
        <v>641</v>
      </c>
      <c r="B25" s="1565">
        <v>384</v>
      </c>
      <c r="C25" s="1566">
        <v>773</v>
      </c>
      <c r="D25" s="1566">
        <v>829</v>
      </c>
      <c r="E25" s="1566">
        <v>950</v>
      </c>
      <c r="F25" s="1566">
        <v>743</v>
      </c>
      <c r="G25" s="1566">
        <v>5101</v>
      </c>
      <c r="H25" s="1566">
        <v>4758</v>
      </c>
      <c r="I25" s="1566">
        <v>5766</v>
      </c>
      <c r="J25" s="1566">
        <v>2298</v>
      </c>
      <c r="K25" s="1566">
        <v>1893</v>
      </c>
      <c r="L25" s="1566">
        <v>4927</v>
      </c>
      <c r="M25" s="1567">
        <v>71507</v>
      </c>
      <c r="N25" s="1568">
        <f t="shared" si="1"/>
        <v>99929</v>
      </c>
      <c r="O25" s="1565">
        <v>2571</v>
      </c>
      <c r="P25" s="1566">
        <v>3324</v>
      </c>
      <c r="Q25" s="1566">
        <v>5045</v>
      </c>
      <c r="R25" s="1566">
        <v>26872</v>
      </c>
      <c r="S25" s="1566">
        <v>6431</v>
      </c>
      <c r="T25" s="1566">
        <v>6601</v>
      </c>
      <c r="U25" s="1566">
        <v>9265</v>
      </c>
      <c r="V25" s="1566">
        <v>9196</v>
      </c>
      <c r="W25" s="1566">
        <v>8612</v>
      </c>
      <c r="X25" s="1566">
        <v>9191</v>
      </c>
      <c r="Y25" s="1566">
        <v>12009</v>
      </c>
      <c r="Z25" s="1567">
        <v>27868</v>
      </c>
      <c r="AA25" s="1568">
        <f t="shared" si="3"/>
        <v>126985</v>
      </c>
      <c r="AB25" s="1565">
        <v>835</v>
      </c>
      <c r="AC25" s="1566">
        <v>16264</v>
      </c>
      <c r="AD25" s="1566">
        <v>6042</v>
      </c>
      <c r="AE25" s="1566">
        <v>4470</v>
      </c>
      <c r="AF25" s="1566">
        <f>13220</f>
        <v>13220</v>
      </c>
      <c r="AG25" s="1566">
        <f>14409</f>
        <v>14409</v>
      </c>
      <c r="AH25" s="1566">
        <v>9765</v>
      </c>
      <c r="AI25" s="1566">
        <v>7239</v>
      </c>
      <c r="AJ25" s="1566">
        <v>5670</v>
      </c>
      <c r="AK25" s="1566">
        <v>6286</v>
      </c>
      <c r="AL25" s="1566">
        <v>5753</v>
      </c>
      <c r="AM25" s="1567">
        <v>10878</v>
      </c>
      <c r="AN25" s="1568">
        <f t="shared" si="5"/>
        <v>100831</v>
      </c>
      <c r="AO25" s="1565">
        <v>11418</v>
      </c>
      <c r="AP25" s="1566">
        <v>4067</v>
      </c>
      <c r="AQ25" s="1566">
        <v>15686</v>
      </c>
      <c r="AR25" s="1566">
        <v>1943</v>
      </c>
      <c r="AS25" s="1566">
        <v>7280</v>
      </c>
      <c r="AT25" s="1566">
        <v>11634</v>
      </c>
      <c r="AU25" s="1566">
        <v>1338</v>
      </c>
      <c r="AV25" s="1566">
        <v>22630</v>
      </c>
      <c r="AW25" s="1566">
        <v>15857</v>
      </c>
      <c r="AX25" s="1566">
        <v>9665</v>
      </c>
      <c r="AY25" s="1566">
        <v>9200</v>
      </c>
      <c r="AZ25" s="1567">
        <v>6916</v>
      </c>
      <c r="BA25" s="1568">
        <f t="shared" si="7"/>
        <v>117634</v>
      </c>
      <c r="BB25" s="1565">
        <v>3372</v>
      </c>
      <c r="BC25" s="1566">
        <v>1706</v>
      </c>
      <c r="BD25" s="1566">
        <v>2408</v>
      </c>
      <c r="BE25" s="1566">
        <v>1843</v>
      </c>
      <c r="BF25" s="1566">
        <v>1671</v>
      </c>
      <c r="BG25" s="1566">
        <v>3066</v>
      </c>
      <c r="BH25" s="1566">
        <v>1747</v>
      </c>
      <c r="BI25" s="1566">
        <v>3322</v>
      </c>
      <c r="BJ25" s="1566">
        <v>2919</v>
      </c>
      <c r="BK25" s="1566">
        <v>38422</v>
      </c>
      <c r="BL25" s="1566">
        <v>36617</v>
      </c>
      <c r="BM25" s="1567">
        <v>8037</v>
      </c>
      <c r="BN25" s="1568">
        <f t="shared" si="9"/>
        <v>105130</v>
      </c>
      <c r="BO25" s="1565">
        <v>1542</v>
      </c>
      <c r="BP25" s="1566">
        <v>4987</v>
      </c>
      <c r="BQ25" s="1566">
        <v>3876</v>
      </c>
      <c r="BR25" s="1566">
        <v>18825</v>
      </c>
      <c r="BS25" s="1566">
        <v>11866</v>
      </c>
      <c r="BT25" s="1566">
        <v>21304</v>
      </c>
      <c r="BU25" s="1566">
        <v>-6674</v>
      </c>
      <c r="BV25" s="1566">
        <v>10326</v>
      </c>
      <c r="BW25" s="1566">
        <v>10071</v>
      </c>
      <c r="BX25" s="1566">
        <v>11675</v>
      </c>
      <c r="BY25" s="1566">
        <v>12185</v>
      </c>
      <c r="BZ25" s="1567">
        <v>4469</v>
      </c>
      <c r="CA25" s="1568">
        <f t="shared" si="11"/>
        <v>104452</v>
      </c>
      <c r="CB25" s="1565">
        <v>31464</v>
      </c>
      <c r="CC25" s="1566">
        <v>11415</v>
      </c>
      <c r="CD25" s="1566">
        <v>7860</v>
      </c>
      <c r="CE25" s="1566">
        <v>5017</v>
      </c>
      <c r="CF25" s="1566">
        <v>8212</v>
      </c>
      <c r="CG25" s="1566">
        <v>61892</v>
      </c>
      <c r="CH25" s="1566">
        <v>2970</v>
      </c>
      <c r="CI25" s="1566">
        <v>5158</v>
      </c>
      <c r="CJ25" s="1566">
        <v>6362</v>
      </c>
      <c r="CK25" s="1566">
        <v>2666</v>
      </c>
      <c r="CL25" s="1566">
        <v>20827</v>
      </c>
      <c r="CM25" s="1567">
        <v>28619</v>
      </c>
      <c r="CN25" s="1568">
        <f t="shared" si="13"/>
        <v>192462</v>
      </c>
      <c r="CO25" s="1565">
        <v>7120</v>
      </c>
      <c r="CP25" s="1566">
        <v>840</v>
      </c>
      <c r="CQ25" s="1566">
        <v>2050</v>
      </c>
      <c r="CR25" s="1566">
        <v>53515</v>
      </c>
      <c r="CS25" s="1566">
        <v>-9009</v>
      </c>
      <c r="CT25" s="1566">
        <v>2279</v>
      </c>
      <c r="CU25" s="1566">
        <v>8278</v>
      </c>
      <c r="CV25" s="1566">
        <v>34722</v>
      </c>
      <c r="CW25" s="1566">
        <v>36090</v>
      </c>
      <c r="CX25" s="1566">
        <v>27200</v>
      </c>
      <c r="CY25" s="1566">
        <v>29936</v>
      </c>
      <c r="CZ25" s="1567">
        <v>76292</v>
      </c>
      <c r="DA25" s="1568">
        <f t="shared" si="15"/>
        <v>269313</v>
      </c>
      <c r="DB25" s="1565">
        <v>178</v>
      </c>
      <c r="DC25" s="1566">
        <v>7618</v>
      </c>
      <c r="DD25" s="1566">
        <v>10882</v>
      </c>
      <c r="DE25" s="1566">
        <v>15518</v>
      </c>
      <c r="DF25" s="1566">
        <v>12972</v>
      </c>
      <c r="DG25" s="1566">
        <v>16856</v>
      </c>
      <c r="DH25" s="1566">
        <v>13568</v>
      </c>
      <c r="DI25" s="1566">
        <v>11031</v>
      </c>
      <c r="DJ25" s="1566">
        <v>14841</v>
      </c>
      <c r="DK25" s="1566">
        <v>2114</v>
      </c>
      <c r="DL25" s="1566">
        <v>6148</v>
      </c>
      <c r="DM25" s="1567">
        <v>38241</v>
      </c>
      <c r="DN25" s="1568">
        <f t="shared" si="27"/>
        <v>149967</v>
      </c>
      <c r="DO25" s="1565">
        <v>234</v>
      </c>
      <c r="DP25" s="1566">
        <v>2943</v>
      </c>
      <c r="DQ25" s="1566">
        <v>9907</v>
      </c>
      <c r="DR25" s="1566">
        <v>2853</v>
      </c>
      <c r="DS25" s="1566">
        <v>5918</v>
      </c>
      <c r="DT25" s="1566">
        <v>4463</v>
      </c>
      <c r="DU25" s="1566">
        <v>5991</v>
      </c>
      <c r="DV25" s="1566">
        <v>8090</v>
      </c>
      <c r="DW25" s="1566">
        <v>5752</v>
      </c>
      <c r="DX25" s="1566">
        <v>9082</v>
      </c>
      <c r="DY25" s="1566">
        <v>8468</v>
      </c>
      <c r="DZ25" s="1567">
        <v>13372</v>
      </c>
      <c r="EA25" s="1568">
        <f t="shared" si="28"/>
        <v>77073</v>
      </c>
      <c r="EB25" s="1565">
        <v>297</v>
      </c>
      <c r="EC25" s="1566">
        <v>1611</v>
      </c>
      <c r="ED25" s="1566">
        <v>1253</v>
      </c>
      <c r="EE25" s="1566">
        <v>1152</v>
      </c>
      <c r="EF25" s="1566">
        <v>1360</v>
      </c>
      <c r="EG25" s="1566">
        <v>7028</v>
      </c>
      <c r="EH25" s="1566">
        <v>4909</v>
      </c>
      <c r="EI25" s="1566">
        <v>4646</v>
      </c>
      <c r="EJ25" s="1566">
        <v>3472</v>
      </c>
      <c r="EK25" s="1566">
        <v>4567</v>
      </c>
      <c r="EL25" s="1566">
        <v>7116</v>
      </c>
      <c r="EM25" s="1567">
        <v>7229</v>
      </c>
      <c r="EN25" s="1568">
        <f t="shared" si="29"/>
        <v>44640</v>
      </c>
      <c r="EO25" s="1565">
        <v>301</v>
      </c>
      <c r="EP25" s="1566">
        <v>876</v>
      </c>
      <c r="EQ25" s="1566">
        <v>3049</v>
      </c>
      <c r="ER25" s="1566">
        <v>1294</v>
      </c>
      <c r="ES25" s="1566">
        <v>1599</v>
      </c>
      <c r="ET25" s="1566">
        <v>1914</v>
      </c>
      <c r="EU25" s="1566">
        <v>2213</v>
      </c>
      <c r="EV25" s="1566">
        <v>1449</v>
      </c>
      <c r="EW25" s="1566">
        <v>3134</v>
      </c>
      <c r="EX25" s="1566">
        <v>1948</v>
      </c>
      <c r="EY25" s="1566">
        <v>1690</v>
      </c>
      <c r="EZ25" s="1567">
        <v>6639</v>
      </c>
      <c r="FA25" s="1568">
        <f t="shared" si="30"/>
        <v>26106</v>
      </c>
      <c r="FB25" s="1565">
        <v>4022</v>
      </c>
      <c r="FC25" s="1566">
        <v>4816</v>
      </c>
      <c r="FD25" s="1566">
        <v>1208</v>
      </c>
      <c r="FE25" s="1566">
        <v>218</v>
      </c>
      <c r="FF25" s="1566">
        <v>644</v>
      </c>
      <c r="FG25" s="1566">
        <v>242</v>
      </c>
      <c r="FH25" s="1566">
        <v>56</v>
      </c>
      <c r="FI25" s="1566">
        <v>1145</v>
      </c>
      <c r="FJ25" s="1566">
        <v>1997</v>
      </c>
      <c r="FK25" s="1566">
        <v>11744</v>
      </c>
      <c r="FL25" s="1566">
        <v>13395</v>
      </c>
      <c r="FM25" s="1567">
        <v>20479</v>
      </c>
      <c r="FN25" s="1568">
        <f t="shared" si="31"/>
        <v>59966</v>
      </c>
      <c r="FO25" s="1565">
        <v>9678</v>
      </c>
      <c r="FP25" s="1566">
        <v>5681</v>
      </c>
      <c r="FQ25" s="1566">
        <v>4077</v>
      </c>
      <c r="FR25" s="1566">
        <v>3334</v>
      </c>
      <c r="FS25" s="1566">
        <v>5777</v>
      </c>
      <c r="FT25" s="1566">
        <v>10241</v>
      </c>
      <c r="FU25" s="1566">
        <v>8946</v>
      </c>
      <c r="FV25" s="1566">
        <v>6465</v>
      </c>
      <c r="FW25" s="1566">
        <v>5456</v>
      </c>
      <c r="FX25" s="1566">
        <v>7487</v>
      </c>
      <c r="FY25" s="1566">
        <v>5675</v>
      </c>
      <c r="FZ25" s="1567">
        <v>10315</v>
      </c>
      <c r="GA25" s="1568">
        <f t="shared" si="32"/>
        <v>83132</v>
      </c>
      <c r="GB25" s="1565">
        <v>5409</v>
      </c>
      <c r="GC25" s="1566">
        <v>3676</v>
      </c>
      <c r="GD25" s="1566">
        <v>9364</v>
      </c>
      <c r="GE25" s="1566">
        <v>6387</v>
      </c>
      <c r="GF25" s="1566">
        <v>20330</v>
      </c>
      <c r="GG25" s="1566">
        <v>18465</v>
      </c>
      <c r="GH25" s="1566">
        <v>18420</v>
      </c>
      <c r="GI25" s="1566">
        <v>15443</v>
      </c>
      <c r="GJ25" s="1566">
        <v>22595</v>
      </c>
      <c r="GK25" s="1566">
        <v>29161</v>
      </c>
      <c r="GL25" s="1566">
        <v>32897</v>
      </c>
      <c r="GM25" s="1567">
        <v>36306</v>
      </c>
      <c r="GN25" s="1568">
        <f t="shared" si="33"/>
        <v>218453</v>
      </c>
      <c r="GO25" s="1565">
        <v>2405</v>
      </c>
      <c r="GP25" s="1566">
        <v>11478</v>
      </c>
      <c r="GQ25" s="1566">
        <v>18385</v>
      </c>
      <c r="GR25" s="1566">
        <v>8794</v>
      </c>
      <c r="GS25" s="1566">
        <v>12001</v>
      </c>
      <c r="GT25" s="1566">
        <v>11629</v>
      </c>
      <c r="GU25" s="1566">
        <v>33760</v>
      </c>
      <c r="GV25" s="1566">
        <v>14731</v>
      </c>
      <c r="GW25" s="1566">
        <v>20641</v>
      </c>
      <c r="GX25" s="1566">
        <v>18333</v>
      </c>
      <c r="GY25" s="1566">
        <v>27355</v>
      </c>
      <c r="GZ25" s="1567">
        <v>44389</v>
      </c>
      <c r="HA25" s="1568">
        <f t="shared" si="34"/>
        <v>223901</v>
      </c>
      <c r="HB25" s="1565">
        <v>13872</v>
      </c>
      <c r="HC25" s="1566">
        <v>9008</v>
      </c>
      <c r="HD25" s="1566">
        <v>11052</v>
      </c>
      <c r="HE25" s="1566">
        <v>15664</v>
      </c>
      <c r="HF25" s="1566">
        <v>20107</v>
      </c>
      <c r="HG25" s="1566">
        <v>17947</v>
      </c>
      <c r="HH25" s="1566">
        <v>20367</v>
      </c>
      <c r="HI25" s="1566">
        <v>15777</v>
      </c>
      <c r="HJ25" s="1566">
        <v>10988</v>
      </c>
      <c r="HK25" s="1566">
        <v>14125</v>
      </c>
      <c r="HL25" s="1566">
        <v>10588</v>
      </c>
      <c r="HM25" s="1567">
        <v>34382</v>
      </c>
      <c r="HN25" s="1568">
        <f t="shared" si="35"/>
        <v>193877</v>
      </c>
      <c r="HO25" s="1565">
        <v>863</v>
      </c>
      <c r="HP25" s="1566">
        <v>37168</v>
      </c>
      <c r="HQ25" s="1566">
        <v>13329</v>
      </c>
      <c r="HR25" s="1566">
        <v>43804</v>
      </c>
      <c r="HS25" s="1566">
        <v>24262</v>
      </c>
      <c r="HT25" s="1566">
        <v>8236</v>
      </c>
      <c r="HU25" s="1566">
        <v>15443</v>
      </c>
      <c r="HV25" s="1566">
        <v>18616</v>
      </c>
      <c r="HW25" s="1566">
        <v>20043</v>
      </c>
      <c r="HX25" s="1566">
        <v>14938</v>
      </c>
      <c r="HY25" s="1566">
        <v>19306</v>
      </c>
      <c r="HZ25" s="1567">
        <v>26713</v>
      </c>
      <c r="IA25" s="1565">
        <f t="shared" si="36"/>
        <v>242721</v>
      </c>
      <c r="IB25" s="1569">
        <v>30704</v>
      </c>
      <c r="IC25" s="1068">
        <v>11201</v>
      </c>
      <c r="ID25" s="1068">
        <v>16829</v>
      </c>
      <c r="IE25" s="1068">
        <v>12667</v>
      </c>
      <c r="IF25" s="1068">
        <v>14690</v>
      </c>
      <c r="IG25" s="1068">
        <v>24318</v>
      </c>
      <c r="IH25" s="1068">
        <v>43398</v>
      </c>
      <c r="II25" s="1068">
        <v>41969</v>
      </c>
      <c r="IJ25" s="1068"/>
      <c r="IK25" s="1068"/>
      <c r="IL25" s="1068"/>
      <c r="IM25" s="1570"/>
      <c r="IN25" s="1571">
        <f t="shared" si="37"/>
        <v>195776</v>
      </c>
      <c r="IP25" s="1656">
        <f t="shared" si="38"/>
        <v>125.44585302965191</v>
      </c>
      <c r="IQ25" s="1656">
        <f t="shared" si="39"/>
        <v>21.057871272129169</v>
      </c>
      <c r="IR25" s="1657">
        <f t="shared" si="40"/>
        <v>161721</v>
      </c>
      <c r="IS25" s="1657">
        <f t="shared" si="41"/>
        <v>195776</v>
      </c>
      <c r="IT25" s="1658"/>
      <c r="IU25" s="1676">
        <f t="shared" si="42"/>
        <v>23353</v>
      </c>
    </row>
    <row r="26" spans="1:264" ht="15" customHeight="1" x14ac:dyDescent="0.2">
      <c r="A26" s="1551" t="s">
        <v>642</v>
      </c>
      <c r="B26" s="1565">
        <v>0</v>
      </c>
      <c r="C26" s="1566">
        <v>0</v>
      </c>
      <c r="D26" s="1566">
        <v>0</v>
      </c>
      <c r="E26" s="1566">
        <v>0</v>
      </c>
      <c r="F26" s="1566">
        <v>0</v>
      </c>
      <c r="G26" s="1566">
        <v>0</v>
      </c>
      <c r="H26" s="1566">
        <v>0</v>
      </c>
      <c r="I26" s="1566">
        <v>0</v>
      </c>
      <c r="J26" s="1566">
        <v>0</v>
      </c>
      <c r="K26" s="1566">
        <v>0</v>
      </c>
      <c r="L26" s="1566">
        <v>0</v>
      </c>
      <c r="M26" s="1567">
        <v>0</v>
      </c>
      <c r="N26" s="1568">
        <f t="shared" si="1"/>
        <v>0</v>
      </c>
      <c r="O26" s="1565">
        <v>0</v>
      </c>
      <c r="P26" s="1566">
        <v>0</v>
      </c>
      <c r="Q26" s="1566">
        <v>0</v>
      </c>
      <c r="R26" s="1566">
        <v>0</v>
      </c>
      <c r="S26" s="1566">
        <v>0</v>
      </c>
      <c r="T26" s="1566">
        <v>0</v>
      </c>
      <c r="U26" s="1566">
        <v>0</v>
      </c>
      <c r="V26" s="1566">
        <v>0</v>
      </c>
      <c r="W26" s="1566">
        <v>0</v>
      </c>
      <c r="X26" s="1566">
        <v>0</v>
      </c>
      <c r="Y26" s="1566">
        <v>0</v>
      </c>
      <c r="Z26" s="1567">
        <v>0</v>
      </c>
      <c r="AA26" s="1568">
        <f t="shared" si="3"/>
        <v>0</v>
      </c>
      <c r="AB26" s="1565">
        <v>0</v>
      </c>
      <c r="AC26" s="1566">
        <v>0</v>
      </c>
      <c r="AD26" s="1566">
        <v>0</v>
      </c>
      <c r="AE26" s="1566">
        <v>0</v>
      </c>
      <c r="AF26" s="1566">
        <v>31</v>
      </c>
      <c r="AG26" s="1566">
        <v>2</v>
      </c>
      <c r="AH26" s="1566">
        <v>0</v>
      </c>
      <c r="AI26" s="1566">
        <v>0</v>
      </c>
      <c r="AJ26" s="1566">
        <v>0</v>
      </c>
      <c r="AK26" s="1566">
        <v>0</v>
      </c>
      <c r="AL26" s="1566">
        <v>0</v>
      </c>
      <c r="AM26" s="1567">
        <v>35</v>
      </c>
      <c r="AN26" s="1568">
        <f t="shared" si="5"/>
        <v>68</v>
      </c>
      <c r="AO26" s="1565">
        <v>0</v>
      </c>
      <c r="AP26" s="1566">
        <v>0</v>
      </c>
      <c r="AQ26" s="1566">
        <v>0</v>
      </c>
      <c r="AR26" s="1566">
        <v>0</v>
      </c>
      <c r="AS26" s="1566">
        <v>0</v>
      </c>
      <c r="AT26" s="1566">
        <v>75</v>
      </c>
      <c r="AU26" s="1566">
        <v>0</v>
      </c>
      <c r="AV26" s="1566">
        <v>0</v>
      </c>
      <c r="AW26" s="1566">
        <v>0</v>
      </c>
      <c r="AX26" s="1566">
        <v>0</v>
      </c>
      <c r="AY26" s="1566">
        <v>0</v>
      </c>
      <c r="AZ26" s="1567">
        <v>39</v>
      </c>
      <c r="BA26" s="1568">
        <f t="shared" si="7"/>
        <v>114</v>
      </c>
      <c r="BB26" s="1565">
        <v>0</v>
      </c>
      <c r="BC26" s="1566">
        <v>244</v>
      </c>
      <c r="BD26" s="1566">
        <v>0</v>
      </c>
      <c r="BE26" s="1566">
        <v>0</v>
      </c>
      <c r="BF26" s="1566">
        <v>0</v>
      </c>
      <c r="BG26" s="1566">
        <v>0</v>
      </c>
      <c r="BH26" s="1566">
        <v>0</v>
      </c>
      <c r="BI26" s="1566">
        <v>0</v>
      </c>
      <c r="BJ26" s="1566">
        <v>0</v>
      </c>
      <c r="BK26" s="1566">
        <v>0</v>
      </c>
      <c r="BL26" s="1566">
        <v>0</v>
      </c>
      <c r="BM26" s="1567">
        <v>0</v>
      </c>
      <c r="BN26" s="1568">
        <f t="shared" si="9"/>
        <v>244</v>
      </c>
      <c r="BO26" s="1565">
        <v>0</v>
      </c>
      <c r="BP26" s="1566">
        <v>0</v>
      </c>
      <c r="BQ26" s="1566">
        <v>0</v>
      </c>
      <c r="BR26" s="1566">
        <v>0</v>
      </c>
      <c r="BS26" s="1566">
        <v>0</v>
      </c>
      <c r="BT26" s="1566">
        <v>0</v>
      </c>
      <c r="BU26" s="1566">
        <v>0</v>
      </c>
      <c r="BV26" s="1566">
        <v>0</v>
      </c>
      <c r="BW26" s="1566">
        <v>283</v>
      </c>
      <c r="BX26" s="1566">
        <v>6</v>
      </c>
      <c r="BY26" s="1566">
        <v>211</v>
      </c>
      <c r="BZ26" s="1567">
        <v>19</v>
      </c>
      <c r="CA26" s="1568">
        <f t="shared" si="11"/>
        <v>519</v>
      </c>
      <c r="CB26" s="1565">
        <v>0</v>
      </c>
      <c r="CC26" s="1566">
        <v>0</v>
      </c>
      <c r="CD26" s="1566">
        <v>0</v>
      </c>
      <c r="CE26" s="1566">
        <v>0</v>
      </c>
      <c r="CF26" s="1566">
        <v>0</v>
      </c>
      <c r="CG26" s="1566">
        <v>5</v>
      </c>
      <c r="CH26" s="1566">
        <v>-5</v>
      </c>
      <c r="CI26" s="1566">
        <v>42</v>
      </c>
      <c r="CJ26" s="1566">
        <v>4</v>
      </c>
      <c r="CK26" s="1566">
        <v>-24</v>
      </c>
      <c r="CL26" s="1566">
        <v>240</v>
      </c>
      <c r="CM26" s="1567">
        <v>49</v>
      </c>
      <c r="CN26" s="1568">
        <f t="shared" si="13"/>
        <v>311</v>
      </c>
      <c r="CO26" s="1565">
        <v>0</v>
      </c>
      <c r="CP26" s="1566">
        <v>0</v>
      </c>
      <c r="CQ26" s="1566">
        <v>0</v>
      </c>
      <c r="CR26" s="1566">
        <v>0</v>
      </c>
      <c r="CS26" s="1566">
        <v>1</v>
      </c>
      <c r="CT26" s="1566">
        <v>5</v>
      </c>
      <c r="CU26" s="1566">
        <v>7</v>
      </c>
      <c r="CV26" s="1566">
        <v>65</v>
      </c>
      <c r="CW26" s="1566">
        <v>33</v>
      </c>
      <c r="CX26" s="1566">
        <v>1</v>
      </c>
      <c r="CY26" s="1566">
        <v>10</v>
      </c>
      <c r="CZ26" s="1567">
        <v>23</v>
      </c>
      <c r="DA26" s="1568">
        <f t="shared" si="15"/>
        <v>145</v>
      </c>
      <c r="DB26" s="1565">
        <v>0</v>
      </c>
      <c r="DC26" s="1566">
        <v>0</v>
      </c>
      <c r="DD26" s="1566">
        <v>0</v>
      </c>
      <c r="DE26" s="1566">
        <v>0</v>
      </c>
      <c r="DF26" s="1566">
        <v>0</v>
      </c>
      <c r="DG26" s="1566">
        <v>0</v>
      </c>
      <c r="DH26" s="1566">
        <v>0</v>
      </c>
      <c r="DI26" s="1566">
        <v>0</v>
      </c>
      <c r="DJ26" s="1566">
        <v>0</v>
      </c>
      <c r="DK26" s="1566">
        <v>0</v>
      </c>
      <c r="DL26" s="1566">
        <v>0</v>
      </c>
      <c r="DM26" s="1567">
        <v>0</v>
      </c>
      <c r="DN26" s="1568">
        <f t="shared" si="27"/>
        <v>0</v>
      </c>
      <c r="DO26" s="1565">
        <v>0</v>
      </c>
      <c r="DP26" s="1566">
        <v>0</v>
      </c>
      <c r="DQ26" s="1566">
        <v>0</v>
      </c>
      <c r="DR26" s="1566">
        <v>0</v>
      </c>
      <c r="DS26" s="1566">
        <v>3</v>
      </c>
      <c r="DT26" s="1566">
        <v>0</v>
      </c>
      <c r="DU26" s="1566">
        <v>3</v>
      </c>
      <c r="DV26" s="1566">
        <v>17</v>
      </c>
      <c r="DW26" s="1566">
        <v>0</v>
      </c>
      <c r="DX26" s="1566">
        <v>1</v>
      </c>
      <c r="DY26" s="1566">
        <v>8</v>
      </c>
      <c r="DZ26" s="1567">
        <v>9</v>
      </c>
      <c r="EA26" s="1568">
        <f t="shared" si="28"/>
        <v>41</v>
      </c>
      <c r="EB26" s="1565">
        <v>0</v>
      </c>
      <c r="EC26" s="1566">
        <v>0</v>
      </c>
      <c r="ED26" s="1566">
        <v>0</v>
      </c>
      <c r="EE26" s="1566">
        <v>0</v>
      </c>
      <c r="EF26" s="1566">
        <v>0</v>
      </c>
      <c r="EG26" s="1566">
        <v>12</v>
      </c>
      <c r="EH26" s="1566">
        <v>13</v>
      </c>
      <c r="EI26" s="1566">
        <v>13</v>
      </c>
      <c r="EJ26" s="1566">
        <v>1</v>
      </c>
      <c r="EK26" s="1566">
        <v>70</v>
      </c>
      <c r="EL26" s="1566">
        <v>14</v>
      </c>
      <c r="EM26" s="1567">
        <v>0</v>
      </c>
      <c r="EN26" s="1568">
        <f t="shared" si="29"/>
        <v>123</v>
      </c>
      <c r="EO26" s="1565">
        <v>0</v>
      </c>
      <c r="EP26" s="1566">
        <v>0</v>
      </c>
      <c r="EQ26" s="1566">
        <v>0</v>
      </c>
      <c r="ER26" s="1566">
        <v>0</v>
      </c>
      <c r="ES26" s="1566">
        <v>0</v>
      </c>
      <c r="ET26" s="1566">
        <v>0</v>
      </c>
      <c r="EU26" s="1566">
        <v>2</v>
      </c>
      <c r="EV26" s="1566">
        <v>22</v>
      </c>
      <c r="EW26" s="1566">
        <v>9</v>
      </c>
      <c r="EX26" s="1566">
        <v>2</v>
      </c>
      <c r="EY26" s="1566">
        <v>23</v>
      </c>
      <c r="EZ26" s="1567">
        <v>15</v>
      </c>
      <c r="FA26" s="1568">
        <f t="shared" si="30"/>
        <v>73</v>
      </c>
      <c r="FB26" s="1565">
        <v>0</v>
      </c>
      <c r="FC26" s="1566">
        <v>0</v>
      </c>
      <c r="FD26" s="1566">
        <v>0</v>
      </c>
      <c r="FE26" s="1566">
        <v>0</v>
      </c>
      <c r="FF26" s="1566">
        <v>0</v>
      </c>
      <c r="FG26" s="1566">
        <v>3</v>
      </c>
      <c r="FH26" s="1566">
        <v>0</v>
      </c>
      <c r="FI26" s="1566">
        <v>5</v>
      </c>
      <c r="FJ26" s="1566">
        <v>1</v>
      </c>
      <c r="FK26" s="1566">
        <v>9</v>
      </c>
      <c r="FL26" s="1566">
        <v>7</v>
      </c>
      <c r="FM26" s="1567">
        <v>39</v>
      </c>
      <c r="FN26" s="1568">
        <f t="shared" si="31"/>
        <v>64</v>
      </c>
      <c r="FO26" s="1565">
        <v>0</v>
      </c>
      <c r="FP26" s="1566">
        <v>0</v>
      </c>
      <c r="FQ26" s="1566">
        <v>0</v>
      </c>
      <c r="FR26" s="1566">
        <v>0</v>
      </c>
      <c r="FS26" s="1566">
        <v>0</v>
      </c>
      <c r="FT26" s="1566">
        <v>0</v>
      </c>
      <c r="FU26" s="1566">
        <v>0</v>
      </c>
      <c r="FV26" s="1566">
        <v>0</v>
      </c>
      <c r="FW26" s="1566">
        <v>4</v>
      </c>
      <c r="FX26" s="1566">
        <v>16</v>
      </c>
      <c r="FY26" s="1566">
        <v>4</v>
      </c>
      <c r="FZ26" s="1567">
        <v>1</v>
      </c>
      <c r="GA26" s="1568">
        <f t="shared" si="32"/>
        <v>25</v>
      </c>
      <c r="GB26" s="1565">
        <v>0</v>
      </c>
      <c r="GC26" s="1566">
        <v>0</v>
      </c>
      <c r="GD26" s="1566">
        <v>0</v>
      </c>
      <c r="GE26" s="1566">
        <v>0</v>
      </c>
      <c r="GF26" s="1566">
        <v>0</v>
      </c>
      <c r="GG26" s="1566">
        <v>0</v>
      </c>
      <c r="GH26" s="1566">
        <v>0</v>
      </c>
      <c r="GI26" s="1566">
        <v>0</v>
      </c>
      <c r="GJ26" s="1566">
        <v>0</v>
      </c>
      <c r="GK26" s="1566">
        <v>0</v>
      </c>
      <c r="GL26" s="1566">
        <v>0</v>
      </c>
      <c r="GM26" s="1567">
        <v>0</v>
      </c>
      <c r="GN26" s="1568">
        <f t="shared" si="33"/>
        <v>0</v>
      </c>
      <c r="GO26" s="1565">
        <v>0</v>
      </c>
      <c r="GP26" s="1566">
        <v>0</v>
      </c>
      <c r="GQ26" s="1566">
        <v>0</v>
      </c>
      <c r="GR26" s="1566">
        <v>0</v>
      </c>
      <c r="GS26" s="1566">
        <v>0</v>
      </c>
      <c r="GT26" s="1566">
        <v>0</v>
      </c>
      <c r="GU26" s="1566">
        <v>0</v>
      </c>
      <c r="GV26" s="1566">
        <v>0</v>
      </c>
      <c r="GW26" s="1566">
        <v>0</v>
      </c>
      <c r="GX26" s="1566">
        <v>0</v>
      </c>
      <c r="GY26" s="1566">
        <v>0</v>
      </c>
      <c r="GZ26" s="1567">
        <v>0</v>
      </c>
      <c r="HA26" s="1568">
        <f t="shared" si="34"/>
        <v>0</v>
      </c>
      <c r="HB26" s="1565">
        <v>0</v>
      </c>
      <c r="HC26" s="1566">
        <v>0</v>
      </c>
      <c r="HD26" s="1566">
        <v>0</v>
      </c>
      <c r="HE26" s="1566">
        <v>0</v>
      </c>
      <c r="HF26" s="1566">
        <v>0</v>
      </c>
      <c r="HG26" s="1566">
        <v>0</v>
      </c>
      <c r="HH26" s="1566">
        <v>0</v>
      </c>
      <c r="HI26" s="1566">
        <v>0</v>
      </c>
      <c r="HJ26" s="1566">
        <v>0</v>
      </c>
      <c r="HK26" s="1566">
        <v>0</v>
      </c>
      <c r="HL26" s="1566">
        <v>0</v>
      </c>
      <c r="HM26" s="1567">
        <v>40</v>
      </c>
      <c r="HN26" s="1568">
        <f t="shared" si="35"/>
        <v>40</v>
      </c>
      <c r="HO26" s="1565">
        <v>0</v>
      </c>
      <c r="HP26" s="1566">
        <v>6</v>
      </c>
      <c r="HQ26" s="1566">
        <v>0</v>
      </c>
      <c r="HR26" s="1566">
        <v>36</v>
      </c>
      <c r="HS26" s="1566">
        <v>0</v>
      </c>
      <c r="HT26" s="1566">
        <v>5</v>
      </c>
      <c r="HU26" s="1566">
        <v>0</v>
      </c>
      <c r="HV26" s="1566">
        <v>0</v>
      </c>
      <c r="HW26" s="1566">
        <v>0</v>
      </c>
      <c r="HX26" s="1566">
        <v>0</v>
      </c>
      <c r="HY26" s="1566">
        <v>0</v>
      </c>
      <c r="HZ26" s="1567">
        <v>0</v>
      </c>
      <c r="IA26" s="1565">
        <f t="shared" si="36"/>
        <v>47</v>
      </c>
      <c r="IB26" s="1569">
        <v>0</v>
      </c>
      <c r="IC26" s="1068">
        <v>0</v>
      </c>
      <c r="ID26" s="1068">
        <v>0</v>
      </c>
      <c r="IE26" s="1068">
        <v>0</v>
      </c>
      <c r="IF26" s="1068">
        <v>0</v>
      </c>
      <c r="IG26" s="1068">
        <v>0</v>
      </c>
      <c r="IH26" s="1068">
        <v>0</v>
      </c>
      <c r="II26" s="1068">
        <v>0</v>
      </c>
      <c r="IJ26" s="1068"/>
      <c r="IK26" s="1068"/>
      <c r="IL26" s="1068"/>
      <c r="IM26" s="1570"/>
      <c r="IN26" s="1571">
        <f t="shared" si="37"/>
        <v>0</v>
      </c>
      <c r="IP26" s="1656" t="str">
        <f t="shared" si="38"/>
        <v/>
      </c>
      <c r="IQ26" s="1656">
        <f t="shared" si="39"/>
        <v>-100</v>
      </c>
      <c r="IR26" s="1657">
        <f t="shared" si="40"/>
        <v>47</v>
      </c>
      <c r="IS26" s="1657">
        <f t="shared" si="41"/>
        <v>0</v>
      </c>
      <c r="IT26" s="1658"/>
      <c r="IU26" s="221">
        <f t="shared" si="42"/>
        <v>0</v>
      </c>
    </row>
    <row r="27" spans="1:264" ht="15" customHeight="1" x14ac:dyDescent="0.2">
      <c r="A27" s="1551" t="s">
        <v>633</v>
      </c>
      <c r="B27" s="1565">
        <v>0</v>
      </c>
      <c r="C27" s="1566">
        <v>0</v>
      </c>
      <c r="D27" s="1566">
        <v>0</v>
      </c>
      <c r="E27" s="1566">
        <v>0</v>
      </c>
      <c r="F27" s="1566">
        <v>0</v>
      </c>
      <c r="G27" s="1566">
        <v>0</v>
      </c>
      <c r="H27" s="1566">
        <v>0</v>
      </c>
      <c r="I27" s="1566">
        <v>0</v>
      </c>
      <c r="J27" s="1566">
        <v>0</v>
      </c>
      <c r="K27" s="1566">
        <v>0</v>
      </c>
      <c r="L27" s="1566">
        <v>0</v>
      </c>
      <c r="M27" s="1567">
        <v>0</v>
      </c>
      <c r="N27" s="1568">
        <f t="shared" si="1"/>
        <v>0</v>
      </c>
      <c r="O27" s="1565">
        <v>115</v>
      </c>
      <c r="P27" s="1566">
        <v>51</v>
      </c>
      <c r="Q27" s="1566">
        <v>67</v>
      </c>
      <c r="R27" s="1566">
        <v>44</v>
      </c>
      <c r="S27" s="1566">
        <v>39</v>
      </c>
      <c r="T27" s="1566">
        <v>42</v>
      </c>
      <c r="U27" s="1566">
        <v>43</v>
      </c>
      <c r="V27" s="1566">
        <v>62</v>
      </c>
      <c r="W27" s="1566">
        <v>60</v>
      </c>
      <c r="X27" s="1566">
        <v>77</v>
      </c>
      <c r="Y27" s="1566">
        <v>56</v>
      </c>
      <c r="Z27" s="1567">
        <v>64</v>
      </c>
      <c r="AA27" s="1568">
        <f t="shared" si="3"/>
        <v>720</v>
      </c>
      <c r="AB27" s="1565">
        <v>0</v>
      </c>
      <c r="AC27" s="1566">
        <v>0</v>
      </c>
      <c r="AD27" s="1566">
        <v>0</v>
      </c>
      <c r="AE27" s="1566">
        <v>0</v>
      </c>
      <c r="AF27" s="1566">
        <v>0</v>
      </c>
      <c r="AG27" s="1566">
        <v>0</v>
      </c>
      <c r="AH27" s="1566">
        <v>0</v>
      </c>
      <c r="AI27" s="1566">
        <v>0</v>
      </c>
      <c r="AJ27" s="1566">
        <v>0</v>
      </c>
      <c r="AK27" s="1566">
        <v>0</v>
      </c>
      <c r="AL27" s="1566">
        <v>0</v>
      </c>
      <c r="AM27" s="1567">
        <v>0</v>
      </c>
      <c r="AN27" s="1568">
        <f t="shared" si="5"/>
        <v>0</v>
      </c>
      <c r="AO27" s="1565">
        <v>0</v>
      </c>
      <c r="AP27" s="1566">
        <v>0</v>
      </c>
      <c r="AQ27" s="1566">
        <v>0</v>
      </c>
      <c r="AR27" s="1566">
        <v>0</v>
      </c>
      <c r="AS27" s="1566">
        <v>0</v>
      </c>
      <c r="AT27" s="1566">
        <v>7</v>
      </c>
      <c r="AU27" s="1566">
        <v>86</v>
      </c>
      <c r="AV27" s="1566">
        <v>15</v>
      </c>
      <c r="AW27" s="1566">
        <v>6</v>
      </c>
      <c r="AX27" s="1566">
        <v>9</v>
      </c>
      <c r="AY27" s="1566">
        <v>13</v>
      </c>
      <c r="AZ27" s="1567">
        <v>13</v>
      </c>
      <c r="BA27" s="1568">
        <f t="shared" si="7"/>
        <v>149</v>
      </c>
      <c r="BB27" s="1565">
        <v>11</v>
      </c>
      <c r="BC27" s="1566">
        <v>23</v>
      </c>
      <c r="BD27" s="1566">
        <v>18</v>
      </c>
      <c r="BE27" s="1566">
        <v>40</v>
      </c>
      <c r="BF27" s="1566">
        <v>29</v>
      </c>
      <c r="BG27" s="1566">
        <v>18</v>
      </c>
      <c r="BH27" s="1566">
        <v>29</v>
      </c>
      <c r="BI27" s="1566">
        <v>23</v>
      </c>
      <c r="BJ27" s="1566">
        <v>48</v>
      </c>
      <c r="BK27" s="1566">
        <v>42</v>
      </c>
      <c r="BL27" s="1566">
        <v>51</v>
      </c>
      <c r="BM27" s="1567">
        <v>63</v>
      </c>
      <c r="BN27" s="1568">
        <f t="shared" si="9"/>
        <v>395</v>
      </c>
      <c r="BO27" s="1565">
        <v>7</v>
      </c>
      <c r="BP27" s="1566">
        <v>13</v>
      </c>
      <c r="BQ27" s="1566">
        <v>12</v>
      </c>
      <c r="BR27" s="1566">
        <v>0</v>
      </c>
      <c r="BS27" s="1566">
        <v>1</v>
      </c>
      <c r="BT27" s="1566">
        <v>3</v>
      </c>
      <c r="BU27" s="1566">
        <v>9</v>
      </c>
      <c r="BV27" s="1566">
        <v>0</v>
      </c>
      <c r="BW27" s="1566">
        <v>0</v>
      </c>
      <c r="BX27" s="1566">
        <v>0</v>
      </c>
      <c r="BY27" s="1566">
        <v>0.19</v>
      </c>
      <c r="BZ27" s="1567">
        <v>0</v>
      </c>
      <c r="CA27" s="1568">
        <f t="shared" si="11"/>
        <v>45.19</v>
      </c>
      <c r="CB27" s="1565">
        <v>0</v>
      </c>
      <c r="CC27" s="1566">
        <v>0</v>
      </c>
      <c r="CD27" s="1566">
        <v>0</v>
      </c>
      <c r="CE27" s="1566">
        <v>0</v>
      </c>
      <c r="CF27" s="1566">
        <v>0</v>
      </c>
      <c r="CG27" s="1566">
        <v>0</v>
      </c>
      <c r="CH27" s="1566">
        <v>1</v>
      </c>
      <c r="CI27" s="1566">
        <v>0</v>
      </c>
      <c r="CJ27" s="1566">
        <v>0</v>
      </c>
      <c r="CK27" s="1566">
        <v>0</v>
      </c>
      <c r="CL27" s="1566">
        <v>0</v>
      </c>
      <c r="CM27" s="1567">
        <v>0</v>
      </c>
      <c r="CN27" s="1568">
        <f t="shared" si="13"/>
        <v>1</v>
      </c>
      <c r="CO27" s="1565">
        <v>0</v>
      </c>
      <c r="CP27" s="1566">
        <v>0</v>
      </c>
      <c r="CQ27" s="1566">
        <v>0</v>
      </c>
      <c r="CR27" s="1566">
        <v>0</v>
      </c>
      <c r="CS27" s="1566">
        <v>0</v>
      </c>
      <c r="CT27" s="1566">
        <v>15</v>
      </c>
      <c r="CU27" s="1566">
        <v>111</v>
      </c>
      <c r="CV27" s="1566">
        <v>113</v>
      </c>
      <c r="CW27" s="1566">
        <v>104</v>
      </c>
      <c r="CX27" s="1566">
        <v>200</v>
      </c>
      <c r="CY27" s="1566">
        <v>40</v>
      </c>
      <c r="CZ27" s="1567">
        <v>435</v>
      </c>
      <c r="DA27" s="1568">
        <f t="shared" si="15"/>
        <v>1018</v>
      </c>
      <c r="DB27" s="1565">
        <v>25</v>
      </c>
      <c r="DC27" s="1566">
        <v>52</v>
      </c>
      <c r="DD27" s="1566">
        <v>9</v>
      </c>
      <c r="DE27" s="1566">
        <v>650</v>
      </c>
      <c r="DF27" s="1566">
        <v>63</v>
      </c>
      <c r="DG27" s="1566">
        <v>12</v>
      </c>
      <c r="DH27" s="1566">
        <v>96</v>
      </c>
      <c r="DI27" s="1566">
        <v>21</v>
      </c>
      <c r="DJ27" s="1566">
        <v>24</v>
      </c>
      <c r="DK27" s="1566">
        <v>131</v>
      </c>
      <c r="DL27" s="1566">
        <v>83</v>
      </c>
      <c r="DM27" s="1567">
        <v>441</v>
      </c>
      <c r="DN27" s="1568">
        <f t="shared" si="27"/>
        <v>1607</v>
      </c>
      <c r="DO27" s="1565">
        <v>0</v>
      </c>
      <c r="DP27" s="1566">
        <v>28</v>
      </c>
      <c r="DQ27" s="1566">
        <v>144</v>
      </c>
      <c r="DR27" s="1566">
        <v>14</v>
      </c>
      <c r="DS27" s="1566">
        <v>24</v>
      </c>
      <c r="DT27" s="1566">
        <v>55</v>
      </c>
      <c r="DU27" s="1566">
        <v>40</v>
      </c>
      <c r="DV27" s="1566">
        <v>44</v>
      </c>
      <c r="DW27" s="1566">
        <v>25</v>
      </c>
      <c r="DX27" s="1566">
        <v>167</v>
      </c>
      <c r="DY27" s="1566">
        <v>22</v>
      </c>
      <c r="DZ27" s="1567">
        <v>82</v>
      </c>
      <c r="EA27" s="1568">
        <f t="shared" si="28"/>
        <v>645</v>
      </c>
      <c r="EB27" s="1565">
        <v>0</v>
      </c>
      <c r="EC27" s="1566">
        <v>0</v>
      </c>
      <c r="ED27" s="1566">
        <v>12</v>
      </c>
      <c r="EE27" s="1566">
        <v>100</v>
      </c>
      <c r="EF27" s="1566">
        <v>42</v>
      </c>
      <c r="EG27" s="1566">
        <v>36</v>
      </c>
      <c r="EH27" s="1566">
        <v>26</v>
      </c>
      <c r="EI27" s="1566">
        <v>117</v>
      </c>
      <c r="EJ27" s="1566">
        <v>37</v>
      </c>
      <c r="EK27" s="1566">
        <v>46</v>
      </c>
      <c r="EL27" s="1566">
        <v>46</v>
      </c>
      <c r="EM27" s="1567">
        <v>48</v>
      </c>
      <c r="EN27" s="1568">
        <f t="shared" si="29"/>
        <v>510</v>
      </c>
      <c r="EO27" s="1565">
        <v>0</v>
      </c>
      <c r="EP27" s="1566">
        <v>0</v>
      </c>
      <c r="EQ27" s="1566">
        <v>0</v>
      </c>
      <c r="ER27" s="1566">
        <v>0</v>
      </c>
      <c r="ES27" s="1566">
        <v>0</v>
      </c>
      <c r="ET27" s="1566">
        <v>0</v>
      </c>
      <c r="EU27" s="1566">
        <v>0</v>
      </c>
      <c r="EV27" s="1566">
        <v>0</v>
      </c>
      <c r="EW27" s="1566">
        <v>0</v>
      </c>
      <c r="EX27" s="1566">
        <v>0</v>
      </c>
      <c r="EY27" s="1566">
        <v>0</v>
      </c>
      <c r="EZ27" s="1567">
        <v>0</v>
      </c>
      <c r="FA27" s="1568">
        <f t="shared" si="30"/>
        <v>0</v>
      </c>
      <c r="FB27" s="1565">
        <v>0</v>
      </c>
      <c r="FC27" s="1566">
        <v>0</v>
      </c>
      <c r="FD27" s="1566">
        <v>0</v>
      </c>
      <c r="FE27" s="1566">
        <v>0</v>
      </c>
      <c r="FF27" s="1566">
        <v>0</v>
      </c>
      <c r="FG27" s="1566">
        <v>0</v>
      </c>
      <c r="FH27" s="1566">
        <v>0</v>
      </c>
      <c r="FI27" s="1566">
        <v>0</v>
      </c>
      <c r="FJ27" s="1566">
        <v>0</v>
      </c>
      <c r="FK27" s="1566">
        <v>0</v>
      </c>
      <c r="FL27" s="1566">
        <v>0</v>
      </c>
      <c r="FM27" s="1567">
        <v>0</v>
      </c>
      <c r="FN27" s="1568">
        <f t="shared" si="31"/>
        <v>0</v>
      </c>
      <c r="FO27" s="1565">
        <v>0</v>
      </c>
      <c r="FP27" s="1566">
        <v>0</v>
      </c>
      <c r="FQ27" s="1566">
        <v>0</v>
      </c>
      <c r="FR27" s="1566">
        <v>0</v>
      </c>
      <c r="FS27" s="1566">
        <v>0</v>
      </c>
      <c r="FT27" s="1566">
        <v>0</v>
      </c>
      <c r="FU27" s="1566">
        <v>0</v>
      </c>
      <c r="FV27" s="1566">
        <v>0</v>
      </c>
      <c r="FW27" s="1566">
        <v>0</v>
      </c>
      <c r="FX27" s="1566">
        <v>0</v>
      </c>
      <c r="FY27" s="1566">
        <v>0</v>
      </c>
      <c r="FZ27" s="1567">
        <v>0</v>
      </c>
      <c r="GA27" s="1568">
        <f t="shared" si="32"/>
        <v>0</v>
      </c>
      <c r="GB27" s="1565">
        <v>0</v>
      </c>
      <c r="GC27" s="1566">
        <v>0</v>
      </c>
      <c r="GD27" s="1566">
        <v>0</v>
      </c>
      <c r="GE27" s="1566">
        <v>0</v>
      </c>
      <c r="GF27" s="1566">
        <v>0</v>
      </c>
      <c r="GG27" s="1566">
        <v>0</v>
      </c>
      <c r="GH27" s="1566">
        <v>0</v>
      </c>
      <c r="GI27" s="1566">
        <v>0</v>
      </c>
      <c r="GJ27" s="1566">
        <v>0</v>
      </c>
      <c r="GK27" s="1566">
        <v>0</v>
      </c>
      <c r="GL27" s="1566">
        <v>0</v>
      </c>
      <c r="GM27" s="1567">
        <v>0</v>
      </c>
      <c r="GN27" s="1568">
        <f t="shared" si="33"/>
        <v>0</v>
      </c>
      <c r="GO27" s="1565">
        <v>0</v>
      </c>
      <c r="GP27" s="1566">
        <v>0</v>
      </c>
      <c r="GQ27" s="1566">
        <v>0</v>
      </c>
      <c r="GR27" s="1566">
        <v>0</v>
      </c>
      <c r="GS27" s="1566">
        <v>6</v>
      </c>
      <c r="GT27" s="1566">
        <v>6</v>
      </c>
      <c r="GU27" s="1566">
        <v>6</v>
      </c>
      <c r="GV27" s="1566">
        <v>0</v>
      </c>
      <c r="GW27" s="1566">
        <v>0</v>
      </c>
      <c r="GX27" s="1566">
        <v>13</v>
      </c>
      <c r="GY27" s="1566">
        <v>100</v>
      </c>
      <c r="GZ27" s="1567">
        <v>93</v>
      </c>
      <c r="HA27" s="1568">
        <f t="shared" si="34"/>
        <v>224</v>
      </c>
      <c r="HB27" s="1565">
        <v>0</v>
      </c>
      <c r="HC27" s="1566">
        <v>75</v>
      </c>
      <c r="HD27" s="1566">
        <v>130</v>
      </c>
      <c r="HE27" s="1566">
        <v>131</v>
      </c>
      <c r="HF27" s="1566">
        <v>29</v>
      </c>
      <c r="HG27" s="1566">
        <v>41</v>
      </c>
      <c r="HH27" s="1566">
        <v>213</v>
      </c>
      <c r="HI27" s="1566">
        <v>196</v>
      </c>
      <c r="HJ27" s="1566">
        <v>667</v>
      </c>
      <c r="HK27" s="1566">
        <v>446</v>
      </c>
      <c r="HL27" s="1566">
        <v>314</v>
      </c>
      <c r="HM27" s="1567">
        <v>547</v>
      </c>
      <c r="HN27" s="1568">
        <f t="shared" si="35"/>
        <v>2789</v>
      </c>
      <c r="HO27" s="1565">
        <v>0</v>
      </c>
      <c r="HP27" s="1566">
        <v>101</v>
      </c>
      <c r="HQ27" s="1566">
        <v>172</v>
      </c>
      <c r="HR27" s="1566">
        <v>128</v>
      </c>
      <c r="HS27" s="1566">
        <v>169</v>
      </c>
      <c r="HT27" s="1566">
        <v>359</v>
      </c>
      <c r="HU27" s="1566">
        <v>246</v>
      </c>
      <c r="HV27" s="1566">
        <v>465</v>
      </c>
      <c r="HW27" s="1566">
        <v>149</v>
      </c>
      <c r="HX27" s="1566">
        <v>613</v>
      </c>
      <c r="HY27" s="1566">
        <v>328</v>
      </c>
      <c r="HZ27" s="1567">
        <v>341</v>
      </c>
      <c r="IA27" s="1565">
        <f t="shared" si="36"/>
        <v>3071</v>
      </c>
      <c r="IB27" s="1569">
        <v>0</v>
      </c>
      <c r="IC27" s="1068">
        <v>109</v>
      </c>
      <c r="ID27" s="1068">
        <v>184</v>
      </c>
      <c r="IE27" s="1068">
        <v>232</v>
      </c>
      <c r="IF27" s="1068">
        <v>276</v>
      </c>
      <c r="IG27" s="1068">
        <v>2569</v>
      </c>
      <c r="IH27" s="1068">
        <v>321</v>
      </c>
      <c r="II27" s="1068">
        <v>1109</v>
      </c>
      <c r="IJ27" s="1068"/>
      <c r="IK27" s="1068"/>
      <c r="IL27" s="1068"/>
      <c r="IM27" s="1570"/>
      <c r="IN27" s="1571">
        <f t="shared" si="37"/>
        <v>4800</v>
      </c>
      <c r="IP27" s="1656">
        <f t="shared" si="38"/>
        <v>138.49462365591395</v>
      </c>
      <c r="IQ27" s="1656">
        <f t="shared" si="39"/>
        <v>192.6829268292683</v>
      </c>
      <c r="IR27" s="1657">
        <f t="shared" si="40"/>
        <v>1640</v>
      </c>
      <c r="IS27" s="1657">
        <f t="shared" si="41"/>
        <v>4800</v>
      </c>
      <c r="IT27" s="1658"/>
      <c r="IU27" s="1676">
        <f t="shared" si="42"/>
        <v>644</v>
      </c>
    </row>
    <row r="28" spans="1:264" ht="15" customHeight="1" x14ac:dyDescent="0.2">
      <c r="A28" s="1551" t="s">
        <v>643</v>
      </c>
      <c r="B28" s="1565">
        <v>0</v>
      </c>
      <c r="C28" s="1566">
        <v>0</v>
      </c>
      <c r="D28" s="1566">
        <v>0</v>
      </c>
      <c r="E28" s="1566">
        <v>0</v>
      </c>
      <c r="F28" s="1566">
        <v>0</v>
      </c>
      <c r="G28" s="1566">
        <v>0</v>
      </c>
      <c r="H28" s="1566">
        <v>0</v>
      </c>
      <c r="I28" s="1566">
        <v>0</v>
      </c>
      <c r="J28" s="1566">
        <v>0</v>
      </c>
      <c r="K28" s="1566">
        <v>0</v>
      </c>
      <c r="L28" s="1566">
        <v>0</v>
      </c>
      <c r="M28" s="1567">
        <v>0</v>
      </c>
      <c r="N28" s="1568">
        <f t="shared" si="1"/>
        <v>0</v>
      </c>
      <c r="O28" s="1565">
        <v>6</v>
      </c>
      <c r="P28" s="1566">
        <v>8</v>
      </c>
      <c r="Q28" s="1566">
        <v>5</v>
      </c>
      <c r="R28" s="1566">
        <v>23</v>
      </c>
      <c r="S28" s="1566">
        <v>14</v>
      </c>
      <c r="T28" s="1566">
        <v>52</v>
      </c>
      <c r="U28" s="1566">
        <v>114</v>
      </c>
      <c r="V28" s="1566">
        <v>14</v>
      </c>
      <c r="W28" s="1566">
        <v>172</v>
      </c>
      <c r="X28" s="1566">
        <v>64</v>
      </c>
      <c r="Y28" s="1566">
        <v>120</v>
      </c>
      <c r="Z28" s="1567">
        <v>93</v>
      </c>
      <c r="AA28" s="1568">
        <f t="shared" si="3"/>
        <v>685</v>
      </c>
      <c r="AB28" s="1565">
        <v>32</v>
      </c>
      <c r="AC28" s="1566">
        <v>117</v>
      </c>
      <c r="AD28" s="1566">
        <v>70</v>
      </c>
      <c r="AE28" s="1566">
        <v>87</v>
      </c>
      <c r="AF28" s="1566">
        <v>58</v>
      </c>
      <c r="AG28" s="1566">
        <v>86</v>
      </c>
      <c r="AH28" s="1566">
        <v>53</v>
      </c>
      <c r="AI28" s="1566">
        <v>161</v>
      </c>
      <c r="AJ28" s="1566">
        <v>222</v>
      </c>
      <c r="AK28" s="1566">
        <v>82</v>
      </c>
      <c r="AL28" s="1566">
        <v>364</v>
      </c>
      <c r="AM28" s="1567">
        <v>144</v>
      </c>
      <c r="AN28" s="1568">
        <f t="shared" si="5"/>
        <v>1476</v>
      </c>
      <c r="AO28" s="1565">
        <v>0</v>
      </c>
      <c r="AP28" s="1566">
        <v>111</v>
      </c>
      <c r="AQ28" s="1566">
        <v>65</v>
      </c>
      <c r="AR28" s="1566">
        <v>91</v>
      </c>
      <c r="AS28" s="1566">
        <v>74</v>
      </c>
      <c r="AT28" s="1566">
        <v>71</v>
      </c>
      <c r="AU28" s="1566">
        <v>127</v>
      </c>
      <c r="AV28" s="1566">
        <v>77</v>
      </c>
      <c r="AW28" s="1566">
        <v>316</v>
      </c>
      <c r="AX28" s="1566">
        <v>2137</v>
      </c>
      <c r="AY28" s="1566">
        <v>166</v>
      </c>
      <c r="AZ28" s="1567">
        <v>173</v>
      </c>
      <c r="BA28" s="1568">
        <f t="shared" si="7"/>
        <v>3408</v>
      </c>
      <c r="BB28" s="1565">
        <v>83</v>
      </c>
      <c r="BC28" s="1566">
        <v>163</v>
      </c>
      <c r="BD28" s="1566">
        <v>125</v>
      </c>
      <c r="BE28" s="1566">
        <v>202</v>
      </c>
      <c r="BF28" s="1566">
        <v>117</v>
      </c>
      <c r="BG28" s="1566">
        <v>158</v>
      </c>
      <c r="BH28" s="1566">
        <v>111</v>
      </c>
      <c r="BI28" s="1566">
        <v>121</v>
      </c>
      <c r="BJ28" s="1566">
        <v>188</v>
      </c>
      <c r="BK28" s="1566">
        <v>136</v>
      </c>
      <c r="BL28" s="1566">
        <v>224</v>
      </c>
      <c r="BM28" s="1567">
        <v>170</v>
      </c>
      <c r="BN28" s="1568">
        <f t="shared" si="9"/>
        <v>1798</v>
      </c>
      <c r="BO28" s="1565">
        <v>22</v>
      </c>
      <c r="BP28" s="1566">
        <v>45</v>
      </c>
      <c r="BQ28" s="1566">
        <v>63</v>
      </c>
      <c r="BR28" s="1566">
        <v>40</v>
      </c>
      <c r="BS28" s="1566">
        <v>39</v>
      </c>
      <c r="BT28" s="1566">
        <v>60</v>
      </c>
      <c r="BU28" s="1566">
        <v>79</v>
      </c>
      <c r="BV28" s="1566">
        <v>43</v>
      </c>
      <c r="BW28" s="1566">
        <v>99</v>
      </c>
      <c r="BX28" s="1566">
        <v>771</v>
      </c>
      <c r="BY28" s="1566">
        <v>246</v>
      </c>
      <c r="BZ28" s="1567">
        <v>224</v>
      </c>
      <c r="CA28" s="1568">
        <f t="shared" si="11"/>
        <v>1731</v>
      </c>
      <c r="CB28" s="1565">
        <v>156</v>
      </c>
      <c r="CC28" s="1566">
        <v>125</v>
      </c>
      <c r="CD28" s="1566">
        <v>50</v>
      </c>
      <c r="CE28" s="1566">
        <v>180</v>
      </c>
      <c r="CF28" s="1566">
        <v>119</v>
      </c>
      <c r="CG28" s="1566">
        <v>268</v>
      </c>
      <c r="CH28" s="1566">
        <v>195</v>
      </c>
      <c r="CI28" s="1566">
        <v>210</v>
      </c>
      <c r="CJ28" s="1566">
        <v>210</v>
      </c>
      <c r="CK28" s="1566">
        <v>63</v>
      </c>
      <c r="CL28" s="1566">
        <v>61</v>
      </c>
      <c r="CM28" s="1567">
        <v>83</v>
      </c>
      <c r="CN28" s="1568">
        <f t="shared" si="13"/>
        <v>1720</v>
      </c>
      <c r="CO28" s="1565">
        <v>0</v>
      </c>
      <c r="CP28" s="1566">
        <v>0</v>
      </c>
      <c r="CQ28" s="1566">
        <v>0</v>
      </c>
      <c r="CR28" s="1566">
        <v>3</v>
      </c>
      <c r="CS28" s="1566">
        <v>15</v>
      </c>
      <c r="CT28" s="1566">
        <v>52</v>
      </c>
      <c r="CU28" s="1566">
        <v>22</v>
      </c>
      <c r="CV28" s="1566">
        <v>94</v>
      </c>
      <c r="CW28" s="1566">
        <v>42</v>
      </c>
      <c r="CX28" s="1566">
        <v>25</v>
      </c>
      <c r="CY28" s="1566">
        <v>64</v>
      </c>
      <c r="CZ28" s="1567">
        <v>97</v>
      </c>
      <c r="DA28" s="1568">
        <f t="shared" si="15"/>
        <v>414</v>
      </c>
      <c r="DB28" s="1565">
        <v>3</v>
      </c>
      <c r="DC28" s="1566">
        <v>0</v>
      </c>
      <c r="DD28" s="1566">
        <v>0</v>
      </c>
      <c r="DE28" s="1566">
        <v>0</v>
      </c>
      <c r="DF28" s="1566">
        <v>4</v>
      </c>
      <c r="DG28" s="1566">
        <v>0</v>
      </c>
      <c r="DH28" s="1566">
        <v>0</v>
      </c>
      <c r="DI28" s="1566">
        <v>0</v>
      </c>
      <c r="DJ28" s="1566">
        <v>8</v>
      </c>
      <c r="DK28" s="1566">
        <v>8</v>
      </c>
      <c r="DL28" s="1566">
        <v>10</v>
      </c>
      <c r="DM28" s="1567">
        <v>219</v>
      </c>
      <c r="DN28" s="1568">
        <f t="shared" si="27"/>
        <v>252</v>
      </c>
      <c r="DO28" s="1565">
        <v>0</v>
      </c>
      <c r="DP28" s="1566">
        <v>0</v>
      </c>
      <c r="DQ28" s="1566">
        <v>10</v>
      </c>
      <c r="DR28" s="1566">
        <v>0</v>
      </c>
      <c r="DS28" s="1566">
        <v>5</v>
      </c>
      <c r="DT28" s="1566">
        <v>4</v>
      </c>
      <c r="DU28" s="1566">
        <v>6</v>
      </c>
      <c r="DV28" s="1566">
        <v>0</v>
      </c>
      <c r="DW28" s="1566">
        <v>0</v>
      </c>
      <c r="DX28" s="1566">
        <v>0</v>
      </c>
      <c r="DY28" s="1566">
        <v>0</v>
      </c>
      <c r="DZ28" s="1567">
        <v>15</v>
      </c>
      <c r="EA28" s="1568">
        <f t="shared" si="28"/>
        <v>40</v>
      </c>
      <c r="EB28" s="1565">
        <v>0</v>
      </c>
      <c r="EC28" s="1566">
        <v>0</v>
      </c>
      <c r="ED28" s="1566">
        <v>0</v>
      </c>
      <c r="EE28" s="1566">
        <v>0</v>
      </c>
      <c r="EF28" s="1566">
        <v>0</v>
      </c>
      <c r="EG28" s="1566">
        <v>10</v>
      </c>
      <c r="EH28" s="1566"/>
      <c r="EI28" s="1566">
        <v>15</v>
      </c>
      <c r="EJ28" s="1566">
        <v>0</v>
      </c>
      <c r="EK28" s="1566">
        <v>169</v>
      </c>
      <c r="EL28" s="1566">
        <v>60</v>
      </c>
      <c r="EM28" s="1567">
        <v>174</v>
      </c>
      <c r="EN28" s="1568">
        <f t="shared" si="29"/>
        <v>428</v>
      </c>
      <c r="EO28" s="1565">
        <v>0</v>
      </c>
      <c r="EP28" s="1566">
        <v>0</v>
      </c>
      <c r="EQ28" s="1566">
        <v>0</v>
      </c>
      <c r="ER28" s="1566">
        <v>0</v>
      </c>
      <c r="ES28" s="1566">
        <v>55</v>
      </c>
      <c r="ET28" s="1566">
        <v>117</v>
      </c>
      <c r="EU28" s="1566">
        <v>191</v>
      </c>
      <c r="EV28" s="1566">
        <v>110</v>
      </c>
      <c r="EW28" s="1566">
        <v>304</v>
      </c>
      <c r="EX28" s="1566">
        <v>136</v>
      </c>
      <c r="EY28" s="1566">
        <v>149</v>
      </c>
      <c r="EZ28" s="1567">
        <v>516</v>
      </c>
      <c r="FA28" s="1568">
        <f t="shared" si="30"/>
        <v>1578</v>
      </c>
      <c r="FB28" s="1565">
        <v>0</v>
      </c>
      <c r="FC28" s="1566">
        <v>0</v>
      </c>
      <c r="FD28" s="1566">
        <v>0</v>
      </c>
      <c r="FE28" s="1566">
        <v>0</v>
      </c>
      <c r="FF28" s="1566">
        <v>0</v>
      </c>
      <c r="FG28" s="1566">
        <v>0</v>
      </c>
      <c r="FH28" s="1566">
        <v>21</v>
      </c>
      <c r="FI28" s="1566">
        <v>11</v>
      </c>
      <c r="FJ28" s="1566">
        <v>0</v>
      </c>
      <c r="FK28" s="1566">
        <v>65</v>
      </c>
      <c r="FL28" s="1566">
        <v>172</v>
      </c>
      <c r="FM28" s="1567">
        <v>402</v>
      </c>
      <c r="FN28" s="1568">
        <f t="shared" si="31"/>
        <v>671</v>
      </c>
      <c r="FO28" s="1565">
        <v>0</v>
      </c>
      <c r="FP28" s="1566">
        <v>0</v>
      </c>
      <c r="FQ28" s="1566">
        <v>63</v>
      </c>
      <c r="FR28" s="1566">
        <v>131</v>
      </c>
      <c r="FS28" s="1566">
        <v>280</v>
      </c>
      <c r="FT28" s="1566">
        <v>101</v>
      </c>
      <c r="FU28" s="1566">
        <v>14</v>
      </c>
      <c r="FV28" s="1566">
        <v>30</v>
      </c>
      <c r="FW28" s="1566">
        <v>64</v>
      </c>
      <c r="FX28" s="1566">
        <v>137</v>
      </c>
      <c r="FY28" s="1566">
        <v>93</v>
      </c>
      <c r="FZ28" s="1567">
        <v>119</v>
      </c>
      <c r="GA28" s="1568">
        <f t="shared" si="32"/>
        <v>1032</v>
      </c>
      <c r="GB28" s="1565">
        <v>0</v>
      </c>
      <c r="GC28" s="1566">
        <v>0</v>
      </c>
      <c r="GD28" s="1566">
        <v>326</v>
      </c>
      <c r="GE28" s="1566">
        <v>0</v>
      </c>
      <c r="GF28" s="1566">
        <v>210</v>
      </c>
      <c r="GG28" s="1566">
        <v>104</v>
      </c>
      <c r="GH28" s="1566">
        <v>29</v>
      </c>
      <c r="GI28" s="1566">
        <v>75</v>
      </c>
      <c r="GJ28" s="1566">
        <v>51</v>
      </c>
      <c r="GK28" s="1566">
        <v>20</v>
      </c>
      <c r="GL28" s="1566">
        <v>49</v>
      </c>
      <c r="GM28" s="1567">
        <v>60</v>
      </c>
      <c r="GN28" s="1568">
        <f t="shared" si="33"/>
        <v>924</v>
      </c>
      <c r="GO28" s="1565">
        <v>0</v>
      </c>
      <c r="GP28" s="1566">
        <v>0</v>
      </c>
      <c r="GQ28" s="1566">
        <v>0</v>
      </c>
      <c r="GR28" s="1566">
        <v>0</v>
      </c>
      <c r="GS28" s="1566">
        <v>0</v>
      </c>
      <c r="GT28" s="1566">
        <v>0</v>
      </c>
      <c r="GU28" s="1566">
        <v>0</v>
      </c>
      <c r="GV28" s="1566">
        <v>0</v>
      </c>
      <c r="GW28" s="1566">
        <v>29</v>
      </c>
      <c r="GX28" s="1566">
        <v>70</v>
      </c>
      <c r="GY28" s="1566">
        <v>22</v>
      </c>
      <c r="GZ28" s="1567">
        <v>282</v>
      </c>
      <c r="HA28" s="1568">
        <f t="shared" si="34"/>
        <v>403</v>
      </c>
      <c r="HB28" s="1565">
        <v>0</v>
      </c>
      <c r="HC28" s="1566">
        <v>16</v>
      </c>
      <c r="HD28" s="1566">
        <v>0</v>
      </c>
      <c r="HE28" s="1566">
        <v>7</v>
      </c>
      <c r="HF28" s="1566">
        <v>20</v>
      </c>
      <c r="HG28" s="1566">
        <v>27</v>
      </c>
      <c r="HH28" s="1566">
        <v>47</v>
      </c>
      <c r="HI28" s="1566">
        <v>147</v>
      </c>
      <c r="HJ28" s="1566">
        <v>417</v>
      </c>
      <c r="HK28" s="1566">
        <v>745</v>
      </c>
      <c r="HL28" s="1566">
        <v>800</v>
      </c>
      <c r="HM28" s="1567">
        <v>932</v>
      </c>
      <c r="HN28" s="1568">
        <f t="shared" si="35"/>
        <v>3158</v>
      </c>
      <c r="HO28" s="1565">
        <v>504</v>
      </c>
      <c r="HP28" s="1566">
        <v>966</v>
      </c>
      <c r="HQ28" s="1566">
        <v>512</v>
      </c>
      <c r="HR28" s="1566">
        <v>157</v>
      </c>
      <c r="HS28" s="1566">
        <v>372</v>
      </c>
      <c r="HT28" s="1566">
        <v>33</v>
      </c>
      <c r="HU28" s="1566">
        <v>0</v>
      </c>
      <c r="HV28" s="1566">
        <v>0</v>
      </c>
      <c r="HW28" s="1566">
        <v>20</v>
      </c>
      <c r="HX28" s="1566">
        <v>291</v>
      </c>
      <c r="HY28" s="1566">
        <v>69</v>
      </c>
      <c r="HZ28" s="1567">
        <v>125</v>
      </c>
      <c r="IA28" s="1565">
        <f>SUM(HO28:HZ28)</f>
        <v>3049</v>
      </c>
      <c r="IB28" s="1569">
        <v>0</v>
      </c>
      <c r="IC28" s="1068">
        <v>0</v>
      </c>
      <c r="ID28" s="1068">
        <v>0</v>
      </c>
      <c r="IE28" s="1068">
        <v>5</v>
      </c>
      <c r="IF28" s="1068">
        <v>0</v>
      </c>
      <c r="IG28" s="1068">
        <v>24</v>
      </c>
      <c r="IH28" s="1068">
        <v>61</v>
      </c>
      <c r="II28" s="1068">
        <v>84</v>
      </c>
      <c r="IJ28" s="1068"/>
      <c r="IK28" s="1068"/>
      <c r="IL28" s="1068"/>
      <c r="IM28" s="1570"/>
      <c r="IN28" s="1571">
        <f t="shared" si="37"/>
        <v>174</v>
      </c>
      <c r="IP28" s="1656" t="str">
        <f t="shared" si="38"/>
        <v/>
      </c>
      <c r="IQ28" s="1656">
        <f t="shared" si="39"/>
        <v>-93.160377358490564</v>
      </c>
      <c r="IR28" s="1657">
        <f t="shared" si="40"/>
        <v>2544</v>
      </c>
      <c r="IS28" s="1657">
        <f t="shared" si="41"/>
        <v>174</v>
      </c>
      <c r="IT28" s="1658"/>
      <c r="IU28" s="221">
        <f t="shared" si="42"/>
        <v>84</v>
      </c>
    </row>
    <row r="29" spans="1:264" ht="15" customHeight="1" x14ac:dyDescent="0.2">
      <c r="A29" s="1551" t="s">
        <v>644</v>
      </c>
      <c r="B29" s="1565">
        <v>0</v>
      </c>
      <c r="C29" s="1566">
        <v>0</v>
      </c>
      <c r="D29" s="1566">
        <v>0</v>
      </c>
      <c r="E29" s="1566">
        <v>0</v>
      </c>
      <c r="F29" s="1566">
        <v>0</v>
      </c>
      <c r="G29" s="1566">
        <v>0</v>
      </c>
      <c r="H29" s="1566">
        <v>0</v>
      </c>
      <c r="I29" s="1566">
        <v>0</v>
      </c>
      <c r="J29" s="1566">
        <v>0</v>
      </c>
      <c r="K29" s="1566">
        <v>0</v>
      </c>
      <c r="L29" s="1566">
        <v>0</v>
      </c>
      <c r="M29" s="1567">
        <v>0</v>
      </c>
      <c r="N29" s="1568">
        <f t="shared" si="1"/>
        <v>0</v>
      </c>
      <c r="O29" s="1565">
        <v>0</v>
      </c>
      <c r="P29" s="1566">
        <v>0</v>
      </c>
      <c r="Q29" s="1566">
        <v>0</v>
      </c>
      <c r="R29" s="1566">
        <v>0</v>
      </c>
      <c r="S29" s="1566">
        <v>0</v>
      </c>
      <c r="T29" s="1566">
        <v>0</v>
      </c>
      <c r="U29" s="1566">
        <v>500</v>
      </c>
      <c r="V29" s="1566">
        <v>0</v>
      </c>
      <c r="W29" s="1566">
        <v>300</v>
      </c>
      <c r="X29" s="1566">
        <v>0</v>
      </c>
      <c r="Y29" s="1566">
        <v>0</v>
      </c>
      <c r="Z29" s="1567">
        <v>14</v>
      </c>
      <c r="AA29" s="1568">
        <f t="shared" si="3"/>
        <v>814</v>
      </c>
      <c r="AB29" s="1565">
        <v>0</v>
      </c>
      <c r="AC29" s="1566">
        <v>0</v>
      </c>
      <c r="AD29" s="1566">
        <v>0</v>
      </c>
      <c r="AE29" s="1566">
        <v>0</v>
      </c>
      <c r="AF29" s="1566">
        <v>0</v>
      </c>
      <c r="AG29" s="1566">
        <v>2</v>
      </c>
      <c r="AH29" s="1566">
        <v>0</v>
      </c>
      <c r="AI29" s="1566">
        <v>0</v>
      </c>
      <c r="AJ29" s="1566">
        <v>0</v>
      </c>
      <c r="AK29" s="1566">
        <v>0</v>
      </c>
      <c r="AL29" s="1566">
        <v>0</v>
      </c>
      <c r="AM29" s="1567">
        <v>1</v>
      </c>
      <c r="AN29" s="1568">
        <f t="shared" si="5"/>
        <v>3</v>
      </c>
      <c r="AO29" s="1565">
        <v>0</v>
      </c>
      <c r="AP29" s="1566">
        <v>3</v>
      </c>
      <c r="AQ29" s="1566">
        <v>0</v>
      </c>
      <c r="AR29" s="1566">
        <v>1</v>
      </c>
      <c r="AS29" s="1566">
        <v>0</v>
      </c>
      <c r="AT29" s="1566">
        <v>0</v>
      </c>
      <c r="AU29" s="1566">
        <v>0</v>
      </c>
      <c r="AV29" s="1566">
        <v>0</v>
      </c>
      <c r="AW29" s="1566">
        <v>2</v>
      </c>
      <c r="AX29" s="1566">
        <v>5</v>
      </c>
      <c r="AY29" s="1566">
        <v>224</v>
      </c>
      <c r="AZ29" s="1567">
        <v>166</v>
      </c>
      <c r="BA29" s="1568">
        <f t="shared" si="7"/>
        <v>401</v>
      </c>
      <c r="BB29" s="1565">
        <v>0</v>
      </c>
      <c r="BC29" s="1566">
        <v>3</v>
      </c>
      <c r="BD29" s="1566">
        <v>12</v>
      </c>
      <c r="BE29" s="1566"/>
      <c r="BF29" s="1566">
        <v>3</v>
      </c>
      <c r="BG29" s="1566">
        <v>4</v>
      </c>
      <c r="BH29" s="1566">
        <v>0</v>
      </c>
      <c r="BI29" s="1566">
        <v>0</v>
      </c>
      <c r="BJ29" s="1566">
        <v>0</v>
      </c>
      <c r="BK29" s="1566">
        <v>25</v>
      </c>
      <c r="BL29" s="1566">
        <v>121</v>
      </c>
      <c r="BM29" s="1567">
        <v>877</v>
      </c>
      <c r="BN29" s="1568">
        <f>SUM(BB29:BM29)</f>
        <v>1045</v>
      </c>
      <c r="BO29" s="1565">
        <v>0</v>
      </c>
      <c r="BP29" s="1566">
        <v>1</v>
      </c>
      <c r="BQ29" s="1566">
        <v>0</v>
      </c>
      <c r="BR29" s="1566">
        <v>5</v>
      </c>
      <c r="BS29" s="1566">
        <v>1</v>
      </c>
      <c r="BT29" s="1566">
        <v>0</v>
      </c>
      <c r="BU29" s="1566">
        <v>0</v>
      </c>
      <c r="BV29" s="1566">
        <v>31</v>
      </c>
      <c r="BW29" s="1566">
        <v>0</v>
      </c>
      <c r="BX29" s="1566">
        <v>2</v>
      </c>
      <c r="BY29" s="1566">
        <v>5</v>
      </c>
      <c r="BZ29" s="1567">
        <v>4</v>
      </c>
      <c r="CA29" s="1568">
        <f t="shared" si="11"/>
        <v>49</v>
      </c>
      <c r="CB29" s="1565">
        <v>0</v>
      </c>
      <c r="CC29" s="1566">
        <v>0</v>
      </c>
      <c r="CD29" s="1566">
        <v>9</v>
      </c>
      <c r="CE29" s="1566">
        <v>32</v>
      </c>
      <c r="CF29" s="1566">
        <v>7</v>
      </c>
      <c r="CG29" s="1566">
        <v>11</v>
      </c>
      <c r="CH29" s="1566">
        <v>0</v>
      </c>
      <c r="CI29" s="1566">
        <v>0</v>
      </c>
      <c r="CJ29" s="1566">
        <v>0</v>
      </c>
      <c r="CK29" s="1566">
        <v>0</v>
      </c>
      <c r="CL29" s="1566">
        <v>0</v>
      </c>
      <c r="CM29" s="1567">
        <v>0</v>
      </c>
      <c r="CN29" s="1568">
        <f t="shared" si="13"/>
        <v>59</v>
      </c>
      <c r="CO29" s="1565">
        <v>0</v>
      </c>
      <c r="CP29" s="1566">
        <v>1</v>
      </c>
      <c r="CQ29" s="1566">
        <v>2</v>
      </c>
      <c r="CR29" s="1566">
        <v>107</v>
      </c>
      <c r="CS29" s="1566">
        <v>323</v>
      </c>
      <c r="CT29" s="1566">
        <v>544</v>
      </c>
      <c r="CU29" s="1566">
        <v>4</v>
      </c>
      <c r="CV29" s="1566">
        <v>30</v>
      </c>
      <c r="CW29" s="1566">
        <v>0</v>
      </c>
      <c r="CX29" s="1566">
        <v>0</v>
      </c>
      <c r="CY29" s="1566">
        <v>4</v>
      </c>
      <c r="CZ29" s="1567">
        <v>24</v>
      </c>
      <c r="DA29" s="1568">
        <f t="shared" si="15"/>
        <v>1039</v>
      </c>
      <c r="DB29" s="1565">
        <v>0</v>
      </c>
      <c r="DC29" s="1566">
        <v>0</v>
      </c>
      <c r="DD29" s="1566">
        <v>0</v>
      </c>
      <c r="DE29" s="1566">
        <v>0</v>
      </c>
      <c r="DF29" s="1566">
        <v>0</v>
      </c>
      <c r="DG29" s="1566">
        <v>317</v>
      </c>
      <c r="DH29" s="1566">
        <v>12</v>
      </c>
      <c r="DI29" s="1566">
        <v>1</v>
      </c>
      <c r="DJ29" s="1566">
        <v>6</v>
      </c>
      <c r="DK29" s="1566">
        <v>0</v>
      </c>
      <c r="DL29" s="1566">
        <v>0</v>
      </c>
      <c r="DM29" s="1567">
        <v>6</v>
      </c>
      <c r="DN29" s="1568">
        <f t="shared" si="27"/>
        <v>342</v>
      </c>
      <c r="DO29" s="1565">
        <v>0</v>
      </c>
      <c r="DP29" s="1566">
        <v>0</v>
      </c>
      <c r="DQ29" s="1566">
        <v>0</v>
      </c>
      <c r="DR29" s="1566">
        <v>0</v>
      </c>
      <c r="DS29" s="1566">
        <v>0</v>
      </c>
      <c r="DT29" s="1566">
        <v>0</v>
      </c>
      <c r="DU29" s="1566">
        <v>0</v>
      </c>
      <c r="DV29" s="1566">
        <v>0</v>
      </c>
      <c r="DW29" s="1566">
        <v>0</v>
      </c>
      <c r="DX29" s="1566">
        <v>0</v>
      </c>
      <c r="DY29" s="1566">
        <v>0</v>
      </c>
      <c r="DZ29" s="1567">
        <v>0</v>
      </c>
      <c r="EA29" s="1568">
        <f t="shared" si="28"/>
        <v>0</v>
      </c>
      <c r="EB29" s="1565">
        <v>0</v>
      </c>
      <c r="EC29" s="1566">
        <v>0</v>
      </c>
      <c r="ED29" s="1566">
        <v>0</v>
      </c>
      <c r="EE29" s="1566">
        <v>0</v>
      </c>
      <c r="EF29" s="1566">
        <v>0</v>
      </c>
      <c r="EG29" s="1566">
        <v>0</v>
      </c>
      <c r="EH29" s="1566">
        <v>0</v>
      </c>
      <c r="EI29" s="1566">
        <v>0</v>
      </c>
      <c r="EJ29" s="1566">
        <v>0</v>
      </c>
      <c r="EK29" s="1566">
        <v>0</v>
      </c>
      <c r="EL29" s="1566">
        <v>19</v>
      </c>
      <c r="EM29" s="1567">
        <v>140</v>
      </c>
      <c r="EN29" s="1568">
        <f t="shared" si="29"/>
        <v>159</v>
      </c>
      <c r="EO29" s="1565">
        <v>0</v>
      </c>
      <c r="EP29" s="1566">
        <v>0</v>
      </c>
      <c r="EQ29" s="1566">
        <v>0</v>
      </c>
      <c r="ER29" s="1566">
        <v>0</v>
      </c>
      <c r="ES29" s="1566">
        <v>0</v>
      </c>
      <c r="ET29" s="1566">
        <v>0</v>
      </c>
      <c r="EU29" s="1566">
        <v>0</v>
      </c>
      <c r="EV29" s="1566">
        <v>1095</v>
      </c>
      <c r="EW29" s="1566">
        <v>0</v>
      </c>
      <c r="EX29" s="1566">
        <v>40</v>
      </c>
      <c r="EY29" s="1566">
        <v>0</v>
      </c>
      <c r="EZ29" s="1567">
        <v>8</v>
      </c>
      <c r="FA29" s="1568">
        <f t="shared" si="30"/>
        <v>1143</v>
      </c>
      <c r="FB29" s="1565">
        <v>0</v>
      </c>
      <c r="FC29" s="1566">
        <v>26</v>
      </c>
      <c r="FD29" s="1566">
        <v>0</v>
      </c>
      <c r="FE29" s="1566">
        <v>0</v>
      </c>
      <c r="FF29" s="1566">
        <v>0</v>
      </c>
      <c r="FG29" s="1566">
        <v>0</v>
      </c>
      <c r="FH29" s="1566">
        <v>0</v>
      </c>
      <c r="FI29" s="1566">
        <v>0</v>
      </c>
      <c r="FJ29" s="1566">
        <v>11</v>
      </c>
      <c r="FK29" s="1566">
        <v>65</v>
      </c>
      <c r="FL29" s="1566">
        <v>6</v>
      </c>
      <c r="FM29" s="1567">
        <v>4</v>
      </c>
      <c r="FN29" s="1568">
        <f t="shared" si="31"/>
        <v>112</v>
      </c>
      <c r="FO29" s="1565">
        <v>0</v>
      </c>
      <c r="FP29" s="1566">
        <v>0</v>
      </c>
      <c r="FQ29" s="1566">
        <v>0</v>
      </c>
      <c r="FR29" s="1566">
        <v>0</v>
      </c>
      <c r="FS29" s="1566">
        <v>0</v>
      </c>
      <c r="FT29" s="1566">
        <v>0</v>
      </c>
      <c r="FU29" s="1566">
        <v>0</v>
      </c>
      <c r="FV29" s="1566">
        <v>0</v>
      </c>
      <c r="FW29" s="1566">
        <v>0</v>
      </c>
      <c r="FX29" s="1566">
        <v>0</v>
      </c>
      <c r="FY29" s="1566">
        <v>0</v>
      </c>
      <c r="FZ29" s="1567">
        <v>0</v>
      </c>
      <c r="GA29" s="1568">
        <f t="shared" si="32"/>
        <v>0</v>
      </c>
      <c r="GB29" s="1565">
        <v>0</v>
      </c>
      <c r="GC29" s="1566">
        <v>0</v>
      </c>
      <c r="GD29" s="1566">
        <v>0</v>
      </c>
      <c r="GE29" s="1566">
        <v>0</v>
      </c>
      <c r="GF29" s="1566">
        <v>0</v>
      </c>
      <c r="GG29" s="1566">
        <v>0</v>
      </c>
      <c r="GH29" s="1566">
        <v>0</v>
      </c>
      <c r="GI29" s="1566">
        <v>0</v>
      </c>
      <c r="GJ29" s="1566">
        <v>0</v>
      </c>
      <c r="GK29" s="1566">
        <v>0</v>
      </c>
      <c r="GL29" s="1566">
        <v>0</v>
      </c>
      <c r="GM29" s="1567">
        <v>0</v>
      </c>
      <c r="GN29" s="1568">
        <f t="shared" si="33"/>
        <v>0</v>
      </c>
      <c r="GO29" s="1565">
        <v>0</v>
      </c>
      <c r="GP29" s="1566">
        <v>0</v>
      </c>
      <c r="GQ29" s="1566">
        <v>0</v>
      </c>
      <c r="GR29" s="1566">
        <v>0</v>
      </c>
      <c r="GS29" s="1566">
        <v>0</v>
      </c>
      <c r="GT29" s="1566">
        <v>0</v>
      </c>
      <c r="GU29" s="1566">
        <v>0</v>
      </c>
      <c r="GV29" s="1566">
        <v>0</v>
      </c>
      <c r="GW29" s="1566">
        <v>0</v>
      </c>
      <c r="GX29" s="1566">
        <v>0</v>
      </c>
      <c r="GY29" s="1566">
        <v>0</v>
      </c>
      <c r="GZ29" s="1567">
        <v>0</v>
      </c>
      <c r="HA29" s="1568">
        <f t="shared" si="34"/>
        <v>0</v>
      </c>
      <c r="HB29" s="1565">
        <v>0</v>
      </c>
      <c r="HC29" s="1566">
        <v>0</v>
      </c>
      <c r="HD29" s="1566">
        <v>0</v>
      </c>
      <c r="HE29" s="1566">
        <v>0</v>
      </c>
      <c r="HF29" s="1566">
        <v>0</v>
      </c>
      <c r="HG29" s="1566">
        <v>0</v>
      </c>
      <c r="HH29" s="1566">
        <v>0</v>
      </c>
      <c r="HI29" s="1566">
        <v>3</v>
      </c>
      <c r="HJ29" s="1566">
        <v>58</v>
      </c>
      <c r="HK29" s="1566">
        <v>0</v>
      </c>
      <c r="HL29" s="1566">
        <v>0</v>
      </c>
      <c r="HM29" s="1567">
        <v>0</v>
      </c>
      <c r="HN29" s="1568">
        <f t="shared" si="35"/>
        <v>61</v>
      </c>
      <c r="HO29" s="1565">
        <v>0</v>
      </c>
      <c r="HP29" s="1566">
        <v>0</v>
      </c>
      <c r="HQ29" s="1566">
        <v>0</v>
      </c>
      <c r="HR29" s="1566">
        <v>31</v>
      </c>
      <c r="HS29" s="1566">
        <v>0</v>
      </c>
      <c r="HT29" s="1566">
        <v>0</v>
      </c>
      <c r="HU29" s="1566">
        <v>29</v>
      </c>
      <c r="HV29" s="1566">
        <v>15</v>
      </c>
      <c r="HW29" s="1566">
        <v>5</v>
      </c>
      <c r="HX29" s="1566">
        <v>0</v>
      </c>
      <c r="HY29" s="1566">
        <v>0</v>
      </c>
      <c r="HZ29" s="1567">
        <v>0</v>
      </c>
      <c r="IA29" s="1565">
        <f t="shared" si="36"/>
        <v>80</v>
      </c>
      <c r="IB29" s="1569">
        <v>0</v>
      </c>
      <c r="IC29" s="1068">
        <v>0</v>
      </c>
      <c r="ID29" s="1068">
        <v>0</v>
      </c>
      <c r="IE29" s="1068">
        <v>0</v>
      </c>
      <c r="IF29" s="1068">
        <v>23</v>
      </c>
      <c r="IG29" s="1068">
        <v>419</v>
      </c>
      <c r="IH29" s="1068">
        <v>212</v>
      </c>
      <c r="II29" s="1068">
        <v>184</v>
      </c>
      <c r="IJ29" s="1068"/>
      <c r="IK29" s="1068"/>
      <c r="IL29" s="1068"/>
      <c r="IM29" s="1570"/>
      <c r="IN29" s="1571">
        <f t="shared" si="37"/>
        <v>838</v>
      </c>
      <c r="IP29" s="1656">
        <f t="shared" si="38"/>
        <v>1126.6666666666667</v>
      </c>
      <c r="IQ29" s="1656">
        <f t="shared" si="39"/>
        <v>1017.3333333333334</v>
      </c>
      <c r="IR29" s="1657">
        <f t="shared" si="40"/>
        <v>75</v>
      </c>
      <c r="IS29" s="1657">
        <f t="shared" si="41"/>
        <v>838</v>
      </c>
      <c r="IT29" s="1658"/>
      <c r="IU29" s="221">
        <f t="shared" si="42"/>
        <v>169</v>
      </c>
    </row>
    <row r="30" spans="1:264" ht="15" customHeight="1" x14ac:dyDescent="0.2">
      <c r="A30" s="342" t="s">
        <v>352</v>
      </c>
      <c r="B30" s="1565"/>
      <c r="C30" s="1566"/>
      <c r="D30" s="1566"/>
      <c r="E30" s="1566"/>
      <c r="F30" s="1566"/>
      <c r="G30" s="1566"/>
      <c r="H30" s="1566"/>
      <c r="I30" s="1566"/>
      <c r="J30" s="1566"/>
      <c r="K30" s="1566"/>
      <c r="L30" s="1566"/>
      <c r="M30" s="1567"/>
      <c r="N30" s="1568"/>
      <c r="O30" s="1565"/>
      <c r="P30" s="1566"/>
      <c r="Q30" s="1566"/>
      <c r="R30" s="1566"/>
      <c r="S30" s="1566"/>
      <c r="T30" s="1566"/>
      <c r="U30" s="1566"/>
      <c r="V30" s="1566"/>
      <c r="W30" s="1566"/>
      <c r="X30" s="1566"/>
      <c r="Y30" s="1566"/>
      <c r="Z30" s="1567"/>
      <c r="AA30" s="1568"/>
      <c r="AB30" s="1565"/>
      <c r="AC30" s="1566"/>
      <c r="AD30" s="1566"/>
      <c r="AE30" s="1566"/>
      <c r="AF30" s="1566"/>
      <c r="AG30" s="1566"/>
      <c r="AH30" s="1566"/>
      <c r="AI30" s="1566"/>
      <c r="AJ30" s="1566"/>
      <c r="AK30" s="1566"/>
      <c r="AL30" s="1566"/>
      <c r="AM30" s="1567"/>
      <c r="AN30" s="1568"/>
      <c r="AO30" s="1565"/>
      <c r="AP30" s="1566"/>
      <c r="AQ30" s="1566"/>
      <c r="AR30" s="1566"/>
      <c r="AS30" s="1566"/>
      <c r="AT30" s="1566"/>
      <c r="AU30" s="1566"/>
      <c r="AV30" s="1566"/>
      <c r="AW30" s="1566"/>
      <c r="AX30" s="1566"/>
      <c r="AY30" s="1566"/>
      <c r="AZ30" s="1567"/>
      <c r="BA30" s="1568"/>
      <c r="BB30" s="1565"/>
      <c r="BC30" s="1566"/>
      <c r="BD30" s="1566"/>
      <c r="BE30" s="1566"/>
      <c r="BF30" s="1566"/>
      <c r="BG30" s="1566"/>
      <c r="BH30" s="1566"/>
      <c r="BI30" s="1566"/>
      <c r="BJ30" s="1566"/>
      <c r="BK30" s="1566"/>
      <c r="BL30" s="1566"/>
      <c r="BM30" s="1567"/>
      <c r="BN30" s="1568"/>
      <c r="BO30" s="1565"/>
      <c r="BP30" s="1566"/>
      <c r="BQ30" s="1566"/>
      <c r="BR30" s="1566"/>
      <c r="BS30" s="1566"/>
      <c r="BT30" s="1566"/>
      <c r="BU30" s="1566"/>
      <c r="BV30" s="1566"/>
      <c r="BW30" s="1566"/>
      <c r="BX30" s="1566"/>
      <c r="BY30" s="1566"/>
      <c r="BZ30" s="1567"/>
      <c r="CA30" s="1568"/>
      <c r="CB30" s="1565"/>
      <c r="CC30" s="1566"/>
      <c r="CD30" s="1566"/>
      <c r="CE30" s="1566"/>
      <c r="CF30" s="1566"/>
      <c r="CG30" s="1566"/>
      <c r="CH30" s="1566"/>
      <c r="CI30" s="1566"/>
      <c r="CJ30" s="1566"/>
      <c r="CK30" s="1566"/>
      <c r="CL30" s="1566"/>
      <c r="CM30" s="1567"/>
      <c r="CN30" s="1568"/>
      <c r="CO30" s="1565"/>
      <c r="CP30" s="1566"/>
      <c r="CQ30" s="1566"/>
      <c r="CR30" s="1566"/>
      <c r="CS30" s="1566"/>
      <c r="CT30" s="1566"/>
      <c r="CU30" s="1566"/>
      <c r="CV30" s="1566"/>
      <c r="CW30" s="1566"/>
      <c r="CX30" s="1566"/>
      <c r="CY30" s="1566"/>
      <c r="CZ30" s="1567"/>
      <c r="DA30" s="1568"/>
      <c r="DB30" s="1565"/>
      <c r="DC30" s="1566"/>
      <c r="DD30" s="1566"/>
      <c r="DE30" s="1566"/>
      <c r="DF30" s="1566"/>
      <c r="DG30" s="1566"/>
      <c r="DH30" s="1566"/>
      <c r="DI30" s="1566"/>
      <c r="DJ30" s="1566"/>
      <c r="DK30" s="1566"/>
      <c r="DL30" s="1566"/>
      <c r="DM30" s="1567"/>
      <c r="DN30" s="1568"/>
      <c r="DO30" s="1565"/>
      <c r="DP30" s="1566"/>
      <c r="DQ30" s="1566"/>
      <c r="DR30" s="1566"/>
      <c r="DS30" s="1566"/>
      <c r="DT30" s="1566"/>
      <c r="DU30" s="1566"/>
      <c r="DV30" s="1566"/>
      <c r="DW30" s="1566"/>
      <c r="DX30" s="1566"/>
      <c r="DY30" s="1566"/>
      <c r="DZ30" s="1567"/>
      <c r="EA30" s="1568"/>
      <c r="EB30" s="1565"/>
      <c r="EC30" s="1566"/>
      <c r="ED30" s="1566"/>
      <c r="EE30" s="1566"/>
      <c r="EF30" s="1566"/>
      <c r="EG30" s="1566"/>
      <c r="EH30" s="1566"/>
      <c r="EI30" s="1566"/>
      <c r="EJ30" s="1566"/>
      <c r="EK30" s="1566"/>
      <c r="EL30" s="1566"/>
      <c r="EM30" s="1567"/>
      <c r="EN30" s="1568"/>
      <c r="EO30" s="1565"/>
      <c r="EP30" s="1566"/>
      <c r="EQ30" s="1566"/>
      <c r="ER30" s="1566"/>
      <c r="ES30" s="1566"/>
      <c r="ET30" s="1566"/>
      <c r="EU30" s="1566"/>
      <c r="EV30" s="1566"/>
      <c r="EW30" s="1566"/>
      <c r="EX30" s="1566"/>
      <c r="EY30" s="1566"/>
      <c r="EZ30" s="1567"/>
      <c r="FA30" s="1568"/>
      <c r="FB30" s="1565"/>
      <c r="FC30" s="1566"/>
      <c r="FD30" s="1566"/>
      <c r="FE30" s="1566"/>
      <c r="FF30" s="1566"/>
      <c r="FG30" s="1566"/>
      <c r="FH30" s="1566"/>
      <c r="FI30" s="1566"/>
      <c r="FJ30" s="1566"/>
      <c r="FK30" s="1566"/>
      <c r="FL30" s="1566"/>
      <c r="FM30" s="1567"/>
      <c r="FN30" s="1568"/>
      <c r="FO30" s="1565"/>
      <c r="FP30" s="1566"/>
      <c r="FQ30" s="1566"/>
      <c r="FR30" s="1566"/>
      <c r="FS30" s="1566"/>
      <c r="FT30" s="1566"/>
      <c r="FU30" s="1566"/>
      <c r="FV30" s="1566"/>
      <c r="FW30" s="1566"/>
      <c r="FX30" s="1566"/>
      <c r="FY30" s="1566"/>
      <c r="FZ30" s="1567"/>
      <c r="GA30" s="1568"/>
      <c r="GB30" s="1565"/>
      <c r="GC30" s="1566"/>
      <c r="GD30" s="1566"/>
      <c r="GE30" s="1566"/>
      <c r="GF30" s="1566"/>
      <c r="GG30" s="1566"/>
      <c r="GH30" s="1566"/>
      <c r="GI30" s="1566"/>
      <c r="GJ30" s="1566"/>
      <c r="GK30" s="1566"/>
      <c r="GL30" s="1566"/>
      <c r="GM30" s="1567"/>
      <c r="GN30" s="1568"/>
      <c r="GO30" s="1565"/>
      <c r="GP30" s="1566"/>
      <c r="GQ30" s="1566"/>
      <c r="GR30" s="1566"/>
      <c r="GS30" s="1566"/>
      <c r="GT30" s="1566"/>
      <c r="GU30" s="1566"/>
      <c r="GV30" s="1566"/>
      <c r="GW30" s="1566"/>
      <c r="GX30" s="1566"/>
      <c r="GY30" s="1566"/>
      <c r="GZ30" s="1567"/>
      <c r="HA30" s="1568"/>
      <c r="HB30" s="1565"/>
      <c r="HC30" s="1566"/>
      <c r="HD30" s="1566"/>
      <c r="HE30" s="1566"/>
      <c r="HF30" s="1566"/>
      <c r="HG30" s="1566"/>
      <c r="HH30" s="1566"/>
      <c r="HI30" s="1566"/>
      <c r="HJ30" s="1566"/>
      <c r="HK30" s="1566"/>
      <c r="HL30" s="1566"/>
      <c r="HM30" s="1567"/>
      <c r="HN30" s="1568"/>
      <c r="HO30" s="1565"/>
      <c r="HP30" s="1566"/>
      <c r="HQ30" s="1566"/>
      <c r="HR30" s="1566"/>
      <c r="HS30" s="1566"/>
      <c r="HT30" s="1566"/>
      <c r="HU30" s="1566"/>
      <c r="HV30" s="1566"/>
      <c r="HW30" s="1566"/>
      <c r="HX30" s="1566"/>
      <c r="HY30" s="1566"/>
      <c r="HZ30" s="1567"/>
      <c r="IA30" s="1565"/>
      <c r="IB30" s="1569"/>
      <c r="IC30" s="1068"/>
      <c r="ID30" s="1068"/>
      <c r="IE30" s="1068"/>
      <c r="IF30" s="1068"/>
      <c r="IG30" s="1068"/>
      <c r="IH30" s="1068"/>
      <c r="II30" s="1068"/>
      <c r="IJ30" s="1068"/>
      <c r="IK30" s="1068"/>
      <c r="IL30" s="1068"/>
      <c r="IM30" s="1570"/>
      <c r="IN30" s="1571"/>
      <c r="IP30" s="1656" t="str">
        <f t="shared" si="38"/>
        <v/>
      </c>
      <c r="IQ30" s="1656"/>
      <c r="IR30" s="1657">
        <f t="shared" si="40"/>
        <v>0</v>
      </c>
      <c r="IS30" s="1657"/>
      <c r="IT30" s="1658"/>
      <c r="IU30" s="1658"/>
    </row>
    <row r="31" spans="1:264" s="1564" customFormat="1" ht="15" customHeight="1" x14ac:dyDescent="0.2">
      <c r="A31" s="1563" t="s">
        <v>297</v>
      </c>
      <c r="B31" s="1572"/>
      <c r="C31" s="1573"/>
      <c r="D31" s="1573"/>
      <c r="E31" s="1573"/>
      <c r="F31" s="1573"/>
      <c r="G31" s="1573"/>
      <c r="H31" s="1573"/>
      <c r="I31" s="1573"/>
      <c r="J31" s="1573"/>
      <c r="K31" s="1573"/>
      <c r="L31" s="1573"/>
      <c r="M31" s="1574"/>
      <c r="N31" s="1575"/>
      <c r="O31" s="1572"/>
      <c r="P31" s="1573"/>
      <c r="Q31" s="1573"/>
      <c r="R31" s="1573"/>
      <c r="S31" s="1573"/>
      <c r="T31" s="1573"/>
      <c r="U31" s="1573"/>
      <c r="V31" s="1573"/>
      <c r="W31" s="1573"/>
      <c r="X31" s="1573"/>
      <c r="Y31" s="1573"/>
      <c r="Z31" s="1574"/>
      <c r="AA31" s="1575"/>
      <c r="AB31" s="1572">
        <f t="shared" ref="AB31:AH31" si="43">SUM(AB32:AB38)</f>
        <v>2800</v>
      </c>
      <c r="AC31" s="1573">
        <f t="shared" si="43"/>
        <v>25192</v>
      </c>
      <c r="AD31" s="1573">
        <f t="shared" si="43"/>
        <v>13901</v>
      </c>
      <c r="AE31" s="1573">
        <f t="shared" si="43"/>
        <v>14314</v>
      </c>
      <c r="AF31" s="1573">
        <f t="shared" si="43"/>
        <v>23016</v>
      </c>
      <c r="AG31" s="1573">
        <f t="shared" si="43"/>
        <v>25150</v>
      </c>
      <c r="AH31" s="1573">
        <f t="shared" si="43"/>
        <v>19299</v>
      </c>
      <c r="AI31" s="1573">
        <f>SUM(AI32:AI36)</f>
        <v>18636</v>
      </c>
      <c r="AJ31" s="1573">
        <f>SUM(AJ32:AJ36)</f>
        <v>14606</v>
      </c>
      <c r="AK31" s="1573">
        <f>SUM(AK32:AK36)</f>
        <v>16977</v>
      </c>
      <c r="AL31" s="1573">
        <f>SUM(AL32:AL36)</f>
        <v>17713</v>
      </c>
      <c r="AM31" s="1574">
        <f>SUM(AM32:AM36)</f>
        <v>30530</v>
      </c>
      <c r="AN31" s="1575">
        <f>SUM(AN32:AN38)</f>
        <v>222134</v>
      </c>
      <c r="AO31" s="1572">
        <f t="shared" ref="AO31:AZ31" si="44">SUM(AO32:AO36)</f>
        <v>12628</v>
      </c>
      <c r="AP31" s="1573">
        <f t="shared" si="44"/>
        <v>10187</v>
      </c>
      <c r="AQ31" s="1573">
        <f t="shared" si="44"/>
        <v>22324</v>
      </c>
      <c r="AR31" s="1573">
        <f t="shared" si="44"/>
        <v>6861</v>
      </c>
      <c r="AS31" s="1573">
        <f t="shared" si="44"/>
        <v>14405</v>
      </c>
      <c r="AT31" s="1573">
        <f t="shared" si="44"/>
        <v>17211</v>
      </c>
      <c r="AU31" s="1573">
        <f t="shared" si="44"/>
        <v>8555</v>
      </c>
      <c r="AV31" s="1573">
        <f t="shared" si="44"/>
        <v>30423</v>
      </c>
      <c r="AW31" s="1573">
        <f t="shared" si="44"/>
        <v>25539</v>
      </c>
      <c r="AX31" s="1573">
        <f t="shared" si="44"/>
        <v>30108</v>
      </c>
      <c r="AY31" s="1573">
        <f t="shared" si="44"/>
        <v>26602</v>
      </c>
      <c r="AZ31" s="1574">
        <f t="shared" si="44"/>
        <v>55631</v>
      </c>
      <c r="BA31" s="1575">
        <f>SUM(AO31:AZ31)</f>
        <v>260474</v>
      </c>
      <c r="BB31" s="1572">
        <f t="shared" ref="BB31:BM31" si="45">SUM(BB32:BB36)</f>
        <v>12026</v>
      </c>
      <c r="BC31" s="1573">
        <f t="shared" si="45"/>
        <v>11858</v>
      </c>
      <c r="BD31" s="1573">
        <f t="shared" si="45"/>
        <v>13039</v>
      </c>
      <c r="BE31" s="1573">
        <f t="shared" si="45"/>
        <v>10087</v>
      </c>
      <c r="BF31" s="1573">
        <f t="shared" si="45"/>
        <v>34815</v>
      </c>
      <c r="BG31" s="1573">
        <f t="shared" si="45"/>
        <v>38647</v>
      </c>
      <c r="BH31" s="1573">
        <f t="shared" si="45"/>
        <v>14490</v>
      </c>
      <c r="BI31" s="1573">
        <f t="shared" si="45"/>
        <v>18613</v>
      </c>
      <c r="BJ31" s="1573">
        <f t="shared" si="45"/>
        <v>20958</v>
      </c>
      <c r="BK31" s="1573">
        <f t="shared" si="45"/>
        <v>61801</v>
      </c>
      <c r="BL31" s="1573">
        <f t="shared" si="45"/>
        <v>79362</v>
      </c>
      <c r="BM31" s="1574">
        <f t="shared" si="45"/>
        <v>34833</v>
      </c>
      <c r="BN31" s="1575">
        <f t="shared" ref="BN31:BN36" si="46">SUM(BB31:BM31)</f>
        <v>350529</v>
      </c>
      <c r="BO31" s="1572">
        <f t="shared" ref="BO31:BZ31" si="47">SUM(BO32:BO36)</f>
        <v>5470</v>
      </c>
      <c r="BP31" s="1573">
        <f t="shared" si="47"/>
        <v>26238</v>
      </c>
      <c r="BQ31" s="1573">
        <f t="shared" si="47"/>
        <v>28467</v>
      </c>
      <c r="BR31" s="1573">
        <f t="shared" si="47"/>
        <v>41210</v>
      </c>
      <c r="BS31" s="1573">
        <f t="shared" si="47"/>
        <v>27832</v>
      </c>
      <c r="BT31" s="1573">
        <f t="shared" si="47"/>
        <v>52663</v>
      </c>
      <c r="BU31" s="1573">
        <f t="shared" si="47"/>
        <v>3908</v>
      </c>
      <c r="BV31" s="1573">
        <f t="shared" si="47"/>
        <v>20209</v>
      </c>
      <c r="BW31" s="1573">
        <f t="shared" si="47"/>
        <v>34113</v>
      </c>
      <c r="BX31" s="1573">
        <f t="shared" si="47"/>
        <v>55607</v>
      </c>
      <c r="BY31" s="1573">
        <f t="shared" si="47"/>
        <v>61650</v>
      </c>
      <c r="BZ31" s="1574">
        <f t="shared" si="47"/>
        <v>34843</v>
      </c>
      <c r="CA31" s="1575">
        <f t="shared" ref="CA31:CA36" si="48">SUM(BO31:BZ31)</f>
        <v>392210</v>
      </c>
      <c r="CB31" s="1572">
        <f t="shared" ref="CB31:CM31" si="49">SUM(CB32:CB36)</f>
        <v>48870</v>
      </c>
      <c r="CC31" s="1573">
        <f t="shared" si="49"/>
        <v>25955</v>
      </c>
      <c r="CD31" s="1573">
        <f t="shared" si="49"/>
        <v>21799</v>
      </c>
      <c r="CE31" s="1573">
        <f t="shared" si="49"/>
        <v>13058</v>
      </c>
      <c r="CF31" s="1573">
        <f t="shared" si="49"/>
        <v>23096</v>
      </c>
      <c r="CG31" s="1573">
        <f t="shared" si="49"/>
        <v>84001</v>
      </c>
      <c r="CH31" s="1573">
        <f t="shared" si="49"/>
        <v>19339</v>
      </c>
      <c r="CI31" s="1573">
        <f t="shared" si="49"/>
        <v>28911</v>
      </c>
      <c r="CJ31" s="1573">
        <f t="shared" si="49"/>
        <v>32268</v>
      </c>
      <c r="CK31" s="1573">
        <f t="shared" si="49"/>
        <v>14571</v>
      </c>
      <c r="CL31" s="1573">
        <f t="shared" si="49"/>
        <v>37281</v>
      </c>
      <c r="CM31" s="1574">
        <f t="shared" si="49"/>
        <v>108397</v>
      </c>
      <c r="CN31" s="1575">
        <f t="shared" ref="CN31:CN36" si="50">SUM(CB31:CM31)</f>
        <v>457546</v>
      </c>
      <c r="CO31" s="1572">
        <f t="shared" ref="CO31:CZ31" si="51">SUM(CO32:CO36)</f>
        <v>12506</v>
      </c>
      <c r="CP31" s="1573">
        <f t="shared" si="51"/>
        <v>11365</v>
      </c>
      <c r="CQ31" s="1573">
        <f t="shared" si="51"/>
        <v>15887</v>
      </c>
      <c r="CR31" s="1573">
        <f t="shared" si="51"/>
        <v>72418</v>
      </c>
      <c r="CS31" s="1573">
        <f t="shared" si="51"/>
        <v>809</v>
      </c>
      <c r="CT31" s="1573">
        <f t="shared" si="51"/>
        <v>11924</v>
      </c>
      <c r="CU31" s="1573">
        <f t="shared" si="51"/>
        <v>31520</v>
      </c>
      <c r="CV31" s="1573">
        <f t="shared" si="51"/>
        <v>54640</v>
      </c>
      <c r="CW31" s="1573">
        <f t="shared" si="51"/>
        <v>70267</v>
      </c>
      <c r="CX31" s="1573">
        <f t="shared" si="51"/>
        <v>75249</v>
      </c>
      <c r="CY31" s="1573">
        <f t="shared" si="51"/>
        <v>98767</v>
      </c>
      <c r="CZ31" s="1574">
        <f t="shared" si="51"/>
        <v>155573</v>
      </c>
      <c r="DA31" s="1575">
        <f t="shared" si="15"/>
        <v>610925</v>
      </c>
      <c r="DB31" s="1572">
        <f t="shared" ref="DB31:DZ31" si="52">SUM(DB32:DB36)</f>
        <v>2463</v>
      </c>
      <c r="DC31" s="1573">
        <f t="shared" si="52"/>
        <v>15630</v>
      </c>
      <c r="DD31" s="1573">
        <f t="shared" si="52"/>
        <v>25637</v>
      </c>
      <c r="DE31" s="1573">
        <f t="shared" si="52"/>
        <v>42857</v>
      </c>
      <c r="DF31" s="1573">
        <f t="shared" si="52"/>
        <v>29991</v>
      </c>
      <c r="DG31" s="1573">
        <f t="shared" si="52"/>
        <v>40215</v>
      </c>
      <c r="DH31" s="1573">
        <f t="shared" si="52"/>
        <v>47763</v>
      </c>
      <c r="DI31" s="1573">
        <f t="shared" si="52"/>
        <v>49407</v>
      </c>
      <c r="DJ31" s="1573">
        <f t="shared" si="52"/>
        <v>36050</v>
      </c>
      <c r="DK31" s="1573">
        <f t="shared" si="52"/>
        <v>30834</v>
      </c>
      <c r="DL31" s="1573">
        <f t="shared" si="52"/>
        <v>24195</v>
      </c>
      <c r="DM31" s="1574">
        <f t="shared" si="52"/>
        <v>95030</v>
      </c>
      <c r="DN31" s="1575">
        <f t="shared" si="27"/>
        <v>440072</v>
      </c>
      <c r="DO31" s="1572">
        <f t="shared" si="52"/>
        <v>2210</v>
      </c>
      <c r="DP31" s="1573">
        <f t="shared" si="52"/>
        <v>16268</v>
      </c>
      <c r="DQ31" s="1573">
        <f t="shared" si="52"/>
        <v>47413</v>
      </c>
      <c r="DR31" s="1573">
        <f t="shared" si="52"/>
        <v>21067</v>
      </c>
      <c r="DS31" s="1573">
        <f t="shared" si="52"/>
        <v>27977</v>
      </c>
      <c r="DT31" s="1573">
        <f t="shared" si="52"/>
        <v>26728</v>
      </c>
      <c r="DU31" s="1573">
        <f t="shared" si="52"/>
        <v>24845</v>
      </c>
      <c r="DV31" s="1573">
        <f t="shared" si="52"/>
        <v>33573</v>
      </c>
      <c r="DW31" s="1573">
        <f t="shared" si="52"/>
        <v>25950</v>
      </c>
      <c r="DX31" s="1573">
        <f t="shared" si="52"/>
        <v>31551</v>
      </c>
      <c r="DY31" s="1573">
        <f t="shared" si="52"/>
        <v>28597</v>
      </c>
      <c r="DZ31" s="1574">
        <f t="shared" si="52"/>
        <v>73134</v>
      </c>
      <c r="EA31" s="1575">
        <f t="shared" ref="EA31:EA36" si="53">SUM(DO31:DZ31)</f>
        <v>359313</v>
      </c>
      <c r="EB31" s="1572">
        <f t="shared" ref="EB31:EM31" si="54">SUM(EB32:EB36)</f>
        <v>4600</v>
      </c>
      <c r="EC31" s="1573">
        <f t="shared" si="54"/>
        <v>12253</v>
      </c>
      <c r="ED31" s="1573">
        <f t="shared" si="54"/>
        <v>17066</v>
      </c>
      <c r="EE31" s="1573">
        <f t="shared" si="54"/>
        <v>25516</v>
      </c>
      <c r="EF31" s="1573">
        <f t="shared" si="54"/>
        <v>18917</v>
      </c>
      <c r="EG31" s="1573">
        <f t="shared" si="54"/>
        <v>19911</v>
      </c>
      <c r="EH31" s="1573">
        <f t="shared" si="54"/>
        <v>16183</v>
      </c>
      <c r="EI31" s="1573">
        <f t="shared" si="54"/>
        <v>17220</v>
      </c>
      <c r="EJ31" s="1573">
        <f t="shared" si="54"/>
        <v>17315</v>
      </c>
      <c r="EK31" s="1573">
        <f t="shared" si="54"/>
        <v>21612</v>
      </c>
      <c r="EL31" s="1573">
        <f t="shared" si="54"/>
        <v>27145</v>
      </c>
      <c r="EM31" s="1574">
        <f t="shared" si="54"/>
        <v>47517</v>
      </c>
      <c r="EN31" s="1575">
        <f t="shared" ref="EN31:EN36" si="55">SUM(EB31:EM31)</f>
        <v>245255</v>
      </c>
      <c r="EO31" s="1572">
        <f t="shared" ref="EO31:EZ31" si="56">SUM(EO32:EO36)</f>
        <v>2850</v>
      </c>
      <c r="EP31" s="1573">
        <f t="shared" si="56"/>
        <v>11445</v>
      </c>
      <c r="EQ31" s="1573">
        <f t="shared" si="56"/>
        <v>17681</v>
      </c>
      <c r="ER31" s="1573">
        <f t="shared" si="56"/>
        <v>13027</v>
      </c>
      <c r="ES31" s="1573">
        <f t="shared" si="56"/>
        <v>17745</v>
      </c>
      <c r="ET31" s="1573">
        <f t="shared" si="56"/>
        <v>19320</v>
      </c>
      <c r="EU31" s="1573">
        <f t="shared" si="56"/>
        <v>35067</v>
      </c>
      <c r="EV31" s="1573">
        <f t="shared" si="56"/>
        <v>25536</v>
      </c>
      <c r="EW31" s="1573">
        <f t="shared" si="56"/>
        <v>26932</v>
      </c>
      <c r="EX31" s="1573">
        <f t="shared" si="56"/>
        <v>21230</v>
      </c>
      <c r="EY31" s="1573">
        <f t="shared" si="56"/>
        <v>31303</v>
      </c>
      <c r="EZ31" s="1574">
        <f t="shared" si="56"/>
        <v>82082</v>
      </c>
      <c r="FA31" s="1575">
        <f t="shared" ref="FA31:FA36" si="57">SUM(EO31:EZ31)</f>
        <v>304218</v>
      </c>
      <c r="FB31" s="1572">
        <f t="shared" ref="FB31:FM31" si="58">SUM(FB32:FB36)</f>
        <v>7707</v>
      </c>
      <c r="FC31" s="1573">
        <f t="shared" si="58"/>
        <v>20237</v>
      </c>
      <c r="FD31" s="1573">
        <f t="shared" si="58"/>
        <v>12794</v>
      </c>
      <c r="FE31" s="1573">
        <f t="shared" si="58"/>
        <v>6782</v>
      </c>
      <c r="FF31" s="1573">
        <f t="shared" si="58"/>
        <v>5256</v>
      </c>
      <c r="FG31" s="1573">
        <f t="shared" si="58"/>
        <v>14534</v>
      </c>
      <c r="FH31" s="1573">
        <f t="shared" si="58"/>
        <v>13237</v>
      </c>
      <c r="FI31" s="1573">
        <f t="shared" si="58"/>
        <v>24526</v>
      </c>
      <c r="FJ31" s="1573">
        <f t="shared" si="58"/>
        <v>22180</v>
      </c>
      <c r="FK31" s="1573">
        <f t="shared" si="58"/>
        <v>31441</v>
      </c>
      <c r="FL31" s="1573">
        <f t="shared" si="58"/>
        <v>40829</v>
      </c>
      <c r="FM31" s="1574">
        <f t="shared" si="58"/>
        <v>65086</v>
      </c>
      <c r="FN31" s="1575">
        <f t="shared" ref="FN31:FN36" si="59">SUM(FB31:FM31)</f>
        <v>264609</v>
      </c>
      <c r="FO31" s="1572">
        <f t="shared" ref="FO31:GM31" si="60">SUM(FO32:FO36)</f>
        <v>14752</v>
      </c>
      <c r="FP31" s="1573">
        <f t="shared" si="60"/>
        <v>14993</v>
      </c>
      <c r="FQ31" s="1573">
        <f t="shared" si="60"/>
        <v>20807</v>
      </c>
      <c r="FR31" s="1573">
        <f t="shared" si="60"/>
        <v>14297</v>
      </c>
      <c r="FS31" s="1573">
        <f t="shared" si="60"/>
        <v>16755</v>
      </c>
      <c r="FT31" s="1573">
        <f t="shared" si="60"/>
        <v>27374</v>
      </c>
      <c r="FU31" s="1573">
        <f t="shared" si="60"/>
        <v>21409</v>
      </c>
      <c r="FV31" s="1573">
        <f t="shared" si="60"/>
        <v>19714</v>
      </c>
      <c r="FW31" s="1573">
        <f t="shared" si="60"/>
        <v>15392</v>
      </c>
      <c r="FX31" s="1573">
        <f t="shared" si="60"/>
        <v>18597</v>
      </c>
      <c r="FY31" s="1573">
        <f t="shared" si="60"/>
        <v>17395</v>
      </c>
      <c r="FZ31" s="1574">
        <f t="shared" si="60"/>
        <v>38343</v>
      </c>
      <c r="GA31" s="1575">
        <f t="shared" si="32"/>
        <v>239828</v>
      </c>
      <c r="GB31" s="1572">
        <f t="shared" si="60"/>
        <v>10873</v>
      </c>
      <c r="GC31" s="1573">
        <f t="shared" si="60"/>
        <v>6985</v>
      </c>
      <c r="GD31" s="1573">
        <f t="shared" si="60"/>
        <v>22510</v>
      </c>
      <c r="GE31" s="1573">
        <f t="shared" si="60"/>
        <v>24190</v>
      </c>
      <c r="GF31" s="1573">
        <f t="shared" si="60"/>
        <v>38092</v>
      </c>
      <c r="GG31" s="1573">
        <f t="shared" si="60"/>
        <v>35731</v>
      </c>
      <c r="GH31" s="1573">
        <f t="shared" si="60"/>
        <v>36372</v>
      </c>
      <c r="GI31" s="1573">
        <f t="shared" si="60"/>
        <v>37269</v>
      </c>
      <c r="GJ31" s="1573">
        <f t="shared" si="60"/>
        <v>37891</v>
      </c>
      <c r="GK31" s="1573">
        <f t="shared" si="60"/>
        <v>45093</v>
      </c>
      <c r="GL31" s="1573">
        <f t="shared" si="60"/>
        <v>51590</v>
      </c>
      <c r="GM31" s="1574">
        <f t="shared" si="60"/>
        <v>62029</v>
      </c>
      <c r="GN31" s="1575">
        <f t="shared" si="33"/>
        <v>408625</v>
      </c>
      <c r="GO31" s="1572">
        <f t="shared" ref="GO31:GZ31" si="61">SUM(GO32:GO36)</f>
        <v>5760</v>
      </c>
      <c r="GP31" s="1573">
        <f t="shared" si="61"/>
        <v>15428</v>
      </c>
      <c r="GQ31" s="1573">
        <f t="shared" si="61"/>
        <v>28499</v>
      </c>
      <c r="GR31" s="1573">
        <f t="shared" si="61"/>
        <v>15774</v>
      </c>
      <c r="GS31" s="1573">
        <f t="shared" si="61"/>
        <v>19309</v>
      </c>
      <c r="GT31" s="1573">
        <f t="shared" si="61"/>
        <v>23234</v>
      </c>
      <c r="GU31" s="1573">
        <f t="shared" si="61"/>
        <v>49314</v>
      </c>
      <c r="GV31" s="1573">
        <f t="shared" si="61"/>
        <v>28134</v>
      </c>
      <c r="GW31" s="1573">
        <f t="shared" si="61"/>
        <v>34555</v>
      </c>
      <c r="GX31" s="1573">
        <f t="shared" si="61"/>
        <v>30695</v>
      </c>
      <c r="GY31" s="1573">
        <f t="shared" si="61"/>
        <v>47677</v>
      </c>
      <c r="GZ31" s="1574">
        <f t="shared" si="61"/>
        <v>78324</v>
      </c>
      <c r="HA31" s="1575">
        <f t="shared" si="34"/>
        <v>376703</v>
      </c>
      <c r="HB31" s="1572">
        <f t="shared" ref="HB31:HM31" si="62">SUM(HB32:HB36)</f>
        <v>21217</v>
      </c>
      <c r="HC31" s="1573">
        <f t="shared" si="62"/>
        <v>22576</v>
      </c>
      <c r="HD31" s="1573">
        <f t="shared" si="62"/>
        <v>23292</v>
      </c>
      <c r="HE31" s="1573">
        <f t="shared" si="62"/>
        <v>40824</v>
      </c>
      <c r="HF31" s="1573">
        <f t="shared" si="62"/>
        <v>39902</v>
      </c>
      <c r="HG31" s="1573">
        <f t="shared" si="62"/>
        <v>44753</v>
      </c>
      <c r="HH31" s="1573">
        <f t="shared" si="62"/>
        <v>36232</v>
      </c>
      <c r="HI31" s="1573">
        <f t="shared" si="62"/>
        <v>43123</v>
      </c>
      <c r="HJ31" s="1573">
        <f t="shared" si="62"/>
        <v>27624</v>
      </c>
      <c r="HK31" s="1573">
        <f t="shared" si="62"/>
        <v>53233</v>
      </c>
      <c r="HL31" s="1573">
        <f t="shared" si="62"/>
        <v>58465</v>
      </c>
      <c r="HM31" s="1574">
        <f t="shared" si="62"/>
        <v>133319</v>
      </c>
      <c r="HN31" s="1575">
        <f t="shared" si="35"/>
        <v>544560</v>
      </c>
      <c r="HO31" s="1572">
        <f t="shared" ref="HO31:HZ31" si="63">SUM(HO32:HO36)</f>
        <v>8926</v>
      </c>
      <c r="HP31" s="1573">
        <f t="shared" si="63"/>
        <v>73868</v>
      </c>
      <c r="HQ31" s="1573">
        <f t="shared" si="63"/>
        <v>35342</v>
      </c>
      <c r="HR31" s="1573">
        <f t="shared" si="63"/>
        <v>73008</v>
      </c>
      <c r="HS31" s="1573">
        <f t="shared" si="63"/>
        <v>82095</v>
      </c>
      <c r="HT31" s="1573">
        <f t="shared" si="63"/>
        <v>35167</v>
      </c>
      <c r="HU31" s="1573">
        <f t="shared" si="63"/>
        <v>39011</v>
      </c>
      <c r="HV31" s="1573">
        <f t="shared" si="63"/>
        <v>45244</v>
      </c>
      <c r="HW31" s="1573">
        <f t="shared" si="63"/>
        <v>48658</v>
      </c>
      <c r="HX31" s="1573">
        <f t="shared" si="63"/>
        <v>62227</v>
      </c>
      <c r="HY31" s="1573">
        <f t="shared" si="63"/>
        <v>49605</v>
      </c>
      <c r="HZ31" s="1574">
        <f t="shared" si="63"/>
        <v>84900</v>
      </c>
      <c r="IA31" s="1572">
        <f t="shared" si="36"/>
        <v>638051</v>
      </c>
      <c r="IB31" s="1572">
        <f t="shared" ref="IB31:IE31" si="64">SUM(IB32:IB36)</f>
        <v>41894</v>
      </c>
      <c r="IC31" s="1573">
        <f t="shared" si="64"/>
        <v>32712</v>
      </c>
      <c r="ID31" s="1573">
        <f t="shared" si="64"/>
        <v>41835</v>
      </c>
      <c r="IE31" s="1573">
        <f t="shared" si="64"/>
        <v>37118</v>
      </c>
      <c r="IF31" s="1573">
        <v>44811</v>
      </c>
      <c r="IG31" s="1573">
        <f t="shared" ref="IG31" si="65">SUM(IG32:IG36)</f>
        <v>49262</v>
      </c>
      <c r="IH31" s="1573">
        <v>74711</v>
      </c>
      <c r="II31" s="1573">
        <f t="shared" ref="II31" si="66">SUM(II32:II36)</f>
        <v>60785</v>
      </c>
      <c r="IJ31" s="1573"/>
      <c r="IK31" s="1573"/>
      <c r="IL31" s="1573"/>
      <c r="IM31" s="1574"/>
      <c r="IN31" s="1575">
        <f t="shared" si="37"/>
        <v>383128</v>
      </c>
      <c r="IO31" s="1209"/>
      <c r="IP31" s="1598">
        <f t="shared" si="38"/>
        <v>34.349305985324023</v>
      </c>
      <c r="IQ31" s="1598">
        <f t="shared" si="39"/>
        <v>-2.4277939494882328</v>
      </c>
      <c r="IR31" s="1599">
        <f t="shared" si="40"/>
        <v>392661</v>
      </c>
      <c r="IS31" s="1599">
        <f t="shared" si="41"/>
        <v>383128</v>
      </c>
      <c r="IV31"/>
      <c r="IW31"/>
      <c r="IX31"/>
      <c r="IY31"/>
      <c r="IZ31"/>
      <c r="JA31"/>
      <c r="JB31"/>
      <c r="JC31"/>
      <c r="JD31"/>
    </row>
    <row r="32" spans="1:264" ht="15" customHeight="1" x14ac:dyDescent="0.2">
      <c r="A32" s="309" t="s">
        <v>459</v>
      </c>
      <c r="B32" s="1576"/>
      <c r="C32" s="1577"/>
      <c r="D32" s="1577"/>
      <c r="E32" s="1577"/>
      <c r="F32" s="1577"/>
      <c r="G32" s="1577"/>
      <c r="H32" s="1577"/>
      <c r="I32" s="1577"/>
      <c r="J32" s="1577"/>
      <c r="K32" s="1577"/>
      <c r="L32" s="1577"/>
      <c r="M32" s="1578"/>
      <c r="N32" s="1579"/>
      <c r="O32" s="1576"/>
      <c r="P32" s="1577"/>
      <c r="Q32" s="1577"/>
      <c r="R32" s="1577"/>
      <c r="S32" s="1577"/>
      <c r="T32" s="1577"/>
      <c r="U32" s="1577"/>
      <c r="V32" s="1577"/>
      <c r="W32" s="1577"/>
      <c r="X32" s="1577"/>
      <c r="Y32" s="1577"/>
      <c r="Z32" s="1578"/>
      <c r="AA32" s="1579"/>
      <c r="AB32" s="1576">
        <v>2157</v>
      </c>
      <c r="AC32" s="1577">
        <v>9398</v>
      </c>
      <c r="AD32" s="1577">
        <v>7857</v>
      </c>
      <c r="AE32" s="1577">
        <v>8527</v>
      </c>
      <c r="AF32" s="1577">
        <v>9136</v>
      </c>
      <c r="AG32" s="1577">
        <v>11237</v>
      </c>
      <c r="AH32" s="1577">
        <v>11563</v>
      </c>
      <c r="AI32" s="1577">
        <v>10426</v>
      </c>
      <c r="AJ32" s="1577">
        <v>11301</v>
      </c>
      <c r="AK32" s="1577">
        <v>11441</v>
      </c>
      <c r="AL32" s="1577">
        <v>15516</v>
      </c>
      <c r="AM32" s="1578">
        <v>25487</v>
      </c>
      <c r="AN32" s="1579">
        <f t="shared" ref="AN32:AN38" si="67">SUM(AB32:AM32)</f>
        <v>134046</v>
      </c>
      <c r="AO32" s="1576">
        <v>2128</v>
      </c>
      <c r="AP32" s="1577">
        <v>7289</v>
      </c>
      <c r="AQ32" s="1577">
        <v>7502</v>
      </c>
      <c r="AR32" s="1577">
        <v>6258</v>
      </c>
      <c r="AS32" s="1577">
        <v>8779</v>
      </c>
      <c r="AT32" s="1577">
        <v>6214</v>
      </c>
      <c r="AU32" s="1577">
        <v>7915</v>
      </c>
      <c r="AV32" s="1577">
        <v>8682</v>
      </c>
      <c r="AW32" s="1577">
        <v>17345</v>
      </c>
      <c r="AX32" s="1577">
        <v>21935</v>
      </c>
      <c r="AY32" s="1577">
        <v>14523</v>
      </c>
      <c r="AZ32" s="1578">
        <v>42600</v>
      </c>
      <c r="BA32" s="1579">
        <f t="shared" ref="BA32:BA38" si="68">SUM(AO32:AZ32)</f>
        <v>151170</v>
      </c>
      <c r="BB32" s="1576">
        <v>8136</v>
      </c>
      <c r="BC32" s="1577">
        <v>8028</v>
      </c>
      <c r="BD32" s="1577">
        <v>9738</v>
      </c>
      <c r="BE32" s="1577">
        <v>6220</v>
      </c>
      <c r="BF32" s="1577">
        <v>28723</v>
      </c>
      <c r="BG32" s="1577">
        <v>28324</v>
      </c>
      <c r="BH32" s="1577">
        <v>9245</v>
      </c>
      <c r="BI32" s="1577">
        <v>9733</v>
      </c>
      <c r="BJ32" s="1577">
        <v>11978</v>
      </c>
      <c r="BK32" s="1577">
        <v>46885</v>
      </c>
      <c r="BL32" s="1577">
        <v>40170</v>
      </c>
      <c r="BM32" s="1578">
        <v>24410</v>
      </c>
      <c r="BN32" s="1579">
        <f t="shared" si="46"/>
        <v>231590</v>
      </c>
      <c r="BO32" s="1576">
        <v>4334</v>
      </c>
      <c r="BP32" s="1577">
        <v>16624</v>
      </c>
      <c r="BQ32" s="1577">
        <v>22680</v>
      </c>
      <c r="BR32" s="1577">
        <v>29984</v>
      </c>
      <c r="BS32" s="1577">
        <v>21466</v>
      </c>
      <c r="BT32" s="1577">
        <v>40173</v>
      </c>
      <c r="BU32" s="1577">
        <v>1598</v>
      </c>
      <c r="BV32" s="1577">
        <v>10031</v>
      </c>
      <c r="BW32" s="1577">
        <v>30352</v>
      </c>
      <c r="BX32" s="1577">
        <v>28087</v>
      </c>
      <c r="BY32" s="1577">
        <v>44460</v>
      </c>
      <c r="BZ32" s="1578">
        <v>26630</v>
      </c>
      <c r="CA32" s="1579">
        <f t="shared" si="48"/>
        <v>276419</v>
      </c>
      <c r="CB32" s="1576">
        <v>31198</v>
      </c>
      <c r="CC32" s="1577">
        <v>25605</v>
      </c>
      <c r="CD32" s="1577">
        <v>11818</v>
      </c>
      <c r="CE32" s="1577">
        <v>11610</v>
      </c>
      <c r="CF32" s="1577">
        <v>16848</v>
      </c>
      <c r="CG32" s="1577">
        <v>73729</v>
      </c>
      <c r="CH32" s="1577">
        <v>17289</v>
      </c>
      <c r="CI32" s="1577">
        <v>24525</v>
      </c>
      <c r="CJ32" s="1577">
        <v>20621</v>
      </c>
      <c r="CK32" s="1577">
        <v>10823</v>
      </c>
      <c r="CL32" s="1577">
        <v>34819</v>
      </c>
      <c r="CM32" s="1578">
        <v>103680</v>
      </c>
      <c r="CN32" s="1579">
        <f t="shared" si="50"/>
        <v>382565</v>
      </c>
      <c r="CO32" s="1576">
        <v>12408</v>
      </c>
      <c r="CP32" s="1577">
        <v>11043</v>
      </c>
      <c r="CQ32" s="1577">
        <v>15437</v>
      </c>
      <c r="CR32" s="1577">
        <v>27978</v>
      </c>
      <c r="CS32" s="1577">
        <v>3666</v>
      </c>
      <c r="CT32" s="1577">
        <v>11363</v>
      </c>
      <c r="CU32" s="1577">
        <v>22891</v>
      </c>
      <c r="CV32" s="1577">
        <v>42192</v>
      </c>
      <c r="CW32" s="1577">
        <v>46507</v>
      </c>
      <c r="CX32" s="1577">
        <v>52117</v>
      </c>
      <c r="CY32" s="1577">
        <v>69932</v>
      </c>
      <c r="CZ32" s="1578">
        <v>119805</v>
      </c>
      <c r="DA32" s="1579">
        <f t="shared" si="15"/>
        <v>435339</v>
      </c>
      <c r="DB32" s="1576">
        <v>2463</v>
      </c>
      <c r="DC32" s="1577">
        <v>13776</v>
      </c>
      <c r="DD32" s="1577">
        <v>19440</v>
      </c>
      <c r="DE32" s="1577">
        <v>37273</v>
      </c>
      <c r="DF32" s="1577">
        <v>19637</v>
      </c>
      <c r="DG32" s="1577">
        <v>26121</v>
      </c>
      <c r="DH32" s="1577">
        <v>21204</v>
      </c>
      <c r="DI32" s="1577">
        <v>28062</v>
      </c>
      <c r="DJ32" s="1577">
        <v>23175</v>
      </c>
      <c r="DK32" s="1577">
        <v>16616</v>
      </c>
      <c r="DL32" s="1577">
        <v>16058</v>
      </c>
      <c r="DM32" s="1578">
        <v>74677</v>
      </c>
      <c r="DN32" s="1579">
        <f t="shared" si="27"/>
        <v>298502</v>
      </c>
      <c r="DO32" s="1576">
        <v>2209</v>
      </c>
      <c r="DP32" s="1577">
        <v>14607</v>
      </c>
      <c r="DQ32" s="1577">
        <v>43002</v>
      </c>
      <c r="DR32" s="1577">
        <v>12849</v>
      </c>
      <c r="DS32" s="1577">
        <v>19868</v>
      </c>
      <c r="DT32" s="1577">
        <v>20240</v>
      </c>
      <c r="DU32" s="1577">
        <v>18150</v>
      </c>
      <c r="DV32" s="1577">
        <v>22845</v>
      </c>
      <c r="DW32" s="1577">
        <v>18928</v>
      </c>
      <c r="DX32" s="1577">
        <v>23789</v>
      </c>
      <c r="DY32" s="1577">
        <v>19059</v>
      </c>
      <c r="DZ32" s="1578">
        <v>58455</v>
      </c>
      <c r="EA32" s="1579">
        <f t="shared" si="53"/>
        <v>274001</v>
      </c>
      <c r="EB32" s="1576">
        <v>4582</v>
      </c>
      <c r="EC32" s="1577">
        <v>9960</v>
      </c>
      <c r="ED32" s="1577">
        <v>13063</v>
      </c>
      <c r="EE32" s="1577">
        <v>18336</v>
      </c>
      <c r="EF32" s="1577">
        <v>12535</v>
      </c>
      <c r="EG32" s="1577">
        <v>16739</v>
      </c>
      <c r="EH32" s="1577">
        <v>8946</v>
      </c>
      <c r="EI32" s="1577">
        <v>12105</v>
      </c>
      <c r="EJ32" s="1577">
        <v>8100</v>
      </c>
      <c r="EK32" s="1577">
        <v>11903</v>
      </c>
      <c r="EL32" s="1577">
        <v>10989</v>
      </c>
      <c r="EM32" s="1578">
        <v>27898</v>
      </c>
      <c r="EN32" s="1579">
        <f t="shared" si="55"/>
        <v>155156</v>
      </c>
      <c r="EO32" s="1576">
        <v>2850</v>
      </c>
      <c r="EP32" s="1577">
        <v>10801</v>
      </c>
      <c r="EQ32" s="1577">
        <v>6509</v>
      </c>
      <c r="ER32" s="1577">
        <v>5875</v>
      </c>
      <c r="ES32" s="1577">
        <v>10812</v>
      </c>
      <c r="ET32" s="1577">
        <v>11316</v>
      </c>
      <c r="EU32" s="1577">
        <v>16772</v>
      </c>
      <c r="EV32" s="1577">
        <v>19425</v>
      </c>
      <c r="EW32" s="1577">
        <v>13219</v>
      </c>
      <c r="EX32" s="1577">
        <v>13695</v>
      </c>
      <c r="EY32" s="1577">
        <v>19379</v>
      </c>
      <c r="EZ32" s="1578">
        <v>56265</v>
      </c>
      <c r="FA32" s="1579">
        <f t="shared" si="57"/>
        <v>186918</v>
      </c>
      <c r="FB32" s="1576">
        <v>7705</v>
      </c>
      <c r="FC32" s="1577">
        <v>16600</v>
      </c>
      <c r="FD32" s="1577">
        <v>11744</v>
      </c>
      <c r="FE32" s="1577">
        <v>6327</v>
      </c>
      <c r="FF32" s="1577">
        <v>4861</v>
      </c>
      <c r="FG32" s="1577">
        <v>13774</v>
      </c>
      <c r="FH32" s="1577">
        <v>10994</v>
      </c>
      <c r="FI32" s="1577">
        <v>22386</v>
      </c>
      <c r="FJ32" s="1577">
        <v>16256</v>
      </c>
      <c r="FK32" s="1577">
        <v>12715</v>
      </c>
      <c r="FL32" s="1577">
        <v>18896</v>
      </c>
      <c r="FM32" s="1578">
        <v>44715</v>
      </c>
      <c r="FN32" s="1579">
        <f t="shared" si="59"/>
        <v>186973</v>
      </c>
      <c r="FO32" s="1576">
        <v>0</v>
      </c>
      <c r="FP32" s="1577">
        <v>67</v>
      </c>
      <c r="FQ32" s="1577">
        <v>264</v>
      </c>
      <c r="FR32" s="1577">
        <v>579</v>
      </c>
      <c r="FS32" s="1577">
        <v>623</v>
      </c>
      <c r="FT32" s="1577">
        <v>306</v>
      </c>
      <c r="FU32" s="1577">
        <v>192</v>
      </c>
      <c r="FV32" s="1577">
        <v>240</v>
      </c>
      <c r="FW32" s="1577">
        <v>221</v>
      </c>
      <c r="FX32" s="1577">
        <v>326</v>
      </c>
      <c r="FY32" s="1577">
        <v>284</v>
      </c>
      <c r="FZ32" s="1578">
        <v>1503</v>
      </c>
      <c r="GA32" s="1579">
        <f t="shared" si="32"/>
        <v>4605</v>
      </c>
      <c r="GB32" s="1576">
        <v>2717</v>
      </c>
      <c r="GC32" s="1577">
        <v>3295</v>
      </c>
      <c r="GD32" s="1577">
        <v>8358</v>
      </c>
      <c r="GE32" s="1577">
        <v>13172</v>
      </c>
      <c r="GF32" s="1577">
        <v>10617</v>
      </c>
      <c r="GG32" s="1577">
        <v>4503</v>
      </c>
      <c r="GH32" s="1577">
        <v>7164</v>
      </c>
      <c r="GI32" s="1577">
        <v>7819</v>
      </c>
      <c r="GJ32" s="1577">
        <v>6336</v>
      </c>
      <c r="GK32" s="1577">
        <v>7001</v>
      </c>
      <c r="GL32" s="1577">
        <v>8060</v>
      </c>
      <c r="GM32" s="1578">
        <v>8859</v>
      </c>
      <c r="GN32" s="1579">
        <f t="shared" si="33"/>
        <v>87901</v>
      </c>
      <c r="GO32" s="1576">
        <v>1859</v>
      </c>
      <c r="GP32" s="1577">
        <v>1903</v>
      </c>
      <c r="GQ32" s="1577">
        <v>4943</v>
      </c>
      <c r="GR32" s="1577">
        <v>3878</v>
      </c>
      <c r="GS32" s="1577">
        <v>3404</v>
      </c>
      <c r="GT32" s="1577">
        <v>6154</v>
      </c>
      <c r="GU32" s="1577">
        <v>7367</v>
      </c>
      <c r="GV32" s="1577">
        <v>7721</v>
      </c>
      <c r="GW32" s="1577">
        <v>3795</v>
      </c>
      <c r="GX32" s="1577">
        <v>3786</v>
      </c>
      <c r="GY32" s="1577">
        <v>6189</v>
      </c>
      <c r="GZ32" s="1578">
        <v>16577</v>
      </c>
      <c r="HA32" s="1579">
        <f t="shared" si="34"/>
        <v>67576</v>
      </c>
      <c r="HB32" s="1576">
        <v>1840</v>
      </c>
      <c r="HC32" s="1577">
        <v>2347</v>
      </c>
      <c r="HD32" s="1577">
        <v>1728</v>
      </c>
      <c r="HE32" s="1577">
        <v>3214</v>
      </c>
      <c r="HF32" s="1577">
        <v>2168</v>
      </c>
      <c r="HG32" s="1577">
        <v>2715</v>
      </c>
      <c r="HH32" s="1577">
        <v>2800</v>
      </c>
      <c r="HI32" s="1577">
        <v>6674</v>
      </c>
      <c r="HJ32" s="1577">
        <v>2135</v>
      </c>
      <c r="HK32" s="1577">
        <v>13300</v>
      </c>
      <c r="HL32" s="1577">
        <v>14565</v>
      </c>
      <c r="HM32" s="1578">
        <v>25965</v>
      </c>
      <c r="HN32" s="1579">
        <f t="shared" si="35"/>
        <v>79451</v>
      </c>
      <c r="HO32" s="1576">
        <v>1808</v>
      </c>
      <c r="HP32" s="1577">
        <v>26828</v>
      </c>
      <c r="HQ32" s="1577">
        <v>6489</v>
      </c>
      <c r="HR32" s="1577">
        <v>14068</v>
      </c>
      <c r="HS32" s="1577">
        <v>11971</v>
      </c>
      <c r="HT32" s="1577">
        <v>3775</v>
      </c>
      <c r="HU32" s="1577">
        <v>4294</v>
      </c>
      <c r="HV32" s="1577">
        <v>4395</v>
      </c>
      <c r="HW32" s="1577">
        <v>5086</v>
      </c>
      <c r="HX32" s="1577">
        <v>9795</v>
      </c>
      <c r="HY32" s="1577">
        <v>5651</v>
      </c>
      <c r="HZ32" s="1578">
        <v>10025</v>
      </c>
      <c r="IA32" s="1576">
        <f t="shared" si="36"/>
        <v>104185</v>
      </c>
      <c r="IB32" s="1569">
        <v>25179</v>
      </c>
      <c r="IC32" s="1068">
        <v>3089</v>
      </c>
      <c r="ID32" s="1068">
        <v>3405</v>
      </c>
      <c r="IE32" s="1068">
        <v>4634</v>
      </c>
      <c r="IF32" s="1068">
        <v>7576</v>
      </c>
      <c r="IG32" s="1068">
        <v>5178</v>
      </c>
      <c r="IH32" s="1068">
        <v>15193</v>
      </c>
      <c r="II32" s="1068">
        <v>10845</v>
      </c>
      <c r="IJ32" s="1068"/>
      <c r="IK32" s="1068"/>
      <c r="IL32" s="1068"/>
      <c r="IM32" s="1570"/>
      <c r="IN32" s="1571">
        <f t="shared" si="37"/>
        <v>75099</v>
      </c>
      <c r="IP32" s="1656">
        <f t="shared" si="38"/>
        <v>146.75767918088738</v>
      </c>
      <c r="IQ32" s="1656">
        <f t="shared" si="39"/>
        <v>1.9978812408322888</v>
      </c>
      <c r="IR32" s="1657">
        <f t="shared" si="40"/>
        <v>73628</v>
      </c>
      <c r="IS32" s="1657">
        <f t="shared" si="41"/>
        <v>75099</v>
      </c>
      <c r="IT32" s="1659"/>
      <c r="IU32" s="1659"/>
    </row>
    <row r="33" spans="1:255" ht="15" customHeight="1" x14ac:dyDescent="0.2">
      <c r="A33" s="309" t="s">
        <v>402</v>
      </c>
      <c r="B33" s="1576"/>
      <c r="C33" s="1577"/>
      <c r="D33" s="1577"/>
      <c r="E33" s="1577"/>
      <c r="F33" s="1577"/>
      <c r="G33" s="1577"/>
      <c r="H33" s="1577"/>
      <c r="I33" s="1577"/>
      <c r="J33" s="1577"/>
      <c r="K33" s="1577"/>
      <c r="L33" s="1577"/>
      <c r="M33" s="1578"/>
      <c r="N33" s="1579"/>
      <c r="O33" s="1576"/>
      <c r="P33" s="1577"/>
      <c r="Q33" s="1577"/>
      <c r="R33" s="1577"/>
      <c r="S33" s="1577"/>
      <c r="T33" s="1577"/>
      <c r="U33" s="1577"/>
      <c r="V33" s="1577"/>
      <c r="W33" s="1577"/>
      <c r="X33" s="1577"/>
      <c r="Y33" s="1577"/>
      <c r="Z33" s="1578"/>
      <c r="AA33" s="1579"/>
      <c r="AB33" s="1576">
        <v>10</v>
      </c>
      <c r="AC33" s="1577">
        <v>16</v>
      </c>
      <c r="AD33" s="1577">
        <v>18</v>
      </c>
      <c r="AE33" s="1577">
        <v>43</v>
      </c>
      <c r="AF33" s="1577">
        <v>85</v>
      </c>
      <c r="AG33" s="1577">
        <v>129</v>
      </c>
      <c r="AH33" s="1577">
        <v>117</v>
      </c>
      <c r="AI33" s="1577">
        <v>61</v>
      </c>
      <c r="AJ33" s="1577">
        <v>58</v>
      </c>
      <c r="AK33" s="1577">
        <v>71</v>
      </c>
      <c r="AL33" s="1577">
        <v>269</v>
      </c>
      <c r="AM33" s="1578">
        <v>211</v>
      </c>
      <c r="AN33" s="1579">
        <f t="shared" si="67"/>
        <v>1088</v>
      </c>
      <c r="AO33" s="1576">
        <v>0</v>
      </c>
      <c r="AP33" s="1577">
        <v>29</v>
      </c>
      <c r="AQ33" s="1577">
        <v>20</v>
      </c>
      <c r="AR33" s="1577">
        <v>30</v>
      </c>
      <c r="AS33" s="1577">
        <v>135</v>
      </c>
      <c r="AT33" s="1577">
        <v>173</v>
      </c>
      <c r="AU33" s="1577">
        <v>58</v>
      </c>
      <c r="AV33" s="1577">
        <v>107</v>
      </c>
      <c r="AW33" s="1577">
        <v>97</v>
      </c>
      <c r="AX33" s="1577">
        <v>104</v>
      </c>
      <c r="AY33" s="1577">
        <v>76</v>
      </c>
      <c r="AZ33" s="1578">
        <v>231</v>
      </c>
      <c r="BA33" s="1579">
        <f t="shared" si="68"/>
        <v>1060</v>
      </c>
      <c r="BB33" s="1576">
        <v>0</v>
      </c>
      <c r="BC33" s="1577">
        <v>257</v>
      </c>
      <c r="BD33" s="1577">
        <v>93</v>
      </c>
      <c r="BE33" s="1577">
        <v>58</v>
      </c>
      <c r="BF33" s="1577">
        <v>52</v>
      </c>
      <c r="BG33" s="1577">
        <v>47</v>
      </c>
      <c r="BH33" s="1577">
        <v>98</v>
      </c>
      <c r="BI33" s="1577">
        <v>159</v>
      </c>
      <c r="BJ33" s="1577">
        <v>43</v>
      </c>
      <c r="BK33" s="1577">
        <v>167</v>
      </c>
      <c r="BL33" s="1577">
        <v>142</v>
      </c>
      <c r="BM33" s="1578">
        <v>395</v>
      </c>
      <c r="BN33" s="1579">
        <f t="shared" si="46"/>
        <v>1511</v>
      </c>
      <c r="BO33" s="1576">
        <v>0</v>
      </c>
      <c r="BP33" s="1577">
        <v>1</v>
      </c>
      <c r="BQ33" s="1577">
        <v>65</v>
      </c>
      <c r="BR33" s="1577">
        <v>61</v>
      </c>
      <c r="BS33" s="1577">
        <v>105</v>
      </c>
      <c r="BT33" s="1577">
        <v>57</v>
      </c>
      <c r="BU33" s="1577">
        <v>43</v>
      </c>
      <c r="BV33" s="1577">
        <v>115</v>
      </c>
      <c r="BW33" s="1577">
        <v>399</v>
      </c>
      <c r="BX33" s="1577">
        <v>195</v>
      </c>
      <c r="BY33" s="1577">
        <v>422</v>
      </c>
      <c r="BZ33" s="1578">
        <v>1261</v>
      </c>
      <c r="CA33" s="1579">
        <f t="shared" si="48"/>
        <v>2724</v>
      </c>
      <c r="CB33" s="1576">
        <v>1</v>
      </c>
      <c r="CC33" s="1577">
        <v>4</v>
      </c>
      <c r="CD33" s="1577">
        <v>52</v>
      </c>
      <c r="CE33" s="1577">
        <v>73</v>
      </c>
      <c r="CF33" s="1577">
        <v>126</v>
      </c>
      <c r="CG33" s="1577">
        <v>272</v>
      </c>
      <c r="CH33" s="1577">
        <v>324</v>
      </c>
      <c r="CI33" s="1577">
        <v>161</v>
      </c>
      <c r="CJ33" s="1577">
        <v>85</v>
      </c>
      <c r="CK33" s="1577">
        <v>110</v>
      </c>
      <c r="CL33" s="1577">
        <v>409</v>
      </c>
      <c r="CM33" s="1578">
        <v>463</v>
      </c>
      <c r="CN33" s="1579">
        <f t="shared" si="50"/>
        <v>2080</v>
      </c>
      <c r="CO33" s="1576">
        <v>0</v>
      </c>
      <c r="CP33" s="1577">
        <v>2</v>
      </c>
      <c r="CQ33" s="1577">
        <v>141</v>
      </c>
      <c r="CR33" s="1577">
        <v>68</v>
      </c>
      <c r="CS33" s="1577">
        <v>65</v>
      </c>
      <c r="CT33" s="1577">
        <v>27</v>
      </c>
      <c r="CU33" s="1577">
        <v>177</v>
      </c>
      <c r="CV33" s="1577">
        <v>221</v>
      </c>
      <c r="CW33" s="1577">
        <v>169</v>
      </c>
      <c r="CX33" s="1577">
        <v>132</v>
      </c>
      <c r="CY33" s="1577">
        <v>151</v>
      </c>
      <c r="CZ33" s="1578">
        <v>268</v>
      </c>
      <c r="DA33" s="1579">
        <f t="shared" si="15"/>
        <v>1421</v>
      </c>
      <c r="DB33" s="1576">
        <v>0</v>
      </c>
      <c r="DC33" s="1577">
        <v>11</v>
      </c>
      <c r="DD33" s="1577">
        <v>39</v>
      </c>
      <c r="DE33" s="1577">
        <v>135</v>
      </c>
      <c r="DF33" s="1577">
        <v>133</v>
      </c>
      <c r="DG33" s="1577">
        <v>232</v>
      </c>
      <c r="DH33" s="1577">
        <v>249</v>
      </c>
      <c r="DI33" s="1577">
        <v>189</v>
      </c>
      <c r="DJ33" s="1577">
        <v>347</v>
      </c>
      <c r="DK33" s="1577">
        <v>413</v>
      </c>
      <c r="DL33" s="1577">
        <v>376</v>
      </c>
      <c r="DM33" s="1578">
        <v>733</v>
      </c>
      <c r="DN33" s="1579">
        <f t="shared" si="27"/>
        <v>2857</v>
      </c>
      <c r="DO33" s="1576">
        <v>1</v>
      </c>
      <c r="DP33" s="1577">
        <v>0</v>
      </c>
      <c r="DQ33" s="1577">
        <v>358</v>
      </c>
      <c r="DR33" s="1577">
        <v>20</v>
      </c>
      <c r="DS33" s="1577">
        <v>105</v>
      </c>
      <c r="DT33" s="1577">
        <v>127</v>
      </c>
      <c r="DU33" s="1577">
        <v>61</v>
      </c>
      <c r="DV33" s="1577">
        <v>121</v>
      </c>
      <c r="DW33" s="1577">
        <v>67</v>
      </c>
      <c r="DX33" s="1577">
        <v>107</v>
      </c>
      <c r="DY33" s="1577">
        <v>232</v>
      </c>
      <c r="DZ33" s="1578">
        <v>465</v>
      </c>
      <c r="EA33" s="1579">
        <f t="shared" si="53"/>
        <v>1664</v>
      </c>
      <c r="EB33" s="1576">
        <v>18</v>
      </c>
      <c r="EC33" s="1577">
        <v>4</v>
      </c>
      <c r="ED33" s="1577">
        <v>80</v>
      </c>
      <c r="EE33" s="1577">
        <v>186</v>
      </c>
      <c r="EF33" s="1577">
        <v>423</v>
      </c>
      <c r="EG33" s="1577">
        <v>215</v>
      </c>
      <c r="EH33" s="1577">
        <v>96</v>
      </c>
      <c r="EI33" s="1577">
        <v>57</v>
      </c>
      <c r="EJ33" s="1577">
        <v>56</v>
      </c>
      <c r="EK33" s="1577">
        <v>148</v>
      </c>
      <c r="EL33" s="1577">
        <v>114</v>
      </c>
      <c r="EM33" s="1578">
        <v>306</v>
      </c>
      <c r="EN33" s="1579">
        <f t="shared" si="55"/>
        <v>1703</v>
      </c>
      <c r="EO33" s="1576">
        <v>0</v>
      </c>
      <c r="EP33" s="1577">
        <v>34</v>
      </c>
      <c r="EQ33" s="1577">
        <v>100</v>
      </c>
      <c r="ER33" s="1577">
        <v>49</v>
      </c>
      <c r="ES33" s="1577">
        <v>32</v>
      </c>
      <c r="ET33" s="1577">
        <v>182</v>
      </c>
      <c r="EU33" s="1577">
        <v>122</v>
      </c>
      <c r="EV33" s="1577">
        <v>251</v>
      </c>
      <c r="EW33" s="1577">
        <v>604</v>
      </c>
      <c r="EX33" s="1577">
        <v>623</v>
      </c>
      <c r="EY33" s="1577">
        <v>256</v>
      </c>
      <c r="EZ33" s="1578">
        <v>1026</v>
      </c>
      <c r="FA33" s="1579">
        <f t="shared" si="57"/>
        <v>3279</v>
      </c>
      <c r="FB33" s="1576">
        <v>2</v>
      </c>
      <c r="FC33" s="1577">
        <v>389</v>
      </c>
      <c r="FD33" s="1577">
        <v>20</v>
      </c>
      <c r="FE33" s="1577">
        <v>34</v>
      </c>
      <c r="FF33" s="1577">
        <v>52</v>
      </c>
      <c r="FG33" s="1577">
        <v>375</v>
      </c>
      <c r="FH33" s="1577">
        <v>591</v>
      </c>
      <c r="FI33" s="1577">
        <v>288</v>
      </c>
      <c r="FJ33" s="1577">
        <v>153</v>
      </c>
      <c r="FK33" s="1577">
        <v>1352</v>
      </c>
      <c r="FL33" s="1577">
        <v>1048</v>
      </c>
      <c r="FM33" s="1578">
        <v>1744</v>
      </c>
      <c r="FN33" s="1579">
        <f t="shared" si="59"/>
        <v>6048</v>
      </c>
      <c r="FO33" s="1576">
        <v>0</v>
      </c>
      <c r="FP33" s="1577">
        <v>220</v>
      </c>
      <c r="FQ33" s="1577">
        <v>246</v>
      </c>
      <c r="FR33" s="1577">
        <v>208</v>
      </c>
      <c r="FS33" s="1577">
        <v>178</v>
      </c>
      <c r="FT33" s="1577">
        <v>272</v>
      </c>
      <c r="FU33" s="1577">
        <v>1664</v>
      </c>
      <c r="FV33" s="1577">
        <v>255</v>
      </c>
      <c r="FW33" s="1577">
        <v>523</v>
      </c>
      <c r="FX33" s="1577">
        <v>836</v>
      </c>
      <c r="FY33" s="1577">
        <v>1387</v>
      </c>
      <c r="FZ33" s="1578">
        <v>2791</v>
      </c>
      <c r="GA33" s="1579">
        <f t="shared" si="32"/>
        <v>8580</v>
      </c>
      <c r="GB33" s="1576">
        <v>0</v>
      </c>
      <c r="GC33" s="1577">
        <v>301</v>
      </c>
      <c r="GD33" s="1577">
        <v>501</v>
      </c>
      <c r="GE33" s="1577">
        <v>90</v>
      </c>
      <c r="GF33" s="1577">
        <v>426</v>
      </c>
      <c r="GG33" s="1577">
        <v>817</v>
      </c>
      <c r="GH33" s="1577">
        <v>555</v>
      </c>
      <c r="GI33" s="1577">
        <v>1041</v>
      </c>
      <c r="GJ33" s="1577">
        <v>2020</v>
      </c>
      <c r="GK33" s="1577">
        <v>1172</v>
      </c>
      <c r="GL33" s="1577">
        <v>1303</v>
      </c>
      <c r="GM33" s="1578">
        <v>2619</v>
      </c>
      <c r="GN33" s="1579">
        <f t="shared" si="33"/>
        <v>10845</v>
      </c>
      <c r="GO33" s="1576">
        <v>8</v>
      </c>
      <c r="GP33" s="1577">
        <v>76</v>
      </c>
      <c r="GQ33" s="1577">
        <v>66</v>
      </c>
      <c r="GR33" s="1577">
        <v>102</v>
      </c>
      <c r="GS33" s="1577">
        <v>100</v>
      </c>
      <c r="GT33" s="1577">
        <v>56</v>
      </c>
      <c r="GU33" s="1577">
        <v>120</v>
      </c>
      <c r="GV33" s="1577">
        <v>166</v>
      </c>
      <c r="GW33" s="1577">
        <v>259</v>
      </c>
      <c r="GX33" s="1577">
        <v>232</v>
      </c>
      <c r="GY33" s="1577">
        <v>511</v>
      </c>
      <c r="GZ33" s="1578">
        <v>907</v>
      </c>
      <c r="HA33" s="1579">
        <f t="shared" si="34"/>
        <v>2603</v>
      </c>
      <c r="HB33" s="1576">
        <v>91</v>
      </c>
      <c r="HC33" s="1577">
        <v>96</v>
      </c>
      <c r="HD33" s="1577">
        <v>88</v>
      </c>
      <c r="HE33" s="1577">
        <v>7</v>
      </c>
      <c r="HF33" s="1577">
        <v>76</v>
      </c>
      <c r="HG33" s="1577">
        <v>102</v>
      </c>
      <c r="HH33" s="1577">
        <v>57</v>
      </c>
      <c r="HI33" s="1577">
        <v>404</v>
      </c>
      <c r="HJ33" s="1577">
        <v>439</v>
      </c>
      <c r="HK33" s="1577">
        <v>343</v>
      </c>
      <c r="HL33" s="1577">
        <v>246</v>
      </c>
      <c r="HM33" s="1578">
        <v>864</v>
      </c>
      <c r="HN33" s="1579">
        <f t="shared" si="35"/>
        <v>2813</v>
      </c>
      <c r="HO33" s="1576">
        <v>0</v>
      </c>
      <c r="HP33" s="1577">
        <v>5</v>
      </c>
      <c r="HQ33" s="1577">
        <v>52</v>
      </c>
      <c r="HR33" s="1577">
        <v>38</v>
      </c>
      <c r="HS33" s="1577">
        <v>138</v>
      </c>
      <c r="HT33" s="1577">
        <v>65</v>
      </c>
      <c r="HU33" s="1577">
        <v>124</v>
      </c>
      <c r="HV33" s="1577">
        <v>232</v>
      </c>
      <c r="HW33" s="1577">
        <v>390</v>
      </c>
      <c r="HX33" s="1577">
        <v>573</v>
      </c>
      <c r="HY33" s="1577">
        <v>692</v>
      </c>
      <c r="HZ33" s="1578">
        <v>1615</v>
      </c>
      <c r="IA33" s="1576">
        <f t="shared" si="36"/>
        <v>3924</v>
      </c>
      <c r="IB33" s="1569">
        <v>0</v>
      </c>
      <c r="IC33" s="1068">
        <v>96</v>
      </c>
      <c r="ID33" s="1068">
        <v>280</v>
      </c>
      <c r="IE33" s="1068">
        <v>280</v>
      </c>
      <c r="IF33" s="1068">
        <v>358</v>
      </c>
      <c r="IG33" s="1068">
        <v>314</v>
      </c>
      <c r="IH33" s="1068">
        <v>498</v>
      </c>
      <c r="II33" s="1068">
        <v>365</v>
      </c>
      <c r="IJ33" s="1068"/>
      <c r="IK33" s="1068"/>
      <c r="IL33" s="1068"/>
      <c r="IM33" s="1570"/>
      <c r="IN33" s="1571">
        <f t="shared" si="37"/>
        <v>2191</v>
      </c>
      <c r="IP33" s="1656">
        <f t="shared" si="38"/>
        <v>57.327586206896555</v>
      </c>
      <c r="IQ33" s="1656">
        <f t="shared" si="39"/>
        <v>235.01529051987768</v>
      </c>
      <c r="IR33" s="1657">
        <f t="shared" si="40"/>
        <v>654</v>
      </c>
      <c r="IS33" s="1657">
        <f t="shared" si="41"/>
        <v>2191</v>
      </c>
      <c r="IT33" s="1659"/>
      <c r="IU33" s="1659"/>
    </row>
    <row r="34" spans="1:255" ht="15" customHeight="1" x14ac:dyDescent="0.2">
      <c r="A34" s="309" t="s">
        <v>462</v>
      </c>
      <c r="B34" s="1576"/>
      <c r="C34" s="1577"/>
      <c r="D34" s="1577"/>
      <c r="E34" s="1577"/>
      <c r="F34" s="1577"/>
      <c r="G34" s="1577"/>
      <c r="H34" s="1577"/>
      <c r="I34" s="1577"/>
      <c r="J34" s="1577"/>
      <c r="K34" s="1577"/>
      <c r="L34" s="1577"/>
      <c r="M34" s="1578"/>
      <c r="N34" s="1579"/>
      <c r="O34" s="1576"/>
      <c r="P34" s="1577"/>
      <c r="Q34" s="1577"/>
      <c r="R34" s="1577"/>
      <c r="S34" s="1577"/>
      <c r="T34" s="1577"/>
      <c r="U34" s="1577"/>
      <c r="V34" s="1577"/>
      <c r="W34" s="1577"/>
      <c r="X34" s="1577"/>
      <c r="Y34" s="1577"/>
      <c r="Z34" s="1578"/>
      <c r="AA34" s="1579"/>
      <c r="AB34" s="1576"/>
      <c r="AC34" s="1577"/>
      <c r="AD34" s="1577">
        <v>0</v>
      </c>
      <c r="AE34" s="1577">
        <v>0</v>
      </c>
      <c r="AF34" s="1577">
        <v>0</v>
      </c>
      <c r="AG34" s="1577">
        <v>0</v>
      </c>
      <c r="AH34" s="1577">
        <v>0</v>
      </c>
      <c r="AI34" s="1577">
        <v>0</v>
      </c>
      <c r="AJ34" s="1577">
        <v>0</v>
      </c>
      <c r="AK34" s="1577">
        <v>0</v>
      </c>
      <c r="AL34" s="1577">
        <v>0</v>
      </c>
      <c r="AM34" s="1578">
        <v>127</v>
      </c>
      <c r="AN34" s="1579">
        <f t="shared" si="67"/>
        <v>127</v>
      </c>
      <c r="AO34" s="1576">
        <v>0</v>
      </c>
      <c r="AP34" s="1577">
        <v>0</v>
      </c>
      <c r="AQ34" s="1577">
        <v>0</v>
      </c>
      <c r="AR34" s="1577">
        <v>0</v>
      </c>
      <c r="AS34" s="1577">
        <v>0</v>
      </c>
      <c r="AT34" s="1577">
        <v>0</v>
      </c>
      <c r="AU34" s="1577">
        <v>0</v>
      </c>
      <c r="AV34" s="1577">
        <v>0</v>
      </c>
      <c r="AW34" s="1577">
        <v>2122</v>
      </c>
      <c r="AX34" s="1577">
        <v>6818</v>
      </c>
      <c r="AY34" s="1577">
        <v>9900</v>
      </c>
      <c r="AZ34" s="1578">
        <v>12168</v>
      </c>
      <c r="BA34" s="1579">
        <f t="shared" si="68"/>
        <v>31008</v>
      </c>
      <c r="BB34" s="1576">
        <v>2846</v>
      </c>
      <c r="BC34" s="1577">
        <v>2488</v>
      </c>
      <c r="BD34" s="1577">
        <v>1562</v>
      </c>
      <c r="BE34" s="1577">
        <v>2852</v>
      </c>
      <c r="BF34" s="1577">
        <v>5011</v>
      </c>
      <c r="BG34" s="1577">
        <v>8500</v>
      </c>
      <c r="BH34" s="1577">
        <v>4473</v>
      </c>
      <c r="BI34" s="1577">
        <v>5937</v>
      </c>
      <c r="BJ34" s="1577">
        <v>2805</v>
      </c>
      <c r="BK34" s="1577">
        <v>4355</v>
      </c>
      <c r="BL34" s="1577">
        <v>7126</v>
      </c>
      <c r="BM34" s="1578">
        <v>11453</v>
      </c>
      <c r="BN34" s="1579">
        <f t="shared" si="46"/>
        <v>59408</v>
      </c>
      <c r="BO34" s="1576">
        <v>10</v>
      </c>
      <c r="BP34" s="1577">
        <v>4106</v>
      </c>
      <c r="BQ34" s="1577">
        <v>1897</v>
      </c>
      <c r="BR34" s="1577">
        <v>3919</v>
      </c>
      <c r="BS34" s="1577">
        <v>1435</v>
      </c>
      <c r="BT34" s="1577">
        <v>6839</v>
      </c>
      <c r="BU34" s="1577">
        <v>-1404</v>
      </c>
      <c r="BV34" s="1577">
        <v>4643</v>
      </c>
      <c r="BW34" s="1577">
        <v>-1108</v>
      </c>
      <c r="BX34" s="1577">
        <v>3875</v>
      </c>
      <c r="BY34" s="1577">
        <v>744</v>
      </c>
      <c r="BZ34" s="1578">
        <v>1022</v>
      </c>
      <c r="CA34" s="1579">
        <f t="shared" si="48"/>
        <v>25978</v>
      </c>
      <c r="CB34" s="1576">
        <v>1998</v>
      </c>
      <c r="CC34" s="1577">
        <v>159</v>
      </c>
      <c r="CD34" s="1577">
        <v>2385</v>
      </c>
      <c r="CE34" s="1577">
        <v>547</v>
      </c>
      <c r="CF34" s="1577">
        <v>1630</v>
      </c>
      <c r="CG34" s="1577">
        <v>2672</v>
      </c>
      <c r="CH34" s="1577">
        <v>593</v>
      </c>
      <c r="CI34" s="1577">
        <v>159</v>
      </c>
      <c r="CJ34" s="1577">
        <v>542</v>
      </c>
      <c r="CK34" s="1577">
        <v>647</v>
      </c>
      <c r="CL34" s="1577">
        <v>110</v>
      </c>
      <c r="CM34" s="1578">
        <v>1319</v>
      </c>
      <c r="CN34" s="1579">
        <f t="shared" si="50"/>
        <v>12761</v>
      </c>
      <c r="CO34" s="1576">
        <v>0</v>
      </c>
      <c r="CP34" s="1577">
        <v>0</v>
      </c>
      <c r="CQ34" s="1577">
        <v>0</v>
      </c>
      <c r="CR34" s="1577">
        <v>0</v>
      </c>
      <c r="CS34" s="1577">
        <v>378</v>
      </c>
      <c r="CT34" s="1577">
        <v>0</v>
      </c>
      <c r="CU34" s="1577">
        <v>8112</v>
      </c>
      <c r="CV34" s="1577">
        <v>10508</v>
      </c>
      <c r="CW34" s="1577">
        <v>19873</v>
      </c>
      <c r="CX34" s="1577">
        <v>21841</v>
      </c>
      <c r="CY34" s="1577">
        <v>23024</v>
      </c>
      <c r="CZ34" s="1578">
        <v>32269</v>
      </c>
      <c r="DA34" s="1579">
        <f t="shared" si="15"/>
        <v>116005</v>
      </c>
      <c r="DB34" s="1576">
        <v>0</v>
      </c>
      <c r="DC34" s="1577">
        <v>1064</v>
      </c>
      <c r="DD34" s="1577">
        <v>2565</v>
      </c>
      <c r="DE34" s="1577">
        <v>1804</v>
      </c>
      <c r="DF34" s="1577">
        <v>6982</v>
      </c>
      <c r="DG34" s="1577">
        <v>11245</v>
      </c>
      <c r="DH34" s="1577">
        <v>21667</v>
      </c>
      <c r="DI34" s="1577">
        <v>19264</v>
      </c>
      <c r="DJ34" s="1577">
        <v>9363</v>
      </c>
      <c r="DK34" s="1577">
        <v>10162</v>
      </c>
      <c r="DL34" s="1577">
        <v>2902</v>
      </c>
      <c r="DM34" s="1578">
        <v>8182</v>
      </c>
      <c r="DN34" s="1579">
        <f t="shared" si="27"/>
        <v>95200</v>
      </c>
      <c r="DO34" s="1576">
        <v>0</v>
      </c>
      <c r="DP34" s="1577">
        <v>1127</v>
      </c>
      <c r="DQ34" s="1577">
        <v>1212</v>
      </c>
      <c r="DR34" s="1577">
        <v>3923</v>
      </c>
      <c r="DS34" s="1577">
        <v>1546</v>
      </c>
      <c r="DT34" s="1577">
        <v>2250</v>
      </c>
      <c r="DU34" s="1577">
        <v>1250</v>
      </c>
      <c r="DV34" s="1577">
        <v>279</v>
      </c>
      <c r="DW34" s="1577">
        <v>1500</v>
      </c>
      <c r="DX34" s="1577">
        <v>2532</v>
      </c>
      <c r="DY34" s="1577">
        <v>943</v>
      </c>
      <c r="DZ34" s="1578">
        <v>5865</v>
      </c>
      <c r="EA34" s="1579">
        <f t="shared" si="53"/>
        <v>22427</v>
      </c>
      <c r="EB34" s="1576">
        <v>0</v>
      </c>
      <c r="EC34" s="1577">
        <v>516</v>
      </c>
      <c r="ED34" s="1577">
        <v>1816</v>
      </c>
      <c r="EE34" s="1577">
        <v>4487</v>
      </c>
      <c r="EF34" s="1577">
        <v>3472</v>
      </c>
      <c r="EG34" s="1577">
        <v>1477</v>
      </c>
      <c r="EH34" s="1577">
        <v>1667</v>
      </c>
      <c r="EI34" s="1577">
        <v>1179</v>
      </c>
      <c r="EJ34" s="1577">
        <v>4647</v>
      </c>
      <c r="EK34" s="1577">
        <v>7176</v>
      </c>
      <c r="EL34" s="1577">
        <v>9632</v>
      </c>
      <c r="EM34" s="1578">
        <v>15476</v>
      </c>
      <c r="EN34" s="1579">
        <f t="shared" si="55"/>
        <v>51545</v>
      </c>
      <c r="EO34" s="1576">
        <v>0</v>
      </c>
      <c r="EP34" s="1577">
        <v>610</v>
      </c>
      <c r="EQ34" s="1577">
        <v>8747</v>
      </c>
      <c r="ER34" s="1577">
        <v>6608</v>
      </c>
      <c r="ES34" s="1577">
        <v>6331</v>
      </c>
      <c r="ET34" s="1577">
        <v>7165</v>
      </c>
      <c r="EU34" s="1577">
        <v>17679</v>
      </c>
      <c r="EV34" s="1577">
        <v>4175</v>
      </c>
      <c r="EW34" s="1577">
        <v>11720</v>
      </c>
      <c r="EX34" s="1577">
        <v>4498</v>
      </c>
      <c r="EY34" s="1577">
        <v>5725</v>
      </c>
      <c r="EZ34" s="1578">
        <v>9983</v>
      </c>
      <c r="FA34" s="1579">
        <f t="shared" si="57"/>
        <v>83241</v>
      </c>
      <c r="FB34" s="1576">
        <v>0</v>
      </c>
      <c r="FC34" s="1577">
        <v>2638</v>
      </c>
      <c r="FD34" s="1577">
        <v>206</v>
      </c>
      <c r="FE34" s="1577">
        <v>214</v>
      </c>
      <c r="FF34" s="1577">
        <v>343</v>
      </c>
      <c r="FG34" s="1577">
        <v>128</v>
      </c>
      <c r="FH34" s="1577">
        <v>666</v>
      </c>
      <c r="FI34" s="1577">
        <v>503</v>
      </c>
      <c r="FJ34" s="1577">
        <v>1726</v>
      </c>
      <c r="FK34" s="1577">
        <v>1642</v>
      </c>
      <c r="FL34" s="1577">
        <v>2180</v>
      </c>
      <c r="FM34" s="1578">
        <v>4721</v>
      </c>
      <c r="FN34" s="1579">
        <f t="shared" si="59"/>
        <v>14967</v>
      </c>
      <c r="FO34" s="1576">
        <v>4218</v>
      </c>
      <c r="FP34" s="1577">
        <v>3341</v>
      </c>
      <c r="FQ34" s="1577">
        <v>4858</v>
      </c>
      <c r="FR34" s="1577">
        <v>3659</v>
      </c>
      <c r="FS34" s="1577">
        <v>2420</v>
      </c>
      <c r="FT34" s="1577">
        <v>10438</v>
      </c>
      <c r="FU34" s="1577">
        <v>4428</v>
      </c>
      <c r="FV34" s="1577">
        <v>7425</v>
      </c>
      <c r="FW34" s="1577">
        <v>5785</v>
      </c>
      <c r="FX34" s="1577">
        <v>8613</v>
      </c>
      <c r="FY34" s="1577">
        <v>4690</v>
      </c>
      <c r="FZ34" s="1578">
        <v>19020</v>
      </c>
      <c r="GA34" s="1579">
        <f t="shared" si="32"/>
        <v>78895</v>
      </c>
      <c r="GB34" s="1576">
        <v>0</v>
      </c>
      <c r="GC34" s="1577">
        <v>0</v>
      </c>
      <c r="GD34" s="1577">
        <v>3048</v>
      </c>
      <c r="GE34" s="1577">
        <v>18</v>
      </c>
      <c r="GF34" s="1577">
        <v>0</v>
      </c>
      <c r="GG34" s="1577">
        <v>15</v>
      </c>
      <c r="GH34" s="1577">
        <v>0</v>
      </c>
      <c r="GI34" s="1577">
        <v>939</v>
      </c>
      <c r="GJ34" s="1577">
        <v>474</v>
      </c>
      <c r="GK34" s="1577">
        <v>1156</v>
      </c>
      <c r="GL34" s="1577">
        <v>766</v>
      </c>
      <c r="GM34" s="1578">
        <v>1463</v>
      </c>
      <c r="GN34" s="1579">
        <f t="shared" si="33"/>
        <v>7879</v>
      </c>
      <c r="GO34" s="1576">
        <v>0</v>
      </c>
      <c r="GP34" s="1577">
        <v>0</v>
      </c>
      <c r="GQ34" s="1577">
        <v>0</v>
      </c>
      <c r="GR34" s="1577">
        <v>0</v>
      </c>
      <c r="GS34" s="1577">
        <v>0</v>
      </c>
      <c r="GT34" s="1577">
        <v>0</v>
      </c>
      <c r="GU34" s="1577">
        <v>0</v>
      </c>
      <c r="GV34" s="1577">
        <v>0</v>
      </c>
      <c r="GW34" s="1577">
        <v>21</v>
      </c>
      <c r="GX34" s="1577">
        <v>96</v>
      </c>
      <c r="GY34" s="1577">
        <v>23</v>
      </c>
      <c r="GZ34" s="1578">
        <v>332</v>
      </c>
      <c r="HA34" s="1579">
        <f t="shared" si="34"/>
        <v>472</v>
      </c>
      <c r="HB34" s="1576">
        <v>0</v>
      </c>
      <c r="HC34" s="1577">
        <v>0</v>
      </c>
      <c r="HD34" s="1577">
        <v>0</v>
      </c>
      <c r="HE34" s="1577">
        <v>0</v>
      </c>
      <c r="HF34" s="1577">
        <v>0</v>
      </c>
      <c r="HG34" s="1577">
        <v>448</v>
      </c>
      <c r="HH34" s="1577">
        <v>0</v>
      </c>
      <c r="HI34" s="1577">
        <v>0</v>
      </c>
      <c r="HJ34" s="1577">
        <v>0</v>
      </c>
      <c r="HK34" s="1577">
        <v>0</v>
      </c>
      <c r="HL34" s="1577">
        <v>0</v>
      </c>
      <c r="HM34" s="1578">
        <v>0</v>
      </c>
      <c r="HN34" s="1579">
        <f t="shared" si="35"/>
        <v>448</v>
      </c>
      <c r="HO34" s="1576">
        <v>0</v>
      </c>
      <c r="HP34" s="1577">
        <v>0</v>
      </c>
      <c r="HQ34" s="1577">
        <v>0</v>
      </c>
      <c r="HR34" s="1577">
        <v>0</v>
      </c>
      <c r="HS34" s="1577">
        <v>0</v>
      </c>
      <c r="HT34" s="1577">
        <v>0</v>
      </c>
      <c r="HU34" s="1577">
        <v>0</v>
      </c>
      <c r="HV34" s="1577">
        <v>0</v>
      </c>
      <c r="HW34" s="1577">
        <v>0</v>
      </c>
      <c r="HX34" s="1577">
        <v>0</v>
      </c>
      <c r="HY34" s="1577">
        <v>0</v>
      </c>
      <c r="HZ34" s="1578">
        <v>0</v>
      </c>
      <c r="IA34" s="1576">
        <f t="shared" si="36"/>
        <v>0</v>
      </c>
      <c r="IB34" s="1569">
        <v>0</v>
      </c>
      <c r="IC34" s="1068">
        <v>0</v>
      </c>
      <c r="ID34" s="1068">
        <v>0</v>
      </c>
      <c r="IE34" s="1068">
        <v>0</v>
      </c>
      <c r="IF34" s="1068">
        <v>0</v>
      </c>
      <c r="IG34" s="1068">
        <v>0</v>
      </c>
      <c r="IH34" s="1068">
        <v>0</v>
      </c>
      <c r="II34" s="1068">
        <v>0</v>
      </c>
      <c r="IJ34" s="1068"/>
      <c r="IK34" s="1068"/>
      <c r="IL34" s="1068"/>
      <c r="IM34" s="1570"/>
      <c r="IN34" s="1571">
        <f t="shared" si="37"/>
        <v>0</v>
      </c>
      <c r="IP34" s="1656" t="str">
        <f t="shared" si="38"/>
        <v/>
      </c>
      <c r="IQ34" s="1656" t="str">
        <f t="shared" si="39"/>
        <v/>
      </c>
      <c r="IR34" s="1657">
        <f t="shared" si="40"/>
        <v>0</v>
      </c>
      <c r="IS34" s="1657">
        <f t="shared" si="41"/>
        <v>0</v>
      </c>
      <c r="IT34" s="1659"/>
      <c r="IU34" s="1659"/>
    </row>
    <row r="35" spans="1:255" ht="15" customHeight="1" x14ac:dyDescent="0.2">
      <c r="A35" s="309" t="s">
        <v>328</v>
      </c>
      <c r="B35" s="1576"/>
      <c r="C35" s="1577"/>
      <c r="D35" s="1577"/>
      <c r="E35" s="1577"/>
      <c r="F35" s="1577"/>
      <c r="G35" s="1577"/>
      <c r="H35" s="1577"/>
      <c r="I35" s="1577"/>
      <c r="J35" s="1577"/>
      <c r="K35" s="1577"/>
      <c r="L35" s="1577"/>
      <c r="M35" s="1578"/>
      <c r="N35" s="1579"/>
      <c r="O35" s="1576"/>
      <c r="P35" s="1577"/>
      <c r="Q35" s="1577"/>
      <c r="R35" s="1577"/>
      <c r="S35" s="1577"/>
      <c r="T35" s="1577"/>
      <c r="U35" s="1577"/>
      <c r="V35" s="1577"/>
      <c r="W35" s="1577"/>
      <c r="X35" s="1577"/>
      <c r="Y35" s="1577"/>
      <c r="Z35" s="1578"/>
      <c r="AA35" s="1579"/>
      <c r="AB35" s="1576"/>
      <c r="AC35" s="1577">
        <v>14</v>
      </c>
      <c r="AD35" s="1577">
        <v>5</v>
      </c>
      <c r="AE35" s="1577">
        <v>400</v>
      </c>
      <c r="AF35" s="1577">
        <v>942</v>
      </c>
      <c r="AG35" s="1577">
        <v>1239</v>
      </c>
      <c r="AH35" s="1577">
        <v>603</v>
      </c>
      <c r="AI35" s="1577">
        <v>1002</v>
      </c>
      <c r="AJ35" s="1577">
        <v>586</v>
      </c>
      <c r="AK35" s="1577">
        <v>294</v>
      </c>
      <c r="AL35" s="1577">
        <v>165</v>
      </c>
      <c r="AM35" s="1578">
        <v>771</v>
      </c>
      <c r="AN35" s="1579">
        <f t="shared" si="67"/>
        <v>6021</v>
      </c>
      <c r="AO35" s="1576">
        <v>0</v>
      </c>
      <c r="AP35" s="1577">
        <v>97</v>
      </c>
      <c r="AQ35" s="1577">
        <v>183</v>
      </c>
      <c r="AR35" s="1577">
        <v>81</v>
      </c>
      <c r="AS35" s="1577">
        <v>98</v>
      </c>
      <c r="AT35" s="1577">
        <v>107</v>
      </c>
      <c r="AU35" s="1577">
        <v>296</v>
      </c>
      <c r="AV35" s="1577">
        <v>300</v>
      </c>
      <c r="AW35" s="1577">
        <v>1020</v>
      </c>
      <c r="AX35" s="1577">
        <v>350</v>
      </c>
      <c r="AY35" s="1577">
        <v>475</v>
      </c>
      <c r="AZ35" s="1578">
        <v>210</v>
      </c>
      <c r="BA35" s="1579">
        <f t="shared" si="68"/>
        <v>3217</v>
      </c>
      <c r="BB35" s="1576">
        <v>91</v>
      </c>
      <c r="BC35" s="1577">
        <v>41</v>
      </c>
      <c r="BD35" s="1577">
        <v>186</v>
      </c>
      <c r="BE35" s="1577">
        <v>357</v>
      </c>
      <c r="BF35" s="1577">
        <v>607</v>
      </c>
      <c r="BG35" s="1577">
        <v>244</v>
      </c>
      <c r="BH35" s="1577">
        <v>58</v>
      </c>
      <c r="BI35" s="1577">
        <v>937</v>
      </c>
      <c r="BJ35" s="1577">
        <v>24</v>
      </c>
      <c r="BK35" s="1577">
        <v>309</v>
      </c>
      <c r="BL35" s="1577">
        <v>792</v>
      </c>
      <c r="BM35" s="1578">
        <v>1447</v>
      </c>
      <c r="BN35" s="1579">
        <f t="shared" si="46"/>
        <v>5093</v>
      </c>
      <c r="BO35" s="1576">
        <v>1116</v>
      </c>
      <c r="BP35" s="1577">
        <v>37</v>
      </c>
      <c r="BQ35" s="1577">
        <v>323</v>
      </c>
      <c r="BR35" s="1577">
        <v>1288</v>
      </c>
      <c r="BS35" s="1577">
        <v>908</v>
      </c>
      <c r="BT35" s="1577">
        <v>647</v>
      </c>
      <c r="BU35" s="1577">
        <v>675</v>
      </c>
      <c r="BV35" s="1577">
        <v>256</v>
      </c>
      <c r="BW35" s="1577">
        <v>291</v>
      </c>
      <c r="BX35" s="1577">
        <v>1055</v>
      </c>
      <c r="BY35" s="1577">
        <v>902</v>
      </c>
      <c r="BZ35" s="1578">
        <v>2528</v>
      </c>
      <c r="CA35" s="1579">
        <f t="shared" si="48"/>
        <v>10026</v>
      </c>
      <c r="CB35" s="1576">
        <v>125</v>
      </c>
      <c r="CC35" s="1577">
        <v>167</v>
      </c>
      <c r="CD35" s="1577">
        <v>453</v>
      </c>
      <c r="CE35" s="1577">
        <v>614</v>
      </c>
      <c r="CF35" s="1577">
        <v>544</v>
      </c>
      <c r="CG35" s="1577">
        <v>1163</v>
      </c>
      <c r="CH35" s="1577">
        <v>776</v>
      </c>
      <c r="CI35" s="1577">
        <v>425</v>
      </c>
      <c r="CJ35" s="1577">
        <v>726</v>
      </c>
      <c r="CK35" s="1577">
        <v>680</v>
      </c>
      <c r="CL35" s="1577">
        <v>933</v>
      </c>
      <c r="CM35" s="1578">
        <v>2804</v>
      </c>
      <c r="CN35" s="1579">
        <f t="shared" si="50"/>
        <v>9410</v>
      </c>
      <c r="CO35" s="1576">
        <v>98</v>
      </c>
      <c r="CP35" s="1577">
        <v>320</v>
      </c>
      <c r="CQ35" s="1577">
        <v>274</v>
      </c>
      <c r="CR35" s="1577">
        <v>241</v>
      </c>
      <c r="CS35" s="1577">
        <v>624</v>
      </c>
      <c r="CT35" s="1577">
        <v>534</v>
      </c>
      <c r="CU35" s="1577">
        <v>340</v>
      </c>
      <c r="CV35" s="1577">
        <v>469</v>
      </c>
      <c r="CW35" s="1577">
        <v>437</v>
      </c>
      <c r="CX35" s="1577">
        <v>557</v>
      </c>
      <c r="CY35" s="1577">
        <v>798</v>
      </c>
      <c r="CZ35" s="1578">
        <v>1456</v>
      </c>
      <c r="DA35" s="1579">
        <f t="shared" si="15"/>
        <v>6148</v>
      </c>
      <c r="DB35" s="1576">
        <v>0</v>
      </c>
      <c r="DC35" s="1577">
        <v>154</v>
      </c>
      <c r="DD35" s="1577">
        <v>101</v>
      </c>
      <c r="DE35" s="1577">
        <v>76</v>
      </c>
      <c r="DF35" s="1577">
        <v>267</v>
      </c>
      <c r="DG35" s="1577">
        <v>141</v>
      </c>
      <c r="DH35" s="1577">
        <v>92</v>
      </c>
      <c r="DI35" s="1577">
        <v>214</v>
      </c>
      <c r="DJ35" s="1577">
        <v>265</v>
      </c>
      <c r="DK35" s="1577">
        <v>531</v>
      </c>
      <c r="DL35" s="1577">
        <v>272</v>
      </c>
      <c r="DM35" s="1578">
        <v>167</v>
      </c>
      <c r="DN35" s="1579">
        <f t="shared" si="27"/>
        <v>2280</v>
      </c>
      <c r="DO35" s="1576">
        <v>0</v>
      </c>
      <c r="DP35" s="1577">
        <v>0</v>
      </c>
      <c r="DQ35" s="1577">
        <v>168</v>
      </c>
      <c r="DR35" s="1577">
        <v>138</v>
      </c>
      <c r="DS35" s="1577">
        <v>83</v>
      </c>
      <c r="DT35" s="1577">
        <v>250</v>
      </c>
      <c r="DU35" s="1577">
        <v>227</v>
      </c>
      <c r="DV35" s="1577">
        <v>347</v>
      </c>
      <c r="DW35" s="1577">
        <v>190</v>
      </c>
      <c r="DX35" s="1577">
        <v>71</v>
      </c>
      <c r="DY35" s="1577">
        <v>188</v>
      </c>
      <c r="DZ35" s="1578">
        <v>1087</v>
      </c>
      <c r="EA35" s="1579">
        <f t="shared" si="53"/>
        <v>2749</v>
      </c>
      <c r="EB35" s="1576">
        <v>0</v>
      </c>
      <c r="EC35" s="1577">
        <v>97</v>
      </c>
      <c r="ED35" s="1577">
        <v>146</v>
      </c>
      <c r="EE35" s="1577">
        <v>155</v>
      </c>
      <c r="EF35" s="1577">
        <v>30</v>
      </c>
      <c r="EG35" s="1577">
        <v>114</v>
      </c>
      <c r="EH35" s="1577">
        <v>389</v>
      </c>
      <c r="EI35" s="1577">
        <v>250</v>
      </c>
      <c r="EJ35" s="1577">
        <v>282</v>
      </c>
      <c r="EK35" s="1577">
        <v>189</v>
      </c>
      <c r="EL35" s="1577">
        <v>229</v>
      </c>
      <c r="EM35" s="1578">
        <v>811</v>
      </c>
      <c r="EN35" s="1579">
        <f t="shared" si="55"/>
        <v>2692</v>
      </c>
      <c r="EO35" s="1576">
        <v>0</v>
      </c>
      <c r="EP35" s="1577">
        <v>0</v>
      </c>
      <c r="EQ35" s="1577">
        <v>0</v>
      </c>
      <c r="ER35" s="1577">
        <v>73</v>
      </c>
      <c r="ES35" s="1577">
        <v>114</v>
      </c>
      <c r="ET35" s="1577">
        <v>21</v>
      </c>
      <c r="EU35" s="1577">
        <v>293</v>
      </c>
      <c r="EV35" s="1577">
        <v>391</v>
      </c>
      <c r="EW35" s="1577">
        <v>93</v>
      </c>
      <c r="EX35" s="1577">
        <v>149</v>
      </c>
      <c r="EY35" s="1577">
        <v>223</v>
      </c>
      <c r="EZ35" s="1578">
        <v>772</v>
      </c>
      <c r="FA35" s="1579">
        <f t="shared" si="57"/>
        <v>2129</v>
      </c>
      <c r="FB35" s="1576">
        <v>0</v>
      </c>
      <c r="FC35" s="1577">
        <v>0</v>
      </c>
      <c r="FD35" s="1577">
        <v>7</v>
      </c>
      <c r="FE35" s="1577">
        <v>23</v>
      </c>
      <c r="FF35" s="1577">
        <v>0</v>
      </c>
      <c r="FG35" s="1577">
        <v>18</v>
      </c>
      <c r="FH35" s="1577">
        <v>93</v>
      </c>
      <c r="FI35" s="1577">
        <v>28</v>
      </c>
      <c r="FJ35" s="1577">
        <v>63</v>
      </c>
      <c r="FK35" s="1577">
        <v>169</v>
      </c>
      <c r="FL35" s="1577">
        <v>174</v>
      </c>
      <c r="FM35" s="1578">
        <v>188</v>
      </c>
      <c r="FN35" s="1579">
        <f t="shared" si="59"/>
        <v>763</v>
      </c>
      <c r="FO35" s="1576">
        <v>0</v>
      </c>
      <c r="FP35" s="1577">
        <v>0</v>
      </c>
      <c r="FQ35" s="1577">
        <v>47</v>
      </c>
      <c r="FR35" s="1577">
        <v>36</v>
      </c>
      <c r="FS35" s="1577">
        <v>261</v>
      </c>
      <c r="FT35" s="1577">
        <v>303</v>
      </c>
      <c r="FU35" s="1577">
        <v>329</v>
      </c>
      <c r="FV35" s="1577">
        <v>268</v>
      </c>
      <c r="FW35" s="1577">
        <v>187</v>
      </c>
      <c r="FX35" s="1577">
        <v>208</v>
      </c>
      <c r="FY35" s="1577">
        <v>126</v>
      </c>
      <c r="FZ35" s="1578">
        <v>358</v>
      </c>
      <c r="GA35" s="1579">
        <f t="shared" si="32"/>
        <v>2123</v>
      </c>
      <c r="GB35" s="1576">
        <v>0</v>
      </c>
      <c r="GC35" s="1577">
        <v>0</v>
      </c>
      <c r="GD35" s="1577">
        <v>0</v>
      </c>
      <c r="GE35" s="1577">
        <v>0</v>
      </c>
      <c r="GF35" s="1577">
        <v>10</v>
      </c>
      <c r="GG35" s="1577">
        <v>10</v>
      </c>
      <c r="GH35" s="1577">
        <v>109</v>
      </c>
      <c r="GI35" s="1577">
        <v>48</v>
      </c>
      <c r="GJ35" s="1577">
        <v>25</v>
      </c>
      <c r="GK35" s="1577">
        <v>152</v>
      </c>
      <c r="GL35" s="1577">
        <v>148</v>
      </c>
      <c r="GM35" s="1578">
        <v>2132</v>
      </c>
      <c r="GN35" s="1579">
        <f t="shared" si="33"/>
        <v>2634</v>
      </c>
      <c r="GO35" s="1576">
        <v>0</v>
      </c>
      <c r="GP35" s="1577">
        <v>0</v>
      </c>
      <c r="GQ35" s="1577">
        <v>94</v>
      </c>
      <c r="GR35" s="1577">
        <v>151</v>
      </c>
      <c r="GS35" s="1577">
        <v>249</v>
      </c>
      <c r="GT35" s="1577">
        <v>266</v>
      </c>
      <c r="GU35" s="1577">
        <v>232</v>
      </c>
      <c r="GV35" s="1577">
        <v>562</v>
      </c>
      <c r="GW35" s="1577">
        <v>158</v>
      </c>
      <c r="GX35" s="1577">
        <v>330</v>
      </c>
      <c r="GY35" s="1577">
        <v>230</v>
      </c>
      <c r="GZ35" s="1578">
        <v>852</v>
      </c>
      <c r="HA35" s="1579">
        <f t="shared" si="34"/>
        <v>3124</v>
      </c>
      <c r="HB35" s="1576">
        <v>0</v>
      </c>
      <c r="HC35" s="1577">
        <v>0</v>
      </c>
      <c r="HD35" s="1577">
        <v>0</v>
      </c>
      <c r="HE35" s="1577">
        <v>221</v>
      </c>
      <c r="HF35" s="1577">
        <v>81</v>
      </c>
      <c r="HG35" s="1577">
        <v>223</v>
      </c>
      <c r="HH35" s="1577">
        <v>187</v>
      </c>
      <c r="HI35" s="1577">
        <v>237</v>
      </c>
      <c r="HJ35" s="1577">
        <v>152</v>
      </c>
      <c r="HK35" s="1577">
        <v>84</v>
      </c>
      <c r="HL35" s="1577">
        <v>225</v>
      </c>
      <c r="HM35" s="1578">
        <v>175</v>
      </c>
      <c r="HN35" s="1579">
        <f t="shared" si="35"/>
        <v>1585</v>
      </c>
      <c r="HO35" s="1576">
        <v>0</v>
      </c>
      <c r="HP35" s="1577">
        <v>0</v>
      </c>
      <c r="HQ35" s="1577">
        <v>28</v>
      </c>
      <c r="HR35" s="1577">
        <v>46</v>
      </c>
      <c r="HS35" s="1577">
        <v>89</v>
      </c>
      <c r="HT35" s="1577">
        <v>216</v>
      </c>
      <c r="HU35" s="1577">
        <v>111</v>
      </c>
      <c r="HV35" s="1577">
        <v>86</v>
      </c>
      <c r="HW35" s="1577">
        <v>300</v>
      </c>
      <c r="HX35" s="1577">
        <v>101</v>
      </c>
      <c r="HY35" s="1577">
        <v>168</v>
      </c>
      <c r="HZ35" s="1578">
        <v>99</v>
      </c>
      <c r="IA35" s="1576">
        <f>SUM(HO35:HZ35)</f>
        <v>1244</v>
      </c>
      <c r="IB35" s="1569">
        <v>0</v>
      </c>
      <c r="IC35" s="1068">
        <v>8</v>
      </c>
      <c r="ID35" s="1068">
        <v>117</v>
      </c>
      <c r="IE35" s="1068">
        <v>160</v>
      </c>
      <c r="IF35" s="1068">
        <v>129</v>
      </c>
      <c r="IG35" s="1068">
        <v>23</v>
      </c>
      <c r="IH35" s="1068">
        <v>45</v>
      </c>
      <c r="II35" s="1068">
        <v>7</v>
      </c>
      <c r="IJ35" s="1068"/>
      <c r="IK35" s="1068"/>
      <c r="IL35" s="1068"/>
      <c r="IM35" s="1570"/>
      <c r="IN35" s="1571">
        <f t="shared" si="37"/>
        <v>489</v>
      </c>
      <c r="IP35" s="1656">
        <f t="shared" si="38"/>
        <v>-91.860465116279073</v>
      </c>
      <c r="IQ35" s="1656">
        <f t="shared" si="39"/>
        <v>-15.104166666666663</v>
      </c>
      <c r="IR35" s="1657">
        <f t="shared" si="40"/>
        <v>576</v>
      </c>
      <c r="IS35" s="1657">
        <f t="shared" si="41"/>
        <v>489</v>
      </c>
      <c r="IT35" s="1659"/>
      <c r="IU35" s="1659"/>
    </row>
    <row r="36" spans="1:255" ht="15" customHeight="1" x14ac:dyDescent="0.2">
      <c r="A36" s="309" t="s">
        <v>401</v>
      </c>
      <c r="B36" s="1576"/>
      <c r="C36" s="1577"/>
      <c r="D36" s="1577"/>
      <c r="E36" s="1577"/>
      <c r="F36" s="1577"/>
      <c r="G36" s="1577"/>
      <c r="H36" s="1577"/>
      <c r="I36" s="1577"/>
      <c r="J36" s="1577"/>
      <c r="K36" s="1577"/>
      <c r="L36" s="1577"/>
      <c r="M36" s="1578"/>
      <c r="N36" s="1579"/>
      <c r="O36" s="1576"/>
      <c r="P36" s="1577"/>
      <c r="Q36" s="1577"/>
      <c r="R36" s="1577"/>
      <c r="S36" s="1577"/>
      <c r="T36" s="1577"/>
      <c r="U36" s="1577"/>
      <c r="V36" s="1577"/>
      <c r="W36" s="1577"/>
      <c r="X36" s="1577"/>
      <c r="Y36" s="1577"/>
      <c r="Z36" s="1578"/>
      <c r="AA36" s="1579"/>
      <c r="AB36" s="1576">
        <v>633</v>
      </c>
      <c r="AC36" s="1577">
        <v>15764</v>
      </c>
      <c r="AD36" s="1577">
        <v>6021</v>
      </c>
      <c r="AE36" s="1577">
        <v>5344</v>
      </c>
      <c r="AF36" s="1577">
        <v>12853</v>
      </c>
      <c r="AG36" s="1577">
        <v>12545</v>
      </c>
      <c r="AH36" s="1577">
        <v>7016</v>
      </c>
      <c r="AI36" s="1577">
        <v>7147</v>
      </c>
      <c r="AJ36" s="1577">
        <v>2661</v>
      </c>
      <c r="AK36" s="1577">
        <v>5171</v>
      </c>
      <c r="AL36" s="1577">
        <v>1763</v>
      </c>
      <c r="AM36" s="1578">
        <v>3934</v>
      </c>
      <c r="AN36" s="1579">
        <f t="shared" si="67"/>
        <v>80852</v>
      </c>
      <c r="AO36" s="1576">
        <v>10500</v>
      </c>
      <c r="AP36" s="1577">
        <v>2772</v>
      </c>
      <c r="AQ36" s="1577">
        <v>14619</v>
      </c>
      <c r="AR36" s="1577">
        <v>492</v>
      </c>
      <c r="AS36" s="1577">
        <v>5393</v>
      </c>
      <c r="AT36" s="1577">
        <v>10717</v>
      </c>
      <c r="AU36" s="1577">
        <v>286</v>
      </c>
      <c r="AV36" s="1577">
        <v>21334</v>
      </c>
      <c r="AW36" s="1577">
        <v>4955</v>
      </c>
      <c r="AX36" s="1577">
        <v>901</v>
      </c>
      <c r="AY36" s="1577">
        <v>1628</v>
      </c>
      <c r="AZ36" s="1578">
        <v>422</v>
      </c>
      <c r="BA36" s="1579">
        <f t="shared" si="68"/>
        <v>74019</v>
      </c>
      <c r="BB36" s="1576">
        <v>953</v>
      </c>
      <c r="BC36" s="1577">
        <v>1044</v>
      </c>
      <c r="BD36" s="1577">
        <v>1460</v>
      </c>
      <c r="BE36" s="1577">
        <v>600</v>
      </c>
      <c r="BF36" s="1577">
        <v>422</v>
      </c>
      <c r="BG36" s="1577">
        <v>1532</v>
      </c>
      <c r="BH36" s="1577">
        <v>616</v>
      </c>
      <c r="BI36" s="1577">
        <v>1847</v>
      </c>
      <c r="BJ36" s="1577">
        <v>6108</v>
      </c>
      <c r="BK36" s="1577">
        <v>10085</v>
      </c>
      <c r="BL36" s="1577">
        <v>31132</v>
      </c>
      <c r="BM36" s="1578">
        <v>-2872</v>
      </c>
      <c r="BN36" s="1579">
        <f t="shared" si="46"/>
        <v>52927</v>
      </c>
      <c r="BO36" s="1576">
        <v>10</v>
      </c>
      <c r="BP36" s="1577">
        <v>5470</v>
      </c>
      <c r="BQ36" s="1577">
        <v>3502</v>
      </c>
      <c r="BR36" s="1577">
        <v>5958</v>
      </c>
      <c r="BS36" s="1577">
        <v>3918</v>
      </c>
      <c r="BT36" s="1577">
        <v>4947</v>
      </c>
      <c r="BU36" s="1577">
        <v>2996</v>
      </c>
      <c r="BV36" s="1577">
        <v>5164</v>
      </c>
      <c r="BW36" s="1577">
        <v>4179</v>
      </c>
      <c r="BX36" s="1577">
        <v>22395</v>
      </c>
      <c r="BY36" s="1577">
        <v>15122</v>
      </c>
      <c r="BZ36" s="1578">
        <v>3402</v>
      </c>
      <c r="CA36" s="1579">
        <f t="shared" si="48"/>
        <v>77063</v>
      </c>
      <c r="CB36" s="1576">
        <v>15548</v>
      </c>
      <c r="CC36" s="1577">
        <v>20</v>
      </c>
      <c r="CD36" s="1577">
        <v>7091</v>
      </c>
      <c r="CE36" s="1577">
        <v>214</v>
      </c>
      <c r="CF36" s="1577">
        <v>3948</v>
      </c>
      <c r="CG36" s="1577">
        <v>6165</v>
      </c>
      <c r="CH36" s="1577">
        <v>357</v>
      </c>
      <c r="CI36" s="1577">
        <v>3641</v>
      </c>
      <c r="CJ36" s="1577">
        <v>10294</v>
      </c>
      <c r="CK36" s="1577">
        <v>2311</v>
      </c>
      <c r="CL36" s="1577">
        <v>1010</v>
      </c>
      <c r="CM36" s="1578">
        <v>131</v>
      </c>
      <c r="CN36" s="1579">
        <f t="shared" si="50"/>
        <v>50730</v>
      </c>
      <c r="CO36" s="1576">
        <v>0</v>
      </c>
      <c r="CP36" s="1577">
        <v>0</v>
      </c>
      <c r="CQ36" s="1577">
        <v>35</v>
      </c>
      <c r="CR36" s="1577">
        <v>44131</v>
      </c>
      <c r="CS36" s="1577">
        <v>-3924</v>
      </c>
      <c r="CT36" s="1577">
        <v>0</v>
      </c>
      <c r="CU36" s="1577">
        <v>0</v>
      </c>
      <c r="CV36" s="1577">
        <v>1250</v>
      </c>
      <c r="CW36" s="1577">
        <v>3281</v>
      </c>
      <c r="CX36" s="1577">
        <v>602</v>
      </c>
      <c r="CY36" s="1577">
        <v>4862</v>
      </c>
      <c r="CZ36" s="1578">
        <v>1775</v>
      </c>
      <c r="DA36" s="1579">
        <f t="shared" si="15"/>
        <v>52012</v>
      </c>
      <c r="DB36" s="1576">
        <v>0</v>
      </c>
      <c r="DC36" s="1577">
        <v>625</v>
      </c>
      <c r="DD36" s="1577">
        <v>3492</v>
      </c>
      <c r="DE36" s="1577">
        <v>3569</v>
      </c>
      <c r="DF36" s="1577">
        <v>2972</v>
      </c>
      <c r="DG36" s="1577">
        <v>2476</v>
      </c>
      <c r="DH36" s="1577">
        <v>4551</v>
      </c>
      <c r="DI36" s="1577">
        <v>1678</v>
      </c>
      <c r="DJ36" s="1577">
        <v>2900</v>
      </c>
      <c r="DK36" s="1577">
        <v>3112</v>
      </c>
      <c r="DL36" s="1577">
        <v>4587</v>
      </c>
      <c r="DM36" s="1578">
        <v>11271</v>
      </c>
      <c r="DN36" s="1579">
        <f t="shared" si="27"/>
        <v>41233</v>
      </c>
      <c r="DO36" s="1576">
        <v>0</v>
      </c>
      <c r="DP36" s="1577">
        <v>534</v>
      </c>
      <c r="DQ36" s="1577">
        <v>2673</v>
      </c>
      <c r="DR36" s="1577">
        <v>4137</v>
      </c>
      <c r="DS36" s="1577">
        <v>6375</v>
      </c>
      <c r="DT36" s="1577">
        <v>3861</v>
      </c>
      <c r="DU36" s="1577">
        <v>5157</v>
      </c>
      <c r="DV36" s="1577">
        <v>9981</v>
      </c>
      <c r="DW36" s="1577">
        <v>5265</v>
      </c>
      <c r="DX36" s="1577">
        <v>5052</v>
      </c>
      <c r="DY36" s="1577">
        <v>8175</v>
      </c>
      <c r="DZ36" s="1578">
        <v>7262</v>
      </c>
      <c r="EA36" s="1579">
        <f t="shared" si="53"/>
        <v>58472</v>
      </c>
      <c r="EB36" s="1576">
        <v>0</v>
      </c>
      <c r="EC36" s="1577">
        <v>1676</v>
      </c>
      <c r="ED36" s="1577">
        <v>1961</v>
      </c>
      <c r="EE36" s="1577">
        <v>2352</v>
      </c>
      <c r="EF36" s="1577">
        <v>2457</v>
      </c>
      <c r="EG36" s="1577">
        <v>1366</v>
      </c>
      <c r="EH36" s="1577">
        <v>5085</v>
      </c>
      <c r="EI36" s="1577">
        <v>3629</v>
      </c>
      <c r="EJ36" s="1577">
        <v>4230</v>
      </c>
      <c r="EK36" s="1577">
        <v>2196</v>
      </c>
      <c r="EL36" s="1577">
        <v>6181</v>
      </c>
      <c r="EM36" s="1578">
        <v>3026</v>
      </c>
      <c r="EN36" s="1579">
        <f t="shared" si="55"/>
        <v>34159</v>
      </c>
      <c r="EO36" s="1576">
        <v>0</v>
      </c>
      <c r="EP36" s="1577">
        <v>0</v>
      </c>
      <c r="EQ36" s="1577">
        <v>2325</v>
      </c>
      <c r="ER36" s="1577">
        <v>422</v>
      </c>
      <c r="ES36" s="1577">
        <v>456</v>
      </c>
      <c r="ET36" s="1577">
        <v>636</v>
      </c>
      <c r="EU36" s="1577">
        <v>201</v>
      </c>
      <c r="EV36" s="1577">
        <v>1294</v>
      </c>
      <c r="EW36" s="1577">
        <v>1296</v>
      </c>
      <c r="EX36" s="1577">
        <v>2265</v>
      </c>
      <c r="EY36" s="1577">
        <v>5720</v>
      </c>
      <c r="EZ36" s="1578">
        <v>14036</v>
      </c>
      <c r="FA36" s="1579">
        <f t="shared" si="57"/>
        <v>28651</v>
      </c>
      <c r="FB36" s="1576">
        <v>0</v>
      </c>
      <c r="FC36" s="1577">
        <v>610</v>
      </c>
      <c r="FD36" s="1577">
        <v>817</v>
      </c>
      <c r="FE36" s="1577">
        <v>184</v>
      </c>
      <c r="FF36" s="1577">
        <v>0</v>
      </c>
      <c r="FG36" s="1577">
        <v>239</v>
      </c>
      <c r="FH36" s="1577">
        <v>893</v>
      </c>
      <c r="FI36" s="1577">
        <v>1321</v>
      </c>
      <c r="FJ36" s="1577">
        <v>3982</v>
      </c>
      <c r="FK36" s="1577">
        <v>15563</v>
      </c>
      <c r="FL36" s="1577">
        <v>18531</v>
      </c>
      <c r="FM36" s="1578">
        <v>13718</v>
      </c>
      <c r="FN36" s="1579">
        <f t="shared" si="59"/>
        <v>55858</v>
      </c>
      <c r="FO36" s="1576">
        <v>10534</v>
      </c>
      <c r="FP36" s="1577">
        <v>11365</v>
      </c>
      <c r="FQ36" s="1577">
        <v>15392</v>
      </c>
      <c r="FR36" s="1577">
        <v>9815</v>
      </c>
      <c r="FS36" s="1577">
        <v>13273</v>
      </c>
      <c r="FT36" s="1577">
        <v>16055</v>
      </c>
      <c r="FU36" s="1577">
        <v>14796</v>
      </c>
      <c r="FV36" s="1577">
        <v>11526</v>
      </c>
      <c r="FW36" s="1577">
        <v>8676</v>
      </c>
      <c r="FX36" s="1577">
        <v>8614</v>
      </c>
      <c r="FY36" s="1577">
        <v>10908</v>
      </c>
      <c r="FZ36" s="1578">
        <v>14671</v>
      </c>
      <c r="GA36" s="1579">
        <f t="shared" si="32"/>
        <v>145625</v>
      </c>
      <c r="GB36" s="1576">
        <v>8156</v>
      </c>
      <c r="GC36" s="1577">
        <v>3389</v>
      </c>
      <c r="GD36" s="1577">
        <v>10603</v>
      </c>
      <c r="GE36" s="1577">
        <v>10910</v>
      </c>
      <c r="GF36" s="1577">
        <v>27039</v>
      </c>
      <c r="GG36" s="1577">
        <v>30386</v>
      </c>
      <c r="GH36" s="1577">
        <v>28544</v>
      </c>
      <c r="GI36" s="1577">
        <v>27422</v>
      </c>
      <c r="GJ36" s="1577">
        <v>29036</v>
      </c>
      <c r="GK36" s="1577">
        <v>35612</v>
      </c>
      <c r="GL36" s="1577">
        <v>41313</v>
      </c>
      <c r="GM36" s="1578">
        <v>46956</v>
      </c>
      <c r="GN36" s="1579">
        <f>SUM(GB36:GM36)</f>
        <v>299366</v>
      </c>
      <c r="GO36" s="1576">
        <v>3893</v>
      </c>
      <c r="GP36" s="1577">
        <v>13449</v>
      </c>
      <c r="GQ36" s="1577">
        <v>23396</v>
      </c>
      <c r="GR36" s="1577">
        <v>11643</v>
      </c>
      <c r="GS36" s="1577">
        <v>15556</v>
      </c>
      <c r="GT36" s="1577">
        <v>16758</v>
      </c>
      <c r="GU36" s="1577">
        <v>41595</v>
      </c>
      <c r="GV36" s="1577">
        <v>19685</v>
      </c>
      <c r="GW36" s="1577">
        <v>30322</v>
      </c>
      <c r="GX36" s="1577">
        <v>26251</v>
      </c>
      <c r="GY36" s="1577">
        <v>40724</v>
      </c>
      <c r="GZ36" s="1578">
        <v>59656</v>
      </c>
      <c r="HA36" s="1579">
        <f>SUM(GO36:GZ36)</f>
        <v>302928</v>
      </c>
      <c r="HB36" s="1576">
        <v>19286</v>
      </c>
      <c r="HC36" s="1577">
        <v>20133</v>
      </c>
      <c r="HD36" s="1577">
        <v>21476</v>
      </c>
      <c r="HE36" s="1577">
        <v>37382</v>
      </c>
      <c r="HF36" s="1577">
        <v>37577</v>
      </c>
      <c r="HG36" s="1577">
        <v>41265</v>
      </c>
      <c r="HH36" s="1577">
        <v>33188</v>
      </c>
      <c r="HI36" s="1577">
        <v>35808</v>
      </c>
      <c r="HJ36" s="1577">
        <v>24898</v>
      </c>
      <c r="HK36" s="1577">
        <v>39506</v>
      </c>
      <c r="HL36" s="1577">
        <v>43429</v>
      </c>
      <c r="HM36" s="1578">
        <v>106315</v>
      </c>
      <c r="HN36" s="1579">
        <f t="shared" si="35"/>
        <v>460263</v>
      </c>
      <c r="HO36" s="1576">
        <v>7118</v>
      </c>
      <c r="HP36" s="1577">
        <v>47035</v>
      </c>
      <c r="HQ36" s="1577">
        <v>28773</v>
      </c>
      <c r="HR36" s="1577">
        <v>58856</v>
      </c>
      <c r="HS36" s="1577">
        <v>69897</v>
      </c>
      <c r="HT36" s="1577">
        <v>31111</v>
      </c>
      <c r="HU36" s="1577">
        <v>34482</v>
      </c>
      <c r="HV36" s="1577">
        <v>40531</v>
      </c>
      <c r="HW36" s="1577">
        <v>42882</v>
      </c>
      <c r="HX36" s="1577">
        <v>51758</v>
      </c>
      <c r="HY36" s="1577">
        <v>43094</v>
      </c>
      <c r="HZ36" s="1578">
        <v>73161</v>
      </c>
      <c r="IA36" s="1576">
        <f>SUM(HO36:HZ36)</f>
        <v>528698</v>
      </c>
      <c r="IB36" s="1569">
        <v>16715</v>
      </c>
      <c r="IC36" s="1068">
        <v>29519</v>
      </c>
      <c r="ID36" s="1068">
        <v>38033</v>
      </c>
      <c r="IE36" s="1068">
        <v>32044</v>
      </c>
      <c r="IF36" s="1068">
        <v>36748</v>
      </c>
      <c r="IG36" s="1068">
        <v>43747</v>
      </c>
      <c r="IH36" s="1068">
        <v>58975</v>
      </c>
      <c r="II36" s="1068">
        <v>49568</v>
      </c>
      <c r="IJ36" s="1068"/>
      <c r="IK36" s="1068"/>
      <c r="IL36" s="1068"/>
      <c r="IM36" s="1570"/>
      <c r="IN36" s="1571">
        <f t="shared" si="37"/>
        <v>305349</v>
      </c>
      <c r="IP36" s="1656">
        <f t="shared" si="38"/>
        <v>22.296513779576131</v>
      </c>
      <c r="IQ36" s="1656">
        <f>IFERROR(((IS36/IR36)-1)*100,"")</f>
        <v>-3.9187798730660139</v>
      </c>
      <c r="IR36" s="1657">
        <f t="shared" si="40"/>
        <v>317803</v>
      </c>
      <c r="IS36" s="1657">
        <f t="shared" si="41"/>
        <v>305349</v>
      </c>
      <c r="IT36" s="1659"/>
      <c r="IU36" s="1659"/>
    </row>
    <row r="37" spans="1:255" ht="15" customHeight="1" x14ac:dyDescent="0.2">
      <c r="A37" s="309" t="s">
        <v>430</v>
      </c>
      <c r="B37" s="1576"/>
      <c r="C37" s="1577"/>
      <c r="D37" s="1577"/>
      <c r="E37" s="1577"/>
      <c r="F37" s="1577"/>
      <c r="G37" s="1577"/>
      <c r="H37" s="1577"/>
      <c r="I37" s="1577"/>
      <c r="J37" s="1577"/>
      <c r="K37" s="1577"/>
      <c r="L37" s="1577"/>
      <c r="M37" s="1578"/>
      <c r="N37" s="1579"/>
      <c r="O37" s="1576"/>
      <c r="P37" s="1577"/>
      <c r="Q37" s="1577"/>
      <c r="R37" s="1577"/>
      <c r="S37" s="1577"/>
      <c r="T37" s="1577"/>
      <c r="U37" s="1577"/>
      <c r="V37" s="1577"/>
      <c r="W37" s="1577"/>
      <c r="X37" s="1577"/>
      <c r="Y37" s="1577"/>
      <c r="Z37" s="1578"/>
      <c r="AA37" s="1579"/>
      <c r="AB37" s="1576"/>
      <c r="AC37" s="1577"/>
      <c r="AD37" s="1577"/>
      <c r="AE37" s="1577"/>
      <c r="AF37" s="1577"/>
      <c r="AG37" s="1577"/>
      <c r="AH37" s="1577"/>
      <c r="AI37" s="1577"/>
      <c r="AJ37" s="1577"/>
      <c r="AK37" s="1577"/>
      <c r="AL37" s="1577"/>
      <c r="AM37" s="1578"/>
      <c r="AN37" s="1579">
        <f t="shared" si="67"/>
        <v>0</v>
      </c>
      <c r="AO37" s="1576"/>
      <c r="AP37" s="1577"/>
      <c r="AQ37" s="1577"/>
      <c r="AR37" s="1577"/>
      <c r="AS37" s="1577"/>
      <c r="AT37" s="1577"/>
      <c r="AU37" s="1577"/>
      <c r="AV37" s="1577"/>
      <c r="AW37" s="1577"/>
      <c r="AX37" s="1577"/>
      <c r="AY37" s="1577"/>
      <c r="AZ37" s="1578"/>
      <c r="BA37" s="1579">
        <f t="shared" si="68"/>
        <v>0</v>
      </c>
      <c r="BB37" s="1576"/>
      <c r="BC37" s="1577"/>
      <c r="BD37" s="1577"/>
      <c r="BE37" s="1577"/>
      <c r="BF37" s="1577"/>
      <c r="BG37" s="1577"/>
      <c r="BH37" s="1577"/>
      <c r="BI37" s="1577"/>
      <c r="BJ37" s="1577"/>
      <c r="BK37" s="1577"/>
      <c r="BL37" s="1577"/>
      <c r="BM37" s="1578"/>
      <c r="BN37" s="1579"/>
      <c r="BO37" s="1576"/>
      <c r="BP37" s="1577"/>
      <c r="BQ37" s="1577"/>
      <c r="BR37" s="1577"/>
      <c r="BS37" s="1577"/>
      <c r="BT37" s="1577"/>
      <c r="BU37" s="1577"/>
      <c r="BV37" s="1577"/>
      <c r="BW37" s="1577"/>
      <c r="BX37" s="1577"/>
      <c r="BY37" s="1577"/>
      <c r="BZ37" s="1578"/>
      <c r="CA37" s="1579"/>
      <c r="CB37" s="1576"/>
      <c r="CC37" s="1577"/>
      <c r="CD37" s="1577"/>
      <c r="CE37" s="1577"/>
      <c r="CF37" s="1577"/>
      <c r="CG37" s="1577"/>
      <c r="CH37" s="1577"/>
      <c r="CI37" s="1577"/>
      <c r="CJ37" s="1577"/>
      <c r="CK37" s="1577"/>
      <c r="CL37" s="1577"/>
      <c r="CM37" s="1578"/>
      <c r="CN37" s="1579"/>
      <c r="CO37" s="1576"/>
      <c r="CP37" s="1577"/>
      <c r="CQ37" s="1577"/>
      <c r="CR37" s="1577"/>
      <c r="CS37" s="1577"/>
      <c r="CT37" s="1577"/>
      <c r="CU37" s="1577"/>
      <c r="CV37" s="1577"/>
      <c r="CW37" s="1577"/>
      <c r="CX37" s="1577"/>
      <c r="CY37" s="1577"/>
      <c r="CZ37" s="1578"/>
      <c r="DA37" s="1579"/>
      <c r="DB37" s="1576"/>
      <c r="DC37" s="1577"/>
      <c r="DD37" s="1577"/>
      <c r="DE37" s="1577"/>
      <c r="DF37" s="1577"/>
      <c r="DG37" s="1577"/>
      <c r="DH37" s="1577"/>
      <c r="DI37" s="1577"/>
      <c r="DJ37" s="1577"/>
      <c r="DK37" s="1577"/>
      <c r="DL37" s="1577"/>
      <c r="DM37" s="1578"/>
      <c r="DN37" s="1579"/>
      <c r="DO37" s="1576"/>
      <c r="DP37" s="1577"/>
      <c r="DQ37" s="1577"/>
      <c r="DR37" s="1577"/>
      <c r="DS37" s="1577"/>
      <c r="DT37" s="1577"/>
      <c r="DU37" s="1577"/>
      <c r="DV37" s="1577"/>
      <c r="DW37" s="1577"/>
      <c r="DX37" s="1577"/>
      <c r="DY37" s="1577"/>
      <c r="DZ37" s="1578"/>
      <c r="EA37" s="1579"/>
      <c r="EB37" s="1576"/>
      <c r="EC37" s="1577"/>
      <c r="ED37" s="1577"/>
      <c r="EE37" s="1577"/>
      <c r="EF37" s="1577"/>
      <c r="EG37" s="1577"/>
      <c r="EH37" s="1577"/>
      <c r="EI37" s="1577"/>
      <c r="EJ37" s="1577"/>
      <c r="EK37" s="1577"/>
      <c r="EL37" s="1577"/>
      <c r="EM37" s="1578"/>
      <c r="EN37" s="1579"/>
      <c r="EO37" s="1576"/>
      <c r="EP37" s="1577"/>
      <c r="EQ37" s="1577"/>
      <c r="ER37" s="1577"/>
      <c r="ES37" s="1577"/>
      <c r="ET37" s="1577"/>
      <c r="EU37" s="1577"/>
      <c r="EV37" s="1577"/>
      <c r="EW37" s="1577"/>
      <c r="EX37" s="1577"/>
      <c r="EY37" s="1577"/>
      <c r="EZ37" s="1578"/>
      <c r="FA37" s="1579"/>
      <c r="FB37" s="1576"/>
      <c r="FC37" s="1577"/>
      <c r="FD37" s="1577"/>
      <c r="FE37" s="1577"/>
      <c r="FF37" s="1577"/>
      <c r="FG37" s="1577"/>
      <c r="FH37" s="1577"/>
      <c r="FI37" s="1577"/>
      <c r="FJ37" s="1577"/>
      <c r="FK37" s="1577"/>
      <c r="FL37" s="1577"/>
      <c r="FM37" s="1578"/>
      <c r="FN37" s="1579"/>
      <c r="FO37" s="1576"/>
      <c r="FP37" s="1577"/>
      <c r="FQ37" s="1577"/>
      <c r="FR37" s="1577"/>
      <c r="FS37" s="1577"/>
      <c r="FT37" s="1577"/>
      <c r="FU37" s="1577"/>
      <c r="FV37" s="1577"/>
      <c r="FW37" s="1577"/>
      <c r="FX37" s="1577"/>
      <c r="FY37" s="1577"/>
      <c r="FZ37" s="1578"/>
      <c r="GA37" s="1579">
        <f t="shared" si="32"/>
        <v>0</v>
      </c>
      <c r="GB37" s="1576"/>
      <c r="GC37" s="1577"/>
      <c r="GD37" s="1577"/>
      <c r="GE37" s="1577"/>
      <c r="GF37" s="1577"/>
      <c r="GG37" s="1577"/>
      <c r="GH37" s="1577"/>
      <c r="GI37" s="1577"/>
      <c r="GJ37" s="1577"/>
      <c r="GK37" s="1577"/>
      <c r="GL37" s="1577"/>
      <c r="GM37" s="1578"/>
      <c r="GN37" s="1579">
        <f t="shared" si="33"/>
        <v>0</v>
      </c>
      <c r="GO37" s="1576"/>
      <c r="GP37" s="1577"/>
      <c r="GQ37" s="1577"/>
      <c r="GR37" s="1577"/>
      <c r="GS37" s="1577"/>
      <c r="GT37" s="1577"/>
      <c r="GU37" s="1577"/>
      <c r="GV37" s="1577"/>
      <c r="GW37" s="1577"/>
      <c r="GX37" s="1577"/>
      <c r="GY37" s="1577"/>
      <c r="GZ37" s="1578"/>
      <c r="HA37" s="1579">
        <f t="shared" si="34"/>
        <v>0</v>
      </c>
      <c r="HB37" s="1576"/>
      <c r="HC37" s="1577"/>
      <c r="HD37" s="1577"/>
      <c r="HE37" s="1577"/>
      <c r="HF37" s="1577"/>
      <c r="HG37" s="1577"/>
      <c r="HH37" s="1577"/>
      <c r="HI37" s="1577"/>
      <c r="HJ37" s="1577"/>
      <c r="HK37" s="1577"/>
      <c r="HL37" s="1577"/>
      <c r="HM37" s="1578"/>
      <c r="HN37" s="1579">
        <f t="shared" si="35"/>
        <v>0</v>
      </c>
      <c r="HO37" s="1576">
        <v>0</v>
      </c>
      <c r="HP37" s="1577">
        <v>0</v>
      </c>
      <c r="HQ37" s="1577">
        <v>0</v>
      </c>
      <c r="HR37" s="1577">
        <v>0</v>
      </c>
      <c r="HS37" s="1577">
        <v>0</v>
      </c>
      <c r="HT37" s="1577">
        <v>0</v>
      </c>
      <c r="HU37" s="1577">
        <v>0</v>
      </c>
      <c r="HV37" s="1577">
        <v>0</v>
      </c>
      <c r="HW37" s="1577">
        <v>0</v>
      </c>
      <c r="HX37" s="1577">
        <v>0</v>
      </c>
      <c r="HY37" s="1577">
        <v>0</v>
      </c>
      <c r="HZ37" s="1578">
        <v>0</v>
      </c>
      <c r="IA37" s="1576">
        <f t="shared" si="36"/>
        <v>0</v>
      </c>
      <c r="IB37" s="1569">
        <v>0</v>
      </c>
      <c r="IC37" s="1068">
        <v>0</v>
      </c>
      <c r="ID37" s="1068">
        <v>0</v>
      </c>
      <c r="IE37" s="1068">
        <v>0</v>
      </c>
      <c r="IF37" s="1068">
        <v>0</v>
      </c>
      <c r="IG37" s="1068">
        <v>0</v>
      </c>
      <c r="IH37" s="1068">
        <v>0</v>
      </c>
      <c r="II37" s="1068">
        <v>0</v>
      </c>
      <c r="IJ37" s="1068"/>
      <c r="IK37" s="1068"/>
      <c r="IL37" s="1068"/>
      <c r="IM37" s="1570"/>
      <c r="IN37" s="1571">
        <f t="shared" si="37"/>
        <v>0</v>
      </c>
      <c r="IP37" s="1656" t="str">
        <f t="shared" si="38"/>
        <v/>
      </c>
      <c r="IQ37" s="1656"/>
      <c r="IR37" s="1657">
        <f t="shared" si="40"/>
        <v>0</v>
      </c>
      <c r="IS37" s="1657">
        <f t="shared" si="41"/>
        <v>0</v>
      </c>
      <c r="IT37" s="1659"/>
      <c r="IU37" s="1659"/>
    </row>
    <row r="38" spans="1:255" ht="15" customHeight="1" x14ac:dyDescent="0.2">
      <c r="A38" s="309" t="s">
        <v>405</v>
      </c>
      <c r="B38" s="1576"/>
      <c r="C38" s="1577"/>
      <c r="D38" s="1577"/>
      <c r="E38" s="1577"/>
      <c r="F38" s="1577"/>
      <c r="G38" s="1577"/>
      <c r="H38" s="1577"/>
      <c r="I38" s="1577"/>
      <c r="J38" s="1577"/>
      <c r="K38" s="1577"/>
      <c r="L38" s="1577"/>
      <c r="M38" s="1578"/>
      <c r="N38" s="1579"/>
      <c r="O38" s="1576"/>
      <c r="P38" s="1577"/>
      <c r="Q38" s="1577"/>
      <c r="R38" s="1577"/>
      <c r="S38" s="1577"/>
      <c r="T38" s="1577"/>
      <c r="U38" s="1577"/>
      <c r="V38" s="1577"/>
      <c r="W38" s="1577"/>
      <c r="X38" s="1577"/>
      <c r="Y38" s="1577"/>
      <c r="Z38" s="1578"/>
      <c r="AA38" s="1579"/>
      <c r="AB38" s="1576"/>
      <c r="AC38" s="1577"/>
      <c r="AD38" s="1577"/>
      <c r="AE38" s="1577"/>
      <c r="AF38" s="1577"/>
      <c r="AG38" s="1577"/>
      <c r="AH38" s="1577"/>
      <c r="AI38" s="1577"/>
      <c r="AJ38" s="1577"/>
      <c r="AK38" s="1577"/>
      <c r="AL38" s="1577"/>
      <c r="AM38" s="1578"/>
      <c r="AN38" s="1579">
        <f t="shared" si="67"/>
        <v>0</v>
      </c>
      <c r="AO38" s="1576"/>
      <c r="AP38" s="1577"/>
      <c r="AQ38" s="1577"/>
      <c r="AR38" s="1577"/>
      <c r="AS38" s="1577"/>
      <c r="AT38" s="1577"/>
      <c r="AU38" s="1577"/>
      <c r="AV38" s="1577"/>
      <c r="AW38" s="1577"/>
      <c r="AX38" s="1577"/>
      <c r="AY38" s="1577"/>
      <c r="AZ38" s="1578"/>
      <c r="BA38" s="1579">
        <f t="shared" si="68"/>
        <v>0</v>
      </c>
      <c r="BB38" s="1576"/>
      <c r="BC38" s="1577"/>
      <c r="BD38" s="1577"/>
      <c r="BE38" s="1577"/>
      <c r="BF38" s="1577"/>
      <c r="BG38" s="1577"/>
      <c r="BH38" s="1577"/>
      <c r="BI38" s="1577"/>
      <c r="BJ38" s="1577"/>
      <c r="BK38" s="1577"/>
      <c r="BL38" s="1577"/>
      <c r="BM38" s="1578"/>
      <c r="BN38" s="1579"/>
      <c r="BO38" s="1576"/>
      <c r="BP38" s="1577"/>
      <c r="BQ38" s="1577"/>
      <c r="BR38" s="1577"/>
      <c r="BS38" s="1577"/>
      <c r="BT38" s="1577"/>
      <c r="BU38" s="1577"/>
      <c r="BV38" s="1577"/>
      <c r="BW38" s="1577"/>
      <c r="BX38" s="1577"/>
      <c r="BY38" s="1577"/>
      <c r="BZ38" s="1578"/>
      <c r="CA38" s="1579"/>
      <c r="CB38" s="1576"/>
      <c r="CC38" s="1577"/>
      <c r="CD38" s="1577"/>
      <c r="CE38" s="1577"/>
      <c r="CF38" s="1577"/>
      <c r="CG38" s="1577"/>
      <c r="CH38" s="1577"/>
      <c r="CI38" s="1577"/>
      <c r="CJ38" s="1577"/>
      <c r="CK38" s="1577"/>
      <c r="CL38" s="1577"/>
      <c r="CM38" s="1578"/>
      <c r="CN38" s="1579"/>
      <c r="CO38" s="1576"/>
      <c r="CP38" s="1577"/>
      <c r="CQ38" s="1577"/>
      <c r="CR38" s="1577"/>
      <c r="CS38" s="1577"/>
      <c r="CT38" s="1577"/>
      <c r="CU38" s="1577"/>
      <c r="CV38" s="1577"/>
      <c r="CW38" s="1577"/>
      <c r="CX38" s="1577"/>
      <c r="CY38" s="1577"/>
      <c r="CZ38" s="1578"/>
      <c r="DA38" s="1579"/>
      <c r="DB38" s="1576"/>
      <c r="DC38" s="1577"/>
      <c r="DD38" s="1577"/>
      <c r="DE38" s="1577"/>
      <c r="DF38" s="1577"/>
      <c r="DG38" s="1577"/>
      <c r="DH38" s="1577"/>
      <c r="DI38" s="1577"/>
      <c r="DJ38" s="1577"/>
      <c r="DK38" s="1577"/>
      <c r="DL38" s="1577"/>
      <c r="DM38" s="1578"/>
      <c r="DN38" s="1579"/>
      <c r="DO38" s="1576"/>
      <c r="DP38" s="1577"/>
      <c r="DQ38" s="1577"/>
      <c r="DR38" s="1577"/>
      <c r="DS38" s="1577"/>
      <c r="DT38" s="1577"/>
      <c r="DU38" s="1577"/>
      <c r="DV38" s="1577"/>
      <c r="DW38" s="1577"/>
      <c r="DX38" s="1577"/>
      <c r="DY38" s="1577"/>
      <c r="DZ38" s="1578"/>
      <c r="EA38" s="1579"/>
      <c r="EB38" s="1576"/>
      <c r="EC38" s="1577"/>
      <c r="ED38" s="1577"/>
      <c r="EE38" s="1577"/>
      <c r="EF38" s="1577"/>
      <c r="EG38" s="1577"/>
      <c r="EH38" s="1577"/>
      <c r="EI38" s="1577"/>
      <c r="EJ38" s="1577"/>
      <c r="EK38" s="1577"/>
      <c r="EL38" s="1577"/>
      <c r="EM38" s="1578"/>
      <c r="EN38" s="1579"/>
      <c r="EO38" s="1576"/>
      <c r="EP38" s="1577"/>
      <c r="EQ38" s="1577"/>
      <c r="ER38" s="1577"/>
      <c r="ES38" s="1577"/>
      <c r="ET38" s="1577"/>
      <c r="EU38" s="1577"/>
      <c r="EV38" s="1577"/>
      <c r="EW38" s="1577"/>
      <c r="EX38" s="1577"/>
      <c r="EY38" s="1577"/>
      <c r="EZ38" s="1578"/>
      <c r="FA38" s="1579"/>
      <c r="FB38" s="1576"/>
      <c r="FC38" s="1577"/>
      <c r="FD38" s="1577"/>
      <c r="FE38" s="1577"/>
      <c r="FF38" s="1577"/>
      <c r="FG38" s="1577"/>
      <c r="FH38" s="1577"/>
      <c r="FI38" s="1577"/>
      <c r="FJ38" s="1577"/>
      <c r="FK38" s="1577"/>
      <c r="FL38" s="1577"/>
      <c r="FM38" s="1578"/>
      <c r="FN38" s="1579"/>
      <c r="FO38" s="1576"/>
      <c r="FP38" s="1577"/>
      <c r="FQ38" s="1577"/>
      <c r="FR38" s="1577"/>
      <c r="FS38" s="1577"/>
      <c r="FT38" s="1577"/>
      <c r="FU38" s="1577"/>
      <c r="FV38" s="1577"/>
      <c r="FW38" s="1577"/>
      <c r="FX38" s="1577"/>
      <c r="FY38" s="1577"/>
      <c r="FZ38" s="1578"/>
      <c r="GA38" s="1579">
        <f t="shared" si="32"/>
        <v>0</v>
      </c>
      <c r="GB38" s="1576"/>
      <c r="GC38" s="1577"/>
      <c r="GD38" s="1577"/>
      <c r="GE38" s="1577"/>
      <c r="GF38" s="1577"/>
      <c r="GG38" s="1577"/>
      <c r="GH38" s="1577"/>
      <c r="GI38" s="1577"/>
      <c r="GJ38" s="1577"/>
      <c r="GK38" s="1577"/>
      <c r="GL38" s="1577"/>
      <c r="GM38" s="1578"/>
      <c r="GN38" s="1579">
        <f t="shared" si="33"/>
        <v>0</v>
      </c>
      <c r="GO38" s="1576"/>
      <c r="GP38" s="1577"/>
      <c r="GQ38" s="1577"/>
      <c r="GR38" s="1577"/>
      <c r="GS38" s="1577"/>
      <c r="GT38" s="1577"/>
      <c r="GU38" s="1577"/>
      <c r="GV38" s="1577"/>
      <c r="GW38" s="1577"/>
      <c r="GX38" s="1577"/>
      <c r="GY38" s="1577"/>
      <c r="GZ38" s="1578"/>
      <c r="HA38" s="1579">
        <f t="shared" si="34"/>
        <v>0</v>
      </c>
      <c r="HB38" s="1576"/>
      <c r="HC38" s="1577"/>
      <c r="HD38" s="1577"/>
      <c r="HE38" s="1577"/>
      <c r="HF38" s="1577"/>
      <c r="HG38" s="1577"/>
      <c r="HH38" s="1577"/>
      <c r="HI38" s="1577"/>
      <c r="HJ38" s="1577"/>
      <c r="HK38" s="1577"/>
      <c r="HL38" s="1577"/>
      <c r="HM38" s="1578"/>
      <c r="HN38" s="1579">
        <f t="shared" si="35"/>
        <v>0</v>
      </c>
      <c r="HO38" s="1576">
        <v>0</v>
      </c>
      <c r="HP38" s="1577">
        <v>0</v>
      </c>
      <c r="HQ38" s="1577">
        <v>0</v>
      </c>
      <c r="HR38" s="1577">
        <v>0</v>
      </c>
      <c r="HS38" s="1577">
        <v>0</v>
      </c>
      <c r="HT38" s="1577">
        <v>0</v>
      </c>
      <c r="HU38" s="1577">
        <v>0</v>
      </c>
      <c r="HV38" s="1577">
        <v>0</v>
      </c>
      <c r="HW38" s="1577">
        <v>0</v>
      </c>
      <c r="HX38" s="1577">
        <v>0</v>
      </c>
      <c r="HY38" s="1577">
        <v>0</v>
      </c>
      <c r="HZ38" s="1578">
        <v>0</v>
      </c>
      <c r="IA38" s="1576">
        <f t="shared" si="36"/>
        <v>0</v>
      </c>
      <c r="IB38" s="1569">
        <v>0</v>
      </c>
      <c r="IC38" s="1068">
        <v>0</v>
      </c>
      <c r="ID38" s="1068">
        <v>0</v>
      </c>
      <c r="IE38" s="1068">
        <v>0</v>
      </c>
      <c r="IF38" s="1068">
        <v>0</v>
      </c>
      <c r="IG38" s="1068">
        <v>0</v>
      </c>
      <c r="IH38" s="1068">
        <v>0</v>
      </c>
      <c r="II38" s="1068">
        <v>0</v>
      </c>
      <c r="IJ38" s="1068"/>
      <c r="IK38" s="1068"/>
      <c r="IL38" s="1068"/>
      <c r="IM38" s="1570"/>
      <c r="IN38" s="1571">
        <f t="shared" si="37"/>
        <v>0</v>
      </c>
      <c r="IP38" s="1656" t="str">
        <f t="shared" si="38"/>
        <v/>
      </c>
      <c r="IQ38" s="1656"/>
      <c r="IR38" s="1657">
        <f t="shared" si="40"/>
        <v>0</v>
      </c>
      <c r="IS38" s="1657">
        <f>IFERROR(SUM(IB38:IM38),"")</f>
        <v>0</v>
      </c>
      <c r="IT38" s="1659"/>
      <c r="IU38" s="1659"/>
    </row>
    <row r="39" spans="1:255" ht="15" customHeight="1" x14ac:dyDescent="0.2">
      <c r="A39" s="310" t="s">
        <v>352</v>
      </c>
      <c r="B39" s="1580"/>
      <c r="C39" s="1581"/>
      <c r="D39" s="1581"/>
      <c r="E39" s="1581"/>
      <c r="F39" s="1581"/>
      <c r="G39" s="1581"/>
      <c r="H39" s="1581"/>
      <c r="I39" s="1581"/>
      <c r="J39" s="1581"/>
      <c r="K39" s="1581"/>
      <c r="L39" s="1581"/>
      <c r="M39" s="1582"/>
      <c r="N39" s="1583"/>
      <c r="O39" s="1580"/>
      <c r="P39" s="1581"/>
      <c r="Q39" s="1581"/>
      <c r="R39" s="1581"/>
      <c r="S39" s="1581"/>
      <c r="T39" s="1581"/>
      <c r="U39" s="1581"/>
      <c r="V39" s="1581"/>
      <c r="W39" s="1581"/>
      <c r="X39" s="1581"/>
      <c r="Y39" s="1581"/>
      <c r="Z39" s="1582"/>
      <c r="AA39" s="1583"/>
      <c r="AB39" s="1580"/>
      <c r="AC39" s="1581"/>
      <c r="AD39" s="1581"/>
      <c r="AE39" s="1581"/>
      <c r="AF39" s="1581"/>
      <c r="AG39" s="1581"/>
      <c r="AH39" s="1581"/>
      <c r="AI39" s="1581"/>
      <c r="AJ39" s="1581"/>
      <c r="AK39" s="1581"/>
      <c r="AL39" s="1581"/>
      <c r="AM39" s="1582"/>
      <c r="AN39" s="1583"/>
      <c r="AO39" s="1580"/>
      <c r="AP39" s="1581"/>
      <c r="AQ39" s="1581"/>
      <c r="AR39" s="1581"/>
      <c r="AS39" s="1581"/>
      <c r="AT39" s="1581"/>
      <c r="AU39" s="1581"/>
      <c r="AV39" s="1581"/>
      <c r="AW39" s="1581"/>
      <c r="AX39" s="1581"/>
      <c r="AY39" s="1581"/>
      <c r="AZ39" s="1582"/>
      <c r="BA39" s="1583"/>
      <c r="BB39" s="1580"/>
      <c r="BC39" s="1581"/>
      <c r="BD39" s="1581"/>
      <c r="BE39" s="1581"/>
      <c r="BF39" s="1581"/>
      <c r="BG39" s="1581"/>
      <c r="BH39" s="1581"/>
      <c r="BI39" s="1581"/>
      <c r="BJ39" s="1581"/>
      <c r="BK39" s="1581"/>
      <c r="BL39" s="1581"/>
      <c r="BM39" s="1582"/>
      <c r="BN39" s="1583"/>
      <c r="BO39" s="1580"/>
      <c r="BP39" s="1581"/>
      <c r="BQ39" s="1581"/>
      <c r="BR39" s="1581"/>
      <c r="BS39" s="1581"/>
      <c r="BT39" s="1581"/>
      <c r="BU39" s="1581"/>
      <c r="BV39" s="1581"/>
      <c r="BW39" s="1581"/>
      <c r="BX39" s="1581"/>
      <c r="BY39" s="1581"/>
      <c r="BZ39" s="1582"/>
      <c r="CA39" s="1583"/>
      <c r="CB39" s="1580"/>
      <c r="CC39" s="1581"/>
      <c r="CD39" s="1581"/>
      <c r="CE39" s="1581"/>
      <c r="CF39" s="1581"/>
      <c r="CG39" s="1581"/>
      <c r="CH39" s="1581"/>
      <c r="CI39" s="1581"/>
      <c r="CJ39" s="1581"/>
      <c r="CK39" s="1581"/>
      <c r="CL39" s="1581"/>
      <c r="CM39" s="1582"/>
      <c r="CN39" s="1583"/>
      <c r="CO39" s="1580"/>
      <c r="CP39" s="1581"/>
      <c r="CQ39" s="1581"/>
      <c r="CR39" s="1581"/>
      <c r="CS39" s="1581"/>
      <c r="CT39" s="1581"/>
      <c r="CU39" s="1581"/>
      <c r="CV39" s="1581"/>
      <c r="CW39" s="1581"/>
      <c r="CX39" s="1581"/>
      <c r="CY39" s="1581"/>
      <c r="CZ39" s="1582"/>
      <c r="DA39" s="1583"/>
      <c r="DB39" s="1580"/>
      <c r="DC39" s="1581"/>
      <c r="DD39" s="1581"/>
      <c r="DE39" s="1581"/>
      <c r="DF39" s="1581"/>
      <c r="DG39" s="1581"/>
      <c r="DH39" s="1581"/>
      <c r="DI39" s="1581"/>
      <c r="DJ39" s="1581"/>
      <c r="DK39" s="1581"/>
      <c r="DL39" s="1581"/>
      <c r="DM39" s="1582"/>
      <c r="DN39" s="1583"/>
      <c r="DO39" s="1580"/>
      <c r="DP39" s="1581"/>
      <c r="DQ39" s="1581"/>
      <c r="DR39" s="1581"/>
      <c r="DS39" s="1581"/>
      <c r="DT39" s="1581"/>
      <c r="DU39" s="1581"/>
      <c r="DV39" s="1581"/>
      <c r="DW39" s="1581"/>
      <c r="DX39" s="1581"/>
      <c r="DY39" s="1581"/>
      <c r="DZ39" s="1582"/>
      <c r="EA39" s="1583"/>
      <c r="EB39" s="1580"/>
      <c r="EC39" s="1581"/>
      <c r="ED39" s="1581"/>
      <c r="EE39" s="1581"/>
      <c r="EF39" s="1581"/>
      <c r="EG39" s="1581"/>
      <c r="EH39" s="1581"/>
      <c r="EI39" s="1581"/>
      <c r="EJ39" s="1581"/>
      <c r="EK39" s="1581"/>
      <c r="EL39" s="1581"/>
      <c r="EM39" s="1582"/>
      <c r="EN39" s="1583"/>
      <c r="EO39" s="1580"/>
      <c r="EP39" s="1581"/>
      <c r="EQ39" s="1581"/>
      <c r="ER39" s="1581"/>
      <c r="ES39" s="1581"/>
      <c r="ET39" s="1581"/>
      <c r="EU39" s="1581"/>
      <c r="EV39" s="1581"/>
      <c r="EW39" s="1581"/>
      <c r="EX39" s="1581"/>
      <c r="EY39" s="1581"/>
      <c r="EZ39" s="1582"/>
      <c r="FA39" s="1583"/>
      <c r="FB39" s="1580"/>
      <c r="FC39" s="1581"/>
      <c r="FD39" s="1581"/>
      <c r="FE39" s="1581"/>
      <c r="FF39" s="1581"/>
      <c r="FG39" s="1581"/>
      <c r="FH39" s="1581"/>
      <c r="FI39" s="1581"/>
      <c r="FJ39" s="1581"/>
      <c r="FK39" s="1581"/>
      <c r="FL39" s="1581"/>
      <c r="FM39" s="1582"/>
      <c r="FN39" s="1583"/>
      <c r="FO39" s="1580"/>
      <c r="FP39" s="1581"/>
      <c r="FQ39" s="1581"/>
      <c r="FR39" s="1581"/>
      <c r="FS39" s="1581"/>
      <c r="FT39" s="1581"/>
      <c r="FU39" s="1581"/>
      <c r="FV39" s="1581"/>
      <c r="FW39" s="1581"/>
      <c r="FX39" s="1581"/>
      <c r="FY39" s="1581"/>
      <c r="FZ39" s="1582"/>
      <c r="GA39" s="1583"/>
      <c r="GB39" s="1580"/>
      <c r="GC39" s="1581"/>
      <c r="GD39" s="1581"/>
      <c r="GE39" s="1581"/>
      <c r="GF39" s="1581"/>
      <c r="GG39" s="1581"/>
      <c r="GH39" s="1581"/>
      <c r="GI39" s="1581"/>
      <c r="GJ39" s="1581"/>
      <c r="GK39" s="1581"/>
      <c r="GL39" s="1581"/>
      <c r="GM39" s="1582"/>
      <c r="GN39" s="1583"/>
      <c r="GO39" s="1580"/>
      <c r="GP39" s="1581"/>
      <c r="GQ39" s="1581"/>
      <c r="GR39" s="1581"/>
      <c r="GS39" s="1581"/>
      <c r="GT39" s="1581"/>
      <c r="GU39" s="1581"/>
      <c r="GV39" s="1581"/>
      <c r="GW39" s="1581"/>
      <c r="GX39" s="1581"/>
      <c r="GY39" s="1581"/>
      <c r="GZ39" s="1582"/>
      <c r="HA39" s="1583"/>
      <c r="HB39" s="1580"/>
      <c r="HC39" s="1581"/>
      <c r="HD39" s="1581"/>
      <c r="HE39" s="1581"/>
      <c r="HF39" s="1581"/>
      <c r="HG39" s="1581"/>
      <c r="HH39" s="1581"/>
      <c r="HI39" s="1581"/>
      <c r="HJ39" s="1581"/>
      <c r="HK39" s="1581"/>
      <c r="HL39" s="1581"/>
      <c r="HM39" s="1582"/>
      <c r="HN39" s="1583"/>
      <c r="HO39" s="1584"/>
      <c r="HP39" s="1585"/>
      <c r="HQ39" s="1585"/>
      <c r="HR39" s="1585"/>
      <c r="HS39" s="1585"/>
      <c r="HT39" s="1585"/>
      <c r="HU39" s="1585"/>
      <c r="HV39" s="1585"/>
      <c r="HW39" s="1585"/>
      <c r="HX39" s="1585"/>
      <c r="HY39" s="1585"/>
      <c r="HZ39" s="1586"/>
      <c r="IA39" s="1584"/>
      <c r="IB39" s="1584"/>
      <c r="IC39" s="1585"/>
      <c r="ID39" s="1585"/>
      <c r="IE39" s="1585"/>
      <c r="IF39" s="1585"/>
      <c r="IG39" s="1585"/>
      <c r="IH39" s="1585"/>
      <c r="II39" s="1585"/>
      <c r="IJ39" s="1585"/>
      <c r="IK39" s="1585"/>
      <c r="IL39" s="1585"/>
      <c r="IM39" s="1586"/>
      <c r="IN39" s="1587"/>
      <c r="IP39" s="1660"/>
      <c r="IQ39" s="1661"/>
      <c r="IR39" s="1661"/>
      <c r="IS39" s="1661"/>
      <c r="IT39" s="1659"/>
      <c r="IU39" s="1659"/>
    </row>
    <row r="40" spans="1:255" ht="15" customHeight="1" x14ac:dyDescent="0.2">
      <c r="A40" s="311" t="s">
        <v>298</v>
      </c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314"/>
      <c r="O40" s="314"/>
      <c r="P40" s="314"/>
      <c r="Q40" s="314"/>
      <c r="R40" s="314"/>
      <c r="S40" s="314"/>
      <c r="T40" s="314"/>
      <c r="U40" s="314"/>
      <c r="V40" s="314"/>
      <c r="W40" s="314"/>
      <c r="X40" s="314"/>
      <c r="Y40" s="314"/>
      <c r="Z40" s="314"/>
      <c r="AA40" s="314"/>
      <c r="AB40" s="314"/>
      <c r="AC40" s="314"/>
      <c r="AD40" s="314"/>
      <c r="AE40" s="314"/>
      <c r="AF40" s="314"/>
      <c r="AG40" s="314"/>
      <c r="AH40" s="314"/>
      <c r="AI40" s="314"/>
      <c r="AJ40" s="314"/>
      <c r="AK40" s="314"/>
      <c r="AL40" s="314"/>
      <c r="AM40" s="314"/>
      <c r="AN40" s="314"/>
      <c r="AO40" s="314"/>
      <c r="AP40" s="314"/>
      <c r="AQ40" s="314"/>
      <c r="AR40" s="314"/>
      <c r="AS40" s="314"/>
      <c r="AT40" s="314"/>
      <c r="AU40" s="314"/>
      <c r="AV40" s="314"/>
      <c r="AW40" s="314"/>
      <c r="AX40" s="314"/>
      <c r="AY40" s="314"/>
      <c r="AZ40" s="314"/>
      <c r="BA40" s="314"/>
      <c r="BB40" s="314"/>
      <c r="BC40" s="314"/>
      <c r="BD40" s="314"/>
      <c r="BE40" s="314"/>
      <c r="BF40" s="314"/>
      <c r="BG40" s="314"/>
      <c r="BH40" s="314"/>
      <c r="BI40" s="314"/>
      <c r="BJ40" s="314"/>
      <c r="BK40" s="314"/>
      <c r="BL40" s="314"/>
      <c r="BM40" s="314"/>
      <c r="BN40" s="314"/>
      <c r="BO40" s="314"/>
      <c r="BP40" s="314"/>
      <c r="BQ40" s="314"/>
      <c r="BR40" s="314"/>
      <c r="BS40" s="314"/>
      <c r="BT40" s="314"/>
      <c r="BU40" s="314"/>
      <c r="BV40" s="314"/>
      <c r="BW40" s="314"/>
      <c r="BX40" s="314"/>
      <c r="BY40" s="314"/>
      <c r="BZ40" s="314"/>
      <c r="CA40" s="314"/>
      <c r="CB40" s="314"/>
      <c r="CC40" s="314"/>
      <c r="CD40" s="314"/>
      <c r="CE40" s="314"/>
      <c r="CF40" s="314"/>
      <c r="CG40" s="314"/>
      <c r="CH40" s="314"/>
      <c r="CI40" s="314"/>
      <c r="CJ40" s="314"/>
      <c r="CK40" s="314"/>
      <c r="CL40" s="314"/>
      <c r="CM40" s="314"/>
      <c r="CN40" s="314"/>
      <c r="CO40" s="314"/>
      <c r="CP40" s="314"/>
      <c r="CQ40" s="314"/>
      <c r="CR40" s="314"/>
      <c r="CS40" s="314"/>
      <c r="CT40" s="314"/>
      <c r="CU40" s="314"/>
      <c r="CV40" s="314"/>
      <c r="CW40" s="314"/>
      <c r="CX40" s="314"/>
      <c r="CY40" s="314"/>
      <c r="CZ40" s="314"/>
      <c r="DA40" s="314"/>
      <c r="DB40" s="314"/>
      <c r="DC40" s="314"/>
      <c r="DD40" s="314"/>
      <c r="DE40" s="314"/>
      <c r="DF40" s="314"/>
      <c r="DG40" s="314"/>
      <c r="DH40" s="314"/>
      <c r="DI40" s="314"/>
      <c r="DJ40" s="314"/>
      <c r="DK40" s="314"/>
      <c r="DL40" s="314"/>
      <c r="DM40" s="314"/>
      <c r="DN40" s="314"/>
      <c r="DO40" s="314"/>
      <c r="DP40" s="314"/>
      <c r="DQ40" s="314"/>
      <c r="DR40" s="314"/>
      <c r="DS40" s="314"/>
      <c r="DT40" s="314"/>
      <c r="DU40" s="314"/>
      <c r="DV40" s="314"/>
      <c r="DW40" s="314"/>
      <c r="DX40" s="314"/>
      <c r="DY40" s="314"/>
      <c r="DZ40" s="314"/>
      <c r="EA40" s="314"/>
      <c r="EB40" s="314"/>
      <c r="EC40" s="314"/>
      <c r="ED40" s="314"/>
      <c r="EE40" s="314"/>
      <c r="EF40" s="314"/>
      <c r="EG40" s="314"/>
      <c r="EH40" s="314"/>
      <c r="EI40" s="314"/>
      <c r="EJ40" s="314"/>
      <c r="EK40" s="314"/>
      <c r="EL40" s="314"/>
      <c r="EM40" s="314"/>
      <c r="EN40" s="314"/>
      <c r="EO40" s="314"/>
      <c r="EP40" s="314"/>
      <c r="EQ40" s="314"/>
      <c r="ER40" s="314"/>
      <c r="ES40" s="314"/>
      <c r="ET40" s="314"/>
      <c r="EU40" s="314"/>
      <c r="EV40" s="314"/>
      <c r="EW40" s="314"/>
      <c r="EX40" s="314"/>
      <c r="EY40" s="314"/>
      <c r="EZ40" s="314"/>
      <c r="FA40" s="314"/>
      <c r="FB40" s="314"/>
      <c r="FC40" s="314"/>
      <c r="FD40" s="314"/>
      <c r="FE40" s="314"/>
      <c r="FF40" s="314"/>
      <c r="FG40" s="314"/>
      <c r="FH40" s="314"/>
      <c r="FI40" s="314"/>
      <c r="FJ40" s="400"/>
      <c r="FK40" s="400"/>
      <c r="FL40" s="400"/>
      <c r="FM40" s="401"/>
    </row>
    <row r="41" spans="1:255" ht="15" customHeight="1" x14ac:dyDescent="0.2">
      <c r="A41" s="112" t="s">
        <v>127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</row>
    <row r="42" spans="1:255" customFormat="1" ht="13.9" customHeight="1" x14ac:dyDescent="0.2"/>
    <row r="43" spans="1:255" customFormat="1" ht="13.9" customHeight="1" x14ac:dyDescent="0.2"/>
    <row r="44" spans="1:255" customFormat="1" ht="13.9" customHeight="1" x14ac:dyDescent="0.2"/>
    <row r="45" spans="1:255" customFormat="1" ht="13.9" customHeight="1" x14ac:dyDescent="0.2"/>
    <row r="46" spans="1:255" customFormat="1" ht="13.9" customHeight="1" x14ac:dyDescent="0.2"/>
    <row r="47" spans="1:255" customFormat="1" ht="13.9" customHeight="1" x14ac:dyDescent="0.2"/>
    <row r="48" spans="1:255" customFormat="1" ht="13.9" customHeight="1" x14ac:dyDescent="0.2"/>
    <row r="49" customFormat="1" ht="13.9" customHeight="1" x14ac:dyDescent="0.2"/>
    <row r="50" customFormat="1" ht="13.9" customHeight="1" x14ac:dyDescent="0.2"/>
    <row r="51" customFormat="1" ht="13.9" customHeight="1" x14ac:dyDescent="0.2"/>
    <row r="52" customFormat="1" ht="13.9" customHeight="1" x14ac:dyDescent="0.2"/>
    <row r="53" customFormat="1" ht="13.9" customHeight="1" x14ac:dyDescent="0.2"/>
    <row r="54" customFormat="1" ht="13.9" customHeight="1" x14ac:dyDescent="0.2"/>
    <row r="55" customFormat="1" ht="13.9" customHeight="1" x14ac:dyDescent="0.2"/>
    <row r="56" customFormat="1" ht="13.9" customHeight="1" x14ac:dyDescent="0.2"/>
    <row r="57" customFormat="1" ht="13.9" customHeight="1" x14ac:dyDescent="0.2"/>
    <row r="58" customFormat="1" ht="13.9" customHeight="1" x14ac:dyDescent="0.2"/>
    <row r="59" customFormat="1" ht="13.9" customHeight="1" x14ac:dyDescent="0.2"/>
    <row r="60" customFormat="1" ht="13.9" customHeight="1" x14ac:dyDescent="0.2"/>
    <row r="61" customFormat="1" ht="13.9" customHeight="1" x14ac:dyDescent="0.2"/>
    <row r="62" customFormat="1" ht="13.9" customHeight="1" x14ac:dyDescent="0.2"/>
    <row r="63" customFormat="1" ht="13.9" customHeight="1" x14ac:dyDescent="0.2"/>
    <row r="64" customFormat="1" ht="13.9" customHeight="1" x14ac:dyDescent="0.2"/>
    <row r="65" customFormat="1" ht="13.9" customHeight="1" x14ac:dyDescent="0.2"/>
    <row r="66" customFormat="1" ht="13.9" customHeight="1" x14ac:dyDescent="0.2"/>
    <row r="67" customFormat="1" ht="13.9" customHeight="1" x14ac:dyDescent="0.2"/>
    <row r="68" customFormat="1" ht="13.9" customHeight="1" x14ac:dyDescent="0.2"/>
    <row r="69" customFormat="1" ht="13.9" customHeight="1" x14ac:dyDescent="0.2"/>
    <row r="70" customFormat="1" ht="13.9" customHeight="1" x14ac:dyDescent="0.2"/>
    <row r="71" customFormat="1" ht="13.9" customHeight="1" x14ac:dyDescent="0.2"/>
    <row r="72" customFormat="1" ht="13.9" customHeight="1" x14ac:dyDescent="0.2"/>
    <row r="73" customFormat="1" ht="13.9" customHeight="1" x14ac:dyDescent="0.2"/>
    <row r="74" customFormat="1" ht="13.9" customHeight="1" x14ac:dyDescent="0.2"/>
    <row r="75" customFormat="1" ht="13.9" customHeight="1" x14ac:dyDescent="0.2"/>
    <row r="76" customFormat="1" ht="13.9" customHeight="1" x14ac:dyDescent="0.2"/>
    <row r="77" customFormat="1" ht="13.9" customHeight="1" x14ac:dyDescent="0.2"/>
    <row r="78" customFormat="1" ht="13.9" customHeight="1" x14ac:dyDescent="0.2"/>
    <row r="79" customFormat="1" ht="13.9" customHeight="1" x14ac:dyDescent="0.2"/>
    <row r="80" customFormat="1" ht="13.9" customHeight="1" x14ac:dyDescent="0.2"/>
    <row r="81" customFormat="1" ht="13.9" customHeight="1" x14ac:dyDescent="0.2"/>
    <row r="82" customFormat="1" ht="13.9" customHeight="1" x14ac:dyDescent="0.2"/>
    <row r="83" customFormat="1" ht="13.9" customHeight="1" x14ac:dyDescent="0.2"/>
    <row r="84" customFormat="1" ht="13.9" customHeight="1" x14ac:dyDescent="0.2"/>
    <row r="85" customFormat="1" ht="13.9" customHeight="1" x14ac:dyDescent="0.2"/>
    <row r="86" customFormat="1" ht="13.9" customHeight="1" x14ac:dyDescent="0.2"/>
    <row r="87" customFormat="1" ht="13.9" customHeight="1" x14ac:dyDescent="0.2"/>
    <row r="88" customFormat="1" ht="13.9" customHeight="1" x14ac:dyDescent="0.2"/>
    <row r="89" customFormat="1" ht="13.9" customHeight="1" x14ac:dyDescent="0.2"/>
    <row r="90" customFormat="1" ht="13.9" customHeight="1" x14ac:dyDescent="0.2"/>
    <row r="91" customFormat="1" ht="13.9" customHeight="1" x14ac:dyDescent="0.2"/>
    <row r="92" customFormat="1" ht="13.9" customHeight="1" x14ac:dyDescent="0.2"/>
  </sheetData>
  <mergeCells count="1">
    <mergeCell ref="IP4:IQ4"/>
  </mergeCells>
  <printOptions horizontalCentered="1" verticalCentered="1"/>
  <pageMargins left="0.23622047244094491" right="0.15748031496062992" top="0.98425196850393704" bottom="0.98425196850393704" header="0" footer="0"/>
  <pageSetup paperSize="9" scale="10" orientation="landscape" r:id="rId1"/>
  <headerFooter alignWithMargins="0"/>
  <colBreaks count="1" manualBreakCount="1">
    <brk id="144" max="40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9C24-3C62-4317-8052-5CF60F143EB6}">
  <sheetPr>
    <tabColor theme="7" tint="0.59999389629810485"/>
    <pageSetUpPr fitToPage="1"/>
  </sheetPr>
  <dimension ref="A1:HF87"/>
  <sheetViews>
    <sheetView showGridLines="0" view="pageBreakPreview" zoomScale="80" zoomScaleNormal="75" zoomScaleSheetLayoutView="80" workbookViewId="0">
      <pane xSplit="1" topLeftCell="GB1" activePane="topRight" state="frozen"/>
      <selection activeCell="IB59" sqref="IB59:JB59"/>
      <selection pane="topRight" activeCell="GV7" sqref="GV7"/>
    </sheetView>
  </sheetViews>
  <sheetFormatPr baseColWidth="10" defaultColWidth="8.7109375" defaultRowHeight="13.9" customHeight="1" x14ac:dyDescent="0.2"/>
  <cols>
    <col min="1" max="1" width="30.7109375" style="666" customWidth="1"/>
    <col min="2" max="182" width="8.7109375" style="666"/>
    <col min="183" max="183" width="10.42578125" style="666" bestFit="1" customWidth="1"/>
    <col min="184" max="184" width="9.7109375" style="666" customWidth="1"/>
    <col min="185" max="185" width="9.42578125" style="666" bestFit="1" customWidth="1"/>
    <col min="186" max="186" width="9.42578125" style="664" bestFit="1" customWidth="1"/>
    <col min="187" max="194" width="9.42578125" style="666" bestFit="1" customWidth="1"/>
    <col min="195" max="195" width="10.5703125" style="666" bestFit="1" customWidth="1"/>
    <col min="196" max="196" width="10.85546875" style="666" bestFit="1" customWidth="1"/>
    <col min="197" max="197" width="9.7109375" customWidth="1"/>
    <col min="198" max="199" width="9.85546875" customWidth="1"/>
    <col min="200" max="200" width="9.140625" customWidth="1"/>
    <col min="201" max="202" width="11" customWidth="1"/>
    <col min="203" max="203" width="10" customWidth="1"/>
    <col min="204" max="204" width="10.42578125" customWidth="1"/>
    <col min="205" max="205" width="9.140625" customWidth="1"/>
    <col min="206" max="206" width="10.42578125" customWidth="1"/>
    <col min="207" max="207" width="10.7109375" customWidth="1"/>
    <col min="208" max="208" width="9.85546875" customWidth="1"/>
    <col min="209" max="209" width="10.5703125" customWidth="1"/>
    <col min="210" max="210" width="3.140625" customWidth="1"/>
    <col min="211" max="211" width="7.85546875" style="666" customWidth="1"/>
    <col min="212" max="212" width="8.5703125" style="666" customWidth="1"/>
    <col min="213" max="213" width="12" style="666" bestFit="1" customWidth="1"/>
    <col min="214" max="214" width="11.85546875" style="666" bestFit="1" customWidth="1"/>
    <col min="215" max="16384" width="8.7109375" style="666"/>
  </cols>
  <sheetData>
    <row r="1" spans="1:214" ht="13.9" customHeight="1" x14ac:dyDescent="0.2">
      <c r="A1" s="663" t="s">
        <v>333</v>
      </c>
      <c r="B1" s="664"/>
      <c r="C1" s="664"/>
      <c r="D1" s="664"/>
      <c r="E1" s="664"/>
      <c r="F1" s="664"/>
      <c r="G1" s="664"/>
      <c r="H1" s="664"/>
      <c r="I1" s="664"/>
      <c r="J1" s="664"/>
      <c r="K1" s="664"/>
      <c r="L1" s="664"/>
      <c r="M1" s="664"/>
      <c r="N1" s="664"/>
      <c r="O1" s="664"/>
      <c r="P1" s="664"/>
      <c r="Q1" s="664"/>
      <c r="R1" s="664"/>
      <c r="S1" s="664"/>
      <c r="T1" s="664"/>
      <c r="U1" s="664"/>
      <c r="V1" s="664"/>
      <c r="W1" s="664"/>
      <c r="X1" s="664"/>
      <c r="Y1" s="664"/>
      <c r="Z1" s="664"/>
      <c r="AA1" s="664"/>
      <c r="AB1" s="664"/>
      <c r="AC1" s="664"/>
      <c r="AD1" s="664"/>
      <c r="AE1" s="664"/>
      <c r="AF1" s="664"/>
      <c r="AG1" s="664"/>
      <c r="AH1" s="664"/>
      <c r="AI1" s="664"/>
      <c r="AJ1" s="664"/>
      <c r="AK1" s="665"/>
      <c r="AL1" s="664"/>
      <c r="AM1" s="664"/>
      <c r="AN1" s="664"/>
      <c r="AO1" s="664"/>
      <c r="AP1" s="664"/>
      <c r="AQ1" s="664"/>
      <c r="AR1" s="664"/>
      <c r="AS1" s="664"/>
      <c r="AT1" s="664"/>
      <c r="AU1" s="664"/>
      <c r="AV1" s="664"/>
      <c r="AW1" s="664"/>
      <c r="AX1" s="664"/>
      <c r="AY1" s="664"/>
      <c r="AZ1" s="664"/>
      <c r="BA1" s="664"/>
      <c r="BB1" s="664"/>
      <c r="BC1" s="664"/>
      <c r="BD1" s="664"/>
      <c r="BE1" s="664"/>
      <c r="BF1" s="664"/>
      <c r="BG1" s="664"/>
      <c r="BH1" s="664"/>
      <c r="BI1" s="664"/>
      <c r="BJ1" s="664"/>
      <c r="BK1" s="664"/>
      <c r="BL1" s="664"/>
      <c r="BM1" s="664"/>
      <c r="BN1" s="664"/>
      <c r="BO1" s="664"/>
      <c r="BP1" s="664"/>
      <c r="BQ1" s="664"/>
      <c r="BR1" s="664"/>
      <c r="BS1" s="664"/>
      <c r="BT1" s="664"/>
      <c r="BU1" s="664"/>
      <c r="BV1" s="664"/>
      <c r="BW1" s="664"/>
      <c r="BX1" s="664"/>
      <c r="BY1" s="664"/>
      <c r="BZ1" s="664"/>
      <c r="CA1" s="664"/>
      <c r="CB1" s="664"/>
      <c r="CC1" s="664"/>
      <c r="CD1" s="664"/>
      <c r="CE1" s="664"/>
      <c r="CF1" s="664"/>
      <c r="CG1" s="664"/>
      <c r="CH1" s="664"/>
      <c r="CI1" s="664"/>
      <c r="CJ1" s="664"/>
      <c r="CK1" s="664"/>
      <c r="CL1" s="664"/>
      <c r="CM1" s="664"/>
      <c r="CN1" s="664"/>
      <c r="CO1" s="664"/>
      <c r="CP1" s="664"/>
      <c r="CQ1" s="664"/>
      <c r="CR1" s="664"/>
      <c r="CS1" s="664"/>
      <c r="CT1" s="664"/>
      <c r="CU1" s="664"/>
      <c r="CV1" s="664"/>
      <c r="CW1" s="664"/>
      <c r="CX1" s="664"/>
    </row>
    <row r="2" spans="1:214" ht="13.9" customHeight="1" x14ac:dyDescent="0.2">
      <c r="A2" s="663" t="s">
        <v>463</v>
      </c>
      <c r="B2" s="664"/>
      <c r="C2" s="664"/>
      <c r="D2" s="664"/>
      <c r="E2" s="664"/>
      <c r="F2" s="664"/>
      <c r="G2" s="664"/>
      <c r="H2" s="664"/>
      <c r="I2" s="664"/>
      <c r="J2" s="664"/>
      <c r="K2" s="664"/>
      <c r="L2" s="664"/>
      <c r="M2" s="664"/>
      <c r="N2" s="664"/>
      <c r="O2" s="664"/>
      <c r="P2" s="664"/>
      <c r="Q2" s="664"/>
      <c r="R2" s="664"/>
      <c r="S2" s="664"/>
      <c r="T2" s="664"/>
      <c r="U2" s="664"/>
      <c r="V2" s="664"/>
      <c r="W2" s="664"/>
      <c r="X2" s="664"/>
      <c r="Y2" s="664"/>
      <c r="Z2" s="664"/>
      <c r="AA2" s="664"/>
      <c r="AB2" s="664"/>
      <c r="AC2" s="664"/>
      <c r="AD2" s="664"/>
      <c r="AE2" s="664"/>
      <c r="AF2" s="664"/>
      <c r="AG2" s="664"/>
      <c r="AH2" s="664"/>
      <c r="AI2" s="664"/>
      <c r="AJ2" s="664"/>
      <c r="AK2" s="664"/>
      <c r="AL2" s="664"/>
      <c r="AM2" s="664"/>
      <c r="AN2" s="664"/>
      <c r="AO2" s="664"/>
      <c r="AP2" s="664"/>
      <c r="AQ2" s="664"/>
      <c r="AR2" s="664"/>
      <c r="AS2" s="664"/>
      <c r="AT2" s="664"/>
      <c r="AU2" s="664"/>
      <c r="AV2" s="664"/>
      <c r="AW2" s="664"/>
      <c r="AX2" s="664"/>
      <c r="AY2" s="664"/>
      <c r="AZ2" s="664"/>
      <c r="BA2" s="664"/>
      <c r="BB2" s="664"/>
      <c r="BC2" s="664"/>
      <c r="BD2" s="664"/>
      <c r="BE2" s="664"/>
      <c r="BF2" s="664"/>
      <c r="BG2" s="664"/>
      <c r="BH2" s="664"/>
      <c r="BI2" s="664"/>
      <c r="BJ2" s="664"/>
      <c r="BK2" s="664"/>
      <c r="BL2" s="664"/>
      <c r="BM2" s="664"/>
      <c r="BN2" s="664"/>
      <c r="BO2" s="664"/>
      <c r="BP2" s="664"/>
      <c r="BQ2" s="664"/>
      <c r="BR2" s="664"/>
      <c r="BS2" s="664"/>
      <c r="BT2" s="664"/>
      <c r="BU2" s="664"/>
      <c r="BV2" s="664"/>
      <c r="BW2" s="664"/>
      <c r="BX2" s="664"/>
      <c r="BY2" s="664"/>
      <c r="BZ2" s="664"/>
      <c r="CA2" s="664"/>
      <c r="CB2" s="664"/>
      <c r="CC2" s="664"/>
      <c r="CD2" s="664"/>
      <c r="CE2" s="664"/>
      <c r="CF2" s="664"/>
      <c r="CG2" s="664"/>
      <c r="CH2" s="664"/>
      <c r="CI2" s="664"/>
      <c r="CJ2" s="664"/>
      <c r="CK2" s="664"/>
      <c r="CL2" s="664"/>
      <c r="CM2" s="664"/>
      <c r="CN2" s="664"/>
      <c r="CO2" s="665"/>
      <c r="CP2" s="665"/>
      <c r="CQ2" s="665"/>
      <c r="CR2" s="665"/>
      <c r="CS2" s="665"/>
      <c r="CT2" s="665"/>
      <c r="CU2" s="665"/>
      <c r="CV2" s="665"/>
      <c r="CW2" s="665"/>
      <c r="CX2" s="665"/>
      <c r="CY2" s="667"/>
      <c r="CZ2" s="667"/>
      <c r="DA2" s="667"/>
      <c r="DB2" s="667"/>
      <c r="DC2" s="667"/>
      <c r="DD2" s="667"/>
      <c r="DE2" s="667"/>
      <c r="DF2" s="667"/>
      <c r="DG2" s="667"/>
      <c r="DH2" s="667"/>
      <c r="DI2" s="667"/>
      <c r="DJ2" s="667"/>
      <c r="DK2" s="667"/>
      <c r="DL2" s="667"/>
      <c r="DM2" s="667"/>
      <c r="DN2" s="667"/>
      <c r="DO2" s="667"/>
      <c r="DP2" s="667"/>
      <c r="DQ2" s="667"/>
      <c r="DR2" s="667"/>
      <c r="DS2" s="667"/>
      <c r="DT2" s="667"/>
      <c r="DU2" s="667"/>
      <c r="DV2" s="667"/>
      <c r="EO2" s="313"/>
      <c r="EP2" s="313"/>
      <c r="EQ2" s="313"/>
      <c r="ER2" s="313"/>
      <c r="ES2" s="313"/>
      <c r="ET2" s="313"/>
      <c r="EU2" s="313"/>
      <c r="EV2" s="313"/>
      <c r="EW2" s="313"/>
      <c r="EX2" s="313"/>
      <c r="EY2" s="313"/>
      <c r="EZ2" s="313"/>
      <c r="FA2" s="313"/>
      <c r="FB2" s="313"/>
      <c r="FC2" s="313"/>
      <c r="FD2" s="313"/>
      <c r="FE2" s="313"/>
      <c r="FF2" s="313"/>
      <c r="FG2" s="313"/>
      <c r="FH2" s="313"/>
      <c r="FI2" s="313"/>
      <c r="FJ2" s="313"/>
      <c r="FK2" s="313"/>
      <c r="FL2" s="313"/>
      <c r="FM2" s="313"/>
      <c r="FN2" s="313"/>
      <c r="FO2" s="321"/>
      <c r="FP2" s="321"/>
      <c r="FQ2" s="321"/>
      <c r="FR2" s="321"/>
      <c r="FS2" s="321"/>
      <c r="FT2" s="321"/>
      <c r="FU2" s="321"/>
      <c r="FV2" s="321"/>
      <c r="FW2" s="321"/>
      <c r="FX2" s="321"/>
      <c r="FY2" s="321"/>
      <c r="FZ2" s="321"/>
      <c r="GA2" s="321"/>
      <c r="GB2" s="321"/>
      <c r="GC2" s="321"/>
      <c r="GD2" s="321"/>
      <c r="GE2" s="321"/>
      <c r="GF2" s="321"/>
      <c r="GG2" s="321"/>
      <c r="GH2" s="321"/>
      <c r="GI2" s="321"/>
      <c r="GJ2" s="321"/>
      <c r="GK2" s="321"/>
      <c r="GL2" s="321"/>
      <c r="GM2" s="313"/>
      <c r="GN2" s="313"/>
      <c r="HC2" s="313"/>
    </row>
    <row r="3" spans="1:214" ht="13.9" customHeight="1" x14ac:dyDescent="0.2">
      <c r="A3" s="668" t="s">
        <v>618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  <c r="T3" s="664"/>
      <c r="U3" s="664"/>
      <c r="V3" s="664"/>
      <c r="W3" s="664"/>
      <c r="X3" s="664"/>
      <c r="Y3" s="664"/>
      <c r="Z3" s="664"/>
      <c r="AA3" s="664"/>
      <c r="AB3" s="664"/>
      <c r="AC3" s="664"/>
      <c r="AD3" s="664"/>
      <c r="AE3" s="664"/>
      <c r="AF3" s="664"/>
      <c r="AG3" s="664"/>
      <c r="AH3" s="664"/>
      <c r="AI3" s="664"/>
      <c r="AJ3" s="664"/>
      <c r="AK3" s="664"/>
      <c r="AL3" s="664"/>
      <c r="AM3" s="664"/>
      <c r="AN3" s="664"/>
      <c r="AO3" s="664"/>
      <c r="AP3" s="664"/>
      <c r="AQ3" s="664"/>
      <c r="AR3" s="664"/>
      <c r="AS3" s="664"/>
      <c r="AT3" s="664"/>
      <c r="AU3" s="665"/>
      <c r="AV3" s="664"/>
      <c r="AW3" s="664"/>
      <c r="AX3" s="664"/>
      <c r="AY3" s="664"/>
      <c r="AZ3" s="664"/>
      <c r="BA3" s="664"/>
      <c r="BB3" s="664"/>
      <c r="BC3" s="664"/>
      <c r="BD3" s="664"/>
      <c r="BE3" s="664"/>
      <c r="BF3" s="664"/>
      <c r="BG3" s="664"/>
      <c r="BH3" s="664"/>
      <c r="BI3" s="664"/>
      <c r="BJ3" s="664"/>
      <c r="BK3" s="664"/>
      <c r="BL3" s="664"/>
      <c r="BM3" s="664"/>
      <c r="BN3" s="664"/>
      <c r="BO3" s="664"/>
      <c r="BP3" s="664"/>
      <c r="BQ3" s="664"/>
      <c r="BR3" s="664"/>
      <c r="BS3" s="664"/>
      <c r="BT3" s="664"/>
      <c r="BU3" s="664"/>
      <c r="BV3" s="664"/>
      <c r="BW3" s="664"/>
      <c r="BX3" s="664"/>
      <c r="BY3" s="664"/>
      <c r="BZ3" s="664"/>
      <c r="CA3" s="664"/>
      <c r="CB3" s="664"/>
      <c r="CC3" s="664"/>
      <c r="CD3" s="664"/>
      <c r="CE3" s="664"/>
      <c r="CF3" s="664"/>
      <c r="CG3" s="664"/>
      <c r="CH3" s="664"/>
      <c r="CI3" s="664"/>
      <c r="CJ3" s="664"/>
      <c r="CK3" s="664"/>
      <c r="CL3" s="664"/>
      <c r="CM3" s="664"/>
      <c r="CN3" s="664"/>
      <c r="CO3" s="664"/>
      <c r="CP3" s="665"/>
      <c r="CQ3" s="664"/>
      <c r="CR3" s="664"/>
      <c r="CS3" s="664"/>
      <c r="CT3" s="664"/>
      <c r="CU3" s="664"/>
      <c r="CV3" s="664"/>
      <c r="CW3" s="664"/>
      <c r="CX3" s="664"/>
      <c r="DZ3" s="669"/>
      <c r="EA3" s="669"/>
      <c r="EB3" s="669"/>
      <c r="EQ3" s="670"/>
    </row>
    <row r="4" spans="1:214" ht="13.9" customHeight="1" x14ac:dyDescent="0.2">
      <c r="A4" s="671" t="s">
        <v>352</v>
      </c>
      <c r="B4" s="39">
        <f>YEAR(B5)</f>
        <v>2011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103" t="s">
        <v>29</v>
      </c>
      <c r="O4" s="39">
        <f>YEAR(O5)</f>
        <v>2012</v>
      </c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03" t="s">
        <v>29</v>
      </c>
      <c r="AB4" s="39">
        <f>YEAR(AB5)</f>
        <v>2013</v>
      </c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103" t="s">
        <v>29</v>
      </c>
      <c r="AO4" s="39">
        <f>YEAR(AO5)</f>
        <v>2014</v>
      </c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103" t="s">
        <v>29</v>
      </c>
      <c r="BB4" s="39">
        <f>YEAR(BB5)</f>
        <v>2015</v>
      </c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103" t="s">
        <v>29</v>
      </c>
      <c r="BO4" s="39">
        <f>YEAR(BO5)</f>
        <v>2016</v>
      </c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103" t="s">
        <v>29</v>
      </c>
      <c r="CB4" s="39">
        <f>YEAR(CB5)</f>
        <v>2017</v>
      </c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103" t="s">
        <v>29</v>
      </c>
      <c r="CO4" s="39">
        <f>YEAR(CO5)</f>
        <v>2018</v>
      </c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103" t="s">
        <v>29</v>
      </c>
      <c r="DB4" s="39">
        <f>YEAR(DB5)</f>
        <v>2019</v>
      </c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103" t="s">
        <v>29</v>
      </c>
      <c r="DO4" s="39">
        <f>YEAR(DO5)</f>
        <v>2020</v>
      </c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103" t="s">
        <v>29</v>
      </c>
      <c r="EB4" s="39">
        <f>YEAR(EB5)</f>
        <v>2021</v>
      </c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103" t="s">
        <v>29</v>
      </c>
      <c r="EO4" s="39">
        <f>YEAR(EO5)</f>
        <v>2022</v>
      </c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103" t="s">
        <v>29</v>
      </c>
      <c r="FB4" s="39">
        <f>YEAR(FB5)</f>
        <v>2023</v>
      </c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103" t="s">
        <v>29</v>
      </c>
      <c r="FO4" s="39">
        <f>YEAR(FO5)</f>
        <v>2024</v>
      </c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103" t="s">
        <v>29</v>
      </c>
      <c r="GB4" s="39">
        <f>YEAR(GB5)</f>
        <v>2025</v>
      </c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1318" t="s">
        <v>29</v>
      </c>
      <c r="GO4" s="1689">
        <v>2026</v>
      </c>
      <c r="GP4" s="1690"/>
      <c r="GQ4" s="1690"/>
      <c r="GR4" s="1690"/>
      <c r="GS4" s="1690"/>
      <c r="GT4" s="1690"/>
      <c r="GU4" s="1690"/>
      <c r="GV4" s="1690"/>
      <c r="GW4" s="1690"/>
      <c r="GX4" s="1690"/>
      <c r="GY4" s="1690"/>
      <c r="GZ4" s="1691"/>
      <c r="HA4" s="1320" t="s">
        <v>29</v>
      </c>
      <c r="HC4" s="1683" t="str">
        <f>CONCATENATE("Var.% ",HF4,"/",HF4-1)</f>
        <v>Var.% 2026/2025</v>
      </c>
      <c r="HD4" s="1684"/>
      <c r="HE4" s="41">
        <f>HF4-1</f>
        <v>2025</v>
      </c>
      <c r="HF4" s="41">
        <f>HA5</f>
        <v>2026</v>
      </c>
    </row>
    <row r="5" spans="1:214" ht="13.9" customHeight="1" x14ac:dyDescent="0.2">
      <c r="A5" s="672" t="s">
        <v>352</v>
      </c>
      <c r="B5" s="68">
        <v>40544</v>
      </c>
      <c r="C5" s="69">
        <v>40575</v>
      </c>
      <c r="D5" s="69">
        <v>40603</v>
      </c>
      <c r="E5" s="69">
        <v>40634</v>
      </c>
      <c r="F5" s="69">
        <v>40664</v>
      </c>
      <c r="G5" s="69">
        <v>40695</v>
      </c>
      <c r="H5" s="69">
        <v>40725</v>
      </c>
      <c r="I5" s="69">
        <v>40756</v>
      </c>
      <c r="J5" s="69">
        <v>40787</v>
      </c>
      <c r="K5" s="69">
        <v>40817</v>
      </c>
      <c r="L5" s="69">
        <v>40848</v>
      </c>
      <c r="M5" s="69">
        <v>40878</v>
      </c>
      <c r="N5" s="70">
        <f>YEAR(M5)</f>
        <v>2011</v>
      </c>
      <c r="O5" s="68">
        <v>40909</v>
      </c>
      <c r="P5" s="69">
        <v>40940</v>
      </c>
      <c r="Q5" s="69">
        <v>40969</v>
      </c>
      <c r="R5" s="69">
        <v>41000</v>
      </c>
      <c r="S5" s="69">
        <v>41030</v>
      </c>
      <c r="T5" s="69">
        <v>41061</v>
      </c>
      <c r="U5" s="69">
        <v>41091</v>
      </c>
      <c r="V5" s="69">
        <v>41122</v>
      </c>
      <c r="W5" s="69">
        <v>41153</v>
      </c>
      <c r="X5" s="69">
        <v>41183</v>
      </c>
      <c r="Y5" s="69">
        <v>41214</v>
      </c>
      <c r="Z5" s="69">
        <v>41244</v>
      </c>
      <c r="AA5" s="70">
        <f>YEAR(Z5)</f>
        <v>2012</v>
      </c>
      <c r="AB5" s="68">
        <v>41275</v>
      </c>
      <c r="AC5" s="69">
        <v>41306</v>
      </c>
      <c r="AD5" s="69">
        <v>41334</v>
      </c>
      <c r="AE5" s="69">
        <v>41365</v>
      </c>
      <c r="AF5" s="69">
        <v>41395</v>
      </c>
      <c r="AG5" s="69">
        <v>41426</v>
      </c>
      <c r="AH5" s="69">
        <v>41456</v>
      </c>
      <c r="AI5" s="69">
        <v>41487</v>
      </c>
      <c r="AJ5" s="69">
        <v>41518</v>
      </c>
      <c r="AK5" s="69">
        <v>41548</v>
      </c>
      <c r="AL5" s="69">
        <v>41579</v>
      </c>
      <c r="AM5" s="69">
        <v>41609</v>
      </c>
      <c r="AN5" s="70">
        <f>YEAR(AM5)</f>
        <v>2013</v>
      </c>
      <c r="AO5" s="68">
        <v>41640</v>
      </c>
      <c r="AP5" s="69">
        <v>41671</v>
      </c>
      <c r="AQ5" s="69">
        <v>41699</v>
      </c>
      <c r="AR5" s="69">
        <v>41730</v>
      </c>
      <c r="AS5" s="69">
        <v>41760</v>
      </c>
      <c r="AT5" s="69">
        <v>41791</v>
      </c>
      <c r="AU5" s="69">
        <v>41821</v>
      </c>
      <c r="AV5" s="69">
        <v>41852</v>
      </c>
      <c r="AW5" s="69">
        <v>41883</v>
      </c>
      <c r="AX5" s="69">
        <v>41913</v>
      </c>
      <c r="AY5" s="69">
        <v>41944</v>
      </c>
      <c r="AZ5" s="69">
        <v>41974</v>
      </c>
      <c r="BA5" s="70">
        <f>YEAR(AZ5)</f>
        <v>2014</v>
      </c>
      <c r="BB5" s="68">
        <v>42005</v>
      </c>
      <c r="BC5" s="69">
        <v>42036</v>
      </c>
      <c r="BD5" s="69">
        <v>42064</v>
      </c>
      <c r="BE5" s="69">
        <v>42095</v>
      </c>
      <c r="BF5" s="69">
        <v>42125</v>
      </c>
      <c r="BG5" s="69">
        <v>42156</v>
      </c>
      <c r="BH5" s="69">
        <v>42186</v>
      </c>
      <c r="BI5" s="69">
        <v>42217</v>
      </c>
      <c r="BJ5" s="69">
        <v>42248</v>
      </c>
      <c r="BK5" s="69">
        <v>42278</v>
      </c>
      <c r="BL5" s="69">
        <v>42309</v>
      </c>
      <c r="BM5" s="69">
        <v>42339</v>
      </c>
      <c r="BN5" s="70">
        <f>YEAR(BM5)</f>
        <v>2015</v>
      </c>
      <c r="BO5" s="68">
        <v>42370</v>
      </c>
      <c r="BP5" s="69">
        <v>42401</v>
      </c>
      <c r="BQ5" s="69">
        <v>42430</v>
      </c>
      <c r="BR5" s="69">
        <v>42461</v>
      </c>
      <c r="BS5" s="69">
        <v>42491</v>
      </c>
      <c r="BT5" s="69">
        <v>42522</v>
      </c>
      <c r="BU5" s="69">
        <v>42552</v>
      </c>
      <c r="BV5" s="69">
        <v>42583</v>
      </c>
      <c r="BW5" s="69">
        <v>42614</v>
      </c>
      <c r="BX5" s="69">
        <v>42644</v>
      </c>
      <c r="BY5" s="69">
        <v>42675</v>
      </c>
      <c r="BZ5" s="69">
        <v>42705</v>
      </c>
      <c r="CA5" s="70">
        <f>YEAR(BZ5)</f>
        <v>2016</v>
      </c>
      <c r="CB5" s="68">
        <v>42736</v>
      </c>
      <c r="CC5" s="69">
        <v>42767</v>
      </c>
      <c r="CD5" s="69">
        <v>42795</v>
      </c>
      <c r="CE5" s="69">
        <v>42826</v>
      </c>
      <c r="CF5" s="69">
        <v>42856</v>
      </c>
      <c r="CG5" s="69">
        <v>42887</v>
      </c>
      <c r="CH5" s="69">
        <v>42917</v>
      </c>
      <c r="CI5" s="69">
        <v>42948</v>
      </c>
      <c r="CJ5" s="69">
        <v>42979</v>
      </c>
      <c r="CK5" s="69">
        <v>43009</v>
      </c>
      <c r="CL5" s="69">
        <v>43040</v>
      </c>
      <c r="CM5" s="69">
        <v>43070</v>
      </c>
      <c r="CN5" s="70">
        <f>YEAR(CM5)</f>
        <v>2017</v>
      </c>
      <c r="CO5" s="68">
        <v>43101</v>
      </c>
      <c r="CP5" s="69">
        <v>43132</v>
      </c>
      <c r="CQ5" s="69">
        <v>43160</v>
      </c>
      <c r="CR5" s="69">
        <v>43191</v>
      </c>
      <c r="CS5" s="69">
        <v>43221</v>
      </c>
      <c r="CT5" s="69">
        <v>43252</v>
      </c>
      <c r="CU5" s="69">
        <v>43282</v>
      </c>
      <c r="CV5" s="69">
        <v>43313</v>
      </c>
      <c r="CW5" s="69">
        <v>43344</v>
      </c>
      <c r="CX5" s="69">
        <v>43374</v>
      </c>
      <c r="CY5" s="69">
        <v>43405</v>
      </c>
      <c r="CZ5" s="69">
        <v>43435</v>
      </c>
      <c r="DA5" s="70">
        <f>YEAR(CZ5)</f>
        <v>2018</v>
      </c>
      <c r="DB5" s="68">
        <v>43466</v>
      </c>
      <c r="DC5" s="69">
        <v>43497</v>
      </c>
      <c r="DD5" s="69">
        <v>43525</v>
      </c>
      <c r="DE5" s="69">
        <v>43556</v>
      </c>
      <c r="DF5" s="69">
        <v>43586</v>
      </c>
      <c r="DG5" s="69">
        <v>43617</v>
      </c>
      <c r="DH5" s="69">
        <v>43647</v>
      </c>
      <c r="DI5" s="69">
        <v>43678</v>
      </c>
      <c r="DJ5" s="69">
        <v>43709</v>
      </c>
      <c r="DK5" s="69">
        <v>43739</v>
      </c>
      <c r="DL5" s="69">
        <v>43770</v>
      </c>
      <c r="DM5" s="69">
        <v>43800</v>
      </c>
      <c r="DN5" s="70">
        <f>YEAR(DM5)</f>
        <v>2019</v>
      </c>
      <c r="DO5" s="68">
        <v>43831</v>
      </c>
      <c r="DP5" s="69">
        <v>43862</v>
      </c>
      <c r="DQ5" s="69">
        <v>43891</v>
      </c>
      <c r="DR5" s="69">
        <v>43922</v>
      </c>
      <c r="DS5" s="69">
        <v>43952</v>
      </c>
      <c r="DT5" s="69">
        <v>43983</v>
      </c>
      <c r="DU5" s="69">
        <v>44013</v>
      </c>
      <c r="DV5" s="69">
        <v>44044</v>
      </c>
      <c r="DW5" s="69">
        <v>44075</v>
      </c>
      <c r="DX5" s="69">
        <v>44105</v>
      </c>
      <c r="DY5" s="69">
        <v>44136</v>
      </c>
      <c r="DZ5" s="69">
        <v>44166</v>
      </c>
      <c r="EA5" s="70">
        <f>YEAR(DZ5)</f>
        <v>2020</v>
      </c>
      <c r="EB5" s="68">
        <v>44197</v>
      </c>
      <c r="EC5" s="69">
        <v>44228</v>
      </c>
      <c r="ED5" s="69">
        <v>44256</v>
      </c>
      <c r="EE5" s="69">
        <v>44287</v>
      </c>
      <c r="EF5" s="69">
        <v>44317</v>
      </c>
      <c r="EG5" s="69">
        <v>44348</v>
      </c>
      <c r="EH5" s="69">
        <v>44378</v>
      </c>
      <c r="EI5" s="69">
        <v>44409</v>
      </c>
      <c r="EJ5" s="69">
        <v>44440</v>
      </c>
      <c r="EK5" s="69">
        <v>44470</v>
      </c>
      <c r="EL5" s="69">
        <v>44501</v>
      </c>
      <c r="EM5" s="69">
        <v>44531</v>
      </c>
      <c r="EN5" s="70">
        <f>YEAR(EM5)</f>
        <v>2021</v>
      </c>
      <c r="EO5" s="68">
        <v>44562</v>
      </c>
      <c r="EP5" s="69">
        <v>44593</v>
      </c>
      <c r="EQ5" s="69">
        <v>44621</v>
      </c>
      <c r="ER5" s="69">
        <v>44652</v>
      </c>
      <c r="ES5" s="69">
        <v>44682</v>
      </c>
      <c r="ET5" s="69">
        <v>44713</v>
      </c>
      <c r="EU5" s="69">
        <v>44743</v>
      </c>
      <c r="EV5" s="69">
        <v>44774</v>
      </c>
      <c r="EW5" s="69">
        <v>44805</v>
      </c>
      <c r="EX5" s="69">
        <v>44835</v>
      </c>
      <c r="EY5" s="69">
        <v>44866</v>
      </c>
      <c r="EZ5" s="69">
        <v>44896</v>
      </c>
      <c r="FA5" s="70">
        <f>YEAR(EZ5)</f>
        <v>2022</v>
      </c>
      <c r="FB5" s="68">
        <v>44927</v>
      </c>
      <c r="FC5" s="69">
        <v>44958</v>
      </c>
      <c r="FD5" s="69">
        <v>44986</v>
      </c>
      <c r="FE5" s="69">
        <v>45017</v>
      </c>
      <c r="FF5" s="69">
        <v>45047</v>
      </c>
      <c r="FG5" s="69">
        <v>45078</v>
      </c>
      <c r="FH5" s="69">
        <v>45108</v>
      </c>
      <c r="FI5" s="69">
        <v>45139</v>
      </c>
      <c r="FJ5" s="69">
        <v>45170</v>
      </c>
      <c r="FK5" s="69">
        <v>45200</v>
      </c>
      <c r="FL5" s="69">
        <v>45231</v>
      </c>
      <c r="FM5" s="69">
        <v>45261</v>
      </c>
      <c r="FN5" s="70">
        <f>YEAR(FM5)</f>
        <v>2023</v>
      </c>
      <c r="FO5" s="68">
        <v>45292</v>
      </c>
      <c r="FP5" s="69">
        <v>45323</v>
      </c>
      <c r="FQ5" s="69">
        <v>45352</v>
      </c>
      <c r="FR5" s="69">
        <v>45383</v>
      </c>
      <c r="FS5" s="69">
        <v>45413</v>
      </c>
      <c r="FT5" s="69">
        <v>45444</v>
      </c>
      <c r="FU5" s="69">
        <v>45474</v>
      </c>
      <c r="FV5" s="69">
        <v>45505</v>
      </c>
      <c r="FW5" s="69">
        <v>45536</v>
      </c>
      <c r="FX5" s="69">
        <v>45566</v>
      </c>
      <c r="FY5" s="69">
        <v>45597</v>
      </c>
      <c r="FZ5" s="69">
        <v>45627</v>
      </c>
      <c r="GA5" s="70">
        <f>YEAR(FZ5)</f>
        <v>2024</v>
      </c>
      <c r="GB5" s="68">
        <v>45658</v>
      </c>
      <c r="GC5" s="69">
        <v>45689</v>
      </c>
      <c r="GD5" s="69">
        <v>45717</v>
      </c>
      <c r="GE5" s="69">
        <v>45748</v>
      </c>
      <c r="GF5" s="69">
        <v>45778</v>
      </c>
      <c r="GG5" s="69">
        <v>45809</v>
      </c>
      <c r="GH5" s="69">
        <v>45839</v>
      </c>
      <c r="GI5" s="69">
        <v>45870</v>
      </c>
      <c r="GJ5" s="69">
        <v>45901</v>
      </c>
      <c r="GK5" s="69">
        <v>45931</v>
      </c>
      <c r="GL5" s="69">
        <v>45962</v>
      </c>
      <c r="GM5" s="69">
        <v>45992</v>
      </c>
      <c r="GN5" s="1319">
        <f>YEAR(GM5)</f>
        <v>2025</v>
      </c>
      <c r="GO5" s="1321" t="s">
        <v>0</v>
      </c>
      <c r="GP5" s="1322" t="s">
        <v>1</v>
      </c>
      <c r="GQ5" s="1322" t="s">
        <v>2</v>
      </c>
      <c r="GR5" s="1322" t="s">
        <v>3</v>
      </c>
      <c r="GS5" s="1322" t="s">
        <v>4</v>
      </c>
      <c r="GT5" s="1322" t="s">
        <v>592</v>
      </c>
      <c r="GU5" s="1322" t="s">
        <v>6</v>
      </c>
      <c r="GV5" s="1322" t="s">
        <v>7</v>
      </c>
      <c r="GW5" s="1322" t="s">
        <v>8</v>
      </c>
      <c r="GX5" s="1322" t="s">
        <v>9</v>
      </c>
      <c r="GY5" s="1322" t="s">
        <v>10</v>
      </c>
      <c r="GZ5" s="1336" t="s">
        <v>11</v>
      </c>
      <c r="HA5" s="1323">
        <v>2026</v>
      </c>
      <c r="HC5" s="42" t="str">
        <f>GV5</f>
        <v>Ago.</v>
      </c>
      <c r="HD5" s="43" t="str">
        <f>CONCATENATE("Ene.-",TEXT(HC5,"MMM."))</f>
        <v>Ene.-Ago.</v>
      </c>
      <c r="HE5" s="43" t="str">
        <f>HD5</f>
        <v>Ene.-Ago.</v>
      </c>
      <c r="HF5" s="43" t="str">
        <f>HD5</f>
        <v>Ene.-Ago.</v>
      </c>
    </row>
    <row r="6" spans="1:214" ht="13.9" customHeight="1" x14ac:dyDescent="0.2">
      <c r="A6" s="671" t="s">
        <v>352</v>
      </c>
      <c r="B6" s="700"/>
      <c r="C6" s="701"/>
      <c r="D6" s="702"/>
      <c r="E6" s="701"/>
      <c r="F6" s="701"/>
      <c r="G6" s="701"/>
      <c r="H6" s="701"/>
      <c r="I6" s="701"/>
      <c r="J6" s="701"/>
      <c r="K6" s="701"/>
      <c r="L6" s="701"/>
      <c r="M6" s="701"/>
      <c r="N6" s="703"/>
      <c r="O6" s="700"/>
      <c r="P6" s="701"/>
      <c r="Q6" s="702"/>
      <c r="R6" s="701"/>
      <c r="S6" s="701"/>
      <c r="T6" s="701"/>
      <c r="U6" s="701"/>
      <c r="V6" s="701"/>
      <c r="W6" s="701"/>
      <c r="X6" s="701"/>
      <c r="Y6" s="701"/>
      <c r="Z6" s="701"/>
      <c r="AA6" s="703"/>
      <c r="AB6" s="700"/>
      <c r="AC6" s="701"/>
      <c r="AD6" s="702"/>
      <c r="AE6" s="701"/>
      <c r="AF6" s="701"/>
      <c r="AG6" s="701"/>
      <c r="AH6" s="701"/>
      <c r="AI6" s="701"/>
      <c r="AJ6" s="701"/>
      <c r="AK6" s="701"/>
      <c r="AL6" s="701"/>
      <c r="AM6" s="701"/>
      <c r="AN6" s="703"/>
      <c r="AO6" s="700"/>
      <c r="AP6" s="701"/>
      <c r="AQ6" s="702"/>
      <c r="AR6" s="701"/>
      <c r="AS6" s="701"/>
      <c r="AT6" s="701"/>
      <c r="AU6" s="701"/>
      <c r="AV6" s="701"/>
      <c r="AW6" s="701"/>
      <c r="AX6" s="701"/>
      <c r="AY6" s="701"/>
      <c r="AZ6" s="701"/>
      <c r="BA6" s="703"/>
      <c r="BB6" s="700"/>
      <c r="BC6" s="701"/>
      <c r="BD6" s="702"/>
      <c r="BE6" s="701"/>
      <c r="BF6" s="701"/>
      <c r="BG6" s="701"/>
      <c r="BH6" s="701"/>
      <c r="BI6" s="701"/>
      <c r="BJ6" s="701"/>
      <c r="BK6" s="701"/>
      <c r="BL6" s="701"/>
      <c r="BM6" s="701"/>
      <c r="BN6" s="703"/>
      <c r="BO6" s="700"/>
      <c r="BP6" s="701"/>
      <c r="BQ6" s="702"/>
      <c r="BR6" s="701"/>
      <c r="BS6" s="701"/>
      <c r="BT6" s="701"/>
      <c r="BU6" s="701"/>
      <c r="BV6" s="701"/>
      <c r="BW6" s="701"/>
      <c r="BX6" s="701"/>
      <c r="BY6" s="701"/>
      <c r="BZ6" s="701"/>
      <c r="CA6" s="703"/>
      <c r="CB6" s="700"/>
      <c r="CC6" s="701"/>
      <c r="CD6" s="702"/>
      <c r="CE6" s="701"/>
      <c r="CF6" s="701"/>
      <c r="CG6" s="701"/>
      <c r="CH6" s="701"/>
      <c r="CI6" s="701"/>
      <c r="CJ6" s="701"/>
      <c r="CK6" s="701"/>
      <c r="CL6" s="701"/>
      <c r="CM6" s="701"/>
      <c r="CN6" s="703"/>
      <c r="CO6" s="700"/>
      <c r="CP6" s="701"/>
      <c r="CQ6" s="702"/>
      <c r="CR6" s="701"/>
      <c r="CS6" s="701"/>
      <c r="CT6" s="701"/>
      <c r="CU6" s="701"/>
      <c r="CV6" s="701"/>
      <c r="CW6" s="701"/>
      <c r="CX6" s="701"/>
      <c r="CY6" s="701"/>
      <c r="CZ6" s="701"/>
      <c r="DA6" s="703"/>
      <c r="DB6" s="700"/>
      <c r="DC6" s="701"/>
      <c r="DD6" s="702"/>
      <c r="DE6" s="701"/>
      <c r="DF6" s="701"/>
      <c r="DG6" s="701"/>
      <c r="DH6" s="701"/>
      <c r="DI6" s="701"/>
      <c r="DJ6" s="701"/>
      <c r="DK6" s="701"/>
      <c r="DL6" s="701"/>
      <c r="DM6" s="701"/>
      <c r="DN6" s="703"/>
      <c r="DO6" s="700"/>
      <c r="DP6" s="701"/>
      <c r="DQ6" s="702"/>
      <c r="DR6" s="701"/>
      <c r="DS6" s="701"/>
      <c r="DT6" s="701"/>
      <c r="DU6" s="701"/>
      <c r="DV6" s="701"/>
      <c r="DW6" s="701"/>
      <c r="DX6" s="701"/>
      <c r="DY6" s="701"/>
      <c r="DZ6" s="701"/>
      <c r="EA6" s="703"/>
      <c r="EB6" s="700"/>
      <c r="EC6" s="701"/>
      <c r="ED6" s="702"/>
      <c r="EE6" s="701"/>
      <c r="EF6" s="701"/>
      <c r="EG6" s="701"/>
      <c r="EH6" s="701"/>
      <c r="EI6" s="701"/>
      <c r="EJ6" s="701"/>
      <c r="EK6" s="701"/>
      <c r="EL6" s="701"/>
      <c r="EM6" s="701"/>
      <c r="EN6" s="703"/>
      <c r="EO6" s="700"/>
      <c r="EP6" s="701"/>
      <c r="EQ6" s="702"/>
      <c r="ER6" s="701"/>
      <c r="ES6" s="701"/>
      <c r="ET6" s="701"/>
      <c r="EU6" s="701"/>
      <c r="EV6" s="701"/>
      <c r="EW6" s="701"/>
      <c r="EX6" s="701"/>
      <c r="EY6" s="701"/>
      <c r="EZ6" s="701"/>
      <c r="FA6" s="703"/>
      <c r="FB6" s="700"/>
      <c r="FC6" s="701"/>
      <c r="FD6" s="702"/>
      <c r="FE6" s="701"/>
      <c r="FF6" s="701"/>
      <c r="FG6" s="701"/>
      <c r="FH6" s="701"/>
      <c r="FI6" s="701"/>
      <c r="FJ6" s="701"/>
      <c r="FK6" s="701"/>
      <c r="FL6" s="701"/>
      <c r="FM6" s="701"/>
      <c r="FN6" s="703"/>
      <c r="FO6" s="700"/>
      <c r="FP6" s="701"/>
      <c r="FQ6" s="702"/>
      <c r="FR6" s="701"/>
      <c r="FS6" s="701"/>
      <c r="FT6" s="701"/>
      <c r="FU6" s="701"/>
      <c r="FV6" s="701"/>
      <c r="FW6" s="701"/>
      <c r="FX6" s="701"/>
      <c r="FY6" s="701"/>
      <c r="FZ6" s="701"/>
      <c r="GA6" s="703"/>
      <c r="GB6" s="700"/>
      <c r="GC6" s="701"/>
      <c r="GD6" s="702"/>
      <c r="GE6" s="701"/>
      <c r="GF6" s="701"/>
      <c r="GG6" s="701"/>
      <c r="GH6" s="701"/>
      <c r="GI6" s="701"/>
      <c r="GJ6" s="701"/>
      <c r="GK6" s="701"/>
      <c r="GL6" s="701"/>
      <c r="GM6" s="701"/>
      <c r="GN6" s="700"/>
      <c r="GO6" s="1354"/>
      <c r="GP6" s="1355"/>
      <c r="GQ6" s="1355"/>
      <c r="GR6" s="1355"/>
      <c r="GS6" s="1355"/>
      <c r="GT6" s="1355"/>
      <c r="GU6" s="1355"/>
      <c r="GV6" s="1355"/>
      <c r="GW6" s="1355"/>
      <c r="GX6" s="1355"/>
      <c r="GY6" s="1355"/>
      <c r="GZ6" s="1356"/>
      <c r="HA6" s="1357"/>
      <c r="HC6" s="616"/>
      <c r="HD6" s="616"/>
      <c r="HE6" s="445"/>
      <c r="HF6" s="445"/>
    </row>
    <row r="7" spans="1:214" s="699" customFormat="1" ht="13.9" customHeight="1" x14ac:dyDescent="0.2">
      <c r="A7" s="695" t="s">
        <v>386</v>
      </c>
      <c r="B7" s="704">
        <f t="shared" ref="B7:M7" si="0">SUM(B8+B17+B20)</f>
        <v>20913</v>
      </c>
      <c r="C7" s="705">
        <f t="shared" si="0"/>
        <v>16096</v>
      </c>
      <c r="D7" s="706">
        <f t="shared" si="0"/>
        <v>20914</v>
      </c>
      <c r="E7" s="705">
        <f t="shared" si="0"/>
        <v>24591</v>
      </c>
      <c r="F7" s="705">
        <f t="shared" si="0"/>
        <v>18729</v>
      </c>
      <c r="G7" s="705">
        <f t="shared" si="0"/>
        <v>31416</v>
      </c>
      <c r="H7" s="705">
        <f t="shared" si="0"/>
        <v>21214</v>
      </c>
      <c r="I7" s="705">
        <f t="shared" si="0"/>
        <v>19268</v>
      </c>
      <c r="J7" s="705">
        <f t="shared" si="0"/>
        <v>21214</v>
      </c>
      <c r="K7" s="705">
        <f t="shared" si="0"/>
        <v>20287</v>
      </c>
      <c r="L7" s="705">
        <f t="shared" si="0"/>
        <v>40760</v>
      </c>
      <c r="M7" s="705">
        <f t="shared" si="0"/>
        <v>61738</v>
      </c>
      <c r="N7" s="707">
        <f>SUM(B7:M7)</f>
        <v>317140</v>
      </c>
      <c r="O7" s="704">
        <f t="shared" ref="O7:Z7" si="1">+O8+O17+O20</f>
        <v>74729</v>
      </c>
      <c r="P7" s="705">
        <f t="shared" si="1"/>
        <v>32629</v>
      </c>
      <c r="Q7" s="706">
        <f t="shared" si="1"/>
        <v>32267</v>
      </c>
      <c r="R7" s="705">
        <f t="shared" si="1"/>
        <v>19520</v>
      </c>
      <c r="S7" s="705">
        <f t="shared" si="1"/>
        <v>23095</v>
      </c>
      <c r="T7" s="705">
        <f t="shared" si="1"/>
        <v>43495</v>
      </c>
      <c r="U7" s="705">
        <f t="shared" si="1"/>
        <v>33010</v>
      </c>
      <c r="V7" s="705">
        <f t="shared" si="1"/>
        <v>41062</v>
      </c>
      <c r="W7" s="705">
        <f t="shared" si="1"/>
        <v>25699</v>
      </c>
      <c r="X7" s="705">
        <f t="shared" si="1"/>
        <v>37454</v>
      </c>
      <c r="Y7" s="705">
        <f t="shared" si="1"/>
        <v>24059.594000000001</v>
      </c>
      <c r="Z7" s="705">
        <f t="shared" si="1"/>
        <v>26428</v>
      </c>
      <c r="AA7" s="707">
        <f>SUM(O7:Z7)</f>
        <v>413447.59399999998</v>
      </c>
      <c r="AB7" s="704">
        <f t="shared" ref="AB7:AM7" si="2">+AB8+AB17+AB20</f>
        <v>78257</v>
      </c>
      <c r="AC7" s="705">
        <f t="shared" si="2"/>
        <v>15400</v>
      </c>
      <c r="AD7" s="706">
        <f t="shared" si="2"/>
        <v>57477</v>
      </c>
      <c r="AE7" s="705">
        <f t="shared" si="2"/>
        <v>19886</v>
      </c>
      <c r="AF7" s="705">
        <f t="shared" si="2"/>
        <v>19684</v>
      </c>
      <c r="AG7" s="705">
        <f t="shared" si="2"/>
        <v>28469</v>
      </c>
      <c r="AH7" s="705">
        <f t="shared" si="2"/>
        <v>53902</v>
      </c>
      <c r="AI7" s="705">
        <f t="shared" si="2"/>
        <v>21470</v>
      </c>
      <c r="AJ7" s="705">
        <f t="shared" si="2"/>
        <v>33201</v>
      </c>
      <c r="AK7" s="705">
        <f t="shared" si="2"/>
        <v>29312</v>
      </c>
      <c r="AL7" s="705">
        <f t="shared" si="2"/>
        <v>20754</v>
      </c>
      <c r="AM7" s="705">
        <f t="shared" si="2"/>
        <v>60706</v>
      </c>
      <c r="AN7" s="707">
        <f>SUM(AB7:AM7)</f>
        <v>438518</v>
      </c>
      <c r="AO7" s="704">
        <f t="shared" ref="AO7:AZ7" si="3">+AO8+AO17+AO20</f>
        <v>91540</v>
      </c>
      <c r="AP7" s="705">
        <f t="shared" si="3"/>
        <v>35400</v>
      </c>
      <c r="AQ7" s="706">
        <f t="shared" si="3"/>
        <v>52269</v>
      </c>
      <c r="AR7" s="705">
        <f t="shared" si="3"/>
        <v>37192</v>
      </c>
      <c r="AS7" s="705">
        <f t="shared" si="3"/>
        <v>11982</v>
      </c>
      <c r="AT7" s="705">
        <f t="shared" si="3"/>
        <v>29420</v>
      </c>
      <c r="AU7" s="705">
        <f t="shared" si="3"/>
        <v>25929</v>
      </c>
      <c r="AV7" s="705">
        <f t="shared" si="3"/>
        <v>22923</v>
      </c>
      <c r="AW7" s="705">
        <f t="shared" si="3"/>
        <v>17981</v>
      </c>
      <c r="AX7" s="705">
        <f t="shared" si="3"/>
        <v>30945</v>
      </c>
      <c r="AY7" s="705">
        <f t="shared" si="3"/>
        <v>21845</v>
      </c>
      <c r="AZ7" s="705">
        <f t="shared" si="3"/>
        <v>62171</v>
      </c>
      <c r="BA7" s="707">
        <f>SUM(AO7:AZ7)</f>
        <v>439597</v>
      </c>
      <c r="BB7" s="704">
        <f t="shared" ref="BB7:BM7" si="4">+BB8+BB17+BB20</f>
        <v>69684</v>
      </c>
      <c r="BC7" s="705">
        <f t="shared" si="4"/>
        <v>27070</v>
      </c>
      <c r="BD7" s="706">
        <f t="shared" si="4"/>
        <v>74298</v>
      </c>
      <c r="BE7" s="705">
        <f t="shared" si="4"/>
        <v>23908.097999999998</v>
      </c>
      <c r="BF7" s="705">
        <f t="shared" si="4"/>
        <v>34143</v>
      </c>
      <c r="BG7" s="705">
        <f t="shared" si="4"/>
        <v>30036</v>
      </c>
      <c r="BH7" s="705">
        <f t="shared" si="4"/>
        <v>43384</v>
      </c>
      <c r="BI7" s="705">
        <f t="shared" si="4"/>
        <v>22983</v>
      </c>
      <c r="BJ7" s="705">
        <f t="shared" si="4"/>
        <v>22251</v>
      </c>
      <c r="BK7" s="705">
        <f t="shared" si="4"/>
        <v>22926</v>
      </c>
      <c r="BL7" s="705">
        <f t="shared" si="4"/>
        <v>89755</v>
      </c>
      <c r="BM7" s="705">
        <f t="shared" si="4"/>
        <v>34011</v>
      </c>
      <c r="BN7" s="707">
        <f>SUM(BB7:BM7)</f>
        <v>494449.098</v>
      </c>
      <c r="BO7" s="704">
        <f t="shared" ref="BO7:BZ7" si="5">+BO8+BO17+BO20</f>
        <v>123300</v>
      </c>
      <c r="BP7" s="705">
        <f t="shared" si="5"/>
        <v>15270</v>
      </c>
      <c r="BQ7" s="706">
        <f t="shared" si="5"/>
        <v>87751</v>
      </c>
      <c r="BR7" s="705">
        <f t="shared" si="5"/>
        <v>49740</v>
      </c>
      <c r="BS7" s="705">
        <f t="shared" si="5"/>
        <v>47696</v>
      </c>
      <c r="BT7" s="705">
        <f t="shared" si="5"/>
        <v>23553</v>
      </c>
      <c r="BU7" s="705">
        <f t="shared" si="5"/>
        <v>35329</v>
      </c>
      <c r="BV7" s="705">
        <f t="shared" si="5"/>
        <v>31375</v>
      </c>
      <c r="BW7" s="705">
        <f t="shared" si="5"/>
        <v>26493</v>
      </c>
      <c r="BX7" s="705">
        <f t="shared" si="5"/>
        <v>54037</v>
      </c>
      <c r="BY7" s="705">
        <f t="shared" si="5"/>
        <v>57050</v>
      </c>
      <c r="BZ7" s="705">
        <f t="shared" si="5"/>
        <v>36783</v>
      </c>
      <c r="CA7" s="707">
        <f>SUM(BO7:BZ7)</f>
        <v>588377</v>
      </c>
      <c r="CB7" s="704">
        <f t="shared" ref="CB7:CM7" si="6">+CB8+CB17+CB20</f>
        <v>84790</v>
      </c>
      <c r="CC7" s="705">
        <f t="shared" si="6"/>
        <v>85755</v>
      </c>
      <c r="CD7" s="706">
        <f t="shared" si="6"/>
        <v>88668</v>
      </c>
      <c r="CE7" s="705">
        <f t="shared" si="6"/>
        <v>60011</v>
      </c>
      <c r="CF7" s="705">
        <f t="shared" si="6"/>
        <v>63287</v>
      </c>
      <c r="CG7" s="705">
        <f t="shared" si="6"/>
        <v>40252</v>
      </c>
      <c r="CH7" s="705">
        <f t="shared" si="6"/>
        <v>60314</v>
      </c>
      <c r="CI7" s="705">
        <f t="shared" si="6"/>
        <v>44497</v>
      </c>
      <c r="CJ7" s="705">
        <f t="shared" si="6"/>
        <v>43684</v>
      </c>
      <c r="CK7" s="705">
        <f t="shared" si="6"/>
        <v>52690</v>
      </c>
      <c r="CL7" s="705">
        <f t="shared" si="6"/>
        <v>53056</v>
      </c>
      <c r="CM7" s="705">
        <f t="shared" si="6"/>
        <v>76840</v>
      </c>
      <c r="CN7" s="707">
        <f>SUM(CB7:CM7)</f>
        <v>753844</v>
      </c>
      <c r="CO7" s="704">
        <f t="shared" ref="CO7:CZ7" si="7">+CO8+CO17+CO20</f>
        <v>214780</v>
      </c>
      <c r="CP7" s="705">
        <f t="shared" si="7"/>
        <v>36974</v>
      </c>
      <c r="CQ7" s="706">
        <f t="shared" si="7"/>
        <v>91161</v>
      </c>
      <c r="CR7" s="705">
        <f t="shared" si="7"/>
        <v>46188</v>
      </c>
      <c r="CS7" s="705">
        <f t="shared" si="7"/>
        <v>57798</v>
      </c>
      <c r="CT7" s="705">
        <f t="shared" si="7"/>
        <v>65441</v>
      </c>
      <c r="CU7" s="705">
        <f t="shared" si="7"/>
        <v>35785</v>
      </c>
      <c r="CV7" s="705">
        <f t="shared" si="7"/>
        <v>34071</v>
      </c>
      <c r="CW7" s="705">
        <f t="shared" si="7"/>
        <v>32677</v>
      </c>
      <c r="CX7" s="705">
        <f t="shared" si="7"/>
        <v>82436</v>
      </c>
      <c r="CY7" s="705">
        <f t="shared" si="7"/>
        <v>29630</v>
      </c>
      <c r="CZ7" s="705">
        <f t="shared" si="7"/>
        <v>28348</v>
      </c>
      <c r="DA7" s="707">
        <f>SUM(CO7:CZ7)</f>
        <v>755289</v>
      </c>
      <c r="DB7" s="704">
        <f t="shared" ref="DB7:DM7" si="8">+DB8+DB17+DB20</f>
        <v>87172</v>
      </c>
      <c r="DC7" s="705">
        <f t="shared" si="8"/>
        <v>48676</v>
      </c>
      <c r="DD7" s="706">
        <f t="shared" si="8"/>
        <v>30769</v>
      </c>
      <c r="DE7" s="705">
        <f t="shared" si="8"/>
        <v>34481</v>
      </c>
      <c r="DF7" s="705">
        <f t="shared" si="8"/>
        <v>87144</v>
      </c>
      <c r="DG7" s="705">
        <f t="shared" si="8"/>
        <v>42892</v>
      </c>
      <c r="DH7" s="705">
        <f t="shared" si="8"/>
        <v>41209</v>
      </c>
      <c r="DI7" s="705">
        <f t="shared" si="8"/>
        <v>32075</v>
      </c>
      <c r="DJ7" s="705">
        <f t="shared" si="8"/>
        <v>29504</v>
      </c>
      <c r="DK7" s="705">
        <f t="shared" si="8"/>
        <v>37522</v>
      </c>
      <c r="DL7" s="705">
        <f t="shared" si="8"/>
        <v>31743</v>
      </c>
      <c r="DM7" s="705">
        <f t="shared" si="8"/>
        <v>48223</v>
      </c>
      <c r="DN7" s="707">
        <f>SUM(DB7:DM7)</f>
        <v>551410</v>
      </c>
      <c r="DO7" s="704">
        <f t="shared" ref="DO7:DZ7" si="9">+DO8+DO17+DO20</f>
        <v>183825</v>
      </c>
      <c r="DP7" s="705">
        <f t="shared" si="9"/>
        <v>10695</v>
      </c>
      <c r="DQ7" s="706">
        <f t="shared" si="9"/>
        <v>90062</v>
      </c>
      <c r="DR7" s="705">
        <f t="shared" si="9"/>
        <v>33197</v>
      </c>
      <c r="DS7" s="705">
        <f t="shared" si="9"/>
        <v>14880</v>
      </c>
      <c r="DT7" s="705">
        <f t="shared" si="9"/>
        <v>60767</v>
      </c>
      <c r="DU7" s="705">
        <f t="shared" si="9"/>
        <v>181608</v>
      </c>
      <c r="DV7" s="705">
        <f t="shared" si="9"/>
        <v>41376</v>
      </c>
      <c r="DW7" s="705">
        <f t="shared" si="9"/>
        <v>81111</v>
      </c>
      <c r="DX7" s="705">
        <f t="shared" si="9"/>
        <v>51382</v>
      </c>
      <c r="DY7" s="705">
        <f t="shared" si="9"/>
        <v>29041</v>
      </c>
      <c r="DZ7" s="705">
        <f t="shared" si="9"/>
        <v>44239</v>
      </c>
      <c r="EA7" s="707">
        <f>SUM(DO7:DZ7)</f>
        <v>822183</v>
      </c>
      <c r="EB7" s="704">
        <f t="shared" ref="EB7:EM7" si="10">+EB8+EB17+EB20</f>
        <v>113900</v>
      </c>
      <c r="EC7" s="705">
        <f t="shared" si="10"/>
        <v>91147</v>
      </c>
      <c r="ED7" s="706">
        <f t="shared" si="10"/>
        <v>135939</v>
      </c>
      <c r="EE7" s="705">
        <f t="shared" si="10"/>
        <v>68782</v>
      </c>
      <c r="EF7" s="705">
        <f t="shared" si="10"/>
        <v>54434</v>
      </c>
      <c r="EG7" s="705">
        <f t="shared" si="10"/>
        <v>77670</v>
      </c>
      <c r="EH7" s="705">
        <f t="shared" si="10"/>
        <v>53813</v>
      </c>
      <c r="EI7" s="705">
        <f t="shared" si="10"/>
        <v>60726</v>
      </c>
      <c r="EJ7" s="705">
        <f t="shared" si="10"/>
        <v>74084</v>
      </c>
      <c r="EK7" s="705">
        <f t="shared" si="10"/>
        <v>61520</v>
      </c>
      <c r="EL7" s="705">
        <f t="shared" si="10"/>
        <v>55585</v>
      </c>
      <c r="EM7" s="705">
        <f t="shared" si="10"/>
        <v>94319</v>
      </c>
      <c r="EN7" s="707">
        <f>SUM(EB7:EM7)</f>
        <v>941919</v>
      </c>
      <c r="EO7" s="704">
        <f t="shared" ref="EO7:EZ7" si="11">+EO8+EO17+EO20</f>
        <v>83976</v>
      </c>
      <c r="EP7" s="705">
        <f t="shared" si="11"/>
        <v>51398</v>
      </c>
      <c r="EQ7" s="706">
        <f t="shared" si="11"/>
        <v>114850</v>
      </c>
      <c r="ER7" s="705">
        <f t="shared" si="11"/>
        <v>50266</v>
      </c>
      <c r="ES7" s="705">
        <f t="shared" si="11"/>
        <v>77723</v>
      </c>
      <c r="ET7" s="705">
        <f t="shared" si="11"/>
        <v>64837</v>
      </c>
      <c r="EU7" s="705">
        <f t="shared" si="11"/>
        <v>63240</v>
      </c>
      <c r="EV7" s="705">
        <f t="shared" si="11"/>
        <v>90886</v>
      </c>
      <c r="EW7" s="705">
        <f t="shared" si="11"/>
        <v>66992</v>
      </c>
      <c r="EX7" s="705">
        <f t="shared" si="11"/>
        <v>62313</v>
      </c>
      <c r="EY7" s="705">
        <f t="shared" si="11"/>
        <v>49385</v>
      </c>
      <c r="EZ7" s="705">
        <f t="shared" si="11"/>
        <v>50568</v>
      </c>
      <c r="FA7" s="707">
        <f>SUM(EO7:EZ7)</f>
        <v>826434</v>
      </c>
      <c r="FB7" s="704">
        <f t="shared" ref="FB7:FM7" si="12">+FB8+FB17+FB20</f>
        <v>62895</v>
      </c>
      <c r="FC7" s="705">
        <f t="shared" si="12"/>
        <v>45958</v>
      </c>
      <c r="FD7" s="706">
        <f t="shared" si="12"/>
        <v>83086</v>
      </c>
      <c r="FE7" s="705">
        <f t="shared" si="12"/>
        <v>60060</v>
      </c>
      <c r="FF7" s="705">
        <f t="shared" si="12"/>
        <v>67226</v>
      </c>
      <c r="FG7" s="705">
        <f t="shared" si="12"/>
        <v>45763</v>
      </c>
      <c r="FH7" s="705">
        <f t="shared" si="12"/>
        <v>37272</v>
      </c>
      <c r="FI7" s="705">
        <f t="shared" si="12"/>
        <v>49491</v>
      </c>
      <c r="FJ7" s="705">
        <f t="shared" si="12"/>
        <v>37142</v>
      </c>
      <c r="FK7" s="705">
        <f t="shared" si="12"/>
        <v>6784</v>
      </c>
      <c r="FL7" s="705">
        <f t="shared" si="12"/>
        <v>42385</v>
      </c>
      <c r="FM7" s="705">
        <f t="shared" si="12"/>
        <v>49135</v>
      </c>
      <c r="FN7" s="707">
        <f>SUM(FB7:FM7)</f>
        <v>587197</v>
      </c>
      <c r="FO7" s="704">
        <f t="shared" ref="FO7:FZ7" si="13">+FO8+FO17+FO20</f>
        <v>69409</v>
      </c>
      <c r="FP7" s="705">
        <f t="shared" si="13"/>
        <v>54384</v>
      </c>
      <c r="FQ7" s="706">
        <f t="shared" si="13"/>
        <v>49409</v>
      </c>
      <c r="FR7" s="705">
        <f t="shared" si="13"/>
        <v>43440</v>
      </c>
      <c r="FS7" s="705">
        <f t="shared" si="13"/>
        <v>58420</v>
      </c>
      <c r="FT7" s="705">
        <f t="shared" si="13"/>
        <v>45213</v>
      </c>
      <c r="FU7" s="705">
        <f t="shared" si="13"/>
        <v>40823</v>
      </c>
      <c r="FV7" s="705">
        <f t="shared" si="13"/>
        <v>37932</v>
      </c>
      <c r="FW7" s="705">
        <f t="shared" si="13"/>
        <v>43443</v>
      </c>
      <c r="FX7" s="705">
        <f t="shared" si="13"/>
        <v>46708</v>
      </c>
      <c r="FY7" s="705">
        <f t="shared" si="13"/>
        <v>40956</v>
      </c>
      <c r="FZ7" s="705">
        <f t="shared" si="13"/>
        <v>54166</v>
      </c>
      <c r="GA7" s="707">
        <f>SUM(FO7:FZ7)</f>
        <v>584303</v>
      </c>
      <c r="GB7" s="704">
        <f>+GB8+GB17+GB20</f>
        <v>71692</v>
      </c>
      <c r="GC7" s="705">
        <f t="shared" ref="GC7:GM7" si="14">+GC8+GC17+GC20</f>
        <v>62145</v>
      </c>
      <c r="GD7" s="706">
        <f t="shared" si="14"/>
        <v>51137</v>
      </c>
      <c r="GE7" s="705">
        <f t="shared" si="14"/>
        <v>42073</v>
      </c>
      <c r="GF7" s="705">
        <f t="shared" si="14"/>
        <v>67100</v>
      </c>
      <c r="GG7" s="705">
        <f t="shared" si="14"/>
        <v>51513</v>
      </c>
      <c r="GH7" s="705">
        <f t="shared" si="14"/>
        <v>47321</v>
      </c>
      <c r="GI7" s="705">
        <f t="shared" si="14"/>
        <v>46954</v>
      </c>
      <c r="GJ7" s="705">
        <f t="shared" si="14"/>
        <v>46524</v>
      </c>
      <c r="GK7" s="705">
        <f t="shared" si="14"/>
        <v>42939</v>
      </c>
      <c r="GL7" s="705">
        <f t="shared" si="14"/>
        <v>40512</v>
      </c>
      <c r="GM7" s="705">
        <f t="shared" si="14"/>
        <v>47568</v>
      </c>
      <c r="GN7" s="704">
        <f>SUM(GB7:GM7)</f>
        <v>617478</v>
      </c>
      <c r="GO7" s="1326">
        <f t="shared" ref="GO7:GP7" si="15">+GO8+GO17+GO20</f>
        <v>57145</v>
      </c>
      <c r="GP7" s="130">
        <f t="shared" si="15"/>
        <v>63791</v>
      </c>
      <c r="GQ7" s="130">
        <f>+GQ8+GQ17+GQ20</f>
        <v>63972</v>
      </c>
      <c r="GR7" s="130">
        <f t="shared" ref="GR7:GS7" si="16">+GR8+GR17+GR20</f>
        <v>42960</v>
      </c>
      <c r="GS7" s="130">
        <f t="shared" si="16"/>
        <v>62733</v>
      </c>
      <c r="GT7" s="130">
        <v>47234</v>
      </c>
      <c r="GU7" s="130">
        <v>37722</v>
      </c>
      <c r="GV7" s="130">
        <f>+GV8+GV17+GV20</f>
        <v>39827</v>
      </c>
      <c r="GW7" s="130"/>
      <c r="GX7" s="130"/>
      <c r="GY7" s="130"/>
      <c r="GZ7" s="1341"/>
      <c r="HA7" s="1342">
        <f>SUM(GO7:GZ7)</f>
        <v>415384</v>
      </c>
      <c r="HB7"/>
      <c r="HC7" s="452">
        <f>IFERROR(((GV7/GI7)-1)*100,"")</f>
        <v>-15.178685522000258</v>
      </c>
      <c r="HD7" s="452">
        <f>IFERROR(((HF7/HE7)-1)*100,"")</f>
        <v>-5.5805971336674753</v>
      </c>
      <c r="HE7" s="453">
        <f>IFERROR(SUM(GB7:GI7),"-")</f>
        <v>439935</v>
      </c>
      <c r="HF7" s="453">
        <f>IFERROR(SUM(GO7:GZ7),"-")</f>
        <v>415384</v>
      </c>
    </row>
    <row r="8" spans="1:214" s="698" customFormat="1" ht="13.9" customHeight="1" x14ac:dyDescent="0.2">
      <c r="A8" s="676" t="s">
        <v>387</v>
      </c>
      <c r="B8" s="708">
        <f t="shared" ref="B8:M8" si="17">SUM(B9:B16)</f>
        <v>12105</v>
      </c>
      <c r="C8" s="709">
        <f t="shared" si="17"/>
        <v>16085</v>
      </c>
      <c r="D8" s="710">
        <f t="shared" si="17"/>
        <v>14523</v>
      </c>
      <c r="E8" s="709">
        <f t="shared" si="17"/>
        <v>13992</v>
      </c>
      <c r="F8" s="709">
        <f t="shared" si="17"/>
        <v>18074</v>
      </c>
      <c r="G8" s="709">
        <f t="shared" si="17"/>
        <v>30488</v>
      </c>
      <c r="H8" s="709">
        <f t="shared" si="17"/>
        <v>16796</v>
      </c>
      <c r="I8" s="709">
        <f t="shared" si="17"/>
        <v>18215</v>
      </c>
      <c r="J8" s="709">
        <f t="shared" si="17"/>
        <v>18540</v>
      </c>
      <c r="K8" s="709">
        <f t="shared" si="17"/>
        <v>18693</v>
      </c>
      <c r="L8" s="709">
        <f t="shared" si="17"/>
        <v>40253</v>
      </c>
      <c r="M8" s="709">
        <f t="shared" si="17"/>
        <v>48683</v>
      </c>
      <c r="N8" s="711">
        <f t="shared" ref="N8:N22" si="18">SUM(B8:M8)</f>
        <v>266447</v>
      </c>
      <c r="O8" s="708">
        <f t="shared" ref="O8:Z8" si="19">SUM(O9:O16)</f>
        <v>16346</v>
      </c>
      <c r="P8" s="709">
        <f t="shared" si="19"/>
        <v>19517</v>
      </c>
      <c r="Q8" s="710">
        <f t="shared" si="19"/>
        <v>22869</v>
      </c>
      <c r="R8" s="709">
        <f t="shared" si="19"/>
        <v>16135</v>
      </c>
      <c r="S8" s="709">
        <f t="shared" si="19"/>
        <v>19579</v>
      </c>
      <c r="T8" s="709">
        <f t="shared" si="19"/>
        <v>38525</v>
      </c>
      <c r="U8" s="709">
        <f t="shared" si="19"/>
        <v>26627</v>
      </c>
      <c r="V8" s="709">
        <f t="shared" si="19"/>
        <v>35337</v>
      </c>
      <c r="W8" s="709">
        <f t="shared" si="19"/>
        <v>24364</v>
      </c>
      <c r="X8" s="709">
        <f t="shared" si="19"/>
        <v>35681</v>
      </c>
      <c r="Y8" s="709">
        <f t="shared" si="19"/>
        <v>22857</v>
      </c>
      <c r="Z8" s="709">
        <f t="shared" si="19"/>
        <v>25981</v>
      </c>
      <c r="AA8" s="711">
        <f t="shared" ref="AA8:AA22" si="20">SUM(O8:Z8)</f>
        <v>303818</v>
      </c>
      <c r="AB8" s="708">
        <f t="shared" ref="AB8:AM8" si="21">SUM(AB9:AB16)</f>
        <v>24945</v>
      </c>
      <c r="AC8" s="709">
        <f t="shared" si="21"/>
        <v>10321</v>
      </c>
      <c r="AD8" s="710">
        <f t="shared" si="21"/>
        <v>50395</v>
      </c>
      <c r="AE8" s="709">
        <f t="shared" si="21"/>
        <v>18024</v>
      </c>
      <c r="AF8" s="709">
        <f t="shared" si="21"/>
        <v>18407</v>
      </c>
      <c r="AG8" s="709">
        <f t="shared" si="21"/>
        <v>25591</v>
      </c>
      <c r="AH8" s="709">
        <f t="shared" si="21"/>
        <v>47979</v>
      </c>
      <c r="AI8" s="709">
        <f t="shared" si="21"/>
        <v>20736</v>
      </c>
      <c r="AJ8" s="709">
        <f t="shared" si="21"/>
        <v>30787</v>
      </c>
      <c r="AK8" s="709">
        <f t="shared" si="21"/>
        <v>21946</v>
      </c>
      <c r="AL8" s="709">
        <f t="shared" si="21"/>
        <v>20242</v>
      </c>
      <c r="AM8" s="709">
        <f t="shared" si="21"/>
        <v>56623</v>
      </c>
      <c r="AN8" s="711">
        <f t="shared" ref="AN8:AN22" si="22">SUM(AB8:AM8)</f>
        <v>345996</v>
      </c>
      <c r="AO8" s="708">
        <f t="shared" ref="AO8:AZ8" si="23">SUM(AO9:AO16)</f>
        <v>20609</v>
      </c>
      <c r="AP8" s="709">
        <f t="shared" si="23"/>
        <v>32617</v>
      </c>
      <c r="AQ8" s="710">
        <f t="shared" si="23"/>
        <v>38343</v>
      </c>
      <c r="AR8" s="709">
        <f t="shared" si="23"/>
        <v>34830</v>
      </c>
      <c r="AS8" s="709">
        <f t="shared" si="23"/>
        <v>19971</v>
      </c>
      <c r="AT8" s="709">
        <f t="shared" si="23"/>
        <v>21102</v>
      </c>
      <c r="AU8" s="709">
        <f t="shared" si="23"/>
        <v>22233</v>
      </c>
      <c r="AV8" s="709">
        <f t="shared" si="23"/>
        <v>22814</v>
      </c>
      <c r="AW8" s="709">
        <f t="shared" si="23"/>
        <v>17542</v>
      </c>
      <c r="AX8" s="709">
        <f t="shared" si="23"/>
        <v>30941</v>
      </c>
      <c r="AY8" s="709">
        <f t="shared" si="23"/>
        <v>21772</v>
      </c>
      <c r="AZ8" s="709">
        <f t="shared" si="23"/>
        <v>61662</v>
      </c>
      <c r="BA8" s="711">
        <f t="shared" ref="BA8:BA22" si="24">SUM(AO8:AZ8)</f>
        <v>344436</v>
      </c>
      <c r="BB8" s="708">
        <f t="shared" ref="BB8:BM8" si="25">SUM(BB9:BB16)</f>
        <v>21160</v>
      </c>
      <c r="BC8" s="709">
        <f t="shared" si="25"/>
        <v>25271</v>
      </c>
      <c r="BD8" s="710">
        <f t="shared" si="25"/>
        <v>65190</v>
      </c>
      <c r="BE8" s="709">
        <f t="shared" si="25"/>
        <v>22476.097999999998</v>
      </c>
      <c r="BF8" s="709">
        <f t="shared" si="25"/>
        <v>34053</v>
      </c>
      <c r="BG8" s="709">
        <f t="shared" si="25"/>
        <v>23098</v>
      </c>
      <c r="BH8" s="709">
        <f t="shared" si="25"/>
        <v>24449</v>
      </c>
      <c r="BI8" s="709">
        <f t="shared" si="25"/>
        <v>21686</v>
      </c>
      <c r="BJ8" s="709">
        <f t="shared" si="25"/>
        <v>21800</v>
      </c>
      <c r="BK8" s="709">
        <f t="shared" si="25"/>
        <v>18153</v>
      </c>
      <c r="BL8" s="709">
        <f t="shared" si="25"/>
        <v>89754</v>
      </c>
      <c r="BM8" s="709">
        <f t="shared" si="25"/>
        <v>30827</v>
      </c>
      <c r="BN8" s="711">
        <f t="shared" ref="BN8:BN22" si="26">SUM(BB8:BM8)</f>
        <v>397917.098</v>
      </c>
      <c r="BO8" s="708">
        <f t="shared" ref="BO8:BZ8" si="27">SUM(BO9:BO16)</f>
        <v>32595</v>
      </c>
      <c r="BP8" s="709">
        <f t="shared" si="27"/>
        <v>13421</v>
      </c>
      <c r="BQ8" s="710">
        <f t="shared" si="27"/>
        <v>81731</v>
      </c>
      <c r="BR8" s="709">
        <f t="shared" si="27"/>
        <v>20703</v>
      </c>
      <c r="BS8" s="709">
        <f t="shared" si="27"/>
        <v>39693</v>
      </c>
      <c r="BT8" s="709">
        <f t="shared" si="27"/>
        <v>23341</v>
      </c>
      <c r="BU8" s="709">
        <f t="shared" si="27"/>
        <v>22965</v>
      </c>
      <c r="BV8" s="709">
        <f t="shared" si="27"/>
        <v>27551</v>
      </c>
      <c r="BW8" s="709">
        <f t="shared" si="27"/>
        <v>24394</v>
      </c>
      <c r="BX8" s="709">
        <f t="shared" si="27"/>
        <v>24002</v>
      </c>
      <c r="BY8" s="709">
        <f t="shared" si="27"/>
        <v>42494</v>
      </c>
      <c r="BZ8" s="709">
        <f t="shared" si="27"/>
        <v>30349</v>
      </c>
      <c r="CA8" s="711">
        <f t="shared" ref="CA8:CA22" si="28">SUM(BO8:BZ8)</f>
        <v>383239</v>
      </c>
      <c r="CB8" s="708">
        <f t="shared" ref="CB8:CM8" si="29">SUM(CB9:CB16)</f>
        <v>24849</v>
      </c>
      <c r="CC8" s="709">
        <f t="shared" si="29"/>
        <v>59780</v>
      </c>
      <c r="CD8" s="710">
        <f t="shared" si="29"/>
        <v>39933</v>
      </c>
      <c r="CE8" s="709">
        <f t="shared" si="29"/>
        <v>22002</v>
      </c>
      <c r="CF8" s="709">
        <f t="shared" si="29"/>
        <v>45004</v>
      </c>
      <c r="CG8" s="709">
        <f t="shared" si="29"/>
        <v>23051</v>
      </c>
      <c r="CH8" s="709">
        <f t="shared" si="29"/>
        <v>23062</v>
      </c>
      <c r="CI8" s="709">
        <f t="shared" si="29"/>
        <v>34815</v>
      </c>
      <c r="CJ8" s="709">
        <f t="shared" si="29"/>
        <v>26383</v>
      </c>
      <c r="CK8" s="709">
        <f t="shared" si="29"/>
        <v>42521</v>
      </c>
      <c r="CL8" s="709">
        <f t="shared" si="29"/>
        <v>31549</v>
      </c>
      <c r="CM8" s="709">
        <f t="shared" si="29"/>
        <v>31754</v>
      </c>
      <c r="CN8" s="711">
        <f t="shared" ref="CN8:CN22" si="30">SUM(CB8:CM8)</f>
        <v>404703</v>
      </c>
      <c r="CO8" s="708">
        <f t="shared" ref="CO8:CZ8" si="31">SUM(CO9:CO16)</f>
        <v>33487</v>
      </c>
      <c r="CP8" s="709">
        <f t="shared" si="31"/>
        <v>27761</v>
      </c>
      <c r="CQ8" s="710">
        <f t="shared" si="31"/>
        <v>59771</v>
      </c>
      <c r="CR8" s="709">
        <f t="shared" si="31"/>
        <v>42020</v>
      </c>
      <c r="CS8" s="709">
        <f t="shared" si="31"/>
        <v>31717</v>
      </c>
      <c r="CT8" s="709">
        <f t="shared" si="31"/>
        <v>31762</v>
      </c>
      <c r="CU8" s="709">
        <f t="shared" si="31"/>
        <v>30778</v>
      </c>
      <c r="CV8" s="709">
        <f t="shared" si="31"/>
        <v>28106</v>
      </c>
      <c r="CW8" s="709">
        <f t="shared" si="31"/>
        <v>25976</v>
      </c>
      <c r="CX8" s="709">
        <f t="shared" si="31"/>
        <v>46051</v>
      </c>
      <c r="CY8" s="709">
        <f t="shared" si="31"/>
        <v>29203</v>
      </c>
      <c r="CZ8" s="709">
        <f t="shared" si="31"/>
        <v>27818</v>
      </c>
      <c r="DA8" s="711">
        <f t="shared" ref="DA8:DA22" si="32">SUM(CO8:CZ8)</f>
        <v>414450</v>
      </c>
      <c r="DB8" s="708">
        <f t="shared" ref="DB8:DM8" si="33">SUM(DB9:DB16)</f>
        <v>25531</v>
      </c>
      <c r="DC8" s="709">
        <f t="shared" si="33"/>
        <v>30848</v>
      </c>
      <c r="DD8" s="710">
        <f t="shared" si="33"/>
        <v>25533</v>
      </c>
      <c r="DE8" s="709">
        <f t="shared" si="33"/>
        <v>29202</v>
      </c>
      <c r="DF8" s="709">
        <f t="shared" si="33"/>
        <v>81952</v>
      </c>
      <c r="DG8" s="709">
        <f t="shared" si="33"/>
        <v>21994</v>
      </c>
      <c r="DH8" s="709">
        <f t="shared" si="33"/>
        <v>33019</v>
      </c>
      <c r="DI8" s="709">
        <f t="shared" si="33"/>
        <v>24729</v>
      </c>
      <c r="DJ8" s="709">
        <f t="shared" si="33"/>
        <v>25601</v>
      </c>
      <c r="DK8" s="709">
        <f t="shared" si="33"/>
        <v>29251</v>
      </c>
      <c r="DL8" s="709">
        <f t="shared" si="33"/>
        <v>28368</v>
      </c>
      <c r="DM8" s="709">
        <f t="shared" si="33"/>
        <v>33462</v>
      </c>
      <c r="DN8" s="711">
        <f t="shared" ref="DN8:DN22" si="34">SUM(DB8:DM8)</f>
        <v>389490</v>
      </c>
      <c r="DO8" s="708">
        <f t="shared" ref="DO8:DZ8" si="35">SUM(DO9:DO16)</f>
        <v>29457</v>
      </c>
      <c r="DP8" s="709">
        <f t="shared" si="35"/>
        <v>7967</v>
      </c>
      <c r="DQ8" s="710">
        <f t="shared" si="35"/>
        <v>47242</v>
      </c>
      <c r="DR8" s="709">
        <f t="shared" si="35"/>
        <v>16051</v>
      </c>
      <c r="DS8" s="709">
        <f t="shared" si="35"/>
        <v>13847</v>
      </c>
      <c r="DT8" s="709">
        <f t="shared" si="35"/>
        <v>60705</v>
      </c>
      <c r="DU8" s="709">
        <f t="shared" si="35"/>
        <v>24354</v>
      </c>
      <c r="DV8" s="709">
        <f t="shared" si="35"/>
        <v>35114</v>
      </c>
      <c r="DW8" s="709">
        <f t="shared" si="35"/>
        <v>37053</v>
      </c>
      <c r="DX8" s="709">
        <f t="shared" si="35"/>
        <v>26029</v>
      </c>
      <c r="DY8" s="709">
        <f t="shared" si="35"/>
        <v>28388</v>
      </c>
      <c r="DZ8" s="709">
        <f t="shared" si="35"/>
        <v>30705</v>
      </c>
      <c r="EA8" s="711">
        <f t="shared" ref="EA8:EA28" si="36">SUM(DO8:DZ8)</f>
        <v>356912</v>
      </c>
      <c r="EB8" s="708">
        <f t="shared" ref="EB8:EM8" si="37">SUM(EB9:EB16)</f>
        <v>36746</v>
      </c>
      <c r="EC8" s="709">
        <f t="shared" si="37"/>
        <v>31619</v>
      </c>
      <c r="ED8" s="710">
        <f t="shared" si="37"/>
        <v>31519</v>
      </c>
      <c r="EE8" s="709">
        <f t="shared" si="37"/>
        <v>56214</v>
      </c>
      <c r="EF8" s="709">
        <f t="shared" si="37"/>
        <v>35123</v>
      </c>
      <c r="EG8" s="709">
        <f t="shared" si="37"/>
        <v>36683</v>
      </c>
      <c r="EH8" s="709">
        <f t="shared" si="37"/>
        <v>31899</v>
      </c>
      <c r="EI8" s="709">
        <f t="shared" si="37"/>
        <v>37629</v>
      </c>
      <c r="EJ8" s="709">
        <f t="shared" si="37"/>
        <v>47986</v>
      </c>
      <c r="EK8" s="709">
        <f t="shared" si="37"/>
        <v>35389</v>
      </c>
      <c r="EL8" s="709">
        <f t="shared" si="37"/>
        <v>36647</v>
      </c>
      <c r="EM8" s="709">
        <f t="shared" si="37"/>
        <v>39979</v>
      </c>
      <c r="EN8" s="711">
        <f t="shared" ref="EN8:EN30" si="38">SUM(EB8:EM8)</f>
        <v>457433</v>
      </c>
      <c r="EO8" s="708">
        <f t="shared" ref="EO8:EZ8" si="39">SUM(EO9:EO16)</f>
        <v>37771</v>
      </c>
      <c r="EP8" s="709">
        <f t="shared" si="39"/>
        <v>45909</v>
      </c>
      <c r="EQ8" s="710">
        <f t="shared" si="39"/>
        <v>41952</v>
      </c>
      <c r="ER8" s="709">
        <f t="shared" si="39"/>
        <v>37078</v>
      </c>
      <c r="ES8" s="709">
        <f t="shared" si="39"/>
        <v>71010</v>
      </c>
      <c r="ET8" s="709">
        <f t="shared" si="39"/>
        <v>56581</v>
      </c>
      <c r="EU8" s="709">
        <f t="shared" si="39"/>
        <v>36220</v>
      </c>
      <c r="EV8" s="709">
        <f t="shared" si="39"/>
        <v>39874</v>
      </c>
      <c r="EW8" s="709">
        <f t="shared" si="39"/>
        <v>44173</v>
      </c>
      <c r="EX8" s="709">
        <f t="shared" si="39"/>
        <v>40552</v>
      </c>
      <c r="EY8" s="709">
        <f t="shared" si="39"/>
        <v>35807</v>
      </c>
      <c r="EZ8" s="709">
        <f t="shared" si="39"/>
        <v>37935</v>
      </c>
      <c r="FA8" s="711">
        <f t="shared" ref="FA8:FA27" si="40">SUM(EO8:EZ8)</f>
        <v>524862</v>
      </c>
      <c r="FB8" s="708">
        <f t="shared" ref="FB8:FM8" si="41">SUM(FB9:FB16)</f>
        <v>35514</v>
      </c>
      <c r="FC8" s="709">
        <f t="shared" si="41"/>
        <v>41767</v>
      </c>
      <c r="FD8" s="710">
        <f t="shared" si="41"/>
        <v>38999</v>
      </c>
      <c r="FE8" s="709">
        <f t="shared" si="41"/>
        <v>58425</v>
      </c>
      <c r="FF8" s="709">
        <f t="shared" si="41"/>
        <v>61411</v>
      </c>
      <c r="FG8" s="709">
        <f t="shared" si="41"/>
        <v>38098</v>
      </c>
      <c r="FH8" s="709">
        <f t="shared" si="41"/>
        <v>34757</v>
      </c>
      <c r="FI8" s="709">
        <f t="shared" si="41"/>
        <v>48728</v>
      </c>
      <c r="FJ8" s="709">
        <f t="shared" si="41"/>
        <v>34804</v>
      </c>
      <c r="FK8" s="709">
        <f t="shared" si="41"/>
        <v>34354</v>
      </c>
      <c r="FL8" s="709">
        <f t="shared" si="41"/>
        <v>39610</v>
      </c>
      <c r="FM8" s="709">
        <f t="shared" si="41"/>
        <v>42397</v>
      </c>
      <c r="FN8" s="711">
        <f t="shared" ref="FN8:FN30" si="42">SUM(FB8:FM8)</f>
        <v>508864</v>
      </c>
      <c r="FO8" s="708">
        <f t="shared" ref="FO8:FZ8" si="43">SUM(FO9:FO16)</f>
        <v>38741</v>
      </c>
      <c r="FP8" s="709">
        <f t="shared" si="43"/>
        <v>46697</v>
      </c>
      <c r="FQ8" s="710">
        <f t="shared" si="43"/>
        <v>32383</v>
      </c>
      <c r="FR8" s="709">
        <f t="shared" si="43"/>
        <v>39784</v>
      </c>
      <c r="FS8" s="709">
        <f t="shared" si="43"/>
        <v>56798</v>
      </c>
      <c r="FT8" s="709">
        <f t="shared" si="43"/>
        <v>42985</v>
      </c>
      <c r="FU8" s="709">
        <f t="shared" si="43"/>
        <v>40303</v>
      </c>
      <c r="FV8" s="709">
        <f t="shared" si="43"/>
        <v>37586</v>
      </c>
      <c r="FW8" s="709">
        <f t="shared" si="43"/>
        <v>42551</v>
      </c>
      <c r="FX8" s="709">
        <f t="shared" si="43"/>
        <v>44293</v>
      </c>
      <c r="FY8" s="709">
        <f t="shared" si="43"/>
        <v>39798</v>
      </c>
      <c r="FZ8" s="709">
        <f t="shared" si="43"/>
        <v>53419</v>
      </c>
      <c r="GA8" s="711">
        <f t="shared" ref="GA8:GA30" si="44">SUM(FO8:FZ8)</f>
        <v>515338</v>
      </c>
      <c r="GB8" s="708">
        <f>SUM(GB9:GB16)</f>
        <v>42715</v>
      </c>
      <c r="GC8" s="709">
        <f t="shared" ref="GC8:GM8" si="45">SUM(GC9:GC16)</f>
        <v>52858</v>
      </c>
      <c r="GD8" s="710">
        <f t="shared" si="45"/>
        <v>44347</v>
      </c>
      <c r="GE8" s="709">
        <f t="shared" si="45"/>
        <v>40359</v>
      </c>
      <c r="GF8" s="709">
        <f t="shared" si="45"/>
        <v>66687</v>
      </c>
      <c r="GG8" s="709">
        <f t="shared" si="45"/>
        <v>49941</v>
      </c>
      <c r="GH8" s="709">
        <f t="shared" si="45"/>
        <v>46503</v>
      </c>
      <c r="GI8" s="709">
        <f t="shared" si="45"/>
        <v>40433</v>
      </c>
      <c r="GJ8" s="709">
        <f t="shared" si="45"/>
        <v>40805</v>
      </c>
      <c r="GK8" s="709">
        <f t="shared" si="45"/>
        <v>40688</v>
      </c>
      <c r="GL8" s="709">
        <f t="shared" si="45"/>
        <v>40082</v>
      </c>
      <c r="GM8" s="709">
        <f t="shared" si="45"/>
        <v>39845</v>
      </c>
      <c r="GN8" s="708">
        <f>SUM(GB8:GM8)</f>
        <v>545263</v>
      </c>
      <c r="GO8" s="1328">
        <f t="shared" ref="GO8:GV8" si="46">SUM(GO9:GO16)</f>
        <v>39382</v>
      </c>
      <c r="GP8" s="129">
        <f t="shared" si="46"/>
        <v>53331</v>
      </c>
      <c r="GQ8" s="129">
        <f t="shared" si="46"/>
        <v>46477</v>
      </c>
      <c r="GR8" s="129">
        <f t="shared" si="46"/>
        <v>42932</v>
      </c>
      <c r="GS8" s="129">
        <f t="shared" si="46"/>
        <v>62561</v>
      </c>
      <c r="GT8" s="129">
        <f t="shared" si="46"/>
        <v>47189</v>
      </c>
      <c r="GU8" s="129">
        <f t="shared" si="46"/>
        <v>36514</v>
      </c>
      <c r="GV8" s="129">
        <f t="shared" si="46"/>
        <v>38727</v>
      </c>
      <c r="GW8" s="129"/>
      <c r="GX8" s="129"/>
      <c r="GY8" s="129"/>
      <c r="GZ8" s="1268"/>
      <c r="HA8" s="1343">
        <f t="shared" ref="HA8:HA30" si="47">SUM(GO8:GZ8)</f>
        <v>367113</v>
      </c>
      <c r="HB8"/>
      <c r="HC8" s="677">
        <f t="shared" ref="HC8:HC27" si="48">IFERROR(((GV8/GI8)-1)*100,"")</f>
        <v>-4.2193257982341192</v>
      </c>
      <c r="HD8" s="677">
        <f t="shared" ref="HD8:HD30" si="49">IFERROR(((HF8/HE8)-1)*100,"")</f>
        <v>-4.3585528458249811</v>
      </c>
      <c r="HE8" s="679">
        <f t="shared" ref="HE8:HE30" si="50">IFERROR(SUM(GB8:GI8),"-")</f>
        <v>383843</v>
      </c>
      <c r="HF8" s="679">
        <f t="shared" ref="HF8:HF30" si="51">IFERROR(SUM(GO8:GZ8),"-")</f>
        <v>367113</v>
      </c>
    </row>
    <row r="9" spans="1:214" ht="13.9" customHeight="1" x14ac:dyDescent="0.2">
      <c r="A9" s="680" t="s">
        <v>388</v>
      </c>
      <c r="B9" s="712">
        <v>616</v>
      </c>
      <c r="C9" s="713">
        <v>933</v>
      </c>
      <c r="D9" s="714">
        <v>1055</v>
      </c>
      <c r="E9" s="713">
        <v>690</v>
      </c>
      <c r="F9" s="713">
        <v>1031</v>
      </c>
      <c r="G9" s="713">
        <v>1038</v>
      </c>
      <c r="H9" s="713">
        <v>877</v>
      </c>
      <c r="I9" s="713">
        <v>925</v>
      </c>
      <c r="J9" s="713">
        <v>995</v>
      </c>
      <c r="K9" s="713">
        <v>779</v>
      </c>
      <c r="L9" s="713">
        <v>806</v>
      </c>
      <c r="M9" s="713">
        <v>1024</v>
      </c>
      <c r="N9" s="715">
        <f t="shared" si="18"/>
        <v>10769</v>
      </c>
      <c r="O9" s="712">
        <v>850</v>
      </c>
      <c r="P9" s="713">
        <v>1353</v>
      </c>
      <c r="Q9" s="714">
        <v>1327</v>
      </c>
      <c r="R9" s="713">
        <v>752</v>
      </c>
      <c r="S9" s="713">
        <v>1173</v>
      </c>
      <c r="T9" s="713">
        <v>1485</v>
      </c>
      <c r="U9" s="713">
        <v>1184</v>
      </c>
      <c r="V9" s="713">
        <v>1243</v>
      </c>
      <c r="W9" s="713">
        <v>1061</v>
      </c>
      <c r="X9" s="713">
        <v>896</v>
      </c>
      <c r="Y9" s="713">
        <v>1095</v>
      </c>
      <c r="Z9" s="713">
        <v>1197</v>
      </c>
      <c r="AA9" s="715">
        <f t="shared" si="20"/>
        <v>13616</v>
      </c>
      <c r="AB9" s="712">
        <v>874</v>
      </c>
      <c r="AC9" s="713">
        <v>1413</v>
      </c>
      <c r="AD9" s="714">
        <v>1109</v>
      </c>
      <c r="AE9" s="713">
        <v>1334</v>
      </c>
      <c r="AF9" s="713">
        <v>1735</v>
      </c>
      <c r="AG9" s="713">
        <v>1073</v>
      </c>
      <c r="AH9" s="713">
        <v>1422</v>
      </c>
      <c r="AI9" s="713">
        <v>1353</v>
      </c>
      <c r="AJ9" s="713">
        <v>1210</v>
      </c>
      <c r="AK9" s="713">
        <v>1137</v>
      </c>
      <c r="AL9" s="713">
        <v>1231</v>
      </c>
      <c r="AM9" s="713">
        <v>1687</v>
      </c>
      <c r="AN9" s="715">
        <f t="shared" si="22"/>
        <v>15578</v>
      </c>
      <c r="AO9" s="712">
        <v>993</v>
      </c>
      <c r="AP9" s="713">
        <v>1560</v>
      </c>
      <c r="AQ9" s="714">
        <v>1803</v>
      </c>
      <c r="AR9" s="713">
        <v>1277</v>
      </c>
      <c r="AS9" s="713">
        <v>1698</v>
      </c>
      <c r="AT9" s="713">
        <v>1292</v>
      </c>
      <c r="AU9" s="713">
        <v>1225</v>
      </c>
      <c r="AV9" s="713">
        <v>1442</v>
      </c>
      <c r="AW9" s="713">
        <v>1155</v>
      </c>
      <c r="AX9" s="713">
        <v>1240</v>
      </c>
      <c r="AY9" s="713">
        <v>1438</v>
      </c>
      <c r="AZ9" s="713">
        <v>1420</v>
      </c>
      <c r="BA9" s="715">
        <f t="shared" si="24"/>
        <v>16543</v>
      </c>
      <c r="BB9" s="712">
        <v>1216</v>
      </c>
      <c r="BC9" s="713">
        <v>2575</v>
      </c>
      <c r="BD9" s="714">
        <v>1906</v>
      </c>
      <c r="BE9" s="713">
        <v>1503</v>
      </c>
      <c r="BF9" s="713">
        <v>2037</v>
      </c>
      <c r="BG9" s="713">
        <v>1550</v>
      </c>
      <c r="BH9" s="713">
        <v>1892</v>
      </c>
      <c r="BI9" s="713">
        <v>1768</v>
      </c>
      <c r="BJ9" s="713">
        <v>1759</v>
      </c>
      <c r="BK9" s="713">
        <v>2125</v>
      </c>
      <c r="BL9" s="713">
        <v>2155</v>
      </c>
      <c r="BM9" s="713">
        <v>2096</v>
      </c>
      <c r="BN9" s="715">
        <f t="shared" si="26"/>
        <v>22582</v>
      </c>
      <c r="BO9" s="712">
        <v>1753</v>
      </c>
      <c r="BP9" s="713">
        <v>2269</v>
      </c>
      <c r="BQ9" s="714">
        <v>2117</v>
      </c>
      <c r="BR9" s="713">
        <v>1779</v>
      </c>
      <c r="BS9" s="713">
        <v>2228</v>
      </c>
      <c r="BT9" s="713">
        <v>1696</v>
      </c>
      <c r="BU9" s="713">
        <v>1511</v>
      </c>
      <c r="BV9" s="713">
        <v>2495</v>
      </c>
      <c r="BW9" s="713">
        <v>1674</v>
      </c>
      <c r="BX9" s="713">
        <v>2441</v>
      </c>
      <c r="BY9" s="713">
        <v>2305</v>
      </c>
      <c r="BZ9" s="713">
        <v>2411</v>
      </c>
      <c r="CA9" s="715">
        <f t="shared" si="28"/>
        <v>24679</v>
      </c>
      <c r="CB9" s="712">
        <v>1540</v>
      </c>
      <c r="CC9" s="713">
        <v>2713</v>
      </c>
      <c r="CD9" s="714">
        <v>2342</v>
      </c>
      <c r="CE9" s="713">
        <v>1920</v>
      </c>
      <c r="CF9" s="713">
        <v>2614</v>
      </c>
      <c r="CG9" s="713">
        <v>2069</v>
      </c>
      <c r="CH9" s="713">
        <v>1786</v>
      </c>
      <c r="CI9" s="713">
        <v>2541</v>
      </c>
      <c r="CJ9" s="713">
        <v>1923</v>
      </c>
      <c r="CK9" s="713">
        <v>2050</v>
      </c>
      <c r="CL9" s="713">
        <v>2533</v>
      </c>
      <c r="CM9" s="713">
        <v>3696</v>
      </c>
      <c r="CN9" s="715">
        <f t="shared" si="30"/>
        <v>27727</v>
      </c>
      <c r="CO9" s="712">
        <v>1854</v>
      </c>
      <c r="CP9" s="713">
        <v>2596</v>
      </c>
      <c r="CQ9" s="714">
        <v>2566</v>
      </c>
      <c r="CR9" s="713">
        <v>2203</v>
      </c>
      <c r="CS9" s="713">
        <v>2862</v>
      </c>
      <c r="CT9" s="713">
        <v>3346</v>
      </c>
      <c r="CU9" s="713">
        <v>2457</v>
      </c>
      <c r="CV9" s="713">
        <v>2408</v>
      </c>
      <c r="CW9" s="713">
        <v>1994</v>
      </c>
      <c r="CX9" s="713">
        <v>2076</v>
      </c>
      <c r="CY9" s="713">
        <v>2710</v>
      </c>
      <c r="CZ9" s="713">
        <v>2448</v>
      </c>
      <c r="DA9" s="715">
        <f t="shared" si="32"/>
        <v>29520</v>
      </c>
      <c r="DB9" s="712">
        <v>1720</v>
      </c>
      <c r="DC9" s="713">
        <v>2626</v>
      </c>
      <c r="DD9" s="714">
        <v>3063</v>
      </c>
      <c r="DE9" s="713">
        <v>2313</v>
      </c>
      <c r="DF9" s="713">
        <v>3138</v>
      </c>
      <c r="DG9" s="713">
        <v>2347</v>
      </c>
      <c r="DH9" s="713">
        <v>2506</v>
      </c>
      <c r="DI9" s="713">
        <v>2833</v>
      </c>
      <c r="DJ9" s="713">
        <v>2992</v>
      </c>
      <c r="DK9" s="713">
        <v>4234</v>
      </c>
      <c r="DL9" s="713">
        <v>3620</v>
      </c>
      <c r="DM9" s="713">
        <v>3529</v>
      </c>
      <c r="DN9" s="715">
        <f t="shared" si="34"/>
        <v>34921</v>
      </c>
      <c r="DO9" s="712">
        <v>2140</v>
      </c>
      <c r="DP9" s="713">
        <v>3813</v>
      </c>
      <c r="DQ9" s="714">
        <v>1939</v>
      </c>
      <c r="DR9" s="713">
        <v>407</v>
      </c>
      <c r="DS9" s="713">
        <v>479</v>
      </c>
      <c r="DT9" s="713">
        <v>951</v>
      </c>
      <c r="DU9" s="713">
        <v>1738</v>
      </c>
      <c r="DV9" s="713">
        <v>3003</v>
      </c>
      <c r="DW9" s="713">
        <v>3804</v>
      </c>
      <c r="DX9" s="713">
        <v>3547</v>
      </c>
      <c r="DY9" s="713">
        <v>4602</v>
      </c>
      <c r="DZ9" s="713">
        <v>4782</v>
      </c>
      <c r="EA9" s="715">
        <f t="shared" si="36"/>
        <v>31205</v>
      </c>
      <c r="EB9" s="712">
        <v>2854</v>
      </c>
      <c r="EC9" s="713">
        <v>4661</v>
      </c>
      <c r="ED9" s="714">
        <v>4218</v>
      </c>
      <c r="EE9" s="713">
        <v>2462</v>
      </c>
      <c r="EF9" s="713">
        <v>3514</v>
      </c>
      <c r="EG9" s="713">
        <v>3214</v>
      </c>
      <c r="EH9" s="713">
        <v>3789</v>
      </c>
      <c r="EI9" s="713">
        <v>4181</v>
      </c>
      <c r="EJ9" s="713">
        <v>3900</v>
      </c>
      <c r="EK9" s="713">
        <v>3758</v>
      </c>
      <c r="EL9" s="713">
        <v>3483</v>
      </c>
      <c r="EM9" s="713">
        <v>3843</v>
      </c>
      <c r="EN9" s="715">
        <f t="shared" si="38"/>
        <v>43877</v>
      </c>
      <c r="EO9" s="712">
        <v>2961</v>
      </c>
      <c r="EP9" s="713">
        <v>4868</v>
      </c>
      <c r="EQ9" s="714">
        <v>5165</v>
      </c>
      <c r="ER9" s="713">
        <v>4246</v>
      </c>
      <c r="ES9" s="713">
        <v>4179</v>
      </c>
      <c r="ET9" s="713">
        <v>3084</v>
      </c>
      <c r="EU9" s="713">
        <v>2822</v>
      </c>
      <c r="EV9" s="713">
        <v>3593</v>
      </c>
      <c r="EW9" s="713">
        <v>4350</v>
      </c>
      <c r="EX9" s="713">
        <v>2845</v>
      </c>
      <c r="EY9" s="713">
        <v>3855</v>
      </c>
      <c r="EZ9" s="713">
        <v>4133</v>
      </c>
      <c r="FA9" s="715">
        <f t="shared" si="40"/>
        <v>46101</v>
      </c>
      <c r="FB9" s="712">
        <v>2913</v>
      </c>
      <c r="FC9" s="713">
        <v>4803</v>
      </c>
      <c r="FD9" s="714">
        <v>4120</v>
      </c>
      <c r="FE9" s="713">
        <v>3701</v>
      </c>
      <c r="FF9" s="713">
        <v>4786</v>
      </c>
      <c r="FG9" s="713">
        <v>4223</v>
      </c>
      <c r="FH9" s="713">
        <v>3725</v>
      </c>
      <c r="FI9" s="713">
        <v>4797</v>
      </c>
      <c r="FJ9" s="713">
        <v>3078</v>
      </c>
      <c r="FK9" s="713">
        <v>3181</v>
      </c>
      <c r="FL9" s="713">
        <v>3760</v>
      </c>
      <c r="FM9" s="713">
        <v>5075</v>
      </c>
      <c r="FN9" s="715">
        <f t="shared" si="42"/>
        <v>48162</v>
      </c>
      <c r="FO9" s="712">
        <v>3182</v>
      </c>
      <c r="FP9" s="713">
        <v>6691</v>
      </c>
      <c r="FQ9" s="714">
        <v>3781</v>
      </c>
      <c r="FR9" s="713">
        <v>5252</v>
      </c>
      <c r="FS9" s="713">
        <v>6186</v>
      </c>
      <c r="FT9" s="713">
        <v>3243</v>
      </c>
      <c r="FU9" s="713">
        <v>3933</v>
      </c>
      <c r="FV9" s="713">
        <v>4506</v>
      </c>
      <c r="FW9" s="713">
        <v>4407</v>
      </c>
      <c r="FX9" s="713">
        <v>4725</v>
      </c>
      <c r="FY9" s="713">
        <v>4034</v>
      </c>
      <c r="FZ9" s="713">
        <v>5240</v>
      </c>
      <c r="GA9" s="715">
        <f t="shared" si="44"/>
        <v>55180</v>
      </c>
      <c r="GB9" s="712">
        <v>4453</v>
      </c>
      <c r="GC9" s="713">
        <v>7880</v>
      </c>
      <c r="GD9" s="714">
        <v>5310</v>
      </c>
      <c r="GE9" s="713">
        <v>5141</v>
      </c>
      <c r="GF9" s="713">
        <v>4654</v>
      </c>
      <c r="GG9" s="713">
        <v>5512</v>
      </c>
      <c r="GH9" s="713">
        <v>4172</v>
      </c>
      <c r="GI9" s="713">
        <v>5073</v>
      </c>
      <c r="GJ9" s="713">
        <v>4281</v>
      </c>
      <c r="GK9" s="713">
        <v>4197</v>
      </c>
      <c r="GL9" s="713">
        <v>4831</v>
      </c>
      <c r="GM9" s="713">
        <v>6986</v>
      </c>
      <c r="GN9" s="712">
        <f>SUM(GB9:GM9)</f>
        <v>62490</v>
      </c>
      <c r="GO9" s="1324">
        <v>3997</v>
      </c>
      <c r="GP9">
        <v>7734</v>
      </c>
      <c r="GQ9">
        <v>8083</v>
      </c>
      <c r="GR9">
        <v>4464</v>
      </c>
      <c r="GS9">
        <v>4487</v>
      </c>
      <c r="GT9">
        <v>6161</v>
      </c>
      <c r="GU9">
        <v>4192</v>
      </c>
      <c r="GV9">
        <v>4248</v>
      </c>
      <c r="GZ9" s="1266"/>
      <c r="HA9" s="1059">
        <f t="shared" si="47"/>
        <v>43366</v>
      </c>
      <c r="HC9" s="681">
        <f t="shared" si="48"/>
        <v>-16.262566528681255</v>
      </c>
      <c r="HD9" s="681">
        <f t="shared" si="49"/>
        <v>2.775210332977851</v>
      </c>
      <c r="HE9" s="683">
        <f t="shared" si="50"/>
        <v>42195</v>
      </c>
      <c r="HF9" s="683">
        <f>IFERROR(SUM(GO9:GZ9),"-")</f>
        <v>43366</v>
      </c>
    </row>
    <row r="10" spans="1:214" ht="13.9" customHeight="1" x14ac:dyDescent="0.2">
      <c r="A10" s="680" t="s">
        <v>464</v>
      </c>
      <c r="B10" s="712">
        <v>0</v>
      </c>
      <c r="C10" s="713">
        <v>0</v>
      </c>
      <c r="D10" s="714">
        <v>0</v>
      </c>
      <c r="E10" s="713">
        <v>0</v>
      </c>
      <c r="F10" s="713">
        <v>0</v>
      </c>
      <c r="G10" s="713">
        <v>0</v>
      </c>
      <c r="H10" s="713">
        <v>0</v>
      </c>
      <c r="I10" s="713">
        <v>0</v>
      </c>
      <c r="J10" s="713">
        <v>0</v>
      </c>
      <c r="K10" s="713">
        <v>0</v>
      </c>
      <c r="L10" s="713">
        <v>0</v>
      </c>
      <c r="M10" s="713">
        <v>0</v>
      </c>
      <c r="N10" s="715">
        <f t="shared" si="18"/>
        <v>0</v>
      </c>
      <c r="O10" s="712">
        <v>0</v>
      </c>
      <c r="P10" s="713">
        <v>0</v>
      </c>
      <c r="Q10" s="714">
        <v>0</v>
      </c>
      <c r="R10" s="713">
        <v>0</v>
      </c>
      <c r="S10" s="713">
        <v>0</v>
      </c>
      <c r="T10" s="713">
        <v>0</v>
      </c>
      <c r="U10" s="713">
        <v>0</v>
      </c>
      <c r="V10" s="713">
        <v>0</v>
      </c>
      <c r="W10" s="713">
        <v>0</v>
      </c>
      <c r="X10" s="713">
        <v>0</v>
      </c>
      <c r="Y10" s="713">
        <v>0</v>
      </c>
      <c r="Z10" s="713">
        <v>0</v>
      </c>
      <c r="AA10" s="715">
        <f t="shared" si="20"/>
        <v>0</v>
      </c>
      <c r="AB10" s="712">
        <v>0</v>
      </c>
      <c r="AC10" s="713">
        <v>0</v>
      </c>
      <c r="AD10" s="714">
        <v>0</v>
      </c>
      <c r="AE10" s="713">
        <v>0</v>
      </c>
      <c r="AF10" s="713">
        <v>0</v>
      </c>
      <c r="AG10" s="713">
        <v>0</v>
      </c>
      <c r="AH10" s="713">
        <v>0</v>
      </c>
      <c r="AI10" s="713">
        <v>0</v>
      </c>
      <c r="AJ10" s="713">
        <v>0</v>
      </c>
      <c r="AK10" s="713">
        <v>0</v>
      </c>
      <c r="AL10" s="713">
        <v>0</v>
      </c>
      <c r="AM10" s="713">
        <v>0</v>
      </c>
      <c r="AN10" s="715">
        <f t="shared" si="22"/>
        <v>0</v>
      </c>
      <c r="AO10" s="712">
        <v>0</v>
      </c>
      <c r="AP10" s="713">
        <v>0</v>
      </c>
      <c r="AQ10" s="714">
        <v>0</v>
      </c>
      <c r="AR10" s="713">
        <v>0</v>
      </c>
      <c r="AS10" s="713">
        <v>0</v>
      </c>
      <c r="AT10" s="713">
        <v>0</v>
      </c>
      <c r="AU10" s="713">
        <v>0</v>
      </c>
      <c r="AV10" s="713">
        <v>0</v>
      </c>
      <c r="AW10" s="713">
        <v>0</v>
      </c>
      <c r="AX10" s="713">
        <v>0</v>
      </c>
      <c r="AY10" s="713">
        <v>0</v>
      </c>
      <c r="AZ10" s="713">
        <v>0</v>
      </c>
      <c r="BA10" s="715">
        <f t="shared" si="24"/>
        <v>0</v>
      </c>
      <c r="BB10" s="712">
        <v>0</v>
      </c>
      <c r="BC10" s="713">
        <v>0</v>
      </c>
      <c r="BD10" s="714">
        <v>0</v>
      </c>
      <c r="BE10" s="713">
        <v>9.8000000000000004E-2</v>
      </c>
      <c r="BF10" s="713">
        <v>0</v>
      </c>
      <c r="BG10" s="713">
        <v>0</v>
      </c>
      <c r="BH10" s="713">
        <v>0</v>
      </c>
      <c r="BI10" s="713">
        <v>0</v>
      </c>
      <c r="BJ10" s="713">
        <v>0</v>
      </c>
      <c r="BK10" s="713">
        <v>0</v>
      </c>
      <c r="BL10" s="713">
        <v>0</v>
      </c>
      <c r="BM10" s="713"/>
      <c r="BN10" s="715">
        <f t="shared" si="26"/>
        <v>9.8000000000000004E-2</v>
      </c>
      <c r="BO10" s="712"/>
      <c r="BP10" s="713"/>
      <c r="BQ10" s="714"/>
      <c r="BR10" s="713"/>
      <c r="BS10" s="713"/>
      <c r="BT10" s="713"/>
      <c r="BU10" s="713"/>
      <c r="BV10" s="713"/>
      <c r="BW10" s="713"/>
      <c r="BX10" s="713"/>
      <c r="BY10" s="713"/>
      <c r="BZ10" s="713"/>
      <c r="CA10" s="715">
        <f t="shared" si="28"/>
        <v>0</v>
      </c>
      <c r="CB10" s="712"/>
      <c r="CC10" s="713"/>
      <c r="CD10" s="714"/>
      <c r="CE10" s="713"/>
      <c r="CF10" s="713"/>
      <c r="CG10" s="713"/>
      <c r="CH10" s="713"/>
      <c r="CI10" s="713"/>
      <c r="CJ10" s="713"/>
      <c r="CK10" s="713"/>
      <c r="CL10" s="713"/>
      <c r="CM10" s="713"/>
      <c r="CN10" s="715">
        <f t="shared" si="30"/>
        <v>0</v>
      </c>
      <c r="CO10" s="712"/>
      <c r="CP10" s="713"/>
      <c r="CQ10" s="714"/>
      <c r="CR10" s="713"/>
      <c r="CS10" s="713"/>
      <c r="CT10" s="713"/>
      <c r="CU10" s="713"/>
      <c r="CV10" s="713"/>
      <c r="CW10" s="713"/>
      <c r="CX10" s="713"/>
      <c r="CY10" s="713"/>
      <c r="CZ10" s="713"/>
      <c r="DA10" s="715">
        <f t="shared" si="32"/>
        <v>0</v>
      </c>
      <c r="DB10" s="712"/>
      <c r="DC10" s="713"/>
      <c r="DD10" s="714"/>
      <c r="DE10" s="713"/>
      <c r="DF10" s="713"/>
      <c r="DG10" s="713"/>
      <c r="DH10" s="713"/>
      <c r="DI10" s="713"/>
      <c r="DJ10" s="713"/>
      <c r="DK10" s="713"/>
      <c r="DL10" s="713"/>
      <c r="DM10" s="713"/>
      <c r="DN10" s="715">
        <f t="shared" si="34"/>
        <v>0</v>
      </c>
      <c r="DO10" s="712"/>
      <c r="DP10" s="713"/>
      <c r="DQ10" s="714"/>
      <c r="DR10" s="713"/>
      <c r="DS10" s="713"/>
      <c r="DT10" s="713"/>
      <c r="DU10" s="713"/>
      <c r="DV10" s="713"/>
      <c r="DW10" s="713"/>
      <c r="DX10" s="713"/>
      <c r="DY10" s="713"/>
      <c r="DZ10" s="713"/>
      <c r="EA10" s="715">
        <f t="shared" si="36"/>
        <v>0</v>
      </c>
      <c r="EB10" s="712"/>
      <c r="EC10" s="713"/>
      <c r="ED10" s="714"/>
      <c r="EE10" s="713"/>
      <c r="EF10" s="713"/>
      <c r="EG10" s="713"/>
      <c r="EH10" s="713"/>
      <c r="EI10" s="713"/>
      <c r="EJ10" s="713"/>
      <c r="EK10" s="713"/>
      <c r="EL10" s="713"/>
      <c r="EM10" s="713"/>
      <c r="EN10" s="715">
        <f t="shared" si="38"/>
        <v>0</v>
      </c>
      <c r="EO10" s="712"/>
      <c r="EP10" s="713"/>
      <c r="EQ10" s="714"/>
      <c r="ER10" s="713"/>
      <c r="ES10" s="713"/>
      <c r="ET10" s="713"/>
      <c r="EU10" s="713"/>
      <c r="EV10" s="713"/>
      <c r="EW10" s="713"/>
      <c r="EX10" s="713"/>
      <c r="EY10" s="713"/>
      <c r="EZ10" s="713"/>
      <c r="FA10" s="715">
        <f t="shared" si="40"/>
        <v>0</v>
      </c>
      <c r="FB10" s="712"/>
      <c r="FC10" s="713"/>
      <c r="FD10" s="714"/>
      <c r="FE10" s="713"/>
      <c r="FF10" s="713"/>
      <c r="FG10" s="713"/>
      <c r="FH10" s="713"/>
      <c r="FI10" s="713"/>
      <c r="FJ10" s="713"/>
      <c r="FK10" s="713"/>
      <c r="FL10" s="713"/>
      <c r="FM10" s="713"/>
      <c r="FN10" s="715">
        <f t="shared" si="42"/>
        <v>0</v>
      </c>
      <c r="FO10" s="712"/>
      <c r="FP10" s="713"/>
      <c r="FQ10" s="714"/>
      <c r="FR10" s="713"/>
      <c r="FS10" s="713"/>
      <c r="FT10" s="713"/>
      <c r="FU10" s="713"/>
      <c r="FV10" s="713"/>
      <c r="FW10" s="713"/>
      <c r="FX10" s="713"/>
      <c r="FY10" s="713"/>
      <c r="FZ10" s="713"/>
      <c r="GA10" s="715">
        <f t="shared" si="44"/>
        <v>0</v>
      </c>
      <c r="GB10" s="712">
        <v>0</v>
      </c>
      <c r="GC10" s="713">
        <v>0</v>
      </c>
      <c r="GD10" s="714">
        <v>0</v>
      </c>
      <c r="GE10" s="713">
        <v>0</v>
      </c>
      <c r="GF10" s="713">
        <v>0</v>
      </c>
      <c r="GG10" s="713">
        <v>0</v>
      </c>
      <c r="GH10" s="713">
        <v>0</v>
      </c>
      <c r="GI10" s="713">
        <v>0</v>
      </c>
      <c r="GJ10" s="713">
        <v>0</v>
      </c>
      <c r="GK10" s="713">
        <v>0</v>
      </c>
      <c r="GL10" s="713">
        <v>0</v>
      </c>
      <c r="GM10" s="713">
        <v>0</v>
      </c>
      <c r="GN10" s="712">
        <f t="shared" ref="GN10:GN29" si="52">SUM(GB10:GM10)</f>
        <v>0</v>
      </c>
      <c r="GO10" s="1324">
        <v>0</v>
      </c>
      <c r="GP10">
        <v>0</v>
      </c>
      <c r="GQ10">
        <v>0</v>
      </c>
      <c r="GR10">
        <v>0</v>
      </c>
      <c r="GZ10" s="1266"/>
      <c r="HA10" s="1059">
        <f t="shared" si="47"/>
        <v>0</v>
      </c>
      <c r="HC10" s="681" t="str">
        <f t="shared" si="48"/>
        <v/>
      </c>
      <c r="HD10" s="681" t="str">
        <f t="shared" si="49"/>
        <v/>
      </c>
      <c r="HE10" s="683">
        <f t="shared" si="50"/>
        <v>0</v>
      </c>
      <c r="HF10" s="683">
        <f t="shared" si="51"/>
        <v>0</v>
      </c>
    </row>
    <row r="11" spans="1:214" ht="13.9" customHeight="1" x14ac:dyDescent="0.2">
      <c r="A11" s="680" t="s">
        <v>465</v>
      </c>
      <c r="B11" s="712">
        <v>1366</v>
      </c>
      <c r="C11" s="713">
        <v>1496</v>
      </c>
      <c r="D11" s="714">
        <v>1623</v>
      </c>
      <c r="E11" s="713">
        <v>1404</v>
      </c>
      <c r="F11" s="713">
        <v>1696</v>
      </c>
      <c r="G11" s="713">
        <v>1611</v>
      </c>
      <c r="H11" s="713">
        <v>1585</v>
      </c>
      <c r="I11" s="713">
        <v>1803</v>
      </c>
      <c r="J11" s="713">
        <v>1965</v>
      </c>
      <c r="K11" s="713">
        <v>1469</v>
      </c>
      <c r="L11" s="713">
        <v>1541</v>
      </c>
      <c r="M11" s="713">
        <v>1555</v>
      </c>
      <c r="N11" s="715">
        <f t="shared" si="18"/>
        <v>19114</v>
      </c>
      <c r="O11" s="712">
        <v>1545</v>
      </c>
      <c r="P11" s="713">
        <v>1752</v>
      </c>
      <c r="Q11" s="714">
        <v>1702</v>
      </c>
      <c r="R11" s="713">
        <v>1482</v>
      </c>
      <c r="S11" s="713">
        <v>1636</v>
      </c>
      <c r="T11" s="713">
        <v>1615</v>
      </c>
      <c r="U11" s="713">
        <v>2032</v>
      </c>
      <c r="V11" s="713">
        <v>1937</v>
      </c>
      <c r="W11" s="713">
        <v>1819</v>
      </c>
      <c r="X11" s="713">
        <v>1839</v>
      </c>
      <c r="Y11" s="713">
        <v>1721</v>
      </c>
      <c r="Z11" s="713">
        <v>1759</v>
      </c>
      <c r="AA11" s="715">
        <f t="shared" si="20"/>
        <v>20839</v>
      </c>
      <c r="AB11" s="712">
        <v>2089</v>
      </c>
      <c r="AC11" s="713">
        <v>2290</v>
      </c>
      <c r="AD11" s="714">
        <v>1877</v>
      </c>
      <c r="AE11" s="713">
        <v>2244</v>
      </c>
      <c r="AF11" s="713">
        <v>2029</v>
      </c>
      <c r="AG11" s="713">
        <v>1446</v>
      </c>
      <c r="AH11" s="713">
        <v>1907</v>
      </c>
      <c r="AI11" s="713">
        <v>2078</v>
      </c>
      <c r="AJ11" s="713">
        <v>1655</v>
      </c>
      <c r="AK11" s="713">
        <v>2122</v>
      </c>
      <c r="AL11" s="713">
        <v>1468</v>
      </c>
      <c r="AM11" s="713">
        <v>1954</v>
      </c>
      <c r="AN11" s="715">
        <f t="shared" si="22"/>
        <v>23159</v>
      </c>
      <c r="AO11" s="712">
        <v>1842</v>
      </c>
      <c r="AP11" s="713">
        <v>1936</v>
      </c>
      <c r="AQ11" s="714">
        <v>1815</v>
      </c>
      <c r="AR11" s="713">
        <v>1663</v>
      </c>
      <c r="AS11" s="713">
        <v>1811</v>
      </c>
      <c r="AT11" s="713">
        <v>1654</v>
      </c>
      <c r="AU11" s="713">
        <v>1822</v>
      </c>
      <c r="AV11" s="713">
        <v>1941</v>
      </c>
      <c r="AW11" s="713">
        <v>1808</v>
      </c>
      <c r="AX11" s="713">
        <v>1751</v>
      </c>
      <c r="AY11" s="713">
        <v>1700</v>
      </c>
      <c r="AZ11" s="713">
        <v>1869</v>
      </c>
      <c r="BA11" s="715">
        <f t="shared" si="24"/>
        <v>21612</v>
      </c>
      <c r="BB11" s="712">
        <v>1630</v>
      </c>
      <c r="BC11" s="713">
        <v>2080</v>
      </c>
      <c r="BD11" s="714">
        <v>2342</v>
      </c>
      <c r="BE11" s="713">
        <v>2051</v>
      </c>
      <c r="BF11" s="713">
        <v>2094</v>
      </c>
      <c r="BG11" s="713">
        <v>1991</v>
      </c>
      <c r="BH11" s="713">
        <v>2199</v>
      </c>
      <c r="BI11" s="713">
        <v>2675</v>
      </c>
      <c r="BJ11" s="713">
        <v>3014</v>
      </c>
      <c r="BK11" s="713">
        <v>2151</v>
      </c>
      <c r="BL11" s="713">
        <v>2263</v>
      </c>
      <c r="BM11" s="713">
        <v>2334</v>
      </c>
      <c r="BN11" s="715">
        <f t="shared" si="26"/>
        <v>26824</v>
      </c>
      <c r="BO11" s="712">
        <v>2413</v>
      </c>
      <c r="BP11" s="713">
        <v>2567</v>
      </c>
      <c r="BQ11" s="714">
        <v>2710</v>
      </c>
      <c r="BR11" s="713">
        <v>2277</v>
      </c>
      <c r="BS11" s="713">
        <v>2562</v>
      </c>
      <c r="BT11" s="713">
        <v>2208</v>
      </c>
      <c r="BU11" s="713">
        <v>3787</v>
      </c>
      <c r="BV11" s="713">
        <v>2783</v>
      </c>
      <c r="BW11" s="713">
        <v>5640</v>
      </c>
      <c r="BX11" s="713">
        <v>4148</v>
      </c>
      <c r="BY11" s="713">
        <v>2574</v>
      </c>
      <c r="BZ11" s="713">
        <v>2710</v>
      </c>
      <c r="CA11" s="715">
        <f t="shared" si="28"/>
        <v>36379</v>
      </c>
      <c r="CB11" s="712">
        <v>2420</v>
      </c>
      <c r="CC11" s="713">
        <v>2514</v>
      </c>
      <c r="CD11" s="714">
        <v>2661</v>
      </c>
      <c r="CE11" s="713">
        <v>2111</v>
      </c>
      <c r="CF11" s="713">
        <v>2615</v>
      </c>
      <c r="CG11" s="713">
        <v>2279</v>
      </c>
      <c r="CH11" s="713">
        <v>2560</v>
      </c>
      <c r="CI11" s="713">
        <v>2857</v>
      </c>
      <c r="CJ11" s="713">
        <v>2581</v>
      </c>
      <c r="CK11" s="713">
        <v>2724</v>
      </c>
      <c r="CL11" s="713">
        <v>2297</v>
      </c>
      <c r="CM11" s="713">
        <v>4336</v>
      </c>
      <c r="CN11" s="715">
        <f t="shared" si="30"/>
        <v>31955</v>
      </c>
      <c r="CO11" s="712">
        <v>2810</v>
      </c>
      <c r="CP11" s="713">
        <v>3137</v>
      </c>
      <c r="CQ11" s="714">
        <v>2614</v>
      </c>
      <c r="CR11" s="713">
        <v>2873</v>
      </c>
      <c r="CS11" s="713">
        <v>2609</v>
      </c>
      <c r="CT11" s="713">
        <v>2656</v>
      </c>
      <c r="CU11" s="713">
        <v>2555</v>
      </c>
      <c r="CV11" s="713">
        <v>3163</v>
      </c>
      <c r="CW11" s="713">
        <v>2553</v>
      </c>
      <c r="CX11" s="713">
        <v>2437</v>
      </c>
      <c r="CY11" s="713">
        <v>2520</v>
      </c>
      <c r="CZ11" s="713">
        <v>2807</v>
      </c>
      <c r="DA11" s="715">
        <f t="shared" si="32"/>
        <v>32734</v>
      </c>
      <c r="DB11" s="712">
        <v>2300</v>
      </c>
      <c r="DC11" s="713">
        <v>2666</v>
      </c>
      <c r="DD11" s="714">
        <v>2918</v>
      </c>
      <c r="DE11" s="713">
        <v>2945</v>
      </c>
      <c r="DF11" s="713">
        <v>2713</v>
      </c>
      <c r="DG11" s="713">
        <v>2377</v>
      </c>
      <c r="DH11" s="713">
        <v>2593</v>
      </c>
      <c r="DI11" s="713">
        <v>3178</v>
      </c>
      <c r="DJ11" s="713">
        <v>2767</v>
      </c>
      <c r="DK11" s="713">
        <v>2947</v>
      </c>
      <c r="DL11" s="713">
        <v>2804</v>
      </c>
      <c r="DM11" s="713">
        <v>3079</v>
      </c>
      <c r="DN11" s="715">
        <f t="shared" si="34"/>
        <v>33287</v>
      </c>
      <c r="DO11" s="712">
        <v>3121</v>
      </c>
      <c r="DP11" s="713">
        <v>3062</v>
      </c>
      <c r="DQ11" s="714">
        <v>1590</v>
      </c>
      <c r="DR11" s="713">
        <v>128</v>
      </c>
      <c r="DS11" s="713">
        <v>624</v>
      </c>
      <c r="DT11" s="713">
        <v>876</v>
      </c>
      <c r="DU11" s="713">
        <v>1689</v>
      </c>
      <c r="DV11" s="713">
        <v>2324</v>
      </c>
      <c r="DW11" s="713">
        <v>3200</v>
      </c>
      <c r="DX11" s="713">
        <v>3298</v>
      </c>
      <c r="DY11" s="713">
        <v>3408</v>
      </c>
      <c r="DZ11" s="713">
        <v>3640</v>
      </c>
      <c r="EA11" s="715">
        <f t="shared" si="36"/>
        <v>26960</v>
      </c>
      <c r="EB11" s="712">
        <v>2835</v>
      </c>
      <c r="EC11" s="713">
        <v>3386</v>
      </c>
      <c r="ED11" s="714">
        <v>3227</v>
      </c>
      <c r="EE11" s="713">
        <v>2101</v>
      </c>
      <c r="EF11" s="713">
        <v>3000</v>
      </c>
      <c r="EG11" s="713">
        <v>2766</v>
      </c>
      <c r="EH11" s="713">
        <v>3370</v>
      </c>
      <c r="EI11" s="713">
        <v>3588</v>
      </c>
      <c r="EJ11" s="713">
        <v>3257</v>
      </c>
      <c r="EK11" s="713">
        <v>2963</v>
      </c>
      <c r="EL11" s="713">
        <v>3096</v>
      </c>
      <c r="EM11" s="713">
        <v>3109</v>
      </c>
      <c r="EN11" s="715">
        <f t="shared" si="38"/>
        <v>36698</v>
      </c>
      <c r="EO11" s="712">
        <v>3296</v>
      </c>
      <c r="EP11" s="713">
        <v>3687</v>
      </c>
      <c r="EQ11" s="714">
        <v>3369</v>
      </c>
      <c r="ER11" s="713">
        <v>2808</v>
      </c>
      <c r="ES11" s="713">
        <v>3303</v>
      </c>
      <c r="ET11" s="713">
        <v>2734</v>
      </c>
      <c r="EU11" s="713">
        <v>2848</v>
      </c>
      <c r="EV11" s="713">
        <v>3428</v>
      </c>
      <c r="EW11" s="713">
        <v>3090</v>
      </c>
      <c r="EX11" s="713">
        <v>2956</v>
      </c>
      <c r="EY11" s="713">
        <v>3091</v>
      </c>
      <c r="EZ11" s="713">
        <v>2778</v>
      </c>
      <c r="FA11" s="715">
        <f t="shared" si="40"/>
        <v>37388</v>
      </c>
      <c r="FB11" s="712">
        <v>2970</v>
      </c>
      <c r="FC11" s="713">
        <v>4125</v>
      </c>
      <c r="FD11" s="714">
        <v>3793</v>
      </c>
      <c r="FE11" s="713">
        <v>3071</v>
      </c>
      <c r="FF11" s="713">
        <v>4095</v>
      </c>
      <c r="FG11" s="713">
        <v>2722</v>
      </c>
      <c r="FH11" s="713">
        <v>3585</v>
      </c>
      <c r="FI11" s="713">
        <v>4066</v>
      </c>
      <c r="FJ11" s="713">
        <v>2962</v>
      </c>
      <c r="FK11" s="713">
        <v>3293</v>
      </c>
      <c r="FL11" s="713">
        <v>3117</v>
      </c>
      <c r="FM11" s="713">
        <v>3371</v>
      </c>
      <c r="FN11" s="715">
        <f t="shared" si="42"/>
        <v>41170</v>
      </c>
      <c r="FO11" s="712">
        <v>3930</v>
      </c>
      <c r="FP11" s="713">
        <v>4487</v>
      </c>
      <c r="FQ11" s="714">
        <v>3078</v>
      </c>
      <c r="FR11" s="713">
        <v>3365</v>
      </c>
      <c r="FS11" s="713">
        <v>4017</v>
      </c>
      <c r="FT11" s="713">
        <v>2798</v>
      </c>
      <c r="FU11" s="713">
        <v>3495</v>
      </c>
      <c r="FV11" s="713">
        <v>3574</v>
      </c>
      <c r="FW11" s="713">
        <v>4190</v>
      </c>
      <c r="FX11" s="713">
        <v>3639</v>
      </c>
      <c r="FY11" s="713">
        <v>3525</v>
      </c>
      <c r="FZ11" s="713">
        <v>3511</v>
      </c>
      <c r="GA11" s="715">
        <f t="shared" si="44"/>
        <v>43609</v>
      </c>
      <c r="GB11" s="712">
        <v>4001</v>
      </c>
      <c r="GC11" s="713">
        <v>4761</v>
      </c>
      <c r="GD11" s="714">
        <v>3810</v>
      </c>
      <c r="GE11" s="713">
        <v>3638</v>
      </c>
      <c r="GF11" s="713">
        <v>3624</v>
      </c>
      <c r="GG11" s="713">
        <v>3541</v>
      </c>
      <c r="GH11" s="713">
        <v>4204</v>
      </c>
      <c r="GI11" s="713">
        <v>4352</v>
      </c>
      <c r="GJ11" s="713">
        <v>3884</v>
      </c>
      <c r="GK11" s="713">
        <v>3801</v>
      </c>
      <c r="GL11" s="713">
        <v>3496</v>
      </c>
      <c r="GM11" s="713">
        <v>3950</v>
      </c>
      <c r="GN11" s="712">
        <f t="shared" si="52"/>
        <v>47062</v>
      </c>
      <c r="GO11" s="1324">
        <v>3861</v>
      </c>
      <c r="GP11">
        <v>4650</v>
      </c>
      <c r="GQ11">
        <v>4512</v>
      </c>
      <c r="GR11">
        <v>3157</v>
      </c>
      <c r="GS11">
        <v>3388</v>
      </c>
      <c r="GT11">
        <v>3228</v>
      </c>
      <c r="GU11">
        <v>3695</v>
      </c>
      <c r="GV11">
        <v>3947</v>
      </c>
      <c r="GZ11" s="1266"/>
      <c r="HA11" s="1059">
        <f t="shared" si="47"/>
        <v>30438</v>
      </c>
      <c r="HC11" s="681">
        <f t="shared" si="48"/>
        <v>-9.3060661764705834</v>
      </c>
      <c r="HD11" s="681">
        <f t="shared" si="49"/>
        <v>-4.6757069932040984</v>
      </c>
      <c r="HE11" s="683">
        <f t="shared" si="50"/>
        <v>31931</v>
      </c>
      <c r="HF11" s="683">
        <f>IFERROR(SUM(GO11:GZ11),"-")</f>
        <v>30438</v>
      </c>
    </row>
    <row r="12" spans="1:214" ht="13.9" customHeight="1" x14ac:dyDescent="0.2">
      <c r="A12" s="680" t="s">
        <v>390</v>
      </c>
      <c r="B12" s="712"/>
      <c r="C12" s="713"/>
      <c r="D12" s="714"/>
      <c r="E12" s="713"/>
      <c r="F12" s="713"/>
      <c r="G12" s="713"/>
      <c r="H12" s="713"/>
      <c r="I12" s="713"/>
      <c r="J12" s="713"/>
      <c r="K12" s="713"/>
      <c r="L12" s="713"/>
      <c r="M12" s="713"/>
      <c r="N12" s="715">
        <f t="shared" si="18"/>
        <v>0</v>
      </c>
      <c r="O12" s="712"/>
      <c r="P12" s="713"/>
      <c r="Q12" s="714"/>
      <c r="R12" s="713"/>
      <c r="S12" s="713"/>
      <c r="T12" s="713"/>
      <c r="U12" s="713"/>
      <c r="V12" s="713"/>
      <c r="W12" s="713"/>
      <c r="X12" s="713"/>
      <c r="Y12" s="713"/>
      <c r="Z12" s="713"/>
      <c r="AA12" s="715">
        <f t="shared" si="20"/>
        <v>0</v>
      </c>
      <c r="AB12" s="712"/>
      <c r="AC12" s="713"/>
      <c r="AD12" s="714"/>
      <c r="AE12" s="713"/>
      <c r="AF12" s="713"/>
      <c r="AG12" s="713"/>
      <c r="AH12" s="713"/>
      <c r="AI12" s="713"/>
      <c r="AJ12" s="713"/>
      <c r="AK12" s="713"/>
      <c r="AL12" s="713"/>
      <c r="AM12" s="713"/>
      <c r="AN12" s="715">
        <f t="shared" si="22"/>
        <v>0</v>
      </c>
      <c r="AO12" s="712"/>
      <c r="AP12" s="713"/>
      <c r="AQ12" s="714"/>
      <c r="AR12" s="713"/>
      <c r="AS12" s="713"/>
      <c r="AT12" s="713"/>
      <c r="AU12" s="713"/>
      <c r="AV12" s="713"/>
      <c r="AW12" s="713"/>
      <c r="AX12" s="713"/>
      <c r="AY12" s="713"/>
      <c r="AZ12" s="713"/>
      <c r="BA12" s="715">
        <f t="shared" si="24"/>
        <v>0</v>
      </c>
      <c r="BB12" s="712"/>
      <c r="BC12" s="713"/>
      <c r="BD12" s="714"/>
      <c r="BE12" s="713"/>
      <c r="BF12" s="713"/>
      <c r="BG12" s="713"/>
      <c r="BH12" s="713"/>
      <c r="BI12" s="713"/>
      <c r="BJ12" s="713"/>
      <c r="BK12" s="713"/>
      <c r="BL12" s="713"/>
      <c r="BM12" s="713"/>
      <c r="BN12" s="715">
        <f t="shared" si="26"/>
        <v>0</v>
      </c>
      <c r="BO12" s="712"/>
      <c r="BP12" s="713"/>
      <c r="BQ12" s="714"/>
      <c r="BR12" s="713"/>
      <c r="BS12" s="713"/>
      <c r="BT12" s="713"/>
      <c r="BU12" s="713"/>
      <c r="BV12" s="713"/>
      <c r="BW12" s="713"/>
      <c r="BX12" s="713"/>
      <c r="BY12" s="713"/>
      <c r="BZ12" s="713"/>
      <c r="CA12" s="715">
        <f t="shared" si="28"/>
        <v>0</v>
      </c>
      <c r="CB12" s="712"/>
      <c r="CC12" s="713"/>
      <c r="CD12" s="714"/>
      <c r="CE12" s="713"/>
      <c r="CF12" s="713"/>
      <c r="CG12" s="713"/>
      <c r="CH12" s="713"/>
      <c r="CI12" s="713"/>
      <c r="CJ12" s="713"/>
      <c r="CK12" s="713"/>
      <c r="CL12" s="713"/>
      <c r="CM12" s="713"/>
      <c r="CN12" s="715">
        <f t="shared" si="30"/>
        <v>0</v>
      </c>
      <c r="CO12" s="712"/>
      <c r="CP12" s="713"/>
      <c r="CQ12" s="714"/>
      <c r="CR12" s="713"/>
      <c r="CS12" s="713"/>
      <c r="CT12" s="713"/>
      <c r="CU12" s="713"/>
      <c r="CV12" s="713"/>
      <c r="CW12" s="713"/>
      <c r="CX12" s="713"/>
      <c r="CY12" s="713"/>
      <c r="CZ12" s="713"/>
      <c r="DA12" s="715">
        <f t="shared" si="32"/>
        <v>0</v>
      </c>
      <c r="DB12" s="712"/>
      <c r="DC12" s="713"/>
      <c r="DD12" s="714"/>
      <c r="DE12" s="713"/>
      <c r="DF12" s="713"/>
      <c r="DG12" s="713"/>
      <c r="DH12" s="713"/>
      <c r="DI12" s="713"/>
      <c r="DJ12" s="713"/>
      <c r="DK12" s="713"/>
      <c r="DL12" s="713"/>
      <c r="DM12" s="713"/>
      <c r="DN12" s="715">
        <f t="shared" si="34"/>
        <v>0</v>
      </c>
      <c r="DO12" s="712"/>
      <c r="DP12" s="713"/>
      <c r="DQ12" s="714"/>
      <c r="DR12" s="713"/>
      <c r="DS12" s="713"/>
      <c r="DT12" s="713"/>
      <c r="DU12" s="713"/>
      <c r="DV12" s="713"/>
      <c r="DW12" s="713"/>
      <c r="DX12" s="713"/>
      <c r="DY12" s="713"/>
      <c r="DZ12" s="713"/>
      <c r="EA12" s="715">
        <f t="shared" si="36"/>
        <v>0</v>
      </c>
      <c r="EB12" s="712"/>
      <c r="EC12" s="713"/>
      <c r="ED12" s="714"/>
      <c r="EE12" s="713"/>
      <c r="EF12" s="713"/>
      <c r="EG12" s="713"/>
      <c r="EH12" s="713"/>
      <c r="EI12" s="713"/>
      <c r="EJ12" s="713"/>
      <c r="EK12" s="713"/>
      <c r="EL12" s="713"/>
      <c r="EM12" s="713"/>
      <c r="EN12" s="715">
        <f t="shared" si="38"/>
        <v>0</v>
      </c>
      <c r="EO12" s="712"/>
      <c r="EP12" s="713"/>
      <c r="EQ12" s="714"/>
      <c r="ER12" s="713"/>
      <c r="ES12" s="713"/>
      <c r="ET12" s="713"/>
      <c r="EU12" s="713"/>
      <c r="EV12" s="713"/>
      <c r="EW12" s="713"/>
      <c r="EX12" s="713"/>
      <c r="EY12" s="713"/>
      <c r="EZ12" s="713"/>
      <c r="FA12" s="715">
        <f t="shared" si="40"/>
        <v>0</v>
      </c>
      <c r="FB12" s="712"/>
      <c r="FC12" s="713"/>
      <c r="FD12" s="714"/>
      <c r="FE12" s="713"/>
      <c r="FF12" s="713"/>
      <c r="FG12" s="713"/>
      <c r="FH12" s="713"/>
      <c r="FI12" s="713"/>
      <c r="FJ12" s="713"/>
      <c r="FK12" s="713"/>
      <c r="FL12" s="713"/>
      <c r="FM12" s="713"/>
      <c r="FN12" s="715">
        <f t="shared" si="42"/>
        <v>0</v>
      </c>
      <c r="FO12" s="712"/>
      <c r="FP12" s="713"/>
      <c r="FQ12" s="714"/>
      <c r="FR12" s="713"/>
      <c r="FS12" s="713"/>
      <c r="FT12" s="713"/>
      <c r="FU12" s="713"/>
      <c r="FV12" s="713"/>
      <c r="FW12" s="713"/>
      <c r="FX12" s="713"/>
      <c r="FY12" s="713"/>
      <c r="FZ12" s="713"/>
      <c r="GA12" s="715">
        <f t="shared" si="44"/>
        <v>0</v>
      </c>
      <c r="GB12" s="712"/>
      <c r="GC12" s="713"/>
      <c r="GD12" s="714"/>
      <c r="GE12" s="713"/>
      <c r="GF12" s="713"/>
      <c r="GG12" s="713"/>
      <c r="GH12" s="713"/>
      <c r="GI12" s="713"/>
      <c r="GJ12" s="713"/>
      <c r="GK12" s="713"/>
      <c r="GL12" s="713"/>
      <c r="GM12" s="713"/>
      <c r="GN12" s="712">
        <f t="shared" si="52"/>
        <v>0</v>
      </c>
      <c r="GO12" s="1324"/>
      <c r="GZ12" s="1266"/>
      <c r="HA12" s="1059">
        <f t="shared" si="47"/>
        <v>0</v>
      </c>
      <c r="HC12" s="681" t="str">
        <f t="shared" si="48"/>
        <v/>
      </c>
      <c r="HD12" s="681" t="str">
        <f t="shared" si="49"/>
        <v/>
      </c>
      <c r="HE12" s="683">
        <f t="shared" si="50"/>
        <v>0</v>
      </c>
      <c r="HF12" s="683">
        <f t="shared" si="51"/>
        <v>0</v>
      </c>
    </row>
    <row r="13" spans="1:214" ht="13.9" customHeight="1" x14ac:dyDescent="0.2">
      <c r="A13" s="680" t="s">
        <v>391</v>
      </c>
      <c r="B13" s="712"/>
      <c r="C13" s="713"/>
      <c r="D13" s="714"/>
      <c r="E13" s="713"/>
      <c r="F13" s="713"/>
      <c r="G13" s="713"/>
      <c r="H13" s="713"/>
      <c r="I13" s="713"/>
      <c r="J13" s="713"/>
      <c r="K13" s="713"/>
      <c r="L13" s="713"/>
      <c r="M13" s="713"/>
      <c r="N13" s="715">
        <f t="shared" si="18"/>
        <v>0</v>
      </c>
      <c r="O13" s="712"/>
      <c r="P13" s="713"/>
      <c r="Q13" s="714"/>
      <c r="R13" s="713"/>
      <c r="S13" s="713"/>
      <c r="T13" s="713"/>
      <c r="U13" s="713"/>
      <c r="V13" s="713"/>
      <c r="W13" s="713"/>
      <c r="X13" s="713"/>
      <c r="Y13" s="713"/>
      <c r="Z13" s="713"/>
      <c r="AA13" s="715">
        <f t="shared" si="20"/>
        <v>0</v>
      </c>
      <c r="AB13" s="712"/>
      <c r="AC13" s="713"/>
      <c r="AD13" s="714"/>
      <c r="AE13" s="713"/>
      <c r="AF13" s="713"/>
      <c r="AG13" s="713"/>
      <c r="AH13" s="713"/>
      <c r="AI13" s="713"/>
      <c r="AJ13" s="713"/>
      <c r="AK13" s="713"/>
      <c r="AL13" s="713"/>
      <c r="AM13" s="713"/>
      <c r="AN13" s="715">
        <f t="shared" si="22"/>
        <v>0</v>
      </c>
      <c r="AO13" s="712"/>
      <c r="AP13" s="713"/>
      <c r="AQ13" s="714"/>
      <c r="AR13" s="713"/>
      <c r="AS13" s="713"/>
      <c r="AT13" s="713"/>
      <c r="AU13" s="713"/>
      <c r="AV13" s="713"/>
      <c r="AW13" s="713"/>
      <c r="AX13" s="713"/>
      <c r="AY13" s="713"/>
      <c r="AZ13" s="713"/>
      <c r="BA13" s="715">
        <f t="shared" si="24"/>
        <v>0</v>
      </c>
      <c r="BB13" s="712"/>
      <c r="BC13" s="713"/>
      <c r="BD13" s="714"/>
      <c r="BE13" s="713"/>
      <c r="BF13" s="713"/>
      <c r="BG13" s="713"/>
      <c r="BH13" s="713"/>
      <c r="BI13" s="713"/>
      <c r="BJ13" s="713"/>
      <c r="BK13" s="713"/>
      <c r="BL13" s="713"/>
      <c r="BM13" s="713"/>
      <c r="BN13" s="715">
        <f t="shared" si="26"/>
        <v>0</v>
      </c>
      <c r="BO13" s="712"/>
      <c r="BP13" s="713"/>
      <c r="BQ13" s="714"/>
      <c r="BR13" s="713"/>
      <c r="BS13" s="713"/>
      <c r="BT13" s="713"/>
      <c r="BU13" s="713"/>
      <c r="BV13" s="713"/>
      <c r="BW13" s="713"/>
      <c r="BX13" s="713"/>
      <c r="BY13" s="713"/>
      <c r="BZ13" s="713"/>
      <c r="CA13" s="715">
        <f t="shared" si="28"/>
        <v>0</v>
      </c>
      <c r="CB13" s="712"/>
      <c r="CC13" s="713"/>
      <c r="CD13" s="714"/>
      <c r="CE13" s="713"/>
      <c r="CF13" s="713"/>
      <c r="CG13" s="713"/>
      <c r="CH13" s="713"/>
      <c r="CI13" s="713"/>
      <c r="CJ13" s="713"/>
      <c r="CK13" s="713"/>
      <c r="CL13" s="713"/>
      <c r="CM13" s="713"/>
      <c r="CN13" s="715">
        <f t="shared" si="30"/>
        <v>0</v>
      </c>
      <c r="CO13" s="712"/>
      <c r="CP13" s="713"/>
      <c r="CQ13" s="714"/>
      <c r="CR13" s="713"/>
      <c r="CS13" s="713"/>
      <c r="CT13" s="713"/>
      <c r="CU13" s="713"/>
      <c r="CV13" s="713"/>
      <c r="CW13" s="713"/>
      <c r="CX13" s="713"/>
      <c r="CY13" s="713"/>
      <c r="CZ13" s="713"/>
      <c r="DA13" s="715">
        <f t="shared" si="32"/>
        <v>0</v>
      </c>
      <c r="DB13" s="712"/>
      <c r="DC13" s="713"/>
      <c r="DD13" s="714"/>
      <c r="DE13" s="713"/>
      <c r="DF13" s="713"/>
      <c r="DG13" s="713"/>
      <c r="DH13" s="713"/>
      <c r="DI13" s="713"/>
      <c r="DJ13" s="713"/>
      <c r="DK13" s="713"/>
      <c r="DL13" s="713"/>
      <c r="DM13" s="713"/>
      <c r="DN13" s="715">
        <f t="shared" si="34"/>
        <v>0</v>
      </c>
      <c r="DO13" s="712"/>
      <c r="DP13" s="713"/>
      <c r="DQ13" s="714"/>
      <c r="DR13" s="713"/>
      <c r="DS13" s="713"/>
      <c r="DT13" s="713"/>
      <c r="DU13" s="713"/>
      <c r="DV13" s="713"/>
      <c r="DW13" s="713"/>
      <c r="DX13" s="713"/>
      <c r="DY13" s="713"/>
      <c r="DZ13" s="713"/>
      <c r="EA13" s="715">
        <f t="shared" si="36"/>
        <v>0</v>
      </c>
      <c r="EB13" s="712"/>
      <c r="EC13" s="713"/>
      <c r="ED13" s="714"/>
      <c r="EE13" s="713"/>
      <c r="EF13" s="713"/>
      <c r="EG13" s="713"/>
      <c r="EH13" s="713"/>
      <c r="EI13" s="713"/>
      <c r="EJ13" s="713"/>
      <c r="EK13" s="713"/>
      <c r="EL13" s="713"/>
      <c r="EM13" s="713"/>
      <c r="EN13" s="715">
        <f t="shared" si="38"/>
        <v>0</v>
      </c>
      <c r="EO13" s="712"/>
      <c r="EP13" s="713"/>
      <c r="EQ13" s="714"/>
      <c r="ER13" s="713"/>
      <c r="ES13" s="713"/>
      <c r="ET13" s="713"/>
      <c r="EU13" s="713"/>
      <c r="EV13" s="713"/>
      <c r="EW13" s="713"/>
      <c r="EX13" s="713"/>
      <c r="EY13" s="713"/>
      <c r="EZ13" s="713"/>
      <c r="FA13" s="715">
        <f t="shared" si="40"/>
        <v>0</v>
      </c>
      <c r="FB13" s="712"/>
      <c r="FC13" s="713"/>
      <c r="FD13" s="714"/>
      <c r="FE13" s="713"/>
      <c r="FF13" s="713"/>
      <c r="FG13" s="713"/>
      <c r="FH13" s="713"/>
      <c r="FI13" s="713"/>
      <c r="FJ13" s="713"/>
      <c r="FK13" s="713"/>
      <c r="FL13" s="713"/>
      <c r="FM13" s="713"/>
      <c r="FN13" s="715">
        <f t="shared" si="42"/>
        <v>0</v>
      </c>
      <c r="FO13" s="712"/>
      <c r="FP13" s="713"/>
      <c r="FQ13" s="714"/>
      <c r="FR13" s="713"/>
      <c r="FS13" s="713"/>
      <c r="FT13" s="713"/>
      <c r="FU13" s="713"/>
      <c r="FV13" s="713"/>
      <c r="FW13" s="713"/>
      <c r="FX13" s="713"/>
      <c r="FY13" s="713"/>
      <c r="FZ13" s="713"/>
      <c r="GA13" s="715">
        <f t="shared" si="44"/>
        <v>0</v>
      </c>
      <c r="GB13" s="712"/>
      <c r="GC13" s="713"/>
      <c r="GD13" s="714"/>
      <c r="GE13" s="713"/>
      <c r="GF13" s="713"/>
      <c r="GG13" s="713"/>
      <c r="GH13" s="713"/>
      <c r="GI13" s="713"/>
      <c r="GJ13" s="713"/>
      <c r="GK13" s="713"/>
      <c r="GL13" s="713"/>
      <c r="GM13" s="713"/>
      <c r="GN13" s="712">
        <f t="shared" si="52"/>
        <v>0</v>
      </c>
      <c r="GO13" s="1324"/>
      <c r="GZ13" s="1266"/>
      <c r="HA13" s="1059">
        <f t="shared" si="47"/>
        <v>0</v>
      </c>
      <c r="HC13" s="681" t="str">
        <f t="shared" si="48"/>
        <v/>
      </c>
      <c r="HD13" s="681" t="str">
        <f t="shared" si="49"/>
        <v/>
      </c>
      <c r="HE13" s="683">
        <f t="shared" si="50"/>
        <v>0</v>
      </c>
      <c r="HF13" s="683">
        <f t="shared" si="51"/>
        <v>0</v>
      </c>
    </row>
    <row r="14" spans="1:214" ht="13.9" customHeight="1" x14ac:dyDescent="0.2">
      <c r="A14" s="680" t="s">
        <v>392</v>
      </c>
      <c r="B14" s="712"/>
      <c r="C14" s="713"/>
      <c r="D14" s="714"/>
      <c r="E14" s="713"/>
      <c r="F14" s="713"/>
      <c r="G14" s="713"/>
      <c r="H14" s="713"/>
      <c r="I14" s="713"/>
      <c r="J14" s="713"/>
      <c r="K14" s="713"/>
      <c r="L14" s="713"/>
      <c r="M14" s="713"/>
      <c r="N14" s="715">
        <f t="shared" si="18"/>
        <v>0</v>
      </c>
      <c r="O14" s="712"/>
      <c r="P14" s="713"/>
      <c r="Q14" s="714"/>
      <c r="R14" s="713"/>
      <c r="S14" s="713"/>
      <c r="T14" s="713"/>
      <c r="U14" s="713"/>
      <c r="V14" s="713"/>
      <c r="W14" s="713"/>
      <c r="X14" s="713"/>
      <c r="Y14" s="713"/>
      <c r="Z14" s="713"/>
      <c r="AA14" s="715">
        <f t="shared" si="20"/>
        <v>0</v>
      </c>
      <c r="AB14" s="712"/>
      <c r="AC14" s="713"/>
      <c r="AD14" s="714"/>
      <c r="AE14" s="713"/>
      <c r="AF14" s="713"/>
      <c r="AG14" s="713"/>
      <c r="AH14" s="713"/>
      <c r="AI14" s="713"/>
      <c r="AJ14" s="713"/>
      <c r="AK14" s="713"/>
      <c r="AL14" s="713"/>
      <c r="AM14" s="713"/>
      <c r="AN14" s="715">
        <f t="shared" si="22"/>
        <v>0</v>
      </c>
      <c r="AO14" s="712"/>
      <c r="AP14" s="713"/>
      <c r="AQ14" s="714"/>
      <c r="AR14" s="713"/>
      <c r="AS14" s="713"/>
      <c r="AT14" s="713"/>
      <c r="AU14" s="713"/>
      <c r="AV14" s="713"/>
      <c r="AW14" s="713"/>
      <c r="AX14" s="713"/>
      <c r="AY14" s="713"/>
      <c r="AZ14" s="713"/>
      <c r="BA14" s="715">
        <f t="shared" si="24"/>
        <v>0</v>
      </c>
      <c r="BB14" s="712"/>
      <c r="BC14" s="713"/>
      <c r="BD14" s="714"/>
      <c r="BE14" s="713"/>
      <c r="BF14" s="713"/>
      <c r="BG14" s="713"/>
      <c r="BH14" s="713"/>
      <c r="BI14" s="713"/>
      <c r="BJ14" s="713"/>
      <c r="BK14" s="713"/>
      <c r="BL14" s="713"/>
      <c r="BM14" s="713"/>
      <c r="BN14" s="715">
        <f t="shared" si="26"/>
        <v>0</v>
      </c>
      <c r="BO14" s="712"/>
      <c r="BP14" s="713"/>
      <c r="BQ14" s="714"/>
      <c r="BR14" s="713"/>
      <c r="BS14" s="713"/>
      <c r="BT14" s="713"/>
      <c r="BU14" s="713"/>
      <c r="BV14" s="713"/>
      <c r="BW14" s="713"/>
      <c r="BX14" s="713"/>
      <c r="BY14" s="713"/>
      <c r="BZ14" s="713"/>
      <c r="CA14" s="715">
        <f t="shared" si="28"/>
        <v>0</v>
      </c>
      <c r="CB14" s="712"/>
      <c r="CC14" s="713"/>
      <c r="CD14" s="714"/>
      <c r="CE14" s="713"/>
      <c r="CF14" s="713"/>
      <c r="CG14" s="713"/>
      <c r="CH14" s="713"/>
      <c r="CI14" s="713"/>
      <c r="CJ14" s="713"/>
      <c r="CK14" s="713"/>
      <c r="CL14" s="713"/>
      <c r="CM14" s="713"/>
      <c r="CN14" s="715">
        <f t="shared" si="30"/>
        <v>0</v>
      </c>
      <c r="CO14" s="712"/>
      <c r="CP14" s="713"/>
      <c r="CQ14" s="714"/>
      <c r="CR14" s="713"/>
      <c r="CS14" s="713"/>
      <c r="CT14" s="713"/>
      <c r="CU14" s="713"/>
      <c r="CV14" s="713"/>
      <c r="CW14" s="713"/>
      <c r="CX14" s="713"/>
      <c r="CY14" s="713"/>
      <c r="CZ14" s="713"/>
      <c r="DA14" s="715">
        <f t="shared" si="32"/>
        <v>0</v>
      </c>
      <c r="DB14" s="712"/>
      <c r="DC14" s="713"/>
      <c r="DD14" s="714"/>
      <c r="DE14" s="713"/>
      <c r="DF14" s="713"/>
      <c r="DG14" s="713"/>
      <c r="DH14" s="713"/>
      <c r="DI14" s="713"/>
      <c r="DJ14" s="713"/>
      <c r="DK14" s="713"/>
      <c r="DL14" s="713"/>
      <c r="DM14" s="713"/>
      <c r="DN14" s="715">
        <f t="shared" si="34"/>
        <v>0</v>
      </c>
      <c r="DO14" s="712"/>
      <c r="DP14" s="713"/>
      <c r="DQ14" s="714"/>
      <c r="DR14" s="713"/>
      <c r="DS14" s="713"/>
      <c r="DT14" s="713"/>
      <c r="DU14" s="713"/>
      <c r="DV14" s="713"/>
      <c r="DW14" s="713"/>
      <c r="DX14" s="713"/>
      <c r="DY14" s="713"/>
      <c r="DZ14" s="713"/>
      <c r="EA14" s="715">
        <f t="shared" si="36"/>
        <v>0</v>
      </c>
      <c r="EB14" s="712"/>
      <c r="EC14" s="713"/>
      <c r="ED14" s="714"/>
      <c r="EE14" s="713"/>
      <c r="EF14" s="713"/>
      <c r="EG14" s="713"/>
      <c r="EH14" s="713"/>
      <c r="EI14" s="713"/>
      <c r="EJ14" s="713"/>
      <c r="EK14" s="713"/>
      <c r="EL14" s="713"/>
      <c r="EM14" s="713"/>
      <c r="EN14" s="715">
        <f t="shared" si="38"/>
        <v>0</v>
      </c>
      <c r="EO14" s="712"/>
      <c r="EP14" s="713"/>
      <c r="EQ14" s="714"/>
      <c r="ER14" s="713"/>
      <c r="ES14" s="713"/>
      <c r="ET14" s="713"/>
      <c r="EU14" s="713"/>
      <c r="EV14" s="713"/>
      <c r="EW14" s="713"/>
      <c r="EX14" s="713"/>
      <c r="EY14" s="713"/>
      <c r="EZ14" s="713"/>
      <c r="FA14" s="715">
        <f t="shared" si="40"/>
        <v>0</v>
      </c>
      <c r="FB14" s="712"/>
      <c r="FC14" s="713"/>
      <c r="FD14" s="714"/>
      <c r="FE14" s="713"/>
      <c r="FF14" s="713"/>
      <c r="FG14" s="713"/>
      <c r="FH14" s="713"/>
      <c r="FI14" s="713"/>
      <c r="FJ14" s="713"/>
      <c r="FK14" s="713"/>
      <c r="FL14" s="713"/>
      <c r="FM14" s="713"/>
      <c r="FN14" s="715">
        <f t="shared" si="42"/>
        <v>0</v>
      </c>
      <c r="FO14" s="712"/>
      <c r="FP14" s="713"/>
      <c r="FQ14" s="714"/>
      <c r="FR14" s="713"/>
      <c r="FS14" s="713"/>
      <c r="FT14" s="713"/>
      <c r="FU14" s="713"/>
      <c r="FV14" s="713"/>
      <c r="FW14" s="713"/>
      <c r="FX14" s="713"/>
      <c r="FY14" s="713"/>
      <c r="FZ14" s="713"/>
      <c r="GA14" s="715">
        <f t="shared" si="44"/>
        <v>0</v>
      </c>
      <c r="GB14" s="712"/>
      <c r="GC14" s="713"/>
      <c r="GD14" s="714"/>
      <c r="GE14" s="713"/>
      <c r="GF14" s="713"/>
      <c r="GG14" s="713"/>
      <c r="GH14" s="713"/>
      <c r="GI14" s="713"/>
      <c r="GJ14" s="713"/>
      <c r="GK14" s="713"/>
      <c r="GL14" s="713"/>
      <c r="GM14" s="713"/>
      <c r="GN14" s="712">
        <f t="shared" si="52"/>
        <v>0</v>
      </c>
      <c r="GO14" s="1324"/>
      <c r="GZ14" s="1266"/>
      <c r="HA14" s="1059">
        <f t="shared" si="47"/>
        <v>0</v>
      </c>
      <c r="HC14" s="681" t="str">
        <f t="shared" si="48"/>
        <v/>
      </c>
      <c r="HD14" s="681" t="str">
        <f t="shared" si="49"/>
        <v/>
      </c>
      <c r="HE14" s="683">
        <f t="shared" si="50"/>
        <v>0</v>
      </c>
      <c r="HF14" s="683">
        <f t="shared" si="51"/>
        <v>0</v>
      </c>
    </row>
    <row r="15" spans="1:214" ht="13.9" customHeight="1" x14ac:dyDescent="0.2">
      <c r="A15" s="680" t="s">
        <v>328</v>
      </c>
      <c r="B15" s="712">
        <v>9901</v>
      </c>
      <c r="C15" s="713">
        <v>13484</v>
      </c>
      <c r="D15" s="714">
        <v>11593</v>
      </c>
      <c r="E15" s="713">
        <v>11694</v>
      </c>
      <c r="F15" s="713">
        <v>15009</v>
      </c>
      <c r="G15" s="713">
        <v>27561</v>
      </c>
      <c r="H15" s="713">
        <v>14081</v>
      </c>
      <c r="I15" s="713">
        <v>14662</v>
      </c>
      <c r="J15" s="713">
        <v>15315</v>
      </c>
      <c r="K15" s="713">
        <v>15779</v>
      </c>
      <c r="L15" s="713">
        <v>37569</v>
      </c>
      <c r="M15" s="713">
        <v>44247</v>
      </c>
      <c r="N15" s="715">
        <f t="shared" si="18"/>
        <v>230895</v>
      </c>
      <c r="O15" s="712">
        <v>13672</v>
      </c>
      <c r="P15" s="713">
        <v>16133</v>
      </c>
      <c r="Q15" s="714">
        <v>19551</v>
      </c>
      <c r="R15" s="713">
        <v>13607</v>
      </c>
      <c r="S15" s="713">
        <v>16349</v>
      </c>
      <c r="T15" s="713">
        <v>32569</v>
      </c>
      <c r="U15" s="713">
        <v>22961</v>
      </c>
      <c r="V15" s="713">
        <v>31707</v>
      </c>
      <c r="W15" s="713">
        <v>21137</v>
      </c>
      <c r="X15" s="713">
        <v>32645</v>
      </c>
      <c r="Y15" s="713">
        <v>19750</v>
      </c>
      <c r="Z15" s="713">
        <v>22764</v>
      </c>
      <c r="AA15" s="715">
        <f t="shared" si="20"/>
        <v>262845</v>
      </c>
      <c r="AB15" s="712">
        <v>21709</v>
      </c>
      <c r="AC15" s="713">
        <v>6455</v>
      </c>
      <c r="AD15" s="714">
        <v>47104</v>
      </c>
      <c r="AE15" s="713">
        <v>14181</v>
      </c>
      <c r="AF15" s="713">
        <v>14376</v>
      </c>
      <c r="AG15" s="713">
        <v>22829</v>
      </c>
      <c r="AH15" s="713">
        <v>44164</v>
      </c>
      <c r="AI15" s="713">
        <v>16455</v>
      </c>
      <c r="AJ15" s="713">
        <v>27661</v>
      </c>
      <c r="AK15" s="713">
        <v>18370</v>
      </c>
      <c r="AL15" s="713">
        <v>17285</v>
      </c>
      <c r="AM15" s="713">
        <v>52722</v>
      </c>
      <c r="AN15" s="715">
        <f t="shared" si="22"/>
        <v>303311</v>
      </c>
      <c r="AO15" s="712">
        <v>17264</v>
      </c>
      <c r="AP15" s="713">
        <v>28867</v>
      </c>
      <c r="AQ15" s="714">
        <v>34531</v>
      </c>
      <c r="AR15" s="713">
        <v>31661</v>
      </c>
      <c r="AS15" s="713">
        <v>15989</v>
      </c>
      <c r="AT15" s="713">
        <v>17789</v>
      </c>
      <c r="AU15" s="713">
        <v>18655</v>
      </c>
      <c r="AV15" s="713">
        <v>18185</v>
      </c>
      <c r="AW15" s="713">
        <v>14135</v>
      </c>
      <c r="AX15" s="713">
        <v>26695</v>
      </c>
      <c r="AY15" s="713">
        <v>18301</v>
      </c>
      <c r="AZ15" s="713">
        <v>57916</v>
      </c>
      <c r="BA15" s="715">
        <f t="shared" si="24"/>
        <v>299988</v>
      </c>
      <c r="BB15" s="712">
        <v>17862</v>
      </c>
      <c r="BC15" s="713">
        <v>20280</v>
      </c>
      <c r="BD15" s="714">
        <v>60456</v>
      </c>
      <c r="BE15" s="713">
        <v>18339</v>
      </c>
      <c r="BF15" s="713">
        <v>29388</v>
      </c>
      <c r="BG15" s="713">
        <v>19067</v>
      </c>
      <c r="BH15" s="713">
        <v>19944</v>
      </c>
      <c r="BI15" s="713">
        <v>16113</v>
      </c>
      <c r="BJ15" s="713">
        <v>16584</v>
      </c>
      <c r="BK15" s="713">
        <v>13540</v>
      </c>
      <c r="BL15" s="713">
        <v>84911</v>
      </c>
      <c r="BM15" s="713">
        <v>25838</v>
      </c>
      <c r="BN15" s="715">
        <f t="shared" si="26"/>
        <v>342322</v>
      </c>
      <c r="BO15" s="712">
        <v>28019</v>
      </c>
      <c r="BP15" s="713">
        <v>8177</v>
      </c>
      <c r="BQ15" s="714">
        <v>76413</v>
      </c>
      <c r="BR15" s="713">
        <v>16148</v>
      </c>
      <c r="BS15" s="713">
        <v>34434</v>
      </c>
      <c r="BT15" s="713">
        <v>19057</v>
      </c>
      <c r="BU15" s="713">
        <v>17261</v>
      </c>
      <c r="BV15" s="713">
        <v>20300</v>
      </c>
      <c r="BW15" s="713">
        <v>16491</v>
      </c>
      <c r="BX15" s="713">
        <v>16763</v>
      </c>
      <c r="BY15" s="713">
        <v>37078</v>
      </c>
      <c r="BZ15" s="713">
        <v>24629</v>
      </c>
      <c r="CA15" s="715">
        <f t="shared" si="28"/>
        <v>314770</v>
      </c>
      <c r="CB15" s="712">
        <v>20473</v>
      </c>
      <c r="CC15" s="713">
        <v>53555</v>
      </c>
      <c r="CD15" s="714">
        <v>34600</v>
      </c>
      <c r="CE15" s="713">
        <v>17589</v>
      </c>
      <c r="CF15" s="713">
        <v>39226</v>
      </c>
      <c r="CG15" s="713">
        <v>18080</v>
      </c>
      <c r="CH15" s="713">
        <v>18289</v>
      </c>
      <c r="CI15" s="713">
        <v>28029</v>
      </c>
      <c r="CJ15" s="713">
        <v>21291</v>
      </c>
      <c r="CK15" s="713">
        <v>37250</v>
      </c>
      <c r="CL15" s="713">
        <v>26344</v>
      </c>
      <c r="CM15" s="713">
        <v>23046</v>
      </c>
      <c r="CN15" s="715">
        <f t="shared" si="30"/>
        <v>337772</v>
      </c>
      <c r="CO15" s="712">
        <v>28418</v>
      </c>
      <c r="CP15" s="713">
        <v>21392</v>
      </c>
      <c r="CQ15" s="714">
        <v>54301</v>
      </c>
      <c r="CR15" s="713">
        <v>35899</v>
      </c>
      <c r="CS15" s="713">
        <v>25788</v>
      </c>
      <c r="CT15" s="713">
        <v>25272</v>
      </c>
      <c r="CU15" s="713">
        <v>25356</v>
      </c>
      <c r="CV15" s="713">
        <v>21857</v>
      </c>
      <c r="CW15" s="713">
        <v>20877</v>
      </c>
      <c r="CX15" s="713">
        <v>41018</v>
      </c>
      <c r="CY15" s="713">
        <v>23176</v>
      </c>
      <c r="CZ15" s="713">
        <v>22152</v>
      </c>
      <c r="DA15" s="715">
        <f t="shared" si="32"/>
        <v>345506</v>
      </c>
      <c r="DB15" s="712">
        <v>20925</v>
      </c>
      <c r="DC15" s="713">
        <v>25218</v>
      </c>
      <c r="DD15" s="714">
        <v>19045</v>
      </c>
      <c r="DE15" s="713">
        <v>23432</v>
      </c>
      <c r="DF15" s="713">
        <v>75635</v>
      </c>
      <c r="DG15" s="713">
        <v>16784</v>
      </c>
      <c r="DH15" s="713">
        <v>27394</v>
      </c>
      <c r="DI15" s="713">
        <v>17932</v>
      </c>
      <c r="DJ15" s="713">
        <v>19328</v>
      </c>
      <c r="DK15" s="713">
        <v>20679</v>
      </c>
      <c r="DL15" s="713">
        <v>21243</v>
      </c>
      <c r="DM15" s="713">
        <v>26161</v>
      </c>
      <c r="DN15" s="715">
        <f t="shared" si="34"/>
        <v>313776</v>
      </c>
      <c r="DO15" s="712">
        <v>23282</v>
      </c>
      <c r="DP15" s="713">
        <v>714</v>
      </c>
      <c r="DQ15" s="714">
        <v>43401</v>
      </c>
      <c r="DR15" s="713">
        <v>15372</v>
      </c>
      <c r="DS15" s="713">
        <v>12623</v>
      </c>
      <c r="DT15" s="713">
        <v>58734</v>
      </c>
      <c r="DU15" s="713">
        <v>20654</v>
      </c>
      <c r="DV15" s="713">
        <v>29361</v>
      </c>
      <c r="DW15" s="713">
        <v>29769</v>
      </c>
      <c r="DX15" s="713">
        <v>18675</v>
      </c>
      <c r="DY15" s="713">
        <v>19715</v>
      </c>
      <c r="DZ15" s="713">
        <v>21241</v>
      </c>
      <c r="EA15" s="715">
        <f t="shared" si="36"/>
        <v>293541</v>
      </c>
      <c r="EB15" s="712">
        <v>30686</v>
      </c>
      <c r="EC15" s="713">
        <v>23107</v>
      </c>
      <c r="ED15" s="714">
        <v>23649</v>
      </c>
      <c r="EE15" s="713">
        <v>51155</v>
      </c>
      <c r="EF15" s="713">
        <v>28099</v>
      </c>
      <c r="EG15" s="713">
        <v>30249</v>
      </c>
      <c r="EH15" s="713">
        <v>24169</v>
      </c>
      <c r="EI15" s="713">
        <v>28401</v>
      </c>
      <c r="EJ15" s="713">
        <v>40178</v>
      </c>
      <c r="EK15" s="713">
        <v>27826</v>
      </c>
      <c r="EL15" s="713">
        <v>29712</v>
      </c>
      <c r="EM15" s="713">
        <v>32181</v>
      </c>
      <c r="EN15" s="715">
        <f t="shared" si="38"/>
        <v>369412</v>
      </c>
      <c r="EO15" s="712">
        <v>31167</v>
      </c>
      <c r="EP15" s="713">
        <v>36918</v>
      </c>
      <c r="EQ15" s="714">
        <v>33024</v>
      </c>
      <c r="ER15" s="713">
        <v>29601</v>
      </c>
      <c r="ES15" s="713">
        <v>62721</v>
      </c>
      <c r="ET15" s="713">
        <v>50153</v>
      </c>
      <c r="EU15" s="713">
        <v>29633</v>
      </c>
      <c r="EV15" s="713">
        <v>31582</v>
      </c>
      <c r="EW15" s="713">
        <v>35890</v>
      </c>
      <c r="EX15" s="713">
        <v>34140</v>
      </c>
      <c r="EY15" s="713">
        <v>28167</v>
      </c>
      <c r="EZ15" s="713">
        <v>30303</v>
      </c>
      <c r="FA15" s="715">
        <f t="shared" si="40"/>
        <v>433299</v>
      </c>
      <c r="FB15" s="712">
        <v>28997</v>
      </c>
      <c r="FC15" s="713">
        <v>32235</v>
      </c>
      <c r="FD15" s="714">
        <v>29900</v>
      </c>
      <c r="FE15" s="713">
        <v>50902</v>
      </c>
      <c r="FF15" s="713">
        <v>51516</v>
      </c>
      <c r="FG15" s="713">
        <v>29652</v>
      </c>
      <c r="FH15" s="713">
        <v>26320</v>
      </c>
      <c r="FI15" s="713">
        <v>34019</v>
      </c>
      <c r="FJ15" s="713">
        <v>28127</v>
      </c>
      <c r="FK15" s="713">
        <v>26990</v>
      </c>
      <c r="FL15" s="713">
        <v>30773</v>
      </c>
      <c r="FM15" s="713">
        <v>33406</v>
      </c>
      <c r="FN15" s="715">
        <f t="shared" si="42"/>
        <v>402837</v>
      </c>
      <c r="FO15" s="712">
        <v>30896</v>
      </c>
      <c r="FP15" s="713">
        <v>35053</v>
      </c>
      <c r="FQ15" s="714">
        <v>24666</v>
      </c>
      <c r="FR15" s="713">
        <v>30168</v>
      </c>
      <c r="FS15" s="713">
        <v>45830</v>
      </c>
      <c r="FT15" s="713">
        <v>36497</v>
      </c>
      <c r="FU15" s="713">
        <v>32308</v>
      </c>
      <c r="FV15" s="713">
        <v>28928</v>
      </c>
      <c r="FW15" s="713">
        <v>32993</v>
      </c>
      <c r="FX15" s="713">
        <v>33184</v>
      </c>
      <c r="FY15" s="713">
        <v>31492</v>
      </c>
      <c r="FZ15" s="713">
        <v>44125</v>
      </c>
      <c r="GA15" s="715">
        <f t="shared" si="44"/>
        <v>406140</v>
      </c>
      <c r="GB15" s="712">
        <v>33838</v>
      </c>
      <c r="GC15" s="713">
        <v>39811</v>
      </c>
      <c r="GD15" s="714">
        <v>34260</v>
      </c>
      <c r="GE15" s="713">
        <v>30872</v>
      </c>
      <c r="GF15" s="713">
        <v>56760</v>
      </c>
      <c r="GG15" s="713">
        <v>40431</v>
      </c>
      <c r="GH15" s="713">
        <v>37525</v>
      </c>
      <c r="GI15" s="713">
        <v>30359</v>
      </c>
      <c r="GJ15" s="713">
        <v>31227</v>
      </c>
      <c r="GK15" s="713">
        <v>32133</v>
      </c>
      <c r="GL15" s="713">
        <v>31126</v>
      </c>
      <c r="GM15" s="713">
        <v>27366</v>
      </c>
      <c r="GN15" s="712">
        <f>SUM(GB15:GM15)</f>
        <v>425708</v>
      </c>
      <c r="GO15" s="1324">
        <v>31642</v>
      </c>
      <c r="GP15">
        <v>39982</v>
      </c>
      <c r="GQ15">
        <v>33471</v>
      </c>
      <c r="GR15">
        <v>34387</v>
      </c>
      <c r="GS15">
        <v>54032</v>
      </c>
      <c r="GT15">
        <v>31068</v>
      </c>
      <c r="GU15">
        <v>28241</v>
      </c>
      <c r="GV15">
        <v>29966</v>
      </c>
      <c r="GZ15" s="1266"/>
      <c r="HA15" s="1059">
        <f t="shared" si="47"/>
        <v>282789</v>
      </c>
      <c r="HC15" s="681">
        <f t="shared" si="48"/>
        <v>-1.2945090417997962</v>
      </c>
      <c r="HD15" s="681">
        <f t="shared" si="49"/>
        <v>-6.9332183665947067</v>
      </c>
      <c r="HE15" s="683">
        <f t="shared" si="50"/>
        <v>303856</v>
      </c>
      <c r="HF15" s="683">
        <f t="shared" si="51"/>
        <v>282789</v>
      </c>
    </row>
    <row r="16" spans="1:214" ht="13.9" customHeight="1" x14ac:dyDescent="0.2">
      <c r="A16" s="680" t="s">
        <v>393</v>
      </c>
      <c r="B16" s="712">
        <v>222</v>
      </c>
      <c r="C16" s="713">
        <v>172</v>
      </c>
      <c r="D16" s="714">
        <v>252</v>
      </c>
      <c r="E16" s="713">
        <v>204</v>
      </c>
      <c r="F16" s="713">
        <v>338</v>
      </c>
      <c r="G16" s="713">
        <v>278</v>
      </c>
      <c r="H16" s="713">
        <v>253</v>
      </c>
      <c r="I16" s="713">
        <v>825</v>
      </c>
      <c r="J16" s="713">
        <v>265</v>
      </c>
      <c r="K16" s="713">
        <v>666</v>
      </c>
      <c r="L16" s="713">
        <v>337</v>
      </c>
      <c r="M16" s="713">
        <v>1857</v>
      </c>
      <c r="N16" s="715">
        <f t="shared" si="18"/>
        <v>5669</v>
      </c>
      <c r="O16" s="712">
        <v>279</v>
      </c>
      <c r="P16" s="713">
        <v>279</v>
      </c>
      <c r="Q16" s="714">
        <v>289</v>
      </c>
      <c r="R16" s="713">
        <v>294</v>
      </c>
      <c r="S16" s="713">
        <v>421</v>
      </c>
      <c r="T16" s="713">
        <v>2856</v>
      </c>
      <c r="U16" s="713">
        <v>450</v>
      </c>
      <c r="V16" s="713">
        <v>450</v>
      </c>
      <c r="W16" s="713">
        <v>347</v>
      </c>
      <c r="X16" s="713">
        <v>301</v>
      </c>
      <c r="Y16" s="713">
        <v>291</v>
      </c>
      <c r="Z16" s="713">
        <v>261</v>
      </c>
      <c r="AA16" s="715">
        <f t="shared" si="20"/>
        <v>6518</v>
      </c>
      <c r="AB16" s="712">
        <v>273</v>
      </c>
      <c r="AC16" s="713">
        <v>163</v>
      </c>
      <c r="AD16" s="714">
        <v>305</v>
      </c>
      <c r="AE16" s="713">
        <v>265</v>
      </c>
      <c r="AF16" s="713">
        <v>267</v>
      </c>
      <c r="AG16" s="713">
        <v>243</v>
      </c>
      <c r="AH16" s="713">
        <v>486</v>
      </c>
      <c r="AI16" s="713">
        <v>850</v>
      </c>
      <c r="AJ16" s="713">
        <v>261</v>
      </c>
      <c r="AK16" s="713">
        <v>317</v>
      </c>
      <c r="AL16" s="713">
        <v>258</v>
      </c>
      <c r="AM16" s="713">
        <v>260</v>
      </c>
      <c r="AN16" s="715">
        <f t="shared" si="22"/>
        <v>3948</v>
      </c>
      <c r="AO16" s="712">
        <v>510</v>
      </c>
      <c r="AP16" s="713">
        <v>254</v>
      </c>
      <c r="AQ16" s="714">
        <v>194</v>
      </c>
      <c r="AR16" s="713">
        <v>229</v>
      </c>
      <c r="AS16" s="713">
        <v>473</v>
      </c>
      <c r="AT16" s="713">
        <v>367</v>
      </c>
      <c r="AU16" s="713">
        <v>531</v>
      </c>
      <c r="AV16" s="713">
        <v>1246</v>
      </c>
      <c r="AW16" s="713">
        <v>444</v>
      </c>
      <c r="AX16" s="713">
        <v>1255</v>
      </c>
      <c r="AY16" s="713">
        <v>333</v>
      </c>
      <c r="AZ16" s="713">
        <v>457</v>
      </c>
      <c r="BA16" s="715">
        <f t="shared" si="24"/>
        <v>6293</v>
      </c>
      <c r="BB16" s="712">
        <v>452</v>
      </c>
      <c r="BC16" s="713">
        <v>336</v>
      </c>
      <c r="BD16" s="714">
        <v>486</v>
      </c>
      <c r="BE16" s="713">
        <v>583</v>
      </c>
      <c r="BF16" s="713">
        <v>534</v>
      </c>
      <c r="BG16" s="713">
        <v>490</v>
      </c>
      <c r="BH16" s="713">
        <v>414</v>
      </c>
      <c r="BI16" s="713">
        <v>1130</v>
      </c>
      <c r="BJ16" s="713">
        <v>443</v>
      </c>
      <c r="BK16" s="713">
        <v>337</v>
      </c>
      <c r="BL16" s="713">
        <v>425</v>
      </c>
      <c r="BM16" s="713">
        <v>559</v>
      </c>
      <c r="BN16" s="715">
        <f t="shared" si="26"/>
        <v>6189</v>
      </c>
      <c r="BO16" s="712">
        <v>410</v>
      </c>
      <c r="BP16" s="713">
        <v>408</v>
      </c>
      <c r="BQ16" s="714">
        <v>491</v>
      </c>
      <c r="BR16" s="713">
        <v>499</v>
      </c>
      <c r="BS16" s="713">
        <v>469</v>
      </c>
      <c r="BT16" s="713">
        <v>380</v>
      </c>
      <c r="BU16" s="713">
        <v>406</v>
      </c>
      <c r="BV16" s="713">
        <v>1973</v>
      </c>
      <c r="BW16" s="713">
        <v>589</v>
      </c>
      <c r="BX16" s="713">
        <v>650</v>
      </c>
      <c r="BY16" s="713">
        <v>537</v>
      </c>
      <c r="BZ16" s="713">
        <v>599</v>
      </c>
      <c r="CA16" s="715">
        <f t="shared" si="28"/>
        <v>7411</v>
      </c>
      <c r="CB16" s="712">
        <v>416</v>
      </c>
      <c r="CC16" s="713">
        <v>998</v>
      </c>
      <c r="CD16" s="714">
        <v>330</v>
      </c>
      <c r="CE16" s="713">
        <v>382</v>
      </c>
      <c r="CF16" s="713">
        <v>549</v>
      </c>
      <c r="CG16" s="713">
        <v>623</v>
      </c>
      <c r="CH16" s="713">
        <v>427</v>
      </c>
      <c r="CI16" s="713">
        <v>1388</v>
      </c>
      <c r="CJ16" s="713">
        <v>588</v>
      </c>
      <c r="CK16" s="713">
        <v>497</v>
      </c>
      <c r="CL16" s="713">
        <v>375</v>
      </c>
      <c r="CM16" s="713">
        <v>676</v>
      </c>
      <c r="CN16" s="715">
        <f t="shared" si="30"/>
        <v>7249</v>
      </c>
      <c r="CO16" s="712">
        <v>405</v>
      </c>
      <c r="CP16" s="713">
        <v>636</v>
      </c>
      <c r="CQ16" s="714">
        <v>290</v>
      </c>
      <c r="CR16" s="713">
        <v>1045</v>
      </c>
      <c r="CS16" s="713">
        <v>458</v>
      </c>
      <c r="CT16" s="713">
        <v>488</v>
      </c>
      <c r="CU16" s="713">
        <v>410</v>
      </c>
      <c r="CV16" s="713">
        <v>678</v>
      </c>
      <c r="CW16" s="713">
        <v>552</v>
      </c>
      <c r="CX16" s="713">
        <v>520</v>
      </c>
      <c r="CY16" s="713">
        <f>997-200</f>
        <v>797</v>
      </c>
      <c r="CZ16" s="713">
        <v>411</v>
      </c>
      <c r="DA16" s="715">
        <f t="shared" si="32"/>
        <v>6690</v>
      </c>
      <c r="DB16" s="712">
        <v>586</v>
      </c>
      <c r="DC16" s="713">
        <v>338</v>
      </c>
      <c r="DD16" s="714">
        <v>507</v>
      </c>
      <c r="DE16" s="713">
        <v>512</v>
      </c>
      <c r="DF16" s="713">
        <v>466</v>
      </c>
      <c r="DG16" s="713">
        <v>486</v>
      </c>
      <c r="DH16" s="713">
        <v>526</v>
      </c>
      <c r="DI16" s="713">
        <v>786</v>
      </c>
      <c r="DJ16" s="713">
        <v>514</v>
      </c>
      <c r="DK16" s="713">
        <v>1391</v>
      </c>
      <c r="DL16" s="713">
        <v>701</v>
      </c>
      <c r="DM16" s="713">
        <v>693</v>
      </c>
      <c r="DN16" s="715">
        <f t="shared" si="34"/>
        <v>7506</v>
      </c>
      <c r="DO16" s="712">
        <v>914</v>
      </c>
      <c r="DP16" s="713">
        <v>378</v>
      </c>
      <c r="DQ16" s="714">
        <v>312</v>
      </c>
      <c r="DR16" s="713">
        <v>144</v>
      </c>
      <c r="DS16" s="713">
        <v>121</v>
      </c>
      <c r="DT16" s="713">
        <v>144</v>
      </c>
      <c r="DU16" s="713">
        <v>273</v>
      </c>
      <c r="DV16" s="713">
        <v>426</v>
      </c>
      <c r="DW16" s="713">
        <v>280</v>
      </c>
      <c r="DX16" s="713">
        <v>509</v>
      </c>
      <c r="DY16" s="713">
        <v>663</v>
      </c>
      <c r="DZ16" s="713">
        <v>1042</v>
      </c>
      <c r="EA16" s="715">
        <f t="shared" si="36"/>
        <v>5206</v>
      </c>
      <c r="EB16" s="712">
        <v>371</v>
      </c>
      <c r="EC16" s="713">
        <v>465</v>
      </c>
      <c r="ED16" s="714">
        <v>425</v>
      </c>
      <c r="EE16" s="713">
        <v>496</v>
      </c>
      <c r="EF16" s="713">
        <v>510</v>
      </c>
      <c r="EG16" s="713">
        <v>454</v>
      </c>
      <c r="EH16" s="713">
        <v>571</v>
      </c>
      <c r="EI16" s="713">
        <v>1459</v>
      </c>
      <c r="EJ16" s="713">
        <v>651</v>
      </c>
      <c r="EK16" s="713">
        <v>842</v>
      </c>
      <c r="EL16" s="713">
        <v>356</v>
      </c>
      <c r="EM16" s="713">
        <v>846</v>
      </c>
      <c r="EN16" s="715">
        <f t="shared" si="38"/>
        <v>7446</v>
      </c>
      <c r="EO16" s="712">
        <v>347</v>
      </c>
      <c r="EP16" s="713">
        <v>436</v>
      </c>
      <c r="EQ16" s="714">
        <v>394</v>
      </c>
      <c r="ER16" s="713">
        <v>423</v>
      </c>
      <c r="ES16" s="713">
        <v>807</v>
      </c>
      <c r="ET16" s="713">
        <v>610</v>
      </c>
      <c r="EU16" s="713">
        <v>917</v>
      </c>
      <c r="EV16" s="713">
        <v>1271</v>
      </c>
      <c r="EW16" s="713">
        <v>843</v>
      </c>
      <c r="EX16" s="713">
        <v>611</v>
      </c>
      <c r="EY16" s="713">
        <v>694</v>
      </c>
      <c r="EZ16" s="713">
        <v>721</v>
      </c>
      <c r="FA16" s="715">
        <f t="shared" si="40"/>
        <v>8074</v>
      </c>
      <c r="FB16" s="712">
        <v>634</v>
      </c>
      <c r="FC16" s="713">
        <v>604</v>
      </c>
      <c r="FD16" s="714">
        <v>1186</v>
      </c>
      <c r="FE16" s="713">
        <v>751</v>
      </c>
      <c r="FF16" s="713">
        <v>1014</v>
      </c>
      <c r="FG16" s="713">
        <v>1501</v>
      </c>
      <c r="FH16" s="713">
        <v>1127</v>
      </c>
      <c r="FI16" s="713">
        <v>5846</v>
      </c>
      <c r="FJ16" s="713">
        <v>637</v>
      </c>
      <c r="FK16" s="713">
        <v>890</v>
      </c>
      <c r="FL16" s="713">
        <v>1960</v>
      </c>
      <c r="FM16" s="713">
        <v>545</v>
      </c>
      <c r="FN16" s="715">
        <f t="shared" si="42"/>
        <v>16695</v>
      </c>
      <c r="FO16" s="712">
        <v>733</v>
      </c>
      <c r="FP16" s="713">
        <v>466</v>
      </c>
      <c r="FQ16" s="714">
        <v>858</v>
      </c>
      <c r="FR16" s="713">
        <v>999</v>
      </c>
      <c r="FS16" s="713">
        <v>765</v>
      </c>
      <c r="FT16" s="713">
        <v>447</v>
      </c>
      <c r="FU16" s="713">
        <v>567</v>
      </c>
      <c r="FV16" s="713">
        <v>578</v>
      </c>
      <c r="FW16" s="713">
        <v>961</v>
      </c>
      <c r="FX16" s="713">
        <v>2745</v>
      </c>
      <c r="FY16" s="713">
        <v>747</v>
      </c>
      <c r="FZ16" s="713">
        <v>543</v>
      </c>
      <c r="GA16" s="715">
        <f t="shared" si="44"/>
        <v>10409</v>
      </c>
      <c r="GB16" s="712">
        <v>423</v>
      </c>
      <c r="GC16" s="713">
        <v>406</v>
      </c>
      <c r="GD16" s="714">
        <v>967</v>
      </c>
      <c r="GE16" s="713">
        <v>708</v>
      </c>
      <c r="GF16" s="713">
        <v>1649</v>
      </c>
      <c r="GG16" s="713">
        <v>457</v>
      </c>
      <c r="GH16" s="713">
        <v>602</v>
      </c>
      <c r="GI16" s="713">
        <v>649</v>
      </c>
      <c r="GJ16" s="713">
        <v>1413</v>
      </c>
      <c r="GK16" s="713">
        <v>557</v>
      </c>
      <c r="GL16" s="713">
        <v>629</v>
      </c>
      <c r="GM16" s="713">
        <v>1543</v>
      </c>
      <c r="GN16" s="712">
        <f t="shared" si="52"/>
        <v>10003</v>
      </c>
      <c r="GO16" s="1324">
        <v>-118</v>
      </c>
      <c r="GP16">
        <v>965</v>
      </c>
      <c r="GQ16">
        <v>411</v>
      </c>
      <c r="GR16">
        <v>924</v>
      </c>
      <c r="GS16">
        <v>654</v>
      </c>
      <c r="GT16">
        <v>6732</v>
      </c>
      <c r="GU16">
        <v>386</v>
      </c>
      <c r="GV16">
        <v>566</v>
      </c>
      <c r="GZ16" s="1266"/>
      <c r="HA16" s="1059">
        <f t="shared" si="47"/>
        <v>10520</v>
      </c>
      <c r="HC16" s="681">
        <f t="shared" si="48"/>
        <v>-12.788906009244993</v>
      </c>
      <c r="HD16" s="681">
        <f t="shared" si="49"/>
        <v>79.491554342262404</v>
      </c>
      <c r="HE16" s="683">
        <f t="shared" si="50"/>
        <v>5861</v>
      </c>
      <c r="HF16" s="683">
        <f t="shared" si="51"/>
        <v>10520</v>
      </c>
    </row>
    <row r="17" spans="1:214" s="698" customFormat="1" ht="13.9" customHeight="1" x14ac:dyDescent="0.2">
      <c r="A17" s="676" t="s">
        <v>394</v>
      </c>
      <c r="B17" s="708">
        <f t="shared" ref="B17:M17" si="53">SUM(B18:B19)</f>
        <v>4</v>
      </c>
      <c r="C17" s="709">
        <f t="shared" si="53"/>
        <v>10</v>
      </c>
      <c r="D17" s="710">
        <f t="shared" si="53"/>
        <v>42</v>
      </c>
      <c r="E17" s="709">
        <f t="shared" si="53"/>
        <v>39</v>
      </c>
      <c r="F17" s="709">
        <f t="shared" si="53"/>
        <v>69</v>
      </c>
      <c r="G17" s="709">
        <f t="shared" si="53"/>
        <v>39</v>
      </c>
      <c r="H17" s="709">
        <f t="shared" si="53"/>
        <v>50</v>
      </c>
      <c r="I17" s="709">
        <f t="shared" si="53"/>
        <v>29</v>
      </c>
      <c r="J17" s="709">
        <f t="shared" si="53"/>
        <v>49</v>
      </c>
      <c r="K17" s="709">
        <f t="shared" si="53"/>
        <v>64</v>
      </c>
      <c r="L17" s="709">
        <f t="shared" si="53"/>
        <v>66</v>
      </c>
      <c r="M17" s="709">
        <f t="shared" si="53"/>
        <v>34</v>
      </c>
      <c r="N17" s="711">
        <f t="shared" si="18"/>
        <v>495</v>
      </c>
      <c r="O17" s="708">
        <f t="shared" ref="O17:Z17" si="54">SUM(O18:O19)</f>
        <v>39</v>
      </c>
      <c r="P17" s="709">
        <f t="shared" si="54"/>
        <v>32</v>
      </c>
      <c r="Q17" s="710">
        <f t="shared" si="54"/>
        <v>41</v>
      </c>
      <c r="R17" s="709">
        <f t="shared" si="54"/>
        <v>27</v>
      </c>
      <c r="S17" s="709">
        <f t="shared" si="54"/>
        <v>54</v>
      </c>
      <c r="T17" s="709">
        <f t="shared" si="54"/>
        <v>52</v>
      </c>
      <c r="U17" s="709">
        <f t="shared" si="54"/>
        <v>60</v>
      </c>
      <c r="V17" s="709">
        <f t="shared" si="54"/>
        <v>27</v>
      </c>
      <c r="W17" s="709">
        <f t="shared" si="54"/>
        <v>16</v>
      </c>
      <c r="X17" s="709">
        <f t="shared" si="54"/>
        <v>35</v>
      </c>
      <c r="Y17" s="709">
        <f t="shared" si="54"/>
        <v>8</v>
      </c>
      <c r="Z17" s="709">
        <f t="shared" si="54"/>
        <v>23</v>
      </c>
      <c r="AA17" s="711">
        <f t="shared" si="20"/>
        <v>414</v>
      </c>
      <c r="AB17" s="708">
        <f t="shared" ref="AB17:AM17" si="55">SUM(AB18:AB19)</f>
        <v>13</v>
      </c>
      <c r="AC17" s="709">
        <f t="shared" si="55"/>
        <v>7</v>
      </c>
      <c r="AD17" s="710">
        <f t="shared" si="55"/>
        <v>23</v>
      </c>
      <c r="AE17" s="709">
        <f t="shared" si="55"/>
        <v>21</v>
      </c>
      <c r="AF17" s="709">
        <f t="shared" si="55"/>
        <v>28</v>
      </c>
      <c r="AG17" s="709">
        <f t="shared" si="55"/>
        <v>29</v>
      </c>
      <c r="AH17" s="709">
        <f t="shared" si="55"/>
        <v>14</v>
      </c>
      <c r="AI17" s="709">
        <f t="shared" si="55"/>
        <v>46</v>
      </c>
      <c r="AJ17" s="709">
        <f t="shared" si="55"/>
        <v>18</v>
      </c>
      <c r="AK17" s="709">
        <f t="shared" si="55"/>
        <v>16</v>
      </c>
      <c r="AL17" s="709">
        <f t="shared" si="55"/>
        <v>30</v>
      </c>
      <c r="AM17" s="709">
        <f t="shared" si="55"/>
        <v>20</v>
      </c>
      <c r="AN17" s="711">
        <f t="shared" si="22"/>
        <v>265</v>
      </c>
      <c r="AO17" s="708">
        <f t="shared" ref="AO17:AZ17" si="56">SUM(AO18:AO19)</f>
        <v>7</v>
      </c>
      <c r="AP17" s="709">
        <f t="shared" si="56"/>
        <v>4</v>
      </c>
      <c r="AQ17" s="710">
        <f t="shared" si="56"/>
        <v>4</v>
      </c>
      <c r="AR17" s="709">
        <f t="shared" si="56"/>
        <v>7</v>
      </c>
      <c r="AS17" s="709">
        <f t="shared" si="56"/>
        <v>8</v>
      </c>
      <c r="AT17" s="709">
        <f t="shared" si="56"/>
        <v>7</v>
      </c>
      <c r="AU17" s="709">
        <f t="shared" si="56"/>
        <v>8</v>
      </c>
      <c r="AV17" s="709">
        <f t="shared" si="56"/>
        <v>13</v>
      </c>
      <c r="AW17" s="709">
        <f t="shared" si="56"/>
        <v>78</v>
      </c>
      <c r="AX17" s="709">
        <f t="shared" si="56"/>
        <v>33</v>
      </c>
      <c r="AY17" s="709">
        <f t="shared" si="56"/>
        <v>10</v>
      </c>
      <c r="AZ17" s="709">
        <f t="shared" si="56"/>
        <v>14</v>
      </c>
      <c r="BA17" s="711">
        <f t="shared" si="24"/>
        <v>193</v>
      </c>
      <c r="BB17" s="708">
        <f t="shared" ref="BB17:BZ17" si="57">SUM(BB18:BB19)</f>
        <v>14</v>
      </c>
      <c r="BC17" s="709">
        <f t="shared" si="57"/>
        <v>13</v>
      </c>
      <c r="BD17" s="710">
        <f t="shared" si="57"/>
        <v>8</v>
      </c>
      <c r="BE17" s="709">
        <f t="shared" si="57"/>
        <v>12</v>
      </c>
      <c r="BF17" s="709">
        <f t="shared" si="57"/>
        <v>25</v>
      </c>
      <c r="BG17" s="709">
        <f t="shared" si="57"/>
        <v>12</v>
      </c>
      <c r="BH17" s="709">
        <f t="shared" si="57"/>
        <v>8</v>
      </c>
      <c r="BI17" s="709">
        <f t="shared" si="57"/>
        <v>10</v>
      </c>
      <c r="BJ17" s="709">
        <f t="shared" si="57"/>
        <v>12</v>
      </c>
      <c r="BK17" s="709">
        <f t="shared" si="57"/>
        <v>4</v>
      </c>
      <c r="BL17" s="709">
        <f t="shared" si="57"/>
        <v>2</v>
      </c>
      <c r="BM17" s="709">
        <f t="shared" si="57"/>
        <v>0</v>
      </c>
      <c r="BN17" s="711">
        <f t="shared" si="26"/>
        <v>120</v>
      </c>
      <c r="BO17" s="708">
        <f t="shared" si="57"/>
        <v>13</v>
      </c>
      <c r="BP17" s="709">
        <f t="shared" si="57"/>
        <v>9</v>
      </c>
      <c r="BQ17" s="710">
        <f t="shared" si="57"/>
        <v>5</v>
      </c>
      <c r="BR17" s="709">
        <f t="shared" si="57"/>
        <v>11</v>
      </c>
      <c r="BS17" s="709">
        <f t="shared" si="57"/>
        <v>11</v>
      </c>
      <c r="BT17" s="709">
        <f t="shared" si="57"/>
        <v>19</v>
      </c>
      <c r="BU17" s="709">
        <f t="shared" si="57"/>
        <v>14</v>
      </c>
      <c r="BV17" s="709">
        <f t="shared" si="57"/>
        <v>45</v>
      </c>
      <c r="BW17" s="709">
        <f t="shared" si="57"/>
        <v>47</v>
      </c>
      <c r="BX17" s="709">
        <f t="shared" si="57"/>
        <v>7</v>
      </c>
      <c r="BY17" s="709">
        <f t="shared" si="57"/>
        <v>7</v>
      </c>
      <c r="BZ17" s="709">
        <f t="shared" si="57"/>
        <v>11</v>
      </c>
      <c r="CA17" s="711">
        <f t="shared" si="28"/>
        <v>199</v>
      </c>
      <c r="CB17" s="708">
        <f t="shared" ref="CB17:CM17" si="58">SUM(CB18:CB19)</f>
        <v>12</v>
      </c>
      <c r="CC17" s="709">
        <f t="shared" si="58"/>
        <v>19</v>
      </c>
      <c r="CD17" s="710">
        <f t="shared" si="58"/>
        <v>12</v>
      </c>
      <c r="CE17" s="709">
        <f t="shared" si="58"/>
        <v>9</v>
      </c>
      <c r="CF17" s="709">
        <f t="shared" si="58"/>
        <v>12</v>
      </c>
      <c r="CG17" s="709">
        <f t="shared" si="58"/>
        <v>16</v>
      </c>
      <c r="CH17" s="709">
        <f t="shared" si="58"/>
        <v>0</v>
      </c>
      <c r="CI17" s="709">
        <f t="shared" si="58"/>
        <v>10</v>
      </c>
      <c r="CJ17" s="709">
        <f t="shared" si="58"/>
        <v>14</v>
      </c>
      <c r="CK17" s="709">
        <f t="shared" si="58"/>
        <v>10</v>
      </c>
      <c r="CL17" s="709">
        <f t="shared" si="58"/>
        <v>20</v>
      </c>
      <c r="CM17" s="709">
        <f t="shared" si="58"/>
        <v>12</v>
      </c>
      <c r="CN17" s="711">
        <f t="shared" si="30"/>
        <v>146</v>
      </c>
      <c r="CO17" s="708">
        <f t="shared" ref="CO17:CZ17" si="59">SUM(CO18:CO19)</f>
        <v>27</v>
      </c>
      <c r="CP17" s="709">
        <f t="shared" si="59"/>
        <v>17</v>
      </c>
      <c r="CQ17" s="710">
        <f t="shared" si="59"/>
        <v>9</v>
      </c>
      <c r="CR17" s="709">
        <f t="shared" si="59"/>
        <v>16</v>
      </c>
      <c r="CS17" s="709">
        <f t="shared" si="59"/>
        <v>33</v>
      </c>
      <c r="CT17" s="709">
        <f t="shared" si="59"/>
        <v>8</v>
      </c>
      <c r="CU17" s="709">
        <f t="shared" si="59"/>
        <v>29</v>
      </c>
      <c r="CV17" s="709">
        <f t="shared" si="59"/>
        <v>110</v>
      </c>
      <c r="CW17" s="709">
        <f t="shared" si="59"/>
        <v>14</v>
      </c>
      <c r="CX17" s="709">
        <f t="shared" si="59"/>
        <v>8</v>
      </c>
      <c r="CY17" s="709">
        <f t="shared" si="59"/>
        <v>9</v>
      </c>
      <c r="CZ17" s="709">
        <f t="shared" si="59"/>
        <v>9</v>
      </c>
      <c r="DA17" s="711">
        <f t="shared" si="32"/>
        <v>289</v>
      </c>
      <c r="DB17" s="708">
        <f t="shared" ref="DB17:DL17" si="60">SUM(DB18:DB19)</f>
        <v>5</v>
      </c>
      <c r="DC17" s="709">
        <f t="shared" si="60"/>
        <v>15</v>
      </c>
      <c r="DD17" s="710">
        <f t="shared" si="60"/>
        <v>19</v>
      </c>
      <c r="DE17" s="709">
        <f t="shared" si="60"/>
        <v>15</v>
      </c>
      <c r="DF17" s="709">
        <f t="shared" si="60"/>
        <v>25</v>
      </c>
      <c r="DG17" s="709">
        <f t="shared" si="60"/>
        <v>5</v>
      </c>
      <c r="DH17" s="709">
        <f t="shared" si="60"/>
        <v>13</v>
      </c>
      <c r="DI17" s="709">
        <f t="shared" si="60"/>
        <v>18</v>
      </c>
      <c r="DJ17" s="709">
        <f t="shared" si="60"/>
        <v>8</v>
      </c>
      <c r="DK17" s="709">
        <f t="shared" si="60"/>
        <v>12</v>
      </c>
      <c r="DL17" s="709">
        <f t="shared" si="60"/>
        <v>22</v>
      </c>
      <c r="DM17" s="709">
        <f>SUM(DM18:DM19)</f>
        <v>11</v>
      </c>
      <c r="DN17" s="711">
        <f t="shared" si="34"/>
        <v>168</v>
      </c>
      <c r="DO17" s="708">
        <f t="shared" ref="DO17:DZ17" si="61">SUM(DO18:DO19)</f>
        <v>15</v>
      </c>
      <c r="DP17" s="709">
        <f t="shared" si="61"/>
        <v>47</v>
      </c>
      <c r="DQ17" s="710">
        <f t="shared" si="61"/>
        <v>15</v>
      </c>
      <c r="DR17" s="709">
        <f t="shared" si="61"/>
        <v>1</v>
      </c>
      <c r="DS17" s="709">
        <f t="shared" si="61"/>
        <v>2</v>
      </c>
      <c r="DT17" s="709">
        <f t="shared" si="61"/>
        <v>12</v>
      </c>
      <c r="DU17" s="709">
        <f t="shared" si="61"/>
        <v>22</v>
      </c>
      <c r="DV17" s="709">
        <f t="shared" si="61"/>
        <v>35</v>
      </c>
      <c r="DW17" s="709">
        <f t="shared" si="61"/>
        <v>43</v>
      </c>
      <c r="DX17" s="709">
        <f t="shared" si="61"/>
        <v>29</v>
      </c>
      <c r="DY17" s="709">
        <f t="shared" si="61"/>
        <v>19</v>
      </c>
      <c r="DZ17" s="709">
        <f t="shared" si="61"/>
        <v>22</v>
      </c>
      <c r="EA17" s="711">
        <f t="shared" si="36"/>
        <v>262</v>
      </c>
      <c r="EB17" s="708">
        <f t="shared" ref="EB17:EM17" si="62">SUM(EB18:EB19)</f>
        <v>36</v>
      </c>
      <c r="EC17" s="709">
        <f t="shared" si="62"/>
        <v>77</v>
      </c>
      <c r="ED17" s="710">
        <f t="shared" si="62"/>
        <v>115</v>
      </c>
      <c r="EE17" s="709">
        <f t="shared" si="62"/>
        <v>71</v>
      </c>
      <c r="EF17" s="709">
        <f t="shared" si="62"/>
        <v>47</v>
      </c>
      <c r="EG17" s="709">
        <f t="shared" si="62"/>
        <v>27</v>
      </c>
      <c r="EH17" s="709">
        <f t="shared" si="62"/>
        <v>32</v>
      </c>
      <c r="EI17" s="709">
        <f t="shared" si="62"/>
        <v>70</v>
      </c>
      <c r="EJ17" s="709">
        <f t="shared" si="62"/>
        <v>42</v>
      </c>
      <c r="EK17" s="709">
        <f t="shared" si="62"/>
        <v>58</v>
      </c>
      <c r="EL17" s="709">
        <f t="shared" si="62"/>
        <v>70</v>
      </c>
      <c r="EM17" s="709">
        <f t="shared" si="62"/>
        <v>45</v>
      </c>
      <c r="EN17" s="711">
        <f t="shared" si="38"/>
        <v>690</v>
      </c>
      <c r="EO17" s="708">
        <f t="shared" ref="EO17:EZ17" si="63">SUM(EO18:EO19)</f>
        <v>134</v>
      </c>
      <c r="EP17" s="709">
        <f t="shared" si="63"/>
        <v>67</v>
      </c>
      <c r="EQ17" s="710">
        <f t="shared" si="63"/>
        <v>76</v>
      </c>
      <c r="ER17" s="709">
        <f t="shared" si="63"/>
        <v>9</v>
      </c>
      <c r="ES17" s="709">
        <f t="shared" si="63"/>
        <v>17</v>
      </c>
      <c r="ET17" s="709">
        <f t="shared" si="63"/>
        <v>21</v>
      </c>
      <c r="EU17" s="709">
        <f t="shared" si="63"/>
        <v>5</v>
      </c>
      <c r="EV17" s="709">
        <f t="shared" si="63"/>
        <v>39</v>
      </c>
      <c r="EW17" s="709">
        <f t="shared" si="63"/>
        <v>22</v>
      </c>
      <c r="EX17" s="709">
        <f t="shared" si="63"/>
        <v>124</v>
      </c>
      <c r="EY17" s="709">
        <f t="shared" si="63"/>
        <v>18</v>
      </c>
      <c r="EZ17" s="709">
        <f t="shared" si="63"/>
        <v>37</v>
      </c>
      <c r="FA17" s="711">
        <f t="shared" si="40"/>
        <v>569</v>
      </c>
      <c r="FB17" s="708">
        <f t="shared" ref="FB17:FM17" si="64">SUM(FB18:FB19)</f>
        <v>17</v>
      </c>
      <c r="FC17" s="709">
        <f t="shared" si="64"/>
        <v>9</v>
      </c>
      <c r="FD17" s="710">
        <f t="shared" si="64"/>
        <v>3</v>
      </c>
      <c r="FE17" s="709">
        <f t="shared" si="64"/>
        <v>3</v>
      </c>
      <c r="FF17" s="709">
        <f t="shared" si="64"/>
        <v>5</v>
      </c>
      <c r="FG17" s="709">
        <f t="shared" si="64"/>
        <v>4</v>
      </c>
      <c r="FH17" s="709">
        <f t="shared" si="64"/>
        <v>3</v>
      </c>
      <c r="FI17" s="709">
        <f t="shared" si="64"/>
        <v>2</v>
      </c>
      <c r="FJ17" s="709">
        <f t="shared" si="64"/>
        <v>5</v>
      </c>
      <c r="FK17" s="709">
        <f t="shared" si="64"/>
        <v>4</v>
      </c>
      <c r="FL17" s="709">
        <f t="shared" si="64"/>
        <v>20</v>
      </c>
      <c r="FM17" s="709">
        <f t="shared" si="64"/>
        <v>14</v>
      </c>
      <c r="FN17" s="711">
        <f t="shared" si="42"/>
        <v>89</v>
      </c>
      <c r="FO17" s="708">
        <f t="shared" ref="FO17:FZ17" si="65">SUM(FO18:FO19)</f>
        <v>18</v>
      </c>
      <c r="FP17" s="709">
        <f t="shared" si="65"/>
        <v>3</v>
      </c>
      <c r="FQ17" s="710">
        <f t="shared" si="65"/>
        <v>3</v>
      </c>
      <c r="FR17" s="709">
        <f t="shared" si="65"/>
        <v>6</v>
      </c>
      <c r="FS17" s="709">
        <f t="shared" si="65"/>
        <v>7</v>
      </c>
      <c r="FT17" s="709">
        <f t="shared" si="65"/>
        <v>7</v>
      </c>
      <c r="FU17" s="709">
        <f t="shared" si="65"/>
        <v>8</v>
      </c>
      <c r="FV17" s="709">
        <f t="shared" si="65"/>
        <v>6</v>
      </c>
      <c r="FW17" s="709">
        <f t="shared" si="65"/>
        <v>6</v>
      </c>
      <c r="FX17" s="709">
        <f t="shared" si="65"/>
        <v>9</v>
      </c>
      <c r="FY17" s="709">
        <f t="shared" si="65"/>
        <v>9</v>
      </c>
      <c r="FZ17" s="709">
        <f t="shared" si="65"/>
        <v>10</v>
      </c>
      <c r="GA17" s="711">
        <f t="shared" si="44"/>
        <v>92</v>
      </c>
      <c r="GB17" s="708">
        <f t="shared" ref="GB17:GM17" si="66">SUM(GB18:GB19)</f>
        <v>8</v>
      </c>
      <c r="GC17" s="709">
        <f t="shared" si="66"/>
        <v>4</v>
      </c>
      <c r="GD17" s="710">
        <f t="shared" si="66"/>
        <v>5</v>
      </c>
      <c r="GE17" s="709">
        <f t="shared" si="66"/>
        <v>7</v>
      </c>
      <c r="GF17" s="709">
        <f t="shared" si="66"/>
        <v>9</v>
      </c>
      <c r="GG17" s="709">
        <f t="shared" si="66"/>
        <v>16</v>
      </c>
      <c r="GH17" s="709">
        <f t="shared" si="66"/>
        <v>7</v>
      </c>
      <c r="GI17" s="709">
        <f t="shared" si="66"/>
        <v>10</v>
      </c>
      <c r="GJ17" s="709">
        <f t="shared" si="66"/>
        <v>6</v>
      </c>
      <c r="GK17" s="709">
        <f t="shared" si="66"/>
        <v>13</v>
      </c>
      <c r="GL17" s="709">
        <f t="shared" si="66"/>
        <v>11</v>
      </c>
      <c r="GM17" s="709">
        <f t="shared" si="66"/>
        <v>9</v>
      </c>
      <c r="GN17" s="708">
        <f>SUM(GB17:GM17)</f>
        <v>105</v>
      </c>
      <c r="GO17" s="1328">
        <f>SUM(GO18:GO19)</f>
        <v>27</v>
      </c>
      <c r="GP17" s="129">
        <f>SUM(GP18:GP19)</f>
        <v>8</v>
      </c>
      <c r="GQ17" s="129">
        <f>SUM(GQ18:GQ19)</f>
        <v>12</v>
      </c>
      <c r="GR17" s="129">
        <f>SUM(GR18:GR19)</f>
        <v>10</v>
      </c>
      <c r="GS17" s="129">
        <v>70</v>
      </c>
      <c r="GT17" s="129">
        <v>4</v>
      </c>
      <c r="GU17" s="129">
        <f>SUM(GU18:GU19)</f>
        <v>5</v>
      </c>
      <c r="GV17" s="129">
        <f>SUM(GV18:GV19)</f>
        <v>5</v>
      </c>
      <c r="GW17" s="129"/>
      <c r="GX17" s="129"/>
      <c r="GY17" s="129"/>
      <c r="GZ17" s="1268"/>
      <c r="HA17" s="1343">
        <f t="shared" si="47"/>
        <v>141</v>
      </c>
      <c r="HB17"/>
      <c r="HC17" s="677">
        <f t="shared" si="48"/>
        <v>-50</v>
      </c>
      <c r="HD17" s="677">
        <f t="shared" si="49"/>
        <v>113.63636363636363</v>
      </c>
      <c r="HE17" s="679">
        <f t="shared" si="50"/>
        <v>66</v>
      </c>
      <c r="HF17" s="679">
        <f t="shared" si="51"/>
        <v>141</v>
      </c>
    </row>
    <row r="18" spans="1:214" ht="13.9" customHeight="1" x14ac:dyDescent="0.2">
      <c r="A18" s="680" t="s">
        <v>395</v>
      </c>
      <c r="B18" s="712">
        <v>4</v>
      </c>
      <c r="C18" s="713">
        <v>10</v>
      </c>
      <c r="D18" s="714">
        <v>42</v>
      </c>
      <c r="E18" s="713">
        <v>39</v>
      </c>
      <c r="F18" s="713">
        <v>69</v>
      </c>
      <c r="G18" s="713">
        <v>39</v>
      </c>
      <c r="H18" s="713">
        <v>50</v>
      </c>
      <c r="I18" s="713">
        <v>29</v>
      </c>
      <c r="J18" s="713">
        <v>49</v>
      </c>
      <c r="K18" s="713">
        <v>64</v>
      </c>
      <c r="L18" s="713">
        <v>66</v>
      </c>
      <c r="M18" s="713">
        <v>34</v>
      </c>
      <c r="N18" s="715">
        <f t="shared" si="18"/>
        <v>495</v>
      </c>
      <c r="O18" s="712">
        <v>39</v>
      </c>
      <c r="P18" s="713">
        <v>32</v>
      </c>
      <c r="Q18" s="714">
        <v>41</v>
      </c>
      <c r="R18" s="713">
        <v>27</v>
      </c>
      <c r="S18" s="713">
        <v>54</v>
      </c>
      <c r="T18" s="713">
        <v>52</v>
      </c>
      <c r="U18" s="713">
        <v>60</v>
      </c>
      <c r="V18" s="713">
        <v>27</v>
      </c>
      <c r="W18" s="713">
        <v>16</v>
      </c>
      <c r="X18" s="713">
        <v>35</v>
      </c>
      <c r="Y18" s="713">
        <v>8</v>
      </c>
      <c r="Z18" s="713">
        <v>23</v>
      </c>
      <c r="AA18" s="715">
        <f t="shared" si="20"/>
        <v>414</v>
      </c>
      <c r="AB18" s="712">
        <v>13</v>
      </c>
      <c r="AC18" s="713">
        <v>7</v>
      </c>
      <c r="AD18" s="714">
        <v>23</v>
      </c>
      <c r="AE18" s="713">
        <v>21</v>
      </c>
      <c r="AF18" s="713">
        <v>28</v>
      </c>
      <c r="AG18" s="713">
        <v>29</v>
      </c>
      <c r="AH18" s="713">
        <v>14</v>
      </c>
      <c r="AI18" s="713">
        <v>46</v>
      </c>
      <c r="AJ18" s="713">
        <v>18</v>
      </c>
      <c r="AK18" s="713">
        <v>16</v>
      </c>
      <c r="AL18" s="713">
        <v>30</v>
      </c>
      <c r="AM18" s="713">
        <v>20</v>
      </c>
      <c r="AN18" s="715">
        <f t="shared" si="22"/>
        <v>265</v>
      </c>
      <c r="AO18" s="712">
        <v>7</v>
      </c>
      <c r="AP18" s="713">
        <v>4</v>
      </c>
      <c r="AQ18" s="714">
        <v>4</v>
      </c>
      <c r="AR18" s="713">
        <v>7</v>
      </c>
      <c r="AS18" s="713">
        <v>8</v>
      </c>
      <c r="AT18" s="713">
        <v>7</v>
      </c>
      <c r="AU18" s="713">
        <v>8</v>
      </c>
      <c r="AV18" s="713">
        <v>13</v>
      </c>
      <c r="AW18" s="713">
        <v>78</v>
      </c>
      <c r="AX18" s="713">
        <v>33</v>
      </c>
      <c r="AY18" s="713">
        <v>10</v>
      </c>
      <c r="AZ18" s="713">
        <v>14</v>
      </c>
      <c r="BA18" s="715">
        <f t="shared" si="24"/>
        <v>193</v>
      </c>
      <c r="BB18" s="712">
        <v>14</v>
      </c>
      <c r="BC18" s="713">
        <v>13</v>
      </c>
      <c r="BD18" s="714">
        <v>8</v>
      </c>
      <c r="BE18" s="713">
        <v>12</v>
      </c>
      <c r="BF18" s="713">
        <v>25</v>
      </c>
      <c r="BG18" s="713">
        <v>12</v>
      </c>
      <c r="BH18" s="713">
        <v>8</v>
      </c>
      <c r="BI18" s="713">
        <v>10</v>
      </c>
      <c r="BJ18" s="713">
        <v>12</v>
      </c>
      <c r="BK18" s="713">
        <v>4</v>
      </c>
      <c r="BL18" s="713">
        <v>2</v>
      </c>
      <c r="BM18" s="713">
        <v>0</v>
      </c>
      <c r="BN18" s="715">
        <f t="shared" si="26"/>
        <v>120</v>
      </c>
      <c r="BO18" s="712">
        <v>13</v>
      </c>
      <c r="BP18" s="713">
        <v>9</v>
      </c>
      <c r="BQ18" s="714">
        <v>5</v>
      </c>
      <c r="BR18" s="713">
        <v>11</v>
      </c>
      <c r="BS18" s="713">
        <v>11</v>
      </c>
      <c r="BT18" s="713">
        <v>19</v>
      </c>
      <c r="BU18" s="713">
        <v>14</v>
      </c>
      <c r="BV18" s="713">
        <v>45</v>
      </c>
      <c r="BW18" s="713">
        <v>47</v>
      </c>
      <c r="BX18" s="713">
        <v>7</v>
      </c>
      <c r="BY18" s="713">
        <v>7</v>
      </c>
      <c r="BZ18" s="713">
        <v>11</v>
      </c>
      <c r="CA18" s="715">
        <f t="shared" si="28"/>
        <v>199</v>
      </c>
      <c r="CB18" s="712">
        <v>12</v>
      </c>
      <c r="CC18" s="713">
        <v>19</v>
      </c>
      <c r="CD18" s="714">
        <v>12</v>
      </c>
      <c r="CE18" s="713">
        <v>9</v>
      </c>
      <c r="CF18" s="713">
        <v>12</v>
      </c>
      <c r="CG18" s="713">
        <v>16</v>
      </c>
      <c r="CH18" s="713">
        <v>0</v>
      </c>
      <c r="CI18" s="713">
        <v>10</v>
      </c>
      <c r="CJ18" s="713">
        <v>14</v>
      </c>
      <c r="CK18" s="713">
        <v>10</v>
      </c>
      <c r="CL18" s="713">
        <v>20</v>
      </c>
      <c r="CM18" s="713">
        <v>12</v>
      </c>
      <c r="CN18" s="715">
        <f t="shared" si="30"/>
        <v>146</v>
      </c>
      <c r="CO18" s="712">
        <v>27</v>
      </c>
      <c r="CP18" s="713">
        <v>17</v>
      </c>
      <c r="CQ18" s="714">
        <v>9</v>
      </c>
      <c r="CR18" s="713">
        <v>16</v>
      </c>
      <c r="CS18" s="713">
        <v>33</v>
      </c>
      <c r="CT18" s="713">
        <v>8</v>
      </c>
      <c r="CU18" s="713">
        <v>29</v>
      </c>
      <c r="CV18" s="713">
        <v>110</v>
      </c>
      <c r="CW18" s="713">
        <v>14</v>
      </c>
      <c r="CX18" s="713">
        <v>8</v>
      </c>
      <c r="CY18" s="713">
        <v>9</v>
      </c>
      <c r="CZ18" s="713">
        <v>9</v>
      </c>
      <c r="DA18" s="715">
        <f t="shared" si="32"/>
        <v>289</v>
      </c>
      <c r="DB18" s="712">
        <v>5</v>
      </c>
      <c r="DC18" s="713">
        <v>15</v>
      </c>
      <c r="DD18" s="714">
        <v>19</v>
      </c>
      <c r="DE18" s="713">
        <v>15</v>
      </c>
      <c r="DF18" s="713">
        <v>25</v>
      </c>
      <c r="DG18" s="713">
        <v>5</v>
      </c>
      <c r="DH18" s="713">
        <v>13</v>
      </c>
      <c r="DI18" s="713">
        <v>18</v>
      </c>
      <c r="DJ18" s="713">
        <v>8</v>
      </c>
      <c r="DK18" s="713">
        <v>12</v>
      </c>
      <c r="DL18" s="713">
        <v>22</v>
      </c>
      <c r="DM18" s="713">
        <v>11</v>
      </c>
      <c r="DN18" s="715">
        <f t="shared" si="34"/>
        <v>168</v>
      </c>
      <c r="DO18" s="712">
        <v>15</v>
      </c>
      <c r="DP18" s="713">
        <v>47</v>
      </c>
      <c r="DQ18" s="714">
        <v>15</v>
      </c>
      <c r="DR18" s="713">
        <v>1</v>
      </c>
      <c r="DS18" s="713">
        <v>2</v>
      </c>
      <c r="DT18" s="713">
        <v>12</v>
      </c>
      <c r="DU18" s="713">
        <v>22</v>
      </c>
      <c r="DV18" s="713">
        <v>35</v>
      </c>
      <c r="DW18" s="713">
        <v>43</v>
      </c>
      <c r="DX18" s="713">
        <v>29</v>
      </c>
      <c r="DY18" s="713">
        <v>19</v>
      </c>
      <c r="DZ18" s="713">
        <v>22</v>
      </c>
      <c r="EA18" s="715">
        <f t="shared" si="36"/>
        <v>262</v>
      </c>
      <c r="EB18" s="712">
        <v>36</v>
      </c>
      <c r="EC18" s="713">
        <v>77</v>
      </c>
      <c r="ED18" s="714">
        <v>115</v>
      </c>
      <c r="EE18" s="713">
        <v>71</v>
      </c>
      <c r="EF18" s="713">
        <v>47</v>
      </c>
      <c r="EG18" s="713">
        <v>27</v>
      </c>
      <c r="EH18" s="713">
        <v>32</v>
      </c>
      <c r="EI18" s="713">
        <v>70</v>
      </c>
      <c r="EJ18" s="713">
        <v>42</v>
      </c>
      <c r="EK18" s="713">
        <v>58</v>
      </c>
      <c r="EL18" s="713">
        <v>70</v>
      </c>
      <c r="EM18" s="713">
        <v>45</v>
      </c>
      <c r="EN18" s="715">
        <f t="shared" si="38"/>
        <v>690</v>
      </c>
      <c r="EO18" s="712">
        <v>134</v>
      </c>
      <c r="EP18" s="713">
        <v>67</v>
      </c>
      <c r="EQ18" s="714">
        <v>76</v>
      </c>
      <c r="ER18" s="713">
        <v>9</v>
      </c>
      <c r="ES18" s="713">
        <v>17</v>
      </c>
      <c r="ET18" s="713">
        <v>21</v>
      </c>
      <c r="EU18" s="713">
        <v>5</v>
      </c>
      <c r="EV18" s="713">
        <v>39</v>
      </c>
      <c r="EW18" s="713">
        <v>22</v>
      </c>
      <c r="EX18" s="713">
        <v>124</v>
      </c>
      <c r="EY18" s="713">
        <v>18</v>
      </c>
      <c r="EZ18" s="713">
        <v>37</v>
      </c>
      <c r="FA18" s="715">
        <f t="shared" si="40"/>
        <v>569</v>
      </c>
      <c r="FB18" s="712">
        <v>17</v>
      </c>
      <c r="FC18" s="713">
        <v>9</v>
      </c>
      <c r="FD18" s="714">
        <v>3</v>
      </c>
      <c r="FE18" s="713">
        <v>3</v>
      </c>
      <c r="FF18" s="713">
        <v>5</v>
      </c>
      <c r="FG18" s="713">
        <v>4</v>
      </c>
      <c r="FH18" s="713">
        <v>3</v>
      </c>
      <c r="FI18" s="713">
        <v>2</v>
      </c>
      <c r="FJ18" s="713">
        <v>5</v>
      </c>
      <c r="FK18" s="713">
        <v>4</v>
      </c>
      <c r="FL18" s="713">
        <v>20</v>
      </c>
      <c r="FM18" s="713">
        <v>14</v>
      </c>
      <c r="FN18" s="715">
        <f t="shared" si="42"/>
        <v>89</v>
      </c>
      <c r="FO18" s="712">
        <v>18</v>
      </c>
      <c r="FP18" s="713">
        <v>3</v>
      </c>
      <c r="FQ18" s="714">
        <v>3</v>
      </c>
      <c r="FR18" s="713">
        <v>6</v>
      </c>
      <c r="FS18" s="713">
        <v>7</v>
      </c>
      <c r="FT18" s="713">
        <v>7</v>
      </c>
      <c r="FU18" s="713">
        <v>8</v>
      </c>
      <c r="FV18" s="713">
        <v>6</v>
      </c>
      <c r="FW18" s="713">
        <v>6</v>
      </c>
      <c r="FX18" s="713">
        <v>9</v>
      </c>
      <c r="FY18" s="713">
        <v>9</v>
      </c>
      <c r="FZ18" s="713">
        <v>10</v>
      </c>
      <c r="GA18" s="715">
        <f t="shared" si="44"/>
        <v>92</v>
      </c>
      <c r="GB18" s="712">
        <v>8</v>
      </c>
      <c r="GC18" s="713">
        <v>4</v>
      </c>
      <c r="GD18" s="714">
        <v>5</v>
      </c>
      <c r="GE18" s="713">
        <v>7</v>
      </c>
      <c r="GF18" s="713">
        <v>9</v>
      </c>
      <c r="GG18" s="713">
        <v>16</v>
      </c>
      <c r="GH18" s="713">
        <v>7</v>
      </c>
      <c r="GI18" s="713">
        <v>10</v>
      </c>
      <c r="GJ18" s="713">
        <v>6</v>
      </c>
      <c r="GK18" s="713">
        <v>13</v>
      </c>
      <c r="GL18" s="713">
        <v>11</v>
      </c>
      <c r="GM18" s="713">
        <v>9</v>
      </c>
      <c r="GN18" s="712">
        <f t="shared" si="52"/>
        <v>105</v>
      </c>
      <c r="GO18" s="1324">
        <v>27</v>
      </c>
      <c r="GP18">
        <v>8</v>
      </c>
      <c r="GQ18">
        <v>12</v>
      </c>
      <c r="GR18">
        <v>10</v>
      </c>
      <c r="GS18">
        <v>6</v>
      </c>
      <c r="GT18">
        <v>4</v>
      </c>
      <c r="GU18">
        <v>5</v>
      </c>
      <c r="GV18">
        <v>5</v>
      </c>
      <c r="GZ18" s="1266"/>
      <c r="HA18" s="1059">
        <f t="shared" si="47"/>
        <v>77</v>
      </c>
      <c r="HC18" s="681">
        <f t="shared" si="48"/>
        <v>-50</v>
      </c>
      <c r="HD18" s="681">
        <f t="shared" si="49"/>
        <v>16.666666666666675</v>
      </c>
      <c r="HE18" s="683">
        <f t="shared" si="50"/>
        <v>66</v>
      </c>
      <c r="HF18" s="683">
        <f t="shared" si="51"/>
        <v>77</v>
      </c>
    </row>
    <row r="19" spans="1:214" ht="13.9" customHeight="1" x14ac:dyDescent="0.2">
      <c r="A19" s="680" t="s">
        <v>396</v>
      </c>
      <c r="B19" s="712">
        <v>0</v>
      </c>
      <c r="C19" s="713">
        <v>0</v>
      </c>
      <c r="D19" s="714">
        <v>0</v>
      </c>
      <c r="E19" s="713">
        <v>0</v>
      </c>
      <c r="F19" s="713">
        <v>0</v>
      </c>
      <c r="G19" s="713">
        <v>0</v>
      </c>
      <c r="H19" s="713">
        <v>0</v>
      </c>
      <c r="I19" s="713">
        <v>0</v>
      </c>
      <c r="J19" s="713">
        <v>0</v>
      </c>
      <c r="K19" s="713">
        <v>0</v>
      </c>
      <c r="L19" s="713">
        <v>0</v>
      </c>
      <c r="M19" s="713">
        <v>0</v>
      </c>
      <c r="N19" s="715">
        <f t="shared" si="18"/>
        <v>0</v>
      </c>
      <c r="O19" s="712">
        <v>0</v>
      </c>
      <c r="P19" s="713">
        <v>0</v>
      </c>
      <c r="Q19" s="714">
        <v>0</v>
      </c>
      <c r="R19" s="713">
        <v>0</v>
      </c>
      <c r="S19" s="713">
        <v>0</v>
      </c>
      <c r="T19" s="713">
        <v>0</v>
      </c>
      <c r="U19" s="713">
        <v>0</v>
      </c>
      <c r="V19" s="713">
        <v>0</v>
      </c>
      <c r="W19" s="713">
        <v>0</v>
      </c>
      <c r="X19" s="713">
        <v>0</v>
      </c>
      <c r="Y19" s="713">
        <v>0</v>
      </c>
      <c r="Z19" s="713">
        <v>0</v>
      </c>
      <c r="AA19" s="715">
        <f t="shared" si="20"/>
        <v>0</v>
      </c>
      <c r="AB19" s="712">
        <v>0</v>
      </c>
      <c r="AC19" s="713">
        <v>0</v>
      </c>
      <c r="AD19" s="714">
        <v>0</v>
      </c>
      <c r="AE19" s="713">
        <v>0</v>
      </c>
      <c r="AF19" s="713">
        <v>0</v>
      </c>
      <c r="AG19" s="713">
        <v>0</v>
      </c>
      <c r="AH19" s="713">
        <v>0</v>
      </c>
      <c r="AI19" s="713">
        <v>0</v>
      </c>
      <c r="AJ19" s="713">
        <v>0</v>
      </c>
      <c r="AK19" s="713">
        <v>0</v>
      </c>
      <c r="AL19" s="713">
        <v>0</v>
      </c>
      <c r="AM19" s="713">
        <v>0</v>
      </c>
      <c r="AN19" s="715">
        <f t="shared" si="22"/>
        <v>0</v>
      </c>
      <c r="AO19" s="712">
        <v>0</v>
      </c>
      <c r="AP19" s="713">
        <v>0</v>
      </c>
      <c r="AQ19" s="714">
        <v>0</v>
      </c>
      <c r="AR19" s="713">
        <v>0</v>
      </c>
      <c r="AS19" s="713">
        <v>0</v>
      </c>
      <c r="AT19" s="713">
        <v>0</v>
      </c>
      <c r="AU19" s="713">
        <v>0</v>
      </c>
      <c r="AV19" s="713">
        <v>0</v>
      </c>
      <c r="AW19" s="713">
        <v>0</v>
      </c>
      <c r="AX19" s="713">
        <v>0</v>
      </c>
      <c r="AY19" s="713">
        <v>0</v>
      </c>
      <c r="AZ19" s="713">
        <v>0</v>
      </c>
      <c r="BA19" s="715">
        <f t="shared" si="24"/>
        <v>0</v>
      </c>
      <c r="BB19" s="712">
        <v>0</v>
      </c>
      <c r="BC19" s="713">
        <v>0</v>
      </c>
      <c r="BD19" s="714">
        <v>0</v>
      </c>
      <c r="BE19" s="713">
        <v>0</v>
      </c>
      <c r="BF19" s="713">
        <v>0</v>
      </c>
      <c r="BG19" s="713">
        <v>0</v>
      </c>
      <c r="BH19" s="713">
        <v>0</v>
      </c>
      <c r="BI19" s="713">
        <v>0</v>
      </c>
      <c r="BJ19" s="713">
        <v>0</v>
      </c>
      <c r="BK19" s="713">
        <v>0</v>
      </c>
      <c r="BL19" s="713">
        <v>0</v>
      </c>
      <c r="BM19" s="713">
        <v>0</v>
      </c>
      <c r="BN19" s="715">
        <f t="shared" si="26"/>
        <v>0</v>
      </c>
      <c r="BO19" s="712">
        <v>0</v>
      </c>
      <c r="BP19" s="713">
        <v>0</v>
      </c>
      <c r="BQ19" s="714">
        <v>0</v>
      </c>
      <c r="BR19" s="713">
        <v>0</v>
      </c>
      <c r="BS19" s="713">
        <v>0</v>
      </c>
      <c r="BT19" s="713">
        <v>0</v>
      </c>
      <c r="BU19" s="713">
        <v>0</v>
      </c>
      <c r="BV19" s="713">
        <v>0</v>
      </c>
      <c r="BW19" s="713">
        <v>0</v>
      </c>
      <c r="BX19" s="713">
        <v>0</v>
      </c>
      <c r="BY19" s="713">
        <v>0</v>
      </c>
      <c r="BZ19" s="713">
        <v>0</v>
      </c>
      <c r="CA19" s="715">
        <f t="shared" si="28"/>
        <v>0</v>
      </c>
      <c r="CB19" s="712">
        <v>0</v>
      </c>
      <c r="CC19" s="713">
        <v>0</v>
      </c>
      <c r="CD19" s="714">
        <v>0</v>
      </c>
      <c r="CE19" s="713">
        <v>0</v>
      </c>
      <c r="CF19" s="713">
        <v>0</v>
      </c>
      <c r="CG19" s="713">
        <v>0</v>
      </c>
      <c r="CH19" s="713">
        <v>0</v>
      </c>
      <c r="CI19" s="713">
        <v>0</v>
      </c>
      <c r="CJ19" s="713">
        <v>0</v>
      </c>
      <c r="CK19" s="713">
        <v>0</v>
      </c>
      <c r="CL19" s="713">
        <v>0</v>
      </c>
      <c r="CM19" s="713">
        <v>0</v>
      </c>
      <c r="CN19" s="715">
        <f t="shared" si="30"/>
        <v>0</v>
      </c>
      <c r="CO19" s="712">
        <v>0</v>
      </c>
      <c r="CP19" s="713">
        <v>0</v>
      </c>
      <c r="CQ19" s="714">
        <v>0</v>
      </c>
      <c r="CR19" s="713">
        <v>0</v>
      </c>
      <c r="CS19" s="713">
        <v>0</v>
      </c>
      <c r="CT19" s="713">
        <v>0</v>
      </c>
      <c r="CU19" s="713">
        <v>0</v>
      </c>
      <c r="CV19" s="713">
        <v>0</v>
      </c>
      <c r="CW19" s="713">
        <v>0</v>
      </c>
      <c r="CX19" s="713">
        <v>0</v>
      </c>
      <c r="CY19" s="713">
        <v>0</v>
      </c>
      <c r="CZ19" s="713">
        <v>0</v>
      </c>
      <c r="DA19" s="715">
        <f t="shared" si="32"/>
        <v>0</v>
      </c>
      <c r="DB19" s="712">
        <v>0</v>
      </c>
      <c r="DC19" s="713">
        <v>0</v>
      </c>
      <c r="DD19" s="714">
        <v>0</v>
      </c>
      <c r="DE19" s="713">
        <v>0</v>
      </c>
      <c r="DF19" s="713">
        <v>0</v>
      </c>
      <c r="DG19" s="713">
        <v>0</v>
      </c>
      <c r="DH19" s="713">
        <v>0</v>
      </c>
      <c r="DI19" s="713">
        <v>0</v>
      </c>
      <c r="DJ19" s="713">
        <v>0</v>
      </c>
      <c r="DK19" s="713">
        <v>0</v>
      </c>
      <c r="DL19" s="713">
        <v>0</v>
      </c>
      <c r="DM19" s="713">
        <v>0</v>
      </c>
      <c r="DN19" s="715">
        <f t="shared" si="34"/>
        <v>0</v>
      </c>
      <c r="DO19" s="712">
        <v>0</v>
      </c>
      <c r="DP19" s="713">
        <v>0</v>
      </c>
      <c r="DQ19" s="714">
        <v>0</v>
      </c>
      <c r="DR19" s="713">
        <v>0</v>
      </c>
      <c r="DS19" s="713">
        <v>0</v>
      </c>
      <c r="DT19" s="713">
        <v>0</v>
      </c>
      <c r="DU19" s="713">
        <v>0</v>
      </c>
      <c r="DV19" s="713">
        <v>0</v>
      </c>
      <c r="DW19" s="713">
        <v>0</v>
      </c>
      <c r="DX19" s="713">
        <v>0</v>
      </c>
      <c r="DY19" s="713">
        <v>0</v>
      </c>
      <c r="DZ19" s="713">
        <v>0</v>
      </c>
      <c r="EA19" s="715">
        <f t="shared" si="36"/>
        <v>0</v>
      </c>
      <c r="EB19" s="712">
        <v>0</v>
      </c>
      <c r="EC19" s="713">
        <v>0</v>
      </c>
      <c r="ED19" s="714">
        <v>0</v>
      </c>
      <c r="EE19" s="713">
        <v>0</v>
      </c>
      <c r="EF19" s="713">
        <v>0</v>
      </c>
      <c r="EG19" s="713">
        <v>0</v>
      </c>
      <c r="EH19" s="713">
        <v>0</v>
      </c>
      <c r="EI19" s="713">
        <v>0</v>
      </c>
      <c r="EJ19" s="713">
        <v>0</v>
      </c>
      <c r="EK19" s="713">
        <v>0</v>
      </c>
      <c r="EL19" s="713">
        <v>0</v>
      </c>
      <c r="EM19" s="713">
        <v>0</v>
      </c>
      <c r="EN19" s="715">
        <f t="shared" si="38"/>
        <v>0</v>
      </c>
      <c r="EO19" s="712">
        <v>0</v>
      </c>
      <c r="EP19" s="713">
        <v>0</v>
      </c>
      <c r="EQ19" s="714">
        <v>0</v>
      </c>
      <c r="ER19" s="713">
        <v>0</v>
      </c>
      <c r="ES19" s="713">
        <v>0</v>
      </c>
      <c r="ET19" s="713">
        <v>0</v>
      </c>
      <c r="EU19" s="713">
        <v>0</v>
      </c>
      <c r="EV19" s="713">
        <v>0</v>
      </c>
      <c r="EW19" s="713">
        <v>0</v>
      </c>
      <c r="EX19" s="713">
        <v>0</v>
      </c>
      <c r="EY19" s="713">
        <v>0</v>
      </c>
      <c r="EZ19" s="713">
        <v>0</v>
      </c>
      <c r="FA19" s="715">
        <f t="shared" si="40"/>
        <v>0</v>
      </c>
      <c r="FB19" s="712">
        <v>0</v>
      </c>
      <c r="FC19" s="713">
        <v>0</v>
      </c>
      <c r="FD19" s="714">
        <v>0</v>
      </c>
      <c r="FE19" s="713">
        <v>0</v>
      </c>
      <c r="FF19" s="713">
        <v>0</v>
      </c>
      <c r="FG19" s="713">
        <v>0</v>
      </c>
      <c r="FH19" s="713">
        <v>0</v>
      </c>
      <c r="FI19" s="713">
        <v>0</v>
      </c>
      <c r="FJ19" s="713">
        <v>0</v>
      </c>
      <c r="FK19" s="713">
        <v>0</v>
      </c>
      <c r="FL19" s="713">
        <v>0</v>
      </c>
      <c r="FM19" s="713">
        <v>0</v>
      </c>
      <c r="FN19" s="715">
        <f t="shared" si="42"/>
        <v>0</v>
      </c>
      <c r="FO19" s="712">
        <v>0</v>
      </c>
      <c r="FP19" s="713">
        <v>0</v>
      </c>
      <c r="FQ19" s="714">
        <v>0</v>
      </c>
      <c r="FR19" s="713">
        <v>0</v>
      </c>
      <c r="FS19" s="713">
        <v>0</v>
      </c>
      <c r="FT19" s="713">
        <v>0</v>
      </c>
      <c r="FU19" s="713">
        <v>0</v>
      </c>
      <c r="FV19" s="713">
        <v>0</v>
      </c>
      <c r="FW19" s="713">
        <v>0</v>
      </c>
      <c r="FX19" s="713">
        <v>0</v>
      </c>
      <c r="FY19" s="713">
        <v>0</v>
      </c>
      <c r="FZ19" s="713">
        <v>0</v>
      </c>
      <c r="GA19" s="715">
        <f t="shared" si="44"/>
        <v>0</v>
      </c>
      <c r="GB19" s="712">
        <v>0</v>
      </c>
      <c r="GC19" s="713">
        <v>0</v>
      </c>
      <c r="GD19" s="714">
        <v>0</v>
      </c>
      <c r="GE19" s="713">
        <v>0</v>
      </c>
      <c r="GF19" s="713">
        <v>0</v>
      </c>
      <c r="GG19" s="713">
        <v>0</v>
      </c>
      <c r="GH19" s="713">
        <v>0</v>
      </c>
      <c r="GI19" s="713">
        <v>0</v>
      </c>
      <c r="GJ19" s="713">
        <v>0</v>
      </c>
      <c r="GK19" s="713">
        <v>0</v>
      </c>
      <c r="GL19" s="713">
        <v>0</v>
      </c>
      <c r="GM19" s="713">
        <v>0</v>
      </c>
      <c r="GN19" s="712">
        <f t="shared" si="52"/>
        <v>0</v>
      </c>
      <c r="GO19" s="1324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Z19" s="1266"/>
      <c r="HA19" s="1059">
        <f t="shared" si="47"/>
        <v>0</v>
      </c>
      <c r="HC19" s="681" t="str">
        <f t="shared" si="48"/>
        <v/>
      </c>
      <c r="HD19" s="681" t="str">
        <f t="shared" si="49"/>
        <v/>
      </c>
      <c r="HE19" s="683">
        <f t="shared" si="50"/>
        <v>0</v>
      </c>
      <c r="HF19" s="683">
        <f t="shared" si="51"/>
        <v>0</v>
      </c>
    </row>
    <row r="20" spans="1:214" s="698" customFormat="1" ht="13.9" customHeight="1" x14ac:dyDescent="0.2">
      <c r="A20" s="676" t="s">
        <v>397</v>
      </c>
      <c r="B20" s="708">
        <f t="shared" ref="B20:M20" si="67">SUM(B21:B22)</f>
        <v>8804</v>
      </c>
      <c r="C20" s="709">
        <f t="shared" si="67"/>
        <v>1</v>
      </c>
      <c r="D20" s="710">
        <f t="shared" si="67"/>
        <v>6349</v>
      </c>
      <c r="E20" s="709">
        <f t="shared" si="67"/>
        <v>10560</v>
      </c>
      <c r="F20" s="709">
        <f t="shared" si="67"/>
        <v>586</v>
      </c>
      <c r="G20" s="709">
        <f t="shared" si="67"/>
        <v>889</v>
      </c>
      <c r="H20" s="709">
        <f t="shared" si="67"/>
        <v>4368</v>
      </c>
      <c r="I20" s="709">
        <f t="shared" si="67"/>
        <v>1024</v>
      </c>
      <c r="J20" s="709">
        <f t="shared" si="67"/>
        <v>2625</v>
      </c>
      <c r="K20" s="709">
        <f t="shared" si="67"/>
        <v>1530</v>
      </c>
      <c r="L20" s="709">
        <f t="shared" si="67"/>
        <v>441</v>
      </c>
      <c r="M20" s="709">
        <f t="shared" si="67"/>
        <v>13021</v>
      </c>
      <c r="N20" s="711">
        <f t="shared" si="18"/>
        <v>50198</v>
      </c>
      <c r="O20" s="708">
        <f t="shared" ref="O20:Z20" si="68">SUM(O21:O22)</f>
        <v>58344</v>
      </c>
      <c r="P20" s="709">
        <f t="shared" si="68"/>
        <v>13080</v>
      </c>
      <c r="Q20" s="710">
        <f t="shared" si="68"/>
        <v>9357</v>
      </c>
      <c r="R20" s="709">
        <f t="shared" si="68"/>
        <v>3358</v>
      </c>
      <c r="S20" s="709">
        <f t="shared" si="68"/>
        <v>3462</v>
      </c>
      <c r="T20" s="709">
        <f t="shared" si="68"/>
        <v>4918</v>
      </c>
      <c r="U20" s="709">
        <f t="shared" si="68"/>
        <v>6323</v>
      </c>
      <c r="V20" s="709">
        <f t="shared" si="68"/>
        <v>5698</v>
      </c>
      <c r="W20" s="709">
        <f t="shared" si="68"/>
        <v>1319</v>
      </c>
      <c r="X20" s="709">
        <f t="shared" si="68"/>
        <v>1738</v>
      </c>
      <c r="Y20" s="709">
        <f t="shared" si="68"/>
        <v>1194.5940000000001</v>
      </c>
      <c r="Z20" s="709">
        <f t="shared" si="68"/>
        <v>424</v>
      </c>
      <c r="AA20" s="711">
        <f t="shared" si="20"/>
        <v>109215.594</v>
      </c>
      <c r="AB20" s="708">
        <f t="shared" ref="AB20:AM20" si="69">SUM(AB21:AB22)</f>
        <v>53299</v>
      </c>
      <c r="AC20" s="709">
        <f t="shared" si="69"/>
        <v>5072</v>
      </c>
      <c r="AD20" s="710">
        <f t="shared" si="69"/>
        <v>7059</v>
      </c>
      <c r="AE20" s="709">
        <f t="shared" si="69"/>
        <v>1841</v>
      </c>
      <c r="AF20" s="709">
        <f t="shared" si="69"/>
        <v>1249</v>
      </c>
      <c r="AG20" s="709">
        <f t="shared" si="69"/>
        <v>2849</v>
      </c>
      <c r="AH20" s="709">
        <f t="shared" si="69"/>
        <v>5909</v>
      </c>
      <c r="AI20" s="709">
        <f t="shared" si="69"/>
        <v>688</v>
      </c>
      <c r="AJ20" s="709">
        <f t="shared" si="69"/>
        <v>2396</v>
      </c>
      <c r="AK20" s="709">
        <f t="shared" si="69"/>
        <v>7350</v>
      </c>
      <c r="AL20" s="709">
        <f t="shared" si="69"/>
        <v>482</v>
      </c>
      <c r="AM20" s="709">
        <f t="shared" si="69"/>
        <v>4063</v>
      </c>
      <c r="AN20" s="711">
        <f t="shared" si="22"/>
        <v>92257</v>
      </c>
      <c r="AO20" s="708">
        <f t="shared" ref="AO20:AZ20" si="70">SUM(AO21:AO22)</f>
        <v>70924</v>
      </c>
      <c r="AP20" s="709">
        <f t="shared" si="70"/>
        <v>2779</v>
      </c>
      <c r="AQ20" s="710">
        <f t="shared" si="70"/>
        <v>13922</v>
      </c>
      <c r="AR20" s="709">
        <f t="shared" si="70"/>
        <v>2355</v>
      </c>
      <c r="AS20" s="709">
        <f t="shared" si="70"/>
        <v>-7997</v>
      </c>
      <c r="AT20" s="709">
        <f t="shared" si="70"/>
        <v>8311</v>
      </c>
      <c r="AU20" s="709">
        <f t="shared" si="70"/>
        <v>3688</v>
      </c>
      <c r="AV20" s="709">
        <f t="shared" si="70"/>
        <v>96</v>
      </c>
      <c r="AW20" s="709">
        <f t="shared" si="70"/>
        <v>361</v>
      </c>
      <c r="AX20" s="709">
        <f t="shared" si="70"/>
        <v>-29</v>
      </c>
      <c r="AY20" s="709">
        <f t="shared" si="70"/>
        <v>63</v>
      </c>
      <c r="AZ20" s="709">
        <f t="shared" si="70"/>
        <v>495</v>
      </c>
      <c r="BA20" s="711">
        <f t="shared" si="24"/>
        <v>94968</v>
      </c>
      <c r="BB20" s="708">
        <f t="shared" ref="BB20:CM20" si="71">SUM(BB21:BB22)</f>
        <v>48510</v>
      </c>
      <c r="BC20" s="709">
        <f t="shared" si="71"/>
        <v>1786</v>
      </c>
      <c r="BD20" s="710">
        <f t="shared" si="71"/>
        <v>9100</v>
      </c>
      <c r="BE20" s="709">
        <f t="shared" si="71"/>
        <v>1420</v>
      </c>
      <c r="BF20" s="709">
        <f t="shared" si="71"/>
        <v>65</v>
      </c>
      <c r="BG20" s="709">
        <f t="shared" si="71"/>
        <v>6926</v>
      </c>
      <c r="BH20" s="709">
        <f t="shared" si="71"/>
        <v>18927</v>
      </c>
      <c r="BI20" s="709">
        <f t="shared" si="71"/>
        <v>1287</v>
      </c>
      <c r="BJ20" s="709">
        <f t="shared" si="71"/>
        <v>439</v>
      </c>
      <c r="BK20" s="709">
        <f t="shared" si="71"/>
        <v>4769</v>
      </c>
      <c r="BL20" s="709">
        <f t="shared" si="71"/>
        <v>-1</v>
      </c>
      <c r="BM20" s="709">
        <f t="shared" si="71"/>
        <v>3184</v>
      </c>
      <c r="BN20" s="711">
        <f t="shared" si="26"/>
        <v>96412</v>
      </c>
      <c r="BO20" s="708">
        <f t="shared" si="71"/>
        <v>90692</v>
      </c>
      <c r="BP20" s="709">
        <f t="shared" si="71"/>
        <v>1840</v>
      </c>
      <c r="BQ20" s="710">
        <f t="shared" si="71"/>
        <v>6015</v>
      </c>
      <c r="BR20" s="709">
        <f t="shared" si="71"/>
        <v>29026</v>
      </c>
      <c r="BS20" s="709">
        <f t="shared" si="71"/>
        <v>7992</v>
      </c>
      <c r="BT20" s="709">
        <f t="shared" si="71"/>
        <v>193</v>
      </c>
      <c r="BU20" s="709">
        <f t="shared" si="71"/>
        <v>12350</v>
      </c>
      <c r="BV20" s="709">
        <f t="shared" si="71"/>
        <v>3779</v>
      </c>
      <c r="BW20" s="709">
        <f t="shared" si="71"/>
        <v>2052</v>
      </c>
      <c r="BX20" s="709">
        <f t="shared" si="71"/>
        <v>30028</v>
      </c>
      <c r="BY20" s="709">
        <f t="shared" si="71"/>
        <v>14549</v>
      </c>
      <c r="BZ20" s="709">
        <f t="shared" si="71"/>
        <v>6423</v>
      </c>
      <c r="CA20" s="711">
        <f t="shared" si="28"/>
        <v>204939</v>
      </c>
      <c r="CB20" s="708">
        <f t="shared" si="71"/>
        <v>59929</v>
      </c>
      <c r="CC20" s="709">
        <f t="shared" si="71"/>
        <v>25956</v>
      </c>
      <c r="CD20" s="710">
        <f t="shared" si="71"/>
        <v>48723</v>
      </c>
      <c r="CE20" s="709">
        <f t="shared" si="71"/>
        <v>38000</v>
      </c>
      <c r="CF20" s="709">
        <f t="shared" si="71"/>
        <v>18271</v>
      </c>
      <c r="CG20" s="709">
        <f t="shared" si="71"/>
        <v>17185</v>
      </c>
      <c r="CH20" s="709">
        <f t="shared" si="71"/>
        <v>37252</v>
      </c>
      <c r="CI20" s="709">
        <f t="shared" si="71"/>
        <v>9672</v>
      </c>
      <c r="CJ20" s="709">
        <f t="shared" si="71"/>
        <v>17287</v>
      </c>
      <c r="CK20" s="709">
        <f t="shared" si="71"/>
        <v>10159</v>
      </c>
      <c r="CL20" s="709">
        <f t="shared" si="71"/>
        <v>21487</v>
      </c>
      <c r="CM20" s="709">
        <f t="shared" si="71"/>
        <v>45074</v>
      </c>
      <c r="CN20" s="711">
        <f t="shared" si="30"/>
        <v>348995</v>
      </c>
      <c r="CO20" s="708">
        <f t="shared" ref="CO20:CZ20" si="72">SUM(CO21:CO22)</f>
        <v>181266</v>
      </c>
      <c r="CP20" s="709">
        <f t="shared" si="72"/>
        <v>9196</v>
      </c>
      <c r="CQ20" s="710">
        <f t="shared" si="72"/>
        <v>31381</v>
      </c>
      <c r="CR20" s="709">
        <f t="shared" si="72"/>
        <v>4152</v>
      </c>
      <c r="CS20" s="709">
        <f t="shared" si="72"/>
        <v>26048</v>
      </c>
      <c r="CT20" s="709">
        <f t="shared" si="72"/>
        <v>33671</v>
      </c>
      <c r="CU20" s="709">
        <f t="shared" si="72"/>
        <v>4978</v>
      </c>
      <c r="CV20" s="709">
        <f t="shared" si="72"/>
        <v>5855</v>
      </c>
      <c r="CW20" s="709">
        <f t="shared" si="72"/>
        <v>6687</v>
      </c>
      <c r="CX20" s="709">
        <f t="shared" si="72"/>
        <v>36377</v>
      </c>
      <c r="CY20" s="709">
        <f t="shared" si="72"/>
        <v>418</v>
      </c>
      <c r="CZ20" s="709">
        <f t="shared" si="72"/>
        <v>521</v>
      </c>
      <c r="DA20" s="711">
        <f t="shared" si="32"/>
        <v>340550</v>
      </c>
      <c r="DB20" s="708">
        <f t="shared" ref="DB20:DL20" si="73">SUM(DB21:DB22)</f>
        <v>61636</v>
      </c>
      <c r="DC20" s="709">
        <f t="shared" si="73"/>
        <v>17813</v>
      </c>
      <c r="DD20" s="710">
        <f t="shared" si="73"/>
        <v>5217</v>
      </c>
      <c r="DE20" s="709">
        <f t="shared" si="73"/>
        <v>5264</v>
      </c>
      <c r="DF20" s="709">
        <f t="shared" si="73"/>
        <v>5167</v>
      </c>
      <c r="DG20" s="709">
        <f t="shared" si="73"/>
        <v>20893</v>
      </c>
      <c r="DH20" s="709">
        <f t="shared" si="73"/>
        <v>8177</v>
      </c>
      <c r="DI20" s="709">
        <f t="shared" si="73"/>
        <v>7328</v>
      </c>
      <c r="DJ20" s="709">
        <f t="shared" si="73"/>
        <v>3895</v>
      </c>
      <c r="DK20" s="709">
        <f t="shared" si="73"/>
        <v>8259</v>
      </c>
      <c r="DL20" s="709">
        <f t="shared" si="73"/>
        <v>3353</v>
      </c>
      <c r="DM20" s="709">
        <f>SUM(DM21:DM22)</f>
        <v>14750</v>
      </c>
      <c r="DN20" s="711">
        <f t="shared" si="34"/>
        <v>161752</v>
      </c>
      <c r="DO20" s="708">
        <f t="shared" ref="DO20:DZ20" si="74">SUM(DO21:DO22)</f>
        <v>154353</v>
      </c>
      <c r="DP20" s="709">
        <f t="shared" si="74"/>
        <v>2681</v>
      </c>
      <c r="DQ20" s="710">
        <f t="shared" si="74"/>
        <v>42805</v>
      </c>
      <c r="DR20" s="709">
        <f t="shared" si="74"/>
        <v>17145</v>
      </c>
      <c r="DS20" s="709">
        <f t="shared" si="74"/>
        <v>1031</v>
      </c>
      <c r="DT20" s="709">
        <f t="shared" si="74"/>
        <v>50</v>
      </c>
      <c r="DU20" s="709">
        <f t="shared" si="74"/>
        <v>157232</v>
      </c>
      <c r="DV20" s="709">
        <f t="shared" si="74"/>
        <v>6227</v>
      </c>
      <c r="DW20" s="709">
        <f t="shared" si="74"/>
        <v>44015</v>
      </c>
      <c r="DX20" s="709">
        <f t="shared" si="74"/>
        <v>25324</v>
      </c>
      <c r="DY20" s="709">
        <f t="shared" si="74"/>
        <v>634</v>
      </c>
      <c r="DZ20" s="709">
        <f t="shared" si="74"/>
        <v>13512</v>
      </c>
      <c r="EA20" s="711">
        <f t="shared" si="36"/>
        <v>465009</v>
      </c>
      <c r="EB20" s="708">
        <f t="shared" ref="EB20:EM20" si="75">SUM(EB21:EB22)</f>
        <v>77118</v>
      </c>
      <c r="EC20" s="709">
        <f t="shared" si="75"/>
        <v>59451</v>
      </c>
      <c r="ED20" s="710">
        <f t="shared" si="75"/>
        <v>104305</v>
      </c>
      <c r="EE20" s="709">
        <f t="shared" si="75"/>
        <v>12497</v>
      </c>
      <c r="EF20" s="709">
        <f t="shared" si="75"/>
        <v>19264</v>
      </c>
      <c r="EG20" s="709">
        <f t="shared" si="75"/>
        <v>40960</v>
      </c>
      <c r="EH20" s="709">
        <f t="shared" si="75"/>
        <v>21882</v>
      </c>
      <c r="EI20" s="709">
        <f t="shared" si="75"/>
        <v>23027</v>
      </c>
      <c r="EJ20" s="709">
        <f t="shared" si="75"/>
        <v>26056</v>
      </c>
      <c r="EK20" s="709">
        <f t="shared" si="75"/>
        <v>26073</v>
      </c>
      <c r="EL20" s="709">
        <f t="shared" si="75"/>
        <v>18868</v>
      </c>
      <c r="EM20" s="709">
        <f t="shared" si="75"/>
        <v>54295</v>
      </c>
      <c r="EN20" s="711">
        <f t="shared" si="38"/>
        <v>483796</v>
      </c>
      <c r="EO20" s="708">
        <f t="shared" ref="EO20:EZ20" si="76">SUM(EO21:EO22)</f>
        <v>46071</v>
      </c>
      <c r="EP20" s="709">
        <f t="shared" si="76"/>
        <v>5422</v>
      </c>
      <c r="EQ20" s="710">
        <f t="shared" si="76"/>
        <v>72822</v>
      </c>
      <c r="ER20" s="709">
        <f t="shared" si="76"/>
        <v>13179</v>
      </c>
      <c r="ES20" s="709">
        <f t="shared" si="76"/>
        <v>6696</v>
      </c>
      <c r="ET20" s="709">
        <f t="shared" si="76"/>
        <v>8235</v>
      </c>
      <c r="EU20" s="709">
        <f t="shared" si="76"/>
        <v>27015</v>
      </c>
      <c r="EV20" s="709">
        <f t="shared" si="76"/>
        <v>50973</v>
      </c>
      <c r="EW20" s="709">
        <f t="shared" si="76"/>
        <v>22797</v>
      </c>
      <c r="EX20" s="709">
        <f t="shared" si="76"/>
        <v>21637</v>
      </c>
      <c r="EY20" s="709">
        <f t="shared" si="76"/>
        <v>13560</v>
      </c>
      <c r="EZ20" s="709">
        <f t="shared" si="76"/>
        <v>12596</v>
      </c>
      <c r="FA20" s="711">
        <f t="shared" si="40"/>
        <v>301003</v>
      </c>
      <c r="FB20" s="708">
        <f t="shared" ref="FB20:FM20" si="77">SUM(FB21:FB22)</f>
        <v>27364</v>
      </c>
      <c r="FC20" s="709">
        <f t="shared" si="77"/>
        <v>4182</v>
      </c>
      <c r="FD20" s="710">
        <f t="shared" si="77"/>
        <v>44084</v>
      </c>
      <c r="FE20" s="709">
        <f t="shared" si="77"/>
        <v>1632</v>
      </c>
      <c r="FF20" s="709">
        <f t="shared" si="77"/>
        <v>5810</v>
      </c>
      <c r="FG20" s="709">
        <f t="shared" si="77"/>
        <v>7661</v>
      </c>
      <c r="FH20" s="709">
        <f t="shared" si="77"/>
        <v>2512</v>
      </c>
      <c r="FI20" s="709">
        <f t="shared" si="77"/>
        <v>761</v>
      </c>
      <c r="FJ20" s="709">
        <f t="shared" si="77"/>
        <v>2333</v>
      </c>
      <c r="FK20" s="709">
        <f t="shared" si="77"/>
        <v>-27574</v>
      </c>
      <c r="FL20" s="709">
        <f t="shared" si="77"/>
        <v>2755</v>
      </c>
      <c r="FM20" s="709">
        <f t="shared" si="77"/>
        <v>6724</v>
      </c>
      <c r="FN20" s="711">
        <f t="shared" si="42"/>
        <v>78244</v>
      </c>
      <c r="FO20" s="708">
        <f t="shared" ref="FO20:FZ20" si="78">SUM(FO21:FO22)</f>
        <v>30650</v>
      </c>
      <c r="FP20" s="709">
        <f t="shared" si="78"/>
        <v>7684</v>
      </c>
      <c r="FQ20" s="710">
        <f t="shared" si="78"/>
        <v>17023</v>
      </c>
      <c r="FR20" s="709">
        <f t="shared" si="78"/>
        <v>3650</v>
      </c>
      <c r="FS20" s="709">
        <f t="shared" si="78"/>
        <v>1615</v>
      </c>
      <c r="FT20" s="709">
        <f t="shared" si="78"/>
        <v>2221</v>
      </c>
      <c r="FU20" s="709">
        <f t="shared" si="78"/>
        <v>512</v>
      </c>
      <c r="FV20" s="709">
        <f t="shared" si="78"/>
        <v>340</v>
      </c>
      <c r="FW20" s="709">
        <f t="shared" si="78"/>
        <v>886</v>
      </c>
      <c r="FX20" s="709">
        <f t="shared" si="78"/>
        <v>2406</v>
      </c>
      <c r="FY20" s="709">
        <f t="shared" si="78"/>
        <v>1149</v>
      </c>
      <c r="FZ20" s="709">
        <f t="shared" si="78"/>
        <v>737</v>
      </c>
      <c r="GA20" s="711">
        <f t="shared" si="44"/>
        <v>68873</v>
      </c>
      <c r="GB20" s="708">
        <f t="shared" ref="GB20:GM20" si="79">SUM(GB21:GB22)</f>
        <v>28969</v>
      </c>
      <c r="GC20" s="709">
        <f t="shared" si="79"/>
        <v>9283</v>
      </c>
      <c r="GD20" s="710">
        <f t="shared" si="79"/>
        <v>6785</v>
      </c>
      <c r="GE20" s="709">
        <f t="shared" si="79"/>
        <v>1707</v>
      </c>
      <c r="GF20" s="709">
        <f t="shared" si="79"/>
        <v>404</v>
      </c>
      <c r="GG20" s="709">
        <f t="shared" si="79"/>
        <v>1556</v>
      </c>
      <c r="GH20" s="709">
        <f t="shared" si="79"/>
        <v>811</v>
      </c>
      <c r="GI20" s="709">
        <f t="shared" si="79"/>
        <v>6511</v>
      </c>
      <c r="GJ20" s="709">
        <f t="shared" si="79"/>
        <v>5713</v>
      </c>
      <c r="GK20" s="709">
        <f t="shared" si="79"/>
        <v>2238</v>
      </c>
      <c r="GL20" s="709">
        <f t="shared" si="79"/>
        <v>419</v>
      </c>
      <c r="GM20" s="709">
        <f t="shared" si="79"/>
        <v>7714</v>
      </c>
      <c r="GN20" s="708">
        <f t="shared" si="52"/>
        <v>72110</v>
      </c>
      <c r="GO20" s="1328">
        <f t="shared" ref="GO20:GV20" si="80">SUM(GO21:GO22)</f>
        <v>17736</v>
      </c>
      <c r="GP20" s="129">
        <f t="shared" si="80"/>
        <v>10452</v>
      </c>
      <c r="GQ20" s="129">
        <f t="shared" si="80"/>
        <v>17483</v>
      </c>
      <c r="GR20" s="129">
        <f t="shared" si="80"/>
        <v>18</v>
      </c>
      <c r="GS20" s="129">
        <f t="shared" si="80"/>
        <v>102</v>
      </c>
      <c r="GT20" s="129">
        <v>41</v>
      </c>
      <c r="GU20" s="129">
        <f t="shared" si="80"/>
        <v>1203</v>
      </c>
      <c r="GV20" s="129">
        <f t="shared" si="80"/>
        <v>1095</v>
      </c>
      <c r="GW20" s="129"/>
      <c r="GX20" s="129"/>
      <c r="GY20" s="129"/>
      <c r="GZ20" s="1268"/>
      <c r="HA20" s="1343">
        <f t="shared" si="47"/>
        <v>48130</v>
      </c>
      <c r="HB20"/>
      <c r="HC20" s="677">
        <f t="shared" si="48"/>
        <v>-83.182306865304867</v>
      </c>
      <c r="HD20" s="677">
        <f t="shared" si="49"/>
        <v>-14.093456609431332</v>
      </c>
      <c r="HE20" s="679">
        <f t="shared" si="50"/>
        <v>56026</v>
      </c>
      <c r="HF20" s="679">
        <f t="shared" si="51"/>
        <v>48130</v>
      </c>
    </row>
    <row r="21" spans="1:214" ht="13.9" customHeight="1" x14ac:dyDescent="0.2">
      <c r="A21" s="673" t="s">
        <v>398</v>
      </c>
      <c r="B21" s="712">
        <v>0</v>
      </c>
      <c r="C21" s="713">
        <v>0</v>
      </c>
      <c r="D21" s="714">
        <v>0</v>
      </c>
      <c r="E21" s="713">
        <v>0</v>
      </c>
      <c r="F21" s="713">
        <v>0</v>
      </c>
      <c r="G21" s="713">
        <v>500</v>
      </c>
      <c r="H21" s="713">
        <v>1200</v>
      </c>
      <c r="I21" s="713">
        <v>987</v>
      </c>
      <c r="J21" s="713">
        <v>1270</v>
      </c>
      <c r="K21" s="713">
        <v>1343</v>
      </c>
      <c r="L21" s="713">
        <v>110</v>
      </c>
      <c r="M21" s="713">
        <v>4543</v>
      </c>
      <c r="N21" s="715">
        <f t="shared" si="18"/>
        <v>9953</v>
      </c>
      <c r="O21" s="712">
        <v>1500</v>
      </c>
      <c r="P21" s="713">
        <v>103</v>
      </c>
      <c r="Q21" s="714">
        <v>0</v>
      </c>
      <c r="R21" s="713">
        <v>0</v>
      </c>
      <c r="S21" s="713">
        <v>2964</v>
      </c>
      <c r="T21" s="713">
        <v>0</v>
      </c>
      <c r="U21" s="713">
        <v>5161</v>
      </c>
      <c r="V21" s="713">
        <v>1981</v>
      </c>
      <c r="W21" s="713">
        <v>1291</v>
      </c>
      <c r="X21" s="713">
        <v>190</v>
      </c>
      <c r="Y21" s="713">
        <v>1195</v>
      </c>
      <c r="Z21" s="713">
        <v>0</v>
      </c>
      <c r="AA21" s="715">
        <f t="shared" si="20"/>
        <v>14385</v>
      </c>
      <c r="AB21" s="712">
        <v>3400</v>
      </c>
      <c r="AC21" s="713">
        <v>992</v>
      </c>
      <c r="AD21" s="714">
        <v>1320</v>
      </c>
      <c r="AE21" s="713">
        <v>721</v>
      </c>
      <c r="AF21" s="713">
        <v>878</v>
      </c>
      <c r="AG21" s="713">
        <v>0</v>
      </c>
      <c r="AH21" s="713">
        <v>5034</v>
      </c>
      <c r="AI21" s="713">
        <v>200</v>
      </c>
      <c r="AJ21" s="713">
        <v>600</v>
      </c>
      <c r="AK21" s="713">
        <v>1018</v>
      </c>
      <c r="AL21" s="713">
        <v>250</v>
      </c>
      <c r="AM21" s="713">
        <v>1636</v>
      </c>
      <c r="AN21" s="715">
        <f t="shared" si="22"/>
        <v>16049</v>
      </c>
      <c r="AO21" s="712">
        <v>1700</v>
      </c>
      <c r="AP21" s="713">
        <v>0</v>
      </c>
      <c r="AQ21" s="714">
        <v>0</v>
      </c>
      <c r="AR21" s="713">
        <v>0</v>
      </c>
      <c r="AS21" s="713">
        <v>0</v>
      </c>
      <c r="AT21" s="713">
        <v>0</v>
      </c>
      <c r="AU21" s="713">
        <v>0</v>
      </c>
      <c r="AV21" s="713">
        <v>-1500</v>
      </c>
      <c r="AW21" s="713">
        <v>0</v>
      </c>
      <c r="AX21" s="713">
        <v>0</v>
      </c>
      <c r="AY21" s="713">
        <v>0</v>
      </c>
      <c r="AZ21" s="713">
        <v>0</v>
      </c>
      <c r="BA21" s="715">
        <f t="shared" si="24"/>
        <v>200</v>
      </c>
      <c r="BB21" s="712">
        <v>0</v>
      </c>
      <c r="BC21" s="713">
        <v>0</v>
      </c>
      <c r="BD21" s="714">
        <v>0</v>
      </c>
      <c r="BE21" s="713">
        <v>0</v>
      </c>
      <c r="BF21" s="713">
        <v>0</v>
      </c>
      <c r="BG21" s="713">
        <v>6902</v>
      </c>
      <c r="BH21" s="713">
        <v>14586</v>
      </c>
      <c r="BI21" s="713">
        <v>1075</v>
      </c>
      <c r="BJ21" s="713">
        <v>0</v>
      </c>
      <c r="BK21" s="713">
        <v>4510</v>
      </c>
      <c r="BL21" s="713">
        <v>0</v>
      </c>
      <c r="BM21" s="713">
        <v>3124</v>
      </c>
      <c r="BN21" s="715">
        <f t="shared" si="26"/>
        <v>30197</v>
      </c>
      <c r="BO21" s="712">
        <v>0</v>
      </c>
      <c r="BP21" s="713">
        <v>0</v>
      </c>
      <c r="BQ21" s="714">
        <v>0</v>
      </c>
      <c r="BR21" s="713">
        <v>0</v>
      </c>
      <c r="BS21" s="713">
        <v>7539</v>
      </c>
      <c r="BT21" s="713">
        <v>0</v>
      </c>
      <c r="BU21" s="713">
        <v>12148</v>
      </c>
      <c r="BV21" s="713">
        <v>4486</v>
      </c>
      <c r="BW21" s="713">
        <v>1940</v>
      </c>
      <c r="BX21" s="713">
        <v>29077</v>
      </c>
      <c r="BY21" s="713">
        <v>14427</v>
      </c>
      <c r="BZ21" s="713">
        <v>6881</v>
      </c>
      <c r="CA21" s="715">
        <f t="shared" si="28"/>
        <v>76498</v>
      </c>
      <c r="CB21" s="712">
        <v>0</v>
      </c>
      <c r="CC21" s="713">
        <v>1180</v>
      </c>
      <c r="CD21" s="714">
        <v>30058</v>
      </c>
      <c r="CE21" s="713">
        <v>35262</v>
      </c>
      <c r="CF21" s="713">
        <v>18320</v>
      </c>
      <c r="CG21" s="713">
        <v>14097</v>
      </c>
      <c r="CH21" s="713">
        <v>36399</v>
      </c>
      <c r="CI21" s="713">
        <v>9661</v>
      </c>
      <c r="CJ21" s="713">
        <v>16204</v>
      </c>
      <c r="CK21" s="713">
        <v>9284</v>
      </c>
      <c r="CL21" s="713">
        <v>21466</v>
      </c>
      <c r="CM21" s="713">
        <v>43137</v>
      </c>
      <c r="CN21" s="715">
        <f t="shared" si="30"/>
        <v>235068</v>
      </c>
      <c r="CO21" s="712">
        <v>0</v>
      </c>
      <c r="CP21" s="713">
        <v>0</v>
      </c>
      <c r="CQ21" s="714">
        <v>23776</v>
      </c>
      <c r="CR21" s="713">
        <v>0</v>
      </c>
      <c r="CS21" s="713">
        <v>25597</v>
      </c>
      <c r="CT21" s="713">
        <v>33284</v>
      </c>
      <c r="CU21" s="713">
        <v>4946</v>
      </c>
      <c r="CV21" s="713">
        <v>4379</v>
      </c>
      <c r="CW21" s="713">
        <v>6146</v>
      </c>
      <c r="CX21" s="713">
        <v>36122</v>
      </c>
      <c r="CY21" s="713">
        <v>650</v>
      </c>
      <c r="CZ21" s="713">
        <v>0</v>
      </c>
      <c r="DA21" s="715">
        <f t="shared" si="32"/>
        <v>134900</v>
      </c>
      <c r="DB21" s="712">
        <v>0</v>
      </c>
      <c r="DC21" s="713">
        <v>15777</v>
      </c>
      <c r="DD21" s="714">
        <v>4269</v>
      </c>
      <c r="DE21" s="713">
        <v>3877</v>
      </c>
      <c r="DF21" s="713">
        <v>4450</v>
      </c>
      <c r="DG21" s="713">
        <v>20823</v>
      </c>
      <c r="DH21" s="713">
        <v>4686</v>
      </c>
      <c r="DI21" s="713">
        <v>7762</v>
      </c>
      <c r="DJ21" s="713">
        <v>3741</v>
      </c>
      <c r="DK21" s="713">
        <v>1277</v>
      </c>
      <c r="DL21" s="713">
        <v>2955</v>
      </c>
      <c r="DM21" s="713">
        <v>13852</v>
      </c>
      <c r="DN21" s="715">
        <f t="shared" si="34"/>
        <v>83469</v>
      </c>
      <c r="DO21" s="712">
        <v>887</v>
      </c>
      <c r="DP21" s="713">
        <v>1423</v>
      </c>
      <c r="DQ21" s="714">
        <v>1733</v>
      </c>
      <c r="DR21" s="713">
        <v>16984</v>
      </c>
      <c r="DS21" s="713">
        <v>1005</v>
      </c>
      <c r="DT21" s="713">
        <v>0</v>
      </c>
      <c r="DU21" s="713">
        <v>157235</v>
      </c>
      <c r="DV21" s="713">
        <v>6114</v>
      </c>
      <c r="DW21" s="713">
        <v>44004</v>
      </c>
      <c r="DX21" s="713">
        <v>25305</v>
      </c>
      <c r="DY21" s="713">
        <v>-185</v>
      </c>
      <c r="DZ21" s="713">
        <v>13469</v>
      </c>
      <c r="EA21" s="715">
        <f t="shared" si="36"/>
        <v>267974</v>
      </c>
      <c r="EB21" s="712">
        <v>6001</v>
      </c>
      <c r="EC21" s="713">
        <v>37979</v>
      </c>
      <c r="ED21" s="714">
        <v>39091</v>
      </c>
      <c r="EE21" s="713">
        <v>10571</v>
      </c>
      <c r="EF21" s="713">
        <v>19247</v>
      </c>
      <c r="EG21" s="713">
        <v>40467</v>
      </c>
      <c r="EH21" s="713">
        <v>22799</v>
      </c>
      <c r="EI21" s="713">
        <v>23017</v>
      </c>
      <c r="EJ21" s="713">
        <v>26100</v>
      </c>
      <c r="EK21" s="713">
        <v>26028</v>
      </c>
      <c r="EL21" s="713">
        <v>18903</v>
      </c>
      <c r="EM21" s="713">
        <v>54446</v>
      </c>
      <c r="EN21" s="715">
        <f t="shared" si="38"/>
        <v>324649</v>
      </c>
      <c r="EO21" s="712">
        <v>114</v>
      </c>
      <c r="EP21" s="713">
        <v>143</v>
      </c>
      <c r="EQ21" s="714">
        <v>15037</v>
      </c>
      <c r="ER21" s="713">
        <v>6923</v>
      </c>
      <c r="ES21" s="713">
        <v>6018</v>
      </c>
      <c r="ET21" s="713">
        <v>5540</v>
      </c>
      <c r="EU21" s="713">
        <v>24774</v>
      </c>
      <c r="EV21" s="713">
        <v>49969</v>
      </c>
      <c r="EW21" s="713">
        <v>19383</v>
      </c>
      <c r="EX21" s="713">
        <v>19010</v>
      </c>
      <c r="EY21" s="713">
        <v>13113</v>
      </c>
      <c r="EZ21" s="713">
        <v>12180</v>
      </c>
      <c r="FA21" s="715">
        <f t="shared" si="40"/>
        <v>172204</v>
      </c>
      <c r="FB21" s="712">
        <v>0</v>
      </c>
      <c r="FC21" s="713">
        <v>0</v>
      </c>
      <c r="FD21" s="714">
        <v>0</v>
      </c>
      <c r="FE21" s="713">
        <v>1243</v>
      </c>
      <c r="FF21" s="713">
        <v>3228</v>
      </c>
      <c r="FG21" s="713">
        <v>0</v>
      </c>
      <c r="FH21" s="713">
        <v>0</v>
      </c>
      <c r="FI21" s="713">
        <v>466</v>
      </c>
      <c r="FJ21" s="713">
        <v>1895</v>
      </c>
      <c r="FK21" s="713">
        <v>0</v>
      </c>
      <c r="FL21" s="713">
        <v>2589</v>
      </c>
      <c r="FM21" s="713">
        <v>5588</v>
      </c>
      <c r="FN21" s="715">
        <f t="shared" si="42"/>
        <v>15009</v>
      </c>
      <c r="FO21" s="712">
        <v>0</v>
      </c>
      <c r="FP21" s="713">
        <v>1136</v>
      </c>
      <c r="FQ21" s="714">
        <v>950</v>
      </c>
      <c r="FR21" s="713">
        <v>0</v>
      </c>
      <c r="FS21" s="713">
        <v>1370</v>
      </c>
      <c r="FT21" s="713">
        <v>1495</v>
      </c>
      <c r="FU21" s="713">
        <v>0</v>
      </c>
      <c r="FV21" s="713">
        <v>200</v>
      </c>
      <c r="FW21" s="713">
        <v>670</v>
      </c>
      <c r="FX21" s="713">
        <v>1776</v>
      </c>
      <c r="FY21" s="713">
        <v>0</v>
      </c>
      <c r="FZ21" s="713">
        <v>0</v>
      </c>
      <c r="GA21" s="715">
        <f t="shared" si="44"/>
        <v>7597</v>
      </c>
      <c r="GB21" s="712">
        <v>1687</v>
      </c>
      <c r="GC21" s="713">
        <v>0</v>
      </c>
      <c r="GD21" s="714">
        <v>0</v>
      </c>
      <c r="GE21" s="713">
        <v>0</v>
      </c>
      <c r="GF21" s="713">
        <v>0</v>
      </c>
      <c r="GG21" s="713">
        <v>480</v>
      </c>
      <c r="GH21" s="713">
        <v>0</v>
      </c>
      <c r="GI21" s="713">
        <v>5178</v>
      </c>
      <c r="GJ21" s="713">
        <v>0</v>
      </c>
      <c r="GK21" s="713">
        <v>29</v>
      </c>
      <c r="GL21" s="713">
        <v>120</v>
      </c>
      <c r="GM21" s="713">
        <v>4123</v>
      </c>
      <c r="GN21" s="712">
        <f t="shared" si="52"/>
        <v>11617</v>
      </c>
      <c r="GO21" s="1324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906</v>
      </c>
      <c r="GV21">
        <v>563</v>
      </c>
      <c r="GZ21" s="1266"/>
      <c r="HA21" s="1059">
        <f t="shared" si="47"/>
        <v>1469</v>
      </c>
      <c r="HC21" s="681">
        <f t="shared" si="48"/>
        <v>-89.12707609115489</v>
      </c>
      <c r="HD21" s="681">
        <f t="shared" si="49"/>
        <v>-80</v>
      </c>
      <c r="HE21" s="683">
        <f t="shared" si="50"/>
        <v>7345</v>
      </c>
      <c r="HF21" s="683">
        <f t="shared" si="51"/>
        <v>1469</v>
      </c>
    </row>
    <row r="22" spans="1:214" ht="13.9" customHeight="1" x14ac:dyDescent="0.2">
      <c r="A22" s="680" t="s">
        <v>399</v>
      </c>
      <c r="B22" s="712">
        <v>8804</v>
      </c>
      <c r="C22" s="713">
        <v>1</v>
      </c>
      <c r="D22" s="714">
        <v>6349</v>
      </c>
      <c r="E22" s="713">
        <v>10560</v>
      </c>
      <c r="F22" s="713">
        <v>586</v>
      </c>
      <c r="G22" s="713">
        <v>389</v>
      </c>
      <c r="H22" s="713">
        <v>3168</v>
      </c>
      <c r="I22" s="713">
        <v>37</v>
      </c>
      <c r="J22" s="713">
        <v>1355</v>
      </c>
      <c r="K22" s="713">
        <v>187</v>
      </c>
      <c r="L22" s="713">
        <v>331</v>
      </c>
      <c r="M22" s="713">
        <v>8478</v>
      </c>
      <c r="N22" s="715">
        <f t="shared" si="18"/>
        <v>40245</v>
      </c>
      <c r="O22" s="712">
        <v>56844</v>
      </c>
      <c r="P22" s="713">
        <v>12977</v>
      </c>
      <c r="Q22" s="714">
        <v>9357</v>
      </c>
      <c r="R22" s="713">
        <v>3358</v>
      </c>
      <c r="S22" s="713">
        <v>498</v>
      </c>
      <c r="T22" s="713">
        <v>4918</v>
      </c>
      <c r="U22" s="713">
        <v>1162</v>
      </c>
      <c r="V22" s="713">
        <v>3717</v>
      </c>
      <c r="W22" s="713">
        <v>28</v>
      </c>
      <c r="X22" s="713">
        <v>1548</v>
      </c>
      <c r="Y22" s="713">
        <v>-0.40600000000000003</v>
      </c>
      <c r="Z22" s="713">
        <v>424</v>
      </c>
      <c r="AA22" s="715">
        <f t="shared" si="20"/>
        <v>94830.593999999997</v>
      </c>
      <c r="AB22" s="712">
        <v>49899</v>
      </c>
      <c r="AC22" s="713">
        <v>4080</v>
      </c>
      <c r="AD22" s="714">
        <v>5739</v>
      </c>
      <c r="AE22" s="713">
        <v>1120</v>
      </c>
      <c r="AF22" s="713">
        <v>371</v>
      </c>
      <c r="AG22" s="713">
        <v>2849</v>
      </c>
      <c r="AH22" s="713">
        <v>875</v>
      </c>
      <c r="AI22" s="713">
        <v>488</v>
      </c>
      <c r="AJ22" s="713">
        <v>1796</v>
      </c>
      <c r="AK22" s="713">
        <v>6332</v>
      </c>
      <c r="AL22" s="713">
        <v>232</v>
      </c>
      <c r="AM22" s="713">
        <v>2427</v>
      </c>
      <c r="AN22" s="715">
        <f t="shared" si="22"/>
        <v>76208</v>
      </c>
      <c r="AO22" s="712">
        <v>69224</v>
      </c>
      <c r="AP22" s="713">
        <v>2779</v>
      </c>
      <c r="AQ22" s="714">
        <v>13922</v>
      </c>
      <c r="AR22" s="713">
        <v>2355</v>
      </c>
      <c r="AS22" s="713">
        <v>-7997</v>
      </c>
      <c r="AT22" s="713">
        <v>8311</v>
      </c>
      <c r="AU22" s="713">
        <v>3688</v>
      </c>
      <c r="AV22" s="713">
        <v>1596</v>
      </c>
      <c r="AW22" s="713">
        <v>361</v>
      </c>
      <c r="AX22" s="713">
        <v>-29</v>
      </c>
      <c r="AY22" s="713">
        <v>63</v>
      </c>
      <c r="AZ22" s="713">
        <v>495</v>
      </c>
      <c r="BA22" s="715">
        <f t="shared" si="24"/>
        <v>94768</v>
      </c>
      <c r="BB22" s="712">
        <v>48510</v>
      </c>
      <c r="BC22" s="713">
        <v>1786</v>
      </c>
      <c r="BD22" s="714">
        <v>9100</v>
      </c>
      <c r="BE22" s="713">
        <v>1420</v>
      </c>
      <c r="BF22" s="713">
        <v>65</v>
      </c>
      <c r="BG22" s="713">
        <v>24</v>
      </c>
      <c r="BH22" s="713">
        <v>4341</v>
      </c>
      <c r="BI22" s="713">
        <v>212</v>
      </c>
      <c r="BJ22" s="713">
        <v>439</v>
      </c>
      <c r="BK22" s="713">
        <v>259</v>
      </c>
      <c r="BL22" s="713">
        <v>-1</v>
      </c>
      <c r="BM22" s="713">
        <v>60</v>
      </c>
      <c r="BN22" s="715">
        <f t="shared" si="26"/>
        <v>66215</v>
      </c>
      <c r="BO22" s="712">
        <v>90692</v>
      </c>
      <c r="BP22" s="713">
        <v>1840</v>
      </c>
      <c r="BQ22" s="714">
        <v>6015</v>
      </c>
      <c r="BR22" s="713">
        <v>29026</v>
      </c>
      <c r="BS22" s="713">
        <v>453</v>
      </c>
      <c r="BT22" s="713">
        <v>193</v>
      </c>
      <c r="BU22" s="713">
        <v>202</v>
      </c>
      <c r="BV22" s="713">
        <v>-707</v>
      </c>
      <c r="BW22" s="713">
        <v>112</v>
      </c>
      <c r="BX22" s="713">
        <v>951</v>
      </c>
      <c r="BY22" s="713">
        <v>122</v>
      </c>
      <c r="BZ22" s="713">
        <v>-458</v>
      </c>
      <c r="CA22" s="715">
        <f t="shared" si="28"/>
        <v>128441</v>
      </c>
      <c r="CB22" s="712">
        <v>59929</v>
      </c>
      <c r="CC22" s="713">
        <v>24776</v>
      </c>
      <c r="CD22" s="714">
        <v>18665</v>
      </c>
      <c r="CE22" s="713">
        <v>2738</v>
      </c>
      <c r="CF22" s="713">
        <v>-49</v>
      </c>
      <c r="CG22" s="713">
        <v>3088</v>
      </c>
      <c r="CH22" s="713">
        <v>853</v>
      </c>
      <c r="CI22" s="713">
        <v>11</v>
      </c>
      <c r="CJ22" s="713">
        <v>1083</v>
      </c>
      <c r="CK22" s="713">
        <v>875</v>
      </c>
      <c r="CL22" s="713">
        <v>21</v>
      </c>
      <c r="CM22" s="713">
        <v>1937</v>
      </c>
      <c r="CN22" s="715">
        <f t="shared" si="30"/>
        <v>113927</v>
      </c>
      <c r="CO22" s="712">
        <v>181266</v>
      </c>
      <c r="CP22" s="713">
        <v>9196</v>
      </c>
      <c r="CQ22" s="714">
        <v>7605</v>
      </c>
      <c r="CR22" s="713">
        <v>4152</v>
      </c>
      <c r="CS22" s="713">
        <v>451</v>
      </c>
      <c r="CT22" s="713">
        <v>387</v>
      </c>
      <c r="CU22" s="713">
        <v>32</v>
      </c>
      <c r="CV22" s="713">
        <v>1476</v>
      </c>
      <c r="CW22" s="713">
        <v>541</v>
      </c>
      <c r="CX22" s="713">
        <v>255</v>
      </c>
      <c r="CY22" s="713">
        <v>-232</v>
      </c>
      <c r="CZ22" s="713">
        <v>521</v>
      </c>
      <c r="DA22" s="715">
        <f t="shared" si="32"/>
        <v>205650</v>
      </c>
      <c r="DB22" s="712">
        <v>61636</v>
      </c>
      <c r="DC22" s="713">
        <v>2036</v>
      </c>
      <c r="DD22" s="714">
        <v>948</v>
      </c>
      <c r="DE22" s="713">
        <v>1387</v>
      </c>
      <c r="DF22" s="713">
        <v>717</v>
      </c>
      <c r="DG22" s="713">
        <v>70</v>
      </c>
      <c r="DH22" s="713">
        <v>3491</v>
      </c>
      <c r="DI22" s="713">
        <v>-434</v>
      </c>
      <c r="DJ22" s="713">
        <v>154</v>
      </c>
      <c r="DK22" s="713">
        <v>6982</v>
      </c>
      <c r="DL22" s="713">
        <v>398</v>
      </c>
      <c r="DM22" s="713">
        <v>898</v>
      </c>
      <c r="DN22" s="715">
        <f t="shared" si="34"/>
        <v>78283</v>
      </c>
      <c r="DO22" s="712">
        <v>153466</v>
      </c>
      <c r="DP22" s="713">
        <v>1258</v>
      </c>
      <c r="DQ22" s="714">
        <v>41072</v>
      </c>
      <c r="DR22" s="713">
        <v>161</v>
      </c>
      <c r="DS22" s="713">
        <v>26</v>
      </c>
      <c r="DT22" s="713">
        <v>50</v>
      </c>
      <c r="DU22" s="713">
        <v>-3</v>
      </c>
      <c r="DV22" s="713">
        <v>113</v>
      </c>
      <c r="DW22" s="713">
        <v>11</v>
      </c>
      <c r="DX22" s="713">
        <v>19</v>
      </c>
      <c r="DY22" s="713">
        <v>819</v>
      </c>
      <c r="DZ22" s="713">
        <v>43</v>
      </c>
      <c r="EA22" s="715">
        <f t="shared" si="36"/>
        <v>197035</v>
      </c>
      <c r="EB22" s="712">
        <v>71117</v>
      </c>
      <c r="EC22" s="713">
        <v>21472</v>
      </c>
      <c r="ED22" s="714">
        <v>65214</v>
      </c>
      <c r="EE22" s="713">
        <v>1926</v>
      </c>
      <c r="EF22" s="713">
        <v>17</v>
      </c>
      <c r="EG22" s="713">
        <v>493</v>
      </c>
      <c r="EH22" s="713">
        <v>-917</v>
      </c>
      <c r="EI22" s="713">
        <v>10</v>
      </c>
      <c r="EJ22" s="713">
        <v>-44</v>
      </c>
      <c r="EK22" s="713">
        <v>45</v>
      </c>
      <c r="EL22" s="713">
        <v>-35</v>
      </c>
      <c r="EM22" s="713">
        <v>-151</v>
      </c>
      <c r="EN22" s="715">
        <f t="shared" si="38"/>
        <v>159147</v>
      </c>
      <c r="EO22" s="712">
        <v>45957</v>
      </c>
      <c r="EP22" s="713">
        <v>5279</v>
      </c>
      <c r="EQ22" s="714">
        <v>57785</v>
      </c>
      <c r="ER22" s="713">
        <v>6256</v>
      </c>
      <c r="ES22" s="713">
        <v>678</v>
      </c>
      <c r="ET22" s="713">
        <v>2695</v>
      </c>
      <c r="EU22" s="713">
        <v>2241</v>
      </c>
      <c r="EV22" s="713">
        <v>1004</v>
      </c>
      <c r="EW22" s="713">
        <v>3414</v>
      </c>
      <c r="EX22" s="713">
        <v>2627</v>
      </c>
      <c r="EY22" s="713">
        <v>447</v>
      </c>
      <c r="EZ22" s="713">
        <v>416</v>
      </c>
      <c r="FA22" s="715">
        <f t="shared" si="40"/>
        <v>128799</v>
      </c>
      <c r="FB22" s="712">
        <v>27364</v>
      </c>
      <c r="FC22" s="713">
        <v>4182</v>
      </c>
      <c r="FD22" s="714">
        <v>44084</v>
      </c>
      <c r="FE22" s="713">
        <v>389</v>
      </c>
      <c r="FF22" s="713">
        <v>2582</v>
      </c>
      <c r="FG22" s="713">
        <v>7661</v>
      </c>
      <c r="FH22" s="713">
        <v>2512</v>
      </c>
      <c r="FI22" s="713">
        <v>295</v>
      </c>
      <c r="FJ22" s="713">
        <v>438</v>
      </c>
      <c r="FK22" s="713">
        <v>-27574</v>
      </c>
      <c r="FL22" s="713">
        <v>166</v>
      </c>
      <c r="FM22" s="713">
        <v>1136</v>
      </c>
      <c r="FN22" s="715">
        <f t="shared" si="42"/>
        <v>63235</v>
      </c>
      <c r="FO22" s="712">
        <v>30650</v>
      </c>
      <c r="FP22" s="713">
        <v>6548</v>
      </c>
      <c r="FQ22" s="714">
        <v>16073</v>
      </c>
      <c r="FR22" s="713">
        <v>3650</v>
      </c>
      <c r="FS22" s="713">
        <v>245</v>
      </c>
      <c r="FT22" s="713">
        <v>726</v>
      </c>
      <c r="FU22" s="713">
        <v>512</v>
      </c>
      <c r="FV22" s="713">
        <v>140</v>
      </c>
      <c r="FW22" s="713">
        <v>216</v>
      </c>
      <c r="FX22" s="713">
        <v>630</v>
      </c>
      <c r="FY22" s="713">
        <v>1149</v>
      </c>
      <c r="FZ22" s="713">
        <v>737</v>
      </c>
      <c r="GA22" s="715">
        <f t="shared" si="44"/>
        <v>61276</v>
      </c>
      <c r="GB22" s="712">
        <v>27282</v>
      </c>
      <c r="GC22" s="713">
        <v>9283</v>
      </c>
      <c r="GD22" s="714">
        <v>6785</v>
      </c>
      <c r="GE22" s="713">
        <v>1707</v>
      </c>
      <c r="GF22" s="713">
        <v>404</v>
      </c>
      <c r="GG22" s="713">
        <v>1076</v>
      </c>
      <c r="GH22" s="713">
        <v>811</v>
      </c>
      <c r="GI22" s="713">
        <v>1333</v>
      </c>
      <c r="GJ22" s="713">
        <v>5713</v>
      </c>
      <c r="GK22" s="713">
        <v>2209</v>
      </c>
      <c r="GL22" s="713">
        <v>299</v>
      </c>
      <c r="GM22" s="713">
        <v>3591</v>
      </c>
      <c r="GN22" s="712">
        <f t="shared" si="52"/>
        <v>60493</v>
      </c>
      <c r="GO22" s="1324">
        <v>17736</v>
      </c>
      <c r="GP22">
        <v>10452</v>
      </c>
      <c r="GQ22">
        <v>17483</v>
      </c>
      <c r="GR22">
        <v>18</v>
      </c>
      <c r="GS22">
        <v>102</v>
      </c>
      <c r="GT22">
        <v>41</v>
      </c>
      <c r="GU22">
        <v>297</v>
      </c>
      <c r="GV22">
        <v>532</v>
      </c>
      <c r="GZ22" s="1266"/>
      <c r="HA22" s="1059">
        <f t="shared" si="47"/>
        <v>46661</v>
      </c>
      <c r="HC22" s="681">
        <f t="shared" si="48"/>
        <v>-60.090022505626408</v>
      </c>
      <c r="HD22" s="681">
        <f t="shared" si="49"/>
        <v>-4.1494628294406422</v>
      </c>
      <c r="HE22" s="683">
        <f t="shared" si="50"/>
        <v>48681</v>
      </c>
      <c r="HF22" s="683">
        <f t="shared" si="51"/>
        <v>46661</v>
      </c>
    </row>
    <row r="23" spans="1:214" ht="13.9" customHeight="1" x14ac:dyDescent="0.2">
      <c r="A23" s="680" t="s">
        <v>352</v>
      </c>
      <c r="B23" s="712"/>
      <c r="C23" s="713"/>
      <c r="D23" s="714"/>
      <c r="E23" s="713"/>
      <c r="F23" s="713"/>
      <c r="G23" s="713"/>
      <c r="H23" s="713"/>
      <c r="I23" s="713"/>
      <c r="J23" s="713"/>
      <c r="K23" s="713"/>
      <c r="L23" s="713"/>
      <c r="M23" s="713"/>
      <c r="N23" s="715"/>
      <c r="O23" s="712"/>
      <c r="P23" s="713"/>
      <c r="Q23" s="714"/>
      <c r="R23" s="713"/>
      <c r="S23" s="713"/>
      <c r="T23" s="713"/>
      <c r="U23" s="713"/>
      <c r="V23" s="713"/>
      <c r="W23" s="713"/>
      <c r="X23" s="713"/>
      <c r="Y23" s="713"/>
      <c r="Z23" s="713"/>
      <c r="AA23" s="715"/>
      <c r="AB23" s="712"/>
      <c r="AC23" s="713"/>
      <c r="AD23" s="714"/>
      <c r="AE23" s="713"/>
      <c r="AF23" s="713"/>
      <c r="AG23" s="713"/>
      <c r="AH23" s="713"/>
      <c r="AI23" s="713"/>
      <c r="AJ23" s="713"/>
      <c r="AK23" s="713"/>
      <c r="AL23" s="713"/>
      <c r="AM23" s="713"/>
      <c r="AN23" s="715"/>
      <c r="AO23" s="712"/>
      <c r="AP23" s="713"/>
      <c r="AQ23" s="714"/>
      <c r="AR23" s="713"/>
      <c r="AS23" s="713"/>
      <c r="AT23" s="713"/>
      <c r="AU23" s="713"/>
      <c r="AV23" s="713"/>
      <c r="AW23" s="713"/>
      <c r="AX23" s="713"/>
      <c r="AY23" s="713"/>
      <c r="AZ23" s="713"/>
      <c r="BA23" s="715"/>
      <c r="BB23" s="712"/>
      <c r="BC23" s="713"/>
      <c r="BD23" s="714"/>
      <c r="BE23" s="713"/>
      <c r="BF23" s="713"/>
      <c r="BG23" s="713"/>
      <c r="BH23" s="713"/>
      <c r="BI23" s="713"/>
      <c r="BJ23" s="713"/>
      <c r="BK23" s="713"/>
      <c r="BL23" s="713"/>
      <c r="BM23" s="713"/>
      <c r="BN23" s="715"/>
      <c r="BO23" s="712"/>
      <c r="BP23" s="713"/>
      <c r="BQ23" s="714"/>
      <c r="BR23" s="713"/>
      <c r="BS23" s="713"/>
      <c r="BT23" s="713"/>
      <c r="BU23" s="713"/>
      <c r="BV23" s="713"/>
      <c r="BW23" s="713"/>
      <c r="BX23" s="713"/>
      <c r="BY23" s="713"/>
      <c r="BZ23" s="713"/>
      <c r="CA23" s="715"/>
      <c r="CB23" s="712"/>
      <c r="CC23" s="713"/>
      <c r="CD23" s="714"/>
      <c r="CE23" s="713"/>
      <c r="CF23" s="713"/>
      <c r="CG23" s="713"/>
      <c r="CH23" s="713"/>
      <c r="CI23" s="713"/>
      <c r="CJ23" s="713"/>
      <c r="CK23" s="713"/>
      <c r="CL23" s="713"/>
      <c r="CM23" s="713"/>
      <c r="CN23" s="715"/>
      <c r="CO23" s="712"/>
      <c r="CP23" s="713"/>
      <c r="CQ23" s="714"/>
      <c r="CR23" s="713"/>
      <c r="CS23" s="713"/>
      <c r="CT23" s="713"/>
      <c r="CU23" s="713"/>
      <c r="CV23" s="713"/>
      <c r="CW23" s="713"/>
      <c r="CX23" s="713"/>
      <c r="CY23" s="713"/>
      <c r="CZ23" s="713"/>
      <c r="DA23" s="715"/>
      <c r="DB23" s="712"/>
      <c r="DC23" s="713"/>
      <c r="DD23" s="714"/>
      <c r="DE23" s="713"/>
      <c r="DF23" s="713"/>
      <c r="DG23" s="713"/>
      <c r="DH23" s="713"/>
      <c r="DI23" s="713"/>
      <c r="DJ23" s="713"/>
      <c r="DK23" s="713"/>
      <c r="DL23" s="713"/>
      <c r="DM23" s="713"/>
      <c r="DN23" s="715"/>
      <c r="DO23" s="712"/>
      <c r="DP23" s="713"/>
      <c r="DQ23" s="714"/>
      <c r="DR23" s="713"/>
      <c r="DS23" s="713"/>
      <c r="DT23" s="713"/>
      <c r="DU23" s="713"/>
      <c r="DV23" s="713"/>
      <c r="DW23" s="713"/>
      <c r="DX23" s="713"/>
      <c r="DY23" s="713"/>
      <c r="DZ23" s="713"/>
      <c r="EA23" s="715"/>
      <c r="EB23" s="712"/>
      <c r="EC23" s="713"/>
      <c r="ED23" s="714"/>
      <c r="EE23" s="713"/>
      <c r="EF23" s="713"/>
      <c r="EG23" s="713"/>
      <c r="EH23" s="713"/>
      <c r="EI23" s="713"/>
      <c r="EJ23" s="713"/>
      <c r="EK23" s="713"/>
      <c r="EL23" s="713"/>
      <c r="EM23" s="713"/>
      <c r="EN23" s="715"/>
      <c r="EO23" s="712"/>
      <c r="EP23" s="713"/>
      <c r="EQ23" s="714"/>
      <c r="ER23" s="713"/>
      <c r="ES23" s="713"/>
      <c r="ET23" s="713"/>
      <c r="EU23" s="713"/>
      <c r="EV23" s="713"/>
      <c r="EW23" s="713"/>
      <c r="EX23" s="713"/>
      <c r="EY23" s="713"/>
      <c r="EZ23" s="713"/>
      <c r="FA23" s="715"/>
      <c r="FB23" s="712"/>
      <c r="FC23" s="713"/>
      <c r="FD23" s="714"/>
      <c r="FE23" s="713"/>
      <c r="FF23" s="713"/>
      <c r="FG23" s="713"/>
      <c r="FH23" s="713"/>
      <c r="FI23" s="713"/>
      <c r="FJ23" s="713"/>
      <c r="FK23" s="713"/>
      <c r="FL23" s="713"/>
      <c r="FM23" s="713"/>
      <c r="FN23" s="715"/>
      <c r="FO23" s="712"/>
      <c r="FP23" s="713"/>
      <c r="FQ23" s="714"/>
      <c r="FR23" s="713"/>
      <c r="FS23" s="713"/>
      <c r="FT23" s="713"/>
      <c r="FU23" s="713"/>
      <c r="FV23" s="713"/>
      <c r="FW23" s="713"/>
      <c r="FX23" s="713"/>
      <c r="FY23" s="713"/>
      <c r="FZ23" s="713"/>
      <c r="GA23" s="715"/>
      <c r="GB23" s="712"/>
      <c r="GC23" s="713"/>
      <c r="GD23" s="714"/>
      <c r="GE23" s="713"/>
      <c r="GF23" s="713"/>
      <c r="GG23" s="713"/>
      <c r="GH23" s="713"/>
      <c r="GI23" s="713"/>
      <c r="GJ23" s="713"/>
      <c r="GK23" s="713"/>
      <c r="GL23" s="713"/>
      <c r="GM23" s="713"/>
      <c r="GN23" s="712"/>
      <c r="GO23" s="1324"/>
      <c r="GZ23" s="1266"/>
      <c r="HA23" s="1059"/>
      <c r="HC23" s="681" t="str">
        <f t="shared" si="48"/>
        <v/>
      </c>
      <c r="HD23" s="681"/>
      <c r="HE23" s="683"/>
      <c r="HF23" s="683"/>
    </row>
    <row r="24" spans="1:214" s="699" customFormat="1" ht="13.9" customHeight="1" x14ac:dyDescent="0.2">
      <c r="A24" s="695" t="s">
        <v>400</v>
      </c>
      <c r="B24" s="704">
        <f t="shared" ref="B24:M24" si="81">SUM(B25:B30)</f>
        <v>20913</v>
      </c>
      <c r="C24" s="705">
        <f t="shared" si="81"/>
        <v>16096</v>
      </c>
      <c r="D24" s="706">
        <f t="shared" si="81"/>
        <v>20914</v>
      </c>
      <c r="E24" s="705">
        <f t="shared" si="81"/>
        <v>24591</v>
      </c>
      <c r="F24" s="705">
        <f t="shared" si="81"/>
        <v>18729</v>
      </c>
      <c r="G24" s="705">
        <f t="shared" si="81"/>
        <v>31416</v>
      </c>
      <c r="H24" s="705">
        <f t="shared" si="81"/>
        <v>21214</v>
      </c>
      <c r="I24" s="705">
        <f t="shared" si="81"/>
        <v>19268</v>
      </c>
      <c r="J24" s="705">
        <f t="shared" si="81"/>
        <v>21214</v>
      </c>
      <c r="K24" s="705">
        <f t="shared" si="81"/>
        <v>20287</v>
      </c>
      <c r="L24" s="705">
        <f t="shared" si="81"/>
        <v>40760</v>
      </c>
      <c r="M24" s="705">
        <f t="shared" si="81"/>
        <v>61738</v>
      </c>
      <c r="N24" s="707">
        <f t="shared" ref="N24:N30" si="82">SUM(B24:M24)</f>
        <v>317140</v>
      </c>
      <c r="O24" s="704">
        <f t="shared" ref="O24:Z24" si="83">SUM(O25:O30)</f>
        <v>74729</v>
      </c>
      <c r="P24" s="705">
        <f t="shared" si="83"/>
        <v>32629</v>
      </c>
      <c r="Q24" s="706">
        <f t="shared" si="83"/>
        <v>32267</v>
      </c>
      <c r="R24" s="705">
        <f t="shared" si="83"/>
        <v>19520</v>
      </c>
      <c r="S24" s="705">
        <f t="shared" si="83"/>
        <v>23095</v>
      </c>
      <c r="T24" s="705">
        <f t="shared" si="83"/>
        <v>43495.000999999997</v>
      </c>
      <c r="U24" s="705">
        <f t="shared" si="83"/>
        <v>33010</v>
      </c>
      <c r="V24" s="705">
        <f t="shared" si="83"/>
        <v>41061</v>
      </c>
      <c r="W24" s="705">
        <f t="shared" si="83"/>
        <v>25698</v>
      </c>
      <c r="X24" s="705">
        <f t="shared" si="83"/>
        <v>37454</v>
      </c>
      <c r="Y24" s="705">
        <f t="shared" si="83"/>
        <v>24060</v>
      </c>
      <c r="Z24" s="705">
        <f t="shared" si="83"/>
        <v>26428</v>
      </c>
      <c r="AA24" s="707">
        <f t="shared" ref="AA24:AA30" si="84">SUM(O24:Z24)</f>
        <v>413446.00099999999</v>
      </c>
      <c r="AB24" s="704">
        <f t="shared" ref="AB24:AM24" si="85">SUM(AB25:AB30)</f>
        <v>78257</v>
      </c>
      <c r="AC24" s="705">
        <f t="shared" si="85"/>
        <v>15401</v>
      </c>
      <c r="AD24" s="706">
        <f t="shared" si="85"/>
        <v>57477</v>
      </c>
      <c r="AE24" s="705">
        <f t="shared" si="85"/>
        <v>19886</v>
      </c>
      <c r="AF24" s="705">
        <f t="shared" si="85"/>
        <v>19684</v>
      </c>
      <c r="AG24" s="705">
        <f t="shared" si="85"/>
        <v>28469</v>
      </c>
      <c r="AH24" s="705">
        <f t="shared" si="85"/>
        <v>53902</v>
      </c>
      <c r="AI24" s="705">
        <f t="shared" si="85"/>
        <v>21470</v>
      </c>
      <c r="AJ24" s="705">
        <f t="shared" si="85"/>
        <v>33201</v>
      </c>
      <c r="AK24" s="705">
        <f t="shared" si="85"/>
        <v>29312</v>
      </c>
      <c r="AL24" s="705">
        <f t="shared" si="85"/>
        <v>20754</v>
      </c>
      <c r="AM24" s="705">
        <f t="shared" si="85"/>
        <v>60706</v>
      </c>
      <c r="AN24" s="707">
        <f t="shared" ref="AN24:AN30" si="86">SUM(AB24:AM24)</f>
        <v>438519</v>
      </c>
      <c r="AO24" s="704">
        <f t="shared" ref="AO24:AZ24" si="87">SUM(AO25:AO30)</f>
        <v>91540</v>
      </c>
      <c r="AP24" s="705">
        <f t="shared" si="87"/>
        <v>35400</v>
      </c>
      <c r="AQ24" s="706">
        <f t="shared" si="87"/>
        <v>52269</v>
      </c>
      <c r="AR24" s="705">
        <f t="shared" si="87"/>
        <v>37192</v>
      </c>
      <c r="AS24" s="705">
        <f t="shared" si="87"/>
        <v>11982</v>
      </c>
      <c r="AT24" s="705">
        <f t="shared" si="87"/>
        <v>29420</v>
      </c>
      <c r="AU24" s="705">
        <f t="shared" si="87"/>
        <v>25929</v>
      </c>
      <c r="AV24" s="705">
        <f t="shared" si="87"/>
        <v>22922.708999999999</v>
      </c>
      <c r="AW24" s="705">
        <f t="shared" si="87"/>
        <v>17981</v>
      </c>
      <c r="AX24" s="705">
        <f t="shared" si="87"/>
        <v>30945</v>
      </c>
      <c r="AY24" s="705">
        <f t="shared" si="87"/>
        <v>21845</v>
      </c>
      <c r="AZ24" s="705">
        <f t="shared" si="87"/>
        <v>62171</v>
      </c>
      <c r="BA24" s="707">
        <f t="shared" ref="BA24:BA30" si="88">SUM(AO24:AZ24)</f>
        <v>439596.70899999997</v>
      </c>
      <c r="BB24" s="704">
        <f t="shared" ref="BB24:CM24" si="89">SUM(BB25:BB30)</f>
        <v>69684</v>
      </c>
      <c r="BC24" s="705">
        <f t="shared" si="89"/>
        <v>27070</v>
      </c>
      <c r="BD24" s="706">
        <f t="shared" si="89"/>
        <v>74298</v>
      </c>
      <c r="BE24" s="705">
        <f t="shared" si="89"/>
        <v>23908</v>
      </c>
      <c r="BF24" s="705">
        <f t="shared" si="89"/>
        <v>34143</v>
      </c>
      <c r="BG24" s="705">
        <f t="shared" si="89"/>
        <v>30036</v>
      </c>
      <c r="BH24" s="705">
        <f t="shared" si="89"/>
        <v>43384</v>
      </c>
      <c r="BI24" s="705">
        <f t="shared" si="89"/>
        <v>22983</v>
      </c>
      <c r="BJ24" s="705">
        <f t="shared" si="89"/>
        <v>22251</v>
      </c>
      <c r="BK24" s="705">
        <f t="shared" si="89"/>
        <v>22926</v>
      </c>
      <c r="BL24" s="705">
        <f t="shared" si="89"/>
        <v>89755</v>
      </c>
      <c r="BM24" s="705">
        <f t="shared" si="89"/>
        <v>34011</v>
      </c>
      <c r="BN24" s="707">
        <f>SUM(BB24:BM24)</f>
        <v>494449</v>
      </c>
      <c r="BO24" s="704">
        <f t="shared" si="89"/>
        <v>123300</v>
      </c>
      <c r="BP24" s="705">
        <f t="shared" si="89"/>
        <v>15270</v>
      </c>
      <c r="BQ24" s="706">
        <f t="shared" si="89"/>
        <v>87751</v>
      </c>
      <c r="BR24" s="705">
        <f t="shared" si="89"/>
        <v>49740</v>
      </c>
      <c r="BS24" s="705">
        <f t="shared" si="89"/>
        <v>47696</v>
      </c>
      <c r="BT24" s="705">
        <f t="shared" si="89"/>
        <v>23553</v>
      </c>
      <c r="BU24" s="705">
        <f t="shared" si="89"/>
        <v>35329</v>
      </c>
      <c r="BV24" s="705">
        <f t="shared" si="89"/>
        <v>31375</v>
      </c>
      <c r="BW24" s="705">
        <f t="shared" si="89"/>
        <v>26493</v>
      </c>
      <c r="BX24" s="705">
        <f t="shared" si="89"/>
        <v>54037</v>
      </c>
      <c r="BY24" s="705">
        <f t="shared" si="89"/>
        <v>57050</v>
      </c>
      <c r="BZ24" s="705">
        <f t="shared" si="89"/>
        <v>36783</v>
      </c>
      <c r="CA24" s="707">
        <f>SUM(BO24:BZ24)</f>
        <v>588377</v>
      </c>
      <c r="CB24" s="704">
        <f t="shared" si="89"/>
        <v>84790</v>
      </c>
      <c r="CC24" s="705">
        <f t="shared" si="89"/>
        <v>85755</v>
      </c>
      <c r="CD24" s="706">
        <f t="shared" si="89"/>
        <v>88668</v>
      </c>
      <c r="CE24" s="705">
        <f t="shared" si="89"/>
        <v>60011</v>
      </c>
      <c r="CF24" s="705">
        <f t="shared" si="89"/>
        <v>63287</v>
      </c>
      <c r="CG24" s="705">
        <f t="shared" si="89"/>
        <v>40252</v>
      </c>
      <c r="CH24" s="705">
        <f t="shared" si="89"/>
        <v>60314</v>
      </c>
      <c r="CI24" s="705">
        <f t="shared" si="89"/>
        <v>44497</v>
      </c>
      <c r="CJ24" s="705">
        <f t="shared" si="89"/>
        <v>43684</v>
      </c>
      <c r="CK24" s="705">
        <f t="shared" si="89"/>
        <v>52690</v>
      </c>
      <c r="CL24" s="705">
        <f t="shared" si="89"/>
        <v>53056</v>
      </c>
      <c r="CM24" s="705">
        <f t="shared" si="89"/>
        <v>76840</v>
      </c>
      <c r="CN24" s="707">
        <f>SUM(CB24:CM24)</f>
        <v>753844</v>
      </c>
      <c r="CO24" s="704">
        <f t="shared" ref="CO24:CZ24" si="90">SUM(CO25:CO30)</f>
        <v>214780</v>
      </c>
      <c r="CP24" s="705">
        <f t="shared" si="90"/>
        <v>36974</v>
      </c>
      <c r="CQ24" s="706">
        <f t="shared" si="90"/>
        <v>91161</v>
      </c>
      <c r="CR24" s="705">
        <f t="shared" si="90"/>
        <v>46188</v>
      </c>
      <c r="CS24" s="705">
        <f t="shared" si="90"/>
        <v>57798</v>
      </c>
      <c r="CT24" s="705">
        <f t="shared" si="90"/>
        <v>65441</v>
      </c>
      <c r="CU24" s="705">
        <f t="shared" si="90"/>
        <v>35785</v>
      </c>
      <c r="CV24" s="705">
        <f t="shared" si="90"/>
        <v>34071</v>
      </c>
      <c r="CW24" s="705">
        <f t="shared" si="90"/>
        <v>32677</v>
      </c>
      <c r="CX24" s="705">
        <f t="shared" si="90"/>
        <v>82436</v>
      </c>
      <c r="CY24" s="705">
        <f t="shared" si="90"/>
        <v>29630</v>
      </c>
      <c r="CZ24" s="705">
        <f t="shared" si="90"/>
        <v>28348</v>
      </c>
      <c r="DA24" s="707">
        <f>SUM(CO24:CZ24)</f>
        <v>755289</v>
      </c>
      <c r="DB24" s="704">
        <f t="shared" ref="DB24:DL24" si="91">SUM(DB25:DB30)</f>
        <v>87172</v>
      </c>
      <c r="DC24" s="705">
        <f t="shared" si="91"/>
        <v>48676</v>
      </c>
      <c r="DD24" s="706">
        <f t="shared" si="91"/>
        <v>30769</v>
      </c>
      <c r="DE24" s="705">
        <f t="shared" si="91"/>
        <v>34481</v>
      </c>
      <c r="DF24" s="705">
        <f t="shared" si="91"/>
        <v>87144</v>
      </c>
      <c r="DG24" s="705">
        <f t="shared" si="91"/>
        <v>42892</v>
      </c>
      <c r="DH24" s="705">
        <f t="shared" si="91"/>
        <v>41209</v>
      </c>
      <c r="DI24" s="705">
        <f t="shared" si="91"/>
        <v>32075</v>
      </c>
      <c r="DJ24" s="705">
        <f t="shared" si="91"/>
        <v>29504</v>
      </c>
      <c r="DK24" s="705">
        <f t="shared" si="91"/>
        <v>37522</v>
      </c>
      <c r="DL24" s="705">
        <f t="shared" si="91"/>
        <v>31743</v>
      </c>
      <c r="DM24" s="705">
        <f>SUM(DM25:DM30)</f>
        <v>48223</v>
      </c>
      <c r="DN24" s="707">
        <f>SUM(DB24:DM24)</f>
        <v>551410</v>
      </c>
      <c r="DO24" s="704">
        <f t="shared" ref="DO24:DZ24" si="92">SUM(DO25:DO30)</f>
        <v>183825</v>
      </c>
      <c r="DP24" s="705">
        <f t="shared" si="92"/>
        <v>10695</v>
      </c>
      <c r="DQ24" s="706">
        <f t="shared" si="92"/>
        <v>90062</v>
      </c>
      <c r="DR24" s="705">
        <f t="shared" si="92"/>
        <v>33197</v>
      </c>
      <c r="DS24" s="705">
        <f t="shared" si="92"/>
        <v>14880</v>
      </c>
      <c r="DT24" s="705">
        <f t="shared" si="92"/>
        <v>60767</v>
      </c>
      <c r="DU24" s="705">
        <f t="shared" si="92"/>
        <v>181608</v>
      </c>
      <c r="DV24" s="705">
        <f t="shared" si="92"/>
        <v>41376</v>
      </c>
      <c r="DW24" s="705">
        <f t="shared" si="92"/>
        <v>81111</v>
      </c>
      <c r="DX24" s="705">
        <f t="shared" si="92"/>
        <v>51382</v>
      </c>
      <c r="DY24" s="705">
        <f t="shared" si="92"/>
        <v>29041</v>
      </c>
      <c r="DZ24" s="705">
        <f t="shared" si="92"/>
        <v>44239</v>
      </c>
      <c r="EA24" s="707">
        <f t="shared" si="36"/>
        <v>822183</v>
      </c>
      <c r="EB24" s="704">
        <f t="shared" ref="EB24:EM24" si="93">SUM(EB25:EB30)</f>
        <v>113900</v>
      </c>
      <c r="EC24" s="705">
        <f t="shared" si="93"/>
        <v>91147</v>
      </c>
      <c r="ED24" s="706">
        <f t="shared" si="93"/>
        <v>135939</v>
      </c>
      <c r="EE24" s="705">
        <f t="shared" si="93"/>
        <v>68782</v>
      </c>
      <c r="EF24" s="705">
        <f t="shared" si="93"/>
        <v>54434</v>
      </c>
      <c r="EG24" s="705">
        <f t="shared" si="93"/>
        <v>77670</v>
      </c>
      <c r="EH24" s="705">
        <f t="shared" si="93"/>
        <v>53813</v>
      </c>
      <c r="EI24" s="705">
        <f t="shared" si="93"/>
        <v>60726</v>
      </c>
      <c r="EJ24" s="705">
        <f t="shared" si="93"/>
        <v>74084</v>
      </c>
      <c r="EK24" s="705">
        <f t="shared" si="93"/>
        <v>61520</v>
      </c>
      <c r="EL24" s="705">
        <f t="shared" si="93"/>
        <v>55585</v>
      </c>
      <c r="EM24" s="705">
        <f t="shared" si="93"/>
        <v>94319</v>
      </c>
      <c r="EN24" s="707">
        <f t="shared" si="38"/>
        <v>941919</v>
      </c>
      <c r="EO24" s="704">
        <f t="shared" ref="EO24:EZ24" si="94">SUM(EO25:EO30)</f>
        <v>83976</v>
      </c>
      <c r="EP24" s="705">
        <f t="shared" si="94"/>
        <v>51398</v>
      </c>
      <c r="EQ24" s="706">
        <f t="shared" si="94"/>
        <v>114850</v>
      </c>
      <c r="ER24" s="705">
        <f t="shared" si="94"/>
        <v>50266</v>
      </c>
      <c r="ES24" s="705">
        <f t="shared" si="94"/>
        <v>77723</v>
      </c>
      <c r="ET24" s="705">
        <f t="shared" si="94"/>
        <v>64837</v>
      </c>
      <c r="EU24" s="705">
        <f t="shared" si="94"/>
        <v>63240</v>
      </c>
      <c r="EV24" s="705">
        <f t="shared" si="94"/>
        <v>90886</v>
      </c>
      <c r="EW24" s="705">
        <f t="shared" si="94"/>
        <v>66992</v>
      </c>
      <c r="EX24" s="705">
        <f t="shared" si="94"/>
        <v>62313</v>
      </c>
      <c r="EY24" s="705">
        <f t="shared" si="94"/>
        <v>49385</v>
      </c>
      <c r="EZ24" s="705">
        <f t="shared" si="94"/>
        <v>50568</v>
      </c>
      <c r="FA24" s="707">
        <f t="shared" si="40"/>
        <v>826434</v>
      </c>
      <c r="FB24" s="704">
        <f t="shared" ref="FB24:FM24" si="95">SUM(FB25:FB30)</f>
        <v>62895</v>
      </c>
      <c r="FC24" s="705">
        <f t="shared" si="95"/>
        <v>45958</v>
      </c>
      <c r="FD24" s="706">
        <f t="shared" si="95"/>
        <v>83086</v>
      </c>
      <c r="FE24" s="705">
        <f t="shared" si="95"/>
        <v>60060</v>
      </c>
      <c r="FF24" s="705">
        <f t="shared" si="95"/>
        <v>67226</v>
      </c>
      <c r="FG24" s="705">
        <f t="shared" si="95"/>
        <v>45763</v>
      </c>
      <c r="FH24" s="705">
        <f t="shared" si="95"/>
        <v>37272</v>
      </c>
      <c r="FI24" s="705">
        <f t="shared" si="95"/>
        <v>49491</v>
      </c>
      <c r="FJ24" s="705">
        <f t="shared" si="95"/>
        <v>37142</v>
      </c>
      <c r="FK24" s="705">
        <f t="shared" si="95"/>
        <v>6784</v>
      </c>
      <c r="FL24" s="705">
        <f t="shared" si="95"/>
        <v>42385</v>
      </c>
      <c r="FM24" s="705">
        <f t="shared" si="95"/>
        <v>49135</v>
      </c>
      <c r="FN24" s="707">
        <f t="shared" si="42"/>
        <v>587197</v>
      </c>
      <c r="FO24" s="704">
        <f t="shared" ref="FO24:FZ24" si="96">SUM(FO25:FO30)</f>
        <v>69409</v>
      </c>
      <c r="FP24" s="705">
        <f t="shared" si="96"/>
        <v>54384</v>
      </c>
      <c r="FQ24" s="706">
        <f t="shared" si="96"/>
        <v>49409</v>
      </c>
      <c r="FR24" s="705">
        <f t="shared" si="96"/>
        <v>43440</v>
      </c>
      <c r="FS24" s="705">
        <f t="shared" si="96"/>
        <v>58420</v>
      </c>
      <c r="FT24" s="705">
        <f t="shared" si="96"/>
        <v>45213</v>
      </c>
      <c r="FU24" s="705">
        <f t="shared" si="96"/>
        <v>40823</v>
      </c>
      <c r="FV24" s="705">
        <f t="shared" si="96"/>
        <v>37932</v>
      </c>
      <c r="FW24" s="705">
        <f t="shared" si="96"/>
        <v>43443</v>
      </c>
      <c r="FX24" s="705">
        <f t="shared" si="96"/>
        <v>46708</v>
      </c>
      <c r="FY24" s="705">
        <f t="shared" si="96"/>
        <v>40956</v>
      </c>
      <c r="FZ24" s="705">
        <f t="shared" si="96"/>
        <v>54166</v>
      </c>
      <c r="GA24" s="707">
        <f t="shared" si="44"/>
        <v>584303</v>
      </c>
      <c r="GB24" s="704">
        <f t="shared" ref="GB24:GM24" si="97">SUM(GB25:GB30)</f>
        <v>71692</v>
      </c>
      <c r="GC24" s="705">
        <f t="shared" si="97"/>
        <v>62145</v>
      </c>
      <c r="GD24" s="706">
        <f t="shared" si="97"/>
        <v>51137</v>
      </c>
      <c r="GE24" s="705">
        <f t="shared" si="97"/>
        <v>42073</v>
      </c>
      <c r="GF24" s="705">
        <f t="shared" si="97"/>
        <v>67100</v>
      </c>
      <c r="GG24" s="705">
        <f t="shared" si="97"/>
        <v>51513</v>
      </c>
      <c r="GH24" s="705">
        <f t="shared" si="97"/>
        <v>47321</v>
      </c>
      <c r="GI24" s="705">
        <f t="shared" si="97"/>
        <v>46954</v>
      </c>
      <c r="GJ24" s="705">
        <f t="shared" si="97"/>
        <v>46524</v>
      </c>
      <c r="GK24" s="705">
        <f t="shared" si="97"/>
        <v>42939</v>
      </c>
      <c r="GL24" s="705">
        <f t="shared" si="97"/>
        <v>40512</v>
      </c>
      <c r="GM24" s="705">
        <f t="shared" si="97"/>
        <v>47568</v>
      </c>
      <c r="GN24" s="704">
        <f t="shared" si="52"/>
        <v>617478</v>
      </c>
      <c r="GO24" s="1326">
        <f t="shared" ref="GO24:GV24" si="98">SUM(GO25:GO30)</f>
        <v>57145</v>
      </c>
      <c r="GP24" s="130">
        <f t="shared" si="98"/>
        <v>63791</v>
      </c>
      <c r="GQ24" s="130">
        <f t="shared" si="98"/>
        <v>63972</v>
      </c>
      <c r="GR24" s="130">
        <f t="shared" si="98"/>
        <v>42960</v>
      </c>
      <c r="GS24" s="130">
        <f t="shared" si="98"/>
        <v>62733</v>
      </c>
      <c r="GT24" s="130">
        <v>47234</v>
      </c>
      <c r="GU24" s="130">
        <f t="shared" si="98"/>
        <v>37722</v>
      </c>
      <c r="GV24" s="130">
        <f t="shared" si="98"/>
        <v>39827</v>
      </c>
      <c r="GW24" s="130"/>
      <c r="GX24" s="130"/>
      <c r="GY24" s="130"/>
      <c r="GZ24" s="1341"/>
      <c r="HA24" s="1342">
        <f t="shared" si="47"/>
        <v>415384</v>
      </c>
      <c r="HB24"/>
      <c r="HC24" s="674">
        <f t="shared" si="48"/>
        <v>-15.178685522000258</v>
      </c>
      <c r="HD24" s="674">
        <f t="shared" si="49"/>
        <v>-5.5805971336674753</v>
      </c>
      <c r="HE24" s="675">
        <f t="shared" si="50"/>
        <v>439935</v>
      </c>
      <c r="HF24" s="675">
        <f t="shared" si="51"/>
        <v>415384</v>
      </c>
    </row>
    <row r="25" spans="1:214" ht="13.9" customHeight="1" x14ac:dyDescent="0.2">
      <c r="A25" s="680" t="s">
        <v>401</v>
      </c>
      <c r="B25" s="712">
        <v>16529</v>
      </c>
      <c r="C25" s="713">
        <v>14170</v>
      </c>
      <c r="D25" s="714">
        <v>17491</v>
      </c>
      <c r="E25" s="713">
        <v>21865</v>
      </c>
      <c r="F25" s="713">
        <v>14723</v>
      </c>
      <c r="G25" s="713">
        <v>25079</v>
      </c>
      <c r="H25" s="713">
        <v>17689</v>
      </c>
      <c r="I25" s="713">
        <v>13244</v>
      </c>
      <c r="J25" s="713">
        <v>16703</v>
      </c>
      <c r="K25" s="713">
        <v>14876</v>
      </c>
      <c r="L25" s="713">
        <v>37739</v>
      </c>
      <c r="M25" s="713">
        <v>50203</v>
      </c>
      <c r="N25" s="715">
        <f t="shared" si="82"/>
        <v>260311</v>
      </c>
      <c r="O25" s="712">
        <v>59988</v>
      </c>
      <c r="P25" s="713">
        <v>27611</v>
      </c>
      <c r="Q25" s="714">
        <v>21084</v>
      </c>
      <c r="R25" s="713">
        <v>16297</v>
      </c>
      <c r="S25" s="713">
        <v>17497</v>
      </c>
      <c r="T25" s="713">
        <v>37244</v>
      </c>
      <c r="U25" s="713">
        <v>22151</v>
      </c>
      <c r="V25" s="713">
        <v>33799</v>
      </c>
      <c r="W25" s="713">
        <v>20193</v>
      </c>
      <c r="X25" s="713">
        <v>33466</v>
      </c>
      <c r="Y25" s="713">
        <v>19392</v>
      </c>
      <c r="Z25" s="713">
        <v>21776</v>
      </c>
      <c r="AA25" s="715">
        <f t="shared" si="84"/>
        <v>330498</v>
      </c>
      <c r="AB25" s="712">
        <v>56250</v>
      </c>
      <c r="AC25" s="713">
        <v>4910</v>
      </c>
      <c r="AD25" s="714">
        <v>35238</v>
      </c>
      <c r="AE25" s="713">
        <v>14498</v>
      </c>
      <c r="AF25" s="713">
        <v>16236</v>
      </c>
      <c r="AG25" s="713">
        <v>21214</v>
      </c>
      <c r="AH25" s="713">
        <v>44105</v>
      </c>
      <c r="AI25" s="713">
        <v>17868</v>
      </c>
      <c r="AJ25" s="713">
        <v>18536</v>
      </c>
      <c r="AK25" s="713">
        <v>24694</v>
      </c>
      <c r="AL25" s="713">
        <v>18100</v>
      </c>
      <c r="AM25" s="713">
        <v>56392</v>
      </c>
      <c r="AN25" s="715">
        <f t="shared" si="86"/>
        <v>328041</v>
      </c>
      <c r="AO25" s="712">
        <v>74344</v>
      </c>
      <c r="AP25" s="713">
        <v>23416</v>
      </c>
      <c r="AQ25" s="714">
        <v>49646</v>
      </c>
      <c r="AR25" s="713">
        <v>34281</v>
      </c>
      <c r="AS25" s="713">
        <v>9629</v>
      </c>
      <c r="AT25" s="713">
        <v>25684</v>
      </c>
      <c r="AU25" s="713">
        <v>20661</v>
      </c>
      <c r="AV25" s="713">
        <v>19142</v>
      </c>
      <c r="AW25" s="713">
        <v>15366</v>
      </c>
      <c r="AX25" s="713">
        <v>25596</v>
      </c>
      <c r="AY25" s="713">
        <v>19805</v>
      </c>
      <c r="AZ25" s="713">
        <v>59716</v>
      </c>
      <c r="BA25" s="715">
        <f t="shared" si="88"/>
        <v>377286</v>
      </c>
      <c r="BB25" s="712">
        <v>64309</v>
      </c>
      <c r="BC25" s="713">
        <v>24165</v>
      </c>
      <c r="BD25" s="714">
        <v>64314</v>
      </c>
      <c r="BE25" s="713">
        <v>19606</v>
      </c>
      <c r="BF25" s="713">
        <v>31037</v>
      </c>
      <c r="BG25" s="713">
        <v>19841</v>
      </c>
      <c r="BH25" s="713">
        <v>25911</v>
      </c>
      <c r="BI25" s="713">
        <v>18325</v>
      </c>
      <c r="BJ25" s="713">
        <v>18342</v>
      </c>
      <c r="BK25" s="713">
        <v>15772</v>
      </c>
      <c r="BL25" s="713">
        <v>84929</v>
      </c>
      <c r="BM25" s="713">
        <v>25802</v>
      </c>
      <c r="BN25" s="715">
        <f>SUM(BB25:BM25)</f>
        <v>412353</v>
      </c>
      <c r="BO25" s="712">
        <v>93592</v>
      </c>
      <c r="BP25" s="713">
        <v>10828</v>
      </c>
      <c r="BQ25" s="714">
        <v>79268</v>
      </c>
      <c r="BR25" s="713">
        <v>45652</v>
      </c>
      <c r="BS25" s="713">
        <v>37176</v>
      </c>
      <c r="BT25" s="713">
        <v>20081</v>
      </c>
      <c r="BU25" s="713">
        <v>17599</v>
      </c>
      <c r="BV25" s="713">
        <v>15625</v>
      </c>
      <c r="BW25" s="713">
        <v>18274</v>
      </c>
      <c r="BX25" s="713">
        <v>19543</v>
      </c>
      <c r="BY25" s="713">
        <v>39577</v>
      </c>
      <c r="BZ25" s="713">
        <v>26531</v>
      </c>
      <c r="CA25" s="715">
        <f>SUM(BO25:BZ25)</f>
        <v>423746</v>
      </c>
      <c r="CB25" s="712">
        <v>57407</v>
      </c>
      <c r="CC25" s="713">
        <v>72406</v>
      </c>
      <c r="CD25" s="714">
        <v>47411</v>
      </c>
      <c r="CE25" s="713">
        <v>20660</v>
      </c>
      <c r="CF25" s="713">
        <v>38729</v>
      </c>
      <c r="CG25" s="713">
        <v>21537</v>
      </c>
      <c r="CH25" s="713">
        <v>21060</v>
      </c>
      <c r="CI25" s="713">
        <v>27303</v>
      </c>
      <c r="CJ25" s="713">
        <v>19123</v>
      </c>
      <c r="CK25" s="713">
        <v>38833</v>
      </c>
      <c r="CL25" s="713">
        <v>27055</v>
      </c>
      <c r="CM25" s="713">
        <v>23244</v>
      </c>
      <c r="CN25" s="715">
        <f>SUM(CB25:CM25)</f>
        <v>414768</v>
      </c>
      <c r="CO25" s="712">
        <v>103611</v>
      </c>
      <c r="CP25" s="713">
        <v>28531</v>
      </c>
      <c r="CQ25" s="714">
        <v>58765</v>
      </c>
      <c r="CR25" s="713">
        <v>37744</v>
      </c>
      <c r="CS25" s="713">
        <v>29188</v>
      </c>
      <c r="CT25" s="713">
        <v>26294</v>
      </c>
      <c r="CU25" s="713">
        <v>27511</v>
      </c>
      <c r="CV25" s="713">
        <v>25365</v>
      </c>
      <c r="CW25" s="713">
        <v>22001</v>
      </c>
      <c r="CX25" s="713">
        <v>43345</v>
      </c>
      <c r="CY25" s="713">
        <v>25562</v>
      </c>
      <c r="CZ25" s="713">
        <v>24646</v>
      </c>
      <c r="DA25" s="715">
        <f>SUM(CO25:CZ25)</f>
        <v>452563</v>
      </c>
      <c r="DB25" s="712">
        <v>67166</v>
      </c>
      <c r="DC25" s="713">
        <v>29715</v>
      </c>
      <c r="DD25" s="714">
        <v>19238</v>
      </c>
      <c r="DE25" s="713">
        <v>20370</v>
      </c>
      <c r="DF25" s="713">
        <v>75980</v>
      </c>
      <c r="DG25" s="713">
        <v>19291</v>
      </c>
      <c r="DH25" s="713">
        <v>29894</v>
      </c>
      <c r="DI25" s="713">
        <v>20408</v>
      </c>
      <c r="DJ25" s="713">
        <v>22489</v>
      </c>
      <c r="DK25" s="713">
        <v>25416</v>
      </c>
      <c r="DL25" s="713">
        <v>24858</v>
      </c>
      <c r="DM25" s="713">
        <v>26134</v>
      </c>
      <c r="DN25" s="715">
        <f>SUM(DB25:DM25)</f>
        <v>380959</v>
      </c>
      <c r="DO25" s="712">
        <v>71633</v>
      </c>
      <c r="DP25" s="713">
        <v>5726</v>
      </c>
      <c r="DQ25" s="714">
        <v>56196</v>
      </c>
      <c r="DR25" s="713">
        <v>15687</v>
      </c>
      <c r="DS25" s="713">
        <v>12206</v>
      </c>
      <c r="DT25" s="713">
        <v>59300</v>
      </c>
      <c r="DU25" s="713">
        <v>13702</v>
      </c>
      <c r="DV25" s="713">
        <v>32371</v>
      </c>
      <c r="DW25" s="713">
        <v>33419</v>
      </c>
      <c r="DX25" s="713">
        <v>21867</v>
      </c>
      <c r="DY25" s="713">
        <v>23486</v>
      </c>
      <c r="DZ25" s="713">
        <v>26071</v>
      </c>
      <c r="EA25" s="715">
        <f t="shared" si="36"/>
        <v>371664</v>
      </c>
      <c r="EB25" s="712">
        <v>87153</v>
      </c>
      <c r="EC25" s="713">
        <v>30916</v>
      </c>
      <c r="ED25" s="714">
        <v>51570</v>
      </c>
      <c r="EE25" s="713">
        <v>48682</v>
      </c>
      <c r="EF25" s="713">
        <v>31603</v>
      </c>
      <c r="EG25" s="713">
        <v>29771</v>
      </c>
      <c r="EH25" s="713">
        <v>27158</v>
      </c>
      <c r="EI25" s="713">
        <v>30523</v>
      </c>
      <c r="EJ25" s="713">
        <v>32967</v>
      </c>
      <c r="EK25" s="713">
        <v>31920</v>
      </c>
      <c r="EL25" s="713">
        <v>29290</v>
      </c>
      <c r="EM25" s="713">
        <v>34468</v>
      </c>
      <c r="EN25" s="715">
        <f t="shared" si="38"/>
        <v>466021</v>
      </c>
      <c r="EO25" s="712">
        <v>69988</v>
      </c>
      <c r="EP25" s="713">
        <v>40384</v>
      </c>
      <c r="EQ25" s="714">
        <v>47097</v>
      </c>
      <c r="ER25" s="713">
        <v>33239</v>
      </c>
      <c r="ES25" s="713">
        <v>63585</v>
      </c>
      <c r="ET25" s="713">
        <v>37116</v>
      </c>
      <c r="EU25" s="713">
        <v>33662</v>
      </c>
      <c r="EV25" s="713">
        <v>34283</v>
      </c>
      <c r="EW25" s="713">
        <v>41468</v>
      </c>
      <c r="EX25" s="713">
        <v>40044</v>
      </c>
      <c r="EY25" s="713">
        <v>32098</v>
      </c>
      <c r="EZ25" s="713">
        <v>35048</v>
      </c>
      <c r="FA25" s="715">
        <f t="shared" si="40"/>
        <v>508012</v>
      </c>
      <c r="FB25" s="712">
        <v>52807</v>
      </c>
      <c r="FC25" s="713">
        <v>40732</v>
      </c>
      <c r="FD25" s="714">
        <v>50463</v>
      </c>
      <c r="FE25" s="713">
        <v>31335</v>
      </c>
      <c r="FF25" s="713">
        <v>56319</v>
      </c>
      <c r="FG25" s="713">
        <v>34541</v>
      </c>
      <c r="FH25" s="713">
        <v>32775</v>
      </c>
      <c r="FI25" s="713">
        <v>35002</v>
      </c>
      <c r="FJ25" s="713">
        <v>31547</v>
      </c>
      <c r="FK25" s="713">
        <v>29620</v>
      </c>
      <c r="FL25" s="713">
        <v>34157</v>
      </c>
      <c r="FM25" s="713">
        <v>35250</v>
      </c>
      <c r="FN25" s="715">
        <f t="shared" si="42"/>
        <v>464548</v>
      </c>
      <c r="FO25" s="712">
        <v>48774</v>
      </c>
      <c r="FP25" s="713">
        <v>45908</v>
      </c>
      <c r="FQ25" s="714">
        <v>39282</v>
      </c>
      <c r="FR25" s="713">
        <v>34164</v>
      </c>
      <c r="FS25" s="713">
        <v>52538</v>
      </c>
      <c r="FT25" s="713">
        <v>33273</v>
      </c>
      <c r="FU25" s="713">
        <v>33204</v>
      </c>
      <c r="FV25" s="713">
        <v>32701</v>
      </c>
      <c r="FW25" s="713">
        <v>33913</v>
      </c>
      <c r="FX25" s="713">
        <v>35182</v>
      </c>
      <c r="FY25" s="713">
        <v>35859</v>
      </c>
      <c r="FZ25" s="713">
        <v>39493</v>
      </c>
      <c r="GA25" s="715">
        <f t="shared" si="44"/>
        <v>464291</v>
      </c>
      <c r="GB25" s="712">
        <v>50226</v>
      </c>
      <c r="GC25" s="713">
        <v>54780</v>
      </c>
      <c r="GD25" s="714">
        <v>39777</v>
      </c>
      <c r="GE25" s="713">
        <v>36655</v>
      </c>
      <c r="GF25" s="713">
        <v>57113</v>
      </c>
      <c r="GG25" s="713">
        <v>35184</v>
      </c>
      <c r="GH25" s="713">
        <v>34446</v>
      </c>
      <c r="GI25" s="713">
        <v>35366</v>
      </c>
      <c r="GJ25" s="713">
        <v>41003</v>
      </c>
      <c r="GK25" s="713">
        <v>36579</v>
      </c>
      <c r="GL25" s="713">
        <v>35585</v>
      </c>
      <c r="GM25" s="713">
        <v>33145</v>
      </c>
      <c r="GN25" s="712">
        <f t="shared" si="52"/>
        <v>489859</v>
      </c>
      <c r="GO25" s="1324">
        <v>46562</v>
      </c>
      <c r="GP25">
        <v>54005</v>
      </c>
      <c r="GQ25">
        <v>55825</v>
      </c>
      <c r="GR25">
        <v>29999</v>
      </c>
      <c r="GS25">
        <v>57865</v>
      </c>
      <c r="GT25">
        <v>38442</v>
      </c>
      <c r="GU25">
        <v>32384</v>
      </c>
      <c r="GV25">
        <v>34427</v>
      </c>
      <c r="GZ25" s="1266"/>
      <c r="HA25" s="1059">
        <f t="shared" si="47"/>
        <v>349509</v>
      </c>
      <c r="HC25" s="681">
        <f t="shared" si="48"/>
        <v>-2.6550924616863703</v>
      </c>
      <c r="HD25" s="681">
        <f t="shared" si="49"/>
        <v>1.7354248472552625</v>
      </c>
      <c r="HE25" s="683">
        <f t="shared" si="50"/>
        <v>343547</v>
      </c>
      <c r="HF25" s="683">
        <f t="shared" si="51"/>
        <v>349509</v>
      </c>
    </row>
    <row r="26" spans="1:214" ht="13.9" customHeight="1" x14ac:dyDescent="0.2">
      <c r="A26" s="680" t="s">
        <v>402</v>
      </c>
      <c r="B26" s="712">
        <v>2526</v>
      </c>
      <c r="C26" s="713">
        <v>1669</v>
      </c>
      <c r="D26" s="714">
        <v>2097</v>
      </c>
      <c r="E26" s="713">
        <v>1829</v>
      </c>
      <c r="F26" s="713">
        <v>2090</v>
      </c>
      <c r="G26" s="713">
        <v>1898</v>
      </c>
      <c r="H26" s="713">
        <v>1922</v>
      </c>
      <c r="I26" s="713">
        <v>2639</v>
      </c>
      <c r="J26" s="713">
        <v>2301</v>
      </c>
      <c r="K26" s="713">
        <v>2190</v>
      </c>
      <c r="L26" s="713">
        <v>1903</v>
      </c>
      <c r="M26" s="713">
        <v>4628</v>
      </c>
      <c r="N26" s="715">
        <f t="shared" si="82"/>
        <v>27692</v>
      </c>
      <c r="O26" s="712">
        <v>3628</v>
      </c>
      <c r="P26" s="713">
        <v>2336</v>
      </c>
      <c r="Q26" s="714">
        <v>2181</v>
      </c>
      <c r="R26" s="713">
        <v>1820</v>
      </c>
      <c r="S26" s="713">
        <v>2082</v>
      </c>
      <c r="T26" s="713">
        <v>4552</v>
      </c>
      <c r="U26" s="713">
        <v>2620</v>
      </c>
      <c r="V26" s="713">
        <v>2806</v>
      </c>
      <c r="W26" s="713">
        <v>2197</v>
      </c>
      <c r="X26" s="713">
        <v>2179</v>
      </c>
      <c r="Y26" s="713">
        <v>2019</v>
      </c>
      <c r="Z26" s="713">
        <v>2003</v>
      </c>
      <c r="AA26" s="715">
        <f t="shared" si="84"/>
        <v>30423</v>
      </c>
      <c r="AB26" s="712">
        <v>2814</v>
      </c>
      <c r="AC26" s="713">
        <v>2463</v>
      </c>
      <c r="AD26" s="714">
        <v>2570</v>
      </c>
      <c r="AE26" s="713">
        <v>2613</v>
      </c>
      <c r="AF26" s="713">
        <v>2330</v>
      </c>
      <c r="AG26" s="713">
        <v>2041</v>
      </c>
      <c r="AH26" s="713">
        <v>2674</v>
      </c>
      <c r="AI26" s="713">
        <v>2968</v>
      </c>
      <c r="AJ26" s="713">
        <v>2955</v>
      </c>
      <c r="AK26" s="713">
        <v>2441</v>
      </c>
      <c r="AL26" s="713">
        <v>1745</v>
      </c>
      <c r="AM26" s="713">
        <v>2290</v>
      </c>
      <c r="AN26" s="715">
        <f t="shared" si="86"/>
        <v>29904</v>
      </c>
      <c r="AO26" s="712">
        <v>3452</v>
      </c>
      <c r="AP26" s="713">
        <v>2147</v>
      </c>
      <c r="AQ26" s="714">
        <v>2448</v>
      </c>
      <c r="AR26" s="713">
        <v>1862</v>
      </c>
      <c r="AS26" s="713">
        <v>2246</v>
      </c>
      <c r="AT26" s="713">
        <v>1967</v>
      </c>
      <c r="AU26" s="713">
        <v>2289</v>
      </c>
      <c r="AV26" s="713">
        <v>3149</v>
      </c>
      <c r="AW26" s="713">
        <v>2309</v>
      </c>
      <c r="AX26" s="713">
        <v>2938</v>
      </c>
      <c r="AY26" s="713">
        <v>2011</v>
      </c>
      <c r="AZ26" s="713">
        <v>2312</v>
      </c>
      <c r="BA26" s="715">
        <f t="shared" si="88"/>
        <v>29130</v>
      </c>
      <c r="BB26" s="712">
        <v>3670</v>
      </c>
      <c r="BC26" s="713">
        <v>2400</v>
      </c>
      <c r="BD26" s="714">
        <v>2823</v>
      </c>
      <c r="BE26" s="713">
        <v>2553</v>
      </c>
      <c r="BF26" s="713">
        <v>2574</v>
      </c>
      <c r="BG26" s="713">
        <v>2371</v>
      </c>
      <c r="BH26" s="713">
        <v>2566</v>
      </c>
      <c r="BI26" s="713">
        <v>3725</v>
      </c>
      <c r="BJ26" s="713">
        <v>3411</v>
      </c>
      <c r="BK26" s="713">
        <v>2644</v>
      </c>
      <c r="BL26" s="713">
        <v>2623</v>
      </c>
      <c r="BM26" s="713">
        <v>2689</v>
      </c>
      <c r="BN26" s="715">
        <f>SUM(BB26:BM26)</f>
        <v>34049</v>
      </c>
      <c r="BO26" s="712">
        <v>4604</v>
      </c>
      <c r="BP26" s="713">
        <v>2923</v>
      </c>
      <c r="BQ26" s="714">
        <v>3626</v>
      </c>
      <c r="BR26" s="713">
        <v>3125</v>
      </c>
      <c r="BS26" s="713">
        <v>2961</v>
      </c>
      <c r="BT26" s="713">
        <v>2592</v>
      </c>
      <c r="BU26" s="713">
        <v>4132</v>
      </c>
      <c r="BV26" s="713">
        <v>4779</v>
      </c>
      <c r="BW26" s="713">
        <v>6206</v>
      </c>
      <c r="BX26" s="713">
        <v>4701</v>
      </c>
      <c r="BY26" s="713">
        <v>3067</v>
      </c>
      <c r="BZ26" s="713">
        <v>3211</v>
      </c>
      <c r="CA26" s="715">
        <f>SUM(BO26:BZ26)</f>
        <v>45927</v>
      </c>
      <c r="CB26" s="712">
        <v>6852</v>
      </c>
      <c r="CC26" s="713">
        <v>3649</v>
      </c>
      <c r="CD26" s="714">
        <v>3057</v>
      </c>
      <c r="CE26" s="713">
        <v>2460</v>
      </c>
      <c r="CF26" s="713">
        <v>3057</v>
      </c>
      <c r="CG26" s="713">
        <v>3524</v>
      </c>
      <c r="CH26" s="713">
        <v>2849</v>
      </c>
      <c r="CI26" s="713">
        <v>4187</v>
      </c>
      <c r="CJ26" s="713">
        <v>3185</v>
      </c>
      <c r="CK26" s="713">
        <v>3106</v>
      </c>
      <c r="CL26" s="713">
        <v>2672</v>
      </c>
      <c r="CM26" s="713">
        <v>4904</v>
      </c>
      <c r="CN26" s="715">
        <f>SUM(CB26:CM26)</f>
        <v>43502</v>
      </c>
      <c r="CO26" s="712">
        <v>4741</v>
      </c>
      <c r="CP26" s="713">
        <v>3767</v>
      </c>
      <c r="CQ26" s="714">
        <v>3002</v>
      </c>
      <c r="CR26" s="713">
        <v>4662</v>
      </c>
      <c r="CS26" s="713">
        <v>3042</v>
      </c>
      <c r="CT26" s="713">
        <v>3113</v>
      </c>
      <c r="CU26" s="713">
        <v>2958</v>
      </c>
      <c r="CV26" s="713">
        <v>3912</v>
      </c>
      <c r="CW26" s="713">
        <v>3374</v>
      </c>
      <c r="CX26" s="713">
        <v>2965</v>
      </c>
      <c r="CY26" s="713">
        <v>3061</v>
      </c>
      <c r="CZ26" s="713">
        <v>3127</v>
      </c>
      <c r="DA26" s="715">
        <f>SUM(CO26:CZ26)</f>
        <v>41724</v>
      </c>
      <c r="DB26" s="712">
        <v>3941</v>
      </c>
      <c r="DC26" s="713">
        <v>3041</v>
      </c>
      <c r="DD26" s="714">
        <v>3346</v>
      </c>
      <c r="DE26" s="713">
        <v>3489</v>
      </c>
      <c r="DF26" s="713">
        <v>3136</v>
      </c>
      <c r="DG26" s="713">
        <v>2819</v>
      </c>
      <c r="DH26" s="713">
        <v>3397</v>
      </c>
      <c r="DI26" s="713">
        <v>3905</v>
      </c>
      <c r="DJ26" s="713">
        <v>3212</v>
      </c>
      <c r="DK26" s="713">
        <v>5635</v>
      </c>
      <c r="DL26" s="713">
        <v>3412</v>
      </c>
      <c r="DM26" s="713">
        <v>3709</v>
      </c>
      <c r="DN26" s="715">
        <f>SUM(DB26:DM26)</f>
        <v>43042</v>
      </c>
      <c r="DO26" s="712">
        <v>5314</v>
      </c>
      <c r="DP26" s="713">
        <v>3447</v>
      </c>
      <c r="DQ26" s="714">
        <v>3412</v>
      </c>
      <c r="DR26" s="713">
        <v>295</v>
      </c>
      <c r="DS26" s="713">
        <v>730</v>
      </c>
      <c r="DT26" s="713">
        <v>1067</v>
      </c>
      <c r="DU26" s="713">
        <v>1976</v>
      </c>
      <c r="DV26" s="713">
        <v>2777</v>
      </c>
      <c r="DW26" s="713">
        <v>3515</v>
      </c>
      <c r="DX26" s="713">
        <v>3828</v>
      </c>
      <c r="DY26" s="713">
        <v>4081</v>
      </c>
      <c r="DZ26" s="713">
        <v>4689</v>
      </c>
      <c r="EA26" s="715">
        <f t="shared" si="36"/>
        <v>35131</v>
      </c>
      <c r="EB26" s="712">
        <v>6454</v>
      </c>
      <c r="EC26" s="713">
        <v>3981</v>
      </c>
      <c r="ED26" s="714">
        <v>6128</v>
      </c>
      <c r="EE26" s="713">
        <v>2683</v>
      </c>
      <c r="EF26" s="713">
        <v>3590</v>
      </c>
      <c r="EG26" s="713">
        <v>3287</v>
      </c>
      <c r="EH26" s="713">
        <v>3980</v>
      </c>
      <c r="EI26" s="713">
        <v>5141</v>
      </c>
      <c r="EJ26" s="713">
        <v>3827</v>
      </c>
      <c r="EK26" s="713">
        <v>3842</v>
      </c>
      <c r="EL26" s="713">
        <v>3467</v>
      </c>
      <c r="EM26" s="713">
        <v>3555</v>
      </c>
      <c r="EN26" s="715">
        <f t="shared" si="38"/>
        <v>49935</v>
      </c>
      <c r="EO26" s="712">
        <v>6026</v>
      </c>
      <c r="EP26" s="713">
        <v>4571</v>
      </c>
      <c r="EQ26" s="714">
        <v>4921</v>
      </c>
      <c r="ER26" s="713">
        <v>3380</v>
      </c>
      <c r="ES26" s="713">
        <v>3995</v>
      </c>
      <c r="ET26" s="713">
        <v>3166</v>
      </c>
      <c r="EU26" s="713">
        <v>3714</v>
      </c>
      <c r="EV26" s="713">
        <v>4591</v>
      </c>
      <c r="EW26" s="713">
        <v>3708</v>
      </c>
      <c r="EX26" s="713">
        <v>3703</v>
      </c>
      <c r="EY26" s="713">
        <v>3355</v>
      </c>
      <c r="EZ26" s="713">
        <v>3404</v>
      </c>
      <c r="FA26" s="715">
        <f t="shared" si="40"/>
        <v>48534</v>
      </c>
      <c r="FB26" s="712">
        <v>4558</v>
      </c>
      <c r="FC26" s="713">
        <v>4593</v>
      </c>
      <c r="FD26" s="714">
        <v>7218</v>
      </c>
      <c r="FE26" s="713">
        <v>3438</v>
      </c>
      <c r="FF26" s="713">
        <v>4816</v>
      </c>
      <c r="FG26" s="713">
        <v>3832</v>
      </c>
      <c r="FH26" s="713">
        <v>4455</v>
      </c>
      <c r="FI26" s="713">
        <v>9626</v>
      </c>
      <c r="FJ26" s="713">
        <v>3308</v>
      </c>
      <c r="FK26" s="713">
        <v>4430</v>
      </c>
      <c r="FL26" s="713">
        <v>4932</v>
      </c>
      <c r="FM26" s="713">
        <v>3860</v>
      </c>
      <c r="FN26" s="715">
        <f t="shared" si="42"/>
        <v>59066</v>
      </c>
      <c r="FO26" s="712">
        <v>7574</v>
      </c>
      <c r="FP26" s="713">
        <v>6107</v>
      </c>
      <c r="FQ26" s="714">
        <v>6109</v>
      </c>
      <c r="FR26" s="713">
        <v>4342</v>
      </c>
      <c r="FS26" s="713">
        <v>4556</v>
      </c>
      <c r="FT26" s="713">
        <v>3164</v>
      </c>
      <c r="FU26" s="713">
        <v>3969</v>
      </c>
      <c r="FV26" s="713">
        <v>4045</v>
      </c>
      <c r="FW26" s="713">
        <v>5087</v>
      </c>
      <c r="FX26" s="713">
        <v>6322</v>
      </c>
      <c r="FY26" s="713">
        <v>4189</v>
      </c>
      <c r="FZ26" s="713">
        <v>3966</v>
      </c>
      <c r="GA26" s="715">
        <f t="shared" si="44"/>
        <v>59430</v>
      </c>
      <c r="GB26" s="712">
        <v>6883</v>
      </c>
      <c r="GC26" s="713">
        <v>6039</v>
      </c>
      <c r="GD26" s="714">
        <v>6135</v>
      </c>
      <c r="GE26" s="713">
        <v>4233</v>
      </c>
      <c r="GF26" s="713">
        <v>5429</v>
      </c>
      <c r="GG26" s="713">
        <v>4307</v>
      </c>
      <c r="GH26" s="713">
        <v>4892</v>
      </c>
      <c r="GI26" s="713">
        <v>4963</v>
      </c>
      <c r="GJ26" s="713">
        <v>5225</v>
      </c>
      <c r="GK26" s="713">
        <v>4347</v>
      </c>
      <c r="GL26" s="713">
        <v>3997</v>
      </c>
      <c r="GM26" s="713">
        <v>5542</v>
      </c>
      <c r="GN26" s="712">
        <f>SUM(GB26:GM26)</f>
        <v>61992</v>
      </c>
      <c r="GO26" s="1324">
        <v>5048</v>
      </c>
      <c r="GP26">
        <v>7777</v>
      </c>
      <c r="GQ26">
        <v>5524</v>
      </c>
      <c r="GR26">
        <v>4023</v>
      </c>
      <c r="GS26">
        <v>3951</v>
      </c>
      <c r="GT26">
        <v>7412</v>
      </c>
      <c r="GU26">
        <v>3950</v>
      </c>
      <c r="GV26">
        <v>4358</v>
      </c>
      <c r="GZ26" s="1266"/>
      <c r="HA26" s="1059">
        <f t="shared" si="47"/>
        <v>42043</v>
      </c>
      <c r="HC26" s="681">
        <f t="shared" si="48"/>
        <v>-12.190207535764664</v>
      </c>
      <c r="HD26" s="681">
        <f t="shared" si="49"/>
        <v>-1.9542454700216871</v>
      </c>
      <c r="HE26" s="683">
        <f t="shared" si="50"/>
        <v>42881</v>
      </c>
      <c r="HF26" s="683">
        <f t="shared" si="51"/>
        <v>42043</v>
      </c>
    </row>
    <row r="27" spans="1:214" ht="13.9" customHeight="1" x14ac:dyDescent="0.2">
      <c r="A27" s="680" t="s">
        <v>328</v>
      </c>
      <c r="B27" s="712">
        <v>1837</v>
      </c>
      <c r="C27" s="713">
        <v>256</v>
      </c>
      <c r="D27" s="714">
        <v>1326</v>
      </c>
      <c r="E27" s="713">
        <v>897</v>
      </c>
      <c r="F27" s="713">
        <v>1916</v>
      </c>
      <c r="G27" s="713">
        <v>3939</v>
      </c>
      <c r="H27" s="713">
        <v>403</v>
      </c>
      <c r="I27" s="713">
        <v>2398</v>
      </c>
      <c r="J27" s="713">
        <v>940</v>
      </c>
      <c r="K27" s="713">
        <v>1877</v>
      </c>
      <c r="L27" s="713">
        <v>1008</v>
      </c>
      <c r="M27" s="713">
        <v>2364</v>
      </c>
      <c r="N27" s="715">
        <f t="shared" si="82"/>
        <v>19161</v>
      </c>
      <c r="O27" s="712">
        <v>1841</v>
      </c>
      <c r="P27" s="713">
        <v>2564</v>
      </c>
      <c r="Q27" s="714">
        <v>8856</v>
      </c>
      <c r="R27" s="713">
        <v>1403</v>
      </c>
      <c r="S27" s="713">
        <v>552</v>
      </c>
      <c r="T27" s="713">
        <v>1699</v>
      </c>
      <c r="U27" s="713">
        <v>3078</v>
      </c>
      <c r="V27" s="713">
        <v>2475</v>
      </c>
      <c r="W27" s="713">
        <v>2018</v>
      </c>
      <c r="X27" s="713">
        <v>1619</v>
      </c>
      <c r="Y27" s="713">
        <v>1454</v>
      </c>
      <c r="Z27" s="713">
        <v>2649</v>
      </c>
      <c r="AA27" s="715">
        <f t="shared" si="84"/>
        <v>30208</v>
      </c>
      <c r="AB27" s="712">
        <v>12749</v>
      </c>
      <c r="AC27" s="713">
        <v>6541</v>
      </c>
      <c r="AD27" s="714">
        <v>18281</v>
      </c>
      <c r="AE27" s="713">
        <v>2053</v>
      </c>
      <c r="AF27" s="713">
        <v>240</v>
      </c>
      <c r="AG27" s="713">
        <v>5708</v>
      </c>
      <c r="AH27" s="713">
        <v>2089</v>
      </c>
      <c r="AI27" s="713">
        <v>434</v>
      </c>
      <c r="AJ27" s="713">
        <v>11110</v>
      </c>
      <c r="AK27" s="713">
        <v>1159</v>
      </c>
      <c r="AL27" s="713">
        <v>659</v>
      </c>
      <c r="AM27" s="713">
        <v>423</v>
      </c>
      <c r="AN27" s="715">
        <f t="shared" si="86"/>
        <v>61446</v>
      </c>
      <c r="AO27" s="712">
        <v>9934</v>
      </c>
      <c r="AP27" s="713">
        <v>9835</v>
      </c>
      <c r="AQ27" s="714">
        <v>-165</v>
      </c>
      <c r="AR27" s="713">
        <v>437</v>
      </c>
      <c r="AS27" s="713">
        <v>107</v>
      </c>
      <c r="AT27" s="713">
        <v>1769</v>
      </c>
      <c r="AU27" s="713">
        <v>2979</v>
      </c>
      <c r="AV27" s="713">
        <v>631</v>
      </c>
      <c r="AW27" s="713">
        <v>162</v>
      </c>
      <c r="AX27" s="713">
        <v>2411</v>
      </c>
      <c r="AY27" s="713">
        <v>29</v>
      </c>
      <c r="AZ27" s="713">
        <v>143</v>
      </c>
      <c r="BA27" s="715">
        <f t="shared" si="88"/>
        <v>28272</v>
      </c>
      <c r="BB27" s="712">
        <v>1584</v>
      </c>
      <c r="BC27" s="713">
        <v>504</v>
      </c>
      <c r="BD27" s="714">
        <v>7161</v>
      </c>
      <c r="BE27" s="713">
        <v>1749</v>
      </c>
      <c r="BF27" s="713">
        <v>532</v>
      </c>
      <c r="BG27" s="713">
        <v>921</v>
      </c>
      <c r="BH27" s="713">
        <v>321</v>
      </c>
      <c r="BI27" s="713">
        <v>-142</v>
      </c>
      <c r="BJ27" s="713">
        <v>468</v>
      </c>
      <c r="BK27" s="713">
        <v>0</v>
      </c>
      <c r="BL27" s="713">
        <v>2203</v>
      </c>
      <c r="BM27" s="713">
        <v>2396</v>
      </c>
      <c r="BN27" s="715">
        <f>SUM(BB27:BM27)</f>
        <v>17697</v>
      </c>
      <c r="BO27" s="712">
        <v>12068</v>
      </c>
      <c r="BP27" s="713">
        <v>1507</v>
      </c>
      <c r="BQ27" s="714">
        <v>4857</v>
      </c>
      <c r="BR27" s="713">
        <v>963</v>
      </c>
      <c r="BS27" s="713">
        <v>20</v>
      </c>
      <c r="BT27" s="713">
        <v>839</v>
      </c>
      <c r="BU27" s="713">
        <v>1450</v>
      </c>
      <c r="BV27" s="713">
        <v>6485</v>
      </c>
      <c r="BW27" s="713">
        <v>73</v>
      </c>
      <c r="BX27" s="713">
        <v>716</v>
      </c>
      <c r="BY27" s="713">
        <v>-20</v>
      </c>
      <c r="BZ27" s="713">
        <v>159</v>
      </c>
      <c r="CA27" s="715">
        <f>SUM(BO27:BZ27)</f>
        <v>29117</v>
      </c>
      <c r="CB27" s="712">
        <v>3929</v>
      </c>
      <c r="CC27" s="713">
        <v>4915</v>
      </c>
      <c r="CD27" s="714">
        <v>4870</v>
      </c>
      <c r="CE27" s="713">
        <v>1629</v>
      </c>
      <c r="CF27" s="713">
        <v>3181</v>
      </c>
      <c r="CG27" s="713">
        <v>1094</v>
      </c>
      <c r="CH27" s="713">
        <v>5</v>
      </c>
      <c r="CI27" s="713">
        <v>3346</v>
      </c>
      <c r="CJ27" s="713">
        <v>4686</v>
      </c>
      <c r="CK27" s="713">
        <v>1468</v>
      </c>
      <c r="CL27" s="713">
        <v>1863</v>
      </c>
      <c r="CM27" s="713">
        <v>5555</v>
      </c>
      <c r="CN27" s="715">
        <f>SUM(CB27:CM27)</f>
        <v>36541</v>
      </c>
      <c r="CO27" s="712">
        <v>14179</v>
      </c>
      <c r="CP27" s="713">
        <v>1</v>
      </c>
      <c r="CQ27" s="714">
        <v>5618</v>
      </c>
      <c r="CR27" s="713">
        <v>6520</v>
      </c>
      <c r="CS27" s="713">
        <v>-29</v>
      </c>
      <c r="CT27" s="713">
        <v>2750</v>
      </c>
      <c r="CU27" s="713">
        <v>370</v>
      </c>
      <c r="CV27" s="713">
        <v>415</v>
      </c>
      <c r="CW27" s="713">
        <v>1156</v>
      </c>
      <c r="CX27" s="713">
        <v>0</v>
      </c>
      <c r="CY27" s="713">
        <v>681</v>
      </c>
      <c r="CZ27" s="713">
        <v>575</v>
      </c>
      <c r="DA27" s="715">
        <f>SUM(CO27:CZ27)</f>
        <v>32236</v>
      </c>
      <c r="DB27" s="712">
        <v>2316</v>
      </c>
      <c r="DC27" s="713">
        <v>81</v>
      </c>
      <c r="DD27" s="714">
        <v>-6</v>
      </c>
      <c r="DE27" s="713">
        <v>6041</v>
      </c>
      <c r="DF27" s="713">
        <v>3578</v>
      </c>
      <c r="DG27" s="713">
        <v>-41</v>
      </c>
      <c r="DH27" s="713">
        <v>3404</v>
      </c>
      <c r="DI27" s="713">
        <v>-1</v>
      </c>
      <c r="DJ27" s="713">
        <v>-22</v>
      </c>
      <c r="DK27" s="713">
        <v>186</v>
      </c>
      <c r="DL27" s="713">
        <v>458</v>
      </c>
      <c r="DM27" s="713">
        <v>4419</v>
      </c>
      <c r="DN27" s="715">
        <f>SUM(DB27:DM27)</f>
        <v>20413</v>
      </c>
      <c r="DO27" s="712">
        <v>3020</v>
      </c>
      <c r="DP27" s="713">
        <v>47</v>
      </c>
      <c r="DQ27" s="714">
        <v>4596</v>
      </c>
      <c r="DR27" s="713">
        <v>230</v>
      </c>
      <c r="DS27" s="713">
        <v>939</v>
      </c>
      <c r="DT27" s="713">
        <v>400</v>
      </c>
      <c r="DU27" s="713">
        <v>8695</v>
      </c>
      <c r="DV27" s="713">
        <v>0</v>
      </c>
      <c r="DW27" s="713">
        <v>173</v>
      </c>
      <c r="DX27" s="713">
        <v>382</v>
      </c>
      <c r="DY27" s="713">
        <v>1628</v>
      </c>
      <c r="DZ27" s="713">
        <v>10</v>
      </c>
      <c r="EA27" s="715">
        <f t="shared" si="36"/>
        <v>20120</v>
      </c>
      <c r="EB27" s="712">
        <v>7708</v>
      </c>
      <c r="EC27" s="713">
        <v>230</v>
      </c>
      <c r="ED27" s="714">
        <v>938</v>
      </c>
      <c r="EE27" s="713">
        <v>6798</v>
      </c>
      <c r="EF27" s="713">
        <v>-6</v>
      </c>
      <c r="EG27" s="713">
        <v>3761</v>
      </c>
      <c r="EH27" s="713">
        <v>-124</v>
      </c>
      <c r="EI27" s="713">
        <v>2045</v>
      </c>
      <c r="EJ27" s="713">
        <v>11190</v>
      </c>
      <c r="EK27" s="713">
        <v>-12</v>
      </c>
      <c r="EL27" s="713">
        <v>3925</v>
      </c>
      <c r="EM27" s="713">
        <v>1756</v>
      </c>
      <c r="EN27" s="715">
        <f t="shared" si="38"/>
        <v>38209</v>
      </c>
      <c r="EO27" s="712">
        <v>1867</v>
      </c>
      <c r="EP27" s="713">
        <v>6279</v>
      </c>
      <c r="EQ27" s="714">
        <v>6858</v>
      </c>
      <c r="ER27" s="713">
        <v>5856</v>
      </c>
      <c r="ES27" s="713">
        <v>3545</v>
      </c>
      <c r="ET27" s="713">
        <v>19282</v>
      </c>
      <c r="EU27" s="713">
        <v>310</v>
      </c>
      <c r="EV27" s="713">
        <v>1780</v>
      </c>
      <c r="EW27" s="713">
        <v>2423</v>
      </c>
      <c r="EX27" s="713">
        <v>217</v>
      </c>
      <c r="EY27" s="713">
        <v>728</v>
      </c>
      <c r="EZ27" s="713">
        <v>-65</v>
      </c>
      <c r="FA27" s="715">
        <f t="shared" si="40"/>
        <v>49080</v>
      </c>
      <c r="FB27" s="712">
        <v>1354</v>
      </c>
      <c r="FC27" s="713">
        <v>563</v>
      </c>
      <c r="FD27" s="714">
        <v>3411</v>
      </c>
      <c r="FE27" s="713">
        <v>24040</v>
      </c>
      <c r="FF27" s="713">
        <v>724</v>
      </c>
      <c r="FG27" s="713">
        <v>-16</v>
      </c>
      <c r="FH27" s="713">
        <v>42</v>
      </c>
      <c r="FI27" s="713">
        <v>4397</v>
      </c>
      <c r="FJ27" s="713">
        <v>99</v>
      </c>
      <c r="FK27" s="713">
        <v>853</v>
      </c>
      <c r="FL27" s="713">
        <v>537</v>
      </c>
      <c r="FM27" s="713">
        <v>4610</v>
      </c>
      <c r="FN27" s="715">
        <f t="shared" si="42"/>
        <v>40614</v>
      </c>
      <c r="FO27" s="712">
        <v>9554</v>
      </c>
      <c r="FP27" s="713">
        <v>16</v>
      </c>
      <c r="FQ27" s="714">
        <v>428</v>
      </c>
      <c r="FR27" s="713">
        <v>4927</v>
      </c>
      <c r="FS27" s="713">
        <v>-44</v>
      </c>
      <c r="FT27" s="713">
        <v>7281</v>
      </c>
      <c r="FU27" s="713">
        <v>3650</v>
      </c>
      <c r="FV27" s="713">
        <v>986</v>
      </c>
      <c r="FW27" s="713">
        <v>3773</v>
      </c>
      <c r="FX27" s="713">
        <v>3004</v>
      </c>
      <c r="FY27" s="713">
        <v>108</v>
      </c>
      <c r="FZ27" s="713">
        <v>10151</v>
      </c>
      <c r="GA27" s="715">
        <f t="shared" si="44"/>
        <v>43834</v>
      </c>
      <c r="GB27" s="712">
        <v>11272</v>
      </c>
      <c r="GC27" s="713">
        <v>1145</v>
      </c>
      <c r="GD27" s="714">
        <v>5186</v>
      </c>
      <c r="GE27" s="713">
        <v>511</v>
      </c>
      <c r="GF27" s="713">
        <v>4558</v>
      </c>
      <c r="GG27" s="713">
        <v>11542</v>
      </c>
      <c r="GH27" s="713">
        <v>7983</v>
      </c>
      <c r="GI27" s="713">
        <v>16</v>
      </c>
      <c r="GJ27" s="713">
        <v>-126</v>
      </c>
      <c r="GK27" s="713">
        <v>934</v>
      </c>
      <c r="GL27" s="713">
        <v>549</v>
      </c>
      <c r="GM27" s="713">
        <v>1715</v>
      </c>
      <c r="GN27" s="712">
        <f>SUM(GB27:GM27)</f>
        <v>45285</v>
      </c>
      <c r="GO27" s="1324">
        <v>1320</v>
      </c>
      <c r="GP27">
        <v>2233</v>
      </c>
      <c r="GQ27">
        <v>2410</v>
      </c>
      <c r="GR27">
        <v>8938</v>
      </c>
      <c r="GS27">
        <v>806</v>
      </c>
      <c r="GT27">
        <v>1312</v>
      </c>
      <c r="GU27">
        <v>185</v>
      </c>
      <c r="GV27">
        <v>-122</v>
      </c>
      <c r="GZ27" s="1266"/>
      <c r="HA27" s="1059">
        <f t="shared" si="47"/>
        <v>17082</v>
      </c>
      <c r="HC27" s="681">
        <f t="shared" si="48"/>
        <v>-862.5</v>
      </c>
      <c r="HD27" s="681">
        <f t="shared" si="49"/>
        <v>-59.533792907398194</v>
      </c>
      <c r="HE27" s="683">
        <f t="shared" si="50"/>
        <v>42213</v>
      </c>
      <c r="HF27" s="683">
        <f t="shared" si="51"/>
        <v>17082</v>
      </c>
    </row>
    <row r="28" spans="1:214" ht="13.9" customHeight="1" x14ac:dyDescent="0.2">
      <c r="A28" s="680" t="s">
        <v>403</v>
      </c>
      <c r="B28" s="712">
        <v>21</v>
      </c>
      <c r="C28" s="713">
        <v>1</v>
      </c>
      <c r="D28" s="714">
        <v>0</v>
      </c>
      <c r="E28" s="713">
        <v>0</v>
      </c>
      <c r="F28" s="713">
        <v>0</v>
      </c>
      <c r="G28" s="713">
        <v>500</v>
      </c>
      <c r="H28" s="713">
        <v>1200</v>
      </c>
      <c r="I28" s="713">
        <v>987</v>
      </c>
      <c r="J28" s="713">
        <v>1270</v>
      </c>
      <c r="K28" s="713">
        <v>1344</v>
      </c>
      <c r="L28" s="713">
        <v>110</v>
      </c>
      <c r="M28" s="713">
        <v>4543</v>
      </c>
      <c r="N28" s="715">
        <f t="shared" si="82"/>
        <v>9976</v>
      </c>
      <c r="O28" s="712">
        <v>9272</v>
      </c>
      <c r="P28" s="713">
        <v>118</v>
      </c>
      <c r="Q28" s="714">
        <v>146</v>
      </c>
      <c r="R28" s="713">
        <v>0</v>
      </c>
      <c r="S28" s="713">
        <v>2964</v>
      </c>
      <c r="T28" s="713">
        <v>1E-3</v>
      </c>
      <c r="U28" s="713">
        <v>5161</v>
      </c>
      <c r="V28" s="713">
        <v>1981</v>
      </c>
      <c r="W28" s="713">
        <v>1290</v>
      </c>
      <c r="X28" s="713">
        <v>190</v>
      </c>
      <c r="Y28" s="713">
        <v>1195</v>
      </c>
      <c r="Z28" s="713">
        <v>0</v>
      </c>
      <c r="AA28" s="715">
        <f t="shared" si="84"/>
        <v>22317.001</v>
      </c>
      <c r="AB28" s="712">
        <v>6444</v>
      </c>
      <c r="AC28" s="713">
        <v>1487</v>
      </c>
      <c r="AD28" s="714">
        <v>1388</v>
      </c>
      <c r="AE28" s="713">
        <v>722</v>
      </c>
      <c r="AF28" s="713">
        <v>878</v>
      </c>
      <c r="AG28" s="713">
        <v>-494</v>
      </c>
      <c r="AH28" s="713">
        <v>5034</v>
      </c>
      <c r="AI28" s="713">
        <v>200</v>
      </c>
      <c r="AJ28" s="713">
        <v>600</v>
      </c>
      <c r="AK28" s="713">
        <v>1018</v>
      </c>
      <c r="AL28" s="713">
        <v>250</v>
      </c>
      <c r="AM28" s="713">
        <v>1601</v>
      </c>
      <c r="AN28" s="715">
        <f t="shared" si="86"/>
        <v>19128</v>
      </c>
      <c r="AO28" s="712">
        <v>3810</v>
      </c>
      <c r="AP28" s="713">
        <v>2</v>
      </c>
      <c r="AQ28" s="714">
        <v>340</v>
      </c>
      <c r="AR28" s="713">
        <v>612</v>
      </c>
      <c r="AS28" s="713">
        <v>0</v>
      </c>
      <c r="AT28" s="713">
        <v>0</v>
      </c>
      <c r="AU28" s="713">
        <v>0</v>
      </c>
      <c r="AV28" s="713">
        <v>0.70899999999999996</v>
      </c>
      <c r="AW28" s="713">
        <v>144</v>
      </c>
      <c r="AX28" s="713">
        <v>0</v>
      </c>
      <c r="AY28" s="713">
        <v>0</v>
      </c>
      <c r="AZ28" s="713">
        <v>0</v>
      </c>
      <c r="BA28" s="715">
        <f t="shared" si="88"/>
        <v>4908.7089999999998</v>
      </c>
      <c r="BB28" s="712">
        <v>121</v>
      </c>
      <c r="BC28" s="713">
        <v>1</v>
      </c>
      <c r="BD28" s="714">
        <v>0</v>
      </c>
      <c r="BE28" s="713">
        <v>0</v>
      </c>
      <c r="BF28" s="713">
        <v>0</v>
      </c>
      <c r="BG28" s="713">
        <v>6903</v>
      </c>
      <c r="BH28" s="713">
        <v>14586</v>
      </c>
      <c r="BI28" s="713">
        <v>1075</v>
      </c>
      <c r="BJ28" s="713">
        <v>30</v>
      </c>
      <c r="BK28" s="713">
        <v>4510</v>
      </c>
      <c r="BL28" s="713">
        <v>0</v>
      </c>
      <c r="BM28" s="713">
        <v>3124</v>
      </c>
      <c r="BN28" s="715">
        <f>SUM(BB28:BM28)</f>
        <v>30350</v>
      </c>
      <c r="BO28" s="712">
        <v>13036</v>
      </c>
      <c r="BP28" s="713">
        <v>12</v>
      </c>
      <c r="BQ28" s="714">
        <v>0</v>
      </c>
      <c r="BR28" s="713">
        <v>0</v>
      </c>
      <c r="BS28" s="713">
        <v>7539</v>
      </c>
      <c r="BT28" s="713">
        <v>41</v>
      </c>
      <c r="BU28" s="713">
        <v>12148</v>
      </c>
      <c r="BV28" s="713">
        <v>4486</v>
      </c>
      <c r="BW28" s="713">
        <v>1940</v>
      </c>
      <c r="BX28" s="713">
        <v>29077</v>
      </c>
      <c r="BY28" s="713">
        <v>14426</v>
      </c>
      <c r="BZ28" s="713">
        <v>6882</v>
      </c>
      <c r="CA28" s="715">
        <f>SUM(BO28:BZ28)</f>
        <v>89587</v>
      </c>
      <c r="CB28" s="712">
        <v>16602</v>
      </c>
      <c r="CC28" s="713">
        <v>4785</v>
      </c>
      <c r="CD28" s="714">
        <v>33330</v>
      </c>
      <c r="CE28" s="713">
        <v>35262</v>
      </c>
      <c r="CF28" s="713">
        <v>18320</v>
      </c>
      <c r="CG28" s="713">
        <v>14097</v>
      </c>
      <c r="CH28" s="713">
        <v>36400</v>
      </c>
      <c r="CI28" s="713">
        <v>9661</v>
      </c>
      <c r="CJ28" s="713">
        <v>16690</v>
      </c>
      <c r="CK28" s="713">
        <v>9283</v>
      </c>
      <c r="CL28" s="713">
        <v>21466</v>
      </c>
      <c r="CM28" s="713">
        <v>43137</v>
      </c>
      <c r="CN28" s="715">
        <f>SUM(CB28:CM28)</f>
        <v>259033</v>
      </c>
      <c r="CO28" s="712">
        <v>92249</v>
      </c>
      <c r="CP28" s="713">
        <v>4675</v>
      </c>
      <c r="CQ28" s="714">
        <v>23776</v>
      </c>
      <c r="CR28" s="713">
        <v>-2738</v>
      </c>
      <c r="CS28" s="713">
        <v>25597</v>
      </c>
      <c r="CT28" s="713">
        <v>33284</v>
      </c>
      <c r="CU28" s="713">
        <v>4946</v>
      </c>
      <c r="CV28" s="713">
        <v>4379</v>
      </c>
      <c r="CW28" s="713">
        <v>6146</v>
      </c>
      <c r="CX28" s="713">
        <v>36126</v>
      </c>
      <c r="CY28" s="713">
        <v>326</v>
      </c>
      <c r="CZ28" s="713">
        <v>0</v>
      </c>
      <c r="DA28" s="715">
        <f>SUM(CO28:CZ28)</f>
        <v>228766</v>
      </c>
      <c r="DB28" s="712">
        <v>13749</v>
      </c>
      <c r="DC28" s="713">
        <v>15839</v>
      </c>
      <c r="DD28" s="714">
        <v>8191</v>
      </c>
      <c r="DE28" s="713">
        <v>4581</v>
      </c>
      <c r="DF28" s="713">
        <v>4450</v>
      </c>
      <c r="DG28" s="713">
        <v>20823</v>
      </c>
      <c r="DH28" s="713">
        <v>4514</v>
      </c>
      <c r="DI28" s="713">
        <v>7763</v>
      </c>
      <c r="DJ28" s="713">
        <v>3825</v>
      </c>
      <c r="DK28" s="713">
        <v>6285</v>
      </c>
      <c r="DL28" s="713">
        <v>3015</v>
      </c>
      <c r="DM28" s="713">
        <v>13961</v>
      </c>
      <c r="DN28" s="715">
        <f>SUM(DB28:DM28)</f>
        <v>106996</v>
      </c>
      <c r="DO28" s="712">
        <v>103858</v>
      </c>
      <c r="DP28" s="713">
        <v>1475</v>
      </c>
      <c r="DQ28" s="714">
        <v>25858</v>
      </c>
      <c r="DR28" s="713">
        <v>16985</v>
      </c>
      <c r="DS28" s="713">
        <v>1005</v>
      </c>
      <c r="DT28" s="713">
        <v>0</v>
      </c>
      <c r="DU28" s="713">
        <v>157235</v>
      </c>
      <c r="DV28" s="713">
        <v>6228</v>
      </c>
      <c r="DW28" s="713">
        <v>44004</v>
      </c>
      <c r="DX28" s="713">
        <v>25305</v>
      </c>
      <c r="DY28" s="713">
        <v>-154</v>
      </c>
      <c r="DZ28" s="713">
        <v>13469</v>
      </c>
      <c r="EA28" s="715">
        <f t="shared" si="36"/>
        <v>395268</v>
      </c>
      <c r="EB28" s="712">
        <v>12585</v>
      </c>
      <c r="EC28" s="713">
        <v>56020</v>
      </c>
      <c r="ED28" s="714">
        <v>77303</v>
      </c>
      <c r="EE28" s="713">
        <v>10619</v>
      </c>
      <c r="EF28" s="713">
        <v>19247</v>
      </c>
      <c r="EG28" s="713">
        <v>40851</v>
      </c>
      <c r="EH28" s="713">
        <v>22799</v>
      </c>
      <c r="EI28" s="713">
        <v>23017</v>
      </c>
      <c r="EJ28" s="713">
        <v>26100</v>
      </c>
      <c r="EK28" s="713">
        <v>25770</v>
      </c>
      <c r="EL28" s="713">
        <v>18903</v>
      </c>
      <c r="EM28" s="713">
        <v>54540</v>
      </c>
      <c r="EN28" s="715">
        <f t="shared" si="38"/>
        <v>387754</v>
      </c>
      <c r="EO28" s="712">
        <v>6095</v>
      </c>
      <c r="EP28" s="713">
        <v>164</v>
      </c>
      <c r="EQ28" s="714">
        <v>55974</v>
      </c>
      <c r="ER28" s="713">
        <v>7791</v>
      </c>
      <c r="ES28" s="713">
        <v>6598</v>
      </c>
      <c r="ET28" s="713">
        <v>5273</v>
      </c>
      <c r="EU28" s="713">
        <v>25554</v>
      </c>
      <c r="EV28" s="713">
        <v>50232</v>
      </c>
      <c r="EW28" s="713">
        <v>19393</v>
      </c>
      <c r="EX28" s="713">
        <v>18349</v>
      </c>
      <c r="EY28" s="713">
        <v>13204</v>
      </c>
      <c r="EZ28" s="713">
        <v>12181</v>
      </c>
      <c r="FA28" s="715">
        <f>SUM(EO28:EZ28)</f>
        <v>220808</v>
      </c>
      <c r="FB28" s="712">
        <v>4176</v>
      </c>
      <c r="FC28" s="713">
        <v>70</v>
      </c>
      <c r="FD28" s="714">
        <v>21994</v>
      </c>
      <c r="FE28" s="713">
        <v>1247</v>
      </c>
      <c r="FF28" s="713">
        <v>5367</v>
      </c>
      <c r="FG28" s="713">
        <v>7406</v>
      </c>
      <c r="FH28" s="713">
        <v>0</v>
      </c>
      <c r="FI28" s="713">
        <v>466</v>
      </c>
      <c r="FJ28" s="713">
        <v>2188</v>
      </c>
      <c r="FK28" s="713">
        <v>-28119</v>
      </c>
      <c r="FL28" s="713">
        <v>2759</v>
      </c>
      <c r="FM28" s="713">
        <v>5415</v>
      </c>
      <c r="FN28" s="715">
        <f t="shared" si="42"/>
        <v>22969</v>
      </c>
      <c r="FO28" s="712">
        <v>3507</v>
      </c>
      <c r="FP28" s="713">
        <v>2353</v>
      </c>
      <c r="FQ28" s="714">
        <v>3590</v>
      </c>
      <c r="FR28" s="713">
        <v>7</v>
      </c>
      <c r="FS28" s="713">
        <v>1370</v>
      </c>
      <c r="FT28" s="713">
        <v>1495</v>
      </c>
      <c r="FU28" s="713">
        <v>0</v>
      </c>
      <c r="FV28" s="713">
        <v>200</v>
      </c>
      <c r="FW28" s="713">
        <v>670</v>
      </c>
      <c r="FX28" s="713">
        <v>2200</v>
      </c>
      <c r="FY28" s="713">
        <v>800</v>
      </c>
      <c r="FZ28" s="713">
        <v>556</v>
      </c>
      <c r="GA28" s="715">
        <f t="shared" si="44"/>
        <v>16748</v>
      </c>
      <c r="GB28" s="712">
        <v>3311</v>
      </c>
      <c r="GC28" s="713">
        <v>181</v>
      </c>
      <c r="GD28" s="714">
        <v>39</v>
      </c>
      <c r="GE28" s="713">
        <v>674</v>
      </c>
      <c r="GF28" s="713">
        <v>0</v>
      </c>
      <c r="GG28" s="713">
        <v>480</v>
      </c>
      <c r="GH28" s="713">
        <v>0</v>
      </c>
      <c r="GI28" s="713">
        <v>6609</v>
      </c>
      <c r="GJ28" s="713">
        <v>422</v>
      </c>
      <c r="GK28" s="713">
        <v>1079</v>
      </c>
      <c r="GL28" s="713">
        <v>381</v>
      </c>
      <c r="GM28" s="713">
        <v>7166</v>
      </c>
      <c r="GN28" s="712">
        <f>SUM(GB28:GM28)</f>
        <v>20342</v>
      </c>
      <c r="GO28" s="1324">
        <v>4215</v>
      </c>
      <c r="GP28">
        <v>-224</v>
      </c>
      <c r="GQ28">
        <v>213</v>
      </c>
      <c r="GR28">
        <v>0</v>
      </c>
      <c r="GS28">
        <v>111</v>
      </c>
      <c r="GT28">
        <v>68</v>
      </c>
      <c r="GU28">
        <v>1203</v>
      </c>
      <c r="GV28">
        <v>1164</v>
      </c>
      <c r="GZ28" s="1266"/>
      <c r="HA28" s="1059">
        <f t="shared" si="47"/>
        <v>6750</v>
      </c>
      <c r="HC28" s="681" t="str">
        <f t="shared" ref="HC28:HC31" si="99">IFERROR(((GS28/GF28)-1)*100,"")</f>
        <v/>
      </c>
      <c r="HD28" s="681">
        <f t="shared" si="49"/>
        <v>-40.2337524349212</v>
      </c>
      <c r="HE28" s="683">
        <f t="shared" si="50"/>
        <v>11294</v>
      </c>
      <c r="HF28" s="683">
        <f>IFERROR(SUM(GO28:GZ28),"-")</f>
        <v>6750</v>
      </c>
    </row>
    <row r="29" spans="1:214" ht="13.9" customHeight="1" x14ac:dyDescent="0.2">
      <c r="A29" s="680" t="s">
        <v>404</v>
      </c>
      <c r="B29" s="716">
        <v>0</v>
      </c>
      <c r="C29" s="714">
        <v>0</v>
      </c>
      <c r="D29" s="714">
        <v>0</v>
      </c>
      <c r="E29" s="714">
        <v>0</v>
      </c>
      <c r="F29" s="714">
        <v>0</v>
      </c>
      <c r="G29" s="714">
        <v>0</v>
      </c>
      <c r="H29" s="714">
        <v>0</v>
      </c>
      <c r="I29" s="714">
        <v>0</v>
      </c>
      <c r="J29" s="714">
        <v>0</v>
      </c>
      <c r="K29" s="714">
        <v>0</v>
      </c>
      <c r="L29" s="714">
        <v>0</v>
      </c>
      <c r="M29" s="714">
        <v>0</v>
      </c>
      <c r="N29" s="717">
        <f t="shared" si="82"/>
        <v>0</v>
      </c>
      <c r="O29" s="716">
        <v>0</v>
      </c>
      <c r="P29" s="714">
        <v>0</v>
      </c>
      <c r="Q29" s="714">
        <v>0</v>
      </c>
      <c r="R29" s="714">
        <v>0</v>
      </c>
      <c r="S29" s="714">
        <v>0</v>
      </c>
      <c r="T29" s="714">
        <v>0</v>
      </c>
      <c r="U29" s="714">
        <v>0</v>
      </c>
      <c r="V29" s="714">
        <v>0</v>
      </c>
      <c r="W29" s="714">
        <v>0</v>
      </c>
      <c r="X29" s="714">
        <v>0</v>
      </c>
      <c r="Y29" s="714">
        <v>0</v>
      </c>
      <c r="Z29" s="714">
        <v>0</v>
      </c>
      <c r="AA29" s="717">
        <f t="shared" si="84"/>
        <v>0</v>
      </c>
      <c r="AB29" s="716">
        <v>0</v>
      </c>
      <c r="AC29" s="714">
        <v>0</v>
      </c>
      <c r="AD29" s="714">
        <v>0</v>
      </c>
      <c r="AE29" s="714">
        <v>0</v>
      </c>
      <c r="AF29" s="714">
        <v>0</v>
      </c>
      <c r="AG29" s="714">
        <v>0</v>
      </c>
      <c r="AH29" s="714">
        <v>0</v>
      </c>
      <c r="AI29" s="714">
        <v>0</v>
      </c>
      <c r="AJ29" s="714">
        <v>0</v>
      </c>
      <c r="AK29" s="714">
        <v>0</v>
      </c>
      <c r="AL29" s="714">
        <v>0</v>
      </c>
      <c r="AM29" s="714">
        <v>0</v>
      </c>
      <c r="AN29" s="717">
        <f t="shared" si="86"/>
        <v>0</v>
      </c>
      <c r="AO29" s="716">
        <v>0</v>
      </c>
      <c r="AP29" s="714">
        <v>0</v>
      </c>
      <c r="AQ29" s="714">
        <v>0</v>
      </c>
      <c r="AR29" s="714">
        <v>0</v>
      </c>
      <c r="AS29" s="714">
        <v>0</v>
      </c>
      <c r="AT29" s="714">
        <v>0</v>
      </c>
      <c r="AU29" s="714">
        <v>0</v>
      </c>
      <c r="AV29" s="714">
        <v>0</v>
      </c>
      <c r="AW29" s="714">
        <v>0</v>
      </c>
      <c r="AX29" s="714">
        <v>0</v>
      </c>
      <c r="AY29" s="714">
        <v>0</v>
      </c>
      <c r="AZ29" s="714">
        <v>0</v>
      </c>
      <c r="BA29" s="717">
        <f t="shared" si="88"/>
        <v>0</v>
      </c>
      <c r="BB29" s="716">
        <v>0</v>
      </c>
      <c r="BC29" s="714">
        <v>0</v>
      </c>
      <c r="BD29" s="714">
        <v>0</v>
      </c>
      <c r="BE29" s="714">
        <v>0</v>
      </c>
      <c r="BF29" s="714">
        <v>0</v>
      </c>
      <c r="BG29" s="714">
        <v>0</v>
      </c>
      <c r="BH29" s="714">
        <v>0</v>
      </c>
      <c r="BI29" s="714">
        <v>0</v>
      </c>
      <c r="BJ29" s="714"/>
      <c r="BK29" s="714"/>
      <c r="BL29" s="714"/>
      <c r="BM29" s="714"/>
      <c r="BN29" s="717"/>
      <c r="BO29" s="716"/>
      <c r="BP29" s="714"/>
      <c r="BQ29" s="714"/>
      <c r="BR29" s="714"/>
      <c r="BS29" s="714"/>
      <c r="BT29" s="714"/>
      <c r="BU29" s="714"/>
      <c r="BV29" s="714"/>
      <c r="BW29" s="714"/>
      <c r="BX29" s="714"/>
      <c r="BY29" s="714"/>
      <c r="BZ29" s="714"/>
      <c r="CA29" s="717"/>
      <c r="CB29" s="716"/>
      <c r="CC29" s="714"/>
      <c r="CD29" s="714"/>
      <c r="CE29" s="714"/>
      <c r="CF29" s="714"/>
      <c r="CG29" s="714"/>
      <c r="CH29" s="714"/>
      <c r="CI29" s="714"/>
      <c r="CJ29" s="714"/>
      <c r="CK29" s="714"/>
      <c r="CL29" s="714"/>
      <c r="CM29" s="714"/>
      <c r="CN29" s="717"/>
      <c r="CO29" s="716"/>
      <c r="CP29" s="714"/>
      <c r="CQ29" s="714"/>
      <c r="CR29" s="714"/>
      <c r="CS29" s="714"/>
      <c r="CT29" s="714"/>
      <c r="CU29" s="714"/>
      <c r="CV29" s="714"/>
      <c r="CW29" s="714"/>
      <c r="CX29" s="714"/>
      <c r="CY29" s="714"/>
      <c r="CZ29" s="714"/>
      <c r="DA29" s="717"/>
      <c r="DB29" s="716"/>
      <c r="DC29" s="714"/>
      <c r="DD29" s="714"/>
      <c r="DE29" s="714"/>
      <c r="DF29" s="714"/>
      <c r="DG29" s="714"/>
      <c r="DH29" s="714"/>
      <c r="DI29" s="714"/>
      <c r="DJ29" s="714"/>
      <c r="DK29" s="714"/>
      <c r="DL29" s="714"/>
      <c r="DM29" s="714"/>
      <c r="DN29" s="717"/>
      <c r="DO29" s="716"/>
      <c r="DP29" s="714"/>
      <c r="DQ29" s="714"/>
      <c r="DR29" s="714"/>
      <c r="DS29" s="714"/>
      <c r="DT29" s="714"/>
      <c r="DU29" s="714"/>
      <c r="DV29" s="714"/>
      <c r="DW29" s="714"/>
      <c r="DX29" s="714"/>
      <c r="DY29" s="714"/>
      <c r="DZ29" s="714"/>
      <c r="EA29" s="717"/>
      <c r="EB29" s="716"/>
      <c r="EC29" s="714"/>
      <c r="ED29" s="714"/>
      <c r="EE29" s="714"/>
      <c r="EF29" s="714"/>
      <c r="EG29" s="714"/>
      <c r="EH29" s="714"/>
      <c r="EI29" s="714"/>
      <c r="EJ29" s="714"/>
      <c r="EK29" s="714"/>
      <c r="EL29" s="714"/>
      <c r="EM29" s="714"/>
      <c r="EN29" s="717">
        <f t="shared" si="38"/>
        <v>0</v>
      </c>
      <c r="EO29" s="716"/>
      <c r="EP29" s="714"/>
      <c r="EQ29" s="714"/>
      <c r="ER29" s="714"/>
      <c r="ES29" s="714"/>
      <c r="ET29" s="714"/>
      <c r="EU29" s="714"/>
      <c r="EV29" s="714"/>
      <c r="EW29" s="714"/>
      <c r="EX29" s="714"/>
      <c r="EY29" s="714"/>
      <c r="EZ29" s="714"/>
      <c r="FA29" s="717"/>
      <c r="FB29" s="716"/>
      <c r="FC29" s="714"/>
      <c r="FD29" s="714"/>
      <c r="FE29" s="714"/>
      <c r="FF29" s="714"/>
      <c r="FG29" s="714"/>
      <c r="FH29" s="714"/>
      <c r="FI29" s="714"/>
      <c r="FJ29" s="714"/>
      <c r="FK29" s="714"/>
      <c r="FL29" s="714"/>
      <c r="FM29" s="714"/>
      <c r="FN29" s="717">
        <f t="shared" si="42"/>
        <v>0</v>
      </c>
      <c r="FO29" s="716"/>
      <c r="FP29" s="714"/>
      <c r="FQ29" s="714"/>
      <c r="FR29" s="714"/>
      <c r="FS29" s="714"/>
      <c r="FT29" s="714"/>
      <c r="FU29" s="714"/>
      <c r="FV29" s="714"/>
      <c r="FW29" s="714"/>
      <c r="FX29" s="714"/>
      <c r="FY29" s="714"/>
      <c r="FZ29" s="714"/>
      <c r="GA29" s="717">
        <f t="shared" si="44"/>
        <v>0</v>
      </c>
      <c r="GB29" s="716">
        <v>0</v>
      </c>
      <c r="GC29" s="714">
        <v>0</v>
      </c>
      <c r="GD29" s="714">
        <v>0</v>
      </c>
      <c r="GE29" s="714">
        <v>0</v>
      </c>
      <c r="GF29" s="714">
        <v>0</v>
      </c>
      <c r="GG29" s="714">
        <v>0</v>
      </c>
      <c r="GH29" s="714">
        <v>0</v>
      </c>
      <c r="GI29" s="714">
        <v>0</v>
      </c>
      <c r="GJ29" s="714">
        <v>0</v>
      </c>
      <c r="GK29" s="714">
        <v>0</v>
      </c>
      <c r="GL29" s="714">
        <v>0</v>
      </c>
      <c r="GM29" s="714">
        <v>0</v>
      </c>
      <c r="GN29" s="716">
        <f t="shared" si="52"/>
        <v>0</v>
      </c>
      <c r="GO29" s="1324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Z29" s="1266"/>
      <c r="HA29" s="1059">
        <f t="shared" si="47"/>
        <v>0</v>
      </c>
      <c r="HC29" s="681" t="str">
        <f t="shared" si="99"/>
        <v/>
      </c>
      <c r="HD29" s="681" t="str">
        <f t="shared" si="49"/>
        <v/>
      </c>
      <c r="HE29" s="683">
        <f t="shared" si="50"/>
        <v>0</v>
      </c>
      <c r="HF29" s="683">
        <f t="shared" si="51"/>
        <v>0</v>
      </c>
    </row>
    <row r="30" spans="1:214" ht="13.9" customHeight="1" x14ac:dyDescent="0.2">
      <c r="A30" s="680" t="s">
        <v>405</v>
      </c>
      <c r="B30" s="716">
        <v>0</v>
      </c>
      <c r="C30" s="714">
        <v>0</v>
      </c>
      <c r="D30" s="714">
        <v>0</v>
      </c>
      <c r="E30" s="714">
        <v>0</v>
      </c>
      <c r="F30" s="714">
        <v>0</v>
      </c>
      <c r="G30" s="714">
        <v>0</v>
      </c>
      <c r="H30" s="714">
        <v>0</v>
      </c>
      <c r="I30" s="714">
        <v>0</v>
      </c>
      <c r="J30" s="714">
        <v>0</v>
      </c>
      <c r="K30" s="714">
        <v>0</v>
      </c>
      <c r="L30" s="714">
        <v>0</v>
      </c>
      <c r="M30" s="714">
        <v>0</v>
      </c>
      <c r="N30" s="717">
        <f t="shared" si="82"/>
        <v>0</v>
      </c>
      <c r="O30" s="716">
        <v>0</v>
      </c>
      <c r="P30" s="714">
        <v>0</v>
      </c>
      <c r="Q30" s="714">
        <v>0</v>
      </c>
      <c r="R30" s="714">
        <v>0</v>
      </c>
      <c r="S30" s="714">
        <v>0</v>
      </c>
      <c r="T30" s="714">
        <v>0</v>
      </c>
      <c r="U30" s="714">
        <v>0</v>
      </c>
      <c r="V30" s="714">
        <v>0</v>
      </c>
      <c r="W30" s="714">
        <v>0</v>
      </c>
      <c r="X30" s="714">
        <v>0</v>
      </c>
      <c r="Y30" s="714">
        <v>0</v>
      </c>
      <c r="Z30" s="714">
        <v>0</v>
      </c>
      <c r="AA30" s="717">
        <f t="shared" si="84"/>
        <v>0</v>
      </c>
      <c r="AB30" s="716">
        <v>0</v>
      </c>
      <c r="AC30" s="714">
        <v>0</v>
      </c>
      <c r="AD30" s="714">
        <v>0</v>
      </c>
      <c r="AE30" s="714">
        <v>0</v>
      </c>
      <c r="AF30" s="714">
        <v>0</v>
      </c>
      <c r="AG30" s="714">
        <v>0</v>
      </c>
      <c r="AH30" s="714">
        <v>0</v>
      </c>
      <c r="AI30" s="714">
        <v>0</v>
      </c>
      <c r="AJ30" s="714">
        <v>0</v>
      </c>
      <c r="AK30" s="714">
        <v>0</v>
      </c>
      <c r="AL30" s="714">
        <v>0</v>
      </c>
      <c r="AM30" s="714">
        <v>0</v>
      </c>
      <c r="AN30" s="717">
        <f t="shared" si="86"/>
        <v>0</v>
      </c>
      <c r="AO30" s="716">
        <v>0</v>
      </c>
      <c r="AP30" s="714">
        <v>0</v>
      </c>
      <c r="AQ30" s="714">
        <v>0</v>
      </c>
      <c r="AR30" s="714">
        <v>0</v>
      </c>
      <c r="AS30" s="714">
        <v>0</v>
      </c>
      <c r="AT30" s="714">
        <v>0</v>
      </c>
      <c r="AU30" s="714">
        <v>0</v>
      </c>
      <c r="AV30" s="714">
        <v>0</v>
      </c>
      <c r="AW30" s="714">
        <v>0</v>
      </c>
      <c r="AX30" s="714">
        <v>0</v>
      </c>
      <c r="AY30" s="714">
        <v>0</v>
      </c>
      <c r="AZ30" s="714">
        <v>0</v>
      </c>
      <c r="BA30" s="717">
        <f t="shared" si="88"/>
        <v>0</v>
      </c>
      <c r="BB30" s="716">
        <v>0</v>
      </c>
      <c r="BC30" s="714">
        <v>0</v>
      </c>
      <c r="BD30" s="714">
        <v>0</v>
      </c>
      <c r="BE30" s="714">
        <v>0</v>
      </c>
      <c r="BF30" s="714">
        <v>0</v>
      </c>
      <c r="BG30" s="714">
        <v>0</v>
      </c>
      <c r="BH30" s="714">
        <v>0</v>
      </c>
      <c r="BI30" s="714">
        <v>0</v>
      </c>
      <c r="BJ30" s="714"/>
      <c r="BK30" s="714"/>
      <c r="BL30" s="714"/>
      <c r="BM30" s="714"/>
      <c r="BN30" s="717"/>
      <c r="BO30" s="716"/>
      <c r="BP30" s="714"/>
      <c r="BQ30" s="714"/>
      <c r="BR30" s="714"/>
      <c r="BS30" s="714"/>
      <c r="BT30" s="714"/>
      <c r="BU30" s="714"/>
      <c r="BV30" s="714"/>
      <c r="BW30" s="714"/>
      <c r="BX30" s="714"/>
      <c r="BY30" s="714"/>
      <c r="BZ30" s="714"/>
      <c r="CA30" s="717"/>
      <c r="CB30" s="716"/>
      <c r="CC30" s="714"/>
      <c r="CD30" s="714"/>
      <c r="CE30" s="714"/>
      <c r="CF30" s="714"/>
      <c r="CG30" s="714"/>
      <c r="CH30" s="714"/>
      <c r="CI30" s="714"/>
      <c r="CJ30" s="714"/>
      <c r="CK30" s="714"/>
      <c r="CL30" s="714"/>
      <c r="CM30" s="714"/>
      <c r="CN30" s="717"/>
      <c r="CO30" s="716"/>
      <c r="CP30" s="714"/>
      <c r="CQ30" s="714"/>
      <c r="CR30" s="714"/>
      <c r="CS30" s="714"/>
      <c r="CT30" s="714"/>
      <c r="CU30" s="714"/>
      <c r="CV30" s="714"/>
      <c r="CW30" s="714"/>
      <c r="CX30" s="714"/>
      <c r="CY30" s="714"/>
      <c r="CZ30" s="714"/>
      <c r="DA30" s="717"/>
      <c r="DB30" s="716"/>
      <c r="DC30" s="714"/>
      <c r="DD30" s="714"/>
      <c r="DE30" s="714"/>
      <c r="DF30" s="714"/>
      <c r="DG30" s="714"/>
      <c r="DH30" s="714"/>
      <c r="DI30" s="714"/>
      <c r="DJ30" s="714"/>
      <c r="DK30" s="714"/>
      <c r="DL30" s="714"/>
      <c r="DM30" s="714"/>
      <c r="DN30" s="717"/>
      <c r="DO30" s="716"/>
      <c r="DP30" s="714"/>
      <c r="DQ30" s="714"/>
      <c r="DR30" s="714"/>
      <c r="DS30" s="714"/>
      <c r="DT30" s="714"/>
      <c r="DU30" s="714"/>
      <c r="DV30" s="714" t="s">
        <v>334</v>
      </c>
      <c r="DW30" s="714" t="s">
        <v>334</v>
      </c>
      <c r="DX30" s="714" t="s">
        <v>334</v>
      </c>
      <c r="DY30" s="714" t="s">
        <v>334</v>
      </c>
      <c r="DZ30" s="714" t="s">
        <v>334</v>
      </c>
      <c r="EA30" s="717"/>
      <c r="EB30" s="716"/>
      <c r="EC30" s="714"/>
      <c r="ED30" s="714"/>
      <c r="EE30" s="714"/>
      <c r="EF30" s="714"/>
      <c r="EG30" s="714"/>
      <c r="EH30" s="714"/>
      <c r="EI30" s="714"/>
      <c r="EJ30" s="714"/>
      <c r="EK30" s="714"/>
      <c r="EL30" s="714"/>
      <c r="EM30" s="714"/>
      <c r="EN30" s="717">
        <f t="shared" si="38"/>
        <v>0</v>
      </c>
      <c r="EO30" s="716"/>
      <c r="EP30" s="714"/>
      <c r="EQ30" s="714"/>
      <c r="ER30" s="714"/>
      <c r="ES30" s="714"/>
      <c r="ET30" s="714"/>
      <c r="EU30" s="714"/>
      <c r="EV30" s="714"/>
      <c r="EW30" s="714"/>
      <c r="EX30" s="714"/>
      <c r="EY30" s="714"/>
      <c r="EZ30" s="714"/>
      <c r="FA30" s="717"/>
      <c r="FB30" s="716"/>
      <c r="FC30" s="714"/>
      <c r="FD30" s="714"/>
      <c r="FE30" s="714"/>
      <c r="FF30" s="714"/>
      <c r="FG30" s="714"/>
      <c r="FH30" s="714"/>
      <c r="FI30" s="714"/>
      <c r="FJ30" s="714"/>
      <c r="FK30" s="714"/>
      <c r="FL30" s="714"/>
      <c r="FM30" s="714"/>
      <c r="FN30" s="717">
        <f t="shared" si="42"/>
        <v>0</v>
      </c>
      <c r="FO30" s="716"/>
      <c r="FP30" s="714"/>
      <c r="FQ30" s="714"/>
      <c r="FR30" s="714"/>
      <c r="FS30" s="714"/>
      <c r="FT30" s="714"/>
      <c r="FU30" s="714"/>
      <c r="FV30" s="714"/>
      <c r="FW30" s="714"/>
      <c r="FX30" s="714"/>
      <c r="FY30" s="714"/>
      <c r="FZ30" s="714"/>
      <c r="GA30" s="717">
        <f t="shared" si="44"/>
        <v>0</v>
      </c>
      <c r="GB30" s="716">
        <v>0</v>
      </c>
      <c r="GC30" s="714">
        <v>0</v>
      </c>
      <c r="GD30" s="714">
        <v>0</v>
      </c>
      <c r="GE30" s="714">
        <v>0</v>
      </c>
      <c r="GF30" s="714">
        <v>0</v>
      </c>
      <c r="GG30" s="714">
        <v>0</v>
      </c>
      <c r="GH30" s="714">
        <v>0</v>
      </c>
      <c r="GI30" s="714">
        <v>0</v>
      </c>
      <c r="GJ30" s="714">
        <v>0</v>
      </c>
      <c r="GK30" s="714">
        <v>0</v>
      </c>
      <c r="GL30" s="714">
        <v>0</v>
      </c>
      <c r="GM30" s="714">
        <v>0</v>
      </c>
      <c r="GN30" s="716">
        <f>SUM(GB30:GM30)</f>
        <v>0</v>
      </c>
      <c r="GO30" s="1324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Z30" s="1266"/>
      <c r="HA30" s="1059">
        <f t="shared" si="47"/>
        <v>0</v>
      </c>
      <c r="HC30" s="681" t="str">
        <f t="shared" si="99"/>
        <v/>
      </c>
      <c r="HD30" s="681" t="str">
        <f t="shared" si="49"/>
        <v/>
      </c>
      <c r="HE30" s="683">
        <f t="shared" si="50"/>
        <v>0</v>
      </c>
      <c r="HF30" s="683">
        <f t="shared" si="51"/>
        <v>0</v>
      </c>
    </row>
    <row r="31" spans="1:214" ht="13.9" customHeight="1" x14ac:dyDescent="0.2">
      <c r="A31" s="696" t="s">
        <v>352</v>
      </c>
      <c r="B31" s="718"/>
      <c r="C31" s="719"/>
      <c r="D31" s="719"/>
      <c r="E31" s="719"/>
      <c r="F31" s="719"/>
      <c r="G31" s="719"/>
      <c r="H31" s="719"/>
      <c r="I31" s="719"/>
      <c r="J31" s="719"/>
      <c r="K31" s="719"/>
      <c r="L31" s="719"/>
      <c r="M31" s="719"/>
      <c r="N31" s="720"/>
      <c r="O31" s="718"/>
      <c r="P31" s="719"/>
      <c r="Q31" s="719"/>
      <c r="R31" s="719"/>
      <c r="S31" s="719"/>
      <c r="T31" s="719"/>
      <c r="U31" s="719"/>
      <c r="V31" s="719"/>
      <c r="W31" s="719"/>
      <c r="X31" s="719"/>
      <c r="Y31" s="719"/>
      <c r="Z31" s="719"/>
      <c r="AA31" s="720"/>
      <c r="AB31" s="718"/>
      <c r="AC31" s="719"/>
      <c r="AD31" s="719"/>
      <c r="AE31" s="719"/>
      <c r="AF31" s="719"/>
      <c r="AG31" s="719"/>
      <c r="AH31" s="719"/>
      <c r="AI31" s="719"/>
      <c r="AJ31" s="719"/>
      <c r="AK31" s="719"/>
      <c r="AL31" s="719"/>
      <c r="AM31" s="719"/>
      <c r="AN31" s="720"/>
      <c r="AO31" s="718"/>
      <c r="AP31" s="719"/>
      <c r="AQ31" s="719"/>
      <c r="AR31" s="719"/>
      <c r="AS31" s="719"/>
      <c r="AT31" s="719"/>
      <c r="AU31" s="719"/>
      <c r="AV31" s="719"/>
      <c r="AW31" s="719"/>
      <c r="AX31" s="719"/>
      <c r="AY31" s="719"/>
      <c r="AZ31" s="719"/>
      <c r="BA31" s="720"/>
      <c r="BB31" s="718"/>
      <c r="BC31" s="719"/>
      <c r="BD31" s="719"/>
      <c r="BE31" s="719"/>
      <c r="BF31" s="719"/>
      <c r="BG31" s="719"/>
      <c r="BH31" s="719"/>
      <c r="BI31" s="719"/>
      <c r="BJ31" s="719"/>
      <c r="BK31" s="719"/>
      <c r="BL31" s="719"/>
      <c r="BM31" s="719"/>
      <c r="BN31" s="720"/>
      <c r="BO31" s="718"/>
      <c r="BP31" s="719"/>
      <c r="BQ31" s="719"/>
      <c r="BR31" s="719"/>
      <c r="BS31" s="719"/>
      <c r="BT31" s="719"/>
      <c r="BU31" s="719"/>
      <c r="BV31" s="719"/>
      <c r="BW31" s="719"/>
      <c r="BX31" s="719"/>
      <c r="BY31" s="719"/>
      <c r="BZ31" s="719"/>
      <c r="CA31" s="720"/>
      <c r="CB31" s="718"/>
      <c r="CC31" s="719"/>
      <c r="CD31" s="719"/>
      <c r="CE31" s="719"/>
      <c r="CF31" s="719"/>
      <c r="CG31" s="719"/>
      <c r="CH31" s="719"/>
      <c r="CI31" s="719"/>
      <c r="CJ31" s="719"/>
      <c r="CK31" s="719"/>
      <c r="CL31" s="719"/>
      <c r="CM31" s="719"/>
      <c r="CN31" s="720"/>
      <c r="CO31" s="718"/>
      <c r="CP31" s="719"/>
      <c r="CQ31" s="719"/>
      <c r="CR31" s="719"/>
      <c r="CS31" s="719"/>
      <c r="CT31" s="719"/>
      <c r="CU31" s="719"/>
      <c r="CV31" s="719"/>
      <c r="CW31" s="719"/>
      <c r="CX31" s="719"/>
      <c r="CY31" s="719"/>
      <c r="CZ31" s="719"/>
      <c r="DA31" s="720"/>
      <c r="DB31" s="718"/>
      <c r="DC31" s="719"/>
      <c r="DD31" s="719"/>
      <c r="DE31" s="719"/>
      <c r="DF31" s="719"/>
      <c r="DG31" s="719"/>
      <c r="DH31" s="719"/>
      <c r="DI31" s="719"/>
      <c r="DJ31" s="719"/>
      <c r="DK31" s="719"/>
      <c r="DL31" s="719"/>
      <c r="DM31" s="719"/>
      <c r="DN31" s="720"/>
      <c r="DO31" s="718"/>
      <c r="DP31" s="719"/>
      <c r="DQ31" s="719"/>
      <c r="DR31" s="719"/>
      <c r="DS31" s="719"/>
      <c r="DT31" s="719"/>
      <c r="DU31" s="719"/>
      <c r="DV31" s="719"/>
      <c r="DW31" s="719"/>
      <c r="DX31" s="719"/>
      <c r="DY31" s="719"/>
      <c r="DZ31" s="719"/>
      <c r="EA31" s="720"/>
      <c r="EB31" s="718"/>
      <c r="EC31" s="719"/>
      <c r="ED31" s="719"/>
      <c r="EE31" s="719"/>
      <c r="EF31" s="719"/>
      <c r="EG31" s="719"/>
      <c r="EH31" s="719"/>
      <c r="EI31" s="719"/>
      <c r="EJ31" s="719"/>
      <c r="EK31" s="719"/>
      <c r="EL31" s="719"/>
      <c r="EM31" s="719"/>
      <c r="EN31" s="720"/>
      <c r="EO31" s="718"/>
      <c r="EP31" s="719"/>
      <c r="EQ31" s="719"/>
      <c r="ER31" s="719"/>
      <c r="ES31" s="719"/>
      <c r="ET31" s="719"/>
      <c r="EU31" s="719"/>
      <c r="EV31" s="719"/>
      <c r="EW31" s="719"/>
      <c r="EX31" s="719"/>
      <c r="EY31" s="719"/>
      <c r="EZ31" s="719"/>
      <c r="FA31" s="720"/>
      <c r="FB31" s="718"/>
      <c r="FC31" s="719"/>
      <c r="FD31" s="719"/>
      <c r="FE31" s="719"/>
      <c r="FF31" s="719"/>
      <c r="FG31" s="719"/>
      <c r="FH31" s="719"/>
      <c r="FI31" s="719"/>
      <c r="FJ31" s="719"/>
      <c r="FK31" s="719"/>
      <c r="FL31" s="719"/>
      <c r="FM31" s="719"/>
      <c r="FN31" s="720"/>
      <c r="FO31" s="718"/>
      <c r="FP31" s="719"/>
      <c r="FQ31" s="719"/>
      <c r="FR31" s="719"/>
      <c r="FS31" s="719"/>
      <c r="FT31" s="719"/>
      <c r="FU31" s="719"/>
      <c r="FV31" s="719"/>
      <c r="FW31" s="719"/>
      <c r="FX31" s="719"/>
      <c r="FY31" s="719"/>
      <c r="FZ31" s="719"/>
      <c r="GA31" s="720"/>
      <c r="GB31" s="718"/>
      <c r="GC31" s="719"/>
      <c r="GD31" s="719"/>
      <c r="GE31" s="719"/>
      <c r="GF31" s="719"/>
      <c r="GG31" s="719"/>
      <c r="GH31" s="719"/>
      <c r="GI31" s="719"/>
      <c r="GJ31" s="719"/>
      <c r="GK31" s="719"/>
      <c r="GL31" s="719"/>
      <c r="GM31" s="719"/>
      <c r="GN31" s="718"/>
      <c r="GO31" s="1331"/>
      <c r="GP31" s="1332"/>
      <c r="GQ31" s="1332"/>
      <c r="GR31" s="1332"/>
      <c r="GS31" s="1332"/>
      <c r="GT31" s="1332"/>
      <c r="GU31" s="1332"/>
      <c r="GV31" s="1332"/>
      <c r="GW31" s="1332"/>
      <c r="GX31" s="1332"/>
      <c r="GY31" s="1332"/>
      <c r="GZ31" s="1290"/>
      <c r="HA31" s="1358"/>
      <c r="HC31" s="684" t="str">
        <f t="shared" si="99"/>
        <v/>
      </c>
      <c r="HD31" s="684"/>
      <c r="HE31" s="685"/>
      <c r="HF31" s="697"/>
    </row>
    <row r="32" spans="1:214" ht="13.9" customHeight="1" x14ac:dyDescent="0.2">
      <c r="A32" s="692" t="s">
        <v>298</v>
      </c>
      <c r="EY32" s="667"/>
      <c r="EZ32" s="665"/>
      <c r="FA32" s="665"/>
      <c r="FB32" s="665"/>
      <c r="FC32" s="665"/>
      <c r="FD32" s="665"/>
      <c r="FE32" s="665"/>
      <c r="FF32" s="665"/>
      <c r="FG32" s="665"/>
      <c r="FH32" s="665"/>
      <c r="FI32" s="665"/>
      <c r="FJ32" s="665"/>
      <c r="FK32" s="665"/>
      <c r="FL32" s="665"/>
      <c r="FM32" s="665"/>
      <c r="FN32" s="665"/>
      <c r="FO32" s="665"/>
      <c r="FP32" s="665"/>
      <c r="FQ32" s="665"/>
      <c r="FR32" s="665"/>
      <c r="FS32" s="665"/>
      <c r="FT32" s="665"/>
      <c r="FU32" s="665"/>
      <c r="FV32" s="665"/>
      <c r="FW32" s="665"/>
      <c r="FX32" s="665"/>
      <c r="FY32" s="665"/>
      <c r="FZ32" s="665"/>
      <c r="GA32" s="665"/>
      <c r="GB32" s="665"/>
      <c r="GC32" s="665"/>
      <c r="GD32" s="665"/>
      <c r="GE32" s="665"/>
      <c r="GF32" s="665"/>
      <c r="GG32" s="665"/>
      <c r="GH32" s="665"/>
      <c r="GI32" s="665"/>
      <c r="GJ32" s="665"/>
      <c r="GK32" s="665"/>
      <c r="GL32" s="665"/>
      <c r="GM32" s="665"/>
      <c r="GN32" s="665"/>
    </row>
    <row r="33" spans="1:214" ht="13.9" customHeight="1" x14ac:dyDescent="0.2">
      <c r="A33" s="686" t="s">
        <v>127</v>
      </c>
      <c r="DJ33" s="667"/>
      <c r="DK33" s="667"/>
      <c r="DL33" s="667"/>
      <c r="DM33" s="667"/>
      <c r="DN33" s="667"/>
      <c r="DO33" s="667"/>
      <c r="DP33" s="667"/>
      <c r="DQ33" s="667"/>
      <c r="DR33" s="667"/>
      <c r="DS33" s="667"/>
      <c r="DT33" s="667"/>
      <c r="DU33" s="667"/>
      <c r="DV33" s="667"/>
      <c r="DW33" s="667"/>
      <c r="DX33" s="667"/>
      <c r="DY33" s="667"/>
      <c r="DZ33" s="667"/>
      <c r="EA33" s="667"/>
      <c r="EB33" s="667"/>
      <c r="EC33" s="667"/>
      <c r="ED33" s="667"/>
      <c r="EE33" s="667"/>
      <c r="EF33" s="667"/>
      <c r="EG33" s="667"/>
      <c r="EH33" s="667"/>
      <c r="EI33" s="667"/>
      <c r="EJ33" s="667"/>
      <c r="EK33" s="667"/>
      <c r="EL33" s="667"/>
      <c r="EM33" s="667"/>
      <c r="EN33" s="667"/>
      <c r="EO33" s="667"/>
      <c r="EP33" s="667"/>
      <c r="EQ33" s="667"/>
      <c r="ER33" s="667"/>
      <c r="ES33" s="667"/>
      <c r="ET33" s="667"/>
      <c r="EU33" s="667"/>
      <c r="EV33" s="667"/>
      <c r="EW33" s="667"/>
      <c r="EX33" s="667"/>
      <c r="EZ33" s="664"/>
      <c r="FA33" s="664"/>
      <c r="FB33" s="664"/>
      <c r="FC33" s="664"/>
      <c r="FD33" s="664"/>
      <c r="FE33" s="664"/>
      <c r="FF33" s="664"/>
      <c r="FG33" s="664"/>
      <c r="FH33" s="664"/>
      <c r="FI33" s="664"/>
      <c r="FJ33" s="664"/>
      <c r="FK33" s="664"/>
      <c r="FL33" s="664"/>
      <c r="FM33" s="664"/>
      <c r="FN33" s="664"/>
      <c r="FO33" s="664"/>
      <c r="FP33" s="664"/>
      <c r="FQ33" s="664"/>
      <c r="FR33" s="664"/>
      <c r="FS33" s="664"/>
      <c r="FT33" s="664"/>
      <c r="FU33" s="664"/>
      <c r="FV33" s="664"/>
      <c r="FW33" s="664"/>
      <c r="FX33" s="664"/>
      <c r="FY33" s="664"/>
      <c r="FZ33" s="664"/>
      <c r="GA33" s="664"/>
      <c r="GB33" s="664"/>
      <c r="GC33" s="664"/>
      <c r="GE33" s="664"/>
      <c r="GF33" s="664"/>
      <c r="GG33" s="664"/>
      <c r="GH33" s="664"/>
      <c r="GI33" s="664"/>
      <c r="GJ33" s="664"/>
      <c r="GK33" s="664"/>
      <c r="GL33" s="664"/>
      <c r="GM33" s="664"/>
      <c r="GN33" s="664"/>
    </row>
    <row r="34" spans="1:214" ht="13.9" customHeight="1" x14ac:dyDescent="0.2">
      <c r="A34" s="686" t="s">
        <v>352</v>
      </c>
      <c r="BO34" s="667">
        <f t="shared" ref="BO34:BZ34" si="100">BO7-BO20</f>
        <v>32608</v>
      </c>
      <c r="BP34" s="667">
        <f t="shared" si="100"/>
        <v>13430</v>
      </c>
      <c r="BQ34" s="667">
        <f t="shared" si="100"/>
        <v>81736</v>
      </c>
      <c r="BR34" s="667">
        <f t="shared" si="100"/>
        <v>20714</v>
      </c>
      <c r="BS34" s="667">
        <f t="shared" si="100"/>
        <v>39704</v>
      </c>
      <c r="BT34" s="667">
        <f t="shared" si="100"/>
        <v>23360</v>
      </c>
      <c r="BU34" s="667">
        <f t="shared" si="100"/>
        <v>22979</v>
      </c>
      <c r="BV34" s="667">
        <f t="shared" si="100"/>
        <v>27596</v>
      </c>
      <c r="BW34" s="667">
        <f t="shared" si="100"/>
        <v>24441</v>
      </c>
      <c r="BX34" s="667">
        <f t="shared" si="100"/>
        <v>24009</v>
      </c>
      <c r="BY34" s="667">
        <f t="shared" si="100"/>
        <v>42501</v>
      </c>
      <c r="BZ34" s="667">
        <f t="shared" si="100"/>
        <v>30360</v>
      </c>
      <c r="CA34" s="667"/>
      <c r="CB34" s="667">
        <f t="shared" ref="CB34:CM34" si="101">CB7-CB20</f>
        <v>24861</v>
      </c>
      <c r="CC34" s="667">
        <f t="shared" si="101"/>
        <v>59799</v>
      </c>
      <c r="CD34" s="667">
        <f t="shared" si="101"/>
        <v>39945</v>
      </c>
      <c r="CE34" s="667">
        <f t="shared" si="101"/>
        <v>22011</v>
      </c>
      <c r="CF34" s="667">
        <f t="shared" si="101"/>
        <v>45016</v>
      </c>
      <c r="CG34" s="667">
        <f t="shared" si="101"/>
        <v>23067</v>
      </c>
      <c r="CH34" s="667">
        <f t="shared" si="101"/>
        <v>23062</v>
      </c>
      <c r="CI34" s="667">
        <f t="shared" si="101"/>
        <v>34825</v>
      </c>
      <c r="CJ34" s="667">
        <f t="shared" si="101"/>
        <v>26397</v>
      </c>
      <c r="CK34" s="667">
        <f t="shared" si="101"/>
        <v>42531</v>
      </c>
      <c r="CL34" s="667">
        <f t="shared" si="101"/>
        <v>31569</v>
      </c>
      <c r="CM34" s="667">
        <f t="shared" si="101"/>
        <v>31766</v>
      </c>
      <c r="CN34" s="667"/>
      <c r="CO34" s="667"/>
      <c r="CP34" s="667"/>
      <c r="CQ34" s="667"/>
      <c r="CR34" s="667"/>
      <c r="CS34" s="667"/>
      <c r="CT34" s="667"/>
      <c r="CU34" s="667"/>
      <c r="CV34" s="667"/>
      <c r="CW34" s="667"/>
      <c r="CX34" s="667"/>
      <c r="CY34" s="667"/>
      <c r="CZ34" s="667"/>
      <c r="DA34" s="667"/>
      <c r="DB34" s="667"/>
      <c r="DC34" s="667"/>
      <c r="DD34" s="667"/>
      <c r="DE34" s="667"/>
      <c r="DF34" s="667"/>
      <c r="DG34" s="667"/>
      <c r="DH34" s="667"/>
      <c r="DI34" s="667"/>
      <c r="DJ34" s="667"/>
      <c r="DK34" s="667"/>
      <c r="DL34" s="667"/>
      <c r="DM34" s="667"/>
      <c r="DN34" s="667"/>
      <c r="DO34" s="667"/>
      <c r="DP34" s="667"/>
      <c r="DQ34" s="667"/>
      <c r="DR34" s="667"/>
      <c r="DS34" s="667"/>
      <c r="DT34" s="667"/>
      <c r="DU34" s="667"/>
      <c r="DV34" s="667"/>
      <c r="DW34" s="667"/>
      <c r="DX34" s="667"/>
      <c r="DY34" s="667"/>
      <c r="DZ34" s="667"/>
      <c r="EA34" s="667"/>
      <c r="EB34" s="667"/>
      <c r="EC34" s="667"/>
      <c r="ED34" s="667"/>
      <c r="EE34" s="667"/>
      <c r="EF34" s="667"/>
      <c r="EG34" s="667"/>
      <c r="EH34" s="667"/>
      <c r="EI34" s="667"/>
      <c r="EJ34" s="667"/>
      <c r="EK34" s="667"/>
      <c r="EL34" s="667"/>
      <c r="EM34" s="667"/>
      <c r="EN34" s="667"/>
      <c r="EO34" s="667"/>
      <c r="EP34" s="667"/>
      <c r="EQ34" s="667"/>
      <c r="ER34" s="667"/>
      <c r="ES34" s="667"/>
      <c r="ET34" s="667"/>
      <c r="EU34" s="667"/>
      <c r="EV34" s="667"/>
      <c r="EW34" s="667"/>
      <c r="EX34" s="667"/>
      <c r="EZ34" s="664"/>
      <c r="FA34" s="664"/>
      <c r="FB34" s="664"/>
      <c r="FC34" s="664"/>
      <c r="FD34" s="664"/>
      <c r="FE34" s="664"/>
      <c r="FF34" s="664"/>
      <c r="FG34" s="664"/>
      <c r="FH34" s="664"/>
      <c r="FI34" s="664"/>
      <c r="FJ34" s="664"/>
      <c r="FK34" s="664"/>
      <c r="FL34" s="664"/>
      <c r="FM34" s="664"/>
      <c r="FN34" s="664"/>
      <c r="FO34" s="664"/>
      <c r="FP34" s="664"/>
      <c r="FQ34" s="664"/>
      <c r="FR34" s="664"/>
      <c r="FS34" s="664"/>
      <c r="FT34" s="664"/>
      <c r="FU34" s="664"/>
      <c r="FV34" s="664"/>
      <c r="FW34" s="664"/>
      <c r="FX34" s="664"/>
      <c r="FY34" s="664"/>
      <c r="FZ34" s="664"/>
      <c r="GA34" s="664"/>
      <c r="GB34" s="664"/>
      <c r="GC34" s="664"/>
      <c r="GE34" s="664"/>
      <c r="GF34" s="664"/>
      <c r="GG34" s="664"/>
      <c r="GH34" s="664"/>
      <c r="GI34" s="664"/>
      <c r="GJ34" s="664"/>
      <c r="GK34" s="664"/>
      <c r="GL34" s="664"/>
      <c r="GM34" s="664"/>
      <c r="GN34" s="664"/>
    </row>
    <row r="35" spans="1:214" ht="13.9" customHeight="1" x14ac:dyDescent="0.2">
      <c r="A35" s="686" t="s">
        <v>352</v>
      </c>
      <c r="BO35" s="667">
        <f>BO38-BO34</f>
        <v>0</v>
      </c>
      <c r="BP35" s="667">
        <f t="shared" ref="BP35:BZ35" si="102">BP38-BP34</f>
        <v>0</v>
      </c>
      <c r="BQ35" s="667">
        <f t="shared" si="102"/>
        <v>0</v>
      </c>
      <c r="BR35" s="667">
        <f t="shared" si="102"/>
        <v>0</v>
      </c>
      <c r="BS35" s="667">
        <f t="shared" si="102"/>
        <v>0</v>
      </c>
      <c r="BT35" s="667">
        <f t="shared" si="102"/>
        <v>0</v>
      </c>
      <c r="BU35" s="667">
        <f t="shared" si="102"/>
        <v>0</v>
      </c>
      <c r="BV35" s="667">
        <f t="shared" si="102"/>
        <v>0</v>
      </c>
      <c r="BW35" s="667">
        <f t="shared" si="102"/>
        <v>0</v>
      </c>
      <c r="BX35" s="667">
        <f t="shared" si="102"/>
        <v>0</v>
      </c>
      <c r="BY35" s="667">
        <f t="shared" si="102"/>
        <v>0</v>
      </c>
      <c r="BZ35" s="667">
        <f t="shared" si="102"/>
        <v>0</v>
      </c>
      <c r="CA35" s="667"/>
      <c r="CB35" s="667">
        <f>CB38-CB34</f>
        <v>0</v>
      </c>
      <c r="CC35" s="667">
        <f t="shared" ref="CC35:CM35" si="103">CC38-CC34</f>
        <v>0</v>
      </c>
      <c r="CD35" s="667">
        <f t="shared" si="103"/>
        <v>0</v>
      </c>
      <c r="CE35" s="667">
        <f t="shared" si="103"/>
        <v>0</v>
      </c>
      <c r="CF35" s="667">
        <f t="shared" si="103"/>
        <v>0</v>
      </c>
      <c r="CG35" s="667">
        <f t="shared" si="103"/>
        <v>0</v>
      </c>
      <c r="CH35" s="667">
        <f t="shared" si="103"/>
        <v>0</v>
      </c>
      <c r="CI35" s="667">
        <f t="shared" si="103"/>
        <v>0</v>
      </c>
      <c r="CJ35" s="667">
        <f t="shared" si="103"/>
        <v>0</v>
      </c>
      <c r="CK35" s="667">
        <f t="shared" si="103"/>
        <v>-276</v>
      </c>
      <c r="CL35" s="667">
        <f t="shared" si="103"/>
        <v>-77</v>
      </c>
      <c r="CM35" s="667">
        <f t="shared" si="103"/>
        <v>-322</v>
      </c>
      <c r="CN35" s="667"/>
      <c r="CO35" s="667"/>
      <c r="CP35" s="667"/>
      <c r="CQ35" s="667"/>
      <c r="CR35" s="667"/>
      <c r="CS35" s="667"/>
      <c r="CT35" s="667"/>
      <c r="CU35" s="667"/>
      <c r="CV35" s="667"/>
      <c r="CW35" s="667"/>
      <c r="CX35" s="667"/>
      <c r="CY35" s="667"/>
      <c r="CZ35" s="667"/>
      <c r="DA35" s="667"/>
      <c r="DB35" s="667"/>
      <c r="DC35" s="667"/>
      <c r="DD35" s="667"/>
      <c r="DE35" s="667"/>
      <c r="DF35" s="667"/>
      <c r="DG35" s="667"/>
      <c r="DH35" s="667"/>
      <c r="DI35" s="667"/>
      <c r="DJ35" s="667"/>
      <c r="DK35" s="667"/>
      <c r="DL35" s="667"/>
      <c r="DM35" s="667"/>
      <c r="DN35" s="667"/>
      <c r="DO35" s="667"/>
      <c r="DP35" s="667"/>
      <c r="DQ35" s="667"/>
      <c r="DR35" s="667"/>
      <c r="DS35" s="667"/>
      <c r="DT35" s="667"/>
      <c r="DU35" s="667"/>
      <c r="DV35" s="667"/>
      <c r="DW35" s="667"/>
      <c r="DX35" s="667"/>
      <c r="DY35" s="667"/>
      <c r="DZ35" s="667"/>
      <c r="EA35" s="667"/>
      <c r="EB35" s="667"/>
      <c r="EC35" s="667"/>
      <c r="ED35" s="667"/>
      <c r="EE35" s="667"/>
      <c r="EF35" s="667"/>
      <c r="EG35" s="667"/>
      <c r="EH35" s="667"/>
      <c r="EI35" s="667"/>
      <c r="EJ35" s="667"/>
      <c r="EK35" s="667"/>
      <c r="EL35" s="667"/>
      <c r="EM35" s="667"/>
      <c r="EN35" s="667"/>
      <c r="EO35" s="667"/>
      <c r="EP35" s="667"/>
      <c r="EQ35" s="667"/>
      <c r="ER35" s="667"/>
      <c r="ES35" s="667"/>
      <c r="ET35" s="667"/>
      <c r="EU35" s="667"/>
      <c r="EV35" s="667"/>
      <c r="EW35" s="667"/>
      <c r="EX35" s="667"/>
      <c r="EZ35" s="664"/>
      <c r="FA35" s="664"/>
      <c r="FB35" s="664"/>
      <c r="FC35" s="664"/>
      <c r="FD35" s="664"/>
      <c r="FE35" s="664"/>
      <c r="FF35" s="664"/>
      <c r="FG35" s="664"/>
      <c r="FH35" s="664"/>
      <c r="FI35" s="664"/>
      <c r="FJ35" s="664"/>
      <c r="FK35" s="664"/>
      <c r="FL35" s="664"/>
      <c r="FM35" s="664"/>
      <c r="FN35" s="664"/>
      <c r="FO35" s="664"/>
      <c r="FP35" s="664"/>
      <c r="FQ35" s="664"/>
      <c r="FR35" s="664"/>
      <c r="FS35" s="664"/>
      <c r="FT35" s="664"/>
      <c r="FU35" s="664"/>
      <c r="FV35" s="664"/>
      <c r="FW35" s="664"/>
      <c r="FX35" s="664"/>
      <c r="FY35" s="664"/>
      <c r="FZ35" s="664"/>
      <c r="GA35" s="664"/>
      <c r="GB35" s="664"/>
      <c r="GC35" s="664"/>
      <c r="GE35" s="664"/>
      <c r="GF35" s="664"/>
      <c r="GG35" s="664"/>
      <c r="GH35" s="664"/>
      <c r="GI35" s="664"/>
      <c r="GJ35" s="664"/>
      <c r="GK35" s="664"/>
      <c r="GL35" s="664"/>
      <c r="GM35" s="664"/>
      <c r="GN35" s="664"/>
    </row>
    <row r="36" spans="1:214" ht="13.9" customHeight="1" x14ac:dyDescent="0.2">
      <c r="A36" s="671" t="s">
        <v>352</v>
      </c>
      <c r="B36" s="39">
        <f>YEAR(B37)</f>
        <v>2011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103" t="s">
        <v>29</v>
      </c>
      <c r="O36" s="39">
        <f>YEAR(O37)</f>
        <v>2012</v>
      </c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103" t="s">
        <v>29</v>
      </c>
      <c r="AB36" s="39">
        <f>YEAR(AB37)</f>
        <v>2013</v>
      </c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103" t="s">
        <v>29</v>
      </c>
      <c r="AO36" s="39">
        <f>YEAR(AO37)</f>
        <v>2014</v>
      </c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103" t="s">
        <v>29</v>
      </c>
      <c r="BB36" s="39">
        <f>YEAR(BB37)</f>
        <v>2015</v>
      </c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103" t="s">
        <v>29</v>
      </c>
      <c r="BO36" s="39">
        <f>YEAR(BO37)</f>
        <v>2016</v>
      </c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103" t="s">
        <v>29</v>
      </c>
      <c r="CB36" s="39">
        <f>YEAR(CB37)</f>
        <v>2017</v>
      </c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103" t="s">
        <v>29</v>
      </c>
      <c r="CO36" s="39">
        <f>YEAR(CO37)</f>
        <v>2018</v>
      </c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103" t="s">
        <v>29</v>
      </c>
      <c r="DB36" s="39">
        <f>YEAR(DB37)</f>
        <v>2019</v>
      </c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103" t="s">
        <v>29</v>
      </c>
      <c r="DO36" s="39">
        <f>YEAR(DO37)</f>
        <v>2020</v>
      </c>
      <c r="DP36" s="40"/>
      <c r="DQ36" s="40"/>
      <c r="DR36" s="40"/>
      <c r="DS36" s="40"/>
      <c r="DT36" s="40"/>
      <c r="DU36" s="40"/>
      <c r="DV36" s="40"/>
      <c r="DW36" s="40"/>
      <c r="DX36" s="40"/>
      <c r="DY36" s="40"/>
      <c r="DZ36" s="40"/>
      <c r="EA36" s="103" t="s">
        <v>29</v>
      </c>
      <c r="EB36" s="39">
        <f>YEAR(EB37)</f>
        <v>2021</v>
      </c>
      <c r="EC36" s="40"/>
      <c r="ED36" s="40"/>
      <c r="EE36" s="40"/>
      <c r="EF36" s="40"/>
      <c r="EG36" s="40"/>
      <c r="EH36" s="40"/>
      <c r="EI36" s="40"/>
      <c r="EJ36" s="40"/>
      <c r="EK36" s="40"/>
      <c r="EL36" s="40"/>
      <c r="EM36" s="40"/>
      <c r="EN36" s="103" t="s">
        <v>29</v>
      </c>
      <c r="EO36" s="39">
        <f>YEAR(EO37)</f>
        <v>2022</v>
      </c>
      <c r="EP36" s="40"/>
      <c r="EQ36" s="40"/>
      <c r="ER36" s="40"/>
      <c r="ES36" s="40"/>
      <c r="ET36" s="40"/>
      <c r="EU36" s="40"/>
      <c r="EV36" s="40"/>
      <c r="EW36" s="40"/>
      <c r="EX36" s="40"/>
      <c r="EY36" s="40"/>
      <c r="EZ36" s="40"/>
      <c r="FA36" s="103" t="s">
        <v>29</v>
      </c>
      <c r="FB36" s="39">
        <f>YEAR(FB37)</f>
        <v>2023</v>
      </c>
      <c r="FC36" s="40"/>
      <c r="FD36" s="40"/>
      <c r="FE36" s="40"/>
      <c r="FF36" s="40"/>
      <c r="FG36" s="40"/>
      <c r="FH36" s="40"/>
      <c r="FI36" s="40"/>
      <c r="FJ36" s="40"/>
      <c r="FK36" s="40"/>
      <c r="FL36" s="40"/>
      <c r="FM36" s="40"/>
      <c r="FN36" s="103" t="s">
        <v>29</v>
      </c>
      <c r="FO36" s="39">
        <f>YEAR(FO37)</f>
        <v>2024</v>
      </c>
      <c r="FP36" s="40"/>
      <c r="FQ36" s="40"/>
      <c r="FR36" s="40"/>
      <c r="FS36" s="40"/>
      <c r="FT36" s="40"/>
      <c r="FU36" s="40"/>
      <c r="FV36" s="40"/>
      <c r="FW36" s="40"/>
      <c r="FX36" s="40"/>
      <c r="FY36" s="40"/>
      <c r="FZ36" s="40"/>
      <c r="GA36" s="103" t="s">
        <v>29</v>
      </c>
      <c r="GB36" s="39">
        <f>YEAR(GB37)</f>
        <v>2025</v>
      </c>
      <c r="GC36" s="40"/>
      <c r="GD36" s="40"/>
      <c r="GE36" s="40"/>
      <c r="GF36" s="40"/>
      <c r="GG36" s="40"/>
      <c r="GH36" s="40"/>
      <c r="GI36" s="40"/>
      <c r="GJ36" s="40"/>
      <c r="GK36" s="40"/>
      <c r="GL36" s="40"/>
      <c r="GM36" s="40"/>
      <c r="GN36" s="1318" t="s">
        <v>29</v>
      </c>
      <c r="GO36" s="1689">
        <v>2026</v>
      </c>
      <c r="GP36" s="1690"/>
      <c r="GQ36" s="1690"/>
      <c r="GR36" s="1690"/>
      <c r="GS36" s="1690"/>
      <c r="GT36" s="1690"/>
      <c r="GU36" s="1690"/>
      <c r="GV36" s="1690"/>
      <c r="GW36" s="1690"/>
      <c r="GX36" s="1690"/>
      <c r="GY36" s="1690"/>
      <c r="GZ36" s="1691"/>
      <c r="HA36" s="1320" t="s">
        <v>29</v>
      </c>
      <c r="HC36" s="1683" t="str">
        <f>CONCATENATE("Var.% ",HF36,"/",HF36-1)</f>
        <v>Var.% 2026/2025</v>
      </c>
      <c r="HD36" s="1684"/>
      <c r="HE36" s="41">
        <f>HF36-1</f>
        <v>2025</v>
      </c>
      <c r="HF36" s="41">
        <f>HA37</f>
        <v>2026</v>
      </c>
    </row>
    <row r="37" spans="1:214" ht="13.9" customHeight="1" x14ac:dyDescent="0.2">
      <c r="A37" s="672" t="s">
        <v>352</v>
      </c>
      <c r="B37" s="68">
        <v>40544</v>
      </c>
      <c r="C37" s="69">
        <v>40575</v>
      </c>
      <c r="D37" s="69">
        <v>40603</v>
      </c>
      <c r="E37" s="69">
        <v>40634</v>
      </c>
      <c r="F37" s="69">
        <v>40664</v>
      </c>
      <c r="G37" s="69">
        <v>40695</v>
      </c>
      <c r="H37" s="69">
        <v>40725</v>
      </c>
      <c r="I37" s="69">
        <v>40756</v>
      </c>
      <c r="J37" s="69">
        <v>40787</v>
      </c>
      <c r="K37" s="69">
        <v>40817</v>
      </c>
      <c r="L37" s="69">
        <v>40848</v>
      </c>
      <c r="M37" s="69">
        <v>40878</v>
      </c>
      <c r="N37" s="70">
        <f>YEAR(M37)</f>
        <v>2011</v>
      </c>
      <c r="O37" s="68">
        <v>40909</v>
      </c>
      <c r="P37" s="69">
        <v>40940</v>
      </c>
      <c r="Q37" s="69">
        <v>40969</v>
      </c>
      <c r="R37" s="69">
        <v>41000</v>
      </c>
      <c r="S37" s="69">
        <v>41030</v>
      </c>
      <c r="T37" s="69">
        <v>41061</v>
      </c>
      <c r="U37" s="69">
        <v>41091</v>
      </c>
      <c r="V37" s="69">
        <v>41122</v>
      </c>
      <c r="W37" s="69">
        <v>41153</v>
      </c>
      <c r="X37" s="69">
        <v>41183</v>
      </c>
      <c r="Y37" s="69">
        <v>41214</v>
      </c>
      <c r="Z37" s="69">
        <v>41244</v>
      </c>
      <c r="AA37" s="70">
        <f>YEAR(Z37)</f>
        <v>2012</v>
      </c>
      <c r="AB37" s="68">
        <v>41275</v>
      </c>
      <c r="AC37" s="69">
        <v>41306</v>
      </c>
      <c r="AD37" s="69">
        <v>41334</v>
      </c>
      <c r="AE37" s="69">
        <v>41365</v>
      </c>
      <c r="AF37" s="69">
        <v>41395</v>
      </c>
      <c r="AG37" s="69">
        <v>41426</v>
      </c>
      <c r="AH37" s="69">
        <v>41456</v>
      </c>
      <c r="AI37" s="69">
        <v>41487</v>
      </c>
      <c r="AJ37" s="69">
        <v>41518</v>
      </c>
      <c r="AK37" s="69">
        <v>41548</v>
      </c>
      <c r="AL37" s="69">
        <v>41579</v>
      </c>
      <c r="AM37" s="69">
        <v>41609</v>
      </c>
      <c r="AN37" s="70">
        <f>YEAR(AM37)</f>
        <v>2013</v>
      </c>
      <c r="AO37" s="68">
        <v>41640</v>
      </c>
      <c r="AP37" s="69">
        <v>41671</v>
      </c>
      <c r="AQ37" s="69">
        <v>41699</v>
      </c>
      <c r="AR37" s="69">
        <v>41730</v>
      </c>
      <c r="AS37" s="69">
        <v>41760</v>
      </c>
      <c r="AT37" s="69">
        <v>41791</v>
      </c>
      <c r="AU37" s="69">
        <v>41821</v>
      </c>
      <c r="AV37" s="69">
        <v>41852</v>
      </c>
      <c r="AW37" s="69">
        <v>41883</v>
      </c>
      <c r="AX37" s="69">
        <v>41913</v>
      </c>
      <c r="AY37" s="69">
        <v>41944</v>
      </c>
      <c r="AZ37" s="69">
        <v>41974</v>
      </c>
      <c r="BA37" s="70">
        <f>YEAR(AZ37)</f>
        <v>2014</v>
      </c>
      <c r="BB37" s="68">
        <v>42005</v>
      </c>
      <c r="BC37" s="69">
        <v>42036</v>
      </c>
      <c r="BD37" s="69">
        <v>42064</v>
      </c>
      <c r="BE37" s="69">
        <v>42095</v>
      </c>
      <c r="BF37" s="69">
        <v>42125</v>
      </c>
      <c r="BG37" s="69">
        <v>42156</v>
      </c>
      <c r="BH37" s="69">
        <v>42186</v>
      </c>
      <c r="BI37" s="69">
        <v>42217</v>
      </c>
      <c r="BJ37" s="69">
        <v>42248</v>
      </c>
      <c r="BK37" s="69">
        <v>42278</v>
      </c>
      <c r="BL37" s="69">
        <v>42309</v>
      </c>
      <c r="BM37" s="69">
        <v>42339</v>
      </c>
      <c r="BN37" s="70">
        <f>YEAR(BM37)</f>
        <v>2015</v>
      </c>
      <c r="BO37" s="68">
        <v>42370</v>
      </c>
      <c r="BP37" s="69">
        <v>42401</v>
      </c>
      <c r="BQ37" s="69">
        <v>42430</v>
      </c>
      <c r="BR37" s="69">
        <v>42461</v>
      </c>
      <c r="BS37" s="69">
        <v>42491</v>
      </c>
      <c r="BT37" s="69">
        <v>42522</v>
      </c>
      <c r="BU37" s="69">
        <v>42552</v>
      </c>
      <c r="BV37" s="69">
        <v>42583</v>
      </c>
      <c r="BW37" s="69">
        <v>42614</v>
      </c>
      <c r="BX37" s="69">
        <v>42644</v>
      </c>
      <c r="BY37" s="69">
        <v>42675</v>
      </c>
      <c r="BZ37" s="69">
        <v>42705</v>
      </c>
      <c r="CA37" s="70">
        <f>YEAR(BZ37)</f>
        <v>2016</v>
      </c>
      <c r="CB37" s="68">
        <v>42736</v>
      </c>
      <c r="CC37" s="69">
        <v>42767</v>
      </c>
      <c r="CD37" s="69">
        <v>42795</v>
      </c>
      <c r="CE37" s="69">
        <v>42826</v>
      </c>
      <c r="CF37" s="69">
        <v>42856</v>
      </c>
      <c r="CG37" s="69">
        <v>42887</v>
      </c>
      <c r="CH37" s="69">
        <v>42917</v>
      </c>
      <c r="CI37" s="69">
        <v>42948</v>
      </c>
      <c r="CJ37" s="69">
        <v>42979</v>
      </c>
      <c r="CK37" s="69">
        <v>43009</v>
      </c>
      <c r="CL37" s="69">
        <v>43040</v>
      </c>
      <c r="CM37" s="69">
        <v>43070</v>
      </c>
      <c r="CN37" s="70">
        <f>YEAR(CM37)</f>
        <v>2017</v>
      </c>
      <c r="CO37" s="68">
        <v>43101</v>
      </c>
      <c r="CP37" s="69">
        <v>43132</v>
      </c>
      <c r="CQ37" s="69">
        <v>43160</v>
      </c>
      <c r="CR37" s="69">
        <v>43191</v>
      </c>
      <c r="CS37" s="69">
        <v>43221</v>
      </c>
      <c r="CT37" s="69">
        <v>43252</v>
      </c>
      <c r="CU37" s="69">
        <v>43282</v>
      </c>
      <c r="CV37" s="69">
        <v>43313</v>
      </c>
      <c r="CW37" s="69">
        <v>43344</v>
      </c>
      <c r="CX37" s="69">
        <v>43374</v>
      </c>
      <c r="CY37" s="69">
        <v>43405</v>
      </c>
      <c r="CZ37" s="69">
        <v>43435</v>
      </c>
      <c r="DA37" s="70">
        <f>YEAR(CZ37)</f>
        <v>2018</v>
      </c>
      <c r="DB37" s="68">
        <v>43466</v>
      </c>
      <c r="DC37" s="69">
        <v>43497</v>
      </c>
      <c r="DD37" s="69">
        <v>43525</v>
      </c>
      <c r="DE37" s="69">
        <v>43556</v>
      </c>
      <c r="DF37" s="69">
        <v>43586</v>
      </c>
      <c r="DG37" s="69">
        <v>43617</v>
      </c>
      <c r="DH37" s="69">
        <v>43647</v>
      </c>
      <c r="DI37" s="69">
        <v>43678</v>
      </c>
      <c r="DJ37" s="69">
        <v>43709</v>
      </c>
      <c r="DK37" s="69">
        <v>43739</v>
      </c>
      <c r="DL37" s="69">
        <v>43770</v>
      </c>
      <c r="DM37" s="69">
        <v>43800</v>
      </c>
      <c r="DN37" s="70">
        <f>YEAR(DM37)</f>
        <v>2019</v>
      </c>
      <c r="DO37" s="68">
        <v>43831</v>
      </c>
      <c r="DP37" s="69">
        <v>43862</v>
      </c>
      <c r="DQ37" s="69">
        <v>43891</v>
      </c>
      <c r="DR37" s="69">
        <v>43922</v>
      </c>
      <c r="DS37" s="69">
        <v>43952</v>
      </c>
      <c r="DT37" s="69">
        <v>43983</v>
      </c>
      <c r="DU37" s="69">
        <v>44013</v>
      </c>
      <c r="DV37" s="69">
        <v>44044</v>
      </c>
      <c r="DW37" s="69">
        <v>44075</v>
      </c>
      <c r="DX37" s="69">
        <v>44105</v>
      </c>
      <c r="DY37" s="69">
        <v>44136</v>
      </c>
      <c r="DZ37" s="69">
        <v>44166</v>
      </c>
      <c r="EA37" s="70">
        <f>YEAR(DZ37)</f>
        <v>2020</v>
      </c>
      <c r="EB37" s="68">
        <v>44197</v>
      </c>
      <c r="EC37" s="69">
        <v>44228</v>
      </c>
      <c r="ED37" s="69">
        <v>44256</v>
      </c>
      <c r="EE37" s="69">
        <v>44287</v>
      </c>
      <c r="EF37" s="69">
        <v>44317</v>
      </c>
      <c r="EG37" s="69">
        <v>44348</v>
      </c>
      <c r="EH37" s="69">
        <v>44378</v>
      </c>
      <c r="EI37" s="69">
        <v>44409</v>
      </c>
      <c r="EJ37" s="69">
        <v>44440</v>
      </c>
      <c r="EK37" s="69">
        <v>44470</v>
      </c>
      <c r="EL37" s="69">
        <v>44501</v>
      </c>
      <c r="EM37" s="69">
        <v>44531</v>
      </c>
      <c r="EN37" s="70">
        <f>YEAR(EM37)</f>
        <v>2021</v>
      </c>
      <c r="EO37" s="68">
        <v>44562</v>
      </c>
      <c r="EP37" s="69">
        <v>44593</v>
      </c>
      <c r="EQ37" s="69">
        <v>44621</v>
      </c>
      <c r="ER37" s="69">
        <v>44652</v>
      </c>
      <c r="ES37" s="69">
        <v>44682</v>
      </c>
      <c r="ET37" s="69">
        <v>44713</v>
      </c>
      <c r="EU37" s="69">
        <v>44743</v>
      </c>
      <c r="EV37" s="69">
        <v>44774</v>
      </c>
      <c r="EW37" s="69">
        <v>44805</v>
      </c>
      <c r="EX37" s="69">
        <v>44835</v>
      </c>
      <c r="EY37" s="69">
        <v>44866</v>
      </c>
      <c r="EZ37" s="69">
        <v>44896</v>
      </c>
      <c r="FA37" s="70">
        <f>YEAR(EZ37)</f>
        <v>2022</v>
      </c>
      <c r="FB37" s="68">
        <v>44927</v>
      </c>
      <c r="FC37" s="69">
        <v>44958</v>
      </c>
      <c r="FD37" s="69">
        <v>44986</v>
      </c>
      <c r="FE37" s="69">
        <v>45017</v>
      </c>
      <c r="FF37" s="69">
        <v>45047</v>
      </c>
      <c r="FG37" s="69">
        <v>45078</v>
      </c>
      <c r="FH37" s="69">
        <v>45108</v>
      </c>
      <c r="FI37" s="69">
        <v>45139</v>
      </c>
      <c r="FJ37" s="69">
        <v>45170</v>
      </c>
      <c r="FK37" s="69">
        <v>45200</v>
      </c>
      <c r="FL37" s="69">
        <v>45231</v>
      </c>
      <c r="FM37" s="69">
        <v>45261</v>
      </c>
      <c r="FN37" s="70">
        <f>YEAR(FM37)</f>
        <v>2023</v>
      </c>
      <c r="FO37" s="68">
        <v>45292</v>
      </c>
      <c r="FP37" s="69">
        <v>45323</v>
      </c>
      <c r="FQ37" s="69">
        <v>45352</v>
      </c>
      <c r="FR37" s="69">
        <v>45383</v>
      </c>
      <c r="FS37" s="69">
        <v>45413</v>
      </c>
      <c r="FT37" s="69">
        <v>45444</v>
      </c>
      <c r="FU37" s="69">
        <v>45474</v>
      </c>
      <c r="FV37" s="69">
        <v>45505</v>
      </c>
      <c r="FW37" s="69">
        <v>45536</v>
      </c>
      <c r="FX37" s="69">
        <v>45566</v>
      </c>
      <c r="FY37" s="69">
        <v>45597</v>
      </c>
      <c r="FZ37" s="69">
        <v>45627</v>
      </c>
      <c r="GA37" s="70">
        <f>YEAR(FZ37)</f>
        <v>2024</v>
      </c>
      <c r="GB37" s="68">
        <v>45658</v>
      </c>
      <c r="GC37" s="69">
        <v>45689</v>
      </c>
      <c r="GD37" s="69">
        <v>45717</v>
      </c>
      <c r="GE37" s="69">
        <v>45748</v>
      </c>
      <c r="GF37" s="69">
        <v>45778</v>
      </c>
      <c r="GG37" s="69">
        <v>45809</v>
      </c>
      <c r="GH37" s="69">
        <v>45839</v>
      </c>
      <c r="GI37" s="69">
        <v>45870</v>
      </c>
      <c r="GJ37" s="69">
        <v>45901</v>
      </c>
      <c r="GK37" s="69">
        <v>45931</v>
      </c>
      <c r="GL37" s="69">
        <v>45962</v>
      </c>
      <c r="GM37" s="69">
        <v>45992</v>
      </c>
      <c r="GN37" s="1319">
        <f>YEAR(GM37)</f>
        <v>2025</v>
      </c>
      <c r="GO37" s="1321" t="s">
        <v>0</v>
      </c>
      <c r="GP37" s="1322" t="s">
        <v>1</v>
      </c>
      <c r="GQ37" s="1322" t="s">
        <v>2</v>
      </c>
      <c r="GR37" s="1322" t="s">
        <v>3</v>
      </c>
      <c r="GS37" s="1322" t="s">
        <v>4</v>
      </c>
      <c r="GT37" s="1322" t="s">
        <v>592</v>
      </c>
      <c r="GU37" s="1322" t="s">
        <v>6</v>
      </c>
      <c r="GV37" s="1322" t="s">
        <v>7</v>
      </c>
      <c r="GW37" s="1322" t="s">
        <v>8</v>
      </c>
      <c r="GX37" s="1322" t="s">
        <v>9</v>
      </c>
      <c r="GY37" s="1322" t="s">
        <v>10</v>
      </c>
      <c r="GZ37" s="1336" t="s">
        <v>11</v>
      </c>
      <c r="HA37" s="1323">
        <v>2026</v>
      </c>
      <c r="HC37" s="42" t="str">
        <f>GV37</f>
        <v>Ago.</v>
      </c>
      <c r="HD37" s="43" t="str">
        <f>CONCATENATE("Ene.-",TEXT(HC37,"MMM."))</f>
        <v>Ene.-Ago.</v>
      </c>
      <c r="HE37" s="43" t="str">
        <f>HD37</f>
        <v>Ene.-Ago.</v>
      </c>
      <c r="HF37" s="43" t="str">
        <f>HD37</f>
        <v>Ene.-Ago.</v>
      </c>
    </row>
    <row r="38" spans="1:214" ht="13.9" customHeight="1" x14ac:dyDescent="0.2">
      <c r="A38" s="698" t="s">
        <v>335</v>
      </c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7"/>
      <c r="P38" s="687"/>
      <c r="Q38" s="687"/>
      <c r="R38" s="687"/>
      <c r="S38" s="687"/>
      <c r="T38" s="687"/>
      <c r="U38" s="687"/>
      <c r="V38" s="687"/>
      <c r="W38" s="687"/>
      <c r="X38" s="687"/>
      <c r="Y38" s="687"/>
      <c r="Z38" s="687"/>
      <c r="AA38" s="687"/>
      <c r="AB38" s="687">
        <f t="shared" ref="AB38:CM38" si="104">+AB40+AB49</f>
        <v>24958</v>
      </c>
      <c r="AC38" s="687">
        <f t="shared" si="104"/>
        <v>10328</v>
      </c>
      <c r="AD38" s="687">
        <f t="shared" si="104"/>
        <v>50418.3</v>
      </c>
      <c r="AE38" s="687">
        <f t="shared" si="104"/>
        <v>18044.669999999998</v>
      </c>
      <c r="AF38" s="687">
        <f t="shared" si="104"/>
        <v>18434.5</v>
      </c>
      <c r="AG38" s="687">
        <f t="shared" si="104"/>
        <v>25619.64</v>
      </c>
      <c r="AH38" s="687">
        <f t="shared" si="104"/>
        <v>47993.4</v>
      </c>
      <c r="AI38" s="687">
        <f t="shared" si="104"/>
        <v>20782.14</v>
      </c>
      <c r="AJ38" s="687">
        <f t="shared" si="104"/>
        <v>30805</v>
      </c>
      <c r="AK38" s="687">
        <f t="shared" si="104"/>
        <v>21962.406999999999</v>
      </c>
      <c r="AL38" s="687">
        <f t="shared" si="104"/>
        <v>20272.039999999997</v>
      </c>
      <c r="AM38" s="687">
        <f t="shared" si="104"/>
        <v>56643</v>
      </c>
      <c r="AN38" s="687">
        <f t="shared" si="104"/>
        <v>346261.09700000001</v>
      </c>
      <c r="AO38" s="687">
        <f t="shared" si="104"/>
        <v>20616.099999999999</v>
      </c>
      <c r="AP38" s="687">
        <f t="shared" si="104"/>
        <v>32621.016</v>
      </c>
      <c r="AQ38" s="687">
        <f t="shared" si="104"/>
        <v>38346.832999999999</v>
      </c>
      <c r="AR38" s="687">
        <f t="shared" si="104"/>
        <v>34837.016000000003</v>
      </c>
      <c r="AS38" s="687">
        <f t="shared" si="104"/>
        <v>19979.199999999997</v>
      </c>
      <c r="AT38" s="687">
        <f t="shared" si="104"/>
        <v>21109.117999999999</v>
      </c>
      <c r="AU38" s="687">
        <f t="shared" si="104"/>
        <v>22241.001</v>
      </c>
      <c r="AV38" s="687">
        <f t="shared" si="104"/>
        <v>22826.798999999999</v>
      </c>
      <c r="AW38" s="687">
        <f t="shared" si="104"/>
        <v>17620.059999999998</v>
      </c>
      <c r="AX38" s="687">
        <f t="shared" si="104"/>
        <v>30973.892</v>
      </c>
      <c r="AY38" s="687">
        <f t="shared" si="104"/>
        <v>21781.548000000003</v>
      </c>
      <c r="AZ38" s="687">
        <f t="shared" si="104"/>
        <v>61676</v>
      </c>
      <c r="BA38" s="687">
        <f t="shared" si="104"/>
        <v>344628.58299999998</v>
      </c>
      <c r="BB38" s="687">
        <f t="shared" si="104"/>
        <v>21174.136999999999</v>
      </c>
      <c r="BC38" s="687">
        <f t="shared" si="104"/>
        <v>25284.317000000003</v>
      </c>
      <c r="BD38" s="687">
        <f t="shared" si="104"/>
        <v>65198.104999999996</v>
      </c>
      <c r="BE38" s="687">
        <f t="shared" si="104"/>
        <v>22488.145</v>
      </c>
      <c r="BF38" s="687">
        <f t="shared" si="104"/>
        <v>34078</v>
      </c>
      <c r="BG38" s="687">
        <f t="shared" si="104"/>
        <v>23110</v>
      </c>
      <c r="BH38" s="687">
        <f t="shared" si="104"/>
        <v>24383</v>
      </c>
      <c r="BI38" s="687">
        <f t="shared" si="104"/>
        <v>21659</v>
      </c>
      <c r="BJ38" s="687">
        <f t="shared" si="104"/>
        <v>21774</v>
      </c>
      <c r="BK38" s="687">
        <f t="shared" si="104"/>
        <v>18122</v>
      </c>
      <c r="BL38" s="687">
        <f t="shared" si="104"/>
        <v>89721</v>
      </c>
      <c r="BM38" s="687">
        <f t="shared" si="104"/>
        <v>30794</v>
      </c>
      <c r="BN38" s="687">
        <f t="shared" si="104"/>
        <v>397785.70400000003</v>
      </c>
      <c r="BO38" s="687">
        <f t="shared" si="104"/>
        <v>32608</v>
      </c>
      <c r="BP38" s="687">
        <f t="shared" si="104"/>
        <v>13430</v>
      </c>
      <c r="BQ38" s="687">
        <f t="shared" si="104"/>
        <v>81736</v>
      </c>
      <c r="BR38" s="687">
        <f t="shared" si="104"/>
        <v>20714</v>
      </c>
      <c r="BS38" s="687">
        <f t="shared" si="104"/>
        <v>39704</v>
      </c>
      <c r="BT38" s="687">
        <f t="shared" si="104"/>
        <v>23360</v>
      </c>
      <c r="BU38" s="687">
        <f t="shared" si="104"/>
        <v>22979</v>
      </c>
      <c r="BV38" s="687">
        <f t="shared" si="104"/>
        <v>27596</v>
      </c>
      <c r="BW38" s="687">
        <f t="shared" si="104"/>
        <v>24441</v>
      </c>
      <c r="BX38" s="687">
        <f t="shared" si="104"/>
        <v>24009</v>
      </c>
      <c r="BY38" s="687">
        <f t="shared" si="104"/>
        <v>42501</v>
      </c>
      <c r="BZ38" s="687">
        <f t="shared" si="104"/>
        <v>30360</v>
      </c>
      <c r="CA38" s="687">
        <f t="shared" si="104"/>
        <v>383438</v>
      </c>
      <c r="CB38" s="687">
        <f t="shared" si="104"/>
        <v>24861</v>
      </c>
      <c r="CC38" s="687">
        <f t="shared" si="104"/>
        <v>59799</v>
      </c>
      <c r="CD38" s="687">
        <f t="shared" si="104"/>
        <v>39945</v>
      </c>
      <c r="CE38" s="687">
        <f t="shared" si="104"/>
        <v>22011</v>
      </c>
      <c r="CF38" s="687">
        <f t="shared" si="104"/>
        <v>45016</v>
      </c>
      <c r="CG38" s="687">
        <f t="shared" si="104"/>
        <v>23067</v>
      </c>
      <c r="CH38" s="687">
        <f t="shared" si="104"/>
        <v>23062</v>
      </c>
      <c r="CI38" s="687">
        <f t="shared" si="104"/>
        <v>34825</v>
      </c>
      <c r="CJ38" s="687">
        <f t="shared" si="104"/>
        <v>26397</v>
      </c>
      <c r="CK38" s="687">
        <f t="shared" si="104"/>
        <v>42255</v>
      </c>
      <c r="CL38" s="687">
        <f t="shared" si="104"/>
        <v>31492</v>
      </c>
      <c r="CM38" s="687">
        <f t="shared" si="104"/>
        <v>31444</v>
      </c>
      <c r="CN38" s="687">
        <f t="shared" ref="CN38:DJ38" si="105">+CN40+CN49</f>
        <v>404174</v>
      </c>
      <c r="CO38" s="687">
        <f t="shared" si="105"/>
        <v>20930</v>
      </c>
      <c r="CP38" s="687">
        <f t="shared" si="105"/>
        <v>24089</v>
      </c>
      <c r="CQ38" s="687">
        <f t="shared" si="105"/>
        <v>59264</v>
      </c>
      <c r="CR38" s="687">
        <f t="shared" si="105"/>
        <v>36899</v>
      </c>
      <c r="CS38" s="687">
        <f t="shared" si="105"/>
        <v>29250</v>
      </c>
      <c r="CT38" s="687">
        <f t="shared" si="105"/>
        <v>31794</v>
      </c>
      <c r="CU38" s="687">
        <f t="shared" si="105"/>
        <v>24189</v>
      </c>
      <c r="CV38" s="687">
        <f t="shared" si="105"/>
        <v>25639</v>
      </c>
      <c r="CW38" s="687">
        <f t="shared" si="105"/>
        <v>25258</v>
      </c>
      <c r="CX38" s="687">
        <f t="shared" si="105"/>
        <v>45757</v>
      </c>
      <c r="CY38" s="687">
        <f t="shared" si="105"/>
        <v>28811</v>
      </c>
      <c r="CZ38" s="687">
        <f t="shared" si="105"/>
        <v>26530</v>
      </c>
      <c r="DA38" s="687">
        <f t="shared" si="105"/>
        <v>378410</v>
      </c>
      <c r="DB38" s="687">
        <f t="shared" si="105"/>
        <v>25236</v>
      </c>
      <c r="DC38" s="687">
        <f t="shared" si="105"/>
        <v>30863</v>
      </c>
      <c r="DD38" s="687">
        <f t="shared" si="105"/>
        <v>25552</v>
      </c>
      <c r="DE38" s="687">
        <f t="shared" si="105"/>
        <v>29217</v>
      </c>
      <c r="DF38" s="687">
        <f t="shared" si="105"/>
        <v>81977</v>
      </c>
      <c r="DG38" s="687">
        <f t="shared" si="105"/>
        <v>21999</v>
      </c>
      <c r="DH38" s="687">
        <f t="shared" si="105"/>
        <v>33000</v>
      </c>
      <c r="DI38" s="687">
        <f t="shared" si="105"/>
        <v>25080</v>
      </c>
      <c r="DJ38" s="687">
        <f t="shared" si="105"/>
        <v>26513</v>
      </c>
      <c r="DK38" s="687">
        <f>+DK40+DK49</f>
        <v>29096</v>
      </c>
      <c r="DL38" s="687">
        <f t="shared" ref="DL38:DZ38" si="106">+DL40+DL49</f>
        <v>32572</v>
      </c>
      <c r="DM38" s="687">
        <f t="shared" si="106"/>
        <v>32988</v>
      </c>
      <c r="DN38" s="687">
        <f t="shared" si="106"/>
        <v>394093</v>
      </c>
      <c r="DO38" s="687">
        <f t="shared" si="106"/>
        <v>29472</v>
      </c>
      <c r="DP38" s="687">
        <f t="shared" si="106"/>
        <v>8014</v>
      </c>
      <c r="DQ38" s="687">
        <f t="shared" si="106"/>
        <v>47257</v>
      </c>
      <c r="DR38" s="687">
        <f t="shared" si="106"/>
        <v>16052</v>
      </c>
      <c r="DS38" s="687">
        <f t="shared" si="106"/>
        <v>13849</v>
      </c>
      <c r="DT38" s="687">
        <f t="shared" si="106"/>
        <v>60717</v>
      </c>
      <c r="DU38" s="687">
        <f t="shared" si="106"/>
        <v>24376</v>
      </c>
      <c r="DV38" s="687">
        <f t="shared" si="106"/>
        <v>35149</v>
      </c>
      <c r="DW38" s="687">
        <f t="shared" si="106"/>
        <v>37096</v>
      </c>
      <c r="DX38" s="687">
        <f t="shared" si="106"/>
        <v>26058</v>
      </c>
      <c r="DY38" s="687">
        <f t="shared" si="106"/>
        <v>28407</v>
      </c>
      <c r="DZ38" s="687">
        <f t="shared" si="106"/>
        <v>30727</v>
      </c>
      <c r="EA38" s="687">
        <f>SUM(DO38:DZ38)</f>
        <v>357174</v>
      </c>
      <c r="EB38" s="687">
        <f t="shared" ref="EB38:EM38" si="107">+EB40+EB49</f>
        <v>36782</v>
      </c>
      <c r="EC38" s="687">
        <f t="shared" si="107"/>
        <v>31696</v>
      </c>
      <c r="ED38" s="687">
        <f t="shared" si="107"/>
        <v>31634</v>
      </c>
      <c r="EE38" s="687">
        <f t="shared" si="107"/>
        <v>56285</v>
      </c>
      <c r="EF38" s="687">
        <f t="shared" si="107"/>
        <v>35174</v>
      </c>
      <c r="EG38" s="687">
        <f t="shared" si="107"/>
        <v>36711</v>
      </c>
      <c r="EH38" s="687">
        <f t="shared" si="107"/>
        <v>31931</v>
      </c>
      <c r="EI38" s="687">
        <f t="shared" si="107"/>
        <v>37699</v>
      </c>
      <c r="EJ38" s="687">
        <f t="shared" si="107"/>
        <v>48028</v>
      </c>
      <c r="EK38" s="687">
        <f t="shared" si="107"/>
        <v>35447</v>
      </c>
      <c r="EL38" s="687">
        <f t="shared" si="107"/>
        <v>36717</v>
      </c>
      <c r="EM38" s="687">
        <f t="shared" si="107"/>
        <v>40024</v>
      </c>
      <c r="EN38" s="687">
        <f>SUM(EB38:EM38)</f>
        <v>458128</v>
      </c>
      <c r="EO38" s="687">
        <f t="shared" ref="EO38:EZ38" si="108">+EO40+EO49</f>
        <v>37905</v>
      </c>
      <c r="EP38" s="687">
        <f t="shared" si="108"/>
        <v>45976</v>
      </c>
      <c r="EQ38" s="687">
        <f t="shared" si="108"/>
        <v>42028</v>
      </c>
      <c r="ER38" s="687">
        <f t="shared" si="108"/>
        <v>37087</v>
      </c>
      <c r="ES38" s="687">
        <f t="shared" si="108"/>
        <v>71027</v>
      </c>
      <c r="ET38" s="687">
        <f t="shared" si="108"/>
        <v>56602</v>
      </c>
      <c r="EU38" s="687">
        <f t="shared" si="108"/>
        <v>36225</v>
      </c>
      <c r="EV38" s="687">
        <f t="shared" si="108"/>
        <v>39913</v>
      </c>
      <c r="EW38" s="687">
        <f t="shared" si="108"/>
        <v>44195</v>
      </c>
      <c r="EX38" s="687">
        <f t="shared" si="108"/>
        <v>40676</v>
      </c>
      <c r="EY38" s="694">
        <f t="shared" si="108"/>
        <v>35825</v>
      </c>
      <c r="EZ38" s="694">
        <f t="shared" si="108"/>
        <v>37972</v>
      </c>
      <c r="FA38" s="687">
        <f>SUM(EO38:EZ38)</f>
        <v>525431</v>
      </c>
      <c r="FB38" s="687">
        <f t="shared" ref="FB38:FM38" si="109">+FB40+FB49</f>
        <v>35531</v>
      </c>
      <c r="FC38" s="687">
        <f t="shared" si="109"/>
        <v>41776</v>
      </c>
      <c r="FD38" s="687">
        <f t="shared" si="109"/>
        <v>39002</v>
      </c>
      <c r="FE38" s="687">
        <f t="shared" si="109"/>
        <v>58428</v>
      </c>
      <c r="FF38" s="687">
        <f t="shared" si="109"/>
        <v>61416</v>
      </c>
      <c r="FG38" s="687">
        <f t="shared" si="109"/>
        <v>38102</v>
      </c>
      <c r="FH38" s="687">
        <f t="shared" si="109"/>
        <v>34760</v>
      </c>
      <c r="FI38" s="687">
        <f t="shared" si="109"/>
        <v>48730</v>
      </c>
      <c r="FJ38" s="687">
        <f t="shared" si="109"/>
        <v>34809</v>
      </c>
      <c r="FK38" s="687">
        <f t="shared" si="109"/>
        <v>34358</v>
      </c>
      <c r="FL38" s="687">
        <f t="shared" si="109"/>
        <v>39630</v>
      </c>
      <c r="FM38" s="687">
        <f t="shared" si="109"/>
        <v>42411</v>
      </c>
      <c r="FN38" s="687">
        <f>SUM(FB38:FM38)</f>
        <v>508953</v>
      </c>
      <c r="FO38" s="687">
        <f t="shared" ref="FO38:FZ38" si="110">+FO40+FO49</f>
        <v>38759</v>
      </c>
      <c r="FP38" s="687">
        <f t="shared" si="110"/>
        <v>46700</v>
      </c>
      <c r="FQ38" s="687">
        <f t="shared" si="110"/>
        <v>32386</v>
      </c>
      <c r="FR38" s="687">
        <f t="shared" si="110"/>
        <v>39790</v>
      </c>
      <c r="FS38" s="687">
        <f t="shared" si="110"/>
        <v>56805</v>
      </c>
      <c r="FT38" s="687">
        <f t="shared" si="110"/>
        <v>42992</v>
      </c>
      <c r="FU38" s="687">
        <f t="shared" si="110"/>
        <v>40311</v>
      </c>
      <c r="FV38" s="687">
        <f t="shared" si="110"/>
        <v>37592</v>
      </c>
      <c r="FW38" s="687">
        <f t="shared" si="110"/>
        <v>42557</v>
      </c>
      <c r="FX38" s="687">
        <f t="shared" si="110"/>
        <v>44302</v>
      </c>
      <c r="FY38" s="687">
        <f t="shared" si="110"/>
        <v>39807</v>
      </c>
      <c r="FZ38" s="687">
        <f t="shared" si="110"/>
        <v>53429</v>
      </c>
      <c r="GA38" s="687">
        <f>SUM(FO38:FZ38)</f>
        <v>515430</v>
      </c>
      <c r="GB38" s="687">
        <f t="shared" ref="GB38:GM38" si="111">+GB40+GB49</f>
        <v>42723</v>
      </c>
      <c r="GC38" s="687">
        <f t="shared" si="111"/>
        <v>52861</v>
      </c>
      <c r="GD38" s="694">
        <f t="shared" si="111"/>
        <v>44352</v>
      </c>
      <c r="GE38" s="687">
        <f t="shared" si="111"/>
        <v>40366</v>
      </c>
      <c r="GF38" s="687">
        <f t="shared" si="111"/>
        <v>66696</v>
      </c>
      <c r="GG38" s="687">
        <f t="shared" si="111"/>
        <v>49957</v>
      </c>
      <c r="GH38" s="687">
        <f t="shared" si="111"/>
        <v>46510</v>
      </c>
      <c r="GI38" s="687">
        <f t="shared" si="111"/>
        <v>40443</v>
      </c>
      <c r="GJ38" s="687">
        <f t="shared" si="111"/>
        <v>40393</v>
      </c>
      <c r="GK38" s="687">
        <f t="shared" si="111"/>
        <v>38855</v>
      </c>
      <c r="GL38" s="687">
        <f t="shared" si="111"/>
        <v>38596</v>
      </c>
      <c r="GM38" s="687">
        <f t="shared" si="111"/>
        <v>35753</v>
      </c>
      <c r="GN38" s="687">
        <f>SUM(GB38:GM38)</f>
        <v>537505</v>
      </c>
      <c r="GO38" s="129">
        <f t="shared" ref="GO38:GU38" si="112">+GO40+GO49</f>
        <v>35771</v>
      </c>
      <c r="GP38" s="129">
        <f>+GP40+GP49</f>
        <v>35752</v>
      </c>
      <c r="GQ38" s="129">
        <f t="shared" si="112"/>
        <v>35756</v>
      </c>
      <c r="GR38" s="129">
        <f t="shared" si="112"/>
        <v>35754</v>
      </c>
      <c r="GS38" s="129">
        <f>+GS40+GS49</f>
        <v>67878</v>
      </c>
      <c r="GT38" s="129">
        <f t="shared" si="112"/>
        <v>47230</v>
      </c>
      <c r="GU38" s="129">
        <f t="shared" si="112"/>
        <v>39468</v>
      </c>
      <c r="GV38" s="129">
        <f>+GV40+GV49</f>
        <v>38777</v>
      </c>
      <c r="GW38" s="129"/>
      <c r="GX38" s="129"/>
      <c r="GY38" s="129"/>
      <c r="GZ38" s="129"/>
      <c r="HA38" s="129">
        <f>SUM(GO38:GZ38)</f>
        <v>336386</v>
      </c>
      <c r="HC38" s="693">
        <f>IFERROR(((GV38/GI38)-1)*100,"-")</f>
        <v>-4.1193778898696909</v>
      </c>
      <c r="HD38" s="693">
        <f>IFERROR(((HF38/HE38)-1)*100,"-")</f>
        <v>-12.378486512393593</v>
      </c>
      <c r="HE38" s="678">
        <f>IFERROR(SUM(GB38:GI38),"-")</f>
        <v>383908</v>
      </c>
      <c r="HF38" s="678">
        <f>IFERROR(SUM(GO38:GZ38),"-")</f>
        <v>336386</v>
      </c>
    </row>
    <row r="39" spans="1:214" ht="13.9" customHeight="1" x14ac:dyDescent="0.2">
      <c r="A39" s="666" t="s">
        <v>352</v>
      </c>
      <c r="B39" s="667"/>
      <c r="C39" s="667"/>
      <c r="D39" s="667"/>
      <c r="E39" s="667"/>
      <c r="F39" s="667"/>
      <c r="G39" s="667"/>
      <c r="H39" s="667"/>
      <c r="I39" s="667"/>
      <c r="J39" s="667"/>
      <c r="K39" s="667"/>
      <c r="L39" s="667"/>
      <c r="M39" s="667"/>
      <c r="N39" s="667"/>
      <c r="O39" s="667"/>
      <c r="P39" s="667"/>
      <c r="Q39" s="667"/>
      <c r="R39" s="667"/>
      <c r="S39" s="667"/>
      <c r="T39" s="667"/>
      <c r="U39" s="667"/>
      <c r="V39" s="667"/>
      <c r="W39" s="667"/>
      <c r="X39" s="667"/>
      <c r="Y39" s="667"/>
      <c r="Z39" s="667"/>
      <c r="AA39" s="667"/>
      <c r="AB39" s="667"/>
      <c r="AC39" s="667"/>
      <c r="AD39" s="667"/>
      <c r="AE39" s="667"/>
      <c r="AF39" s="667"/>
      <c r="AG39" s="667"/>
      <c r="AH39" s="667"/>
      <c r="AI39" s="667"/>
      <c r="AJ39" s="667"/>
      <c r="AK39" s="667"/>
      <c r="AL39" s="667"/>
      <c r="AM39" s="667"/>
      <c r="AN39" s="667"/>
      <c r="AO39" s="667"/>
      <c r="AP39" s="667"/>
      <c r="AQ39" s="667"/>
      <c r="AR39" s="667"/>
      <c r="AS39" s="667"/>
      <c r="AT39" s="667"/>
      <c r="AU39" s="667"/>
      <c r="AV39" s="667"/>
      <c r="AW39" s="667"/>
      <c r="AX39" s="667"/>
      <c r="AY39" s="667"/>
      <c r="AZ39" s="667"/>
      <c r="BA39" s="667"/>
      <c r="BB39" s="667"/>
      <c r="BC39" s="667"/>
      <c r="BD39" s="667"/>
      <c r="BE39" s="667"/>
      <c r="BF39" s="667"/>
      <c r="BG39" s="667"/>
      <c r="BH39" s="667"/>
      <c r="BI39" s="667"/>
      <c r="BJ39" s="667"/>
      <c r="BK39" s="667"/>
      <c r="BL39" s="667"/>
      <c r="BM39" s="667"/>
      <c r="BN39" s="667"/>
      <c r="BO39" s="667"/>
      <c r="BP39" s="667"/>
      <c r="BQ39" s="667"/>
      <c r="BR39" s="667"/>
      <c r="BS39" s="667"/>
      <c r="BT39" s="667"/>
      <c r="BU39" s="667"/>
      <c r="BV39" s="667"/>
      <c r="BW39" s="667"/>
      <c r="BX39" s="667"/>
      <c r="BY39" s="667"/>
      <c r="BZ39" s="667"/>
      <c r="CA39" s="667"/>
      <c r="CB39" s="667"/>
      <c r="CC39" s="667"/>
      <c r="CD39" s="667"/>
      <c r="CE39" s="667"/>
      <c r="CF39" s="667"/>
      <c r="CG39" s="667"/>
      <c r="CH39" s="667"/>
      <c r="CI39" s="667"/>
      <c r="CJ39" s="667"/>
      <c r="CK39" s="667"/>
      <c r="CL39" s="667"/>
      <c r="CM39" s="667"/>
      <c r="CN39" s="667"/>
      <c r="CO39" s="667"/>
      <c r="CP39" s="667"/>
      <c r="CQ39" s="667"/>
      <c r="CR39" s="667"/>
      <c r="CS39" s="667"/>
      <c r="CT39" s="667"/>
      <c r="CU39" s="667"/>
      <c r="CV39" s="667"/>
      <c r="CW39" s="667"/>
      <c r="CX39" s="667"/>
      <c r="CY39" s="667"/>
      <c r="CZ39" s="667"/>
      <c r="DA39" s="667"/>
      <c r="DB39" s="667"/>
      <c r="DC39" s="667"/>
      <c r="DD39" s="667"/>
      <c r="DE39" s="667"/>
      <c r="DF39" s="667"/>
      <c r="DG39" s="667"/>
      <c r="DH39" s="667"/>
      <c r="DI39" s="667"/>
      <c r="DJ39" s="667"/>
      <c r="DK39" s="667"/>
      <c r="DL39" s="667"/>
      <c r="DM39" s="667"/>
      <c r="DN39" s="667"/>
      <c r="DO39" s="667"/>
      <c r="DP39" s="667"/>
      <c r="DQ39" s="667"/>
      <c r="DR39" s="667"/>
      <c r="DS39" s="667"/>
      <c r="DT39" s="667"/>
      <c r="DU39" s="667"/>
      <c r="DV39" s="667"/>
      <c r="DW39" s="667"/>
      <c r="DX39" s="667"/>
      <c r="DY39" s="667"/>
      <c r="DZ39" s="667"/>
      <c r="EA39" s="687"/>
      <c r="EB39" s="667"/>
      <c r="EC39" s="667"/>
      <c r="ED39" s="667"/>
      <c r="EE39" s="667"/>
      <c r="EF39" s="667"/>
      <c r="EG39" s="667"/>
      <c r="EH39" s="667"/>
      <c r="EI39" s="667"/>
      <c r="EJ39" s="667"/>
      <c r="EK39" s="667"/>
      <c r="EL39" s="667"/>
      <c r="EM39" s="667"/>
      <c r="EN39" s="667"/>
      <c r="EO39" s="667"/>
      <c r="EP39" s="667"/>
      <c r="EQ39" s="667"/>
      <c r="ER39" s="667"/>
      <c r="ES39" s="667"/>
      <c r="ET39" s="667"/>
      <c r="EU39" s="667"/>
      <c r="EV39" s="667"/>
      <c r="EW39" s="667"/>
      <c r="EX39" s="667"/>
      <c r="EY39" s="665"/>
      <c r="EZ39" s="665"/>
      <c r="FA39" s="667"/>
      <c r="FB39" s="667"/>
      <c r="FC39" s="667"/>
      <c r="FD39" s="667"/>
      <c r="FE39" s="667"/>
      <c r="FF39" s="667"/>
      <c r="FG39" s="667"/>
      <c r="FH39" s="667"/>
      <c r="FI39" s="667"/>
      <c r="FJ39" s="667"/>
      <c r="FK39" s="667"/>
      <c r="FL39" s="667"/>
      <c r="FM39" s="667"/>
      <c r="FN39" s="667"/>
      <c r="FO39" s="667"/>
      <c r="FP39" s="667"/>
      <c r="FQ39" s="667"/>
      <c r="FR39" s="667"/>
      <c r="FS39" s="667"/>
      <c r="FT39" s="667"/>
      <c r="FU39" s="667"/>
      <c r="FV39" s="667"/>
      <c r="FW39" s="667"/>
      <c r="FX39" s="667"/>
      <c r="FY39" s="667"/>
      <c r="FZ39" s="667"/>
      <c r="GA39" s="667"/>
      <c r="GB39" s="667"/>
      <c r="GC39" s="667"/>
      <c r="GD39" s="665"/>
      <c r="GE39" s="667"/>
      <c r="GF39" s="667"/>
      <c r="GG39" s="667"/>
      <c r="GH39" s="667"/>
      <c r="GI39" s="667"/>
      <c r="GJ39" s="667"/>
      <c r="GK39" s="667"/>
      <c r="GL39" s="667"/>
      <c r="GM39" s="667"/>
      <c r="GN39" s="667"/>
      <c r="GO39" s="129"/>
      <c r="GP39" s="129"/>
      <c r="GQ39" s="129"/>
      <c r="GR39" s="129"/>
      <c r="GS39" s="129"/>
      <c r="GT39" s="129"/>
      <c r="GU39" s="129"/>
      <c r="GV39" s="129"/>
      <c r="GW39" s="129"/>
      <c r="GX39" s="129"/>
      <c r="GY39" s="129"/>
      <c r="GZ39" s="129"/>
      <c r="HA39" s="129"/>
      <c r="HC39" s="693" t="str">
        <f t="shared" ref="HC39:HC85" si="113">IFERROR(((GV39/GI39)-1)*100,"-")</f>
        <v>-</v>
      </c>
      <c r="HD39" s="721"/>
      <c r="HE39" s="678"/>
      <c r="HF39" s="678"/>
    </row>
    <row r="40" spans="1:214" ht="13.9" customHeight="1" x14ac:dyDescent="0.2">
      <c r="A40" s="698" t="s">
        <v>308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87"/>
      <c r="AB40" s="687">
        <f t="shared" ref="AB40:CM40" si="114">SUM(AB41:AB43)</f>
        <v>24945</v>
      </c>
      <c r="AC40" s="687">
        <f t="shared" si="114"/>
        <v>10321</v>
      </c>
      <c r="AD40" s="687">
        <f t="shared" si="114"/>
        <v>50395.3</v>
      </c>
      <c r="AE40" s="687">
        <f t="shared" si="114"/>
        <v>18023.669999999998</v>
      </c>
      <c r="AF40" s="687">
        <f t="shared" si="114"/>
        <v>18406.5</v>
      </c>
      <c r="AG40" s="687">
        <f t="shared" si="114"/>
        <v>25590.639999999999</v>
      </c>
      <c r="AH40" s="687">
        <f t="shared" si="114"/>
        <v>47979.4</v>
      </c>
      <c r="AI40" s="687">
        <f t="shared" si="114"/>
        <v>20736.14</v>
      </c>
      <c r="AJ40" s="687">
        <f t="shared" si="114"/>
        <v>30787</v>
      </c>
      <c r="AK40" s="687">
        <f t="shared" si="114"/>
        <v>21946.406999999999</v>
      </c>
      <c r="AL40" s="687">
        <f t="shared" si="114"/>
        <v>20242.039999999997</v>
      </c>
      <c r="AM40" s="687">
        <f t="shared" si="114"/>
        <v>56623</v>
      </c>
      <c r="AN40" s="687">
        <f t="shared" si="114"/>
        <v>345996.09700000001</v>
      </c>
      <c r="AO40" s="687">
        <f t="shared" si="114"/>
        <v>20609.099999999999</v>
      </c>
      <c r="AP40" s="687">
        <f t="shared" si="114"/>
        <v>32617.016</v>
      </c>
      <c r="AQ40" s="687">
        <f t="shared" si="114"/>
        <v>38342.832999999999</v>
      </c>
      <c r="AR40" s="687">
        <f t="shared" si="114"/>
        <v>34830.016000000003</v>
      </c>
      <c r="AS40" s="687">
        <f t="shared" si="114"/>
        <v>19971.199999999997</v>
      </c>
      <c r="AT40" s="687">
        <f t="shared" si="114"/>
        <v>21102.117999999999</v>
      </c>
      <c r="AU40" s="687">
        <f t="shared" si="114"/>
        <v>22233.001</v>
      </c>
      <c r="AV40" s="687">
        <f t="shared" si="114"/>
        <v>22813.798999999999</v>
      </c>
      <c r="AW40" s="687">
        <f t="shared" si="114"/>
        <v>17542.059999999998</v>
      </c>
      <c r="AX40" s="687">
        <f t="shared" si="114"/>
        <v>30940.892</v>
      </c>
      <c r="AY40" s="687">
        <f t="shared" si="114"/>
        <v>21771.548000000003</v>
      </c>
      <c r="AZ40" s="687">
        <f t="shared" si="114"/>
        <v>61662</v>
      </c>
      <c r="BA40" s="687">
        <f t="shared" si="114"/>
        <v>344435.58299999998</v>
      </c>
      <c r="BB40" s="687">
        <f t="shared" si="114"/>
        <v>21160.136999999999</v>
      </c>
      <c r="BC40" s="687">
        <f t="shared" si="114"/>
        <v>25271.317000000003</v>
      </c>
      <c r="BD40" s="687">
        <f t="shared" si="114"/>
        <v>65190.104999999996</v>
      </c>
      <c r="BE40" s="687">
        <f t="shared" si="114"/>
        <v>22476.145</v>
      </c>
      <c r="BF40" s="687">
        <f t="shared" si="114"/>
        <v>34053</v>
      </c>
      <c r="BG40" s="687">
        <f t="shared" si="114"/>
        <v>23098</v>
      </c>
      <c r="BH40" s="687">
        <f t="shared" si="114"/>
        <v>24375</v>
      </c>
      <c r="BI40" s="687">
        <f t="shared" si="114"/>
        <v>21649</v>
      </c>
      <c r="BJ40" s="687">
        <f t="shared" si="114"/>
        <v>21762</v>
      </c>
      <c r="BK40" s="687">
        <f t="shared" si="114"/>
        <v>18118</v>
      </c>
      <c r="BL40" s="687">
        <f t="shared" si="114"/>
        <v>89719</v>
      </c>
      <c r="BM40" s="687">
        <f t="shared" si="114"/>
        <v>30794</v>
      </c>
      <c r="BN40" s="687">
        <f t="shared" si="114"/>
        <v>397665.70400000003</v>
      </c>
      <c r="BO40" s="687">
        <f t="shared" si="114"/>
        <v>32595</v>
      </c>
      <c r="BP40" s="687">
        <f t="shared" si="114"/>
        <v>13421</v>
      </c>
      <c r="BQ40" s="687">
        <f t="shared" si="114"/>
        <v>81731</v>
      </c>
      <c r="BR40" s="687">
        <f t="shared" si="114"/>
        <v>20703</v>
      </c>
      <c r="BS40" s="687">
        <f t="shared" si="114"/>
        <v>39693</v>
      </c>
      <c r="BT40" s="687">
        <f t="shared" si="114"/>
        <v>23341</v>
      </c>
      <c r="BU40" s="687">
        <f t="shared" si="114"/>
        <v>22965</v>
      </c>
      <c r="BV40" s="687">
        <f t="shared" si="114"/>
        <v>27551</v>
      </c>
      <c r="BW40" s="687">
        <f t="shared" si="114"/>
        <v>24394</v>
      </c>
      <c r="BX40" s="687">
        <f t="shared" si="114"/>
        <v>24002</v>
      </c>
      <c r="BY40" s="687">
        <f t="shared" si="114"/>
        <v>42494</v>
      </c>
      <c r="BZ40" s="687">
        <f t="shared" si="114"/>
        <v>30349</v>
      </c>
      <c r="CA40" s="687">
        <f t="shared" si="114"/>
        <v>383239</v>
      </c>
      <c r="CB40" s="687">
        <f t="shared" si="114"/>
        <v>24849</v>
      </c>
      <c r="CC40" s="687">
        <f t="shared" si="114"/>
        <v>59780</v>
      </c>
      <c r="CD40" s="687">
        <f t="shared" si="114"/>
        <v>39933</v>
      </c>
      <c r="CE40" s="687">
        <f t="shared" si="114"/>
        <v>22002</v>
      </c>
      <c r="CF40" s="687">
        <f t="shared" si="114"/>
        <v>45004</v>
      </c>
      <c r="CG40" s="687">
        <f t="shared" si="114"/>
        <v>23051</v>
      </c>
      <c r="CH40" s="687">
        <f t="shared" si="114"/>
        <v>23062</v>
      </c>
      <c r="CI40" s="687">
        <f t="shared" si="114"/>
        <v>34815</v>
      </c>
      <c r="CJ40" s="687">
        <f t="shared" si="114"/>
        <v>26383</v>
      </c>
      <c r="CK40" s="687">
        <f t="shared" si="114"/>
        <v>42245</v>
      </c>
      <c r="CL40" s="687">
        <f t="shared" si="114"/>
        <v>31472</v>
      </c>
      <c r="CM40" s="687">
        <f t="shared" si="114"/>
        <v>31432</v>
      </c>
      <c r="CN40" s="687">
        <f t="shared" ref="CN40:DJ40" si="115">SUM(CN41:CN43)</f>
        <v>404028</v>
      </c>
      <c r="CO40" s="687">
        <f t="shared" si="115"/>
        <v>20903</v>
      </c>
      <c r="CP40" s="687">
        <f t="shared" si="115"/>
        <v>24072</v>
      </c>
      <c r="CQ40" s="687">
        <f t="shared" si="115"/>
        <v>59255</v>
      </c>
      <c r="CR40" s="687">
        <f t="shared" si="115"/>
        <v>36883</v>
      </c>
      <c r="CS40" s="687">
        <f t="shared" si="115"/>
        <v>29217</v>
      </c>
      <c r="CT40" s="687">
        <f t="shared" si="115"/>
        <v>31786</v>
      </c>
      <c r="CU40" s="687">
        <f t="shared" si="115"/>
        <v>24160</v>
      </c>
      <c r="CV40" s="687">
        <f t="shared" si="115"/>
        <v>25529</v>
      </c>
      <c r="CW40" s="687">
        <f t="shared" si="115"/>
        <v>25244</v>
      </c>
      <c r="CX40" s="687">
        <f t="shared" si="115"/>
        <v>45749</v>
      </c>
      <c r="CY40" s="687">
        <f t="shared" si="115"/>
        <v>28802</v>
      </c>
      <c r="CZ40" s="687">
        <f t="shared" si="115"/>
        <v>26521</v>
      </c>
      <c r="DA40" s="687">
        <f t="shared" si="115"/>
        <v>378121</v>
      </c>
      <c r="DB40" s="687">
        <f t="shared" si="115"/>
        <v>25231</v>
      </c>
      <c r="DC40" s="687">
        <f t="shared" si="115"/>
        <v>30848</v>
      </c>
      <c r="DD40" s="687">
        <f t="shared" si="115"/>
        <v>25533</v>
      </c>
      <c r="DE40" s="687">
        <f t="shared" si="115"/>
        <v>29202</v>
      </c>
      <c r="DF40" s="687">
        <f t="shared" si="115"/>
        <v>81952</v>
      </c>
      <c r="DG40" s="687">
        <f t="shared" si="115"/>
        <v>21994</v>
      </c>
      <c r="DH40" s="687">
        <f t="shared" si="115"/>
        <v>32987</v>
      </c>
      <c r="DI40" s="687">
        <f t="shared" si="115"/>
        <v>25062</v>
      </c>
      <c r="DJ40" s="687">
        <f t="shared" si="115"/>
        <v>26505</v>
      </c>
      <c r="DK40" s="687">
        <f>SUM(DK41:DK43)</f>
        <v>29084</v>
      </c>
      <c r="DL40" s="687">
        <f t="shared" ref="DL40:DZ40" si="116">SUM(DL41:DL43)</f>
        <v>32550</v>
      </c>
      <c r="DM40" s="687">
        <f t="shared" si="116"/>
        <v>32977</v>
      </c>
      <c r="DN40" s="687">
        <f t="shared" si="116"/>
        <v>393925</v>
      </c>
      <c r="DO40" s="687">
        <f t="shared" si="116"/>
        <v>29457</v>
      </c>
      <c r="DP40" s="687">
        <f t="shared" si="116"/>
        <v>7967</v>
      </c>
      <c r="DQ40" s="687">
        <f t="shared" si="116"/>
        <v>47242</v>
      </c>
      <c r="DR40" s="687">
        <f t="shared" si="116"/>
        <v>16051</v>
      </c>
      <c r="DS40" s="687">
        <f t="shared" si="116"/>
        <v>13847</v>
      </c>
      <c r="DT40" s="687">
        <f t="shared" si="116"/>
        <v>60705</v>
      </c>
      <c r="DU40" s="687">
        <f t="shared" si="116"/>
        <v>24354</v>
      </c>
      <c r="DV40" s="687">
        <f t="shared" si="116"/>
        <v>35114</v>
      </c>
      <c r="DW40" s="687">
        <f t="shared" si="116"/>
        <v>37053</v>
      </c>
      <c r="DX40" s="687">
        <f t="shared" si="116"/>
        <v>26029</v>
      </c>
      <c r="DY40" s="687">
        <f t="shared" si="116"/>
        <v>28388</v>
      </c>
      <c r="DZ40" s="687">
        <f t="shared" si="116"/>
        <v>30705</v>
      </c>
      <c r="EA40" s="687">
        <f t="shared" ref="EA40:EA49" si="117">SUM(DO40:DZ40)</f>
        <v>356912</v>
      </c>
      <c r="EB40" s="687">
        <f t="shared" ref="EB40:EM40" si="118">SUM(EB41:EB43)</f>
        <v>36746</v>
      </c>
      <c r="EC40" s="687">
        <f t="shared" si="118"/>
        <v>31619</v>
      </c>
      <c r="ED40" s="687">
        <f t="shared" si="118"/>
        <v>31519</v>
      </c>
      <c r="EE40" s="687">
        <f t="shared" si="118"/>
        <v>56214</v>
      </c>
      <c r="EF40" s="687">
        <f t="shared" si="118"/>
        <v>35127</v>
      </c>
      <c r="EG40" s="687">
        <f t="shared" si="118"/>
        <v>36684</v>
      </c>
      <c r="EH40" s="687">
        <f t="shared" si="118"/>
        <v>31899</v>
      </c>
      <c r="EI40" s="687">
        <f t="shared" si="118"/>
        <v>37629</v>
      </c>
      <c r="EJ40" s="687">
        <f t="shared" si="118"/>
        <v>47986</v>
      </c>
      <c r="EK40" s="687">
        <f t="shared" si="118"/>
        <v>35389</v>
      </c>
      <c r="EL40" s="687">
        <f t="shared" si="118"/>
        <v>36647</v>
      </c>
      <c r="EM40" s="687">
        <f t="shared" si="118"/>
        <v>39979</v>
      </c>
      <c r="EN40" s="687">
        <f t="shared" ref="EN40:EN49" si="119">SUM(EB40:EM40)</f>
        <v>457438</v>
      </c>
      <c r="EO40" s="687">
        <f t="shared" ref="EO40:EZ40" si="120">SUM(EO41:EO43)</f>
        <v>37771</v>
      </c>
      <c r="EP40" s="687">
        <f t="shared" si="120"/>
        <v>45909</v>
      </c>
      <c r="EQ40" s="687">
        <f t="shared" si="120"/>
        <v>41952</v>
      </c>
      <c r="ER40" s="687">
        <f t="shared" si="120"/>
        <v>37078</v>
      </c>
      <c r="ES40" s="687">
        <f t="shared" si="120"/>
        <v>71010</v>
      </c>
      <c r="ET40" s="687">
        <f t="shared" si="120"/>
        <v>56581</v>
      </c>
      <c r="EU40" s="687">
        <f t="shared" si="120"/>
        <v>36220</v>
      </c>
      <c r="EV40" s="687">
        <f t="shared" si="120"/>
        <v>39874</v>
      </c>
      <c r="EW40" s="687">
        <f t="shared" si="120"/>
        <v>44173</v>
      </c>
      <c r="EX40" s="687">
        <f t="shared" si="120"/>
        <v>40552</v>
      </c>
      <c r="EY40" s="694">
        <f t="shared" si="120"/>
        <v>35807</v>
      </c>
      <c r="EZ40" s="694">
        <f t="shared" si="120"/>
        <v>37935</v>
      </c>
      <c r="FA40" s="687">
        <f t="shared" ref="FA40:FA47" si="121">SUM(EO40:EZ40)</f>
        <v>524862</v>
      </c>
      <c r="FB40" s="687">
        <f t="shared" ref="FB40:FM40" si="122">SUM(FB41:FB43)</f>
        <v>35514</v>
      </c>
      <c r="FC40" s="687">
        <f t="shared" si="122"/>
        <v>41767</v>
      </c>
      <c r="FD40" s="687">
        <f t="shared" si="122"/>
        <v>38999</v>
      </c>
      <c r="FE40" s="687">
        <f t="shared" si="122"/>
        <v>58425</v>
      </c>
      <c r="FF40" s="687">
        <f t="shared" si="122"/>
        <v>61411</v>
      </c>
      <c r="FG40" s="687">
        <f t="shared" si="122"/>
        <v>38098</v>
      </c>
      <c r="FH40" s="687">
        <f t="shared" si="122"/>
        <v>34757</v>
      </c>
      <c r="FI40" s="687">
        <f t="shared" si="122"/>
        <v>48728</v>
      </c>
      <c r="FJ40" s="687">
        <f t="shared" si="122"/>
        <v>34804</v>
      </c>
      <c r="FK40" s="687">
        <f t="shared" si="122"/>
        <v>34354</v>
      </c>
      <c r="FL40" s="687">
        <f t="shared" si="122"/>
        <v>39610</v>
      </c>
      <c r="FM40" s="687">
        <f t="shared" si="122"/>
        <v>42397</v>
      </c>
      <c r="FN40" s="687">
        <f t="shared" ref="FN40:FN49" si="123">SUM(FB40:FM40)</f>
        <v>508864</v>
      </c>
      <c r="FO40" s="687">
        <f t="shared" ref="FO40:FZ40" si="124">SUM(FO41:FO43)</f>
        <v>38741</v>
      </c>
      <c r="FP40" s="687">
        <f t="shared" si="124"/>
        <v>46697</v>
      </c>
      <c r="FQ40" s="687">
        <f t="shared" si="124"/>
        <v>32383</v>
      </c>
      <c r="FR40" s="687">
        <f t="shared" si="124"/>
        <v>39784</v>
      </c>
      <c r="FS40" s="687">
        <f t="shared" si="124"/>
        <v>56798</v>
      </c>
      <c r="FT40" s="687">
        <f t="shared" si="124"/>
        <v>42985</v>
      </c>
      <c r="FU40" s="687">
        <f t="shared" si="124"/>
        <v>40303</v>
      </c>
      <c r="FV40" s="687">
        <f t="shared" si="124"/>
        <v>37586</v>
      </c>
      <c r="FW40" s="687">
        <f t="shared" si="124"/>
        <v>42551</v>
      </c>
      <c r="FX40" s="687">
        <f t="shared" si="124"/>
        <v>44293</v>
      </c>
      <c r="FY40" s="687">
        <f t="shared" si="124"/>
        <v>39798</v>
      </c>
      <c r="FZ40" s="687">
        <f t="shared" si="124"/>
        <v>53419</v>
      </c>
      <c r="GA40" s="687">
        <f t="shared" ref="GA40:GA49" si="125">SUM(FO40:FZ40)</f>
        <v>515338</v>
      </c>
      <c r="GB40" s="687">
        <f t="shared" ref="GB40:GM40" si="126">SUM(GB41:GB43)</f>
        <v>42715</v>
      </c>
      <c r="GC40" s="687">
        <f t="shared" si="126"/>
        <v>52857</v>
      </c>
      <c r="GD40" s="694">
        <f t="shared" si="126"/>
        <v>44347</v>
      </c>
      <c r="GE40" s="687">
        <f t="shared" si="126"/>
        <v>40359</v>
      </c>
      <c r="GF40" s="687">
        <f t="shared" si="126"/>
        <v>66687</v>
      </c>
      <c r="GG40" s="687">
        <f t="shared" si="126"/>
        <v>49941</v>
      </c>
      <c r="GH40" s="687">
        <f t="shared" si="126"/>
        <v>46503</v>
      </c>
      <c r="GI40" s="687">
        <f t="shared" si="126"/>
        <v>40433</v>
      </c>
      <c r="GJ40" s="687">
        <f t="shared" si="126"/>
        <v>40387</v>
      </c>
      <c r="GK40" s="687">
        <f t="shared" si="126"/>
        <v>38842</v>
      </c>
      <c r="GL40" s="687">
        <f t="shared" si="126"/>
        <v>38585</v>
      </c>
      <c r="GM40" s="687">
        <f t="shared" si="126"/>
        <v>35744</v>
      </c>
      <c r="GN40" s="687">
        <f t="shared" ref="GN40:GN85" si="127">SUM(GB40:GM40)</f>
        <v>537400</v>
      </c>
      <c r="GO40" s="129">
        <f t="shared" ref="GO40:GR40" si="128">SUM(GO41:GO43)</f>
        <v>35744</v>
      </c>
      <c r="GP40" s="129">
        <f t="shared" si="128"/>
        <v>35744</v>
      </c>
      <c r="GQ40" s="129">
        <f t="shared" si="128"/>
        <v>35744</v>
      </c>
      <c r="GR40" s="129">
        <f t="shared" si="128"/>
        <v>35744</v>
      </c>
      <c r="GS40" s="129">
        <f>SUM(GS41:GS43)</f>
        <v>67808</v>
      </c>
      <c r="GT40" s="129">
        <f>SUM(GT41:GT43)</f>
        <v>47226</v>
      </c>
      <c r="GU40" s="129">
        <f t="shared" ref="GU40:GV40" si="129">SUM(GU41:GU43)</f>
        <v>39463</v>
      </c>
      <c r="GV40" s="129">
        <f t="shared" si="129"/>
        <v>38772</v>
      </c>
      <c r="GW40" s="129"/>
      <c r="GX40" s="129"/>
      <c r="GY40" s="129"/>
      <c r="GZ40" s="129"/>
      <c r="HA40" s="129">
        <f t="shared" ref="HA40:HA85" si="130">SUM(GO40:GZ40)</f>
        <v>336245</v>
      </c>
      <c r="HC40" s="693">
        <f t="shared" si="113"/>
        <v>-4.1080305690896051</v>
      </c>
      <c r="HD40" s="693">
        <f>IFERROR(((HF40/HE40)-1)*100,"-")</f>
        <v>-12.400154230125937</v>
      </c>
      <c r="HE40" s="678">
        <f t="shared" ref="HE40:HE85" si="131">IFERROR(SUM(GB40:GI40),"-")</f>
        <v>383842</v>
      </c>
      <c r="HF40" s="678">
        <f>IFERROR(SUM(GO40:GZ40),"-")</f>
        <v>336245</v>
      </c>
    </row>
    <row r="41" spans="1:214" ht="13.9" customHeight="1" x14ac:dyDescent="0.2">
      <c r="A41" s="666" t="s">
        <v>336</v>
      </c>
      <c r="B41" s="667"/>
      <c r="C41" s="667"/>
      <c r="D41" s="667"/>
      <c r="E41" s="667"/>
      <c r="F41" s="667"/>
      <c r="G41" s="667"/>
      <c r="H41" s="667"/>
      <c r="I41" s="667"/>
      <c r="J41" s="667"/>
      <c r="K41" s="667"/>
      <c r="L41" s="667"/>
      <c r="M41" s="667"/>
      <c r="N41" s="667"/>
      <c r="O41" s="667"/>
      <c r="P41" s="667"/>
      <c r="Q41" s="667"/>
      <c r="R41" s="667"/>
      <c r="S41" s="667"/>
      <c r="T41" s="667"/>
      <c r="U41" s="667"/>
      <c r="V41" s="667"/>
      <c r="W41" s="667"/>
      <c r="X41" s="667"/>
      <c r="Y41" s="667"/>
      <c r="Z41" s="667"/>
      <c r="AA41" s="667"/>
      <c r="AB41" s="667">
        <f t="shared" ref="AB41:CM41" si="132">+AB9</f>
        <v>874</v>
      </c>
      <c r="AC41" s="667">
        <f t="shared" si="132"/>
        <v>1413</v>
      </c>
      <c r="AD41" s="667">
        <f t="shared" si="132"/>
        <v>1109</v>
      </c>
      <c r="AE41" s="667">
        <f t="shared" si="132"/>
        <v>1334</v>
      </c>
      <c r="AF41" s="667">
        <f t="shared" si="132"/>
        <v>1735</v>
      </c>
      <c r="AG41" s="667">
        <f t="shared" si="132"/>
        <v>1073</v>
      </c>
      <c r="AH41" s="667">
        <f t="shared" si="132"/>
        <v>1422</v>
      </c>
      <c r="AI41" s="667">
        <f t="shared" si="132"/>
        <v>1353</v>
      </c>
      <c r="AJ41" s="667">
        <f t="shared" si="132"/>
        <v>1210</v>
      </c>
      <c r="AK41" s="667">
        <f t="shared" si="132"/>
        <v>1137</v>
      </c>
      <c r="AL41" s="667">
        <f t="shared" si="132"/>
        <v>1231</v>
      </c>
      <c r="AM41" s="667">
        <f t="shared" si="132"/>
        <v>1687</v>
      </c>
      <c r="AN41" s="667">
        <f t="shared" si="132"/>
        <v>15578</v>
      </c>
      <c r="AO41" s="667">
        <f t="shared" si="132"/>
        <v>993</v>
      </c>
      <c r="AP41" s="667">
        <f t="shared" si="132"/>
        <v>1560</v>
      </c>
      <c r="AQ41" s="667">
        <f t="shared" si="132"/>
        <v>1803</v>
      </c>
      <c r="AR41" s="667">
        <f t="shared" si="132"/>
        <v>1277</v>
      </c>
      <c r="AS41" s="667">
        <f t="shared" si="132"/>
        <v>1698</v>
      </c>
      <c r="AT41" s="667">
        <f t="shared" si="132"/>
        <v>1292</v>
      </c>
      <c r="AU41" s="667">
        <f t="shared" si="132"/>
        <v>1225</v>
      </c>
      <c r="AV41" s="667">
        <f t="shared" si="132"/>
        <v>1442</v>
      </c>
      <c r="AW41" s="667">
        <f t="shared" si="132"/>
        <v>1155</v>
      </c>
      <c r="AX41" s="667">
        <f t="shared" si="132"/>
        <v>1240</v>
      </c>
      <c r="AY41" s="667">
        <f t="shared" si="132"/>
        <v>1438</v>
      </c>
      <c r="AZ41" s="667">
        <f t="shared" si="132"/>
        <v>1420</v>
      </c>
      <c r="BA41" s="667">
        <f t="shared" si="132"/>
        <v>16543</v>
      </c>
      <c r="BB41" s="667">
        <f t="shared" si="132"/>
        <v>1216</v>
      </c>
      <c r="BC41" s="667">
        <f t="shared" si="132"/>
        <v>2575</v>
      </c>
      <c r="BD41" s="667">
        <f t="shared" si="132"/>
        <v>1906</v>
      </c>
      <c r="BE41" s="667">
        <f t="shared" si="132"/>
        <v>1503</v>
      </c>
      <c r="BF41" s="667">
        <f t="shared" si="132"/>
        <v>2037</v>
      </c>
      <c r="BG41" s="667">
        <f t="shared" si="132"/>
        <v>1550</v>
      </c>
      <c r="BH41" s="667">
        <f t="shared" si="132"/>
        <v>1892</v>
      </c>
      <c r="BI41" s="667">
        <f t="shared" si="132"/>
        <v>1768</v>
      </c>
      <c r="BJ41" s="667">
        <f t="shared" si="132"/>
        <v>1759</v>
      </c>
      <c r="BK41" s="667">
        <f t="shared" si="132"/>
        <v>2125</v>
      </c>
      <c r="BL41" s="667">
        <f t="shared" si="132"/>
        <v>2155</v>
      </c>
      <c r="BM41" s="667">
        <f t="shared" si="132"/>
        <v>2096</v>
      </c>
      <c r="BN41" s="667">
        <f t="shared" si="132"/>
        <v>22582</v>
      </c>
      <c r="BO41" s="667">
        <f t="shared" si="132"/>
        <v>1753</v>
      </c>
      <c r="BP41" s="667">
        <f t="shared" si="132"/>
        <v>2269</v>
      </c>
      <c r="BQ41" s="667">
        <f t="shared" si="132"/>
        <v>2117</v>
      </c>
      <c r="BR41" s="667">
        <f t="shared" si="132"/>
        <v>1779</v>
      </c>
      <c r="BS41" s="667">
        <f t="shared" si="132"/>
        <v>2228</v>
      </c>
      <c r="BT41" s="667">
        <f t="shared" si="132"/>
        <v>1696</v>
      </c>
      <c r="BU41" s="667">
        <f t="shared" si="132"/>
        <v>1511</v>
      </c>
      <c r="BV41" s="667">
        <f t="shared" si="132"/>
        <v>2495</v>
      </c>
      <c r="BW41" s="667">
        <f t="shared" si="132"/>
        <v>1674</v>
      </c>
      <c r="BX41" s="667">
        <f t="shared" si="132"/>
        <v>2441</v>
      </c>
      <c r="BY41" s="667">
        <f t="shared" si="132"/>
        <v>2305</v>
      </c>
      <c r="BZ41" s="667">
        <f t="shared" si="132"/>
        <v>2411</v>
      </c>
      <c r="CA41" s="667">
        <f t="shared" si="132"/>
        <v>24679</v>
      </c>
      <c r="CB41" s="667">
        <f t="shared" si="132"/>
        <v>1540</v>
      </c>
      <c r="CC41" s="667">
        <f t="shared" si="132"/>
        <v>2713</v>
      </c>
      <c r="CD41" s="667">
        <f t="shared" si="132"/>
        <v>2342</v>
      </c>
      <c r="CE41" s="667">
        <f t="shared" si="132"/>
        <v>1920</v>
      </c>
      <c r="CF41" s="667">
        <f t="shared" si="132"/>
        <v>2614</v>
      </c>
      <c r="CG41" s="667">
        <f t="shared" si="132"/>
        <v>2069</v>
      </c>
      <c r="CH41" s="667">
        <f t="shared" si="132"/>
        <v>1786</v>
      </c>
      <c r="CI41" s="667">
        <f t="shared" si="132"/>
        <v>2541</v>
      </c>
      <c r="CJ41" s="667">
        <f t="shared" si="132"/>
        <v>1923</v>
      </c>
      <c r="CK41" s="667">
        <f t="shared" si="132"/>
        <v>2050</v>
      </c>
      <c r="CL41" s="667">
        <f t="shared" si="132"/>
        <v>2533</v>
      </c>
      <c r="CM41" s="667">
        <f t="shared" si="132"/>
        <v>3696</v>
      </c>
      <c r="CN41" s="667">
        <f t="shared" ref="CN41:DZ41" si="133">+CN9</f>
        <v>27727</v>
      </c>
      <c r="CO41" s="667">
        <f t="shared" si="133"/>
        <v>1854</v>
      </c>
      <c r="CP41" s="667">
        <f t="shared" si="133"/>
        <v>2596</v>
      </c>
      <c r="CQ41" s="667">
        <f t="shared" si="133"/>
        <v>2566</v>
      </c>
      <c r="CR41" s="667">
        <f t="shared" si="133"/>
        <v>2203</v>
      </c>
      <c r="CS41" s="667">
        <f t="shared" si="133"/>
        <v>2862</v>
      </c>
      <c r="CT41" s="667">
        <f t="shared" si="133"/>
        <v>3346</v>
      </c>
      <c r="CU41" s="667">
        <f t="shared" si="133"/>
        <v>2457</v>
      </c>
      <c r="CV41" s="667">
        <f t="shared" si="133"/>
        <v>2408</v>
      </c>
      <c r="CW41" s="667">
        <f t="shared" si="133"/>
        <v>1994</v>
      </c>
      <c r="CX41" s="667">
        <f t="shared" si="133"/>
        <v>2076</v>
      </c>
      <c r="CY41" s="667">
        <f t="shared" si="133"/>
        <v>2710</v>
      </c>
      <c r="CZ41" s="667">
        <f t="shared" si="133"/>
        <v>2448</v>
      </c>
      <c r="DA41" s="667">
        <f t="shared" si="133"/>
        <v>29520</v>
      </c>
      <c r="DB41" s="667">
        <f t="shared" si="133"/>
        <v>1720</v>
      </c>
      <c r="DC41" s="667">
        <f t="shared" si="133"/>
        <v>2626</v>
      </c>
      <c r="DD41" s="667">
        <f t="shared" si="133"/>
        <v>3063</v>
      </c>
      <c r="DE41" s="667">
        <f t="shared" si="133"/>
        <v>2313</v>
      </c>
      <c r="DF41" s="667">
        <f t="shared" si="133"/>
        <v>3138</v>
      </c>
      <c r="DG41" s="667">
        <f t="shared" si="133"/>
        <v>2347</v>
      </c>
      <c r="DH41" s="667">
        <f t="shared" si="133"/>
        <v>2506</v>
      </c>
      <c r="DI41" s="667">
        <f t="shared" si="133"/>
        <v>2833</v>
      </c>
      <c r="DJ41" s="667">
        <f t="shared" si="133"/>
        <v>2992</v>
      </c>
      <c r="DK41" s="667">
        <f t="shared" si="133"/>
        <v>4234</v>
      </c>
      <c r="DL41" s="667">
        <f t="shared" si="133"/>
        <v>3620</v>
      </c>
      <c r="DM41" s="667">
        <f t="shared" si="133"/>
        <v>3529</v>
      </c>
      <c r="DN41" s="667">
        <f t="shared" si="133"/>
        <v>34921</v>
      </c>
      <c r="DO41" s="667">
        <f t="shared" si="133"/>
        <v>2140</v>
      </c>
      <c r="DP41" s="667">
        <f t="shared" si="133"/>
        <v>3813</v>
      </c>
      <c r="DQ41" s="667">
        <f t="shared" si="133"/>
        <v>1939</v>
      </c>
      <c r="DR41" s="667">
        <f t="shared" si="133"/>
        <v>407</v>
      </c>
      <c r="DS41" s="667">
        <f t="shared" si="133"/>
        <v>479</v>
      </c>
      <c r="DT41" s="667">
        <f t="shared" si="133"/>
        <v>951</v>
      </c>
      <c r="DU41" s="667">
        <f t="shared" si="133"/>
        <v>1738</v>
      </c>
      <c r="DV41" s="667">
        <f t="shared" si="133"/>
        <v>3003</v>
      </c>
      <c r="DW41" s="667">
        <f t="shared" si="133"/>
        <v>3804</v>
      </c>
      <c r="DX41" s="667">
        <f t="shared" si="133"/>
        <v>3547</v>
      </c>
      <c r="DY41" s="667">
        <f t="shared" si="133"/>
        <v>4602</v>
      </c>
      <c r="DZ41" s="667">
        <f t="shared" si="133"/>
        <v>4782</v>
      </c>
      <c r="EA41" s="687">
        <f t="shared" si="117"/>
        <v>31205</v>
      </c>
      <c r="EB41" s="667">
        <f t="shared" ref="EB41:EM41" si="134">+EB9</f>
        <v>2854</v>
      </c>
      <c r="EC41" s="667">
        <f t="shared" si="134"/>
        <v>4661</v>
      </c>
      <c r="ED41" s="667">
        <f t="shared" si="134"/>
        <v>4218</v>
      </c>
      <c r="EE41" s="667">
        <f t="shared" si="134"/>
        <v>2462</v>
      </c>
      <c r="EF41" s="667">
        <f t="shared" si="134"/>
        <v>3514</v>
      </c>
      <c r="EG41" s="667">
        <f t="shared" si="134"/>
        <v>3214</v>
      </c>
      <c r="EH41" s="667">
        <f t="shared" si="134"/>
        <v>3789</v>
      </c>
      <c r="EI41" s="667">
        <f t="shared" si="134"/>
        <v>4181</v>
      </c>
      <c r="EJ41" s="667">
        <f t="shared" si="134"/>
        <v>3900</v>
      </c>
      <c r="EK41" s="667">
        <f t="shared" si="134"/>
        <v>3758</v>
      </c>
      <c r="EL41" s="667">
        <f t="shared" si="134"/>
        <v>3483</v>
      </c>
      <c r="EM41" s="667">
        <f t="shared" si="134"/>
        <v>3843</v>
      </c>
      <c r="EN41" s="667">
        <f t="shared" si="119"/>
        <v>43877</v>
      </c>
      <c r="EO41" s="667">
        <f t="shared" ref="EO41:EZ41" si="135">+EO9</f>
        <v>2961</v>
      </c>
      <c r="EP41" s="667">
        <f t="shared" si="135"/>
        <v>4868</v>
      </c>
      <c r="EQ41" s="667">
        <f t="shared" si="135"/>
        <v>5165</v>
      </c>
      <c r="ER41" s="667">
        <f t="shared" si="135"/>
        <v>4246</v>
      </c>
      <c r="ES41" s="667">
        <f t="shared" si="135"/>
        <v>4179</v>
      </c>
      <c r="ET41" s="667">
        <f t="shared" si="135"/>
        <v>3084</v>
      </c>
      <c r="EU41" s="667">
        <f t="shared" si="135"/>
        <v>2822</v>
      </c>
      <c r="EV41" s="667">
        <f t="shared" si="135"/>
        <v>3593</v>
      </c>
      <c r="EW41" s="667">
        <f t="shared" si="135"/>
        <v>4350</v>
      </c>
      <c r="EX41" s="667">
        <f t="shared" si="135"/>
        <v>2845</v>
      </c>
      <c r="EY41" s="665">
        <f t="shared" si="135"/>
        <v>3855</v>
      </c>
      <c r="EZ41" s="665">
        <f t="shared" si="135"/>
        <v>4133</v>
      </c>
      <c r="FA41" s="667">
        <f t="shared" si="121"/>
        <v>46101</v>
      </c>
      <c r="FB41" s="667">
        <f t="shared" ref="FB41:FM41" si="136">+FB9</f>
        <v>2913</v>
      </c>
      <c r="FC41" s="667">
        <f t="shared" si="136"/>
        <v>4803</v>
      </c>
      <c r="FD41" s="667">
        <f t="shared" si="136"/>
        <v>4120</v>
      </c>
      <c r="FE41" s="667">
        <f t="shared" si="136"/>
        <v>3701</v>
      </c>
      <c r="FF41" s="667">
        <f t="shared" si="136"/>
        <v>4786</v>
      </c>
      <c r="FG41" s="667">
        <f t="shared" si="136"/>
        <v>4223</v>
      </c>
      <c r="FH41" s="667">
        <f t="shared" si="136"/>
        <v>3725</v>
      </c>
      <c r="FI41" s="667">
        <f t="shared" si="136"/>
        <v>4797</v>
      </c>
      <c r="FJ41" s="667">
        <f t="shared" si="136"/>
        <v>3078</v>
      </c>
      <c r="FK41" s="667">
        <f t="shared" si="136"/>
        <v>3181</v>
      </c>
      <c r="FL41" s="667">
        <f t="shared" si="136"/>
        <v>3760</v>
      </c>
      <c r="FM41" s="667">
        <f t="shared" si="136"/>
        <v>5075</v>
      </c>
      <c r="FN41" s="667">
        <f t="shared" si="123"/>
        <v>48162</v>
      </c>
      <c r="FO41" s="667">
        <f t="shared" ref="FO41:FZ41" si="137">+FO9</f>
        <v>3182</v>
      </c>
      <c r="FP41" s="667">
        <f t="shared" si="137"/>
        <v>6691</v>
      </c>
      <c r="FQ41" s="667">
        <f t="shared" si="137"/>
        <v>3781</v>
      </c>
      <c r="FR41" s="667">
        <f t="shared" si="137"/>
        <v>5252</v>
      </c>
      <c r="FS41" s="667">
        <f t="shared" si="137"/>
        <v>6186</v>
      </c>
      <c r="FT41" s="667">
        <f t="shared" si="137"/>
        <v>3243</v>
      </c>
      <c r="FU41" s="667">
        <f t="shared" si="137"/>
        <v>3933</v>
      </c>
      <c r="FV41" s="667">
        <f t="shared" si="137"/>
        <v>4506</v>
      </c>
      <c r="FW41" s="667">
        <f t="shared" si="137"/>
        <v>4407</v>
      </c>
      <c r="FX41" s="667">
        <f t="shared" si="137"/>
        <v>4725</v>
      </c>
      <c r="FY41" s="667">
        <f t="shared" si="137"/>
        <v>4034</v>
      </c>
      <c r="FZ41" s="667">
        <f t="shared" si="137"/>
        <v>5240</v>
      </c>
      <c r="GA41" s="667">
        <f t="shared" si="125"/>
        <v>55180</v>
      </c>
      <c r="GB41" s="667">
        <v>4453</v>
      </c>
      <c r="GC41" s="667">
        <v>7879</v>
      </c>
      <c r="GD41" s="665">
        <v>5310</v>
      </c>
      <c r="GE41" s="667">
        <v>5141</v>
      </c>
      <c r="GF41" s="667">
        <v>4654</v>
      </c>
      <c r="GG41" s="667">
        <v>5512</v>
      </c>
      <c r="GH41" s="667">
        <v>4172</v>
      </c>
      <c r="GI41" s="667">
        <v>5073</v>
      </c>
      <c r="GJ41" s="667">
        <v>4282</v>
      </c>
      <c r="GK41" s="667">
        <v>4194</v>
      </c>
      <c r="GL41" s="667">
        <v>4807</v>
      </c>
      <c r="GM41" s="667">
        <v>6594</v>
      </c>
      <c r="GN41" s="667">
        <f>SUM(GB41:GM41)</f>
        <v>62071</v>
      </c>
      <c r="GO41">
        <v>6594</v>
      </c>
      <c r="GP41">
        <v>6594</v>
      </c>
      <c r="GQ41">
        <v>6594</v>
      </c>
      <c r="GR41">
        <v>6594</v>
      </c>
      <c r="GS41">
        <f t="shared" ref="GS41" si="138">+GS9</f>
        <v>4487</v>
      </c>
      <c r="GT41">
        <f t="shared" ref="GT41:GV41" si="139">+GT9</f>
        <v>6161</v>
      </c>
      <c r="GU41">
        <f t="shared" si="139"/>
        <v>4192</v>
      </c>
      <c r="GV41">
        <f t="shared" si="139"/>
        <v>4248</v>
      </c>
      <c r="HA41">
        <f t="shared" si="130"/>
        <v>45464</v>
      </c>
      <c r="HC41" s="721">
        <f t="shared" si="113"/>
        <v>-16.262566528681255</v>
      </c>
      <c r="HD41" s="721">
        <f t="shared" ref="HD41:HD45" si="140">IFERROR(((HF41/HE41)-1)*100,"-")</f>
        <v>7.7499170498175118</v>
      </c>
      <c r="HE41" s="682">
        <f t="shared" si="131"/>
        <v>42194</v>
      </c>
      <c r="HF41" s="682">
        <f t="shared" ref="HF41:HF85" si="141">IFERROR(SUM(GO41:GZ41),"-")</f>
        <v>45464</v>
      </c>
    </row>
    <row r="42" spans="1:214" ht="13.9" customHeight="1" x14ac:dyDescent="0.2">
      <c r="A42" s="666" t="s">
        <v>337</v>
      </c>
      <c r="B42" s="667"/>
      <c r="C42" s="667"/>
      <c r="D42" s="667"/>
      <c r="E42" s="667"/>
      <c r="F42" s="667"/>
      <c r="G42" s="667"/>
      <c r="H42" s="667"/>
      <c r="I42" s="667"/>
      <c r="J42" s="667"/>
      <c r="K42" s="667"/>
      <c r="L42" s="667"/>
      <c r="M42" s="667"/>
      <c r="N42" s="667"/>
      <c r="O42" s="667"/>
      <c r="P42" s="667"/>
      <c r="Q42" s="667"/>
      <c r="R42" s="667"/>
      <c r="S42" s="667"/>
      <c r="T42" s="667"/>
      <c r="U42" s="667"/>
      <c r="V42" s="667"/>
      <c r="W42" s="667"/>
      <c r="X42" s="667"/>
      <c r="Y42" s="667"/>
      <c r="Z42" s="667"/>
      <c r="AA42" s="667"/>
      <c r="AB42" s="667">
        <f t="shared" ref="AB42:CM42" si="142">+AB11+AB16</f>
        <v>2362</v>
      </c>
      <c r="AC42" s="667">
        <f t="shared" si="142"/>
        <v>2453</v>
      </c>
      <c r="AD42" s="667">
        <f t="shared" si="142"/>
        <v>2182</v>
      </c>
      <c r="AE42" s="667">
        <f t="shared" si="142"/>
        <v>2509</v>
      </c>
      <c r="AF42" s="667">
        <f t="shared" si="142"/>
        <v>2296</v>
      </c>
      <c r="AG42" s="667">
        <f t="shared" si="142"/>
        <v>1689</v>
      </c>
      <c r="AH42" s="667">
        <f t="shared" si="142"/>
        <v>2393</v>
      </c>
      <c r="AI42" s="667">
        <f t="shared" si="142"/>
        <v>2928</v>
      </c>
      <c r="AJ42" s="667">
        <f t="shared" si="142"/>
        <v>1916</v>
      </c>
      <c r="AK42" s="667">
        <f t="shared" si="142"/>
        <v>2439</v>
      </c>
      <c r="AL42" s="667">
        <f t="shared" si="142"/>
        <v>1726</v>
      </c>
      <c r="AM42" s="667">
        <f t="shared" si="142"/>
        <v>2214</v>
      </c>
      <c r="AN42" s="667">
        <f t="shared" si="142"/>
        <v>27107</v>
      </c>
      <c r="AO42" s="667">
        <f t="shared" si="142"/>
        <v>2352</v>
      </c>
      <c r="AP42" s="667">
        <f t="shared" si="142"/>
        <v>2190</v>
      </c>
      <c r="AQ42" s="667">
        <f t="shared" si="142"/>
        <v>2009</v>
      </c>
      <c r="AR42" s="667">
        <f t="shared" si="142"/>
        <v>1892</v>
      </c>
      <c r="AS42" s="667">
        <f t="shared" si="142"/>
        <v>2284</v>
      </c>
      <c r="AT42" s="667">
        <f t="shared" si="142"/>
        <v>2021</v>
      </c>
      <c r="AU42" s="667">
        <f t="shared" si="142"/>
        <v>2353</v>
      </c>
      <c r="AV42" s="667">
        <f t="shared" si="142"/>
        <v>3187</v>
      </c>
      <c r="AW42" s="667">
        <f t="shared" si="142"/>
        <v>2252</v>
      </c>
      <c r="AX42" s="667">
        <f t="shared" si="142"/>
        <v>3006</v>
      </c>
      <c r="AY42" s="667">
        <f t="shared" si="142"/>
        <v>2033</v>
      </c>
      <c r="AZ42" s="667">
        <f t="shared" si="142"/>
        <v>2326</v>
      </c>
      <c r="BA42" s="667">
        <f t="shared" si="142"/>
        <v>27905</v>
      </c>
      <c r="BB42" s="667">
        <f t="shared" si="142"/>
        <v>2082</v>
      </c>
      <c r="BC42" s="667">
        <f t="shared" si="142"/>
        <v>2416</v>
      </c>
      <c r="BD42" s="667">
        <f t="shared" si="142"/>
        <v>2828</v>
      </c>
      <c r="BE42" s="667">
        <f t="shared" si="142"/>
        <v>2634</v>
      </c>
      <c r="BF42" s="667">
        <f t="shared" si="142"/>
        <v>2628</v>
      </c>
      <c r="BG42" s="667">
        <f t="shared" si="142"/>
        <v>2481</v>
      </c>
      <c r="BH42" s="667">
        <f t="shared" si="142"/>
        <v>2613</v>
      </c>
      <c r="BI42" s="667">
        <f t="shared" si="142"/>
        <v>3805</v>
      </c>
      <c r="BJ42" s="667">
        <f t="shared" si="142"/>
        <v>3457</v>
      </c>
      <c r="BK42" s="667">
        <f t="shared" si="142"/>
        <v>2488</v>
      </c>
      <c r="BL42" s="667">
        <f t="shared" si="142"/>
        <v>2688</v>
      </c>
      <c r="BM42" s="667">
        <f t="shared" si="142"/>
        <v>2893</v>
      </c>
      <c r="BN42" s="667">
        <f t="shared" si="142"/>
        <v>33013</v>
      </c>
      <c r="BO42" s="667">
        <f t="shared" si="142"/>
        <v>2823</v>
      </c>
      <c r="BP42" s="667">
        <f t="shared" si="142"/>
        <v>2975</v>
      </c>
      <c r="BQ42" s="667">
        <f t="shared" si="142"/>
        <v>3201</v>
      </c>
      <c r="BR42" s="667">
        <f t="shared" si="142"/>
        <v>2776</v>
      </c>
      <c r="BS42" s="667">
        <f t="shared" si="142"/>
        <v>3031</v>
      </c>
      <c r="BT42" s="667">
        <f t="shared" si="142"/>
        <v>2588</v>
      </c>
      <c r="BU42" s="667">
        <f t="shared" si="142"/>
        <v>4193</v>
      </c>
      <c r="BV42" s="667">
        <f t="shared" si="142"/>
        <v>4756</v>
      </c>
      <c r="BW42" s="667">
        <f t="shared" si="142"/>
        <v>6229</v>
      </c>
      <c r="BX42" s="667">
        <f t="shared" si="142"/>
        <v>4798</v>
      </c>
      <c r="BY42" s="667">
        <f t="shared" si="142"/>
        <v>3111</v>
      </c>
      <c r="BZ42" s="667">
        <f t="shared" si="142"/>
        <v>3309</v>
      </c>
      <c r="CA42" s="667">
        <f t="shared" si="142"/>
        <v>43790</v>
      </c>
      <c r="CB42" s="667">
        <f t="shared" si="142"/>
        <v>2836</v>
      </c>
      <c r="CC42" s="667">
        <f t="shared" si="142"/>
        <v>3512</v>
      </c>
      <c r="CD42" s="667">
        <f t="shared" si="142"/>
        <v>2991</v>
      </c>
      <c r="CE42" s="667">
        <f t="shared" si="142"/>
        <v>2493</v>
      </c>
      <c r="CF42" s="667">
        <f t="shared" si="142"/>
        <v>3164</v>
      </c>
      <c r="CG42" s="667">
        <f t="shared" si="142"/>
        <v>2902</v>
      </c>
      <c r="CH42" s="667">
        <f t="shared" si="142"/>
        <v>2987</v>
      </c>
      <c r="CI42" s="667">
        <f t="shared" si="142"/>
        <v>4245</v>
      </c>
      <c r="CJ42" s="667">
        <f t="shared" si="142"/>
        <v>3169</v>
      </c>
      <c r="CK42" s="667">
        <f t="shared" si="142"/>
        <v>3221</v>
      </c>
      <c r="CL42" s="667">
        <f t="shared" si="142"/>
        <v>2672</v>
      </c>
      <c r="CM42" s="667">
        <f t="shared" si="142"/>
        <v>5012</v>
      </c>
      <c r="CN42" s="667">
        <f t="shared" ref="CN42:DZ42" si="143">+CN11+CN16</f>
        <v>39204</v>
      </c>
      <c r="CO42" s="667">
        <f t="shared" si="143"/>
        <v>3215</v>
      </c>
      <c r="CP42" s="667">
        <f t="shared" si="143"/>
        <v>3773</v>
      </c>
      <c r="CQ42" s="667">
        <f t="shared" si="143"/>
        <v>2904</v>
      </c>
      <c r="CR42" s="667">
        <f t="shared" si="143"/>
        <v>3918</v>
      </c>
      <c r="CS42" s="667">
        <f t="shared" si="143"/>
        <v>3067</v>
      </c>
      <c r="CT42" s="667">
        <f t="shared" si="143"/>
        <v>3144</v>
      </c>
      <c r="CU42" s="667">
        <f t="shared" si="143"/>
        <v>2965</v>
      </c>
      <c r="CV42" s="667">
        <f t="shared" si="143"/>
        <v>3841</v>
      </c>
      <c r="CW42" s="667">
        <f t="shared" si="143"/>
        <v>3105</v>
      </c>
      <c r="CX42" s="667">
        <f t="shared" si="143"/>
        <v>2957</v>
      </c>
      <c r="CY42" s="667">
        <f t="shared" si="143"/>
        <v>3317</v>
      </c>
      <c r="CZ42" s="667">
        <f t="shared" si="143"/>
        <v>3218</v>
      </c>
      <c r="DA42" s="667">
        <f t="shared" si="143"/>
        <v>39424</v>
      </c>
      <c r="DB42" s="667">
        <f t="shared" si="143"/>
        <v>2886</v>
      </c>
      <c r="DC42" s="667">
        <f t="shared" si="143"/>
        <v>3004</v>
      </c>
      <c r="DD42" s="667">
        <f t="shared" si="143"/>
        <v>3425</v>
      </c>
      <c r="DE42" s="667">
        <f t="shared" si="143"/>
        <v>3457</v>
      </c>
      <c r="DF42" s="667">
        <f t="shared" si="143"/>
        <v>3179</v>
      </c>
      <c r="DG42" s="667">
        <f t="shared" si="143"/>
        <v>2863</v>
      </c>
      <c r="DH42" s="667">
        <f t="shared" si="143"/>
        <v>3119</v>
      </c>
      <c r="DI42" s="667">
        <f t="shared" si="143"/>
        <v>3964</v>
      </c>
      <c r="DJ42" s="667">
        <f t="shared" si="143"/>
        <v>3281</v>
      </c>
      <c r="DK42" s="667">
        <f t="shared" si="143"/>
        <v>4338</v>
      </c>
      <c r="DL42" s="667">
        <f t="shared" si="143"/>
        <v>3505</v>
      </c>
      <c r="DM42" s="667">
        <f t="shared" si="143"/>
        <v>3772</v>
      </c>
      <c r="DN42" s="667">
        <f t="shared" si="143"/>
        <v>40793</v>
      </c>
      <c r="DO42" s="667">
        <f t="shared" si="143"/>
        <v>4035</v>
      </c>
      <c r="DP42" s="667">
        <f t="shared" si="143"/>
        <v>3440</v>
      </c>
      <c r="DQ42" s="667">
        <f t="shared" si="143"/>
        <v>1902</v>
      </c>
      <c r="DR42" s="667">
        <f t="shared" si="143"/>
        <v>272</v>
      </c>
      <c r="DS42" s="667">
        <f t="shared" si="143"/>
        <v>745</v>
      </c>
      <c r="DT42" s="667">
        <f t="shared" si="143"/>
        <v>1020</v>
      </c>
      <c r="DU42" s="667">
        <f t="shared" si="143"/>
        <v>1962</v>
      </c>
      <c r="DV42" s="667">
        <f t="shared" si="143"/>
        <v>2750</v>
      </c>
      <c r="DW42" s="667">
        <f t="shared" si="143"/>
        <v>3480</v>
      </c>
      <c r="DX42" s="667">
        <f t="shared" si="143"/>
        <v>3807</v>
      </c>
      <c r="DY42" s="667">
        <f t="shared" si="143"/>
        <v>4071</v>
      </c>
      <c r="DZ42" s="667">
        <f t="shared" si="143"/>
        <v>4682</v>
      </c>
      <c r="EA42" s="687">
        <f t="shared" si="117"/>
        <v>32166</v>
      </c>
      <c r="EB42" s="667">
        <f t="shared" ref="EB42:EM42" si="144">+EB11+EB16</f>
        <v>3206</v>
      </c>
      <c r="EC42" s="667">
        <f t="shared" si="144"/>
        <v>3851</v>
      </c>
      <c r="ED42" s="667">
        <f t="shared" si="144"/>
        <v>3652</v>
      </c>
      <c r="EE42" s="667">
        <f t="shared" si="144"/>
        <v>2597</v>
      </c>
      <c r="EF42" s="667">
        <f t="shared" si="144"/>
        <v>3510</v>
      </c>
      <c r="EG42" s="667">
        <f t="shared" si="144"/>
        <v>3220</v>
      </c>
      <c r="EH42" s="667">
        <f t="shared" si="144"/>
        <v>3941</v>
      </c>
      <c r="EI42" s="667">
        <f t="shared" si="144"/>
        <v>5047</v>
      </c>
      <c r="EJ42" s="667">
        <f t="shared" si="144"/>
        <v>3908</v>
      </c>
      <c r="EK42" s="667">
        <f t="shared" si="144"/>
        <v>3805</v>
      </c>
      <c r="EL42" s="667">
        <f t="shared" si="144"/>
        <v>3452</v>
      </c>
      <c r="EM42" s="667">
        <f t="shared" si="144"/>
        <v>3955</v>
      </c>
      <c r="EN42" s="667">
        <f t="shared" si="119"/>
        <v>44144</v>
      </c>
      <c r="EO42" s="667">
        <f t="shared" ref="EO42:EZ42" si="145">+EO11+EO16</f>
        <v>3643</v>
      </c>
      <c r="EP42" s="667">
        <f t="shared" si="145"/>
        <v>4123</v>
      </c>
      <c r="EQ42" s="667">
        <f t="shared" si="145"/>
        <v>3763</v>
      </c>
      <c r="ER42" s="667">
        <f t="shared" si="145"/>
        <v>3231</v>
      </c>
      <c r="ES42" s="667">
        <f t="shared" si="145"/>
        <v>4110</v>
      </c>
      <c r="ET42" s="667">
        <f t="shared" si="145"/>
        <v>3344</v>
      </c>
      <c r="EU42" s="667">
        <f t="shared" si="145"/>
        <v>3765</v>
      </c>
      <c r="EV42" s="667">
        <f t="shared" si="145"/>
        <v>4699</v>
      </c>
      <c r="EW42" s="667">
        <f t="shared" si="145"/>
        <v>3933</v>
      </c>
      <c r="EX42" s="667">
        <f t="shared" si="145"/>
        <v>3567</v>
      </c>
      <c r="EY42" s="665">
        <f t="shared" si="145"/>
        <v>3785</v>
      </c>
      <c r="EZ42" s="665">
        <f t="shared" si="145"/>
        <v>3499</v>
      </c>
      <c r="FA42" s="667">
        <f t="shared" si="121"/>
        <v>45462</v>
      </c>
      <c r="FB42" s="667">
        <f t="shared" ref="FB42:FM42" si="146">+FB11+FB16</f>
        <v>3604</v>
      </c>
      <c r="FC42" s="667">
        <f t="shared" si="146"/>
        <v>4729</v>
      </c>
      <c r="FD42" s="667">
        <f t="shared" si="146"/>
        <v>4979</v>
      </c>
      <c r="FE42" s="667">
        <f t="shared" si="146"/>
        <v>3822</v>
      </c>
      <c r="FF42" s="667">
        <f t="shared" si="146"/>
        <v>5109</v>
      </c>
      <c r="FG42" s="667">
        <f t="shared" si="146"/>
        <v>4223</v>
      </c>
      <c r="FH42" s="667">
        <f t="shared" si="146"/>
        <v>4712</v>
      </c>
      <c r="FI42" s="667">
        <f t="shared" si="146"/>
        <v>9912</v>
      </c>
      <c r="FJ42" s="667">
        <f t="shared" si="146"/>
        <v>3599</v>
      </c>
      <c r="FK42" s="667">
        <f t="shared" si="146"/>
        <v>4183</v>
      </c>
      <c r="FL42" s="667">
        <f t="shared" si="146"/>
        <v>5077</v>
      </c>
      <c r="FM42" s="667">
        <f t="shared" si="146"/>
        <v>3916</v>
      </c>
      <c r="FN42" s="667">
        <f t="shared" si="123"/>
        <v>57865</v>
      </c>
      <c r="FO42" s="667">
        <f t="shared" ref="FO42:FZ42" si="147">+FO11+FO16</f>
        <v>4663</v>
      </c>
      <c r="FP42" s="667">
        <f t="shared" si="147"/>
        <v>4953</v>
      </c>
      <c r="FQ42" s="667">
        <f t="shared" si="147"/>
        <v>3936</v>
      </c>
      <c r="FR42" s="667">
        <f t="shared" si="147"/>
        <v>4364</v>
      </c>
      <c r="FS42" s="667">
        <f t="shared" si="147"/>
        <v>4782</v>
      </c>
      <c r="FT42" s="667">
        <f t="shared" si="147"/>
        <v>3245</v>
      </c>
      <c r="FU42" s="667">
        <f t="shared" si="147"/>
        <v>4062</v>
      </c>
      <c r="FV42" s="667">
        <f t="shared" si="147"/>
        <v>4152</v>
      </c>
      <c r="FW42" s="667">
        <f t="shared" si="147"/>
        <v>5151</v>
      </c>
      <c r="FX42" s="667">
        <f t="shared" si="147"/>
        <v>6384</v>
      </c>
      <c r="FY42" s="667">
        <f t="shared" si="147"/>
        <v>4272</v>
      </c>
      <c r="FZ42" s="667">
        <f t="shared" si="147"/>
        <v>4054</v>
      </c>
      <c r="GA42" s="667">
        <f t="shared" si="125"/>
        <v>54018</v>
      </c>
      <c r="GB42" s="667">
        <v>4424</v>
      </c>
      <c r="GC42" s="667">
        <v>5167</v>
      </c>
      <c r="GD42" s="665">
        <v>4777</v>
      </c>
      <c r="GE42" s="667">
        <v>4346</v>
      </c>
      <c r="GF42" s="667">
        <v>5273</v>
      </c>
      <c r="GG42" s="667">
        <v>3998</v>
      </c>
      <c r="GH42" s="667">
        <v>4806</v>
      </c>
      <c r="GI42" s="667">
        <v>5001</v>
      </c>
      <c r="GJ42" s="667">
        <v>5297</v>
      </c>
      <c r="GK42" s="667">
        <v>4275</v>
      </c>
      <c r="GL42" s="667">
        <v>3962</v>
      </c>
      <c r="GM42" s="667">
        <v>4812</v>
      </c>
      <c r="GN42" s="667">
        <f t="shared" si="127"/>
        <v>56138</v>
      </c>
      <c r="GO42">
        <v>4812</v>
      </c>
      <c r="GP42">
        <v>4812</v>
      </c>
      <c r="GQ42">
        <v>4812</v>
      </c>
      <c r="GR42">
        <v>4812</v>
      </c>
      <c r="GS42">
        <f t="shared" ref="GS42" si="148">+GS11+GS16</f>
        <v>4042</v>
      </c>
      <c r="GT42">
        <f t="shared" ref="GT42:GV42" si="149">+GT11+GT16</f>
        <v>9960</v>
      </c>
      <c r="GU42">
        <f t="shared" si="149"/>
        <v>4081</v>
      </c>
      <c r="GV42">
        <f t="shared" si="149"/>
        <v>4513</v>
      </c>
      <c r="HA42">
        <f t="shared" si="130"/>
        <v>41844</v>
      </c>
      <c r="HC42" s="721">
        <f t="shared" si="113"/>
        <v>-9.7580483903219388</v>
      </c>
      <c r="HD42" s="721">
        <f t="shared" si="140"/>
        <v>10.721845893310755</v>
      </c>
      <c r="HE42" s="682">
        <f t="shared" si="131"/>
        <v>37792</v>
      </c>
      <c r="HF42" s="682">
        <f t="shared" si="141"/>
        <v>41844</v>
      </c>
    </row>
    <row r="43" spans="1:214" ht="13.9" customHeight="1" x14ac:dyDescent="0.2">
      <c r="A43" s="666" t="s">
        <v>338</v>
      </c>
      <c r="B43" s="667"/>
      <c r="C43" s="667"/>
      <c r="D43" s="667"/>
      <c r="E43" s="667"/>
      <c r="F43" s="667"/>
      <c r="G43" s="667"/>
      <c r="H43" s="667"/>
      <c r="I43" s="667"/>
      <c r="J43" s="667"/>
      <c r="K43" s="667"/>
      <c r="L43" s="667"/>
      <c r="M43" s="667"/>
      <c r="N43" s="667"/>
      <c r="O43" s="667"/>
      <c r="P43" s="667"/>
      <c r="Q43" s="667"/>
      <c r="R43" s="667"/>
      <c r="S43" s="667"/>
      <c r="T43" s="667"/>
      <c r="U43" s="667"/>
      <c r="V43" s="667"/>
      <c r="W43" s="667"/>
      <c r="X43" s="667"/>
      <c r="Y43" s="667"/>
      <c r="Z43" s="667"/>
      <c r="AA43" s="667"/>
      <c r="AB43" s="667">
        <f t="shared" ref="AB43:CM43" si="150">+AB44+AB46+AB47</f>
        <v>21709</v>
      </c>
      <c r="AC43" s="667">
        <f t="shared" si="150"/>
        <v>6455</v>
      </c>
      <c r="AD43" s="667">
        <f t="shared" si="150"/>
        <v>47104.3</v>
      </c>
      <c r="AE43" s="667">
        <f t="shared" si="150"/>
        <v>14180.669999999998</v>
      </c>
      <c r="AF43" s="667">
        <f t="shared" si="150"/>
        <v>14375.5</v>
      </c>
      <c r="AG43" s="667">
        <f t="shared" si="150"/>
        <v>22828.639999999999</v>
      </c>
      <c r="AH43" s="667">
        <f t="shared" si="150"/>
        <v>44164.4</v>
      </c>
      <c r="AI43" s="667">
        <f t="shared" si="150"/>
        <v>16455.14</v>
      </c>
      <c r="AJ43" s="667">
        <f t="shared" si="150"/>
        <v>27661</v>
      </c>
      <c r="AK43" s="667">
        <f t="shared" si="150"/>
        <v>18370.406999999999</v>
      </c>
      <c r="AL43" s="667">
        <f t="shared" si="150"/>
        <v>17285.039999999997</v>
      </c>
      <c r="AM43" s="667">
        <f t="shared" si="150"/>
        <v>52722</v>
      </c>
      <c r="AN43" s="667">
        <f t="shared" si="150"/>
        <v>303311.09700000001</v>
      </c>
      <c r="AO43" s="667">
        <f t="shared" si="150"/>
        <v>17264.099999999999</v>
      </c>
      <c r="AP43" s="667">
        <f t="shared" si="150"/>
        <v>28867.016</v>
      </c>
      <c r="AQ43" s="24">
        <f t="shared" si="150"/>
        <v>34530.832999999999</v>
      </c>
      <c r="AR43" s="667">
        <f t="shared" si="150"/>
        <v>31661.016</v>
      </c>
      <c r="AS43" s="667">
        <f t="shared" si="150"/>
        <v>15989.199999999999</v>
      </c>
      <c r="AT43" s="667">
        <f t="shared" si="150"/>
        <v>17789.117999999999</v>
      </c>
      <c r="AU43" s="24">
        <f t="shared" si="150"/>
        <v>18655.001</v>
      </c>
      <c r="AV43" s="24">
        <f t="shared" si="150"/>
        <v>18184.798999999999</v>
      </c>
      <c r="AW43" s="24">
        <f t="shared" si="150"/>
        <v>14135.06</v>
      </c>
      <c r="AX43" s="24">
        <f t="shared" si="150"/>
        <v>26694.892</v>
      </c>
      <c r="AY43" s="24">
        <f t="shared" si="150"/>
        <v>18300.548000000003</v>
      </c>
      <c r="AZ43" s="24">
        <f t="shared" si="150"/>
        <v>57916</v>
      </c>
      <c r="BA43" s="667">
        <f t="shared" si="150"/>
        <v>299987.58299999998</v>
      </c>
      <c r="BB43" s="667">
        <f t="shared" si="150"/>
        <v>17862.136999999999</v>
      </c>
      <c r="BC43" s="667">
        <f t="shared" si="150"/>
        <v>20280.317000000003</v>
      </c>
      <c r="BD43" s="667">
        <f t="shared" si="150"/>
        <v>60456.104999999996</v>
      </c>
      <c r="BE43" s="667">
        <f t="shared" si="150"/>
        <v>18339.145</v>
      </c>
      <c r="BF43" s="667">
        <f t="shared" si="150"/>
        <v>29388</v>
      </c>
      <c r="BG43" s="667">
        <f t="shared" si="150"/>
        <v>19067</v>
      </c>
      <c r="BH43" s="667">
        <f t="shared" si="150"/>
        <v>19870</v>
      </c>
      <c r="BI43" s="667">
        <f t="shared" si="150"/>
        <v>16076</v>
      </c>
      <c r="BJ43" s="667">
        <f t="shared" si="150"/>
        <v>16546</v>
      </c>
      <c r="BK43" s="667">
        <f t="shared" si="150"/>
        <v>13505</v>
      </c>
      <c r="BL43" s="667">
        <f t="shared" si="150"/>
        <v>84876</v>
      </c>
      <c r="BM43" s="667">
        <f t="shared" si="150"/>
        <v>25805</v>
      </c>
      <c r="BN43" s="667">
        <f t="shared" si="150"/>
        <v>342070.70400000003</v>
      </c>
      <c r="BO43" s="667">
        <f t="shared" si="150"/>
        <v>28019</v>
      </c>
      <c r="BP43" s="667">
        <f t="shared" si="150"/>
        <v>8177</v>
      </c>
      <c r="BQ43" s="667">
        <f t="shared" si="150"/>
        <v>76413</v>
      </c>
      <c r="BR43" s="667">
        <f t="shared" si="150"/>
        <v>16148</v>
      </c>
      <c r="BS43" s="667">
        <f t="shared" si="150"/>
        <v>34434</v>
      </c>
      <c r="BT43" s="667">
        <f t="shared" si="150"/>
        <v>19057</v>
      </c>
      <c r="BU43" s="667">
        <f t="shared" si="150"/>
        <v>17261</v>
      </c>
      <c r="BV43" s="667">
        <f t="shared" si="150"/>
        <v>20300</v>
      </c>
      <c r="BW43" s="667">
        <f t="shared" si="150"/>
        <v>16491</v>
      </c>
      <c r="BX43" s="667">
        <f t="shared" si="150"/>
        <v>16763</v>
      </c>
      <c r="BY43" s="667">
        <f t="shared" si="150"/>
        <v>37078</v>
      </c>
      <c r="BZ43" s="667">
        <f t="shared" si="150"/>
        <v>24629</v>
      </c>
      <c r="CA43" s="667">
        <f t="shared" si="150"/>
        <v>314770</v>
      </c>
      <c r="CB43" s="667">
        <f t="shared" si="150"/>
        <v>20473</v>
      </c>
      <c r="CC43" s="667">
        <f t="shared" si="150"/>
        <v>53555</v>
      </c>
      <c r="CD43" s="667">
        <f t="shared" si="150"/>
        <v>34600</v>
      </c>
      <c r="CE43" s="667">
        <f t="shared" si="150"/>
        <v>17589</v>
      </c>
      <c r="CF43" s="667">
        <f t="shared" si="150"/>
        <v>39226</v>
      </c>
      <c r="CG43" s="667">
        <f t="shared" si="150"/>
        <v>18080</v>
      </c>
      <c r="CH43" s="667">
        <f t="shared" si="150"/>
        <v>18289</v>
      </c>
      <c r="CI43" s="667">
        <f t="shared" si="150"/>
        <v>28029</v>
      </c>
      <c r="CJ43" s="667">
        <f t="shared" si="150"/>
        <v>21291</v>
      </c>
      <c r="CK43" s="667">
        <f t="shared" si="150"/>
        <v>36974</v>
      </c>
      <c r="CL43" s="667">
        <f t="shared" si="150"/>
        <v>26267</v>
      </c>
      <c r="CM43" s="667">
        <f t="shared" si="150"/>
        <v>22724</v>
      </c>
      <c r="CN43" s="667">
        <f t="shared" ref="CN43:DJ43" si="151">+CN44+CN46+CN47</f>
        <v>337097</v>
      </c>
      <c r="CO43" s="667">
        <f t="shared" si="151"/>
        <v>15834</v>
      </c>
      <c r="CP43" s="667">
        <f t="shared" si="151"/>
        <v>17703</v>
      </c>
      <c r="CQ43" s="667">
        <f t="shared" si="151"/>
        <v>53785</v>
      </c>
      <c r="CR43" s="667">
        <f t="shared" si="151"/>
        <v>30762</v>
      </c>
      <c r="CS43" s="667">
        <f t="shared" si="151"/>
        <v>23288</v>
      </c>
      <c r="CT43" s="667">
        <f t="shared" si="151"/>
        <v>25296</v>
      </c>
      <c r="CU43" s="667">
        <f t="shared" si="151"/>
        <v>18738</v>
      </c>
      <c r="CV43" s="667">
        <f t="shared" si="151"/>
        <v>19280</v>
      </c>
      <c r="CW43" s="667">
        <f t="shared" si="151"/>
        <v>20145</v>
      </c>
      <c r="CX43" s="667">
        <f t="shared" si="151"/>
        <v>40716</v>
      </c>
      <c r="CY43" s="667">
        <f t="shared" si="151"/>
        <v>22775</v>
      </c>
      <c r="CZ43" s="667">
        <f t="shared" si="151"/>
        <v>20855</v>
      </c>
      <c r="DA43" s="667">
        <f t="shared" si="151"/>
        <v>309177</v>
      </c>
      <c r="DB43" s="667">
        <f t="shared" si="151"/>
        <v>20625</v>
      </c>
      <c r="DC43" s="667">
        <f t="shared" si="151"/>
        <v>25218</v>
      </c>
      <c r="DD43" s="667">
        <f t="shared" si="151"/>
        <v>19045</v>
      </c>
      <c r="DE43" s="667">
        <f t="shared" si="151"/>
        <v>23432</v>
      </c>
      <c r="DF43" s="667">
        <f t="shared" si="151"/>
        <v>75635</v>
      </c>
      <c r="DG43" s="667">
        <f t="shared" si="151"/>
        <v>16784</v>
      </c>
      <c r="DH43" s="667">
        <f t="shared" si="151"/>
        <v>27362</v>
      </c>
      <c r="DI43" s="667">
        <f t="shared" si="151"/>
        <v>18265</v>
      </c>
      <c r="DJ43" s="667">
        <f t="shared" si="151"/>
        <v>20232</v>
      </c>
      <c r="DK43" s="667">
        <f>+DK44+DK46+DK47</f>
        <v>20512</v>
      </c>
      <c r="DL43" s="667">
        <f t="shared" ref="DL43:DZ43" si="152">+DL44+DL46+DL47</f>
        <v>25425</v>
      </c>
      <c r="DM43" s="667">
        <f t="shared" si="152"/>
        <v>25676</v>
      </c>
      <c r="DN43" s="667">
        <f t="shared" si="152"/>
        <v>318211</v>
      </c>
      <c r="DO43" s="667">
        <f t="shared" si="152"/>
        <v>23282</v>
      </c>
      <c r="DP43" s="667">
        <f t="shared" si="152"/>
        <v>714</v>
      </c>
      <c r="DQ43" s="667">
        <f t="shared" si="152"/>
        <v>43401</v>
      </c>
      <c r="DR43" s="667">
        <f t="shared" si="152"/>
        <v>15372</v>
      </c>
      <c r="DS43" s="667">
        <f t="shared" si="152"/>
        <v>12623</v>
      </c>
      <c r="DT43" s="667">
        <f t="shared" si="152"/>
        <v>58734</v>
      </c>
      <c r="DU43" s="667">
        <f t="shared" si="152"/>
        <v>20654</v>
      </c>
      <c r="DV43" s="667">
        <f t="shared" si="152"/>
        <v>29361</v>
      </c>
      <c r="DW43" s="667">
        <f t="shared" si="152"/>
        <v>29769</v>
      </c>
      <c r="DX43" s="667">
        <f t="shared" si="152"/>
        <v>18675</v>
      </c>
      <c r="DY43" s="667">
        <f t="shared" si="152"/>
        <v>19715</v>
      </c>
      <c r="DZ43" s="667">
        <f t="shared" si="152"/>
        <v>21241</v>
      </c>
      <c r="EA43" s="687">
        <f t="shared" si="117"/>
        <v>293541</v>
      </c>
      <c r="EB43" s="667">
        <f t="shared" ref="EB43:EM43" si="153">+EB44+EB46+EB47</f>
        <v>30686</v>
      </c>
      <c r="EC43" s="667">
        <f t="shared" si="153"/>
        <v>23107</v>
      </c>
      <c r="ED43" s="667">
        <f t="shared" si="153"/>
        <v>23649</v>
      </c>
      <c r="EE43" s="667">
        <f t="shared" si="153"/>
        <v>51155</v>
      </c>
      <c r="EF43" s="667">
        <f t="shared" si="153"/>
        <v>28103</v>
      </c>
      <c r="EG43" s="667">
        <f t="shared" si="153"/>
        <v>30250</v>
      </c>
      <c r="EH43" s="667">
        <f t="shared" si="153"/>
        <v>24169</v>
      </c>
      <c r="EI43" s="667">
        <f t="shared" si="153"/>
        <v>28401</v>
      </c>
      <c r="EJ43" s="667">
        <f t="shared" si="153"/>
        <v>40178</v>
      </c>
      <c r="EK43" s="667">
        <f t="shared" si="153"/>
        <v>27826</v>
      </c>
      <c r="EL43" s="667">
        <f t="shared" si="153"/>
        <v>29712</v>
      </c>
      <c r="EM43" s="667">
        <f t="shared" si="153"/>
        <v>32181</v>
      </c>
      <c r="EN43" s="667">
        <f t="shared" si="119"/>
        <v>369417</v>
      </c>
      <c r="EO43" s="667">
        <f t="shared" ref="EO43:EZ43" si="154">+EO44+EO46+EO47</f>
        <v>31167</v>
      </c>
      <c r="EP43" s="667">
        <f t="shared" si="154"/>
        <v>36918</v>
      </c>
      <c r="EQ43" s="667">
        <f t="shared" si="154"/>
        <v>33024</v>
      </c>
      <c r="ER43" s="667">
        <f t="shared" si="154"/>
        <v>29601</v>
      </c>
      <c r="ES43" s="667">
        <f t="shared" si="154"/>
        <v>62721</v>
      </c>
      <c r="ET43" s="667">
        <f t="shared" si="154"/>
        <v>50153</v>
      </c>
      <c r="EU43" s="667">
        <f t="shared" si="154"/>
        <v>29633</v>
      </c>
      <c r="EV43" s="667">
        <f t="shared" si="154"/>
        <v>31582</v>
      </c>
      <c r="EW43" s="667">
        <f t="shared" si="154"/>
        <v>35890</v>
      </c>
      <c r="EX43" s="667">
        <f t="shared" si="154"/>
        <v>34140</v>
      </c>
      <c r="EY43" s="665">
        <f t="shared" si="154"/>
        <v>28167</v>
      </c>
      <c r="EZ43" s="665">
        <f t="shared" si="154"/>
        <v>30303</v>
      </c>
      <c r="FA43" s="667">
        <f t="shared" si="121"/>
        <v>433299</v>
      </c>
      <c r="FB43" s="667">
        <f t="shared" ref="FB43:FM43" si="155">+FB44+FB46+FB47</f>
        <v>28997</v>
      </c>
      <c r="FC43" s="667">
        <f t="shared" si="155"/>
        <v>32235</v>
      </c>
      <c r="FD43" s="667">
        <f t="shared" si="155"/>
        <v>29900</v>
      </c>
      <c r="FE43" s="667">
        <f t="shared" si="155"/>
        <v>50902</v>
      </c>
      <c r="FF43" s="667">
        <f t="shared" si="155"/>
        <v>51516</v>
      </c>
      <c r="FG43" s="667">
        <f t="shared" si="155"/>
        <v>29652</v>
      </c>
      <c r="FH43" s="667">
        <f t="shared" si="155"/>
        <v>26320</v>
      </c>
      <c r="FI43" s="667">
        <f t="shared" si="155"/>
        <v>34019</v>
      </c>
      <c r="FJ43" s="667">
        <f t="shared" si="155"/>
        <v>28127</v>
      </c>
      <c r="FK43" s="667">
        <f t="shared" si="155"/>
        <v>26990</v>
      </c>
      <c r="FL43" s="667">
        <f t="shared" si="155"/>
        <v>30773</v>
      </c>
      <c r="FM43" s="667">
        <f t="shared" si="155"/>
        <v>33406</v>
      </c>
      <c r="FN43" s="667">
        <f t="shared" si="123"/>
        <v>402837</v>
      </c>
      <c r="FO43" s="667">
        <f t="shared" ref="FO43:FZ43" si="156">+FO44+FO46+FO47</f>
        <v>30896</v>
      </c>
      <c r="FP43" s="667">
        <f t="shared" si="156"/>
        <v>35053</v>
      </c>
      <c r="FQ43" s="667">
        <f t="shared" si="156"/>
        <v>24666</v>
      </c>
      <c r="FR43" s="667">
        <f t="shared" si="156"/>
        <v>30168</v>
      </c>
      <c r="FS43" s="667">
        <f t="shared" si="156"/>
        <v>45830</v>
      </c>
      <c r="FT43" s="667">
        <f t="shared" si="156"/>
        <v>36497</v>
      </c>
      <c r="FU43" s="667">
        <f t="shared" si="156"/>
        <v>32308</v>
      </c>
      <c r="FV43" s="667">
        <f t="shared" si="156"/>
        <v>28928</v>
      </c>
      <c r="FW43" s="667">
        <f t="shared" si="156"/>
        <v>32993</v>
      </c>
      <c r="FX43" s="667">
        <f t="shared" si="156"/>
        <v>33184</v>
      </c>
      <c r="FY43" s="667">
        <f t="shared" si="156"/>
        <v>31492</v>
      </c>
      <c r="FZ43" s="667">
        <f t="shared" si="156"/>
        <v>44125</v>
      </c>
      <c r="GA43" s="667">
        <f t="shared" si="125"/>
        <v>406140</v>
      </c>
      <c r="GB43" s="667">
        <v>33838</v>
      </c>
      <c r="GC43" s="667">
        <v>39811</v>
      </c>
      <c r="GD43" s="665">
        <v>34260</v>
      </c>
      <c r="GE43" s="667">
        <v>30872</v>
      </c>
      <c r="GF43" s="667">
        <v>56760</v>
      </c>
      <c r="GG43" s="667">
        <v>40431</v>
      </c>
      <c r="GH43" s="667">
        <v>37525</v>
      </c>
      <c r="GI43" s="667">
        <v>30359</v>
      </c>
      <c r="GJ43" s="667">
        <v>30808</v>
      </c>
      <c r="GK43" s="667">
        <v>30373</v>
      </c>
      <c r="GL43" s="667">
        <v>29816</v>
      </c>
      <c r="GM43" s="667">
        <v>24338</v>
      </c>
      <c r="GN43" s="667">
        <f t="shared" si="127"/>
        <v>419191</v>
      </c>
      <c r="GO43">
        <v>24338</v>
      </c>
      <c r="GP43">
        <v>24338</v>
      </c>
      <c r="GQ43">
        <v>24338</v>
      </c>
      <c r="GR43">
        <v>24338</v>
      </c>
      <c r="GS43">
        <f t="shared" ref="GS43" si="157">+GS44+GS46+GS47</f>
        <v>59279</v>
      </c>
      <c r="GT43">
        <f t="shared" ref="GT43:GV43" si="158">+GT44+GT46+GT47</f>
        <v>31105</v>
      </c>
      <c r="GU43">
        <f t="shared" si="158"/>
        <v>31190</v>
      </c>
      <c r="GV43">
        <f t="shared" si="158"/>
        <v>30011</v>
      </c>
      <c r="HA43">
        <f t="shared" si="130"/>
        <v>248937</v>
      </c>
      <c r="HC43" s="721">
        <f t="shared" si="113"/>
        <v>-1.14628281563951</v>
      </c>
      <c r="HD43" s="721">
        <f t="shared" si="140"/>
        <v>-18.074021905112946</v>
      </c>
      <c r="HE43" s="682">
        <f t="shared" si="131"/>
        <v>303856</v>
      </c>
      <c r="HF43" s="682">
        <f t="shared" si="141"/>
        <v>248937</v>
      </c>
    </row>
    <row r="44" spans="1:214" ht="13.9" customHeight="1" x14ac:dyDescent="0.2">
      <c r="A44" s="666" t="s">
        <v>466</v>
      </c>
      <c r="B44" s="667"/>
      <c r="C44" s="667"/>
      <c r="D44" s="667"/>
      <c r="E44" s="667"/>
      <c r="F44" s="667"/>
      <c r="G44" s="667"/>
      <c r="H44" s="667"/>
      <c r="I44" s="667"/>
      <c r="J44" s="667"/>
      <c r="K44" s="667"/>
      <c r="L44" s="667"/>
      <c r="M44" s="667"/>
      <c r="N44" s="667"/>
      <c r="O44" s="667"/>
      <c r="P44" s="667"/>
      <c r="Q44" s="667"/>
      <c r="R44" s="667"/>
      <c r="S44" s="667"/>
      <c r="T44" s="667"/>
      <c r="U44" s="667"/>
      <c r="V44" s="667"/>
      <c r="W44" s="667"/>
      <c r="X44" s="667"/>
      <c r="Y44" s="667"/>
      <c r="Z44" s="667"/>
      <c r="AA44" s="667"/>
      <c r="AB44" s="667">
        <f t="shared" ref="AB44:DR44" si="159">+AB45</f>
        <v>5</v>
      </c>
      <c r="AC44" s="667">
        <f t="shared" si="159"/>
        <v>0</v>
      </c>
      <c r="AD44" s="667">
        <f t="shared" si="159"/>
        <v>4</v>
      </c>
      <c r="AE44" s="667">
        <f t="shared" si="159"/>
        <v>0.3</v>
      </c>
      <c r="AF44" s="667">
        <f t="shared" si="159"/>
        <v>0</v>
      </c>
      <c r="AG44" s="667">
        <f t="shared" si="159"/>
        <v>0.2</v>
      </c>
      <c r="AH44" s="667">
        <f t="shared" si="159"/>
        <v>336</v>
      </c>
      <c r="AI44" s="667">
        <f t="shared" si="159"/>
        <v>3</v>
      </c>
      <c r="AJ44" s="667">
        <f t="shared" si="159"/>
        <v>48</v>
      </c>
      <c r="AK44" s="667">
        <f t="shared" si="159"/>
        <v>0.1</v>
      </c>
      <c r="AL44" s="667">
        <f t="shared" si="159"/>
        <v>0.1</v>
      </c>
      <c r="AM44" s="667">
        <f t="shared" si="159"/>
        <v>2052</v>
      </c>
      <c r="AN44" s="667">
        <f t="shared" si="159"/>
        <v>2448.6999999999998</v>
      </c>
      <c r="AO44" s="667">
        <f t="shared" si="159"/>
        <v>2</v>
      </c>
      <c r="AP44" s="667">
        <f t="shared" si="159"/>
        <v>0</v>
      </c>
      <c r="AQ44" s="667">
        <f t="shared" si="159"/>
        <v>0.38400000000000001</v>
      </c>
      <c r="AR44" s="667">
        <f t="shared" si="159"/>
        <v>3</v>
      </c>
      <c r="AS44" s="667">
        <f t="shared" si="159"/>
        <v>0.114</v>
      </c>
      <c r="AT44" s="667">
        <f t="shared" si="159"/>
        <v>588</v>
      </c>
      <c r="AU44" s="667">
        <f t="shared" si="159"/>
        <v>0.19900000000000001</v>
      </c>
      <c r="AV44" s="667">
        <f t="shared" si="159"/>
        <v>0.374</v>
      </c>
      <c r="AW44" s="667">
        <f t="shared" si="159"/>
        <v>1</v>
      </c>
      <c r="AX44" s="667">
        <f t="shared" si="159"/>
        <v>19</v>
      </c>
      <c r="AY44" s="667">
        <f t="shared" si="159"/>
        <v>2.4E-2</v>
      </c>
      <c r="AZ44" s="667">
        <f t="shared" si="159"/>
        <v>32</v>
      </c>
      <c r="BA44" s="667">
        <f t="shared" si="159"/>
        <v>646.09500000000003</v>
      </c>
      <c r="BB44" s="667">
        <f t="shared" si="159"/>
        <v>0</v>
      </c>
      <c r="BC44" s="667">
        <f t="shared" si="159"/>
        <v>0.45200000000000001</v>
      </c>
      <c r="BD44" s="667">
        <f t="shared" si="159"/>
        <v>8.5999999999999993E-2</v>
      </c>
      <c r="BE44" s="667">
        <f t="shared" si="159"/>
        <v>1</v>
      </c>
      <c r="BF44" s="667">
        <f t="shared" si="159"/>
        <v>11</v>
      </c>
      <c r="BG44" s="667">
        <f t="shared" si="159"/>
        <v>0</v>
      </c>
      <c r="BH44" s="667">
        <f t="shared" si="159"/>
        <v>586</v>
      </c>
      <c r="BI44" s="667">
        <f t="shared" si="159"/>
        <v>0</v>
      </c>
      <c r="BJ44" s="667">
        <f t="shared" si="159"/>
        <v>9</v>
      </c>
      <c r="BK44" s="667">
        <f t="shared" si="159"/>
        <v>1</v>
      </c>
      <c r="BL44" s="667">
        <f t="shared" si="159"/>
        <v>0</v>
      </c>
      <c r="BM44" s="667">
        <f t="shared" si="159"/>
        <v>-1</v>
      </c>
      <c r="BN44" s="667">
        <f t="shared" si="159"/>
        <v>607.53800000000001</v>
      </c>
      <c r="BO44" s="667">
        <f t="shared" si="159"/>
        <v>0</v>
      </c>
      <c r="BP44" s="667">
        <f t="shared" si="159"/>
        <v>1</v>
      </c>
      <c r="BQ44" s="667">
        <f t="shared" si="159"/>
        <v>0</v>
      </c>
      <c r="BR44" s="667">
        <f t="shared" si="159"/>
        <v>1</v>
      </c>
      <c r="BS44" s="667">
        <f t="shared" si="159"/>
        <v>0</v>
      </c>
      <c r="BT44" s="667">
        <f t="shared" si="159"/>
        <v>1</v>
      </c>
      <c r="BU44" s="667">
        <f t="shared" si="159"/>
        <v>657</v>
      </c>
      <c r="BV44" s="667">
        <f t="shared" si="159"/>
        <v>32</v>
      </c>
      <c r="BW44" s="667">
        <f t="shared" si="159"/>
        <v>6</v>
      </c>
      <c r="BX44" s="667">
        <f t="shared" si="159"/>
        <v>15</v>
      </c>
      <c r="BY44" s="667">
        <f t="shared" si="159"/>
        <v>0</v>
      </c>
      <c r="BZ44" s="667">
        <f t="shared" si="159"/>
        <v>0</v>
      </c>
      <c r="CA44" s="667">
        <f t="shared" si="159"/>
        <v>713</v>
      </c>
      <c r="CB44" s="667">
        <f t="shared" si="159"/>
        <v>0</v>
      </c>
      <c r="CC44" s="667">
        <f t="shared" si="159"/>
        <v>0</v>
      </c>
      <c r="CD44" s="667">
        <f t="shared" si="159"/>
        <v>0</v>
      </c>
      <c r="CE44" s="667">
        <f t="shared" si="159"/>
        <v>0</v>
      </c>
      <c r="CF44" s="667">
        <f t="shared" si="159"/>
        <v>0</v>
      </c>
      <c r="CG44" s="667">
        <f t="shared" si="159"/>
        <v>0</v>
      </c>
      <c r="CH44" s="667">
        <f t="shared" si="159"/>
        <v>789</v>
      </c>
      <c r="CI44" s="667">
        <f t="shared" si="159"/>
        <v>10</v>
      </c>
      <c r="CJ44" s="667">
        <f t="shared" si="159"/>
        <v>0</v>
      </c>
      <c r="CK44" s="667">
        <f t="shared" si="159"/>
        <v>0</v>
      </c>
      <c r="CL44" s="667">
        <f t="shared" si="159"/>
        <v>0</v>
      </c>
      <c r="CM44" s="667">
        <f t="shared" si="159"/>
        <v>0</v>
      </c>
      <c r="CN44" s="667">
        <f t="shared" si="159"/>
        <v>799</v>
      </c>
      <c r="CO44" s="667">
        <f t="shared" si="159"/>
        <v>0</v>
      </c>
      <c r="CP44" s="667">
        <f t="shared" si="159"/>
        <v>0</v>
      </c>
      <c r="CQ44" s="667">
        <f t="shared" si="159"/>
        <v>1</v>
      </c>
      <c r="CR44" s="667">
        <f t="shared" si="159"/>
        <v>0</v>
      </c>
      <c r="CS44" s="667">
        <f t="shared" si="159"/>
        <v>0</v>
      </c>
      <c r="CT44" s="667">
        <f t="shared" si="159"/>
        <v>0</v>
      </c>
      <c r="CU44" s="667">
        <f t="shared" si="159"/>
        <v>712</v>
      </c>
      <c r="CV44" s="667">
        <f t="shared" si="159"/>
        <v>0</v>
      </c>
      <c r="CW44" s="667">
        <f t="shared" si="159"/>
        <v>0</v>
      </c>
      <c r="CX44" s="667">
        <f t="shared" si="159"/>
        <v>0</v>
      </c>
      <c r="CY44" s="667">
        <f t="shared" si="159"/>
        <v>1</v>
      </c>
      <c r="CZ44" s="667">
        <f t="shared" si="159"/>
        <v>0</v>
      </c>
      <c r="DA44" s="667">
        <f t="shared" si="159"/>
        <v>714</v>
      </c>
      <c r="DB44" s="667">
        <f t="shared" si="159"/>
        <v>3</v>
      </c>
      <c r="DC44" s="667">
        <f t="shared" si="159"/>
        <v>361</v>
      </c>
      <c r="DD44" s="667">
        <f t="shared" si="159"/>
        <v>0</v>
      </c>
      <c r="DE44" s="667">
        <f t="shared" si="159"/>
        <v>3</v>
      </c>
      <c r="DF44" s="667">
        <f t="shared" si="159"/>
        <v>-9</v>
      </c>
      <c r="DG44" s="667">
        <f t="shared" si="159"/>
        <v>7</v>
      </c>
      <c r="DH44" s="667">
        <f t="shared" si="159"/>
        <v>285</v>
      </c>
      <c r="DI44" s="667">
        <f t="shared" si="159"/>
        <v>11</v>
      </c>
      <c r="DJ44" s="667">
        <f t="shared" si="159"/>
        <v>24</v>
      </c>
      <c r="DK44" s="667">
        <f>+DK45</f>
        <v>1</v>
      </c>
      <c r="DL44" s="667">
        <f t="shared" si="159"/>
        <v>0</v>
      </c>
      <c r="DM44" s="667">
        <f t="shared" si="159"/>
        <v>18</v>
      </c>
      <c r="DN44" s="667">
        <f t="shared" si="159"/>
        <v>704</v>
      </c>
      <c r="DO44" s="667">
        <f t="shared" si="159"/>
        <v>274</v>
      </c>
      <c r="DP44" s="667">
        <f t="shared" si="159"/>
        <v>5</v>
      </c>
      <c r="DQ44" s="667">
        <f t="shared" si="159"/>
        <v>2</v>
      </c>
      <c r="DR44" s="667">
        <f t="shared" si="159"/>
        <v>27</v>
      </c>
      <c r="DS44" s="667">
        <f t="shared" ref="DS44:DZ44" si="160">+DS45</f>
        <v>0</v>
      </c>
      <c r="DT44" s="667">
        <f t="shared" si="160"/>
        <v>0</v>
      </c>
      <c r="DU44" s="667">
        <f t="shared" si="160"/>
        <v>49</v>
      </c>
      <c r="DV44" s="667">
        <f t="shared" si="160"/>
        <v>0</v>
      </c>
      <c r="DW44" s="667">
        <f t="shared" si="160"/>
        <v>379</v>
      </c>
      <c r="DX44" s="667">
        <f t="shared" si="160"/>
        <v>7</v>
      </c>
      <c r="DY44" s="667">
        <f t="shared" si="160"/>
        <v>0</v>
      </c>
      <c r="DZ44" s="667">
        <f t="shared" si="160"/>
        <v>0</v>
      </c>
      <c r="EA44" s="687">
        <f t="shared" si="117"/>
        <v>743</v>
      </c>
      <c r="EB44" s="667">
        <f t="shared" ref="EB44:EM44" si="161">+EB45</f>
        <v>334</v>
      </c>
      <c r="EC44" s="667">
        <f t="shared" si="161"/>
        <v>0</v>
      </c>
      <c r="ED44" s="667">
        <f t="shared" si="161"/>
        <v>0</v>
      </c>
      <c r="EE44" s="667">
        <f t="shared" si="161"/>
        <v>8</v>
      </c>
      <c r="EF44" s="667">
        <f t="shared" si="161"/>
        <v>0</v>
      </c>
      <c r="EG44" s="667">
        <f t="shared" si="161"/>
        <v>4</v>
      </c>
      <c r="EH44" s="667">
        <f t="shared" si="161"/>
        <v>147</v>
      </c>
      <c r="EI44" s="667">
        <f t="shared" si="161"/>
        <v>13</v>
      </c>
      <c r="EJ44" s="667">
        <f t="shared" si="161"/>
        <v>13</v>
      </c>
      <c r="EK44" s="667">
        <f t="shared" si="161"/>
        <v>5</v>
      </c>
      <c r="EL44" s="667">
        <f t="shared" si="161"/>
        <v>11</v>
      </c>
      <c r="EM44" s="667">
        <f t="shared" si="161"/>
        <v>15</v>
      </c>
      <c r="EN44" s="667">
        <f t="shared" si="119"/>
        <v>550</v>
      </c>
      <c r="EO44" s="667">
        <f t="shared" ref="EO44:FZ44" si="162">+EO45</f>
        <v>406</v>
      </c>
      <c r="EP44" s="667">
        <f t="shared" si="162"/>
        <v>0</v>
      </c>
      <c r="EQ44" s="667">
        <f t="shared" si="162"/>
        <v>7</v>
      </c>
      <c r="ER44" s="667">
        <f t="shared" si="162"/>
        <v>0</v>
      </c>
      <c r="ES44" s="667">
        <f t="shared" si="162"/>
        <v>0</v>
      </c>
      <c r="ET44" s="667">
        <f t="shared" si="162"/>
        <v>0</v>
      </c>
      <c r="EU44" s="667">
        <f t="shared" si="162"/>
        <v>0</v>
      </c>
      <c r="EV44" s="667">
        <f t="shared" si="162"/>
        <v>0</v>
      </c>
      <c r="EW44" s="667">
        <f t="shared" si="162"/>
        <v>1</v>
      </c>
      <c r="EX44" s="667">
        <f t="shared" si="162"/>
        <v>0</v>
      </c>
      <c r="EY44" s="665">
        <f t="shared" si="162"/>
        <v>0</v>
      </c>
      <c r="EZ44" s="665">
        <f t="shared" si="162"/>
        <v>0</v>
      </c>
      <c r="FA44" s="667">
        <f t="shared" si="121"/>
        <v>414</v>
      </c>
      <c r="FB44" s="667">
        <f t="shared" si="162"/>
        <v>527</v>
      </c>
      <c r="FC44" s="667">
        <f t="shared" si="162"/>
        <v>0</v>
      </c>
      <c r="FD44" s="667">
        <f t="shared" si="162"/>
        <v>0</v>
      </c>
      <c r="FE44" s="667">
        <f t="shared" si="162"/>
        <v>2</v>
      </c>
      <c r="FF44" s="667">
        <f t="shared" si="162"/>
        <v>4</v>
      </c>
      <c r="FG44" s="667">
        <f t="shared" si="162"/>
        <v>0</v>
      </c>
      <c r="FH44" s="667">
        <f t="shared" si="162"/>
        <v>560</v>
      </c>
      <c r="FI44" s="667">
        <f t="shared" si="162"/>
        <v>0</v>
      </c>
      <c r="FJ44" s="667">
        <f t="shared" si="162"/>
        <v>0</v>
      </c>
      <c r="FK44" s="667">
        <f t="shared" si="162"/>
        <v>4</v>
      </c>
      <c r="FL44" s="667">
        <f t="shared" si="162"/>
        <v>0</v>
      </c>
      <c r="FM44" s="667">
        <f t="shared" si="162"/>
        <v>0</v>
      </c>
      <c r="FN44" s="667">
        <f t="shared" si="123"/>
        <v>1097</v>
      </c>
      <c r="FO44" s="667">
        <f t="shared" si="162"/>
        <v>543</v>
      </c>
      <c r="FP44" s="667">
        <f t="shared" si="162"/>
        <v>0</v>
      </c>
      <c r="FQ44" s="667">
        <f t="shared" si="162"/>
        <v>2</v>
      </c>
      <c r="FR44" s="667">
        <f t="shared" si="162"/>
        <v>-12</v>
      </c>
      <c r="FS44" s="667">
        <f t="shared" si="162"/>
        <v>0</v>
      </c>
      <c r="FT44" s="667">
        <f t="shared" si="162"/>
        <v>0</v>
      </c>
      <c r="FU44" s="667">
        <f t="shared" si="162"/>
        <v>514</v>
      </c>
      <c r="FV44" s="667">
        <f t="shared" si="162"/>
        <v>10</v>
      </c>
      <c r="FW44" s="667">
        <f t="shared" si="162"/>
        <v>6</v>
      </c>
      <c r="FX44" s="667">
        <f t="shared" si="162"/>
        <v>13</v>
      </c>
      <c r="FY44" s="667">
        <f t="shared" si="162"/>
        <v>5</v>
      </c>
      <c r="FZ44" s="667">
        <f t="shared" si="162"/>
        <v>5</v>
      </c>
      <c r="GA44" s="667">
        <f t="shared" si="125"/>
        <v>1086</v>
      </c>
      <c r="GB44" s="667">
        <v>116</v>
      </c>
      <c r="GC44" s="667">
        <v>1</v>
      </c>
      <c r="GD44" s="665">
        <v>1</v>
      </c>
      <c r="GE44" s="667">
        <v>0</v>
      </c>
      <c r="GF44" s="667">
        <v>0</v>
      </c>
      <c r="GG44" s="667">
        <v>1229</v>
      </c>
      <c r="GH44" s="667">
        <v>12</v>
      </c>
      <c r="GI44" s="667">
        <v>0</v>
      </c>
      <c r="GJ44" s="667">
        <v>9</v>
      </c>
      <c r="GK44" s="667">
        <v>0</v>
      </c>
      <c r="GL44" s="667">
        <v>0</v>
      </c>
      <c r="GM44" s="667">
        <v>0</v>
      </c>
      <c r="GN44" s="667">
        <f t="shared" si="127"/>
        <v>1368</v>
      </c>
      <c r="GO44">
        <v>0</v>
      </c>
      <c r="GP44">
        <v>0</v>
      </c>
      <c r="GQ44">
        <v>0</v>
      </c>
      <c r="GR44">
        <v>0</v>
      </c>
      <c r="GS44">
        <f t="shared" ref="GS44:GU44" si="163">+GS45</f>
        <v>0</v>
      </c>
      <c r="GT44">
        <f t="shared" si="163"/>
        <v>28</v>
      </c>
      <c r="GU44">
        <f t="shared" si="163"/>
        <v>1024</v>
      </c>
      <c r="GV44">
        <f>+GV45</f>
        <v>25</v>
      </c>
      <c r="HA44">
        <f t="shared" si="130"/>
        <v>1077</v>
      </c>
      <c r="HC44" s="721" t="str">
        <f t="shared" si="113"/>
        <v>-</v>
      </c>
      <c r="HD44" s="721">
        <f t="shared" si="140"/>
        <v>-20.750551876379685</v>
      </c>
      <c r="HE44" s="682">
        <f t="shared" si="131"/>
        <v>1359</v>
      </c>
      <c r="HF44" s="682">
        <f t="shared" si="141"/>
        <v>1077</v>
      </c>
    </row>
    <row r="45" spans="1:214" ht="13.9" customHeight="1" x14ac:dyDescent="0.2">
      <c r="A45" s="666" t="s">
        <v>467</v>
      </c>
      <c r="B45" s="667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  <c r="AA45" s="667"/>
      <c r="AB45" s="667">
        <f t="shared" ref="AB45:CM45" si="164">+AB66</f>
        <v>5</v>
      </c>
      <c r="AC45" s="667">
        <f t="shared" si="164"/>
        <v>0</v>
      </c>
      <c r="AD45" s="667">
        <f t="shared" si="164"/>
        <v>4</v>
      </c>
      <c r="AE45" s="667">
        <f t="shared" si="164"/>
        <v>0.3</v>
      </c>
      <c r="AF45" s="667">
        <f t="shared" si="164"/>
        <v>0</v>
      </c>
      <c r="AG45" s="667">
        <f t="shared" si="164"/>
        <v>0.2</v>
      </c>
      <c r="AH45" s="667">
        <f t="shared" si="164"/>
        <v>336</v>
      </c>
      <c r="AI45" s="667">
        <f t="shared" si="164"/>
        <v>3</v>
      </c>
      <c r="AJ45" s="667">
        <f t="shared" si="164"/>
        <v>48</v>
      </c>
      <c r="AK45" s="667">
        <f t="shared" si="164"/>
        <v>0.1</v>
      </c>
      <c r="AL45" s="667">
        <f t="shared" si="164"/>
        <v>0.1</v>
      </c>
      <c r="AM45" s="667">
        <f t="shared" si="164"/>
        <v>2052</v>
      </c>
      <c r="AN45" s="667">
        <f t="shared" si="164"/>
        <v>2448.6999999999998</v>
      </c>
      <c r="AO45" s="667">
        <f t="shared" si="164"/>
        <v>2</v>
      </c>
      <c r="AP45" s="667">
        <f t="shared" si="164"/>
        <v>0</v>
      </c>
      <c r="AQ45" s="667">
        <f t="shared" si="164"/>
        <v>0.38400000000000001</v>
      </c>
      <c r="AR45" s="667">
        <f t="shared" si="164"/>
        <v>3</v>
      </c>
      <c r="AS45" s="667">
        <f t="shared" si="164"/>
        <v>0.114</v>
      </c>
      <c r="AT45" s="667">
        <f t="shared" si="164"/>
        <v>588</v>
      </c>
      <c r="AU45" s="667">
        <f t="shared" si="164"/>
        <v>0.19900000000000001</v>
      </c>
      <c r="AV45" s="667">
        <f t="shared" si="164"/>
        <v>0.374</v>
      </c>
      <c r="AW45" s="667">
        <f t="shared" si="164"/>
        <v>1</v>
      </c>
      <c r="AX45" s="667">
        <f t="shared" si="164"/>
        <v>19</v>
      </c>
      <c r="AY45" s="667">
        <f t="shared" si="164"/>
        <v>2.4E-2</v>
      </c>
      <c r="AZ45" s="667">
        <f t="shared" si="164"/>
        <v>32</v>
      </c>
      <c r="BA45" s="667">
        <f t="shared" si="164"/>
        <v>646.09500000000003</v>
      </c>
      <c r="BB45" s="667">
        <f t="shared" si="164"/>
        <v>0</v>
      </c>
      <c r="BC45" s="667">
        <f t="shared" si="164"/>
        <v>0.45200000000000001</v>
      </c>
      <c r="BD45" s="667">
        <f t="shared" si="164"/>
        <v>8.5999999999999993E-2</v>
      </c>
      <c r="BE45" s="667">
        <f t="shared" si="164"/>
        <v>1</v>
      </c>
      <c r="BF45" s="667">
        <f t="shared" si="164"/>
        <v>11</v>
      </c>
      <c r="BG45" s="667">
        <f t="shared" si="164"/>
        <v>0</v>
      </c>
      <c r="BH45" s="667">
        <f t="shared" si="164"/>
        <v>586</v>
      </c>
      <c r="BI45" s="667">
        <f t="shared" si="164"/>
        <v>0</v>
      </c>
      <c r="BJ45" s="667">
        <f t="shared" si="164"/>
        <v>9</v>
      </c>
      <c r="BK45" s="667">
        <f t="shared" si="164"/>
        <v>1</v>
      </c>
      <c r="BL45" s="667">
        <f t="shared" si="164"/>
        <v>0</v>
      </c>
      <c r="BM45" s="667">
        <f t="shared" si="164"/>
        <v>-1</v>
      </c>
      <c r="BN45" s="667">
        <f t="shared" si="164"/>
        <v>607.53800000000001</v>
      </c>
      <c r="BO45" s="667">
        <f t="shared" si="164"/>
        <v>0</v>
      </c>
      <c r="BP45" s="667">
        <f t="shared" si="164"/>
        <v>1</v>
      </c>
      <c r="BQ45" s="667">
        <f t="shared" si="164"/>
        <v>0</v>
      </c>
      <c r="BR45" s="667">
        <f t="shared" si="164"/>
        <v>1</v>
      </c>
      <c r="BS45" s="667">
        <f t="shared" si="164"/>
        <v>0</v>
      </c>
      <c r="BT45" s="667">
        <f t="shared" si="164"/>
        <v>1</v>
      </c>
      <c r="BU45" s="667">
        <f t="shared" si="164"/>
        <v>657</v>
      </c>
      <c r="BV45" s="667">
        <f t="shared" si="164"/>
        <v>32</v>
      </c>
      <c r="BW45" s="667">
        <f t="shared" si="164"/>
        <v>6</v>
      </c>
      <c r="BX45" s="667">
        <f t="shared" si="164"/>
        <v>15</v>
      </c>
      <c r="BY45" s="667">
        <f t="shared" si="164"/>
        <v>0</v>
      </c>
      <c r="BZ45" s="667">
        <f t="shared" si="164"/>
        <v>0</v>
      </c>
      <c r="CA45" s="667">
        <f t="shared" si="164"/>
        <v>713</v>
      </c>
      <c r="CB45" s="667">
        <f t="shared" si="164"/>
        <v>0</v>
      </c>
      <c r="CC45" s="667">
        <f t="shared" si="164"/>
        <v>0</v>
      </c>
      <c r="CD45" s="667">
        <f t="shared" si="164"/>
        <v>0</v>
      </c>
      <c r="CE45" s="667">
        <f t="shared" si="164"/>
        <v>0</v>
      </c>
      <c r="CF45" s="667">
        <f t="shared" si="164"/>
        <v>0</v>
      </c>
      <c r="CG45" s="667">
        <f t="shared" si="164"/>
        <v>0</v>
      </c>
      <c r="CH45" s="667">
        <f t="shared" si="164"/>
        <v>789</v>
      </c>
      <c r="CI45" s="667">
        <f t="shared" si="164"/>
        <v>10</v>
      </c>
      <c r="CJ45" s="667">
        <f t="shared" si="164"/>
        <v>0</v>
      </c>
      <c r="CK45" s="667">
        <f t="shared" si="164"/>
        <v>0</v>
      </c>
      <c r="CL45" s="667">
        <f t="shared" si="164"/>
        <v>0</v>
      </c>
      <c r="CM45" s="667">
        <f t="shared" si="164"/>
        <v>0</v>
      </c>
      <c r="CN45" s="667">
        <f t="shared" ref="CN45:DJ45" si="165">+CN66</f>
        <v>799</v>
      </c>
      <c r="CO45" s="667">
        <f t="shared" si="165"/>
        <v>0</v>
      </c>
      <c r="CP45" s="667">
        <f t="shared" si="165"/>
        <v>0</v>
      </c>
      <c r="CQ45" s="667">
        <f t="shared" si="165"/>
        <v>1</v>
      </c>
      <c r="CR45" s="667">
        <f t="shared" si="165"/>
        <v>0</v>
      </c>
      <c r="CS45" s="667">
        <f t="shared" si="165"/>
        <v>0</v>
      </c>
      <c r="CT45" s="667">
        <f t="shared" si="165"/>
        <v>0</v>
      </c>
      <c r="CU45" s="667">
        <f t="shared" si="165"/>
        <v>712</v>
      </c>
      <c r="CV45" s="667">
        <f t="shared" si="165"/>
        <v>0</v>
      </c>
      <c r="CW45" s="667">
        <f t="shared" si="165"/>
        <v>0</v>
      </c>
      <c r="CX45" s="667">
        <f t="shared" si="165"/>
        <v>0</v>
      </c>
      <c r="CY45" s="667">
        <f t="shared" si="165"/>
        <v>1</v>
      </c>
      <c r="CZ45" s="667">
        <f t="shared" si="165"/>
        <v>0</v>
      </c>
      <c r="DA45" s="667">
        <f t="shared" si="165"/>
        <v>714</v>
      </c>
      <c r="DB45" s="667">
        <f t="shared" si="165"/>
        <v>3</v>
      </c>
      <c r="DC45" s="667">
        <f t="shared" si="165"/>
        <v>361</v>
      </c>
      <c r="DD45" s="667">
        <f t="shared" si="165"/>
        <v>0</v>
      </c>
      <c r="DE45" s="667">
        <f t="shared" si="165"/>
        <v>3</v>
      </c>
      <c r="DF45" s="667">
        <f t="shared" si="165"/>
        <v>-9</v>
      </c>
      <c r="DG45" s="667">
        <f t="shared" si="165"/>
        <v>7</v>
      </c>
      <c r="DH45" s="667">
        <f t="shared" si="165"/>
        <v>285</v>
      </c>
      <c r="DI45" s="667">
        <f t="shared" si="165"/>
        <v>11</v>
      </c>
      <c r="DJ45" s="667">
        <f t="shared" si="165"/>
        <v>24</v>
      </c>
      <c r="DK45" s="667">
        <f>+DK66</f>
        <v>1</v>
      </c>
      <c r="DL45" s="667">
        <f>+DL66</f>
        <v>0</v>
      </c>
      <c r="DM45" s="667">
        <f t="shared" ref="DM45:DZ45" si="166">+DM66</f>
        <v>18</v>
      </c>
      <c r="DN45" s="667">
        <f t="shared" si="166"/>
        <v>704</v>
      </c>
      <c r="DO45" s="667">
        <f t="shared" si="166"/>
        <v>274</v>
      </c>
      <c r="DP45" s="667">
        <f t="shared" si="166"/>
        <v>5</v>
      </c>
      <c r="DQ45" s="667">
        <f t="shared" si="166"/>
        <v>2</v>
      </c>
      <c r="DR45" s="667">
        <f t="shared" si="166"/>
        <v>27</v>
      </c>
      <c r="DS45" s="667">
        <f t="shared" si="166"/>
        <v>0</v>
      </c>
      <c r="DT45" s="667">
        <f t="shared" si="166"/>
        <v>0</v>
      </c>
      <c r="DU45" s="667">
        <f t="shared" si="166"/>
        <v>49</v>
      </c>
      <c r="DV45" s="667">
        <f t="shared" si="166"/>
        <v>0</v>
      </c>
      <c r="DW45" s="667">
        <f t="shared" si="166"/>
        <v>379</v>
      </c>
      <c r="DX45" s="667">
        <f t="shared" si="166"/>
        <v>7</v>
      </c>
      <c r="DY45" s="667">
        <f t="shared" si="166"/>
        <v>0</v>
      </c>
      <c r="DZ45" s="667">
        <f t="shared" si="166"/>
        <v>0</v>
      </c>
      <c r="EA45" s="687">
        <f t="shared" si="117"/>
        <v>743</v>
      </c>
      <c r="EB45" s="667">
        <f t="shared" ref="EB45:EM45" si="167">+EB66</f>
        <v>334</v>
      </c>
      <c r="EC45" s="667">
        <f t="shared" si="167"/>
        <v>0</v>
      </c>
      <c r="ED45" s="667">
        <f t="shared" si="167"/>
        <v>0</v>
      </c>
      <c r="EE45" s="667">
        <f t="shared" si="167"/>
        <v>8</v>
      </c>
      <c r="EF45" s="667">
        <f t="shared" si="167"/>
        <v>0</v>
      </c>
      <c r="EG45" s="667">
        <f t="shared" si="167"/>
        <v>4</v>
      </c>
      <c r="EH45" s="667">
        <f t="shared" si="167"/>
        <v>147</v>
      </c>
      <c r="EI45" s="667">
        <f t="shared" si="167"/>
        <v>13</v>
      </c>
      <c r="EJ45" s="667">
        <f t="shared" si="167"/>
        <v>13</v>
      </c>
      <c r="EK45" s="667">
        <f t="shared" si="167"/>
        <v>5</v>
      </c>
      <c r="EL45" s="667">
        <f t="shared" si="167"/>
        <v>11</v>
      </c>
      <c r="EM45" s="667">
        <f t="shared" si="167"/>
        <v>15</v>
      </c>
      <c r="EN45" s="667">
        <f t="shared" si="119"/>
        <v>550</v>
      </c>
      <c r="EO45" s="667">
        <f t="shared" ref="EO45:EZ45" si="168">+EO66</f>
        <v>406</v>
      </c>
      <c r="EP45" s="667">
        <f t="shared" si="168"/>
        <v>0</v>
      </c>
      <c r="EQ45" s="667">
        <f t="shared" si="168"/>
        <v>7</v>
      </c>
      <c r="ER45" s="667">
        <f t="shared" si="168"/>
        <v>0</v>
      </c>
      <c r="ES45" s="667">
        <f t="shared" si="168"/>
        <v>0</v>
      </c>
      <c r="ET45" s="667">
        <f t="shared" si="168"/>
        <v>0</v>
      </c>
      <c r="EU45" s="667">
        <f t="shared" si="168"/>
        <v>0</v>
      </c>
      <c r="EV45" s="667">
        <f t="shared" si="168"/>
        <v>0</v>
      </c>
      <c r="EW45" s="667">
        <f t="shared" si="168"/>
        <v>1</v>
      </c>
      <c r="EX45" s="667">
        <f t="shared" si="168"/>
        <v>0</v>
      </c>
      <c r="EY45" s="665">
        <f t="shared" si="168"/>
        <v>0</v>
      </c>
      <c r="EZ45" s="665">
        <f t="shared" si="168"/>
        <v>0</v>
      </c>
      <c r="FA45" s="667">
        <f t="shared" si="121"/>
        <v>414</v>
      </c>
      <c r="FB45" s="667">
        <f t="shared" ref="FB45:FM45" si="169">+FB66</f>
        <v>527</v>
      </c>
      <c r="FC45" s="667">
        <f t="shared" si="169"/>
        <v>0</v>
      </c>
      <c r="FD45" s="667">
        <f t="shared" si="169"/>
        <v>0</v>
      </c>
      <c r="FE45" s="667">
        <f t="shared" si="169"/>
        <v>2</v>
      </c>
      <c r="FF45" s="667">
        <f t="shared" si="169"/>
        <v>4</v>
      </c>
      <c r="FG45" s="667">
        <f t="shared" si="169"/>
        <v>0</v>
      </c>
      <c r="FH45" s="667">
        <f t="shared" si="169"/>
        <v>560</v>
      </c>
      <c r="FI45" s="667">
        <f t="shared" si="169"/>
        <v>0</v>
      </c>
      <c r="FJ45" s="667">
        <f t="shared" si="169"/>
        <v>0</v>
      </c>
      <c r="FK45" s="667">
        <f t="shared" si="169"/>
        <v>4</v>
      </c>
      <c r="FL45" s="667">
        <f t="shared" si="169"/>
        <v>0</v>
      </c>
      <c r="FM45" s="667">
        <f t="shared" si="169"/>
        <v>0</v>
      </c>
      <c r="FN45" s="667">
        <f t="shared" si="123"/>
        <v>1097</v>
      </c>
      <c r="FO45" s="667">
        <f t="shared" ref="FO45:FZ45" si="170">+FO66</f>
        <v>543</v>
      </c>
      <c r="FP45" s="667">
        <f t="shared" si="170"/>
        <v>0</v>
      </c>
      <c r="FQ45" s="667">
        <f t="shared" si="170"/>
        <v>2</v>
      </c>
      <c r="FR45" s="667">
        <f t="shared" si="170"/>
        <v>-12</v>
      </c>
      <c r="FS45" s="667">
        <f t="shared" si="170"/>
        <v>0</v>
      </c>
      <c r="FT45" s="667">
        <f t="shared" si="170"/>
        <v>0</v>
      </c>
      <c r="FU45" s="667">
        <f t="shared" si="170"/>
        <v>514</v>
      </c>
      <c r="FV45" s="667">
        <f t="shared" si="170"/>
        <v>10</v>
      </c>
      <c r="FW45" s="667">
        <f t="shared" si="170"/>
        <v>6</v>
      </c>
      <c r="FX45" s="667">
        <f t="shared" si="170"/>
        <v>13</v>
      </c>
      <c r="FY45" s="667">
        <f t="shared" si="170"/>
        <v>5</v>
      </c>
      <c r="FZ45" s="667">
        <f t="shared" si="170"/>
        <v>5</v>
      </c>
      <c r="GA45" s="667">
        <f t="shared" si="125"/>
        <v>1086</v>
      </c>
      <c r="GB45" s="667">
        <v>116</v>
      </c>
      <c r="GC45" s="667">
        <v>1</v>
      </c>
      <c r="GD45" s="665">
        <v>1</v>
      </c>
      <c r="GE45" s="667">
        <v>0</v>
      </c>
      <c r="GF45" s="667">
        <v>0</v>
      </c>
      <c r="GG45" s="667">
        <v>1229</v>
      </c>
      <c r="GH45" s="667">
        <v>12</v>
      </c>
      <c r="GI45" s="667">
        <v>0</v>
      </c>
      <c r="GJ45" s="667">
        <v>9</v>
      </c>
      <c r="GK45" s="667">
        <v>0</v>
      </c>
      <c r="GL45" s="667">
        <v>0</v>
      </c>
      <c r="GM45" s="667">
        <v>0</v>
      </c>
      <c r="GN45" s="667">
        <f>SUM(GB45:GM45)</f>
        <v>1368</v>
      </c>
      <c r="GO45">
        <v>0</v>
      </c>
      <c r="GP45">
        <v>0</v>
      </c>
      <c r="GQ45">
        <v>0</v>
      </c>
      <c r="GR45">
        <v>0</v>
      </c>
      <c r="GS45">
        <f t="shared" ref="GS45" si="171">+GS66</f>
        <v>0</v>
      </c>
      <c r="GT45">
        <f t="shared" ref="GT45:GV45" si="172">+GT66</f>
        <v>28</v>
      </c>
      <c r="GU45">
        <f t="shared" si="172"/>
        <v>1024</v>
      </c>
      <c r="GV45">
        <f t="shared" si="172"/>
        <v>25</v>
      </c>
      <c r="HA45">
        <f t="shared" si="130"/>
        <v>1077</v>
      </c>
      <c r="HC45" s="721" t="str">
        <f t="shared" si="113"/>
        <v>-</v>
      </c>
      <c r="HD45" s="721">
        <f t="shared" si="140"/>
        <v>-20.750551876379685</v>
      </c>
      <c r="HE45" s="682">
        <f t="shared" si="131"/>
        <v>1359</v>
      </c>
      <c r="HF45" s="682">
        <f t="shared" si="141"/>
        <v>1077</v>
      </c>
    </row>
    <row r="46" spans="1:214" ht="13.9" customHeight="1" x14ac:dyDescent="0.2">
      <c r="A46" s="666" t="s">
        <v>468</v>
      </c>
      <c r="B46" s="667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67"/>
      <c r="AB46" s="667">
        <f t="shared" ref="AB46:CM46" si="173">+AB72</f>
        <v>14566</v>
      </c>
      <c r="AC46" s="667">
        <f t="shared" si="173"/>
        <v>66</v>
      </c>
      <c r="AD46" s="667">
        <f t="shared" si="173"/>
        <v>29955</v>
      </c>
      <c r="AE46" s="667">
        <f t="shared" si="173"/>
        <v>12430</v>
      </c>
      <c r="AF46" s="667">
        <f t="shared" si="173"/>
        <v>14104</v>
      </c>
      <c r="AG46" s="667">
        <f t="shared" si="173"/>
        <v>15918</v>
      </c>
      <c r="AH46" s="667">
        <f t="shared" si="173"/>
        <v>14445</v>
      </c>
      <c r="AI46" s="667">
        <f t="shared" si="173"/>
        <v>15955</v>
      </c>
      <c r="AJ46" s="667">
        <f t="shared" si="173"/>
        <v>15715</v>
      </c>
      <c r="AK46" s="667">
        <f t="shared" si="173"/>
        <v>15428</v>
      </c>
      <c r="AL46" s="667">
        <f t="shared" si="173"/>
        <v>16624</v>
      </c>
      <c r="AM46" s="667">
        <f t="shared" si="173"/>
        <v>16788</v>
      </c>
      <c r="AN46" s="667">
        <f t="shared" si="173"/>
        <v>181994</v>
      </c>
      <c r="AO46" s="667">
        <f t="shared" si="173"/>
        <v>16788</v>
      </c>
      <c r="AP46" s="667">
        <f t="shared" si="173"/>
        <v>19055</v>
      </c>
      <c r="AQ46" s="667">
        <f t="shared" si="173"/>
        <v>15434</v>
      </c>
      <c r="AR46" s="667">
        <f t="shared" si="173"/>
        <v>13606</v>
      </c>
      <c r="AS46" s="667">
        <f t="shared" si="173"/>
        <v>15726</v>
      </c>
      <c r="AT46" s="667">
        <f t="shared" si="173"/>
        <v>15665</v>
      </c>
      <c r="AU46" s="667">
        <f t="shared" si="173"/>
        <v>14219</v>
      </c>
      <c r="AV46" s="667">
        <f t="shared" si="173"/>
        <v>17589</v>
      </c>
      <c r="AW46" s="667">
        <f t="shared" si="173"/>
        <v>13955</v>
      </c>
      <c r="AX46" s="667">
        <f t="shared" si="173"/>
        <v>16016</v>
      </c>
      <c r="AY46" s="667">
        <f t="shared" si="173"/>
        <v>18163</v>
      </c>
      <c r="AZ46" s="667">
        <f t="shared" si="173"/>
        <v>16462</v>
      </c>
      <c r="BA46" s="667">
        <f t="shared" si="173"/>
        <v>192678</v>
      </c>
      <c r="BB46" s="667">
        <f t="shared" si="173"/>
        <v>17799</v>
      </c>
      <c r="BC46" s="667">
        <f t="shared" si="173"/>
        <v>19894</v>
      </c>
      <c r="BD46" s="667">
        <f t="shared" si="173"/>
        <v>17724</v>
      </c>
      <c r="BE46" s="667">
        <f t="shared" si="173"/>
        <v>16533</v>
      </c>
      <c r="BF46" s="667">
        <f t="shared" si="173"/>
        <v>14884</v>
      </c>
      <c r="BG46" s="667">
        <f t="shared" si="173"/>
        <v>18156</v>
      </c>
      <c r="BH46" s="667">
        <f t="shared" si="173"/>
        <v>18384</v>
      </c>
      <c r="BI46" s="667">
        <f t="shared" si="173"/>
        <v>16076</v>
      </c>
      <c r="BJ46" s="667">
        <f t="shared" si="173"/>
        <v>16066</v>
      </c>
      <c r="BK46" s="667">
        <f t="shared" si="173"/>
        <v>13446</v>
      </c>
      <c r="BL46" s="667">
        <f t="shared" si="173"/>
        <v>14527</v>
      </c>
      <c r="BM46" s="667">
        <f t="shared" si="173"/>
        <v>16261</v>
      </c>
      <c r="BN46" s="667">
        <f t="shared" si="173"/>
        <v>199750</v>
      </c>
      <c r="BO46" s="667">
        <f t="shared" si="173"/>
        <v>20291</v>
      </c>
      <c r="BP46" s="667">
        <f t="shared" si="173"/>
        <v>2856</v>
      </c>
      <c r="BQ46" s="667">
        <f t="shared" si="173"/>
        <v>32993</v>
      </c>
      <c r="BR46" s="667">
        <f t="shared" si="173"/>
        <v>14796</v>
      </c>
      <c r="BS46" s="667">
        <f t="shared" si="173"/>
        <v>12996</v>
      </c>
      <c r="BT46" s="667">
        <f t="shared" si="173"/>
        <v>18639</v>
      </c>
      <c r="BU46" s="667">
        <f t="shared" si="173"/>
        <v>14738</v>
      </c>
      <c r="BV46" s="667">
        <f t="shared" si="173"/>
        <v>13398</v>
      </c>
      <c r="BW46" s="667">
        <f t="shared" si="173"/>
        <v>16299</v>
      </c>
      <c r="BX46" s="667">
        <f t="shared" si="173"/>
        <v>15987</v>
      </c>
      <c r="BY46" s="667">
        <f t="shared" si="173"/>
        <v>14894</v>
      </c>
      <c r="BZ46" s="667">
        <f t="shared" si="173"/>
        <v>15365</v>
      </c>
      <c r="CA46" s="667">
        <f t="shared" si="173"/>
        <v>193252</v>
      </c>
      <c r="CB46" s="667">
        <f t="shared" si="173"/>
        <v>19352</v>
      </c>
      <c r="CC46" s="667">
        <f t="shared" si="173"/>
        <v>5011</v>
      </c>
      <c r="CD46" s="667">
        <f t="shared" si="173"/>
        <v>29817</v>
      </c>
      <c r="CE46" s="667">
        <f t="shared" si="173"/>
        <v>15829</v>
      </c>
      <c r="CF46" s="667">
        <f t="shared" si="173"/>
        <v>15637</v>
      </c>
      <c r="CG46" s="667">
        <f t="shared" si="173"/>
        <v>16056</v>
      </c>
      <c r="CH46" s="667">
        <f t="shared" si="173"/>
        <v>17021</v>
      </c>
      <c r="CI46" s="667">
        <f t="shared" si="173"/>
        <v>14779</v>
      </c>
      <c r="CJ46" s="667">
        <f t="shared" si="173"/>
        <v>15775</v>
      </c>
      <c r="CK46" s="667">
        <f t="shared" si="173"/>
        <v>14420</v>
      </c>
      <c r="CL46" s="667">
        <f t="shared" si="173"/>
        <v>17311</v>
      </c>
      <c r="CM46" s="667">
        <f t="shared" si="173"/>
        <v>16436</v>
      </c>
      <c r="CN46" s="667">
        <f t="shared" ref="CN46:DZ46" si="174">+CN72</f>
        <v>197444</v>
      </c>
      <c r="CO46" s="667">
        <f t="shared" si="174"/>
        <v>15047</v>
      </c>
      <c r="CP46" s="667">
        <f t="shared" si="174"/>
        <v>17649</v>
      </c>
      <c r="CQ46" s="667">
        <f t="shared" si="174"/>
        <v>19312</v>
      </c>
      <c r="CR46" s="667">
        <f t="shared" si="174"/>
        <v>15321</v>
      </c>
      <c r="CS46" s="667">
        <f t="shared" si="174"/>
        <v>18284</v>
      </c>
      <c r="CT46" s="667">
        <f t="shared" si="174"/>
        <v>22596</v>
      </c>
      <c r="CU46" s="667">
        <f t="shared" si="174"/>
        <v>17334</v>
      </c>
      <c r="CV46" s="667">
        <f t="shared" si="174"/>
        <v>18911</v>
      </c>
      <c r="CW46" s="667">
        <f t="shared" si="174"/>
        <v>18837</v>
      </c>
      <c r="CX46" s="667">
        <f t="shared" si="174"/>
        <v>19762</v>
      </c>
      <c r="CY46" s="667">
        <f t="shared" si="174"/>
        <v>20311</v>
      </c>
      <c r="CZ46" s="667">
        <f t="shared" si="174"/>
        <v>17922</v>
      </c>
      <c r="DA46" s="667">
        <f t="shared" si="174"/>
        <v>221286</v>
      </c>
      <c r="DB46" s="667">
        <f t="shared" si="174"/>
        <v>19870</v>
      </c>
      <c r="DC46" s="667">
        <f t="shared" si="174"/>
        <v>24824</v>
      </c>
      <c r="DD46" s="667">
        <f t="shared" si="174"/>
        <v>19005</v>
      </c>
      <c r="DE46" s="667">
        <f t="shared" si="174"/>
        <v>17308</v>
      </c>
      <c r="DF46" s="667">
        <f t="shared" si="174"/>
        <v>21394</v>
      </c>
      <c r="DG46" s="667">
        <f t="shared" si="174"/>
        <v>16765</v>
      </c>
      <c r="DH46" s="667">
        <f t="shared" si="174"/>
        <v>23550</v>
      </c>
      <c r="DI46" s="667">
        <f t="shared" si="174"/>
        <v>17887</v>
      </c>
      <c r="DJ46" s="667">
        <f t="shared" si="174"/>
        <v>19202</v>
      </c>
      <c r="DK46" s="667">
        <f t="shared" si="174"/>
        <v>20461</v>
      </c>
      <c r="DL46" s="667">
        <f t="shared" si="174"/>
        <v>20443</v>
      </c>
      <c r="DM46" s="667">
        <f t="shared" si="174"/>
        <v>20798</v>
      </c>
      <c r="DN46" s="667">
        <f t="shared" si="174"/>
        <v>241507</v>
      </c>
      <c r="DO46" s="667">
        <f t="shared" si="174"/>
        <v>22785</v>
      </c>
      <c r="DP46" s="667">
        <f t="shared" si="174"/>
        <v>650</v>
      </c>
      <c r="DQ46" s="667">
        <f t="shared" si="174"/>
        <v>41767</v>
      </c>
      <c r="DR46" s="667">
        <f t="shared" si="174"/>
        <v>15090</v>
      </c>
      <c r="DS46" s="667">
        <f t="shared" si="174"/>
        <v>11686</v>
      </c>
      <c r="DT46" s="667">
        <f t="shared" si="174"/>
        <v>13013</v>
      </c>
      <c r="DU46" s="667">
        <f t="shared" si="174"/>
        <v>10176</v>
      </c>
      <c r="DV46" s="667">
        <f t="shared" si="174"/>
        <v>14920</v>
      </c>
      <c r="DW46" s="667">
        <f t="shared" si="174"/>
        <v>28836</v>
      </c>
      <c r="DX46" s="667">
        <f t="shared" si="174"/>
        <v>18249</v>
      </c>
      <c r="DY46" s="667">
        <f t="shared" si="174"/>
        <v>18050</v>
      </c>
      <c r="DZ46" s="667">
        <f t="shared" si="174"/>
        <v>20806</v>
      </c>
      <c r="EA46" s="687">
        <f t="shared" si="117"/>
        <v>216028</v>
      </c>
      <c r="EB46" s="667">
        <f t="shared" ref="EB46:EM46" si="175">+EB72</f>
        <v>25939</v>
      </c>
      <c r="EC46" s="667">
        <f t="shared" si="175"/>
        <v>23069</v>
      </c>
      <c r="ED46" s="667">
        <f t="shared" si="175"/>
        <v>23615</v>
      </c>
      <c r="EE46" s="667">
        <f t="shared" si="175"/>
        <v>23158</v>
      </c>
      <c r="EF46" s="667">
        <f t="shared" si="175"/>
        <v>23810</v>
      </c>
      <c r="EG46" s="667">
        <f t="shared" si="175"/>
        <v>26455</v>
      </c>
      <c r="EH46" s="667">
        <f t="shared" si="175"/>
        <v>23770</v>
      </c>
      <c r="EI46" s="667">
        <f t="shared" si="175"/>
        <v>26284</v>
      </c>
      <c r="EJ46" s="667">
        <f t="shared" si="175"/>
        <v>28593</v>
      </c>
      <c r="EK46" s="667">
        <f t="shared" si="175"/>
        <v>20114</v>
      </c>
      <c r="EL46" s="667">
        <f t="shared" si="175"/>
        <v>20393</v>
      </c>
      <c r="EM46" s="667">
        <f t="shared" si="175"/>
        <v>27571</v>
      </c>
      <c r="EN46" s="667">
        <f t="shared" si="119"/>
        <v>292771</v>
      </c>
      <c r="EO46" s="667">
        <f t="shared" ref="EO46:EZ46" si="176">+EO72</f>
        <v>30761</v>
      </c>
      <c r="EP46" s="667">
        <f t="shared" si="176"/>
        <v>32303</v>
      </c>
      <c r="EQ46" s="667">
        <f t="shared" si="176"/>
        <v>26685</v>
      </c>
      <c r="ER46" s="667">
        <f t="shared" si="176"/>
        <v>23631</v>
      </c>
      <c r="ES46" s="667">
        <f t="shared" si="176"/>
        <v>28519</v>
      </c>
      <c r="ET46" s="667">
        <f t="shared" si="176"/>
        <v>31027</v>
      </c>
      <c r="EU46" s="667">
        <f t="shared" si="176"/>
        <v>28904</v>
      </c>
      <c r="EV46" s="667">
        <f t="shared" si="176"/>
        <v>29509</v>
      </c>
      <c r="EW46" s="667">
        <f t="shared" si="176"/>
        <v>33251</v>
      </c>
      <c r="EX46" s="667">
        <f t="shared" si="176"/>
        <v>31848</v>
      </c>
      <c r="EY46" s="665">
        <f t="shared" si="176"/>
        <v>27852</v>
      </c>
      <c r="EZ46" s="665">
        <f t="shared" si="176"/>
        <v>30980</v>
      </c>
      <c r="FA46" s="667">
        <f t="shared" si="121"/>
        <v>355270</v>
      </c>
      <c r="FB46" s="667">
        <f t="shared" ref="FB46:FM46" si="177">+FB72</f>
        <v>27806</v>
      </c>
      <c r="FC46" s="667">
        <f t="shared" si="177"/>
        <v>32274</v>
      </c>
      <c r="FD46" s="667">
        <f t="shared" si="177"/>
        <v>26839</v>
      </c>
      <c r="FE46" s="667">
        <f t="shared" si="177"/>
        <v>26729</v>
      </c>
      <c r="FF46" s="667">
        <f t="shared" si="177"/>
        <v>26733</v>
      </c>
      <c r="FG46" s="667">
        <f t="shared" si="177"/>
        <v>29631</v>
      </c>
      <c r="FH46" s="667">
        <f t="shared" si="177"/>
        <v>25692</v>
      </c>
      <c r="FI46" s="667">
        <f t="shared" si="177"/>
        <v>24929</v>
      </c>
      <c r="FJ46" s="667">
        <f t="shared" si="177"/>
        <v>27622</v>
      </c>
      <c r="FK46" s="667">
        <f t="shared" si="177"/>
        <v>26064</v>
      </c>
      <c r="FL46" s="667">
        <f t="shared" si="177"/>
        <v>29638</v>
      </c>
      <c r="FM46" s="667">
        <f t="shared" si="177"/>
        <v>28968</v>
      </c>
      <c r="FN46" s="667">
        <f t="shared" si="123"/>
        <v>332925</v>
      </c>
      <c r="FO46" s="667">
        <f t="shared" ref="FO46:FZ46" si="178">+FO72</f>
        <v>26097</v>
      </c>
      <c r="FP46" s="667">
        <f t="shared" si="178"/>
        <v>35030</v>
      </c>
      <c r="FQ46" s="667">
        <f t="shared" si="178"/>
        <v>24645</v>
      </c>
      <c r="FR46" s="667">
        <f t="shared" si="178"/>
        <v>24967</v>
      </c>
      <c r="FS46" s="667">
        <f t="shared" si="178"/>
        <v>28167</v>
      </c>
      <c r="FT46" s="667">
        <f t="shared" si="178"/>
        <v>29612</v>
      </c>
      <c r="FU46" s="667">
        <f t="shared" si="178"/>
        <v>27574</v>
      </c>
      <c r="FV46" s="667">
        <f t="shared" si="178"/>
        <v>27924</v>
      </c>
      <c r="FW46" s="667">
        <f t="shared" si="178"/>
        <v>29320</v>
      </c>
      <c r="FX46" s="667">
        <f>+FX72</f>
        <v>30245</v>
      </c>
      <c r="FY46" s="667">
        <f t="shared" si="178"/>
        <v>31427</v>
      </c>
      <c r="FZ46" s="667">
        <f t="shared" si="178"/>
        <v>34364</v>
      </c>
      <c r="GA46" s="667">
        <f t="shared" si="125"/>
        <v>349372</v>
      </c>
      <c r="GB46" s="667">
        <v>33636</v>
      </c>
      <c r="GC46" s="667">
        <v>39813</v>
      </c>
      <c r="GD46" s="665">
        <v>31011</v>
      </c>
      <c r="GE46" s="667">
        <v>27290</v>
      </c>
      <c r="GF46" s="667">
        <v>25865</v>
      </c>
      <c r="GG46" s="667">
        <v>27620</v>
      </c>
      <c r="GH46" s="667">
        <v>29498</v>
      </c>
      <c r="GI46" s="667">
        <v>30154</v>
      </c>
      <c r="GJ46" s="667">
        <v>30844</v>
      </c>
      <c r="GK46" s="667">
        <v>29308</v>
      </c>
      <c r="GL46" s="667">
        <v>29253</v>
      </c>
      <c r="GM46" s="667">
        <v>22605</v>
      </c>
      <c r="GN46" s="667">
        <f t="shared" si="127"/>
        <v>356897</v>
      </c>
      <c r="GO46">
        <v>22605</v>
      </c>
      <c r="GP46">
        <v>22605</v>
      </c>
      <c r="GQ46">
        <v>22605</v>
      </c>
      <c r="GR46">
        <v>22605</v>
      </c>
      <c r="GS46" s="129">
        <f t="shared" ref="GS46" si="179">+GS72</f>
        <v>33509</v>
      </c>
      <c r="GT46" s="129">
        <f>+GT72</f>
        <v>29726</v>
      </c>
      <c r="GU46" s="129">
        <f t="shared" ref="GU46:GV46" si="180">+GU72</f>
        <v>29926</v>
      </c>
      <c r="GV46" s="129">
        <f t="shared" si="180"/>
        <v>30004</v>
      </c>
      <c r="HA46">
        <f t="shared" si="130"/>
        <v>213585</v>
      </c>
      <c r="HC46" s="721">
        <f t="shared" si="113"/>
        <v>-0.49744644159979146</v>
      </c>
      <c r="HD46" s="721">
        <f>IFERROR(((HF46/HE46)-1)*100,"-")</f>
        <v>-12.782222004434695</v>
      </c>
      <c r="HE46" s="682">
        <f t="shared" si="131"/>
        <v>244887</v>
      </c>
      <c r="HF46" s="682">
        <f t="shared" si="141"/>
        <v>213585</v>
      </c>
    </row>
    <row r="47" spans="1:214" ht="13.9" customHeight="1" x14ac:dyDescent="0.2">
      <c r="A47" s="666" t="s">
        <v>408</v>
      </c>
      <c r="B47" s="667"/>
      <c r="C47" s="667"/>
      <c r="D47" s="667"/>
      <c r="E47" s="667"/>
      <c r="F47" s="667"/>
      <c r="G47" s="667"/>
      <c r="H47" s="667"/>
      <c r="I47" s="667"/>
      <c r="J47" s="667"/>
      <c r="K47" s="667"/>
      <c r="L47" s="667"/>
      <c r="M47" s="667"/>
      <c r="N47" s="667"/>
      <c r="O47" s="667"/>
      <c r="P47" s="667"/>
      <c r="Q47" s="667"/>
      <c r="R47" s="667"/>
      <c r="S47" s="667"/>
      <c r="T47" s="667"/>
      <c r="U47" s="667"/>
      <c r="V47" s="667"/>
      <c r="W47" s="667"/>
      <c r="X47" s="667"/>
      <c r="Y47" s="667"/>
      <c r="Z47" s="667"/>
      <c r="AA47" s="667"/>
      <c r="AB47" s="667">
        <f t="shared" ref="AB47:BN47" si="181">+AB54+AB55+AB56+AB64+AB65+AB67+AB69+AB70+AB71+AB77+AB73</f>
        <v>7138</v>
      </c>
      <c r="AC47" s="667">
        <f t="shared" si="181"/>
        <v>6389</v>
      </c>
      <c r="AD47" s="667">
        <f t="shared" si="181"/>
        <v>17145.3</v>
      </c>
      <c r="AE47" s="667">
        <f t="shared" si="181"/>
        <v>1750.37</v>
      </c>
      <c r="AF47" s="667">
        <f t="shared" si="181"/>
        <v>271.5</v>
      </c>
      <c r="AG47" s="667">
        <f t="shared" si="181"/>
        <v>6910.44</v>
      </c>
      <c r="AH47" s="667">
        <f t="shared" si="181"/>
        <v>29383.4</v>
      </c>
      <c r="AI47" s="667">
        <f t="shared" si="181"/>
        <v>497.14</v>
      </c>
      <c r="AJ47" s="667">
        <f t="shared" si="181"/>
        <v>11898</v>
      </c>
      <c r="AK47" s="667">
        <f t="shared" si="181"/>
        <v>2942.3070000000002</v>
      </c>
      <c r="AL47" s="667">
        <f t="shared" si="181"/>
        <v>660.93999999999994</v>
      </c>
      <c r="AM47" s="667">
        <f t="shared" si="181"/>
        <v>33882</v>
      </c>
      <c r="AN47" s="667">
        <f t="shared" si="181"/>
        <v>118868.397</v>
      </c>
      <c r="AO47" s="667">
        <f t="shared" si="181"/>
        <v>474.1</v>
      </c>
      <c r="AP47" s="667">
        <f t="shared" si="181"/>
        <v>9812.0159999999996</v>
      </c>
      <c r="AQ47" s="667">
        <f t="shared" si="181"/>
        <v>19096.449000000001</v>
      </c>
      <c r="AR47" s="667">
        <f t="shared" si="181"/>
        <v>18052.016</v>
      </c>
      <c r="AS47" s="667">
        <f t="shared" si="181"/>
        <v>263.08600000000001</v>
      </c>
      <c r="AT47" s="667">
        <f t="shared" si="181"/>
        <v>1536.1179999999999</v>
      </c>
      <c r="AU47" s="667">
        <f t="shared" si="181"/>
        <v>4435.8019999999997</v>
      </c>
      <c r="AV47" s="667">
        <f t="shared" si="181"/>
        <v>595.42499999999995</v>
      </c>
      <c r="AW47" s="667">
        <f t="shared" si="181"/>
        <v>179.06</v>
      </c>
      <c r="AX47" s="667">
        <f t="shared" si="181"/>
        <v>10659.892</v>
      </c>
      <c r="AY47" s="667">
        <f t="shared" si="181"/>
        <v>137.524</v>
      </c>
      <c r="AZ47" s="667">
        <f t="shared" si="181"/>
        <v>41422</v>
      </c>
      <c r="BA47" s="667">
        <f t="shared" si="181"/>
        <v>106663.488</v>
      </c>
      <c r="BB47" s="667">
        <f t="shared" si="181"/>
        <v>63.136999999999993</v>
      </c>
      <c r="BC47" s="667">
        <f t="shared" si="181"/>
        <v>385.86500000000007</v>
      </c>
      <c r="BD47" s="667">
        <f t="shared" si="181"/>
        <v>42732.019</v>
      </c>
      <c r="BE47" s="667">
        <f t="shared" si="181"/>
        <v>1805.145</v>
      </c>
      <c r="BF47" s="667">
        <f t="shared" si="181"/>
        <v>14493</v>
      </c>
      <c r="BG47" s="667">
        <f t="shared" si="181"/>
        <v>911</v>
      </c>
      <c r="BH47" s="667">
        <f t="shared" si="181"/>
        <v>900</v>
      </c>
      <c r="BI47" s="667">
        <f t="shared" si="181"/>
        <v>0</v>
      </c>
      <c r="BJ47" s="667">
        <f t="shared" si="181"/>
        <v>471</v>
      </c>
      <c r="BK47" s="667">
        <f t="shared" si="181"/>
        <v>58</v>
      </c>
      <c r="BL47" s="667">
        <f t="shared" si="181"/>
        <v>70349</v>
      </c>
      <c r="BM47" s="667">
        <f t="shared" si="181"/>
        <v>9545</v>
      </c>
      <c r="BN47" s="667">
        <f t="shared" si="181"/>
        <v>141713.166</v>
      </c>
      <c r="BO47" s="667">
        <f>+BO54+BO55+BO56+BO64+BO65+BO67+BO68+BO69+BO70+BO71+BO77+BO73</f>
        <v>7728</v>
      </c>
      <c r="BP47" s="667">
        <f t="shared" ref="BP47:BZ47" si="182">+BP54+BP55+BP56+BP64+BP65+BP67+BP68+BP69+BP70+BP71+BP77+BP73</f>
        <v>5320</v>
      </c>
      <c r="BQ47" s="667">
        <f t="shared" si="182"/>
        <v>43420</v>
      </c>
      <c r="BR47" s="667">
        <f t="shared" si="182"/>
        <v>1351</v>
      </c>
      <c r="BS47" s="667">
        <f t="shared" si="182"/>
        <v>21438</v>
      </c>
      <c r="BT47" s="667">
        <f t="shared" si="182"/>
        <v>417</v>
      </c>
      <c r="BU47" s="667">
        <f t="shared" si="182"/>
        <v>1866</v>
      </c>
      <c r="BV47" s="667">
        <f t="shared" si="182"/>
        <v>6870</v>
      </c>
      <c r="BW47" s="667">
        <f t="shared" si="182"/>
        <v>186</v>
      </c>
      <c r="BX47" s="667">
        <f t="shared" si="182"/>
        <v>761</v>
      </c>
      <c r="BY47" s="667">
        <f t="shared" si="182"/>
        <v>22184</v>
      </c>
      <c r="BZ47" s="667">
        <f t="shared" si="182"/>
        <v>9264</v>
      </c>
      <c r="CA47" s="667">
        <f>+CA54+CA55+CA56+CA64+CA65+CA67+CA68+CA69+CA70+CA71+CA77+CA73</f>
        <v>120805</v>
      </c>
      <c r="CB47" s="667">
        <f>+CB54+CB55+CB56+CB64+CB65+CB67+CB68+CB69+CB70+CB71+CB77+CB73</f>
        <v>1121</v>
      </c>
      <c r="CC47" s="667">
        <f t="shared" ref="CC47:CM47" si="183">+CC54+CC55+CC56+CC64+CC65+CC67+CC68+CC69+CC70+CC71+CC77+CC73</f>
        <v>48544</v>
      </c>
      <c r="CD47" s="667">
        <f t="shared" si="183"/>
        <v>4783</v>
      </c>
      <c r="CE47" s="667">
        <f t="shared" si="183"/>
        <v>1760</v>
      </c>
      <c r="CF47" s="667">
        <f t="shared" si="183"/>
        <v>23589</v>
      </c>
      <c r="CG47" s="667">
        <f t="shared" si="183"/>
        <v>2024</v>
      </c>
      <c r="CH47" s="667">
        <f t="shared" si="183"/>
        <v>479</v>
      </c>
      <c r="CI47" s="667">
        <f t="shared" si="183"/>
        <v>13240</v>
      </c>
      <c r="CJ47" s="667">
        <f t="shared" si="183"/>
        <v>5516</v>
      </c>
      <c r="CK47" s="667">
        <f t="shared" si="183"/>
        <v>22554</v>
      </c>
      <c r="CL47" s="667">
        <f t="shared" si="183"/>
        <v>8956</v>
      </c>
      <c r="CM47" s="667">
        <f t="shared" si="183"/>
        <v>6288</v>
      </c>
      <c r="CN47" s="667">
        <f>+CN54+CN55+CN56+CN64+CN65+CN67+CN68+CN69+CN70+CN71+CN77+CN73</f>
        <v>138854</v>
      </c>
      <c r="CO47" s="667">
        <f>+CO54+CO55+CO56+CO64+CO65+CO67+CO68+CO69+CO70+CO71+CO77+CO73</f>
        <v>787</v>
      </c>
      <c r="CP47" s="667">
        <f t="shared" ref="CP47:CZ47" si="184">+CP54+CP55+CP56+CP64+CP65+CP67+CP68+CP69+CP70+CP71+CP77+CP73</f>
        <v>54</v>
      </c>
      <c r="CQ47" s="667">
        <f t="shared" si="184"/>
        <v>34472</v>
      </c>
      <c r="CR47" s="667">
        <f t="shared" si="184"/>
        <v>15441</v>
      </c>
      <c r="CS47" s="667">
        <f t="shared" si="184"/>
        <v>5004</v>
      </c>
      <c r="CT47" s="667">
        <f t="shared" si="184"/>
        <v>2700</v>
      </c>
      <c r="CU47" s="667">
        <f t="shared" si="184"/>
        <v>692</v>
      </c>
      <c r="CV47" s="667">
        <f t="shared" si="184"/>
        <v>369</v>
      </c>
      <c r="CW47" s="667">
        <f t="shared" si="184"/>
        <v>1308</v>
      </c>
      <c r="CX47" s="667">
        <f t="shared" si="184"/>
        <v>20954</v>
      </c>
      <c r="CY47" s="667">
        <f t="shared" si="184"/>
        <v>2463</v>
      </c>
      <c r="CZ47" s="667">
        <f t="shared" si="184"/>
        <v>2933</v>
      </c>
      <c r="DA47" s="667">
        <f>+DA54+DA55+DA56+DA64+DA65+DA67+DA68+DA69+DA70+DA71+DA77+DA73</f>
        <v>87177</v>
      </c>
      <c r="DB47" s="667">
        <f>+DB54+DB55+DB56+DB64+DB65+DB67+DB68+DB69+DB70+DB71+DB77+DB73</f>
        <v>752</v>
      </c>
      <c r="DC47" s="667">
        <f t="shared" ref="DC47:DJ47" si="185">+DC54+DC55+DC56+DC64+DC65+DC67+DC68+DC69+DC70+DC71+DC77+DC73</f>
        <v>33</v>
      </c>
      <c r="DD47" s="667">
        <f t="shared" si="185"/>
        <v>40</v>
      </c>
      <c r="DE47" s="667">
        <f t="shared" si="185"/>
        <v>6121</v>
      </c>
      <c r="DF47" s="667">
        <f t="shared" si="185"/>
        <v>54250</v>
      </c>
      <c r="DG47" s="667">
        <f t="shared" si="185"/>
        <v>12</v>
      </c>
      <c r="DH47" s="667">
        <f t="shared" si="185"/>
        <v>3527</v>
      </c>
      <c r="DI47" s="667">
        <f t="shared" si="185"/>
        <v>367</v>
      </c>
      <c r="DJ47" s="667">
        <f t="shared" si="185"/>
        <v>1006</v>
      </c>
      <c r="DK47" s="667">
        <f>+DK54+DK55+DK56+DK64+DK65+DK67+DK68+DK69+DK70+DK71+DK77+DK73</f>
        <v>50</v>
      </c>
      <c r="DL47" s="667">
        <f>+DL54+DL55+DL56+DL64+DL65+DL67+DL68+DL69+DL70+DL71+DL77+DL73</f>
        <v>4982</v>
      </c>
      <c r="DM47" s="667">
        <f>+DM54+DM55+DM56+DM64+DM65+DM67+DM68+DM69+DM70+DM71+DM77+DM73</f>
        <v>4860</v>
      </c>
      <c r="DN47" s="667">
        <f>+DN54+DN55+DN56+DN64+DN65+DN67+DN68+DN69+DN70+DN71+DN77+DN73</f>
        <v>76000</v>
      </c>
      <c r="DO47" s="667">
        <f t="shared" ref="DO47:DZ47" si="186">+DO54+DO55+DO56+DO64+DO65+DO67+DO68+DO69+DO70+DO71+DO77+DO73</f>
        <v>223</v>
      </c>
      <c r="DP47" s="667">
        <f t="shared" si="186"/>
        <v>59</v>
      </c>
      <c r="DQ47" s="667">
        <f t="shared" si="186"/>
        <v>1632</v>
      </c>
      <c r="DR47" s="667">
        <f t="shared" si="186"/>
        <v>255</v>
      </c>
      <c r="DS47" s="667">
        <f t="shared" si="186"/>
        <v>937</v>
      </c>
      <c r="DT47" s="667">
        <f t="shared" si="186"/>
        <v>45721</v>
      </c>
      <c r="DU47" s="667">
        <f t="shared" si="186"/>
        <v>10429</v>
      </c>
      <c r="DV47" s="667">
        <f t="shared" si="186"/>
        <v>14441</v>
      </c>
      <c r="DW47" s="667">
        <f t="shared" si="186"/>
        <v>554</v>
      </c>
      <c r="DX47" s="667">
        <f t="shared" si="186"/>
        <v>419</v>
      </c>
      <c r="DY47" s="667">
        <f t="shared" si="186"/>
        <v>1665</v>
      </c>
      <c r="DZ47" s="667">
        <f t="shared" si="186"/>
        <v>435</v>
      </c>
      <c r="EA47" s="687">
        <f t="shared" si="117"/>
        <v>76770</v>
      </c>
      <c r="EB47" s="667">
        <f t="shared" ref="EB47:EM47" si="187">+EB54+EB55+EB56+EB64+EB65+EB67+EB68+EB69+EB70+EB71+EB77+EB73</f>
        <v>4413</v>
      </c>
      <c r="EC47" s="667">
        <f t="shared" si="187"/>
        <v>38</v>
      </c>
      <c r="ED47" s="667">
        <f t="shared" si="187"/>
        <v>34</v>
      </c>
      <c r="EE47" s="667">
        <f t="shared" si="187"/>
        <v>27989</v>
      </c>
      <c r="EF47" s="667">
        <f t="shared" si="187"/>
        <v>4293</v>
      </c>
      <c r="EG47" s="667">
        <f t="shared" si="187"/>
        <v>3791</v>
      </c>
      <c r="EH47" s="667">
        <f t="shared" si="187"/>
        <v>252</v>
      </c>
      <c r="EI47" s="667">
        <f t="shared" si="187"/>
        <v>2104</v>
      </c>
      <c r="EJ47" s="667">
        <f t="shared" si="187"/>
        <v>11572</v>
      </c>
      <c r="EK47" s="667">
        <f t="shared" si="187"/>
        <v>7707</v>
      </c>
      <c r="EL47" s="667">
        <f t="shared" si="187"/>
        <v>9308</v>
      </c>
      <c r="EM47" s="667">
        <f t="shared" si="187"/>
        <v>4595</v>
      </c>
      <c r="EN47" s="667">
        <f t="shared" si="119"/>
        <v>76096</v>
      </c>
      <c r="EO47" s="667">
        <f t="shared" ref="EO47:EZ47" si="188">+EO54+EO55+EO56+EO64+EO65+EO67+EO68+EO69+EO70+EO71+EO77+EO73</f>
        <v>0</v>
      </c>
      <c r="EP47" s="667">
        <f t="shared" si="188"/>
        <v>4615</v>
      </c>
      <c r="EQ47" s="667">
        <f t="shared" si="188"/>
        <v>6332</v>
      </c>
      <c r="ER47" s="667">
        <f t="shared" si="188"/>
        <v>5970</v>
      </c>
      <c r="ES47" s="667">
        <f t="shared" si="188"/>
        <v>34202</v>
      </c>
      <c r="ET47" s="667">
        <f t="shared" si="188"/>
        <v>19126</v>
      </c>
      <c r="EU47" s="667">
        <f t="shared" si="188"/>
        <v>729</v>
      </c>
      <c r="EV47" s="667">
        <f t="shared" si="188"/>
        <v>2073</v>
      </c>
      <c r="EW47" s="667">
        <f t="shared" si="188"/>
        <v>2638</v>
      </c>
      <c r="EX47" s="667">
        <f t="shared" si="188"/>
        <v>2292</v>
      </c>
      <c r="EY47" s="665">
        <f t="shared" si="188"/>
        <v>315</v>
      </c>
      <c r="EZ47" s="665">
        <f t="shared" si="188"/>
        <v>-677</v>
      </c>
      <c r="FA47" s="667">
        <f t="shared" si="121"/>
        <v>77615</v>
      </c>
      <c r="FB47" s="667">
        <f t="shared" ref="FB47:FM47" si="189">+FB54+FB55+FB56+FB64+FB65+FB67+FB68+FB69+FB70+FB71+FB77+FB73</f>
        <v>664</v>
      </c>
      <c r="FC47" s="667">
        <f t="shared" si="189"/>
        <v>-39</v>
      </c>
      <c r="FD47" s="667">
        <f t="shared" si="189"/>
        <v>3061</v>
      </c>
      <c r="FE47" s="667">
        <f t="shared" si="189"/>
        <v>24171</v>
      </c>
      <c r="FF47" s="667">
        <f t="shared" si="189"/>
        <v>24779</v>
      </c>
      <c r="FG47" s="667">
        <f t="shared" si="189"/>
        <v>21</v>
      </c>
      <c r="FH47" s="667">
        <f t="shared" si="189"/>
        <v>68</v>
      </c>
      <c r="FI47" s="667">
        <f t="shared" si="189"/>
        <v>9090</v>
      </c>
      <c r="FJ47" s="667">
        <f t="shared" si="189"/>
        <v>505</v>
      </c>
      <c r="FK47" s="667">
        <f t="shared" si="189"/>
        <v>922</v>
      </c>
      <c r="FL47" s="667">
        <f t="shared" si="189"/>
        <v>1135</v>
      </c>
      <c r="FM47" s="667">
        <f t="shared" si="189"/>
        <v>4438</v>
      </c>
      <c r="FN47" s="667">
        <f t="shared" si="123"/>
        <v>68815</v>
      </c>
      <c r="FO47" s="667">
        <f t="shared" ref="FO47:FZ47" si="190">+FO54+FO55+FO56+FO64+FO65+FO67+FO68+FO69+FO70+FO71+FO77+FO73</f>
        <v>4256</v>
      </c>
      <c r="FP47" s="667">
        <f t="shared" si="190"/>
        <v>23</v>
      </c>
      <c r="FQ47" s="667">
        <f t="shared" si="190"/>
        <v>19</v>
      </c>
      <c r="FR47" s="667">
        <f t="shared" si="190"/>
        <v>5213</v>
      </c>
      <c r="FS47" s="667">
        <f t="shared" si="190"/>
        <v>17663</v>
      </c>
      <c r="FT47" s="667">
        <f t="shared" si="190"/>
        <v>6885</v>
      </c>
      <c r="FU47" s="667">
        <f t="shared" si="190"/>
        <v>4220</v>
      </c>
      <c r="FV47" s="667">
        <f t="shared" si="190"/>
        <v>994</v>
      </c>
      <c r="FW47" s="667">
        <f t="shared" si="190"/>
        <v>3667</v>
      </c>
      <c r="FX47" s="667">
        <f t="shared" si="190"/>
        <v>2926</v>
      </c>
      <c r="FY47" s="667">
        <f t="shared" si="190"/>
        <v>60</v>
      </c>
      <c r="FZ47" s="667">
        <f t="shared" si="190"/>
        <v>9756</v>
      </c>
      <c r="GA47" s="667">
        <f t="shared" si="125"/>
        <v>55682</v>
      </c>
      <c r="GB47" s="667">
        <v>86</v>
      </c>
      <c r="GC47" s="667">
        <v>-3</v>
      </c>
      <c r="GD47" s="665">
        <v>3248</v>
      </c>
      <c r="GE47" s="667">
        <v>3582</v>
      </c>
      <c r="GF47" s="667">
        <v>30895</v>
      </c>
      <c r="GG47" s="667">
        <v>11582</v>
      </c>
      <c r="GH47" s="667">
        <v>8015</v>
      </c>
      <c r="GI47" s="667">
        <v>205</v>
      </c>
      <c r="GJ47" s="667">
        <v>-45</v>
      </c>
      <c r="GK47" s="667">
        <v>1065</v>
      </c>
      <c r="GL47" s="667">
        <v>563</v>
      </c>
      <c r="GM47" s="667">
        <v>1733</v>
      </c>
      <c r="GN47" s="667">
        <f>SUM(GB47:GM47)</f>
        <v>60926</v>
      </c>
      <c r="GO47">
        <v>1733</v>
      </c>
      <c r="GP47">
        <v>1733</v>
      </c>
      <c r="GQ47">
        <v>1733</v>
      </c>
      <c r="GR47">
        <v>1733</v>
      </c>
      <c r="GS47">
        <f t="shared" ref="GS47" si="191">+GS54+GS55+GS56+GS64+GS65+GS67+GS68+GS69+GS70+GS71+GS77+GS73</f>
        <v>25770</v>
      </c>
      <c r="GT47">
        <f t="shared" ref="GT47:GU47" si="192">+GT54+GT55+GT56+GT64+GT65+GT67+GT68+GT69+GT70+GT71+GT77+GT73</f>
        <v>1351</v>
      </c>
      <c r="GU47">
        <f t="shared" si="192"/>
        <v>240</v>
      </c>
      <c r="GV47">
        <f>+GV54+GV55+GV56+GV64+GV65+GV67+GV68+GV69+GV70+GV71+GV77+GV73</f>
        <v>-18</v>
      </c>
      <c r="HA47">
        <f t="shared" si="130"/>
        <v>34275</v>
      </c>
      <c r="HC47" s="721">
        <f t="shared" si="113"/>
        <v>-108.78048780487805</v>
      </c>
      <c r="HD47" s="721">
        <f>IFERROR(((HF47/HE47)-1)*100,"-")</f>
        <v>-40.505120638777989</v>
      </c>
      <c r="HE47" s="682">
        <f t="shared" si="131"/>
        <v>57610</v>
      </c>
      <c r="HF47" s="682">
        <f t="shared" si="141"/>
        <v>34275</v>
      </c>
    </row>
    <row r="48" spans="1:214" ht="13.9" customHeight="1" x14ac:dyDescent="0.2">
      <c r="A48" s="666" t="s">
        <v>352</v>
      </c>
      <c r="B48" s="667"/>
      <c r="C48" s="667"/>
      <c r="D48" s="667"/>
      <c r="E48" s="667"/>
      <c r="F48" s="667"/>
      <c r="G48" s="667"/>
      <c r="H48" s="667"/>
      <c r="I48" s="667"/>
      <c r="J48" s="667"/>
      <c r="K48" s="667"/>
      <c r="L48" s="667"/>
      <c r="M48" s="667"/>
      <c r="N48" s="667"/>
      <c r="O48" s="667"/>
      <c r="P48" s="667"/>
      <c r="Q48" s="667"/>
      <c r="R48" s="667"/>
      <c r="S48" s="667"/>
      <c r="T48" s="667"/>
      <c r="U48" s="667"/>
      <c r="V48" s="667"/>
      <c r="W48" s="667"/>
      <c r="X48" s="667"/>
      <c r="Y48" s="667"/>
      <c r="Z48" s="667"/>
      <c r="AA48" s="667"/>
      <c r="AB48" s="667"/>
      <c r="AC48" s="667"/>
      <c r="AD48" s="667"/>
      <c r="AE48" s="667"/>
      <c r="AF48" s="667"/>
      <c r="AG48" s="667"/>
      <c r="AH48" s="667"/>
      <c r="AI48" s="667"/>
      <c r="AJ48" s="667"/>
      <c r="AK48" s="667"/>
      <c r="AL48" s="667"/>
      <c r="AM48" s="667"/>
      <c r="AN48" s="667"/>
      <c r="AO48" s="667"/>
      <c r="AP48" s="667"/>
      <c r="AQ48" s="667"/>
      <c r="AR48" s="667"/>
      <c r="AS48" s="667"/>
      <c r="AT48" s="667"/>
      <c r="AU48" s="667"/>
      <c r="AV48" s="667"/>
      <c r="AW48" s="667"/>
      <c r="AX48" s="667"/>
      <c r="AY48" s="667"/>
      <c r="AZ48" s="667"/>
      <c r="BA48" s="667"/>
      <c r="BB48" s="667"/>
      <c r="BC48" s="667"/>
      <c r="BD48" s="667"/>
      <c r="BE48" s="667"/>
      <c r="BF48" s="667"/>
      <c r="BG48" s="667"/>
      <c r="BH48" s="667"/>
      <c r="BI48" s="667"/>
      <c r="BJ48" s="667"/>
      <c r="BK48" s="667"/>
      <c r="BL48" s="667"/>
      <c r="BM48" s="667"/>
      <c r="BN48" s="667"/>
      <c r="BO48" s="667"/>
      <c r="BP48" s="667"/>
      <c r="BQ48" s="667"/>
      <c r="BR48" s="667"/>
      <c r="BS48" s="667"/>
      <c r="BT48" s="667"/>
      <c r="BU48" s="667"/>
      <c r="BV48" s="667"/>
      <c r="BW48" s="667"/>
      <c r="BX48" s="667"/>
      <c r="BY48" s="667"/>
      <c r="BZ48" s="667"/>
      <c r="CA48" s="667"/>
      <c r="CB48" s="667"/>
      <c r="CC48" s="667"/>
      <c r="CD48" s="667"/>
      <c r="CE48" s="667"/>
      <c r="CF48" s="667"/>
      <c r="CG48" s="667"/>
      <c r="CH48" s="667"/>
      <c r="CI48" s="667"/>
      <c r="CJ48" s="667"/>
      <c r="CK48" s="667"/>
      <c r="CL48" s="667"/>
      <c r="CM48" s="667"/>
      <c r="CN48" s="667"/>
      <c r="CO48" s="667"/>
      <c r="CP48" s="667"/>
      <c r="CQ48" s="667"/>
      <c r="CR48" s="667"/>
      <c r="CS48" s="667"/>
      <c r="CT48" s="667"/>
      <c r="CU48" s="667"/>
      <c r="CV48" s="667"/>
      <c r="CW48" s="667"/>
      <c r="CX48" s="667"/>
      <c r="CY48" s="667"/>
      <c r="CZ48" s="667"/>
      <c r="DA48" s="667"/>
      <c r="DB48" s="667"/>
      <c r="DC48" s="667"/>
      <c r="DD48" s="667"/>
      <c r="DE48" s="667"/>
      <c r="DF48" s="667"/>
      <c r="DG48" s="667"/>
      <c r="DH48" s="667"/>
      <c r="DI48" s="667"/>
      <c r="DJ48" s="667"/>
      <c r="DK48" s="667"/>
      <c r="DL48" s="667"/>
      <c r="DM48" s="667"/>
      <c r="DN48" s="667"/>
      <c r="DO48" s="667"/>
      <c r="DP48" s="667"/>
      <c r="DQ48" s="667"/>
      <c r="DR48" s="667"/>
      <c r="DS48" s="667"/>
      <c r="DT48" s="667"/>
      <c r="DU48" s="667"/>
      <c r="DV48" s="667"/>
      <c r="DW48" s="667"/>
      <c r="DX48" s="667"/>
      <c r="DY48" s="667"/>
      <c r="DZ48" s="667"/>
      <c r="EA48" s="687"/>
      <c r="EB48" s="667"/>
      <c r="EC48" s="667"/>
      <c r="ED48" s="667"/>
      <c r="EE48" s="667"/>
      <c r="EF48" s="667"/>
      <c r="EG48" s="667"/>
      <c r="EH48" s="667"/>
      <c r="EI48" s="667"/>
      <c r="EJ48" s="667"/>
      <c r="EK48" s="667"/>
      <c r="EL48" s="667"/>
      <c r="EM48" s="667"/>
      <c r="EN48" s="667"/>
      <c r="EO48" s="667"/>
      <c r="EP48" s="667"/>
      <c r="EQ48" s="667"/>
      <c r="ER48" s="667"/>
      <c r="ES48" s="667"/>
      <c r="ET48" s="667"/>
      <c r="EU48" s="667"/>
      <c r="EV48" s="667"/>
      <c r="EW48" s="667"/>
      <c r="EX48" s="667"/>
      <c r="EY48" s="665"/>
      <c r="EZ48" s="665"/>
      <c r="FA48" s="667"/>
      <c r="FB48" s="667"/>
      <c r="FC48" s="667"/>
      <c r="FD48" s="667"/>
      <c r="FE48" s="667"/>
      <c r="FF48" s="667"/>
      <c r="FG48" s="667"/>
      <c r="FH48" s="667"/>
      <c r="FI48" s="667"/>
      <c r="FJ48" s="667"/>
      <c r="FK48" s="667"/>
      <c r="FL48" s="667"/>
      <c r="FM48" s="667"/>
      <c r="FN48" s="667">
        <f t="shared" si="123"/>
        <v>0</v>
      </c>
      <c r="FO48" s="667"/>
      <c r="FP48" s="667"/>
      <c r="FQ48" s="667"/>
      <c r="FR48" s="667"/>
      <c r="FS48" s="667"/>
      <c r="FT48" s="667"/>
      <c r="FU48" s="667"/>
      <c r="FV48" s="667"/>
      <c r="FW48" s="667"/>
      <c r="FX48" s="667"/>
      <c r="FY48" s="667"/>
      <c r="FZ48" s="667"/>
      <c r="GA48" s="667"/>
      <c r="GB48" s="667"/>
      <c r="GC48" s="667"/>
      <c r="GD48" s="665"/>
      <c r="GE48" s="667"/>
      <c r="GF48" s="667"/>
      <c r="GG48" s="667"/>
      <c r="GH48" s="667"/>
      <c r="GI48" s="667"/>
      <c r="GJ48" s="667"/>
      <c r="GK48" s="667"/>
      <c r="GL48" s="667"/>
      <c r="GM48" s="667"/>
      <c r="GN48" s="667"/>
      <c r="HC48" s="721" t="str">
        <f t="shared" si="113"/>
        <v>-</v>
      </c>
      <c r="HD48" s="721"/>
      <c r="HE48" s="682">
        <f t="shared" si="131"/>
        <v>0</v>
      </c>
      <c r="HF48" s="682"/>
    </row>
    <row r="49" spans="1:214" ht="13.9" customHeight="1" x14ac:dyDescent="0.2">
      <c r="A49" s="698" t="s">
        <v>311</v>
      </c>
      <c r="B49" s="687"/>
      <c r="C49" s="687"/>
      <c r="D49" s="687"/>
      <c r="E49" s="687"/>
      <c r="F49" s="687"/>
      <c r="G49" s="687"/>
      <c r="H49" s="687"/>
      <c r="I49" s="687"/>
      <c r="J49" s="687"/>
      <c r="K49" s="687"/>
      <c r="L49" s="687"/>
      <c r="M49" s="687"/>
      <c r="N49" s="687"/>
      <c r="O49" s="687"/>
      <c r="P49" s="687"/>
      <c r="Q49" s="687"/>
      <c r="R49" s="687"/>
      <c r="S49" s="687"/>
      <c r="T49" s="687"/>
      <c r="U49" s="687"/>
      <c r="V49" s="687"/>
      <c r="W49" s="687"/>
      <c r="X49" s="687"/>
      <c r="Y49" s="687"/>
      <c r="Z49" s="687"/>
      <c r="AA49" s="687"/>
      <c r="AB49" s="687">
        <f t="shared" ref="AB49:CM49" si="193">+AB17</f>
        <v>13</v>
      </c>
      <c r="AC49" s="687">
        <f t="shared" si="193"/>
        <v>7</v>
      </c>
      <c r="AD49" s="687">
        <f t="shared" si="193"/>
        <v>23</v>
      </c>
      <c r="AE49" s="687">
        <f t="shared" si="193"/>
        <v>21</v>
      </c>
      <c r="AF49" s="687">
        <f t="shared" si="193"/>
        <v>28</v>
      </c>
      <c r="AG49" s="687">
        <f t="shared" si="193"/>
        <v>29</v>
      </c>
      <c r="AH49" s="687">
        <f t="shared" si="193"/>
        <v>14</v>
      </c>
      <c r="AI49" s="687">
        <f t="shared" si="193"/>
        <v>46</v>
      </c>
      <c r="AJ49" s="687">
        <f t="shared" si="193"/>
        <v>18</v>
      </c>
      <c r="AK49" s="687">
        <f t="shared" si="193"/>
        <v>16</v>
      </c>
      <c r="AL49" s="687">
        <f t="shared" si="193"/>
        <v>30</v>
      </c>
      <c r="AM49" s="687">
        <f t="shared" si="193"/>
        <v>20</v>
      </c>
      <c r="AN49" s="687">
        <f t="shared" si="193"/>
        <v>265</v>
      </c>
      <c r="AO49" s="687">
        <f t="shared" si="193"/>
        <v>7</v>
      </c>
      <c r="AP49" s="687">
        <f t="shared" si="193"/>
        <v>4</v>
      </c>
      <c r="AQ49" s="687">
        <f t="shared" si="193"/>
        <v>4</v>
      </c>
      <c r="AR49" s="687">
        <f t="shared" si="193"/>
        <v>7</v>
      </c>
      <c r="AS49" s="687">
        <f t="shared" si="193"/>
        <v>8</v>
      </c>
      <c r="AT49" s="687">
        <f t="shared" si="193"/>
        <v>7</v>
      </c>
      <c r="AU49" s="687">
        <f t="shared" si="193"/>
        <v>8</v>
      </c>
      <c r="AV49" s="687">
        <f t="shared" si="193"/>
        <v>13</v>
      </c>
      <c r="AW49" s="687">
        <f t="shared" si="193"/>
        <v>78</v>
      </c>
      <c r="AX49" s="687">
        <f t="shared" si="193"/>
        <v>33</v>
      </c>
      <c r="AY49" s="687">
        <f t="shared" si="193"/>
        <v>10</v>
      </c>
      <c r="AZ49" s="687">
        <f t="shared" si="193"/>
        <v>14</v>
      </c>
      <c r="BA49" s="687">
        <f t="shared" si="193"/>
        <v>193</v>
      </c>
      <c r="BB49" s="687">
        <f t="shared" si="193"/>
        <v>14</v>
      </c>
      <c r="BC49" s="687">
        <f t="shared" si="193"/>
        <v>13</v>
      </c>
      <c r="BD49" s="687">
        <f t="shared" si="193"/>
        <v>8</v>
      </c>
      <c r="BE49" s="687">
        <f t="shared" si="193"/>
        <v>12</v>
      </c>
      <c r="BF49" s="687">
        <f t="shared" si="193"/>
        <v>25</v>
      </c>
      <c r="BG49" s="687">
        <f t="shared" si="193"/>
        <v>12</v>
      </c>
      <c r="BH49" s="687">
        <f t="shared" si="193"/>
        <v>8</v>
      </c>
      <c r="BI49" s="687">
        <f t="shared" si="193"/>
        <v>10</v>
      </c>
      <c r="BJ49" s="687">
        <f t="shared" si="193"/>
        <v>12</v>
      </c>
      <c r="BK49" s="687">
        <f t="shared" si="193"/>
        <v>4</v>
      </c>
      <c r="BL49" s="687">
        <f t="shared" si="193"/>
        <v>2</v>
      </c>
      <c r="BM49" s="687">
        <f t="shared" si="193"/>
        <v>0</v>
      </c>
      <c r="BN49" s="687">
        <f t="shared" si="193"/>
        <v>120</v>
      </c>
      <c r="BO49" s="687">
        <f t="shared" si="193"/>
        <v>13</v>
      </c>
      <c r="BP49" s="687">
        <f t="shared" si="193"/>
        <v>9</v>
      </c>
      <c r="BQ49" s="687">
        <f t="shared" si="193"/>
        <v>5</v>
      </c>
      <c r="BR49" s="687">
        <f t="shared" si="193"/>
        <v>11</v>
      </c>
      <c r="BS49" s="687">
        <f t="shared" si="193"/>
        <v>11</v>
      </c>
      <c r="BT49" s="687">
        <f t="shared" si="193"/>
        <v>19</v>
      </c>
      <c r="BU49" s="687">
        <f t="shared" si="193"/>
        <v>14</v>
      </c>
      <c r="BV49" s="687">
        <f t="shared" si="193"/>
        <v>45</v>
      </c>
      <c r="BW49" s="687">
        <f t="shared" si="193"/>
        <v>47</v>
      </c>
      <c r="BX49" s="687">
        <f t="shared" si="193"/>
        <v>7</v>
      </c>
      <c r="BY49" s="687">
        <f t="shared" si="193"/>
        <v>7</v>
      </c>
      <c r="BZ49" s="687">
        <f t="shared" si="193"/>
        <v>11</v>
      </c>
      <c r="CA49" s="687">
        <f t="shared" si="193"/>
        <v>199</v>
      </c>
      <c r="CB49" s="687">
        <f t="shared" si="193"/>
        <v>12</v>
      </c>
      <c r="CC49" s="687">
        <f t="shared" si="193"/>
        <v>19</v>
      </c>
      <c r="CD49" s="687">
        <f t="shared" si="193"/>
        <v>12</v>
      </c>
      <c r="CE49" s="687">
        <f t="shared" si="193"/>
        <v>9</v>
      </c>
      <c r="CF49" s="687">
        <f t="shared" si="193"/>
        <v>12</v>
      </c>
      <c r="CG49" s="687">
        <f t="shared" si="193"/>
        <v>16</v>
      </c>
      <c r="CH49" s="687">
        <f t="shared" si="193"/>
        <v>0</v>
      </c>
      <c r="CI49" s="687">
        <f t="shared" si="193"/>
        <v>10</v>
      </c>
      <c r="CJ49" s="687">
        <f t="shared" si="193"/>
        <v>14</v>
      </c>
      <c r="CK49" s="687">
        <f t="shared" si="193"/>
        <v>10</v>
      </c>
      <c r="CL49" s="687">
        <f t="shared" si="193"/>
        <v>20</v>
      </c>
      <c r="CM49" s="687">
        <f t="shared" si="193"/>
        <v>12</v>
      </c>
      <c r="CN49" s="687">
        <f t="shared" ref="CN49:DZ49" si="194">+CN17</f>
        <v>146</v>
      </c>
      <c r="CO49" s="687">
        <f t="shared" si="194"/>
        <v>27</v>
      </c>
      <c r="CP49" s="687">
        <f t="shared" si="194"/>
        <v>17</v>
      </c>
      <c r="CQ49" s="687">
        <f t="shared" si="194"/>
        <v>9</v>
      </c>
      <c r="CR49" s="687">
        <f t="shared" si="194"/>
        <v>16</v>
      </c>
      <c r="CS49" s="687">
        <f t="shared" si="194"/>
        <v>33</v>
      </c>
      <c r="CT49" s="687">
        <f t="shared" si="194"/>
        <v>8</v>
      </c>
      <c r="CU49" s="687">
        <f t="shared" si="194"/>
        <v>29</v>
      </c>
      <c r="CV49" s="687">
        <f t="shared" si="194"/>
        <v>110</v>
      </c>
      <c r="CW49" s="687">
        <f t="shared" si="194"/>
        <v>14</v>
      </c>
      <c r="CX49" s="687">
        <f t="shared" si="194"/>
        <v>8</v>
      </c>
      <c r="CY49" s="687">
        <f t="shared" si="194"/>
        <v>9</v>
      </c>
      <c r="CZ49" s="687">
        <f t="shared" si="194"/>
        <v>9</v>
      </c>
      <c r="DA49" s="687">
        <f t="shared" si="194"/>
        <v>289</v>
      </c>
      <c r="DB49" s="687">
        <f t="shared" si="194"/>
        <v>5</v>
      </c>
      <c r="DC49" s="687">
        <f t="shared" si="194"/>
        <v>15</v>
      </c>
      <c r="DD49" s="687">
        <f t="shared" si="194"/>
        <v>19</v>
      </c>
      <c r="DE49" s="687">
        <f t="shared" si="194"/>
        <v>15</v>
      </c>
      <c r="DF49" s="687">
        <f t="shared" si="194"/>
        <v>25</v>
      </c>
      <c r="DG49" s="687">
        <f t="shared" si="194"/>
        <v>5</v>
      </c>
      <c r="DH49" s="687">
        <f t="shared" si="194"/>
        <v>13</v>
      </c>
      <c r="DI49" s="687">
        <f t="shared" si="194"/>
        <v>18</v>
      </c>
      <c r="DJ49" s="687">
        <f t="shared" si="194"/>
        <v>8</v>
      </c>
      <c r="DK49" s="687">
        <f t="shared" si="194"/>
        <v>12</v>
      </c>
      <c r="DL49" s="687">
        <f t="shared" si="194"/>
        <v>22</v>
      </c>
      <c r="DM49" s="687">
        <f t="shared" si="194"/>
        <v>11</v>
      </c>
      <c r="DN49" s="687">
        <f t="shared" si="194"/>
        <v>168</v>
      </c>
      <c r="DO49" s="687">
        <f t="shared" si="194"/>
        <v>15</v>
      </c>
      <c r="DP49" s="687">
        <f t="shared" si="194"/>
        <v>47</v>
      </c>
      <c r="DQ49" s="687">
        <f t="shared" si="194"/>
        <v>15</v>
      </c>
      <c r="DR49" s="687">
        <f t="shared" si="194"/>
        <v>1</v>
      </c>
      <c r="DS49" s="687">
        <f t="shared" si="194"/>
        <v>2</v>
      </c>
      <c r="DT49" s="687">
        <f t="shared" si="194"/>
        <v>12</v>
      </c>
      <c r="DU49" s="687">
        <f t="shared" si="194"/>
        <v>22</v>
      </c>
      <c r="DV49" s="687">
        <f t="shared" si="194"/>
        <v>35</v>
      </c>
      <c r="DW49" s="687">
        <f t="shared" si="194"/>
        <v>43</v>
      </c>
      <c r="DX49" s="687">
        <f t="shared" si="194"/>
        <v>29</v>
      </c>
      <c r="DY49" s="687">
        <f t="shared" si="194"/>
        <v>19</v>
      </c>
      <c r="DZ49" s="687">
        <f t="shared" si="194"/>
        <v>22</v>
      </c>
      <c r="EA49" s="687">
        <f t="shared" si="117"/>
        <v>262</v>
      </c>
      <c r="EB49" s="687">
        <f t="shared" ref="EB49:EM49" si="195">+EB17</f>
        <v>36</v>
      </c>
      <c r="EC49" s="687">
        <f t="shared" si="195"/>
        <v>77</v>
      </c>
      <c r="ED49" s="687">
        <f t="shared" si="195"/>
        <v>115</v>
      </c>
      <c r="EE49" s="687">
        <f t="shared" si="195"/>
        <v>71</v>
      </c>
      <c r="EF49" s="687">
        <f t="shared" si="195"/>
        <v>47</v>
      </c>
      <c r="EG49" s="687">
        <f t="shared" si="195"/>
        <v>27</v>
      </c>
      <c r="EH49" s="687">
        <f t="shared" si="195"/>
        <v>32</v>
      </c>
      <c r="EI49" s="687">
        <f t="shared" si="195"/>
        <v>70</v>
      </c>
      <c r="EJ49" s="687">
        <f t="shared" si="195"/>
        <v>42</v>
      </c>
      <c r="EK49" s="687">
        <f t="shared" si="195"/>
        <v>58</v>
      </c>
      <c r="EL49" s="687">
        <f t="shared" si="195"/>
        <v>70</v>
      </c>
      <c r="EM49" s="687">
        <f t="shared" si="195"/>
        <v>45</v>
      </c>
      <c r="EN49" s="687">
        <f t="shared" si="119"/>
        <v>690</v>
      </c>
      <c r="EO49" s="687">
        <f t="shared" ref="EO49:EZ49" si="196">+EO17</f>
        <v>134</v>
      </c>
      <c r="EP49" s="687">
        <f t="shared" si="196"/>
        <v>67</v>
      </c>
      <c r="EQ49" s="687">
        <f t="shared" si="196"/>
        <v>76</v>
      </c>
      <c r="ER49" s="687">
        <f t="shared" si="196"/>
        <v>9</v>
      </c>
      <c r="ES49" s="687">
        <f t="shared" si="196"/>
        <v>17</v>
      </c>
      <c r="ET49" s="687">
        <f t="shared" si="196"/>
        <v>21</v>
      </c>
      <c r="EU49" s="687">
        <f t="shared" si="196"/>
        <v>5</v>
      </c>
      <c r="EV49" s="687">
        <f t="shared" si="196"/>
        <v>39</v>
      </c>
      <c r="EW49" s="687">
        <f t="shared" si="196"/>
        <v>22</v>
      </c>
      <c r="EX49" s="687">
        <f t="shared" si="196"/>
        <v>124</v>
      </c>
      <c r="EY49" s="694">
        <f t="shared" si="196"/>
        <v>18</v>
      </c>
      <c r="EZ49" s="694">
        <f t="shared" si="196"/>
        <v>37</v>
      </c>
      <c r="FA49" s="687">
        <f>SUM(EO49:EZ49)</f>
        <v>569</v>
      </c>
      <c r="FB49" s="687">
        <f t="shared" ref="FB49:FM49" si="197">+FB17</f>
        <v>17</v>
      </c>
      <c r="FC49" s="687">
        <f t="shared" si="197"/>
        <v>9</v>
      </c>
      <c r="FD49" s="687">
        <f t="shared" si="197"/>
        <v>3</v>
      </c>
      <c r="FE49" s="687">
        <f t="shared" si="197"/>
        <v>3</v>
      </c>
      <c r="FF49" s="687">
        <f t="shared" si="197"/>
        <v>5</v>
      </c>
      <c r="FG49" s="687">
        <f t="shared" si="197"/>
        <v>4</v>
      </c>
      <c r="FH49" s="687">
        <f t="shared" si="197"/>
        <v>3</v>
      </c>
      <c r="FI49" s="687">
        <f t="shared" si="197"/>
        <v>2</v>
      </c>
      <c r="FJ49" s="687">
        <f t="shared" si="197"/>
        <v>5</v>
      </c>
      <c r="FK49" s="687">
        <f t="shared" si="197"/>
        <v>4</v>
      </c>
      <c r="FL49" s="687">
        <f t="shared" si="197"/>
        <v>20</v>
      </c>
      <c r="FM49" s="687">
        <f t="shared" si="197"/>
        <v>14</v>
      </c>
      <c r="FN49" s="687">
        <f t="shared" si="123"/>
        <v>89</v>
      </c>
      <c r="FO49" s="687">
        <f t="shared" ref="FO49:FZ49" si="198">+FO17</f>
        <v>18</v>
      </c>
      <c r="FP49" s="687">
        <f t="shared" si="198"/>
        <v>3</v>
      </c>
      <c r="FQ49" s="687">
        <f t="shared" si="198"/>
        <v>3</v>
      </c>
      <c r="FR49" s="687">
        <f t="shared" si="198"/>
        <v>6</v>
      </c>
      <c r="FS49" s="687">
        <f t="shared" si="198"/>
        <v>7</v>
      </c>
      <c r="FT49" s="687">
        <f t="shared" si="198"/>
        <v>7</v>
      </c>
      <c r="FU49" s="687">
        <f t="shared" si="198"/>
        <v>8</v>
      </c>
      <c r="FV49" s="687">
        <f t="shared" si="198"/>
        <v>6</v>
      </c>
      <c r="FW49" s="687">
        <f t="shared" si="198"/>
        <v>6</v>
      </c>
      <c r="FX49" s="687">
        <f t="shared" si="198"/>
        <v>9</v>
      </c>
      <c r="FY49" s="687">
        <f t="shared" si="198"/>
        <v>9</v>
      </c>
      <c r="FZ49" s="687">
        <f t="shared" si="198"/>
        <v>10</v>
      </c>
      <c r="GA49" s="687">
        <f t="shared" si="125"/>
        <v>92</v>
      </c>
      <c r="GB49" s="687">
        <f t="shared" ref="GB49:GM49" si="199">+GB17</f>
        <v>8</v>
      </c>
      <c r="GC49" s="687">
        <f t="shared" si="199"/>
        <v>4</v>
      </c>
      <c r="GD49" s="694">
        <f t="shared" si="199"/>
        <v>5</v>
      </c>
      <c r="GE49" s="687">
        <f t="shared" si="199"/>
        <v>7</v>
      </c>
      <c r="GF49" s="687">
        <f t="shared" si="199"/>
        <v>9</v>
      </c>
      <c r="GG49" s="687">
        <f t="shared" si="199"/>
        <v>16</v>
      </c>
      <c r="GH49" s="687">
        <f t="shared" si="199"/>
        <v>7</v>
      </c>
      <c r="GI49" s="687">
        <f t="shared" si="199"/>
        <v>10</v>
      </c>
      <c r="GJ49" s="687">
        <f t="shared" si="199"/>
        <v>6</v>
      </c>
      <c r="GK49" s="687">
        <f t="shared" si="199"/>
        <v>13</v>
      </c>
      <c r="GL49" s="687">
        <f t="shared" si="199"/>
        <v>11</v>
      </c>
      <c r="GM49" s="687">
        <f t="shared" si="199"/>
        <v>9</v>
      </c>
      <c r="GN49" s="687">
        <f t="shared" si="127"/>
        <v>105</v>
      </c>
      <c r="GO49" s="129">
        <f t="shared" ref="GO49:GT49" si="200">+GO17</f>
        <v>27</v>
      </c>
      <c r="GP49" s="129">
        <f t="shared" si="200"/>
        <v>8</v>
      </c>
      <c r="GQ49" s="129">
        <f t="shared" si="200"/>
        <v>12</v>
      </c>
      <c r="GR49" s="129">
        <f t="shared" si="200"/>
        <v>10</v>
      </c>
      <c r="GS49" s="129">
        <f>+GS17</f>
        <v>70</v>
      </c>
      <c r="GT49" s="129">
        <f t="shared" si="200"/>
        <v>4</v>
      </c>
      <c r="GU49" s="129">
        <v>5</v>
      </c>
      <c r="GV49" s="129">
        <v>5</v>
      </c>
      <c r="GW49" s="129"/>
      <c r="GX49" s="129"/>
      <c r="GY49" s="129"/>
      <c r="GZ49" s="129"/>
      <c r="HA49" s="129">
        <f t="shared" si="130"/>
        <v>141</v>
      </c>
      <c r="HC49" s="693">
        <f t="shared" si="113"/>
        <v>-50</v>
      </c>
      <c r="HD49" s="693">
        <f>IFERROR(((HF49/HE49)-1)*100,"-")</f>
        <v>113.63636363636363</v>
      </c>
      <c r="HE49" s="678">
        <f t="shared" si="131"/>
        <v>66</v>
      </c>
      <c r="HF49" s="678">
        <f t="shared" si="141"/>
        <v>141</v>
      </c>
    </row>
    <row r="50" spans="1:214" ht="13.9" customHeight="1" x14ac:dyDescent="0.2">
      <c r="A50" s="722" t="s">
        <v>328</v>
      </c>
      <c r="AB50" s="667">
        <f t="shared" ref="AB50:CM50" si="201">AB15</f>
        <v>21709</v>
      </c>
      <c r="AC50" s="667">
        <f t="shared" si="201"/>
        <v>6455</v>
      </c>
      <c r="AD50" s="667">
        <f t="shared" si="201"/>
        <v>47104</v>
      </c>
      <c r="AE50" s="667">
        <f t="shared" si="201"/>
        <v>14181</v>
      </c>
      <c r="AF50" s="667">
        <f t="shared" si="201"/>
        <v>14376</v>
      </c>
      <c r="AG50" s="667">
        <f t="shared" si="201"/>
        <v>22829</v>
      </c>
      <c r="AH50" s="667">
        <f t="shared" si="201"/>
        <v>44164</v>
      </c>
      <c r="AI50" s="667">
        <f t="shared" si="201"/>
        <v>16455</v>
      </c>
      <c r="AJ50" s="667">
        <f t="shared" si="201"/>
        <v>27661</v>
      </c>
      <c r="AK50" s="667">
        <f t="shared" si="201"/>
        <v>18370</v>
      </c>
      <c r="AL50" s="667">
        <f t="shared" si="201"/>
        <v>17285</v>
      </c>
      <c r="AM50" s="667">
        <f t="shared" si="201"/>
        <v>52722</v>
      </c>
      <c r="AN50" s="667">
        <f t="shared" si="201"/>
        <v>303311</v>
      </c>
      <c r="AO50" s="667">
        <f t="shared" si="201"/>
        <v>17264</v>
      </c>
      <c r="AP50" s="667">
        <f t="shared" si="201"/>
        <v>28867</v>
      </c>
      <c r="AQ50" s="667">
        <f t="shared" si="201"/>
        <v>34531</v>
      </c>
      <c r="AR50" s="667">
        <f t="shared" si="201"/>
        <v>31661</v>
      </c>
      <c r="AS50" s="667">
        <f t="shared" si="201"/>
        <v>15989</v>
      </c>
      <c r="AT50" s="667">
        <f t="shared" si="201"/>
        <v>17789</v>
      </c>
      <c r="AU50" s="667">
        <f t="shared" si="201"/>
        <v>18655</v>
      </c>
      <c r="AV50" s="667">
        <f t="shared" si="201"/>
        <v>18185</v>
      </c>
      <c r="AW50" s="667">
        <f t="shared" si="201"/>
        <v>14135</v>
      </c>
      <c r="AX50" s="667">
        <f t="shared" si="201"/>
        <v>26695</v>
      </c>
      <c r="AY50" s="667">
        <f t="shared" si="201"/>
        <v>18301</v>
      </c>
      <c r="AZ50" s="667">
        <f t="shared" si="201"/>
        <v>57916</v>
      </c>
      <c r="BA50" s="667">
        <f t="shared" si="201"/>
        <v>299988</v>
      </c>
      <c r="BB50" s="667">
        <f t="shared" si="201"/>
        <v>17862</v>
      </c>
      <c r="BC50" s="667">
        <f t="shared" si="201"/>
        <v>20280</v>
      </c>
      <c r="BD50" s="667">
        <f t="shared" si="201"/>
        <v>60456</v>
      </c>
      <c r="BE50" s="667">
        <f t="shared" si="201"/>
        <v>18339</v>
      </c>
      <c r="BF50" s="667">
        <f t="shared" si="201"/>
        <v>29388</v>
      </c>
      <c r="BG50" s="667">
        <f t="shared" si="201"/>
        <v>19067</v>
      </c>
      <c r="BH50" s="667">
        <f t="shared" si="201"/>
        <v>19944</v>
      </c>
      <c r="BI50" s="667">
        <f t="shared" si="201"/>
        <v>16113</v>
      </c>
      <c r="BJ50" s="667">
        <f t="shared" si="201"/>
        <v>16584</v>
      </c>
      <c r="BK50" s="667">
        <f t="shared" si="201"/>
        <v>13540</v>
      </c>
      <c r="BL50" s="667">
        <f t="shared" si="201"/>
        <v>84911</v>
      </c>
      <c r="BM50" s="667">
        <f t="shared" si="201"/>
        <v>25838</v>
      </c>
      <c r="BN50" s="667">
        <f t="shared" si="201"/>
        <v>342322</v>
      </c>
      <c r="BO50" s="667">
        <f t="shared" si="201"/>
        <v>28019</v>
      </c>
      <c r="BP50" s="667">
        <f t="shared" si="201"/>
        <v>8177</v>
      </c>
      <c r="BQ50" s="667">
        <f t="shared" si="201"/>
        <v>76413</v>
      </c>
      <c r="BR50" s="667">
        <f t="shared" si="201"/>
        <v>16148</v>
      </c>
      <c r="BS50" s="667">
        <f t="shared" si="201"/>
        <v>34434</v>
      </c>
      <c r="BT50" s="667">
        <f t="shared" si="201"/>
        <v>19057</v>
      </c>
      <c r="BU50" s="667">
        <f t="shared" si="201"/>
        <v>17261</v>
      </c>
      <c r="BV50" s="667">
        <f t="shared" si="201"/>
        <v>20300</v>
      </c>
      <c r="BW50" s="667">
        <f t="shared" si="201"/>
        <v>16491</v>
      </c>
      <c r="BX50" s="667">
        <f t="shared" si="201"/>
        <v>16763</v>
      </c>
      <c r="BY50" s="667">
        <f t="shared" si="201"/>
        <v>37078</v>
      </c>
      <c r="BZ50" s="667">
        <f t="shared" si="201"/>
        <v>24629</v>
      </c>
      <c r="CA50" s="667">
        <f t="shared" si="201"/>
        <v>314770</v>
      </c>
      <c r="CB50" s="667">
        <f t="shared" si="201"/>
        <v>20473</v>
      </c>
      <c r="CC50" s="667">
        <f t="shared" si="201"/>
        <v>53555</v>
      </c>
      <c r="CD50" s="667">
        <f t="shared" si="201"/>
        <v>34600</v>
      </c>
      <c r="CE50" s="667">
        <f t="shared" si="201"/>
        <v>17589</v>
      </c>
      <c r="CF50" s="667">
        <f t="shared" si="201"/>
        <v>39226</v>
      </c>
      <c r="CG50" s="667">
        <f t="shared" si="201"/>
        <v>18080</v>
      </c>
      <c r="CH50" s="667">
        <f t="shared" si="201"/>
        <v>18289</v>
      </c>
      <c r="CI50" s="667">
        <f t="shared" si="201"/>
        <v>28029</v>
      </c>
      <c r="CJ50" s="667">
        <f t="shared" si="201"/>
        <v>21291</v>
      </c>
      <c r="CK50" s="667">
        <f t="shared" si="201"/>
        <v>37250</v>
      </c>
      <c r="CL50" s="667">
        <f t="shared" si="201"/>
        <v>26344</v>
      </c>
      <c r="CM50" s="667">
        <f t="shared" si="201"/>
        <v>23046</v>
      </c>
      <c r="CN50" s="667">
        <f t="shared" ref="CN50:DZ50" si="202">CN15</f>
        <v>337772</v>
      </c>
      <c r="CO50" s="667">
        <f t="shared" si="202"/>
        <v>28418</v>
      </c>
      <c r="CP50" s="667">
        <f t="shared" si="202"/>
        <v>21392</v>
      </c>
      <c r="CQ50" s="667">
        <f t="shared" si="202"/>
        <v>54301</v>
      </c>
      <c r="CR50" s="667">
        <f t="shared" si="202"/>
        <v>35899</v>
      </c>
      <c r="CS50" s="667">
        <f t="shared" si="202"/>
        <v>25788</v>
      </c>
      <c r="CT50" s="667">
        <f t="shared" si="202"/>
        <v>25272</v>
      </c>
      <c r="CU50" s="667">
        <f t="shared" si="202"/>
        <v>25356</v>
      </c>
      <c r="CV50" s="667">
        <f t="shared" si="202"/>
        <v>21857</v>
      </c>
      <c r="CW50" s="667">
        <f t="shared" si="202"/>
        <v>20877</v>
      </c>
      <c r="CX50" s="667">
        <f t="shared" si="202"/>
        <v>41018</v>
      </c>
      <c r="CY50" s="667">
        <f t="shared" si="202"/>
        <v>23176</v>
      </c>
      <c r="CZ50" s="667">
        <f t="shared" si="202"/>
        <v>22152</v>
      </c>
      <c r="DA50" s="667">
        <f t="shared" si="202"/>
        <v>345506</v>
      </c>
      <c r="DB50" s="667">
        <f t="shared" si="202"/>
        <v>20925</v>
      </c>
      <c r="DC50" s="667">
        <f t="shared" si="202"/>
        <v>25218</v>
      </c>
      <c r="DD50" s="667">
        <f t="shared" si="202"/>
        <v>19045</v>
      </c>
      <c r="DE50" s="667">
        <f t="shared" si="202"/>
        <v>23432</v>
      </c>
      <c r="DF50" s="667">
        <f t="shared" si="202"/>
        <v>75635</v>
      </c>
      <c r="DG50" s="667">
        <f t="shared" si="202"/>
        <v>16784</v>
      </c>
      <c r="DH50" s="667">
        <f t="shared" si="202"/>
        <v>27394</v>
      </c>
      <c r="DI50" s="667">
        <f t="shared" si="202"/>
        <v>17932</v>
      </c>
      <c r="DJ50" s="667">
        <f t="shared" si="202"/>
        <v>19328</v>
      </c>
      <c r="DK50" s="667">
        <f t="shared" si="202"/>
        <v>20679</v>
      </c>
      <c r="DL50" s="667">
        <f t="shared" si="202"/>
        <v>21243</v>
      </c>
      <c r="DM50" s="667">
        <f t="shared" si="202"/>
        <v>26161</v>
      </c>
      <c r="DN50" s="667">
        <f t="shared" si="202"/>
        <v>313776</v>
      </c>
      <c r="DO50" s="667">
        <f t="shared" si="202"/>
        <v>23282</v>
      </c>
      <c r="DP50" s="667">
        <f t="shared" si="202"/>
        <v>714</v>
      </c>
      <c r="DQ50" s="667">
        <f t="shared" si="202"/>
        <v>43401</v>
      </c>
      <c r="DR50" s="667">
        <f t="shared" si="202"/>
        <v>15372</v>
      </c>
      <c r="DS50" s="667">
        <f t="shared" si="202"/>
        <v>12623</v>
      </c>
      <c r="DT50" s="667">
        <f t="shared" si="202"/>
        <v>58734</v>
      </c>
      <c r="DU50" s="667">
        <f t="shared" si="202"/>
        <v>20654</v>
      </c>
      <c r="DV50" s="667">
        <f t="shared" si="202"/>
        <v>29361</v>
      </c>
      <c r="DW50" s="667">
        <f t="shared" si="202"/>
        <v>29769</v>
      </c>
      <c r="DX50" s="667">
        <f t="shared" si="202"/>
        <v>18675</v>
      </c>
      <c r="DY50" s="667">
        <f t="shared" si="202"/>
        <v>19715</v>
      </c>
      <c r="DZ50" s="667">
        <f t="shared" si="202"/>
        <v>21241</v>
      </c>
      <c r="EA50" s="667"/>
      <c r="EB50" s="667">
        <f t="shared" ref="EB50:EM50" si="203">EB15</f>
        <v>30686</v>
      </c>
      <c r="EC50" s="667">
        <f t="shared" si="203"/>
        <v>23107</v>
      </c>
      <c r="ED50" s="667">
        <f t="shared" si="203"/>
        <v>23649</v>
      </c>
      <c r="EE50" s="667">
        <f t="shared" si="203"/>
        <v>51155</v>
      </c>
      <c r="EF50" s="667">
        <f t="shared" si="203"/>
        <v>28099</v>
      </c>
      <c r="EG50" s="667">
        <f t="shared" si="203"/>
        <v>30249</v>
      </c>
      <c r="EH50" s="667">
        <f t="shared" si="203"/>
        <v>24169</v>
      </c>
      <c r="EI50" s="667">
        <f t="shared" si="203"/>
        <v>28401</v>
      </c>
      <c r="EJ50" s="667">
        <f t="shared" si="203"/>
        <v>40178</v>
      </c>
      <c r="EK50" s="667">
        <f t="shared" si="203"/>
        <v>27826</v>
      </c>
      <c r="EL50" s="667">
        <f t="shared" si="203"/>
        <v>29712</v>
      </c>
      <c r="EM50" s="667">
        <f t="shared" si="203"/>
        <v>32181</v>
      </c>
      <c r="EN50" s="667"/>
      <c r="EO50" s="667">
        <f t="shared" ref="EO50:EZ50" si="204">EO15</f>
        <v>31167</v>
      </c>
      <c r="EP50" s="667">
        <f t="shared" si="204"/>
        <v>36918</v>
      </c>
      <c r="EQ50" s="667">
        <f t="shared" si="204"/>
        <v>33024</v>
      </c>
      <c r="ER50" s="667">
        <f t="shared" si="204"/>
        <v>29601</v>
      </c>
      <c r="ES50" s="667">
        <f t="shared" si="204"/>
        <v>62721</v>
      </c>
      <c r="ET50" s="667">
        <f t="shared" si="204"/>
        <v>50153</v>
      </c>
      <c r="EU50" s="667">
        <f t="shared" si="204"/>
        <v>29633</v>
      </c>
      <c r="EV50" s="667">
        <f t="shared" si="204"/>
        <v>31582</v>
      </c>
      <c r="EW50" s="667">
        <f t="shared" si="204"/>
        <v>35890</v>
      </c>
      <c r="EX50" s="667">
        <f t="shared" si="204"/>
        <v>34140</v>
      </c>
      <c r="EY50" s="665">
        <f t="shared" si="204"/>
        <v>28167</v>
      </c>
      <c r="EZ50" s="665">
        <f t="shared" si="204"/>
        <v>30303</v>
      </c>
      <c r="FA50" s="665"/>
      <c r="FB50" s="667">
        <f t="shared" ref="FB50:FM50" si="205">FB15</f>
        <v>28997</v>
      </c>
      <c r="FC50" s="667">
        <f t="shared" si="205"/>
        <v>32235</v>
      </c>
      <c r="FD50" s="667">
        <f t="shared" si="205"/>
        <v>29900</v>
      </c>
      <c r="FE50" s="667">
        <f t="shared" si="205"/>
        <v>50902</v>
      </c>
      <c r="FF50" s="667">
        <f t="shared" si="205"/>
        <v>51516</v>
      </c>
      <c r="FG50" s="667">
        <f t="shared" si="205"/>
        <v>29652</v>
      </c>
      <c r="FH50" s="667">
        <f t="shared" si="205"/>
        <v>26320</v>
      </c>
      <c r="FI50" s="667">
        <f t="shared" si="205"/>
        <v>34019</v>
      </c>
      <c r="FJ50" s="667">
        <f t="shared" si="205"/>
        <v>28127</v>
      </c>
      <c r="FK50" s="667">
        <f t="shared" si="205"/>
        <v>26990</v>
      </c>
      <c r="FL50" s="667">
        <f t="shared" si="205"/>
        <v>30773</v>
      </c>
      <c r="FM50" s="667">
        <f t="shared" si="205"/>
        <v>33406</v>
      </c>
      <c r="FN50" s="667"/>
      <c r="FO50" s="667">
        <f t="shared" ref="FO50:FZ50" si="206">FO15</f>
        <v>30896</v>
      </c>
      <c r="FP50" s="667">
        <f t="shared" si="206"/>
        <v>35053</v>
      </c>
      <c r="FQ50" s="667">
        <f t="shared" si="206"/>
        <v>24666</v>
      </c>
      <c r="FR50" s="667">
        <f t="shared" si="206"/>
        <v>30168</v>
      </c>
      <c r="FS50" s="667">
        <f t="shared" si="206"/>
        <v>45830</v>
      </c>
      <c r="FT50" s="667">
        <f t="shared" si="206"/>
        <v>36497</v>
      </c>
      <c r="FU50" s="667">
        <f t="shared" si="206"/>
        <v>32308</v>
      </c>
      <c r="FV50" s="667">
        <f t="shared" si="206"/>
        <v>28928</v>
      </c>
      <c r="FW50" s="667">
        <f t="shared" si="206"/>
        <v>32993</v>
      </c>
      <c r="FX50" s="667">
        <f t="shared" si="206"/>
        <v>33184</v>
      </c>
      <c r="FY50" s="667">
        <f t="shared" si="206"/>
        <v>31492</v>
      </c>
      <c r="FZ50" s="667">
        <f t="shared" si="206"/>
        <v>44125</v>
      </c>
      <c r="GA50" s="667"/>
      <c r="GB50" s="667">
        <f t="shared" ref="GB50:GM50" si="207">GB15</f>
        <v>33838</v>
      </c>
      <c r="GC50" s="667">
        <f t="shared" si="207"/>
        <v>39811</v>
      </c>
      <c r="GD50" s="665">
        <f t="shared" si="207"/>
        <v>34260</v>
      </c>
      <c r="GE50" s="667">
        <f t="shared" si="207"/>
        <v>30872</v>
      </c>
      <c r="GF50" s="667">
        <f t="shared" si="207"/>
        <v>56760</v>
      </c>
      <c r="GG50" s="667">
        <f t="shared" si="207"/>
        <v>40431</v>
      </c>
      <c r="GH50" s="667">
        <f t="shared" si="207"/>
        <v>37525</v>
      </c>
      <c r="GI50" s="667">
        <f t="shared" si="207"/>
        <v>30359</v>
      </c>
      <c r="GJ50" s="667">
        <f t="shared" si="207"/>
        <v>31227</v>
      </c>
      <c r="GK50" s="667">
        <f t="shared" si="207"/>
        <v>32133</v>
      </c>
      <c r="GL50" s="667">
        <f t="shared" si="207"/>
        <v>31126</v>
      </c>
      <c r="GM50" s="667">
        <f t="shared" si="207"/>
        <v>27366</v>
      </c>
      <c r="GN50" s="667">
        <f t="shared" si="127"/>
        <v>425708</v>
      </c>
      <c r="GO50">
        <f t="shared" ref="GO50:GT50" si="208">GO15</f>
        <v>31642</v>
      </c>
      <c r="GP50">
        <f t="shared" si="208"/>
        <v>39982</v>
      </c>
      <c r="GQ50">
        <f t="shared" si="208"/>
        <v>33471</v>
      </c>
      <c r="GR50">
        <f t="shared" si="208"/>
        <v>34387</v>
      </c>
      <c r="GS50">
        <f>GS15</f>
        <v>54032</v>
      </c>
      <c r="GT50">
        <f t="shared" si="208"/>
        <v>31068</v>
      </c>
      <c r="GU50">
        <v>28241</v>
      </c>
      <c r="GV50">
        <f>GV15</f>
        <v>29966</v>
      </c>
      <c r="HA50">
        <f t="shared" si="130"/>
        <v>282789</v>
      </c>
      <c r="HC50" s="667">
        <f t="shared" si="113"/>
        <v>-1.2945090417997962</v>
      </c>
      <c r="HD50" s="667">
        <f>HD15</f>
        <v>-6.9332183665947067</v>
      </c>
      <c r="HE50" s="667">
        <f t="shared" si="131"/>
        <v>303856</v>
      </c>
      <c r="HF50" s="667">
        <f t="shared" si="141"/>
        <v>282789</v>
      </c>
    </row>
    <row r="51" spans="1:214" ht="13.9" customHeight="1" x14ac:dyDescent="0.2">
      <c r="A51" s="723" t="s">
        <v>312</v>
      </c>
      <c r="AB51" s="722">
        <v>2013</v>
      </c>
      <c r="AC51" s="722"/>
      <c r="AD51" s="722"/>
      <c r="AE51" s="722"/>
      <c r="AF51" s="722"/>
      <c r="AG51" s="722"/>
      <c r="AH51" s="722"/>
      <c r="AI51" s="722"/>
      <c r="AJ51" s="722"/>
      <c r="AK51" s="722"/>
      <c r="AL51" s="722"/>
      <c r="AM51" s="722"/>
      <c r="AN51" s="724" t="s">
        <v>29</v>
      </c>
      <c r="AO51" s="722">
        <v>2014</v>
      </c>
      <c r="AP51" s="722"/>
      <c r="AQ51" s="722"/>
      <c r="AR51" s="722"/>
      <c r="AS51" s="722"/>
      <c r="AT51" s="722"/>
      <c r="AU51" s="722"/>
      <c r="AV51" s="722"/>
      <c r="AW51" s="722"/>
      <c r="AX51" s="722"/>
      <c r="AY51" s="722"/>
      <c r="AZ51" s="722"/>
      <c r="BA51" s="724" t="s">
        <v>29</v>
      </c>
      <c r="BB51" s="722">
        <v>2015</v>
      </c>
      <c r="BC51" s="722"/>
      <c r="BD51" s="722"/>
      <c r="BE51" s="722"/>
      <c r="BF51" s="722"/>
      <c r="BG51" s="722"/>
      <c r="BH51" s="722"/>
      <c r="BI51" s="722"/>
      <c r="BJ51" s="722"/>
      <c r="BK51" s="722"/>
      <c r="BL51" s="722"/>
      <c r="BM51" s="722"/>
      <c r="BN51" s="724" t="s">
        <v>29</v>
      </c>
      <c r="BO51" s="724">
        <v>2016</v>
      </c>
      <c r="BP51" s="724"/>
      <c r="BQ51" s="724"/>
      <c r="BR51" s="724"/>
      <c r="BS51" s="724"/>
      <c r="BT51" s="724"/>
      <c r="BU51" s="724"/>
      <c r="BV51" s="724"/>
      <c r="BW51" s="724"/>
      <c r="BX51" s="724"/>
      <c r="BY51" s="724"/>
      <c r="BZ51" s="724"/>
      <c r="CA51" s="724" t="s">
        <v>29</v>
      </c>
      <c r="CB51" s="724">
        <v>2017</v>
      </c>
      <c r="CC51" s="724"/>
      <c r="CD51" s="724"/>
      <c r="CE51" s="724"/>
      <c r="CF51" s="724"/>
      <c r="CG51" s="724"/>
      <c r="CH51" s="724"/>
      <c r="CI51" s="724"/>
      <c r="CJ51" s="724"/>
      <c r="CK51" s="724"/>
      <c r="CL51" s="724"/>
      <c r="CM51" s="724"/>
      <c r="CN51" s="724" t="s">
        <v>29</v>
      </c>
      <c r="CO51" s="724">
        <v>2018</v>
      </c>
      <c r="CP51" s="724"/>
      <c r="CQ51" s="724"/>
      <c r="CR51" s="724"/>
      <c r="CS51" s="724"/>
      <c r="CT51" s="724"/>
      <c r="CU51" s="724"/>
      <c r="CV51" s="724"/>
      <c r="CW51" s="724"/>
      <c r="CX51" s="724"/>
      <c r="CY51" s="724"/>
      <c r="CZ51" s="724"/>
      <c r="DA51" s="724" t="s">
        <v>29</v>
      </c>
      <c r="DB51" s="722">
        <v>2019</v>
      </c>
      <c r="DC51" s="722"/>
      <c r="DD51" s="722"/>
      <c r="DE51" s="722"/>
      <c r="DF51" s="722"/>
      <c r="DG51" s="722"/>
      <c r="DH51" s="722"/>
      <c r="DI51" s="724"/>
      <c r="DJ51" s="724"/>
      <c r="DK51" s="724"/>
      <c r="DL51" s="724"/>
      <c r="DM51" s="724"/>
      <c r="DN51" s="724" t="s">
        <v>29</v>
      </c>
      <c r="DO51" s="724">
        <v>2020</v>
      </c>
      <c r="DP51" s="724"/>
      <c r="DQ51" s="724"/>
      <c r="DR51" s="724"/>
      <c r="DS51" s="724"/>
      <c r="DT51" s="724"/>
      <c r="DU51" s="724"/>
      <c r="DV51" s="724"/>
      <c r="DW51" s="724"/>
      <c r="DX51" s="724"/>
      <c r="DY51" s="724"/>
      <c r="DZ51" s="724"/>
      <c r="EA51" s="724" t="s">
        <v>307</v>
      </c>
      <c r="EB51" s="724">
        <v>2021</v>
      </c>
      <c r="EC51" s="724"/>
      <c r="ED51" s="724"/>
      <c r="EE51" s="724"/>
      <c r="EF51" s="724"/>
      <c r="EG51" s="724"/>
      <c r="EH51" s="724"/>
      <c r="EI51" s="724"/>
      <c r="EJ51" s="724"/>
      <c r="EK51" s="724"/>
      <c r="EL51" s="724"/>
      <c r="EM51" s="724"/>
      <c r="EN51" s="724" t="s">
        <v>307</v>
      </c>
      <c r="EO51" s="724">
        <v>2022</v>
      </c>
      <c r="EP51" s="724"/>
      <c r="EQ51" s="724"/>
      <c r="ER51" s="724"/>
      <c r="ES51" s="724"/>
      <c r="ET51" s="724"/>
      <c r="EU51" s="724"/>
      <c r="EV51" s="724"/>
      <c r="EW51" s="724"/>
      <c r="EX51" s="724"/>
      <c r="EY51" s="725"/>
      <c r="EZ51" s="725"/>
      <c r="FA51" s="724" t="s">
        <v>307</v>
      </c>
      <c r="FB51" s="726">
        <v>2023</v>
      </c>
      <c r="FC51" s="726"/>
      <c r="FD51" s="726"/>
      <c r="FE51" s="726"/>
      <c r="FF51" s="725"/>
      <c r="FG51" s="725"/>
      <c r="FH51" s="725"/>
      <c r="FI51" s="725"/>
      <c r="FJ51" s="725"/>
      <c r="FK51" s="725"/>
      <c r="FL51" s="725"/>
      <c r="FM51" s="725"/>
      <c r="FN51" s="725" t="s">
        <v>307</v>
      </c>
      <c r="FO51" s="725">
        <v>2024</v>
      </c>
      <c r="FP51" s="725"/>
      <c r="FQ51" s="725"/>
      <c r="FR51" s="725"/>
      <c r="FS51" s="725"/>
      <c r="FT51" s="725"/>
      <c r="FU51" s="725"/>
      <c r="FV51" s="725"/>
      <c r="FW51" s="725"/>
      <c r="FX51" s="725"/>
      <c r="FY51" s="725"/>
      <c r="FZ51" s="725"/>
      <c r="GA51" s="725" t="s">
        <v>307</v>
      </c>
      <c r="GB51" s="726">
        <v>2025</v>
      </c>
      <c r="GC51" s="726"/>
      <c r="GD51" s="726"/>
      <c r="GE51" s="726"/>
      <c r="GF51" s="725"/>
      <c r="GG51" s="726"/>
      <c r="GH51" s="726"/>
      <c r="GI51" s="726"/>
      <c r="GJ51" s="726"/>
      <c r="GK51" s="726"/>
      <c r="GL51" s="726"/>
      <c r="GM51" s="726"/>
      <c r="GN51" s="726">
        <f t="shared" si="127"/>
        <v>2025</v>
      </c>
      <c r="HA51">
        <v>2026</v>
      </c>
      <c r="HC51" s="713" t="str">
        <f t="shared" si="113"/>
        <v>-</v>
      </c>
      <c r="HD51" s="713"/>
      <c r="HE51" s="724">
        <f t="shared" si="131"/>
        <v>2025</v>
      </c>
      <c r="HF51" s="1046"/>
    </row>
    <row r="52" spans="1:214" ht="13.9" customHeight="1" x14ac:dyDescent="0.2">
      <c r="A52" s="727" t="s">
        <v>328</v>
      </c>
      <c r="AB52" s="728">
        <f t="shared" ref="AB52:AM52" si="209">SUM(AB53+AB77)</f>
        <v>21709</v>
      </c>
      <c r="AC52" s="728">
        <f t="shared" si="209"/>
        <v>6455</v>
      </c>
      <c r="AD52" s="728">
        <f t="shared" si="209"/>
        <v>47104.3</v>
      </c>
      <c r="AE52" s="728">
        <f t="shared" si="209"/>
        <v>14180.67</v>
      </c>
      <c r="AF52" s="728">
        <f t="shared" si="209"/>
        <v>14375.5</v>
      </c>
      <c r="AG52" s="728">
        <f t="shared" si="209"/>
        <v>22828.639999999999</v>
      </c>
      <c r="AH52" s="728">
        <f t="shared" si="209"/>
        <v>44164.4</v>
      </c>
      <c r="AI52" s="728">
        <f t="shared" si="209"/>
        <v>16455.14</v>
      </c>
      <c r="AJ52" s="728">
        <f t="shared" si="209"/>
        <v>27661</v>
      </c>
      <c r="AK52" s="728">
        <f t="shared" si="209"/>
        <v>18370.406999999999</v>
      </c>
      <c r="AL52" s="728">
        <f t="shared" si="209"/>
        <v>17285.04</v>
      </c>
      <c r="AM52" s="728">
        <f t="shared" si="209"/>
        <v>52722</v>
      </c>
      <c r="AN52" s="728">
        <f t="shared" ref="AN52:AN75" si="210">SUM(AB52:AM52)</f>
        <v>303311.09700000007</v>
      </c>
      <c r="AO52" s="728">
        <f t="shared" ref="AO52:AZ52" si="211">SUM(AO53+AO77)</f>
        <v>17264.099999999999</v>
      </c>
      <c r="AP52" s="728">
        <f t="shared" si="211"/>
        <v>28867.016</v>
      </c>
      <c r="AQ52" s="728">
        <f t="shared" si="211"/>
        <v>34530.870000000003</v>
      </c>
      <c r="AR52" s="728">
        <f t="shared" si="211"/>
        <v>31661.016</v>
      </c>
      <c r="AS52" s="728">
        <f t="shared" si="211"/>
        <v>15989.2</v>
      </c>
      <c r="AT52" s="728">
        <f t="shared" si="211"/>
        <v>17789.118000000002</v>
      </c>
      <c r="AU52" s="728">
        <f t="shared" si="211"/>
        <v>18655.23</v>
      </c>
      <c r="AV52" s="728">
        <f t="shared" si="211"/>
        <v>18184.906999999999</v>
      </c>
      <c r="AW52" s="728">
        <f t="shared" si="211"/>
        <v>14135.208000000001</v>
      </c>
      <c r="AX52" s="728">
        <f t="shared" si="211"/>
        <v>26695.019</v>
      </c>
      <c r="AY52" s="728">
        <f t="shared" si="211"/>
        <v>18300.659</v>
      </c>
      <c r="AZ52" s="728">
        <f t="shared" si="211"/>
        <v>57916.133000000002</v>
      </c>
      <c r="BA52" s="728">
        <f t="shared" ref="BA52:BA75" si="212">SUM(AO52:AZ52)</f>
        <v>299988.47600000002</v>
      </c>
      <c r="BB52" s="728">
        <f t="shared" ref="BB52:CM52" si="213">SUM(BB53+BB77)</f>
        <v>17862.263999999999</v>
      </c>
      <c r="BC52" s="728">
        <f t="shared" si="213"/>
        <v>20280.445</v>
      </c>
      <c r="BD52" s="728">
        <f t="shared" si="213"/>
        <v>60456.241000000002</v>
      </c>
      <c r="BE52" s="728">
        <f t="shared" si="213"/>
        <v>18339.239000000001</v>
      </c>
      <c r="BF52" s="728">
        <f t="shared" si="213"/>
        <v>29388</v>
      </c>
      <c r="BG52" s="728">
        <f t="shared" si="213"/>
        <v>19067</v>
      </c>
      <c r="BH52" s="728">
        <f t="shared" si="213"/>
        <v>19944</v>
      </c>
      <c r="BI52" s="728">
        <f t="shared" si="213"/>
        <v>16113</v>
      </c>
      <c r="BJ52" s="728">
        <f t="shared" si="213"/>
        <v>16584</v>
      </c>
      <c r="BK52" s="728">
        <f t="shared" si="213"/>
        <v>13540</v>
      </c>
      <c r="BL52" s="728">
        <f t="shared" si="213"/>
        <v>84911</v>
      </c>
      <c r="BM52" s="728">
        <f t="shared" si="213"/>
        <v>25838</v>
      </c>
      <c r="BN52" s="728">
        <f t="shared" ref="BN52:BN75" si="214">SUM(BB52:BM52)</f>
        <v>342323.18900000001</v>
      </c>
      <c r="BO52" s="728">
        <f t="shared" si="213"/>
        <v>28019</v>
      </c>
      <c r="BP52" s="728">
        <f t="shared" si="213"/>
        <v>8177</v>
      </c>
      <c r="BQ52" s="728">
        <f t="shared" si="213"/>
        <v>76413</v>
      </c>
      <c r="BR52" s="728">
        <f t="shared" si="213"/>
        <v>16148</v>
      </c>
      <c r="BS52" s="728">
        <f t="shared" si="213"/>
        <v>34434</v>
      </c>
      <c r="BT52" s="728">
        <f t="shared" si="213"/>
        <v>19057</v>
      </c>
      <c r="BU52" s="728">
        <f t="shared" si="213"/>
        <v>17261</v>
      </c>
      <c r="BV52" s="728">
        <f t="shared" si="213"/>
        <v>20300</v>
      </c>
      <c r="BW52" s="728">
        <f t="shared" si="213"/>
        <v>16491</v>
      </c>
      <c r="BX52" s="728">
        <f t="shared" si="213"/>
        <v>16763</v>
      </c>
      <c r="BY52" s="728">
        <f t="shared" si="213"/>
        <v>37078</v>
      </c>
      <c r="BZ52" s="728">
        <f t="shared" si="213"/>
        <v>24629</v>
      </c>
      <c r="CA52" s="728">
        <f t="shared" ref="CA52:CA85" si="215">SUM(BO52:BZ52)</f>
        <v>314770</v>
      </c>
      <c r="CB52" s="728">
        <f t="shared" si="213"/>
        <v>20473</v>
      </c>
      <c r="CC52" s="728">
        <f t="shared" si="213"/>
        <v>53555</v>
      </c>
      <c r="CD52" s="728">
        <f t="shared" si="213"/>
        <v>34600</v>
      </c>
      <c r="CE52" s="728">
        <f t="shared" si="213"/>
        <v>17589</v>
      </c>
      <c r="CF52" s="728">
        <f t="shared" si="213"/>
        <v>39226</v>
      </c>
      <c r="CG52" s="728">
        <f t="shared" si="213"/>
        <v>18080</v>
      </c>
      <c r="CH52" s="728">
        <f t="shared" si="213"/>
        <v>18289</v>
      </c>
      <c r="CI52" s="728">
        <f t="shared" si="213"/>
        <v>28029</v>
      </c>
      <c r="CJ52" s="728">
        <f t="shared" si="213"/>
        <v>21291</v>
      </c>
      <c r="CK52" s="728">
        <f t="shared" si="213"/>
        <v>36974</v>
      </c>
      <c r="CL52" s="728">
        <f t="shared" si="213"/>
        <v>26267</v>
      </c>
      <c r="CM52" s="728">
        <f t="shared" si="213"/>
        <v>22724</v>
      </c>
      <c r="CN52" s="728">
        <f t="shared" ref="CN52:CN75" si="216">SUM(CB52:CM52)</f>
        <v>337097</v>
      </c>
      <c r="CO52" s="728">
        <f t="shared" ref="CO52:CZ52" si="217">SUM(CO53+CO77)</f>
        <v>15834</v>
      </c>
      <c r="CP52" s="728">
        <f t="shared" si="217"/>
        <v>17703</v>
      </c>
      <c r="CQ52" s="728">
        <f t="shared" si="217"/>
        <v>53785</v>
      </c>
      <c r="CR52" s="728">
        <f t="shared" si="217"/>
        <v>30762</v>
      </c>
      <c r="CS52" s="728">
        <f t="shared" si="217"/>
        <v>23288</v>
      </c>
      <c r="CT52" s="728">
        <f t="shared" si="217"/>
        <v>25296</v>
      </c>
      <c r="CU52" s="728">
        <f t="shared" si="217"/>
        <v>18738</v>
      </c>
      <c r="CV52" s="728">
        <f t="shared" si="217"/>
        <v>19280</v>
      </c>
      <c r="CW52" s="728">
        <f t="shared" si="217"/>
        <v>20145</v>
      </c>
      <c r="CX52" s="728">
        <f t="shared" si="217"/>
        <v>40716</v>
      </c>
      <c r="CY52" s="728">
        <f t="shared" si="217"/>
        <v>22775</v>
      </c>
      <c r="CZ52" s="728">
        <f t="shared" si="217"/>
        <v>20855</v>
      </c>
      <c r="DA52" s="728">
        <f t="shared" ref="DA52:DA75" si="218">SUM(CO52:CZ52)</f>
        <v>309177</v>
      </c>
      <c r="DB52" s="728">
        <f t="shared" ref="DB52:DM52" si="219">SUM(DB53+DB77)</f>
        <v>20625</v>
      </c>
      <c r="DC52" s="728">
        <f t="shared" si="219"/>
        <v>25218</v>
      </c>
      <c r="DD52" s="728">
        <f t="shared" si="219"/>
        <v>19045</v>
      </c>
      <c r="DE52" s="728">
        <f t="shared" si="219"/>
        <v>23432</v>
      </c>
      <c r="DF52" s="728">
        <f t="shared" si="219"/>
        <v>75635</v>
      </c>
      <c r="DG52" s="728">
        <f t="shared" si="219"/>
        <v>16784</v>
      </c>
      <c r="DH52" s="728">
        <f>SUM(DH53+DH77)</f>
        <v>27362</v>
      </c>
      <c r="DI52" s="728">
        <f t="shared" si="219"/>
        <v>18265</v>
      </c>
      <c r="DJ52" s="728">
        <f t="shared" si="219"/>
        <v>20232</v>
      </c>
      <c r="DK52" s="728">
        <f t="shared" si="219"/>
        <v>20512</v>
      </c>
      <c r="DL52" s="728">
        <f t="shared" si="219"/>
        <v>25425</v>
      </c>
      <c r="DM52" s="728">
        <f t="shared" si="219"/>
        <v>25676</v>
      </c>
      <c r="DN52" s="728">
        <f t="shared" ref="DN52:DN75" si="220">SUM(DB52:DM52)</f>
        <v>318211</v>
      </c>
      <c r="DO52" s="728">
        <f t="shared" ref="DO52:DY52" si="221">SUM(DO53+DO77)</f>
        <v>23282</v>
      </c>
      <c r="DP52" s="728">
        <f t="shared" si="221"/>
        <v>714</v>
      </c>
      <c r="DQ52" s="728">
        <f t="shared" si="221"/>
        <v>43401</v>
      </c>
      <c r="DR52" s="728">
        <f t="shared" si="221"/>
        <v>15372</v>
      </c>
      <c r="DS52" s="728">
        <f t="shared" si="221"/>
        <v>12623</v>
      </c>
      <c r="DT52" s="728">
        <f t="shared" si="221"/>
        <v>58734</v>
      </c>
      <c r="DU52" s="728">
        <f t="shared" si="221"/>
        <v>20654</v>
      </c>
      <c r="DV52" s="728">
        <f t="shared" si="221"/>
        <v>29361</v>
      </c>
      <c r="DW52" s="728">
        <f t="shared" si="221"/>
        <v>29769</v>
      </c>
      <c r="DX52" s="728">
        <f t="shared" si="221"/>
        <v>18675</v>
      </c>
      <c r="DY52" s="728">
        <f t="shared" si="221"/>
        <v>19715</v>
      </c>
      <c r="DZ52" s="728">
        <f>SUM(DZ53+DZ77)</f>
        <v>21241</v>
      </c>
      <c r="EA52" s="728">
        <f>SUM(DO52:DZ52)</f>
        <v>293541</v>
      </c>
      <c r="EB52" s="728">
        <f t="shared" ref="EB52:EM52" si="222">SUM(EB53+EB77)</f>
        <v>30686</v>
      </c>
      <c r="EC52" s="728">
        <f t="shared" si="222"/>
        <v>23107</v>
      </c>
      <c r="ED52" s="728">
        <f t="shared" si="222"/>
        <v>23649</v>
      </c>
      <c r="EE52" s="728">
        <f t="shared" si="222"/>
        <v>51155</v>
      </c>
      <c r="EF52" s="728">
        <f t="shared" si="222"/>
        <v>28099</v>
      </c>
      <c r="EG52" s="728">
        <f t="shared" si="222"/>
        <v>30249</v>
      </c>
      <c r="EH52" s="728">
        <f t="shared" si="222"/>
        <v>24169</v>
      </c>
      <c r="EI52" s="728">
        <f t="shared" si="222"/>
        <v>28401</v>
      </c>
      <c r="EJ52" s="728">
        <f t="shared" si="222"/>
        <v>40178</v>
      </c>
      <c r="EK52" s="728">
        <f t="shared" si="222"/>
        <v>27826</v>
      </c>
      <c r="EL52" s="728">
        <f t="shared" si="222"/>
        <v>29712</v>
      </c>
      <c r="EM52" s="728">
        <f t="shared" si="222"/>
        <v>32181</v>
      </c>
      <c r="EN52" s="728">
        <f>SUM(EB52:EM52)</f>
        <v>369412</v>
      </c>
      <c r="EO52" s="728">
        <f t="shared" ref="EO52:EZ52" si="223">SUM(EO53+EO77)</f>
        <v>31167</v>
      </c>
      <c r="EP52" s="728">
        <f t="shared" si="223"/>
        <v>36918</v>
      </c>
      <c r="EQ52" s="728">
        <f t="shared" si="223"/>
        <v>33024</v>
      </c>
      <c r="ER52" s="728">
        <f t="shared" si="223"/>
        <v>29601</v>
      </c>
      <c r="ES52" s="728">
        <f t="shared" si="223"/>
        <v>62721</v>
      </c>
      <c r="ET52" s="728">
        <f t="shared" si="223"/>
        <v>50153</v>
      </c>
      <c r="EU52" s="728">
        <f t="shared" si="223"/>
        <v>29633</v>
      </c>
      <c r="EV52" s="728">
        <f t="shared" si="223"/>
        <v>31582</v>
      </c>
      <c r="EW52" s="728">
        <f t="shared" si="223"/>
        <v>35890</v>
      </c>
      <c r="EX52" s="728">
        <f t="shared" si="223"/>
        <v>34140</v>
      </c>
      <c r="EY52" s="729">
        <f t="shared" si="223"/>
        <v>28167</v>
      </c>
      <c r="EZ52" s="729">
        <f t="shared" si="223"/>
        <v>30303</v>
      </c>
      <c r="FA52" s="728">
        <f>SUM(EO52:EZ52)</f>
        <v>433299</v>
      </c>
      <c r="FB52" s="728">
        <f t="shared" ref="FB52:FL52" si="224">SUM(FB53+FB77)</f>
        <v>28997</v>
      </c>
      <c r="FC52" s="728">
        <f t="shared" si="224"/>
        <v>32235</v>
      </c>
      <c r="FD52" s="728">
        <f t="shared" si="224"/>
        <v>29900</v>
      </c>
      <c r="FE52" s="728">
        <f t="shared" si="224"/>
        <v>50902</v>
      </c>
      <c r="FF52" s="728">
        <f t="shared" si="224"/>
        <v>51516</v>
      </c>
      <c r="FG52" s="728">
        <f t="shared" si="224"/>
        <v>29652</v>
      </c>
      <c r="FH52" s="728">
        <f t="shared" si="224"/>
        <v>26320</v>
      </c>
      <c r="FI52" s="728">
        <f t="shared" si="224"/>
        <v>34019</v>
      </c>
      <c r="FJ52" s="728">
        <f t="shared" si="224"/>
        <v>28127</v>
      </c>
      <c r="FK52" s="728">
        <f t="shared" si="224"/>
        <v>26990</v>
      </c>
      <c r="FL52" s="728">
        <f t="shared" si="224"/>
        <v>30773</v>
      </c>
      <c r="FM52" s="728">
        <f>SUM(FM53+FM77)</f>
        <v>33406</v>
      </c>
      <c r="FN52" s="728">
        <f>SUM(FB52:FM52)</f>
        <v>402837</v>
      </c>
      <c r="FO52" s="728">
        <f t="shared" ref="FO52:FZ52" si="225">SUM(FO53+FO77)</f>
        <v>30896</v>
      </c>
      <c r="FP52" s="728">
        <f t="shared" si="225"/>
        <v>35053</v>
      </c>
      <c r="FQ52" s="728">
        <f t="shared" si="225"/>
        <v>24666</v>
      </c>
      <c r="FR52" s="728">
        <f t="shared" si="225"/>
        <v>30168</v>
      </c>
      <c r="FS52" s="728">
        <f t="shared" si="225"/>
        <v>45830</v>
      </c>
      <c r="FT52" s="728">
        <f t="shared" si="225"/>
        <v>36497</v>
      </c>
      <c r="FU52" s="728">
        <f t="shared" si="225"/>
        <v>32308</v>
      </c>
      <c r="FV52" s="728">
        <f t="shared" si="225"/>
        <v>28928</v>
      </c>
      <c r="FW52" s="728">
        <f t="shared" si="225"/>
        <v>32993</v>
      </c>
      <c r="FX52" s="728">
        <f t="shared" si="225"/>
        <v>33184</v>
      </c>
      <c r="FY52" s="728">
        <f t="shared" si="225"/>
        <v>31492</v>
      </c>
      <c r="FZ52" s="728">
        <f t="shared" si="225"/>
        <v>44125</v>
      </c>
      <c r="GA52" s="728">
        <f>SUM(FO52:FZ52)</f>
        <v>406140</v>
      </c>
      <c r="GB52" s="728">
        <f t="shared" ref="GB52:GM52" si="226">SUM(GB53+GB77)</f>
        <v>33838</v>
      </c>
      <c r="GC52" s="728">
        <f t="shared" si="226"/>
        <v>39811</v>
      </c>
      <c r="GD52" s="729">
        <f t="shared" si="226"/>
        <v>34260</v>
      </c>
      <c r="GE52" s="728">
        <f t="shared" si="226"/>
        <v>30872</v>
      </c>
      <c r="GF52" s="728">
        <f t="shared" si="226"/>
        <v>56760</v>
      </c>
      <c r="GG52" s="728">
        <f t="shared" si="226"/>
        <v>40431</v>
      </c>
      <c r="GH52" s="728">
        <f t="shared" si="226"/>
        <v>37525</v>
      </c>
      <c r="GI52" s="728">
        <f t="shared" si="226"/>
        <v>30359</v>
      </c>
      <c r="GJ52" s="728">
        <f t="shared" si="226"/>
        <v>31227</v>
      </c>
      <c r="GK52" s="728">
        <f t="shared" si="226"/>
        <v>32133</v>
      </c>
      <c r="GL52" s="728">
        <f t="shared" si="226"/>
        <v>31126</v>
      </c>
      <c r="GM52" s="728">
        <f t="shared" si="226"/>
        <v>27366</v>
      </c>
      <c r="GN52" s="728">
        <f t="shared" si="127"/>
        <v>425708</v>
      </c>
      <c r="GO52" s="129">
        <f t="shared" ref="GO52:GS52" si="227">SUM(GO53+GO77)</f>
        <v>31642</v>
      </c>
      <c r="GP52" s="129">
        <f t="shared" si="227"/>
        <v>39982</v>
      </c>
      <c r="GQ52" s="129">
        <f t="shared" si="227"/>
        <v>33471</v>
      </c>
      <c r="GR52" s="129">
        <f t="shared" si="227"/>
        <v>34387</v>
      </c>
      <c r="GS52" s="129">
        <f t="shared" si="227"/>
        <v>59279</v>
      </c>
      <c r="GT52" s="129">
        <f t="shared" ref="GT52:GV52" si="228">SUM(GT53+GT77)</f>
        <v>31105</v>
      </c>
      <c r="GU52" s="129">
        <f t="shared" si="228"/>
        <v>31190</v>
      </c>
      <c r="GV52" s="129">
        <f t="shared" si="228"/>
        <v>30011</v>
      </c>
      <c r="GW52" s="129"/>
      <c r="GX52" s="129"/>
      <c r="GY52" s="129"/>
      <c r="GZ52" s="129"/>
      <c r="HA52" s="129">
        <f t="shared" si="130"/>
        <v>291067</v>
      </c>
      <c r="HC52" s="730">
        <f t="shared" si="113"/>
        <v>-1.14628281563951</v>
      </c>
      <c r="HD52" s="730">
        <f>IFERROR(((HF52/HE52)-1)*100,"-")</f>
        <v>-4.2089015849612998</v>
      </c>
      <c r="HE52" s="728">
        <f t="shared" si="131"/>
        <v>303856</v>
      </c>
      <c r="HF52" s="728">
        <f>IFERROR(SUM(GO52:GZ52),"-")</f>
        <v>291067</v>
      </c>
    </row>
    <row r="53" spans="1:214" ht="13.9" customHeight="1" x14ac:dyDescent="0.2">
      <c r="A53" s="731" t="s">
        <v>409</v>
      </c>
      <c r="AB53" s="688">
        <f t="shared" ref="AB53:AM53" si="229">SUM(AB54:AB56,AB62)</f>
        <v>20905</v>
      </c>
      <c r="AC53" s="688">
        <f t="shared" si="229"/>
        <v>2843</v>
      </c>
      <c r="AD53" s="688">
        <f t="shared" si="229"/>
        <v>38909.300000000003</v>
      </c>
      <c r="AE53" s="688">
        <f t="shared" si="229"/>
        <v>14081.67</v>
      </c>
      <c r="AF53" s="688">
        <f t="shared" si="229"/>
        <v>14307.5</v>
      </c>
      <c r="AG53" s="688">
        <f t="shared" si="229"/>
        <v>21818.639999999999</v>
      </c>
      <c r="AH53" s="688">
        <f t="shared" si="229"/>
        <v>36718.400000000001</v>
      </c>
      <c r="AI53" s="688">
        <f t="shared" si="229"/>
        <v>16455.14</v>
      </c>
      <c r="AJ53" s="688">
        <f t="shared" si="229"/>
        <v>27321</v>
      </c>
      <c r="AK53" s="688">
        <f t="shared" si="229"/>
        <v>17709.406999999999</v>
      </c>
      <c r="AL53" s="688">
        <f t="shared" si="229"/>
        <v>17028.04</v>
      </c>
      <c r="AM53" s="688">
        <f t="shared" si="229"/>
        <v>52299</v>
      </c>
      <c r="AN53" s="732">
        <f t="shared" si="210"/>
        <v>280396.09700000007</v>
      </c>
      <c r="AO53" s="688">
        <f t="shared" ref="AO53:AZ53" si="230">SUM(AO54:AO56,AO62)</f>
        <v>17204.099999999999</v>
      </c>
      <c r="AP53" s="688">
        <f t="shared" si="230"/>
        <v>24692.016</v>
      </c>
      <c r="AQ53" s="688">
        <f t="shared" si="230"/>
        <v>14964.87</v>
      </c>
      <c r="AR53" s="688">
        <f t="shared" si="230"/>
        <v>31661.016</v>
      </c>
      <c r="AS53" s="688">
        <f t="shared" si="230"/>
        <v>15989.2</v>
      </c>
      <c r="AT53" s="688">
        <f t="shared" si="230"/>
        <v>16720.118000000002</v>
      </c>
      <c r="AU53" s="688">
        <f t="shared" si="230"/>
        <v>17786.23</v>
      </c>
      <c r="AV53" s="688">
        <f t="shared" si="230"/>
        <v>17998.906999999999</v>
      </c>
      <c r="AW53" s="688">
        <f t="shared" si="230"/>
        <v>14135.208000000001</v>
      </c>
      <c r="AX53" s="688">
        <f t="shared" si="230"/>
        <v>18099.019</v>
      </c>
      <c r="AY53" s="688">
        <f t="shared" si="230"/>
        <v>18300.659</v>
      </c>
      <c r="AZ53" s="688">
        <f t="shared" si="230"/>
        <v>54309.133000000002</v>
      </c>
      <c r="BA53" s="688">
        <f t="shared" si="212"/>
        <v>261860.476</v>
      </c>
      <c r="BB53" s="688">
        <f t="shared" ref="BB53:CM53" si="231">SUM(BB54:BB56,BB62)</f>
        <v>17862.263999999999</v>
      </c>
      <c r="BC53" s="688">
        <f t="shared" si="231"/>
        <v>20280.445</v>
      </c>
      <c r="BD53" s="688">
        <f t="shared" si="231"/>
        <v>38284.241000000002</v>
      </c>
      <c r="BE53" s="688">
        <f t="shared" si="231"/>
        <v>17731.239000000001</v>
      </c>
      <c r="BF53" s="688">
        <f t="shared" si="231"/>
        <v>28857</v>
      </c>
      <c r="BG53" s="688">
        <f t="shared" si="231"/>
        <v>18234</v>
      </c>
      <c r="BH53" s="688">
        <f t="shared" si="231"/>
        <v>19940</v>
      </c>
      <c r="BI53" s="688">
        <f t="shared" si="231"/>
        <v>16113</v>
      </c>
      <c r="BJ53" s="688">
        <f t="shared" si="231"/>
        <v>16584</v>
      </c>
      <c r="BK53" s="688">
        <f t="shared" si="231"/>
        <v>13540</v>
      </c>
      <c r="BL53" s="688">
        <f t="shared" si="231"/>
        <v>82896</v>
      </c>
      <c r="BM53" s="688">
        <f t="shared" si="231"/>
        <v>25838</v>
      </c>
      <c r="BN53" s="688">
        <f t="shared" si="214"/>
        <v>316160.18900000001</v>
      </c>
      <c r="BO53" s="688">
        <f t="shared" si="231"/>
        <v>23515</v>
      </c>
      <c r="BP53" s="688">
        <f t="shared" si="231"/>
        <v>3760</v>
      </c>
      <c r="BQ53" s="688">
        <f t="shared" si="231"/>
        <v>50564</v>
      </c>
      <c r="BR53" s="688">
        <f t="shared" si="231"/>
        <v>15274</v>
      </c>
      <c r="BS53" s="688">
        <f t="shared" si="231"/>
        <v>34433</v>
      </c>
      <c r="BT53" s="688">
        <f t="shared" si="231"/>
        <v>18846</v>
      </c>
      <c r="BU53" s="688">
        <f t="shared" si="231"/>
        <v>17175</v>
      </c>
      <c r="BV53" s="688">
        <f t="shared" si="231"/>
        <v>17297</v>
      </c>
      <c r="BW53" s="688">
        <f t="shared" si="231"/>
        <v>16411</v>
      </c>
      <c r="BX53" s="688">
        <f t="shared" si="231"/>
        <v>16767</v>
      </c>
      <c r="BY53" s="688">
        <f t="shared" si="231"/>
        <v>37078</v>
      </c>
      <c r="BZ53" s="688">
        <f t="shared" si="231"/>
        <v>24556</v>
      </c>
      <c r="CA53" s="688">
        <f t="shared" si="215"/>
        <v>275676</v>
      </c>
      <c r="CB53" s="688">
        <f t="shared" si="231"/>
        <v>19641</v>
      </c>
      <c r="CC53" s="688">
        <f t="shared" si="231"/>
        <v>20933</v>
      </c>
      <c r="CD53" s="688">
        <f t="shared" si="231"/>
        <v>30286</v>
      </c>
      <c r="CE53" s="688">
        <f t="shared" si="231"/>
        <v>16219</v>
      </c>
      <c r="CF53" s="688">
        <f t="shared" si="231"/>
        <v>36046</v>
      </c>
      <c r="CG53" s="688">
        <f t="shared" si="231"/>
        <v>17080</v>
      </c>
      <c r="CH53" s="688">
        <f t="shared" si="231"/>
        <v>18289</v>
      </c>
      <c r="CI53" s="688">
        <f t="shared" si="231"/>
        <v>17365</v>
      </c>
      <c r="CJ53" s="688">
        <f t="shared" si="231"/>
        <v>15843</v>
      </c>
      <c r="CK53" s="688">
        <f t="shared" si="231"/>
        <v>35479</v>
      </c>
      <c r="CL53" s="688">
        <f t="shared" si="231"/>
        <v>21481</v>
      </c>
      <c r="CM53" s="688">
        <f t="shared" si="231"/>
        <v>17675</v>
      </c>
      <c r="CN53" s="688">
        <f t="shared" si="216"/>
        <v>266337</v>
      </c>
      <c r="CO53" s="688">
        <f t="shared" ref="CO53:CZ53" si="232">SUM(CO54:CO56,CO62)</f>
        <v>15434</v>
      </c>
      <c r="CP53" s="688">
        <f t="shared" si="232"/>
        <v>17703</v>
      </c>
      <c r="CQ53" s="688">
        <f t="shared" si="232"/>
        <v>24519</v>
      </c>
      <c r="CR53" s="688">
        <f t="shared" si="232"/>
        <v>24721</v>
      </c>
      <c r="CS53" s="688">
        <f t="shared" si="232"/>
        <v>23288</v>
      </c>
      <c r="CT53" s="688">
        <f t="shared" si="232"/>
        <v>22899</v>
      </c>
      <c r="CU53" s="688">
        <f t="shared" si="232"/>
        <v>18268</v>
      </c>
      <c r="CV53" s="688">
        <f t="shared" si="232"/>
        <v>18961</v>
      </c>
      <c r="CW53" s="688">
        <f t="shared" si="232"/>
        <v>19007</v>
      </c>
      <c r="CX53" s="688">
        <f t="shared" si="232"/>
        <v>33978</v>
      </c>
      <c r="CY53" s="688">
        <f t="shared" si="232"/>
        <v>22098</v>
      </c>
      <c r="CZ53" s="688">
        <f t="shared" si="232"/>
        <v>18190</v>
      </c>
      <c r="DA53" s="688">
        <f t="shared" si="218"/>
        <v>259066</v>
      </c>
      <c r="DB53" s="688">
        <f t="shared" ref="DB53:DM53" si="233">SUM(DB54:DB56,DB62)</f>
        <v>20225</v>
      </c>
      <c r="DC53" s="688">
        <f t="shared" si="233"/>
        <v>25218</v>
      </c>
      <c r="DD53" s="688">
        <f t="shared" si="233"/>
        <v>19045</v>
      </c>
      <c r="DE53" s="688">
        <f t="shared" si="233"/>
        <v>17816</v>
      </c>
      <c r="DF53" s="688">
        <f t="shared" si="233"/>
        <v>67960</v>
      </c>
      <c r="DG53" s="688">
        <f t="shared" si="233"/>
        <v>16784</v>
      </c>
      <c r="DH53" s="688">
        <f>SUM(DH54:DH56,DH62)</f>
        <v>24465</v>
      </c>
      <c r="DI53" s="688">
        <f t="shared" si="233"/>
        <v>18265</v>
      </c>
      <c r="DJ53" s="688">
        <f t="shared" si="233"/>
        <v>20232</v>
      </c>
      <c r="DK53" s="688">
        <f t="shared" si="233"/>
        <v>20512</v>
      </c>
      <c r="DL53" s="688">
        <f t="shared" si="233"/>
        <v>25425</v>
      </c>
      <c r="DM53" s="688">
        <f t="shared" si="233"/>
        <v>23076</v>
      </c>
      <c r="DN53" s="688">
        <f t="shared" si="220"/>
        <v>299023</v>
      </c>
      <c r="DO53" s="688">
        <f t="shared" ref="DO53:DZ53" si="234">SUM(DO54:DO56,DO62)</f>
        <v>23291</v>
      </c>
      <c r="DP53" s="688">
        <f t="shared" si="234"/>
        <v>714</v>
      </c>
      <c r="DQ53" s="688">
        <f t="shared" si="234"/>
        <v>43415</v>
      </c>
      <c r="DR53" s="688">
        <f t="shared" si="234"/>
        <v>15372</v>
      </c>
      <c r="DS53" s="688">
        <f t="shared" si="234"/>
        <v>11686</v>
      </c>
      <c r="DT53" s="688">
        <f t="shared" si="234"/>
        <v>58334</v>
      </c>
      <c r="DU53" s="688">
        <f t="shared" si="234"/>
        <v>11900</v>
      </c>
      <c r="DV53" s="688">
        <f t="shared" si="234"/>
        <v>27720</v>
      </c>
      <c r="DW53" s="688">
        <f t="shared" si="234"/>
        <v>29770</v>
      </c>
      <c r="DX53" s="688">
        <f>SUM(DX54:DX56,DX62)</f>
        <v>18306</v>
      </c>
      <c r="DY53" s="688">
        <f>SUM(DY54:DY56,DY62)</f>
        <v>19715</v>
      </c>
      <c r="DZ53" s="688">
        <f t="shared" si="234"/>
        <v>21453</v>
      </c>
      <c r="EA53" s="732">
        <f>SUM(DO53:DZ53)</f>
        <v>281676</v>
      </c>
      <c r="EB53" s="688">
        <f t="shared" ref="EB53:EM53" si="235">SUM(EB54:EB56,EB62)</f>
        <v>30686</v>
      </c>
      <c r="EC53" s="688">
        <f t="shared" si="235"/>
        <v>23107</v>
      </c>
      <c r="ED53" s="688">
        <f t="shared" si="235"/>
        <v>23649</v>
      </c>
      <c r="EE53" s="688">
        <f t="shared" si="235"/>
        <v>51155</v>
      </c>
      <c r="EF53" s="688">
        <f t="shared" si="235"/>
        <v>28099</v>
      </c>
      <c r="EG53" s="688">
        <f t="shared" si="235"/>
        <v>30249</v>
      </c>
      <c r="EH53" s="688">
        <f t="shared" si="235"/>
        <v>24169</v>
      </c>
      <c r="EI53" s="688">
        <f t="shared" si="235"/>
        <v>28401</v>
      </c>
      <c r="EJ53" s="688">
        <f t="shared" si="235"/>
        <v>40178</v>
      </c>
      <c r="EK53" s="688">
        <f t="shared" si="235"/>
        <v>27826</v>
      </c>
      <c r="EL53" s="688">
        <f t="shared" si="235"/>
        <v>29712</v>
      </c>
      <c r="EM53" s="688">
        <f t="shared" si="235"/>
        <v>32181</v>
      </c>
      <c r="EN53" s="688">
        <f t="shared" ref="EN53:EN84" si="236">SUM(EB53:EM53)</f>
        <v>369412</v>
      </c>
      <c r="EO53" s="688">
        <f t="shared" ref="EO53:EZ53" si="237">SUM(EO54:EO56,EO62)</f>
        <v>31168</v>
      </c>
      <c r="EP53" s="688">
        <f t="shared" si="237"/>
        <v>36930</v>
      </c>
      <c r="EQ53" s="688">
        <f t="shared" si="237"/>
        <v>29378</v>
      </c>
      <c r="ER53" s="688">
        <f t="shared" si="237"/>
        <v>24375</v>
      </c>
      <c r="ES53" s="688">
        <f t="shared" si="237"/>
        <v>59418</v>
      </c>
      <c r="ET53" s="688">
        <f t="shared" si="237"/>
        <v>49953</v>
      </c>
      <c r="EU53" s="688">
        <f t="shared" si="237"/>
        <v>29636</v>
      </c>
      <c r="EV53" s="688">
        <f t="shared" si="237"/>
        <v>29587</v>
      </c>
      <c r="EW53" s="688">
        <f t="shared" si="237"/>
        <v>35685</v>
      </c>
      <c r="EX53" s="688">
        <f t="shared" si="237"/>
        <v>32070</v>
      </c>
      <c r="EY53" s="733">
        <f t="shared" si="237"/>
        <v>28167</v>
      </c>
      <c r="EZ53" s="733">
        <f t="shared" si="237"/>
        <v>30305</v>
      </c>
      <c r="FA53" s="688">
        <f t="shared" ref="FA53:FA75" si="238">SUM(EO53:EZ53)</f>
        <v>416672</v>
      </c>
      <c r="FB53" s="688">
        <f t="shared" ref="FB53:FM53" si="239">SUM(FB54:FB56,FB62)</f>
        <v>28395</v>
      </c>
      <c r="FC53" s="688">
        <f t="shared" si="239"/>
        <v>32235</v>
      </c>
      <c r="FD53" s="688">
        <f t="shared" si="239"/>
        <v>26868</v>
      </c>
      <c r="FE53" s="688">
        <f t="shared" si="239"/>
        <v>50906</v>
      </c>
      <c r="FF53" s="688">
        <f t="shared" si="239"/>
        <v>51516</v>
      </c>
      <c r="FG53" s="688">
        <f t="shared" si="239"/>
        <v>29652</v>
      </c>
      <c r="FH53" s="688">
        <f t="shared" si="239"/>
        <v>26320</v>
      </c>
      <c r="FI53" s="688">
        <f t="shared" si="239"/>
        <v>34019</v>
      </c>
      <c r="FJ53" s="688">
        <f t="shared" si="239"/>
        <v>27927</v>
      </c>
      <c r="FK53" s="688">
        <f t="shared" si="239"/>
        <v>26990</v>
      </c>
      <c r="FL53" s="688">
        <f t="shared" si="239"/>
        <v>30041</v>
      </c>
      <c r="FM53" s="688">
        <f t="shared" si="239"/>
        <v>29193</v>
      </c>
      <c r="FN53" s="688">
        <f t="shared" ref="FN53:FN85" si="240">SUM(FB53:FM53)</f>
        <v>394062</v>
      </c>
      <c r="FO53" s="688">
        <f t="shared" ref="FO53:FZ53" si="241">SUM(FO54:FO56,FO62)</f>
        <v>26723</v>
      </c>
      <c r="FP53" s="688">
        <f t="shared" si="241"/>
        <v>35058</v>
      </c>
      <c r="FQ53" s="688">
        <f t="shared" si="241"/>
        <v>24666</v>
      </c>
      <c r="FR53" s="688">
        <f t="shared" si="241"/>
        <v>27180</v>
      </c>
      <c r="FS53" s="688">
        <f t="shared" si="241"/>
        <v>45830</v>
      </c>
      <c r="FT53" s="688">
        <f t="shared" si="241"/>
        <v>32789</v>
      </c>
      <c r="FU53" s="688">
        <f t="shared" si="241"/>
        <v>30613</v>
      </c>
      <c r="FV53" s="688">
        <f t="shared" si="241"/>
        <v>27886</v>
      </c>
      <c r="FW53" s="688">
        <f t="shared" si="241"/>
        <v>32998</v>
      </c>
      <c r="FX53" s="688">
        <f t="shared" si="241"/>
        <v>33187</v>
      </c>
      <c r="FY53" s="688">
        <f t="shared" si="241"/>
        <v>31432</v>
      </c>
      <c r="FZ53" s="688">
        <f t="shared" si="241"/>
        <v>34938</v>
      </c>
      <c r="GA53" s="688">
        <f t="shared" ref="GA53:GA85" si="242">SUM(FO53:FZ53)</f>
        <v>383300</v>
      </c>
      <c r="GB53" s="688">
        <f t="shared" ref="GB53:GM53" si="243">SUM(GB54:GB56,GB62)</f>
        <v>33838</v>
      </c>
      <c r="GC53" s="688">
        <f t="shared" si="243"/>
        <v>39811</v>
      </c>
      <c r="GD53" s="733">
        <f t="shared" si="243"/>
        <v>32608</v>
      </c>
      <c r="GE53" s="688">
        <f t="shared" si="243"/>
        <v>27719</v>
      </c>
      <c r="GF53" s="688">
        <f t="shared" si="243"/>
        <v>52727</v>
      </c>
      <c r="GG53" s="688">
        <f t="shared" si="243"/>
        <v>38435</v>
      </c>
      <c r="GH53" s="688">
        <f t="shared" si="243"/>
        <v>30993</v>
      </c>
      <c r="GI53" s="688">
        <f t="shared" si="243"/>
        <v>30159</v>
      </c>
      <c r="GJ53" s="688">
        <f t="shared" si="243"/>
        <v>31227</v>
      </c>
      <c r="GK53" s="688">
        <f t="shared" si="243"/>
        <v>31024</v>
      </c>
      <c r="GL53" s="688">
        <f t="shared" si="243"/>
        <v>31135</v>
      </c>
      <c r="GM53" s="688">
        <f t="shared" si="243"/>
        <v>26219</v>
      </c>
      <c r="GN53" s="688">
        <f t="shared" si="127"/>
        <v>405895</v>
      </c>
      <c r="GO53" s="130">
        <f t="shared" ref="GO53:GS53" si="244">SUM(GO54:GO56,GO62)</f>
        <v>32161</v>
      </c>
      <c r="GP53" s="130">
        <f t="shared" si="244"/>
        <v>39164</v>
      </c>
      <c r="GQ53" s="130">
        <f t="shared" si="244"/>
        <v>31796</v>
      </c>
      <c r="GR53" s="130">
        <f t="shared" si="244"/>
        <v>29081</v>
      </c>
      <c r="GS53" s="130">
        <f t="shared" si="244"/>
        <v>53973</v>
      </c>
      <c r="GT53" s="130">
        <f t="shared" ref="GT53:GV53" si="245">SUM(GT54:GT56,GT62)</f>
        <v>29763</v>
      </c>
      <c r="GU53" s="130">
        <f t="shared" si="245"/>
        <v>30990</v>
      </c>
      <c r="GV53" s="130">
        <f t="shared" si="245"/>
        <v>30058</v>
      </c>
      <c r="GW53" s="130"/>
      <c r="GX53" s="130"/>
      <c r="GY53" s="130"/>
      <c r="GZ53" s="130"/>
      <c r="HA53" s="130">
        <f t="shared" si="130"/>
        <v>276986</v>
      </c>
      <c r="HC53" s="734">
        <f t="shared" si="113"/>
        <v>-0.33489174044232239</v>
      </c>
      <c r="HD53" s="735">
        <f t="shared" ref="HD53:HD84" si="246">IFERROR(((HF53/HE53)-1)*100,"-")</f>
        <v>-3.2498515491285018</v>
      </c>
      <c r="HE53" s="732">
        <f t="shared" si="131"/>
        <v>286290</v>
      </c>
      <c r="HF53" s="732">
        <f t="shared" si="141"/>
        <v>276986</v>
      </c>
    </row>
    <row r="54" spans="1:214" ht="13.9" customHeight="1" x14ac:dyDescent="0.2">
      <c r="A54" s="736" t="s">
        <v>410</v>
      </c>
      <c r="AB54" s="689">
        <v>0</v>
      </c>
      <c r="AC54" s="689">
        <v>0</v>
      </c>
      <c r="AD54" s="689">
        <v>0</v>
      </c>
      <c r="AE54" s="689">
        <v>0</v>
      </c>
      <c r="AF54" s="689">
        <v>0</v>
      </c>
      <c r="AG54" s="689">
        <v>0</v>
      </c>
      <c r="AH54" s="689">
        <v>0</v>
      </c>
      <c r="AI54" s="689">
        <v>0</v>
      </c>
      <c r="AJ54" s="689">
        <v>0</v>
      </c>
      <c r="AK54" s="689">
        <v>0</v>
      </c>
      <c r="AL54" s="689">
        <v>0</v>
      </c>
      <c r="AM54" s="689">
        <v>0</v>
      </c>
      <c r="AN54" s="737">
        <f t="shared" si="210"/>
        <v>0</v>
      </c>
      <c r="AO54" s="689">
        <v>0</v>
      </c>
      <c r="AP54" s="689">
        <v>0</v>
      </c>
      <c r="AQ54" s="689">
        <v>0</v>
      </c>
      <c r="AR54" s="689">
        <v>0</v>
      </c>
      <c r="AS54" s="689">
        <v>0</v>
      </c>
      <c r="AT54" s="689">
        <v>0</v>
      </c>
      <c r="AU54" s="689">
        <v>0</v>
      </c>
      <c r="AV54" s="689">
        <v>0</v>
      </c>
      <c r="AW54" s="689">
        <v>0</v>
      </c>
      <c r="AX54" s="689">
        <v>0</v>
      </c>
      <c r="AY54" s="689">
        <v>0</v>
      </c>
      <c r="AZ54" s="689">
        <v>0</v>
      </c>
      <c r="BA54" s="689">
        <f t="shared" si="212"/>
        <v>0</v>
      </c>
      <c r="BB54" s="689">
        <v>0</v>
      </c>
      <c r="BC54" s="689">
        <v>0</v>
      </c>
      <c r="BD54" s="689">
        <v>0</v>
      </c>
      <c r="BE54" s="689">
        <v>0</v>
      </c>
      <c r="BF54" s="689">
        <v>0</v>
      </c>
      <c r="BG54" s="689">
        <v>0</v>
      </c>
      <c r="BH54" s="689">
        <v>0</v>
      </c>
      <c r="BI54" s="689">
        <v>0</v>
      </c>
      <c r="BJ54" s="689">
        <v>0</v>
      </c>
      <c r="BK54" s="689">
        <v>0</v>
      </c>
      <c r="BL54" s="689">
        <v>0</v>
      </c>
      <c r="BM54" s="689">
        <v>0</v>
      </c>
      <c r="BN54" s="689">
        <f t="shared" si="214"/>
        <v>0</v>
      </c>
      <c r="BO54" s="689">
        <v>0</v>
      </c>
      <c r="BP54" s="689">
        <v>0</v>
      </c>
      <c r="BQ54" s="689">
        <v>0</v>
      </c>
      <c r="BR54" s="689">
        <v>0</v>
      </c>
      <c r="BS54" s="689">
        <v>0</v>
      </c>
      <c r="BT54" s="689">
        <v>0</v>
      </c>
      <c r="BU54" s="689">
        <v>0</v>
      </c>
      <c r="BV54" s="689">
        <v>0</v>
      </c>
      <c r="BW54" s="689">
        <v>0</v>
      </c>
      <c r="BX54" s="689">
        <v>0</v>
      </c>
      <c r="BY54" s="689">
        <v>0</v>
      </c>
      <c r="BZ54" s="689">
        <v>0</v>
      </c>
      <c r="CA54" s="689">
        <f t="shared" si="215"/>
        <v>0</v>
      </c>
      <c r="CB54" s="689">
        <v>0</v>
      </c>
      <c r="CC54" s="689">
        <v>0</v>
      </c>
      <c r="CD54" s="689">
        <v>0</v>
      </c>
      <c r="CE54" s="689">
        <v>0</v>
      </c>
      <c r="CF54" s="689">
        <v>0</v>
      </c>
      <c r="CG54" s="689">
        <v>0</v>
      </c>
      <c r="CH54" s="689">
        <v>0</v>
      </c>
      <c r="CI54" s="689">
        <v>0</v>
      </c>
      <c r="CJ54" s="689">
        <v>0</v>
      </c>
      <c r="CK54" s="689">
        <v>0</v>
      </c>
      <c r="CL54" s="689">
        <v>0</v>
      </c>
      <c r="CM54" s="689">
        <v>0</v>
      </c>
      <c r="CN54" s="689">
        <f t="shared" si="216"/>
        <v>0</v>
      </c>
      <c r="CO54" s="689">
        <v>0</v>
      </c>
      <c r="CP54" s="689">
        <v>0</v>
      </c>
      <c r="CQ54" s="689">
        <v>0</v>
      </c>
      <c r="CR54" s="689">
        <v>0</v>
      </c>
      <c r="CS54" s="689">
        <v>0</v>
      </c>
      <c r="CT54" s="689">
        <v>0</v>
      </c>
      <c r="CU54" s="689">
        <v>0</v>
      </c>
      <c r="CV54" s="689">
        <v>0</v>
      </c>
      <c r="CW54" s="689">
        <v>0</v>
      </c>
      <c r="CX54" s="689">
        <v>0</v>
      </c>
      <c r="CY54" s="689">
        <v>0</v>
      </c>
      <c r="CZ54" s="689">
        <v>0</v>
      </c>
      <c r="DA54" s="689">
        <f t="shared" si="218"/>
        <v>0</v>
      </c>
      <c r="DB54" s="689">
        <v>0</v>
      </c>
      <c r="DC54" s="689">
        <v>0</v>
      </c>
      <c r="DD54" s="689">
        <v>0</v>
      </c>
      <c r="DE54" s="689">
        <v>0</v>
      </c>
      <c r="DF54" s="689">
        <v>0</v>
      </c>
      <c r="DG54" s="689">
        <v>0</v>
      </c>
      <c r="DH54" s="689">
        <v>0</v>
      </c>
      <c r="DI54" s="689">
        <v>0</v>
      </c>
      <c r="DJ54" s="689">
        <v>0</v>
      </c>
      <c r="DK54" s="689">
        <v>0</v>
      </c>
      <c r="DL54" s="689">
        <v>0</v>
      </c>
      <c r="DM54" s="689">
        <v>0</v>
      </c>
      <c r="DN54" s="689">
        <f t="shared" si="220"/>
        <v>0</v>
      </c>
      <c r="DO54" s="689">
        <v>0</v>
      </c>
      <c r="DP54" s="689">
        <v>0</v>
      </c>
      <c r="DQ54" s="689">
        <v>0</v>
      </c>
      <c r="DR54" s="689">
        <v>0</v>
      </c>
      <c r="DS54" s="689">
        <v>0</v>
      </c>
      <c r="DT54" s="689">
        <v>0</v>
      </c>
      <c r="DU54" s="689">
        <v>0</v>
      </c>
      <c r="DV54" s="689">
        <v>0</v>
      </c>
      <c r="DW54" s="689">
        <v>0</v>
      </c>
      <c r="DX54" s="689">
        <v>0</v>
      </c>
      <c r="DY54" s="689">
        <v>0</v>
      </c>
      <c r="DZ54" s="689">
        <v>0</v>
      </c>
      <c r="EA54" s="737">
        <f t="shared" ref="EA54:EA85" si="247">SUM(DO54:DZ54)</f>
        <v>0</v>
      </c>
      <c r="EB54" s="689">
        <v>0</v>
      </c>
      <c r="EC54" s="689">
        <v>0</v>
      </c>
      <c r="ED54" s="689">
        <v>0</v>
      </c>
      <c r="EE54" s="689">
        <v>0</v>
      </c>
      <c r="EF54" s="689">
        <v>0</v>
      </c>
      <c r="EG54" s="689">
        <v>0</v>
      </c>
      <c r="EH54" s="689">
        <v>0</v>
      </c>
      <c r="EI54" s="689">
        <v>0</v>
      </c>
      <c r="EJ54" s="689">
        <v>0</v>
      </c>
      <c r="EK54" s="689">
        <v>0</v>
      </c>
      <c r="EL54" s="689">
        <v>0</v>
      </c>
      <c r="EM54" s="689">
        <v>0</v>
      </c>
      <c r="EN54" s="689">
        <f t="shared" si="236"/>
        <v>0</v>
      </c>
      <c r="EO54" s="689">
        <v>0</v>
      </c>
      <c r="EP54" s="689">
        <v>0</v>
      </c>
      <c r="EQ54" s="689">
        <v>0</v>
      </c>
      <c r="ER54" s="689">
        <v>0</v>
      </c>
      <c r="ES54" s="689">
        <v>0</v>
      </c>
      <c r="ET54" s="689">
        <v>0</v>
      </c>
      <c r="EU54" s="689">
        <v>0</v>
      </c>
      <c r="EV54" s="689">
        <v>0</v>
      </c>
      <c r="EW54" s="689">
        <v>0</v>
      </c>
      <c r="EX54" s="689">
        <v>0</v>
      </c>
      <c r="EY54" s="738">
        <v>0</v>
      </c>
      <c r="EZ54" s="738">
        <v>0</v>
      </c>
      <c r="FA54" s="689">
        <f t="shared" si="238"/>
        <v>0</v>
      </c>
      <c r="FB54" s="689">
        <v>0</v>
      </c>
      <c r="FC54" s="689">
        <v>0</v>
      </c>
      <c r="FD54" s="689">
        <v>0</v>
      </c>
      <c r="FE54" s="689">
        <v>0</v>
      </c>
      <c r="FF54" s="689">
        <v>0</v>
      </c>
      <c r="FG54" s="689">
        <v>0</v>
      </c>
      <c r="FH54" s="689">
        <v>0</v>
      </c>
      <c r="FI54" s="689">
        <v>0</v>
      </c>
      <c r="FJ54" s="689">
        <v>0</v>
      </c>
      <c r="FK54" s="689">
        <v>0</v>
      </c>
      <c r="FL54" s="689">
        <v>0</v>
      </c>
      <c r="FM54" s="689">
        <v>0</v>
      </c>
      <c r="FN54" s="689">
        <f t="shared" si="240"/>
        <v>0</v>
      </c>
      <c r="FO54" s="689">
        <v>0</v>
      </c>
      <c r="FP54" s="689">
        <v>0</v>
      </c>
      <c r="FQ54" s="689">
        <v>0</v>
      </c>
      <c r="FR54" s="689">
        <v>0</v>
      </c>
      <c r="FS54" s="689">
        <v>0</v>
      </c>
      <c r="FT54" s="689">
        <v>498</v>
      </c>
      <c r="FU54" s="689">
        <v>0</v>
      </c>
      <c r="FV54" s="689">
        <v>0</v>
      </c>
      <c r="FW54" s="689">
        <v>0</v>
      </c>
      <c r="FX54" s="689">
        <v>0</v>
      </c>
      <c r="FY54" s="689">
        <v>0</v>
      </c>
      <c r="FZ54" s="689">
        <v>0</v>
      </c>
      <c r="GA54" s="689">
        <f t="shared" si="242"/>
        <v>498</v>
      </c>
      <c r="GB54" s="689">
        <v>0</v>
      </c>
      <c r="GC54" s="689">
        <v>0</v>
      </c>
      <c r="GD54" s="738">
        <v>0</v>
      </c>
      <c r="GE54" s="689">
        <v>0</v>
      </c>
      <c r="GF54" s="689">
        <v>0</v>
      </c>
      <c r="GG54" s="689">
        <v>0</v>
      </c>
      <c r="GH54" s="689">
        <v>50</v>
      </c>
      <c r="GI54" s="689">
        <v>0</v>
      </c>
      <c r="GJ54" s="689">
        <v>0</v>
      </c>
      <c r="GK54" s="689">
        <v>0</v>
      </c>
      <c r="GL54" s="689">
        <v>0</v>
      </c>
      <c r="GM54" s="689">
        <v>0</v>
      </c>
      <c r="GN54" s="689">
        <f t="shared" si="127"/>
        <v>50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HA54">
        <f t="shared" si="130"/>
        <v>0</v>
      </c>
      <c r="HC54" s="730" t="str">
        <f t="shared" si="113"/>
        <v>-</v>
      </c>
      <c r="HD54" s="739">
        <f t="shared" si="246"/>
        <v>-100</v>
      </c>
      <c r="HE54" s="737">
        <f t="shared" si="131"/>
        <v>50</v>
      </c>
      <c r="HF54" s="737">
        <f t="shared" si="141"/>
        <v>0</v>
      </c>
    </row>
    <row r="55" spans="1:214" ht="13.9" customHeight="1" x14ac:dyDescent="0.2">
      <c r="A55" s="736" t="s">
        <v>411</v>
      </c>
      <c r="AB55" s="689">
        <v>0</v>
      </c>
      <c r="AC55" s="689">
        <v>0</v>
      </c>
      <c r="AD55" s="689">
        <v>0</v>
      </c>
      <c r="AE55" s="689">
        <v>0</v>
      </c>
      <c r="AF55" s="689">
        <v>0</v>
      </c>
      <c r="AG55" s="689">
        <v>0</v>
      </c>
      <c r="AH55" s="689">
        <v>0</v>
      </c>
      <c r="AI55" s="689">
        <v>0</v>
      </c>
      <c r="AJ55" s="689">
        <v>0</v>
      </c>
      <c r="AK55" s="689">
        <v>0</v>
      </c>
      <c r="AL55" s="689">
        <v>0</v>
      </c>
      <c r="AM55" s="689">
        <v>0</v>
      </c>
      <c r="AN55" s="737">
        <f t="shared" si="210"/>
        <v>0</v>
      </c>
      <c r="AO55" s="689">
        <v>0</v>
      </c>
      <c r="AP55" s="689">
        <v>0</v>
      </c>
      <c r="AQ55" s="689">
        <v>0</v>
      </c>
      <c r="AR55" s="689">
        <v>0</v>
      </c>
      <c r="AS55" s="689">
        <v>0</v>
      </c>
      <c r="AT55" s="689">
        <v>0</v>
      </c>
      <c r="AU55" s="689">
        <v>0</v>
      </c>
      <c r="AV55" s="689">
        <v>0</v>
      </c>
      <c r="AW55" s="689">
        <v>0</v>
      </c>
      <c r="AX55" s="689">
        <v>0</v>
      </c>
      <c r="AY55" s="689">
        <v>0</v>
      </c>
      <c r="AZ55" s="689">
        <v>0</v>
      </c>
      <c r="BA55" s="689">
        <f t="shared" si="212"/>
        <v>0</v>
      </c>
      <c r="BB55" s="689">
        <v>0</v>
      </c>
      <c r="BC55" s="689">
        <v>0</v>
      </c>
      <c r="BD55" s="689">
        <v>0</v>
      </c>
      <c r="BE55" s="689">
        <v>0</v>
      </c>
      <c r="BF55" s="689">
        <v>0</v>
      </c>
      <c r="BG55" s="689">
        <v>0</v>
      </c>
      <c r="BH55" s="689">
        <v>0</v>
      </c>
      <c r="BI55" s="689">
        <v>0</v>
      </c>
      <c r="BJ55" s="689">
        <v>0</v>
      </c>
      <c r="BK55" s="689">
        <v>0</v>
      </c>
      <c r="BL55" s="689">
        <v>0</v>
      </c>
      <c r="BM55" s="689">
        <v>0</v>
      </c>
      <c r="BN55" s="689">
        <f t="shared" si="214"/>
        <v>0</v>
      </c>
      <c r="BO55" s="689">
        <v>0</v>
      </c>
      <c r="BP55" s="689">
        <v>0</v>
      </c>
      <c r="BQ55" s="689">
        <v>0</v>
      </c>
      <c r="BR55" s="689">
        <v>0</v>
      </c>
      <c r="BS55" s="689">
        <v>0</v>
      </c>
      <c r="BT55" s="689">
        <v>0</v>
      </c>
      <c r="BU55" s="689">
        <v>0</v>
      </c>
      <c r="BV55" s="689">
        <v>0</v>
      </c>
      <c r="BW55" s="689">
        <v>0</v>
      </c>
      <c r="BX55" s="689">
        <v>0</v>
      </c>
      <c r="BY55" s="689">
        <v>0</v>
      </c>
      <c r="BZ55" s="689">
        <v>0</v>
      </c>
      <c r="CA55" s="689">
        <f t="shared" si="215"/>
        <v>0</v>
      </c>
      <c r="CB55" s="689">
        <v>0</v>
      </c>
      <c r="CC55" s="689">
        <v>0</v>
      </c>
      <c r="CD55" s="689">
        <v>0</v>
      </c>
      <c r="CE55" s="689">
        <v>0</v>
      </c>
      <c r="CF55" s="689">
        <v>0</v>
      </c>
      <c r="CG55" s="689">
        <v>0</v>
      </c>
      <c r="CH55" s="689">
        <v>0</v>
      </c>
      <c r="CI55" s="689">
        <v>0</v>
      </c>
      <c r="CJ55" s="689">
        <v>0</v>
      </c>
      <c r="CK55" s="689">
        <v>0</v>
      </c>
      <c r="CL55" s="689">
        <v>0</v>
      </c>
      <c r="CM55" s="689">
        <v>0</v>
      </c>
      <c r="CN55" s="689">
        <f t="shared" si="216"/>
        <v>0</v>
      </c>
      <c r="CO55" s="689">
        <v>0</v>
      </c>
      <c r="CP55" s="689">
        <v>0</v>
      </c>
      <c r="CQ55" s="689">
        <v>0</v>
      </c>
      <c r="CR55" s="689">
        <v>0</v>
      </c>
      <c r="CS55" s="689">
        <v>0</v>
      </c>
      <c r="CT55" s="689">
        <v>0</v>
      </c>
      <c r="CU55" s="689">
        <v>0</v>
      </c>
      <c r="CV55" s="689">
        <v>0</v>
      </c>
      <c r="CW55" s="689">
        <v>0</v>
      </c>
      <c r="CX55" s="689">
        <v>0</v>
      </c>
      <c r="CY55" s="689">
        <v>0</v>
      </c>
      <c r="CZ55" s="689">
        <v>0</v>
      </c>
      <c r="DA55" s="689">
        <f t="shared" si="218"/>
        <v>0</v>
      </c>
      <c r="DB55" s="689">
        <v>0</v>
      </c>
      <c r="DC55" s="689">
        <v>0</v>
      </c>
      <c r="DD55" s="689">
        <v>0</v>
      </c>
      <c r="DE55" s="689">
        <v>0</v>
      </c>
      <c r="DF55" s="689">
        <v>0</v>
      </c>
      <c r="DG55" s="689">
        <v>0</v>
      </c>
      <c r="DH55" s="689">
        <v>0</v>
      </c>
      <c r="DI55" s="689">
        <v>0</v>
      </c>
      <c r="DJ55" s="689">
        <v>0</v>
      </c>
      <c r="DK55" s="689">
        <v>0</v>
      </c>
      <c r="DL55" s="689">
        <v>0</v>
      </c>
      <c r="DM55" s="689">
        <v>0</v>
      </c>
      <c r="DN55" s="689">
        <f t="shared" si="220"/>
        <v>0</v>
      </c>
      <c r="DO55" s="689">
        <v>0</v>
      </c>
      <c r="DP55" s="689">
        <v>0</v>
      </c>
      <c r="DQ55" s="689">
        <v>0</v>
      </c>
      <c r="DR55" s="689">
        <v>0</v>
      </c>
      <c r="DS55" s="689">
        <v>0</v>
      </c>
      <c r="DT55" s="689">
        <v>0</v>
      </c>
      <c r="DU55" s="689">
        <v>0</v>
      </c>
      <c r="DV55" s="689">
        <v>0</v>
      </c>
      <c r="DW55" s="689">
        <v>0</v>
      </c>
      <c r="DX55" s="689">
        <v>0</v>
      </c>
      <c r="DY55" s="689">
        <v>0</v>
      </c>
      <c r="DZ55" s="689">
        <v>0</v>
      </c>
      <c r="EA55" s="737">
        <f t="shared" si="247"/>
        <v>0</v>
      </c>
      <c r="EB55" s="689">
        <v>0</v>
      </c>
      <c r="EC55" s="689">
        <v>0</v>
      </c>
      <c r="ED55" s="689">
        <v>0</v>
      </c>
      <c r="EE55" s="689">
        <v>0</v>
      </c>
      <c r="EF55" s="689">
        <v>0</v>
      </c>
      <c r="EG55" s="689">
        <v>0</v>
      </c>
      <c r="EH55" s="689">
        <v>0</v>
      </c>
      <c r="EI55" s="689">
        <v>0</v>
      </c>
      <c r="EJ55" s="689">
        <v>0</v>
      </c>
      <c r="EK55" s="689">
        <v>0</v>
      </c>
      <c r="EL55" s="689">
        <v>0</v>
      </c>
      <c r="EM55" s="689">
        <v>0</v>
      </c>
      <c r="EN55" s="689">
        <f t="shared" si="236"/>
        <v>0</v>
      </c>
      <c r="EO55" s="689">
        <v>0</v>
      </c>
      <c r="EP55" s="689">
        <v>0</v>
      </c>
      <c r="EQ55" s="689">
        <v>0</v>
      </c>
      <c r="ER55" s="689">
        <v>0</v>
      </c>
      <c r="ES55" s="689">
        <v>0</v>
      </c>
      <c r="ET55" s="689">
        <v>0</v>
      </c>
      <c r="EU55" s="689">
        <v>0</v>
      </c>
      <c r="EV55" s="689">
        <v>0</v>
      </c>
      <c r="EW55" s="689">
        <v>0</v>
      </c>
      <c r="EX55" s="689">
        <v>0</v>
      </c>
      <c r="EY55" s="738">
        <v>0</v>
      </c>
      <c r="EZ55" s="738">
        <v>0</v>
      </c>
      <c r="FA55" s="689">
        <f t="shared" si="238"/>
        <v>0</v>
      </c>
      <c r="FB55" s="689">
        <v>0</v>
      </c>
      <c r="FC55" s="689">
        <v>0</v>
      </c>
      <c r="FD55" s="689">
        <v>0</v>
      </c>
      <c r="FE55" s="689">
        <v>0</v>
      </c>
      <c r="FF55" s="689">
        <v>0</v>
      </c>
      <c r="FG55" s="689">
        <v>0</v>
      </c>
      <c r="FH55" s="689">
        <v>0</v>
      </c>
      <c r="FI55" s="689">
        <v>0</v>
      </c>
      <c r="FJ55" s="689">
        <v>0</v>
      </c>
      <c r="FK55" s="689">
        <v>0</v>
      </c>
      <c r="FL55" s="689">
        <v>0</v>
      </c>
      <c r="FM55" s="689">
        <v>0</v>
      </c>
      <c r="FN55" s="689">
        <f t="shared" si="240"/>
        <v>0</v>
      </c>
      <c r="FO55" s="689">
        <v>0</v>
      </c>
      <c r="FP55" s="689">
        <v>0</v>
      </c>
      <c r="FQ55" s="689">
        <v>0</v>
      </c>
      <c r="FR55" s="689">
        <v>0</v>
      </c>
      <c r="FS55" s="689">
        <v>0</v>
      </c>
      <c r="FT55" s="689">
        <v>0</v>
      </c>
      <c r="FU55" s="689">
        <v>0</v>
      </c>
      <c r="FV55" s="689">
        <v>0</v>
      </c>
      <c r="FW55" s="689">
        <v>0</v>
      </c>
      <c r="FX55" s="689">
        <v>0</v>
      </c>
      <c r="FY55" s="689">
        <v>0</v>
      </c>
      <c r="FZ55" s="689">
        <v>0</v>
      </c>
      <c r="GA55" s="689">
        <f t="shared" si="242"/>
        <v>0</v>
      </c>
      <c r="GB55" s="689">
        <v>0</v>
      </c>
      <c r="GC55" s="689">
        <v>0</v>
      </c>
      <c r="GD55" s="738">
        <v>0</v>
      </c>
      <c r="GE55" s="689">
        <v>0</v>
      </c>
      <c r="GF55" s="689">
        <v>0</v>
      </c>
      <c r="GG55" s="689">
        <v>0</v>
      </c>
      <c r="GH55" s="689">
        <v>0</v>
      </c>
      <c r="GI55" s="689">
        <v>0</v>
      </c>
      <c r="GJ55" s="689">
        <v>0</v>
      </c>
      <c r="GK55" s="689">
        <v>0</v>
      </c>
      <c r="GL55" s="689">
        <v>0</v>
      </c>
      <c r="GM55" s="689">
        <v>0</v>
      </c>
      <c r="GN55" s="689">
        <f t="shared" si="127"/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HA55">
        <f t="shared" si="130"/>
        <v>0</v>
      </c>
      <c r="HC55" s="730" t="str">
        <f t="shared" si="113"/>
        <v>-</v>
      </c>
      <c r="HD55" s="739" t="str">
        <f t="shared" si="246"/>
        <v>-</v>
      </c>
      <c r="HE55" s="737">
        <f t="shared" si="131"/>
        <v>0</v>
      </c>
      <c r="HF55" s="737">
        <f t="shared" si="141"/>
        <v>0</v>
      </c>
    </row>
    <row r="56" spans="1:214" ht="13.9" customHeight="1" x14ac:dyDescent="0.2">
      <c r="A56" s="727" t="s">
        <v>412</v>
      </c>
      <c r="AB56" s="690">
        <f t="shared" ref="AB56:AM56" si="248">SUM(AB57:AB61)</f>
        <v>6316</v>
      </c>
      <c r="AC56" s="690">
        <f t="shared" si="248"/>
        <v>2777</v>
      </c>
      <c r="AD56" s="690">
        <f t="shared" si="248"/>
        <v>8948</v>
      </c>
      <c r="AE56" s="690">
        <f t="shared" si="248"/>
        <v>1630</v>
      </c>
      <c r="AF56" s="690">
        <f t="shared" si="248"/>
        <v>203</v>
      </c>
      <c r="AG56" s="690">
        <f t="shared" si="248"/>
        <v>5899</v>
      </c>
      <c r="AH56" s="690">
        <f t="shared" si="248"/>
        <v>4496</v>
      </c>
      <c r="AI56" s="690">
        <f t="shared" si="248"/>
        <v>439</v>
      </c>
      <c r="AJ56" s="690">
        <f t="shared" si="248"/>
        <v>10757</v>
      </c>
      <c r="AK56" s="690">
        <f t="shared" si="248"/>
        <v>2254</v>
      </c>
      <c r="AL56" s="690">
        <f t="shared" si="248"/>
        <v>403.9</v>
      </c>
      <c r="AM56" s="690">
        <f t="shared" si="248"/>
        <v>1457</v>
      </c>
      <c r="AN56" s="728">
        <f t="shared" si="210"/>
        <v>45579.9</v>
      </c>
      <c r="AO56" s="690">
        <f t="shared" ref="AO56:AZ56" si="249">SUM(AO57:AO61)</f>
        <v>95</v>
      </c>
      <c r="AP56" s="690">
        <f t="shared" si="249"/>
        <v>5637</v>
      </c>
      <c r="AQ56" s="690">
        <f t="shared" si="249"/>
        <v>-475</v>
      </c>
      <c r="AR56" s="690">
        <f t="shared" si="249"/>
        <v>3640</v>
      </c>
      <c r="AS56" s="690">
        <f t="shared" si="249"/>
        <v>53</v>
      </c>
      <c r="AT56" s="690">
        <f t="shared" si="249"/>
        <v>554</v>
      </c>
      <c r="AU56" s="690">
        <f t="shared" si="249"/>
        <v>2002</v>
      </c>
      <c r="AV56" s="690">
        <f t="shared" si="249"/>
        <v>409</v>
      </c>
      <c r="AW56" s="690">
        <f t="shared" si="249"/>
        <v>60.445999999999998</v>
      </c>
      <c r="AX56" s="690">
        <f t="shared" si="249"/>
        <v>2024</v>
      </c>
      <c r="AY56" s="690">
        <f t="shared" si="249"/>
        <v>18</v>
      </c>
      <c r="AZ56" s="690">
        <f t="shared" si="249"/>
        <v>181</v>
      </c>
      <c r="BA56" s="690">
        <f t="shared" si="212"/>
        <v>14198.446</v>
      </c>
      <c r="BB56" s="690">
        <f t="shared" ref="BB56:CM56" si="250">SUM(BB57:BB61)</f>
        <v>0</v>
      </c>
      <c r="BC56" s="690">
        <f t="shared" si="250"/>
        <v>385</v>
      </c>
      <c r="BD56" s="690">
        <f t="shared" si="250"/>
        <v>20557</v>
      </c>
      <c r="BE56" s="690">
        <f t="shared" si="250"/>
        <v>1131</v>
      </c>
      <c r="BF56" s="690">
        <f t="shared" si="250"/>
        <v>0</v>
      </c>
      <c r="BG56" s="690">
        <f t="shared" si="250"/>
        <v>77</v>
      </c>
      <c r="BH56" s="690">
        <f t="shared" si="250"/>
        <v>300</v>
      </c>
      <c r="BI56" s="690">
        <f t="shared" si="250"/>
        <v>0</v>
      </c>
      <c r="BJ56" s="690">
        <f t="shared" si="250"/>
        <v>468</v>
      </c>
      <c r="BK56" s="690">
        <f t="shared" si="250"/>
        <v>0</v>
      </c>
      <c r="BL56" s="690">
        <f t="shared" si="250"/>
        <v>175</v>
      </c>
      <c r="BM56" s="690">
        <f t="shared" si="250"/>
        <v>2349</v>
      </c>
      <c r="BN56" s="690">
        <f t="shared" si="214"/>
        <v>25442</v>
      </c>
      <c r="BO56" s="690">
        <f t="shared" si="250"/>
        <v>3145</v>
      </c>
      <c r="BP56" s="690">
        <f t="shared" si="250"/>
        <v>870</v>
      </c>
      <c r="BQ56" s="690">
        <f t="shared" si="250"/>
        <v>17536</v>
      </c>
      <c r="BR56" s="690">
        <f t="shared" si="250"/>
        <v>373</v>
      </c>
      <c r="BS56" s="690">
        <f t="shared" si="250"/>
        <v>0</v>
      </c>
      <c r="BT56" s="690">
        <f t="shared" si="250"/>
        <v>197</v>
      </c>
      <c r="BU56" s="690">
        <f t="shared" si="250"/>
        <v>1367</v>
      </c>
      <c r="BV56" s="690">
        <f t="shared" si="250"/>
        <v>3726</v>
      </c>
      <c r="BW56" s="690">
        <f t="shared" si="250"/>
        <v>0</v>
      </c>
      <c r="BX56" s="690">
        <f t="shared" si="250"/>
        <v>472</v>
      </c>
      <c r="BY56" s="690">
        <f t="shared" si="250"/>
        <v>0</v>
      </c>
      <c r="BZ56" s="690">
        <f t="shared" si="250"/>
        <v>-8</v>
      </c>
      <c r="CA56" s="690">
        <f t="shared" si="215"/>
        <v>27678</v>
      </c>
      <c r="CB56" s="690">
        <f t="shared" si="250"/>
        <v>187</v>
      </c>
      <c r="CC56" s="690">
        <f t="shared" si="250"/>
        <v>15863</v>
      </c>
      <c r="CD56" s="690">
        <f t="shared" si="250"/>
        <v>400</v>
      </c>
      <c r="CE56" s="690">
        <f t="shared" si="250"/>
        <v>250</v>
      </c>
      <c r="CF56" s="690">
        <f t="shared" si="250"/>
        <v>0</v>
      </c>
      <c r="CG56" s="690">
        <f t="shared" si="250"/>
        <v>100</v>
      </c>
      <c r="CH56" s="690">
        <f t="shared" si="250"/>
        <v>0</v>
      </c>
      <c r="CI56" s="690">
        <f t="shared" si="250"/>
        <v>2509</v>
      </c>
      <c r="CJ56" s="690">
        <f t="shared" si="250"/>
        <v>0</v>
      </c>
      <c r="CK56" s="690">
        <f t="shared" si="250"/>
        <v>0</v>
      </c>
      <c r="CL56" s="690">
        <f t="shared" si="250"/>
        <v>28</v>
      </c>
      <c r="CM56" s="690">
        <f t="shared" si="250"/>
        <v>1173</v>
      </c>
      <c r="CN56" s="690">
        <f t="shared" si="216"/>
        <v>20510</v>
      </c>
      <c r="CO56" s="690">
        <f t="shared" ref="CO56:CZ56" si="251">SUM(CO57:CO61)</f>
        <v>300</v>
      </c>
      <c r="CP56" s="690">
        <f t="shared" si="251"/>
        <v>0</v>
      </c>
      <c r="CQ56" s="690">
        <f t="shared" si="251"/>
        <v>5144</v>
      </c>
      <c r="CR56" s="690">
        <f t="shared" si="251"/>
        <v>0</v>
      </c>
      <c r="CS56" s="690">
        <f t="shared" si="251"/>
        <v>0</v>
      </c>
      <c r="CT56" s="690">
        <f t="shared" si="251"/>
        <v>300</v>
      </c>
      <c r="CU56" s="690">
        <f t="shared" si="251"/>
        <v>71</v>
      </c>
      <c r="CV56" s="690">
        <f t="shared" si="251"/>
        <v>0</v>
      </c>
      <c r="CW56" s="690">
        <f t="shared" si="251"/>
        <v>116</v>
      </c>
      <c r="CX56" s="690">
        <f t="shared" si="251"/>
        <v>0</v>
      </c>
      <c r="CY56" s="690">
        <f t="shared" si="251"/>
        <v>0</v>
      </c>
      <c r="CZ56" s="690">
        <f t="shared" si="251"/>
        <v>93</v>
      </c>
      <c r="DA56" s="690">
        <f t="shared" si="218"/>
        <v>6024</v>
      </c>
      <c r="DB56" s="690">
        <f t="shared" ref="DB56:DM56" si="252">SUM(DB57:DB61)</f>
        <v>262</v>
      </c>
      <c r="DC56" s="690">
        <f t="shared" si="252"/>
        <v>0</v>
      </c>
      <c r="DD56" s="690">
        <f t="shared" si="252"/>
        <v>0</v>
      </c>
      <c r="DE56" s="690">
        <f t="shared" si="252"/>
        <v>189</v>
      </c>
      <c r="DF56" s="690">
        <f t="shared" si="252"/>
        <v>837</v>
      </c>
      <c r="DG56" s="690">
        <f t="shared" si="252"/>
        <v>0</v>
      </c>
      <c r="DH56" s="690">
        <f t="shared" si="252"/>
        <v>498</v>
      </c>
      <c r="DI56" s="690">
        <f t="shared" si="252"/>
        <v>0</v>
      </c>
      <c r="DJ56" s="690">
        <f t="shared" si="252"/>
        <v>0</v>
      </c>
      <c r="DK56" s="690">
        <f t="shared" si="252"/>
        <v>0</v>
      </c>
      <c r="DL56" s="690">
        <f t="shared" si="252"/>
        <v>488</v>
      </c>
      <c r="DM56" s="690">
        <f t="shared" si="252"/>
        <v>1898</v>
      </c>
      <c r="DN56" s="690">
        <f t="shared" si="220"/>
        <v>4172</v>
      </c>
      <c r="DO56" s="690">
        <f t="shared" ref="DO56:DZ56" si="253">SUM(DO57:DO61)</f>
        <v>0</v>
      </c>
      <c r="DP56" s="690">
        <f t="shared" si="253"/>
        <v>0</v>
      </c>
      <c r="DQ56" s="690">
        <f t="shared" si="253"/>
        <v>1645</v>
      </c>
      <c r="DR56" s="690">
        <f t="shared" si="253"/>
        <v>212</v>
      </c>
      <c r="DS56" s="690">
        <f t="shared" si="253"/>
        <v>0</v>
      </c>
      <c r="DT56" s="690">
        <f t="shared" si="253"/>
        <v>0</v>
      </c>
      <c r="DU56" s="690">
        <f t="shared" si="253"/>
        <v>14</v>
      </c>
      <c r="DV56" s="690">
        <f t="shared" si="253"/>
        <v>0</v>
      </c>
      <c r="DW56" s="690">
        <f t="shared" si="253"/>
        <v>174</v>
      </c>
      <c r="DX56" s="690">
        <f t="shared" si="253"/>
        <v>0</v>
      </c>
      <c r="DY56" s="690">
        <f t="shared" si="253"/>
        <v>1630</v>
      </c>
      <c r="DZ56" s="690">
        <f t="shared" si="253"/>
        <v>0</v>
      </c>
      <c r="EA56" s="737">
        <f t="shared" si="247"/>
        <v>3675</v>
      </c>
      <c r="EB56" s="690">
        <f t="shared" ref="EB56:EM56" si="254">SUM(EB57:EB61)</f>
        <v>4348</v>
      </c>
      <c r="EC56" s="690">
        <f t="shared" si="254"/>
        <v>0</v>
      </c>
      <c r="ED56" s="690">
        <f t="shared" si="254"/>
        <v>0</v>
      </c>
      <c r="EE56" s="690">
        <f t="shared" si="254"/>
        <v>6215</v>
      </c>
      <c r="EF56" s="690">
        <f t="shared" si="254"/>
        <v>0</v>
      </c>
      <c r="EG56" s="690">
        <f t="shared" si="254"/>
        <v>3761</v>
      </c>
      <c r="EH56" s="690">
        <f t="shared" si="254"/>
        <v>0</v>
      </c>
      <c r="EI56" s="690">
        <f t="shared" si="254"/>
        <v>2041</v>
      </c>
      <c r="EJ56" s="690">
        <f t="shared" si="254"/>
        <v>11101</v>
      </c>
      <c r="EK56" s="690">
        <f t="shared" si="254"/>
        <v>7672</v>
      </c>
      <c r="EL56" s="690">
        <f t="shared" si="254"/>
        <v>9301</v>
      </c>
      <c r="EM56" s="690">
        <f t="shared" si="254"/>
        <v>4586</v>
      </c>
      <c r="EN56" s="690">
        <f t="shared" si="236"/>
        <v>49025</v>
      </c>
      <c r="EO56" s="690">
        <f t="shared" ref="EO56:EZ56" si="255">SUM(EO57:EO61)</f>
        <v>-70</v>
      </c>
      <c r="EP56" s="690">
        <f t="shared" si="255"/>
        <v>4604</v>
      </c>
      <c r="EQ56" s="690">
        <f t="shared" si="255"/>
        <v>2661</v>
      </c>
      <c r="ER56" s="690">
        <f t="shared" si="255"/>
        <v>562</v>
      </c>
      <c r="ES56" s="690">
        <f t="shared" si="255"/>
        <v>321</v>
      </c>
      <c r="ET56" s="690">
        <f t="shared" si="255"/>
        <v>18911</v>
      </c>
      <c r="EU56" s="690">
        <f t="shared" si="255"/>
        <v>-29</v>
      </c>
      <c r="EV56" s="690">
        <f t="shared" si="255"/>
        <v>57</v>
      </c>
      <c r="EW56" s="690">
        <f t="shared" si="255"/>
        <v>2408</v>
      </c>
      <c r="EX56" s="690">
        <f t="shared" si="255"/>
        <v>150</v>
      </c>
      <c r="EY56" s="740">
        <f t="shared" si="255"/>
        <v>294</v>
      </c>
      <c r="EZ56" s="740">
        <f t="shared" si="255"/>
        <v>-64</v>
      </c>
      <c r="FA56" s="690">
        <f t="shared" si="238"/>
        <v>29805</v>
      </c>
      <c r="FB56" s="690">
        <f t="shared" ref="FB56:FM56" si="256">SUM(FB57:FB61)</f>
        <v>0</v>
      </c>
      <c r="FC56" s="690">
        <f t="shared" si="256"/>
        <v>-39</v>
      </c>
      <c r="FD56" s="690">
        <f t="shared" si="256"/>
        <v>-13</v>
      </c>
      <c r="FE56" s="690">
        <f t="shared" si="256"/>
        <v>24044</v>
      </c>
      <c r="FF56" s="690">
        <f t="shared" si="256"/>
        <v>731</v>
      </c>
      <c r="FG56" s="690">
        <f t="shared" si="256"/>
        <v>0</v>
      </c>
      <c r="FH56" s="690">
        <f t="shared" si="256"/>
        <v>-15</v>
      </c>
      <c r="FI56" s="690">
        <f t="shared" si="256"/>
        <v>4393</v>
      </c>
      <c r="FJ56" s="690">
        <f t="shared" si="256"/>
        <v>-132</v>
      </c>
      <c r="FK56" s="690">
        <f t="shared" si="256"/>
        <v>855</v>
      </c>
      <c r="FL56" s="690">
        <f t="shared" si="256"/>
        <v>383</v>
      </c>
      <c r="FM56" s="690">
        <f t="shared" si="256"/>
        <v>209</v>
      </c>
      <c r="FN56" s="690">
        <f t="shared" si="240"/>
        <v>30416</v>
      </c>
      <c r="FO56" s="690">
        <f t="shared" ref="FO56:FZ56" si="257">SUM(FO57:FO61)</f>
        <v>10</v>
      </c>
      <c r="FP56" s="690">
        <f t="shared" si="257"/>
        <v>9</v>
      </c>
      <c r="FQ56" s="690">
        <f t="shared" si="257"/>
        <v>0</v>
      </c>
      <c r="FR56" s="690">
        <f t="shared" si="257"/>
        <v>1698</v>
      </c>
      <c r="FS56" s="690">
        <f t="shared" si="257"/>
        <v>130</v>
      </c>
      <c r="FT56" s="690">
        <f t="shared" si="257"/>
        <v>2660</v>
      </c>
      <c r="FU56" s="690">
        <f t="shared" si="257"/>
        <v>1934</v>
      </c>
      <c r="FV56" s="690">
        <f t="shared" si="257"/>
        <v>-60</v>
      </c>
      <c r="FW56" s="690">
        <f t="shared" si="257"/>
        <v>3661</v>
      </c>
      <c r="FX56" s="690">
        <f t="shared" si="257"/>
        <v>2865</v>
      </c>
      <c r="FY56" s="690">
        <f t="shared" si="257"/>
        <v>-13</v>
      </c>
      <c r="FZ56" s="690">
        <f t="shared" si="257"/>
        <v>652</v>
      </c>
      <c r="GA56" s="690">
        <f t="shared" si="242"/>
        <v>13546</v>
      </c>
      <c r="GB56" s="690">
        <f t="shared" ref="GB56:GM56" si="258">SUM(GB57:GB61)</f>
        <v>5</v>
      </c>
      <c r="GC56" s="690">
        <f t="shared" si="258"/>
        <v>-20</v>
      </c>
      <c r="GD56" s="740">
        <f t="shared" si="258"/>
        <v>1579</v>
      </c>
      <c r="GE56" s="690">
        <f t="shared" si="258"/>
        <v>-1</v>
      </c>
      <c r="GF56" s="690">
        <f t="shared" si="258"/>
        <v>521</v>
      </c>
      <c r="GG56" s="690">
        <f t="shared" si="258"/>
        <v>9579</v>
      </c>
      <c r="GH56" s="690">
        <f t="shared" si="258"/>
        <v>1352</v>
      </c>
      <c r="GI56" s="690">
        <f t="shared" si="258"/>
        <v>-2</v>
      </c>
      <c r="GJ56" s="690">
        <f t="shared" si="258"/>
        <v>-52</v>
      </c>
      <c r="GK56" s="690">
        <f t="shared" si="258"/>
        <v>-45</v>
      </c>
      <c r="GL56" s="690">
        <f t="shared" si="258"/>
        <v>501</v>
      </c>
      <c r="GM56" s="690">
        <f t="shared" si="258"/>
        <v>579</v>
      </c>
      <c r="GN56" s="690">
        <f t="shared" si="127"/>
        <v>13996</v>
      </c>
      <c r="GO56" s="129">
        <f t="shared" ref="GO56:GQ56" si="259">SUM(GO57:GO61)</f>
        <v>-84</v>
      </c>
      <c r="GP56" s="129">
        <f t="shared" si="259"/>
        <v>558</v>
      </c>
      <c r="GQ56" s="129">
        <f t="shared" si="259"/>
        <v>-4</v>
      </c>
      <c r="GR56" s="129">
        <f>SUM(GR57:GR61)</f>
        <v>3632</v>
      </c>
      <c r="GS56" s="129">
        <f>SUM(GS57:GS61)</f>
        <v>734</v>
      </c>
      <c r="GT56" s="129">
        <f>SUM(GT57:GT61)</f>
        <v>-2</v>
      </c>
      <c r="GU56" s="129">
        <f>SUM(GU57:GU61)</f>
        <v>-15</v>
      </c>
      <c r="GV56" s="129">
        <f>SUM(GV57:GV61)</f>
        <v>-28</v>
      </c>
      <c r="GW56" s="129"/>
      <c r="GX56" s="129"/>
      <c r="GY56" s="129"/>
      <c r="GZ56" s="129"/>
      <c r="HA56" s="129">
        <f t="shared" si="130"/>
        <v>4791</v>
      </c>
      <c r="HC56" s="730">
        <f t="shared" si="113"/>
        <v>1300</v>
      </c>
      <c r="HD56" s="741">
        <f t="shared" si="246"/>
        <v>-63.182970875278563</v>
      </c>
      <c r="HE56" s="728">
        <f t="shared" si="131"/>
        <v>13013</v>
      </c>
      <c r="HF56" s="728">
        <f t="shared" si="141"/>
        <v>4791</v>
      </c>
    </row>
    <row r="57" spans="1:214" ht="13.9" customHeight="1" x14ac:dyDescent="0.2">
      <c r="A57" s="736" t="s">
        <v>413</v>
      </c>
      <c r="AB57" s="689">
        <v>1656</v>
      </c>
      <c r="AC57" s="689">
        <v>0</v>
      </c>
      <c r="AD57" s="689">
        <v>1047</v>
      </c>
      <c r="AE57" s="689">
        <v>186</v>
      </c>
      <c r="AF57" s="689">
        <v>105</v>
      </c>
      <c r="AG57" s="689">
        <v>161</v>
      </c>
      <c r="AH57" s="689">
        <v>319</v>
      </c>
      <c r="AI57" s="689">
        <v>209</v>
      </c>
      <c r="AJ57" s="689">
        <v>-1</v>
      </c>
      <c r="AK57" s="689">
        <v>981</v>
      </c>
      <c r="AL57" s="689">
        <v>268</v>
      </c>
      <c r="AM57" s="689">
        <v>-99</v>
      </c>
      <c r="AN57" s="737">
        <f t="shared" si="210"/>
        <v>4832</v>
      </c>
      <c r="AO57" s="689">
        <v>0</v>
      </c>
      <c r="AP57" s="689">
        <v>554</v>
      </c>
      <c r="AQ57" s="689">
        <v>436</v>
      </c>
      <c r="AR57" s="689">
        <v>0</v>
      </c>
      <c r="AS57" s="689">
        <v>9</v>
      </c>
      <c r="AT57" s="689">
        <v>197</v>
      </c>
      <c r="AU57" s="689">
        <v>0</v>
      </c>
      <c r="AV57" s="689">
        <v>237</v>
      </c>
      <c r="AW57" s="689">
        <v>0.44600000000000001</v>
      </c>
      <c r="AX57" s="689">
        <v>0</v>
      </c>
      <c r="AY57" s="689">
        <v>0</v>
      </c>
      <c r="AZ57" s="689">
        <v>-20</v>
      </c>
      <c r="BA57" s="689">
        <f t="shared" si="212"/>
        <v>1413.4459999999999</v>
      </c>
      <c r="BB57" s="689">
        <v>0</v>
      </c>
      <c r="BC57" s="689">
        <v>385</v>
      </c>
      <c r="BD57" s="689">
        <v>2382</v>
      </c>
      <c r="BE57" s="689">
        <v>0</v>
      </c>
      <c r="BF57" s="689">
        <v>0</v>
      </c>
      <c r="BG57" s="689">
        <v>0</v>
      </c>
      <c r="BH57" s="689">
        <v>300</v>
      </c>
      <c r="BI57" s="689">
        <v>0</v>
      </c>
      <c r="BJ57" s="689">
        <v>0</v>
      </c>
      <c r="BK57" s="689">
        <v>0</v>
      </c>
      <c r="BL57" s="689">
        <v>0</v>
      </c>
      <c r="BM57" s="689">
        <v>0</v>
      </c>
      <c r="BN57" s="689">
        <f t="shared" si="214"/>
        <v>3067</v>
      </c>
      <c r="BO57" s="689">
        <v>1921</v>
      </c>
      <c r="BP57" s="689">
        <v>870</v>
      </c>
      <c r="BQ57" s="689">
        <v>1819</v>
      </c>
      <c r="BR57" s="689">
        <v>373</v>
      </c>
      <c r="BS57" s="689">
        <v>0</v>
      </c>
      <c r="BT57" s="689">
        <v>197</v>
      </c>
      <c r="BU57" s="689">
        <v>1277</v>
      </c>
      <c r="BV57" s="689">
        <v>1375</v>
      </c>
      <c r="BW57" s="689">
        <v>0</v>
      </c>
      <c r="BX57" s="689">
        <v>816</v>
      </c>
      <c r="BY57" s="689">
        <v>0</v>
      </c>
      <c r="BZ57" s="689">
        <v>0</v>
      </c>
      <c r="CA57" s="689">
        <f t="shared" si="215"/>
        <v>8648</v>
      </c>
      <c r="CB57" s="689">
        <v>100</v>
      </c>
      <c r="CC57" s="689">
        <v>0</v>
      </c>
      <c r="CD57" s="689">
        <v>400</v>
      </c>
      <c r="CE57" s="689">
        <v>250</v>
      </c>
      <c r="CF57" s="689">
        <v>0</v>
      </c>
      <c r="CG57" s="689">
        <v>100</v>
      </c>
      <c r="CH57" s="689">
        <v>0</v>
      </c>
      <c r="CI57" s="689">
        <v>0</v>
      </c>
      <c r="CJ57" s="689">
        <v>0</v>
      </c>
      <c r="CK57" s="689">
        <v>0</v>
      </c>
      <c r="CL57" s="689">
        <v>0</v>
      </c>
      <c r="CM57" s="689">
        <v>1173</v>
      </c>
      <c r="CN57" s="689">
        <f t="shared" si="216"/>
        <v>2023</v>
      </c>
      <c r="CO57" s="689">
        <v>300</v>
      </c>
      <c r="CP57" s="689">
        <v>0</v>
      </c>
      <c r="CQ57" s="689">
        <v>0</v>
      </c>
      <c r="CR57" s="689">
        <v>0</v>
      </c>
      <c r="CS57" s="689">
        <v>0</v>
      </c>
      <c r="CT57" s="689">
        <v>300</v>
      </c>
      <c r="CU57" s="689">
        <v>0</v>
      </c>
      <c r="CV57" s="689">
        <v>0</v>
      </c>
      <c r="CW57" s="689">
        <v>0</v>
      </c>
      <c r="CX57" s="689">
        <v>0</v>
      </c>
      <c r="CY57" s="689">
        <v>0</v>
      </c>
      <c r="CZ57" s="689"/>
      <c r="DA57" s="689">
        <f t="shared" si="218"/>
        <v>600</v>
      </c>
      <c r="DB57" s="689">
        <v>262</v>
      </c>
      <c r="DC57" s="689">
        <v>0</v>
      </c>
      <c r="DD57" s="689">
        <v>0</v>
      </c>
      <c r="DE57" s="689">
        <v>189</v>
      </c>
      <c r="DF57" s="689">
        <v>837</v>
      </c>
      <c r="DG57" s="689">
        <v>0</v>
      </c>
      <c r="DH57" s="689">
        <v>498</v>
      </c>
      <c r="DI57" s="689">
        <v>0</v>
      </c>
      <c r="DJ57" s="689">
        <v>0</v>
      </c>
      <c r="DK57" s="689">
        <v>0</v>
      </c>
      <c r="DL57" s="689">
        <v>488</v>
      </c>
      <c r="DM57" s="689">
        <v>1898</v>
      </c>
      <c r="DN57" s="689">
        <f t="shared" si="220"/>
        <v>4172</v>
      </c>
      <c r="DO57" s="689">
        <v>0</v>
      </c>
      <c r="DP57" s="689">
        <v>0</v>
      </c>
      <c r="DQ57" s="689">
        <v>1645</v>
      </c>
      <c r="DR57" s="689">
        <v>212</v>
      </c>
      <c r="DS57" s="689">
        <v>0</v>
      </c>
      <c r="DT57" s="689"/>
      <c r="DU57" s="689">
        <v>0</v>
      </c>
      <c r="DV57" s="689">
        <v>0</v>
      </c>
      <c r="DW57" s="689">
        <v>174</v>
      </c>
      <c r="DX57" s="689">
        <v>0</v>
      </c>
      <c r="DY57" s="689">
        <v>1630</v>
      </c>
      <c r="DZ57" s="689">
        <v>0</v>
      </c>
      <c r="EA57" s="737">
        <f t="shared" si="247"/>
        <v>3661</v>
      </c>
      <c r="EB57" s="689">
        <v>4348</v>
      </c>
      <c r="EC57" s="689">
        <v>0</v>
      </c>
      <c r="ED57" s="689">
        <v>0</v>
      </c>
      <c r="EE57" s="689">
        <v>6215</v>
      </c>
      <c r="EF57" s="689">
        <v>0</v>
      </c>
      <c r="EG57" s="689">
        <v>3761</v>
      </c>
      <c r="EH57" s="689">
        <v>0</v>
      </c>
      <c r="EI57" s="689">
        <v>2041</v>
      </c>
      <c r="EJ57" s="689">
        <v>11101</v>
      </c>
      <c r="EK57" s="689">
        <v>7672</v>
      </c>
      <c r="EL57" s="689">
        <v>9301</v>
      </c>
      <c r="EM57" s="689">
        <v>4586</v>
      </c>
      <c r="EN57" s="689">
        <f t="shared" si="236"/>
        <v>49025</v>
      </c>
      <c r="EO57" s="689">
        <v>-70</v>
      </c>
      <c r="EP57" s="689">
        <v>4604</v>
      </c>
      <c r="EQ57" s="689">
        <v>2661</v>
      </c>
      <c r="ER57" s="689">
        <v>562</v>
      </c>
      <c r="ES57" s="689">
        <v>321</v>
      </c>
      <c r="ET57" s="689">
        <v>18911</v>
      </c>
      <c r="EU57" s="689">
        <v>-29</v>
      </c>
      <c r="EV57" s="689">
        <v>57</v>
      </c>
      <c r="EW57" s="689">
        <v>2408</v>
      </c>
      <c r="EX57" s="689">
        <v>150</v>
      </c>
      <c r="EY57" s="738">
        <v>294</v>
      </c>
      <c r="EZ57" s="738">
        <v>-64</v>
      </c>
      <c r="FA57" s="689">
        <f t="shared" si="238"/>
        <v>29805</v>
      </c>
      <c r="FB57" s="689">
        <v>0</v>
      </c>
      <c r="FC57" s="689">
        <v>-39</v>
      </c>
      <c r="FD57" s="689">
        <v>-13</v>
      </c>
      <c r="FE57" s="689">
        <v>24044</v>
      </c>
      <c r="FF57" s="689">
        <v>731</v>
      </c>
      <c r="FG57" s="689">
        <v>0</v>
      </c>
      <c r="FH57" s="689">
        <v>-15</v>
      </c>
      <c r="FI57" s="689">
        <v>4393</v>
      </c>
      <c r="FJ57" s="689">
        <v>-132</v>
      </c>
      <c r="FK57" s="689">
        <v>855</v>
      </c>
      <c r="FL57" s="689">
        <v>383</v>
      </c>
      <c r="FM57" s="689">
        <v>209</v>
      </c>
      <c r="FN57" s="689">
        <f t="shared" si="240"/>
        <v>30416</v>
      </c>
      <c r="FO57" s="689">
        <v>10</v>
      </c>
      <c r="FP57" s="689">
        <v>9</v>
      </c>
      <c r="FQ57" s="689">
        <v>0</v>
      </c>
      <c r="FR57" s="689">
        <v>1698</v>
      </c>
      <c r="FS57" s="689">
        <v>130</v>
      </c>
      <c r="FT57" s="689">
        <v>2660</v>
      </c>
      <c r="FU57" s="689">
        <v>1934</v>
      </c>
      <c r="FV57" s="689">
        <v>-60</v>
      </c>
      <c r="FW57" s="689">
        <v>3661</v>
      </c>
      <c r="FX57" s="689">
        <v>2865</v>
      </c>
      <c r="FY57" s="689">
        <v>-13</v>
      </c>
      <c r="FZ57" s="689">
        <v>652</v>
      </c>
      <c r="GA57" s="689">
        <f t="shared" si="242"/>
        <v>13546</v>
      </c>
      <c r="GB57" s="689">
        <v>0</v>
      </c>
      <c r="GC57" s="689">
        <v>-20</v>
      </c>
      <c r="GD57" s="738">
        <v>1579</v>
      </c>
      <c r="GE57" s="689">
        <v>-1</v>
      </c>
      <c r="GF57" s="689">
        <v>521</v>
      </c>
      <c r="GG57" s="689">
        <v>9579</v>
      </c>
      <c r="GH57" s="689">
        <v>1352</v>
      </c>
      <c r="GI57" s="689">
        <v>-2</v>
      </c>
      <c r="GJ57" s="689">
        <v>-52</v>
      </c>
      <c r="GK57" s="689">
        <v>-110</v>
      </c>
      <c r="GL57" s="689">
        <v>501</v>
      </c>
      <c r="GM57" s="689">
        <v>-3</v>
      </c>
      <c r="GN57" s="689">
        <f t="shared" si="127"/>
        <v>13344</v>
      </c>
      <c r="GO57">
        <v>-84</v>
      </c>
      <c r="GP57">
        <v>558</v>
      </c>
      <c r="GQ57">
        <v>-4</v>
      </c>
      <c r="GR57">
        <v>3632</v>
      </c>
      <c r="GS57">
        <v>734</v>
      </c>
      <c r="GT57">
        <v>-2</v>
      </c>
      <c r="GU57">
        <v>-15</v>
      </c>
      <c r="GV57">
        <v>-28</v>
      </c>
      <c r="HA57">
        <f t="shared" si="130"/>
        <v>4791</v>
      </c>
      <c r="HC57" s="730">
        <f t="shared" si="113"/>
        <v>1300</v>
      </c>
      <c r="HD57" s="739">
        <f t="shared" si="246"/>
        <v>-63.168819188191883</v>
      </c>
      <c r="HE57" s="737">
        <f t="shared" si="131"/>
        <v>13008</v>
      </c>
      <c r="HF57" s="737">
        <f t="shared" si="141"/>
        <v>4791</v>
      </c>
    </row>
    <row r="58" spans="1:214" ht="13.9" customHeight="1" x14ac:dyDescent="0.2">
      <c r="A58" s="736" t="s">
        <v>469</v>
      </c>
      <c r="AB58" s="689">
        <v>0</v>
      </c>
      <c r="AC58" s="689">
        <v>0</v>
      </c>
      <c r="AD58" s="689">
        <v>0</v>
      </c>
      <c r="AE58" s="689">
        <v>0</v>
      </c>
      <c r="AF58" s="689">
        <v>0</v>
      </c>
      <c r="AG58" s="689">
        <v>5408</v>
      </c>
      <c r="AH58" s="689">
        <v>129</v>
      </c>
      <c r="AI58" s="689">
        <v>0</v>
      </c>
      <c r="AJ58" s="689">
        <v>10620</v>
      </c>
      <c r="AK58" s="689">
        <v>0</v>
      </c>
      <c r="AL58" s="689">
        <v>0</v>
      </c>
      <c r="AM58" s="689">
        <v>0</v>
      </c>
      <c r="AN58" s="737">
        <f t="shared" si="210"/>
        <v>16157</v>
      </c>
      <c r="AO58" s="689">
        <v>0</v>
      </c>
      <c r="AP58" s="689">
        <v>0</v>
      </c>
      <c r="AQ58" s="689">
        <v>0</v>
      </c>
      <c r="AR58" s="689">
        <v>0</v>
      </c>
      <c r="AS58" s="689">
        <v>0</v>
      </c>
      <c r="AT58" s="689">
        <v>0</v>
      </c>
      <c r="AU58" s="689">
        <v>0</v>
      </c>
      <c r="AV58" s="689">
        <v>0</v>
      </c>
      <c r="AW58" s="689">
        <v>0</v>
      </c>
      <c r="AX58" s="689">
        <v>0</v>
      </c>
      <c r="AY58" s="689">
        <v>0</v>
      </c>
      <c r="AZ58" s="689">
        <v>0</v>
      </c>
      <c r="BA58" s="689">
        <f t="shared" si="212"/>
        <v>0</v>
      </c>
      <c r="BB58" s="689">
        <v>0</v>
      </c>
      <c r="BC58" s="689">
        <v>0</v>
      </c>
      <c r="BD58" s="689">
        <v>1448</v>
      </c>
      <c r="BE58" s="689">
        <v>0</v>
      </c>
      <c r="BF58" s="689">
        <v>0</v>
      </c>
      <c r="BG58" s="689">
        <v>0</v>
      </c>
      <c r="BH58" s="689">
        <v>0</v>
      </c>
      <c r="BI58" s="689">
        <v>0</v>
      </c>
      <c r="BJ58" s="689">
        <v>0</v>
      </c>
      <c r="BK58" s="689">
        <v>0</v>
      </c>
      <c r="BL58" s="689">
        <v>0</v>
      </c>
      <c r="BM58" s="689">
        <v>0</v>
      </c>
      <c r="BN58" s="689">
        <f t="shared" si="214"/>
        <v>1448</v>
      </c>
      <c r="BO58" s="689">
        <v>0</v>
      </c>
      <c r="BP58" s="689">
        <v>0</v>
      </c>
      <c r="BQ58" s="689">
        <v>0</v>
      </c>
      <c r="BR58" s="689">
        <v>0</v>
      </c>
      <c r="BS58" s="689">
        <v>0</v>
      </c>
      <c r="BT58" s="689">
        <v>0</v>
      </c>
      <c r="BU58" s="689">
        <v>0</v>
      </c>
      <c r="BV58" s="689">
        <v>0</v>
      </c>
      <c r="BW58" s="689">
        <v>0</v>
      </c>
      <c r="BX58" s="689">
        <v>0</v>
      </c>
      <c r="BY58" s="689">
        <v>0</v>
      </c>
      <c r="BZ58" s="689">
        <v>0</v>
      </c>
      <c r="CA58" s="689">
        <f t="shared" si="215"/>
        <v>0</v>
      </c>
      <c r="CB58" s="689">
        <v>0</v>
      </c>
      <c r="CC58" s="689">
        <v>0</v>
      </c>
      <c r="CD58" s="689">
        <v>0</v>
      </c>
      <c r="CE58" s="689">
        <v>0</v>
      </c>
      <c r="CF58" s="689">
        <v>0</v>
      </c>
      <c r="CG58" s="689">
        <v>0</v>
      </c>
      <c r="CH58" s="689">
        <v>0</v>
      </c>
      <c r="CI58" s="689">
        <v>0</v>
      </c>
      <c r="CJ58" s="689">
        <v>0</v>
      </c>
      <c r="CK58" s="689">
        <v>0</v>
      </c>
      <c r="CL58" s="689">
        <v>0</v>
      </c>
      <c r="CM58" s="689">
        <v>0</v>
      </c>
      <c r="CN58" s="689">
        <f t="shared" si="216"/>
        <v>0</v>
      </c>
      <c r="CO58" s="689">
        <v>0</v>
      </c>
      <c r="CP58" s="689">
        <v>0</v>
      </c>
      <c r="CQ58" s="689">
        <v>0</v>
      </c>
      <c r="CR58" s="689">
        <v>0</v>
      </c>
      <c r="CS58" s="689">
        <v>0</v>
      </c>
      <c r="CT58" s="689">
        <v>0</v>
      </c>
      <c r="CU58" s="689">
        <v>0</v>
      </c>
      <c r="CV58" s="689">
        <v>0</v>
      </c>
      <c r="CW58" s="689">
        <v>0</v>
      </c>
      <c r="CX58" s="689">
        <v>0</v>
      </c>
      <c r="CY58" s="689">
        <v>0</v>
      </c>
      <c r="CZ58" s="689">
        <v>0</v>
      </c>
      <c r="DA58" s="689">
        <f t="shared" si="218"/>
        <v>0</v>
      </c>
      <c r="DB58" s="689">
        <v>0</v>
      </c>
      <c r="DC58" s="689">
        <v>0</v>
      </c>
      <c r="DD58" s="689">
        <v>0</v>
      </c>
      <c r="DE58" s="689">
        <v>0</v>
      </c>
      <c r="DF58" s="689">
        <v>0</v>
      </c>
      <c r="DG58" s="689">
        <v>0</v>
      </c>
      <c r="DH58" s="689">
        <v>0</v>
      </c>
      <c r="DI58" s="689">
        <v>0</v>
      </c>
      <c r="DJ58" s="689">
        <v>0</v>
      </c>
      <c r="DK58" s="689">
        <v>0</v>
      </c>
      <c r="DL58" s="689">
        <v>0</v>
      </c>
      <c r="DM58" s="689">
        <v>0</v>
      </c>
      <c r="DN58" s="689">
        <f t="shared" si="220"/>
        <v>0</v>
      </c>
      <c r="DO58" s="689">
        <v>0</v>
      </c>
      <c r="DP58" s="689">
        <v>0</v>
      </c>
      <c r="DQ58" s="689">
        <v>0</v>
      </c>
      <c r="DR58" s="689">
        <v>0</v>
      </c>
      <c r="DS58" s="689">
        <v>0</v>
      </c>
      <c r="DT58" s="689">
        <v>0</v>
      </c>
      <c r="DU58" s="689">
        <v>0</v>
      </c>
      <c r="DV58" s="689">
        <v>0</v>
      </c>
      <c r="DW58" s="689">
        <v>0</v>
      </c>
      <c r="DX58" s="689">
        <v>0</v>
      </c>
      <c r="DY58" s="689">
        <v>0</v>
      </c>
      <c r="DZ58" s="689">
        <v>0</v>
      </c>
      <c r="EA58" s="737">
        <f t="shared" si="247"/>
        <v>0</v>
      </c>
      <c r="EB58" s="689">
        <v>0</v>
      </c>
      <c r="EC58" s="689">
        <v>0</v>
      </c>
      <c r="ED58" s="689">
        <v>0</v>
      </c>
      <c r="EE58" s="689">
        <v>0</v>
      </c>
      <c r="EF58" s="689">
        <v>0</v>
      </c>
      <c r="EG58" s="689">
        <v>0</v>
      </c>
      <c r="EH58" s="689">
        <v>0</v>
      </c>
      <c r="EI58" s="689">
        <v>0</v>
      </c>
      <c r="EJ58" s="689">
        <v>0</v>
      </c>
      <c r="EK58" s="689">
        <v>0</v>
      </c>
      <c r="EL58" s="689">
        <v>0</v>
      </c>
      <c r="EM58" s="689">
        <v>0</v>
      </c>
      <c r="EN58" s="689">
        <f t="shared" si="236"/>
        <v>0</v>
      </c>
      <c r="EO58" s="689">
        <v>0</v>
      </c>
      <c r="EP58" s="689">
        <v>0</v>
      </c>
      <c r="EQ58" s="689">
        <v>0</v>
      </c>
      <c r="ER58" s="689">
        <v>0</v>
      </c>
      <c r="ES58" s="689">
        <v>0</v>
      </c>
      <c r="ET58" s="689">
        <v>0</v>
      </c>
      <c r="EU58" s="689">
        <v>0</v>
      </c>
      <c r="EV58" s="689">
        <v>0</v>
      </c>
      <c r="EW58" s="689">
        <v>0</v>
      </c>
      <c r="EX58" s="689">
        <v>0</v>
      </c>
      <c r="EY58" s="738">
        <v>0</v>
      </c>
      <c r="EZ58" s="738">
        <v>0</v>
      </c>
      <c r="FA58" s="689">
        <f t="shared" si="238"/>
        <v>0</v>
      </c>
      <c r="FB58" s="689">
        <v>0</v>
      </c>
      <c r="FC58" s="689">
        <v>0</v>
      </c>
      <c r="FD58" s="689">
        <v>0</v>
      </c>
      <c r="FE58" s="689">
        <v>0</v>
      </c>
      <c r="FF58" s="689">
        <v>0</v>
      </c>
      <c r="FG58" s="689">
        <v>0</v>
      </c>
      <c r="FH58" s="689">
        <v>0</v>
      </c>
      <c r="FI58" s="689">
        <v>0</v>
      </c>
      <c r="FJ58" s="689">
        <v>0</v>
      </c>
      <c r="FK58" s="689">
        <v>0</v>
      </c>
      <c r="FL58" s="689">
        <v>0</v>
      </c>
      <c r="FM58" s="689">
        <v>0</v>
      </c>
      <c r="FN58" s="689">
        <f t="shared" si="240"/>
        <v>0</v>
      </c>
      <c r="FO58" s="689">
        <v>0</v>
      </c>
      <c r="FP58" s="689">
        <v>0</v>
      </c>
      <c r="FQ58" s="689">
        <v>0</v>
      </c>
      <c r="FR58" s="689">
        <v>0</v>
      </c>
      <c r="FS58" s="689">
        <v>0</v>
      </c>
      <c r="FT58" s="689">
        <v>0</v>
      </c>
      <c r="FU58" s="689">
        <v>0</v>
      </c>
      <c r="FV58" s="689">
        <v>0</v>
      </c>
      <c r="FW58" s="689">
        <v>0</v>
      </c>
      <c r="FX58" s="689">
        <v>0</v>
      </c>
      <c r="FY58" s="689">
        <v>0</v>
      </c>
      <c r="FZ58" s="689">
        <v>0</v>
      </c>
      <c r="GA58" s="689">
        <f t="shared" si="242"/>
        <v>0</v>
      </c>
      <c r="GB58" s="689">
        <v>0</v>
      </c>
      <c r="GC58" s="689">
        <v>0</v>
      </c>
      <c r="GD58" s="738">
        <v>0</v>
      </c>
      <c r="GE58" s="689">
        <v>0</v>
      </c>
      <c r="GF58" s="689">
        <v>0</v>
      </c>
      <c r="GG58" s="689">
        <v>0</v>
      </c>
      <c r="GH58" s="689">
        <v>0</v>
      </c>
      <c r="GI58" s="689">
        <v>0</v>
      </c>
      <c r="GJ58" s="689">
        <v>0</v>
      </c>
      <c r="GK58" s="689">
        <v>0</v>
      </c>
      <c r="GL58" s="689">
        <v>0</v>
      </c>
      <c r="GM58" s="689">
        <v>582</v>
      </c>
      <c r="GN58" s="689">
        <f t="shared" si="127"/>
        <v>582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HA58">
        <f t="shared" si="130"/>
        <v>0</v>
      </c>
      <c r="HC58" s="730" t="str">
        <f t="shared" si="113"/>
        <v>-</v>
      </c>
      <c r="HD58" s="739" t="str">
        <f t="shared" si="246"/>
        <v>-</v>
      </c>
      <c r="HE58" s="737">
        <f t="shared" si="131"/>
        <v>0</v>
      </c>
      <c r="HF58" s="737">
        <f t="shared" si="141"/>
        <v>0</v>
      </c>
    </row>
    <row r="59" spans="1:214" ht="13.9" customHeight="1" x14ac:dyDescent="0.2">
      <c r="A59" s="736" t="s">
        <v>414</v>
      </c>
      <c r="AB59" s="689">
        <v>0</v>
      </c>
      <c r="AC59" s="689">
        <v>450</v>
      </c>
      <c r="AD59" s="689">
        <v>75</v>
      </c>
      <c r="AE59" s="689">
        <v>108</v>
      </c>
      <c r="AF59" s="689">
        <v>89</v>
      </c>
      <c r="AG59" s="689">
        <v>320</v>
      </c>
      <c r="AH59" s="689">
        <v>30</v>
      </c>
      <c r="AI59" s="689">
        <v>30</v>
      </c>
      <c r="AJ59" s="689">
        <v>138</v>
      </c>
      <c r="AK59" s="689">
        <v>-16</v>
      </c>
      <c r="AL59" s="689">
        <v>136</v>
      </c>
      <c r="AM59" s="689">
        <v>33</v>
      </c>
      <c r="AN59" s="737">
        <f t="shared" si="210"/>
        <v>1393</v>
      </c>
      <c r="AO59" s="689">
        <v>0</v>
      </c>
      <c r="AP59" s="689">
        <v>0</v>
      </c>
      <c r="AQ59" s="689">
        <v>0</v>
      </c>
      <c r="AR59" s="689">
        <v>0</v>
      </c>
      <c r="AS59" s="689">
        <v>36</v>
      </c>
      <c r="AT59" s="689">
        <v>357</v>
      </c>
      <c r="AU59" s="689">
        <v>35</v>
      </c>
      <c r="AV59" s="689">
        <v>410</v>
      </c>
      <c r="AW59" s="689">
        <v>60</v>
      </c>
      <c r="AX59" s="689">
        <v>279</v>
      </c>
      <c r="AY59" s="689">
        <v>18</v>
      </c>
      <c r="AZ59" s="689">
        <v>1</v>
      </c>
      <c r="BA59" s="689">
        <f t="shared" si="212"/>
        <v>1196</v>
      </c>
      <c r="BB59" s="689">
        <v>0</v>
      </c>
      <c r="BC59" s="689">
        <v>0</v>
      </c>
      <c r="BD59" s="689">
        <v>0</v>
      </c>
      <c r="BE59" s="689">
        <v>0</v>
      </c>
      <c r="BF59" s="689">
        <v>0</v>
      </c>
      <c r="BG59" s="689">
        <v>0</v>
      </c>
      <c r="BH59" s="689">
        <v>0</v>
      </c>
      <c r="BI59" s="689">
        <v>0</v>
      </c>
      <c r="BJ59" s="689">
        <v>0</v>
      </c>
      <c r="BK59" s="689">
        <v>0</v>
      </c>
      <c r="BL59" s="689">
        <v>0</v>
      </c>
      <c r="BM59" s="689">
        <v>0</v>
      </c>
      <c r="BN59" s="689">
        <f t="shared" si="214"/>
        <v>0</v>
      </c>
      <c r="BO59" s="689">
        <v>0</v>
      </c>
      <c r="BP59" s="689">
        <v>0</v>
      </c>
      <c r="BQ59" s="689">
        <v>0</v>
      </c>
      <c r="BR59" s="689">
        <v>0</v>
      </c>
      <c r="BS59" s="689">
        <v>0</v>
      </c>
      <c r="BT59" s="689">
        <v>0</v>
      </c>
      <c r="BU59" s="689">
        <v>90</v>
      </c>
      <c r="BV59" s="689">
        <v>233</v>
      </c>
      <c r="BW59" s="689">
        <v>0</v>
      </c>
      <c r="BX59" s="689">
        <v>-100</v>
      </c>
      <c r="BY59" s="689">
        <v>0</v>
      </c>
      <c r="BZ59" s="689">
        <v>-8</v>
      </c>
      <c r="CA59" s="689">
        <f t="shared" si="215"/>
        <v>215</v>
      </c>
      <c r="CB59" s="689">
        <v>0</v>
      </c>
      <c r="CC59" s="689">
        <v>0</v>
      </c>
      <c r="CD59" s="689">
        <v>0</v>
      </c>
      <c r="CE59" s="689">
        <v>0</v>
      </c>
      <c r="CF59" s="689">
        <v>0</v>
      </c>
      <c r="CG59" s="689">
        <v>0</v>
      </c>
      <c r="CH59" s="689">
        <v>0</v>
      </c>
      <c r="CI59" s="689">
        <v>0</v>
      </c>
      <c r="CJ59" s="689">
        <v>0</v>
      </c>
      <c r="CK59" s="689">
        <v>0</v>
      </c>
      <c r="CL59" s="689">
        <v>28</v>
      </c>
      <c r="CM59" s="689">
        <v>0</v>
      </c>
      <c r="CN59" s="689">
        <f t="shared" si="216"/>
        <v>28</v>
      </c>
      <c r="CO59" s="689">
        <v>0</v>
      </c>
      <c r="CP59" s="689">
        <v>0</v>
      </c>
      <c r="CQ59" s="689">
        <v>0</v>
      </c>
      <c r="CR59" s="689">
        <v>0</v>
      </c>
      <c r="CS59" s="689">
        <v>0</v>
      </c>
      <c r="CT59" s="689">
        <v>0</v>
      </c>
      <c r="CU59" s="689">
        <v>0</v>
      </c>
      <c r="CV59" s="689">
        <v>0</v>
      </c>
      <c r="CW59" s="689">
        <v>0</v>
      </c>
      <c r="CX59" s="689">
        <v>0</v>
      </c>
      <c r="CY59" s="689">
        <v>0</v>
      </c>
      <c r="CZ59" s="689">
        <v>0</v>
      </c>
      <c r="DA59" s="689">
        <f t="shared" si="218"/>
        <v>0</v>
      </c>
      <c r="DB59" s="689">
        <v>0</v>
      </c>
      <c r="DC59" s="689">
        <v>0</v>
      </c>
      <c r="DD59" s="689">
        <v>0</v>
      </c>
      <c r="DE59" s="689">
        <v>0</v>
      </c>
      <c r="DF59" s="689">
        <v>0</v>
      </c>
      <c r="DG59" s="689">
        <v>0</v>
      </c>
      <c r="DH59" s="689">
        <v>0</v>
      </c>
      <c r="DI59" s="689">
        <v>0</v>
      </c>
      <c r="DJ59" s="689">
        <v>0</v>
      </c>
      <c r="DK59" s="689">
        <v>0</v>
      </c>
      <c r="DL59" s="689">
        <v>0</v>
      </c>
      <c r="DM59" s="689">
        <v>0</v>
      </c>
      <c r="DN59" s="689">
        <f t="shared" si="220"/>
        <v>0</v>
      </c>
      <c r="DO59" s="689">
        <v>0</v>
      </c>
      <c r="DP59" s="689">
        <v>0</v>
      </c>
      <c r="DQ59" s="689">
        <v>0</v>
      </c>
      <c r="DR59" s="689">
        <v>0</v>
      </c>
      <c r="DS59" s="689">
        <v>0</v>
      </c>
      <c r="DT59" s="689">
        <v>0</v>
      </c>
      <c r="DU59" s="689">
        <v>14</v>
      </c>
      <c r="DV59" s="689">
        <v>0</v>
      </c>
      <c r="DW59" s="689">
        <v>0</v>
      </c>
      <c r="DX59" s="689">
        <v>0</v>
      </c>
      <c r="DY59" s="689">
        <v>0</v>
      </c>
      <c r="DZ59" s="689">
        <v>0</v>
      </c>
      <c r="EA59" s="737">
        <f t="shared" si="247"/>
        <v>14</v>
      </c>
      <c r="EB59" s="689">
        <v>0</v>
      </c>
      <c r="EC59" s="689">
        <v>0</v>
      </c>
      <c r="ED59" s="689">
        <v>0</v>
      </c>
      <c r="EE59" s="689">
        <v>0</v>
      </c>
      <c r="EF59" s="689">
        <v>0</v>
      </c>
      <c r="EG59" s="689">
        <v>0</v>
      </c>
      <c r="EH59" s="689">
        <v>0</v>
      </c>
      <c r="EI59" s="689">
        <v>0</v>
      </c>
      <c r="EJ59" s="689">
        <v>0</v>
      </c>
      <c r="EK59" s="689">
        <v>0</v>
      </c>
      <c r="EL59" s="689">
        <v>0</v>
      </c>
      <c r="EM59" s="689">
        <v>0</v>
      </c>
      <c r="EN59" s="689">
        <f t="shared" si="236"/>
        <v>0</v>
      </c>
      <c r="EO59" s="689">
        <v>0</v>
      </c>
      <c r="EP59" s="689">
        <v>0</v>
      </c>
      <c r="EQ59" s="689">
        <v>0</v>
      </c>
      <c r="ER59" s="689">
        <v>0</v>
      </c>
      <c r="ES59" s="689">
        <v>0</v>
      </c>
      <c r="ET59" s="689">
        <v>0</v>
      </c>
      <c r="EU59" s="689">
        <v>0</v>
      </c>
      <c r="EV59" s="689">
        <v>0</v>
      </c>
      <c r="EW59" s="689">
        <v>0</v>
      </c>
      <c r="EX59" s="689">
        <v>0</v>
      </c>
      <c r="EY59" s="738">
        <v>0</v>
      </c>
      <c r="EZ59" s="738">
        <v>0</v>
      </c>
      <c r="FA59" s="689">
        <f t="shared" si="238"/>
        <v>0</v>
      </c>
      <c r="FB59" s="689">
        <v>0</v>
      </c>
      <c r="FC59" s="689">
        <v>0</v>
      </c>
      <c r="FD59" s="689">
        <v>0</v>
      </c>
      <c r="FE59" s="689">
        <v>0</v>
      </c>
      <c r="FF59" s="689">
        <v>0</v>
      </c>
      <c r="FG59" s="689">
        <v>0</v>
      </c>
      <c r="FH59" s="689">
        <v>0</v>
      </c>
      <c r="FI59" s="689">
        <v>0</v>
      </c>
      <c r="FJ59" s="689">
        <v>0</v>
      </c>
      <c r="FK59" s="689">
        <v>0</v>
      </c>
      <c r="FL59" s="689">
        <v>0</v>
      </c>
      <c r="FM59" s="689">
        <v>0</v>
      </c>
      <c r="FN59" s="689">
        <f t="shared" si="240"/>
        <v>0</v>
      </c>
      <c r="FO59" s="689">
        <v>0</v>
      </c>
      <c r="FP59" s="689">
        <v>0</v>
      </c>
      <c r="FQ59" s="689">
        <v>0</v>
      </c>
      <c r="FR59" s="689">
        <v>0</v>
      </c>
      <c r="FS59" s="689">
        <v>0</v>
      </c>
      <c r="FT59" s="689">
        <v>0</v>
      </c>
      <c r="FU59" s="689">
        <v>0</v>
      </c>
      <c r="FV59" s="689">
        <v>0</v>
      </c>
      <c r="FW59" s="689">
        <v>0</v>
      </c>
      <c r="FX59" s="689">
        <v>0</v>
      </c>
      <c r="FY59" s="689">
        <v>0</v>
      </c>
      <c r="FZ59" s="689">
        <v>0</v>
      </c>
      <c r="GA59" s="689">
        <f t="shared" si="242"/>
        <v>0</v>
      </c>
      <c r="GB59" s="689">
        <v>5</v>
      </c>
      <c r="GC59" s="689">
        <v>0</v>
      </c>
      <c r="GD59" s="738">
        <v>0</v>
      </c>
      <c r="GE59" s="689">
        <v>0</v>
      </c>
      <c r="GF59" s="689">
        <v>0</v>
      </c>
      <c r="GG59" s="689">
        <v>0</v>
      </c>
      <c r="GH59" s="689">
        <v>0</v>
      </c>
      <c r="GI59" s="689">
        <v>0</v>
      </c>
      <c r="GJ59" s="689">
        <v>0</v>
      </c>
      <c r="GK59" s="689">
        <v>0</v>
      </c>
      <c r="GL59" s="689">
        <v>0</v>
      </c>
      <c r="GM59" s="689">
        <v>0</v>
      </c>
      <c r="GN59" s="689">
        <f t="shared" si="127"/>
        <v>5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HA59">
        <f t="shared" si="130"/>
        <v>0</v>
      </c>
      <c r="HC59" s="730" t="str">
        <f t="shared" si="113"/>
        <v>-</v>
      </c>
      <c r="HD59" s="739">
        <f t="shared" si="246"/>
        <v>-100</v>
      </c>
      <c r="HE59" s="737">
        <f t="shared" si="131"/>
        <v>5</v>
      </c>
      <c r="HF59" s="737">
        <f t="shared" si="141"/>
        <v>0</v>
      </c>
    </row>
    <row r="60" spans="1:214" ht="13.9" customHeight="1" x14ac:dyDescent="0.2">
      <c r="A60" s="736" t="s">
        <v>415</v>
      </c>
      <c r="AB60" s="689">
        <v>4660</v>
      </c>
      <c r="AC60" s="689">
        <v>2327</v>
      </c>
      <c r="AD60" s="689">
        <v>7826</v>
      </c>
      <c r="AE60" s="689">
        <v>1218</v>
      </c>
      <c r="AF60" s="689">
        <v>9</v>
      </c>
      <c r="AG60" s="689">
        <v>10</v>
      </c>
      <c r="AH60" s="689">
        <v>100</v>
      </c>
      <c r="AI60" s="689">
        <v>200</v>
      </c>
      <c r="AJ60" s="689">
        <v>0</v>
      </c>
      <c r="AK60" s="689">
        <v>0</v>
      </c>
      <c r="AL60" s="689">
        <v>-0.1</v>
      </c>
      <c r="AM60" s="689">
        <v>45</v>
      </c>
      <c r="AN60" s="737">
        <f t="shared" si="210"/>
        <v>16394.900000000001</v>
      </c>
      <c r="AO60" s="689">
        <v>95</v>
      </c>
      <c r="AP60" s="689">
        <v>4954</v>
      </c>
      <c r="AQ60" s="689">
        <v>-1335</v>
      </c>
      <c r="AR60" s="689">
        <v>0</v>
      </c>
      <c r="AS60" s="689">
        <v>8</v>
      </c>
      <c r="AT60" s="689">
        <v>0</v>
      </c>
      <c r="AU60" s="689">
        <v>2096</v>
      </c>
      <c r="AV60" s="689">
        <v>-238</v>
      </c>
      <c r="AW60" s="689">
        <v>0</v>
      </c>
      <c r="AX60" s="689">
        <v>998</v>
      </c>
      <c r="AY60" s="689">
        <v>0</v>
      </c>
      <c r="AZ60" s="689">
        <v>0</v>
      </c>
      <c r="BA60" s="689">
        <f t="shared" si="212"/>
        <v>6578</v>
      </c>
      <c r="BB60" s="689">
        <v>0</v>
      </c>
      <c r="BC60" s="689">
        <v>0</v>
      </c>
      <c r="BD60" s="689">
        <v>2770</v>
      </c>
      <c r="BE60" s="689">
        <v>1131</v>
      </c>
      <c r="BF60" s="689">
        <v>0</v>
      </c>
      <c r="BG60" s="689">
        <v>77</v>
      </c>
      <c r="BH60" s="689">
        <v>0</v>
      </c>
      <c r="BI60" s="689">
        <v>0</v>
      </c>
      <c r="BJ60" s="689">
        <v>468</v>
      </c>
      <c r="BK60" s="689">
        <v>0</v>
      </c>
      <c r="BL60" s="689">
        <v>175</v>
      </c>
      <c r="BM60" s="689">
        <v>2266</v>
      </c>
      <c r="BN60" s="689">
        <f t="shared" si="214"/>
        <v>6887</v>
      </c>
      <c r="BO60" s="689">
        <v>1224</v>
      </c>
      <c r="BP60" s="689">
        <v>0</v>
      </c>
      <c r="BQ60" s="689">
        <v>1541</v>
      </c>
      <c r="BR60" s="689">
        <v>0</v>
      </c>
      <c r="BS60" s="689">
        <v>0</v>
      </c>
      <c r="BT60" s="689">
        <v>0</v>
      </c>
      <c r="BU60" s="689">
        <v>0</v>
      </c>
      <c r="BV60" s="689">
        <v>1874</v>
      </c>
      <c r="BW60" s="689">
        <v>0</v>
      </c>
      <c r="BX60" s="689">
        <v>0</v>
      </c>
      <c r="BY60" s="689">
        <v>0</v>
      </c>
      <c r="BZ60" s="689">
        <v>0</v>
      </c>
      <c r="CA60" s="689">
        <f t="shared" si="215"/>
        <v>4639</v>
      </c>
      <c r="CB60" s="689">
        <v>87</v>
      </c>
      <c r="CC60" s="689">
        <v>0</v>
      </c>
      <c r="CD60" s="689">
        <v>0</v>
      </c>
      <c r="CE60" s="689">
        <v>0</v>
      </c>
      <c r="CF60" s="689">
        <v>0</v>
      </c>
      <c r="CG60" s="689">
        <v>0</v>
      </c>
      <c r="CH60" s="689">
        <v>0</v>
      </c>
      <c r="CI60" s="689">
        <v>0</v>
      </c>
      <c r="CJ60" s="689">
        <v>0</v>
      </c>
      <c r="CK60" s="689">
        <v>0</v>
      </c>
      <c r="CL60" s="689">
        <v>0</v>
      </c>
      <c r="CM60" s="689">
        <v>0</v>
      </c>
      <c r="CN60" s="689">
        <f t="shared" si="216"/>
        <v>87</v>
      </c>
      <c r="CO60" s="689">
        <v>0</v>
      </c>
      <c r="CP60" s="689">
        <v>0</v>
      </c>
      <c r="CQ60" s="689">
        <v>0</v>
      </c>
      <c r="CR60" s="689">
        <v>0</v>
      </c>
      <c r="CS60" s="689">
        <v>0</v>
      </c>
      <c r="CT60" s="689">
        <v>0</v>
      </c>
      <c r="CU60" s="689">
        <v>0</v>
      </c>
      <c r="CV60" s="689">
        <v>0</v>
      </c>
      <c r="CW60" s="689">
        <v>0</v>
      </c>
      <c r="CX60" s="689">
        <v>0</v>
      </c>
      <c r="CY60" s="689">
        <v>0</v>
      </c>
      <c r="CZ60" s="689">
        <v>0</v>
      </c>
      <c r="DA60" s="689">
        <f t="shared" si="218"/>
        <v>0</v>
      </c>
      <c r="DB60" s="689">
        <v>0</v>
      </c>
      <c r="DC60" s="689">
        <v>0</v>
      </c>
      <c r="DD60" s="689">
        <v>0</v>
      </c>
      <c r="DE60" s="689">
        <v>0</v>
      </c>
      <c r="DF60" s="689">
        <v>0</v>
      </c>
      <c r="DG60" s="689">
        <v>0</v>
      </c>
      <c r="DH60" s="689">
        <v>0</v>
      </c>
      <c r="DI60" s="689">
        <v>0</v>
      </c>
      <c r="DJ60" s="689">
        <v>0</v>
      </c>
      <c r="DK60" s="689">
        <v>0</v>
      </c>
      <c r="DL60" s="689">
        <v>0</v>
      </c>
      <c r="DM60" s="689">
        <v>0</v>
      </c>
      <c r="DN60" s="689">
        <f t="shared" si="220"/>
        <v>0</v>
      </c>
      <c r="DO60" s="689">
        <v>0</v>
      </c>
      <c r="DP60" s="689">
        <v>0</v>
      </c>
      <c r="DQ60" s="689">
        <v>0</v>
      </c>
      <c r="DR60" s="689">
        <v>0</v>
      </c>
      <c r="DS60" s="689">
        <v>0</v>
      </c>
      <c r="DT60" s="689">
        <v>0</v>
      </c>
      <c r="DU60" s="689">
        <v>0</v>
      </c>
      <c r="DV60" s="689">
        <v>0</v>
      </c>
      <c r="DW60" s="689">
        <v>0</v>
      </c>
      <c r="DX60" s="689">
        <v>0</v>
      </c>
      <c r="DY60" s="689">
        <v>0</v>
      </c>
      <c r="DZ60" s="689">
        <v>0</v>
      </c>
      <c r="EA60" s="737">
        <f t="shared" si="247"/>
        <v>0</v>
      </c>
      <c r="EB60" s="689">
        <v>0</v>
      </c>
      <c r="EC60" s="689">
        <v>0</v>
      </c>
      <c r="ED60" s="689">
        <v>0</v>
      </c>
      <c r="EE60" s="689">
        <v>0</v>
      </c>
      <c r="EF60" s="689">
        <v>0</v>
      </c>
      <c r="EG60" s="689">
        <v>0</v>
      </c>
      <c r="EH60" s="689">
        <v>0</v>
      </c>
      <c r="EI60" s="689">
        <v>0</v>
      </c>
      <c r="EJ60" s="689">
        <v>0</v>
      </c>
      <c r="EK60" s="689">
        <v>0</v>
      </c>
      <c r="EL60" s="689">
        <v>0</v>
      </c>
      <c r="EM60" s="689">
        <v>0</v>
      </c>
      <c r="EN60" s="689">
        <f t="shared" si="236"/>
        <v>0</v>
      </c>
      <c r="EO60" s="689">
        <v>0</v>
      </c>
      <c r="EP60" s="689">
        <v>0</v>
      </c>
      <c r="EQ60" s="689">
        <v>0</v>
      </c>
      <c r="ER60" s="689">
        <v>0</v>
      </c>
      <c r="ES60" s="689">
        <v>0</v>
      </c>
      <c r="ET60" s="689">
        <v>0</v>
      </c>
      <c r="EU60" s="689">
        <v>0</v>
      </c>
      <c r="EV60" s="689">
        <v>0</v>
      </c>
      <c r="EW60" s="689">
        <v>0</v>
      </c>
      <c r="EX60" s="689">
        <v>0</v>
      </c>
      <c r="EY60" s="738">
        <v>0</v>
      </c>
      <c r="EZ60" s="738">
        <v>0</v>
      </c>
      <c r="FA60" s="689">
        <f t="shared" si="238"/>
        <v>0</v>
      </c>
      <c r="FB60" s="689">
        <v>0</v>
      </c>
      <c r="FC60" s="689">
        <v>0</v>
      </c>
      <c r="FD60" s="689">
        <v>0</v>
      </c>
      <c r="FE60" s="689">
        <v>0</v>
      </c>
      <c r="FF60" s="689">
        <v>0</v>
      </c>
      <c r="FG60" s="689">
        <v>0</v>
      </c>
      <c r="FH60" s="689">
        <v>0</v>
      </c>
      <c r="FI60" s="689">
        <v>0</v>
      </c>
      <c r="FJ60" s="689">
        <v>0</v>
      </c>
      <c r="FK60" s="689">
        <v>0</v>
      </c>
      <c r="FL60" s="689">
        <v>0</v>
      </c>
      <c r="FM60" s="689">
        <v>0</v>
      </c>
      <c r="FN60" s="689">
        <f t="shared" si="240"/>
        <v>0</v>
      </c>
      <c r="FO60" s="689">
        <v>0</v>
      </c>
      <c r="FP60" s="689">
        <v>0</v>
      </c>
      <c r="FQ60" s="689">
        <v>0</v>
      </c>
      <c r="FR60" s="689">
        <v>0</v>
      </c>
      <c r="FS60" s="689">
        <v>0</v>
      </c>
      <c r="FT60" s="689">
        <v>0</v>
      </c>
      <c r="FU60" s="689">
        <v>0</v>
      </c>
      <c r="FV60" s="689">
        <v>0</v>
      </c>
      <c r="FW60" s="689">
        <v>0</v>
      </c>
      <c r="FX60" s="689">
        <v>0</v>
      </c>
      <c r="FY60" s="689">
        <v>0</v>
      </c>
      <c r="FZ60" s="689">
        <v>0</v>
      </c>
      <c r="GA60" s="689">
        <f t="shared" si="242"/>
        <v>0</v>
      </c>
      <c r="GB60" s="689">
        <v>0</v>
      </c>
      <c r="GC60" s="689">
        <v>0</v>
      </c>
      <c r="GD60" s="738">
        <v>0</v>
      </c>
      <c r="GE60" s="689">
        <v>0</v>
      </c>
      <c r="GF60" s="689">
        <v>0</v>
      </c>
      <c r="GG60" s="689">
        <v>0</v>
      </c>
      <c r="GH60" s="689">
        <v>0</v>
      </c>
      <c r="GI60" s="689">
        <v>0</v>
      </c>
      <c r="GJ60" s="689">
        <v>0</v>
      </c>
      <c r="GK60" s="689">
        <v>0</v>
      </c>
      <c r="GL60" s="689">
        <v>0</v>
      </c>
      <c r="GM60" s="689">
        <v>0</v>
      </c>
      <c r="GN60" s="689">
        <f t="shared" si="127"/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HA60">
        <f t="shared" si="130"/>
        <v>0</v>
      </c>
      <c r="HC60" s="730" t="str">
        <f t="shared" si="113"/>
        <v>-</v>
      </c>
      <c r="HD60" s="739" t="str">
        <f t="shared" si="246"/>
        <v>-</v>
      </c>
      <c r="HE60" s="737">
        <f t="shared" si="131"/>
        <v>0</v>
      </c>
      <c r="HF60" s="737">
        <f t="shared" si="141"/>
        <v>0</v>
      </c>
    </row>
    <row r="61" spans="1:214" ht="13.9" customHeight="1" x14ac:dyDescent="0.2">
      <c r="A61" s="736" t="s">
        <v>416</v>
      </c>
      <c r="AB61" s="689">
        <v>0</v>
      </c>
      <c r="AC61" s="689">
        <v>0</v>
      </c>
      <c r="AD61" s="689">
        <v>0</v>
      </c>
      <c r="AE61" s="689">
        <v>118</v>
      </c>
      <c r="AF61" s="689">
        <v>0</v>
      </c>
      <c r="AG61" s="689">
        <v>0</v>
      </c>
      <c r="AH61" s="689">
        <v>3918</v>
      </c>
      <c r="AI61" s="689">
        <v>0</v>
      </c>
      <c r="AJ61" s="689">
        <v>0</v>
      </c>
      <c r="AK61" s="689">
        <v>1289</v>
      </c>
      <c r="AL61" s="689">
        <v>0</v>
      </c>
      <c r="AM61" s="689">
        <v>1478</v>
      </c>
      <c r="AN61" s="737">
        <f t="shared" si="210"/>
        <v>6803</v>
      </c>
      <c r="AO61" s="689">
        <v>0</v>
      </c>
      <c r="AP61" s="689">
        <v>129</v>
      </c>
      <c r="AQ61" s="689">
        <v>424</v>
      </c>
      <c r="AR61" s="689">
        <v>3640</v>
      </c>
      <c r="AS61" s="689">
        <v>0</v>
      </c>
      <c r="AT61" s="689">
        <v>0</v>
      </c>
      <c r="AU61" s="689">
        <v>-129</v>
      </c>
      <c r="AV61" s="689">
        <v>0</v>
      </c>
      <c r="AW61" s="689">
        <v>0</v>
      </c>
      <c r="AX61" s="689">
        <v>747</v>
      </c>
      <c r="AY61" s="689">
        <v>0</v>
      </c>
      <c r="AZ61" s="689">
        <v>200</v>
      </c>
      <c r="BA61" s="689">
        <f t="shared" si="212"/>
        <v>5011</v>
      </c>
      <c r="BB61" s="689">
        <v>0</v>
      </c>
      <c r="BC61" s="689">
        <v>0</v>
      </c>
      <c r="BD61" s="689">
        <v>13957</v>
      </c>
      <c r="BE61" s="689">
        <v>0</v>
      </c>
      <c r="BF61" s="689">
        <v>0</v>
      </c>
      <c r="BG61" s="689">
        <v>0</v>
      </c>
      <c r="BH61" s="689">
        <v>0</v>
      </c>
      <c r="BI61" s="689">
        <v>0</v>
      </c>
      <c r="BJ61" s="689">
        <v>0</v>
      </c>
      <c r="BK61" s="689">
        <v>0</v>
      </c>
      <c r="BL61" s="689">
        <v>0</v>
      </c>
      <c r="BM61" s="689">
        <v>83</v>
      </c>
      <c r="BN61" s="689">
        <f t="shared" si="214"/>
        <v>14040</v>
      </c>
      <c r="BO61" s="689">
        <v>0</v>
      </c>
      <c r="BP61" s="689">
        <v>0</v>
      </c>
      <c r="BQ61" s="689">
        <v>14176</v>
      </c>
      <c r="BR61" s="689">
        <v>0</v>
      </c>
      <c r="BS61" s="689">
        <v>0</v>
      </c>
      <c r="BT61" s="689">
        <v>0</v>
      </c>
      <c r="BU61" s="689">
        <v>0</v>
      </c>
      <c r="BV61" s="689">
        <v>244</v>
      </c>
      <c r="BW61" s="689">
        <v>0</v>
      </c>
      <c r="BX61" s="689">
        <v>-244</v>
      </c>
      <c r="BY61" s="689">
        <v>0</v>
      </c>
      <c r="BZ61" s="689">
        <v>0</v>
      </c>
      <c r="CA61" s="689">
        <f t="shared" si="215"/>
        <v>14176</v>
      </c>
      <c r="CB61" s="689">
        <v>0</v>
      </c>
      <c r="CC61" s="689">
        <v>15863</v>
      </c>
      <c r="CD61" s="689">
        <v>0</v>
      </c>
      <c r="CE61" s="689">
        <v>0</v>
      </c>
      <c r="CF61" s="689">
        <v>0</v>
      </c>
      <c r="CG61" s="689">
        <v>0</v>
      </c>
      <c r="CH61" s="689">
        <v>0</v>
      </c>
      <c r="CI61" s="689">
        <v>2509</v>
      </c>
      <c r="CJ61" s="689">
        <v>0</v>
      </c>
      <c r="CK61" s="689">
        <v>0</v>
      </c>
      <c r="CL61" s="689">
        <v>0</v>
      </c>
      <c r="CM61" s="689">
        <v>0</v>
      </c>
      <c r="CN61" s="689">
        <f t="shared" si="216"/>
        <v>18372</v>
      </c>
      <c r="CO61" s="689">
        <v>0</v>
      </c>
      <c r="CP61" s="689">
        <v>0</v>
      </c>
      <c r="CQ61" s="689">
        <v>5144</v>
      </c>
      <c r="CR61" s="689">
        <v>0</v>
      </c>
      <c r="CS61" s="689">
        <v>0</v>
      </c>
      <c r="CT61" s="689">
        <v>0</v>
      </c>
      <c r="CU61" s="689">
        <v>71</v>
      </c>
      <c r="CV61" s="689">
        <v>0</v>
      </c>
      <c r="CW61" s="689">
        <v>116</v>
      </c>
      <c r="CX61" s="689">
        <v>0</v>
      </c>
      <c r="CY61" s="689">
        <v>0</v>
      </c>
      <c r="CZ61" s="689">
        <v>93</v>
      </c>
      <c r="DA61" s="689">
        <f t="shared" si="218"/>
        <v>5424</v>
      </c>
      <c r="DB61" s="689">
        <v>0</v>
      </c>
      <c r="DC61" s="689">
        <v>0</v>
      </c>
      <c r="DD61" s="689">
        <v>0</v>
      </c>
      <c r="DE61" s="689">
        <v>0</v>
      </c>
      <c r="DF61" s="689">
        <v>0</v>
      </c>
      <c r="DG61" s="689">
        <v>0</v>
      </c>
      <c r="DH61" s="689">
        <v>0</v>
      </c>
      <c r="DI61" s="689">
        <v>0</v>
      </c>
      <c r="DJ61" s="689">
        <v>0</v>
      </c>
      <c r="DK61" s="689">
        <v>0</v>
      </c>
      <c r="DL61" s="689">
        <v>0</v>
      </c>
      <c r="DM61" s="689">
        <v>0</v>
      </c>
      <c r="DN61" s="689">
        <f t="shared" si="220"/>
        <v>0</v>
      </c>
      <c r="DO61" s="689">
        <v>0</v>
      </c>
      <c r="DP61" s="689">
        <v>0</v>
      </c>
      <c r="DQ61" s="689">
        <v>0</v>
      </c>
      <c r="DR61" s="689">
        <v>0</v>
      </c>
      <c r="DS61" s="689">
        <v>0</v>
      </c>
      <c r="DT61" s="689">
        <v>0</v>
      </c>
      <c r="DU61" s="689">
        <v>0</v>
      </c>
      <c r="DV61" s="689">
        <v>0</v>
      </c>
      <c r="DW61" s="689">
        <v>0</v>
      </c>
      <c r="DX61" s="689">
        <v>0</v>
      </c>
      <c r="DY61" s="689">
        <v>0</v>
      </c>
      <c r="DZ61" s="689">
        <v>0</v>
      </c>
      <c r="EA61" s="737">
        <f t="shared" si="247"/>
        <v>0</v>
      </c>
      <c r="EB61" s="689">
        <v>0</v>
      </c>
      <c r="EC61" s="689">
        <v>0</v>
      </c>
      <c r="ED61" s="689">
        <v>0</v>
      </c>
      <c r="EE61" s="689">
        <v>0</v>
      </c>
      <c r="EF61" s="689">
        <v>0</v>
      </c>
      <c r="EG61" s="689">
        <v>0</v>
      </c>
      <c r="EH61" s="689">
        <v>0</v>
      </c>
      <c r="EI61" s="689">
        <v>0</v>
      </c>
      <c r="EJ61" s="689">
        <v>0</v>
      </c>
      <c r="EK61" s="689">
        <v>0</v>
      </c>
      <c r="EL61" s="689">
        <v>0</v>
      </c>
      <c r="EM61" s="689">
        <v>0</v>
      </c>
      <c r="EN61" s="689">
        <f t="shared" si="236"/>
        <v>0</v>
      </c>
      <c r="EO61" s="689">
        <v>0</v>
      </c>
      <c r="EP61" s="689">
        <v>0</v>
      </c>
      <c r="EQ61" s="689">
        <v>0</v>
      </c>
      <c r="ER61" s="689">
        <v>0</v>
      </c>
      <c r="ES61" s="689">
        <v>0</v>
      </c>
      <c r="ET61" s="689">
        <v>0</v>
      </c>
      <c r="EU61" s="689">
        <v>0</v>
      </c>
      <c r="EV61" s="689">
        <v>0</v>
      </c>
      <c r="EW61" s="689">
        <v>0</v>
      </c>
      <c r="EX61" s="689">
        <v>0</v>
      </c>
      <c r="EY61" s="738">
        <v>0</v>
      </c>
      <c r="EZ61" s="738">
        <v>0</v>
      </c>
      <c r="FA61" s="689">
        <f t="shared" si="238"/>
        <v>0</v>
      </c>
      <c r="FB61" s="689">
        <v>0</v>
      </c>
      <c r="FC61" s="689">
        <v>0</v>
      </c>
      <c r="FD61" s="689">
        <v>0</v>
      </c>
      <c r="FE61" s="689">
        <v>0</v>
      </c>
      <c r="FF61" s="689">
        <v>0</v>
      </c>
      <c r="FG61" s="689">
        <v>0</v>
      </c>
      <c r="FH61" s="689">
        <v>0</v>
      </c>
      <c r="FI61" s="689">
        <v>0</v>
      </c>
      <c r="FJ61" s="689">
        <v>0</v>
      </c>
      <c r="FK61" s="689">
        <v>0</v>
      </c>
      <c r="FL61" s="689">
        <v>0</v>
      </c>
      <c r="FM61" s="689">
        <v>0</v>
      </c>
      <c r="FN61" s="689">
        <f t="shared" si="240"/>
        <v>0</v>
      </c>
      <c r="FO61" s="689">
        <v>0</v>
      </c>
      <c r="FP61" s="689">
        <v>0</v>
      </c>
      <c r="FQ61" s="689">
        <v>0</v>
      </c>
      <c r="FR61" s="689">
        <v>0</v>
      </c>
      <c r="FS61" s="689">
        <v>0</v>
      </c>
      <c r="FT61" s="689">
        <v>0</v>
      </c>
      <c r="FU61" s="689">
        <v>0</v>
      </c>
      <c r="FV61" s="689">
        <v>0</v>
      </c>
      <c r="FW61" s="689">
        <v>0</v>
      </c>
      <c r="FX61" s="689">
        <v>0</v>
      </c>
      <c r="FY61" s="689">
        <v>0</v>
      </c>
      <c r="FZ61" s="689">
        <v>0</v>
      </c>
      <c r="GA61" s="689">
        <f t="shared" si="242"/>
        <v>0</v>
      </c>
      <c r="GB61" s="689">
        <v>0</v>
      </c>
      <c r="GC61" s="689">
        <v>0</v>
      </c>
      <c r="GD61" s="738">
        <v>0</v>
      </c>
      <c r="GE61" s="689">
        <v>0</v>
      </c>
      <c r="GF61" s="689">
        <v>0</v>
      </c>
      <c r="GG61" s="689">
        <v>0</v>
      </c>
      <c r="GH61" s="689">
        <v>0</v>
      </c>
      <c r="GI61" s="689">
        <v>0</v>
      </c>
      <c r="GJ61" s="689">
        <v>0</v>
      </c>
      <c r="GK61" s="689">
        <v>65</v>
      </c>
      <c r="GL61" s="689">
        <v>0</v>
      </c>
      <c r="GM61" s="689">
        <v>0</v>
      </c>
      <c r="GN61" s="689">
        <f t="shared" si="127"/>
        <v>65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HA61">
        <f t="shared" si="130"/>
        <v>0</v>
      </c>
      <c r="HC61" s="730" t="str">
        <f t="shared" si="113"/>
        <v>-</v>
      </c>
      <c r="HD61" s="739" t="str">
        <f t="shared" si="246"/>
        <v>-</v>
      </c>
      <c r="HE61" s="737">
        <f t="shared" si="131"/>
        <v>0</v>
      </c>
      <c r="HF61" s="737">
        <f t="shared" si="141"/>
        <v>0</v>
      </c>
    </row>
    <row r="62" spans="1:214" ht="13.9" customHeight="1" x14ac:dyDescent="0.2">
      <c r="A62" s="727" t="s">
        <v>470</v>
      </c>
      <c r="AB62" s="690">
        <f t="shared" ref="AB62:AM62" si="260">AB63+AB70+AB71+AB72+AB73</f>
        <v>14589</v>
      </c>
      <c r="AC62" s="690">
        <f t="shared" si="260"/>
        <v>66</v>
      </c>
      <c r="AD62" s="690">
        <f t="shared" si="260"/>
        <v>29961.3</v>
      </c>
      <c r="AE62" s="690">
        <f t="shared" si="260"/>
        <v>12451.67</v>
      </c>
      <c r="AF62" s="690">
        <f t="shared" si="260"/>
        <v>14104.5</v>
      </c>
      <c r="AG62" s="690">
        <f t="shared" si="260"/>
        <v>15919.64</v>
      </c>
      <c r="AH62" s="690">
        <f t="shared" si="260"/>
        <v>32222.400000000001</v>
      </c>
      <c r="AI62" s="690">
        <f t="shared" si="260"/>
        <v>16016.14</v>
      </c>
      <c r="AJ62" s="690">
        <f t="shared" si="260"/>
        <v>16564</v>
      </c>
      <c r="AK62" s="690">
        <f t="shared" si="260"/>
        <v>15455.406999999999</v>
      </c>
      <c r="AL62" s="690">
        <f t="shared" si="260"/>
        <v>16624.14</v>
      </c>
      <c r="AM62" s="690">
        <f t="shared" si="260"/>
        <v>50842</v>
      </c>
      <c r="AN62" s="728">
        <f t="shared" si="210"/>
        <v>234816.19700000004</v>
      </c>
      <c r="AO62" s="690">
        <f t="shared" ref="AO62:AZ62" si="261">AO63+AO70+AO71+AO72+AO73</f>
        <v>17109.099999999999</v>
      </c>
      <c r="AP62" s="690">
        <f t="shared" si="261"/>
        <v>19055.016</v>
      </c>
      <c r="AQ62" s="690">
        <f t="shared" si="261"/>
        <v>15439.87</v>
      </c>
      <c r="AR62" s="690">
        <f t="shared" si="261"/>
        <v>28021.016</v>
      </c>
      <c r="AS62" s="690">
        <f t="shared" si="261"/>
        <v>15936.2</v>
      </c>
      <c r="AT62" s="690">
        <f t="shared" si="261"/>
        <v>16166.118</v>
      </c>
      <c r="AU62" s="690">
        <f t="shared" si="261"/>
        <v>15784.23</v>
      </c>
      <c r="AV62" s="690">
        <f t="shared" si="261"/>
        <v>17589.906999999999</v>
      </c>
      <c r="AW62" s="690">
        <f t="shared" si="261"/>
        <v>14074.762000000001</v>
      </c>
      <c r="AX62" s="690">
        <f t="shared" si="261"/>
        <v>16075.019</v>
      </c>
      <c r="AY62" s="690">
        <f t="shared" si="261"/>
        <v>18282.659</v>
      </c>
      <c r="AZ62" s="690">
        <f t="shared" si="261"/>
        <v>54128.133000000002</v>
      </c>
      <c r="BA62" s="690">
        <f t="shared" si="212"/>
        <v>247662.03</v>
      </c>
      <c r="BB62" s="690">
        <f t="shared" ref="BB62:BM62" si="262">BB63+BB70+BB71+BB72+BB73</f>
        <v>17862.263999999999</v>
      </c>
      <c r="BC62" s="690">
        <f t="shared" si="262"/>
        <v>19895.445</v>
      </c>
      <c r="BD62" s="690">
        <f t="shared" si="262"/>
        <v>17727.241000000002</v>
      </c>
      <c r="BE62" s="690">
        <f t="shared" si="262"/>
        <v>16600.239000000001</v>
      </c>
      <c r="BF62" s="690">
        <f t="shared" si="262"/>
        <v>28857</v>
      </c>
      <c r="BG62" s="690">
        <f t="shared" si="262"/>
        <v>18157</v>
      </c>
      <c r="BH62" s="690">
        <f t="shared" si="262"/>
        <v>19640</v>
      </c>
      <c r="BI62" s="690">
        <f t="shared" si="262"/>
        <v>16113</v>
      </c>
      <c r="BJ62" s="690">
        <f t="shared" si="262"/>
        <v>16116</v>
      </c>
      <c r="BK62" s="690">
        <f t="shared" si="262"/>
        <v>13540</v>
      </c>
      <c r="BL62" s="690">
        <f t="shared" si="262"/>
        <v>82721</v>
      </c>
      <c r="BM62" s="690">
        <f t="shared" si="262"/>
        <v>23489</v>
      </c>
      <c r="BN62" s="690">
        <f t="shared" si="214"/>
        <v>290718.18900000001</v>
      </c>
      <c r="BO62" s="690">
        <f t="shared" ref="BO62:BZ62" si="263">BO63+BO70+BO71+BO72+BO73</f>
        <v>20370</v>
      </c>
      <c r="BP62" s="690">
        <f t="shared" si="263"/>
        <v>2890</v>
      </c>
      <c r="BQ62" s="690">
        <f t="shared" si="263"/>
        <v>33028</v>
      </c>
      <c r="BR62" s="690">
        <f t="shared" si="263"/>
        <v>14901</v>
      </c>
      <c r="BS62" s="690">
        <f t="shared" si="263"/>
        <v>34433</v>
      </c>
      <c r="BT62" s="690">
        <f t="shared" si="263"/>
        <v>18649</v>
      </c>
      <c r="BU62" s="690">
        <f t="shared" si="263"/>
        <v>15808</v>
      </c>
      <c r="BV62" s="690">
        <f t="shared" si="263"/>
        <v>13571</v>
      </c>
      <c r="BW62" s="690">
        <f t="shared" si="263"/>
        <v>16411</v>
      </c>
      <c r="BX62" s="690">
        <f t="shared" si="263"/>
        <v>16295</v>
      </c>
      <c r="BY62" s="690">
        <f t="shared" si="263"/>
        <v>37078</v>
      </c>
      <c r="BZ62" s="690">
        <f t="shared" si="263"/>
        <v>24564</v>
      </c>
      <c r="CA62" s="690">
        <f t="shared" si="215"/>
        <v>247998</v>
      </c>
      <c r="CB62" s="690">
        <f t="shared" ref="CB62:CM62" si="264">CB63+CB70+CB71+CB72+CB73</f>
        <v>19454</v>
      </c>
      <c r="CC62" s="690">
        <f t="shared" si="264"/>
        <v>5070</v>
      </c>
      <c r="CD62" s="690">
        <f t="shared" si="264"/>
        <v>29886</v>
      </c>
      <c r="CE62" s="690">
        <f t="shared" si="264"/>
        <v>15969</v>
      </c>
      <c r="CF62" s="690">
        <f t="shared" si="264"/>
        <v>36046</v>
      </c>
      <c r="CG62" s="690">
        <f t="shared" si="264"/>
        <v>16980</v>
      </c>
      <c r="CH62" s="690">
        <f t="shared" si="264"/>
        <v>18289</v>
      </c>
      <c r="CI62" s="690">
        <f t="shared" si="264"/>
        <v>14856</v>
      </c>
      <c r="CJ62" s="690">
        <f t="shared" si="264"/>
        <v>15843</v>
      </c>
      <c r="CK62" s="690">
        <f t="shared" si="264"/>
        <v>35479</v>
      </c>
      <c r="CL62" s="690">
        <f t="shared" si="264"/>
        <v>21453</v>
      </c>
      <c r="CM62" s="690">
        <f t="shared" si="264"/>
        <v>16502</v>
      </c>
      <c r="CN62" s="690">
        <f t="shared" si="216"/>
        <v>245827</v>
      </c>
      <c r="CO62" s="690">
        <f t="shared" ref="CO62:CZ62" si="265">CO63+CO70+CO71+CO72+CO73</f>
        <v>15134</v>
      </c>
      <c r="CP62" s="690">
        <f t="shared" si="265"/>
        <v>17703</v>
      </c>
      <c r="CQ62" s="690">
        <f t="shared" si="265"/>
        <v>19375</v>
      </c>
      <c r="CR62" s="690">
        <f t="shared" si="265"/>
        <v>24721</v>
      </c>
      <c r="CS62" s="690">
        <f t="shared" si="265"/>
        <v>23288</v>
      </c>
      <c r="CT62" s="690">
        <f t="shared" si="265"/>
        <v>22599</v>
      </c>
      <c r="CU62" s="690">
        <f t="shared" si="265"/>
        <v>18197</v>
      </c>
      <c r="CV62" s="690">
        <f t="shared" si="265"/>
        <v>18961</v>
      </c>
      <c r="CW62" s="690">
        <f t="shared" si="265"/>
        <v>18891</v>
      </c>
      <c r="CX62" s="690">
        <f t="shared" si="265"/>
        <v>33978</v>
      </c>
      <c r="CY62" s="690">
        <f t="shared" si="265"/>
        <v>22098</v>
      </c>
      <c r="CZ62" s="690">
        <f t="shared" si="265"/>
        <v>18097</v>
      </c>
      <c r="DA62" s="690">
        <f t="shared" si="218"/>
        <v>253042</v>
      </c>
      <c r="DB62" s="690">
        <f t="shared" ref="DB62:DM62" si="266">DB63+DB70+DB71+DB72+DB73</f>
        <v>19963</v>
      </c>
      <c r="DC62" s="690">
        <f t="shared" si="266"/>
        <v>25218</v>
      </c>
      <c r="DD62" s="690">
        <f t="shared" si="266"/>
        <v>19045</v>
      </c>
      <c r="DE62" s="690">
        <f t="shared" si="266"/>
        <v>17627</v>
      </c>
      <c r="DF62" s="690">
        <f t="shared" si="266"/>
        <v>67123</v>
      </c>
      <c r="DG62" s="690">
        <f t="shared" si="266"/>
        <v>16784</v>
      </c>
      <c r="DH62" s="690">
        <f t="shared" si="266"/>
        <v>23967</v>
      </c>
      <c r="DI62" s="690">
        <f t="shared" si="266"/>
        <v>18265</v>
      </c>
      <c r="DJ62" s="690">
        <f t="shared" si="266"/>
        <v>20232</v>
      </c>
      <c r="DK62" s="690">
        <f t="shared" si="266"/>
        <v>20512</v>
      </c>
      <c r="DL62" s="690">
        <f t="shared" si="266"/>
        <v>24937</v>
      </c>
      <c r="DM62" s="690">
        <f t="shared" si="266"/>
        <v>21178</v>
      </c>
      <c r="DN62" s="690">
        <f t="shared" si="220"/>
        <v>294851</v>
      </c>
      <c r="DO62" s="690">
        <f t="shared" ref="DO62:DZ62" si="267">DO63+DO70+DO71+DO72+DO73</f>
        <v>23291</v>
      </c>
      <c r="DP62" s="690">
        <f t="shared" si="267"/>
        <v>714</v>
      </c>
      <c r="DQ62" s="690">
        <f t="shared" si="267"/>
        <v>41770</v>
      </c>
      <c r="DR62" s="690">
        <f t="shared" si="267"/>
        <v>15160</v>
      </c>
      <c r="DS62" s="690">
        <f t="shared" si="267"/>
        <v>11686</v>
      </c>
      <c r="DT62" s="690">
        <f t="shared" si="267"/>
        <v>58334</v>
      </c>
      <c r="DU62" s="690">
        <f t="shared" si="267"/>
        <v>11886</v>
      </c>
      <c r="DV62" s="690">
        <f t="shared" si="267"/>
        <v>27720</v>
      </c>
      <c r="DW62" s="690">
        <f t="shared" si="267"/>
        <v>29596</v>
      </c>
      <c r="DX62" s="690">
        <f t="shared" si="267"/>
        <v>18306</v>
      </c>
      <c r="DY62" s="690">
        <f>DY63+DY70+DY71+DY72+DY73</f>
        <v>18085</v>
      </c>
      <c r="DZ62" s="690">
        <f t="shared" si="267"/>
        <v>21453</v>
      </c>
      <c r="EA62" s="737">
        <f t="shared" si="247"/>
        <v>278001</v>
      </c>
      <c r="EB62" s="690">
        <f>EB63+EB70+EB71+EB72+EB73</f>
        <v>26338</v>
      </c>
      <c r="EC62" s="690">
        <f t="shared" ref="EC62:EM62" si="268">EC63+EC70+EC71+EC72+EC73</f>
        <v>23107</v>
      </c>
      <c r="ED62" s="690">
        <f t="shared" si="268"/>
        <v>23649</v>
      </c>
      <c r="EE62" s="690">
        <f t="shared" si="268"/>
        <v>44940</v>
      </c>
      <c r="EF62" s="690">
        <f t="shared" si="268"/>
        <v>28099</v>
      </c>
      <c r="EG62" s="690">
        <f t="shared" si="268"/>
        <v>26488</v>
      </c>
      <c r="EH62" s="690">
        <f t="shared" si="268"/>
        <v>24169</v>
      </c>
      <c r="EI62" s="690">
        <f t="shared" si="268"/>
        <v>26360</v>
      </c>
      <c r="EJ62" s="690">
        <f t="shared" si="268"/>
        <v>29077</v>
      </c>
      <c r="EK62" s="690">
        <f t="shared" si="268"/>
        <v>20154</v>
      </c>
      <c r="EL62" s="690">
        <f t="shared" si="268"/>
        <v>20411</v>
      </c>
      <c r="EM62" s="690">
        <f t="shared" si="268"/>
        <v>27595</v>
      </c>
      <c r="EN62" s="690">
        <f t="shared" si="236"/>
        <v>320387</v>
      </c>
      <c r="EO62" s="690">
        <f t="shared" ref="EO62:EZ62" si="269">EO63+EO70+EO71+EO72+EO73</f>
        <v>31238</v>
      </c>
      <c r="EP62" s="690">
        <f t="shared" si="269"/>
        <v>32326</v>
      </c>
      <c r="EQ62" s="690">
        <f t="shared" si="269"/>
        <v>26717</v>
      </c>
      <c r="ER62" s="690">
        <f t="shared" si="269"/>
        <v>23813</v>
      </c>
      <c r="ES62" s="690">
        <f t="shared" si="269"/>
        <v>59097</v>
      </c>
      <c r="ET62" s="690">
        <f t="shared" si="269"/>
        <v>31042</v>
      </c>
      <c r="EU62" s="690">
        <f t="shared" si="269"/>
        <v>29665</v>
      </c>
      <c r="EV62" s="690">
        <f t="shared" si="269"/>
        <v>29530</v>
      </c>
      <c r="EW62" s="690">
        <f t="shared" si="269"/>
        <v>33277</v>
      </c>
      <c r="EX62" s="690">
        <f t="shared" si="269"/>
        <v>31920</v>
      </c>
      <c r="EY62" s="740">
        <f t="shared" si="269"/>
        <v>27873</v>
      </c>
      <c r="EZ62" s="740">
        <f t="shared" si="269"/>
        <v>30369</v>
      </c>
      <c r="FA62" s="690">
        <f t="shared" si="238"/>
        <v>386867</v>
      </c>
      <c r="FB62" s="690">
        <f t="shared" ref="FB62:FM62" si="270">FB63+FB70+FB71+FB72+FB73</f>
        <v>28395</v>
      </c>
      <c r="FC62" s="690">
        <f t="shared" si="270"/>
        <v>32274</v>
      </c>
      <c r="FD62" s="690">
        <f t="shared" si="270"/>
        <v>26881</v>
      </c>
      <c r="FE62" s="690">
        <f t="shared" si="270"/>
        <v>26862</v>
      </c>
      <c r="FF62" s="690">
        <f t="shared" si="270"/>
        <v>50785</v>
      </c>
      <c r="FG62" s="690">
        <f t="shared" si="270"/>
        <v>29652</v>
      </c>
      <c r="FH62" s="690">
        <f t="shared" si="270"/>
        <v>26335</v>
      </c>
      <c r="FI62" s="690">
        <f t="shared" si="270"/>
        <v>29626</v>
      </c>
      <c r="FJ62" s="690">
        <f t="shared" si="270"/>
        <v>28059</v>
      </c>
      <c r="FK62" s="690">
        <f t="shared" si="270"/>
        <v>26135</v>
      </c>
      <c r="FL62" s="690">
        <f t="shared" si="270"/>
        <v>29658</v>
      </c>
      <c r="FM62" s="690">
        <f t="shared" si="270"/>
        <v>28984</v>
      </c>
      <c r="FN62" s="690">
        <f t="shared" si="240"/>
        <v>363646</v>
      </c>
      <c r="FO62" s="690">
        <f t="shared" ref="FO62:FZ62" si="271">FO63+FO70+FO71+FO72+FO73</f>
        <v>26713</v>
      </c>
      <c r="FP62" s="690">
        <f t="shared" si="271"/>
        <v>35049</v>
      </c>
      <c r="FQ62" s="690">
        <f t="shared" si="271"/>
        <v>24666</v>
      </c>
      <c r="FR62" s="690">
        <f t="shared" si="271"/>
        <v>25482</v>
      </c>
      <c r="FS62" s="690">
        <f t="shared" si="271"/>
        <v>45700</v>
      </c>
      <c r="FT62" s="690">
        <f t="shared" si="271"/>
        <v>29631</v>
      </c>
      <c r="FU62" s="690">
        <f t="shared" si="271"/>
        <v>28679</v>
      </c>
      <c r="FV62" s="690">
        <f t="shared" si="271"/>
        <v>27946</v>
      </c>
      <c r="FW62" s="690">
        <f t="shared" si="271"/>
        <v>29337</v>
      </c>
      <c r="FX62" s="690">
        <f t="shared" si="271"/>
        <v>30322</v>
      </c>
      <c r="FY62" s="690">
        <f t="shared" si="271"/>
        <v>31445</v>
      </c>
      <c r="FZ62" s="690">
        <f t="shared" si="271"/>
        <v>34286</v>
      </c>
      <c r="GA62" s="690">
        <f t="shared" si="242"/>
        <v>369256</v>
      </c>
      <c r="GB62" s="690">
        <f t="shared" ref="GB62:GM62" si="272">GB63+GB70+GB71+GB72+GB73</f>
        <v>33833</v>
      </c>
      <c r="GC62" s="690">
        <f t="shared" si="272"/>
        <v>39831</v>
      </c>
      <c r="GD62" s="740">
        <f t="shared" si="272"/>
        <v>31029</v>
      </c>
      <c r="GE62" s="690">
        <f t="shared" si="272"/>
        <v>27720</v>
      </c>
      <c r="GF62" s="690">
        <f t="shared" si="272"/>
        <v>52206</v>
      </c>
      <c r="GG62" s="690">
        <f t="shared" si="272"/>
        <v>28856</v>
      </c>
      <c r="GH62" s="690">
        <f t="shared" si="272"/>
        <v>29591</v>
      </c>
      <c r="GI62" s="690">
        <f t="shared" si="272"/>
        <v>30161</v>
      </c>
      <c r="GJ62" s="690">
        <f t="shared" si="272"/>
        <v>31279</v>
      </c>
      <c r="GK62" s="690">
        <f t="shared" si="272"/>
        <v>31069</v>
      </c>
      <c r="GL62" s="690">
        <f t="shared" si="272"/>
        <v>30634</v>
      </c>
      <c r="GM62" s="690">
        <f t="shared" si="272"/>
        <v>25640</v>
      </c>
      <c r="GN62" s="690">
        <f t="shared" si="127"/>
        <v>391849</v>
      </c>
      <c r="GO62" s="129">
        <f t="shared" ref="GO62:GT62" si="273">GO63+GO70+GO71+GO72+GO73</f>
        <v>32245</v>
      </c>
      <c r="GP62" s="129">
        <f t="shared" si="273"/>
        <v>38606</v>
      </c>
      <c r="GQ62" s="129">
        <f t="shared" si="273"/>
        <v>31800</v>
      </c>
      <c r="GR62" s="129">
        <f t="shared" si="273"/>
        <v>25449</v>
      </c>
      <c r="GS62" s="129">
        <f t="shared" si="273"/>
        <v>53239</v>
      </c>
      <c r="GT62" s="129">
        <f t="shared" si="273"/>
        <v>29765</v>
      </c>
      <c r="GU62" s="129">
        <f t="shared" ref="GU62:GV62" si="274">GU63+GU70+GU71+GU72+GU73</f>
        <v>31005</v>
      </c>
      <c r="GV62" s="129">
        <f t="shared" si="274"/>
        <v>30086</v>
      </c>
      <c r="GW62" s="129"/>
      <c r="GX62" s="129"/>
      <c r="GY62" s="129"/>
      <c r="GZ62" s="129"/>
      <c r="HA62" s="129">
        <f t="shared" si="130"/>
        <v>272195</v>
      </c>
      <c r="HC62" s="730">
        <f t="shared" si="113"/>
        <v>-0.24866549517589265</v>
      </c>
      <c r="HD62" s="741">
        <f t="shared" si="246"/>
        <v>-0.37770791320037578</v>
      </c>
      <c r="HE62" s="728">
        <f t="shared" si="131"/>
        <v>273227</v>
      </c>
      <c r="HF62" s="728">
        <f t="shared" si="141"/>
        <v>272195</v>
      </c>
    </row>
    <row r="63" spans="1:214" ht="13.9" customHeight="1" x14ac:dyDescent="0.2">
      <c r="A63" s="727" t="s">
        <v>418</v>
      </c>
      <c r="AB63" s="690">
        <f t="shared" ref="AB63:AM63" si="275">SUM(AB64:AB69)</f>
        <v>6</v>
      </c>
      <c r="AC63" s="690">
        <f t="shared" si="275"/>
        <v>0</v>
      </c>
      <c r="AD63" s="690">
        <f t="shared" si="275"/>
        <v>5</v>
      </c>
      <c r="AE63" s="690">
        <f t="shared" si="275"/>
        <v>0.37</v>
      </c>
      <c r="AF63" s="690">
        <f t="shared" si="275"/>
        <v>0</v>
      </c>
      <c r="AG63" s="690">
        <f t="shared" si="275"/>
        <v>0.24000000000000002</v>
      </c>
      <c r="AH63" s="690">
        <f t="shared" si="275"/>
        <v>336.1</v>
      </c>
      <c r="AI63" s="690">
        <f t="shared" si="275"/>
        <v>3.01</v>
      </c>
      <c r="AJ63" s="690">
        <f t="shared" si="275"/>
        <v>48</v>
      </c>
      <c r="AK63" s="690">
        <f t="shared" si="275"/>
        <v>0.10700000000000001</v>
      </c>
      <c r="AL63" s="690">
        <f t="shared" si="275"/>
        <v>0.11</v>
      </c>
      <c r="AM63" s="690">
        <f t="shared" si="275"/>
        <v>2058</v>
      </c>
      <c r="AN63" s="728">
        <f t="shared" si="210"/>
        <v>2456.9369999999999</v>
      </c>
      <c r="AO63" s="690">
        <f t="shared" ref="AO63:AZ63" si="276">SUM(AO64:AO69)</f>
        <v>77</v>
      </c>
      <c r="AP63" s="690">
        <f t="shared" si="276"/>
        <v>0</v>
      </c>
      <c r="AQ63" s="690">
        <f t="shared" si="276"/>
        <v>0.45099999999999996</v>
      </c>
      <c r="AR63" s="690">
        <f t="shared" si="276"/>
        <v>4</v>
      </c>
      <c r="AS63" s="690">
        <f t="shared" si="276"/>
        <v>0.115</v>
      </c>
      <c r="AT63" s="690">
        <f t="shared" si="276"/>
        <v>588.01700000000005</v>
      </c>
      <c r="AU63" s="690">
        <f t="shared" si="276"/>
        <v>0.43400000000000005</v>
      </c>
      <c r="AV63" s="690">
        <f t="shared" si="276"/>
        <v>0.56699999999999995</v>
      </c>
      <c r="AW63" s="690">
        <f t="shared" si="276"/>
        <v>0.91499999999999992</v>
      </c>
      <c r="AX63" s="690">
        <f t="shared" si="276"/>
        <v>21.126999999999999</v>
      </c>
      <c r="AY63" s="690">
        <f t="shared" si="276"/>
        <v>0.14600000000000002</v>
      </c>
      <c r="AZ63" s="690">
        <f t="shared" si="276"/>
        <v>34.133000000000003</v>
      </c>
      <c r="BA63" s="690">
        <f t="shared" si="212"/>
        <v>726.90499999999997</v>
      </c>
      <c r="BB63" s="690">
        <f t="shared" ref="BB63:BM63" si="277">SUM(BB64:BB69)</f>
        <v>1.159</v>
      </c>
      <c r="BC63" s="690">
        <f t="shared" si="277"/>
        <v>0.59600000000000009</v>
      </c>
      <c r="BD63" s="690">
        <f t="shared" si="277"/>
        <v>0.24099999999999999</v>
      </c>
      <c r="BE63" s="690">
        <f t="shared" si="277"/>
        <v>1.0940000000000001</v>
      </c>
      <c r="BF63" s="690">
        <f t="shared" si="277"/>
        <v>11</v>
      </c>
      <c r="BG63" s="690">
        <f t="shared" si="277"/>
        <v>0</v>
      </c>
      <c r="BH63" s="690">
        <f t="shared" si="277"/>
        <v>660</v>
      </c>
      <c r="BI63" s="690">
        <f t="shared" si="277"/>
        <v>37</v>
      </c>
      <c r="BJ63" s="690">
        <f t="shared" si="277"/>
        <v>47</v>
      </c>
      <c r="BK63" s="690">
        <f t="shared" si="277"/>
        <v>36</v>
      </c>
      <c r="BL63" s="690">
        <f t="shared" si="277"/>
        <v>35</v>
      </c>
      <c r="BM63" s="690">
        <f t="shared" si="277"/>
        <v>32</v>
      </c>
      <c r="BN63" s="690">
        <f t="shared" si="214"/>
        <v>861.09</v>
      </c>
      <c r="BO63" s="690">
        <f t="shared" ref="BO63:BZ63" si="278">SUM(BO64:BO69)</f>
        <v>29</v>
      </c>
      <c r="BP63" s="690">
        <f t="shared" si="278"/>
        <v>34</v>
      </c>
      <c r="BQ63" s="690">
        <f t="shared" si="278"/>
        <v>33</v>
      </c>
      <c r="BR63" s="690">
        <f t="shared" si="278"/>
        <v>37</v>
      </c>
      <c r="BS63" s="690">
        <f t="shared" si="278"/>
        <v>42</v>
      </c>
      <c r="BT63" s="690">
        <f t="shared" si="278"/>
        <v>9</v>
      </c>
      <c r="BU63" s="690">
        <f t="shared" si="278"/>
        <v>660</v>
      </c>
      <c r="BV63" s="690">
        <f t="shared" si="278"/>
        <v>171</v>
      </c>
      <c r="BW63" s="690">
        <f t="shared" si="278"/>
        <v>110</v>
      </c>
      <c r="BX63" s="690">
        <f t="shared" si="278"/>
        <v>83</v>
      </c>
      <c r="BY63" s="690">
        <f t="shared" si="278"/>
        <v>50</v>
      </c>
      <c r="BZ63" s="690">
        <f t="shared" si="278"/>
        <v>53</v>
      </c>
      <c r="CA63" s="690">
        <f t="shared" si="215"/>
        <v>1311</v>
      </c>
      <c r="CB63" s="690">
        <f t="shared" ref="CB63:CM63" si="279">SUM(CB64:CB69)</f>
        <v>61</v>
      </c>
      <c r="CC63" s="690">
        <f t="shared" si="279"/>
        <v>58</v>
      </c>
      <c r="CD63" s="690">
        <f t="shared" si="279"/>
        <v>64</v>
      </c>
      <c r="CE63" s="690">
        <f t="shared" si="279"/>
        <v>71</v>
      </c>
      <c r="CF63" s="690">
        <f t="shared" si="279"/>
        <v>65</v>
      </c>
      <c r="CG63" s="690">
        <f t="shared" si="279"/>
        <v>0</v>
      </c>
      <c r="CH63" s="690">
        <f t="shared" si="279"/>
        <v>911</v>
      </c>
      <c r="CI63" s="690">
        <f t="shared" si="279"/>
        <v>76</v>
      </c>
      <c r="CJ63" s="690">
        <f t="shared" si="279"/>
        <v>68</v>
      </c>
      <c r="CK63" s="690">
        <f t="shared" si="279"/>
        <v>62</v>
      </c>
      <c r="CL63" s="690">
        <f t="shared" si="279"/>
        <v>63</v>
      </c>
      <c r="CM63" s="690">
        <f t="shared" si="279"/>
        <v>65</v>
      </c>
      <c r="CN63" s="690">
        <f t="shared" si="216"/>
        <v>1564</v>
      </c>
      <c r="CO63" s="690">
        <f t="shared" ref="CO63:CZ63" si="280">SUM(CO64:CO69)</f>
        <v>49</v>
      </c>
      <c r="CP63" s="690">
        <f t="shared" si="280"/>
        <v>54</v>
      </c>
      <c r="CQ63" s="690">
        <f t="shared" si="280"/>
        <v>62</v>
      </c>
      <c r="CR63" s="690">
        <f t="shared" si="280"/>
        <v>54</v>
      </c>
      <c r="CS63" s="690">
        <f t="shared" si="280"/>
        <v>55</v>
      </c>
      <c r="CT63" s="690">
        <f t="shared" si="280"/>
        <v>0</v>
      </c>
      <c r="CU63" s="690">
        <f t="shared" si="280"/>
        <v>811</v>
      </c>
      <c r="CV63" s="690">
        <f t="shared" si="280"/>
        <v>50</v>
      </c>
      <c r="CW63" s="690">
        <f t="shared" si="280"/>
        <v>53</v>
      </c>
      <c r="CX63" s="690">
        <f t="shared" si="280"/>
        <v>56</v>
      </c>
      <c r="CY63" s="690">
        <f t="shared" si="280"/>
        <v>56</v>
      </c>
      <c r="CZ63" s="690">
        <f t="shared" si="280"/>
        <v>40</v>
      </c>
      <c r="DA63" s="690">
        <f t="shared" si="218"/>
        <v>1340</v>
      </c>
      <c r="DB63" s="690">
        <f t="shared" ref="DB63:DM63" si="281">SUM(DB64:DB69)</f>
        <v>53</v>
      </c>
      <c r="DC63" s="690">
        <f>SUM(DC64:DC69)</f>
        <v>394</v>
      </c>
      <c r="DD63" s="690">
        <f t="shared" si="281"/>
        <v>40</v>
      </c>
      <c r="DE63" s="690">
        <f t="shared" si="281"/>
        <v>48</v>
      </c>
      <c r="DF63" s="690">
        <f t="shared" si="281"/>
        <v>166</v>
      </c>
      <c r="DG63" s="690">
        <f t="shared" si="281"/>
        <v>13</v>
      </c>
      <c r="DH63" s="690">
        <f t="shared" si="281"/>
        <v>367</v>
      </c>
      <c r="DI63" s="690">
        <f t="shared" si="281"/>
        <v>43</v>
      </c>
      <c r="DJ63" s="690">
        <f t="shared" si="281"/>
        <v>172</v>
      </c>
      <c r="DK63" s="690">
        <f t="shared" si="281"/>
        <v>10</v>
      </c>
      <c r="DL63" s="690">
        <f t="shared" si="281"/>
        <v>3552</v>
      </c>
      <c r="DM63" s="690">
        <f t="shared" si="281"/>
        <v>158</v>
      </c>
      <c r="DN63" s="690">
        <f t="shared" si="220"/>
        <v>5016</v>
      </c>
      <c r="DO63" s="690">
        <f t="shared" ref="DO63:DZ63" si="282">SUM(DO64:DO69)</f>
        <v>470</v>
      </c>
      <c r="DP63" s="690">
        <f t="shared" si="282"/>
        <v>61</v>
      </c>
      <c r="DQ63" s="690">
        <f t="shared" si="282"/>
        <v>3</v>
      </c>
      <c r="DR63" s="690">
        <f t="shared" si="282"/>
        <v>31</v>
      </c>
      <c r="DS63" s="690">
        <f t="shared" si="282"/>
        <v>0</v>
      </c>
      <c r="DT63" s="690">
        <f t="shared" si="282"/>
        <v>0</v>
      </c>
      <c r="DU63" s="690">
        <f t="shared" si="282"/>
        <v>59</v>
      </c>
      <c r="DV63" s="690">
        <f t="shared" si="282"/>
        <v>0</v>
      </c>
      <c r="DW63" s="690">
        <f t="shared" si="282"/>
        <v>425</v>
      </c>
      <c r="DX63" s="690">
        <f t="shared" si="282"/>
        <v>55</v>
      </c>
      <c r="DY63" s="690">
        <f t="shared" si="282"/>
        <v>35</v>
      </c>
      <c r="DZ63" s="690">
        <f t="shared" si="282"/>
        <v>57</v>
      </c>
      <c r="EA63" s="737">
        <f t="shared" si="247"/>
        <v>1196</v>
      </c>
      <c r="EB63" s="690">
        <f t="shared" ref="EB63:EM63" si="283">SUM(EB64:EB69)</f>
        <v>371</v>
      </c>
      <c r="EC63" s="690">
        <f t="shared" si="283"/>
        <v>38</v>
      </c>
      <c r="ED63" s="690">
        <f t="shared" si="283"/>
        <v>34</v>
      </c>
      <c r="EE63" s="690">
        <f t="shared" si="283"/>
        <v>65</v>
      </c>
      <c r="EF63" s="690">
        <v>45</v>
      </c>
      <c r="EG63" s="690">
        <v>32</v>
      </c>
      <c r="EH63" s="690">
        <f t="shared" si="283"/>
        <v>170</v>
      </c>
      <c r="EI63" s="690">
        <f t="shared" si="283"/>
        <v>13</v>
      </c>
      <c r="EJ63" s="690">
        <f t="shared" si="283"/>
        <v>13</v>
      </c>
      <c r="EK63" s="690">
        <f t="shared" si="283"/>
        <v>5</v>
      </c>
      <c r="EL63" s="690">
        <f t="shared" si="283"/>
        <v>11</v>
      </c>
      <c r="EM63" s="690">
        <f t="shared" si="283"/>
        <v>15</v>
      </c>
      <c r="EN63" s="690">
        <f t="shared" si="236"/>
        <v>812</v>
      </c>
      <c r="EO63" s="690">
        <f t="shared" ref="EO63:EZ63" si="284">SUM(EO64:EO69)</f>
        <v>419</v>
      </c>
      <c r="EP63" s="690">
        <f t="shared" si="284"/>
        <v>13</v>
      </c>
      <c r="EQ63" s="690">
        <f t="shared" si="284"/>
        <v>20</v>
      </c>
      <c r="ER63" s="690">
        <f t="shared" si="284"/>
        <v>12</v>
      </c>
      <c r="ES63" s="690">
        <f t="shared" si="284"/>
        <v>13</v>
      </c>
      <c r="ET63" s="690">
        <f t="shared" si="284"/>
        <v>0</v>
      </c>
      <c r="EU63" s="690">
        <f t="shared" si="284"/>
        <v>690</v>
      </c>
      <c r="EV63" s="690">
        <f t="shared" si="284"/>
        <v>10</v>
      </c>
      <c r="EW63" s="690">
        <f t="shared" si="284"/>
        <v>11</v>
      </c>
      <c r="EX63" s="690">
        <f t="shared" si="284"/>
        <v>11</v>
      </c>
      <c r="EY63" s="740">
        <f t="shared" si="284"/>
        <v>10</v>
      </c>
      <c r="EZ63" s="740">
        <f t="shared" si="284"/>
        <v>10</v>
      </c>
      <c r="FA63" s="690">
        <f t="shared" si="238"/>
        <v>1219</v>
      </c>
      <c r="FB63" s="690">
        <f t="shared" ref="FB63:FM63" si="285">SUM(FB64:FB69)</f>
        <v>536</v>
      </c>
      <c r="FC63" s="690">
        <f t="shared" si="285"/>
        <v>0</v>
      </c>
      <c r="FD63" s="690">
        <f t="shared" si="285"/>
        <v>20</v>
      </c>
      <c r="FE63" s="690">
        <f t="shared" si="285"/>
        <v>13</v>
      </c>
      <c r="FF63" s="690">
        <f t="shared" si="285"/>
        <v>14</v>
      </c>
      <c r="FG63" s="690">
        <f t="shared" si="285"/>
        <v>7</v>
      </c>
      <c r="FH63" s="690">
        <f t="shared" si="285"/>
        <v>568</v>
      </c>
      <c r="FI63" s="690">
        <f t="shared" si="285"/>
        <v>6</v>
      </c>
      <c r="FJ63" s="690">
        <f t="shared" si="285"/>
        <v>7</v>
      </c>
      <c r="FK63" s="690">
        <f t="shared" si="285"/>
        <v>23</v>
      </c>
      <c r="FL63" s="690">
        <f t="shared" si="285"/>
        <v>7</v>
      </c>
      <c r="FM63" s="690">
        <f t="shared" si="285"/>
        <v>5</v>
      </c>
      <c r="FN63" s="690">
        <f t="shared" si="240"/>
        <v>1206</v>
      </c>
      <c r="FO63" s="690">
        <f t="shared" ref="FO63:FZ63" si="286">SUM(FO64:FO69)</f>
        <v>552</v>
      </c>
      <c r="FP63" s="690">
        <f t="shared" si="286"/>
        <v>7</v>
      </c>
      <c r="FQ63" s="690">
        <f t="shared" si="286"/>
        <v>8</v>
      </c>
      <c r="FR63" s="690">
        <f t="shared" si="286"/>
        <v>-6</v>
      </c>
      <c r="FS63" s="690">
        <f t="shared" si="286"/>
        <v>8</v>
      </c>
      <c r="FT63" s="690">
        <f t="shared" si="286"/>
        <v>7</v>
      </c>
      <c r="FU63" s="690">
        <f t="shared" si="286"/>
        <v>528</v>
      </c>
      <c r="FV63" s="690">
        <f t="shared" si="286"/>
        <v>10</v>
      </c>
      <c r="FW63" s="690">
        <f t="shared" si="286"/>
        <v>6</v>
      </c>
      <c r="FX63" s="690">
        <f t="shared" si="286"/>
        <v>13</v>
      </c>
      <c r="FY63" s="690">
        <f t="shared" si="286"/>
        <v>5</v>
      </c>
      <c r="FZ63" s="690">
        <f t="shared" si="286"/>
        <v>5</v>
      </c>
      <c r="GA63" s="690">
        <f t="shared" si="242"/>
        <v>1143</v>
      </c>
      <c r="GB63" s="690">
        <f t="shared" ref="GB63:GM63" si="287">SUM(GB64:GB69)</f>
        <v>121</v>
      </c>
      <c r="GC63" s="690">
        <f t="shared" si="287"/>
        <v>6</v>
      </c>
      <c r="GD63" s="740">
        <f t="shared" si="287"/>
        <v>6</v>
      </c>
      <c r="GE63" s="690">
        <f t="shared" si="287"/>
        <v>4</v>
      </c>
      <c r="GF63" s="690">
        <f t="shared" si="287"/>
        <v>3</v>
      </c>
      <c r="GG63" s="690">
        <f t="shared" si="287"/>
        <v>1229</v>
      </c>
      <c r="GH63" s="690">
        <f t="shared" si="287"/>
        <v>20</v>
      </c>
      <c r="GI63" s="690">
        <f t="shared" si="287"/>
        <v>4</v>
      </c>
      <c r="GJ63" s="690">
        <f t="shared" si="287"/>
        <v>12</v>
      </c>
      <c r="GK63" s="690">
        <f t="shared" si="287"/>
        <v>4</v>
      </c>
      <c r="GL63" s="690">
        <f t="shared" si="287"/>
        <v>4</v>
      </c>
      <c r="GM63" s="690">
        <f t="shared" si="287"/>
        <v>4</v>
      </c>
      <c r="GN63" s="690">
        <f t="shared" si="127"/>
        <v>1417</v>
      </c>
      <c r="GO63" s="129">
        <f t="shared" ref="GO63:GT63" si="288">SUM(GO64:GO69)</f>
        <v>177</v>
      </c>
      <c r="GP63" s="129">
        <f t="shared" si="288"/>
        <v>4</v>
      </c>
      <c r="GQ63" s="129">
        <f t="shared" si="288"/>
        <v>3</v>
      </c>
      <c r="GR63" s="129">
        <f t="shared" si="288"/>
        <v>2</v>
      </c>
      <c r="GS63" s="129">
        <f t="shared" si="288"/>
        <v>3</v>
      </c>
      <c r="GT63" s="129">
        <f t="shared" si="288"/>
        <v>37</v>
      </c>
      <c r="GU63" s="129">
        <f t="shared" ref="GU63:GV63" si="289">SUM(GU64:GU69)</f>
        <v>1034</v>
      </c>
      <c r="GV63" s="129">
        <f t="shared" si="289"/>
        <v>36</v>
      </c>
      <c r="GW63" s="129"/>
      <c r="GX63" s="129"/>
      <c r="GY63" s="129"/>
      <c r="GZ63" s="129"/>
      <c r="HA63" s="129">
        <f t="shared" si="130"/>
        <v>1296</v>
      </c>
      <c r="HC63" s="730">
        <f t="shared" si="113"/>
        <v>800</v>
      </c>
      <c r="HD63" s="741">
        <f t="shared" si="246"/>
        <v>-6.9633883704235515</v>
      </c>
      <c r="HE63" s="728">
        <f t="shared" si="131"/>
        <v>1393</v>
      </c>
      <c r="HF63" s="728">
        <f t="shared" si="141"/>
        <v>1296</v>
      </c>
    </row>
    <row r="64" spans="1:214" ht="13.9" customHeight="1" x14ac:dyDescent="0.2">
      <c r="A64" s="736" t="s">
        <v>419</v>
      </c>
      <c r="AB64" s="689">
        <v>0</v>
      </c>
      <c r="AC64" s="689">
        <v>0</v>
      </c>
      <c r="AD64" s="689">
        <v>0</v>
      </c>
      <c r="AE64" s="689">
        <v>0</v>
      </c>
      <c r="AF64" s="689">
        <v>0</v>
      </c>
      <c r="AG64" s="689">
        <v>0</v>
      </c>
      <c r="AH64" s="689">
        <v>0</v>
      </c>
      <c r="AI64" s="689">
        <v>0</v>
      </c>
      <c r="AJ64" s="689">
        <v>0</v>
      </c>
      <c r="AK64" s="689">
        <v>0</v>
      </c>
      <c r="AL64" s="689">
        <v>0</v>
      </c>
      <c r="AM64" s="689">
        <v>0</v>
      </c>
      <c r="AN64" s="737">
        <f t="shared" si="210"/>
        <v>0</v>
      </c>
      <c r="AO64" s="689">
        <v>0</v>
      </c>
      <c r="AP64" s="689">
        <v>0</v>
      </c>
      <c r="AQ64" s="689">
        <v>0</v>
      </c>
      <c r="AR64" s="689">
        <v>0</v>
      </c>
      <c r="AS64" s="689">
        <v>0</v>
      </c>
      <c r="AT64" s="689">
        <v>0</v>
      </c>
      <c r="AU64" s="689">
        <v>0</v>
      </c>
      <c r="AV64" s="689">
        <v>0</v>
      </c>
      <c r="AW64" s="689">
        <v>0</v>
      </c>
      <c r="AX64" s="689">
        <v>0</v>
      </c>
      <c r="AY64" s="689">
        <v>0</v>
      </c>
      <c r="AZ64" s="689">
        <v>0</v>
      </c>
      <c r="BA64" s="689">
        <f t="shared" si="212"/>
        <v>0</v>
      </c>
      <c r="BB64" s="689">
        <v>0</v>
      </c>
      <c r="BC64" s="689">
        <v>0</v>
      </c>
      <c r="BD64" s="689">
        <v>0</v>
      </c>
      <c r="BE64" s="689">
        <v>0</v>
      </c>
      <c r="BF64" s="689">
        <v>0</v>
      </c>
      <c r="BG64" s="689">
        <v>0</v>
      </c>
      <c r="BH64" s="689">
        <v>0</v>
      </c>
      <c r="BI64" s="689">
        <v>0</v>
      </c>
      <c r="BJ64" s="689">
        <v>0</v>
      </c>
      <c r="BK64" s="689">
        <v>0</v>
      </c>
      <c r="BL64" s="689">
        <v>0</v>
      </c>
      <c r="BM64" s="689">
        <v>0</v>
      </c>
      <c r="BN64" s="689">
        <f t="shared" si="214"/>
        <v>0</v>
      </c>
      <c r="BO64" s="689">
        <v>0</v>
      </c>
      <c r="BP64" s="689">
        <v>0</v>
      </c>
      <c r="BQ64" s="689">
        <v>0</v>
      </c>
      <c r="BR64" s="689">
        <v>0</v>
      </c>
      <c r="BS64" s="689">
        <v>0</v>
      </c>
      <c r="BT64" s="689">
        <v>0</v>
      </c>
      <c r="BU64" s="689">
        <v>0</v>
      </c>
      <c r="BV64" s="689">
        <v>0</v>
      </c>
      <c r="BW64" s="689">
        <v>0</v>
      </c>
      <c r="BX64" s="689">
        <v>0</v>
      </c>
      <c r="BY64" s="689">
        <v>0</v>
      </c>
      <c r="BZ64" s="689">
        <v>0</v>
      </c>
      <c r="CA64" s="689">
        <f t="shared" si="215"/>
        <v>0</v>
      </c>
      <c r="CB64" s="689">
        <v>0</v>
      </c>
      <c r="CC64" s="689">
        <v>0</v>
      </c>
      <c r="CD64" s="689">
        <v>0</v>
      </c>
      <c r="CE64" s="689">
        <v>0</v>
      </c>
      <c r="CF64" s="689">
        <v>0</v>
      </c>
      <c r="CG64" s="689">
        <v>0</v>
      </c>
      <c r="CH64" s="689">
        <v>0</v>
      </c>
      <c r="CI64" s="689">
        <v>0</v>
      </c>
      <c r="CJ64" s="689">
        <v>0</v>
      </c>
      <c r="CK64" s="689">
        <v>0</v>
      </c>
      <c r="CL64" s="689">
        <v>0</v>
      </c>
      <c r="CM64" s="689">
        <v>0</v>
      </c>
      <c r="CN64" s="689">
        <f t="shared" si="216"/>
        <v>0</v>
      </c>
      <c r="CO64" s="689">
        <v>0</v>
      </c>
      <c r="CP64" s="689">
        <v>0</v>
      </c>
      <c r="CQ64" s="689">
        <v>0</v>
      </c>
      <c r="CR64" s="689">
        <v>0</v>
      </c>
      <c r="CS64" s="689">
        <v>0</v>
      </c>
      <c r="CT64" s="689">
        <v>0</v>
      </c>
      <c r="CU64" s="689">
        <v>0</v>
      </c>
      <c r="CV64" s="689">
        <v>0</v>
      </c>
      <c r="CW64" s="689">
        <v>0</v>
      </c>
      <c r="CX64" s="689">
        <v>0</v>
      </c>
      <c r="CY64" s="689">
        <v>0</v>
      </c>
      <c r="CZ64" s="689">
        <v>0</v>
      </c>
      <c r="DA64" s="689">
        <f t="shared" si="218"/>
        <v>0</v>
      </c>
      <c r="DB64" s="689">
        <v>0</v>
      </c>
      <c r="DC64" s="689">
        <v>0</v>
      </c>
      <c r="DD64" s="689">
        <v>0</v>
      </c>
      <c r="DE64" s="689">
        <v>0</v>
      </c>
      <c r="DF64" s="689">
        <v>0</v>
      </c>
      <c r="DG64" s="689">
        <v>0</v>
      </c>
      <c r="DH64" s="689">
        <v>0</v>
      </c>
      <c r="DI64" s="689">
        <v>0</v>
      </c>
      <c r="DJ64" s="689">
        <v>0</v>
      </c>
      <c r="DK64" s="689">
        <v>0</v>
      </c>
      <c r="DL64" s="689">
        <v>0</v>
      </c>
      <c r="DM64" s="689">
        <v>0</v>
      </c>
      <c r="DN64" s="689">
        <f t="shared" si="220"/>
        <v>0</v>
      </c>
      <c r="DO64" s="689">
        <v>0</v>
      </c>
      <c r="DP64" s="689">
        <v>0</v>
      </c>
      <c r="DQ64" s="689">
        <v>0</v>
      </c>
      <c r="DR64" s="689">
        <v>0</v>
      </c>
      <c r="DS64" s="689">
        <v>0</v>
      </c>
      <c r="DT64" s="689">
        <v>0</v>
      </c>
      <c r="DU64" s="689">
        <v>0</v>
      </c>
      <c r="DV64" s="689">
        <v>0</v>
      </c>
      <c r="DW64" s="689">
        <v>0</v>
      </c>
      <c r="DX64" s="689">
        <v>0</v>
      </c>
      <c r="DY64" s="689">
        <v>0</v>
      </c>
      <c r="DZ64" s="689">
        <v>0</v>
      </c>
      <c r="EA64" s="737">
        <f t="shared" si="247"/>
        <v>0</v>
      </c>
      <c r="EB64" s="689">
        <v>0</v>
      </c>
      <c r="EC64" s="689">
        <v>0</v>
      </c>
      <c r="ED64" s="689">
        <v>0</v>
      </c>
      <c r="EE64" s="689">
        <v>0</v>
      </c>
      <c r="EF64" s="689">
        <v>0</v>
      </c>
      <c r="EG64" s="689">
        <v>0</v>
      </c>
      <c r="EH64" s="689">
        <v>0</v>
      </c>
      <c r="EI64" s="689">
        <v>0</v>
      </c>
      <c r="EJ64" s="689">
        <v>0</v>
      </c>
      <c r="EK64" s="689">
        <v>0</v>
      </c>
      <c r="EL64" s="689">
        <v>0</v>
      </c>
      <c r="EM64" s="689">
        <v>0</v>
      </c>
      <c r="EN64" s="689">
        <f t="shared" si="236"/>
        <v>0</v>
      </c>
      <c r="EO64" s="689">
        <v>0</v>
      </c>
      <c r="EP64" s="689">
        <v>0</v>
      </c>
      <c r="EQ64" s="689">
        <v>0</v>
      </c>
      <c r="ER64" s="689">
        <v>0</v>
      </c>
      <c r="ES64" s="689">
        <v>0</v>
      </c>
      <c r="ET64" s="689">
        <v>0</v>
      </c>
      <c r="EU64" s="689">
        <v>667</v>
      </c>
      <c r="EV64" s="689">
        <v>0</v>
      </c>
      <c r="EW64" s="689">
        <v>0</v>
      </c>
      <c r="EX64" s="689">
        <v>0</v>
      </c>
      <c r="EY64" s="738">
        <v>0</v>
      </c>
      <c r="EZ64" s="738">
        <v>0</v>
      </c>
      <c r="FA64" s="689">
        <f t="shared" si="238"/>
        <v>667</v>
      </c>
      <c r="FB64" s="689">
        <v>0</v>
      </c>
      <c r="FC64" s="689">
        <v>0</v>
      </c>
      <c r="FD64" s="689">
        <v>0</v>
      </c>
      <c r="FE64" s="689">
        <v>0</v>
      </c>
      <c r="FF64" s="689">
        <v>0</v>
      </c>
      <c r="FG64" s="689">
        <v>0</v>
      </c>
      <c r="FH64" s="689">
        <v>0</v>
      </c>
      <c r="FI64" s="689">
        <v>0</v>
      </c>
      <c r="FJ64" s="689">
        <v>0</v>
      </c>
      <c r="FK64" s="689">
        <v>13</v>
      </c>
      <c r="FL64" s="689">
        <v>0</v>
      </c>
      <c r="FM64" s="689">
        <v>0</v>
      </c>
      <c r="FN64" s="689">
        <f t="shared" si="240"/>
        <v>13</v>
      </c>
      <c r="FO64" s="689">
        <v>0</v>
      </c>
      <c r="FP64" s="689">
        <v>0</v>
      </c>
      <c r="FQ64" s="689">
        <v>0</v>
      </c>
      <c r="FR64" s="689">
        <v>0</v>
      </c>
      <c r="FS64" s="689">
        <v>0</v>
      </c>
      <c r="FT64" s="689">
        <v>0</v>
      </c>
      <c r="FU64" s="689">
        <v>0</v>
      </c>
      <c r="FV64" s="689">
        <v>0</v>
      </c>
      <c r="FW64" s="689">
        <v>0</v>
      </c>
      <c r="FX64" s="689">
        <v>0</v>
      </c>
      <c r="FY64" s="689">
        <v>0</v>
      </c>
      <c r="FZ64" s="689">
        <v>0</v>
      </c>
      <c r="GA64" s="689">
        <f t="shared" si="242"/>
        <v>0</v>
      </c>
      <c r="GB64" s="689">
        <v>0</v>
      </c>
      <c r="GC64" s="689">
        <v>0</v>
      </c>
      <c r="GD64" s="738">
        <v>0</v>
      </c>
      <c r="GE64" s="689">
        <v>0</v>
      </c>
      <c r="GF64" s="689">
        <v>0</v>
      </c>
      <c r="GG64" s="689">
        <v>0</v>
      </c>
      <c r="GH64" s="689">
        <v>0</v>
      </c>
      <c r="GI64" s="689">
        <v>0</v>
      </c>
      <c r="GJ64" s="689">
        <v>0</v>
      </c>
      <c r="GK64" s="689">
        <v>0</v>
      </c>
      <c r="GL64" s="689">
        <v>0</v>
      </c>
      <c r="GM64" s="689">
        <v>0</v>
      </c>
      <c r="GN64" s="689">
        <f t="shared" si="127"/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HA64">
        <f t="shared" si="130"/>
        <v>0</v>
      </c>
      <c r="HC64" s="730" t="str">
        <f t="shared" si="113"/>
        <v>-</v>
      </c>
      <c r="HD64" s="739" t="str">
        <f t="shared" si="246"/>
        <v>-</v>
      </c>
      <c r="HE64" s="737">
        <f t="shared" si="131"/>
        <v>0</v>
      </c>
      <c r="HF64" s="737">
        <f t="shared" si="141"/>
        <v>0</v>
      </c>
    </row>
    <row r="65" spans="1:214" ht="13.9" customHeight="1" x14ac:dyDescent="0.2">
      <c r="A65" s="736" t="s">
        <v>471</v>
      </c>
      <c r="AB65" s="689">
        <v>0</v>
      </c>
      <c r="AC65" s="689">
        <v>0</v>
      </c>
      <c r="AD65" s="689">
        <v>0</v>
      </c>
      <c r="AE65" s="689">
        <v>0</v>
      </c>
      <c r="AF65" s="689">
        <v>0</v>
      </c>
      <c r="AG65" s="689">
        <v>0</v>
      </c>
      <c r="AH65" s="689">
        <v>0</v>
      </c>
      <c r="AI65" s="689">
        <v>0</v>
      </c>
      <c r="AJ65" s="689">
        <v>0</v>
      </c>
      <c r="AK65" s="689">
        <v>0</v>
      </c>
      <c r="AL65" s="689">
        <v>0</v>
      </c>
      <c r="AM65" s="689">
        <v>0</v>
      </c>
      <c r="AN65" s="737">
        <f t="shared" si="210"/>
        <v>0</v>
      </c>
      <c r="AO65" s="689">
        <v>0</v>
      </c>
      <c r="AP65" s="689">
        <v>0</v>
      </c>
      <c r="AQ65" s="689">
        <v>0</v>
      </c>
      <c r="AR65" s="689">
        <v>0</v>
      </c>
      <c r="AS65" s="689">
        <v>0</v>
      </c>
      <c r="AT65" s="689">
        <v>0</v>
      </c>
      <c r="AU65" s="689">
        <v>0</v>
      </c>
      <c r="AV65" s="689">
        <v>0</v>
      </c>
      <c r="AW65" s="689">
        <v>0</v>
      </c>
      <c r="AX65" s="689">
        <v>0</v>
      </c>
      <c r="AY65" s="689">
        <v>0</v>
      </c>
      <c r="AZ65" s="689">
        <v>0</v>
      </c>
      <c r="BA65" s="689">
        <f t="shared" si="212"/>
        <v>0</v>
      </c>
      <c r="BB65" s="689">
        <v>1</v>
      </c>
      <c r="BC65" s="689">
        <v>0</v>
      </c>
      <c r="BD65" s="689">
        <v>0</v>
      </c>
      <c r="BE65" s="689">
        <v>0</v>
      </c>
      <c r="BF65" s="689">
        <v>0</v>
      </c>
      <c r="BG65" s="689">
        <v>0</v>
      </c>
      <c r="BH65" s="689">
        <v>0</v>
      </c>
      <c r="BI65" s="689">
        <v>0</v>
      </c>
      <c r="BJ65" s="689">
        <v>0</v>
      </c>
      <c r="BK65" s="689">
        <v>0</v>
      </c>
      <c r="BL65" s="689">
        <v>0</v>
      </c>
      <c r="BM65" s="689">
        <v>0</v>
      </c>
      <c r="BN65" s="689">
        <f t="shared" si="214"/>
        <v>1</v>
      </c>
      <c r="BO65" s="689">
        <v>0</v>
      </c>
      <c r="BP65" s="689">
        <v>0</v>
      </c>
      <c r="BQ65" s="689">
        <v>0</v>
      </c>
      <c r="BR65" s="689">
        <v>0</v>
      </c>
      <c r="BS65" s="689">
        <v>0</v>
      </c>
      <c r="BT65" s="689">
        <v>0</v>
      </c>
      <c r="BU65" s="689">
        <v>0</v>
      </c>
      <c r="BV65" s="689">
        <v>0</v>
      </c>
      <c r="BW65" s="689">
        <v>0</v>
      </c>
      <c r="BX65" s="689">
        <v>0</v>
      </c>
      <c r="BY65" s="689">
        <v>0</v>
      </c>
      <c r="BZ65" s="689">
        <v>0</v>
      </c>
      <c r="CA65" s="689">
        <f t="shared" si="215"/>
        <v>0</v>
      </c>
      <c r="CB65" s="689">
        <v>0</v>
      </c>
      <c r="CC65" s="689">
        <v>0</v>
      </c>
      <c r="CD65" s="689">
        <v>0</v>
      </c>
      <c r="CE65" s="689">
        <v>0</v>
      </c>
      <c r="CF65" s="689">
        <v>0</v>
      </c>
      <c r="CG65" s="689">
        <v>0</v>
      </c>
      <c r="CH65" s="689">
        <v>0</v>
      </c>
      <c r="CI65" s="689">
        <v>0</v>
      </c>
      <c r="CJ65" s="689">
        <v>0</v>
      </c>
      <c r="CK65" s="689">
        <v>0</v>
      </c>
      <c r="CL65" s="689">
        <v>0</v>
      </c>
      <c r="CM65" s="689">
        <v>0</v>
      </c>
      <c r="CN65" s="689">
        <f t="shared" si="216"/>
        <v>0</v>
      </c>
      <c r="CO65" s="689">
        <v>0</v>
      </c>
      <c r="CP65" s="689">
        <v>54</v>
      </c>
      <c r="CQ65" s="689">
        <v>0</v>
      </c>
      <c r="CR65" s="689">
        <v>0</v>
      </c>
      <c r="CS65" s="689">
        <v>0</v>
      </c>
      <c r="CT65" s="689">
        <v>0</v>
      </c>
      <c r="CU65" s="689">
        <v>0</v>
      </c>
      <c r="CV65" s="689">
        <v>0</v>
      </c>
      <c r="CW65" s="689">
        <v>0</v>
      </c>
      <c r="CX65" s="689">
        <v>0</v>
      </c>
      <c r="CY65" s="689">
        <v>0</v>
      </c>
      <c r="CZ65" s="689">
        <v>0</v>
      </c>
      <c r="DA65" s="689">
        <f t="shared" si="218"/>
        <v>54</v>
      </c>
      <c r="DB65" s="689">
        <v>0</v>
      </c>
      <c r="DC65" s="689">
        <v>0</v>
      </c>
      <c r="DD65" s="689">
        <v>0</v>
      </c>
      <c r="DE65" s="689">
        <v>0</v>
      </c>
      <c r="DF65" s="689">
        <v>0</v>
      </c>
      <c r="DG65" s="689">
        <v>0</v>
      </c>
      <c r="DH65" s="689">
        <v>0</v>
      </c>
      <c r="DI65" s="689">
        <v>0</v>
      </c>
      <c r="DJ65" s="689">
        <v>0</v>
      </c>
      <c r="DK65" s="689">
        <v>0</v>
      </c>
      <c r="DL65" s="689">
        <v>0</v>
      </c>
      <c r="DM65" s="689">
        <v>0</v>
      </c>
      <c r="DN65" s="689">
        <f t="shared" si="220"/>
        <v>0</v>
      </c>
      <c r="DO65" s="689">
        <v>0</v>
      </c>
      <c r="DP65" s="689">
        <v>0</v>
      </c>
      <c r="DQ65" s="689">
        <v>0</v>
      </c>
      <c r="DR65" s="689">
        <v>0</v>
      </c>
      <c r="DS65" s="689">
        <v>0</v>
      </c>
      <c r="DT65" s="689">
        <v>0</v>
      </c>
      <c r="DU65" s="689">
        <v>0</v>
      </c>
      <c r="DV65" s="689">
        <v>0</v>
      </c>
      <c r="DW65" s="689">
        <v>0</v>
      </c>
      <c r="DX65" s="689">
        <v>0</v>
      </c>
      <c r="DY65" s="689">
        <v>0</v>
      </c>
      <c r="DZ65" s="689">
        <v>0</v>
      </c>
      <c r="EA65" s="737">
        <f t="shared" si="247"/>
        <v>0</v>
      </c>
      <c r="EB65" s="689">
        <v>0</v>
      </c>
      <c r="EC65" s="689">
        <v>0</v>
      </c>
      <c r="ED65" s="689">
        <v>0</v>
      </c>
      <c r="EE65" s="689">
        <v>0</v>
      </c>
      <c r="EF65" s="689">
        <v>0</v>
      </c>
      <c r="EG65" s="689">
        <v>0</v>
      </c>
      <c r="EH65" s="689">
        <v>0</v>
      </c>
      <c r="EI65" s="689">
        <v>0</v>
      </c>
      <c r="EJ65" s="689">
        <v>0</v>
      </c>
      <c r="EK65" s="689">
        <v>0</v>
      </c>
      <c r="EL65" s="689">
        <v>0</v>
      </c>
      <c r="EM65" s="689">
        <v>0</v>
      </c>
      <c r="EN65" s="689">
        <f t="shared" si="236"/>
        <v>0</v>
      </c>
      <c r="EO65" s="689">
        <v>0</v>
      </c>
      <c r="EP65" s="689">
        <v>0</v>
      </c>
      <c r="EQ65" s="689">
        <v>0</v>
      </c>
      <c r="ER65" s="689">
        <v>0</v>
      </c>
      <c r="ES65" s="689">
        <v>0</v>
      </c>
      <c r="ET65" s="689">
        <v>0</v>
      </c>
      <c r="EU65" s="689">
        <v>0</v>
      </c>
      <c r="EV65" s="689">
        <v>0</v>
      </c>
      <c r="EW65" s="689">
        <v>0</v>
      </c>
      <c r="EX65" s="689">
        <v>0</v>
      </c>
      <c r="EY65" s="738">
        <v>0</v>
      </c>
      <c r="EZ65" s="738">
        <v>0</v>
      </c>
      <c r="FA65" s="689">
        <f t="shared" si="238"/>
        <v>0</v>
      </c>
      <c r="FB65" s="689">
        <v>0</v>
      </c>
      <c r="FC65" s="689">
        <v>0</v>
      </c>
      <c r="FD65" s="689">
        <v>0</v>
      </c>
      <c r="FE65" s="689">
        <v>0</v>
      </c>
      <c r="FF65" s="689">
        <v>0</v>
      </c>
      <c r="FG65" s="689">
        <v>0</v>
      </c>
      <c r="FH65" s="689">
        <v>0</v>
      </c>
      <c r="FI65" s="689">
        <v>0</v>
      </c>
      <c r="FJ65" s="689">
        <v>0</v>
      </c>
      <c r="FK65" s="689">
        <v>0</v>
      </c>
      <c r="FL65" s="689">
        <v>0</v>
      </c>
      <c r="FM65" s="689">
        <v>0</v>
      </c>
      <c r="FN65" s="689">
        <f t="shared" si="240"/>
        <v>0</v>
      </c>
      <c r="FO65" s="689">
        <v>0</v>
      </c>
      <c r="FP65" s="689">
        <v>0</v>
      </c>
      <c r="FQ65" s="689">
        <v>0</v>
      </c>
      <c r="FR65" s="689">
        <v>0</v>
      </c>
      <c r="FS65" s="689">
        <v>0</v>
      </c>
      <c r="FT65" s="689">
        <v>0</v>
      </c>
      <c r="FU65" s="689">
        <v>0</v>
      </c>
      <c r="FV65" s="689">
        <v>0</v>
      </c>
      <c r="FW65" s="689">
        <v>0</v>
      </c>
      <c r="FX65" s="689">
        <v>0</v>
      </c>
      <c r="FY65" s="689">
        <v>0</v>
      </c>
      <c r="FZ65" s="689">
        <v>0</v>
      </c>
      <c r="GA65" s="689">
        <f t="shared" si="242"/>
        <v>0</v>
      </c>
      <c r="GB65" s="689">
        <v>0</v>
      </c>
      <c r="GC65" s="689">
        <v>1</v>
      </c>
      <c r="GD65" s="738">
        <v>0</v>
      </c>
      <c r="GE65" s="689">
        <v>0</v>
      </c>
      <c r="GF65" s="689">
        <v>0</v>
      </c>
      <c r="GG65" s="689">
        <v>0</v>
      </c>
      <c r="GH65" s="689">
        <v>0</v>
      </c>
      <c r="GI65" s="689">
        <v>0</v>
      </c>
      <c r="GJ65" s="689">
        <v>0</v>
      </c>
      <c r="GK65" s="689">
        <v>0</v>
      </c>
      <c r="GL65" s="689">
        <v>0</v>
      </c>
      <c r="GM65" s="689">
        <v>0</v>
      </c>
      <c r="GN65" s="689">
        <f t="shared" si="127"/>
        <v>1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HA65">
        <f t="shared" si="130"/>
        <v>0</v>
      </c>
      <c r="HC65" s="730" t="str">
        <f t="shared" si="113"/>
        <v>-</v>
      </c>
      <c r="HD65" s="739">
        <f t="shared" si="246"/>
        <v>-100</v>
      </c>
      <c r="HE65" s="737">
        <f t="shared" si="131"/>
        <v>1</v>
      </c>
      <c r="HF65" s="737">
        <f t="shared" si="141"/>
        <v>0</v>
      </c>
    </row>
    <row r="66" spans="1:214" ht="13.9" customHeight="1" x14ac:dyDescent="0.2">
      <c r="A66" s="736" t="s">
        <v>420</v>
      </c>
      <c r="AB66" s="689">
        <v>5</v>
      </c>
      <c r="AC66" s="689">
        <v>0</v>
      </c>
      <c r="AD66" s="689">
        <v>4</v>
      </c>
      <c r="AE66" s="689">
        <v>0.3</v>
      </c>
      <c r="AF66" s="689">
        <v>0</v>
      </c>
      <c r="AG66" s="689">
        <v>0.2</v>
      </c>
      <c r="AH66" s="689">
        <v>336</v>
      </c>
      <c r="AI66" s="689">
        <v>3</v>
      </c>
      <c r="AJ66" s="689">
        <v>48</v>
      </c>
      <c r="AK66" s="689">
        <v>0.1</v>
      </c>
      <c r="AL66" s="689">
        <v>0.1</v>
      </c>
      <c r="AM66" s="689">
        <v>2052</v>
      </c>
      <c r="AN66" s="737">
        <f t="shared" si="210"/>
        <v>2448.6999999999998</v>
      </c>
      <c r="AO66" s="689">
        <v>2</v>
      </c>
      <c r="AP66" s="689">
        <v>0</v>
      </c>
      <c r="AQ66" s="689">
        <v>0.38400000000000001</v>
      </c>
      <c r="AR66" s="689">
        <v>3</v>
      </c>
      <c r="AS66" s="689">
        <v>0.114</v>
      </c>
      <c r="AT66" s="689">
        <v>588</v>
      </c>
      <c r="AU66" s="689">
        <v>0.19900000000000001</v>
      </c>
      <c r="AV66" s="689">
        <v>0.374</v>
      </c>
      <c r="AW66" s="689">
        <v>1</v>
      </c>
      <c r="AX66" s="689">
        <v>19</v>
      </c>
      <c r="AY66" s="689">
        <v>2.4E-2</v>
      </c>
      <c r="AZ66" s="689">
        <v>32</v>
      </c>
      <c r="BA66" s="689">
        <f t="shared" si="212"/>
        <v>646.09500000000003</v>
      </c>
      <c r="BB66" s="689">
        <v>0</v>
      </c>
      <c r="BC66" s="689">
        <v>0.45200000000000001</v>
      </c>
      <c r="BD66" s="689">
        <v>8.5999999999999993E-2</v>
      </c>
      <c r="BE66" s="689">
        <v>1</v>
      </c>
      <c r="BF66" s="689">
        <v>11</v>
      </c>
      <c r="BG66" s="689">
        <v>0</v>
      </c>
      <c r="BH66" s="689">
        <v>586</v>
      </c>
      <c r="BI66" s="689">
        <v>0</v>
      </c>
      <c r="BJ66" s="689">
        <v>9</v>
      </c>
      <c r="BK66" s="689">
        <v>1</v>
      </c>
      <c r="BL66" s="689">
        <v>0</v>
      </c>
      <c r="BM66" s="689">
        <v>-1</v>
      </c>
      <c r="BN66" s="689">
        <f t="shared" si="214"/>
        <v>607.53800000000001</v>
      </c>
      <c r="BO66" s="689">
        <v>0</v>
      </c>
      <c r="BP66" s="689">
        <v>1</v>
      </c>
      <c r="BQ66" s="689">
        <v>0</v>
      </c>
      <c r="BR66" s="689">
        <v>1</v>
      </c>
      <c r="BS66" s="689">
        <v>0</v>
      </c>
      <c r="BT66" s="689">
        <v>1</v>
      </c>
      <c r="BU66" s="689">
        <v>657</v>
      </c>
      <c r="BV66" s="689">
        <v>32</v>
      </c>
      <c r="BW66" s="689">
        <v>6</v>
      </c>
      <c r="BX66" s="689">
        <v>15</v>
      </c>
      <c r="BY66" s="689">
        <v>0</v>
      </c>
      <c r="BZ66" s="689">
        <v>0</v>
      </c>
      <c r="CA66" s="689">
        <f t="shared" si="215"/>
        <v>713</v>
      </c>
      <c r="CB66" s="689">
        <v>0</v>
      </c>
      <c r="CC66" s="689">
        <v>0</v>
      </c>
      <c r="CD66" s="689">
        <v>0</v>
      </c>
      <c r="CE66" s="689">
        <v>0</v>
      </c>
      <c r="CF66" s="689">
        <v>0</v>
      </c>
      <c r="CG66" s="689">
        <v>0</v>
      </c>
      <c r="CH66" s="689">
        <v>789</v>
      </c>
      <c r="CI66" s="689">
        <v>10</v>
      </c>
      <c r="CJ66" s="689">
        <v>0</v>
      </c>
      <c r="CK66" s="689">
        <v>0</v>
      </c>
      <c r="CL66" s="689">
        <v>0</v>
      </c>
      <c r="CM66" s="689">
        <v>0</v>
      </c>
      <c r="CN66" s="689">
        <f t="shared" si="216"/>
        <v>799</v>
      </c>
      <c r="CO66" s="689">
        <v>0</v>
      </c>
      <c r="CP66" s="689">
        <v>0</v>
      </c>
      <c r="CQ66" s="689">
        <v>1</v>
      </c>
      <c r="CR66" s="689">
        <v>0</v>
      </c>
      <c r="CS66" s="689">
        <v>0</v>
      </c>
      <c r="CT66" s="689">
        <v>0</v>
      </c>
      <c r="CU66" s="689">
        <v>712</v>
      </c>
      <c r="CV66" s="689">
        <v>0</v>
      </c>
      <c r="CW66" s="689">
        <v>0</v>
      </c>
      <c r="CX66" s="689">
        <v>0</v>
      </c>
      <c r="CY66" s="689">
        <v>1</v>
      </c>
      <c r="CZ66" s="689">
        <v>0</v>
      </c>
      <c r="DA66" s="689">
        <f t="shared" si="218"/>
        <v>714</v>
      </c>
      <c r="DB66" s="689">
        <v>3</v>
      </c>
      <c r="DC66" s="689">
        <v>361</v>
      </c>
      <c r="DD66" s="689">
        <v>0</v>
      </c>
      <c r="DE66" s="689">
        <v>3</v>
      </c>
      <c r="DF66" s="689">
        <v>-9</v>
      </c>
      <c r="DG66" s="689">
        <v>7</v>
      </c>
      <c r="DH66" s="689">
        <v>285</v>
      </c>
      <c r="DI66" s="689">
        <v>11</v>
      </c>
      <c r="DJ66" s="689">
        <v>24</v>
      </c>
      <c r="DK66" s="689">
        <v>1</v>
      </c>
      <c r="DL66" s="689">
        <v>0</v>
      </c>
      <c r="DM66" s="689">
        <v>18</v>
      </c>
      <c r="DN66" s="689">
        <f t="shared" si="220"/>
        <v>704</v>
      </c>
      <c r="DO66" s="689">
        <v>274</v>
      </c>
      <c r="DP66" s="689">
        <v>5</v>
      </c>
      <c r="DQ66" s="689">
        <v>2</v>
      </c>
      <c r="DR66" s="689">
        <v>27</v>
      </c>
      <c r="DS66" s="689">
        <v>0</v>
      </c>
      <c r="DT66" s="689">
        <v>0</v>
      </c>
      <c r="DU66" s="689">
        <v>49</v>
      </c>
      <c r="DV66" s="689">
        <v>0</v>
      </c>
      <c r="DW66" s="689">
        <v>379</v>
      </c>
      <c r="DX66" s="689">
        <v>7</v>
      </c>
      <c r="DY66" s="689">
        <v>0</v>
      </c>
      <c r="DZ66" s="689">
        <v>0</v>
      </c>
      <c r="EA66" s="737">
        <f t="shared" si="247"/>
        <v>743</v>
      </c>
      <c r="EB66" s="689">
        <v>334</v>
      </c>
      <c r="EC66" s="689">
        <v>0</v>
      </c>
      <c r="ED66" s="689">
        <v>0</v>
      </c>
      <c r="EE66" s="689">
        <v>8</v>
      </c>
      <c r="EF66" s="689">
        <v>0</v>
      </c>
      <c r="EG66" s="689">
        <v>4</v>
      </c>
      <c r="EH66" s="689">
        <v>147</v>
      </c>
      <c r="EI66" s="689">
        <v>13</v>
      </c>
      <c r="EJ66" s="689">
        <v>13</v>
      </c>
      <c r="EK66" s="689">
        <v>5</v>
      </c>
      <c r="EL66" s="689">
        <v>11</v>
      </c>
      <c r="EM66" s="689">
        <v>15</v>
      </c>
      <c r="EN66" s="689">
        <f t="shared" si="236"/>
        <v>550</v>
      </c>
      <c r="EO66" s="689">
        <v>406</v>
      </c>
      <c r="EP66" s="689">
        <v>0</v>
      </c>
      <c r="EQ66" s="689">
        <v>7</v>
      </c>
      <c r="ER66" s="689">
        <v>0</v>
      </c>
      <c r="ES66" s="689">
        <v>0</v>
      </c>
      <c r="ET66" s="689">
        <v>0</v>
      </c>
      <c r="EU66" s="689">
        <v>0</v>
      </c>
      <c r="EV66" s="689">
        <v>0</v>
      </c>
      <c r="EW66" s="689">
        <v>1</v>
      </c>
      <c r="EX66" s="689">
        <v>0</v>
      </c>
      <c r="EY66" s="738">
        <v>0</v>
      </c>
      <c r="EZ66" s="738">
        <v>0</v>
      </c>
      <c r="FA66" s="689">
        <f t="shared" si="238"/>
        <v>414</v>
      </c>
      <c r="FB66" s="689">
        <v>527</v>
      </c>
      <c r="FC66" s="689">
        <v>0</v>
      </c>
      <c r="FD66" s="689">
        <v>0</v>
      </c>
      <c r="FE66" s="689">
        <v>2</v>
      </c>
      <c r="FF66" s="689">
        <v>4</v>
      </c>
      <c r="FG66" s="689">
        <v>0</v>
      </c>
      <c r="FH66" s="689">
        <v>560</v>
      </c>
      <c r="FI66" s="689">
        <v>0</v>
      </c>
      <c r="FJ66" s="689">
        <v>0</v>
      </c>
      <c r="FK66" s="689">
        <v>4</v>
      </c>
      <c r="FL66" s="689">
        <v>0</v>
      </c>
      <c r="FM66" s="689">
        <v>0</v>
      </c>
      <c r="FN66" s="689">
        <f t="shared" si="240"/>
        <v>1097</v>
      </c>
      <c r="FO66" s="689">
        <v>543</v>
      </c>
      <c r="FP66" s="689">
        <v>0</v>
      </c>
      <c r="FQ66" s="689">
        <v>2</v>
      </c>
      <c r="FR66" s="689">
        <v>-12</v>
      </c>
      <c r="FS66" s="689">
        <v>0</v>
      </c>
      <c r="FT66" s="689">
        <v>0</v>
      </c>
      <c r="FU66" s="689">
        <v>514</v>
      </c>
      <c r="FV66" s="689">
        <v>10</v>
      </c>
      <c r="FW66" s="689">
        <v>6</v>
      </c>
      <c r="FX66" s="689">
        <v>13</v>
      </c>
      <c r="FY66" s="689">
        <v>5</v>
      </c>
      <c r="FZ66" s="689">
        <v>5</v>
      </c>
      <c r="GA66" s="689">
        <f t="shared" si="242"/>
        <v>1086</v>
      </c>
      <c r="GB66" s="689">
        <v>116</v>
      </c>
      <c r="GC66" s="689">
        <v>1</v>
      </c>
      <c r="GD66" s="738">
        <v>1</v>
      </c>
      <c r="GE66" s="689">
        <v>0</v>
      </c>
      <c r="GF66" s="689">
        <v>0</v>
      </c>
      <c r="GG66" s="689">
        <v>1229</v>
      </c>
      <c r="GH66" s="689">
        <v>12</v>
      </c>
      <c r="GI66" s="689">
        <v>0</v>
      </c>
      <c r="GJ66" s="689">
        <v>9</v>
      </c>
      <c r="GK66" s="689">
        <v>0</v>
      </c>
      <c r="GL66" s="689">
        <v>0</v>
      </c>
      <c r="GM66" s="689">
        <v>0</v>
      </c>
      <c r="GN66" s="689">
        <f t="shared" si="127"/>
        <v>1368</v>
      </c>
      <c r="GO66">
        <v>174</v>
      </c>
      <c r="GP66">
        <v>1</v>
      </c>
      <c r="GQ66">
        <v>0</v>
      </c>
      <c r="GR66">
        <v>0</v>
      </c>
      <c r="GS66">
        <v>0</v>
      </c>
      <c r="GT66">
        <v>28</v>
      </c>
      <c r="GU66">
        <v>1024</v>
      </c>
      <c r="GV66">
        <v>25</v>
      </c>
      <c r="HA66">
        <f t="shared" si="130"/>
        <v>1252</v>
      </c>
      <c r="HC66" s="730" t="str">
        <f t="shared" si="113"/>
        <v>-</v>
      </c>
      <c r="HD66" s="739">
        <f t="shared" si="246"/>
        <v>-7.8734363502575455</v>
      </c>
      <c r="HE66" s="737">
        <f t="shared" si="131"/>
        <v>1359</v>
      </c>
      <c r="HF66" s="737">
        <f t="shared" si="141"/>
        <v>1252</v>
      </c>
    </row>
    <row r="67" spans="1:214" ht="13.9" customHeight="1" x14ac:dyDescent="0.2">
      <c r="A67" s="736" t="s">
        <v>421</v>
      </c>
      <c r="AB67" s="689">
        <v>0</v>
      </c>
      <c r="AC67" s="689">
        <v>0</v>
      </c>
      <c r="AD67" s="689">
        <v>0</v>
      </c>
      <c r="AE67" s="689">
        <v>0</v>
      </c>
      <c r="AF67" s="689">
        <v>0</v>
      </c>
      <c r="AG67" s="689">
        <v>0</v>
      </c>
      <c r="AH67" s="689">
        <v>0</v>
      </c>
      <c r="AI67" s="689">
        <v>0</v>
      </c>
      <c r="AJ67" s="689">
        <v>0</v>
      </c>
      <c r="AK67" s="689">
        <v>0</v>
      </c>
      <c r="AL67" s="689">
        <v>0</v>
      </c>
      <c r="AM67" s="689">
        <v>0</v>
      </c>
      <c r="AN67" s="737">
        <f t="shared" si="210"/>
        <v>0</v>
      </c>
      <c r="AO67" s="689">
        <v>0</v>
      </c>
      <c r="AP67" s="689">
        <v>0</v>
      </c>
      <c r="AQ67" s="689">
        <v>0</v>
      </c>
      <c r="AR67" s="689">
        <v>0</v>
      </c>
      <c r="AS67" s="689">
        <v>0</v>
      </c>
      <c r="AT67" s="689">
        <v>0</v>
      </c>
      <c r="AU67" s="689">
        <v>0</v>
      </c>
      <c r="AV67" s="689">
        <v>0</v>
      </c>
      <c r="AW67" s="689">
        <v>0</v>
      </c>
      <c r="AX67" s="689">
        <v>0</v>
      </c>
      <c r="AY67" s="689">
        <v>0</v>
      </c>
      <c r="AZ67" s="689">
        <v>0</v>
      </c>
      <c r="BA67" s="689">
        <f t="shared" si="212"/>
        <v>0</v>
      </c>
      <c r="BB67" s="689">
        <v>0</v>
      </c>
      <c r="BC67" s="689">
        <v>0</v>
      </c>
      <c r="BD67" s="689">
        <v>0</v>
      </c>
      <c r="BE67" s="689">
        <v>0</v>
      </c>
      <c r="BF67" s="689">
        <v>0</v>
      </c>
      <c r="BG67" s="689">
        <v>0</v>
      </c>
      <c r="BH67" s="689">
        <v>0</v>
      </c>
      <c r="BI67" s="689">
        <v>0</v>
      </c>
      <c r="BJ67" s="689">
        <v>0</v>
      </c>
      <c r="BK67" s="689">
        <v>0</v>
      </c>
      <c r="BL67" s="689">
        <v>0</v>
      </c>
      <c r="BM67" s="689">
        <v>0</v>
      </c>
      <c r="BN67" s="689">
        <f t="shared" si="214"/>
        <v>0</v>
      </c>
      <c r="BO67" s="689">
        <v>0</v>
      </c>
      <c r="BP67" s="689">
        <v>0</v>
      </c>
      <c r="BQ67" s="689">
        <v>0</v>
      </c>
      <c r="BR67" s="689">
        <v>0</v>
      </c>
      <c r="BS67" s="689">
        <v>0</v>
      </c>
      <c r="BT67" s="689">
        <v>0</v>
      </c>
      <c r="BU67" s="689">
        <v>0</v>
      </c>
      <c r="BV67" s="689">
        <v>0</v>
      </c>
      <c r="BW67" s="689">
        <v>0</v>
      </c>
      <c r="BX67" s="689">
        <v>0</v>
      </c>
      <c r="BY67" s="689">
        <v>0</v>
      </c>
      <c r="BZ67" s="689">
        <v>0</v>
      </c>
      <c r="CA67" s="689">
        <f t="shared" si="215"/>
        <v>0</v>
      </c>
      <c r="CB67" s="689">
        <v>0</v>
      </c>
      <c r="CC67" s="689">
        <v>0</v>
      </c>
      <c r="CD67" s="689">
        <v>0</v>
      </c>
      <c r="CE67" s="689">
        <v>0</v>
      </c>
      <c r="CF67" s="689">
        <v>0</v>
      </c>
      <c r="CG67" s="689">
        <v>0</v>
      </c>
      <c r="CH67" s="689">
        <v>0</v>
      </c>
      <c r="CI67" s="689">
        <v>0</v>
      </c>
      <c r="CJ67" s="689">
        <v>0</v>
      </c>
      <c r="CK67" s="689">
        <v>0</v>
      </c>
      <c r="CL67" s="689">
        <v>0</v>
      </c>
      <c r="CM67" s="689">
        <v>0</v>
      </c>
      <c r="CN67" s="689">
        <f t="shared" si="216"/>
        <v>0</v>
      </c>
      <c r="CO67" s="689">
        <v>0</v>
      </c>
      <c r="CP67" s="689">
        <v>0</v>
      </c>
      <c r="CQ67" s="689">
        <v>0</v>
      </c>
      <c r="CR67" s="689">
        <v>0</v>
      </c>
      <c r="CS67" s="689">
        <v>0</v>
      </c>
      <c r="CT67" s="689">
        <v>0</v>
      </c>
      <c r="CU67" s="689">
        <v>0</v>
      </c>
      <c r="CV67" s="689">
        <v>0</v>
      </c>
      <c r="CW67" s="689">
        <v>0</v>
      </c>
      <c r="CX67" s="689">
        <v>0</v>
      </c>
      <c r="CY67" s="689">
        <v>0</v>
      </c>
      <c r="CZ67" s="689">
        <v>0</v>
      </c>
      <c r="DA67" s="689">
        <f t="shared" si="218"/>
        <v>0</v>
      </c>
      <c r="DB67" s="689">
        <v>0</v>
      </c>
      <c r="DC67" s="689">
        <v>0</v>
      </c>
      <c r="DD67" s="689">
        <v>0</v>
      </c>
      <c r="DE67" s="689">
        <v>0</v>
      </c>
      <c r="DF67" s="689">
        <v>0</v>
      </c>
      <c r="DG67" s="689">
        <v>0</v>
      </c>
      <c r="DH67" s="689">
        <v>0</v>
      </c>
      <c r="DI67" s="689">
        <v>0</v>
      </c>
      <c r="DJ67" s="689">
        <v>0</v>
      </c>
      <c r="DK67" s="689">
        <v>0</v>
      </c>
      <c r="DL67" s="689">
        <v>0</v>
      </c>
      <c r="DM67" s="689">
        <v>0</v>
      </c>
      <c r="DN67" s="689">
        <f t="shared" si="220"/>
        <v>0</v>
      </c>
      <c r="DO67" s="689">
        <v>1</v>
      </c>
      <c r="DP67" s="689">
        <v>0</v>
      </c>
      <c r="DQ67" s="689">
        <v>0</v>
      </c>
      <c r="DR67" s="689">
        <v>0</v>
      </c>
      <c r="DS67" s="689">
        <v>0</v>
      </c>
      <c r="DT67" s="689">
        <v>0</v>
      </c>
      <c r="DU67" s="689">
        <v>0</v>
      </c>
      <c r="DV67" s="689">
        <v>0</v>
      </c>
      <c r="DW67" s="689">
        <v>0</v>
      </c>
      <c r="DX67" s="689">
        <v>0</v>
      </c>
      <c r="DY67" s="689">
        <v>0</v>
      </c>
      <c r="DZ67" s="689">
        <v>0</v>
      </c>
      <c r="EA67" s="737">
        <f t="shared" si="247"/>
        <v>1</v>
      </c>
      <c r="EB67" s="689">
        <v>0</v>
      </c>
      <c r="EC67" s="689">
        <v>0</v>
      </c>
      <c r="ED67" s="689">
        <v>0</v>
      </c>
      <c r="EE67" s="689">
        <v>0</v>
      </c>
      <c r="EF67" s="689">
        <v>0</v>
      </c>
      <c r="EG67" s="689">
        <v>0</v>
      </c>
      <c r="EH67" s="689">
        <v>0</v>
      </c>
      <c r="EI67" s="689">
        <v>0</v>
      </c>
      <c r="EJ67" s="689">
        <v>0</v>
      </c>
      <c r="EK67" s="689">
        <v>0</v>
      </c>
      <c r="EL67" s="689">
        <v>0</v>
      </c>
      <c r="EM67" s="689">
        <v>0</v>
      </c>
      <c r="EN67" s="689">
        <f t="shared" si="236"/>
        <v>0</v>
      </c>
      <c r="EO67" s="689">
        <v>0</v>
      </c>
      <c r="EP67" s="689">
        <v>0</v>
      </c>
      <c r="EQ67" s="689">
        <v>0</v>
      </c>
      <c r="ER67" s="689">
        <v>0</v>
      </c>
      <c r="ES67" s="689">
        <v>0</v>
      </c>
      <c r="ET67" s="689">
        <v>0</v>
      </c>
      <c r="EU67" s="689">
        <v>0</v>
      </c>
      <c r="EV67" s="689">
        <v>0</v>
      </c>
      <c r="EW67" s="689">
        <v>0</v>
      </c>
      <c r="EX67" s="689">
        <v>0</v>
      </c>
      <c r="EY67" s="738">
        <v>0</v>
      </c>
      <c r="EZ67" s="738">
        <v>0</v>
      </c>
      <c r="FA67" s="689">
        <f t="shared" si="238"/>
        <v>0</v>
      </c>
      <c r="FB67" s="689">
        <v>0</v>
      </c>
      <c r="FC67" s="689">
        <v>0</v>
      </c>
      <c r="FD67" s="689">
        <v>0</v>
      </c>
      <c r="FE67" s="689">
        <v>0</v>
      </c>
      <c r="FF67" s="689">
        <v>0</v>
      </c>
      <c r="FG67" s="689">
        <v>0</v>
      </c>
      <c r="FH67" s="689">
        <v>0</v>
      </c>
      <c r="FI67" s="689">
        <v>0</v>
      </c>
      <c r="FJ67" s="689">
        <v>0</v>
      </c>
      <c r="FK67" s="689">
        <v>0</v>
      </c>
      <c r="FL67" s="689">
        <v>0</v>
      </c>
      <c r="FM67" s="689">
        <v>0</v>
      </c>
      <c r="FN67" s="689">
        <f t="shared" si="240"/>
        <v>0</v>
      </c>
      <c r="FO67" s="689">
        <v>0</v>
      </c>
      <c r="FP67" s="689">
        <v>0</v>
      </c>
      <c r="FQ67" s="689">
        <v>0</v>
      </c>
      <c r="FR67" s="689">
        <v>0</v>
      </c>
      <c r="FS67" s="689">
        <v>0</v>
      </c>
      <c r="FT67" s="689">
        <v>0</v>
      </c>
      <c r="FU67" s="689">
        <v>0</v>
      </c>
      <c r="FV67" s="689">
        <v>0</v>
      </c>
      <c r="FW67" s="689">
        <v>0</v>
      </c>
      <c r="FX67" s="689">
        <v>0</v>
      </c>
      <c r="FY67" s="689">
        <v>0</v>
      </c>
      <c r="FZ67" s="689">
        <v>0</v>
      </c>
      <c r="GA67" s="689">
        <f t="shared" si="242"/>
        <v>0</v>
      </c>
      <c r="GB67" s="689">
        <v>0</v>
      </c>
      <c r="GC67" s="689">
        <v>0</v>
      </c>
      <c r="GD67" s="738">
        <v>0</v>
      </c>
      <c r="GE67" s="689">
        <v>0</v>
      </c>
      <c r="GF67" s="689">
        <v>0</v>
      </c>
      <c r="GG67" s="689">
        <v>0</v>
      </c>
      <c r="GH67" s="689">
        <v>0</v>
      </c>
      <c r="GI67" s="689">
        <v>0</v>
      </c>
      <c r="GJ67" s="689">
        <v>0</v>
      </c>
      <c r="GK67" s="689">
        <v>0</v>
      </c>
      <c r="GL67" s="689">
        <v>0</v>
      </c>
      <c r="GM67" s="689">
        <v>0</v>
      </c>
      <c r="GN67" s="689">
        <f t="shared" si="127"/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HA67">
        <f t="shared" si="130"/>
        <v>0</v>
      </c>
      <c r="HC67" s="730" t="str">
        <f t="shared" si="113"/>
        <v>-</v>
      </c>
      <c r="HD67" s="739" t="str">
        <f t="shared" si="246"/>
        <v>-</v>
      </c>
      <c r="HE67" s="737">
        <f t="shared" si="131"/>
        <v>0</v>
      </c>
      <c r="HF67" s="737">
        <f t="shared" si="141"/>
        <v>0</v>
      </c>
    </row>
    <row r="68" spans="1:214" ht="13.9" customHeight="1" x14ac:dyDescent="0.2">
      <c r="A68" s="736" t="s">
        <v>422</v>
      </c>
      <c r="AB68" s="689">
        <v>0</v>
      </c>
      <c r="AC68" s="689">
        <v>0</v>
      </c>
      <c r="AD68" s="689">
        <v>0</v>
      </c>
      <c r="AE68" s="689">
        <v>0</v>
      </c>
      <c r="AF68" s="689">
        <v>0</v>
      </c>
      <c r="AG68" s="689">
        <v>0</v>
      </c>
      <c r="AH68" s="689">
        <v>0</v>
      </c>
      <c r="AI68" s="689">
        <v>0</v>
      </c>
      <c r="AJ68" s="689">
        <v>0</v>
      </c>
      <c r="AK68" s="689">
        <v>0</v>
      </c>
      <c r="AL68" s="689">
        <v>0</v>
      </c>
      <c r="AM68" s="689">
        <v>0</v>
      </c>
      <c r="AN68" s="737">
        <f t="shared" si="210"/>
        <v>0</v>
      </c>
      <c r="AO68" s="689">
        <v>0</v>
      </c>
      <c r="AP68" s="689">
        <v>0</v>
      </c>
      <c r="AQ68" s="689">
        <v>3.6999999999999998E-2</v>
      </c>
      <c r="AR68" s="689">
        <v>0</v>
      </c>
      <c r="AS68" s="689">
        <v>0</v>
      </c>
      <c r="AT68" s="689">
        <v>0</v>
      </c>
      <c r="AU68" s="689">
        <v>0.22900000000000001</v>
      </c>
      <c r="AV68" s="689">
        <v>0.108</v>
      </c>
      <c r="AW68" s="689">
        <v>0.14799999999999999</v>
      </c>
      <c r="AX68" s="689">
        <v>0.127</v>
      </c>
      <c r="AY68" s="689">
        <v>0.111</v>
      </c>
      <c r="AZ68" s="689">
        <v>0.13300000000000001</v>
      </c>
      <c r="BA68" s="689">
        <f t="shared" si="212"/>
        <v>0.89300000000000002</v>
      </c>
      <c r="BB68" s="689">
        <v>0.127</v>
      </c>
      <c r="BC68" s="689">
        <v>0.128</v>
      </c>
      <c r="BD68" s="689">
        <v>0.13600000000000001</v>
      </c>
      <c r="BE68" s="689">
        <v>9.4E-2</v>
      </c>
      <c r="BF68" s="689">
        <v>0</v>
      </c>
      <c r="BG68" s="689">
        <v>0</v>
      </c>
      <c r="BH68" s="689">
        <v>74</v>
      </c>
      <c r="BI68" s="689">
        <v>37</v>
      </c>
      <c r="BJ68" s="689">
        <v>38</v>
      </c>
      <c r="BK68" s="689">
        <v>35</v>
      </c>
      <c r="BL68" s="689">
        <v>35</v>
      </c>
      <c r="BM68" s="689">
        <v>33</v>
      </c>
      <c r="BN68" s="689">
        <f t="shared" si="214"/>
        <v>252.48500000000001</v>
      </c>
      <c r="BO68" s="689">
        <v>29</v>
      </c>
      <c r="BP68" s="689">
        <v>33</v>
      </c>
      <c r="BQ68" s="689">
        <v>33</v>
      </c>
      <c r="BR68" s="689">
        <v>35</v>
      </c>
      <c r="BS68" s="689">
        <v>42</v>
      </c>
      <c r="BT68" s="689">
        <v>7</v>
      </c>
      <c r="BU68" s="689">
        <v>3</v>
      </c>
      <c r="BV68" s="689">
        <v>139</v>
      </c>
      <c r="BW68" s="689">
        <v>104</v>
      </c>
      <c r="BX68" s="689">
        <v>68</v>
      </c>
      <c r="BY68" s="689">
        <v>50</v>
      </c>
      <c r="BZ68" s="689">
        <v>53</v>
      </c>
      <c r="CA68" s="689">
        <f t="shared" si="215"/>
        <v>596</v>
      </c>
      <c r="CB68" s="689">
        <v>61</v>
      </c>
      <c r="CC68" s="689">
        <v>58</v>
      </c>
      <c r="CD68" s="689">
        <v>64</v>
      </c>
      <c r="CE68" s="689">
        <v>71</v>
      </c>
      <c r="CF68" s="689">
        <v>65</v>
      </c>
      <c r="CG68" s="689">
        <v>0</v>
      </c>
      <c r="CH68" s="689">
        <v>122</v>
      </c>
      <c r="CI68" s="689">
        <v>66</v>
      </c>
      <c r="CJ68" s="689">
        <v>68</v>
      </c>
      <c r="CK68" s="689">
        <v>62</v>
      </c>
      <c r="CL68" s="689">
        <v>63</v>
      </c>
      <c r="CM68" s="689">
        <v>65</v>
      </c>
      <c r="CN68" s="689">
        <f t="shared" si="216"/>
        <v>765</v>
      </c>
      <c r="CO68" s="689">
        <v>49</v>
      </c>
      <c r="CP68" s="689">
        <v>0</v>
      </c>
      <c r="CQ68" s="689">
        <v>61</v>
      </c>
      <c r="CR68" s="689">
        <v>54</v>
      </c>
      <c r="CS68" s="689">
        <v>55</v>
      </c>
      <c r="CT68" s="689">
        <v>0</v>
      </c>
      <c r="CU68" s="689">
        <v>99</v>
      </c>
      <c r="CV68" s="689">
        <v>50</v>
      </c>
      <c r="CW68" s="689">
        <v>53</v>
      </c>
      <c r="CX68" s="689">
        <v>56</v>
      </c>
      <c r="CY68" s="689">
        <v>55</v>
      </c>
      <c r="CZ68" s="689">
        <v>40</v>
      </c>
      <c r="DA68" s="689">
        <f t="shared" si="218"/>
        <v>572</v>
      </c>
      <c r="DB68" s="689">
        <v>50</v>
      </c>
      <c r="DC68" s="689">
        <v>33</v>
      </c>
      <c r="DD68" s="689">
        <v>40</v>
      </c>
      <c r="DE68" s="689">
        <v>45</v>
      </c>
      <c r="DF68" s="689">
        <v>175</v>
      </c>
      <c r="DG68" s="689">
        <v>5</v>
      </c>
      <c r="DH68" s="689">
        <v>82</v>
      </c>
      <c r="DI68" s="689">
        <v>32</v>
      </c>
      <c r="DJ68" s="689">
        <v>148</v>
      </c>
      <c r="DK68" s="689">
        <v>9</v>
      </c>
      <c r="DL68" s="689">
        <v>3552</v>
      </c>
      <c r="DM68" s="689">
        <v>140</v>
      </c>
      <c r="DN68" s="689">
        <f t="shared" si="220"/>
        <v>4311</v>
      </c>
      <c r="DO68" s="689">
        <v>195</v>
      </c>
      <c r="DP68" s="689">
        <v>56</v>
      </c>
      <c r="DQ68" s="689">
        <v>1</v>
      </c>
      <c r="DR68" s="689">
        <v>4</v>
      </c>
      <c r="DS68" s="689">
        <v>0</v>
      </c>
      <c r="DT68" s="689">
        <v>0</v>
      </c>
      <c r="DU68" s="689">
        <v>10</v>
      </c>
      <c r="DV68" s="689">
        <v>0</v>
      </c>
      <c r="DW68" s="689">
        <v>46</v>
      </c>
      <c r="DX68" s="689">
        <v>48</v>
      </c>
      <c r="DY68" s="689">
        <v>35</v>
      </c>
      <c r="DZ68" s="689">
        <v>57</v>
      </c>
      <c r="EA68" s="737">
        <f t="shared" si="247"/>
        <v>452</v>
      </c>
      <c r="EB68" s="689">
        <v>37</v>
      </c>
      <c r="EC68" s="689">
        <v>38</v>
      </c>
      <c r="ED68" s="689">
        <v>34</v>
      </c>
      <c r="EE68" s="689">
        <v>57</v>
      </c>
      <c r="EF68" s="689">
        <v>49</v>
      </c>
      <c r="EG68" s="689">
        <v>29</v>
      </c>
      <c r="EH68" s="689">
        <v>23</v>
      </c>
      <c r="EI68" s="689">
        <v>0</v>
      </c>
      <c r="EJ68" s="689">
        <v>0</v>
      </c>
      <c r="EK68" s="689">
        <v>0</v>
      </c>
      <c r="EL68" s="689">
        <v>0</v>
      </c>
      <c r="EM68" s="689">
        <v>0</v>
      </c>
      <c r="EN68" s="689">
        <f t="shared" si="236"/>
        <v>267</v>
      </c>
      <c r="EO68" s="689">
        <v>13</v>
      </c>
      <c r="EP68" s="689">
        <v>13</v>
      </c>
      <c r="EQ68" s="689">
        <v>13</v>
      </c>
      <c r="ER68" s="689">
        <v>12</v>
      </c>
      <c r="ES68" s="689">
        <v>13</v>
      </c>
      <c r="ET68" s="689">
        <v>0</v>
      </c>
      <c r="EU68" s="689">
        <v>23</v>
      </c>
      <c r="EV68" s="689">
        <v>10</v>
      </c>
      <c r="EW68" s="689">
        <v>10</v>
      </c>
      <c r="EX68" s="689">
        <v>11</v>
      </c>
      <c r="EY68" s="738">
        <v>10</v>
      </c>
      <c r="EZ68" s="738">
        <v>10</v>
      </c>
      <c r="FA68" s="689">
        <f t="shared" si="238"/>
        <v>138</v>
      </c>
      <c r="FB68" s="689">
        <v>9</v>
      </c>
      <c r="FC68" s="689">
        <v>0</v>
      </c>
      <c r="FD68" s="689">
        <v>20</v>
      </c>
      <c r="FE68" s="689">
        <v>11</v>
      </c>
      <c r="FF68" s="689">
        <v>10</v>
      </c>
      <c r="FG68" s="689">
        <v>7</v>
      </c>
      <c r="FH68" s="689">
        <v>8</v>
      </c>
      <c r="FI68" s="689">
        <v>6</v>
      </c>
      <c r="FJ68" s="689">
        <v>7</v>
      </c>
      <c r="FK68" s="689">
        <v>6</v>
      </c>
      <c r="FL68" s="689">
        <v>7</v>
      </c>
      <c r="FM68" s="689">
        <v>5</v>
      </c>
      <c r="FN68" s="689">
        <f t="shared" si="240"/>
        <v>96</v>
      </c>
      <c r="FO68" s="689">
        <v>9</v>
      </c>
      <c r="FP68" s="689">
        <v>7</v>
      </c>
      <c r="FQ68" s="689">
        <v>6</v>
      </c>
      <c r="FR68" s="689">
        <v>6</v>
      </c>
      <c r="FS68" s="689">
        <v>0</v>
      </c>
      <c r="FT68" s="689">
        <v>7</v>
      </c>
      <c r="FU68" s="689">
        <v>14</v>
      </c>
      <c r="FV68" s="689">
        <v>0</v>
      </c>
      <c r="FW68" s="689">
        <v>0</v>
      </c>
      <c r="FX68" s="689">
        <v>0</v>
      </c>
      <c r="FY68" s="689">
        <v>0</v>
      </c>
      <c r="FZ68" s="689">
        <v>0</v>
      </c>
      <c r="GA68" s="689">
        <f t="shared" si="242"/>
        <v>49</v>
      </c>
      <c r="GB68" s="689">
        <v>5</v>
      </c>
      <c r="GC68" s="689">
        <v>4</v>
      </c>
      <c r="GD68" s="738">
        <v>5</v>
      </c>
      <c r="GE68" s="689">
        <v>4</v>
      </c>
      <c r="GF68" s="689">
        <v>3</v>
      </c>
      <c r="GG68" s="689">
        <v>0</v>
      </c>
      <c r="GH68" s="689">
        <v>8</v>
      </c>
      <c r="GI68" s="689">
        <v>4</v>
      </c>
      <c r="GJ68" s="689">
        <v>3</v>
      </c>
      <c r="GK68" s="689">
        <v>4</v>
      </c>
      <c r="GL68" s="689">
        <v>4</v>
      </c>
      <c r="GM68" s="689">
        <v>4</v>
      </c>
      <c r="GN68" s="689">
        <f t="shared" si="127"/>
        <v>48</v>
      </c>
      <c r="GO68">
        <v>3</v>
      </c>
      <c r="GP68">
        <v>3</v>
      </c>
      <c r="GQ68">
        <v>3</v>
      </c>
      <c r="GR68">
        <v>2</v>
      </c>
      <c r="GS68">
        <v>3</v>
      </c>
      <c r="GT68">
        <v>9</v>
      </c>
      <c r="GU68">
        <v>10</v>
      </c>
      <c r="GV68">
        <v>11</v>
      </c>
      <c r="HA68">
        <f t="shared" si="130"/>
        <v>44</v>
      </c>
      <c r="HC68" s="742">
        <f t="shared" si="113"/>
        <v>175</v>
      </c>
      <c r="HD68" s="739">
        <f t="shared" si="246"/>
        <v>33.333333333333329</v>
      </c>
      <c r="HE68" s="737">
        <f t="shared" si="131"/>
        <v>33</v>
      </c>
      <c r="HF68" s="737">
        <f t="shared" si="141"/>
        <v>44</v>
      </c>
    </row>
    <row r="69" spans="1:214" ht="13.9" customHeight="1" x14ac:dyDescent="0.2">
      <c r="A69" s="736" t="s">
        <v>423</v>
      </c>
      <c r="AB69" s="689">
        <v>1</v>
      </c>
      <c r="AC69" s="689">
        <v>0</v>
      </c>
      <c r="AD69" s="689">
        <v>1</v>
      </c>
      <c r="AE69" s="689">
        <v>7.0000000000000007E-2</v>
      </c>
      <c r="AF69" s="689">
        <v>0</v>
      </c>
      <c r="AG69" s="689">
        <v>0.04</v>
      </c>
      <c r="AH69" s="689">
        <v>0.1</v>
      </c>
      <c r="AI69" s="689">
        <v>0.01</v>
      </c>
      <c r="AJ69" s="689">
        <v>0</v>
      </c>
      <c r="AK69" s="689">
        <v>7.0000000000000001E-3</v>
      </c>
      <c r="AL69" s="689">
        <v>0.01</v>
      </c>
      <c r="AM69" s="689">
        <v>6</v>
      </c>
      <c r="AN69" s="737">
        <f t="shared" si="210"/>
        <v>8.2370000000000001</v>
      </c>
      <c r="AO69" s="689">
        <v>75</v>
      </c>
      <c r="AP69" s="689">
        <v>0</v>
      </c>
      <c r="AQ69" s="689">
        <v>0.03</v>
      </c>
      <c r="AR69" s="689">
        <v>1</v>
      </c>
      <c r="AS69" s="689">
        <v>1E-3</v>
      </c>
      <c r="AT69" s="689">
        <v>1.7000000000000001E-2</v>
      </c>
      <c r="AU69" s="689">
        <v>6.0000000000000001E-3</v>
      </c>
      <c r="AV69" s="689">
        <v>8.5000000000000006E-2</v>
      </c>
      <c r="AW69" s="689">
        <v>-0.23300000000000001</v>
      </c>
      <c r="AX69" s="689">
        <v>2</v>
      </c>
      <c r="AY69" s="689">
        <v>1.0999999999999999E-2</v>
      </c>
      <c r="AZ69" s="689">
        <v>2</v>
      </c>
      <c r="BA69" s="689">
        <f t="shared" si="212"/>
        <v>79.916999999999987</v>
      </c>
      <c r="BB69" s="689">
        <v>3.2000000000000001E-2</v>
      </c>
      <c r="BC69" s="689">
        <v>1.6E-2</v>
      </c>
      <c r="BD69" s="689">
        <v>1.9E-2</v>
      </c>
      <c r="BE69" s="689">
        <v>0</v>
      </c>
      <c r="BF69" s="689">
        <v>0</v>
      </c>
      <c r="BG69" s="689">
        <v>0</v>
      </c>
      <c r="BH69" s="689">
        <v>0</v>
      </c>
      <c r="BI69" s="689">
        <v>0</v>
      </c>
      <c r="BJ69" s="689">
        <v>0</v>
      </c>
      <c r="BK69" s="689">
        <v>0</v>
      </c>
      <c r="BL69" s="689">
        <v>0</v>
      </c>
      <c r="BM69" s="689"/>
      <c r="BN69" s="689">
        <f t="shared" si="214"/>
        <v>6.7000000000000004E-2</v>
      </c>
      <c r="BO69" s="689">
        <v>0</v>
      </c>
      <c r="BP69" s="689">
        <v>0</v>
      </c>
      <c r="BQ69" s="689">
        <v>0</v>
      </c>
      <c r="BR69" s="689">
        <v>1</v>
      </c>
      <c r="BS69" s="689">
        <v>0</v>
      </c>
      <c r="BT69" s="689">
        <v>1</v>
      </c>
      <c r="BU69" s="689">
        <v>0</v>
      </c>
      <c r="BV69" s="689">
        <v>0</v>
      </c>
      <c r="BW69" s="689">
        <v>0</v>
      </c>
      <c r="BX69" s="689">
        <v>0</v>
      </c>
      <c r="BY69" s="689">
        <v>0</v>
      </c>
      <c r="BZ69" s="689">
        <v>0</v>
      </c>
      <c r="CA69" s="689">
        <f t="shared" si="215"/>
        <v>2</v>
      </c>
      <c r="CB69" s="689">
        <v>0</v>
      </c>
      <c r="CC69" s="689">
        <v>0</v>
      </c>
      <c r="CD69" s="689">
        <v>0</v>
      </c>
      <c r="CE69" s="689">
        <v>0</v>
      </c>
      <c r="CF69" s="689">
        <v>0</v>
      </c>
      <c r="CG69" s="689">
        <v>0</v>
      </c>
      <c r="CH69" s="689">
        <v>0</v>
      </c>
      <c r="CI69" s="689">
        <v>0</v>
      </c>
      <c r="CJ69" s="689">
        <v>0</v>
      </c>
      <c r="CK69" s="689">
        <v>0</v>
      </c>
      <c r="CL69" s="689">
        <v>0</v>
      </c>
      <c r="CM69" s="689">
        <v>0</v>
      </c>
      <c r="CN69" s="689">
        <f t="shared" si="216"/>
        <v>0</v>
      </c>
      <c r="CO69" s="689">
        <v>0</v>
      </c>
      <c r="CP69" s="689">
        <v>0</v>
      </c>
      <c r="CQ69" s="689">
        <v>0</v>
      </c>
      <c r="CR69" s="689">
        <v>0</v>
      </c>
      <c r="CS69" s="689">
        <v>0</v>
      </c>
      <c r="CT69" s="689">
        <v>0</v>
      </c>
      <c r="CU69" s="689">
        <v>0</v>
      </c>
      <c r="CV69" s="689">
        <v>0</v>
      </c>
      <c r="CW69" s="689">
        <v>0</v>
      </c>
      <c r="CX69" s="689">
        <v>0</v>
      </c>
      <c r="CY69" s="689">
        <v>0</v>
      </c>
      <c r="CZ69" s="689">
        <v>0</v>
      </c>
      <c r="DA69" s="689">
        <f t="shared" si="218"/>
        <v>0</v>
      </c>
      <c r="DB69" s="689">
        <v>0</v>
      </c>
      <c r="DC69" s="689">
        <v>0</v>
      </c>
      <c r="DD69" s="689">
        <v>0</v>
      </c>
      <c r="DE69" s="689">
        <v>0</v>
      </c>
      <c r="DF69" s="689">
        <v>0</v>
      </c>
      <c r="DG69" s="689">
        <v>1</v>
      </c>
      <c r="DH69" s="689">
        <v>0</v>
      </c>
      <c r="DI69" s="689">
        <v>0</v>
      </c>
      <c r="DJ69" s="689">
        <v>0</v>
      </c>
      <c r="DK69" s="689">
        <v>0</v>
      </c>
      <c r="DL69" s="689">
        <v>0</v>
      </c>
      <c r="DM69" s="689">
        <v>0</v>
      </c>
      <c r="DN69" s="689">
        <f t="shared" si="220"/>
        <v>1</v>
      </c>
      <c r="DO69" s="689">
        <v>0</v>
      </c>
      <c r="DP69" s="689">
        <v>0</v>
      </c>
      <c r="DQ69" s="689">
        <v>0</v>
      </c>
      <c r="DR69" s="689">
        <v>0</v>
      </c>
      <c r="DS69" s="689">
        <v>0</v>
      </c>
      <c r="DT69" s="689">
        <v>0</v>
      </c>
      <c r="DU69" s="689">
        <v>0</v>
      </c>
      <c r="DV69" s="689">
        <v>0</v>
      </c>
      <c r="DW69" s="689">
        <v>0</v>
      </c>
      <c r="DX69" s="689">
        <v>0</v>
      </c>
      <c r="DY69" s="689">
        <v>0</v>
      </c>
      <c r="DZ69" s="689">
        <v>0</v>
      </c>
      <c r="EA69" s="737">
        <f t="shared" si="247"/>
        <v>0</v>
      </c>
      <c r="EB69" s="689">
        <v>0</v>
      </c>
      <c r="EC69" s="689">
        <v>0</v>
      </c>
      <c r="ED69" s="689">
        <v>0</v>
      </c>
      <c r="EE69" s="689">
        <v>0</v>
      </c>
      <c r="EF69" s="689">
        <v>0</v>
      </c>
      <c r="EG69" s="689">
        <v>0</v>
      </c>
      <c r="EH69" s="689">
        <v>0</v>
      </c>
      <c r="EI69" s="689">
        <v>0</v>
      </c>
      <c r="EJ69" s="689">
        <v>0</v>
      </c>
      <c r="EK69" s="689">
        <v>0</v>
      </c>
      <c r="EL69" s="689">
        <v>0</v>
      </c>
      <c r="EM69" s="689">
        <v>0</v>
      </c>
      <c r="EN69" s="689">
        <f t="shared" si="236"/>
        <v>0</v>
      </c>
      <c r="EO69" s="689">
        <v>0</v>
      </c>
      <c r="EP69" s="689">
        <v>0</v>
      </c>
      <c r="EQ69" s="689">
        <v>0</v>
      </c>
      <c r="ER69" s="689">
        <v>0</v>
      </c>
      <c r="ES69" s="689">
        <v>0</v>
      </c>
      <c r="ET69" s="689">
        <v>0</v>
      </c>
      <c r="EU69" s="689">
        <v>0</v>
      </c>
      <c r="EV69" s="689">
        <v>0</v>
      </c>
      <c r="EW69" s="689">
        <v>0</v>
      </c>
      <c r="EX69" s="689">
        <v>0</v>
      </c>
      <c r="EY69" s="738">
        <v>0</v>
      </c>
      <c r="EZ69" s="738">
        <v>0</v>
      </c>
      <c r="FA69" s="689">
        <f t="shared" si="238"/>
        <v>0</v>
      </c>
      <c r="FB69" s="689">
        <v>0</v>
      </c>
      <c r="FC69" s="689">
        <v>0</v>
      </c>
      <c r="FD69" s="689">
        <v>0</v>
      </c>
      <c r="FE69" s="689">
        <v>0</v>
      </c>
      <c r="FF69" s="689">
        <v>0</v>
      </c>
      <c r="FG69" s="689">
        <v>0</v>
      </c>
      <c r="FH69" s="689">
        <v>0</v>
      </c>
      <c r="FI69" s="689">
        <v>0</v>
      </c>
      <c r="FJ69" s="689">
        <v>0</v>
      </c>
      <c r="FK69" s="689">
        <v>0</v>
      </c>
      <c r="FL69" s="689">
        <v>0</v>
      </c>
      <c r="FM69" s="689">
        <v>0</v>
      </c>
      <c r="FN69" s="689">
        <f t="shared" si="240"/>
        <v>0</v>
      </c>
      <c r="FO69" s="689">
        <v>0</v>
      </c>
      <c r="FP69" s="689">
        <v>0</v>
      </c>
      <c r="FQ69" s="689">
        <v>0</v>
      </c>
      <c r="FR69" s="689">
        <v>0</v>
      </c>
      <c r="FS69" s="689">
        <v>8</v>
      </c>
      <c r="FT69" s="689">
        <v>0</v>
      </c>
      <c r="FU69" s="689">
        <v>0</v>
      </c>
      <c r="FV69" s="689">
        <v>0</v>
      </c>
      <c r="FW69" s="689">
        <v>0</v>
      </c>
      <c r="FX69" s="689">
        <v>0</v>
      </c>
      <c r="FY69" s="689">
        <v>0</v>
      </c>
      <c r="FZ69" s="689">
        <v>0</v>
      </c>
      <c r="GA69" s="689">
        <f t="shared" si="242"/>
        <v>8</v>
      </c>
      <c r="GB69" s="689">
        <v>0</v>
      </c>
      <c r="GC69" s="689">
        <v>0</v>
      </c>
      <c r="GD69" s="738">
        <v>0</v>
      </c>
      <c r="GE69" s="689">
        <v>0</v>
      </c>
      <c r="GF69" s="689">
        <v>0</v>
      </c>
      <c r="GG69" s="689">
        <v>0</v>
      </c>
      <c r="GH69" s="689">
        <v>0</v>
      </c>
      <c r="GI69" s="689">
        <v>0</v>
      </c>
      <c r="GJ69" s="689">
        <v>0</v>
      </c>
      <c r="GK69" s="689">
        <v>0</v>
      </c>
      <c r="GL69" s="689">
        <v>0</v>
      </c>
      <c r="GM69" s="689">
        <v>0</v>
      </c>
      <c r="GN69" s="689">
        <f t="shared" si="127"/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HA69">
        <f t="shared" si="130"/>
        <v>0</v>
      </c>
      <c r="HC69" s="730" t="str">
        <f t="shared" si="113"/>
        <v>-</v>
      </c>
      <c r="HD69" s="739" t="str">
        <f t="shared" si="246"/>
        <v>-</v>
      </c>
      <c r="HE69" s="737">
        <f t="shared" si="131"/>
        <v>0</v>
      </c>
      <c r="HF69" s="737">
        <f t="shared" si="141"/>
        <v>0</v>
      </c>
    </row>
    <row r="70" spans="1:214" ht="13.9" customHeight="1" x14ac:dyDescent="0.2">
      <c r="A70" s="727" t="s">
        <v>472</v>
      </c>
      <c r="AB70" s="690">
        <v>16</v>
      </c>
      <c r="AC70" s="690">
        <v>0</v>
      </c>
      <c r="AD70" s="690">
        <v>1</v>
      </c>
      <c r="AE70" s="690">
        <v>21</v>
      </c>
      <c r="AF70" s="690">
        <v>0</v>
      </c>
      <c r="AG70" s="690">
        <v>1</v>
      </c>
      <c r="AH70" s="690">
        <v>11</v>
      </c>
      <c r="AI70" s="690">
        <v>0.1</v>
      </c>
      <c r="AJ70" s="690">
        <v>5</v>
      </c>
      <c r="AK70" s="690">
        <v>27</v>
      </c>
      <c r="AL70" s="690">
        <v>0.02</v>
      </c>
      <c r="AM70" s="690">
        <v>4</v>
      </c>
      <c r="AN70" s="728">
        <f t="shared" si="210"/>
        <v>86.11999999999999</v>
      </c>
      <c r="AO70" s="690">
        <v>26</v>
      </c>
      <c r="AP70" s="690">
        <v>0.01</v>
      </c>
      <c r="AQ70" s="690">
        <v>0.41899999999999998</v>
      </c>
      <c r="AR70" s="690">
        <v>35</v>
      </c>
      <c r="AS70" s="690">
        <v>7.9000000000000001E-2</v>
      </c>
      <c r="AT70" s="690">
        <v>-6</v>
      </c>
      <c r="AU70" s="690">
        <v>21</v>
      </c>
      <c r="AV70" s="690">
        <v>6.2E-2</v>
      </c>
      <c r="AW70" s="690">
        <v>0.84699999999999998</v>
      </c>
      <c r="AX70" s="690">
        <v>40</v>
      </c>
      <c r="AY70" s="690">
        <v>0.497</v>
      </c>
      <c r="AZ70" s="690">
        <v>3</v>
      </c>
      <c r="BA70" s="690">
        <f t="shared" si="212"/>
        <v>120.914</v>
      </c>
      <c r="BB70" s="690">
        <v>62</v>
      </c>
      <c r="BC70" s="690">
        <v>0.84499999999999997</v>
      </c>
      <c r="BD70" s="690">
        <v>1</v>
      </c>
      <c r="BE70" s="690">
        <v>66</v>
      </c>
      <c r="BF70" s="690">
        <v>0</v>
      </c>
      <c r="BG70" s="690">
        <v>1</v>
      </c>
      <c r="BH70" s="690">
        <v>53</v>
      </c>
      <c r="BI70" s="690">
        <v>0</v>
      </c>
      <c r="BJ70" s="690">
        <v>1</v>
      </c>
      <c r="BK70" s="690">
        <v>58</v>
      </c>
      <c r="BL70" s="690">
        <v>0</v>
      </c>
      <c r="BM70" s="690">
        <v>0</v>
      </c>
      <c r="BN70" s="690">
        <f t="shared" si="214"/>
        <v>242.845</v>
      </c>
      <c r="BO70" s="690">
        <v>49</v>
      </c>
      <c r="BP70" s="690">
        <v>0</v>
      </c>
      <c r="BQ70" s="690">
        <v>1</v>
      </c>
      <c r="BR70" s="690">
        <v>68</v>
      </c>
      <c r="BS70" s="690">
        <v>0</v>
      </c>
      <c r="BT70" s="690">
        <v>0</v>
      </c>
      <c r="BU70" s="690">
        <v>48</v>
      </c>
      <c r="BV70" s="690">
        <v>2</v>
      </c>
      <c r="BW70" s="690">
        <v>1</v>
      </c>
      <c r="BX70" s="690">
        <v>36</v>
      </c>
      <c r="BY70" s="690">
        <v>0</v>
      </c>
      <c r="BZ70" s="690">
        <v>1</v>
      </c>
      <c r="CA70" s="690">
        <f t="shared" si="215"/>
        <v>206</v>
      </c>
      <c r="CB70" s="690">
        <v>41</v>
      </c>
      <c r="CC70" s="690">
        <v>0</v>
      </c>
      <c r="CD70" s="690">
        <v>1</v>
      </c>
      <c r="CE70" s="690">
        <v>69</v>
      </c>
      <c r="CF70" s="690">
        <v>1</v>
      </c>
      <c r="CG70" s="690">
        <v>0</v>
      </c>
      <c r="CH70" s="690">
        <v>56</v>
      </c>
      <c r="CI70" s="690">
        <v>1</v>
      </c>
      <c r="CJ70" s="690">
        <v>0</v>
      </c>
      <c r="CK70" s="690">
        <v>43</v>
      </c>
      <c r="CL70" s="690">
        <v>1</v>
      </c>
      <c r="CM70" s="690">
        <v>1</v>
      </c>
      <c r="CN70" s="690">
        <f t="shared" si="216"/>
        <v>214</v>
      </c>
      <c r="CO70" s="690">
        <v>38</v>
      </c>
      <c r="CP70" s="690">
        <v>0</v>
      </c>
      <c r="CQ70" s="690">
        <v>0</v>
      </c>
      <c r="CR70" s="690">
        <v>52</v>
      </c>
      <c r="CS70" s="690"/>
      <c r="CT70" s="690">
        <v>0</v>
      </c>
      <c r="CU70" s="690">
        <v>52</v>
      </c>
      <c r="CV70" s="690">
        <v>0</v>
      </c>
      <c r="CW70" s="690">
        <v>0</v>
      </c>
      <c r="CX70" s="690">
        <v>43</v>
      </c>
      <c r="CY70" s="690">
        <v>2</v>
      </c>
      <c r="CZ70" s="690"/>
      <c r="DA70" s="690">
        <f t="shared" si="218"/>
        <v>187</v>
      </c>
      <c r="DB70" s="690">
        <v>40</v>
      </c>
      <c r="DC70" s="690">
        <v>0</v>
      </c>
      <c r="DD70" s="690">
        <v>0</v>
      </c>
      <c r="DE70" s="690">
        <v>31</v>
      </c>
      <c r="DF70" s="690">
        <v>0</v>
      </c>
      <c r="DG70" s="690">
        <v>2</v>
      </c>
      <c r="DH70" s="690">
        <v>50</v>
      </c>
      <c r="DI70" s="690">
        <v>1</v>
      </c>
      <c r="DJ70" s="690">
        <v>5</v>
      </c>
      <c r="DK70" s="690">
        <v>34</v>
      </c>
      <c r="DL70" s="690">
        <v>852</v>
      </c>
      <c r="DM70" s="690">
        <v>7</v>
      </c>
      <c r="DN70" s="690">
        <f t="shared" si="220"/>
        <v>1022</v>
      </c>
      <c r="DO70" s="690">
        <v>33</v>
      </c>
      <c r="DP70" s="690">
        <v>1</v>
      </c>
      <c r="DQ70" s="690">
        <v>0</v>
      </c>
      <c r="DR70" s="690">
        <v>39</v>
      </c>
      <c r="DS70" s="690">
        <v>0</v>
      </c>
      <c r="DT70" s="690">
        <v>0</v>
      </c>
      <c r="DU70" s="690">
        <v>24</v>
      </c>
      <c r="DV70" s="690">
        <v>212</v>
      </c>
      <c r="DW70" s="690">
        <v>0</v>
      </c>
      <c r="DX70" s="690">
        <v>1</v>
      </c>
      <c r="DY70" s="690">
        <v>0</v>
      </c>
      <c r="DZ70" s="690">
        <v>0</v>
      </c>
      <c r="EA70" s="737">
        <f t="shared" si="247"/>
        <v>310</v>
      </c>
      <c r="EB70" s="690">
        <v>28</v>
      </c>
      <c r="EC70" s="690">
        <v>0</v>
      </c>
      <c r="ED70" s="690">
        <v>0</v>
      </c>
      <c r="EE70" s="690">
        <v>46</v>
      </c>
      <c r="EF70" s="690">
        <v>0</v>
      </c>
      <c r="EG70" s="690">
        <v>0</v>
      </c>
      <c r="EH70" s="690">
        <v>77</v>
      </c>
      <c r="EI70" s="690">
        <v>63</v>
      </c>
      <c r="EJ70" s="690">
        <v>5</v>
      </c>
      <c r="EK70" s="690">
        <v>35</v>
      </c>
      <c r="EL70" s="690">
        <v>6</v>
      </c>
      <c r="EM70" s="690">
        <v>7</v>
      </c>
      <c r="EN70" s="690">
        <f t="shared" si="236"/>
        <v>267</v>
      </c>
      <c r="EO70" s="690">
        <v>58</v>
      </c>
      <c r="EP70" s="690">
        <v>10</v>
      </c>
      <c r="EQ70" s="690">
        <v>11</v>
      </c>
      <c r="ER70" s="690">
        <v>74</v>
      </c>
      <c r="ES70" s="690">
        <v>13</v>
      </c>
      <c r="ET70" s="690">
        <v>12</v>
      </c>
      <c r="EU70" s="690">
        <v>71</v>
      </c>
      <c r="EV70" s="690">
        <v>11</v>
      </c>
      <c r="EW70" s="690">
        <v>12</v>
      </c>
      <c r="EX70" s="690">
        <v>60</v>
      </c>
      <c r="EY70" s="740">
        <v>11</v>
      </c>
      <c r="EZ70" s="740">
        <v>13</v>
      </c>
      <c r="FA70" s="690">
        <f t="shared" si="238"/>
        <v>356</v>
      </c>
      <c r="FB70" s="690">
        <v>53</v>
      </c>
      <c r="FC70" s="690">
        <v>0</v>
      </c>
      <c r="FD70" s="690">
        <v>22</v>
      </c>
      <c r="FE70" s="690">
        <v>69</v>
      </c>
      <c r="FF70" s="690">
        <v>12</v>
      </c>
      <c r="FG70" s="690">
        <v>13</v>
      </c>
      <c r="FH70" s="690">
        <v>73</v>
      </c>
      <c r="FI70" s="690">
        <v>11</v>
      </c>
      <c r="FJ70" s="690">
        <v>12</v>
      </c>
      <c r="FK70" s="690">
        <v>48</v>
      </c>
      <c r="FL70" s="690">
        <v>11</v>
      </c>
      <c r="FM70" s="690">
        <v>10</v>
      </c>
      <c r="FN70" s="690">
        <f t="shared" si="240"/>
        <v>334</v>
      </c>
      <c r="FO70" s="690">
        <v>61</v>
      </c>
      <c r="FP70" s="690">
        <v>11</v>
      </c>
      <c r="FQ70" s="690">
        <v>11</v>
      </c>
      <c r="FR70" s="690">
        <v>77</v>
      </c>
      <c r="FS70" s="690">
        <v>10</v>
      </c>
      <c r="FT70" s="690">
        <v>12</v>
      </c>
      <c r="FU70" s="690">
        <v>76</v>
      </c>
      <c r="FV70" s="690">
        <v>12</v>
      </c>
      <c r="FW70" s="690">
        <v>11</v>
      </c>
      <c r="FX70" s="690">
        <v>64</v>
      </c>
      <c r="FY70" s="690">
        <v>13</v>
      </c>
      <c r="FZ70" s="690">
        <v>17</v>
      </c>
      <c r="GA70" s="690">
        <f t="shared" si="242"/>
        <v>375</v>
      </c>
      <c r="GB70" s="690">
        <v>75</v>
      </c>
      <c r="GC70" s="690">
        <v>12</v>
      </c>
      <c r="GD70" s="740">
        <v>12</v>
      </c>
      <c r="GE70" s="690">
        <v>109</v>
      </c>
      <c r="GF70" s="690">
        <v>4</v>
      </c>
      <c r="GG70" s="690">
        <v>0</v>
      </c>
      <c r="GH70" s="690">
        <v>72</v>
      </c>
      <c r="GI70" s="690">
        <v>0</v>
      </c>
      <c r="GJ70" s="690">
        <v>0</v>
      </c>
      <c r="GK70" s="690">
        <v>63</v>
      </c>
      <c r="GL70" s="690">
        <v>0</v>
      </c>
      <c r="GM70" s="690">
        <v>0</v>
      </c>
      <c r="GN70" s="690">
        <f t="shared" si="127"/>
        <v>347</v>
      </c>
      <c r="GO70" s="129">
        <v>0</v>
      </c>
      <c r="GP70" s="129">
        <v>63</v>
      </c>
      <c r="GQ70" s="129">
        <v>0</v>
      </c>
      <c r="GR70" s="129">
        <v>0</v>
      </c>
      <c r="GS70" s="129">
        <v>83</v>
      </c>
      <c r="GT70" s="129">
        <v>0</v>
      </c>
      <c r="GU70" s="129">
        <v>45</v>
      </c>
      <c r="GV70" s="129">
        <v>45</v>
      </c>
      <c r="GW70" s="129"/>
      <c r="GX70" s="129"/>
      <c r="GY70" s="129"/>
      <c r="GZ70" s="129"/>
      <c r="HA70" s="129">
        <f t="shared" si="130"/>
        <v>236</v>
      </c>
      <c r="HC70" s="730" t="str">
        <f t="shared" si="113"/>
        <v>-</v>
      </c>
      <c r="HD70" s="741">
        <f t="shared" si="246"/>
        <v>-16.901408450704224</v>
      </c>
      <c r="HE70" s="728">
        <f t="shared" si="131"/>
        <v>284</v>
      </c>
      <c r="HF70" s="728">
        <f t="shared" si="141"/>
        <v>236</v>
      </c>
    </row>
    <row r="71" spans="1:214" ht="13.9" customHeight="1" x14ac:dyDescent="0.2">
      <c r="A71" s="727" t="s">
        <v>473</v>
      </c>
      <c r="AB71" s="690">
        <v>1</v>
      </c>
      <c r="AC71" s="690">
        <v>0</v>
      </c>
      <c r="AD71" s="690">
        <v>0.3</v>
      </c>
      <c r="AE71" s="690">
        <v>0.3</v>
      </c>
      <c r="AF71" s="690">
        <v>0.5</v>
      </c>
      <c r="AG71" s="690">
        <v>0.4</v>
      </c>
      <c r="AH71" s="690">
        <v>0.3</v>
      </c>
      <c r="AI71" s="690">
        <v>0.03</v>
      </c>
      <c r="AJ71" s="690">
        <v>2</v>
      </c>
      <c r="AK71" s="690">
        <v>0.3</v>
      </c>
      <c r="AL71" s="690">
        <v>0.01</v>
      </c>
      <c r="AM71" s="690">
        <v>2</v>
      </c>
      <c r="AN71" s="728">
        <f t="shared" si="210"/>
        <v>7.14</v>
      </c>
      <c r="AO71" s="690">
        <v>0.1</v>
      </c>
      <c r="AP71" s="690">
        <v>6.0000000000000001E-3</v>
      </c>
      <c r="AQ71" s="690">
        <v>2</v>
      </c>
      <c r="AR71" s="690">
        <v>1.6E-2</v>
      </c>
      <c r="AS71" s="690">
        <v>6.0000000000000001E-3</v>
      </c>
      <c r="AT71" s="690">
        <v>0.10100000000000001</v>
      </c>
      <c r="AU71" s="690">
        <v>0.79600000000000004</v>
      </c>
      <c r="AV71" s="690">
        <v>0.27800000000000002</v>
      </c>
      <c r="AW71" s="690">
        <v>1</v>
      </c>
      <c r="AX71" s="690">
        <v>0.89200000000000002</v>
      </c>
      <c r="AY71" s="690">
        <v>1.6E-2</v>
      </c>
      <c r="AZ71" s="690">
        <v>2</v>
      </c>
      <c r="BA71" s="690">
        <f t="shared" si="212"/>
        <v>7.2109999999999994</v>
      </c>
      <c r="BB71" s="690">
        <v>0.105</v>
      </c>
      <c r="BC71" s="690">
        <v>4.0000000000000001E-3</v>
      </c>
      <c r="BD71" s="690">
        <v>2</v>
      </c>
      <c r="BE71" s="690">
        <v>0.14499999999999999</v>
      </c>
      <c r="BF71" s="690">
        <v>1</v>
      </c>
      <c r="BG71" s="690">
        <v>0</v>
      </c>
      <c r="BH71" s="690">
        <v>1</v>
      </c>
      <c r="BI71" s="690">
        <v>0</v>
      </c>
      <c r="BJ71" s="690">
        <v>2</v>
      </c>
      <c r="BK71" s="690">
        <v>0</v>
      </c>
      <c r="BL71" s="690">
        <v>0</v>
      </c>
      <c r="BM71" s="690">
        <v>4</v>
      </c>
      <c r="BN71" s="690">
        <f t="shared" si="214"/>
        <v>10.254</v>
      </c>
      <c r="BO71" s="690">
        <v>1</v>
      </c>
      <c r="BP71" s="690">
        <v>0</v>
      </c>
      <c r="BQ71" s="690">
        <v>1</v>
      </c>
      <c r="BR71" s="690">
        <v>0</v>
      </c>
      <c r="BS71" s="690">
        <v>1</v>
      </c>
      <c r="BT71" s="690">
        <v>1</v>
      </c>
      <c r="BU71" s="690">
        <v>1</v>
      </c>
      <c r="BV71" s="690">
        <v>0</v>
      </c>
      <c r="BW71" s="690">
        <v>1</v>
      </c>
      <c r="BX71" s="690">
        <v>3</v>
      </c>
      <c r="BY71" s="690">
        <v>0</v>
      </c>
      <c r="BZ71" s="690">
        <v>1</v>
      </c>
      <c r="CA71" s="690">
        <f t="shared" si="215"/>
        <v>10</v>
      </c>
      <c r="CB71" s="690">
        <v>0</v>
      </c>
      <c r="CC71" s="690">
        <v>1</v>
      </c>
      <c r="CD71" s="690">
        <v>4</v>
      </c>
      <c r="CE71" s="690">
        <v>0</v>
      </c>
      <c r="CF71" s="690">
        <v>0</v>
      </c>
      <c r="CG71" s="690">
        <v>0</v>
      </c>
      <c r="CH71" s="690">
        <v>1</v>
      </c>
      <c r="CI71" s="690">
        <v>0</v>
      </c>
      <c r="CJ71" s="690">
        <v>0</v>
      </c>
      <c r="CK71" s="690">
        <v>1</v>
      </c>
      <c r="CL71" s="690">
        <v>0</v>
      </c>
      <c r="CM71" s="690">
        <v>0</v>
      </c>
      <c r="CN71" s="690">
        <f t="shared" si="216"/>
        <v>7</v>
      </c>
      <c r="CO71" s="690">
        <v>0</v>
      </c>
      <c r="CP71" s="690"/>
      <c r="CQ71" s="690">
        <v>1</v>
      </c>
      <c r="CR71" s="690">
        <v>0</v>
      </c>
      <c r="CS71" s="690">
        <v>2</v>
      </c>
      <c r="CT71" s="690">
        <v>3</v>
      </c>
      <c r="CU71" s="690">
        <v>0</v>
      </c>
      <c r="CV71" s="690">
        <v>0</v>
      </c>
      <c r="CW71" s="690">
        <v>1</v>
      </c>
      <c r="CX71" s="690">
        <v>-2</v>
      </c>
      <c r="CY71" s="690">
        <v>0</v>
      </c>
      <c r="CZ71" s="690">
        <v>0</v>
      </c>
      <c r="DA71" s="690">
        <f t="shared" si="218"/>
        <v>5</v>
      </c>
      <c r="DB71" s="690">
        <v>0</v>
      </c>
      <c r="DC71" s="690">
        <v>0</v>
      </c>
      <c r="DD71" s="690">
        <v>0</v>
      </c>
      <c r="DE71" s="690">
        <v>0</v>
      </c>
      <c r="DF71" s="690">
        <v>1</v>
      </c>
      <c r="DG71" s="690">
        <v>4</v>
      </c>
      <c r="DH71" s="690">
        <v>0</v>
      </c>
      <c r="DI71" s="690">
        <v>334</v>
      </c>
      <c r="DJ71" s="690">
        <v>853</v>
      </c>
      <c r="DK71" s="690">
        <v>7</v>
      </c>
      <c r="DL71" s="690">
        <v>90</v>
      </c>
      <c r="DM71" s="690">
        <v>210</v>
      </c>
      <c r="DN71" s="690">
        <f t="shared" si="220"/>
        <v>1499</v>
      </c>
      <c r="DO71" s="690">
        <v>3</v>
      </c>
      <c r="DP71" s="690">
        <v>2</v>
      </c>
      <c r="DQ71" s="690">
        <v>0</v>
      </c>
      <c r="DR71" s="690">
        <v>0</v>
      </c>
      <c r="DS71" s="690">
        <v>0</v>
      </c>
      <c r="DT71" s="690">
        <v>0</v>
      </c>
      <c r="DU71" s="690">
        <v>0</v>
      </c>
      <c r="DV71" s="690">
        <v>0</v>
      </c>
      <c r="DW71" s="690">
        <v>1</v>
      </c>
      <c r="DX71" s="690">
        <v>1</v>
      </c>
      <c r="DY71" s="690">
        <v>0</v>
      </c>
      <c r="DZ71" s="690">
        <v>1</v>
      </c>
      <c r="EA71" s="737">
        <f t="shared" si="247"/>
        <v>8</v>
      </c>
      <c r="EB71" s="690">
        <v>0</v>
      </c>
      <c r="EC71" s="690">
        <v>0</v>
      </c>
      <c r="ED71" s="690">
        <v>0</v>
      </c>
      <c r="EE71" s="690">
        <v>0</v>
      </c>
      <c r="EF71" s="690">
        <v>0</v>
      </c>
      <c r="EG71" s="690">
        <v>1</v>
      </c>
      <c r="EH71" s="690">
        <v>2</v>
      </c>
      <c r="EI71" s="690">
        <v>0</v>
      </c>
      <c r="EJ71" s="690">
        <v>0</v>
      </c>
      <c r="EK71" s="690">
        <v>0</v>
      </c>
      <c r="EL71" s="690">
        <v>1</v>
      </c>
      <c r="EM71" s="690">
        <v>2</v>
      </c>
      <c r="EN71" s="690">
        <f t="shared" si="236"/>
        <v>6</v>
      </c>
      <c r="EO71" s="690">
        <v>0</v>
      </c>
      <c r="EP71" s="690">
        <v>0</v>
      </c>
      <c r="EQ71" s="690">
        <v>1</v>
      </c>
      <c r="ER71" s="690">
        <v>1</v>
      </c>
      <c r="ES71" s="690">
        <v>2</v>
      </c>
      <c r="ET71" s="690">
        <v>3</v>
      </c>
      <c r="EU71" s="690">
        <v>0</v>
      </c>
      <c r="EV71" s="690">
        <v>0</v>
      </c>
      <c r="EW71" s="690">
        <v>3</v>
      </c>
      <c r="EX71" s="690">
        <v>1</v>
      </c>
      <c r="EY71" s="740">
        <v>0</v>
      </c>
      <c r="EZ71" s="740">
        <v>1</v>
      </c>
      <c r="FA71" s="690">
        <f t="shared" si="238"/>
        <v>12</v>
      </c>
      <c r="FB71" s="690">
        <v>0</v>
      </c>
      <c r="FC71" s="690">
        <v>0</v>
      </c>
      <c r="FD71" s="690">
        <v>0</v>
      </c>
      <c r="FE71" s="690">
        <v>1</v>
      </c>
      <c r="FF71" s="690">
        <v>0</v>
      </c>
      <c r="FG71" s="690">
        <v>1</v>
      </c>
      <c r="FH71" s="690">
        <v>2</v>
      </c>
      <c r="FI71" s="690">
        <v>0</v>
      </c>
      <c r="FJ71" s="690">
        <v>0</v>
      </c>
      <c r="FK71" s="690">
        <v>0</v>
      </c>
      <c r="FL71" s="690">
        <v>2</v>
      </c>
      <c r="FM71" s="690">
        <v>1</v>
      </c>
      <c r="FN71" s="690">
        <f t="shared" si="240"/>
        <v>7</v>
      </c>
      <c r="FO71" s="690">
        <v>3</v>
      </c>
      <c r="FP71" s="690">
        <v>1</v>
      </c>
      <c r="FQ71" s="690">
        <v>2</v>
      </c>
      <c r="FR71" s="690">
        <v>2</v>
      </c>
      <c r="FS71" s="690">
        <v>2</v>
      </c>
      <c r="FT71" s="690">
        <v>0</v>
      </c>
      <c r="FU71" s="690">
        <v>0</v>
      </c>
      <c r="FV71" s="690">
        <v>0</v>
      </c>
      <c r="FW71" s="690">
        <v>0</v>
      </c>
      <c r="FX71" s="690">
        <v>0</v>
      </c>
      <c r="FY71" s="690">
        <v>0</v>
      </c>
      <c r="FZ71" s="690">
        <v>0</v>
      </c>
      <c r="GA71" s="690">
        <f t="shared" si="242"/>
        <v>10</v>
      </c>
      <c r="GB71" s="690">
        <v>1</v>
      </c>
      <c r="GC71" s="690">
        <v>0</v>
      </c>
      <c r="GD71" s="740">
        <v>0</v>
      </c>
      <c r="GE71" s="690">
        <v>0</v>
      </c>
      <c r="GF71" s="690">
        <v>0</v>
      </c>
      <c r="GG71" s="690">
        <v>7</v>
      </c>
      <c r="GH71" s="690">
        <v>1</v>
      </c>
      <c r="GI71" s="690">
        <v>3</v>
      </c>
      <c r="GJ71" s="690">
        <v>3</v>
      </c>
      <c r="GK71" s="690">
        <v>2</v>
      </c>
      <c r="GL71" s="690">
        <v>2</v>
      </c>
      <c r="GM71" s="690">
        <v>5</v>
      </c>
      <c r="GN71" s="690">
        <f t="shared" si="127"/>
        <v>24</v>
      </c>
      <c r="GO71" s="129">
        <v>0</v>
      </c>
      <c r="GP71" s="129">
        <v>15</v>
      </c>
      <c r="GQ71" s="129">
        <v>6</v>
      </c>
      <c r="GR71" s="129">
        <v>2</v>
      </c>
      <c r="GS71" s="129">
        <v>7</v>
      </c>
      <c r="GT71" s="129">
        <v>2</v>
      </c>
      <c r="GU71" s="129">
        <v>0</v>
      </c>
      <c r="GV71" s="129">
        <v>1</v>
      </c>
      <c r="GW71" s="129"/>
      <c r="GX71" s="129"/>
      <c r="GY71" s="129"/>
      <c r="GZ71" s="129"/>
      <c r="HA71" s="129">
        <f t="shared" si="130"/>
        <v>33</v>
      </c>
      <c r="HC71" s="730">
        <f t="shared" si="113"/>
        <v>-66.666666666666671</v>
      </c>
      <c r="HD71" s="741">
        <f t="shared" si="246"/>
        <v>175</v>
      </c>
      <c r="HE71" s="728">
        <f t="shared" si="131"/>
        <v>12</v>
      </c>
      <c r="HF71" s="728">
        <f t="shared" si="141"/>
        <v>33</v>
      </c>
    </row>
    <row r="72" spans="1:214" ht="13.9" customHeight="1" x14ac:dyDescent="0.2">
      <c r="A72" s="727" t="s">
        <v>474</v>
      </c>
      <c r="AB72" s="690">
        <v>14566</v>
      </c>
      <c r="AC72" s="690">
        <v>66</v>
      </c>
      <c r="AD72" s="690">
        <v>29955</v>
      </c>
      <c r="AE72" s="690">
        <v>12430</v>
      </c>
      <c r="AF72" s="690">
        <v>14104</v>
      </c>
      <c r="AG72" s="690">
        <v>15918</v>
      </c>
      <c r="AH72" s="690">
        <v>14445</v>
      </c>
      <c r="AI72" s="690">
        <v>15955</v>
      </c>
      <c r="AJ72" s="690">
        <v>15715</v>
      </c>
      <c r="AK72" s="690">
        <v>15428</v>
      </c>
      <c r="AL72" s="690">
        <v>16624</v>
      </c>
      <c r="AM72" s="690">
        <v>16788</v>
      </c>
      <c r="AN72" s="728">
        <f t="shared" si="210"/>
        <v>181994</v>
      </c>
      <c r="AO72" s="690">
        <v>16788</v>
      </c>
      <c r="AP72" s="690">
        <v>19055</v>
      </c>
      <c r="AQ72" s="690">
        <v>15434</v>
      </c>
      <c r="AR72" s="690">
        <v>13606</v>
      </c>
      <c r="AS72" s="690">
        <v>15726</v>
      </c>
      <c r="AT72" s="690">
        <v>15665</v>
      </c>
      <c r="AU72" s="690">
        <v>14219</v>
      </c>
      <c r="AV72" s="690">
        <v>17589</v>
      </c>
      <c r="AW72" s="690">
        <v>13955</v>
      </c>
      <c r="AX72" s="690">
        <v>16016</v>
      </c>
      <c r="AY72" s="690">
        <v>18163</v>
      </c>
      <c r="AZ72" s="690">
        <v>16462</v>
      </c>
      <c r="BA72" s="690">
        <f t="shared" si="212"/>
        <v>192678</v>
      </c>
      <c r="BB72" s="690">
        <v>17799</v>
      </c>
      <c r="BC72" s="690">
        <v>19894</v>
      </c>
      <c r="BD72" s="690">
        <v>17724</v>
      </c>
      <c r="BE72" s="690">
        <v>16533</v>
      </c>
      <c r="BF72" s="690">
        <v>14884</v>
      </c>
      <c r="BG72" s="690">
        <v>18156</v>
      </c>
      <c r="BH72" s="690">
        <v>18384</v>
      </c>
      <c r="BI72" s="690">
        <v>16076</v>
      </c>
      <c r="BJ72" s="690">
        <v>16066</v>
      </c>
      <c r="BK72" s="690">
        <v>13446</v>
      </c>
      <c r="BL72" s="690">
        <v>14527</v>
      </c>
      <c r="BM72" s="690">
        <v>16261</v>
      </c>
      <c r="BN72" s="690">
        <f t="shared" si="214"/>
        <v>199750</v>
      </c>
      <c r="BO72" s="690">
        <v>20291</v>
      </c>
      <c r="BP72" s="690">
        <v>2856</v>
      </c>
      <c r="BQ72" s="690">
        <v>32993</v>
      </c>
      <c r="BR72" s="690">
        <v>14796</v>
      </c>
      <c r="BS72" s="690">
        <v>12996</v>
      </c>
      <c r="BT72" s="690">
        <v>18639</v>
      </c>
      <c r="BU72" s="690">
        <v>14738</v>
      </c>
      <c r="BV72" s="690">
        <v>13398</v>
      </c>
      <c r="BW72" s="690">
        <v>16299</v>
      </c>
      <c r="BX72" s="690">
        <v>15987</v>
      </c>
      <c r="BY72" s="690">
        <v>14894</v>
      </c>
      <c r="BZ72" s="690">
        <v>15365</v>
      </c>
      <c r="CA72" s="690">
        <f t="shared" si="215"/>
        <v>193252</v>
      </c>
      <c r="CB72" s="690">
        <v>19352</v>
      </c>
      <c r="CC72" s="690">
        <v>5011</v>
      </c>
      <c r="CD72" s="690">
        <v>29817</v>
      </c>
      <c r="CE72" s="690">
        <v>15829</v>
      </c>
      <c r="CF72" s="690">
        <v>15637</v>
      </c>
      <c r="CG72" s="690">
        <v>16056</v>
      </c>
      <c r="CH72" s="690">
        <v>17021</v>
      </c>
      <c r="CI72" s="690">
        <v>14779</v>
      </c>
      <c r="CJ72" s="690">
        <v>15775</v>
      </c>
      <c r="CK72" s="690">
        <v>14420</v>
      </c>
      <c r="CL72" s="690">
        <v>17311</v>
      </c>
      <c r="CM72" s="690">
        <v>16436</v>
      </c>
      <c r="CN72" s="690">
        <f t="shared" si="216"/>
        <v>197444</v>
      </c>
      <c r="CO72" s="690">
        <v>15047</v>
      </c>
      <c r="CP72" s="690">
        <v>17649</v>
      </c>
      <c r="CQ72" s="690">
        <v>19312</v>
      </c>
      <c r="CR72" s="690">
        <v>15321</v>
      </c>
      <c r="CS72" s="690">
        <v>18284</v>
      </c>
      <c r="CT72" s="690">
        <v>22596</v>
      </c>
      <c r="CU72" s="690">
        <v>17334</v>
      </c>
      <c r="CV72" s="690">
        <v>18911</v>
      </c>
      <c r="CW72" s="690">
        <v>18837</v>
      </c>
      <c r="CX72" s="690">
        <v>19762</v>
      </c>
      <c r="CY72" s="690">
        <v>20311</v>
      </c>
      <c r="CZ72" s="690">
        <v>17922</v>
      </c>
      <c r="DA72" s="690">
        <f t="shared" si="218"/>
        <v>221286</v>
      </c>
      <c r="DB72" s="690">
        <v>19870</v>
      </c>
      <c r="DC72" s="690">
        <v>24824</v>
      </c>
      <c r="DD72" s="690">
        <v>19005</v>
      </c>
      <c r="DE72" s="690">
        <v>17308</v>
      </c>
      <c r="DF72" s="690">
        <v>21394</v>
      </c>
      <c r="DG72" s="690">
        <v>16765</v>
      </c>
      <c r="DH72" s="690">
        <v>23550</v>
      </c>
      <c r="DI72" s="690">
        <v>17887</v>
      </c>
      <c r="DJ72" s="690">
        <v>19202</v>
      </c>
      <c r="DK72" s="690">
        <v>20461</v>
      </c>
      <c r="DL72" s="690">
        <v>20443</v>
      </c>
      <c r="DM72" s="690">
        <v>20798</v>
      </c>
      <c r="DN72" s="690">
        <f t="shared" si="220"/>
        <v>241507</v>
      </c>
      <c r="DO72" s="690">
        <v>22785</v>
      </c>
      <c r="DP72" s="690">
        <v>650</v>
      </c>
      <c r="DQ72" s="690">
        <v>41767</v>
      </c>
      <c r="DR72" s="690">
        <v>15090</v>
      </c>
      <c r="DS72" s="690">
        <v>11686</v>
      </c>
      <c r="DT72" s="690">
        <v>13013</v>
      </c>
      <c r="DU72" s="690">
        <v>10176</v>
      </c>
      <c r="DV72" s="690">
        <v>14920</v>
      </c>
      <c r="DW72" s="690">
        <v>28836</v>
      </c>
      <c r="DX72" s="690">
        <f>18697-448</f>
        <v>18249</v>
      </c>
      <c r="DY72" s="690">
        <v>18050</v>
      </c>
      <c r="DZ72" s="690">
        <v>20806</v>
      </c>
      <c r="EA72" s="737">
        <f t="shared" si="247"/>
        <v>216028</v>
      </c>
      <c r="EB72" s="690">
        <v>25939</v>
      </c>
      <c r="EC72" s="690">
        <v>23069</v>
      </c>
      <c r="ED72" s="690">
        <v>23615</v>
      </c>
      <c r="EE72" s="690">
        <v>23158</v>
      </c>
      <c r="EF72" s="690">
        <v>23810</v>
      </c>
      <c r="EG72" s="690">
        <v>26455</v>
      </c>
      <c r="EH72" s="690">
        <v>23770</v>
      </c>
      <c r="EI72" s="690">
        <v>26284</v>
      </c>
      <c r="EJ72" s="690">
        <v>28593</v>
      </c>
      <c r="EK72" s="690">
        <v>20114</v>
      </c>
      <c r="EL72" s="690">
        <v>20393</v>
      </c>
      <c r="EM72" s="690">
        <v>27571</v>
      </c>
      <c r="EN72" s="690">
        <f t="shared" si="236"/>
        <v>292771</v>
      </c>
      <c r="EO72" s="690">
        <v>30761</v>
      </c>
      <c r="EP72" s="690">
        <v>32303</v>
      </c>
      <c r="EQ72" s="690">
        <v>26685</v>
      </c>
      <c r="ER72" s="690">
        <v>23631</v>
      </c>
      <c r="ES72" s="690">
        <v>28519</v>
      </c>
      <c r="ET72" s="690">
        <v>31027</v>
      </c>
      <c r="EU72" s="690">
        <v>28904</v>
      </c>
      <c r="EV72" s="690">
        <v>29509</v>
      </c>
      <c r="EW72" s="690">
        <v>33251</v>
      </c>
      <c r="EX72" s="690">
        <v>31848</v>
      </c>
      <c r="EY72" s="740">
        <v>27852</v>
      </c>
      <c r="EZ72" s="740">
        <v>30980</v>
      </c>
      <c r="FA72" s="690">
        <f t="shared" si="238"/>
        <v>355270</v>
      </c>
      <c r="FB72" s="690">
        <v>27806</v>
      </c>
      <c r="FC72" s="690">
        <v>32274</v>
      </c>
      <c r="FD72" s="690">
        <v>26839</v>
      </c>
      <c r="FE72" s="690">
        <v>26729</v>
      </c>
      <c r="FF72" s="690">
        <v>26733</v>
      </c>
      <c r="FG72" s="690">
        <v>29631</v>
      </c>
      <c r="FH72" s="690">
        <v>25692</v>
      </c>
      <c r="FI72" s="690">
        <v>24929</v>
      </c>
      <c r="FJ72" s="690">
        <v>27622</v>
      </c>
      <c r="FK72" s="690">
        <v>26064</v>
      </c>
      <c r="FL72" s="690">
        <v>29638</v>
      </c>
      <c r="FM72" s="690">
        <v>28968</v>
      </c>
      <c r="FN72" s="690">
        <f t="shared" si="240"/>
        <v>332925</v>
      </c>
      <c r="FO72" s="690">
        <v>26097</v>
      </c>
      <c r="FP72" s="690">
        <v>35030</v>
      </c>
      <c r="FQ72" s="690">
        <v>24645</v>
      </c>
      <c r="FR72" s="690">
        <v>24967</v>
      </c>
      <c r="FS72" s="690">
        <v>28167</v>
      </c>
      <c r="FT72" s="690">
        <v>29612</v>
      </c>
      <c r="FU72" s="690">
        <v>27574</v>
      </c>
      <c r="FV72" s="690">
        <v>27924</v>
      </c>
      <c r="FW72" s="690">
        <v>29320</v>
      </c>
      <c r="FX72" s="690">
        <v>30245</v>
      </c>
      <c r="FY72" s="690">
        <v>31427</v>
      </c>
      <c r="FZ72" s="690">
        <v>34364</v>
      </c>
      <c r="GA72" s="690">
        <f t="shared" si="242"/>
        <v>349372</v>
      </c>
      <c r="GB72" s="690">
        <v>33636</v>
      </c>
      <c r="GC72" s="690">
        <v>39813</v>
      </c>
      <c r="GD72" s="740">
        <v>31011</v>
      </c>
      <c r="GE72" s="690">
        <v>27290</v>
      </c>
      <c r="GF72" s="690">
        <v>25865</v>
      </c>
      <c r="GG72" s="690">
        <v>27620</v>
      </c>
      <c r="GH72" s="690">
        <v>29498</v>
      </c>
      <c r="GI72" s="690">
        <v>30154</v>
      </c>
      <c r="GJ72" s="690">
        <v>31264</v>
      </c>
      <c r="GK72" s="690">
        <v>31000</v>
      </c>
      <c r="GL72" s="690">
        <v>30628</v>
      </c>
      <c r="GM72" s="690">
        <v>25631</v>
      </c>
      <c r="GN72" s="690">
        <f t="shared" si="127"/>
        <v>363410</v>
      </c>
      <c r="GO72" s="129">
        <v>32068</v>
      </c>
      <c r="GP72" s="129">
        <v>38524</v>
      </c>
      <c r="GQ72" s="129">
        <v>31791</v>
      </c>
      <c r="GR72" s="129">
        <v>25445</v>
      </c>
      <c r="GS72" s="129">
        <v>33509</v>
      </c>
      <c r="GT72" s="129">
        <v>29726</v>
      </c>
      <c r="GU72" s="129">
        <v>29926</v>
      </c>
      <c r="GV72" s="129">
        <v>30004</v>
      </c>
      <c r="GW72" s="129"/>
      <c r="GX72" s="129"/>
      <c r="GY72" s="129"/>
      <c r="GZ72" s="129"/>
      <c r="HA72" s="129">
        <f t="shared" si="130"/>
        <v>250993</v>
      </c>
      <c r="HC72" s="730">
        <f t="shared" si="113"/>
        <v>-0.49744644159979146</v>
      </c>
      <c r="HD72" s="741">
        <f t="shared" si="246"/>
        <v>2.4933949127556865</v>
      </c>
      <c r="HE72" s="728">
        <f t="shared" si="131"/>
        <v>244887</v>
      </c>
      <c r="HF72" s="728">
        <f t="shared" si="141"/>
        <v>250993</v>
      </c>
    </row>
    <row r="73" spans="1:214" ht="13.9" customHeight="1" x14ac:dyDescent="0.2">
      <c r="A73" s="727" t="s">
        <v>475</v>
      </c>
      <c r="AB73" s="690">
        <f t="shared" ref="AB73:AM73" si="290">SUM(AB74:AB75)</f>
        <v>0</v>
      </c>
      <c r="AC73" s="690">
        <f t="shared" si="290"/>
        <v>0</v>
      </c>
      <c r="AD73" s="690">
        <f t="shared" si="290"/>
        <v>0</v>
      </c>
      <c r="AE73" s="690">
        <f t="shared" si="290"/>
        <v>0</v>
      </c>
      <c r="AF73" s="690">
        <f t="shared" si="290"/>
        <v>0</v>
      </c>
      <c r="AG73" s="690">
        <f t="shared" si="290"/>
        <v>0</v>
      </c>
      <c r="AH73" s="690">
        <f t="shared" si="290"/>
        <v>17430</v>
      </c>
      <c r="AI73" s="690">
        <f t="shared" si="290"/>
        <v>58</v>
      </c>
      <c r="AJ73" s="690">
        <f t="shared" si="290"/>
        <v>794</v>
      </c>
      <c r="AK73" s="690">
        <f t="shared" si="290"/>
        <v>0</v>
      </c>
      <c r="AL73" s="690">
        <f t="shared" si="290"/>
        <v>0</v>
      </c>
      <c r="AM73" s="690">
        <f t="shared" si="290"/>
        <v>31990</v>
      </c>
      <c r="AN73" s="728">
        <f t="shared" si="210"/>
        <v>50272</v>
      </c>
      <c r="AO73" s="690">
        <f t="shared" ref="AO73:AZ73" si="291">SUM(AO74:AO75)</f>
        <v>218</v>
      </c>
      <c r="AP73" s="690">
        <f t="shared" si="291"/>
        <v>0</v>
      </c>
      <c r="AQ73" s="690">
        <f t="shared" si="291"/>
        <v>3</v>
      </c>
      <c r="AR73" s="690">
        <f t="shared" si="291"/>
        <v>14376</v>
      </c>
      <c r="AS73" s="690">
        <f t="shared" si="291"/>
        <v>210</v>
      </c>
      <c r="AT73" s="690">
        <f t="shared" si="291"/>
        <v>-81</v>
      </c>
      <c r="AU73" s="690">
        <f t="shared" si="291"/>
        <v>1543</v>
      </c>
      <c r="AV73" s="690">
        <f t="shared" si="291"/>
        <v>0</v>
      </c>
      <c r="AW73" s="690">
        <f t="shared" si="291"/>
        <v>117</v>
      </c>
      <c r="AX73" s="690">
        <f t="shared" si="291"/>
        <v>-3</v>
      </c>
      <c r="AY73" s="690">
        <f t="shared" si="291"/>
        <v>119</v>
      </c>
      <c r="AZ73" s="690">
        <f t="shared" si="291"/>
        <v>37627</v>
      </c>
      <c r="BA73" s="690">
        <f t="shared" si="212"/>
        <v>54129</v>
      </c>
      <c r="BB73" s="690">
        <f t="shared" ref="BB73:CM73" si="292">SUM(BB74:BB75)</f>
        <v>0</v>
      </c>
      <c r="BC73" s="690">
        <f t="shared" si="292"/>
        <v>0</v>
      </c>
      <c r="BD73" s="690">
        <f t="shared" si="292"/>
        <v>0</v>
      </c>
      <c r="BE73" s="690">
        <f t="shared" si="292"/>
        <v>0</v>
      </c>
      <c r="BF73" s="690">
        <f t="shared" si="292"/>
        <v>13961</v>
      </c>
      <c r="BG73" s="690">
        <f t="shared" si="292"/>
        <v>0</v>
      </c>
      <c r="BH73" s="690">
        <f t="shared" si="292"/>
        <v>542</v>
      </c>
      <c r="BI73" s="690">
        <f t="shared" si="292"/>
        <v>0</v>
      </c>
      <c r="BJ73" s="690">
        <f t="shared" si="292"/>
        <v>0</v>
      </c>
      <c r="BK73" s="690">
        <f t="shared" si="292"/>
        <v>0</v>
      </c>
      <c r="BL73" s="690">
        <f t="shared" si="292"/>
        <v>68159</v>
      </c>
      <c r="BM73" s="690">
        <f t="shared" si="292"/>
        <v>7192</v>
      </c>
      <c r="BN73" s="690">
        <f t="shared" si="214"/>
        <v>89854</v>
      </c>
      <c r="BO73" s="690">
        <f t="shared" si="292"/>
        <v>0</v>
      </c>
      <c r="BP73" s="690">
        <f t="shared" si="292"/>
        <v>0</v>
      </c>
      <c r="BQ73" s="690">
        <f t="shared" si="292"/>
        <v>0</v>
      </c>
      <c r="BR73" s="690">
        <f t="shared" si="292"/>
        <v>0</v>
      </c>
      <c r="BS73" s="690">
        <f t="shared" si="292"/>
        <v>21394</v>
      </c>
      <c r="BT73" s="690">
        <f t="shared" si="292"/>
        <v>0</v>
      </c>
      <c r="BU73" s="690">
        <f t="shared" si="292"/>
        <v>361</v>
      </c>
      <c r="BV73" s="690">
        <f t="shared" si="292"/>
        <v>0</v>
      </c>
      <c r="BW73" s="690">
        <f t="shared" si="292"/>
        <v>0</v>
      </c>
      <c r="BX73" s="690">
        <f t="shared" si="292"/>
        <v>186</v>
      </c>
      <c r="BY73" s="690">
        <f t="shared" si="292"/>
        <v>22134</v>
      </c>
      <c r="BZ73" s="690">
        <f t="shared" si="292"/>
        <v>9144</v>
      </c>
      <c r="CA73" s="690">
        <f t="shared" si="215"/>
        <v>53219</v>
      </c>
      <c r="CB73" s="690">
        <f t="shared" si="292"/>
        <v>0</v>
      </c>
      <c r="CC73" s="690">
        <f t="shared" si="292"/>
        <v>0</v>
      </c>
      <c r="CD73" s="690">
        <f t="shared" si="292"/>
        <v>0</v>
      </c>
      <c r="CE73" s="690">
        <f t="shared" si="292"/>
        <v>0</v>
      </c>
      <c r="CF73" s="690">
        <f t="shared" si="292"/>
        <v>20343</v>
      </c>
      <c r="CG73" s="690">
        <f t="shared" si="292"/>
        <v>924</v>
      </c>
      <c r="CH73" s="690">
        <f t="shared" si="292"/>
        <v>300</v>
      </c>
      <c r="CI73" s="690">
        <f t="shared" si="292"/>
        <v>0</v>
      </c>
      <c r="CJ73" s="690">
        <f t="shared" si="292"/>
        <v>0</v>
      </c>
      <c r="CK73" s="690">
        <f t="shared" si="292"/>
        <v>20953</v>
      </c>
      <c r="CL73" s="690">
        <f t="shared" si="292"/>
        <v>4078</v>
      </c>
      <c r="CM73" s="690">
        <f t="shared" si="292"/>
        <v>0</v>
      </c>
      <c r="CN73" s="690">
        <f t="shared" si="216"/>
        <v>46598</v>
      </c>
      <c r="CO73" s="690">
        <f t="shared" ref="CO73:CZ73" si="293">SUM(CO74:CO75)</f>
        <v>0</v>
      </c>
      <c r="CP73" s="690">
        <f t="shared" si="293"/>
        <v>0</v>
      </c>
      <c r="CQ73" s="690">
        <f t="shared" si="293"/>
        <v>0</v>
      </c>
      <c r="CR73" s="690">
        <f t="shared" si="293"/>
        <v>9294</v>
      </c>
      <c r="CS73" s="690">
        <f t="shared" si="293"/>
        <v>4947</v>
      </c>
      <c r="CT73" s="690">
        <f t="shared" si="293"/>
        <v>0</v>
      </c>
      <c r="CU73" s="690">
        <f t="shared" si="293"/>
        <v>0</v>
      </c>
      <c r="CV73" s="690">
        <f t="shared" si="293"/>
        <v>0</v>
      </c>
      <c r="CW73" s="690">
        <f t="shared" si="293"/>
        <v>0</v>
      </c>
      <c r="CX73" s="690">
        <f t="shared" si="293"/>
        <v>14119</v>
      </c>
      <c r="CY73" s="690">
        <f t="shared" si="293"/>
        <v>1729</v>
      </c>
      <c r="CZ73" s="690">
        <f t="shared" si="293"/>
        <v>135</v>
      </c>
      <c r="DA73" s="690">
        <f t="shared" si="218"/>
        <v>30224</v>
      </c>
      <c r="DB73" s="690">
        <f t="shared" ref="DB73:DM73" si="294">SUM(DB74:DB75)</f>
        <v>0</v>
      </c>
      <c r="DC73" s="690">
        <f t="shared" si="294"/>
        <v>0</v>
      </c>
      <c r="DD73" s="690">
        <f t="shared" si="294"/>
        <v>0</v>
      </c>
      <c r="DE73" s="690">
        <f t="shared" si="294"/>
        <v>240</v>
      </c>
      <c r="DF73" s="690">
        <f t="shared" si="294"/>
        <v>45562</v>
      </c>
      <c r="DG73" s="690">
        <f t="shared" si="294"/>
        <v>0</v>
      </c>
      <c r="DH73" s="690">
        <f t="shared" si="294"/>
        <v>0</v>
      </c>
      <c r="DI73" s="690">
        <f t="shared" si="294"/>
        <v>0</v>
      </c>
      <c r="DJ73" s="690">
        <f t="shared" si="294"/>
        <v>0</v>
      </c>
      <c r="DK73" s="690">
        <f t="shared" si="294"/>
        <v>0</v>
      </c>
      <c r="DL73" s="690">
        <f t="shared" si="294"/>
        <v>0</v>
      </c>
      <c r="DM73" s="690">
        <f t="shared" si="294"/>
        <v>5</v>
      </c>
      <c r="DN73" s="690">
        <f t="shared" si="220"/>
        <v>45807</v>
      </c>
      <c r="DO73" s="690">
        <f>SUM(DO74:DO75)</f>
        <v>0</v>
      </c>
      <c r="DP73" s="690">
        <f>SUM(DP74:DP75)</f>
        <v>0</v>
      </c>
      <c r="DQ73" s="690">
        <f t="shared" ref="DQ73:DZ73" si="295">SUM(DQ74:DQ75)</f>
        <v>0</v>
      </c>
      <c r="DR73" s="690">
        <f t="shared" si="295"/>
        <v>0</v>
      </c>
      <c r="DS73" s="690">
        <f t="shared" si="295"/>
        <v>0</v>
      </c>
      <c r="DT73" s="690">
        <f t="shared" si="295"/>
        <v>45321</v>
      </c>
      <c r="DU73" s="690">
        <f t="shared" si="295"/>
        <v>1627</v>
      </c>
      <c r="DV73" s="690">
        <f t="shared" si="295"/>
        <v>12588</v>
      </c>
      <c r="DW73" s="690">
        <f t="shared" si="295"/>
        <v>334</v>
      </c>
      <c r="DX73" s="690">
        <f t="shared" si="295"/>
        <v>0</v>
      </c>
      <c r="DY73" s="690">
        <f t="shared" si="295"/>
        <v>0</v>
      </c>
      <c r="DZ73" s="690">
        <f t="shared" si="295"/>
        <v>589</v>
      </c>
      <c r="EA73" s="737">
        <f t="shared" si="247"/>
        <v>60459</v>
      </c>
      <c r="EB73" s="690">
        <f>SUM(EB74:EB75)</f>
        <v>0</v>
      </c>
      <c r="EC73" s="690">
        <f>SUM(EC74:EC75)</f>
        <v>0</v>
      </c>
      <c r="ED73" s="690">
        <f t="shared" ref="ED73:EJ73" si="296">SUM(ED74:ED75)</f>
        <v>0</v>
      </c>
      <c r="EE73" s="690">
        <f t="shared" si="296"/>
        <v>21671</v>
      </c>
      <c r="EF73" s="690">
        <f t="shared" si="296"/>
        <v>4244</v>
      </c>
      <c r="EG73" s="690">
        <f t="shared" si="296"/>
        <v>0</v>
      </c>
      <c r="EH73" s="690">
        <f t="shared" si="296"/>
        <v>150</v>
      </c>
      <c r="EI73" s="690">
        <f t="shared" si="296"/>
        <v>0</v>
      </c>
      <c r="EJ73" s="690">
        <f t="shared" si="296"/>
        <v>466</v>
      </c>
      <c r="EK73" s="690">
        <v>0</v>
      </c>
      <c r="EL73" s="690">
        <v>0</v>
      </c>
      <c r="EM73" s="690">
        <v>0</v>
      </c>
      <c r="EN73" s="690">
        <f t="shared" si="236"/>
        <v>26531</v>
      </c>
      <c r="EO73" s="690">
        <f>SUM(EO74,EO75)</f>
        <v>0</v>
      </c>
      <c r="EP73" s="690">
        <f t="shared" ref="EP73:EZ73" si="297">SUM(EP74,EP75)</f>
        <v>0</v>
      </c>
      <c r="EQ73" s="690">
        <f t="shared" si="297"/>
        <v>0</v>
      </c>
      <c r="ER73" s="690">
        <f t="shared" si="297"/>
        <v>95</v>
      </c>
      <c r="ES73" s="690">
        <f t="shared" si="297"/>
        <v>30550</v>
      </c>
      <c r="ET73" s="690">
        <f t="shared" si="297"/>
        <v>0</v>
      </c>
      <c r="EU73" s="690">
        <f t="shared" si="297"/>
        <v>0</v>
      </c>
      <c r="EV73" s="690">
        <f t="shared" si="297"/>
        <v>0</v>
      </c>
      <c r="EW73" s="690">
        <f t="shared" si="297"/>
        <v>0</v>
      </c>
      <c r="EX73" s="690">
        <f t="shared" si="297"/>
        <v>0</v>
      </c>
      <c r="EY73" s="740">
        <f t="shared" si="297"/>
        <v>0</v>
      </c>
      <c r="EZ73" s="740">
        <f t="shared" si="297"/>
        <v>-635</v>
      </c>
      <c r="FA73" s="690">
        <f t="shared" si="238"/>
        <v>30010</v>
      </c>
      <c r="FB73" s="690">
        <f t="shared" ref="FB73:FM73" si="298">SUM(FB74,FB75)</f>
        <v>0</v>
      </c>
      <c r="FC73" s="690">
        <f t="shared" si="298"/>
        <v>0</v>
      </c>
      <c r="FD73" s="690">
        <f t="shared" si="298"/>
        <v>0</v>
      </c>
      <c r="FE73" s="690">
        <f t="shared" si="298"/>
        <v>50</v>
      </c>
      <c r="FF73" s="690">
        <f t="shared" si="298"/>
        <v>24026</v>
      </c>
      <c r="FG73" s="690">
        <f t="shared" si="298"/>
        <v>0</v>
      </c>
      <c r="FH73" s="690">
        <f t="shared" si="298"/>
        <v>0</v>
      </c>
      <c r="FI73" s="690">
        <f t="shared" si="298"/>
        <v>4680</v>
      </c>
      <c r="FJ73" s="690">
        <f t="shared" si="298"/>
        <v>418</v>
      </c>
      <c r="FK73" s="690">
        <f t="shared" si="298"/>
        <v>0</v>
      </c>
      <c r="FL73" s="690">
        <f t="shared" si="298"/>
        <v>0</v>
      </c>
      <c r="FM73" s="690">
        <f t="shared" si="298"/>
        <v>0</v>
      </c>
      <c r="FN73" s="690">
        <f t="shared" si="240"/>
        <v>29174</v>
      </c>
      <c r="FO73" s="690">
        <f t="shared" ref="FO73:FZ73" si="299">SUM(FO74,FO75)</f>
        <v>0</v>
      </c>
      <c r="FP73" s="690">
        <f t="shared" si="299"/>
        <v>0</v>
      </c>
      <c r="FQ73" s="690">
        <f t="shared" si="299"/>
        <v>0</v>
      </c>
      <c r="FR73" s="690">
        <f t="shared" si="299"/>
        <v>442</v>
      </c>
      <c r="FS73" s="690">
        <f t="shared" si="299"/>
        <v>17513</v>
      </c>
      <c r="FT73" s="690">
        <f t="shared" si="299"/>
        <v>0</v>
      </c>
      <c r="FU73" s="690">
        <f t="shared" si="299"/>
        <v>501</v>
      </c>
      <c r="FV73" s="690">
        <f t="shared" si="299"/>
        <v>0</v>
      </c>
      <c r="FW73" s="690">
        <f t="shared" si="299"/>
        <v>0</v>
      </c>
      <c r="FX73" s="690">
        <f t="shared" si="299"/>
        <v>0</v>
      </c>
      <c r="FY73" s="690">
        <f t="shared" si="299"/>
        <v>0</v>
      </c>
      <c r="FZ73" s="690">
        <f t="shared" si="299"/>
        <v>-100</v>
      </c>
      <c r="GA73" s="690">
        <f t="shared" si="242"/>
        <v>18356</v>
      </c>
      <c r="GB73" s="690">
        <f t="shared" ref="GB73:GM73" si="300">SUM(GB74,GB75)</f>
        <v>0</v>
      </c>
      <c r="GC73" s="690">
        <f t="shared" si="300"/>
        <v>0</v>
      </c>
      <c r="GD73" s="740">
        <f t="shared" si="300"/>
        <v>0</v>
      </c>
      <c r="GE73" s="690">
        <f t="shared" si="300"/>
        <v>317</v>
      </c>
      <c r="GF73" s="690">
        <f t="shared" si="300"/>
        <v>26334</v>
      </c>
      <c r="GG73" s="690">
        <f t="shared" si="300"/>
        <v>0</v>
      </c>
      <c r="GH73" s="690">
        <f t="shared" si="300"/>
        <v>0</v>
      </c>
      <c r="GI73" s="690">
        <f t="shared" si="300"/>
        <v>0</v>
      </c>
      <c r="GJ73" s="690">
        <f t="shared" si="300"/>
        <v>0</v>
      </c>
      <c r="GK73" s="690">
        <f t="shared" si="300"/>
        <v>0</v>
      </c>
      <c r="GL73" s="690">
        <f t="shared" si="300"/>
        <v>0</v>
      </c>
      <c r="GM73" s="690">
        <f t="shared" si="300"/>
        <v>0</v>
      </c>
      <c r="GN73" s="690">
        <f t="shared" si="127"/>
        <v>26651</v>
      </c>
      <c r="GO73" s="129">
        <f t="shared" ref="GO73:GR73" si="301">SUM(GO74,GO75)</f>
        <v>0</v>
      </c>
      <c r="GP73" s="129">
        <f t="shared" si="301"/>
        <v>0</v>
      </c>
      <c r="GQ73" s="129">
        <f t="shared" si="301"/>
        <v>0</v>
      </c>
      <c r="GR73" s="129">
        <f t="shared" si="301"/>
        <v>0</v>
      </c>
      <c r="GS73" s="129">
        <v>19637</v>
      </c>
      <c r="GT73" s="129">
        <v>0</v>
      </c>
      <c r="GU73" s="129">
        <v>0</v>
      </c>
      <c r="GV73" s="129">
        <v>0</v>
      </c>
      <c r="GW73" s="129"/>
      <c r="GX73" s="129"/>
      <c r="GY73" s="129"/>
      <c r="GZ73" s="129"/>
      <c r="HA73" s="129">
        <f t="shared" si="130"/>
        <v>19637</v>
      </c>
      <c r="HC73" s="730" t="str">
        <f t="shared" si="113"/>
        <v>-</v>
      </c>
      <c r="HD73" s="741">
        <f t="shared" si="246"/>
        <v>-26.317961802559008</v>
      </c>
      <c r="HE73" s="728">
        <f t="shared" si="131"/>
        <v>26651</v>
      </c>
      <c r="HF73" s="728">
        <f t="shared" si="141"/>
        <v>19637</v>
      </c>
    </row>
    <row r="74" spans="1:214" ht="13.9" customHeight="1" x14ac:dyDescent="0.2">
      <c r="A74" s="736" t="s">
        <v>476</v>
      </c>
      <c r="AB74" s="689">
        <v>0</v>
      </c>
      <c r="AC74" s="689">
        <v>0</v>
      </c>
      <c r="AD74" s="689">
        <v>0</v>
      </c>
      <c r="AE74" s="689">
        <v>0</v>
      </c>
      <c r="AF74" s="689">
        <v>0</v>
      </c>
      <c r="AG74" s="689">
        <v>0</v>
      </c>
      <c r="AH74" s="689">
        <v>17430</v>
      </c>
      <c r="AI74" s="689">
        <v>58</v>
      </c>
      <c r="AJ74" s="689">
        <v>794</v>
      </c>
      <c r="AK74" s="689">
        <v>0</v>
      </c>
      <c r="AL74" s="689">
        <v>0</v>
      </c>
      <c r="AM74" s="689">
        <v>31990</v>
      </c>
      <c r="AN74" s="737">
        <f t="shared" si="210"/>
        <v>50272</v>
      </c>
      <c r="AO74" s="689">
        <v>218</v>
      </c>
      <c r="AP74" s="689">
        <v>0</v>
      </c>
      <c r="AQ74" s="689">
        <v>3</v>
      </c>
      <c r="AR74" s="689">
        <v>14376</v>
      </c>
      <c r="AS74" s="689">
        <v>210</v>
      </c>
      <c r="AT74" s="689">
        <v>-81</v>
      </c>
      <c r="AU74" s="689">
        <v>1543</v>
      </c>
      <c r="AV74" s="689">
        <v>0</v>
      </c>
      <c r="AW74" s="689">
        <v>117</v>
      </c>
      <c r="AX74" s="689">
        <v>-3</v>
      </c>
      <c r="AY74" s="689">
        <v>119</v>
      </c>
      <c r="AZ74" s="689">
        <v>37627</v>
      </c>
      <c r="BA74" s="689">
        <f t="shared" si="212"/>
        <v>54129</v>
      </c>
      <c r="BB74" s="689">
        <v>0</v>
      </c>
      <c r="BC74" s="689">
        <v>0</v>
      </c>
      <c r="BD74" s="689">
        <v>0</v>
      </c>
      <c r="BE74" s="689">
        <v>0</v>
      </c>
      <c r="BF74" s="689">
        <v>13961</v>
      </c>
      <c r="BG74" s="689">
        <v>0</v>
      </c>
      <c r="BH74" s="689">
        <v>542</v>
      </c>
      <c r="BI74" s="689">
        <v>0</v>
      </c>
      <c r="BJ74" s="689">
        <v>0</v>
      </c>
      <c r="BK74" s="689">
        <v>0</v>
      </c>
      <c r="BL74" s="689">
        <v>68159</v>
      </c>
      <c r="BM74" s="689">
        <v>7192</v>
      </c>
      <c r="BN74" s="689">
        <f t="shared" si="214"/>
        <v>89854</v>
      </c>
      <c r="BO74" s="689">
        <v>0</v>
      </c>
      <c r="BP74" s="689">
        <v>0</v>
      </c>
      <c r="BQ74" s="689">
        <v>0</v>
      </c>
      <c r="BR74" s="689">
        <v>0</v>
      </c>
      <c r="BS74" s="689">
        <v>21394</v>
      </c>
      <c r="BT74" s="689">
        <v>0</v>
      </c>
      <c r="BU74" s="689">
        <v>361</v>
      </c>
      <c r="BV74" s="689">
        <v>0</v>
      </c>
      <c r="BW74" s="689">
        <v>0</v>
      </c>
      <c r="BX74" s="689">
        <v>186</v>
      </c>
      <c r="BY74" s="689">
        <v>22134</v>
      </c>
      <c r="BZ74" s="689">
        <v>9144</v>
      </c>
      <c r="CA74" s="689">
        <f t="shared" si="215"/>
        <v>53219</v>
      </c>
      <c r="CB74" s="689">
        <v>0</v>
      </c>
      <c r="CC74" s="689">
        <v>0</v>
      </c>
      <c r="CD74" s="689">
        <v>0</v>
      </c>
      <c r="CE74" s="689">
        <v>0</v>
      </c>
      <c r="CF74" s="689">
        <v>20343</v>
      </c>
      <c r="CG74" s="689">
        <v>924</v>
      </c>
      <c r="CH74" s="689">
        <v>300</v>
      </c>
      <c r="CI74" s="689">
        <v>0</v>
      </c>
      <c r="CJ74" s="689">
        <v>0</v>
      </c>
      <c r="CK74" s="689">
        <v>20953</v>
      </c>
      <c r="CL74" s="689">
        <v>4078</v>
      </c>
      <c r="CM74" s="689">
        <v>0</v>
      </c>
      <c r="CN74" s="689">
        <f t="shared" si="216"/>
        <v>46598</v>
      </c>
      <c r="CO74" s="689">
        <v>0</v>
      </c>
      <c r="CP74" s="689">
        <v>0</v>
      </c>
      <c r="CQ74" s="689">
        <v>0</v>
      </c>
      <c r="CR74" s="689">
        <v>9294</v>
      </c>
      <c r="CS74" s="689">
        <v>4947</v>
      </c>
      <c r="CT74" s="689">
        <v>0</v>
      </c>
      <c r="CU74" s="689">
        <v>0</v>
      </c>
      <c r="CV74" s="689">
        <v>0</v>
      </c>
      <c r="CW74" s="689">
        <v>0</v>
      </c>
      <c r="CX74" s="689">
        <v>14119</v>
      </c>
      <c r="CY74" s="689">
        <v>1729</v>
      </c>
      <c r="CZ74" s="689">
        <v>135</v>
      </c>
      <c r="DA74" s="689">
        <f t="shared" si="218"/>
        <v>30224</v>
      </c>
      <c r="DB74" s="689">
        <v>0</v>
      </c>
      <c r="DC74" s="689">
        <v>0</v>
      </c>
      <c r="DD74" s="689">
        <v>0</v>
      </c>
      <c r="DE74" s="689">
        <v>240</v>
      </c>
      <c r="DF74" s="689">
        <v>45562</v>
      </c>
      <c r="DG74" s="689">
        <v>0</v>
      </c>
      <c r="DH74" s="689">
        <v>0</v>
      </c>
      <c r="DI74" s="689">
        <v>0</v>
      </c>
      <c r="DJ74" s="689">
        <v>0</v>
      </c>
      <c r="DK74" s="689">
        <v>0</v>
      </c>
      <c r="DL74" s="689">
        <v>0</v>
      </c>
      <c r="DM74" s="689">
        <v>5</v>
      </c>
      <c r="DN74" s="689">
        <f t="shared" si="220"/>
        <v>45807</v>
      </c>
      <c r="DO74" s="689">
        <v>0</v>
      </c>
      <c r="DP74" s="689">
        <v>0</v>
      </c>
      <c r="DQ74" s="689">
        <v>0</v>
      </c>
      <c r="DR74" s="689">
        <v>0</v>
      </c>
      <c r="DS74" s="689">
        <v>0</v>
      </c>
      <c r="DT74" s="689">
        <v>45321</v>
      </c>
      <c r="DU74" s="689">
        <v>1627</v>
      </c>
      <c r="DV74" s="689">
        <v>12588</v>
      </c>
      <c r="DW74" s="689">
        <v>334</v>
      </c>
      <c r="DX74" s="689">
        <v>0</v>
      </c>
      <c r="DY74" s="689">
        <v>0</v>
      </c>
      <c r="DZ74" s="689">
        <v>589</v>
      </c>
      <c r="EA74" s="737">
        <f t="shared" si="247"/>
        <v>60459</v>
      </c>
      <c r="EB74" s="689">
        <v>0</v>
      </c>
      <c r="EC74" s="689">
        <v>0</v>
      </c>
      <c r="ED74" s="689">
        <v>0</v>
      </c>
      <c r="EE74" s="689">
        <v>21671</v>
      </c>
      <c r="EF74" s="689">
        <v>4244</v>
      </c>
      <c r="EG74" s="689">
        <v>0</v>
      </c>
      <c r="EH74" s="689">
        <v>150</v>
      </c>
      <c r="EI74" s="689">
        <v>0</v>
      </c>
      <c r="EJ74" s="689">
        <v>466</v>
      </c>
      <c r="EK74" s="689">
        <v>0</v>
      </c>
      <c r="EL74" s="689">
        <v>0</v>
      </c>
      <c r="EM74" s="689">
        <v>0</v>
      </c>
      <c r="EN74" s="689">
        <f t="shared" si="236"/>
        <v>26531</v>
      </c>
      <c r="EO74" s="689">
        <v>0</v>
      </c>
      <c r="EP74" s="689">
        <v>0</v>
      </c>
      <c r="EQ74" s="689">
        <v>0</v>
      </c>
      <c r="ER74" s="689">
        <v>95</v>
      </c>
      <c r="ES74" s="689">
        <v>30550</v>
      </c>
      <c r="ET74" s="689">
        <v>0</v>
      </c>
      <c r="EU74" s="689">
        <v>0</v>
      </c>
      <c r="EV74" s="689">
        <v>0</v>
      </c>
      <c r="EW74" s="689">
        <v>0</v>
      </c>
      <c r="EX74" s="689">
        <v>0</v>
      </c>
      <c r="EY74" s="738">
        <v>0</v>
      </c>
      <c r="EZ74" s="738">
        <v>-635</v>
      </c>
      <c r="FA74" s="689">
        <f t="shared" si="238"/>
        <v>30010</v>
      </c>
      <c r="FB74" s="689">
        <v>0</v>
      </c>
      <c r="FC74" s="689">
        <v>0</v>
      </c>
      <c r="FD74" s="689">
        <v>0</v>
      </c>
      <c r="FE74" s="689">
        <v>50</v>
      </c>
      <c r="FF74" s="689">
        <v>24026</v>
      </c>
      <c r="FG74" s="689">
        <v>0</v>
      </c>
      <c r="FH74" s="689">
        <v>0</v>
      </c>
      <c r="FI74" s="689">
        <v>4680</v>
      </c>
      <c r="FJ74" s="689">
        <v>418</v>
      </c>
      <c r="FK74" s="689">
        <v>0</v>
      </c>
      <c r="FL74" s="689">
        <v>0</v>
      </c>
      <c r="FM74" s="689">
        <v>0</v>
      </c>
      <c r="FN74" s="689">
        <f t="shared" si="240"/>
        <v>29174</v>
      </c>
      <c r="FO74" s="689">
        <v>0</v>
      </c>
      <c r="FP74" s="689">
        <v>0</v>
      </c>
      <c r="FQ74" s="689">
        <v>0</v>
      </c>
      <c r="FR74" s="689">
        <v>442</v>
      </c>
      <c r="FS74" s="689">
        <v>17513</v>
      </c>
      <c r="FT74" s="689">
        <v>0</v>
      </c>
      <c r="FU74" s="689">
        <v>501</v>
      </c>
      <c r="FV74" s="689">
        <v>0</v>
      </c>
      <c r="FW74" s="689">
        <v>0</v>
      </c>
      <c r="FX74" s="689">
        <v>0</v>
      </c>
      <c r="FY74" s="689">
        <v>0</v>
      </c>
      <c r="FZ74" s="689">
        <v>-100</v>
      </c>
      <c r="GA74" s="689">
        <f t="shared" si="242"/>
        <v>18356</v>
      </c>
      <c r="GB74" s="689">
        <v>0</v>
      </c>
      <c r="GC74" s="689">
        <v>0</v>
      </c>
      <c r="GD74" s="738">
        <v>0</v>
      </c>
      <c r="GE74" s="689">
        <v>317</v>
      </c>
      <c r="GF74" s="689">
        <v>26334</v>
      </c>
      <c r="GG74" s="689">
        <v>0</v>
      </c>
      <c r="GH74" s="689">
        <v>0</v>
      </c>
      <c r="GI74" s="689">
        <v>0</v>
      </c>
      <c r="GJ74" s="689">
        <v>0</v>
      </c>
      <c r="GK74" s="689">
        <v>0</v>
      </c>
      <c r="GL74" s="689">
        <v>0</v>
      </c>
      <c r="GM74" s="689">
        <v>0</v>
      </c>
      <c r="GN74" s="689">
        <f t="shared" si="127"/>
        <v>26651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HA74">
        <f t="shared" si="130"/>
        <v>0</v>
      </c>
      <c r="HC74" s="730" t="str">
        <f t="shared" si="113"/>
        <v>-</v>
      </c>
      <c r="HD74" s="739">
        <f t="shared" si="246"/>
        <v>-100</v>
      </c>
      <c r="HE74" s="737">
        <f t="shared" si="131"/>
        <v>26651</v>
      </c>
      <c r="HF74" s="737">
        <f t="shared" si="141"/>
        <v>0</v>
      </c>
    </row>
    <row r="75" spans="1:214" ht="13.9" customHeight="1" x14ac:dyDescent="0.2">
      <c r="A75" s="736" t="s">
        <v>477</v>
      </c>
      <c r="AB75" s="689">
        <v>0</v>
      </c>
      <c r="AC75" s="689">
        <v>0</v>
      </c>
      <c r="AD75" s="689">
        <v>0</v>
      </c>
      <c r="AE75" s="689">
        <v>0</v>
      </c>
      <c r="AF75" s="689">
        <v>0</v>
      </c>
      <c r="AG75" s="689">
        <v>0</v>
      </c>
      <c r="AH75" s="689">
        <v>0</v>
      </c>
      <c r="AI75" s="689">
        <v>0</v>
      </c>
      <c r="AJ75" s="689">
        <v>0</v>
      </c>
      <c r="AK75" s="689">
        <v>0</v>
      </c>
      <c r="AL75" s="689">
        <v>0</v>
      </c>
      <c r="AM75" s="689">
        <v>0</v>
      </c>
      <c r="AN75" s="737">
        <f t="shared" si="210"/>
        <v>0</v>
      </c>
      <c r="AO75" s="689">
        <v>0</v>
      </c>
      <c r="AP75" s="689">
        <v>0</v>
      </c>
      <c r="AQ75" s="689">
        <v>0</v>
      </c>
      <c r="AR75" s="689">
        <v>0</v>
      </c>
      <c r="AS75" s="689">
        <v>0</v>
      </c>
      <c r="AT75" s="689">
        <v>0</v>
      </c>
      <c r="AU75" s="689">
        <v>0</v>
      </c>
      <c r="AV75" s="689">
        <v>0</v>
      </c>
      <c r="AW75" s="689">
        <v>0</v>
      </c>
      <c r="AX75" s="689">
        <v>0</v>
      </c>
      <c r="AY75" s="689">
        <v>0</v>
      </c>
      <c r="AZ75" s="689">
        <v>0</v>
      </c>
      <c r="BA75" s="689">
        <f t="shared" si="212"/>
        <v>0</v>
      </c>
      <c r="BB75" s="689">
        <v>0</v>
      </c>
      <c r="BC75" s="689">
        <v>0</v>
      </c>
      <c r="BD75" s="689">
        <v>0</v>
      </c>
      <c r="BE75" s="689">
        <v>0</v>
      </c>
      <c r="BF75" s="689">
        <v>0</v>
      </c>
      <c r="BG75" s="689">
        <v>0</v>
      </c>
      <c r="BH75" s="689">
        <v>0</v>
      </c>
      <c r="BI75" s="689">
        <v>0</v>
      </c>
      <c r="BJ75" s="689">
        <v>0</v>
      </c>
      <c r="BK75" s="689">
        <v>0</v>
      </c>
      <c r="BL75" s="689">
        <v>0</v>
      </c>
      <c r="BM75" s="689">
        <v>0</v>
      </c>
      <c r="BN75" s="689">
        <f t="shared" si="214"/>
        <v>0</v>
      </c>
      <c r="BO75" s="689">
        <v>0</v>
      </c>
      <c r="BP75" s="689">
        <v>0</v>
      </c>
      <c r="BQ75" s="689">
        <v>0</v>
      </c>
      <c r="BR75" s="689">
        <v>0</v>
      </c>
      <c r="BS75" s="689">
        <v>0</v>
      </c>
      <c r="BT75" s="689">
        <v>0</v>
      </c>
      <c r="BU75" s="689">
        <v>0</v>
      </c>
      <c r="BV75" s="689">
        <v>0</v>
      </c>
      <c r="BW75" s="689">
        <v>0</v>
      </c>
      <c r="BX75" s="689">
        <v>0</v>
      </c>
      <c r="BY75" s="689">
        <v>0</v>
      </c>
      <c r="BZ75" s="689">
        <v>0</v>
      </c>
      <c r="CA75" s="689">
        <f t="shared" si="215"/>
        <v>0</v>
      </c>
      <c r="CB75" s="689">
        <v>0</v>
      </c>
      <c r="CC75" s="689">
        <v>0</v>
      </c>
      <c r="CD75" s="689">
        <v>0</v>
      </c>
      <c r="CE75" s="689">
        <v>0</v>
      </c>
      <c r="CF75" s="689">
        <v>0</v>
      </c>
      <c r="CG75" s="689">
        <v>0</v>
      </c>
      <c r="CH75" s="689">
        <v>0</v>
      </c>
      <c r="CI75" s="689">
        <v>0</v>
      </c>
      <c r="CJ75" s="689">
        <v>0</v>
      </c>
      <c r="CK75" s="689">
        <v>0</v>
      </c>
      <c r="CL75" s="689">
        <v>0</v>
      </c>
      <c r="CM75" s="689">
        <v>0</v>
      </c>
      <c r="CN75" s="689">
        <f t="shared" si="216"/>
        <v>0</v>
      </c>
      <c r="CO75" s="689">
        <v>0</v>
      </c>
      <c r="CP75" s="689">
        <v>0</v>
      </c>
      <c r="CQ75" s="689">
        <v>0</v>
      </c>
      <c r="CR75" s="689">
        <v>0</v>
      </c>
      <c r="CS75" s="689">
        <v>0</v>
      </c>
      <c r="CT75" s="689">
        <v>0</v>
      </c>
      <c r="CU75" s="689">
        <v>0</v>
      </c>
      <c r="CV75" s="689">
        <v>0</v>
      </c>
      <c r="CW75" s="689">
        <v>0</v>
      </c>
      <c r="CX75" s="689">
        <v>0</v>
      </c>
      <c r="CY75" s="689">
        <v>0</v>
      </c>
      <c r="CZ75" s="689">
        <v>0</v>
      </c>
      <c r="DA75" s="689">
        <f t="shared" si="218"/>
        <v>0</v>
      </c>
      <c r="DB75" s="689">
        <v>0</v>
      </c>
      <c r="DC75" s="689">
        <v>0</v>
      </c>
      <c r="DD75" s="689">
        <v>0</v>
      </c>
      <c r="DE75" s="689">
        <v>0</v>
      </c>
      <c r="DF75" s="689">
        <v>0</v>
      </c>
      <c r="DG75" s="689">
        <v>0</v>
      </c>
      <c r="DH75" s="689">
        <v>0</v>
      </c>
      <c r="DI75" s="689">
        <v>0</v>
      </c>
      <c r="DJ75" s="689">
        <v>0</v>
      </c>
      <c r="DK75" s="689">
        <v>0</v>
      </c>
      <c r="DL75" s="689">
        <v>0</v>
      </c>
      <c r="DM75" s="689">
        <v>0</v>
      </c>
      <c r="DN75" s="689">
        <f t="shared" si="220"/>
        <v>0</v>
      </c>
      <c r="DO75" s="689">
        <v>0</v>
      </c>
      <c r="DP75" s="689">
        <v>0</v>
      </c>
      <c r="DQ75" s="689">
        <v>0</v>
      </c>
      <c r="DR75" s="689">
        <v>0</v>
      </c>
      <c r="DS75" s="689">
        <v>0</v>
      </c>
      <c r="DT75" s="689">
        <v>0</v>
      </c>
      <c r="DU75" s="689">
        <v>0</v>
      </c>
      <c r="DV75" s="689">
        <v>0</v>
      </c>
      <c r="DW75" s="689">
        <v>0</v>
      </c>
      <c r="DX75" s="689">
        <v>0</v>
      </c>
      <c r="DY75" s="689">
        <v>0</v>
      </c>
      <c r="DZ75" s="689">
        <v>0</v>
      </c>
      <c r="EA75" s="737">
        <f t="shared" si="247"/>
        <v>0</v>
      </c>
      <c r="EB75" s="689">
        <v>0</v>
      </c>
      <c r="EC75" s="689">
        <v>0</v>
      </c>
      <c r="ED75" s="689">
        <v>0</v>
      </c>
      <c r="EE75" s="689">
        <v>0</v>
      </c>
      <c r="EF75" s="689">
        <v>0</v>
      </c>
      <c r="EG75" s="689">
        <v>0</v>
      </c>
      <c r="EH75" s="689">
        <v>0</v>
      </c>
      <c r="EI75" s="689">
        <v>0</v>
      </c>
      <c r="EJ75" s="689">
        <v>0</v>
      </c>
      <c r="EK75" s="689">
        <v>0</v>
      </c>
      <c r="EL75" s="689">
        <v>0</v>
      </c>
      <c r="EM75" s="689">
        <v>0</v>
      </c>
      <c r="EN75" s="689">
        <f t="shared" si="236"/>
        <v>0</v>
      </c>
      <c r="EO75" s="689">
        <v>0</v>
      </c>
      <c r="EP75" s="689">
        <v>0</v>
      </c>
      <c r="EQ75" s="689">
        <v>0</v>
      </c>
      <c r="ER75" s="689">
        <v>0</v>
      </c>
      <c r="ES75" s="689">
        <v>0</v>
      </c>
      <c r="ET75" s="689">
        <v>0</v>
      </c>
      <c r="EU75" s="689">
        <v>0</v>
      </c>
      <c r="EV75" s="689">
        <v>0</v>
      </c>
      <c r="EW75" s="689">
        <v>0</v>
      </c>
      <c r="EX75" s="689">
        <v>0</v>
      </c>
      <c r="EY75" s="738">
        <v>0</v>
      </c>
      <c r="EZ75" s="738">
        <v>0</v>
      </c>
      <c r="FA75" s="689">
        <f t="shared" si="238"/>
        <v>0</v>
      </c>
      <c r="FB75" s="689">
        <v>0</v>
      </c>
      <c r="FC75" s="689">
        <v>0</v>
      </c>
      <c r="FD75" s="689">
        <v>0</v>
      </c>
      <c r="FE75" s="689">
        <v>0</v>
      </c>
      <c r="FF75" s="689">
        <v>0</v>
      </c>
      <c r="FG75" s="689">
        <v>0</v>
      </c>
      <c r="FH75" s="689">
        <v>0</v>
      </c>
      <c r="FI75" s="689">
        <v>0</v>
      </c>
      <c r="FJ75" s="689">
        <v>0</v>
      </c>
      <c r="FK75" s="689">
        <v>0</v>
      </c>
      <c r="FL75" s="689">
        <v>0</v>
      </c>
      <c r="FM75" s="689">
        <v>0</v>
      </c>
      <c r="FN75" s="689">
        <f t="shared" si="240"/>
        <v>0</v>
      </c>
      <c r="FO75" s="689">
        <v>0</v>
      </c>
      <c r="FP75" s="689">
        <v>0</v>
      </c>
      <c r="FQ75" s="689">
        <v>0</v>
      </c>
      <c r="FR75" s="689">
        <v>0</v>
      </c>
      <c r="FS75" s="689">
        <v>0</v>
      </c>
      <c r="FT75" s="689">
        <v>0</v>
      </c>
      <c r="FU75" s="689">
        <v>0</v>
      </c>
      <c r="FV75" s="689">
        <v>0</v>
      </c>
      <c r="FW75" s="689">
        <v>0</v>
      </c>
      <c r="FX75" s="689">
        <v>0</v>
      </c>
      <c r="FY75" s="689">
        <v>0</v>
      </c>
      <c r="FZ75" s="689">
        <v>0</v>
      </c>
      <c r="GA75" s="689">
        <f t="shared" si="242"/>
        <v>0</v>
      </c>
      <c r="GB75" s="689">
        <v>0</v>
      </c>
      <c r="GC75" s="689">
        <v>0</v>
      </c>
      <c r="GD75" s="738">
        <v>0</v>
      </c>
      <c r="GE75" s="689">
        <v>0</v>
      </c>
      <c r="GF75" s="689">
        <v>0</v>
      </c>
      <c r="GG75" s="689">
        <v>0</v>
      </c>
      <c r="GH75" s="689">
        <v>0</v>
      </c>
      <c r="GI75" s="689">
        <v>0</v>
      </c>
      <c r="GJ75" s="689">
        <v>0</v>
      </c>
      <c r="GK75" s="689">
        <v>0</v>
      </c>
      <c r="GL75" s="689">
        <v>0</v>
      </c>
      <c r="GM75" s="689">
        <v>0</v>
      </c>
      <c r="GN75" s="689">
        <f t="shared" si="127"/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HA75">
        <f t="shared" si="130"/>
        <v>0</v>
      </c>
      <c r="HC75" s="730" t="str">
        <f t="shared" si="113"/>
        <v>-</v>
      </c>
      <c r="HD75" s="739" t="str">
        <f t="shared" si="246"/>
        <v>-</v>
      </c>
      <c r="HE75" s="737">
        <f t="shared" si="131"/>
        <v>0</v>
      </c>
      <c r="HF75" s="737">
        <f t="shared" si="141"/>
        <v>0</v>
      </c>
    </row>
    <row r="76" spans="1:214" ht="13.9" customHeight="1" x14ac:dyDescent="0.2">
      <c r="A76" s="727" t="s">
        <v>352</v>
      </c>
      <c r="AB76" s="689"/>
      <c r="AC76" s="689"/>
      <c r="AD76" s="689"/>
      <c r="AE76" s="689"/>
      <c r="AF76" s="689"/>
      <c r="AG76" s="689"/>
      <c r="AH76" s="689"/>
      <c r="AI76" s="689"/>
      <c r="AJ76" s="689"/>
      <c r="AK76" s="689"/>
      <c r="AL76" s="689"/>
      <c r="AM76" s="689"/>
      <c r="AN76" s="728"/>
      <c r="AO76" s="689"/>
      <c r="AP76" s="689"/>
      <c r="AQ76" s="689"/>
      <c r="AR76" s="689"/>
      <c r="AS76" s="689"/>
      <c r="AT76" s="689"/>
      <c r="AU76" s="689"/>
      <c r="AV76" s="689"/>
      <c r="AW76" s="689"/>
      <c r="AX76" s="689"/>
      <c r="AY76" s="689"/>
      <c r="AZ76" s="689"/>
      <c r="BA76" s="689"/>
      <c r="BB76" s="689"/>
      <c r="BC76" s="689"/>
      <c r="BD76" s="689"/>
      <c r="BE76" s="689"/>
      <c r="BF76" s="689"/>
      <c r="BG76" s="689"/>
      <c r="BH76" s="689"/>
      <c r="BI76" s="689"/>
      <c r="BJ76" s="689"/>
      <c r="BK76" s="689"/>
      <c r="BL76" s="689"/>
      <c r="BM76" s="689"/>
      <c r="BN76" s="689"/>
      <c r="BO76" s="689"/>
      <c r="BP76" s="689"/>
      <c r="BQ76" s="689"/>
      <c r="BR76" s="689"/>
      <c r="BS76" s="689"/>
      <c r="BT76" s="689"/>
      <c r="BU76" s="689"/>
      <c r="BV76" s="689"/>
      <c r="BW76" s="689"/>
      <c r="BX76" s="689"/>
      <c r="BY76" s="689"/>
      <c r="BZ76" s="689"/>
      <c r="CA76" s="689"/>
      <c r="CB76" s="689"/>
      <c r="CC76" s="689"/>
      <c r="CD76" s="689"/>
      <c r="CE76" s="689"/>
      <c r="CF76" s="689"/>
      <c r="CG76" s="689"/>
      <c r="CH76" s="689"/>
      <c r="CI76" s="689"/>
      <c r="CJ76" s="689"/>
      <c r="CK76" s="689"/>
      <c r="CL76" s="689"/>
      <c r="CM76" s="689"/>
      <c r="CN76" s="689"/>
      <c r="CO76" s="689"/>
      <c r="CP76" s="689"/>
      <c r="CQ76" s="689"/>
      <c r="CR76" s="689"/>
      <c r="CS76" s="689"/>
      <c r="CT76" s="689"/>
      <c r="CU76" s="689"/>
      <c r="CV76" s="689"/>
      <c r="CW76" s="689"/>
      <c r="CX76" s="689"/>
      <c r="CY76" s="689"/>
      <c r="CZ76" s="689"/>
      <c r="DA76" s="689"/>
      <c r="DB76" s="689"/>
      <c r="DC76" s="689"/>
      <c r="DD76" s="689"/>
      <c r="DE76" s="689"/>
      <c r="DF76" s="689"/>
      <c r="DG76" s="689"/>
      <c r="DH76" s="689"/>
      <c r="DI76" s="689"/>
      <c r="DJ76" s="689"/>
      <c r="DK76" s="689"/>
      <c r="DL76" s="689"/>
      <c r="DM76" s="689"/>
      <c r="DN76" s="689"/>
      <c r="DO76" s="689"/>
      <c r="DP76" s="689"/>
      <c r="DQ76" s="689"/>
      <c r="DR76" s="689"/>
      <c r="DS76" s="689"/>
      <c r="DT76" s="689"/>
      <c r="DU76" s="689"/>
      <c r="DV76" s="689"/>
      <c r="DW76" s="689"/>
      <c r="DX76" s="689"/>
      <c r="DY76" s="689"/>
      <c r="DZ76" s="689"/>
      <c r="EA76" s="737"/>
      <c r="EB76" s="689"/>
      <c r="EC76" s="689"/>
      <c r="ED76" s="689"/>
      <c r="EE76" s="689"/>
      <c r="EF76" s="689"/>
      <c r="EG76" s="689"/>
      <c r="EH76" s="689"/>
      <c r="EI76" s="689"/>
      <c r="EJ76" s="689"/>
      <c r="EK76" s="689"/>
      <c r="EL76" s="689"/>
      <c r="EM76" s="689"/>
      <c r="EN76" s="689"/>
      <c r="EO76" s="689"/>
      <c r="EP76" s="689"/>
      <c r="EQ76" s="689"/>
      <c r="ER76" s="689"/>
      <c r="ES76" s="689"/>
      <c r="ET76" s="689"/>
      <c r="EU76" s="689"/>
      <c r="EV76" s="689"/>
      <c r="EW76" s="689"/>
      <c r="EX76" s="689"/>
      <c r="EY76" s="738"/>
      <c r="EZ76" s="738"/>
      <c r="FA76" s="689"/>
      <c r="FB76" s="689"/>
      <c r="FC76" s="689"/>
      <c r="FD76" s="689"/>
      <c r="FE76" s="689"/>
      <c r="FF76" s="689"/>
      <c r="FG76" s="689"/>
      <c r="FH76" s="689"/>
      <c r="FI76" s="689"/>
      <c r="FJ76" s="689"/>
      <c r="FK76" s="689"/>
      <c r="FL76" s="689"/>
      <c r="FM76" s="689"/>
      <c r="FN76" s="689"/>
      <c r="FO76" s="689"/>
      <c r="FP76" s="689"/>
      <c r="FQ76" s="689"/>
      <c r="FR76" s="689"/>
      <c r="FS76" s="689"/>
      <c r="FT76" s="689"/>
      <c r="FU76" s="689"/>
      <c r="FV76" s="689"/>
      <c r="FW76" s="689"/>
      <c r="FX76" s="689"/>
      <c r="FY76" s="689"/>
      <c r="FZ76" s="689"/>
      <c r="GA76" s="689">
        <f t="shared" si="242"/>
        <v>0</v>
      </c>
      <c r="GB76" s="689"/>
      <c r="GC76" s="689"/>
      <c r="GD76" s="738"/>
      <c r="GE76" s="689"/>
      <c r="GF76" s="689"/>
      <c r="GG76" s="689"/>
      <c r="GH76" s="689"/>
      <c r="GI76" s="689"/>
      <c r="GJ76" s="689"/>
      <c r="GK76" s="689"/>
      <c r="GL76" s="689"/>
      <c r="GM76" s="689"/>
      <c r="GN76" s="689"/>
      <c r="HC76" s="730"/>
      <c r="HD76" s="739"/>
      <c r="HE76" s="737"/>
      <c r="HF76" s="737"/>
    </row>
    <row r="77" spans="1:214" ht="13.9" customHeight="1" x14ac:dyDescent="0.2">
      <c r="A77" s="731" t="s">
        <v>426</v>
      </c>
      <c r="AB77" s="688">
        <f t="shared" ref="AB77:AM77" si="302">SUM(AB78:AB80)</f>
        <v>804</v>
      </c>
      <c r="AC77" s="688">
        <f t="shared" si="302"/>
        <v>3612</v>
      </c>
      <c r="AD77" s="688">
        <f t="shared" si="302"/>
        <v>8195</v>
      </c>
      <c r="AE77" s="688">
        <f t="shared" si="302"/>
        <v>99</v>
      </c>
      <c r="AF77" s="688">
        <f t="shared" si="302"/>
        <v>68</v>
      </c>
      <c r="AG77" s="688">
        <f t="shared" si="302"/>
        <v>1010</v>
      </c>
      <c r="AH77" s="688">
        <f t="shared" si="302"/>
        <v>7446</v>
      </c>
      <c r="AI77" s="688">
        <f t="shared" si="302"/>
        <v>0</v>
      </c>
      <c r="AJ77" s="688">
        <f t="shared" si="302"/>
        <v>340</v>
      </c>
      <c r="AK77" s="688">
        <f t="shared" si="302"/>
        <v>661</v>
      </c>
      <c r="AL77" s="688">
        <f t="shared" si="302"/>
        <v>257</v>
      </c>
      <c r="AM77" s="688">
        <f t="shared" si="302"/>
        <v>423</v>
      </c>
      <c r="AN77" s="732">
        <f t="shared" ref="AN77:AN85" si="303">SUM(AB77:AM77)</f>
        <v>22915</v>
      </c>
      <c r="AO77" s="688">
        <f t="shared" ref="AO77:AZ77" si="304">SUM(AO78:AO80)</f>
        <v>60</v>
      </c>
      <c r="AP77" s="688">
        <f t="shared" si="304"/>
        <v>4175</v>
      </c>
      <c r="AQ77" s="688">
        <f t="shared" si="304"/>
        <v>19566</v>
      </c>
      <c r="AR77" s="688">
        <f t="shared" si="304"/>
        <v>0</v>
      </c>
      <c r="AS77" s="688">
        <f t="shared" si="304"/>
        <v>0</v>
      </c>
      <c r="AT77" s="688">
        <f t="shared" si="304"/>
        <v>1069</v>
      </c>
      <c r="AU77" s="688">
        <f t="shared" si="304"/>
        <v>869</v>
      </c>
      <c r="AV77" s="688">
        <f t="shared" si="304"/>
        <v>186</v>
      </c>
      <c r="AW77" s="688">
        <f t="shared" si="304"/>
        <v>0</v>
      </c>
      <c r="AX77" s="688">
        <f t="shared" si="304"/>
        <v>8596</v>
      </c>
      <c r="AY77" s="688">
        <f t="shared" si="304"/>
        <v>0</v>
      </c>
      <c r="AZ77" s="688">
        <f t="shared" si="304"/>
        <v>3607</v>
      </c>
      <c r="BA77" s="688">
        <f t="shared" ref="BA77:BA85" si="305">SUM(AO77:AZ77)</f>
        <v>38128</v>
      </c>
      <c r="BB77" s="688">
        <f t="shared" ref="BB77:CM77" si="306">SUM(BB78:BB80)</f>
        <v>0</v>
      </c>
      <c r="BC77" s="688">
        <f t="shared" si="306"/>
        <v>0</v>
      </c>
      <c r="BD77" s="688">
        <f t="shared" si="306"/>
        <v>22172</v>
      </c>
      <c r="BE77" s="688">
        <f t="shared" si="306"/>
        <v>608</v>
      </c>
      <c r="BF77" s="688">
        <f t="shared" si="306"/>
        <v>531</v>
      </c>
      <c r="BG77" s="688">
        <f t="shared" si="306"/>
        <v>833</v>
      </c>
      <c r="BH77" s="688">
        <f t="shared" si="306"/>
        <v>4</v>
      </c>
      <c r="BI77" s="688">
        <f t="shared" si="306"/>
        <v>0</v>
      </c>
      <c r="BJ77" s="688">
        <f t="shared" si="306"/>
        <v>0</v>
      </c>
      <c r="BK77" s="688">
        <f t="shared" si="306"/>
        <v>0</v>
      </c>
      <c r="BL77" s="688">
        <f t="shared" si="306"/>
        <v>2015</v>
      </c>
      <c r="BM77" s="688">
        <f t="shared" si="306"/>
        <v>0</v>
      </c>
      <c r="BN77" s="688">
        <f t="shared" ref="BN77:BN85" si="307">SUM(BB77:BM77)</f>
        <v>26163</v>
      </c>
      <c r="BO77" s="688">
        <f t="shared" si="306"/>
        <v>4504</v>
      </c>
      <c r="BP77" s="688">
        <f t="shared" si="306"/>
        <v>4417</v>
      </c>
      <c r="BQ77" s="688">
        <f t="shared" si="306"/>
        <v>25849</v>
      </c>
      <c r="BR77" s="688">
        <f t="shared" si="306"/>
        <v>874</v>
      </c>
      <c r="BS77" s="688">
        <f t="shared" si="306"/>
        <v>1</v>
      </c>
      <c r="BT77" s="688">
        <f t="shared" si="306"/>
        <v>211</v>
      </c>
      <c r="BU77" s="688">
        <f t="shared" si="306"/>
        <v>86</v>
      </c>
      <c r="BV77" s="688">
        <f t="shared" si="306"/>
        <v>3003</v>
      </c>
      <c r="BW77" s="688">
        <f t="shared" si="306"/>
        <v>80</v>
      </c>
      <c r="BX77" s="688">
        <f t="shared" si="306"/>
        <v>-4</v>
      </c>
      <c r="BY77" s="688">
        <f t="shared" si="306"/>
        <v>0</v>
      </c>
      <c r="BZ77" s="688">
        <f t="shared" si="306"/>
        <v>73</v>
      </c>
      <c r="CA77" s="688">
        <f t="shared" si="215"/>
        <v>39094</v>
      </c>
      <c r="CB77" s="688">
        <f t="shared" si="306"/>
        <v>832</v>
      </c>
      <c r="CC77" s="688">
        <f t="shared" si="306"/>
        <v>32622</v>
      </c>
      <c r="CD77" s="688">
        <f t="shared" si="306"/>
        <v>4314</v>
      </c>
      <c r="CE77" s="688">
        <f t="shared" si="306"/>
        <v>1370</v>
      </c>
      <c r="CF77" s="688">
        <f t="shared" si="306"/>
        <v>3180</v>
      </c>
      <c r="CG77" s="688">
        <f t="shared" si="306"/>
        <v>1000</v>
      </c>
      <c r="CH77" s="688">
        <f t="shared" si="306"/>
        <v>0</v>
      </c>
      <c r="CI77" s="688">
        <f t="shared" si="306"/>
        <v>10664</v>
      </c>
      <c r="CJ77" s="688">
        <f t="shared" si="306"/>
        <v>5448</v>
      </c>
      <c r="CK77" s="688">
        <f t="shared" si="306"/>
        <v>1495</v>
      </c>
      <c r="CL77" s="688">
        <f t="shared" si="306"/>
        <v>4786</v>
      </c>
      <c r="CM77" s="688">
        <f t="shared" si="306"/>
        <v>5049</v>
      </c>
      <c r="CN77" s="688">
        <f t="shared" ref="CN77:CN85" si="308">SUM(CB77:CM77)</f>
        <v>70760</v>
      </c>
      <c r="CO77" s="688">
        <f t="shared" ref="CO77:CZ77" si="309">SUM(CO78:CO80)</f>
        <v>400</v>
      </c>
      <c r="CP77" s="688">
        <f t="shared" si="309"/>
        <v>0</v>
      </c>
      <c r="CQ77" s="688">
        <f t="shared" si="309"/>
        <v>29266</v>
      </c>
      <c r="CR77" s="688">
        <f t="shared" si="309"/>
        <v>6041</v>
      </c>
      <c r="CS77" s="688">
        <f t="shared" si="309"/>
        <v>0</v>
      </c>
      <c r="CT77" s="688">
        <f t="shared" si="309"/>
        <v>2397</v>
      </c>
      <c r="CU77" s="688">
        <f t="shared" si="309"/>
        <v>470</v>
      </c>
      <c r="CV77" s="688">
        <f t="shared" si="309"/>
        <v>319</v>
      </c>
      <c r="CW77" s="688">
        <f t="shared" si="309"/>
        <v>1138</v>
      </c>
      <c r="CX77" s="688">
        <f t="shared" si="309"/>
        <v>6738</v>
      </c>
      <c r="CY77" s="688">
        <f t="shared" si="309"/>
        <v>677</v>
      </c>
      <c r="CZ77" s="688">
        <f t="shared" si="309"/>
        <v>2665</v>
      </c>
      <c r="DA77" s="688">
        <f t="shared" ref="DA77:DA85" si="310">SUM(CO77:CZ77)</f>
        <v>50111</v>
      </c>
      <c r="DB77" s="688">
        <f t="shared" ref="DB77:DM77" si="311">SUM(DB78:DB80)</f>
        <v>400</v>
      </c>
      <c r="DC77" s="688">
        <f t="shared" si="311"/>
        <v>0</v>
      </c>
      <c r="DD77" s="688">
        <f t="shared" si="311"/>
        <v>0</v>
      </c>
      <c r="DE77" s="688">
        <f t="shared" si="311"/>
        <v>5616</v>
      </c>
      <c r="DF77" s="688">
        <f t="shared" si="311"/>
        <v>7675</v>
      </c>
      <c r="DG77" s="688">
        <f t="shared" si="311"/>
        <v>0</v>
      </c>
      <c r="DH77" s="688">
        <f t="shared" si="311"/>
        <v>2897</v>
      </c>
      <c r="DI77" s="688">
        <f t="shared" si="311"/>
        <v>0</v>
      </c>
      <c r="DJ77" s="688">
        <f t="shared" si="311"/>
        <v>0</v>
      </c>
      <c r="DK77" s="688">
        <f t="shared" si="311"/>
        <v>0</v>
      </c>
      <c r="DL77" s="688">
        <f t="shared" si="311"/>
        <v>0</v>
      </c>
      <c r="DM77" s="688">
        <f t="shared" si="311"/>
        <v>2600</v>
      </c>
      <c r="DN77" s="688">
        <f t="shared" ref="DN77:DN85" si="312">SUM(DB77:DM77)</f>
        <v>19188</v>
      </c>
      <c r="DO77" s="688">
        <f>SUM(DO78:DO80)</f>
        <v>-9</v>
      </c>
      <c r="DP77" s="688">
        <f t="shared" ref="DP77:DZ77" si="313">SUM(DP78:DP80)</f>
        <v>0</v>
      </c>
      <c r="DQ77" s="688">
        <f t="shared" si="313"/>
        <v>-14</v>
      </c>
      <c r="DR77" s="688">
        <f t="shared" si="313"/>
        <v>0</v>
      </c>
      <c r="DS77" s="688">
        <f t="shared" si="313"/>
        <v>937</v>
      </c>
      <c r="DT77" s="688">
        <f t="shared" si="313"/>
        <v>400</v>
      </c>
      <c r="DU77" s="688">
        <f t="shared" si="313"/>
        <v>8754</v>
      </c>
      <c r="DV77" s="688">
        <f t="shared" si="313"/>
        <v>1641</v>
      </c>
      <c r="DW77" s="688">
        <f t="shared" si="313"/>
        <v>-1</v>
      </c>
      <c r="DX77" s="688">
        <f t="shared" si="313"/>
        <v>369</v>
      </c>
      <c r="DY77" s="688">
        <f t="shared" si="313"/>
        <v>0</v>
      </c>
      <c r="DZ77" s="688">
        <f t="shared" si="313"/>
        <v>-212</v>
      </c>
      <c r="EA77" s="737">
        <f t="shared" si="247"/>
        <v>11865</v>
      </c>
      <c r="EB77" s="688">
        <f>SUM(EB78:EB80)</f>
        <v>0</v>
      </c>
      <c r="EC77" s="688">
        <f t="shared" ref="EC77:EM77" si="314">SUM(EC78:EC80)</f>
        <v>0</v>
      </c>
      <c r="ED77" s="688">
        <f t="shared" si="314"/>
        <v>0</v>
      </c>
      <c r="EE77" s="688">
        <f t="shared" si="314"/>
        <v>0</v>
      </c>
      <c r="EF77" s="688">
        <f t="shared" si="314"/>
        <v>0</v>
      </c>
      <c r="EG77" s="688">
        <f t="shared" si="314"/>
        <v>0</v>
      </c>
      <c r="EH77" s="688">
        <f t="shared" si="314"/>
        <v>0</v>
      </c>
      <c r="EI77" s="688">
        <f t="shared" si="314"/>
        <v>0</v>
      </c>
      <c r="EJ77" s="688">
        <f t="shared" si="314"/>
        <v>0</v>
      </c>
      <c r="EK77" s="688">
        <f t="shared" si="314"/>
        <v>0</v>
      </c>
      <c r="EL77" s="688">
        <f t="shared" si="314"/>
        <v>0</v>
      </c>
      <c r="EM77" s="688">
        <f t="shared" si="314"/>
        <v>0</v>
      </c>
      <c r="EN77" s="688">
        <f t="shared" si="236"/>
        <v>0</v>
      </c>
      <c r="EO77" s="688">
        <f t="shared" ref="EO77:EZ77" si="315">SUM(EO78:EO80)</f>
        <v>-1</v>
      </c>
      <c r="EP77" s="688">
        <f t="shared" si="315"/>
        <v>-12</v>
      </c>
      <c r="EQ77" s="688">
        <f t="shared" si="315"/>
        <v>3646</v>
      </c>
      <c r="ER77" s="688">
        <f t="shared" si="315"/>
        <v>5226</v>
      </c>
      <c r="ES77" s="688">
        <f t="shared" si="315"/>
        <v>3303</v>
      </c>
      <c r="ET77" s="688">
        <f t="shared" si="315"/>
        <v>200</v>
      </c>
      <c r="EU77" s="688">
        <f t="shared" si="315"/>
        <v>-3</v>
      </c>
      <c r="EV77" s="688">
        <f t="shared" si="315"/>
        <v>1995</v>
      </c>
      <c r="EW77" s="688">
        <f t="shared" si="315"/>
        <v>205</v>
      </c>
      <c r="EX77" s="688">
        <f t="shared" si="315"/>
        <v>2070</v>
      </c>
      <c r="EY77" s="733">
        <f t="shared" si="315"/>
        <v>0</v>
      </c>
      <c r="EZ77" s="733">
        <f t="shared" si="315"/>
        <v>-2</v>
      </c>
      <c r="FA77" s="688">
        <f>SUM(EO77:EZ77)</f>
        <v>16627</v>
      </c>
      <c r="FB77" s="688">
        <f t="shared" ref="FB77:FM77" si="316">SUM(FB78:FB80)</f>
        <v>602</v>
      </c>
      <c r="FC77" s="688">
        <f t="shared" si="316"/>
        <v>0</v>
      </c>
      <c r="FD77" s="688">
        <f t="shared" si="316"/>
        <v>3032</v>
      </c>
      <c r="FE77" s="688">
        <f t="shared" si="316"/>
        <v>-4</v>
      </c>
      <c r="FF77" s="688">
        <f t="shared" si="316"/>
        <v>0</v>
      </c>
      <c r="FG77" s="688">
        <f t="shared" si="316"/>
        <v>0</v>
      </c>
      <c r="FH77" s="688">
        <f t="shared" si="316"/>
        <v>0</v>
      </c>
      <c r="FI77" s="688">
        <f t="shared" si="316"/>
        <v>0</v>
      </c>
      <c r="FJ77" s="688">
        <f t="shared" si="316"/>
        <v>200</v>
      </c>
      <c r="FK77" s="688">
        <f t="shared" si="316"/>
        <v>0</v>
      </c>
      <c r="FL77" s="688">
        <f t="shared" si="316"/>
        <v>732</v>
      </c>
      <c r="FM77" s="688">
        <f t="shared" si="316"/>
        <v>4213</v>
      </c>
      <c r="FN77" s="688">
        <f t="shared" si="240"/>
        <v>8775</v>
      </c>
      <c r="FO77" s="688">
        <f t="shared" ref="FO77:FZ77" si="317">SUM(FO78:FO80)</f>
        <v>4173</v>
      </c>
      <c r="FP77" s="688">
        <f t="shared" si="317"/>
        <v>-5</v>
      </c>
      <c r="FQ77" s="688">
        <f t="shared" si="317"/>
        <v>0</v>
      </c>
      <c r="FR77" s="688">
        <f t="shared" si="317"/>
        <v>2988</v>
      </c>
      <c r="FS77" s="688">
        <f t="shared" si="317"/>
        <v>0</v>
      </c>
      <c r="FT77" s="688">
        <f t="shared" si="317"/>
        <v>3708</v>
      </c>
      <c r="FU77" s="688">
        <f t="shared" si="317"/>
        <v>1695</v>
      </c>
      <c r="FV77" s="688">
        <f t="shared" si="317"/>
        <v>1042</v>
      </c>
      <c r="FW77" s="688">
        <f t="shared" si="317"/>
        <v>-5</v>
      </c>
      <c r="FX77" s="688">
        <f t="shared" si="317"/>
        <v>-3</v>
      </c>
      <c r="FY77" s="688">
        <f t="shared" si="317"/>
        <v>60</v>
      </c>
      <c r="FZ77" s="688">
        <f t="shared" si="317"/>
        <v>9187</v>
      </c>
      <c r="GA77" s="688">
        <f t="shared" si="242"/>
        <v>22840</v>
      </c>
      <c r="GB77" s="688">
        <f t="shared" ref="GB77:GM77" si="318">SUM(GB78:GB80)</f>
        <v>0</v>
      </c>
      <c r="GC77" s="688">
        <f t="shared" si="318"/>
        <v>0</v>
      </c>
      <c r="GD77" s="733">
        <f t="shared" si="318"/>
        <v>1652</v>
      </c>
      <c r="GE77" s="688">
        <f t="shared" si="318"/>
        <v>3153</v>
      </c>
      <c r="GF77" s="688">
        <f t="shared" si="318"/>
        <v>4033</v>
      </c>
      <c r="GG77" s="688">
        <f t="shared" si="318"/>
        <v>1996</v>
      </c>
      <c r="GH77" s="688">
        <f t="shared" si="318"/>
        <v>6532</v>
      </c>
      <c r="GI77" s="688">
        <f t="shared" si="318"/>
        <v>200</v>
      </c>
      <c r="GJ77" s="688">
        <f t="shared" si="318"/>
        <v>0</v>
      </c>
      <c r="GK77" s="688">
        <f t="shared" si="318"/>
        <v>1109</v>
      </c>
      <c r="GL77" s="688">
        <f t="shared" si="318"/>
        <v>-9</v>
      </c>
      <c r="GM77" s="688">
        <f t="shared" si="318"/>
        <v>1147</v>
      </c>
      <c r="GN77" s="688">
        <f t="shared" si="127"/>
        <v>19813</v>
      </c>
      <c r="GO77" s="130">
        <f t="shared" ref="GO77:GV77" si="319">SUM(GO78:GO80)</f>
        <v>-519</v>
      </c>
      <c r="GP77" s="130">
        <f t="shared" si="319"/>
        <v>818</v>
      </c>
      <c r="GQ77" s="130">
        <f t="shared" si="319"/>
        <v>1675</v>
      </c>
      <c r="GR77" s="130">
        <f t="shared" si="319"/>
        <v>5306</v>
      </c>
      <c r="GS77" s="130">
        <f t="shared" si="319"/>
        <v>5306</v>
      </c>
      <c r="GT77" s="130">
        <f t="shared" si="319"/>
        <v>1342</v>
      </c>
      <c r="GU77" s="130">
        <f t="shared" si="319"/>
        <v>200</v>
      </c>
      <c r="GV77" s="130">
        <f t="shared" si="319"/>
        <v>-47</v>
      </c>
      <c r="GW77" s="130"/>
      <c r="GX77" s="130"/>
      <c r="GY77" s="130"/>
      <c r="GZ77" s="130"/>
      <c r="HA77" s="130">
        <f t="shared" si="130"/>
        <v>14081</v>
      </c>
      <c r="HC77" s="730">
        <f t="shared" si="113"/>
        <v>-123.49999999999999</v>
      </c>
      <c r="HD77" s="735">
        <f t="shared" si="246"/>
        <v>-19.839462598201074</v>
      </c>
      <c r="HE77" s="732">
        <f t="shared" si="131"/>
        <v>17566</v>
      </c>
      <c r="HF77" s="732">
        <f t="shared" si="141"/>
        <v>14081</v>
      </c>
    </row>
    <row r="78" spans="1:214" ht="13.9" customHeight="1" x14ac:dyDescent="0.2">
      <c r="A78" s="736" t="s">
        <v>410</v>
      </c>
      <c r="AB78" s="689">
        <v>0</v>
      </c>
      <c r="AC78" s="689">
        <v>0</v>
      </c>
      <c r="AD78" s="689">
        <v>0</v>
      </c>
      <c r="AE78" s="689">
        <v>0</v>
      </c>
      <c r="AF78" s="689">
        <v>0</v>
      </c>
      <c r="AG78" s="689">
        <v>0</v>
      </c>
      <c r="AH78" s="689">
        <v>0</v>
      </c>
      <c r="AI78" s="689">
        <v>0</v>
      </c>
      <c r="AJ78" s="689">
        <v>0</v>
      </c>
      <c r="AK78" s="689">
        <v>0</v>
      </c>
      <c r="AL78" s="689">
        <v>0</v>
      </c>
      <c r="AM78" s="689">
        <v>0</v>
      </c>
      <c r="AN78" s="737">
        <f t="shared" si="303"/>
        <v>0</v>
      </c>
      <c r="AO78" s="689">
        <v>0</v>
      </c>
      <c r="AP78" s="689">
        <v>0</v>
      </c>
      <c r="AQ78" s="689">
        <v>0</v>
      </c>
      <c r="AR78" s="689">
        <v>0</v>
      </c>
      <c r="AS78" s="689">
        <v>0</v>
      </c>
      <c r="AT78" s="689">
        <v>0</v>
      </c>
      <c r="AU78" s="689">
        <v>0</v>
      </c>
      <c r="AV78" s="689">
        <v>0</v>
      </c>
      <c r="AW78" s="689">
        <v>0</v>
      </c>
      <c r="AX78" s="689">
        <v>0</v>
      </c>
      <c r="AY78" s="689">
        <v>0</v>
      </c>
      <c r="AZ78" s="689">
        <v>0</v>
      </c>
      <c r="BA78" s="689">
        <f t="shared" si="305"/>
        <v>0</v>
      </c>
      <c r="BB78" s="689">
        <v>0</v>
      </c>
      <c r="BC78" s="689">
        <v>0</v>
      </c>
      <c r="BD78" s="689">
        <v>0</v>
      </c>
      <c r="BE78" s="689">
        <v>0</v>
      </c>
      <c r="BF78" s="689">
        <v>0</v>
      </c>
      <c r="BG78" s="689">
        <v>0</v>
      </c>
      <c r="BH78" s="689">
        <v>0</v>
      </c>
      <c r="BI78" s="689">
        <v>0</v>
      </c>
      <c r="BJ78" s="689">
        <v>0</v>
      </c>
      <c r="BK78" s="689">
        <v>0</v>
      </c>
      <c r="BL78" s="689">
        <v>0</v>
      </c>
      <c r="BM78" s="689">
        <v>0</v>
      </c>
      <c r="BN78" s="689">
        <f t="shared" si="307"/>
        <v>0</v>
      </c>
      <c r="BO78" s="689">
        <v>0</v>
      </c>
      <c r="BP78" s="689">
        <v>0</v>
      </c>
      <c r="BQ78" s="689">
        <v>0</v>
      </c>
      <c r="BR78" s="689">
        <v>0</v>
      </c>
      <c r="BS78" s="689">
        <v>0</v>
      </c>
      <c r="BT78" s="689">
        <v>0</v>
      </c>
      <c r="BU78" s="689">
        <v>0</v>
      </c>
      <c r="BV78" s="689">
        <v>0</v>
      </c>
      <c r="BW78" s="689">
        <v>0</v>
      </c>
      <c r="BX78" s="689">
        <v>0</v>
      </c>
      <c r="BY78" s="689">
        <v>0</v>
      </c>
      <c r="BZ78" s="689">
        <v>0</v>
      </c>
      <c r="CA78" s="689">
        <f t="shared" si="215"/>
        <v>0</v>
      </c>
      <c r="CB78" s="689">
        <v>0</v>
      </c>
      <c r="CC78" s="689">
        <v>0</v>
      </c>
      <c r="CD78" s="689">
        <v>0</v>
      </c>
      <c r="CE78" s="689">
        <v>0</v>
      </c>
      <c r="CF78" s="689">
        <v>0</v>
      </c>
      <c r="CG78" s="689">
        <v>0</v>
      </c>
      <c r="CH78" s="689">
        <v>0</v>
      </c>
      <c r="CI78" s="689">
        <v>0</v>
      </c>
      <c r="CJ78" s="689">
        <v>0</v>
      </c>
      <c r="CK78" s="689">
        <v>0</v>
      </c>
      <c r="CL78" s="689">
        <v>0</v>
      </c>
      <c r="CM78" s="689">
        <v>0</v>
      </c>
      <c r="CN78" s="689">
        <f t="shared" si="308"/>
        <v>0</v>
      </c>
      <c r="CO78" s="689">
        <v>0</v>
      </c>
      <c r="CP78" s="689">
        <v>0</v>
      </c>
      <c r="CQ78" s="689">
        <v>0</v>
      </c>
      <c r="CR78" s="689">
        <v>0</v>
      </c>
      <c r="CS78" s="689">
        <v>0</v>
      </c>
      <c r="CT78" s="689">
        <v>0</v>
      </c>
      <c r="CU78" s="689">
        <v>0</v>
      </c>
      <c r="CV78" s="689">
        <v>0</v>
      </c>
      <c r="CW78" s="689">
        <v>0</v>
      </c>
      <c r="CX78" s="689">
        <v>0</v>
      </c>
      <c r="CY78" s="689">
        <v>0</v>
      </c>
      <c r="CZ78" s="689">
        <v>0</v>
      </c>
      <c r="DA78" s="689">
        <f t="shared" si="310"/>
        <v>0</v>
      </c>
      <c r="DB78" s="689">
        <v>0</v>
      </c>
      <c r="DC78" s="689">
        <v>0</v>
      </c>
      <c r="DD78" s="689">
        <v>0</v>
      </c>
      <c r="DE78" s="689">
        <v>0</v>
      </c>
      <c r="DF78" s="689">
        <v>0</v>
      </c>
      <c r="DG78" s="689">
        <v>0</v>
      </c>
      <c r="DH78" s="689">
        <v>0</v>
      </c>
      <c r="DI78" s="689">
        <v>0</v>
      </c>
      <c r="DJ78" s="689">
        <v>0</v>
      </c>
      <c r="DK78" s="689">
        <v>0</v>
      </c>
      <c r="DL78" s="689">
        <v>0</v>
      </c>
      <c r="DM78" s="689">
        <v>0</v>
      </c>
      <c r="DN78" s="689">
        <f t="shared" si="312"/>
        <v>0</v>
      </c>
      <c r="DO78" s="689">
        <v>0</v>
      </c>
      <c r="DP78" s="689">
        <v>0</v>
      </c>
      <c r="DQ78" s="689">
        <v>0</v>
      </c>
      <c r="DR78" s="689">
        <v>0</v>
      </c>
      <c r="DS78" s="689">
        <v>0</v>
      </c>
      <c r="DT78" s="689">
        <v>0</v>
      </c>
      <c r="DU78" s="689">
        <v>0</v>
      </c>
      <c r="DV78" s="689">
        <v>0</v>
      </c>
      <c r="DW78" s="689">
        <v>0</v>
      </c>
      <c r="DX78" s="689">
        <v>0</v>
      </c>
      <c r="DY78" s="689">
        <v>0</v>
      </c>
      <c r="DZ78" s="689">
        <v>0</v>
      </c>
      <c r="EA78" s="737">
        <f t="shared" si="247"/>
        <v>0</v>
      </c>
      <c r="EB78" s="689">
        <v>0</v>
      </c>
      <c r="EC78" s="689">
        <v>0</v>
      </c>
      <c r="ED78" s="689">
        <v>0</v>
      </c>
      <c r="EE78" s="689">
        <v>0</v>
      </c>
      <c r="EF78" s="689">
        <v>0</v>
      </c>
      <c r="EG78" s="689">
        <v>0</v>
      </c>
      <c r="EH78" s="689">
        <v>0</v>
      </c>
      <c r="EI78" s="689">
        <v>0</v>
      </c>
      <c r="EJ78" s="689">
        <v>0</v>
      </c>
      <c r="EK78" s="689">
        <v>0</v>
      </c>
      <c r="EL78" s="689">
        <v>0</v>
      </c>
      <c r="EM78" s="689">
        <v>0</v>
      </c>
      <c r="EN78" s="689">
        <f t="shared" si="236"/>
        <v>0</v>
      </c>
      <c r="EO78" s="689">
        <v>0</v>
      </c>
      <c r="EP78" s="689">
        <v>0</v>
      </c>
      <c r="EQ78" s="689">
        <v>0</v>
      </c>
      <c r="ER78" s="689">
        <v>0</v>
      </c>
      <c r="ES78" s="689">
        <v>0</v>
      </c>
      <c r="ET78" s="689">
        <v>0</v>
      </c>
      <c r="EU78" s="689">
        <v>0</v>
      </c>
      <c r="EV78" s="689">
        <v>0</v>
      </c>
      <c r="EW78" s="689">
        <v>0</v>
      </c>
      <c r="EX78" s="689">
        <v>0</v>
      </c>
      <c r="EY78" s="738">
        <v>0</v>
      </c>
      <c r="EZ78" s="738">
        <v>0</v>
      </c>
      <c r="FA78" s="689">
        <f t="shared" ref="FA78:FA84" si="320">SUM(EO78:EZ78)</f>
        <v>0</v>
      </c>
      <c r="FB78" s="689">
        <v>0</v>
      </c>
      <c r="FC78" s="689">
        <v>0</v>
      </c>
      <c r="FD78" s="689">
        <v>0</v>
      </c>
      <c r="FE78" s="689">
        <v>0</v>
      </c>
      <c r="FF78" s="689">
        <v>0</v>
      </c>
      <c r="FG78" s="689">
        <v>0</v>
      </c>
      <c r="FH78" s="689">
        <v>0</v>
      </c>
      <c r="FI78" s="689">
        <v>0</v>
      </c>
      <c r="FJ78" s="689">
        <v>0</v>
      </c>
      <c r="FK78" s="689">
        <v>0</v>
      </c>
      <c r="FL78" s="689">
        <v>0</v>
      </c>
      <c r="FM78" s="689">
        <v>0</v>
      </c>
      <c r="FN78" s="689">
        <f t="shared" si="240"/>
        <v>0</v>
      </c>
      <c r="FO78" s="689">
        <v>0</v>
      </c>
      <c r="FP78" s="689">
        <v>0</v>
      </c>
      <c r="FQ78" s="689">
        <v>0</v>
      </c>
      <c r="FR78" s="689">
        <v>0</v>
      </c>
      <c r="FS78" s="689">
        <v>0</v>
      </c>
      <c r="FT78" s="689">
        <v>1348</v>
      </c>
      <c r="FU78" s="689">
        <v>0</v>
      </c>
      <c r="FV78" s="689">
        <v>0</v>
      </c>
      <c r="FW78" s="689">
        <v>0</v>
      </c>
      <c r="FX78" s="689">
        <v>0</v>
      </c>
      <c r="FY78" s="689">
        <v>0</v>
      </c>
      <c r="FZ78" s="689">
        <v>0</v>
      </c>
      <c r="GA78" s="689">
        <f t="shared" si="242"/>
        <v>1348</v>
      </c>
      <c r="GB78" s="689">
        <v>0</v>
      </c>
      <c r="GC78" s="689">
        <v>0</v>
      </c>
      <c r="GD78" s="738">
        <v>0</v>
      </c>
      <c r="GE78" s="689">
        <v>0</v>
      </c>
      <c r="GF78" s="689">
        <v>0</v>
      </c>
      <c r="GG78" s="689">
        <v>0</v>
      </c>
      <c r="GH78" s="689">
        <v>4161</v>
      </c>
      <c r="GI78" s="689">
        <v>0</v>
      </c>
      <c r="GJ78" s="689">
        <v>0</v>
      </c>
      <c r="GK78" s="689">
        <v>0</v>
      </c>
      <c r="GL78" s="689">
        <v>0</v>
      </c>
      <c r="GM78" s="689">
        <v>0</v>
      </c>
      <c r="GN78" s="689">
        <f t="shared" si="127"/>
        <v>4161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HA78">
        <f t="shared" si="130"/>
        <v>0</v>
      </c>
      <c r="HC78" s="730" t="str">
        <f t="shared" si="113"/>
        <v>-</v>
      </c>
      <c r="HD78" s="739">
        <f t="shared" si="246"/>
        <v>-100</v>
      </c>
      <c r="HE78" s="737">
        <f t="shared" si="131"/>
        <v>4161</v>
      </c>
      <c r="HF78" s="737">
        <f t="shared" si="141"/>
        <v>0</v>
      </c>
    </row>
    <row r="79" spans="1:214" ht="13.9" customHeight="1" x14ac:dyDescent="0.2">
      <c r="A79" s="736" t="s">
        <v>411</v>
      </c>
      <c r="AB79" s="689">
        <v>0</v>
      </c>
      <c r="AC79" s="689">
        <v>0</v>
      </c>
      <c r="AD79" s="689">
        <v>870</v>
      </c>
      <c r="AE79" s="689">
        <v>0</v>
      </c>
      <c r="AF79" s="689">
        <v>0</v>
      </c>
      <c r="AG79" s="689">
        <v>0</v>
      </c>
      <c r="AH79" s="689">
        <v>0</v>
      </c>
      <c r="AI79" s="689">
        <v>0</v>
      </c>
      <c r="AJ79" s="689">
        <v>0</v>
      </c>
      <c r="AK79" s="689">
        <v>0</v>
      </c>
      <c r="AL79" s="689">
        <v>0</v>
      </c>
      <c r="AM79" s="689">
        <v>-870</v>
      </c>
      <c r="AN79" s="737">
        <f t="shared" si="303"/>
        <v>0</v>
      </c>
      <c r="AO79" s="689">
        <v>0</v>
      </c>
      <c r="AP79" s="689">
        <v>0</v>
      </c>
      <c r="AQ79" s="689">
        <v>0</v>
      </c>
      <c r="AR79" s="689">
        <v>0</v>
      </c>
      <c r="AS79" s="689">
        <v>0</v>
      </c>
      <c r="AT79" s="689">
        <v>0</v>
      </c>
      <c r="AU79" s="689">
        <v>0</v>
      </c>
      <c r="AV79" s="689">
        <v>0</v>
      </c>
      <c r="AW79" s="689">
        <v>0</v>
      </c>
      <c r="AX79" s="689">
        <v>0</v>
      </c>
      <c r="AY79" s="689">
        <v>0</v>
      </c>
      <c r="AZ79" s="689">
        <v>0</v>
      </c>
      <c r="BA79" s="689">
        <f t="shared" si="305"/>
        <v>0</v>
      </c>
      <c r="BB79" s="689">
        <v>0</v>
      </c>
      <c r="BC79" s="689">
        <v>0</v>
      </c>
      <c r="BD79" s="689">
        <v>0</v>
      </c>
      <c r="BE79" s="689">
        <v>0</v>
      </c>
      <c r="BF79" s="689">
        <v>0</v>
      </c>
      <c r="BG79" s="689">
        <v>0</v>
      </c>
      <c r="BH79" s="689">
        <v>0</v>
      </c>
      <c r="BI79" s="689">
        <v>0</v>
      </c>
      <c r="BJ79" s="689">
        <v>0</v>
      </c>
      <c r="BK79" s="689">
        <v>0</v>
      </c>
      <c r="BL79" s="689">
        <v>0</v>
      </c>
      <c r="BM79" s="689">
        <v>0</v>
      </c>
      <c r="BN79" s="689">
        <f t="shared" si="307"/>
        <v>0</v>
      </c>
      <c r="BO79" s="689">
        <v>0</v>
      </c>
      <c r="BP79" s="689">
        <v>0</v>
      </c>
      <c r="BQ79" s="689">
        <v>0</v>
      </c>
      <c r="BR79" s="689">
        <v>0</v>
      </c>
      <c r="BS79" s="689">
        <v>0</v>
      </c>
      <c r="BT79" s="689">
        <v>0</v>
      </c>
      <c r="BU79" s="689">
        <v>0</v>
      </c>
      <c r="BV79" s="689">
        <v>0</v>
      </c>
      <c r="BW79" s="689">
        <v>0</v>
      </c>
      <c r="BX79" s="689">
        <v>0</v>
      </c>
      <c r="BY79" s="689">
        <v>0</v>
      </c>
      <c r="BZ79" s="689">
        <v>0</v>
      </c>
      <c r="CA79" s="689">
        <f t="shared" si="215"/>
        <v>0</v>
      </c>
      <c r="CB79" s="689">
        <v>0</v>
      </c>
      <c r="CC79" s="689">
        <v>0</v>
      </c>
      <c r="CD79" s="689">
        <v>0</v>
      </c>
      <c r="CE79" s="689">
        <v>0</v>
      </c>
      <c r="CF79" s="689">
        <v>0</v>
      </c>
      <c r="CG79" s="689">
        <v>0</v>
      </c>
      <c r="CH79" s="689">
        <v>0</v>
      </c>
      <c r="CI79" s="689">
        <v>0</v>
      </c>
      <c r="CJ79" s="689">
        <v>0</v>
      </c>
      <c r="CK79" s="689">
        <v>0</v>
      </c>
      <c r="CL79" s="689">
        <v>0</v>
      </c>
      <c r="CM79" s="689">
        <v>0</v>
      </c>
      <c r="CN79" s="689">
        <f t="shared" si="308"/>
        <v>0</v>
      </c>
      <c r="CO79" s="689">
        <v>0</v>
      </c>
      <c r="CP79" s="689">
        <v>0</v>
      </c>
      <c r="CQ79" s="689">
        <v>0</v>
      </c>
      <c r="CR79" s="689">
        <v>0</v>
      </c>
      <c r="CS79" s="689">
        <v>0</v>
      </c>
      <c r="CT79" s="689">
        <v>0</v>
      </c>
      <c r="CU79" s="689">
        <v>0</v>
      </c>
      <c r="CV79" s="689">
        <v>0</v>
      </c>
      <c r="CW79" s="689">
        <v>0</v>
      </c>
      <c r="CX79" s="689">
        <v>0</v>
      </c>
      <c r="CY79" s="689">
        <v>0</v>
      </c>
      <c r="CZ79" s="689">
        <v>0</v>
      </c>
      <c r="DA79" s="689">
        <f t="shared" si="310"/>
        <v>0</v>
      </c>
      <c r="DB79" s="689">
        <v>0</v>
      </c>
      <c r="DC79" s="689">
        <v>0</v>
      </c>
      <c r="DD79" s="689">
        <v>0</v>
      </c>
      <c r="DE79" s="689">
        <v>0</v>
      </c>
      <c r="DF79" s="689">
        <v>0</v>
      </c>
      <c r="DG79" s="689">
        <v>0</v>
      </c>
      <c r="DH79" s="689">
        <v>0</v>
      </c>
      <c r="DI79" s="689">
        <v>0</v>
      </c>
      <c r="DJ79" s="689">
        <v>0</v>
      </c>
      <c r="DK79" s="689">
        <v>0</v>
      </c>
      <c r="DL79" s="689">
        <v>0</v>
      </c>
      <c r="DM79" s="689">
        <v>0</v>
      </c>
      <c r="DN79" s="689">
        <f t="shared" si="312"/>
        <v>0</v>
      </c>
      <c r="DO79" s="689">
        <v>0</v>
      </c>
      <c r="DP79" s="689">
        <v>0</v>
      </c>
      <c r="DQ79" s="689">
        <v>0</v>
      </c>
      <c r="DR79" s="689">
        <v>0</v>
      </c>
      <c r="DS79" s="689">
        <v>0</v>
      </c>
      <c r="DT79" s="689">
        <v>0</v>
      </c>
      <c r="DU79" s="689">
        <v>0</v>
      </c>
      <c r="DV79" s="689">
        <v>0</v>
      </c>
      <c r="DW79" s="689">
        <v>0</v>
      </c>
      <c r="DX79" s="689">
        <v>0</v>
      </c>
      <c r="DY79" s="689">
        <v>0</v>
      </c>
      <c r="DZ79" s="689">
        <v>0</v>
      </c>
      <c r="EA79" s="737">
        <f t="shared" si="247"/>
        <v>0</v>
      </c>
      <c r="EB79" s="689">
        <v>0</v>
      </c>
      <c r="EC79" s="689">
        <v>0</v>
      </c>
      <c r="ED79" s="689">
        <v>0</v>
      </c>
      <c r="EE79" s="689">
        <v>0</v>
      </c>
      <c r="EF79" s="689">
        <v>0</v>
      </c>
      <c r="EG79" s="689">
        <v>0</v>
      </c>
      <c r="EH79" s="689">
        <v>0</v>
      </c>
      <c r="EI79" s="689">
        <v>0</v>
      </c>
      <c r="EJ79" s="689">
        <v>0</v>
      </c>
      <c r="EK79" s="689">
        <v>0</v>
      </c>
      <c r="EL79" s="689">
        <v>0</v>
      </c>
      <c r="EM79" s="689">
        <v>0</v>
      </c>
      <c r="EN79" s="689">
        <f t="shared" si="236"/>
        <v>0</v>
      </c>
      <c r="EO79" s="689">
        <v>0</v>
      </c>
      <c r="EP79" s="689">
        <v>0</v>
      </c>
      <c r="EQ79" s="689">
        <v>0</v>
      </c>
      <c r="ER79" s="689">
        <v>0</v>
      </c>
      <c r="ES79" s="689">
        <v>0</v>
      </c>
      <c r="ET79" s="689">
        <v>0</v>
      </c>
      <c r="EU79" s="689">
        <v>0</v>
      </c>
      <c r="EV79" s="689">
        <v>0</v>
      </c>
      <c r="EW79" s="689">
        <v>0</v>
      </c>
      <c r="EX79" s="689">
        <v>0</v>
      </c>
      <c r="EY79" s="738">
        <v>0</v>
      </c>
      <c r="EZ79" s="738">
        <v>0</v>
      </c>
      <c r="FA79" s="689">
        <f t="shared" si="320"/>
        <v>0</v>
      </c>
      <c r="FB79" s="689">
        <v>0</v>
      </c>
      <c r="FC79" s="689">
        <v>0</v>
      </c>
      <c r="FD79" s="689">
        <v>0</v>
      </c>
      <c r="FE79" s="689">
        <v>0</v>
      </c>
      <c r="FF79" s="689">
        <v>0</v>
      </c>
      <c r="FG79" s="689">
        <v>0</v>
      </c>
      <c r="FH79" s="689">
        <v>0</v>
      </c>
      <c r="FI79" s="689">
        <v>0</v>
      </c>
      <c r="FJ79" s="689">
        <v>0</v>
      </c>
      <c r="FK79" s="689">
        <v>0</v>
      </c>
      <c r="FL79" s="689">
        <v>0</v>
      </c>
      <c r="FM79" s="689">
        <v>0</v>
      </c>
      <c r="FN79" s="689">
        <f t="shared" si="240"/>
        <v>0</v>
      </c>
      <c r="FO79" s="689">
        <v>0</v>
      </c>
      <c r="FP79" s="689">
        <v>0</v>
      </c>
      <c r="FQ79" s="689">
        <v>0</v>
      </c>
      <c r="FR79" s="689">
        <v>0</v>
      </c>
      <c r="FS79" s="689">
        <v>0</v>
      </c>
      <c r="FT79" s="689">
        <v>0</v>
      </c>
      <c r="FU79" s="689">
        <v>0</v>
      </c>
      <c r="FV79" s="689">
        <v>0</v>
      </c>
      <c r="FW79" s="689">
        <v>0</v>
      </c>
      <c r="FX79" s="689">
        <v>0</v>
      </c>
      <c r="FY79" s="689">
        <v>0</v>
      </c>
      <c r="FZ79" s="689">
        <v>0</v>
      </c>
      <c r="GA79" s="689">
        <f t="shared" si="242"/>
        <v>0</v>
      </c>
      <c r="GB79" s="689">
        <v>0</v>
      </c>
      <c r="GC79" s="689">
        <v>0</v>
      </c>
      <c r="GD79" s="738">
        <v>0</v>
      </c>
      <c r="GE79" s="689">
        <v>0</v>
      </c>
      <c r="GF79" s="689">
        <v>0</v>
      </c>
      <c r="GG79" s="689">
        <v>0</v>
      </c>
      <c r="GH79" s="689">
        <v>0</v>
      </c>
      <c r="GI79" s="689">
        <v>0</v>
      </c>
      <c r="GJ79" s="689">
        <v>0</v>
      </c>
      <c r="GK79" s="689">
        <v>0</v>
      </c>
      <c r="GL79" s="689">
        <v>0</v>
      </c>
      <c r="GM79" s="689">
        <v>0</v>
      </c>
      <c r="GN79" s="689">
        <f t="shared" si="127"/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HA79">
        <f t="shared" si="130"/>
        <v>0</v>
      </c>
      <c r="HC79" s="730" t="str">
        <f t="shared" si="113"/>
        <v>-</v>
      </c>
      <c r="HD79" s="739" t="str">
        <f t="shared" si="246"/>
        <v>-</v>
      </c>
      <c r="HE79" s="737">
        <f t="shared" si="131"/>
        <v>0</v>
      </c>
      <c r="HF79" s="737">
        <f t="shared" si="141"/>
        <v>0</v>
      </c>
    </row>
    <row r="80" spans="1:214" ht="13.9" customHeight="1" x14ac:dyDescent="0.2">
      <c r="A80" s="727" t="s">
        <v>412</v>
      </c>
      <c r="AB80" s="690">
        <f t="shared" ref="AB80:AM80" si="321">SUM(AB81:AB85)</f>
        <v>804</v>
      </c>
      <c r="AC80" s="690">
        <f t="shared" si="321"/>
        <v>3612</v>
      </c>
      <c r="AD80" s="690">
        <f t="shared" si="321"/>
        <v>7325</v>
      </c>
      <c r="AE80" s="690">
        <f t="shared" si="321"/>
        <v>99</v>
      </c>
      <c r="AF80" s="690">
        <f t="shared" si="321"/>
        <v>68</v>
      </c>
      <c r="AG80" s="690">
        <f t="shared" si="321"/>
        <v>1010</v>
      </c>
      <c r="AH80" s="690">
        <f t="shared" si="321"/>
        <v>7446</v>
      </c>
      <c r="AI80" s="690">
        <f t="shared" si="321"/>
        <v>0</v>
      </c>
      <c r="AJ80" s="690">
        <f t="shared" si="321"/>
        <v>340</v>
      </c>
      <c r="AK80" s="690">
        <f t="shared" si="321"/>
        <v>661</v>
      </c>
      <c r="AL80" s="690">
        <f t="shared" si="321"/>
        <v>257</v>
      </c>
      <c r="AM80" s="690">
        <f t="shared" si="321"/>
        <v>1293</v>
      </c>
      <c r="AN80" s="728">
        <f t="shared" si="303"/>
        <v>22915</v>
      </c>
      <c r="AO80" s="690">
        <f t="shared" ref="AO80:AZ80" si="322">SUM(AO81:AO85)</f>
        <v>60</v>
      </c>
      <c r="AP80" s="690">
        <f t="shared" si="322"/>
        <v>4175</v>
      </c>
      <c r="AQ80" s="690">
        <f t="shared" si="322"/>
        <v>19566</v>
      </c>
      <c r="AR80" s="690">
        <f t="shared" si="322"/>
        <v>0</v>
      </c>
      <c r="AS80" s="690">
        <f t="shared" si="322"/>
        <v>0</v>
      </c>
      <c r="AT80" s="690">
        <f t="shared" si="322"/>
        <v>1069</v>
      </c>
      <c r="AU80" s="690">
        <f t="shared" si="322"/>
        <v>869</v>
      </c>
      <c r="AV80" s="690">
        <f t="shared" si="322"/>
        <v>186</v>
      </c>
      <c r="AW80" s="690">
        <f t="shared" si="322"/>
        <v>0</v>
      </c>
      <c r="AX80" s="690">
        <f t="shared" si="322"/>
        <v>8596</v>
      </c>
      <c r="AY80" s="690">
        <f t="shared" si="322"/>
        <v>0</v>
      </c>
      <c r="AZ80" s="690">
        <f t="shared" si="322"/>
        <v>3607</v>
      </c>
      <c r="BA80" s="690">
        <f t="shared" si="305"/>
        <v>38128</v>
      </c>
      <c r="BB80" s="690">
        <f t="shared" ref="BB80:CM80" si="323">SUM(BB81:BB85)</f>
        <v>0</v>
      </c>
      <c r="BC80" s="690">
        <f t="shared" si="323"/>
        <v>0</v>
      </c>
      <c r="BD80" s="690">
        <f t="shared" si="323"/>
        <v>22172</v>
      </c>
      <c r="BE80" s="690">
        <f t="shared" si="323"/>
        <v>608</v>
      </c>
      <c r="BF80" s="690">
        <f t="shared" si="323"/>
        <v>531</v>
      </c>
      <c r="BG80" s="690">
        <f t="shared" si="323"/>
        <v>833</v>
      </c>
      <c r="BH80" s="690">
        <f t="shared" si="323"/>
        <v>4</v>
      </c>
      <c r="BI80" s="690">
        <f t="shared" si="323"/>
        <v>0</v>
      </c>
      <c r="BJ80" s="690">
        <f t="shared" si="323"/>
        <v>0</v>
      </c>
      <c r="BK80" s="690">
        <f t="shared" si="323"/>
        <v>0</v>
      </c>
      <c r="BL80" s="690">
        <f t="shared" si="323"/>
        <v>2015</v>
      </c>
      <c r="BM80" s="690">
        <f t="shared" si="323"/>
        <v>0</v>
      </c>
      <c r="BN80" s="690">
        <f t="shared" si="307"/>
        <v>26163</v>
      </c>
      <c r="BO80" s="690">
        <f t="shared" si="323"/>
        <v>4504</v>
      </c>
      <c r="BP80" s="690">
        <f t="shared" si="323"/>
        <v>4417</v>
      </c>
      <c r="BQ80" s="690">
        <f t="shared" si="323"/>
        <v>25849</v>
      </c>
      <c r="BR80" s="690">
        <f t="shared" si="323"/>
        <v>874</v>
      </c>
      <c r="BS80" s="690">
        <f t="shared" si="323"/>
        <v>1</v>
      </c>
      <c r="BT80" s="690">
        <f t="shared" si="323"/>
        <v>211</v>
      </c>
      <c r="BU80" s="690">
        <f t="shared" si="323"/>
        <v>86</v>
      </c>
      <c r="BV80" s="690">
        <f t="shared" si="323"/>
        <v>3003</v>
      </c>
      <c r="BW80" s="690">
        <f t="shared" si="323"/>
        <v>80</v>
      </c>
      <c r="BX80" s="690">
        <f t="shared" si="323"/>
        <v>-4</v>
      </c>
      <c r="BY80" s="690">
        <f t="shared" si="323"/>
        <v>0</v>
      </c>
      <c r="BZ80" s="690">
        <f t="shared" si="323"/>
        <v>73</v>
      </c>
      <c r="CA80" s="690">
        <f t="shared" si="215"/>
        <v>39094</v>
      </c>
      <c r="CB80" s="690">
        <f t="shared" si="323"/>
        <v>832</v>
      </c>
      <c r="CC80" s="690">
        <f t="shared" si="323"/>
        <v>32622</v>
      </c>
      <c r="CD80" s="690">
        <f t="shared" si="323"/>
        <v>4314</v>
      </c>
      <c r="CE80" s="690">
        <f t="shared" si="323"/>
        <v>1370</v>
      </c>
      <c r="CF80" s="690">
        <f t="shared" si="323"/>
        <v>3180</v>
      </c>
      <c r="CG80" s="690">
        <f t="shared" si="323"/>
        <v>1000</v>
      </c>
      <c r="CH80" s="690">
        <f t="shared" si="323"/>
        <v>0</v>
      </c>
      <c r="CI80" s="690">
        <f t="shared" si="323"/>
        <v>10664</v>
      </c>
      <c r="CJ80" s="690">
        <f t="shared" si="323"/>
        <v>5448</v>
      </c>
      <c r="CK80" s="690">
        <f t="shared" si="323"/>
        <v>1495</v>
      </c>
      <c r="CL80" s="690">
        <f t="shared" si="323"/>
        <v>4786</v>
      </c>
      <c r="CM80" s="690">
        <f t="shared" si="323"/>
        <v>5049</v>
      </c>
      <c r="CN80" s="690">
        <f t="shared" si="308"/>
        <v>70760</v>
      </c>
      <c r="CO80" s="690">
        <f t="shared" ref="CO80:CZ80" si="324">SUM(CO81:CO85)</f>
        <v>400</v>
      </c>
      <c r="CP80" s="690">
        <f t="shared" si="324"/>
        <v>0</v>
      </c>
      <c r="CQ80" s="690">
        <f t="shared" si="324"/>
        <v>29266</v>
      </c>
      <c r="CR80" s="690">
        <f t="shared" si="324"/>
        <v>6041</v>
      </c>
      <c r="CS80" s="690">
        <f t="shared" si="324"/>
        <v>0</v>
      </c>
      <c r="CT80" s="690">
        <f t="shared" si="324"/>
        <v>2397</v>
      </c>
      <c r="CU80" s="690">
        <f t="shared" si="324"/>
        <v>470</v>
      </c>
      <c r="CV80" s="690">
        <f t="shared" si="324"/>
        <v>319</v>
      </c>
      <c r="CW80" s="690">
        <f t="shared" si="324"/>
        <v>1138</v>
      </c>
      <c r="CX80" s="690">
        <f t="shared" si="324"/>
        <v>6738</v>
      </c>
      <c r="CY80" s="690">
        <f t="shared" si="324"/>
        <v>677</v>
      </c>
      <c r="CZ80" s="690">
        <f t="shared" si="324"/>
        <v>2665</v>
      </c>
      <c r="DA80" s="690">
        <f t="shared" si="310"/>
        <v>50111</v>
      </c>
      <c r="DB80" s="690">
        <f t="shared" ref="DB80:DM80" si="325">SUM(DB81:DB85)</f>
        <v>400</v>
      </c>
      <c r="DC80" s="690">
        <f t="shared" si="325"/>
        <v>0</v>
      </c>
      <c r="DD80" s="690">
        <f t="shared" si="325"/>
        <v>0</v>
      </c>
      <c r="DE80" s="690">
        <f t="shared" si="325"/>
        <v>5616</v>
      </c>
      <c r="DF80" s="690">
        <f t="shared" si="325"/>
        <v>7675</v>
      </c>
      <c r="DG80" s="690">
        <f t="shared" si="325"/>
        <v>0</v>
      </c>
      <c r="DH80" s="690">
        <f t="shared" si="325"/>
        <v>2897</v>
      </c>
      <c r="DI80" s="690">
        <f t="shared" si="325"/>
        <v>0</v>
      </c>
      <c r="DJ80" s="690">
        <f t="shared" si="325"/>
        <v>0</v>
      </c>
      <c r="DK80" s="690">
        <f t="shared" si="325"/>
        <v>0</v>
      </c>
      <c r="DL80" s="690">
        <f t="shared" si="325"/>
        <v>0</v>
      </c>
      <c r="DM80" s="690">
        <f t="shared" si="325"/>
        <v>2600</v>
      </c>
      <c r="DN80" s="690">
        <f t="shared" si="312"/>
        <v>19188</v>
      </c>
      <c r="DO80" s="690">
        <f t="shared" ref="DO80:DX80" si="326">SUM(DO81:DO85)</f>
        <v>-9</v>
      </c>
      <c r="DP80" s="690">
        <f t="shared" si="326"/>
        <v>0</v>
      </c>
      <c r="DQ80" s="690">
        <f t="shared" si="326"/>
        <v>-14</v>
      </c>
      <c r="DR80" s="690">
        <f t="shared" si="326"/>
        <v>0</v>
      </c>
      <c r="DS80" s="690">
        <f t="shared" si="326"/>
        <v>937</v>
      </c>
      <c r="DT80" s="690">
        <f t="shared" si="326"/>
        <v>400</v>
      </c>
      <c r="DU80" s="690">
        <f t="shared" si="326"/>
        <v>8754</v>
      </c>
      <c r="DV80" s="690">
        <f t="shared" si="326"/>
        <v>1641</v>
      </c>
      <c r="DW80" s="690">
        <f t="shared" si="326"/>
        <v>-1</v>
      </c>
      <c r="DX80" s="690">
        <f t="shared" si="326"/>
        <v>369</v>
      </c>
      <c r="DY80" s="690">
        <f>SUM(DY81:DY85)</f>
        <v>0</v>
      </c>
      <c r="DZ80" s="690">
        <f>SUM(DZ81:DZ85)</f>
        <v>-212</v>
      </c>
      <c r="EA80" s="737">
        <f t="shared" si="247"/>
        <v>11865</v>
      </c>
      <c r="EB80" s="690">
        <f t="shared" ref="EB80:EM80" si="327">SUM(EB81:EB85)</f>
        <v>0</v>
      </c>
      <c r="EC80" s="690">
        <f t="shared" si="327"/>
        <v>0</v>
      </c>
      <c r="ED80" s="690">
        <f t="shared" si="327"/>
        <v>0</v>
      </c>
      <c r="EE80" s="690">
        <f t="shared" si="327"/>
        <v>0</v>
      </c>
      <c r="EF80" s="690">
        <f t="shared" si="327"/>
        <v>0</v>
      </c>
      <c r="EG80" s="690">
        <f t="shared" si="327"/>
        <v>0</v>
      </c>
      <c r="EH80" s="690">
        <f t="shared" si="327"/>
        <v>0</v>
      </c>
      <c r="EI80" s="690">
        <f t="shared" si="327"/>
        <v>0</v>
      </c>
      <c r="EJ80" s="690">
        <f t="shared" si="327"/>
        <v>0</v>
      </c>
      <c r="EK80" s="690">
        <f t="shared" si="327"/>
        <v>0</v>
      </c>
      <c r="EL80" s="690">
        <f t="shared" si="327"/>
        <v>0</v>
      </c>
      <c r="EM80" s="690">
        <f t="shared" si="327"/>
        <v>0</v>
      </c>
      <c r="EN80" s="690">
        <f t="shared" si="236"/>
        <v>0</v>
      </c>
      <c r="EO80" s="690">
        <f t="shared" ref="EO80:EZ80" si="328">SUM(EO81:EO85)</f>
        <v>-1</v>
      </c>
      <c r="EP80" s="690">
        <f t="shared" si="328"/>
        <v>-12</v>
      </c>
      <c r="EQ80" s="690">
        <f t="shared" si="328"/>
        <v>3646</v>
      </c>
      <c r="ER80" s="690">
        <f t="shared" si="328"/>
        <v>5226</v>
      </c>
      <c r="ES80" s="690">
        <f t="shared" si="328"/>
        <v>3303</v>
      </c>
      <c r="ET80" s="690">
        <f t="shared" si="328"/>
        <v>200</v>
      </c>
      <c r="EU80" s="690">
        <f t="shared" si="328"/>
        <v>-3</v>
      </c>
      <c r="EV80" s="690">
        <f t="shared" si="328"/>
        <v>1995</v>
      </c>
      <c r="EW80" s="690">
        <f t="shared" si="328"/>
        <v>205</v>
      </c>
      <c r="EX80" s="690">
        <f t="shared" si="328"/>
        <v>2070</v>
      </c>
      <c r="EY80" s="740">
        <f t="shared" si="328"/>
        <v>0</v>
      </c>
      <c r="EZ80" s="740">
        <f t="shared" si="328"/>
        <v>-2</v>
      </c>
      <c r="FA80" s="690">
        <f t="shared" si="320"/>
        <v>16627</v>
      </c>
      <c r="FB80" s="690">
        <f t="shared" ref="FB80:FM80" si="329">SUM(FB81:FB85)</f>
        <v>602</v>
      </c>
      <c r="FC80" s="690">
        <f t="shared" si="329"/>
        <v>0</v>
      </c>
      <c r="FD80" s="690">
        <f t="shared" si="329"/>
        <v>3032</v>
      </c>
      <c r="FE80" s="690">
        <f t="shared" si="329"/>
        <v>-4</v>
      </c>
      <c r="FF80" s="690">
        <f t="shared" si="329"/>
        <v>0</v>
      </c>
      <c r="FG80" s="690">
        <f t="shared" si="329"/>
        <v>0</v>
      </c>
      <c r="FH80" s="690">
        <f t="shared" si="329"/>
        <v>0</v>
      </c>
      <c r="FI80" s="690">
        <f t="shared" si="329"/>
        <v>0</v>
      </c>
      <c r="FJ80" s="690">
        <f t="shared" si="329"/>
        <v>200</v>
      </c>
      <c r="FK80" s="690">
        <f t="shared" si="329"/>
        <v>0</v>
      </c>
      <c r="FL80" s="690">
        <f t="shared" si="329"/>
        <v>732</v>
      </c>
      <c r="FM80" s="690">
        <f t="shared" si="329"/>
        <v>4213</v>
      </c>
      <c r="FN80" s="690">
        <f t="shared" si="240"/>
        <v>8775</v>
      </c>
      <c r="FO80" s="690">
        <f t="shared" ref="FO80:FZ80" si="330">SUM(FO81:FO85)</f>
        <v>4173</v>
      </c>
      <c r="FP80" s="690">
        <f t="shared" si="330"/>
        <v>-5</v>
      </c>
      <c r="FQ80" s="690">
        <f t="shared" si="330"/>
        <v>0</v>
      </c>
      <c r="FR80" s="690">
        <f t="shared" si="330"/>
        <v>2988</v>
      </c>
      <c r="FS80" s="690">
        <f t="shared" si="330"/>
        <v>0</v>
      </c>
      <c r="FT80" s="690">
        <f t="shared" si="330"/>
        <v>2360</v>
      </c>
      <c r="FU80" s="690">
        <f t="shared" si="330"/>
        <v>1695</v>
      </c>
      <c r="FV80" s="690">
        <f t="shared" si="330"/>
        <v>1042</v>
      </c>
      <c r="FW80" s="690">
        <f t="shared" si="330"/>
        <v>-5</v>
      </c>
      <c r="FX80" s="690">
        <f t="shared" si="330"/>
        <v>-3</v>
      </c>
      <c r="FY80" s="690">
        <f t="shared" si="330"/>
        <v>60</v>
      </c>
      <c r="FZ80" s="690">
        <f t="shared" si="330"/>
        <v>9187</v>
      </c>
      <c r="GA80" s="690">
        <f t="shared" si="242"/>
        <v>21492</v>
      </c>
      <c r="GB80" s="690">
        <f t="shared" ref="GB80:GM80" si="331">SUM(GB81:GB85)</f>
        <v>0</v>
      </c>
      <c r="GC80" s="690">
        <f t="shared" si="331"/>
        <v>0</v>
      </c>
      <c r="GD80" s="740">
        <f t="shared" si="331"/>
        <v>1652</v>
      </c>
      <c r="GE80" s="690">
        <f t="shared" si="331"/>
        <v>3153</v>
      </c>
      <c r="GF80" s="690">
        <f t="shared" si="331"/>
        <v>4033</v>
      </c>
      <c r="GG80" s="690">
        <f t="shared" si="331"/>
        <v>1996</v>
      </c>
      <c r="GH80" s="690">
        <f t="shared" si="331"/>
        <v>2371</v>
      </c>
      <c r="GI80" s="690">
        <f t="shared" si="331"/>
        <v>200</v>
      </c>
      <c r="GJ80" s="690">
        <f t="shared" si="331"/>
        <v>0</v>
      </c>
      <c r="GK80" s="690">
        <f t="shared" si="331"/>
        <v>1109</v>
      </c>
      <c r="GL80" s="690">
        <f t="shared" si="331"/>
        <v>-9</v>
      </c>
      <c r="GM80" s="690">
        <f t="shared" si="331"/>
        <v>1147</v>
      </c>
      <c r="GN80" s="690">
        <f t="shared" si="127"/>
        <v>15652</v>
      </c>
      <c r="GO80" s="129">
        <f t="shared" ref="GO80:GV80" si="332">SUM(GO81:GO85)</f>
        <v>-519</v>
      </c>
      <c r="GP80" s="129">
        <f t="shared" si="332"/>
        <v>818</v>
      </c>
      <c r="GQ80" s="129">
        <f t="shared" si="332"/>
        <v>1675</v>
      </c>
      <c r="GR80" s="129">
        <f t="shared" si="332"/>
        <v>5306</v>
      </c>
      <c r="GS80" s="129">
        <f t="shared" si="332"/>
        <v>5306</v>
      </c>
      <c r="GT80" s="129">
        <f t="shared" si="332"/>
        <v>1342</v>
      </c>
      <c r="GU80" s="129">
        <f t="shared" si="332"/>
        <v>200</v>
      </c>
      <c r="GV80" s="129">
        <f t="shared" si="332"/>
        <v>-47</v>
      </c>
      <c r="GW80" s="129"/>
      <c r="GX80" s="129"/>
      <c r="GY80" s="129"/>
      <c r="GZ80" s="129"/>
      <c r="HA80" s="129">
        <f t="shared" si="130"/>
        <v>14081</v>
      </c>
      <c r="HC80" s="730">
        <f t="shared" si="113"/>
        <v>-123.49999999999999</v>
      </c>
      <c r="HD80" s="741">
        <f t="shared" si="246"/>
        <v>5.0428944423722477</v>
      </c>
      <c r="HE80" s="728">
        <f t="shared" si="131"/>
        <v>13405</v>
      </c>
      <c r="HF80" s="728">
        <f t="shared" si="141"/>
        <v>14081</v>
      </c>
    </row>
    <row r="81" spans="1:214" ht="13.9" customHeight="1" x14ac:dyDescent="0.2">
      <c r="A81" s="736" t="s">
        <v>413</v>
      </c>
      <c r="AB81" s="689">
        <v>704</v>
      </c>
      <c r="AC81" s="689">
        <v>3612</v>
      </c>
      <c r="AD81" s="689">
        <v>3406</v>
      </c>
      <c r="AE81" s="689">
        <v>99</v>
      </c>
      <c r="AF81" s="689">
        <v>36</v>
      </c>
      <c r="AG81" s="689">
        <v>136</v>
      </c>
      <c r="AH81" s="689">
        <v>872</v>
      </c>
      <c r="AI81" s="689">
        <v>0</v>
      </c>
      <c r="AJ81" s="689">
        <v>340</v>
      </c>
      <c r="AK81" s="689">
        <v>500</v>
      </c>
      <c r="AL81" s="689">
        <v>257</v>
      </c>
      <c r="AM81" s="689">
        <v>423</v>
      </c>
      <c r="AN81" s="737">
        <f t="shared" si="303"/>
        <v>10385</v>
      </c>
      <c r="AO81" s="689">
        <v>60</v>
      </c>
      <c r="AP81" s="689">
        <v>4175</v>
      </c>
      <c r="AQ81" s="689">
        <v>500</v>
      </c>
      <c r="AR81" s="689">
        <v>0</v>
      </c>
      <c r="AS81" s="689">
        <v>0</v>
      </c>
      <c r="AT81" s="689">
        <v>1069</v>
      </c>
      <c r="AU81" s="689">
        <v>798</v>
      </c>
      <c r="AV81" s="689">
        <v>186</v>
      </c>
      <c r="AW81" s="689">
        <v>0</v>
      </c>
      <c r="AX81" s="689">
        <v>1171</v>
      </c>
      <c r="AY81" s="689">
        <v>0</v>
      </c>
      <c r="AZ81" s="689">
        <v>0</v>
      </c>
      <c r="BA81" s="689">
        <f t="shared" si="305"/>
        <v>7959</v>
      </c>
      <c r="BB81" s="689">
        <v>0</v>
      </c>
      <c r="BC81" s="689">
        <v>0</v>
      </c>
      <c r="BD81" s="689">
        <v>500</v>
      </c>
      <c r="BE81" s="689">
        <v>608</v>
      </c>
      <c r="BF81" s="689">
        <v>531</v>
      </c>
      <c r="BG81" s="689">
        <v>833</v>
      </c>
      <c r="BH81" s="689">
        <v>4</v>
      </c>
      <c r="BI81" s="689">
        <v>0</v>
      </c>
      <c r="BJ81" s="689">
        <v>0</v>
      </c>
      <c r="BK81" s="689">
        <v>0</v>
      </c>
      <c r="BL81" s="689">
        <v>0</v>
      </c>
      <c r="BM81" s="689">
        <v>0</v>
      </c>
      <c r="BN81" s="689">
        <f t="shared" si="307"/>
        <v>2476</v>
      </c>
      <c r="BO81" s="689">
        <v>3546</v>
      </c>
      <c r="BP81" s="689">
        <v>0</v>
      </c>
      <c r="BQ81" s="689">
        <v>4</v>
      </c>
      <c r="BR81" s="689">
        <v>874</v>
      </c>
      <c r="BS81" s="689">
        <v>1</v>
      </c>
      <c r="BT81" s="689">
        <v>527</v>
      </c>
      <c r="BU81" s="689">
        <v>86</v>
      </c>
      <c r="BV81" s="689">
        <v>2777</v>
      </c>
      <c r="BW81" s="689">
        <v>0</v>
      </c>
      <c r="BX81" s="689">
        <v>0</v>
      </c>
      <c r="BY81" s="689">
        <v>0</v>
      </c>
      <c r="BZ81" s="689">
        <v>0</v>
      </c>
      <c r="CA81" s="689">
        <f t="shared" si="215"/>
        <v>7815</v>
      </c>
      <c r="CB81" s="689">
        <v>832</v>
      </c>
      <c r="CC81" s="689">
        <v>4736</v>
      </c>
      <c r="CD81" s="689">
        <v>4314</v>
      </c>
      <c r="CE81" s="689">
        <v>1370</v>
      </c>
      <c r="CF81" s="689">
        <v>3180</v>
      </c>
      <c r="CG81" s="689">
        <v>1000</v>
      </c>
      <c r="CH81" s="689">
        <v>0</v>
      </c>
      <c r="CI81" s="689">
        <v>3332</v>
      </c>
      <c r="CJ81" s="689">
        <v>5448</v>
      </c>
      <c r="CK81" s="689">
        <v>1495</v>
      </c>
      <c r="CL81" s="689">
        <v>1832</v>
      </c>
      <c r="CM81" s="689">
        <v>5049</v>
      </c>
      <c r="CN81" s="689">
        <f t="shared" si="308"/>
        <v>32588</v>
      </c>
      <c r="CO81" s="689">
        <v>400</v>
      </c>
      <c r="CP81" s="689">
        <v>0</v>
      </c>
      <c r="CQ81" s="689">
        <v>5402</v>
      </c>
      <c r="CR81" s="689">
        <v>6041</v>
      </c>
      <c r="CS81" s="689"/>
      <c r="CT81" s="689">
        <v>2397</v>
      </c>
      <c r="CU81" s="689">
        <v>340</v>
      </c>
      <c r="CV81" s="689">
        <v>232</v>
      </c>
      <c r="CW81" s="689">
        <v>1138</v>
      </c>
      <c r="CX81" s="689">
        <v>0</v>
      </c>
      <c r="CY81" s="689">
        <v>527</v>
      </c>
      <c r="CZ81" s="689">
        <v>182</v>
      </c>
      <c r="DA81" s="689">
        <f t="shared" si="310"/>
        <v>16659</v>
      </c>
      <c r="DB81" s="689">
        <v>400</v>
      </c>
      <c r="DC81" s="689">
        <v>0</v>
      </c>
      <c r="DD81" s="689">
        <v>0</v>
      </c>
      <c r="DE81" s="689">
        <v>5616</v>
      </c>
      <c r="DF81" s="689">
        <v>2734</v>
      </c>
      <c r="DG81" s="689">
        <v>0</v>
      </c>
      <c r="DH81" s="689">
        <v>2897</v>
      </c>
      <c r="DI81" s="689">
        <v>0</v>
      </c>
      <c r="DJ81" s="689">
        <v>0</v>
      </c>
      <c r="DK81" s="689">
        <v>0</v>
      </c>
      <c r="DL81" s="689">
        <v>0</v>
      </c>
      <c r="DM81" s="689">
        <v>2600</v>
      </c>
      <c r="DN81" s="689">
        <f t="shared" si="312"/>
        <v>14247</v>
      </c>
      <c r="DO81" s="689">
        <v>-9</v>
      </c>
      <c r="DP81" s="689">
        <v>0</v>
      </c>
      <c r="DQ81" s="689">
        <v>-14</v>
      </c>
      <c r="DR81" s="689">
        <v>0</v>
      </c>
      <c r="DS81" s="689">
        <v>937</v>
      </c>
      <c r="DT81" s="689">
        <v>400</v>
      </c>
      <c r="DU81" s="689">
        <v>8655</v>
      </c>
      <c r="DV81" s="689">
        <v>1641</v>
      </c>
      <c r="DW81" s="689">
        <v>0</v>
      </c>
      <c r="DX81" s="689">
        <v>369</v>
      </c>
      <c r="DY81" s="689">
        <v>0</v>
      </c>
      <c r="DZ81" s="689">
        <v>0</v>
      </c>
      <c r="EA81" s="737">
        <f t="shared" si="247"/>
        <v>11979</v>
      </c>
      <c r="EB81" s="689">
        <v>0</v>
      </c>
      <c r="EC81" s="689">
        <v>0</v>
      </c>
      <c r="ED81" s="689">
        <v>0</v>
      </c>
      <c r="EE81" s="689">
        <v>0</v>
      </c>
      <c r="EF81" s="689">
        <v>0</v>
      </c>
      <c r="EG81" s="689">
        <v>0</v>
      </c>
      <c r="EH81" s="689">
        <v>0</v>
      </c>
      <c r="EI81" s="689">
        <v>0</v>
      </c>
      <c r="EJ81" s="689">
        <v>0</v>
      </c>
      <c r="EK81" s="689">
        <v>0</v>
      </c>
      <c r="EL81" s="689">
        <v>0</v>
      </c>
      <c r="EM81" s="689">
        <v>0</v>
      </c>
      <c r="EN81" s="689">
        <f t="shared" si="236"/>
        <v>0</v>
      </c>
      <c r="EO81" s="689">
        <v>-1</v>
      </c>
      <c r="EP81" s="689">
        <v>-12</v>
      </c>
      <c r="EQ81" s="689">
        <v>3596</v>
      </c>
      <c r="ER81" s="689">
        <v>5226</v>
      </c>
      <c r="ES81" s="689">
        <v>3253</v>
      </c>
      <c r="ET81" s="689">
        <v>200</v>
      </c>
      <c r="EU81" s="689">
        <v>-3</v>
      </c>
      <c r="EV81" s="689">
        <v>1995</v>
      </c>
      <c r="EW81" s="689">
        <v>0</v>
      </c>
      <c r="EX81" s="689">
        <v>0</v>
      </c>
      <c r="EY81" s="738">
        <v>0</v>
      </c>
      <c r="EZ81" s="738">
        <v>-2</v>
      </c>
      <c r="FA81" s="689">
        <f t="shared" si="320"/>
        <v>14252</v>
      </c>
      <c r="FB81" s="689">
        <v>602</v>
      </c>
      <c r="FC81" s="689">
        <v>0</v>
      </c>
      <c r="FD81" s="689">
        <v>3032</v>
      </c>
      <c r="FE81" s="689">
        <v>-4</v>
      </c>
      <c r="FF81" s="689">
        <v>0</v>
      </c>
      <c r="FG81" s="689">
        <v>0</v>
      </c>
      <c r="FH81" s="689">
        <v>0</v>
      </c>
      <c r="FI81" s="689">
        <v>0</v>
      </c>
      <c r="FJ81" s="689">
        <v>0</v>
      </c>
      <c r="FK81" s="689">
        <v>0</v>
      </c>
      <c r="FL81" s="689">
        <v>0</v>
      </c>
      <c r="FM81" s="689">
        <v>4213</v>
      </c>
      <c r="FN81" s="689">
        <f t="shared" si="240"/>
        <v>7843</v>
      </c>
      <c r="FO81" s="689">
        <v>4173</v>
      </c>
      <c r="FP81" s="689">
        <v>-5</v>
      </c>
      <c r="FQ81" s="689">
        <v>0</v>
      </c>
      <c r="FR81" s="689">
        <v>2851</v>
      </c>
      <c r="FS81" s="689">
        <v>0</v>
      </c>
      <c r="FT81" s="689">
        <v>2360</v>
      </c>
      <c r="FU81" s="689">
        <v>1695</v>
      </c>
      <c r="FV81" s="689">
        <v>1042</v>
      </c>
      <c r="FW81" s="689">
        <v>-5</v>
      </c>
      <c r="FX81" s="689">
        <v>-3</v>
      </c>
      <c r="FY81" s="689">
        <v>60</v>
      </c>
      <c r="FZ81" s="689">
        <v>9187</v>
      </c>
      <c r="GA81" s="689">
        <f t="shared" si="242"/>
        <v>21355</v>
      </c>
      <c r="GB81" s="689">
        <v>0</v>
      </c>
      <c r="GC81" s="689">
        <v>0</v>
      </c>
      <c r="GD81" s="738">
        <v>1452</v>
      </c>
      <c r="GE81" s="689">
        <v>374</v>
      </c>
      <c r="GF81" s="689">
        <v>4033</v>
      </c>
      <c r="GG81" s="689">
        <v>1996</v>
      </c>
      <c r="GH81" s="689">
        <v>2371</v>
      </c>
      <c r="GI81" s="689">
        <v>0</v>
      </c>
      <c r="GJ81" s="689">
        <v>0</v>
      </c>
      <c r="GK81" s="689">
        <v>909</v>
      </c>
      <c r="GL81" s="689">
        <v>-28</v>
      </c>
      <c r="GM81" s="689">
        <v>1147</v>
      </c>
      <c r="GN81" s="689">
        <f t="shared" si="127"/>
        <v>12254</v>
      </c>
      <c r="GO81">
        <v>-500</v>
      </c>
      <c r="GP81">
        <v>818</v>
      </c>
      <c r="GQ81">
        <v>1675</v>
      </c>
      <c r="GR81">
        <v>5156</v>
      </c>
      <c r="GS81">
        <v>5156</v>
      </c>
      <c r="GT81">
        <v>1342</v>
      </c>
      <c r="GU81">
        <v>0</v>
      </c>
      <c r="GV81">
        <v>0</v>
      </c>
      <c r="HA81">
        <f t="shared" si="130"/>
        <v>13647</v>
      </c>
      <c r="HC81" s="742" t="str">
        <f t="shared" si="113"/>
        <v>-</v>
      </c>
      <c r="HD81" s="739">
        <f t="shared" si="246"/>
        <v>33.453940934871881</v>
      </c>
      <c r="HE81" s="737">
        <f t="shared" si="131"/>
        <v>10226</v>
      </c>
      <c r="HF81" s="737">
        <f t="shared" si="141"/>
        <v>13647</v>
      </c>
    </row>
    <row r="82" spans="1:214" ht="13.9" customHeight="1" x14ac:dyDescent="0.2">
      <c r="A82" s="736" t="s">
        <v>478</v>
      </c>
      <c r="AB82" s="689">
        <v>0</v>
      </c>
      <c r="AC82" s="689">
        <v>0</v>
      </c>
      <c r="AD82" s="689">
        <v>0</v>
      </c>
      <c r="AE82" s="689">
        <v>0</v>
      </c>
      <c r="AF82" s="689">
        <v>0</v>
      </c>
      <c r="AG82" s="689">
        <v>0</v>
      </c>
      <c r="AH82" s="689">
        <v>89</v>
      </c>
      <c r="AI82" s="689">
        <v>0</v>
      </c>
      <c r="AJ82" s="689">
        <v>0</v>
      </c>
      <c r="AK82" s="689">
        <v>0</v>
      </c>
      <c r="AL82" s="689">
        <v>0</v>
      </c>
      <c r="AM82" s="689">
        <v>0</v>
      </c>
      <c r="AN82" s="737">
        <f t="shared" si="303"/>
        <v>89</v>
      </c>
      <c r="AO82" s="689">
        <v>0</v>
      </c>
      <c r="AP82" s="689">
        <v>0</v>
      </c>
      <c r="AQ82" s="689">
        <v>0</v>
      </c>
      <c r="AR82" s="689">
        <v>0</v>
      </c>
      <c r="AS82" s="689">
        <v>0</v>
      </c>
      <c r="AT82" s="689">
        <v>0</v>
      </c>
      <c r="AU82" s="689">
        <v>0</v>
      </c>
      <c r="AV82" s="689">
        <v>0</v>
      </c>
      <c r="AW82" s="689">
        <v>0</v>
      </c>
      <c r="AX82" s="689">
        <v>0</v>
      </c>
      <c r="AY82" s="689">
        <v>0</v>
      </c>
      <c r="AZ82" s="689">
        <v>0</v>
      </c>
      <c r="BA82" s="689">
        <f t="shared" si="305"/>
        <v>0</v>
      </c>
      <c r="BB82" s="689">
        <v>0</v>
      </c>
      <c r="BC82" s="689">
        <v>0</v>
      </c>
      <c r="BD82" s="689">
        <v>0</v>
      </c>
      <c r="BE82" s="689">
        <v>0</v>
      </c>
      <c r="BF82" s="689">
        <v>0</v>
      </c>
      <c r="BG82" s="689">
        <v>0</v>
      </c>
      <c r="BH82" s="689">
        <v>0</v>
      </c>
      <c r="BI82" s="689">
        <v>0</v>
      </c>
      <c r="BJ82" s="689">
        <v>0</v>
      </c>
      <c r="BK82" s="689">
        <v>0</v>
      </c>
      <c r="BL82" s="689">
        <v>0</v>
      </c>
      <c r="BM82" s="689">
        <v>0</v>
      </c>
      <c r="BN82" s="689">
        <f t="shared" si="307"/>
        <v>0</v>
      </c>
      <c r="BO82" s="689">
        <v>0</v>
      </c>
      <c r="BP82" s="689">
        <v>0</v>
      </c>
      <c r="BQ82" s="689">
        <v>0</v>
      </c>
      <c r="BR82" s="689">
        <v>0</v>
      </c>
      <c r="BS82" s="689">
        <v>0</v>
      </c>
      <c r="BT82" s="689">
        <v>0</v>
      </c>
      <c r="BU82" s="689">
        <v>0</v>
      </c>
      <c r="BV82" s="689">
        <v>0</v>
      </c>
      <c r="BW82" s="689">
        <v>0</v>
      </c>
      <c r="BX82" s="689">
        <v>0</v>
      </c>
      <c r="BY82" s="689">
        <v>0</v>
      </c>
      <c r="BZ82" s="689">
        <v>0</v>
      </c>
      <c r="CA82" s="689">
        <f t="shared" si="215"/>
        <v>0</v>
      </c>
      <c r="CB82" s="689">
        <v>0</v>
      </c>
      <c r="CC82" s="689">
        <v>0</v>
      </c>
      <c r="CD82" s="689">
        <v>0</v>
      </c>
      <c r="CE82" s="689">
        <v>0</v>
      </c>
      <c r="CF82" s="689">
        <v>0</v>
      </c>
      <c r="CG82" s="689">
        <v>0</v>
      </c>
      <c r="CH82" s="689">
        <v>0</v>
      </c>
      <c r="CI82" s="689">
        <v>0</v>
      </c>
      <c r="CJ82" s="689">
        <v>0</v>
      </c>
      <c r="CK82" s="689">
        <v>0</v>
      </c>
      <c r="CL82" s="689">
        <v>0</v>
      </c>
      <c r="CM82" s="689">
        <v>0</v>
      </c>
      <c r="CN82" s="689">
        <f t="shared" si="308"/>
        <v>0</v>
      </c>
      <c r="CO82" s="689">
        <v>0</v>
      </c>
      <c r="CP82" s="689">
        <v>0</v>
      </c>
      <c r="CQ82" s="689">
        <v>0</v>
      </c>
      <c r="CR82" s="689">
        <v>0</v>
      </c>
      <c r="CS82" s="689">
        <v>0</v>
      </c>
      <c r="CT82" s="689">
        <v>0</v>
      </c>
      <c r="CU82" s="689">
        <v>0</v>
      </c>
      <c r="CV82" s="689">
        <v>0</v>
      </c>
      <c r="CW82" s="689">
        <v>0</v>
      </c>
      <c r="CX82" s="689">
        <v>0</v>
      </c>
      <c r="CY82" s="689">
        <v>0</v>
      </c>
      <c r="CZ82" s="689">
        <v>0</v>
      </c>
      <c r="DA82" s="689">
        <f t="shared" si="310"/>
        <v>0</v>
      </c>
      <c r="DB82" s="689">
        <v>0</v>
      </c>
      <c r="DC82" s="689">
        <v>0</v>
      </c>
      <c r="DD82" s="689">
        <v>0</v>
      </c>
      <c r="DE82" s="689">
        <v>0</v>
      </c>
      <c r="DF82" s="689">
        <v>0</v>
      </c>
      <c r="DG82" s="689">
        <v>0</v>
      </c>
      <c r="DH82" s="689">
        <v>0</v>
      </c>
      <c r="DI82" s="689">
        <v>0</v>
      </c>
      <c r="DJ82" s="689">
        <v>0</v>
      </c>
      <c r="DK82" s="689">
        <v>0</v>
      </c>
      <c r="DL82" s="689">
        <v>0</v>
      </c>
      <c r="DM82" s="689">
        <v>0</v>
      </c>
      <c r="DN82" s="689">
        <f t="shared" si="312"/>
        <v>0</v>
      </c>
      <c r="DO82" s="689">
        <v>0</v>
      </c>
      <c r="DP82" s="689">
        <v>0</v>
      </c>
      <c r="DQ82" s="689">
        <v>0</v>
      </c>
      <c r="DR82" s="689">
        <v>0</v>
      </c>
      <c r="DS82" s="689">
        <v>0</v>
      </c>
      <c r="DT82" s="689">
        <v>0</v>
      </c>
      <c r="DU82" s="689">
        <v>0</v>
      </c>
      <c r="DV82" s="689">
        <v>0</v>
      </c>
      <c r="DW82" s="689">
        <v>0</v>
      </c>
      <c r="DX82" s="689">
        <v>0</v>
      </c>
      <c r="DY82" s="689">
        <v>0</v>
      </c>
      <c r="DZ82" s="689">
        <v>0</v>
      </c>
      <c r="EA82" s="737">
        <f t="shared" si="247"/>
        <v>0</v>
      </c>
      <c r="EB82" s="689">
        <v>0</v>
      </c>
      <c r="EC82" s="689">
        <v>0</v>
      </c>
      <c r="ED82" s="689">
        <v>0</v>
      </c>
      <c r="EE82" s="689">
        <v>0</v>
      </c>
      <c r="EF82" s="689">
        <v>0</v>
      </c>
      <c r="EG82" s="689">
        <v>0</v>
      </c>
      <c r="EH82" s="689">
        <v>0</v>
      </c>
      <c r="EI82" s="689">
        <v>0</v>
      </c>
      <c r="EJ82" s="689">
        <v>0</v>
      </c>
      <c r="EK82" s="689">
        <v>0</v>
      </c>
      <c r="EL82" s="689">
        <v>0</v>
      </c>
      <c r="EM82" s="689">
        <v>0</v>
      </c>
      <c r="EN82" s="689">
        <f t="shared" si="236"/>
        <v>0</v>
      </c>
      <c r="EO82" s="689">
        <v>0</v>
      </c>
      <c r="EP82" s="689">
        <v>0</v>
      </c>
      <c r="EQ82" s="689">
        <v>0</v>
      </c>
      <c r="ER82" s="689">
        <v>0</v>
      </c>
      <c r="ES82" s="689">
        <v>0</v>
      </c>
      <c r="ET82" s="689">
        <v>0</v>
      </c>
      <c r="EU82" s="689">
        <v>0</v>
      </c>
      <c r="EV82" s="689">
        <v>0</v>
      </c>
      <c r="EW82" s="689">
        <v>0</v>
      </c>
      <c r="EX82" s="689">
        <v>0</v>
      </c>
      <c r="EY82" s="738">
        <v>0</v>
      </c>
      <c r="EZ82" s="738">
        <v>0</v>
      </c>
      <c r="FA82" s="689">
        <f t="shared" si="320"/>
        <v>0</v>
      </c>
      <c r="FB82" s="689">
        <v>0</v>
      </c>
      <c r="FC82" s="689">
        <v>0</v>
      </c>
      <c r="FD82" s="689">
        <v>0</v>
      </c>
      <c r="FE82" s="689">
        <v>0</v>
      </c>
      <c r="FF82" s="689">
        <v>0</v>
      </c>
      <c r="FG82" s="689">
        <v>0</v>
      </c>
      <c r="FH82" s="689">
        <v>0</v>
      </c>
      <c r="FI82" s="689">
        <v>0</v>
      </c>
      <c r="FJ82" s="689">
        <v>0</v>
      </c>
      <c r="FK82" s="689">
        <v>0</v>
      </c>
      <c r="FL82" s="689">
        <v>0</v>
      </c>
      <c r="FM82" s="689">
        <v>0</v>
      </c>
      <c r="FN82" s="689">
        <f t="shared" si="240"/>
        <v>0</v>
      </c>
      <c r="FO82" s="689">
        <v>0</v>
      </c>
      <c r="FP82" s="689">
        <v>0</v>
      </c>
      <c r="FQ82" s="689">
        <v>0</v>
      </c>
      <c r="FR82" s="689">
        <v>0</v>
      </c>
      <c r="FS82" s="689">
        <v>0</v>
      </c>
      <c r="FT82" s="689">
        <v>0</v>
      </c>
      <c r="FU82" s="689">
        <v>0</v>
      </c>
      <c r="FV82" s="689">
        <v>0</v>
      </c>
      <c r="FW82" s="689">
        <v>0</v>
      </c>
      <c r="FX82" s="689">
        <v>0</v>
      </c>
      <c r="FY82" s="689">
        <v>0</v>
      </c>
      <c r="FZ82" s="689">
        <v>0</v>
      </c>
      <c r="GA82" s="689">
        <f t="shared" si="242"/>
        <v>0</v>
      </c>
      <c r="GB82" s="689">
        <v>0</v>
      </c>
      <c r="GC82" s="689">
        <v>0</v>
      </c>
      <c r="GD82" s="738">
        <v>0</v>
      </c>
      <c r="GE82" s="689">
        <v>0</v>
      </c>
      <c r="GF82" s="689">
        <v>0</v>
      </c>
      <c r="GG82" s="689">
        <v>0</v>
      </c>
      <c r="GH82" s="689">
        <v>0</v>
      </c>
      <c r="GI82" s="689">
        <v>0</v>
      </c>
      <c r="GJ82" s="689">
        <v>0</v>
      </c>
      <c r="GK82" s="689">
        <v>0</v>
      </c>
      <c r="GL82" s="689">
        <v>0</v>
      </c>
      <c r="GM82" s="689">
        <v>0</v>
      </c>
      <c r="GN82" s="689">
        <f t="shared" si="127"/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-47</v>
      </c>
      <c r="HA82">
        <f>SUM(GO82:GZ82)</f>
        <v>-47</v>
      </c>
      <c r="HC82" s="730" t="str">
        <f t="shared" si="113"/>
        <v>-</v>
      </c>
      <c r="HD82" s="739" t="str">
        <f t="shared" si="246"/>
        <v>-</v>
      </c>
      <c r="HE82" s="737">
        <f t="shared" si="131"/>
        <v>0</v>
      </c>
      <c r="HF82" s="737">
        <f t="shared" si="141"/>
        <v>-47</v>
      </c>
    </row>
    <row r="83" spans="1:214" ht="13.9" customHeight="1" x14ac:dyDescent="0.2">
      <c r="A83" s="736" t="s">
        <v>414</v>
      </c>
      <c r="AB83" s="689">
        <v>0</v>
      </c>
      <c r="AC83" s="689">
        <v>0</v>
      </c>
      <c r="AD83" s="689">
        <v>0</v>
      </c>
      <c r="AE83" s="689">
        <v>0</v>
      </c>
      <c r="AF83" s="689">
        <v>0</v>
      </c>
      <c r="AG83" s="689">
        <v>0</v>
      </c>
      <c r="AH83" s="689">
        <v>0</v>
      </c>
      <c r="AI83" s="689">
        <v>0</v>
      </c>
      <c r="AJ83" s="689">
        <v>0</v>
      </c>
      <c r="AK83" s="689">
        <v>0</v>
      </c>
      <c r="AL83" s="689">
        <v>0</v>
      </c>
      <c r="AM83" s="689">
        <v>0</v>
      </c>
      <c r="AN83" s="737">
        <f t="shared" si="303"/>
        <v>0</v>
      </c>
      <c r="AO83" s="689">
        <v>0</v>
      </c>
      <c r="AP83" s="689">
        <v>0</v>
      </c>
      <c r="AQ83" s="689">
        <v>0</v>
      </c>
      <c r="AR83" s="689">
        <v>0</v>
      </c>
      <c r="AS83" s="689">
        <v>0</v>
      </c>
      <c r="AT83" s="689">
        <v>0</v>
      </c>
      <c r="AU83" s="689">
        <v>0</v>
      </c>
      <c r="AV83" s="689">
        <v>0</v>
      </c>
      <c r="AW83" s="689">
        <v>0</v>
      </c>
      <c r="AX83" s="689">
        <v>0</v>
      </c>
      <c r="AY83" s="689">
        <v>0</v>
      </c>
      <c r="AZ83" s="689">
        <v>0</v>
      </c>
      <c r="BA83" s="689">
        <f t="shared" si="305"/>
        <v>0</v>
      </c>
      <c r="BB83" s="689">
        <v>0</v>
      </c>
      <c r="BC83" s="689">
        <v>0</v>
      </c>
      <c r="BD83" s="689">
        <v>0</v>
      </c>
      <c r="BE83" s="689">
        <v>0</v>
      </c>
      <c r="BF83" s="689">
        <v>0</v>
      </c>
      <c r="BG83" s="689">
        <v>0</v>
      </c>
      <c r="BH83" s="689">
        <v>0</v>
      </c>
      <c r="BI83" s="689">
        <v>0</v>
      </c>
      <c r="BJ83" s="689">
        <v>0</v>
      </c>
      <c r="BK83" s="689">
        <v>0</v>
      </c>
      <c r="BL83" s="689">
        <v>117</v>
      </c>
      <c r="BM83" s="689">
        <v>0</v>
      </c>
      <c r="BN83" s="689">
        <f t="shared" si="307"/>
        <v>117</v>
      </c>
      <c r="BO83" s="689">
        <v>0</v>
      </c>
      <c r="BP83" s="689">
        <v>0</v>
      </c>
      <c r="BQ83" s="689">
        <v>0</v>
      </c>
      <c r="BR83" s="689">
        <v>0</v>
      </c>
      <c r="BS83" s="689">
        <v>0</v>
      </c>
      <c r="BT83" s="689">
        <v>0</v>
      </c>
      <c r="BU83" s="689">
        <v>0</v>
      </c>
      <c r="BV83" s="689">
        <v>0</v>
      </c>
      <c r="BW83" s="689">
        <v>80</v>
      </c>
      <c r="BX83" s="689">
        <v>0</v>
      </c>
      <c r="BY83" s="689">
        <v>0</v>
      </c>
      <c r="BZ83" s="689">
        <v>73</v>
      </c>
      <c r="CA83" s="689">
        <f t="shared" si="215"/>
        <v>153</v>
      </c>
      <c r="CB83" s="689">
        <v>0</v>
      </c>
      <c r="CC83" s="689">
        <v>77</v>
      </c>
      <c r="CD83" s="689">
        <v>0</v>
      </c>
      <c r="CE83" s="689">
        <v>0</v>
      </c>
      <c r="CF83" s="689">
        <v>0</v>
      </c>
      <c r="CG83" s="689">
        <v>0</v>
      </c>
      <c r="CH83" s="689">
        <v>0</v>
      </c>
      <c r="CI83" s="689">
        <v>0</v>
      </c>
      <c r="CJ83" s="689">
        <v>0</v>
      </c>
      <c r="CK83" s="689">
        <v>0</v>
      </c>
      <c r="CL83" s="689">
        <v>0</v>
      </c>
      <c r="CM83" s="689">
        <v>0</v>
      </c>
      <c r="CN83" s="689">
        <f t="shared" si="308"/>
        <v>77</v>
      </c>
      <c r="CO83" s="689">
        <v>0</v>
      </c>
      <c r="CP83" s="689">
        <v>0</v>
      </c>
      <c r="CQ83" s="689">
        <v>0</v>
      </c>
      <c r="CR83" s="689">
        <v>0</v>
      </c>
      <c r="CS83" s="689">
        <v>0</v>
      </c>
      <c r="CT83" s="689">
        <v>0</v>
      </c>
      <c r="CU83" s="689">
        <v>0</v>
      </c>
      <c r="CV83" s="689">
        <v>0</v>
      </c>
      <c r="CW83" s="689">
        <v>0</v>
      </c>
      <c r="CX83" s="689">
        <v>0</v>
      </c>
      <c r="CY83" s="689">
        <v>150</v>
      </c>
      <c r="CZ83" s="689">
        <v>0</v>
      </c>
      <c r="DA83" s="689">
        <f t="shared" si="310"/>
        <v>150</v>
      </c>
      <c r="DB83" s="689">
        <v>0</v>
      </c>
      <c r="DC83" s="689">
        <v>0</v>
      </c>
      <c r="DD83" s="689">
        <v>0</v>
      </c>
      <c r="DE83" s="689">
        <v>0</v>
      </c>
      <c r="DF83" s="689">
        <v>0</v>
      </c>
      <c r="DG83" s="689">
        <v>0</v>
      </c>
      <c r="DH83" s="689">
        <v>0</v>
      </c>
      <c r="DI83" s="689">
        <v>0</v>
      </c>
      <c r="DJ83" s="689">
        <v>0</v>
      </c>
      <c r="DK83" s="689">
        <v>0</v>
      </c>
      <c r="DL83" s="689">
        <v>0</v>
      </c>
      <c r="DM83" s="689">
        <v>0</v>
      </c>
      <c r="DN83" s="689">
        <f t="shared" si="312"/>
        <v>0</v>
      </c>
      <c r="DO83" s="689">
        <v>0</v>
      </c>
      <c r="DP83" s="689">
        <v>0</v>
      </c>
      <c r="DQ83" s="689">
        <v>0</v>
      </c>
      <c r="DR83" s="689">
        <v>0</v>
      </c>
      <c r="DS83" s="689">
        <v>0</v>
      </c>
      <c r="DT83" s="689">
        <v>0</v>
      </c>
      <c r="DU83" s="689">
        <v>30</v>
      </c>
      <c r="DV83" s="689">
        <v>0</v>
      </c>
      <c r="DW83" s="689">
        <v>-1</v>
      </c>
      <c r="DX83" s="691">
        <v>0</v>
      </c>
      <c r="DY83" s="691">
        <v>0</v>
      </c>
      <c r="DZ83" s="691">
        <v>-212</v>
      </c>
      <c r="EA83" s="737">
        <f t="shared" si="247"/>
        <v>-183</v>
      </c>
      <c r="EB83" s="691">
        <v>0</v>
      </c>
      <c r="EC83" s="691">
        <v>0</v>
      </c>
      <c r="ED83" s="691">
        <v>0</v>
      </c>
      <c r="EE83" s="691">
        <v>0</v>
      </c>
      <c r="EF83" s="691">
        <v>0</v>
      </c>
      <c r="EG83" s="691">
        <v>0</v>
      </c>
      <c r="EH83" s="691">
        <v>0</v>
      </c>
      <c r="EI83" s="691">
        <v>0</v>
      </c>
      <c r="EJ83" s="691">
        <v>0</v>
      </c>
      <c r="EK83" s="691">
        <v>0</v>
      </c>
      <c r="EL83" s="691">
        <v>0</v>
      </c>
      <c r="EM83" s="691">
        <v>0</v>
      </c>
      <c r="EN83" s="689">
        <f t="shared" si="236"/>
        <v>0</v>
      </c>
      <c r="EO83" s="691">
        <v>0</v>
      </c>
      <c r="EP83" s="691">
        <v>0</v>
      </c>
      <c r="EQ83" s="691">
        <v>50</v>
      </c>
      <c r="ER83" s="691">
        <v>0</v>
      </c>
      <c r="ES83" s="691">
        <v>50</v>
      </c>
      <c r="ET83" s="691">
        <v>0</v>
      </c>
      <c r="EU83" s="691">
        <v>0</v>
      </c>
      <c r="EV83" s="691">
        <v>0</v>
      </c>
      <c r="EW83" s="691">
        <v>0</v>
      </c>
      <c r="EX83" s="691">
        <v>0</v>
      </c>
      <c r="EY83" s="743">
        <v>0</v>
      </c>
      <c r="EZ83" s="743">
        <v>0</v>
      </c>
      <c r="FA83" s="689">
        <f t="shared" si="320"/>
        <v>100</v>
      </c>
      <c r="FB83" s="691">
        <v>0</v>
      </c>
      <c r="FC83" s="691">
        <v>0</v>
      </c>
      <c r="FD83" s="691">
        <v>0</v>
      </c>
      <c r="FE83" s="691">
        <v>0</v>
      </c>
      <c r="FF83" s="691">
        <v>0</v>
      </c>
      <c r="FG83" s="691">
        <v>0</v>
      </c>
      <c r="FH83" s="691">
        <v>0</v>
      </c>
      <c r="FI83" s="691">
        <v>0</v>
      </c>
      <c r="FJ83" s="691">
        <v>200</v>
      </c>
      <c r="FK83" s="691">
        <v>0</v>
      </c>
      <c r="FL83" s="691">
        <v>732</v>
      </c>
      <c r="FM83" s="691">
        <v>0</v>
      </c>
      <c r="FN83" s="691">
        <f t="shared" si="240"/>
        <v>932</v>
      </c>
      <c r="FO83" s="691">
        <v>0</v>
      </c>
      <c r="FP83" s="691">
        <v>0</v>
      </c>
      <c r="FQ83" s="691">
        <v>0</v>
      </c>
      <c r="FR83" s="691">
        <v>0</v>
      </c>
      <c r="FS83" s="691">
        <v>0</v>
      </c>
      <c r="FT83" s="691">
        <v>0</v>
      </c>
      <c r="FU83" s="691">
        <v>0</v>
      </c>
      <c r="FV83" s="691">
        <v>0</v>
      </c>
      <c r="FW83" s="691">
        <v>0</v>
      </c>
      <c r="FX83" s="691">
        <v>0</v>
      </c>
      <c r="FY83" s="691">
        <v>0</v>
      </c>
      <c r="FZ83" s="691">
        <v>0</v>
      </c>
      <c r="GA83" s="691">
        <f t="shared" si="242"/>
        <v>0</v>
      </c>
      <c r="GB83" s="691">
        <v>0</v>
      </c>
      <c r="GC83" s="691">
        <v>0</v>
      </c>
      <c r="GD83" s="743">
        <v>200</v>
      </c>
      <c r="GE83" s="691">
        <v>0</v>
      </c>
      <c r="GF83" s="691">
        <v>0</v>
      </c>
      <c r="GG83" s="691">
        <v>0</v>
      </c>
      <c r="GH83" s="691">
        <v>0</v>
      </c>
      <c r="GI83" s="691">
        <v>200</v>
      </c>
      <c r="GJ83" s="691">
        <v>0</v>
      </c>
      <c r="GK83" s="691">
        <v>200</v>
      </c>
      <c r="GL83" s="691">
        <v>19</v>
      </c>
      <c r="GM83" s="691">
        <v>0</v>
      </c>
      <c r="GN83" s="691">
        <f t="shared" si="127"/>
        <v>619</v>
      </c>
      <c r="GO83">
        <v>0</v>
      </c>
      <c r="GP83">
        <v>0</v>
      </c>
      <c r="GQ83">
        <v>0</v>
      </c>
      <c r="GR83">
        <v>150</v>
      </c>
      <c r="GS83">
        <v>150</v>
      </c>
      <c r="GT83">
        <v>0</v>
      </c>
      <c r="GU83">
        <v>200</v>
      </c>
      <c r="GV83">
        <v>0</v>
      </c>
      <c r="HA83">
        <f t="shared" si="130"/>
        <v>500</v>
      </c>
      <c r="HC83" s="730">
        <f t="shared" si="113"/>
        <v>-100</v>
      </c>
      <c r="HD83" s="739">
        <f t="shared" si="246"/>
        <v>25</v>
      </c>
      <c r="HE83" s="737">
        <f t="shared" si="131"/>
        <v>400</v>
      </c>
      <c r="HF83" s="737">
        <f t="shared" si="141"/>
        <v>500</v>
      </c>
    </row>
    <row r="84" spans="1:214" ht="13.9" customHeight="1" x14ac:dyDescent="0.2">
      <c r="A84" s="736" t="s">
        <v>415</v>
      </c>
      <c r="AB84" s="689">
        <v>100</v>
      </c>
      <c r="AC84" s="689">
        <v>0</v>
      </c>
      <c r="AD84" s="689">
        <v>3919</v>
      </c>
      <c r="AE84" s="689">
        <v>0</v>
      </c>
      <c r="AF84" s="689">
        <v>0</v>
      </c>
      <c r="AG84" s="689">
        <v>0</v>
      </c>
      <c r="AH84" s="689">
        <v>0</v>
      </c>
      <c r="AI84" s="689">
        <v>0</v>
      </c>
      <c r="AJ84" s="689">
        <v>0</v>
      </c>
      <c r="AK84" s="689">
        <v>92</v>
      </c>
      <c r="AL84" s="689">
        <v>0</v>
      </c>
      <c r="AM84" s="689">
        <v>870</v>
      </c>
      <c r="AN84" s="737">
        <f t="shared" si="303"/>
        <v>4981</v>
      </c>
      <c r="AO84" s="689">
        <v>0</v>
      </c>
      <c r="AP84" s="689">
        <v>0</v>
      </c>
      <c r="AQ84" s="689">
        <v>0</v>
      </c>
      <c r="AR84" s="689">
        <v>0</v>
      </c>
      <c r="AS84" s="689">
        <v>0</v>
      </c>
      <c r="AT84" s="689">
        <v>0</v>
      </c>
      <c r="AU84" s="689">
        <v>0</v>
      </c>
      <c r="AV84" s="689">
        <v>0</v>
      </c>
      <c r="AW84" s="689">
        <v>0</v>
      </c>
      <c r="AX84" s="689">
        <v>0</v>
      </c>
      <c r="AY84" s="689">
        <v>0</v>
      </c>
      <c r="AZ84" s="689">
        <v>0</v>
      </c>
      <c r="BA84" s="689">
        <f t="shared" si="305"/>
        <v>0</v>
      </c>
      <c r="BB84" s="689">
        <v>0</v>
      </c>
      <c r="BC84" s="689">
        <v>0</v>
      </c>
      <c r="BD84" s="689">
        <v>0</v>
      </c>
      <c r="BE84" s="689">
        <v>0</v>
      </c>
      <c r="BF84" s="689">
        <v>0</v>
      </c>
      <c r="BG84" s="689">
        <v>0</v>
      </c>
      <c r="BH84" s="689">
        <v>0</v>
      </c>
      <c r="BI84" s="689">
        <v>0</v>
      </c>
      <c r="BJ84" s="689">
        <v>0</v>
      </c>
      <c r="BK84" s="689">
        <v>0</v>
      </c>
      <c r="BL84" s="689">
        <v>1898</v>
      </c>
      <c r="BM84" s="689">
        <v>0</v>
      </c>
      <c r="BN84" s="689">
        <f t="shared" si="307"/>
        <v>1898</v>
      </c>
      <c r="BO84" s="689">
        <v>958</v>
      </c>
      <c r="BP84" s="689">
        <v>0</v>
      </c>
      <c r="BQ84" s="689">
        <v>400</v>
      </c>
      <c r="BR84" s="689">
        <v>0</v>
      </c>
      <c r="BS84" s="689">
        <v>0</v>
      </c>
      <c r="BT84" s="689">
        <v>0</v>
      </c>
      <c r="BU84" s="689">
        <v>0</v>
      </c>
      <c r="BV84" s="689">
        <v>226</v>
      </c>
      <c r="BW84" s="689">
        <v>0</v>
      </c>
      <c r="BX84" s="689">
        <v>-4</v>
      </c>
      <c r="BY84" s="689">
        <v>0</v>
      </c>
      <c r="BZ84" s="689">
        <v>0</v>
      </c>
      <c r="CA84" s="689">
        <f t="shared" si="215"/>
        <v>1580</v>
      </c>
      <c r="CB84" s="689">
        <v>0</v>
      </c>
      <c r="CC84" s="689">
        <v>0</v>
      </c>
      <c r="CD84" s="689">
        <v>0</v>
      </c>
      <c r="CE84" s="689">
        <v>0</v>
      </c>
      <c r="CF84" s="689">
        <v>0</v>
      </c>
      <c r="CG84" s="689">
        <v>0</v>
      </c>
      <c r="CH84" s="689">
        <v>0</v>
      </c>
      <c r="CI84" s="689">
        <v>0</v>
      </c>
      <c r="CJ84" s="689">
        <v>0</v>
      </c>
      <c r="CK84" s="689">
        <v>0</v>
      </c>
      <c r="CL84" s="689">
        <v>0</v>
      </c>
      <c r="CM84" s="689">
        <v>0</v>
      </c>
      <c r="CN84" s="689">
        <f t="shared" si="308"/>
        <v>0</v>
      </c>
      <c r="CO84" s="689">
        <v>0</v>
      </c>
      <c r="CP84" s="689">
        <v>0</v>
      </c>
      <c r="CQ84" s="689">
        <v>0</v>
      </c>
      <c r="CR84" s="689">
        <v>0</v>
      </c>
      <c r="CS84" s="689">
        <v>0</v>
      </c>
      <c r="CT84" s="689">
        <v>0</v>
      </c>
      <c r="CU84" s="689">
        <v>0</v>
      </c>
      <c r="CV84" s="689">
        <v>0</v>
      </c>
      <c r="CW84" s="689">
        <v>0</v>
      </c>
      <c r="CX84" s="689">
        <v>0</v>
      </c>
      <c r="CY84" s="689">
        <v>0</v>
      </c>
      <c r="CZ84" s="689">
        <v>0</v>
      </c>
      <c r="DA84" s="689">
        <f t="shared" si="310"/>
        <v>0</v>
      </c>
      <c r="DB84" s="689">
        <v>0</v>
      </c>
      <c r="DC84" s="689">
        <v>0</v>
      </c>
      <c r="DD84" s="689">
        <v>0</v>
      </c>
      <c r="DE84" s="689">
        <v>0</v>
      </c>
      <c r="DF84" s="689">
        <v>0</v>
      </c>
      <c r="DG84" s="689">
        <v>0</v>
      </c>
      <c r="DH84" s="689">
        <v>0</v>
      </c>
      <c r="DI84" s="689">
        <v>0</v>
      </c>
      <c r="DJ84" s="689">
        <v>0</v>
      </c>
      <c r="DK84" s="689">
        <v>0</v>
      </c>
      <c r="DL84" s="689">
        <v>0</v>
      </c>
      <c r="DM84" s="689">
        <v>0</v>
      </c>
      <c r="DN84" s="689">
        <f t="shared" si="312"/>
        <v>0</v>
      </c>
      <c r="DO84" s="689">
        <v>0</v>
      </c>
      <c r="DP84" s="689">
        <v>0</v>
      </c>
      <c r="DQ84" s="689">
        <v>0</v>
      </c>
      <c r="DR84" s="689">
        <v>0</v>
      </c>
      <c r="DS84" s="689">
        <v>0</v>
      </c>
      <c r="DT84" s="689">
        <v>0</v>
      </c>
      <c r="DU84" s="689">
        <v>0</v>
      </c>
      <c r="DV84" s="689">
        <v>0</v>
      </c>
      <c r="DW84" s="689">
        <v>0</v>
      </c>
      <c r="DX84" s="689">
        <v>0</v>
      </c>
      <c r="DY84" s="689">
        <v>0</v>
      </c>
      <c r="DZ84" s="689">
        <v>0</v>
      </c>
      <c r="EA84" s="737">
        <f t="shared" si="247"/>
        <v>0</v>
      </c>
      <c r="EB84" s="689">
        <v>0</v>
      </c>
      <c r="EC84" s="689">
        <v>0</v>
      </c>
      <c r="ED84" s="689">
        <v>0</v>
      </c>
      <c r="EE84" s="689">
        <v>0</v>
      </c>
      <c r="EF84" s="689">
        <v>0</v>
      </c>
      <c r="EG84" s="689">
        <v>0</v>
      </c>
      <c r="EH84" s="689">
        <v>0</v>
      </c>
      <c r="EI84" s="689">
        <v>0</v>
      </c>
      <c r="EJ84" s="689">
        <v>0</v>
      </c>
      <c r="EK84" s="689">
        <v>0</v>
      </c>
      <c r="EL84" s="689">
        <v>0</v>
      </c>
      <c r="EM84" s="689">
        <v>0</v>
      </c>
      <c r="EN84" s="689">
        <f t="shared" si="236"/>
        <v>0</v>
      </c>
      <c r="EO84" s="689">
        <v>0</v>
      </c>
      <c r="EP84" s="689">
        <v>0</v>
      </c>
      <c r="EQ84" s="689">
        <v>0</v>
      </c>
      <c r="ER84" s="689">
        <v>0</v>
      </c>
      <c r="ES84" s="689">
        <v>0</v>
      </c>
      <c r="ET84" s="689">
        <v>0</v>
      </c>
      <c r="EU84" s="689">
        <v>0</v>
      </c>
      <c r="EV84" s="689">
        <v>0</v>
      </c>
      <c r="EW84" s="689">
        <v>0</v>
      </c>
      <c r="EX84" s="689">
        <v>0</v>
      </c>
      <c r="EY84" s="738">
        <v>0</v>
      </c>
      <c r="EZ84" s="738">
        <v>0</v>
      </c>
      <c r="FA84" s="689">
        <f t="shared" si="320"/>
        <v>0</v>
      </c>
      <c r="FB84" s="689">
        <v>0</v>
      </c>
      <c r="FC84" s="689">
        <v>0</v>
      </c>
      <c r="FD84" s="689">
        <v>0</v>
      </c>
      <c r="FE84" s="689">
        <v>0</v>
      </c>
      <c r="FF84" s="689">
        <v>0</v>
      </c>
      <c r="FG84" s="689">
        <v>0</v>
      </c>
      <c r="FH84" s="689">
        <v>0</v>
      </c>
      <c r="FI84" s="689">
        <v>0</v>
      </c>
      <c r="FJ84" s="689">
        <v>0</v>
      </c>
      <c r="FK84" s="689">
        <v>0</v>
      </c>
      <c r="FL84" s="689">
        <v>0</v>
      </c>
      <c r="FM84" s="689">
        <v>0</v>
      </c>
      <c r="FN84" s="689">
        <f t="shared" si="240"/>
        <v>0</v>
      </c>
      <c r="FO84" s="689">
        <v>0</v>
      </c>
      <c r="FP84" s="689">
        <v>0</v>
      </c>
      <c r="FQ84" s="689">
        <v>0</v>
      </c>
      <c r="FR84" s="689">
        <v>0</v>
      </c>
      <c r="FS84" s="689">
        <v>0</v>
      </c>
      <c r="FT84" s="689">
        <v>0</v>
      </c>
      <c r="FU84" s="689">
        <v>0</v>
      </c>
      <c r="FV84" s="689">
        <v>0</v>
      </c>
      <c r="FW84" s="689">
        <v>0</v>
      </c>
      <c r="FX84" s="689">
        <v>0</v>
      </c>
      <c r="FY84" s="689">
        <v>0</v>
      </c>
      <c r="FZ84" s="689">
        <v>0</v>
      </c>
      <c r="GA84" s="689">
        <f t="shared" si="242"/>
        <v>0</v>
      </c>
      <c r="GB84" s="689">
        <v>0</v>
      </c>
      <c r="GC84" s="689">
        <v>0</v>
      </c>
      <c r="GD84" s="738">
        <v>0</v>
      </c>
      <c r="GE84" s="689">
        <v>0</v>
      </c>
      <c r="GF84" s="689">
        <v>0</v>
      </c>
      <c r="GG84" s="689">
        <v>0</v>
      </c>
      <c r="GH84" s="689">
        <v>0</v>
      </c>
      <c r="GI84" s="689">
        <v>0</v>
      </c>
      <c r="GJ84" s="689">
        <v>0</v>
      </c>
      <c r="GK84" s="689">
        <v>0</v>
      </c>
      <c r="GL84" s="689">
        <v>0</v>
      </c>
      <c r="GM84" s="689">
        <v>0</v>
      </c>
      <c r="GN84" s="689">
        <f t="shared" si="127"/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HA84">
        <f t="shared" si="130"/>
        <v>0</v>
      </c>
      <c r="HC84" s="730" t="str">
        <f t="shared" si="113"/>
        <v>-</v>
      </c>
      <c r="HD84" s="739" t="str">
        <f t="shared" si="246"/>
        <v>-</v>
      </c>
      <c r="HE84" s="737">
        <f t="shared" si="131"/>
        <v>0</v>
      </c>
      <c r="HF84" s="737">
        <f t="shared" si="141"/>
        <v>0</v>
      </c>
    </row>
    <row r="85" spans="1:214" ht="13.9" customHeight="1" x14ac:dyDescent="0.2">
      <c r="A85" s="736" t="s">
        <v>416</v>
      </c>
      <c r="AB85" s="689">
        <v>0</v>
      </c>
      <c r="AC85" s="689">
        <v>0</v>
      </c>
      <c r="AD85" s="689">
        <v>0</v>
      </c>
      <c r="AE85" s="689">
        <v>0</v>
      </c>
      <c r="AF85" s="689">
        <v>32</v>
      </c>
      <c r="AG85" s="689">
        <v>874</v>
      </c>
      <c r="AH85" s="689">
        <v>6485</v>
      </c>
      <c r="AI85" s="689">
        <v>0</v>
      </c>
      <c r="AJ85" s="689">
        <v>0</v>
      </c>
      <c r="AK85" s="689">
        <v>69</v>
      </c>
      <c r="AL85" s="689">
        <v>0</v>
      </c>
      <c r="AM85" s="689">
        <v>0</v>
      </c>
      <c r="AN85" s="737">
        <f t="shared" si="303"/>
        <v>7460</v>
      </c>
      <c r="AO85" s="689">
        <v>0</v>
      </c>
      <c r="AP85" s="689">
        <v>0</v>
      </c>
      <c r="AQ85" s="689">
        <v>19066</v>
      </c>
      <c r="AR85" s="689">
        <v>0</v>
      </c>
      <c r="AS85" s="689">
        <v>0</v>
      </c>
      <c r="AT85" s="689">
        <v>0</v>
      </c>
      <c r="AU85" s="689">
        <v>71</v>
      </c>
      <c r="AV85" s="689">
        <v>0</v>
      </c>
      <c r="AW85" s="689">
        <v>0</v>
      </c>
      <c r="AX85" s="689">
        <v>7425</v>
      </c>
      <c r="AY85" s="689">
        <v>0</v>
      </c>
      <c r="AZ85" s="689">
        <v>3607</v>
      </c>
      <c r="BA85" s="689">
        <f t="shared" si="305"/>
        <v>30169</v>
      </c>
      <c r="BB85" s="689">
        <v>0</v>
      </c>
      <c r="BC85" s="689">
        <v>0</v>
      </c>
      <c r="BD85" s="689">
        <v>21672</v>
      </c>
      <c r="BE85" s="689">
        <v>0</v>
      </c>
      <c r="BF85" s="689">
        <v>0</v>
      </c>
      <c r="BG85" s="689">
        <v>0</v>
      </c>
      <c r="BH85" s="689">
        <v>0</v>
      </c>
      <c r="BI85" s="689">
        <v>0</v>
      </c>
      <c r="BJ85" s="689">
        <v>0</v>
      </c>
      <c r="BK85" s="689">
        <v>0</v>
      </c>
      <c r="BL85" s="689">
        <v>0</v>
      </c>
      <c r="BM85" s="689">
        <v>0</v>
      </c>
      <c r="BN85" s="689">
        <f t="shared" si="307"/>
        <v>21672</v>
      </c>
      <c r="BO85" s="689">
        <v>0</v>
      </c>
      <c r="BP85" s="689">
        <v>4417</v>
      </c>
      <c r="BQ85" s="689">
        <v>25445</v>
      </c>
      <c r="BR85" s="689">
        <v>0</v>
      </c>
      <c r="BS85" s="689">
        <v>0</v>
      </c>
      <c r="BT85" s="689">
        <v>-316</v>
      </c>
      <c r="BU85" s="689">
        <v>0</v>
      </c>
      <c r="BV85" s="689">
        <v>0</v>
      </c>
      <c r="BW85" s="689">
        <v>0</v>
      </c>
      <c r="BX85" s="689">
        <v>0</v>
      </c>
      <c r="BY85" s="689">
        <v>0</v>
      </c>
      <c r="BZ85" s="689">
        <v>0</v>
      </c>
      <c r="CA85" s="689">
        <f t="shared" si="215"/>
        <v>29546</v>
      </c>
      <c r="CB85" s="689">
        <v>0</v>
      </c>
      <c r="CC85" s="689">
        <v>27809</v>
      </c>
      <c r="CD85" s="689">
        <v>0</v>
      </c>
      <c r="CE85" s="689">
        <v>0</v>
      </c>
      <c r="CF85" s="689">
        <v>0</v>
      </c>
      <c r="CG85" s="689">
        <v>0</v>
      </c>
      <c r="CH85" s="689">
        <v>0</v>
      </c>
      <c r="CI85" s="689">
        <v>7332</v>
      </c>
      <c r="CJ85" s="689">
        <v>0</v>
      </c>
      <c r="CK85" s="689">
        <v>0</v>
      </c>
      <c r="CL85" s="689">
        <v>2954</v>
      </c>
      <c r="CM85" s="689">
        <v>0</v>
      </c>
      <c r="CN85" s="689">
        <f t="shared" si="308"/>
        <v>38095</v>
      </c>
      <c r="CO85" s="689">
        <v>0</v>
      </c>
      <c r="CP85" s="689">
        <v>0</v>
      </c>
      <c r="CQ85" s="689">
        <v>23864</v>
      </c>
      <c r="CR85" s="689">
        <v>0</v>
      </c>
      <c r="CS85" s="689">
        <v>0</v>
      </c>
      <c r="CT85" s="689">
        <v>0</v>
      </c>
      <c r="CU85" s="689">
        <v>130</v>
      </c>
      <c r="CV85" s="689">
        <v>87</v>
      </c>
      <c r="CW85" s="689">
        <v>0</v>
      </c>
      <c r="CX85" s="689">
        <v>6738</v>
      </c>
      <c r="CY85" s="689">
        <v>0</v>
      </c>
      <c r="CZ85" s="689">
        <v>2483</v>
      </c>
      <c r="DA85" s="689">
        <f t="shared" si="310"/>
        <v>33302</v>
      </c>
      <c r="DB85" s="689">
        <v>0</v>
      </c>
      <c r="DC85" s="689">
        <v>0</v>
      </c>
      <c r="DD85" s="689">
        <v>0</v>
      </c>
      <c r="DE85" s="689">
        <v>0</v>
      </c>
      <c r="DF85" s="689">
        <v>4941</v>
      </c>
      <c r="DG85" s="689">
        <v>0</v>
      </c>
      <c r="DH85" s="689">
        <v>0</v>
      </c>
      <c r="DI85" s="689">
        <v>0</v>
      </c>
      <c r="DJ85" s="689">
        <v>0</v>
      </c>
      <c r="DK85" s="689">
        <v>0</v>
      </c>
      <c r="DL85" s="689">
        <v>0</v>
      </c>
      <c r="DM85" s="689">
        <v>0</v>
      </c>
      <c r="DN85" s="689">
        <f t="shared" si="312"/>
        <v>4941</v>
      </c>
      <c r="DO85" s="689">
        <v>0</v>
      </c>
      <c r="DP85" s="689">
        <v>0</v>
      </c>
      <c r="DQ85" s="689">
        <v>0</v>
      </c>
      <c r="DR85" s="689">
        <v>0</v>
      </c>
      <c r="DS85" s="689">
        <v>0</v>
      </c>
      <c r="DT85" s="689">
        <v>0</v>
      </c>
      <c r="DU85" s="689">
        <v>69</v>
      </c>
      <c r="DV85" s="689">
        <v>0</v>
      </c>
      <c r="DW85" s="689">
        <v>0</v>
      </c>
      <c r="DX85" s="689">
        <v>0</v>
      </c>
      <c r="DY85" s="689">
        <v>0</v>
      </c>
      <c r="DZ85" s="689">
        <v>0</v>
      </c>
      <c r="EA85" s="737">
        <f t="shared" si="247"/>
        <v>69</v>
      </c>
      <c r="EB85" s="689">
        <v>0</v>
      </c>
      <c r="EC85" s="689">
        <v>0</v>
      </c>
      <c r="ED85" s="689">
        <v>0</v>
      </c>
      <c r="EE85" s="689">
        <v>0</v>
      </c>
      <c r="EF85" s="689">
        <v>0</v>
      </c>
      <c r="EG85" s="689">
        <v>0</v>
      </c>
      <c r="EH85" s="689">
        <v>0</v>
      </c>
      <c r="EI85" s="689">
        <v>0</v>
      </c>
      <c r="EJ85" s="689">
        <v>0</v>
      </c>
      <c r="EK85" s="689">
        <v>0</v>
      </c>
      <c r="EL85" s="689">
        <v>0</v>
      </c>
      <c r="EM85" s="689">
        <v>0</v>
      </c>
      <c r="EN85" s="689">
        <f>SUM(EB85:EM85)</f>
        <v>0</v>
      </c>
      <c r="EO85" s="689">
        <v>0</v>
      </c>
      <c r="EP85" s="689">
        <v>0</v>
      </c>
      <c r="EQ85" s="689">
        <v>0</v>
      </c>
      <c r="ER85" s="689">
        <v>0</v>
      </c>
      <c r="ES85" s="689">
        <v>0</v>
      </c>
      <c r="ET85" s="689">
        <v>0</v>
      </c>
      <c r="EU85" s="689">
        <v>0</v>
      </c>
      <c r="EV85" s="689">
        <v>0</v>
      </c>
      <c r="EW85" s="689">
        <v>205</v>
      </c>
      <c r="EX85" s="689">
        <v>2070</v>
      </c>
      <c r="EY85" s="738">
        <v>0</v>
      </c>
      <c r="EZ85" s="738">
        <v>0</v>
      </c>
      <c r="FA85" s="689">
        <f>SUM(EO85:EZ85)</f>
        <v>2275</v>
      </c>
      <c r="FB85" s="689">
        <v>0</v>
      </c>
      <c r="FC85" s="689">
        <v>0</v>
      </c>
      <c r="FD85" s="689">
        <v>0</v>
      </c>
      <c r="FE85" s="689">
        <v>0</v>
      </c>
      <c r="FF85" s="689">
        <v>0</v>
      </c>
      <c r="FG85" s="689">
        <v>0</v>
      </c>
      <c r="FH85" s="689">
        <v>0</v>
      </c>
      <c r="FI85" s="689">
        <v>0</v>
      </c>
      <c r="FJ85" s="689">
        <v>0</v>
      </c>
      <c r="FK85" s="689">
        <v>0</v>
      </c>
      <c r="FL85" s="689">
        <v>0</v>
      </c>
      <c r="FM85" s="689">
        <v>0</v>
      </c>
      <c r="FN85" s="689">
        <f t="shared" si="240"/>
        <v>0</v>
      </c>
      <c r="FO85" s="689">
        <v>0</v>
      </c>
      <c r="FP85" s="689">
        <v>0</v>
      </c>
      <c r="FQ85" s="689">
        <v>0</v>
      </c>
      <c r="FR85" s="689">
        <v>137</v>
      </c>
      <c r="FS85" s="689">
        <v>0</v>
      </c>
      <c r="FT85" s="689">
        <v>0</v>
      </c>
      <c r="FU85" s="689">
        <v>0</v>
      </c>
      <c r="FV85" s="689">
        <v>0</v>
      </c>
      <c r="FW85" s="689">
        <v>0</v>
      </c>
      <c r="FX85" s="689">
        <v>0</v>
      </c>
      <c r="FY85" s="689">
        <v>0</v>
      </c>
      <c r="FZ85" s="689">
        <v>0</v>
      </c>
      <c r="GA85" s="689">
        <f t="shared" si="242"/>
        <v>137</v>
      </c>
      <c r="GB85" s="689">
        <v>0</v>
      </c>
      <c r="GC85" s="689">
        <v>0</v>
      </c>
      <c r="GD85" s="738">
        <v>0</v>
      </c>
      <c r="GE85" s="689">
        <v>2779</v>
      </c>
      <c r="GF85" s="689">
        <v>0</v>
      </c>
      <c r="GG85" s="689">
        <v>0</v>
      </c>
      <c r="GH85" s="689">
        <v>0</v>
      </c>
      <c r="GI85" s="689">
        <v>0</v>
      </c>
      <c r="GJ85" s="689">
        <v>0</v>
      </c>
      <c r="GK85" s="689">
        <v>0</v>
      </c>
      <c r="GL85" s="689">
        <v>0</v>
      </c>
      <c r="GM85" s="689">
        <v>0</v>
      </c>
      <c r="GN85" s="689">
        <f t="shared" si="127"/>
        <v>2779</v>
      </c>
      <c r="GO85">
        <v>-19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HA85">
        <f t="shared" si="130"/>
        <v>-19</v>
      </c>
      <c r="HC85" s="730" t="str">
        <f t="shared" si="113"/>
        <v>-</v>
      </c>
      <c r="HD85" s="739">
        <f>IFERROR(((HF85/HE85)-1)*100,"-")</f>
        <v>-100.68369917236414</v>
      </c>
      <c r="HE85" s="737">
        <f t="shared" si="131"/>
        <v>2779</v>
      </c>
      <c r="HF85" s="737">
        <f t="shared" si="141"/>
        <v>-19</v>
      </c>
    </row>
    <row r="86" spans="1:214" ht="13.9" customHeight="1" x14ac:dyDescent="0.2">
      <c r="A86" s="736"/>
      <c r="AB86" s="689"/>
      <c r="AC86" s="689"/>
      <c r="AD86" s="689"/>
      <c r="AE86" s="689"/>
      <c r="AF86" s="689"/>
      <c r="AG86" s="689"/>
      <c r="AH86" s="689"/>
      <c r="AI86" s="689"/>
      <c r="AJ86" s="689"/>
      <c r="AK86" s="689"/>
      <c r="AL86" s="689"/>
      <c r="AM86" s="689"/>
      <c r="AN86" s="737"/>
      <c r="AO86" s="689"/>
      <c r="AP86" s="689"/>
      <c r="AQ86" s="689"/>
      <c r="AR86" s="689"/>
      <c r="AS86" s="689"/>
      <c r="AT86" s="689"/>
      <c r="AU86" s="689"/>
      <c r="AV86" s="689"/>
      <c r="AW86" s="689"/>
      <c r="AX86" s="689"/>
      <c r="AY86" s="689"/>
      <c r="AZ86" s="689"/>
      <c r="BA86" s="689"/>
      <c r="BB86" s="689"/>
      <c r="BC86" s="689"/>
      <c r="BD86" s="689"/>
      <c r="BE86" s="689"/>
      <c r="BF86" s="689"/>
      <c r="BG86" s="689"/>
      <c r="BH86" s="689"/>
      <c r="BI86" s="689"/>
      <c r="BJ86" s="689"/>
      <c r="BK86" s="689"/>
      <c r="BL86" s="689"/>
      <c r="BM86" s="689"/>
      <c r="BN86" s="689"/>
      <c r="BO86" s="689"/>
      <c r="BP86" s="689"/>
      <c r="BQ86" s="689"/>
      <c r="BR86" s="689"/>
      <c r="BS86" s="689"/>
      <c r="BT86" s="689"/>
      <c r="BU86" s="689"/>
      <c r="BV86" s="689"/>
      <c r="BW86" s="689"/>
      <c r="BX86" s="689"/>
      <c r="BY86" s="689"/>
      <c r="BZ86" s="689"/>
      <c r="CA86" s="689"/>
      <c r="CB86" s="689"/>
      <c r="CC86" s="689"/>
      <c r="CD86" s="689"/>
      <c r="CE86" s="689"/>
      <c r="CF86" s="689"/>
      <c r="CG86" s="689"/>
      <c r="CH86" s="689"/>
      <c r="CI86" s="689"/>
      <c r="CJ86" s="689"/>
      <c r="CK86" s="689"/>
      <c r="CL86" s="689"/>
      <c r="CM86" s="689"/>
      <c r="CN86" s="689"/>
      <c r="CO86" s="689"/>
      <c r="CP86" s="689"/>
      <c r="CQ86" s="689"/>
      <c r="CR86" s="689"/>
      <c r="CS86" s="689"/>
      <c r="CT86" s="689"/>
      <c r="CU86" s="689"/>
      <c r="CV86" s="689"/>
      <c r="CW86" s="689"/>
      <c r="CX86" s="689"/>
      <c r="CY86" s="689"/>
      <c r="CZ86" s="689"/>
      <c r="DA86" s="689"/>
      <c r="DB86" s="689"/>
      <c r="DC86" s="689"/>
      <c r="DD86" s="689"/>
      <c r="DE86" s="689"/>
      <c r="DF86" s="689"/>
      <c r="DG86" s="689"/>
      <c r="DH86" s="689"/>
      <c r="DI86" s="689"/>
      <c r="DJ86" s="689"/>
      <c r="DK86" s="689"/>
      <c r="DL86" s="689"/>
      <c r="DM86" s="689"/>
      <c r="DN86" s="689"/>
      <c r="DO86" s="689"/>
      <c r="DP86" s="689"/>
      <c r="DQ86" s="689"/>
      <c r="DR86" s="689"/>
      <c r="DS86" s="689"/>
      <c r="DT86" s="689"/>
      <c r="DU86" s="689"/>
      <c r="DV86" s="689"/>
      <c r="DW86" s="689"/>
      <c r="DX86" s="689"/>
      <c r="DY86" s="689"/>
      <c r="DZ86" s="689"/>
      <c r="EA86" s="689"/>
      <c r="EB86" s="689"/>
      <c r="EC86" s="689"/>
      <c r="ED86" s="689"/>
      <c r="EE86" s="689"/>
      <c r="EF86" s="689"/>
      <c r="EG86" s="689"/>
      <c r="EH86" s="689"/>
      <c r="EI86" s="689"/>
      <c r="EJ86" s="689"/>
      <c r="EK86" s="689"/>
      <c r="EL86" s="689"/>
      <c r="EM86" s="689"/>
      <c r="EN86" s="689"/>
      <c r="EO86" s="689"/>
      <c r="EP86" s="689"/>
      <c r="EQ86" s="689"/>
      <c r="ER86" s="689"/>
      <c r="ES86" s="689"/>
      <c r="ET86" s="689"/>
      <c r="EU86" s="689"/>
      <c r="EV86" s="689"/>
      <c r="EW86" s="689"/>
      <c r="EX86" s="689"/>
      <c r="EY86" s="738"/>
      <c r="EZ86" s="738"/>
      <c r="FA86" s="689"/>
      <c r="FB86" s="738"/>
      <c r="FC86" s="738"/>
      <c r="FD86" s="738"/>
      <c r="FE86" s="738"/>
      <c r="FF86" s="738"/>
      <c r="FG86" s="738"/>
      <c r="FH86" s="738"/>
      <c r="FI86" s="738"/>
      <c r="FJ86" s="738"/>
      <c r="FK86" s="738"/>
      <c r="FL86" s="738"/>
      <c r="FM86" s="738"/>
      <c r="FN86" s="738"/>
      <c r="FO86" s="738"/>
      <c r="FP86" s="738"/>
      <c r="FQ86" s="738"/>
      <c r="FR86" s="738"/>
      <c r="FS86" s="738"/>
      <c r="FT86" s="738"/>
      <c r="FU86" s="738"/>
      <c r="FV86" s="738"/>
      <c r="FW86" s="738"/>
      <c r="FX86" s="738"/>
      <c r="FY86" s="738"/>
      <c r="FZ86" s="738"/>
      <c r="GA86" s="738"/>
      <c r="GB86" s="738"/>
      <c r="GC86" s="738"/>
      <c r="GD86" s="738"/>
      <c r="GE86" s="738"/>
      <c r="GF86" s="738"/>
      <c r="GG86" s="738"/>
      <c r="GH86" s="738"/>
      <c r="GI86" s="738"/>
      <c r="GJ86" s="738"/>
      <c r="GK86" s="738"/>
      <c r="GL86" s="738"/>
      <c r="GM86" s="738"/>
      <c r="GN86" s="738"/>
      <c r="HC86" s="730"/>
      <c r="HD86" s="742"/>
      <c r="HE86" s="728"/>
      <c r="HF86" s="728"/>
    </row>
    <row r="87" spans="1:214" ht="13.9" customHeight="1" x14ac:dyDescent="0.2">
      <c r="BO87" s="666">
        <f t="shared" ref="BO87:BZ87" si="333">BO52-BO15</f>
        <v>0</v>
      </c>
      <c r="BP87" s="666">
        <f t="shared" si="333"/>
        <v>0</v>
      </c>
      <c r="BQ87" s="666">
        <f t="shared" si="333"/>
        <v>0</v>
      </c>
      <c r="BR87" s="666">
        <f t="shared" si="333"/>
        <v>0</v>
      </c>
      <c r="BS87" s="666">
        <f t="shared" si="333"/>
        <v>0</v>
      </c>
      <c r="BT87" s="666">
        <f t="shared" si="333"/>
        <v>0</v>
      </c>
      <c r="BU87" s="666">
        <f t="shared" si="333"/>
        <v>0</v>
      </c>
      <c r="BV87" s="666">
        <f t="shared" si="333"/>
        <v>0</v>
      </c>
      <c r="BW87" s="666">
        <f t="shared" si="333"/>
        <v>0</v>
      </c>
      <c r="BX87" s="666">
        <f t="shared" si="333"/>
        <v>0</v>
      </c>
      <c r="BY87" s="666">
        <f t="shared" si="333"/>
        <v>0</v>
      </c>
      <c r="BZ87" s="666">
        <f t="shared" si="333"/>
        <v>0</v>
      </c>
      <c r="CB87" s="667">
        <f t="shared" ref="CB87:CM87" si="334">CB52-CB15</f>
        <v>0</v>
      </c>
      <c r="CC87" s="667">
        <f t="shared" si="334"/>
        <v>0</v>
      </c>
      <c r="CD87" s="667">
        <f t="shared" si="334"/>
        <v>0</v>
      </c>
      <c r="CE87" s="667">
        <f t="shared" si="334"/>
        <v>0</v>
      </c>
      <c r="CF87" s="667">
        <f t="shared" si="334"/>
        <v>0</v>
      </c>
      <c r="CG87" s="667">
        <f t="shared" si="334"/>
        <v>0</v>
      </c>
      <c r="CH87" s="667">
        <f t="shared" si="334"/>
        <v>0</v>
      </c>
      <c r="CI87" s="667">
        <f t="shared" si="334"/>
        <v>0</v>
      </c>
      <c r="CJ87" s="667">
        <f t="shared" si="334"/>
        <v>0</v>
      </c>
      <c r="CK87" s="667">
        <f t="shared" si="334"/>
        <v>-276</v>
      </c>
      <c r="CL87" s="667">
        <f t="shared" si="334"/>
        <v>-77</v>
      </c>
      <c r="CM87" s="667">
        <f t="shared" si="334"/>
        <v>-322</v>
      </c>
      <c r="CO87" s="667">
        <f t="shared" ref="CO87:CZ87" si="335">CO52-CO15</f>
        <v>-12584</v>
      </c>
      <c r="CP87" s="667">
        <f t="shared" si="335"/>
        <v>-3689</v>
      </c>
      <c r="CQ87" s="667">
        <f t="shared" si="335"/>
        <v>-516</v>
      </c>
      <c r="CR87" s="667">
        <f t="shared" si="335"/>
        <v>-5137</v>
      </c>
      <c r="CS87" s="667">
        <f t="shared" si="335"/>
        <v>-2500</v>
      </c>
      <c r="CT87" s="667">
        <f t="shared" si="335"/>
        <v>24</v>
      </c>
      <c r="CU87" s="667">
        <f t="shared" si="335"/>
        <v>-6618</v>
      </c>
      <c r="CV87" s="667">
        <f t="shared" si="335"/>
        <v>-2577</v>
      </c>
      <c r="CW87" s="667">
        <f t="shared" si="335"/>
        <v>-732</v>
      </c>
      <c r="CX87" s="667">
        <f t="shared" si="335"/>
        <v>-302</v>
      </c>
      <c r="CY87" s="667">
        <f t="shared" si="335"/>
        <v>-401</v>
      </c>
      <c r="CZ87" s="667">
        <f t="shared" si="335"/>
        <v>-1297</v>
      </c>
      <c r="DA87" s="667"/>
      <c r="DB87" s="667">
        <f t="shared" ref="DB87:DM87" si="336">DB52-DB15</f>
        <v>-300</v>
      </c>
      <c r="DC87" s="667">
        <f t="shared" si="336"/>
        <v>0</v>
      </c>
      <c r="DD87" s="667">
        <f t="shared" si="336"/>
        <v>0</v>
      </c>
      <c r="DE87" s="667">
        <f t="shared" si="336"/>
        <v>0</v>
      </c>
      <c r="DF87" s="667">
        <f t="shared" si="336"/>
        <v>0</v>
      </c>
      <c r="DG87" s="667">
        <f t="shared" si="336"/>
        <v>0</v>
      </c>
      <c r="DH87" s="667">
        <f t="shared" si="336"/>
        <v>-32</v>
      </c>
      <c r="DI87" s="667">
        <f t="shared" si="336"/>
        <v>333</v>
      </c>
      <c r="DJ87" s="667">
        <f t="shared" si="336"/>
        <v>904</v>
      </c>
      <c r="DK87" s="667">
        <f t="shared" si="336"/>
        <v>-167</v>
      </c>
      <c r="DL87" s="667">
        <f t="shared" si="336"/>
        <v>4182</v>
      </c>
      <c r="DM87" s="667">
        <f t="shared" si="336"/>
        <v>-485</v>
      </c>
      <c r="DN87" s="667"/>
      <c r="DO87" s="667">
        <f>DO52-DO15</f>
        <v>0</v>
      </c>
      <c r="DP87" s="667">
        <f>DP52-DP15</f>
        <v>0</v>
      </c>
      <c r="DQ87" s="667"/>
      <c r="DR87" s="667"/>
      <c r="DS87" s="667"/>
      <c r="DT87" s="667"/>
      <c r="DU87" s="667"/>
      <c r="DV87" s="667"/>
    </row>
  </sheetData>
  <mergeCells count="4">
    <mergeCell ref="GO4:GZ4"/>
    <mergeCell ref="HC4:HD4"/>
    <mergeCell ref="GO36:GZ36"/>
    <mergeCell ref="HC36:HD36"/>
  </mergeCells>
  <printOptions horizontalCentered="1" verticalCentered="1"/>
  <pageMargins left="0.74803149606299213" right="0.74803149606299213" top="0.98425196850393704" bottom="0.98425196850393704" header="0" footer="0"/>
  <pageSetup paperSize="9" scale="10" orientation="landscape" r:id="rId1"/>
  <headerFooter alignWithMargins="0"/>
  <rowBreaks count="1" manualBreakCount="1">
    <brk id="29" max="156" man="1"/>
  </rowBreaks>
  <colBreaks count="1" manualBreakCount="1">
    <brk id="67" max="3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B0B0-C40D-4420-91FD-CABA9457038E}">
  <sheetPr>
    <tabColor theme="7" tint="0.59999389629810485"/>
  </sheetPr>
  <dimension ref="A1:IU71"/>
  <sheetViews>
    <sheetView showGridLines="0" view="pageBreakPreview" zoomScale="80" zoomScaleNormal="80" zoomScaleSheetLayoutView="80" workbookViewId="0">
      <pane xSplit="1" topLeftCell="HO1" activePane="topRight" state="frozen"/>
      <selection activeCell="IB59" sqref="IB59:JB59"/>
      <selection pane="topRight" activeCell="II17" sqref="II17"/>
    </sheetView>
  </sheetViews>
  <sheetFormatPr baseColWidth="10" defaultColWidth="8.7109375" defaultRowHeight="15" customHeight="1" x14ac:dyDescent="0.2"/>
  <cols>
    <col min="1" max="1" width="30.7109375" style="317" customWidth="1"/>
    <col min="2" max="209" width="8.85546875" style="317" customWidth="1"/>
    <col min="210" max="210" width="9.85546875" style="317" bestFit="1" customWidth="1"/>
    <col min="211" max="212" width="9.7109375" style="317" bestFit="1" customWidth="1"/>
    <col min="213" max="213" width="8.85546875" style="317" customWidth="1"/>
    <col min="214" max="214" width="9.85546875" style="317" bestFit="1" customWidth="1"/>
    <col min="215" max="220" width="8.85546875" style="317" customWidth="1"/>
    <col min="221" max="221" width="10.42578125" style="317" bestFit="1" customWidth="1"/>
    <col min="222" max="222" width="9.85546875" style="317" bestFit="1" customWidth="1"/>
    <col min="223" max="234" width="12" style="317" bestFit="1" customWidth="1"/>
    <col min="235" max="235" width="11.28515625" style="317" bestFit="1" customWidth="1"/>
    <col min="236" max="236" width="9.85546875" customWidth="1"/>
    <col min="237" max="237" width="8.5703125" customWidth="1"/>
    <col min="238" max="238" width="8.85546875" customWidth="1"/>
    <col min="239" max="239" width="8.42578125" customWidth="1"/>
    <col min="240" max="240" width="10.28515625" bestFit="1" customWidth="1"/>
    <col min="241" max="241" width="8.7109375" customWidth="1"/>
    <col min="242" max="242" width="9.5703125" customWidth="1"/>
    <col min="243" max="243" width="9.28515625" customWidth="1"/>
    <col min="244" max="244" width="10.28515625" customWidth="1"/>
    <col min="245" max="245" width="9.5703125" customWidth="1"/>
    <col min="246" max="246" width="9.42578125" customWidth="1"/>
    <col min="247" max="247" width="9.140625" customWidth="1"/>
    <col min="248" max="248" width="9.7109375" customWidth="1"/>
    <col min="249" max="249" width="4" customWidth="1"/>
    <col min="250" max="250" width="7.42578125" style="317" customWidth="1"/>
    <col min="251" max="251" width="10" style="317" customWidth="1"/>
    <col min="252" max="252" width="12.7109375" style="317" bestFit="1" customWidth="1"/>
    <col min="253" max="253" width="12" style="317" bestFit="1" customWidth="1"/>
    <col min="254" max="254" width="2.85546875" style="317" customWidth="1"/>
    <col min="255" max="255" width="8.85546875" style="317" customWidth="1"/>
  </cols>
  <sheetData>
    <row r="1" spans="1:255" ht="15" customHeight="1" x14ac:dyDescent="0.2">
      <c r="A1" s="1524" t="s">
        <v>339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6"/>
      <c r="AC1" s="316"/>
      <c r="AD1" s="316"/>
      <c r="AE1" s="316"/>
      <c r="AF1" s="316"/>
      <c r="AG1" s="316"/>
      <c r="AH1" s="316"/>
      <c r="AI1" s="316"/>
      <c r="AJ1" s="316"/>
      <c r="AK1" s="316"/>
      <c r="AL1" s="316"/>
      <c r="AM1" s="316"/>
      <c r="AN1" s="316"/>
      <c r="AO1" s="316"/>
      <c r="AP1" s="316"/>
      <c r="AQ1" s="316"/>
      <c r="AR1" s="316"/>
      <c r="AS1" s="316"/>
      <c r="AT1" s="316"/>
      <c r="AU1" s="316"/>
      <c r="AV1" s="316"/>
      <c r="AW1" s="316"/>
      <c r="AX1" s="316"/>
      <c r="AY1" s="316"/>
      <c r="AZ1" s="316"/>
      <c r="BA1" s="316"/>
      <c r="BB1" s="316"/>
      <c r="BC1" s="316"/>
      <c r="BD1" s="316"/>
      <c r="BE1" s="316"/>
      <c r="BF1" s="316"/>
      <c r="BG1" s="316"/>
      <c r="BH1" s="316"/>
      <c r="BI1" s="316"/>
      <c r="BJ1" s="316"/>
      <c r="BK1" s="316"/>
      <c r="BL1" s="316"/>
      <c r="BM1" s="316"/>
      <c r="BN1" s="316"/>
      <c r="BO1" s="316"/>
      <c r="BP1" s="316"/>
      <c r="BQ1" s="316"/>
      <c r="BR1" s="316"/>
      <c r="BS1" s="316"/>
      <c r="BT1" s="316"/>
      <c r="BU1" s="316"/>
      <c r="BV1" s="316"/>
      <c r="BW1" s="316"/>
      <c r="BX1" s="316"/>
      <c r="BY1" s="316"/>
      <c r="BZ1" s="316"/>
      <c r="CA1" s="316"/>
      <c r="CB1" s="316"/>
      <c r="CC1" s="316"/>
      <c r="CD1" s="316"/>
      <c r="CE1" s="316"/>
      <c r="CF1" s="316"/>
      <c r="CG1" s="316"/>
      <c r="CH1" s="316"/>
      <c r="CI1" s="316"/>
      <c r="CJ1" s="316"/>
      <c r="CK1" s="316"/>
      <c r="CL1" s="316"/>
      <c r="CM1" s="316"/>
      <c r="CN1" s="316"/>
      <c r="CO1" s="316"/>
      <c r="CP1" s="316"/>
      <c r="CQ1" s="316"/>
      <c r="CR1" s="316"/>
      <c r="CS1" s="316"/>
      <c r="CT1" s="316"/>
      <c r="CU1" s="316"/>
      <c r="CV1" s="316"/>
      <c r="CW1" s="316"/>
      <c r="CX1" s="316"/>
      <c r="CY1" s="316"/>
      <c r="CZ1" s="316"/>
      <c r="DA1" s="316"/>
      <c r="DB1" s="316"/>
      <c r="DC1" s="316"/>
      <c r="DD1" s="316"/>
      <c r="DE1" s="316"/>
      <c r="DF1" s="316"/>
      <c r="DG1" s="316"/>
      <c r="DH1" s="316"/>
      <c r="DI1" s="316"/>
      <c r="DJ1" s="316"/>
      <c r="DK1" s="316"/>
      <c r="DL1" s="316"/>
      <c r="DM1" s="316"/>
      <c r="DN1" s="316"/>
      <c r="DO1" s="316"/>
      <c r="DP1" s="316"/>
      <c r="DQ1" s="316"/>
      <c r="DR1" s="316"/>
      <c r="DS1" s="316"/>
      <c r="DT1" s="316"/>
      <c r="DU1" s="316"/>
      <c r="DV1" s="316"/>
      <c r="DW1" s="316"/>
      <c r="DX1" s="316"/>
      <c r="DY1" s="316"/>
      <c r="DZ1" s="316"/>
      <c r="EA1" s="316"/>
      <c r="EB1" s="316"/>
      <c r="EC1" s="316"/>
      <c r="ED1" s="316"/>
      <c r="EE1" s="316"/>
      <c r="EF1" s="316"/>
      <c r="EG1" s="316"/>
      <c r="EH1" s="316"/>
      <c r="EI1" s="316"/>
      <c r="EJ1" s="316"/>
      <c r="IB1" s="120"/>
      <c r="IC1" s="120"/>
      <c r="ID1" s="120"/>
      <c r="IE1" s="120"/>
      <c r="IF1" s="120"/>
      <c r="IG1" s="120"/>
      <c r="IH1" s="120"/>
      <c r="II1" s="120"/>
      <c r="IJ1" s="120"/>
      <c r="IK1" s="120"/>
      <c r="IL1" s="120"/>
      <c r="IM1" s="120"/>
      <c r="IN1" s="120"/>
      <c r="IO1" s="120"/>
    </row>
    <row r="2" spans="1:255" ht="15" customHeight="1" x14ac:dyDescent="0.2">
      <c r="A2" s="1524" t="s">
        <v>479</v>
      </c>
      <c r="B2" s="318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9"/>
      <c r="BN2" s="319"/>
      <c r="BO2" s="319"/>
      <c r="BP2" s="319"/>
      <c r="BQ2" s="319"/>
      <c r="BR2" s="319"/>
      <c r="BS2" s="319"/>
      <c r="BT2" s="319"/>
      <c r="BU2" s="319"/>
      <c r="BV2" s="319"/>
      <c r="BW2" s="319"/>
      <c r="BX2" s="319"/>
      <c r="BY2" s="319"/>
      <c r="BZ2" s="319"/>
      <c r="CA2" s="319"/>
      <c r="CB2" s="319"/>
      <c r="CC2" s="319"/>
      <c r="CD2" s="319"/>
      <c r="CE2" s="319"/>
      <c r="CF2" s="319"/>
      <c r="CG2" s="319"/>
      <c r="CH2" s="319"/>
      <c r="CI2" s="319"/>
      <c r="CJ2" s="319"/>
      <c r="CK2" s="319"/>
      <c r="CL2" s="319"/>
      <c r="CM2" s="319"/>
      <c r="CN2" s="319"/>
      <c r="CO2" s="319"/>
      <c r="CP2" s="319"/>
      <c r="CQ2" s="319"/>
      <c r="CR2" s="319"/>
      <c r="CS2" s="319"/>
      <c r="CT2" s="319"/>
      <c r="CU2" s="319"/>
      <c r="CV2" s="319"/>
      <c r="CW2" s="319"/>
      <c r="CX2" s="319"/>
      <c r="CY2" s="319"/>
      <c r="CZ2" s="319"/>
      <c r="DA2" s="319"/>
      <c r="DB2" s="319"/>
      <c r="DC2" s="319"/>
      <c r="DD2" s="319"/>
      <c r="DE2" s="319"/>
      <c r="DF2" s="319"/>
      <c r="DG2" s="319"/>
      <c r="DH2" s="319"/>
      <c r="DI2" s="319"/>
      <c r="DJ2" s="319"/>
      <c r="DK2" s="319"/>
      <c r="DL2" s="319"/>
      <c r="DM2" s="319"/>
      <c r="DN2" s="319"/>
      <c r="DO2" s="319"/>
      <c r="DP2" s="319"/>
      <c r="DQ2" s="319"/>
      <c r="DR2" s="319"/>
      <c r="DS2" s="319"/>
      <c r="DT2" s="319"/>
      <c r="DU2" s="319"/>
      <c r="DV2" s="319"/>
      <c r="DW2" s="319"/>
      <c r="DX2" s="319"/>
      <c r="DY2" s="319"/>
      <c r="DZ2" s="319"/>
      <c r="EA2" s="319"/>
      <c r="EB2" s="319"/>
      <c r="EC2" s="319"/>
      <c r="ED2" s="319"/>
      <c r="EE2" s="319"/>
      <c r="EF2" s="319"/>
      <c r="EG2" s="319"/>
      <c r="EH2" s="319"/>
      <c r="EI2" s="319"/>
      <c r="EJ2" s="319"/>
      <c r="EK2" s="320"/>
      <c r="EL2" s="320"/>
      <c r="EM2" s="320"/>
      <c r="EN2" s="320"/>
      <c r="EO2" s="320"/>
      <c r="EP2" s="320"/>
      <c r="EQ2" s="320"/>
      <c r="ER2" s="320"/>
      <c r="ES2" s="320"/>
      <c r="ET2" s="320"/>
      <c r="EU2" s="320"/>
      <c r="EV2" s="320"/>
      <c r="EW2" s="320"/>
      <c r="EX2" s="320"/>
      <c r="EY2" s="320"/>
      <c r="EZ2" s="320"/>
      <c r="FA2" s="320"/>
      <c r="FB2" s="320"/>
      <c r="FC2" s="320"/>
      <c r="FD2" s="320"/>
      <c r="FE2" s="320"/>
      <c r="FF2" s="320"/>
      <c r="FG2" s="320"/>
      <c r="FH2" s="320"/>
      <c r="FI2" s="320"/>
      <c r="GB2" s="321"/>
      <c r="GC2" s="321"/>
      <c r="GD2" s="321"/>
      <c r="GE2" s="321"/>
      <c r="GF2" s="321"/>
      <c r="GG2" s="321"/>
      <c r="GH2" s="321"/>
      <c r="GI2" s="321"/>
      <c r="GJ2" s="321"/>
      <c r="GK2" s="321"/>
      <c r="GL2" s="321"/>
      <c r="GM2" s="321"/>
      <c r="GN2" s="321"/>
      <c r="GO2" s="321"/>
      <c r="GP2" s="321"/>
      <c r="GQ2" s="321"/>
      <c r="GR2" s="321"/>
      <c r="GS2" s="321"/>
      <c r="GT2" s="321"/>
      <c r="GU2" s="321"/>
      <c r="GV2" s="321"/>
      <c r="GW2" s="321"/>
      <c r="GX2" s="321"/>
      <c r="GY2" s="321"/>
      <c r="GZ2" s="321"/>
      <c r="HA2" s="321"/>
      <c r="HB2" s="321"/>
      <c r="HC2" s="321"/>
      <c r="HD2" s="321"/>
      <c r="HE2" s="321"/>
      <c r="HF2" s="321"/>
      <c r="HG2" s="321"/>
      <c r="HH2" s="321"/>
      <c r="HI2" s="321"/>
      <c r="HJ2" s="321"/>
      <c r="HK2" s="321"/>
      <c r="HL2" s="321"/>
      <c r="HM2" s="321"/>
      <c r="HN2" s="321"/>
      <c r="HO2" s="321"/>
      <c r="HP2" s="321"/>
      <c r="HQ2" s="321"/>
      <c r="HR2" s="321"/>
      <c r="HS2" s="321"/>
      <c r="HT2" s="321"/>
      <c r="HU2" s="321"/>
      <c r="HV2" s="321"/>
      <c r="HW2" s="321"/>
      <c r="HX2" s="321"/>
      <c r="HY2" s="321"/>
      <c r="HZ2" s="321"/>
      <c r="IA2" s="321"/>
      <c r="IB2" s="120"/>
      <c r="IC2" s="120"/>
      <c r="ID2" s="120"/>
      <c r="IE2" s="120"/>
      <c r="IF2" s="120"/>
      <c r="IG2" s="120"/>
      <c r="IH2" s="120"/>
      <c r="II2" s="120"/>
      <c r="IJ2" s="120"/>
      <c r="IK2" s="120"/>
      <c r="IL2" s="120"/>
      <c r="IM2" s="120"/>
      <c r="IN2" s="120"/>
      <c r="IO2" s="120"/>
    </row>
    <row r="3" spans="1:255" ht="15" customHeight="1" x14ac:dyDescent="0.2">
      <c r="A3" s="1550" t="s">
        <v>618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6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  <c r="AX3" s="316"/>
      <c r="AY3" s="316"/>
      <c r="AZ3" s="316"/>
      <c r="BA3" s="316"/>
      <c r="BB3" s="316"/>
      <c r="BC3" s="316"/>
      <c r="BD3" s="316"/>
      <c r="BE3" s="316"/>
      <c r="BF3" s="316"/>
      <c r="BG3" s="316"/>
      <c r="BH3" s="316"/>
      <c r="BI3" s="316"/>
      <c r="BJ3" s="316"/>
      <c r="BK3" s="316"/>
      <c r="BL3" s="316"/>
      <c r="BM3" s="316"/>
      <c r="BN3" s="316"/>
      <c r="BO3" s="316"/>
      <c r="BP3" s="316"/>
      <c r="BQ3" s="316"/>
      <c r="BR3" s="316"/>
      <c r="BS3" s="316"/>
      <c r="BT3" s="316"/>
      <c r="BU3" s="316"/>
      <c r="BV3" s="316"/>
      <c r="BW3" s="316"/>
      <c r="BX3" s="316"/>
      <c r="BY3" s="316"/>
      <c r="BZ3" s="316"/>
      <c r="CA3" s="316"/>
      <c r="CB3" s="316"/>
      <c r="CC3" s="316"/>
      <c r="CD3" s="316"/>
      <c r="CE3" s="316"/>
      <c r="CF3" s="316"/>
      <c r="CG3" s="316"/>
      <c r="CH3" s="316"/>
      <c r="CI3" s="316"/>
      <c r="CJ3" s="316"/>
      <c r="CK3" s="316"/>
      <c r="CL3" s="316"/>
      <c r="CM3" s="316"/>
      <c r="CN3" s="316"/>
      <c r="CO3" s="316"/>
      <c r="CP3" s="316"/>
      <c r="CQ3" s="316"/>
      <c r="CR3" s="316"/>
      <c r="CS3" s="316"/>
      <c r="CT3" s="316"/>
      <c r="CU3" s="316"/>
      <c r="CV3" s="316"/>
      <c r="CW3" s="316"/>
      <c r="CX3" s="316"/>
      <c r="CY3" s="316"/>
      <c r="CZ3" s="316"/>
      <c r="DA3" s="316"/>
      <c r="DB3" s="316"/>
      <c r="DC3" s="316"/>
      <c r="DD3" s="316"/>
      <c r="DE3" s="316"/>
      <c r="DF3" s="316"/>
      <c r="DG3" s="316"/>
      <c r="DH3" s="316"/>
      <c r="DI3" s="316"/>
      <c r="DJ3" s="316"/>
      <c r="DK3" s="316"/>
      <c r="DL3" s="316"/>
      <c r="DM3" s="316"/>
      <c r="DN3" s="316"/>
      <c r="DO3" s="316"/>
      <c r="DP3" s="316"/>
      <c r="DQ3" s="316"/>
      <c r="DR3" s="316"/>
      <c r="DS3" s="316"/>
      <c r="DT3" s="316"/>
      <c r="DU3" s="316"/>
      <c r="DV3" s="316"/>
      <c r="DW3" s="316"/>
      <c r="DX3" s="316"/>
      <c r="DY3" s="316"/>
      <c r="DZ3" s="316"/>
      <c r="EA3" s="316"/>
      <c r="EB3" s="316"/>
      <c r="EC3" s="316"/>
      <c r="ED3" s="316"/>
      <c r="EE3" s="316"/>
      <c r="EF3" s="316"/>
      <c r="EG3" s="316"/>
      <c r="EH3" s="316"/>
      <c r="EI3" s="316"/>
      <c r="EJ3" s="316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</row>
    <row r="4" spans="1:255" ht="15" customHeight="1" x14ac:dyDescent="0.2">
      <c r="A4" s="1525"/>
      <c r="B4" s="1526">
        <f>YEAR(B5)</f>
        <v>2008</v>
      </c>
      <c r="C4" s="1527"/>
      <c r="D4" s="1527"/>
      <c r="E4" s="1527"/>
      <c r="F4" s="1527"/>
      <c r="G4" s="1527"/>
      <c r="H4" s="1527"/>
      <c r="I4" s="1527"/>
      <c r="J4" s="1527"/>
      <c r="K4" s="1527"/>
      <c r="L4" s="1527"/>
      <c r="M4" s="1527"/>
      <c r="N4" s="1528" t="s">
        <v>29</v>
      </c>
      <c r="O4" s="1526">
        <f>YEAR(O5)</f>
        <v>2009</v>
      </c>
      <c r="P4" s="1527"/>
      <c r="Q4" s="1527"/>
      <c r="R4" s="1527"/>
      <c r="S4" s="1527"/>
      <c r="T4" s="1527"/>
      <c r="U4" s="1527"/>
      <c r="V4" s="1527"/>
      <c r="W4" s="1527"/>
      <c r="X4" s="1527"/>
      <c r="Y4" s="1527"/>
      <c r="Z4" s="1527"/>
      <c r="AA4" s="1528" t="s">
        <v>29</v>
      </c>
      <c r="AB4" s="1526">
        <f>YEAR(AB5)</f>
        <v>2010</v>
      </c>
      <c r="AC4" s="1527"/>
      <c r="AD4" s="1527"/>
      <c r="AE4" s="1527"/>
      <c r="AF4" s="1527"/>
      <c r="AG4" s="1527"/>
      <c r="AH4" s="1527"/>
      <c r="AI4" s="1527"/>
      <c r="AJ4" s="1527"/>
      <c r="AK4" s="1527"/>
      <c r="AL4" s="1527"/>
      <c r="AM4" s="1527"/>
      <c r="AN4" s="1528" t="s">
        <v>29</v>
      </c>
      <c r="AO4" s="1526">
        <f>YEAR(AO5)</f>
        <v>2011</v>
      </c>
      <c r="AP4" s="1527"/>
      <c r="AQ4" s="1527"/>
      <c r="AR4" s="1527"/>
      <c r="AS4" s="1527"/>
      <c r="AT4" s="1527"/>
      <c r="AU4" s="1527"/>
      <c r="AV4" s="1527"/>
      <c r="AW4" s="1527"/>
      <c r="AX4" s="1527"/>
      <c r="AY4" s="1527"/>
      <c r="AZ4" s="1527"/>
      <c r="BA4" s="1528" t="s">
        <v>29</v>
      </c>
      <c r="BB4" s="1526">
        <f>YEAR(BB5)</f>
        <v>2012</v>
      </c>
      <c r="BC4" s="1527"/>
      <c r="BD4" s="1527"/>
      <c r="BE4" s="1527"/>
      <c r="BF4" s="1527"/>
      <c r="BG4" s="1527"/>
      <c r="BH4" s="1527"/>
      <c r="BI4" s="1527"/>
      <c r="BJ4" s="1527"/>
      <c r="BK4" s="1527"/>
      <c r="BL4" s="1527"/>
      <c r="BM4" s="1527"/>
      <c r="BN4" s="1528" t="s">
        <v>29</v>
      </c>
      <c r="BO4" s="1526">
        <f>YEAR(BO5)</f>
        <v>2013</v>
      </c>
      <c r="BP4" s="1527"/>
      <c r="BQ4" s="1527"/>
      <c r="BR4" s="1527"/>
      <c r="BS4" s="1527"/>
      <c r="BT4" s="1527"/>
      <c r="BU4" s="1527"/>
      <c r="BV4" s="1527"/>
      <c r="BW4" s="1527"/>
      <c r="BX4" s="1527"/>
      <c r="BY4" s="1527"/>
      <c r="BZ4" s="1527"/>
      <c r="CA4" s="1528" t="s">
        <v>29</v>
      </c>
      <c r="CB4" s="1526">
        <f>YEAR(CB5)</f>
        <v>2014</v>
      </c>
      <c r="CC4" s="1527"/>
      <c r="CD4" s="1527"/>
      <c r="CE4" s="1527"/>
      <c r="CF4" s="1527"/>
      <c r="CG4" s="1527"/>
      <c r="CH4" s="1527"/>
      <c r="CI4" s="1527"/>
      <c r="CJ4" s="1527"/>
      <c r="CK4" s="1527"/>
      <c r="CL4" s="1527"/>
      <c r="CM4" s="1527"/>
      <c r="CN4" s="1528" t="s">
        <v>29</v>
      </c>
      <c r="CO4" s="1526">
        <f>YEAR(CO5)</f>
        <v>2015</v>
      </c>
      <c r="CP4" s="1527"/>
      <c r="CQ4" s="1527"/>
      <c r="CR4" s="1527"/>
      <c r="CS4" s="1527"/>
      <c r="CT4" s="1527"/>
      <c r="CU4" s="1527"/>
      <c r="CV4" s="1527"/>
      <c r="CW4" s="1527"/>
      <c r="CX4" s="1527"/>
      <c r="CY4" s="1527"/>
      <c r="CZ4" s="1527"/>
      <c r="DA4" s="1528" t="s">
        <v>29</v>
      </c>
      <c r="DB4" s="1526">
        <f>YEAR(DB5)</f>
        <v>2016</v>
      </c>
      <c r="DC4" s="1527"/>
      <c r="DD4" s="1527"/>
      <c r="DE4" s="1527"/>
      <c r="DF4" s="1527"/>
      <c r="DG4" s="1527"/>
      <c r="DH4" s="1527"/>
      <c r="DI4" s="1527"/>
      <c r="DJ4" s="1527"/>
      <c r="DK4" s="1527"/>
      <c r="DL4" s="1527"/>
      <c r="DM4" s="1527"/>
      <c r="DN4" s="1528" t="s">
        <v>29</v>
      </c>
      <c r="DO4" s="1526">
        <f>YEAR(DO5)</f>
        <v>2017</v>
      </c>
      <c r="DP4" s="1527"/>
      <c r="DQ4" s="1527"/>
      <c r="DR4" s="1527"/>
      <c r="DS4" s="1527"/>
      <c r="DT4" s="1527"/>
      <c r="DU4" s="1527"/>
      <c r="DV4" s="1527"/>
      <c r="DW4" s="1527"/>
      <c r="DX4" s="1527"/>
      <c r="DY4" s="1527"/>
      <c r="DZ4" s="1527"/>
      <c r="EA4" s="1528" t="s">
        <v>29</v>
      </c>
      <c r="EB4" s="1526">
        <f>YEAR(EB5)</f>
        <v>2018</v>
      </c>
      <c r="EC4" s="1527"/>
      <c r="ED4" s="1527"/>
      <c r="EE4" s="1527"/>
      <c r="EF4" s="1527"/>
      <c r="EG4" s="1527"/>
      <c r="EH4" s="1527"/>
      <c r="EI4" s="1527"/>
      <c r="EJ4" s="1527"/>
      <c r="EK4" s="1527"/>
      <c r="EL4" s="1527"/>
      <c r="EM4" s="1527"/>
      <c r="EN4" s="1528" t="s">
        <v>29</v>
      </c>
      <c r="EO4" s="1526">
        <f>YEAR(EO5)</f>
        <v>2019</v>
      </c>
      <c r="EP4" s="1527"/>
      <c r="EQ4" s="1527"/>
      <c r="ER4" s="1527"/>
      <c r="ES4" s="1527"/>
      <c r="ET4" s="1527"/>
      <c r="EU4" s="1527"/>
      <c r="EV4" s="1527"/>
      <c r="EW4" s="1527"/>
      <c r="EX4" s="1527"/>
      <c r="EY4" s="1527"/>
      <c r="EZ4" s="1527"/>
      <c r="FA4" s="1528" t="s">
        <v>29</v>
      </c>
      <c r="FB4" s="1526">
        <f>YEAR(FB5)</f>
        <v>2020</v>
      </c>
      <c r="FC4" s="1527"/>
      <c r="FD4" s="1527"/>
      <c r="FE4" s="1527"/>
      <c r="FF4" s="1527"/>
      <c r="FG4" s="1527"/>
      <c r="FH4" s="1527"/>
      <c r="FI4" s="1527"/>
      <c r="FJ4" s="1527"/>
      <c r="FK4" s="1527"/>
      <c r="FL4" s="1527"/>
      <c r="FM4" s="1527"/>
      <c r="FN4" s="1528" t="s">
        <v>29</v>
      </c>
      <c r="FO4" s="1526">
        <f>YEAR(FO5)</f>
        <v>2021</v>
      </c>
      <c r="FP4" s="1527"/>
      <c r="FQ4" s="1527"/>
      <c r="FR4" s="1527"/>
      <c r="FS4" s="1527"/>
      <c r="FT4" s="1527"/>
      <c r="FU4" s="1527"/>
      <c r="FV4" s="1527"/>
      <c r="FW4" s="1527"/>
      <c r="FX4" s="1527"/>
      <c r="FY4" s="1527"/>
      <c r="FZ4" s="1527"/>
      <c r="GA4" s="1528" t="s">
        <v>29</v>
      </c>
      <c r="GB4" s="1526">
        <f>YEAR(GB5)</f>
        <v>2022</v>
      </c>
      <c r="GC4" s="1527"/>
      <c r="GD4" s="1527"/>
      <c r="GE4" s="1527"/>
      <c r="GF4" s="1527"/>
      <c r="GG4" s="1527"/>
      <c r="GH4" s="1527"/>
      <c r="GI4" s="1527"/>
      <c r="GJ4" s="1527"/>
      <c r="GK4" s="1527"/>
      <c r="GL4" s="1527"/>
      <c r="GM4" s="1527"/>
      <c r="GN4" s="1528" t="s">
        <v>29</v>
      </c>
      <c r="GO4" s="1526">
        <f>YEAR(GO5)</f>
        <v>2023</v>
      </c>
      <c r="GP4" s="1527"/>
      <c r="GQ4" s="1527"/>
      <c r="GR4" s="1527"/>
      <c r="GS4" s="1527"/>
      <c r="GT4" s="1527"/>
      <c r="GU4" s="1527"/>
      <c r="GV4" s="1527"/>
      <c r="GW4" s="1527"/>
      <c r="GX4" s="1527"/>
      <c r="GY4" s="1527"/>
      <c r="GZ4" s="1527"/>
      <c r="HA4" s="1528" t="s">
        <v>29</v>
      </c>
      <c r="HB4" s="1526">
        <f>YEAR(HB5)</f>
        <v>2024</v>
      </c>
      <c r="HC4" s="1527"/>
      <c r="HD4" s="1527"/>
      <c r="HE4" s="1527"/>
      <c r="HF4" s="1527"/>
      <c r="HG4" s="1527"/>
      <c r="HH4" s="1527"/>
      <c r="HI4" s="1527"/>
      <c r="HJ4" s="1527"/>
      <c r="HK4" s="1527"/>
      <c r="HL4" s="1527"/>
      <c r="HM4" s="1527"/>
      <c r="HN4" s="1528" t="s">
        <v>29</v>
      </c>
      <c r="HO4" s="1526">
        <f>YEAR(HO5)</f>
        <v>2025</v>
      </c>
      <c r="HP4" s="1527"/>
      <c r="HQ4" s="1527"/>
      <c r="HR4" s="1527"/>
      <c r="HS4" s="1527"/>
      <c r="HT4" s="1527"/>
      <c r="HU4" s="1527"/>
      <c r="HV4" s="1527"/>
      <c r="HW4" s="1527"/>
      <c r="HX4" s="1527"/>
      <c r="HY4" s="1527"/>
      <c r="HZ4" s="1527"/>
      <c r="IA4" s="1529" t="s">
        <v>29</v>
      </c>
      <c r="IB4" s="1526">
        <f>YEAR(IB5)</f>
        <v>2026</v>
      </c>
      <c r="IC4" s="1527"/>
      <c r="ID4" s="1527"/>
      <c r="IE4" s="1527"/>
      <c r="IF4" s="1527"/>
      <c r="IG4" s="1527"/>
      <c r="IH4" s="1527"/>
      <c r="II4" s="1420"/>
      <c r="IJ4" s="1527"/>
      <c r="IK4" s="1527"/>
      <c r="IL4" s="1527"/>
      <c r="IM4" s="1527"/>
      <c r="IN4" s="1533" t="s">
        <v>29</v>
      </c>
      <c r="IO4" s="1422"/>
      <c r="IP4" s="1692" t="str">
        <f>CONCATENATE("Var.% ",IS4,"/",IS4-1)</f>
        <v>Var.% 2026/2025</v>
      </c>
      <c r="IQ4" s="1693"/>
      <c r="IR4" s="1534">
        <f>IS4-1</f>
        <v>2025</v>
      </c>
      <c r="IS4" s="1534">
        <f>IN5</f>
        <v>2026</v>
      </c>
      <c r="IT4" s="1530"/>
      <c r="IU4" s="1530"/>
    </row>
    <row r="5" spans="1:255" ht="15" customHeight="1" x14ac:dyDescent="0.2">
      <c r="A5" s="1531"/>
      <c r="B5" s="1429">
        <v>39448</v>
      </c>
      <c r="C5" s="1430">
        <v>39479</v>
      </c>
      <c r="D5" s="1430">
        <v>39508</v>
      </c>
      <c r="E5" s="1430">
        <v>39539</v>
      </c>
      <c r="F5" s="1430">
        <v>39569</v>
      </c>
      <c r="G5" s="1430">
        <v>39600</v>
      </c>
      <c r="H5" s="1430">
        <v>39630</v>
      </c>
      <c r="I5" s="1430">
        <v>39661</v>
      </c>
      <c r="J5" s="1430">
        <v>39692</v>
      </c>
      <c r="K5" s="1430">
        <v>39722</v>
      </c>
      <c r="L5" s="1430">
        <v>39753</v>
      </c>
      <c r="M5" s="1430">
        <v>39783</v>
      </c>
      <c r="N5" s="1432">
        <f>YEAR(M5)</f>
        <v>2008</v>
      </c>
      <c r="O5" s="1429">
        <v>39814</v>
      </c>
      <c r="P5" s="1430">
        <v>39845</v>
      </c>
      <c r="Q5" s="1430">
        <v>39873</v>
      </c>
      <c r="R5" s="1430">
        <v>39904</v>
      </c>
      <c r="S5" s="1430">
        <v>39934</v>
      </c>
      <c r="T5" s="1430">
        <v>39965</v>
      </c>
      <c r="U5" s="1430">
        <v>39995</v>
      </c>
      <c r="V5" s="1430">
        <v>40026</v>
      </c>
      <c r="W5" s="1430">
        <v>40057</v>
      </c>
      <c r="X5" s="1430">
        <v>40087</v>
      </c>
      <c r="Y5" s="1430">
        <v>40118</v>
      </c>
      <c r="Z5" s="1430">
        <v>40148</v>
      </c>
      <c r="AA5" s="1432">
        <f>YEAR(Z5)</f>
        <v>2009</v>
      </c>
      <c r="AB5" s="1429">
        <v>40179</v>
      </c>
      <c r="AC5" s="1430">
        <v>40210</v>
      </c>
      <c r="AD5" s="1430">
        <v>40238</v>
      </c>
      <c r="AE5" s="1430">
        <v>40269</v>
      </c>
      <c r="AF5" s="1430">
        <v>40299</v>
      </c>
      <c r="AG5" s="1430">
        <v>40330</v>
      </c>
      <c r="AH5" s="1430">
        <v>40360</v>
      </c>
      <c r="AI5" s="1430">
        <v>40391</v>
      </c>
      <c r="AJ5" s="1430">
        <v>40422</v>
      </c>
      <c r="AK5" s="1430">
        <v>40452</v>
      </c>
      <c r="AL5" s="1430">
        <v>40483</v>
      </c>
      <c r="AM5" s="1430">
        <v>40513</v>
      </c>
      <c r="AN5" s="1432">
        <f>YEAR(AM5)</f>
        <v>2010</v>
      </c>
      <c r="AO5" s="1429">
        <v>40544</v>
      </c>
      <c r="AP5" s="1430">
        <v>40575</v>
      </c>
      <c r="AQ5" s="1430">
        <v>40603</v>
      </c>
      <c r="AR5" s="1430">
        <v>40634</v>
      </c>
      <c r="AS5" s="1430">
        <v>40664</v>
      </c>
      <c r="AT5" s="1430">
        <v>40695</v>
      </c>
      <c r="AU5" s="1430">
        <v>40725</v>
      </c>
      <c r="AV5" s="1430">
        <v>40756</v>
      </c>
      <c r="AW5" s="1430">
        <v>40787</v>
      </c>
      <c r="AX5" s="1430">
        <v>40817</v>
      </c>
      <c r="AY5" s="1430">
        <v>40848</v>
      </c>
      <c r="AZ5" s="1430">
        <v>40878</v>
      </c>
      <c r="BA5" s="1432">
        <f>YEAR(AZ5)</f>
        <v>2011</v>
      </c>
      <c r="BB5" s="1429">
        <v>40909</v>
      </c>
      <c r="BC5" s="1430">
        <v>40940</v>
      </c>
      <c r="BD5" s="1430">
        <v>40969</v>
      </c>
      <c r="BE5" s="1430">
        <v>41000</v>
      </c>
      <c r="BF5" s="1430">
        <v>41030</v>
      </c>
      <c r="BG5" s="1430">
        <v>41061</v>
      </c>
      <c r="BH5" s="1430">
        <v>41091</v>
      </c>
      <c r="BI5" s="1430">
        <v>41122</v>
      </c>
      <c r="BJ5" s="1430">
        <v>41153</v>
      </c>
      <c r="BK5" s="1430">
        <v>41183</v>
      </c>
      <c r="BL5" s="1430">
        <v>41214</v>
      </c>
      <c r="BM5" s="1430">
        <v>41244</v>
      </c>
      <c r="BN5" s="1432">
        <f>YEAR(BM5)</f>
        <v>2012</v>
      </c>
      <c r="BO5" s="1429">
        <v>41275</v>
      </c>
      <c r="BP5" s="1430">
        <v>41306</v>
      </c>
      <c r="BQ5" s="1430">
        <v>41334</v>
      </c>
      <c r="BR5" s="1430">
        <v>41365</v>
      </c>
      <c r="BS5" s="1430">
        <v>41395</v>
      </c>
      <c r="BT5" s="1430">
        <v>41426</v>
      </c>
      <c r="BU5" s="1430">
        <v>41456</v>
      </c>
      <c r="BV5" s="1430">
        <v>41487</v>
      </c>
      <c r="BW5" s="1430">
        <v>41518</v>
      </c>
      <c r="BX5" s="1430">
        <v>41548</v>
      </c>
      <c r="BY5" s="1430">
        <v>41579</v>
      </c>
      <c r="BZ5" s="1430">
        <v>41609</v>
      </c>
      <c r="CA5" s="1432">
        <f>YEAR(BZ5)</f>
        <v>2013</v>
      </c>
      <c r="CB5" s="1429">
        <v>41640</v>
      </c>
      <c r="CC5" s="1430">
        <v>41671</v>
      </c>
      <c r="CD5" s="1430">
        <v>41699</v>
      </c>
      <c r="CE5" s="1430">
        <v>41730</v>
      </c>
      <c r="CF5" s="1430">
        <v>41760</v>
      </c>
      <c r="CG5" s="1430">
        <v>41791</v>
      </c>
      <c r="CH5" s="1430">
        <v>41821</v>
      </c>
      <c r="CI5" s="1430">
        <v>41852</v>
      </c>
      <c r="CJ5" s="1430">
        <v>41883</v>
      </c>
      <c r="CK5" s="1430">
        <v>41913</v>
      </c>
      <c r="CL5" s="1430">
        <v>41944</v>
      </c>
      <c r="CM5" s="1430">
        <v>41974</v>
      </c>
      <c r="CN5" s="1432">
        <f>YEAR(CM5)</f>
        <v>2014</v>
      </c>
      <c r="CO5" s="1429">
        <v>42005</v>
      </c>
      <c r="CP5" s="1430">
        <v>42036</v>
      </c>
      <c r="CQ5" s="1430">
        <v>42064</v>
      </c>
      <c r="CR5" s="1430">
        <v>42095</v>
      </c>
      <c r="CS5" s="1430">
        <v>42125</v>
      </c>
      <c r="CT5" s="1430">
        <v>42156</v>
      </c>
      <c r="CU5" s="1430">
        <v>42186</v>
      </c>
      <c r="CV5" s="1430">
        <v>42217</v>
      </c>
      <c r="CW5" s="1430">
        <v>42248</v>
      </c>
      <c r="CX5" s="1430">
        <v>42278</v>
      </c>
      <c r="CY5" s="1430">
        <v>42309</v>
      </c>
      <c r="CZ5" s="1430">
        <v>42339</v>
      </c>
      <c r="DA5" s="1432">
        <f>YEAR(CZ5)</f>
        <v>2015</v>
      </c>
      <c r="DB5" s="1429">
        <v>42370</v>
      </c>
      <c r="DC5" s="1430">
        <v>42401</v>
      </c>
      <c r="DD5" s="1430">
        <v>42430</v>
      </c>
      <c r="DE5" s="1430">
        <v>42461</v>
      </c>
      <c r="DF5" s="1430">
        <v>42491</v>
      </c>
      <c r="DG5" s="1430">
        <v>42522</v>
      </c>
      <c r="DH5" s="1430">
        <v>42552</v>
      </c>
      <c r="DI5" s="1430">
        <v>42583</v>
      </c>
      <c r="DJ5" s="1430">
        <v>42614</v>
      </c>
      <c r="DK5" s="1430">
        <v>42644</v>
      </c>
      <c r="DL5" s="1430">
        <v>42675</v>
      </c>
      <c r="DM5" s="1430">
        <v>42705</v>
      </c>
      <c r="DN5" s="1432">
        <f>YEAR(DM5)</f>
        <v>2016</v>
      </c>
      <c r="DO5" s="1429">
        <v>42736</v>
      </c>
      <c r="DP5" s="1430">
        <v>42767</v>
      </c>
      <c r="DQ5" s="1430">
        <v>42795</v>
      </c>
      <c r="DR5" s="1430">
        <v>42826</v>
      </c>
      <c r="DS5" s="1430">
        <v>42856</v>
      </c>
      <c r="DT5" s="1430">
        <v>42887</v>
      </c>
      <c r="DU5" s="1430">
        <v>42917</v>
      </c>
      <c r="DV5" s="1430">
        <v>42948</v>
      </c>
      <c r="DW5" s="1430">
        <v>42979</v>
      </c>
      <c r="DX5" s="1430">
        <v>43009</v>
      </c>
      <c r="DY5" s="1430">
        <v>43040</v>
      </c>
      <c r="DZ5" s="1430">
        <v>43070</v>
      </c>
      <c r="EA5" s="1432">
        <f>YEAR(DZ5)</f>
        <v>2017</v>
      </c>
      <c r="EB5" s="1429">
        <v>43101</v>
      </c>
      <c r="EC5" s="1430">
        <v>43132</v>
      </c>
      <c r="ED5" s="1430">
        <v>43160</v>
      </c>
      <c r="EE5" s="1430">
        <v>43191</v>
      </c>
      <c r="EF5" s="1430">
        <v>43221</v>
      </c>
      <c r="EG5" s="1430">
        <v>43252</v>
      </c>
      <c r="EH5" s="1430">
        <v>43282</v>
      </c>
      <c r="EI5" s="1430">
        <v>43313</v>
      </c>
      <c r="EJ5" s="1430">
        <v>43344</v>
      </c>
      <c r="EK5" s="1430">
        <v>43374</v>
      </c>
      <c r="EL5" s="1430">
        <v>43405</v>
      </c>
      <c r="EM5" s="1430">
        <v>43435</v>
      </c>
      <c r="EN5" s="1432">
        <f>YEAR(EM5)</f>
        <v>2018</v>
      </c>
      <c r="EO5" s="1429">
        <v>43466</v>
      </c>
      <c r="EP5" s="1430">
        <v>43497</v>
      </c>
      <c r="EQ5" s="1430">
        <v>43525</v>
      </c>
      <c r="ER5" s="1430">
        <v>43556</v>
      </c>
      <c r="ES5" s="1430">
        <v>43586</v>
      </c>
      <c r="ET5" s="1430">
        <v>43617</v>
      </c>
      <c r="EU5" s="1430">
        <v>43647</v>
      </c>
      <c r="EV5" s="1430">
        <v>43678</v>
      </c>
      <c r="EW5" s="1430">
        <v>43709</v>
      </c>
      <c r="EX5" s="1430">
        <v>43739</v>
      </c>
      <c r="EY5" s="1430">
        <v>43770</v>
      </c>
      <c r="EZ5" s="1430">
        <v>43800</v>
      </c>
      <c r="FA5" s="1432">
        <f>YEAR(EZ5)</f>
        <v>2019</v>
      </c>
      <c r="FB5" s="1429">
        <v>43831</v>
      </c>
      <c r="FC5" s="1430">
        <v>43862</v>
      </c>
      <c r="FD5" s="1430">
        <v>43891</v>
      </c>
      <c r="FE5" s="1430">
        <v>43922</v>
      </c>
      <c r="FF5" s="1430">
        <v>43952</v>
      </c>
      <c r="FG5" s="1430">
        <v>43983</v>
      </c>
      <c r="FH5" s="1430">
        <v>44013</v>
      </c>
      <c r="FI5" s="1430">
        <v>44044</v>
      </c>
      <c r="FJ5" s="1430">
        <v>44075</v>
      </c>
      <c r="FK5" s="1430">
        <v>44105</v>
      </c>
      <c r="FL5" s="1430">
        <v>44136</v>
      </c>
      <c r="FM5" s="1430">
        <v>44166</v>
      </c>
      <c r="FN5" s="1432">
        <f>YEAR(FM5)</f>
        <v>2020</v>
      </c>
      <c r="FO5" s="1429">
        <v>44197</v>
      </c>
      <c r="FP5" s="1430">
        <v>44228</v>
      </c>
      <c r="FQ5" s="1430">
        <v>44256</v>
      </c>
      <c r="FR5" s="1430">
        <v>44287</v>
      </c>
      <c r="FS5" s="1430">
        <v>44317</v>
      </c>
      <c r="FT5" s="1430">
        <v>44348</v>
      </c>
      <c r="FU5" s="1430">
        <v>44378</v>
      </c>
      <c r="FV5" s="1430">
        <v>44409</v>
      </c>
      <c r="FW5" s="1430">
        <v>44440</v>
      </c>
      <c r="FX5" s="1430">
        <v>44470</v>
      </c>
      <c r="FY5" s="1430">
        <v>44501</v>
      </c>
      <c r="FZ5" s="1430">
        <v>44531</v>
      </c>
      <c r="GA5" s="1432">
        <f>YEAR(FZ5)</f>
        <v>2021</v>
      </c>
      <c r="GB5" s="1429">
        <v>44562</v>
      </c>
      <c r="GC5" s="1430">
        <v>44593</v>
      </c>
      <c r="GD5" s="1430">
        <v>44621</v>
      </c>
      <c r="GE5" s="1430">
        <v>44652</v>
      </c>
      <c r="GF5" s="1430">
        <v>44682</v>
      </c>
      <c r="GG5" s="1430">
        <v>44713</v>
      </c>
      <c r="GH5" s="1430">
        <v>44743</v>
      </c>
      <c r="GI5" s="1430">
        <v>44774</v>
      </c>
      <c r="GJ5" s="1430">
        <v>44805</v>
      </c>
      <c r="GK5" s="1430">
        <v>44835</v>
      </c>
      <c r="GL5" s="1430">
        <v>44866</v>
      </c>
      <c r="GM5" s="1430">
        <v>44896</v>
      </c>
      <c r="GN5" s="1432">
        <f>YEAR(GM5)</f>
        <v>2022</v>
      </c>
      <c r="GO5" s="1429">
        <v>44927</v>
      </c>
      <c r="GP5" s="1430">
        <v>44958</v>
      </c>
      <c r="GQ5" s="1430">
        <v>44986</v>
      </c>
      <c r="GR5" s="1430">
        <v>45017</v>
      </c>
      <c r="GS5" s="1430">
        <v>45047</v>
      </c>
      <c r="GT5" s="1430">
        <v>45078</v>
      </c>
      <c r="GU5" s="1430">
        <v>45108</v>
      </c>
      <c r="GV5" s="1430">
        <v>45139</v>
      </c>
      <c r="GW5" s="1430">
        <v>45170</v>
      </c>
      <c r="GX5" s="1430">
        <v>45200</v>
      </c>
      <c r="GY5" s="1430">
        <v>45231</v>
      </c>
      <c r="GZ5" s="1430">
        <v>45261</v>
      </c>
      <c r="HA5" s="1432">
        <f>YEAR(GZ5)</f>
        <v>2023</v>
      </c>
      <c r="HB5" s="1429">
        <v>45292</v>
      </c>
      <c r="HC5" s="1430">
        <v>45323</v>
      </c>
      <c r="HD5" s="1430">
        <v>45352</v>
      </c>
      <c r="HE5" s="1430">
        <v>45383</v>
      </c>
      <c r="HF5" s="1430">
        <v>45413</v>
      </c>
      <c r="HG5" s="1430">
        <v>45444</v>
      </c>
      <c r="HH5" s="1430">
        <v>45474</v>
      </c>
      <c r="HI5" s="1430">
        <v>45505</v>
      </c>
      <c r="HJ5" s="1430">
        <v>45536</v>
      </c>
      <c r="HK5" s="1430">
        <v>45566</v>
      </c>
      <c r="HL5" s="1430">
        <v>45597</v>
      </c>
      <c r="HM5" s="1430">
        <v>45627</v>
      </c>
      <c r="HN5" s="1432">
        <f>YEAR(HM5)</f>
        <v>2024</v>
      </c>
      <c r="HO5" s="1429">
        <v>45658</v>
      </c>
      <c r="HP5" s="1430">
        <v>45689</v>
      </c>
      <c r="HQ5" s="1430">
        <v>45717</v>
      </c>
      <c r="HR5" s="1430">
        <v>45748</v>
      </c>
      <c r="HS5" s="1430">
        <v>45778</v>
      </c>
      <c r="HT5" s="1430">
        <v>45809</v>
      </c>
      <c r="HU5" s="1430">
        <v>45839</v>
      </c>
      <c r="HV5" s="1430">
        <v>45870</v>
      </c>
      <c r="HW5" s="1430">
        <v>45901</v>
      </c>
      <c r="HX5" s="1430">
        <v>45931</v>
      </c>
      <c r="HY5" s="1430">
        <v>45962</v>
      </c>
      <c r="HZ5" s="1430">
        <v>45992</v>
      </c>
      <c r="IA5" s="1532">
        <f>YEAR(HZ5)</f>
        <v>2025</v>
      </c>
      <c r="IB5" s="1429">
        <v>46023</v>
      </c>
      <c r="IC5" s="1430">
        <v>46054</v>
      </c>
      <c r="ID5" s="1430">
        <v>46082</v>
      </c>
      <c r="IE5" s="1430">
        <v>46113</v>
      </c>
      <c r="IF5" s="1430">
        <v>46143</v>
      </c>
      <c r="IG5" s="1430">
        <v>46174</v>
      </c>
      <c r="IH5" s="1430">
        <v>46204</v>
      </c>
      <c r="II5" s="1430">
        <v>46235</v>
      </c>
      <c r="IJ5" s="1430">
        <v>46266</v>
      </c>
      <c r="IK5" s="1430">
        <v>46296</v>
      </c>
      <c r="IL5" s="1430">
        <v>46327</v>
      </c>
      <c r="IM5" s="1430">
        <v>46357</v>
      </c>
      <c r="IN5" s="1431">
        <f>YEAR(IM5)</f>
        <v>2026</v>
      </c>
      <c r="IO5" s="1422"/>
      <c r="IP5" s="1433">
        <f>II5</f>
        <v>46235</v>
      </c>
      <c r="IQ5" s="1535" t="str">
        <f>CONCATENATE("Ene.-",TEXT(IP5,"MMM."))</f>
        <v>Ene.-Ago.</v>
      </c>
      <c r="IR5" s="1535" t="str">
        <f>IQ5</f>
        <v>Ene.-Ago.</v>
      </c>
      <c r="IS5" s="1535" t="str">
        <f>IQ5</f>
        <v>Ene.-Ago.</v>
      </c>
      <c r="IT5" s="1530"/>
      <c r="IU5" s="1530"/>
    </row>
    <row r="6" spans="1:255" ht="15" customHeight="1" x14ac:dyDescent="0.2">
      <c r="A6" s="331"/>
      <c r="B6" s="373"/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87"/>
      <c r="N6" s="375"/>
      <c r="O6" s="373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87"/>
      <c r="AA6" s="375"/>
      <c r="AB6" s="373"/>
      <c r="AC6" s="374"/>
      <c r="AD6" s="374"/>
      <c r="AE6" s="374"/>
      <c r="AF6" s="374"/>
      <c r="AG6" s="374"/>
      <c r="AH6" s="374"/>
      <c r="AI6" s="374"/>
      <c r="AJ6" s="374"/>
      <c r="AK6" s="374"/>
      <c r="AL6" s="374"/>
      <c r="AM6" s="387"/>
      <c r="AN6" s="375"/>
      <c r="AO6" s="373"/>
      <c r="AP6" s="374"/>
      <c r="AQ6" s="374"/>
      <c r="AR6" s="374"/>
      <c r="AS6" s="374"/>
      <c r="AT6" s="374"/>
      <c r="AU6" s="374"/>
      <c r="AV6" s="374"/>
      <c r="AW6" s="374"/>
      <c r="AX6" s="374"/>
      <c r="AY6" s="374"/>
      <c r="AZ6" s="387"/>
      <c r="BA6" s="375"/>
      <c r="BB6" s="373"/>
      <c r="BC6" s="374"/>
      <c r="BD6" s="374"/>
      <c r="BE6" s="374"/>
      <c r="BF6" s="374"/>
      <c r="BG6" s="374"/>
      <c r="BH6" s="374"/>
      <c r="BI6" s="374"/>
      <c r="BJ6" s="374"/>
      <c r="BK6" s="374"/>
      <c r="BL6" s="374"/>
      <c r="BM6" s="387"/>
      <c r="BN6" s="375"/>
      <c r="BO6" s="373"/>
      <c r="BP6" s="374"/>
      <c r="BQ6" s="374"/>
      <c r="BR6" s="374"/>
      <c r="BS6" s="374"/>
      <c r="BT6" s="374"/>
      <c r="BU6" s="374"/>
      <c r="BV6" s="374"/>
      <c r="BW6" s="374"/>
      <c r="BX6" s="374"/>
      <c r="BY6" s="374"/>
      <c r="BZ6" s="387"/>
      <c r="CA6" s="375"/>
      <c r="CB6" s="373"/>
      <c r="CC6" s="374"/>
      <c r="CD6" s="374"/>
      <c r="CE6" s="374"/>
      <c r="CF6" s="374"/>
      <c r="CG6" s="374"/>
      <c r="CH6" s="374"/>
      <c r="CI6" s="374"/>
      <c r="CJ6" s="374"/>
      <c r="CK6" s="374"/>
      <c r="CL6" s="374"/>
      <c r="CM6" s="387"/>
      <c r="CN6" s="375"/>
      <c r="CO6" s="373"/>
      <c r="CP6" s="374"/>
      <c r="CQ6" s="374"/>
      <c r="CR6" s="374"/>
      <c r="CS6" s="374"/>
      <c r="CT6" s="374"/>
      <c r="CU6" s="374"/>
      <c r="CV6" s="374"/>
      <c r="CW6" s="374"/>
      <c r="CX6" s="374"/>
      <c r="CY6" s="374"/>
      <c r="CZ6" s="387"/>
      <c r="DA6" s="375"/>
      <c r="DB6" s="373"/>
      <c r="DC6" s="374"/>
      <c r="DD6" s="374"/>
      <c r="DE6" s="374"/>
      <c r="DF6" s="374"/>
      <c r="DG6" s="374"/>
      <c r="DH6" s="374"/>
      <c r="DI6" s="374"/>
      <c r="DJ6" s="374"/>
      <c r="DK6" s="374"/>
      <c r="DL6" s="374"/>
      <c r="DM6" s="387"/>
      <c r="DN6" s="375"/>
      <c r="DO6" s="373"/>
      <c r="DP6" s="374"/>
      <c r="DQ6" s="374"/>
      <c r="DR6" s="374"/>
      <c r="DS6" s="374"/>
      <c r="DT6" s="374"/>
      <c r="DU6" s="374"/>
      <c r="DV6" s="374"/>
      <c r="DW6" s="374"/>
      <c r="DX6" s="374"/>
      <c r="DY6" s="374"/>
      <c r="DZ6" s="387"/>
      <c r="EA6" s="375"/>
      <c r="EB6" s="373"/>
      <c r="EC6" s="374"/>
      <c r="ED6" s="374"/>
      <c r="EE6" s="374"/>
      <c r="EF6" s="374"/>
      <c r="EG6" s="374"/>
      <c r="EH6" s="374"/>
      <c r="EI6" s="374"/>
      <c r="EJ6" s="374"/>
      <c r="EK6" s="374"/>
      <c r="EL6" s="374"/>
      <c r="EM6" s="387"/>
      <c r="EN6" s="375"/>
      <c r="EO6" s="373"/>
      <c r="EP6" s="374"/>
      <c r="EQ6" s="374"/>
      <c r="ER6" s="374"/>
      <c r="ES6" s="374"/>
      <c r="ET6" s="374"/>
      <c r="EU6" s="374"/>
      <c r="EV6" s="374"/>
      <c r="EW6" s="374"/>
      <c r="EX6" s="374"/>
      <c r="EY6" s="374"/>
      <c r="EZ6" s="387"/>
      <c r="FA6" s="375"/>
      <c r="FB6" s="373"/>
      <c r="FC6" s="374"/>
      <c r="FD6" s="374"/>
      <c r="FE6" s="374"/>
      <c r="FF6" s="374"/>
      <c r="FG6" s="374"/>
      <c r="FH6" s="374"/>
      <c r="FI6" s="374"/>
      <c r="FJ6" s="374"/>
      <c r="FK6" s="374"/>
      <c r="FL6" s="374"/>
      <c r="FM6" s="387"/>
      <c r="FN6" s="375"/>
      <c r="FO6" s="373"/>
      <c r="FP6" s="374"/>
      <c r="FQ6" s="374"/>
      <c r="FR6" s="374"/>
      <c r="FS6" s="374"/>
      <c r="FT6" s="374"/>
      <c r="FU6" s="374"/>
      <c r="FV6" s="374"/>
      <c r="FW6" s="374"/>
      <c r="FX6" s="374"/>
      <c r="FY6" s="374"/>
      <c r="FZ6" s="387"/>
      <c r="GA6" s="375"/>
      <c r="GB6" s="373"/>
      <c r="GC6" s="374"/>
      <c r="GD6" s="374"/>
      <c r="GE6" s="374"/>
      <c r="GF6" s="374"/>
      <c r="GG6" s="374"/>
      <c r="GH6" s="374"/>
      <c r="GI6" s="374"/>
      <c r="GJ6" s="374"/>
      <c r="GK6" s="374"/>
      <c r="GL6" s="374"/>
      <c r="GM6" s="387"/>
      <c r="GN6" s="375"/>
      <c r="GO6" s="373"/>
      <c r="GP6" s="374"/>
      <c r="GQ6" s="374"/>
      <c r="GR6" s="374"/>
      <c r="GS6" s="374"/>
      <c r="GT6" s="374"/>
      <c r="GU6" s="374"/>
      <c r="GV6" s="374"/>
      <c r="GW6" s="374"/>
      <c r="GX6" s="374"/>
      <c r="GY6" s="374"/>
      <c r="GZ6" s="387"/>
      <c r="HA6" s="375"/>
      <c r="HB6" s="373"/>
      <c r="HC6" s="374"/>
      <c r="HD6" s="374"/>
      <c r="HE6" s="374"/>
      <c r="HF6" s="374"/>
      <c r="HG6" s="374"/>
      <c r="HH6" s="374"/>
      <c r="HI6" s="374"/>
      <c r="HJ6" s="374"/>
      <c r="HK6" s="374"/>
      <c r="HL6" s="374"/>
      <c r="HM6" s="387"/>
      <c r="HN6" s="375"/>
      <c r="HO6" s="373"/>
      <c r="HP6" s="374"/>
      <c r="HQ6" s="374"/>
      <c r="HR6" s="374"/>
      <c r="HS6" s="374"/>
      <c r="HT6" s="374"/>
      <c r="HU6" s="374"/>
      <c r="HV6" s="374"/>
      <c r="HW6" s="374"/>
      <c r="HX6" s="374"/>
      <c r="HY6" s="374"/>
      <c r="HZ6" s="387"/>
      <c r="IA6" s="373"/>
      <c r="IB6" s="1337"/>
      <c r="IC6" s="1338"/>
      <c r="ID6" s="1338"/>
      <c r="IE6" s="1338"/>
      <c r="IF6" s="1338"/>
      <c r="IG6" s="1338"/>
      <c r="IH6" s="1338"/>
      <c r="II6" s="1338"/>
      <c r="IJ6" s="1338"/>
      <c r="IK6" s="1338"/>
      <c r="IL6" s="1338"/>
      <c r="IM6" s="1339"/>
      <c r="IN6" s="1340"/>
      <c r="IO6" s="120"/>
      <c r="IP6" s="369"/>
      <c r="IQ6" s="334"/>
      <c r="IR6" s="337"/>
      <c r="IS6" s="335"/>
    </row>
    <row r="7" spans="1:255" ht="15" customHeight="1" x14ac:dyDescent="0.2">
      <c r="A7" s="1511" t="s">
        <v>300</v>
      </c>
      <c r="B7" s="1512">
        <f t="shared" ref="B7:M7" si="0">SUM(B8+B14+B19)</f>
        <v>7778</v>
      </c>
      <c r="C7" s="1513">
        <f t="shared" si="0"/>
        <v>12440</v>
      </c>
      <c r="D7" s="1513">
        <f t="shared" si="0"/>
        <v>11419</v>
      </c>
      <c r="E7" s="1513">
        <f t="shared" si="0"/>
        <v>12876</v>
      </c>
      <c r="F7" s="1513">
        <f t="shared" si="0"/>
        <v>12340</v>
      </c>
      <c r="G7" s="1513">
        <f t="shared" si="0"/>
        <v>12598</v>
      </c>
      <c r="H7" s="1513">
        <f t="shared" si="0"/>
        <v>14130</v>
      </c>
      <c r="I7" s="1513">
        <f t="shared" si="0"/>
        <v>15058</v>
      </c>
      <c r="J7" s="1513">
        <f t="shared" si="0"/>
        <v>14336</v>
      </c>
      <c r="K7" s="1513">
        <f t="shared" si="0"/>
        <v>15874</v>
      </c>
      <c r="L7" s="1513">
        <f t="shared" si="0"/>
        <v>14117</v>
      </c>
      <c r="M7" s="1514">
        <f t="shared" si="0"/>
        <v>25422</v>
      </c>
      <c r="N7" s="1515">
        <f>SUM(B7:M7)</f>
        <v>168388</v>
      </c>
      <c r="O7" s="1512">
        <f t="shared" ref="O7:Z7" si="1">SUM(O8+O14+O19)</f>
        <v>7796</v>
      </c>
      <c r="P7" s="1513">
        <f t="shared" si="1"/>
        <v>11029</v>
      </c>
      <c r="Q7" s="1513">
        <f t="shared" si="1"/>
        <v>16013</v>
      </c>
      <c r="R7" s="1513">
        <f t="shared" si="1"/>
        <v>14453</v>
      </c>
      <c r="S7" s="1513">
        <f t="shared" si="1"/>
        <v>14966</v>
      </c>
      <c r="T7" s="1513">
        <f t="shared" si="1"/>
        <v>14995</v>
      </c>
      <c r="U7" s="1513">
        <f t="shared" si="1"/>
        <v>18935</v>
      </c>
      <c r="V7" s="1513">
        <f t="shared" si="1"/>
        <v>18297</v>
      </c>
      <c r="W7" s="1513">
        <f t="shared" si="1"/>
        <v>19608</v>
      </c>
      <c r="X7" s="1513">
        <f t="shared" si="1"/>
        <v>17918</v>
      </c>
      <c r="Y7" s="1513">
        <f t="shared" si="1"/>
        <v>20260</v>
      </c>
      <c r="Z7" s="1514">
        <f t="shared" si="1"/>
        <v>38394</v>
      </c>
      <c r="AA7" s="1515">
        <f>SUM(O7:Z7)</f>
        <v>212664</v>
      </c>
      <c r="AB7" s="1512">
        <f t="shared" ref="AB7:AM7" si="2">SUM(AB8+AB14+AB19)</f>
        <v>9481</v>
      </c>
      <c r="AC7" s="1513">
        <f t="shared" si="2"/>
        <v>11227</v>
      </c>
      <c r="AD7" s="1513">
        <f t="shared" si="2"/>
        <v>19257</v>
      </c>
      <c r="AE7" s="1513">
        <f t="shared" si="2"/>
        <v>17679</v>
      </c>
      <c r="AF7" s="1513">
        <f t="shared" si="2"/>
        <v>20157</v>
      </c>
      <c r="AG7" s="1513">
        <f t="shared" si="2"/>
        <v>22839</v>
      </c>
      <c r="AH7" s="1513">
        <f t="shared" si="2"/>
        <v>20193</v>
      </c>
      <c r="AI7" s="1513">
        <f t="shared" si="2"/>
        <v>25618</v>
      </c>
      <c r="AJ7" s="1513">
        <f t="shared" si="2"/>
        <v>21286</v>
      </c>
      <c r="AK7" s="1513">
        <f t="shared" si="2"/>
        <v>19706</v>
      </c>
      <c r="AL7" s="1513">
        <f t="shared" si="2"/>
        <v>26744</v>
      </c>
      <c r="AM7" s="1514">
        <f t="shared" si="2"/>
        <v>40407</v>
      </c>
      <c r="AN7" s="1515">
        <f>SUM(AB7:AM7)</f>
        <v>254594</v>
      </c>
      <c r="AO7" s="1512">
        <f t="shared" ref="AO7:AZ7" si="3">SUM(AO8+AO14+AO19)</f>
        <v>2968</v>
      </c>
      <c r="AP7" s="1513">
        <f t="shared" si="3"/>
        <v>10386</v>
      </c>
      <c r="AQ7" s="1513">
        <f t="shared" si="3"/>
        <v>18053</v>
      </c>
      <c r="AR7" s="1513">
        <f t="shared" si="3"/>
        <v>17701</v>
      </c>
      <c r="AS7" s="1513">
        <f t="shared" si="3"/>
        <v>21770</v>
      </c>
      <c r="AT7" s="1513">
        <f t="shared" si="3"/>
        <v>18934</v>
      </c>
      <c r="AU7" s="1513">
        <f t="shared" si="3"/>
        <v>21744</v>
      </c>
      <c r="AV7" s="1513">
        <f t="shared" si="3"/>
        <v>24482</v>
      </c>
      <c r="AW7" s="1513">
        <f t="shared" si="3"/>
        <v>32275</v>
      </c>
      <c r="AX7" s="1513">
        <f t="shared" si="3"/>
        <v>34186</v>
      </c>
      <c r="AY7" s="1513">
        <f t="shared" si="3"/>
        <v>45727</v>
      </c>
      <c r="AZ7" s="1514">
        <f t="shared" si="3"/>
        <v>85343</v>
      </c>
      <c r="BA7" s="1515">
        <f>SUM(AO7:AZ7)</f>
        <v>333569</v>
      </c>
      <c r="BB7" s="1512">
        <f t="shared" ref="BB7:BM7" si="4">+BB8+BB14+BB19</f>
        <v>13131</v>
      </c>
      <c r="BC7" s="1513">
        <f t="shared" si="4"/>
        <v>26556</v>
      </c>
      <c r="BD7" s="1513">
        <f t="shared" si="4"/>
        <v>45978</v>
      </c>
      <c r="BE7" s="1513">
        <f t="shared" si="4"/>
        <v>31138</v>
      </c>
      <c r="BF7" s="1513">
        <f t="shared" si="4"/>
        <v>35508</v>
      </c>
      <c r="BG7" s="1513">
        <f t="shared" si="4"/>
        <v>31711</v>
      </c>
      <c r="BH7" s="1513">
        <f t="shared" si="4"/>
        <v>43653</v>
      </c>
      <c r="BI7" s="1513">
        <f t="shared" si="4"/>
        <v>37238</v>
      </c>
      <c r="BJ7" s="1513">
        <f t="shared" si="4"/>
        <v>45209</v>
      </c>
      <c r="BK7" s="1513">
        <f t="shared" si="4"/>
        <v>52198</v>
      </c>
      <c r="BL7" s="1513">
        <f t="shared" si="4"/>
        <v>53769</v>
      </c>
      <c r="BM7" s="1514">
        <f t="shared" si="4"/>
        <v>88342</v>
      </c>
      <c r="BN7" s="1515">
        <f>SUM(BB7:BM7)</f>
        <v>504431</v>
      </c>
      <c r="BO7" s="1512">
        <f t="shared" ref="BO7:BZ7" si="5">+BO8+BO14+BO19</f>
        <v>15984</v>
      </c>
      <c r="BP7" s="1513">
        <f t="shared" si="5"/>
        <v>20867</v>
      </c>
      <c r="BQ7" s="1513">
        <f t="shared" si="5"/>
        <v>45182</v>
      </c>
      <c r="BR7" s="1513">
        <f t="shared" si="5"/>
        <v>36312</v>
      </c>
      <c r="BS7" s="1513">
        <f t="shared" si="5"/>
        <v>36839</v>
      </c>
      <c r="BT7" s="1513">
        <f t="shared" si="5"/>
        <v>35471</v>
      </c>
      <c r="BU7" s="1513">
        <f t="shared" si="5"/>
        <v>85274</v>
      </c>
      <c r="BV7" s="1513">
        <f t="shared" si="5"/>
        <v>26527</v>
      </c>
      <c r="BW7" s="1513">
        <f t="shared" si="5"/>
        <v>41258</v>
      </c>
      <c r="BX7" s="1513">
        <f t="shared" si="5"/>
        <v>46480</v>
      </c>
      <c r="BY7" s="1513">
        <f t="shared" si="5"/>
        <v>33878</v>
      </c>
      <c r="BZ7" s="1514">
        <f t="shared" si="5"/>
        <v>100415</v>
      </c>
      <c r="CA7" s="1515">
        <f>SUM(BO7:BZ7)</f>
        <v>524487</v>
      </c>
      <c r="CB7" s="1512">
        <f t="shared" ref="CB7:CM7" si="6">+CB8+CB14+CB19</f>
        <v>22599</v>
      </c>
      <c r="CC7" s="1513">
        <f t="shared" si="6"/>
        <v>31032</v>
      </c>
      <c r="CD7" s="1513">
        <f t="shared" si="6"/>
        <v>39021</v>
      </c>
      <c r="CE7" s="1513">
        <f t="shared" si="6"/>
        <v>40113</v>
      </c>
      <c r="CF7" s="1513">
        <f t="shared" si="6"/>
        <v>35478</v>
      </c>
      <c r="CG7" s="1513">
        <f t="shared" si="6"/>
        <v>40376</v>
      </c>
      <c r="CH7" s="1513">
        <f t="shared" si="6"/>
        <v>50060</v>
      </c>
      <c r="CI7" s="1513">
        <f t="shared" si="6"/>
        <v>32693</v>
      </c>
      <c r="CJ7" s="1513">
        <f t="shared" si="6"/>
        <v>45795</v>
      </c>
      <c r="CK7" s="1513">
        <f t="shared" si="6"/>
        <v>53320</v>
      </c>
      <c r="CL7" s="1513">
        <f t="shared" si="6"/>
        <v>50315</v>
      </c>
      <c r="CM7" s="1514">
        <f t="shared" si="6"/>
        <v>119488</v>
      </c>
      <c r="CN7" s="1515">
        <f>SUM(CB7:CM7)</f>
        <v>560290</v>
      </c>
      <c r="CO7" s="1512">
        <f t="shared" ref="CO7:CZ7" si="7">+CO8+CO14+CO19</f>
        <v>6513</v>
      </c>
      <c r="CP7" s="1513">
        <f t="shared" si="7"/>
        <v>22528</v>
      </c>
      <c r="CQ7" s="1513">
        <f t="shared" si="7"/>
        <v>47768</v>
      </c>
      <c r="CR7" s="1513">
        <f t="shared" si="7"/>
        <v>34595</v>
      </c>
      <c r="CS7" s="1513">
        <f t="shared" si="7"/>
        <v>35024</v>
      </c>
      <c r="CT7" s="1513">
        <f t="shared" si="7"/>
        <v>37318</v>
      </c>
      <c r="CU7" s="1513">
        <f t="shared" si="7"/>
        <v>66811</v>
      </c>
      <c r="CV7" s="1513">
        <f t="shared" si="7"/>
        <v>40508</v>
      </c>
      <c r="CW7" s="1513">
        <f t="shared" si="7"/>
        <v>43466</v>
      </c>
      <c r="CX7" s="1513">
        <f t="shared" si="7"/>
        <v>43961</v>
      </c>
      <c r="CY7" s="1513">
        <f t="shared" si="7"/>
        <v>45543</v>
      </c>
      <c r="CZ7" s="1514">
        <f t="shared" si="7"/>
        <v>115816</v>
      </c>
      <c r="DA7" s="1515">
        <f>SUM(CO7:CZ7)</f>
        <v>539851</v>
      </c>
      <c r="DB7" s="1512">
        <f t="shared" ref="DB7:DM7" si="8">+DB8+DB14+DB19</f>
        <v>18514</v>
      </c>
      <c r="DC7" s="1513">
        <f t="shared" si="8"/>
        <v>27577</v>
      </c>
      <c r="DD7" s="1513">
        <f t="shared" si="8"/>
        <v>44098</v>
      </c>
      <c r="DE7" s="1513">
        <f t="shared" si="8"/>
        <v>37454</v>
      </c>
      <c r="DF7" s="1513">
        <f t="shared" si="8"/>
        <v>41092</v>
      </c>
      <c r="DG7" s="1513">
        <f t="shared" si="8"/>
        <v>40013</v>
      </c>
      <c r="DH7" s="1513">
        <f t="shared" si="8"/>
        <v>44522</v>
      </c>
      <c r="DI7" s="1513">
        <f t="shared" si="8"/>
        <v>41024</v>
      </c>
      <c r="DJ7" s="1513">
        <f t="shared" si="8"/>
        <v>62065</v>
      </c>
      <c r="DK7" s="1513">
        <f t="shared" si="8"/>
        <v>51688</v>
      </c>
      <c r="DL7" s="1513">
        <f t="shared" si="8"/>
        <v>60496</v>
      </c>
      <c r="DM7" s="1514">
        <f t="shared" si="8"/>
        <v>145013</v>
      </c>
      <c r="DN7" s="1515">
        <f>SUM(DB7:DM7)</f>
        <v>613556</v>
      </c>
      <c r="DO7" s="1512">
        <f t="shared" ref="DO7:DZ7" si="9">+DO8+DO14+DO19</f>
        <v>18650</v>
      </c>
      <c r="DP7" s="1513">
        <f t="shared" si="9"/>
        <v>29190</v>
      </c>
      <c r="DQ7" s="1513">
        <f t="shared" si="9"/>
        <v>70137</v>
      </c>
      <c r="DR7" s="1513">
        <f t="shared" si="9"/>
        <v>46566</v>
      </c>
      <c r="DS7" s="1513">
        <f t="shared" si="9"/>
        <v>50529</v>
      </c>
      <c r="DT7" s="1513">
        <f t="shared" si="9"/>
        <v>63943</v>
      </c>
      <c r="DU7" s="1513">
        <f t="shared" si="9"/>
        <v>64389</v>
      </c>
      <c r="DV7" s="1513">
        <f t="shared" si="9"/>
        <v>55984</v>
      </c>
      <c r="DW7" s="1513">
        <f t="shared" si="9"/>
        <v>93509</v>
      </c>
      <c r="DX7" s="1513">
        <f t="shared" si="9"/>
        <v>68782</v>
      </c>
      <c r="DY7" s="1513">
        <f t="shared" si="9"/>
        <v>65520</v>
      </c>
      <c r="DZ7" s="1514">
        <f t="shared" si="9"/>
        <v>120123</v>
      </c>
      <c r="EA7" s="1515">
        <f>SUM(DO7:DZ7)</f>
        <v>747322</v>
      </c>
      <c r="EB7" s="1512">
        <f t="shared" ref="EB7:EM7" si="10">+EB8+EB14+EB19</f>
        <v>25439</v>
      </c>
      <c r="EC7" s="1513">
        <f t="shared" si="10"/>
        <v>33807</v>
      </c>
      <c r="ED7" s="1513">
        <f t="shared" si="10"/>
        <v>60873</v>
      </c>
      <c r="EE7" s="1513">
        <f t="shared" si="10"/>
        <v>48098</v>
      </c>
      <c r="EF7" s="1513">
        <f t="shared" si="10"/>
        <v>55954</v>
      </c>
      <c r="EG7" s="1513">
        <f t="shared" si="10"/>
        <v>71927</v>
      </c>
      <c r="EH7" s="1513">
        <f t="shared" si="10"/>
        <v>67856</v>
      </c>
      <c r="EI7" s="1513">
        <f t="shared" si="10"/>
        <v>57517</v>
      </c>
      <c r="EJ7" s="1513">
        <f t="shared" si="10"/>
        <v>62743</v>
      </c>
      <c r="EK7" s="1513">
        <f t="shared" si="10"/>
        <v>86573</v>
      </c>
      <c r="EL7" s="1513">
        <f t="shared" si="10"/>
        <v>72373</v>
      </c>
      <c r="EM7" s="1514">
        <f t="shared" si="10"/>
        <v>109158</v>
      </c>
      <c r="EN7" s="1515">
        <f>SUM(EB7:EM7)</f>
        <v>752318</v>
      </c>
      <c r="EO7" s="1512">
        <f>+EO8+EO14+EO19</f>
        <v>9313</v>
      </c>
      <c r="EP7" s="1513">
        <f>+EP8+EP14+EP19</f>
        <v>31425</v>
      </c>
      <c r="EQ7" s="1513">
        <v>44808</v>
      </c>
      <c r="ER7" s="1513">
        <f t="shared" ref="ER7:EZ7" si="11">+ER8+ER14+ER19</f>
        <v>62227</v>
      </c>
      <c r="ES7" s="1513">
        <f t="shared" si="11"/>
        <v>47247</v>
      </c>
      <c r="ET7" s="1513">
        <f t="shared" si="11"/>
        <v>54061</v>
      </c>
      <c r="EU7" s="1513">
        <f t="shared" si="11"/>
        <v>47467</v>
      </c>
      <c r="EV7" s="1513">
        <f t="shared" si="11"/>
        <v>61598</v>
      </c>
      <c r="EW7" s="1513">
        <f t="shared" si="11"/>
        <v>73603</v>
      </c>
      <c r="EX7" s="1513">
        <f t="shared" si="11"/>
        <v>74053</v>
      </c>
      <c r="EY7" s="1513">
        <f t="shared" si="11"/>
        <v>52029</v>
      </c>
      <c r="EZ7" s="1514">
        <f t="shared" si="11"/>
        <v>106933</v>
      </c>
      <c r="FA7" s="1515">
        <f>SUM(EO7:EZ7)</f>
        <v>664764</v>
      </c>
      <c r="FB7" s="1512">
        <f t="shared" ref="FB7:FM7" si="12">+FB8+FB14+FB19</f>
        <v>21985</v>
      </c>
      <c r="FC7" s="1513">
        <f t="shared" si="12"/>
        <v>35806</v>
      </c>
      <c r="FD7" s="1513">
        <f t="shared" si="12"/>
        <v>43850</v>
      </c>
      <c r="FE7" s="1513">
        <f t="shared" si="12"/>
        <v>27537</v>
      </c>
      <c r="FF7" s="1513">
        <f t="shared" si="12"/>
        <v>28088</v>
      </c>
      <c r="FG7" s="1513">
        <f t="shared" si="12"/>
        <v>25443</v>
      </c>
      <c r="FH7" s="1513">
        <f t="shared" si="12"/>
        <v>39249</v>
      </c>
      <c r="FI7" s="1513">
        <f t="shared" si="12"/>
        <v>50114</v>
      </c>
      <c r="FJ7" s="1513">
        <f t="shared" si="12"/>
        <v>85177</v>
      </c>
      <c r="FK7" s="1513">
        <f t="shared" si="12"/>
        <v>108196</v>
      </c>
      <c r="FL7" s="1513">
        <f t="shared" si="12"/>
        <v>132994</v>
      </c>
      <c r="FM7" s="1514">
        <f t="shared" si="12"/>
        <v>229659</v>
      </c>
      <c r="FN7" s="1515">
        <f>SUM(FB7:FM7)</f>
        <v>828098</v>
      </c>
      <c r="FO7" s="1512">
        <f t="shared" ref="FO7:FZ7" si="13">+FO8+FO14+FO19</f>
        <v>25123</v>
      </c>
      <c r="FP7" s="1513">
        <f t="shared" si="13"/>
        <v>53200</v>
      </c>
      <c r="FQ7" s="1513">
        <f t="shared" si="13"/>
        <v>98404</v>
      </c>
      <c r="FR7" s="1513">
        <f t="shared" si="13"/>
        <v>59348</v>
      </c>
      <c r="FS7" s="1513">
        <f t="shared" si="13"/>
        <v>65375</v>
      </c>
      <c r="FT7" s="1513">
        <f t="shared" si="13"/>
        <v>82339</v>
      </c>
      <c r="FU7" s="1513">
        <f t="shared" si="13"/>
        <v>74805</v>
      </c>
      <c r="FV7" s="1513">
        <f t="shared" si="13"/>
        <v>74767</v>
      </c>
      <c r="FW7" s="1513">
        <f t="shared" si="13"/>
        <v>76789</v>
      </c>
      <c r="FX7" s="1513">
        <f t="shared" si="13"/>
        <v>72739</v>
      </c>
      <c r="FY7" s="1513">
        <f t="shared" si="13"/>
        <v>78583</v>
      </c>
      <c r="FZ7" s="1514">
        <f t="shared" si="13"/>
        <v>152659</v>
      </c>
      <c r="GA7" s="1515">
        <f>SUM(FO7:FZ7)</f>
        <v>914131</v>
      </c>
      <c r="GB7" s="1512">
        <f t="shared" ref="GB7:GM7" si="14">+GB8+GB14+GB19</f>
        <v>22918</v>
      </c>
      <c r="GC7" s="1513">
        <f t="shared" si="14"/>
        <v>33571</v>
      </c>
      <c r="GD7" s="1513">
        <f t="shared" si="14"/>
        <v>86242</v>
      </c>
      <c r="GE7" s="1513">
        <f t="shared" si="14"/>
        <v>56695</v>
      </c>
      <c r="GF7" s="1513">
        <f t="shared" si="14"/>
        <v>65379</v>
      </c>
      <c r="GG7" s="1513">
        <f t="shared" si="14"/>
        <v>60887</v>
      </c>
      <c r="GH7" s="1513">
        <f t="shared" si="14"/>
        <v>86052</v>
      </c>
      <c r="GI7" s="1513">
        <f t="shared" si="14"/>
        <v>82438</v>
      </c>
      <c r="GJ7" s="1513">
        <f t="shared" si="14"/>
        <v>86246</v>
      </c>
      <c r="GK7" s="1513">
        <f t="shared" si="14"/>
        <v>74594</v>
      </c>
      <c r="GL7" s="1513">
        <f t="shared" si="14"/>
        <v>87182</v>
      </c>
      <c r="GM7" s="1514">
        <f t="shared" si="14"/>
        <v>130326</v>
      </c>
      <c r="GN7" s="1515">
        <f>SUM(GB7:GM7)</f>
        <v>872530</v>
      </c>
      <c r="GO7" s="1512">
        <f t="shared" ref="GO7:GZ7" si="15">+GO8+GO14+GO19</f>
        <v>13409</v>
      </c>
      <c r="GP7" s="1513">
        <f t="shared" si="15"/>
        <v>45976</v>
      </c>
      <c r="GQ7" s="1513">
        <f t="shared" si="15"/>
        <v>65525</v>
      </c>
      <c r="GR7" s="1513">
        <f t="shared" si="15"/>
        <v>72827</v>
      </c>
      <c r="GS7" s="1513">
        <f t="shared" si="15"/>
        <v>54469</v>
      </c>
      <c r="GT7" s="1513">
        <f t="shared" si="15"/>
        <v>69919</v>
      </c>
      <c r="GU7" s="1513">
        <f t="shared" si="15"/>
        <v>75099</v>
      </c>
      <c r="GV7" s="1513">
        <f t="shared" si="15"/>
        <v>73410</v>
      </c>
      <c r="GW7" s="1513">
        <f t="shared" si="15"/>
        <v>71744</v>
      </c>
      <c r="GX7" s="1513">
        <f t="shared" si="15"/>
        <v>76050</v>
      </c>
      <c r="GY7" s="1513">
        <f t="shared" si="15"/>
        <v>95708</v>
      </c>
      <c r="GZ7" s="1514">
        <f t="shared" si="15"/>
        <v>135217</v>
      </c>
      <c r="HA7" s="1515">
        <f>SUM(GO7:GZ7)</f>
        <v>849353</v>
      </c>
      <c r="HB7" s="1512">
        <f t="shared" ref="HB7:HM7" si="16">+HB8+HB14+HB19</f>
        <v>43304</v>
      </c>
      <c r="HC7" s="1513">
        <f t="shared" si="16"/>
        <v>92945</v>
      </c>
      <c r="HD7" s="1513">
        <f t="shared" si="16"/>
        <v>70284</v>
      </c>
      <c r="HE7" s="1513">
        <f t="shared" si="16"/>
        <v>75824</v>
      </c>
      <c r="HF7" s="1513">
        <f t="shared" si="16"/>
        <v>82336</v>
      </c>
      <c r="HG7" s="1513">
        <f t="shared" si="16"/>
        <v>79371</v>
      </c>
      <c r="HH7" s="1513">
        <f t="shared" si="16"/>
        <v>92711</v>
      </c>
      <c r="HI7" s="1513">
        <f t="shared" si="16"/>
        <v>81791</v>
      </c>
      <c r="HJ7" s="1513">
        <f t="shared" si="16"/>
        <v>71273</v>
      </c>
      <c r="HK7" s="1513">
        <f t="shared" si="16"/>
        <v>89572</v>
      </c>
      <c r="HL7" s="1513">
        <f t="shared" si="16"/>
        <v>81488</v>
      </c>
      <c r="HM7" s="1514">
        <f t="shared" si="16"/>
        <v>145022</v>
      </c>
      <c r="HN7" s="1515">
        <f>SUM(HB7:HM7)</f>
        <v>1005921</v>
      </c>
      <c r="HO7" s="1512">
        <f>+HO8+HO14+HO19</f>
        <v>38038</v>
      </c>
      <c r="HP7" s="1513">
        <f>+HP8+HP14+HP19</f>
        <v>56692</v>
      </c>
      <c r="HQ7" s="1513">
        <f>+HQ8+HQ14+HQ19</f>
        <v>80121</v>
      </c>
      <c r="HR7" s="1513">
        <f>+HR8+HR14+HR19</f>
        <v>71519</v>
      </c>
      <c r="HS7" s="1513">
        <f>+HS8+HS14+HS19</f>
        <v>78464</v>
      </c>
      <c r="HT7" s="1513">
        <f t="shared" ref="HT7:IF7" si="17">+HT8+HT14+HT19</f>
        <v>79368</v>
      </c>
      <c r="HU7" s="1513">
        <f t="shared" si="17"/>
        <v>89086</v>
      </c>
      <c r="HV7" s="1513">
        <f t="shared" si="17"/>
        <v>81477</v>
      </c>
      <c r="HW7" s="1513">
        <f t="shared" si="17"/>
        <v>78916</v>
      </c>
      <c r="HX7" s="1513">
        <f t="shared" si="17"/>
        <v>90984</v>
      </c>
      <c r="HY7" s="1513">
        <f t="shared" si="17"/>
        <v>81581</v>
      </c>
      <c r="HZ7" s="1669">
        <v>150302</v>
      </c>
      <c r="IA7" s="1672">
        <f>SUM(HO7:HZ7)</f>
        <v>976548</v>
      </c>
      <c r="IB7" s="1516">
        <f t="shared" si="17"/>
        <v>44113</v>
      </c>
      <c r="IC7" s="1209">
        <f t="shared" si="17"/>
        <v>49799</v>
      </c>
      <c r="ID7" s="1209">
        <f t="shared" si="17"/>
        <v>67701</v>
      </c>
      <c r="IE7" s="1209">
        <f t="shared" si="17"/>
        <v>78514</v>
      </c>
      <c r="IF7" s="1209">
        <f t="shared" si="17"/>
        <v>81860</v>
      </c>
      <c r="IG7" s="1209">
        <f t="shared" ref="IG7:IH7" si="18">+IG8+IG14+IG19</f>
        <v>83376</v>
      </c>
      <c r="IH7" s="1209">
        <f t="shared" si="18"/>
        <v>103041</v>
      </c>
      <c r="II7" s="1209">
        <f>+II8+II14+II19</f>
        <v>91778</v>
      </c>
      <c r="IJ7" s="1209"/>
      <c r="IK7" s="1209"/>
      <c r="IL7" s="1209"/>
      <c r="IM7" s="1517"/>
      <c r="IN7" s="1518">
        <f>SUM(IB7:IM7)</f>
        <v>600182</v>
      </c>
      <c r="IO7" s="1422"/>
      <c r="IP7" s="1519">
        <f t="shared" ref="IP7:IP28" si="19">IFERROR(((
_xlfn.XLOOKUP((DATE(YEAR($IP$5),MONTH($IP$5),1)),SMN.GGL.DATE,$B7:$IN7) /
_xlfn.XLOOKUP((DATE(YEAR($IP$5)-1,MONTH($IP$5),1)),SMN.GGL.DATE,$B7:$IN7)
)-1)*100,"")</f>
        <v>12.64283171938092</v>
      </c>
      <c r="IQ7" s="1520">
        <f>IFERROR(((IS7/IR7)-1)*100,"")</f>
        <v>4.422155141666595</v>
      </c>
      <c r="IR7" s="1521">
        <f t="shared" ref="IR7:IR30" si="20">SUMIFS($B7:$IN7,SMN.GGL.DATE,"&gt;="&amp;DATE(YEAR($IP$5)-1,1,1),SMN.GGL.DATE,"&lt;="&amp;DATE(YEAR($IP$5)-1,MONTH($IP$5),1))</f>
        <v>574765</v>
      </c>
      <c r="IS7" s="1522">
        <f t="shared" ref="IS7:IS30" si="21">SUMIFS($B7:$IN7,SMN.GGL.DATE,"&gt;="&amp;DATE(YEAR($IP$5),1,1),SMN.GGL.DATE,"&lt;="&amp;$IP$5)</f>
        <v>600182</v>
      </c>
      <c r="IT7" s="1523"/>
      <c r="IU7" s="1521"/>
    </row>
    <row r="8" spans="1:255" ht="15" customHeight="1" x14ac:dyDescent="0.2">
      <c r="A8" s="1553" t="s">
        <v>432</v>
      </c>
      <c r="B8" s="376">
        <f t="shared" ref="B8:M8" si="22">SUM(B9:B13)</f>
        <v>5552</v>
      </c>
      <c r="C8" s="377">
        <f t="shared" si="22"/>
        <v>7584</v>
      </c>
      <c r="D8" s="377">
        <f t="shared" si="22"/>
        <v>6763</v>
      </c>
      <c r="E8" s="377">
        <f t="shared" si="22"/>
        <v>7950</v>
      </c>
      <c r="F8" s="377">
        <f t="shared" si="22"/>
        <v>7202</v>
      </c>
      <c r="G8" s="377">
        <f t="shared" si="22"/>
        <v>7710</v>
      </c>
      <c r="H8" s="377">
        <f t="shared" si="22"/>
        <v>9197</v>
      </c>
      <c r="I8" s="377">
        <f t="shared" si="22"/>
        <v>8058</v>
      </c>
      <c r="J8" s="377">
        <f t="shared" si="22"/>
        <v>7434</v>
      </c>
      <c r="K8" s="377">
        <f t="shared" si="22"/>
        <v>8147</v>
      </c>
      <c r="L8" s="377">
        <f t="shared" si="22"/>
        <v>6961</v>
      </c>
      <c r="M8" s="388">
        <f t="shared" si="22"/>
        <v>10052</v>
      </c>
      <c r="N8" s="378">
        <f t="shared" ref="N8:N21" si="23">SUM(B8:M8)</f>
        <v>92610</v>
      </c>
      <c r="O8" s="376">
        <f t="shared" ref="O8:Z8" si="24">SUM(O9:O13)</f>
        <v>4919</v>
      </c>
      <c r="P8" s="377">
        <f t="shared" si="24"/>
        <v>6209</v>
      </c>
      <c r="Q8" s="377">
        <f t="shared" si="24"/>
        <v>9071</v>
      </c>
      <c r="R8" s="377">
        <f t="shared" si="24"/>
        <v>7516</v>
      </c>
      <c r="S8" s="377">
        <f t="shared" si="24"/>
        <v>7580</v>
      </c>
      <c r="T8" s="377">
        <f t="shared" si="24"/>
        <v>8370</v>
      </c>
      <c r="U8" s="377">
        <f t="shared" si="24"/>
        <v>9730</v>
      </c>
      <c r="V8" s="377">
        <f t="shared" si="24"/>
        <v>8697</v>
      </c>
      <c r="W8" s="377">
        <f t="shared" si="24"/>
        <v>8641</v>
      </c>
      <c r="X8" s="377">
        <f t="shared" si="24"/>
        <v>7813</v>
      </c>
      <c r="Y8" s="377">
        <f t="shared" si="24"/>
        <v>9043</v>
      </c>
      <c r="Z8" s="388">
        <f t="shared" si="24"/>
        <v>12764</v>
      </c>
      <c r="AA8" s="378">
        <f t="shared" ref="AA8:AA21" si="25">SUM(O8:Z8)</f>
        <v>100353</v>
      </c>
      <c r="AB8" s="376">
        <f t="shared" ref="AB8:AM8" si="26">SUM(AB9:AB13)</f>
        <v>6112</v>
      </c>
      <c r="AC8" s="377">
        <f t="shared" si="26"/>
        <v>5976</v>
      </c>
      <c r="AD8" s="377">
        <f t="shared" si="26"/>
        <v>11027</v>
      </c>
      <c r="AE8" s="377">
        <f t="shared" si="26"/>
        <v>9294</v>
      </c>
      <c r="AF8" s="377">
        <f t="shared" si="26"/>
        <v>9758</v>
      </c>
      <c r="AG8" s="377">
        <f t="shared" si="26"/>
        <v>9432</v>
      </c>
      <c r="AH8" s="377">
        <f t="shared" si="26"/>
        <v>10258</v>
      </c>
      <c r="AI8" s="377">
        <f t="shared" si="26"/>
        <v>9625</v>
      </c>
      <c r="AJ8" s="377">
        <f t="shared" si="26"/>
        <v>9564</v>
      </c>
      <c r="AK8" s="377">
        <f t="shared" si="26"/>
        <v>8789</v>
      </c>
      <c r="AL8" s="377">
        <f t="shared" si="26"/>
        <v>12547</v>
      </c>
      <c r="AM8" s="388">
        <f t="shared" si="26"/>
        <v>15138</v>
      </c>
      <c r="AN8" s="378">
        <f t="shared" ref="AN8:AN21" si="27">SUM(AB8:AM8)</f>
        <v>117520</v>
      </c>
      <c r="AO8" s="376">
        <f t="shared" ref="AO8:AZ8" si="28">SUM(AO9:AO13)</f>
        <v>2827</v>
      </c>
      <c r="AP8" s="377">
        <f t="shared" si="28"/>
        <v>8432</v>
      </c>
      <c r="AQ8" s="377">
        <f t="shared" si="28"/>
        <v>12409</v>
      </c>
      <c r="AR8" s="377">
        <f t="shared" si="28"/>
        <v>9989</v>
      </c>
      <c r="AS8" s="377">
        <f t="shared" si="28"/>
        <v>11889</v>
      </c>
      <c r="AT8" s="377">
        <f t="shared" si="28"/>
        <v>10807</v>
      </c>
      <c r="AU8" s="377">
        <f t="shared" si="28"/>
        <v>12151</v>
      </c>
      <c r="AV8" s="377">
        <f t="shared" si="28"/>
        <v>11038</v>
      </c>
      <c r="AW8" s="377">
        <f t="shared" si="28"/>
        <v>13370</v>
      </c>
      <c r="AX8" s="377">
        <f t="shared" si="28"/>
        <v>12152</v>
      </c>
      <c r="AY8" s="377">
        <f t="shared" si="28"/>
        <v>13444</v>
      </c>
      <c r="AZ8" s="388">
        <f t="shared" si="28"/>
        <v>23089</v>
      </c>
      <c r="BA8" s="378">
        <f t="shared" ref="BA8:BA21" si="29">SUM(AO8:AZ8)</f>
        <v>141597</v>
      </c>
      <c r="BB8" s="376">
        <f t="shared" ref="BB8:BM8" si="30">SUM(BB9:BB13)</f>
        <v>7920</v>
      </c>
      <c r="BC8" s="377">
        <f t="shared" si="30"/>
        <v>12716</v>
      </c>
      <c r="BD8" s="377">
        <f t="shared" si="30"/>
        <v>15025</v>
      </c>
      <c r="BE8" s="377">
        <f t="shared" si="30"/>
        <v>12748</v>
      </c>
      <c r="BF8" s="377">
        <f t="shared" si="30"/>
        <v>14244</v>
      </c>
      <c r="BG8" s="377">
        <f t="shared" si="30"/>
        <v>13875</v>
      </c>
      <c r="BH8" s="377">
        <f t="shared" si="30"/>
        <v>13277</v>
      </c>
      <c r="BI8" s="377">
        <f t="shared" si="30"/>
        <v>15012</v>
      </c>
      <c r="BJ8" s="377">
        <f t="shared" si="30"/>
        <v>14692</v>
      </c>
      <c r="BK8" s="377">
        <f t="shared" si="30"/>
        <v>14741</v>
      </c>
      <c r="BL8" s="377">
        <f t="shared" si="30"/>
        <v>16496</v>
      </c>
      <c r="BM8" s="388">
        <f t="shared" si="30"/>
        <v>27196</v>
      </c>
      <c r="BN8" s="378">
        <f t="shared" ref="BN8:BN21" si="31">SUM(BB8:BM8)</f>
        <v>177942</v>
      </c>
      <c r="BO8" s="376">
        <f t="shared" ref="BO8:BZ8" si="32">SUM(BO9:BO13)</f>
        <v>11854</v>
      </c>
      <c r="BP8" s="377">
        <f t="shared" si="32"/>
        <v>10700</v>
      </c>
      <c r="BQ8" s="377">
        <f t="shared" si="32"/>
        <v>18011</v>
      </c>
      <c r="BR8" s="377">
        <f t="shared" si="32"/>
        <v>14115</v>
      </c>
      <c r="BS8" s="377">
        <f t="shared" si="32"/>
        <v>13309</v>
      </c>
      <c r="BT8" s="377">
        <f t="shared" si="32"/>
        <v>14162</v>
      </c>
      <c r="BU8" s="377">
        <f t="shared" si="32"/>
        <v>15535</v>
      </c>
      <c r="BV8" s="377">
        <f t="shared" si="32"/>
        <v>15011</v>
      </c>
      <c r="BW8" s="377">
        <f t="shared" si="32"/>
        <v>14622</v>
      </c>
      <c r="BX8" s="377">
        <f t="shared" si="32"/>
        <v>15646</v>
      </c>
      <c r="BY8" s="377">
        <f t="shared" si="32"/>
        <v>14103</v>
      </c>
      <c r="BZ8" s="388">
        <f t="shared" si="32"/>
        <v>19991</v>
      </c>
      <c r="CA8" s="378">
        <f t="shared" ref="CA8:CA21" si="33">SUM(BO8:BZ8)</f>
        <v>177059</v>
      </c>
      <c r="CB8" s="376">
        <f t="shared" ref="CB8:CM8" si="34">SUM(CB9:CB13)</f>
        <v>12835</v>
      </c>
      <c r="CC8" s="377">
        <f t="shared" si="34"/>
        <v>14640</v>
      </c>
      <c r="CD8" s="377">
        <f t="shared" si="34"/>
        <v>16340</v>
      </c>
      <c r="CE8" s="377">
        <f t="shared" si="34"/>
        <v>14510</v>
      </c>
      <c r="CF8" s="377">
        <f t="shared" si="34"/>
        <v>16632</v>
      </c>
      <c r="CG8" s="377">
        <f t="shared" si="34"/>
        <v>15925</v>
      </c>
      <c r="CH8" s="377">
        <f t="shared" si="34"/>
        <v>17845</v>
      </c>
      <c r="CI8" s="377">
        <f t="shared" si="34"/>
        <v>16362</v>
      </c>
      <c r="CJ8" s="377">
        <f t="shared" si="34"/>
        <v>14331</v>
      </c>
      <c r="CK8" s="377">
        <f t="shared" si="34"/>
        <v>14875</v>
      </c>
      <c r="CL8" s="377">
        <f t="shared" si="34"/>
        <v>14698</v>
      </c>
      <c r="CM8" s="388">
        <f t="shared" si="34"/>
        <v>28456</v>
      </c>
      <c r="CN8" s="378">
        <f t="shared" ref="CN8:CN21" si="35">SUM(CB8:CM8)</f>
        <v>197449</v>
      </c>
      <c r="CO8" s="376">
        <f t="shared" ref="CO8:DZ8" si="36">SUM(CO9:CO13)</f>
        <v>5783</v>
      </c>
      <c r="CP8" s="377">
        <f t="shared" si="36"/>
        <v>13234</v>
      </c>
      <c r="CQ8" s="377">
        <f t="shared" si="36"/>
        <v>19085</v>
      </c>
      <c r="CR8" s="377">
        <f t="shared" si="36"/>
        <v>15308</v>
      </c>
      <c r="CS8" s="377">
        <f t="shared" si="36"/>
        <v>16055</v>
      </c>
      <c r="CT8" s="377">
        <f t="shared" si="36"/>
        <v>16185</v>
      </c>
      <c r="CU8" s="377">
        <f t="shared" si="36"/>
        <v>18630</v>
      </c>
      <c r="CV8" s="377">
        <f t="shared" si="36"/>
        <v>16135</v>
      </c>
      <c r="CW8" s="377">
        <f t="shared" si="36"/>
        <v>16719</v>
      </c>
      <c r="CX8" s="377">
        <f t="shared" si="36"/>
        <v>16961</v>
      </c>
      <c r="CY8" s="377">
        <f t="shared" si="36"/>
        <v>16253</v>
      </c>
      <c r="CZ8" s="388">
        <f t="shared" si="36"/>
        <v>28950</v>
      </c>
      <c r="DA8" s="378">
        <f t="shared" ref="DA8:DA21" si="37">SUM(CO8:CZ8)</f>
        <v>199298</v>
      </c>
      <c r="DB8" s="376">
        <f t="shared" si="36"/>
        <v>11363</v>
      </c>
      <c r="DC8" s="377">
        <f t="shared" si="36"/>
        <v>15609</v>
      </c>
      <c r="DD8" s="377">
        <f t="shared" si="36"/>
        <v>20554</v>
      </c>
      <c r="DE8" s="377">
        <f t="shared" si="36"/>
        <v>16938</v>
      </c>
      <c r="DF8" s="377">
        <f t="shared" si="36"/>
        <v>18042</v>
      </c>
      <c r="DG8" s="377">
        <f t="shared" si="36"/>
        <v>18259</v>
      </c>
      <c r="DH8" s="377">
        <f t="shared" si="36"/>
        <v>18278</v>
      </c>
      <c r="DI8" s="377">
        <f t="shared" si="36"/>
        <v>18602</v>
      </c>
      <c r="DJ8" s="377">
        <f t="shared" si="36"/>
        <v>18021</v>
      </c>
      <c r="DK8" s="377">
        <f t="shared" si="36"/>
        <v>17763</v>
      </c>
      <c r="DL8" s="377">
        <f t="shared" si="36"/>
        <v>15959</v>
      </c>
      <c r="DM8" s="388">
        <f t="shared" si="36"/>
        <v>26660</v>
      </c>
      <c r="DN8" s="378">
        <f t="shared" ref="DN8:DN21" si="38">SUM(DB8:DM8)</f>
        <v>216048</v>
      </c>
      <c r="DO8" s="376">
        <f t="shared" si="36"/>
        <v>13103</v>
      </c>
      <c r="DP8" s="377">
        <f t="shared" si="36"/>
        <v>14280</v>
      </c>
      <c r="DQ8" s="377">
        <f t="shared" si="36"/>
        <v>21581</v>
      </c>
      <c r="DR8" s="377">
        <f t="shared" si="36"/>
        <v>15311</v>
      </c>
      <c r="DS8" s="377">
        <f t="shared" si="36"/>
        <v>18633</v>
      </c>
      <c r="DT8" s="377">
        <f t="shared" si="36"/>
        <v>20962</v>
      </c>
      <c r="DU8" s="377">
        <f t="shared" si="36"/>
        <v>19760</v>
      </c>
      <c r="DV8" s="377">
        <f t="shared" si="36"/>
        <v>18767</v>
      </c>
      <c r="DW8" s="377">
        <f t="shared" si="36"/>
        <v>18899</v>
      </c>
      <c r="DX8" s="377">
        <f t="shared" si="36"/>
        <v>20284</v>
      </c>
      <c r="DY8" s="377">
        <f t="shared" si="36"/>
        <v>22967</v>
      </c>
      <c r="DZ8" s="388">
        <f t="shared" si="36"/>
        <v>36153</v>
      </c>
      <c r="EA8" s="378">
        <f t="shared" ref="EA8:EA21" si="39">SUM(DO8:DZ8)</f>
        <v>240700</v>
      </c>
      <c r="EB8" s="376">
        <f t="shared" ref="EB8:EM8" si="40">SUM(EB9:EB13)</f>
        <v>14379</v>
      </c>
      <c r="EC8" s="377">
        <f t="shared" si="40"/>
        <v>13872</v>
      </c>
      <c r="ED8" s="377">
        <f t="shared" si="40"/>
        <v>22804</v>
      </c>
      <c r="EE8" s="377">
        <f t="shared" si="40"/>
        <v>19182</v>
      </c>
      <c r="EF8" s="377">
        <f t="shared" si="40"/>
        <v>20621</v>
      </c>
      <c r="EG8" s="377">
        <f t="shared" si="40"/>
        <v>21156</v>
      </c>
      <c r="EH8" s="377">
        <f t="shared" si="40"/>
        <v>21210</v>
      </c>
      <c r="EI8" s="377">
        <f t="shared" si="40"/>
        <v>19753</v>
      </c>
      <c r="EJ8" s="377">
        <f t="shared" si="40"/>
        <v>18627</v>
      </c>
      <c r="EK8" s="377">
        <f t="shared" si="40"/>
        <v>20888</v>
      </c>
      <c r="EL8" s="377">
        <f t="shared" si="40"/>
        <v>23563</v>
      </c>
      <c r="EM8" s="388">
        <f t="shared" si="40"/>
        <v>29831</v>
      </c>
      <c r="EN8" s="378">
        <f t="shared" ref="EN8:EN21" si="41">SUM(EB8:EM8)</f>
        <v>245886</v>
      </c>
      <c r="EO8" s="376">
        <f>SUM(EO9:EO13)</f>
        <v>8385</v>
      </c>
      <c r="EP8" s="377">
        <f>SUM(EP9:EP13)</f>
        <v>14875</v>
      </c>
      <c r="EQ8" s="377">
        <v>20673</v>
      </c>
      <c r="ER8" s="377">
        <f t="shared" ref="ER8:EZ8" si="42">SUM(ER9:ER13)</f>
        <v>19447</v>
      </c>
      <c r="ES8" s="377">
        <f t="shared" si="42"/>
        <v>23309</v>
      </c>
      <c r="ET8" s="377">
        <f t="shared" si="42"/>
        <v>21469</v>
      </c>
      <c r="EU8" s="377">
        <f t="shared" si="42"/>
        <v>23473</v>
      </c>
      <c r="EV8" s="377">
        <f t="shared" si="42"/>
        <v>23667</v>
      </c>
      <c r="EW8" s="377">
        <f t="shared" si="42"/>
        <v>21319</v>
      </c>
      <c r="EX8" s="377">
        <f t="shared" si="42"/>
        <v>22987</v>
      </c>
      <c r="EY8" s="377">
        <f t="shared" si="42"/>
        <v>20702</v>
      </c>
      <c r="EZ8" s="388">
        <f t="shared" si="42"/>
        <v>34789</v>
      </c>
      <c r="FA8" s="378">
        <f t="shared" ref="FA8:FA21" si="43">SUM(EO8:EZ8)</f>
        <v>255095</v>
      </c>
      <c r="FB8" s="376">
        <f t="shared" ref="FB8:FM8" si="44">SUM(FB9:FB13)</f>
        <v>15842</v>
      </c>
      <c r="FC8" s="377">
        <f t="shared" si="44"/>
        <v>16190</v>
      </c>
      <c r="FD8" s="377">
        <f t="shared" si="44"/>
        <v>24882</v>
      </c>
      <c r="FE8" s="377">
        <f t="shared" si="44"/>
        <v>21682</v>
      </c>
      <c r="FF8" s="377">
        <f t="shared" si="44"/>
        <v>17569</v>
      </c>
      <c r="FG8" s="377">
        <f t="shared" si="44"/>
        <v>19497</v>
      </c>
      <c r="FH8" s="377">
        <f t="shared" si="44"/>
        <v>24851</v>
      </c>
      <c r="FI8" s="377">
        <f t="shared" si="44"/>
        <v>28708</v>
      </c>
      <c r="FJ8" s="377">
        <f t="shared" si="44"/>
        <v>38925</v>
      </c>
      <c r="FK8" s="377">
        <f t="shared" si="44"/>
        <v>48008</v>
      </c>
      <c r="FL8" s="377">
        <f t="shared" si="44"/>
        <v>65914</v>
      </c>
      <c r="FM8" s="388">
        <f t="shared" si="44"/>
        <v>106321</v>
      </c>
      <c r="FN8" s="378">
        <f t="shared" ref="FN8:FN21" si="45">SUM(FB8:FM8)</f>
        <v>428389</v>
      </c>
      <c r="FO8" s="376">
        <f t="shared" ref="FO8:GM8" si="46">SUM(FO9:FO13)</f>
        <v>14102</v>
      </c>
      <c r="FP8" s="377">
        <f t="shared" si="46"/>
        <v>23183</v>
      </c>
      <c r="FQ8" s="377">
        <f t="shared" si="46"/>
        <v>40905</v>
      </c>
      <c r="FR8" s="377">
        <f t="shared" si="46"/>
        <v>23563</v>
      </c>
      <c r="FS8" s="377">
        <f t="shared" si="46"/>
        <v>32743</v>
      </c>
      <c r="FT8" s="377">
        <f t="shared" si="46"/>
        <v>34979</v>
      </c>
      <c r="FU8" s="377">
        <f t="shared" si="46"/>
        <v>36585</v>
      </c>
      <c r="FV8" s="377">
        <f t="shared" si="46"/>
        <v>32790</v>
      </c>
      <c r="FW8" s="377">
        <f t="shared" si="46"/>
        <v>30193</v>
      </c>
      <c r="FX8" s="377">
        <f t="shared" si="46"/>
        <v>32054</v>
      </c>
      <c r="FY8" s="377">
        <f t="shared" si="46"/>
        <v>34699</v>
      </c>
      <c r="FZ8" s="388">
        <f t="shared" si="46"/>
        <v>62448</v>
      </c>
      <c r="GA8" s="378">
        <f t="shared" ref="GA8:GA28" si="47">SUM(FO8:FZ8)</f>
        <v>398244</v>
      </c>
      <c r="GB8" s="376">
        <f t="shared" si="46"/>
        <v>17993</v>
      </c>
      <c r="GC8" s="377">
        <f t="shared" si="46"/>
        <v>22701</v>
      </c>
      <c r="GD8" s="377">
        <f t="shared" si="46"/>
        <v>36832</v>
      </c>
      <c r="GE8" s="377">
        <f t="shared" si="46"/>
        <v>30703</v>
      </c>
      <c r="GF8" s="377">
        <f t="shared" si="46"/>
        <v>34498</v>
      </c>
      <c r="GG8" s="377">
        <f t="shared" si="46"/>
        <v>33795</v>
      </c>
      <c r="GH8" s="377">
        <f t="shared" si="46"/>
        <v>45807</v>
      </c>
      <c r="GI8" s="377">
        <f t="shared" si="46"/>
        <v>35235</v>
      </c>
      <c r="GJ8" s="377">
        <f t="shared" si="46"/>
        <v>27107</v>
      </c>
      <c r="GK8" s="377">
        <f t="shared" si="46"/>
        <v>30338</v>
      </c>
      <c r="GL8" s="377">
        <f t="shared" si="46"/>
        <v>31458</v>
      </c>
      <c r="GM8" s="388">
        <f t="shared" si="46"/>
        <v>52188</v>
      </c>
      <c r="GN8" s="378">
        <f t="shared" ref="GN8:GN28" si="48">SUM(GB8:GM8)</f>
        <v>398655</v>
      </c>
      <c r="GO8" s="376">
        <f t="shared" ref="GO8:GZ8" si="49">SUM(GO9:GO13)</f>
        <v>10665</v>
      </c>
      <c r="GP8" s="377">
        <f t="shared" si="49"/>
        <v>22446</v>
      </c>
      <c r="GQ8" s="377">
        <f t="shared" si="49"/>
        <v>34000</v>
      </c>
      <c r="GR8" s="377">
        <f t="shared" si="49"/>
        <v>27713</v>
      </c>
      <c r="GS8" s="377">
        <f t="shared" si="49"/>
        <v>33361</v>
      </c>
      <c r="GT8" s="377">
        <f t="shared" si="49"/>
        <v>35748</v>
      </c>
      <c r="GU8" s="377">
        <f t="shared" si="49"/>
        <v>47076</v>
      </c>
      <c r="GV8" s="377">
        <f t="shared" si="49"/>
        <v>34392</v>
      </c>
      <c r="GW8" s="377">
        <f t="shared" si="49"/>
        <v>31911</v>
      </c>
      <c r="GX8" s="377">
        <f t="shared" si="49"/>
        <v>33493</v>
      </c>
      <c r="GY8" s="377">
        <f t="shared" si="49"/>
        <v>30147</v>
      </c>
      <c r="GZ8" s="388">
        <f t="shared" si="49"/>
        <v>46194</v>
      </c>
      <c r="HA8" s="378">
        <f t="shared" ref="HA8:HA30" si="50">SUM(GO8:GZ8)</f>
        <v>387146</v>
      </c>
      <c r="HB8" s="376">
        <f t="shared" ref="HB8:HM8" si="51">SUM(HB9:HB13)</f>
        <v>19080</v>
      </c>
      <c r="HC8" s="377">
        <f t="shared" si="51"/>
        <v>29017</v>
      </c>
      <c r="HD8" s="377">
        <f t="shared" si="51"/>
        <v>34621</v>
      </c>
      <c r="HE8" s="377">
        <f t="shared" si="51"/>
        <v>34081</v>
      </c>
      <c r="HF8" s="377">
        <f t="shared" si="51"/>
        <v>39337</v>
      </c>
      <c r="HG8" s="377">
        <f t="shared" si="51"/>
        <v>35345</v>
      </c>
      <c r="HH8" s="377">
        <f t="shared" si="51"/>
        <v>41629</v>
      </c>
      <c r="HI8" s="377">
        <f t="shared" si="51"/>
        <v>36829</v>
      </c>
      <c r="HJ8" s="377">
        <f t="shared" si="51"/>
        <v>33039</v>
      </c>
      <c r="HK8" s="377">
        <f t="shared" si="51"/>
        <v>38484</v>
      </c>
      <c r="HL8" s="377">
        <f t="shared" si="51"/>
        <v>35562</v>
      </c>
      <c r="HM8" s="388">
        <f t="shared" si="51"/>
        <v>52421</v>
      </c>
      <c r="HN8" s="378">
        <f t="shared" ref="HN8:HN28" si="52">SUM(HB8:HM8)</f>
        <v>429445</v>
      </c>
      <c r="HO8" s="376">
        <f t="shared" ref="HO8:IF8" si="53">SUM(HO9:HO13)</f>
        <v>23172</v>
      </c>
      <c r="HP8" s="377">
        <f t="shared" si="53"/>
        <v>29550</v>
      </c>
      <c r="HQ8" s="377">
        <f t="shared" si="53"/>
        <v>38291</v>
      </c>
      <c r="HR8" s="377">
        <f t="shared" si="53"/>
        <v>37492</v>
      </c>
      <c r="HS8" s="377">
        <f t="shared" si="53"/>
        <v>40378</v>
      </c>
      <c r="HT8" s="377">
        <f t="shared" si="53"/>
        <v>37174</v>
      </c>
      <c r="HU8" s="377">
        <f t="shared" si="53"/>
        <v>41512</v>
      </c>
      <c r="HV8" s="377">
        <f t="shared" si="53"/>
        <v>40453</v>
      </c>
      <c r="HW8" s="377">
        <f t="shared" si="53"/>
        <v>37938</v>
      </c>
      <c r="HX8" s="377">
        <f t="shared" si="53"/>
        <v>39929</v>
      </c>
      <c r="HY8" s="377">
        <f t="shared" si="53"/>
        <v>36139</v>
      </c>
      <c r="HZ8" s="1670">
        <v>47664</v>
      </c>
      <c r="IA8" s="1673">
        <f>SUM(HO8:HZ8)</f>
        <v>449692</v>
      </c>
      <c r="IB8" s="1328">
        <f>SUM(IB9:IB13)</f>
        <v>24858</v>
      </c>
      <c r="IC8" s="129">
        <f t="shared" si="53"/>
        <v>34594</v>
      </c>
      <c r="ID8" s="129">
        <f t="shared" si="53"/>
        <v>41049</v>
      </c>
      <c r="IE8" s="129">
        <f t="shared" si="53"/>
        <v>37035</v>
      </c>
      <c r="IF8" s="129">
        <f t="shared" si="53"/>
        <v>44193</v>
      </c>
      <c r="IG8" s="129">
        <f t="shared" ref="IG8:IH8" si="54">SUM(IG9:IG13)</f>
        <v>41332</v>
      </c>
      <c r="IH8" s="129">
        <f t="shared" si="54"/>
        <v>44858</v>
      </c>
      <c r="II8" s="129">
        <f t="shared" ref="II8" si="55">SUM(II9:II13)</f>
        <v>41009</v>
      </c>
      <c r="IJ8" s="129"/>
      <c r="IK8" s="129"/>
      <c r="IL8" s="129"/>
      <c r="IM8" s="1268"/>
      <c r="IN8" s="1343">
        <f t="shared" ref="IN8:IN30" si="56">SUM(IB8:IM8)</f>
        <v>308928</v>
      </c>
      <c r="IO8" s="120"/>
      <c r="IP8" s="370">
        <f t="shared" si="19"/>
        <v>1.3744345289595339</v>
      </c>
      <c r="IQ8" s="340">
        <f t="shared" ref="IQ8:IQ29" si="57">IFERROR(((IS8/IR8)-1)*100,"")</f>
        <v>7.2584733110665267</v>
      </c>
      <c r="IR8" s="339">
        <f t="shared" si="20"/>
        <v>288022</v>
      </c>
      <c r="IS8" s="341">
        <f t="shared" si="21"/>
        <v>308928</v>
      </c>
      <c r="IT8" s="338"/>
      <c r="IU8" s="339"/>
    </row>
    <row r="9" spans="1:255" ht="15" customHeight="1" x14ac:dyDescent="0.2">
      <c r="A9" s="1554" t="s">
        <v>433</v>
      </c>
      <c r="B9" s="379">
        <v>1765</v>
      </c>
      <c r="C9" s="380">
        <v>2058</v>
      </c>
      <c r="D9" s="380">
        <v>1760</v>
      </c>
      <c r="E9" s="380">
        <v>1813</v>
      </c>
      <c r="F9" s="380">
        <v>1696</v>
      </c>
      <c r="G9" s="380">
        <v>1710</v>
      </c>
      <c r="H9" s="380">
        <v>2330</v>
      </c>
      <c r="I9" s="380">
        <v>1733</v>
      </c>
      <c r="J9" s="380">
        <v>1685</v>
      </c>
      <c r="K9" s="380">
        <v>1930</v>
      </c>
      <c r="L9" s="380">
        <v>1848</v>
      </c>
      <c r="M9" s="389">
        <v>2396</v>
      </c>
      <c r="N9" s="381">
        <f t="shared" si="23"/>
        <v>22724</v>
      </c>
      <c r="O9" s="379">
        <v>2199</v>
      </c>
      <c r="P9" s="380">
        <v>2183</v>
      </c>
      <c r="Q9" s="380">
        <v>3005</v>
      </c>
      <c r="R9" s="380">
        <v>2442</v>
      </c>
      <c r="S9" s="380">
        <v>2407</v>
      </c>
      <c r="T9" s="380">
        <v>2790</v>
      </c>
      <c r="U9" s="380">
        <v>3644</v>
      </c>
      <c r="V9" s="380">
        <v>2856</v>
      </c>
      <c r="W9" s="380">
        <v>2846</v>
      </c>
      <c r="X9" s="380">
        <v>2851</v>
      </c>
      <c r="Y9" s="380">
        <v>3145</v>
      </c>
      <c r="Z9" s="389">
        <v>3753</v>
      </c>
      <c r="AA9" s="381">
        <f t="shared" si="25"/>
        <v>34121</v>
      </c>
      <c r="AB9" s="379">
        <v>3194</v>
      </c>
      <c r="AC9" s="380">
        <v>1899</v>
      </c>
      <c r="AD9" s="380">
        <v>4383</v>
      </c>
      <c r="AE9" s="380">
        <v>2725</v>
      </c>
      <c r="AF9" s="380">
        <v>2955</v>
      </c>
      <c r="AG9" s="380">
        <v>2815</v>
      </c>
      <c r="AH9" s="380">
        <v>3810</v>
      </c>
      <c r="AI9" s="380">
        <v>2883</v>
      </c>
      <c r="AJ9" s="380">
        <v>2560</v>
      </c>
      <c r="AK9" s="380">
        <v>2867</v>
      </c>
      <c r="AL9" s="380">
        <v>3221</v>
      </c>
      <c r="AM9" s="389">
        <v>4271</v>
      </c>
      <c r="AN9" s="381">
        <f t="shared" si="27"/>
        <v>37583</v>
      </c>
      <c r="AO9" s="379">
        <v>2023</v>
      </c>
      <c r="AP9" s="380">
        <v>3044</v>
      </c>
      <c r="AQ9" s="380">
        <v>4200</v>
      </c>
      <c r="AR9" s="380">
        <v>3063</v>
      </c>
      <c r="AS9" s="380">
        <v>3059</v>
      </c>
      <c r="AT9" s="380">
        <v>2942</v>
      </c>
      <c r="AU9" s="380">
        <v>3989</v>
      </c>
      <c r="AV9" s="380">
        <v>3171</v>
      </c>
      <c r="AW9" s="380">
        <v>3085</v>
      </c>
      <c r="AX9" s="380">
        <v>3192</v>
      </c>
      <c r="AY9" s="380">
        <v>3400</v>
      </c>
      <c r="AZ9" s="389">
        <v>4258</v>
      </c>
      <c r="BA9" s="381">
        <f t="shared" si="29"/>
        <v>39426</v>
      </c>
      <c r="BB9" s="379">
        <v>2981</v>
      </c>
      <c r="BC9" s="380">
        <v>2928</v>
      </c>
      <c r="BD9" s="380">
        <v>3226</v>
      </c>
      <c r="BE9" s="380">
        <v>2806</v>
      </c>
      <c r="BF9" s="380">
        <v>3001</v>
      </c>
      <c r="BG9" s="380">
        <v>2893</v>
      </c>
      <c r="BH9" s="380">
        <v>3624</v>
      </c>
      <c r="BI9" s="380">
        <v>3053</v>
      </c>
      <c r="BJ9" s="380">
        <v>2874</v>
      </c>
      <c r="BK9" s="380">
        <v>3090</v>
      </c>
      <c r="BL9" s="380">
        <v>3104</v>
      </c>
      <c r="BM9" s="389">
        <v>3877</v>
      </c>
      <c r="BN9" s="381">
        <f t="shared" si="31"/>
        <v>37457</v>
      </c>
      <c r="BO9" s="379">
        <v>4761</v>
      </c>
      <c r="BP9" s="380">
        <v>2608</v>
      </c>
      <c r="BQ9" s="380">
        <v>3506</v>
      </c>
      <c r="BR9" s="380">
        <v>3077</v>
      </c>
      <c r="BS9" s="380">
        <v>2422</v>
      </c>
      <c r="BT9" s="380">
        <v>3511</v>
      </c>
      <c r="BU9" s="380">
        <v>3655</v>
      </c>
      <c r="BV9" s="380">
        <v>3198</v>
      </c>
      <c r="BW9" s="380">
        <v>3207</v>
      </c>
      <c r="BX9" s="380">
        <v>3458</v>
      </c>
      <c r="BY9" s="380">
        <v>3177</v>
      </c>
      <c r="BZ9" s="389">
        <v>4217</v>
      </c>
      <c r="CA9" s="381">
        <f t="shared" si="33"/>
        <v>40797</v>
      </c>
      <c r="CB9" s="379">
        <v>3951</v>
      </c>
      <c r="CC9" s="380">
        <v>3354</v>
      </c>
      <c r="CD9" s="380">
        <v>3543</v>
      </c>
      <c r="CE9" s="380">
        <v>3351</v>
      </c>
      <c r="CF9" s="380">
        <v>3208</v>
      </c>
      <c r="CG9" s="380">
        <v>3118</v>
      </c>
      <c r="CH9" s="380">
        <v>4473</v>
      </c>
      <c r="CI9" s="380">
        <v>3471</v>
      </c>
      <c r="CJ9" s="380">
        <v>3243</v>
      </c>
      <c r="CK9" s="380">
        <v>3539</v>
      </c>
      <c r="CL9" s="380">
        <v>3411</v>
      </c>
      <c r="CM9" s="389">
        <v>5369</v>
      </c>
      <c r="CN9" s="381">
        <f t="shared" si="35"/>
        <v>44031</v>
      </c>
      <c r="CO9" s="379">
        <v>3052</v>
      </c>
      <c r="CP9" s="380">
        <v>3975</v>
      </c>
      <c r="CQ9" s="380">
        <v>4007</v>
      </c>
      <c r="CR9" s="380">
        <v>3458</v>
      </c>
      <c r="CS9" s="380">
        <v>3336</v>
      </c>
      <c r="CT9" s="380">
        <v>3317</v>
      </c>
      <c r="CU9" s="380">
        <v>4358</v>
      </c>
      <c r="CV9" s="380">
        <v>3279</v>
      </c>
      <c r="CW9" s="380">
        <v>3476</v>
      </c>
      <c r="CX9" s="380">
        <v>3579</v>
      </c>
      <c r="CY9" s="380">
        <v>3409</v>
      </c>
      <c r="CZ9" s="389">
        <v>5091</v>
      </c>
      <c r="DA9" s="381">
        <f t="shared" si="37"/>
        <v>44337</v>
      </c>
      <c r="DB9" s="379">
        <v>4036</v>
      </c>
      <c r="DC9" s="380">
        <v>3097</v>
      </c>
      <c r="DD9" s="380">
        <v>3996</v>
      </c>
      <c r="DE9" s="380">
        <v>3318</v>
      </c>
      <c r="DF9" s="380">
        <v>3241</v>
      </c>
      <c r="DG9" s="380">
        <v>3096</v>
      </c>
      <c r="DH9" s="380">
        <v>4399</v>
      </c>
      <c r="DI9" s="380">
        <v>3462</v>
      </c>
      <c r="DJ9" s="380">
        <v>3292</v>
      </c>
      <c r="DK9" s="380">
        <v>3797</v>
      </c>
      <c r="DL9" s="380">
        <v>3534</v>
      </c>
      <c r="DM9" s="389">
        <v>4464</v>
      </c>
      <c r="DN9" s="381">
        <f t="shared" si="38"/>
        <v>43732</v>
      </c>
      <c r="DO9" s="379">
        <v>4152</v>
      </c>
      <c r="DP9" s="380">
        <v>2795</v>
      </c>
      <c r="DQ9" s="380">
        <v>4207</v>
      </c>
      <c r="DR9" s="380">
        <v>3485</v>
      </c>
      <c r="DS9" s="380">
        <v>3413</v>
      </c>
      <c r="DT9" s="380">
        <v>3242</v>
      </c>
      <c r="DU9" s="380">
        <v>4457</v>
      </c>
      <c r="DV9" s="380">
        <v>3388</v>
      </c>
      <c r="DW9" s="380">
        <v>3339</v>
      </c>
      <c r="DX9" s="380">
        <v>3886</v>
      </c>
      <c r="DY9" s="380">
        <v>3609</v>
      </c>
      <c r="DZ9" s="389">
        <v>4764</v>
      </c>
      <c r="EA9" s="381">
        <f t="shared" si="39"/>
        <v>44737</v>
      </c>
      <c r="EB9" s="379">
        <v>4533</v>
      </c>
      <c r="EC9" s="380">
        <v>2981</v>
      </c>
      <c r="ED9" s="380">
        <v>4551</v>
      </c>
      <c r="EE9" s="380">
        <v>3735</v>
      </c>
      <c r="EF9" s="380">
        <v>3727</v>
      </c>
      <c r="EG9" s="380">
        <v>3651</v>
      </c>
      <c r="EH9" s="380">
        <v>4700</v>
      </c>
      <c r="EI9" s="380">
        <v>3720</v>
      </c>
      <c r="EJ9" s="380">
        <v>3421</v>
      </c>
      <c r="EK9" s="380">
        <v>4096</v>
      </c>
      <c r="EL9" s="380">
        <v>3946</v>
      </c>
      <c r="EM9" s="389">
        <v>5770</v>
      </c>
      <c r="EN9" s="381">
        <f t="shared" si="41"/>
        <v>48831</v>
      </c>
      <c r="EO9" s="379">
        <v>4034</v>
      </c>
      <c r="EP9" s="380">
        <v>3540</v>
      </c>
      <c r="EQ9" s="380">
        <v>4100</v>
      </c>
      <c r="ER9" s="380">
        <v>3876</v>
      </c>
      <c r="ES9" s="380">
        <v>3534</v>
      </c>
      <c r="ET9" s="380">
        <v>3438</v>
      </c>
      <c r="EU9" s="380">
        <v>5000</v>
      </c>
      <c r="EV9" s="380">
        <v>3729</v>
      </c>
      <c r="EW9" s="380">
        <v>3737</v>
      </c>
      <c r="EX9" s="380">
        <v>4252</v>
      </c>
      <c r="EY9" s="380">
        <v>4243</v>
      </c>
      <c r="EZ9" s="389">
        <v>5245</v>
      </c>
      <c r="FA9" s="381">
        <f t="shared" si="43"/>
        <v>48728</v>
      </c>
      <c r="FB9" s="379">
        <v>4854</v>
      </c>
      <c r="FC9" s="380">
        <v>3217</v>
      </c>
      <c r="FD9" s="380">
        <v>4821</v>
      </c>
      <c r="FE9" s="380">
        <v>3771</v>
      </c>
      <c r="FF9" s="380">
        <v>3900</v>
      </c>
      <c r="FG9" s="380">
        <v>3646</v>
      </c>
      <c r="FH9" s="380">
        <v>4807</v>
      </c>
      <c r="FI9" s="380">
        <v>4183</v>
      </c>
      <c r="FJ9" s="380">
        <v>4006</v>
      </c>
      <c r="FK9" s="380">
        <v>4383</v>
      </c>
      <c r="FL9" s="380">
        <v>4139</v>
      </c>
      <c r="FM9" s="389">
        <v>6745</v>
      </c>
      <c r="FN9" s="381">
        <f t="shared" si="45"/>
        <v>52472</v>
      </c>
      <c r="FO9" s="379">
        <v>4962</v>
      </c>
      <c r="FP9" s="380">
        <v>3799</v>
      </c>
      <c r="FQ9" s="380">
        <v>4554</v>
      </c>
      <c r="FR9" s="380">
        <v>4039</v>
      </c>
      <c r="FS9" s="380">
        <v>4398</v>
      </c>
      <c r="FT9" s="380">
        <v>4139</v>
      </c>
      <c r="FU9" s="380">
        <v>5566</v>
      </c>
      <c r="FV9" s="380">
        <v>4053</v>
      </c>
      <c r="FW9" s="380">
        <v>3948</v>
      </c>
      <c r="FX9" s="380">
        <v>4520</v>
      </c>
      <c r="FY9" s="380">
        <v>4337</v>
      </c>
      <c r="FZ9" s="389">
        <v>6171</v>
      </c>
      <c r="GA9" s="381">
        <f t="shared" si="47"/>
        <v>54486</v>
      </c>
      <c r="GB9" s="379">
        <v>5236</v>
      </c>
      <c r="GC9" s="380">
        <v>4074</v>
      </c>
      <c r="GD9" s="380">
        <v>5075</v>
      </c>
      <c r="GE9" s="380">
        <v>4209</v>
      </c>
      <c r="GF9" s="380">
        <v>4611</v>
      </c>
      <c r="GG9" s="380">
        <v>4007</v>
      </c>
      <c r="GH9" s="380">
        <v>5803</v>
      </c>
      <c r="GI9" s="380">
        <v>4108</v>
      </c>
      <c r="GJ9" s="380">
        <v>3760</v>
      </c>
      <c r="GK9" s="380">
        <v>4623</v>
      </c>
      <c r="GL9" s="380">
        <v>4506</v>
      </c>
      <c r="GM9" s="389">
        <v>7914</v>
      </c>
      <c r="GN9" s="381">
        <f t="shared" si="48"/>
        <v>57926</v>
      </c>
      <c r="GO9" s="379">
        <v>4320</v>
      </c>
      <c r="GP9" s="380">
        <v>5196</v>
      </c>
      <c r="GQ9" s="380">
        <v>4623</v>
      </c>
      <c r="GR9" s="380">
        <v>4732</v>
      </c>
      <c r="GS9" s="380">
        <v>4923</v>
      </c>
      <c r="GT9" s="380">
        <v>4439</v>
      </c>
      <c r="GU9" s="380">
        <v>6692</v>
      </c>
      <c r="GV9" s="380">
        <v>4447</v>
      </c>
      <c r="GW9" s="380">
        <v>4561</v>
      </c>
      <c r="GX9" s="380">
        <v>5072</v>
      </c>
      <c r="GY9" s="380">
        <v>5137</v>
      </c>
      <c r="GZ9" s="389">
        <v>8079</v>
      </c>
      <c r="HA9" s="381">
        <f t="shared" si="50"/>
        <v>62221</v>
      </c>
      <c r="HB9" s="379">
        <v>10637</v>
      </c>
      <c r="HC9" s="380">
        <v>9668</v>
      </c>
      <c r="HD9" s="380">
        <v>9729</v>
      </c>
      <c r="HE9" s="380">
        <v>10097</v>
      </c>
      <c r="HF9" s="380">
        <v>10870</v>
      </c>
      <c r="HG9" s="380">
        <v>9769</v>
      </c>
      <c r="HH9" s="380">
        <v>12926</v>
      </c>
      <c r="HI9" s="380">
        <v>9882</v>
      </c>
      <c r="HJ9" s="380">
        <v>9787</v>
      </c>
      <c r="HK9" s="380">
        <v>10417</v>
      </c>
      <c r="HL9" s="380">
        <v>10522</v>
      </c>
      <c r="HM9" s="389">
        <v>13244</v>
      </c>
      <c r="HN9" s="381">
        <f t="shared" si="52"/>
        <v>127548</v>
      </c>
      <c r="HO9" s="379">
        <v>12360</v>
      </c>
      <c r="HP9" s="380">
        <v>10596</v>
      </c>
      <c r="HQ9" s="380">
        <v>11157</v>
      </c>
      <c r="HR9" s="380">
        <v>10997</v>
      </c>
      <c r="HS9" s="380">
        <v>11833</v>
      </c>
      <c r="HT9" s="380">
        <v>10875</v>
      </c>
      <c r="HU9" s="380">
        <v>15008</v>
      </c>
      <c r="HV9" s="380">
        <v>10660</v>
      </c>
      <c r="HW9" s="380">
        <v>10950</v>
      </c>
      <c r="HX9" s="380">
        <v>11423</v>
      </c>
      <c r="HY9" s="380">
        <v>11727</v>
      </c>
      <c r="HZ9" s="391">
        <v>14593</v>
      </c>
      <c r="IA9" s="80">
        <f t="shared" ref="IA9:IA30" si="58">SUM(HO9:HZ9)</f>
        <v>142179</v>
      </c>
      <c r="IB9" s="1344">
        <v>13187</v>
      </c>
      <c r="IC9" s="1674">
        <v>12230</v>
      </c>
      <c r="ID9" s="120">
        <v>11899</v>
      </c>
      <c r="IE9" s="120">
        <v>11679</v>
      </c>
      <c r="IF9" s="120">
        <v>12785</v>
      </c>
      <c r="IG9" s="120">
        <v>11291</v>
      </c>
      <c r="IH9" s="120">
        <v>15517</v>
      </c>
      <c r="II9" s="120">
        <v>11325</v>
      </c>
      <c r="IJ9" s="120"/>
      <c r="IK9" s="120"/>
      <c r="IL9" s="120"/>
      <c r="IM9" s="1345"/>
      <c r="IN9" s="1346">
        <f t="shared" si="56"/>
        <v>99913</v>
      </c>
      <c r="IO9" s="120"/>
      <c r="IP9" s="371">
        <f t="shared" si="19"/>
        <v>6.2382739212007543</v>
      </c>
      <c r="IQ9" s="348">
        <f t="shared" si="57"/>
        <v>6.8748261771816033</v>
      </c>
      <c r="IR9" s="320">
        <f t="shared" si="20"/>
        <v>93486</v>
      </c>
      <c r="IS9" s="344">
        <f t="shared" si="21"/>
        <v>99913</v>
      </c>
      <c r="IU9" s="320"/>
    </row>
    <row r="10" spans="1:255" ht="15" customHeight="1" x14ac:dyDescent="0.2">
      <c r="A10" s="1554" t="s">
        <v>619</v>
      </c>
      <c r="B10" s="379">
        <v>96</v>
      </c>
      <c r="C10" s="380">
        <v>137</v>
      </c>
      <c r="D10" s="380">
        <v>128</v>
      </c>
      <c r="E10" s="380">
        <v>126</v>
      </c>
      <c r="F10" s="380">
        <v>101</v>
      </c>
      <c r="G10" s="380">
        <v>108</v>
      </c>
      <c r="H10" s="380">
        <v>160</v>
      </c>
      <c r="I10" s="380">
        <v>114</v>
      </c>
      <c r="J10" s="380">
        <v>100</v>
      </c>
      <c r="K10" s="380">
        <v>125</v>
      </c>
      <c r="L10" s="380">
        <v>108</v>
      </c>
      <c r="M10" s="389">
        <v>104</v>
      </c>
      <c r="N10" s="381">
        <f t="shared" si="23"/>
        <v>1407</v>
      </c>
      <c r="O10" s="379">
        <v>584</v>
      </c>
      <c r="P10" s="380">
        <v>1081</v>
      </c>
      <c r="Q10" s="380">
        <v>947</v>
      </c>
      <c r="R10" s="380">
        <v>908</v>
      </c>
      <c r="S10" s="380">
        <v>976</v>
      </c>
      <c r="T10" s="380">
        <v>1299</v>
      </c>
      <c r="U10" s="380">
        <v>1266</v>
      </c>
      <c r="V10" s="380">
        <v>1397</v>
      </c>
      <c r="W10" s="380">
        <v>1168</v>
      </c>
      <c r="X10" s="380">
        <v>1074</v>
      </c>
      <c r="Y10" s="380">
        <v>982</v>
      </c>
      <c r="Z10" s="389">
        <v>1767</v>
      </c>
      <c r="AA10" s="381">
        <f t="shared" si="25"/>
        <v>13449</v>
      </c>
      <c r="AB10" s="379">
        <v>586</v>
      </c>
      <c r="AC10" s="380">
        <v>851</v>
      </c>
      <c r="AD10" s="380">
        <v>1131</v>
      </c>
      <c r="AE10" s="380">
        <v>1083</v>
      </c>
      <c r="AF10" s="380">
        <v>1191</v>
      </c>
      <c r="AG10" s="380">
        <v>1117</v>
      </c>
      <c r="AH10" s="380">
        <v>1284</v>
      </c>
      <c r="AI10" s="380">
        <v>1223</v>
      </c>
      <c r="AJ10" s="380">
        <v>1230</v>
      </c>
      <c r="AK10" s="380">
        <v>1030</v>
      </c>
      <c r="AL10" s="380">
        <v>1550</v>
      </c>
      <c r="AM10" s="389">
        <v>1423</v>
      </c>
      <c r="AN10" s="381">
        <f t="shared" si="27"/>
        <v>13699</v>
      </c>
      <c r="AO10" s="379">
        <v>265</v>
      </c>
      <c r="AP10" s="380">
        <v>1064</v>
      </c>
      <c r="AQ10" s="380">
        <v>1042</v>
      </c>
      <c r="AR10" s="380">
        <v>824</v>
      </c>
      <c r="AS10" s="380">
        <v>1158</v>
      </c>
      <c r="AT10" s="380">
        <v>1094</v>
      </c>
      <c r="AU10" s="380">
        <v>1150</v>
      </c>
      <c r="AV10" s="380">
        <v>1193</v>
      </c>
      <c r="AW10" s="380">
        <v>1639</v>
      </c>
      <c r="AX10" s="380">
        <v>1261</v>
      </c>
      <c r="AY10" s="380">
        <v>1662</v>
      </c>
      <c r="AZ10" s="389">
        <v>2694</v>
      </c>
      <c r="BA10" s="381">
        <f t="shared" si="29"/>
        <v>15046</v>
      </c>
      <c r="BB10" s="379">
        <v>609</v>
      </c>
      <c r="BC10" s="380">
        <v>1122</v>
      </c>
      <c r="BD10" s="380">
        <v>976</v>
      </c>
      <c r="BE10" s="380">
        <v>569</v>
      </c>
      <c r="BF10" s="380">
        <v>1082</v>
      </c>
      <c r="BG10" s="380">
        <v>1098</v>
      </c>
      <c r="BH10" s="380">
        <v>1220</v>
      </c>
      <c r="BI10" s="380">
        <v>1272</v>
      </c>
      <c r="BJ10" s="380">
        <v>1382</v>
      </c>
      <c r="BK10" s="380">
        <v>1303</v>
      </c>
      <c r="BL10" s="380">
        <v>1318</v>
      </c>
      <c r="BM10" s="389">
        <v>1958</v>
      </c>
      <c r="BN10" s="381">
        <f t="shared" si="31"/>
        <v>13909</v>
      </c>
      <c r="BO10" s="379">
        <v>306</v>
      </c>
      <c r="BP10" s="380">
        <v>960</v>
      </c>
      <c r="BQ10" s="380">
        <v>1056</v>
      </c>
      <c r="BR10" s="380">
        <v>1069</v>
      </c>
      <c r="BS10" s="380">
        <v>1149</v>
      </c>
      <c r="BT10" s="380">
        <v>1034</v>
      </c>
      <c r="BU10" s="380">
        <v>1257</v>
      </c>
      <c r="BV10" s="380">
        <v>1288</v>
      </c>
      <c r="BW10" s="380">
        <v>932</v>
      </c>
      <c r="BX10" s="380">
        <v>1487</v>
      </c>
      <c r="BY10" s="380">
        <v>1055</v>
      </c>
      <c r="BZ10" s="389">
        <v>1997</v>
      </c>
      <c r="CA10" s="381">
        <f t="shared" si="33"/>
        <v>13590</v>
      </c>
      <c r="CB10" s="379">
        <v>288</v>
      </c>
      <c r="CC10" s="380">
        <v>1088</v>
      </c>
      <c r="CD10" s="380">
        <v>1219</v>
      </c>
      <c r="CE10" s="380">
        <v>983</v>
      </c>
      <c r="CF10" s="380">
        <v>1109</v>
      </c>
      <c r="CG10" s="380">
        <v>1040</v>
      </c>
      <c r="CH10" s="380">
        <v>1103</v>
      </c>
      <c r="CI10" s="380">
        <v>1179</v>
      </c>
      <c r="CJ10" s="380">
        <v>995</v>
      </c>
      <c r="CK10" s="380">
        <v>1570</v>
      </c>
      <c r="CL10" s="380">
        <v>1691</v>
      </c>
      <c r="CM10" s="389">
        <v>1646</v>
      </c>
      <c r="CN10" s="381">
        <f t="shared" si="35"/>
        <v>13911</v>
      </c>
      <c r="CO10" s="379">
        <v>176</v>
      </c>
      <c r="CP10" s="380">
        <v>879</v>
      </c>
      <c r="CQ10" s="380">
        <v>1108</v>
      </c>
      <c r="CR10" s="380">
        <v>854</v>
      </c>
      <c r="CS10" s="380">
        <v>704</v>
      </c>
      <c r="CT10" s="380">
        <v>982</v>
      </c>
      <c r="CU10" s="380">
        <v>1629</v>
      </c>
      <c r="CV10" s="380">
        <v>1147</v>
      </c>
      <c r="CW10" s="380">
        <v>1516</v>
      </c>
      <c r="CX10" s="380">
        <v>1776</v>
      </c>
      <c r="CY10" s="380">
        <v>1544</v>
      </c>
      <c r="CZ10" s="389">
        <v>1712</v>
      </c>
      <c r="DA10" s="381">
        <f t="shared" si="37"/>
        <v>14027</v>
      </c>
      <c r="DB10" s="379">
        <v>287</v>
      </c>
      <c r="DC10" s="380">
        <v>883</v>
      </c>
      <c r="DD10" s="380">
        <v>999</v>
      </c>
      <c r="DE10" s="380">
        <v>1172</v>
      </c>
      <c r="DF10" s="380">
        <v>920</v>
      </c>
      <c r="DG10" s="380">
        <v>1106</v>
      </c>
      <c r="DH10" s="380">
        <v>1200</v>
      </c>
      <c r="DI10" s="380">
        <v>1141</v>
      </c>
      <c r="DJ10" s="380">
        <v>1212</v>
      </c>
      <c r="DK10" s="380">
        <v>1374</v>
      </c>
      <c r="DL10" s="380">
        <v>1446</v>
      </c>
      <c r="DM10" s="389">
        <v>1919</v>
      </c>
      <c r="DN10" s="381">
        <f t="shared" si="38"/>
        <v>13659</v>
      </c>
      <c r="DO10" s="379">
        <v>319</v>
      </c>
      <c r="DP10" s="380">
        <v>778</v>
      </c>
      <c r="DQ10" s="380">
        <v>1256</v>
      </c>
      <c r="DR10" s="380">
        <v>849</v>
      </c>
      <c r="DS10" s="380">
        <v>1446</v>
      </c>
      <c r="DT10" s="380">
        <v>1205</v>
      </c>
      <c r="DU10" s="380">
        <v>1354</v>
      </c>
      <c r="DV10" s="380">
        <v>1212</v>
      </c>
      <c r="DW10" s="380">
        <v>1339</v>
      </c>
      <c r="DX10" s="380">
        <v>1264</v>
      </c>
      <c r="DY10" s="380">
        <v>1293</v>
      </c>
      <c r="DZ10" s="389">
        <v>1538</v>
      </c>
      <c r="EA10" s="381">
        <f t="shared" si="39"/>
        <v>13853</v>
      </c>
      <c r="EB10" s="379">
        <v>307</v>
      </c>
      <c r="EC10" s="380">
        <v>815</v>
      </c>
      <c r="ED10" s="380">
        <v>1110</v>
      </c>
      <c r="EE10" s="380">
        <v>1300</v>
      </c>
      <c r="EF10" s="380">
        <v>1188</v>
      </c>
      <c r="EG10" s="380">
        <v>1021</v>
      </c>
      <c r="EH10" s="380">
        <v>1484</v>
      </c>
      <c r="EI10" s="380">
        <v>1172</v>
      </c>
      <c r="EJ10" s="380">
        <v>1156</v>
      </c>
      <c r="EK10" s="380">
        <v>1496</v>
      </c>
      <c r="EL10" s="380">
        <v>1204</v>
      </c>
      <c r="EM10" s="389">
        <v>1858</v>
      </c>
      <c r="EN10" s="381">
        <f t="shared" si="41"/>
        <v>14111</v>
      </c>
      <c r="EO10" s="379">
        <v>165</v>
      </c>
      <c r="EP10" s="380">
        <v>560</v>
      </c>
      <c r="EQ10" s="380">
        <v>1029</v>
      </c>
      <c r="ER10" s="380">
        <v>1043</v>
      </c>
      <c r="ES10" s="380">
        <v>1177</v>
      </c>
      <c r="ET10" s="380">
        <v>1130</v>
      </c>
      <c r="EU10" s="380">
        <v>1448</v>
      </c>
      <c r="EV10" s="380">
        <v>1650</v>
      </c>
      <c r="EW10" s="380">
        <v>1286</v>
      </c>
      <c r="EX10" s="380">
        <v>1325</v>
      </c>
      <c r="EY10" s="380">
        <v>1193</v>
      </c>
      <c r="EZ10" s="389">
        <v>2058</v>
      </c>
      <c r="FA10" s="381">
        <f t="shared" si="43"/>
        <v>14064</v>
      </c>
      <c r="FB10" s="379">
        <v>366</v>
      </c>
      <c r="FC10" s="380">
        <v>591</v>
      </c>
      <c r="FD10" s="380">
        <v>976</v>
      </c>
      <c r="FE10" s="380">
        <v>754</v>
      </c>
      <c r="FF10" s="380">
        <v>1488</v>
      </c>
      <c r="FG10" s="380">
        <v>1651</v>
      </c>
      <c r="FH10" s="380">
        <v>1335</v>
      </c>
      <c r="FI10" s="380">
        <v>1678</v>
      </c>
      <c r="FJ10" s="380">
        <v>1575</v>
      </c>
      <c r="FK10" s="380">
        <v>1495</v>
      </c>
      <c r="FL10" s="380">
        <v>1474</v>
      </c>
      <c r="FM10" s="389">
        <v>1476</v>
      </c>
      <c r="FN10" s="381">
        <f t="shared" si="45"/>
        <v>14859</v>
      </c>
      <c r="FO10" s="379">
        <v>144</v>
      </c>
      <c r="FP10" s="380">
        <v>1071</v>
      </c>
      <c r="FQ10" s="380">
        <v>1479</v>
      </c>
      <c r="FR10" s="380">
        <v>1026</v>
      </c>
      <c r="FS10" s="380">
        <v>1649</v>
      </c>
      <c r="FT10" s="380">
        <v>1869</v>
      </c>
      <c r="FU10" s="380">
        <v>1394</v>
      </c>
      <c r="FV10" s="380">
        <v>1468</v>
      </c>
      <c r="FW10" s="380">
        <v>1026</v>
      </c>
      <c r="FX10" s="380">
        <v>1176</v>
      </c>
      <c r="FY10" s="380">
        <v>1175</v>
      </c>
      <c r="FZ10" s="389">
        <v>1577</v>
      </c>
      <c r="GA10" s="381">
        <f t="shared" si="47"/>
        <v>15054</v>
      </c>
      <c r="GB10" s="379">
        <v>296</v>
      </c>
      <c r="GC10" s="380">
        <v>1513</v>
      </c>
      <c r="GD10" s="380">
        <v>1091</v>
      </c>
      <c r="GE10" s="380">
        <v>1525</v>
      </c>
      <c r="GF10" s="380">
        <v>1429</v>
      </c>
      <c r="GG10" s="380">
        <v>1600</v>
      </c>
      <c r="GH10" s="380">
        <v>1588</v>
      </c>
      <c r="GI10" s="380">
        <v>1352</v>
      </c>
      <c r="GJ10" s="380">
        <v>1827</v>
      </c>
      <c r="GK10" s="380">
        <v>1133</v>
      </c>
      <c r="GL10" s="380">
        <v>1105</v>
      </c>
      <c r="GM10" s="389">
        <v>1375</v>
      </c>
      <c r="GN10" s="381">
        <f t="shared" si="48"/>
        <v>15834</v>
      </c>
      <c r="GO10" s="379">
        <v>165</v>
      </c>
      <c r="GP10" s="380">
        <v>1190</v>
      </c>
      <c r="GQ10" s="380">
        <v>1261</v>
      </c>
      <c r="GR10" s="380">
        <v>1274</v>
      </c>
      <c r="GS10" s="380">
        <v>1280</v>
      </c>
      <c r="GT10" s="380">
        <v>1672</v>
      </c>
      <c r="GU10" s="380">
        <v>1822</v>
      </c>
      <c r="GV10" s="380">
        <v>1683</v>
      </c>
      <c r="GW10" s="380">
        <v>2266</v>
      </c>
      <c r="GX10" s="380">
        <v>1996</v>
      </c>
      <c r="GY10" s="380">
        <v>1673</v>
      </c>
      <c r="GZ10" s="389">
        <v>2657</v>
      </c>
      <c r="HA10" s="381">
        <f t="shared" si="50"/>
        <v>18939</v>
      </c>
      <c r="HB10" s="379">
        <v>248</v>
      </c>
      <c r="HC10" s="380">
        <v>1705</v>
      </c>
      <c r="HD10" s="380">
        <v>1318</v>
      </c>
      <c r="HE10" s="380">
        <v>1927</v>
      </c>
      <c r="HF10" s="380">
        <v>2716</v>
      </c>
      <c r="HG10" s="380">
        <v>2128</v>
      </c>
      <c r="HH10" s="380">
        <v>2073</v>
      </c>
      <c r="HI10" s="380">
        <v>1550</v>
      </c>
      <c r="HJ10" s="380">
        <v>1611</v>
      </c>
      <c r="HK10" s="380">
        <v>1986</v>
      </c>
      <c r="HL10" s="380">
        <v>1372</v>
      </c>
      <c r="HM10" s="389">
        <v>1663</v>
      </c>
      <c r="HN10" s="381">
        <f t="shared" si="52"/>
        <v>20297</v>
      </c>
      <c r="HO10" s="379">
        <v>210</v>
      </c>
      <c r="HP10" s="380">
        <v>1579</v>
      </c>
      <c r="HQ10" s="380">
        <v>2026</v>
      </c>
      <c r="HR10" s="380">
        <v>2996</v>
      </c>
      <c r="HS10" s="380">
        <v>2157</v>
      </c>
      <c r="HT10" s="380">
        <v>1600</v>
      </c>
      <c r="HU10" s="380">
        <v>2438</v>
      </c>
      <c r="HV10" s="380">
        <v>2070</v>
      </c>
      <c r="HW10" s="380">
        <v>1292</v>
      </c>
      <c r="HX10" s="380">
        <v>2500</v>
      </c>
      <c r="HY10" s="380">
        <v>1724</v>
      </c>
      <c r="HZ10" s="391">
        <v>1609</v>
      </c>
      <c r="IA10" s="80">
        <f>SUM(HO10:HZ10)</f>
        <v>22201</v>
      </c>
      <c r="IB10" s="1344">
        <v>286</v>
      </c>
      <c r="IC10" s="120">
        <v>2187</v>
      </c>
      <c r="ID10" s="120">
        <v>2415</v>
      </c>
      <c r="IE10" s="120">
        <v>2482</v>
      </c>
      <c r="IF10" s="120">
        <v>1940</v>
      </c>
      <c r="IG10" s="120">
        <v>2050</v>
      </c>
      <c r="IH10" s="120">
        <v>2222</v>
      </c>
      <c r="II10" s="120">
        <v>1853</v>
      </c>
      <c r="IJ10" s="120"/>
      <c r="IK10" s="120"/>
      <c r="IL10" s="120"/>
      <c r="IM10" s="1345"/>
      <c r="IN10" s="1346">
        <f t="shared" si="56"/>
        <v>15435</v>
      </c>
      <c r="IO10" s="120"/>
      <c r="IP10" s="371">
        <f t="shared" si="19"/>
        <v>-10.483091787439614</v>
      </c>
      <c r="IQ10" s="348">
        <f t="shared" si="57"/>
        <v>2.3812682409127151</v>
      </c>
      <c r="IR10" s="320">
        <f t="shared" si="20"/>
        <v>15076</v>
      </c>
      <c r="IS10" s="344">
        <f t="shared" si="21"/>
        <v>15435</v>
      </c>
      <c r="IU10" s="320"/>
    </row>
    <row r="11" spans="1:255" ht="15" customHeight="1" x14ac:dyDescent="0.2">
      <c r="A11" s="1554" t="s">
        <v>434</v>
      </c>
      <c r="B11" s="379">
        <v>3319</v>
      </c>
      <c r="C11" s="380">
        <v>4869</v>
      </c>
      <c r="D11" s="380">
        <v>4192</v>
      </c>
      <c r="E11" s="380">
        <v>4964</v>
      </c>
      <c r="F11" s="380">
        <v>4746</v>
      </c>
      <c r="G11" s="380">
        <v>5041</v>
      </c>
      <c r="H11" s="380">
        <v>5875</v>
      </c>
      <c r="I11" s="380">
        <v>5604</v>
      </c>
      <c r="J11" s="380">
        <v>4759</v>
      </c>
      <c r="K11" s="380">
        <v>5439</v>
      </c>
      <c r="L11" s="380">
        <v>4261</v>
      </c>
      <c r="M11" s="389">
        <v>6340</v>
      </c>
      <c r="N11" s="381">
        <f t="shared" si="23"/>
        <v>59409</v>
      </c>
      <c r="O11" s="379">
        <v>2045</v>
      </c>
      <c r="P11" s="380">
        <v>2767</v>
      </c>
      <c r="Q11" s="380">
        <v>4791</v>
      </c>
      <c r="R11" s="380">
        <v>3712</v>
      </c>
      <c r="S11" s="380">
        <v>3486</v>
      </c>
      <c r="T11" s="380">
        <v>3477</v>
      </c>
      <c r="U11" s="380">
        <v>4267</v>
      </c>
      <c r="V11" s="380">
        <v>3782</v>
      </c>
      <c r="W11" s="380">
        <v>3643</v>
      </c>
      <c r="X11" s="380">
        <v>3499</v>
      </c>
      <c r="Y11" s="380">
        <v>4155</v>
      </c>
      <c r="Z11" s="389">
        <v>5455</v>
      </c>
      <c r="AA11" s="381">
        <f t="shared" si="25"/>
        <v>45079</v>
      </c>
      <c r="AB11" s="379">
        <v>2250</v>
      </c>
      <c r="AC11" s="380">
        <v>2562</v>
      </c>
      <c r="AD11" s="380">
        <v>5046</v>
      </c>
      <c r="AE11" s="380">
        <v>4604</v>
      </c>
      <c r="AF11" s="380">
        <v>4765</v>
      </c>
      <c r="AG11" s="380">
        <v>4289</v>
      </c>
      <c r="AH11" s="380">
        <v>4782</v>
      </c>
      <c r="AI11" s="380">
        <v>4745</v>
      </c>
      <c r="AJ11" s="380">
        <v>4764</v>
      </c>
      <c r="AK11" s="380">
        <v>3960</v>
      </c>
      <c r="AL11" s="380">
        <v>7188</v>
      </c>
      <c r="AM11" s="389">
        <v>8124</v>
      </c>
      <c r="AN11" s="381">
        <f t="shared" si="27"/>
        <v>57079</v>
      </c>
      <c r="AO11" s="379">
        <v>528</v>
      </c>
      <c r="AP11" s="380">
        <v>4147</v>
      </c>
      <c r="AQ11" s="380">
        <v>6656</v>
      </c>
      <c r="AR11" s="380">
        <v>5508</v>
      </c>
      <c r="AS11" s="380">
        <v>6309</v>
      </c>
      <c r="AT11" s="380">
        <v>5580</v>
      </c>
      <c r="AU11" s="380">
        <v>5864</v>
      </c>
      <c r="AV11" s="380">
        <v>5864</v>
      </c>
      <c r="AW11" s="380">
        <v>7752</v>
      </c>
      <c r="AX11" s="380">
        <v>6852</v>
      </c>
      <c r="AY11" s="380">
        <v>7403</v>
      </c>
      <c r="AZ11" s="389">
        <v>13530</v>
      </c>
      <c r="BA11" s="381">
        <f t="shared" si="29"/>
        <v>75993</v>
      </c>
      <c r="BB11" s="379">
        <v>4061</v>
      </c>
      <c r="BC11" s="380">
        <v>7973</v>
      </c>
      <c r="BD11" s="380">
        <v>9637</v>
      </c>
      <c r="BE11" s="380">
        <v>7333</v>
      </c>
      <c r="BF11" s="380">
        <v>9070</v>
      </c>
      <c r="BG11" s="380">
        <v>8755</v>
      </c>
      <c r="BH11" s="380">
        <v>8112</v>
      </c>
      <c r="BI11" s="380">
        <v>9997</v>
      </c>
      <c r="BJ11" s="380">
        <v>9548</v>
      </c>
      <c r="BK11" s="380">
        <v>9670</v>
      </c>
      <c r="BL11" s="380">
        <v>10867</v>
      </c>
      <c r="BM11" s="389">
        <v>18583</v>
      </c>
      <c r="BN11" s="381">
        <f t="shared" si="31"/>
        <v>113606</v>
      </c>
      <c r="BO11" s="379">
        <v>6624</v>
      </c>
      <c r="BP11" s="380">
        <v>6967</v>
      </c>
      <c r="BQ11" s="380">
        <v>10510</v>
      </c>
      <c r="BR11" s="380">
        <v>8903</v>
      </c>
      <c r="BS11" s="380">
        <v>8940</v>
      </c>
      <c r="BT11" s="380">
        <v>8866</v>
      </c>
      <c r="BU11" s="380">
        <v>9842</v>
      </c>
      <c r="BV11" s="380">
        <v>9811</v>
      </c>
      <c r="BW11" s="380">
        <v>9856</v>
      </c>
      <c r="BX11" s="380">
        <v>9529</v>
      </c>
      <c r="BY11" s="380">
        <v>9140</v>
      </c>
      <c r="BZ11" s="389">
        <v>11728</v>
      </c>
      <c r="CA11" s="381">
        <f t="shared" si="33"/>
        <v>110716</v>
      </c>
      <c r="CB11" s="379">
        <v>8484</v>
      </c>
      <c r="CC11" s="380">
        <v>9850</v>
      </c>
      <c r="CD11" s="380">
        <v>10774</v>
      </c>
      <c r="CE11" s="380">
        <v>9566</v>
      </c>
      <c r="CF11" s="380">
        <v>11519</v>
      </c>
      <c r="CG11" s="380">
        <v>10587</v>
      </c>
      <c r="CH11" s="380">
        <v>11441</v>
      </c>
      <c r="CI11" s="380">
        <v>10567</v>
      </c>
      <c r="CJ11" s="380">
        <v>9363</v>
      </c>
      <c r="CK11" s="380">
        <v>8219</v>
      </c>
      <c r="CL11" s="380">
        <v>8295</v>
      </c>
      <c r="CM11" s="389">
        <v>19527</v>
      </c>
      <c r="CN11" s="381">
        <f t="shared" si="35"/>
        <v>128192</v>
      </c>
      <c r="CO11" s="379">
        <v>2418</v>
      </c>
      <c r="CP11" s="380">
        <v>8123</v>
      </c>
      <c r="CQ11" s="380">
        <v>13563</v>
      </c>
      <c r="CR11" s="380">
        <v>10423</v>
      </c>
      <c r="CS11" s="380">
        <v>11629</v>
      </c>
      <c r="CT11" s="380">
        <v>10844</v>
      </c>
      <c r="CU11" s="380">
        <v>11386</v>
      </c>
      <c r="CV11" s="380">
        <v>10758</v>
      </c>
      <c r="CW11" s="380">
        <v>10717</v>
      </c>
      <c r="CX11" s="380">
        <v>9794</v>
      </c>
      <c r="CY11" s="380">
        <v>9889</v>
      </c>
      <c r="CZ11" s="389">
        <v>19700</v>
      </c>
      <c r="DA11" s="381">
        <f t="shared" si="37"/>
        <v>129244</v>
      </c>
      <c r="DB11" s="379">
        <v>6674</v>
      </c>
      <c r="DC11" s="380">
        <v>11182</v>
      </c>
      <c r="DD11" s="380">
        <v>14689</v>
      </c>
      <c r="DE11" s="380">
        <v>11758</v>
      </c>
      <c r="DF11" s="380">
        <v>12934</v>
      </c>
      <c r="DG11" s="380">
        <v>12710</v>
      </c>
      <c r="DH11" s="380">
        <v>11926</v>
      </c>
      <c r="DI11" s="380">
        <v>12673</v>
      </c>
      <c r="DJ11" s="380">
        <v>12822</v>
      </c>
      <c r="DK11" s="380">
        <v>11823</v>
      </c>
      <c r="DL11" s="380">
        <v>10435</v>
      </c>
      <c r="DM11" s="389">
        <v>19159</v>
      </c>
      <c r="DN11" s="381">
        <f t="shared" si="38"/>
        <v>148785</v>
      </c>
      <c r="DO11" s="379">
        <v>8220</v>
      </c>
      <c r="DP11" s="380">
        <v>9632</v>
      </c>
      <c r="DQ11" s="380">
        <v>14895</v>
      </c>
      <c r="DR11" s="380">
        <v>10139</v>
      </c>
      <c r="DS11" s="380">
        <v>12369</v>
      </c>
      <c r="DT11" s="380">
        <v>15082</v>
      </c>
      <c r="DU11" s="380">
        <v>12970</v>
      </c>
      <c r="DV11" s="380">
        <v>12966</v>
      </c>
      <c r="DW11" s="380">
        <v>12891</v>
      </c>
      <c r="DX11" s="380">
        <v>13530</v>
      </c>
      <c r="DY11" s="380">
        <v>16448</v>
      </c>
      <c r="DZ11" s="389">
        <v>24938</v>
      </c>
      <c r="EA11" s="381">
        <f t="shared" si="39"/>
        <v>164080</v>
      </c>
      <c r="EB11" s="379">
        <v>9209</v>
      </c>
      <c r="EC11" s="380">
        <v>9731</v>
      </c>
      <c r="ED11" s="380">
        <v>16447</v>
      </c>
      <c r="EE11" s="380">
        <v>12745</v>
      </c>
      <c r="EF11" s="380">
        <v>15075</v>
      </c>
      <c r="EG11" s="380">
        <v>14615</v>
      </c>
      <c r="EH11" s="380">
        <v>13866</v>
      </c>
      <c r="EI11" s="380">
        <v>13707</v>
      </c>
      <c r="EJ11" s="380">
        <v>13168</v>
      </c>
      <c r="EK11" s="380">
        <v>14200</v>
      </c>
      <c r="EL11" s="380">
        <v>17428</v>
      </c>
      <c r="EM11" s="389">
        <v>21436</v>
      </c>
      <c r="EN11" s="381">
        <f t="shared" si="41"/>
        <v>171627</v>
      </c>
      <c r="EO11" s="379">
        <v>4031</v>
      </c>
      <c r="EP11" s="380">
        <v>10385</v>
      </c>
      <c r="EQ11" s="380">
        <v>14901</v>
      </c>
      <c r="ER11" s="380">
        <v>13650</v>
      </c>
      <c r="ES11" s="380">
        <v>17731</v>
      </c>
      <c r="ET11" s="380">
        <v>15831</v>
      </c>
      <c r="EU11" s="380">
        <v>15855</v>
      </c>
      <c r="EV11" s="380">
        <v>16743</v>
      </c>
      <c r="EW11" s="380">
        <v>14614</v>
      </c>
      <c r="EX11" s="380">
        <v>15966</v>
      </c>
      <c r="EY11" s="380">
        <v>14375</v>
      </c>
      <c r="EZ11" s="389">
        <v>21319</v>
      </c>
      <c r="FA11" s="381">
        <f t="shared" si="43"/>
        <v>175401</v>
      </c>
      <c r="FB11" s="379">
        <v>10252</v>
      </c>
      <c r="FC11" s="380">
        <v>11863</v>
      </c>
      <c r="FD11" s="380">
        <v>17877</v>
      </c>
      <c r="FE11" s="380">
        <v>16602</v>
      </c>
      <c r="FF11" s="380">
        <v>11743</v>
      </c>
      <c r="FG11" s="380">
        <v>13629</v>
      </c>
      <c r="FH11" s="380">
        <v>18292</v>
      </c>
      <c r="FI11" s="380">
        <v>21907</v>
      </c>
      <c r="FJ11" s="380">
        <v>31947</v>
      </c>
      <c r="FK11" s="380">
        <v>40591</v>
      </c>
      <c r="FL11" s="380">
        <v>59007</v>
      </c>
      <c r="FM11" s="389">
        <v>95042</v>
      </c>
      <c r="FN11" s="381">
        <f t="shared" si="45"/>
        <v>348752</v>
      </c>
      <c r="FO11" s="379">
        <v>8684</v>
      </c>
      <c r="FP11" s="380">
        <v>17679</v>
      </c>
      <c r="FQ11" s="380">
        <v>33897</v>
      </c>
      <c r="FR11" s="380">
        <v>17948</v>
      </c>
      <c r="FS11" s="380">
        <v>26042</v>
      </c>
      <c r="FT11" s="380">
        <v>28158</v>
      </c>
      <c r="FU11" s="380">
        <v>29025</v>
      </c>
      <c r="FV11" s="380">
        <v>26606</v>
      </c>
      <c r="FW11" s="380">
        <v>24539</v>
      </c>
      <c r="FX11" s="380">
        <v>25698</v>
      </c>
      <c r="FY11" s="380">
        <v>28398</v>
      </c>
      <c r="FZ11" s="389">
        <v>53330</v>
      </c>
      <c r="GA11" s="381">
        <f t="shared" si="47"/>
        <v>320004</v>
      </c>
      <c r="GB11" s="379">
        <v>11941</v>
      </c>
      <c r="GC11" s="380">
        <v>16342</v>
      </c>
      <c r="GD11" s="380">
        <v>29426</v>
      </c>
      <c r="GE11" s="380">
        <v>23354</v>
      </c>
      <c r="GF11" s="380">
        <v>27456</v>
      </c>
      <c r="GG11" s="380">
        <v>26786</v>
      </c>
      <c r="GH11" s="380">
        <v>36123</v>
      </c>
      <c r="GI11" s="380">
        <v>28315</v>
      </c>
      <c r="GJ11" s="380">
        <v>20301</v>
      </c>
      <c r="GK11" s="380">
        <v>22490</v>
      </c>
      <c r="GL11" s="380">
        <v>24015</v>
      </c>
      <c r="GM11" s="389">
        <v>39554</v>
      </c>
      <c r="GN11" s="381">
        <f t="shared" si="48"/>
        <v>306103</v>
      </c>
      <c r="GO11" s="379">
        <v>5879</v>
      </c>
      <c r="GP11" s="380">
        <v>15294</v>
      </c>
      <c r="GQ11" s="380">
        <v>26036</v>
      </c>
      <c r="GR11" s="380">
        <v>20352</v>
      </c>
      <c r="GS11" s="380">
        <v>25227</v>
      </c>
      <c r="GT11" s="380">
        <v>29057</v>
      </c>
      <c r="GU11" s="380">
        <v>37196</v>
      </c>
      <c r="GV11" s="380">
        <v>25155</v>
      </c>
      <c r="GW11" s="380">
        <v>23611</v>
      </c>
      <c r="GX11" s="380">
        <v>23854</v>
      </c>
      <c r="GY11" s="380">
        <v>22115</v>
      </c>
      <c r="GZ11" s="389">
        <v>31260</v>
      </c>
      <c r="HA11" s="381">
        <f t="shared" si="50"/>
        <v>285036</v>
      </c>
      <c r="HB11" s="379">
        <v>7557</v>
      </c>
      <c r="HC11" s="380">
        <v>16471</v>
      </c>
      <c r="HD11" s="380">
        <v>22093</v>
      </c>
      <c r="HE11" s="380">
        <v>20907</v>
      </c>
      <c r="HF11" s="380">
        <v>24358</v>
      </c>
      <c r="HG11" s="380">
        <v>22132</v>
      </c>
      <c r="HH11" s="380">
        <v>24887</v>
      </c>
      <c r="HI11" s="380">
        <v>22810</v>
      </c>
      <c r="HJ11" s="380">
        <v>19433</v>
      </c>
      <c r="HK11" s="380">
        <v>23897</v>
      </c>
      <c r="HL11" s="380">
        <v>21444</v>
      </c>
      <c r="HM11" s="389">
        <v>33171</v>
      </c>
      <c r="HN11" s="381">
        <f t="shared" si="52"/>
        <v>259160</v>
      </c>
      <c r="HO11" s="379">
        <v>9734</v>
      </c>
      <c r="HP11" s="380">
        <v>16257</v>
      </c>
      <c r="HQ11" s="380">
        <v>23578</v>
      </c>
      <c r="HR11" s="380">
        <v>22107</v>
      </c>
      <c r="HS11" s="380">
        <v>24376</v>
      </c>
      <c r="HT11" s="380">
        <v>22916</v>
      </c>
      <c r="HU11" s="380">
        <v>21976</v>
      </c>
      <c r="HV11" s="380">
        <v>25593</v>
      </c>
      <c r="HW11" s="380">
        <v>23688</v>
      </c>
      <c r="HX11" s="380">
        <v>23810</v>
      </c>
      <c r="HY11" s="380">
        <v>17255</v>
      </c>
      <c r="HZ11" s="391">
        <v>27498</v>
      </c>
      <c r="IA11" s="80">
        <f t="shared" si="58"/>
        <v>258788</v>
      </c>
      <c r="IB11" s="1344">
        <v>10407</v>
      </c>
      <c r="IC11" s="120">
        <v>18528</v>
      </c>
      <c r="ID11" s="120">
        <v>24826</v>
      </c>
      <c r="IE11" s="120">
        <v>21535</v>
      </c>
      <c r="IF11" s="120">
        <v>27275</v>
      </c>
      <c r="IG11" s="120">
        <v>25105</v>
      </c>
      <c r="IH11" s="120">
        <v>24942</v>
      </c>
      <c r="II11" s="120">
        <v>25892</v>
      </c>
      <c r="IJ11" s="120"/>
      <c r="IK11" s="120"/>
      <c r="IL11" s="120"/>
      <c r="IM11" s="1345"/>
      <c r="IN11" s="1346">
        <f t="shared" si="56"/>
        <v>178510</v>
      </c>
      <c r="IO11" s="120"/>
      <c r="IP11" s="371">
        <f t="shared" si="19"/>
        <v>1.168288203805723</v>
      </c>
      <c r="IQ11" s="348">
        <f t="shared" si="57"/>
        <v>7.1893933480247529</v>
      </c>
      <c r="IR11" s="320">
        <f t="shared" si="20"/>
        <v>166537</v>
      </c>
      <c r="IS11" s="344">
        <f t="shared" si="21"/>
        <v>178510</v>
      </c>
      <c r="IU11" s="320"/>
    </row>
    <row r="12" spans="1:255" ht="15" customHeight="1" x14ac:dyDescent="0.2">
      <c r="A12" s="1554" t="s">
        <v>328</v>
      </c>
      <c r="B12" s="379">
        <v>0</v>
      </c>
      <c r="C12" s="380">
        <v>0</v>
      </c>
      <c r="D12" s="380">
        <v>0</v>
      </c>
      <c r="E12" s="380">
        <v>0</v>
      </c>
      <c r="F12" s="380">
        <v>0</v>
      </c>
      <c r="G12" s="380">
        <v>0</v>
      </c>
      <c r="H12" s="380">
        <v>0</v>
      </c>
      <c r="I12" s="380">
        <v>0</v>
      </c>
      <c r="J12" s="380">
        <v>0</v>
      </c>
      <c r="K12" s="380">
        <v>0</v>
      </c>
      <c r="L12" s="380">
        <v>0</v>
      </c>
      <c r="M12" s="389">
        <v>0</v>
      </c>
      <c r="N12" s="381">
        <f t="shared" si="23"/>
        <v>0</v>
      </c>
      <c r="O12" s="379">
        <v>38</v>
      </c>
      <c r="P12" s="380">
        <v>64</v>
      </c>
      <c r="Q12" s="380">
        <v>188</v>
      </c>
      <c r="R12" s="380">
        <v>332</v>
      </c>
      <c r="S12" s="380">
        <v>552</v>
      </c>
      <c r="T12" s="380">
        <v>717</v>
      </c>
      <c r="U12" s="380">
        <v>394</v>
      </c>
      <c r="V12" s="380">
        <v>536</v>
      </c>
      <c r="W12" s="380">
        <v>845</v>
      </c>
      <c r="X12" s="380">
        <v>298</v>
      </c>
      <c r="Y12" s="380">
        <v>590</v>
      </c>
      <c r="Z12" s="389">
        <v>1602</v>
      </c>
      <c r="AA12" s="381">
        <f t="shared" si="25"/>
        <v>6156</v>
      </c>
      <c r="AB12" s="379">
        <v>8</v>
      </c>
      <c r="AC12" s="380">
        <v>606</v>
      </c>
      <c r="AD12" s="380">
        <v>326</v>
      </c>
      <c r="AE12" s="380">
        <v>739</v>
      </c>
      <c r="AF12" s="380">
        <v>733</v>
      </c>
      <c r="AG12" s="380">
        <v>1058</v>
      </c>
      <c r="AH12" s="380">
        <v>263</v>
      </c>
      <c r="AI12" s="380">
        <v>612</v>
      </c>
      <c r="AJ12" s="380">
        <v>693</v>
      </c>
      <c r="AK12" s="380">
        <v>708</v>
      </c>
      <c r="AL12" s="380">
        <v>431</v>
      </c>
      <c r="AM12" s="389">
        <v>1197</v>
      </c>
      <c r="AN12" s="381">
        <f t="shared" si="27"/>
        <v>7374</v>
      </c>
      <c r="AO12" s="379">
        <v>0</v>
      </c>
      <c r="AP12" s="380">
        <v>106</v>
      </c>
      <c r="AQ12" s="380">
        <v>408</v>
      </c>
      <c r="AR12" s="380">
        <v>448</v>
      </c>
      <c r="AS12" s="380">
        <v>1273</v>
      </c>
      <c r="AT12" s="380">
        <v>1107</v>
      </c>
      <c r="AU12" s="380">
        <v>999</v>
      </c>
      <c r="AV12" s="380">
        <v>646</v>
      </c>
      <c r="AW12" s="380">
        <v>790</v>
      </c>
      <c r="AX12" s="380">
        <v>724</v>
      </c>
      <c r="AY12" s="380">
        <v>579</v>
      </c>
      <c r="AZ12" s="389">
        <v>2197</v>
      </c>
      <c r="BA12" s="381">
        <f t="shared" si="29"/>
        <v>9277</v>
      </c>
      <c r="BB12" s="379">
        <v>192</v>
      </c>
      <c r="BC12" s="380">
        <v>293</v>
      </c>
      <c r="BD12" s="380">
        <v>991</v>
      </c>
      <c r="BE12" s="380">
        <v>1921</v>
      </c>
      <c r="BF12" s="380">
        <v>801</v>
      </c>
      <c r="BG12" s="380">
        <v>1034</v>
      </c>
      <c r="BH12" s="380">
        <v>239</v>
      </c>
      <c r="BI12" s="380">
        <v>539</v>
      </c>
      <c r="BJ12" s="380">
        <v>764</v>
      </c>
      <c r="BK12" s="380">
        <v>506</v>
      </c>
      <c r="BL12" s="380">
        <v>815</v>
      </c>
      <c r="BM12" s="389">
        <v>2495</v>
      </c>
      <c r="BN12" s="381">
        <f t="shared" si="31"/>
        <v>10590</v>
      </c>
      <c r="BO12" s="379">
        <v>29</v>
      </c>
      <c r="BP12" s="380">
        <v>70</v>
      </c>
      <c r="BQ12" s="380">
        <v>2822</v>
      </c>
      <c r="BR12" s="380">
        <v>783</v>
      </c>
      <c r="BS12" s="380">
        <v>559</v>
      </c>
      <c r="BT12" s="380">
        <v>571</v>
      </c>
      <c r="BU12" s="380">
        <v>629</v>
      </c>
      <c r="BV12" s="380">
        <v>598</v>
      </c>
      <c r="BW12" s="380">
        <v>488</v>
      </c>
      <c r="BX12" s="380">
        <v>1039</v>
      </c>
      <c r="BY12" s="380">
        <v>572</v>
      </c>
      <c r="BZ12" s="389">
        <v>2019</v>
      </c>
      <c r="CA12" s="381">
        <f t="shared" si="33"/>
        <v>10179</v>
      </c>
      <c r="CB12" s="379">
        <v>29</v>
      </c>
      <c r="CC12" s="380">
        <v>190</v>
      </c>
      <c r="CD12" s="380">
        <v>637</v>
      </c>
      <c r="CE12" s="380">
        <v>452</v>
      </c>
      <c r="CF12" s="380">
        <v>555</v>
      </c>
      <c r="CG12" s="380">
        <v>933</v>
      </c>
      <c r="CH12" s="380">
        <v>639</v>
      </c>
      <c r="CI12" s="380">
        <v>858</v>
      </c>
      <c r="CJ12" s="380">
        <v>549</v>
      </c>
      <c r="CK12" s="380">
        <v>1311</v>
      </c>
      <c r="CL12" s="380">
        <v>1057</v>
      </c>
      <c r="CM12" s="389">
        <v>1641</v>
      </c>
      <c r="CN12" s="381">
        <f t="shared" si="35"/>
        <v>8851</v>
      </c>
      <c r="CO12" s="379">
        <v>0</v>
      </c>
      <c r="CP12" s="380">
        <v>77</v>
      </c>
      <c r="CQ12" s="380">
        <v>205</v>
      </c>
      <c r="CR12" s="380">
        <v>273</v>
      </c>
      <c r="CS12" s="380">
        <v>140</v>
      </c>
      <c r="CT12" s="380">
        <v>620</v>
      </c>
      <c r="CU12" s="380">
        <v>950</v>
      </c>
      <c r="CV12" s="380">
        <v>649</v>
      </c>
      <c r="CW12" s="380">
        <v>642</v>
      </c>
      <c r="CX12" s="380">
        <v>1528</v>
      </c>
      <c r="CY12" s="380">
        <v>1121</v>
      </c>
      <c r="CZ12" s="389">
        <v>1970</v>
      </c>
      <c r="DA12" s="381">
        <f t="shared" si="37"/>
        <v>8175</v>
      </c>
      <c r="DB12" s="379">
        <v>38</v>
      </c>
      <c r="DC12" s="380">
        <v>147</v>
      </c>
      <c r="DD12" s="380">
        <v>385</v>
      </c>
      <c r="DE12" s="380">
        <v>225</v>
      </c>
      <c r="DF12" s="380">
        <v>431</v>
      </c>
      <c r="DG12" s="380">
        <v>822</v>
      </c>
      <c r="DH12" s="380">
        <v>452</v>
      </c>
      <c r="DI12" s="380">
        <v>981</v>
      </c>
      <c r="DJ12" s="380">
        <v>331</v>
      </c>
      <c r="DK12" s="380">
        <v>444</v>
      </c>
      <c r="DL12" s="380">
        <v>190</v>
      </c>
      <c r="DM12" s="389">
        <v>676</v>
      </c>
      <c r="DN12" s="381">
        <f t="shared" si="38"/>
        <v>5122</v>
      </c>
      <c r="DO12" s="379">
        <v>80</v>
      </c>
      <c r="DP12" s="380">
        <v>675</v>
      </c>
      <c r="DQ12" s="380">
        <v>740</v>
      </c>
      <c r="DR12" s="380">
        <v>334</v>
      </c>
      <c r="DS12" s="380">
        <v>905</v>
      </c>
      <c r="DT12" s="380">
        <v>976</v>
      </c>
      <c r="DU12" s="380">
        <v>674</v>
      </c>
      <c r="DV12" s="380">
        <v>854</v>
      </c>
      <c r="DW12" s="380">
        <v>996</v>
      </c>
      <c r="DX12" s="380">
        <v>1313</v>
      </c>
      <c r="DY12" s="380">
        <v>1298</v>
      </c>
      <c r="DZ12" s="389">
        <v>4698</v>
      </c>
      <c r="EA12" s="381">
        <f t="shared" si="39"/>
        <v>13543</v>
      </c>
      <c r="EB12" s="379">
        <v>99</v>
      </c>
      <c r="EC12" s="380">
        <v>107</v>
      </c>
      <c r="ED12" s="380">
        <v>307</v>
      </c>
      <c r="EE12" s="380">
        <v>895</v>
      </c>
      <c r="EF12" s="380">
        <v>473</v>
      </c>
      <c r="EG12" s="380">
        <v>1638</v>
      </c>
      <c r="EH12" s="380">
        <v>541</v>
      </c>
      <c r="EI12" s="380">
        <v>960</v>
      </c>
      <c r="EJ12" s="380">
        <v>630</v>
      </c>
      <c r="EK12" s="380">
        <v>758</v>
      </c>
      <c r="EL12" s="380">
        <v>775</v>
      </c>
      <c r="EM12" s="389">
        <v>469</v>
      </c>
      <c r="EN12" s="381">
        <f t="shared" si="41"/>
        <v>7652</v>
      </c>
      <c r="EO12" s="379">
        <v>32</v>
      </c>
      <c r="EP12" s="380">
        <v>229</v>
      </c>
      <c r="EQ12" s="380">
        <v>398</v>
      </c>
      <c r="ER12" s="380">
        <v>461</v>
      </c>
      <c r="ES12" s="380">
        <v>500</v>
      </c>
      <c r="ET12" s="380">
        <v>895</v>
      </c>
      <c r="EU12" s="380">
        <v>879</v>
      </c>
      <c r="EV12" s="380">
        <v>1307</v>
      </c>
      <c r="EW12" s="380">
        <v>1398</v>
      </c>
      <c r="EX12" s="380">
        <v>1220</v>
      </c>
      <c r="EY12" s="380">
        <v>707</v>
      </c>
      <c r="EZ12" s="389">
        <v>5649</v>
      </c>
      <c r="FA12" s="381">
        <f t="shared" si="43"/>
        <v>13675</v>
      </c>
      <c r="FB12" s="379">
        <v>210</v>
      </c>
      <c r="FC12" s="380">
        <v>248</v>
      </c>
      <c r="FD12" s="380">
        <v>389</v>
      </c>
      <c r="FE12" s="380">
        <v>361</v>
      </c>
      <c r="FF12" s="380">
        <v>312</v>
      </c>
      <c r="FG12" s="380">
        <v>420</v>
      </c>
      <c r="FH12" s="380">
        <v>294</v>
      </c>
      <c r="FI12" s="380">
        <v>747</v>
      </c>
      <c r="FJ12" s="380">
        <v>1140</v>
      </c>
      <c r="FK12" s="380">
        <v>1167</v>
      </c>
      <c r="FL12" s="380">
        <v>951</v>
      </c>
      <c r="FM12" s="389">
        <v>2541</v>
      </c>
      <c r="FN12" s="381">
        <f t="shared" si="45"/>
        <v>8780</v>
      </c>
      <c r="FO12" s="379">
        <v>110</v>
      </c>
      <c r="FP12" s="380">
        <v>394</v>
      </c>
      <c r="FQ12" s="380">
        <v>646</v>
      </c>
      <c r="FR12" s="380">
        <v>265</v>
      </c>
      <c r="FS12" s="380">
        <v>390</v>
      </c>
      <c r="FT12" s="380">
        <v>374</v>
      </c>
      <c r="FU12" s="380">
        <v>364</v>
      </c>
      <c r="FV12" s="380">
        <v>413</v>
      </c>
      <c r="FW12" s="380">
        <v>407</v>
      </c>
      <c r="FX12" s="380">
        <v>383</v>
      </c>
      <c r="FY12" s="380">
        <v>479</v>
      </c>
      <c r="FZ12" s="389">
        <v>790</v>
      </c>
      <c r="GA12" s="381">
        <f t="shared" si="47"/>
        <v>5015</v>
      </c>
      <c r="GB12" s="379">
        <v>322</v>
      </c>
      <c r="GC12" s="380">
        <v>402</v>
      </c>
      <c r="GD12" s="380">
        <v>697</v>
      </c>
      <c r="GE12" s="380">
        <v>751</v>
      </c>
      <c r="GF12" s="380">
        <v>687</v>
      </c>
      <c r="GG12" s="380">
        <v>1180</v>
      </c>
      <c r="GH12" s="380">
        <v>2094</v>
      </c>
      <c r="GI12" s="380">
        <v>1186</v>
      </c>
      <c r="GJ12" s="380">
        <v>950</v>
      </c>
      <c r="GK12" s="380">
        <v>1804</v>
      </c>
      <c r="GL12" s="380">
        <v>1589</v>
      </c>
      <c r="GM12" s="389">
        <v>2966</v>
      </c>
      <c r="GN12" s="381">
        <f t="shared" si="48"/>
        <v>14628</v>
      </c>
      <c r="GO12" s="379">
        <v>198</v>
      </c>
      <c r="GP12" s="380">
        <v>519</v>
      </c>
      <c r="GQ12" s="380">
        <v>1093</v>
      </c>
      <c r="GR12" s="380">
        <v>625</v>
      </c>
      <c r="GS12" s="380">
        <v>1424</v>
      </c>
      <c r="GT12" s="380">
        <v>229</v>
      </c>
      <c r="GU12" s="380">
        <v>1042</v>
      </c>
      <c r="GV12" s="380">
        <v>2529</v>
      </c>
      <c r="GW12" s="380">
        <v>1282</v>
      </c>
      <c r="GX12" s="380">
        <v>2308</v>
      </c>
      <c r="GY12" s="380">
        <v>1081</v>
      </c>
      <c r="GZ12" s="389">
        <v>3812</v>
      </c>
      <c r="HA12" s="381">
        <f t="shared" si="50"/>
        <v>16142</v>
      </c>
      <c r="HB12" s="379">
        <v>409</v>
      </c>
      <c r="HC12" s="380">
        <v>763</v>
      </c>
      <c r="HD12" s="380">
        <v>1183</v>
      </c>
      <c r="HE12" s="380">
        <v>874</v>
      </c>
      <c r="HF12" s="380">
        <v>1005</v>
      </c>
      <c r="HG12" s="380">
        <v>1025</v>
      </c>
      <c r="HH12" s="380">
        <v>1562</v>
      </c>
      <c r="HI12" s="380">
        <v>2368</v>
      </c>
      <c r="HJ12" s="380">
        <v>1955</v>
      </c>
      <c r="HK12" s="380">
        <v>1899</v>
      </c>
      <c r="HL12" s="380">
        <v>1928</v>
      </c>
      <c r="HM12" s="389">
        <v>4167</v>
      </c>
      <c r="HN12" s="381">
        <f t="shared" si="52"/>
        <v>19138</v>
      </c>
      <c r="HO12" s="379">
        <v>776</v>
      </c>
      <c r="HP12" s="380">
        <v>846</v>
      </c>
      <c r="HQ12" s="380">
        <v>1287</v>
      </c>
      <c r="HR12" s="380">
        <v>768</v>
      </c>
      <c r="HS12" s="380">
        <v>1782</v>
      </c>
      <c r="HT12" s="380">
        <v>1477</v>
      </c>
      <c r="HU12" s="380">
        <v>1790</v>
      </c>
      <c r="HV12" s="380">
        <v>1774</v>
      </c>
      <c r="HW12" s="380">
        <v>1600</v>
      </c>
      <c r="HX12" s="380">
        <v>1902</v>
      </c>
      <c r="HY12" s="380">
        <v>4987</v>
      </c>
      <c r="HZ12" s="391">
        <v>3635</v>
      </c>
      <c r="IA12" s="80">
        <f t="shared" si="58"/>
        <v>22624</v>
      </c>
      <c r="IB12" s="1344">
        <v>797</v>
      </c>
      <c r="IC12" s="120">
        <v>1249</v>
      </c>
      <c r="ID12" s="120">
        <v>1611</v>
      </c>
      <c r="IE12" s="120">
        <v>976</v>
      </c>
      <c r="IF12" s="120">
        <v>1829</v>
      </c>
      <c r="IG12" s="120">
        <v>2506</v>
      </c>
      <c r="IH12" s="120">
        <v>1962</v>
      </c>
      <c r="II12" s="120">
        <v>1618</v>
      </c>
      <c r="IJ12" s="120"/>
      <c r="IK12" s="120"/>
      <c r="IL12" s="120"/>
      <c r="IM12" s="1345"/>
      <c r="IN12" s="1346">
        <f t="shared" si="56"/>
        <v>12548</v>
      </c>
      <c r="IO12" s="120"/>
      <c r="IP12" s="371">
        <f t="shared" si="19"/>
        <v>-8.7936865839909792</v>
      </c>
      <c r="IQ12" s="348">
        <f t="shared" si="57"/>
        <v>19.504761904761914</v>
      </c>
      <c r="IR12" s="320">
        <f t="shared" si="20"/>
        <v>10500</v>
      </c>
      <c r="IS12" s="344">
        <f t="shared" si="21"/>
        <v>12548</v>
      </c>
      <c r="IU12" s="320"/>
    </row>
    <row r="13" spans="1:255" ht="15" customHeight="1" x14ac:dyDescent="0.2">
      <c r="A13" s="1554" t="s">
        <v>319</v>
      </c>
      <c r="B13" s="379">
        <v>372</v>
      </c>
      <c r="C13" s="380">
        <v>520</v>
      </c>
      <c r="D13" s="380">
        <v>683</v>
      </c>
      <c r="E13" s="380">
        <v>1047</v>
      </c>
      <c r="F13" s="380">
        <v>659</v>
      </c>
      <c r="G13" s="380">
        <v>851</v>
      </c>
      <c r="H13" s="380">
        <v>832</v>
      </c>
      <c r="I13" s="380">
        <v>607</v>
      </c>
      <c r="J13" s="380">
        <v>890</v>
      </c>
      <c r="K13" s="380">
        <v>653</v>
      </c>
      <c r="L13" s="380">
        <v>744</v>
      </c>
      <c r="M13" s="389">
        <v>1212</v>
      </c>
      <c r="N13" s="381">
        <f t="shared" si="23"/>
        <v>9070</v>
      </c>
      <c r="O13" s="379">
        <v>53</v>
      </c>
      <c r="P13" s="380">
        <v>114</v>
      </c>
      <c r="Q13" s="380">
        <v>140</v>
      </c>
      <c r="R13" s="380">
        <v>122</v>
      </c>
      <c r="S13" s="380">
        <v>159</v>
      </c>
      <c r="T13" s="380">
        <v>87</v>
      </c>
      <c r="U13" s="380">
        <v>159</v>
      </c>
      <c r="V13" s="380">
        <v>126</v>
      </c>
      <c r="W13" s="380">
        <v>139</v>
      </c>
      <c r="X13" s="380">
        <v>91</v>
      </c>
      <c r="Y13" s="380">
        <v>171</v>
      </c>
      <c r="Z13" s="389">
        <v>187</v>
      </c>
      <c r="AA13" s="381">
        <f t="shared" si="25"/>
        <v>1548</v>
      </c>
      <c r="AB13" s="379">
        <v>74</v>
      </c>
      <c r="AC13" s="380">
        <v>58</v>
      </c>
      <c r="AD13" s="380">
        <v>141</v>
      </c>
      <c r="AE13" s="380">
        <v>143</v>
      </c>
      <c r="AF13" s="380">
        <v>114</v>
      </c>
      <c r="AG13" s="380">
        <v>153</v>
      </c>
      <c r="AH13" s="380">
        <v>119</v>
      </c>
      <c r="AI13" s="380">
        <v>162</v>
      </c>
      <c r="AJ13" s="380">
        <v>317</v>
      </c>
      <c r="AK13" s="380">
        <v>224</v>
      </c>
      <c r="AL13" s="380">
        <v>157</v>
      </c>
      <c r="AM13" s="389">
        <v>123</v>
      </c>
      <c r="AN13" s="381">
        <f t="shared" si="27"/>
        <v>1785</v>
      </c>
      <c r="AO13" s="379">
        <v>11</v>
      </c>
      <c r="AP13" s="380">
        <v>71</v>
      </c>
      <c r="AQ13" s="380">
        <v>103</v>
      </c>
      <c r="AR13" s="380">
        <v>146</v>
      </c>
      <c r="AS13" s="380">
        <v>90</v>
      </c>
      <c r="AT13" s="380">
        <v>84</v>
      </c>
      <c r="AU13" s="380">
        <v>149</v>
      </c>
      <c r="AV13" s="380">
        <v>164</v>
      </c>
      <c r="AW13" s="380">
        <v>104</v>
      </c>
      <c r="AX13" s="380">
        <v>123</v>
      </c>
      <c r="AY13" s="380">
        <v>400</v>
      </c>
      <c r="AZ13" s="389">
        <v>410</v>
      </c>
      <c r="BA13" s="381">
        <f t="shared" si="29"/>
        <v>1855</v>
      </c>
      <c r="BB13" s="379">
        <v>77</v>
      </c>
      <c r="BC13" s="380">
        <v>400</v>
      </c>
      <c r="BD13" s="380">
        <v>195</v>
      </c>
      <c r="BE13" s="380">
        <v>119</v>
      </c>
      <c r="BF13" s="380">
        <v>290</v>
      </c>
      <c r="BG13" s="380">
        <v>95</v>
      </c>
      <c r="BH13" s="380">
        <v>82</v>
      </c>
      <c r="BI13" s="380">
        <v>151</v>
      </c>
      <c r="BJ13" s="380">
        <v>124</v>
      </c>
      <c r="BK13" s="380">
        <v>172</v>
      </c>
      <c r="BL13" s="380">
        <v>392</v>
      </c>
      <c r="BM13" s="389">
        <v>283</v>
      </c>
      <c r="BN13" s="381">
        <f t="shared" si="31"/>
        <v>2380</v>
      </c>
      <c r="BO13" s="379">
        <v>134</v>
      </c>
      <c r="BP13" s="380">
        <v>95</v>
      </c>
      <c r="BQ13" s="380">
        <v>117</v>
      </c>
      <c r="BR13" s="380">
        <v>283</v>
      </c>
      <c r="BS13" s="380">
        <v>239</v>
      </c>
      <c r="BT13" s="380">
        <v>180</v>
      </c>
      <c r="BU13" s="380">
        <v>152</v>
      </c>
      <c r="BV13" s="380">
        <v>116</v>
      </c>
      <c r="BW13" s="380">
        <v>139</v>
      </c>
      <c r="BX13" s="380">
        <v>133</v>
      </c>
      <c r="BY13" s="380">
        <v>159</v>
      </c>
      <c r="BZ13" s="389">
        <v>30</v>
      </c>
      <c r="CA13" s="381">
        <f t="shared" si="33"/>
        <v>1777</v>
      </c>
      <c r="CB13" s="379">
        <v>83</v>
      </c>
      <c r="CC13" s="380">
        <v>158</v>
      </c>
      <c r="CD13" s="380">
        <v>167</v>
      </c>
      <c r="CE13" s="380">
        <v>158</v>
      </c>
      <c r="CF13" s="380">
        <v>241</v>
      </c>
      <c r="CG13" s="380">
        <v>247</v>
      </c>
      <c r="CH13" s="380">
        <v>189</v>
      </c>
      <c r="CI13" s="380">
        <v>287</v>
      </c>
      <c r="CJ13" s="380">
        <v>181</v>
      </c>
      <c r="CK13" s="380">
        <v>236</v>
      </c>
      <c r="CL13" s="380">
        <v>244</v>
      </c>
      <c r="CM13" s="389">
        <v>273</v>
      </c>
      <c r="CN13" s="381">
        <f t="shared" si="35"/>
        <v>2464</v>
      </c>
      <c r="CO13" s="379">
        <v>137</v>
      </c>
      <c r="CP13" s="380">
        <v>180</v>
      </c>
      <c r="CQ13" s="380">
        <v>202</v>
      </c>
      <c r="CR13" s="380">
        <v>300</v>
      </c>
      <c r="CS13" s="380">
        <v>246</v>
      </c>
      <c r="CT13" s="380">
        <v>422</v>
      </c>
      <c r="CU13" s="380">
        <v>307</v>
      </c>
      <c r="CV13" s="380">
        <v>302</v>
      </c>
      <c r="CW13" s="380">
        <v>368</v>
      </c>
      <c r="CX13" s="380">
        <v>284</v>
      </c>
      <c r="CY13" s="380">
        <v>290</v>
      </c>
      <c r="CZ13" s="389">
        <v>477</v>
      </c>
      <c r="DA13" s="381">
        <f t="shared" si="37"/>
        <v>3515</v>
      </c>
      <c r="DB13" s="379">
        <v>328</v>
      </c>
      <c r="DC13" s="380">
        <v>300</v>
      </c>
      <c r="DD13" s="380">
        <v>485</v>
      </c>
      <c r="DE13" s="380">
        <v>465</v>
      </c>
      <c r="DF13" s="380">
        <v>516</v>
      </c>
      <c r="DG13" s="380">
        <v>525</v>
      </c>
      <c r="DH13" s="380">
        <v>301</v>
      </c>
      <c r="DI13" s="380">
        <v>345</v>
      </c>
      <c r="DJ13" s="380">
        <v>364</v>
      </c>
      <c r="DK13" s="380">
        <v>325</v>
      </c>
      <c r="DL13" s="380">
        <v>354</v>
      </c>
      <c r="DM13" s="389">
        <v>442</v>
      </c>
      <c r="DN13" s="381">
        <f t="shared" si="38"/>
        <v>4750</v>
      </c>
      <c r="DO13" s="379">
        <v>332</v>
      </c>
      <c r="DP13" s="380">
        <v>400</v>
      </c>
      <c r="DQ13" s="380">
        <v>483</v>
      </c>
      <c r="DR13" s="380">
        <v>504</v>
      </c>
      <c r="DS13" s="380">
        <v>500</v>
      </c>
      <c r="DT13" s="380">
        <v>457</v>
      </c>
      <c r="DU13" s="380">
        <v>305</v>
      </c>
      <c r="DV13" s="380">
        <v>347</v>
      </c>
      <c r="DW13" s="380">
        <v>334</v>
      </c>
      <c r="DX13" s="380">
        <v>291</v>
      </c>
      <c r="DY13" s="380">
        <v>319</v>
      </c>
      <c r="DZ13" s="389">
        <v>215</v>
      </c>
      <c r="EA13" s="381">
        <f t="shared" si="39"/>
        <v>4487</v>
      </c>
      <c r="EB13" s="379">
        <v>231</v>
      </c>
      <c r="EC13" s="380">
        <v>238</v>
      </c>
      <c r="ED13" s="380">
        <v>389</v>
      </c>
      <c r="EE13" s="380">
        <v>507</v>
      </c>
      <c r="EF13" s="380">
        <v>158</v>
      </c>
      <c r="EG13" s="380">
        <v>231</v>
      </c>
      <c r="EH13" s="380">
        <v>619</v>
      </c>
      <c r="EI13" s="380">
        <v>194</v>
      </c>
      <c r="EJ13" s="380">
        <v>252</v>
      </c>
      <c r="EK13" s="380">
        <v>338</v>
      </c>
      <c r="EL13" s="380">
        <v>210</v>
      </c>
      <c r="EM13" s="389">
        <v>298</v>
      </c>
      <c r="EN13" s="381">
        <f t="shared" si="41"/>
        <v>3665</v>
      </c>
      <c r="EO13" s="379">
        <v>123</v>
      </c>
      <c r="EP13" s="380">
        <v>161</v>
      </c>
      <c r="EQ13" s="380">
        <v>245</v>
      </c>
      <c r="ER13" s="380">
        <v>417</v>
      </c>
      <c r="ES13" s="380">
        <v>367</v>
      </c>
      <c r="ET13" s="380">
        <v>175</v>
      </c>
      <c r="EU13" s="380">
        <v>291</v>
      </c>
      <c r="EV13" s="380">
        <v>238</v>
      </c>
      <c r="EW13" s="380">
        <v>284</v>
      </c>
      <c r="EX13" s="380">
        <v>224</v>
      </c>
      <c r="EY13" s="380">
        <v>184</v>
      </c>
      <c r="EZ13" s="389">
        <v>518</v>
      </c>
      <c r="FA13" s="381">
        <f t="shared" si="43"/>
        <v>3227</v>
      </c>
      <c r="FB13" s="379">
        <v>160</v>
      </c>
      <c r="FC13" s="380">
        <v>271</v>
      </c>
      <c r="FD13" s="380">
        <v>819</v>
      </c>
      <c r="FE13" s="380">
        <v>194</v>
      </c>
      <c r="FF13" s="380">
        <v>126</v>
      </c>
      <c r="FG13" s="380">
        <v>151</v>
      </c>
      <c r="FH13" s="380">
        <v>123</v>
      </c>
      <c r="FI13" s="380">
        <v>193</v>
      </c>
      <c r="FJ13" s="380">
        <v>257</v>
      </c>
      <c r="FK13" s="380">
        <v>372</v>
      </c>
      <c r="FL13" s="380">
        <v>343</v>
      </c>
      <c r="FM13" s="389">
        <v>517</v>
      </c>
      <c r="FN13" s="381">
        <f t="shared" si="45"/>
        <v>3526</v>
      </c>
      <c r="FO13" s="379">
        <v>202</v>
      </c>
      <c r="FP13" s="380">
        <v>240</v>
      </c>
      <c r="FQ13" s="380">
        <v>329</v>
      </c>
      <c r="FR13" s="380">
        <v>285</v>
      </c>
      <c r="FS13" s="380">
        <v>264</v>
      </c>
      <c r="FT13" s="380">
        <v>439</v>
      </c>
      <c r="FU13" s="380">
        <v>236</v>
      </c>
      <c r="FV13" s="380">
        <v>250</v>
      </c>
      <c r="FW13" s="380">
        <v>273</v>
      </c>
      <c r="FX13" s="380">
        <v>277</v>
      </c>
      <c r="FY13" s="380">
        <v>310</v>
      </c>
      <c r="FZ13" s="389">
        <v>580</v>
      </c>
      <c r="GA13" s="381">
        <f t="shared" si="47"/>
        <v>3685</v>
      </c>
      <c r="GB13" s="379">
        <v>198</v>
      </c>
      <c r="GC13" s="380">
        <v>370</v>
      </c>
      <c r="GD13" s="380">
        <v>543</v>
      </c>
      <c r="GE13" s="380">
        <v>864</v>
      </c>
      <c r="GF13" s="380">
        <v>315</v>
      </c>
      <c r="GG13" s="380">
        <v>222</v>
      </c>
      <c r="GH13" s="380">
        <v>199</v>
      </c>
      <c r="GI13" s="380">
        <v>274</v>
      </c>
      <c r="GJ13" s="380">
        <v>269</v>
      </c>
      <c r="GK13" s="380">
        <v>288</v>
      </c>
      <c r="GL13" s="380">
        <v>243</v>
      </c>
      <c r="GM13" s="389">
        <v>379</v>
      </c>
      <c r="GN13" s="381">
        <f t="shared" si="48"/>
        <v>4164</v>
      </c>
      <c r="GO13" s="379">
        <v>103</v>
      </c>
      <c r="GP13" s="380">
        <v>247</v>
      </c>
      <c r="GQ13" s="380">
        <v>987</v>
      </c>
      <c r="GR13" s="380">
        <v>730</v>
      </c>
      <c r="GS13" s="380">
        <v>507</v>
      </c>
      <c r="GT13" s="380">
        <v>351</v>
      </c>
      <c r="GU13" s="380">
        <v>324</v>
      </c>
      <c r="GV13" s="380">
        <v>578</v>
      </c>
      <c r="GW13" s="380">
        <v>191</v>
      </c>
      <c r="GX13" s="380">
        <v>263</v>
      </c>
      <c r="GY13" s="380">
        <v>141</v>
      </c>
      <c r="GZ13" s="389">
        <v>386</v>
      </c>
      <c r="HA13" s="381">
        <f t="shared" si="50"/>
        <v>4808</v>
      </c>
      <c r="HB13" s="379">
        <v>229</v>
      </c>
      <c r="HC13" s="380">
        <v>410</v>
      </c>
      <c r="HD13" s="380">
        <v>298</v>
      </c>
      <c r="HE13" s="380">
        <v>276</v>
      </c>
      <c r="HF13" s="380">
        <v>388</v>
      </c>
      <c r="HG13" s="380">
        <v>291</v>
      </c>
      <c r="HH13" s="380">
        <v>181</v>
      </c>
      <c r="HI13" s="380">
        <v>219</v>
      </c>
      <c r="HJ13" s="380">
        <v>253</v>
      </c>
      <c r="HK13" s="380">
        <v>285</v>
      </c>
      <c r="HL13" s="380">
        <v>296</v>
      </c>
      <c r="HM13" s="389">
        <v>176</v>
      </c>
      <c r="HN13" s="381">
        <f t="shared" si="52"/>
        <v>3302</v>
      </c>
      <c r="HO13" s="379">
        <v>92</v>
      </c>
      <c r="HP13" s="380">
        <v>272</v>
      </c>
      <c r="HQ13" s="380">
        <v>243</v>
      </c>
      <c r="HR13" s="380">
        <v>624</v>
      </c>
      <c r="HS13" s="380">
        <v>230</v>
      </c>
      <c r="HT13" s="380">
        <v>306</v>
      </c>
      <c r="HU13" s="380">
        <v>300</v>
      </c>
      <c r="HV13" s="380">
        <v>356</v>
      </c>
      <c r="HW13" s="380">
        <v>408</v>
      </c>
      <c r="HX13" s="380">
        <v>294</v>
      </c>
      <c r="HY13" s="380">
        <v>446</v>
      </c>
      <c r="HZ13" s="391">
        <v>329</v>
      </c>
      <c r="IA13" s="80">
        <f t="shared" si="58"/>
        <v>3900</v>
      </c>
      <c r="IB13" s="1344">
        <v>181</v>
      </c>
      <c r="IC13" s="120">
        <v>400</v>
      </c>
      <c r="ID13" s="120">
        <v>298</v>
      </c>
      <c r="IE13" s="120">
        <v>363</v>
      </c>
      <c r="IF13" s="120">
        <v>364</v>
      </c>
      <c r="IG13" s="120">
        <v>380</v>
      </c>
      <c r="IH13" s="120">
        <v>215</v>
      </c>
      <c r="II13" s="120">
        <v>321</v>
      </c>
      <c r="IJ13" s="120"/>
      <c r="IK13" s="120"/>
      <c r="IL13" s="120"/>
      <c r="IM13" s="1345"/>
      <c r="IN13" s="1346">
        <f t="shared" si="56"/>
        <v>2522</v>
      </c>
      <c r="IO13" s="120"/>
      <c r="IP13" s="371">
        <f t="shared" si="19"/>
        <v>-9.8314606741572987</v>
      </c>
      <c r="IQ13" s="348">
        <f t="shared" si="57"/>
        <v>4.0858439950474557</v>
      </c>
      <c r="IR13" s="320">
        <f t="shared" si="20"/>
        <v>2423</v>
      </c>
      <c r="IS13" s="344">
        <f t="shared" si="21"/>
        <v>2522</v>
      </c>
      <c r="IU13" s="320"/>
    </row>
    <row r="14" spans="1:255" ht="15" customHeight="1" x14ac:dyDescent="0.2">
      <c r="A14" s="1553" t="s">
        <v>435</v>
      </c>
      <c r="B14" s="376">
        <f t="shared" ref="B14:M14" si="59">SUM(B15:B18)</f>
        <v>1976</v>
      </c>
      <c r="C14" s="377">
        <f t="shared" si="59"/>
        <v>4559</v>
      </c>
      <c r="D14" s="377">
        <f t="shared" si="59"/>
        <v>4254</v>
      </c>
      <c r="E14" s="377">
        <f t="shared" si="59"/>
        <v>4333</v>
      </c>
      <c r="F14" s="377">
        <f t="shared" si="59"/>
        <v>4542</v>
      </c>
      <c r="G14" s="377">
        <f t="shared" si="59"/>
        <v>4210</v>
      </c>
      <c r="H14" s="377">
        <f t="shared" si="59"/>
        <v>4339</v>
      </c>
      <c r="I14" s="377">
        <f t="shared" si="59"/>
        <v>6401</v>
      </c>
      <c r="J14" s="377">
        <f t="shared" si="59"/>
        <v>6248</v>
      </c>
      <c r="K14" s="377">
        <f t="shared" si="59"/>
        <v>7242</v>
      </c>
      <c r="L14" s="377">
        <f t="shared" si="59"/>
        <v>6706</v>
      </c>
      <c r="M14" s="388">
        <f t="shared" si="59"/>
        <v>14761</v>
      </c>
      <c r="N14" s="378">
        <f t="shared" si="23"/>
        <v>69571</v>
      </c>
      <c r="O14" s="376">
        <f t="shared" ref="O14:Z14" si="60">SUM(O15:O18)</f>
        <v>2595</v>
      </c>
      <c r="P14" s="377">
        <f t="shared" si="60"/>
        <v>3992</v>
      </c>
      <c r="Q14" s="377">
        <f t="shared" si="60"/>
        <v>6357</v>
      </c>
      <c r="R14" s="377">
        <f t="shared" si="60"/>
        <v>6134</v>
      </c>
      <c r="S14" s="377">
        <f t="shared" si="60"/>
        <v>6495</v>
      </c>
      <c r="T14" s="377">
        <f t="shared" si="60"/>
        <v>5813</v>
      </c>
      <c r="U14" s="377">
        <f t="shared" si="60"/>
        <v>8354</v>
      </c>
      <c r="V14" s="377">
        <f t="shared" si="60"/>
        <v>8683</v>
      </c>
      <c r="W14" s="377">
        <f t="shared" si="60"/>
        <v>10265</v>
      </c>
      <c r="X14" s="377">
        <f t="shared" si="60"/>
        <v>9346</v>
      </c>
      <c r="Y14" s="377">
        <f t="shared" si="60"/>
        <v>10286</v>
      </c>
      <c r="Z14" s="388">
        <f t="shared" si="60"/>
        <v>24473</v>
      </c>
      <c r="AA14" s="378">
        <f t="shared" si="25"/>
        <v>102793</v>
      </c>
      <c r="AB14" s="376">
        <f t="shared" ref="AB14:AM14" si="61">SUM(AB15:AB18)</f>
        <v>2666</v>
      </c>
      <c r="AC14" s="377">
        <f t="shared" si="61"/>
        <v>4629</v>
      </c>
      <c r="AD14" s="377">
        <f t="shared" si="61"/>
        <v>7534</v>
      </c>
      <c r="AE14" s="377">
        <f t="shared" si="61"/>
        <v>7605</v>
      </c>
      <c r="AF14" s="377">
        <f t="shared" si="61"/>
        <v>9663</v>
      </c>
      <c r="AG14" s="377">
        <f t="shared" si="61"/>
        <v>12310</v>
      </c>
      <c r="AH14" s="377">
        <f t="shared" si="61"/>
        <v>9380</v>
      </c>
      <c r="AI14" s="377">
        <f t="shared" si="61"/>
        <v>14974</v>
      </c>
      <c r="AJ14" s="377">
        <f t="shared" si="61"/>
        <v>11023</v>
      </c>
      <c r="AK14" s="377">
        <f t="shared" si="61"/>
        <v>9969</v>
      </c>
      <c r="AL14" s="377">
        <f t="shared" si="61"/>
        <v>13026</v>
      </c>
      <c r="AM14" s="388">
        <f t="shared" si="61"/>
        <v>24663</v>
      </c>
      <c r="AN14" s="378">
        <f t="shared" si="27"/>
        <v>127442</v>
      </c>
      <c r="AO14" s="376">
        <f t="shared" ref="AO14:AZ14" si="62">SUM(AO15:AO18)</f>
        <v>121</v>
      </c>
      <c r="AP14" s="377">
        <f t="shared" si="62"/>
        <v>1915</v>
      </c>
      <c r="AQ14" s="377">
        <f t="shared" si="62"/>
        <v>5619</v>
      </c>
      <c r="AR14" s="377">
        <f t="shared" si="62"/>
        <v>7659</v>
      </c>
      <c r="AS14" s="377">
        <f t="shared" si="62"/>
        <v>9845</v>
      </c>
      <c r="AT14" s="377">
        <f t="shared" si="62"/>
        <v>8099</v>
      </c>
      <c r="AU14" s="377">
        <f t="shared" si="62"/>
        <v>9582</v>
      </c>
      <c r="AV14" s="377">
        <f t="shared" si="62"/>
        <v>13429</v>
      </c>
      <c r="AW14" s="377">
        <f t="shared" si="62"/>
        <v>18825</v>
      </c>
      <c r="AX14" s="377">
        <f t="shared" si="62"/>
        <v>21877</v>
      </c>
      <c r="AY14" s="377">
        <f t="shared" si="62"/>
        <v>32251</v>
      </c>
      <c r="AZ14" s="388">
        <f t="shared" si="62"/>
        <v>61483</v>
      </c>
      <c r="BA14" s="378">
        <f t="shared" si="29"/>
        <v>190705</v>
      </c>
      <c r="BB14" s="376">
        <f t="shared" ref="BB14:BM14" si="63">SUM(BB15:BB18)</f>
        <v>5203</v>
      </c>
      <c r="BC14" s="377">
        <f t="shared" si="63"/>
        <v>13782</v>
      </c>
      <c r="BD14" s="377">
        <f t="shared" si="63"/>
        <v>30905</v>
      </c>
      <c r="BE14" s="377">
        <f t="shared" si="63"/>
        <v>17276</v>
      </c>
      <c r="BF14" s="377">
        <f t="shared" si="63"/>
        <v>19267</v>
      </c>
      <c r="BG14" s="377">
        <f t="shared" si="63"/>
        <v>17199</v>
      </c>
      <c r="BH14" s="377">
        <f t="shared" si="63"/>
        <v>29828</v>
      </c>
      <c r="BI14" s="377">
        <f t="shared" si="63"/>
        <v>21894</v>
      </c>
      <c r="BJ14" s="377">
        <f t="shared" si="63"/>
        <v>30044</v>
      </c>
      <c r="BK14" s="377">
        <f t="shared" si="63"/>
        <v>35905</v>
      </c>
      <c r="BL14" s="377">
        <f t="shared" si="63"/>
        <v>36333</v>
      </c>
      <c r="BM14" s="388">
        <f t="shared" si="63"/>
        <v>58582</v>
      </c>
      <c r="BN14" s="378">
        <f t="shared" si="31"/>
        <v>316218</v>
      </c>
      <c r="BO14" s="376">
        <f t="shared" ref="BO14:BZ14" si="64">SUM(BO15:BO18)</f>
        <v>3299</v>
      </c>
      <c r="BP14" s="377">
        <f t="shared" si="64"/>
        <v>9676</v>
      </c>
      <c r="BQ14" s="377">
        <f t="shared" si="64"/>
        <v>26439</v>
      </c>
      <c r="BR14" s="377">
        <f t="shared" si="64"/>
        <v>21402</v>
      </c>
      <c r="BS14" s="377">
        <f t="shared" si="64"/>
        <v>23258</v>
      </c>
      <c r="BT14" s="377">
        <f t="shared" si="64"/>
        <v>18500</v>
      </c>
      <c r="BU14" s="377">
        <f t="shared" si="64"/>
        <v>68644</v>
      </c>
      <c r="BV14" s="377">
        <f t="shared" si="64"/>
        <v>10246</v>
      </c>
      <c r="BW14" s="377">
        <f t="shared" si="64"/>
        <v>25125</v>
      </c>
      <c r="BX14" s="377">
        <f t="shared" si="64"/>
        <v>26905</v>
      </c>
      <c r="BY14" s="377">
        <f t="shared" si="64"/>
        <v>18396</v>
      </c>
      <c r="BZ14" s="388">
        <f t="shared" si="64"/>
        <v>77341</v>
      </c>
      <c r="CA14" s="378">
        <f t="shared" si="33"/>
        <v>329231</v>
      </c>
      <c r="CB14" s="376">
        <f t="shared" ref="CB14:CM14" si="65">SUM(CB15:CB18)</f>
        <v>9184</v>
      </c>
      <c r="CC14" s="377">
        <f t="shared" si="65"/>
        <v>15629</v>
      </c>
      <c r="CD14" s="377">
        <f t="shared" si="65"/>
        <v>21556</v>
      </c>
      <c r="CE14" s="377">
        <f t="shared" si="65"/>
        <v>23948</v>
      </c>
      <c r="CF14" s="377">
        <f t="shared" si="65"/>
        <v>18456</v>
      </c>
      <c r="CG14" s="377">
        <f t="shared" si="65"/>
        <v>23445</v>
      </c>
      <c r="CH14" s="377">
        <f t="shared" si="65"/>
        <v>31675</v>
      </c>
      <c r="CI14" s="377">
        <f t="shared" si="65"/>
        <v>15606</v>
      </c>
      <c r="CJ14" s="377">
        <f t="shared" si="65"/>
        <v>30498</v>
      </c>
      <c r="CK14" s="377">
        <f t="shared" si="65"/>
        <v>36995</v>
      </c>
      <c r="CL14" s="377">
        <f t="shared" si="65"/>
        <v>35087</v>
      </c>
      <c r="CM14" s="388">
        <f t="shared" si="65"/>
        <v>87606</v>
      </c>
      <c r="CN14" s="378">
        <f t="shared" si="35"/>
        <v>349685</v>
      </c>
      <c r="CO14" s="376">
        <f t="shared" ref="CO14:CW14" si="66">SUM(CO15:CO18)</f>
        <v>730</v>
      </c>
      <c r="CP14" s="377">
        <f t="shared" si="66"/>
        <v>9294</v>
      </c>
      <c r="CQ14" s="377">
        <f t="shared" si="66"/>
        <v>28683</v>
      </c>
      <c r="CR14" s="377">
        <f t="shared" si="66"/>
        <v>19287</v>
      </c>
      <c r="CS14" s="377">
        <f t="shared" si="66"/>
        <v>18969</v>
      </c>
      <c r="CT14" s="377">
        <f t="shared" si="66"/>
        <v>21133</v>
      </c>
      <c r="CU14" s="377">
        <f t="shared" si="66"/>
        <v>48181</v>
      </c>
      <c r="CV14" s="377">
        <f t="shared" si="66"/>
        <v>24373</v>
      </c>
      <c r="CW14" s="377">
        <f t="shared" si="66"/>
        <v>26747</v>
      </c>
      <c r="CX14" s="377">
        <f>SUM(CX15:CX18)</f>
        <v>26910</v>
      </c>
      <c r="CY14" s="377">
        <f>SUM(CY15:CY18)</f>
        <v>29158</v>
      </c>
      <c r="CZ14" s="388">
        <f>SUM(CZ15:CZ18)</f>
        <v>86032</v>
      </c>
      <c r="DA14" s="378">
        <f t="shared" si="37"/>
        <v>339497</v>
      </c>
      <c r="DB14" s="376">
        <f t="shared" ref="DB14:DZ14" si="67">SUM(DB15:DB18)</f>
        <v>7088</v>
      </c>
      <c r="DC14" s="377">
        <f t="shared" si="67"/>
        <v>11870</v>
      </c>
      <c r="DD14" s="377">
        <f t="shared" si="67"/>
        <v>22704</v>
      </c>
      <c r="DE14" s="377">
        <f t="shared" si="67"/>
        <v>20453</v>
      </c>
      <c r="DF14" s="377">
        <f t="shared" si="67"/>
        <v>22436</v>
      </c>
      <c r="DG14" s="377">
        <f t="shared" si="67"/>
        <v>21370</v>
      </c>
      <c r="DH14" s="377">
        <f t="shared" si="67"/>
        <v>25847</v>
      </c>
      <c r="DI14" s="377">
        <f t="shared" si="67"/>
        <v>22171</v>
      </c>
      <c r="DJ14" s="377">
        <f t="shared" si="67"/>
        <v>43513</v>
      </c>
      <c r="DK14" s="377">
        <f t="shared" si="67"/>
        <v>33821</v>
      </c>
      <c r="DL14" s="377">
        <f t="shared" si="67"/>
        <v>44367</v>
      </c>
      <c r="DM14" s="388">
        <f t="shared" si="67"/>
        <v>118221</v>
      </c>
      <c r="DN14" s="378">
        <f t="shared" si="38"/>
        <v>393861</v>
      </c>
      <c r="DO14" s="376">
        <f t="shared" si="67"/>
        <v>5547</v>
      </c>
      <c r="DP14" s="377">
        <f t="shared" si="67"/>
        <v>14910</v>
      </c>
      <c r="DQ14" s="377">
        <f t="shared" si="67"/>
        <v>48274</v>
      </c>
      <c r="DR14" s="377">
        <f t="shared" si="67"/>
        <v>31172</v>
      </c>
      <c r="DS14" s="377">
        <f t="shared" si="67"/>
        <v>31773</v>
      </c>
      <c r="DT14" s="377">
        <f t="shared" si="67"/>
        <v>42757</v>
      </c>
      <c r="DU14" s="377">
        <f t="shared" si="67"/>
        <v>44385</v>
      </c>
      <c r="DV14" s="377">
        <f t="shared" si="67"/>
        <v>36959</v>
      </c>
      <c r="DW14" s="377">
        <f t="shared" si="67"/>
        <v>74465</v>
      </c>
      <c r="DX14" s="377">
        <f t="shared" si="67"/>
        <v>48337</v>
      </c>
      <c r="DY14" s="377">
        <f t="shared" si="67"/>
        <v>42293</v>
      </c>
      <c r="DZ14" s="388">
        <f t="shared" si="67"/>
        <v>83028</v>
      </c>
      <c r="EA14" s="378">
        <f t="shared" si="39"/>
        <v>503900</v>
      </c>
      <c r="EB14" s="376">
        <f t="shared" ref="EB14:EM14" si="68">SUM(EB15:EB18)</f>
        <v>11060</v>
      </c>
      <c r="EC14" s="377">
        <f t="shared" si="68"/>
        <v>19935</v>
      </c>
      <c r="ED14" s="377">
        <f t="shared" si="68"/>
        <v>37977</v>
      </c>
      <c r="EE14" s="377">
        <f t="shared" si="68"/>
        <v>28916</v>
      </c>
      <c r="EF14" s="377">
        <f t="shared" si="68"/>
        <v>34196</v>
      </c>
      <c r="EG14" s="377">
        <f t="shared" si="68"/>
        <v>50636</v>
      </c>
      <c r="EH14" s="377">
        <f t="shared" si="68"/>
        <v>46446</v>
      </c>
      <c r="EI14" s="377">
        <f t="shared" si="68"/>
        <v>37440</v>
      </c>
      <c r="EJ14" s="377">
        <f t="shared" si="68"/>
        <v>43776</v>
      </c>
      <c r="EK14" s="377">
        <f t="shared" si="68"/>
        <v>65487</v>
      </c>
      <c r="EL14" s="377">
        <f t="shared" si="68"/>
        <v>48499</v>
      </c>
      <c r="EM14" s="388">
        <f t="shared" si="68"/>
        <v>79041</v>
      </c>
      <c r="EN14" s="378">
        <f t="shared" si="41"/>
        <v>503409</v>
      </c>
      <c r="EO14" s="376">
        <f>SUM(EO15:EO18)</f>
        <v>928</v>
      </c>
      <c r="EP14" s="377">
        <f>SUM(EP15:EP18)</f>
        <v>16550</v>
      </c>
      <c r="EQ14" s="377">
        <v>24135</v>
      </c>
      <c r="ER14" s="377">
        <f t="shared" ref="ER14:EZ14" si="69">SUM(ER15:ER18)</f>
        <v>42780</v>
      </c>
      <c r="ES14" s="377">
        <f t="shared" si="69"/>
        <v>23938</v>
      </c>
      <c r="ET14" s="377">
        <f t="shared" si="69"/>
        <v>32592</v>
      </c>
      <c r="EU14" s="377">
        <f t="shared" si="69"/>
        <v>23994</v>
      </c>
      <c r="EV14" s="377">
        <f t="shared" si="69"/>
        <v>37879</v>
      </c>
      <c r="EW14" s="377">
        <f t="shared" si="69"/>
        <v>52062</v>
      </c>
      <c r="EX14" s="377">
        <f t="shared" si="69"/>
        <v>50808</v>
      </c>
      <c r="EY14" s="377">
        <f t="shared" si="69"/>
        <v>30657</v>
      </c>
      <c r="EZ14" s="388">
        <f t="shared" si="69"/>
        <v>71529</v>
      </c>
      <c r="FA14" s="378">
        <f t="shared" si="43"/>
        <v>407852</v>
      </c>
      <c r="FB14" s="376">
        <f t="shared" ref="FB14:FM14" si="70">SUM(FB15:FB18)</f>
        <v>5877</v>
      </c>
      <c r="FC14" s="377">
        <f t="shared" si="70"/>
        <v>19495</v>
      </c>
      <c r="FD14" s="377">
        <f>SUM(FD15:FD18)</f>
        <v>18373</v>
      </c>
      <c r="FE14" s="377">
        <f t="shared" si="70"/>
        <v>5600</v>
      </c>
      <c r="FF14" s="377">
        <f t="shared" si="70"/>
        <v>10163</v>
      </c>
      <c r="FG14" s="377">
        <f t="shared" si="70"/>
        <v>5318</v>
      </c>
      <c r="FH14" s="377">
        <f t="shared" si="70"/>
        <v>13107</v>
      </c>
      <c r="FI14" s="377">
        <f t="shared" si="70"/>
        <v>20778</v>
      </c>
      <c r="FJ14" s="377">
        <f t="shared" si="70"/>
        <v>45828</v>
      </c>
      <c r="FK14" s="377">
        <f t="shared" si="70"/>
        <v>59732</v>
      </c>
      <c r="FL14" s="377">
        <f t="shared" si="70"/>
        <v>66685</v>
      </c>
      <c r="FM14" s="388">
        <f t="shared" si="70"/>
        <v>122993</v>
      </c>
      <c r="FN14" s="378">
        <f t="shared" si="45"/>
        <v>393949</v>
      </c>
      <c r="FO14" s="376">
        <f>SUM(FO15:FO18)</f>
        <v>10727</v>
      </c>
      <c r="FP14" s="377">
        <f>SUM(FP15:FP18)</f>
        <v>29637</v>
      </c>
      <c r="FQ14" s="377">
        <f>SUM(FQ15:FQ18)</f>
        <v>56957</v>
      </c>
      <c r="FR14" s="377">
        <f t="shared" ref="FR14:GM14" si="71">SUM(FR15:FR18)</f>
        <v>35347</v>
      </c>
      <c r="FS14" s="377">
        <f t="shared" si="71"/>
        <v>32252</v>
      </c>
      <c r="FT14" s="377">
        <f t="shared" si="71"/>
        <v>47068</v>
      </c>
      <c r="FU14" s="377">
        <f t="shared" si="71"/>
        <v>37792</v>
      </c>
      <c r="FV14" s="377">
        <f t="shared" si="71"/>
        <v>41109</v>
      </c>
      <c r="FW14" s="377">
        <f t="shared" si="71"/>
        <v>46280</v>
      </c>
      <c r="FX14" s="377">
        <f t="shared" si="71"/>
        <v>40065</v>
      </c>
      <c r="FY14" s="377">
        <f t="shared" si="71"/>
        <v>42675</v>
      </c>
      <c r="FZ14" s="388">
        <f t="shared" si="71"/>
        <v>89554</v>
      </c>
      <c r="GA14" s="378">
        <f t="shared" si="47"/>
        <v>509463</v>
      </c>
      <c r="GB14" s="376">
        <f t="shared" si="71"/>
        <v>4267</v>
      </c>
      <c r="GC14" s="377">
        <f t="shared" si="71"/>
        <v>10402</v>
      </c>
      <c r="GD14" s="377">
        <f t="shared" si="71"/>
        <v>48735</v>
      </c>
      <c r="GE14" s="377">
        <f t="shared" si="71"/>
        <v>25437</v>
      </c>
      <c r="GF14" s="377">
        <f t="shared" si="71"/>
        <v>30307</v>
      </c>
      <c r="GG14" s="377">
        <f t="shared" si="71"/>
        <v>26605</v>
      </c>
      <c r="GH14" s="377">
        <f t="shared" si="71"/>
        <v>39909</v>
      </c>
      <c r="GI14" s="377">
        <f t="shared" si="71"/>
        <v>46781</v>
      </c>
      <c r="GJ14" s="377">
        <f t="shared" si="71"/>
        <v>59011</v>
      </c>
      <c r="GK14" s="377">
        <f t="shared" si="71"/>
        <v>44221</v>
      </c>
      <c r="GL14" s="377">
        <f t="shared" si="71"/>
        <v>55693</v>
      </c>
      <c r="GM14" s="388">
        <f t="shared" si="71"/>
        <v>78106</v>
      </c>
      <c r="GN14" s="378">
        <f t="shared" si="48"/>
        <v>469474</v>
      </c>
      <c r="GO14" s="376">
        <f t="shared" ref="GO14:GZ14" si="72">SUM(GO15:GO18)</f>
        <v>2744</v>
      </c>
      <c r="GP14" s="377">
        <f t="shared" si="72"/>
        <v>23530</v>
      </c>
      <c r="GQ14" s="377">
        <f t="shared" si="72"/>
        <v>31525</v>
      </c>
      <c r="GR14" s="377">
        <f t="shared" si="72"/>
        <v>45114</v>
      </c>
      <c r="GS14" s="377">
        <f t="shared" si="72"/>
        <v>21108</v>
      </c>
      <c r="GT14" s="377">
        <f t="shared" si="72"/>
        <v>34171</v>
      </c>
      <c r="GU14" s="377">
        <f t="shared" si="72"/>
        <v>27960</v>
      </c>
      <c r="GV14" s="377">
        <f t="shared" si="72"/>
        <v>38289</v>
      </c>
      <c r="GW14" s="377">
        <f t="shared" si="72"/>
        <v>40266</v>
      </c>
      <c r="GX14" s="377">
        <f t="shared" si="72"/>
        <v>41383</v>
      </c>
      <c r="GY14" s="377">
        <f t="shared" si="72"/>
        <v>65428</v>
      </c>
      <c r="GZ14" s="388">
        <f t="shared" si="72"/>
        <v>87974</v>
      </c>
      <c r="HA14" s="378">
        <f t="shared" si="50"/>
        <v>459492</v>
      </c>
      <c r="HB14" s="376">
        <f t="shared" ref="HB14:HM14" si="73">SUM(HB15:HB18)</f>
        <v>23970</v>
      </c>
      <c r="HC14" s="377">
        <f t="shared" si="73"/>
        <v>60061</v>
      </c>
      <c r="HD14" s="377">
        <f t="shared" si="73"/>
        <v>35201</v>
      </c>
      <c r="HE14" s="377">
        <f t="shared" si="73"/>
        <v>42783</v>
      </c>
      <c r="HF14" s="377">
        <f t="shared" si="73"/>
        <v>41922</v>
      </c>
      <c r="HG14" s="377">
        <f t="shared" si="73"/>
        <v>42763</v>
      </c>
      <c r="HH14" s="377">
        <f t="shared" si="73"/>
        <v>49133</v>
      </c>
      <c r="HI14" s="377">
        <f t="shared" si="73"/>
        <v>43716</v>
      </c>
      <c r="HJ14" s="377">
        <f t="shared" si="73"/>
        <v>37394</v>
      </c>
      <c r="HK14" s="377">
        <f t="shared" si="73"/>
        <v>49608</v>
      </c>
      <c r="HL14" s="377">
        <f t="shared" si="73"/>
        <v>45200</v>
      </c>
      <c r="HM14" s="388">
        <f t="shared" si="73"/>
        <v>91875</v>
      </c>
      <c r="HN14" s="378">
        <f t="shared" si="52"/>
        <v>563626</v>
      </c>
      <c r="HO14" s="376">
        <f t="shared" ref="HO14:IF14" si="74">SUM(HO15:HO18)</f>
        <v>14562</v>
      </c>
      <c r="HP14" s="377">
        <f t="shared" si="74"/>
        <v>26735</v>
      </c>
      <c r="HQ14" s="377">
        <f t="shared" si="74"/>
        <v>41510</v>
      </c>
      <c r="HR14" s="377">
        <f t="shared" si="74"/>
        <v>33462</v>
      </c>
      <c r="HS14" s="377">
        <f t="shared" si="74"/>
        <v>37554</v>
      </c>
      <c r="HT14" s="377">
        <f t="shared" si="74"/>
        <v>41304</v>
      </c>
      <c r="HU14" s="377">
        <f t="shared" si="74"/>
        <v>45479</v>
      </c>
      <c r="HV14" s="377">
        <f t="shared" si="74"/>
        <v>40838</v>
      </c>
      <c r="HW14" s="377">
        <f t="shared" si="74"/>
        <v>40538</v>
      </c>
      <c r="HX14" s="377">
        <f t="shared" si="74"/>
        <v>50519</v>
      </c>
      <c r="HY14" s="377">
        <f t="shared" si="74"/>
        <v>44188</v>
      </c>
      <c r="HZ14" s="1670">
        <v>102405</v>
      </c>
      <c r="IA14" s="1673">
        <f t="shared" si="58"/>
        <v>519094</v>
      </c>
      <c r="IB14" s="1328">
        <f>SUM(IB15:IB18)</f>
        <v>18905</v>
      </c>
      <c r="IC14" s="129">
        <f t="shared" si="74"/>
        <v>14626</v>
      </c>
      <c r="ID14" s="129">
        <f t="shared" si="74"/>
        <v>26245</v>
      </c>
      <c r="IE14" s="129">
        <f t="shared" si="74"/>
        <v>41129</v>
      </c>
      <c r="IF14" s="129">
        <f t="shared" si="74"/>
        <v>35625</v>
      </c>
      <c r="IG14" s="129">
        <f>SUM(IG15:IG18)</f>
        <v>41179</v>
      </c>
      <c r="IH14" s="129">
        <f>SUM(IH15:IH18)</f>
        <v>57791</v>
      </c>
      <c r="II14" s="129">
        <f>SUM(II15:II18)</f>
        <v>50272</v>
      </c>
      <c r="IJ14" s="129"/>
      <c r="IK14" s="129"/>
      <c r="IL14" s="129"/>
      <c r="IM14" s="1268"/>
      <c r="IN14" s="1343">
        <f t="shared" si="56"/>
        <v>285772</v>
      </c>
      <c r="IO14" s="120"/>
      <c r="IP14" s="370">
        <f t="shared" si="19"/>
        <v>23.101033351290457</v>
      </c>
      <c r="IQ14" s="340">
        <f t="shared" si="57"/>
        <v>1.5377837154105345</v>
      </c>
      <c r="IR14" s="339">
        <f t="shared" si="20"/>
        <v>281444</v>
      </c>
      <c r="IS14" s="341">
        <f t="shared" si="21"/>
        <v>285772</v>
      </c>
      <c r="IT14" s="338"/>
      <c r="IU14" s="339"/>
    </row>
    <row r="15" spans="1:255" ht="15" customHeight="1" x14ac:dyDescent="0.2">
      <c r="A15" s="1555" t="s">
        <v>622</v>
      </c>
      <c r="B15" s="379">
        <v>0</v>
      </c>
      <c r="C15" s="380">
        <v>0</v>
      </c>
      <c r="D15" s="380">
        <v>0</v>
      </c>
      <c r="E15" s="380">
        <v>0</v>
      </c>
      <c r="F15" s="380">
        <v>0</v>
      </c>
      <c r="G15" s="380">
        <v>0</v>
      </c>
      <c r="H15" s="380">
        <v>0</v>
      </c>
      <c r="I15" s="380">
        <v>0</v>
      </c>
      <c r="J15" s="380">
        <v>0</v>
      </c>
      <c r="K15" s="380">
        <v>0</v>
      </c>
      <c r="L15" s="380">
        <v>0</v>
      </c>
      <c r="M15" s="389">
        <v>0</v>
      </c>
      <c r="N15" s="381">
        <f t="shared" si="23"/>
        <v>0</v>
      </c>
      <c r="O15" s="379">
        <v>140</v>
      </c>
      <c r="P15" s="380">
        <v>130</v>
      </c>
      <c r="Q15" s="380">
        <v>0</v>
      </c>
      <c r="R15" s="380">
        <v>0</v>
      </c>
      <c r="S15" s="380">
        <v>44</v>
      </c>
      <c r="T15" s="380">
        <v>0</v>
      </c>
      <c r="U15" s="380">
        <v>66</v>
      </c>
      <c r="V15" s="380">
        <v>220</v>
      </c>
      <c r="W15" s="380">
        <v>200</v>
      </c>
      <c r="X15" s="380">
        <v>110</v>
      </c>
      <c r="Y15" s="380">
        <v>352</v>
      </c>
      <c r="Z15" s="389">
        <v>133</v>
      </c>
      <c r="AA15" s="381">
        <f t="shared" si="25"/>
        <v>1395</v>
      </c>
      <c r="AB15" s="379">
        <v>0</v>
      </c>
      <c r="AC15" s="380">
        <v>1</v>
      </c>
      <c r="AD15" s="380">
        <v>30</v>
      </c>
      <c r="AE15" s="380">
        <v>176</v>
      </c>
      <c r="AF15" s="380">
        <v>4</v>
      </c>
      <c r="AG15" s="380">
        <v>154</v>
      </c>
      <c r="AH15" s="380">
        <v>32</v>
      </c>
      <c r="AI15" s="380">
        <v>324</v>
      </c>
      <c r="AJ15" s="380">
        <v>111</v>
      </c>
      <c r="AK15" s="380">
        <v>154</v>
      </c>
      <c r="AL15" s="380">
        <v>2</v>
      </c>
      <c r="AM15" s="389">
        <v>-7</v>
      </c>
      <c r="AN15" s="381">
        <f t="shared" si="27"/>
        <v>981</v>
      </c>
      <c r="AO15" s="379">
        <v>0</v>
      </c>
      <c r="AP15" s="380">
        <v>0</v>
      </c>
      <c r="AQ15" s="380">
        <v>0</v>
      </c>
      <c r="AR15" s="380">
        <v>4</v>
      </c>
      <c r="AS15" s="380">
        <v>1</v>
      </c>
      <c r="AT15" s="380">
        <v>14</v>
      </c>
      <c r="AU15" s="380">
        <v>2</v>
      </c>
      <c r="AV15" s="380">
        <v>2</v>
      </c>
      <c r="AW15" s="380">
        <v>66</v>
      </c>
      <c r="AX15" s="380">
        <v>1</v>
      </c>
      <c r="AY15" s="380">
        <v>254</v>
      </c>
      <c r="AZ15" s="389">
        <v>74</v>
      </c>
      <c r="BA15" s="381">
        <f t="shared" si="29"/>
        <v>418</v>
      </c>
      <c r="BB15" s="379">
        <v>0</v>
      </c>
      <c r="BC15" s="380"/>
      <c r="BD15" s="380">
        <v>0</v>
      </c>
      <c r="BE15" s="380">
        <v>0</v>
      </c>
      <c r="BF15" s="380">
        <v>0</v>
      </c>
      <c r="BG15" s="380">
        <v>0</v>
      </c>
      <c r="BH15" s="380">
        <v>0</v>
      </c>
      <c r="BI15" s="380">
        <v>899</v>
      </c>
      <c r="BJ15" s="380">
        <v>0</v>
      </c>
      <c r="BK15" s="380">
        <v>0</v>
      </c>
      <c r="BL15" s="380">
        <v>209</v>
      </c>
      <c r="BM15" s="389">
        <v>415</v>
      </c>
      <c r="BN15" s="381">
        <f t="shared" si="31"/>
        <v>1523</v>
      </c>
      <c r="BO15" s="379">
        <v>0</v>
      </c>
      <c r="BP15" s="380">
        <v>0</v>
      </c>
      <c r="BQ15" s="380">
        <v>0</v>
      </c>
      <c r="BR15" s="380">
        <v>0</v>
      </c>
      <c r="BS15" s="380">
        <v>40</v>
      </c>
      <c r="BT15" s="380">
        <v>71</v>
      </c>
      <c r="BU15" s="380">
        <v>25</v>
      </c>
      <c r="BV15" s="380">
        <v>13</v>
      </c>
      <c r="BW15" s="380">
        <v>0</v>
      </c>
      <c r="BX15" s="380">
        <v>27</v>
      </c>
      <c r="BY15" s="380">
        <v>0</v>
      </c>
      <c r="BZ15" s="389">
        <v>135</v>
      </c>
      <c r="CA15" s="381">
        <f t="shared" si="33"/>
        <v>311</v>
      </c>
      <c r="CB15" s="379">
        <v>0</v>
      </c>
      <c r="CC15" s="380">
        <v>0</v>
      </c>
      <c r="CD15" s="380">
        <v>0</v>
      </c>
      <c r="CE15" s="380">
        <v>0</v>
      </c>
      <c r="CF15" s="380">
        <v>0</v>
      </c>
      <c r="CG15" s="380">
        <v>0</v>
      </c>
      <c r="CH15" s="380">
        <v>0</v>
      </c>
      <c r="CI15" s="380">
        <v>0</v>
      </c>
      <c r="CJ15" s="380">
        <v>40</v>
      </c>
      <c r="CK15" s="380">
        <v>80</v>
      </c>
      <c r="CL15" s="380">
        <v>20</v>
      </c>
      <c r="CM15" s="389">
        <v>2</v>
      </c>
      <c r="CN15" s="381">
        <f t="shared" si="35"/>
        <v>142</v>
      </c>
      <c r="CO15" s="379">
        <v>0</v>
      </c>
      <c r="CP15" s="380">
        <v>0</v>
      </c>
      <c r="CQ15" s="380">
        <v>0</v>
      </c>
      <c r="CR15" s="380">
        <v>0</v>
      </c>
      <c r="CS15" s="380">
        <v>0</v>
      </c>
      <c r="CT15" s="380">
        <v>0</v>
      </c>
      <c r="CU15" s="380">
        <v>0</v>
      </c>
      <c r="CV15" s="380">
        <v>65</v>
      </c>
      <c r="CW15" s="380">
        <v>-65</v>
      </c>
      <c r="CX15" s="380">
        <v>0</v>
      </c>
      <c r="CY15" s="380">
        <v>0</v>
      </c>
      <c r="CZ15" s="389">
        <v>107</v>
      </c>
      <c r="DA15" s="381">
        <f t="shared" si="37"/>
        <v>107</v>
      </c>
      <c r="DB15" s="379">
        <v>3</v>
      </c>
      <c r="DC15" s="380">
        <v>0</v>
      </c>
      <c r="DD15" s="380">
        <v>6</v>
      </c>
      <c r="DE15" s="380">
        <v>3</v>
      </c>
      <c r="DF15" s="380">
        <v>4</v>
      </c>
      <c r="DG15" s="380">
        <v>4</v>
      </c>
      <c r="DH15" s="380">
        <v>4</v>
      </c>
      <c r="DI15" s="380">
        <v>406</v>
      </c>
      <c r="DJ15" s="380">
        <v>129</v>
      </c>
      <c r="DK15" s="380">
        <v>2</v>
      </c>
      <c r="DL15" s="380">
        <v>101</v>
      </c>
      <c r="DM15" s="389">
        <v>32</v>
      </c>
      <c r="DN15" s="381">
        <f t="shared" si="38"/>
        <v>694</v>
      </c>
      <c r="DO15" s="379">
        <v>2</v>
      </c>
      <c r="DP15" s="380">
        <v>208</v>
      </c>
      <c r="DQ15" s="380">
        <v>4</v>
      </c>
      <c r="DR15" s="380">
        <v>0</v>
      </c>
      <c r="DS15" s="380">
        <v>0</v>
      </c>
      <c r="DT15" s="380">
        <v>0</v>
      </c>
      <c r="DU15" s="380">
        <v>1</v>
      </c>
      <c r="DV15" s="380">
        <v>2</v>
      </c>
      <c r="DW15" s="380">
        <v>0</v>
      </c>
      <c r="DX15" s="380">
        <v>2</v>
      </c>
      <c r="DY15" s="380">
        <v>0</v>
      </c>
      <c r="DZ15" s="389">
        <v>3</v>
      </c>
      <c r="EA15" s="381">
        <f t="shared" si="39"/>
        <v>222</v>
      </c>
      <c r="EB15" s="379">
        <v>0</v>
      </c>
      <c r="EC15" s="380">
        <v>0</v>
      </c>
      <c r="ED15" s="380">
        <v>0</v>
      </c>
      <c r="EE15" s="380">
        <v>0</v>
      </c>
      <c r="EF15" s="380">
        <v>0</v>
      </c>
      <c r="EG15" s="380">
        <v>0</v>
      </c>
      <c r="EH15" s="380">
        <v>0</v>
      </c>
      <c r="EI15" s="380">
        <v>50</v>
      </c>
      <c r="EJ15" s="380">
        <v>0</v>
      </c>
      <c r="EK15" s="380">
        <v>0</v>
      </c>
      <c r="EL15" s="380">
        <v>150</v>
      </c>
      <c r="EM15" s="389">
        <v>0</v>
      </c>
      <c r="EN15" s="381">
        <f t="shared" si="41"/>
        <v>200</v>
      </c>
      <c r="EO15" s="379">
        <v>0</v>
      </c>
      <c r="EP15" s="380">
        <v>0</v>
      </c>
      <c r="EQ15" s="380">
        <v>0</v>
      </c>
      <c r="ER15" s="380">
        <v>0</v>
      </c>
      <c r="ES15" s="380">
        <v>0</v>
      </c>
      <c r="ET15" s="380">
        <v>0</v>
      </c>
      <c r="EU15" s="380">
        <v>0</v>
      </c>
      <c r="EV15" s="380">
        <v>0</v>
      </c>
      <c r="EW15" s="380">
        <v>0</v>
      </c>
      <c r="EX15" s="380">
        <v>0</v>
      </c>
      <c r="EY15" s="380">
        <v>416</v>
      </c>
      <c r="EZ15" s="389">
        <v>0</v>
      </c>
      <c r="FA15" s="381">
        <f t="shared" si="43"/>
        <v>416</v>
      </c>
      <c r="FB15" s="379">
        <v>0</v>
      </c>
      <c r="FC15" s="380">
        <v>0</v>
      </c>
      <c r="FD15" s="380">
        <v>0</v>
      </c>
      <c r="FE15" s="380">
        <v>0</v>
      </c>
      <c r="FF15" s="380">
        <v>0</v>
      </c>
      <c r="FG15" s="380">
        <v>0</v>
      </c>
      <c r="FH15" s="380">
        <v>30</v>
      </c>
      <c r="FI15" s="380">
        <v>50</v>
      </c>
      <c r="FJ15" s="380">
        <v>10</v>
      </c>
      <c r="FK15" s="380">
        <v>0</v>
      </c>
      <c r="FL15" s="380">
        <v>0</v>
      </c>
      <c r="FM15" s="389">
        <v>0</v>
      </c>
      <c r="FN15" s="381">
        <f t="shared" si="45"/>
        <v>90</v>
      </c>
      <c r="FO15" s="379">
        <v>0</v>
      </c>
      <c r="FP15" s="380">
        <v>0</v>
      </c>
      <c r="FQ15" s="380">
        <v>0</v>
      </c>
      <c r="FR15" s="380">
        <v>0</v>
      </c>
      <c r="FS15" s="380">
        <v>0</v>
      </c>
      <c r="FT15" s="380">
        <v>0</v>
      </c>
      <c r="FU15" s="380">
        <v>0</v>
      </c>
      <c r="FV15" s="380">
        <v>544</v>
      </c>
      <c r="FW15" s="380">
        <v>0</v>
      </c>
      <c r="FX15" s="380">
        <v>0</v>
      </c>
      <c r="FY15" s="380">
        <v>0</v>
      </c>
      <c r="FZ15" s="389">
        <v>0</v>
      </c>
      <c r="GA15" s="381">
        <f t="shared" si="47"/>
        <v>544</v>
      </c>
      <c r="GB15" s="379">
        <v>0</v>
      </c>
      <c r="GC15" s="380">
        <v>0</v>
      </c>
      <c r="GD15" s="380">
        <v>50</v>
      </c>
      <c r="GE15" s="380">
        <v>0</v>
      </c>
      <c r="GF15" s="380">
        <v>50</v>
      </c>
      <c r="GG15" s="380">
        <v>0</v>
      </c>
      <c r="GH15" s="380">
        <v>0</v>
      </c>
      <c r="GI15" s="380">
        <v>0</v>
      </c>
      <c r="GJ15" s="380">
        <v>0</v>
      </c>
      <c r="GK15" s="380">
        <v>0</v>
      </c>
      <c r="GL15" s="380">
        <v>0</v>
      </c>
      <c r="GM15" s="389">
        <v>0</v>
      </c>
      <c r="GN15" s="381">
        <f t="shared" si="48"/>
        <v>100</v>
      </c>
      <c r="GO15" s="379">
        <v>0</v>
      </c>
      <c r="GP15" s="380">
        <v>0</v>
      </c>
      <c r="GQ15" s="380">
        <v>62</v>
      </c>
      <c r="GR15" s="380">
        <v>43</v>
      </c>
      <c r="GS15" s="380">
        <v>-44</v>
      </c>
      <c r="GT15" s="380">
        <v>268</v>
      </c>
      <c r="GU15" s="380">
        <v>0</v>
      </c>
      <c r="GV15" s="380">
        <v>0</v>
      </c>
      <c r="GW15" s="380">
        <v>200</v>
      </c>
      <c r="GX15" s="380">
        <v>136</v>
      </c>
      <c r="GY15" s="380">
        <v>164</v>
      </c>
      <c r="GZ15" s="389">
        <v>66</v>
      </c>
      <c r="HA15" s="381">
        <f t="shared" si="50"/>
        <v>895</v>
      </c>
      <c r="HB15" s="379">
        <v>150</v>
      </c>
      <c r="HC15" s="380">
        <v>575</v>
      </c>
      <c r="HD15" s="380">
        <v>0</v>
      </c>
      <c r="HE15" s="380">
        <v>0</v>
      </c>
      <c r="HF15" s="380">
        <v>0</v>
      </c>
      <c r="HG15" s="380">
        <v>0</v>
      </c>
      <c r="HH15" s="380">
        <v>0</v>
      </c>
      <c r="HI15" s="380">
        <v>6</v>
      </c>
      <c r="HJ15" s="380">
        <v>0</v>
      </c>
      <c r="HK15" s="380">
        <v>92</v>
      </c>
      <c r="HL15" s="380">
        <v>60</v>
      </c>
      <c r="HM15" s="389">
        <v>46</v>
      </c>
      <c r="HN15" s="381">
        <f t="shared" si="52"/>
        <v>929</v>
      </c>
      <c r="HO15" s="379">
        <v>0</v>
      </c>
      <c r="HP15" s="380">
        <v>0</v>
      </c>
      <c r="HQ15" s="380">
        <v>200</v>
      </c>
      <c r="HR15" s="380">
        <v>0</v>
      </c>
      <c r="HS15" s="380">
        <v>0</v>
      </c>
      <c r="HT15" s="380">
        <v>0</v>
      </c>
      <c r="HU15" s="380">
        <v>0</v>
      </c>
      <c r="HV15" s="380">
        <v>200</v>
      </c>
      <c r="HW15" s="380">
        <v>100</v>
      </c>
      <c r="HX15" s="380">
        <v>120</v>
      </c>
      <c r="HY15" s="380">
        <v>0</v>
      </c>
      <c r="HZ15" s="391">
        <v>0</v>
      </c>
      <c r="IA15" s="80">
        <f t="shared" si="58"/>
        <v>620</v>
      </c>
      <c r="IB15" s="1344">
        <v>61</v>
      </c>
      <c r="IC15" s="1674">
        <v>0</v>
      </c>
      <c r="ID15" s="120">
        <v>0</v>
      </c>
      <c r="IE15" s="120">
        <v>150</v>
      </c>
      <c r="IF15" s="120">
        <v>100</v>
      </c>
      <c r="IG15" s="120">
        <v>0</v>
      </c>
      <c r="IH15" s="120">
        <v>200</v>
      </c>
      <c r="II15" s="120">
        <v>0</v>
      </c>
      <c r="IJ15" s="120"/>
      <c r="IK15" s="120"/>
      <c r="IL15" s="120"/>
      <c r="IM15" s="1345"/>
      <c r="IN15" s="1346">
        <f t="shared" si="56"/>
        <v>511</v>
      </c>
      <c r="IO15" s="120"/>
      <c r="IP15" s="371">
        <f t="shared" si="19"/>
        <v>-100</v>
      </c>
      <c r="IQ15" s="348">
        <f t="shared" si="57"/>
        <v>27.750000000000007</v>
      </c>
      <c r="IR15" s="320">
        <f t="shared" si="20"/>
        <v>400</v>
      </c>
      <c r="IS15" s="344">
        <f t="shared" si="21"/>
        <v>511</v>
      </c>
      <c r="IU15" s="320"/>
    </row>
    <row r="16" spans="1:255" ht="15" customHeight="1" x14ac:dyDescent="0.2">
      <c r="A16" s="1554" t="s">
        <v>438</v>
      </c>
      <c r="B16" s="379">
        <v>64</v>
      </c>
      <c r="C16" s="380">
        <v>810</v>
      </c>
      <c r="D16" s="380">
        <v>372</v>
      </c>
      <c r="E16" s="380">
        <v>81</v>
      </c>
      <c r="F16" s="380">
        <v>128</v>
      </c>
      <c r="G16" s="380">
        <v>128</v>
      </c>
      <c r="H16" s="380">
        <v>206</v>
      </c>
      <c r="I16" s="380">
        <v>227</v>
      </c>
      <c r="J16" s="380">
        <v>103</v>
      </c>
      <c r="K16" s="380">
        <v>564</v>
      </c>
      <c r="L16" s="380">
        <v>259</v>
      </c>
      <c r="M16" s="389">
        <v>289</v>
      </c>
      <c r="N16" s="381">
        <f t="shared" si="23"/>
        <v>3231</v>
      </c>
      <c r="O16" s="379">
        <v>0</v>
      </c>
      <c r="P16" s="380">
        <v>6</v>
      </c>
      <c r="Q16" s="380">
        <v>7</v>
      </c>
      <c r="R16" s="380">
        <v>3</v>
      </c>
      <c r="S16" s="380">
        <v>10</v>
      </c>
      <c r="T16" s="380">
        <v>3</v>
      </c>
      <c r="U16" s="380">
        <v>7</v>
      </c>
      <c r="V16" s="380">
        <v>4</v>
      </c>
      <c r="W16" s="380">
        <v>1</v>
      </c>
      <c r="X16" s="380">
        <v>1</v>
      </c>
      <c r="Y16" s="380">
        <v>1</v>
      </c>
      <c r="Z16" s="389">
        <v>3</v>
      </c>
      <c r="AA16" s="381">
        <f t="shared" si="25"/>
        <v>46</v>
      </c>
      <c r="AB16" s="379">
        <v>0</v>
      </c>
      <c r="AC16" s="380">
        <v>0</v>
      </c>
      <c r="AD16" s="380">
        <v>2</v>
      </c>
      <c r="AE16" s="380">
        <v>10</v>
      </c>
      <c r="AF16" s="380">
        <v>26</v>
      </c>
      <c r="AG16" s="380">
        <v>20</v>
      </c>
      <c r="AH16" s="380">
        <v>1</v>
      </c>
      <c r="AI16" s="380">
        <v>26</v>
      </c>
      <c r="AJ16" s="380">
        <v>21</v>
      </c>
      <c r="AK16" s="380">
        <v>27</v>
      </c>
      <c r="AL16" s="380">
        <v>83</v>
      </c>
      <c r="AM16" s="389">
        <v>20</v>
      </c>
      <c r="AN16" s="381">
        <f t="shared" si="27"/>
        <v>236</v>
      </c>
      <c r="AO16" s="379">
        <v>0</v>
      </c>
      <c r="AP16" s="380">
        <v>3</v>
      </c>
      <c r="AQ16" s="380">
        <v>4</v>
      </c>
      <c r="AR16" s="380">
        <v>1</v>
      </c>
      <c r="AS16" s="380">
        <v>6</v>
      </c>
      <c r="AT16" s="380">
        <v>3</v>
      </c>
      <c r="AU16" s="380">
        <v>-1</v>
      </c>
      <c r="AV16" s="380">
        <v>0</v>
      </c>
      <c r="AW16" s="380">
        <v>2</v>
      </c>
      <c r="AX16" s="380">
        <v>1</v>
      </c>
      <c r="AY16" s="380">
        <v>5</v>
      </c>
      <c r="AZ16" s="389">
        <v>2</v>
      </c>
      <c r="BA16" s="381">
        <f t="shared" si="29"/>
        <v>26</v>
      </c>
      <c r="BB16" s="379">
        <v>1</v>
      </c>
      <c r="BC16" s="380">
        <v>81</v>
      </c>
      <c r="BD16" s="380">
        <v>2</v>
      </c>
      <c r="BE16" s="380">
        <v>1</v>
      </c>
      <c r="BF16" s="380">
        <v>3</v>
      </c>
      <c r="BG16" s="380">
        <v>1</v>
      </c>
      <c r="BH16" s="380">
        <v>1</v>
      </c>
      <c r="BI16" s="380">
        <v>1</v>
      </c>
      <c r="BJ16" s="380">
        <v>3</v>
      </c>
      <c r="BK16" s="380">
        <v>72</v>
      </c>
      <c r="BL16" s="380">
        <v>107</v>
      </c>
      <c r="BM16" s="389">
        <v>4</v>
      </c>
      <c r="BN16" s="381">
        <f t="shared" si="31"/>
        <v>277</v>
      </c>
      <c r="BO16" s="379">
        <v>0</v>
      </c>
      <c r="BP16" s="380">
        <v>0</v>
      </c>
      <c r="BQ16" s="380">
        <v>0</v>
      </c>
      <c r="BR16" s="380">
        <v>0</v>
      </c>
      <c r="BS16" s="380">
        <v>0</v>
      </c>
      <c r="BT16" s="380">
        <v>0</v>
      </c>
      <c r="BU16" s="380">
        <v>0</v>
      </c>
      <c r="BV16" s="380">
        <v>0</v>
      </c>
      <c r="BW16" s="380">
        <v>0</v>
      </c>
      <c r="BX16" s="380">
        <v>7</v>
      </c>
      <c r="BY16" s="380">
        <v>0</v>
      </c>
      <c r="BZ16" s="389">
        <v>-3</v>
      </c>
      <c r="CA16" s="381">
        <f t="shared" si="33"/>
        <v>4</v>
      </c>
      <c r="CB16" s="379">
        <v>0</v>
      </c>
      <c r="CC16" s="380">
        <v>0</v>
      </c>
      <c r="CD16" s="380">
        <v>0</v>
      </c>
      <c r="CE16" s="380">
        <v>0</v>
      </c>
      <c r="CF16" s="380">
        <v>0</v>
      </c>
      <c r="CG16" s="380">
        <v>0</v>
      </c>
      <c r="CH16" s="380">
        <v>0</v>
      </c>
      <c r="CI16" s="380">
        <v>0</v>
      </c>
      <c r="CJ16" s="380">
        <v>0</v>
      </c>
      <c r="CK16" s="380">
        <v>0</v>
      </c>
      <c r="CL16" s="380">
        <v>0</v>
      </c>
      <c r="CM16" s="389">
        <v>0</v>
      </c>
      <c r="CN16" s="381">
        <f t="shared" si="35"/>
        <v>0</v>
      </c>
      <c r="CO16" s="379">
        <v>0</v>
      </c>
      <c r="CP16" s="380">
        <v>0</v>
      </c>
      <c r="CQ16" s="380">
        <v>0</v>
      </c>
      <c r="CR16" s="380">
        <v>0</v>
      </c>
      <c r="CS16" s="380">
        <v>0</v>
      </c>
      <c r="CT16" s="380">
        <v>0</v>
      </c>
      <c r="CU16" s="380">
        <v>0</v>
      </c>
      <c r="CV16" s="380">
        <v>0</v>
      </c>
      <c r="CW16" s="380">
        <v>0</v>
      </c>
      <c r="CX16" s="380">
        <v>0</v>
      </c>
      <c r="CY16" s="380">
        <v>0</v>
      </c>
      <c r="CZ16" s="389">
        <v>0</v>
      </c>
      <c r="DA16" s="381">
        <f t="shared" si="37"/>
        <v>0</v>
      </c>
      <c r="DB16" s="379">
        <v>0</v>
      </c>
      <c r="DC16" s="380">
        <v>0</v>
      </c>
      <c r="DD16" s="380">
        <v>68</v>
      </c>
      <c r="DE16" s="380">
        <v>0</v>
      </c>
      <c r="DF16" s="380">
        <v>0</v>
      </c>
      <c r="DG16" s="380">
        <v>68</v>
      </c>
      <c r="DH16" s="380">
        <v>0</v>
      </c>
      <c r="DI16" s="380">
        <v>87</v>
      </c>
      <c r="DJ16" s="380">
        <v>0</v>
      </c>
      <c r="DK16" s="380">
        <v>0</v>
      </c>
      <c r="DL16" s="380">
        <v>0</v>
      </c>
      <c r="DM16" s="389">
        <v>0</v>
      </c>
      <c r="DN16" s="381">
        <f t="shared" si="38"/>
        <v>223</v>
      </c>
      <c r="DO16" s="379">
        <v>0</v>
      </c>
      <c r="DP16" s="380">
        <v>0</v>
      </c>
      <c r="DQ16" s="380">
        <v>0</v>
      </c>
      <c r="DR16" s="380">
        <v>0</v>
      </c>
      <c r="DS16" s="380">
        <v>0</v>
      </c>
      <c r="DT16" s="380">
        <v>0</v>
      </c>
      <c r="DU16" s="380">
        <v>0</v>
      </c>
      <c r="DV16" s="380">
        <v>0</v>
      </c>
      <c r="DW16" s="380">
        <v>0</v>
      </c>
      <c r="DX16" s="380">
        <v>0</v>
      </c>
      <c r="DY16" s="380">
        <v>0</v>
      </c>
      <c r="DZ16" s="389">
        <v>0</v>
      </c>
      <c r="EA16" s="381">
        <f t="shared" si="39"/>
        <v>0</v>
      </c>
      <c r="EB16" s="379">
        <v>0</v>
      </c>
      <c r="EC16" s="380">
        <v>0</v>
      </c>
      <c r="ED16" s="380">
        <v>0</v>
      </c>
      <c r="EE16" s="380">
        <v>0</v>
      </c>
      <c r="EF16" s="380">
        <v>0</v>
      </c>
      <c r="EG16" s="380">
        <v>0</v>
      </c>
      <c r="EH16" s="380">
        <v>0</v>
      </c>
      <c r="EI16" s="380">
        <v>0</v>
      </c>
      <c r="EJ16" s="380">
        <v>0</v>
      </c>
      <c r="EK16" s="380">
        <v>0</v>
      </c>
      <c r="EL16" s="380">
        <v>0</v>
      </c>
      <c r="EM16" s="389">
        <v>0</v>
      </c>
      <c r="EN16" s="381">
        <f t="shared" si="41"/>
        <v>0</v>
      </c>
      <c r="EO16" s="379">
        <v>0</v>
      </c>
      <c r="EP16" s="380">
        <v>0</v>
      </c>
      <c r="EQ16" s="380">
        <v>0</v>
      </c>
      <c r="ER16" s="380">
        <v>0</v>
      </c>
      <c r="ES16" s="380">
        <v>0</v>
      </c>
      <c r="ET16" s="380">
        <v>0</v>
      </c>
      <c r="EU16" s="380">
        <v>0</v>
      </c>
      <c r="EV16" s="380">
        <v>0</v>
      </c>
      <c r="EW16" s="380">
        <v>0</v>
      </c>
      <c r="EX16" s="380">
        <v>0</v>
      </c>
      <c r="EY16" s="380">
        <v>0</v>
      </c>
      <c r="EZ16" s="389">
        <v>0</v>
      </c>
      <c r="FA16" s="381">
        <f t="shared" si="43"/>
        <v>0</v>
      </c>
      <c r="FB16" s="379">
        <v>0</v>
      </c>
      <c r="FC16" s="380">
        <v>0</v>
      </c>
      <c r="FD16" s="380">
        <v>0</v>
      </c>
      <c r="FE16" s="380">
        <v>0</v>
      </c>
      <c r="FF16" s="380">
        <v>0</v>
      </c>
      <c r="FG16" s="380">
        <v>0</v>
      </c>
      <c r="FH16" s="380">
        <v>0</v>
      </c>
      <c r="FI16" s="380">
        <v>0</v>
      </c>
      <c r="FJ16" s="380">
        <v>44</v>
      </c>
      <c r="FK16" s="380">
        <v>0</v>
      </c>
      <c r="FL16" s="380">
        <v>0</v>
      </c>
      <c r="FM16" s="389">
        <v>0</v>
      </c>
      <c r="FN16" s="381">
        <f t="shared" si="45"/>
        <v>44</v>
      </c>
      <c r="FO16" s="379">
        <v>0</v>
      </c>
      <c r="FP16" s="380">
        <v>0</v>
      </c>
      <c r="FQ16" s="380">
        <v>10</v>
      </c>
      <c r="FR16" s="380">
        <v>0</v>
      </c>
      <c r="FS16" s="380">
        <v>0</v>
      </c>
      <c r="FT16" s="380">
        <v>0</v>
      </c>
      <c r="FU16" s="380">
        <v>0</v>
      </c>
      <c r="FV16" s="380">
        <v>0</v>
      </c>
      <c r="FW16" s="380">
        <v>0</v>
      </c>
      <c r="FX16" s="380">
        <v>0</v>
      </c>
      <c r="FY16" s="380">
        <v>0</v>
      </c>
      <c r="FZ16" s="389">
        <v>0</v>
      </c>
      <c r="GA16" s="381">
        <f t="shared" si="47"/>
        <v>10</v>
      </c>
      <c r="GB16" s="379">
        <v>0</v>
      </c>
      <c r="GC16" s="380">
        <v>0</v>
      </c>
      <c r="GD16" s="380">
        <v>0</v>
      </c>
      <c r="GE16" s="380">
        <v>0</v>
      </c>
      <c r="GF16" s="380">
        <v>0</v>
      </c>
      <c r="GG16" s="380">
        <v>0</v>
      </c>
      <c r="GH16" s="380">
        <v>0</v>
      </c>
      <c r="GI16" s="380">
        <v>0</v>
      </c>
      <c r="GJ16" s="380">
        <v>0</v>
      </c>
      <c r="GK16" s="380">
        <v>0</v>
      </c>
      <c r="GL16" s="380">
        <v>0</v>
      </c>
      <c r="GM16" s="389">
        <v>0</v>
      </c>
      <c r="GN16" s="381">
        <f t="shared" si="48"/>
        <v>0</v>
      </c>
      <c r="GO16" s="379">
        <v>0</v>
      </c>
      <c r="GP16" s="380">
        <v>0</v>
      </c>
      <c r="GQ16" s="380">
        <v>0</v>
      </c>
      <c r="GR16" s="380">
        <v>0</v>
      </c>
      <c r="GS16" s="380">
        <v>0</v>
      </c>
      <c r="GT16" s="380">
        <v>0</v>
      </c>
      <c r="GU16" s="380">
        <v>0</v>
      </c>
      <c r="GV16" s="380">
        <v>0</v>
      </c>
      <c r="GW16" s="380">
        <v>0</v>
      </c>
      <c r="GX16" s="380">
        <v>0</v>
      </c>
      <c r="GY16" s="380">
        <v>0</v>
      </c>
      <c r="GZ16" s="389">
        <v>0</v>
      </c>
      <c r="HA16" s="381">
        <f t="shared" si="50"/>
        <v>0</v>
      </c>
      <c r="HB16" s="379">
        <v>0</v>
      </c>
      <c r="HC16" s="380">
        <v>0</v>
      </c>
      <c r="HD16" s="380">
        <v>0</v>
      </c>
      <c r="HE16" s="380">
        <v>0</v>
      </c>
      <c r="HF16" s="380">
        <v>0</v>
      </c>
      <c r="HG16" s="380">
        <v>0</v>
      </c>
      <c r="HH16" s="380">
        <v>0</v>
      </c>
      <c r="HI16" s="380">
        <v>0</v>
      </c>
      <c r="HJ16" s="380">
        <v>0</v>
      </c>
      <c r="HK16" s="380">
        <v>0</v>
      </c>
      <c r="HL16" s="380">
        <v>0</v>
      </c>
      <c r="HM16" s="389">
        <v>0</v>
      </c>
      <c r="HN16" s="381">
        <f t="shared" si="52"/>
        <v>0</v>
      </c>
      <c r="HO16" s="379">
        <v>0</v>
      </c>
      <c r="HP16" s="380">
        <v>0</v>
      </c>
      <c r="HQ16" s="380">
        <v>0</v>
      </c>
      <c r="HR16" s="380">
        <v>0</v>
      </c>
      <c r="HS16" s="380">
        <v>0</v>
      </c>
      <c r="HT16" s="380">
        <v>1</v>
      </c>
      <c r="HU16" s="380">
        <v>0</v>
      </c>
      <c r="HV16" s="380">
        <v>0</v>
      </c>
      <c r="HW16" s="380">
        <v>0</v>
      </c>
      <c r="HX16" s="380">
        <v>0</v>
      </c>
      <c r="HY16" s="380">
        <v>0</v>
      </c>
      <c r="HZ16" s="391">
        <v>0</v>
      </c>
      <c r="IA16" s="80">
        <f t="shared" si="58"/>
        <v>1</v>
      </c>
      <c r="IB16" s="1344">
        <v>0</v>
      </c>
      <c r="IC16" s="120">
        <v>0</v>
      </c>
      <c r="ID16" s="120">
        <v>0</v>
      </c>
      <c r="IE16" s="120">
        <v>0</v>
      </c>
      <c r="IF16" s="120">
        <v>0</v>
      </c>
      <c r="IG16" s="120">
        <v>0</v>
      </c>
      <c r="IH16" s="120">
        <v>0</v>
      </c>
      <c r="II16" s="120">
        <v>0</v>
      </c>
      <c r="IJ16" s="120"/>
      <c r="IK16" s="120"/>
      <c r="IL16" s="120"/>
      <c r="IM16" s="1345"/>
      <c r="IN16" s="1346">
        <f t="shared" si="56"/>
        <v>0</v>
      </c>
      <c r="IO16" s="120"/>
      <c r="IP16" s="371" t="str">
        <f t="shared" si="19"/>
        <v/>
      </c>
      <c r="IQ16" s="348">
        <f t="shared" si="57"/>
        <v>-100</v>
      </c>
      <c r="IR16" s="320">
        <f t="shared" si="20"/>
        <v>1</v>
      </c>
      <c r="IS16" s="344">
        <f t="shared" si="21"/>
        <v>0</v>
      </c>
      <c r="IU16" s="320"/>
    </row>
    <row r="17" spans="1:255" ht="15" customHeight="1" x14ac:dyDescent="0.2">
      <c r="A17" s="1555" t="s">
        <v>620</v>
      </c>
      <c r="B17" s="379">
        <v>1912</v>
      </c>
      <c r="C17" s="380">
        <v>3749</v>
      </c>
      <c r="D17" s="380">
        <v>3882</v>
      </c>
      <c r="E17" s="380">
        <v>4252</v>
      </c>
      <c r="F17" s="380">
        <v>4414</v>
      </c>
      <c r="G17" s="380">
        <v>4082</v>
      </c>
      <c r="H17" s="380">
        <v>4133</v>
      </c>
      <c r="I17" s="380">
        <v>6174</v>
      </c>
      <c r="J17" s="380">
        <v>6145</v>
      </c>
      <c r="K17" s="380">
        <v>6678</v>
      </c>
      <c r="L17" s="380">
        <v>6447</v>
      </c>
      <c r="M17" s="389">
        <v>14472</v>
      </c>
      <c r="N17" s="381">
        <f t="shared" si="23"/>
        <v>66340</v>
      </c>
      <c r="O17" s="379">
        <v>2455</v>
      </c>
      <c r="P17" s="380">
        <v>3856</v>
      </c>
      <c r="Q17" s="380">
        <v>6350</v>
      </c>
      <c r="R17" s="380">
        <v>6131</v>
      </c>
      <c r="S17" s="380">
        <v>6441</v>
      </c>
      <c r="T17" s="380">
        <v>5810</v>
      </c>
      <c r="U17" s="380">
        <v>8281</v>
      </c>
      <c r="V17" s="380">
        <v>8459</v>
      </c>
      <c r="W17" s="380">
        <v>10064</v>
      </c>
      <c r="X17" s="380">
        <v>9235</v>
      </c>
      <c r="Y17" s="380">
        <v>9933</v>
      </c>
      <c r="Z17" s="389">
        <v>24337</v>
      </c>
      <c r="AA17" s="381">
        <f t="shared" si="25"/>
        <v>101352</v>
      </c>
      <c r="AB17" s="379">
        <v>2666</v>
      </c>
      <c r="AC17" s="380">
        <v>4628</v>
      </c>
      <c r="AD17" s="380">
        <v>7502</v>
      </c>
      <c r="AE17" s="380">
        <v>7419</v>
      </c>
      <c r="AF17" s="380">
        <v>9633</v>
      </c>
      <c r="AG17" s="380">
        <v>12136</v>
      </c>
      <c r="AH17" s="380">
        <v>9347</v>
      </c>
      <c r="AI17" s="380">
        <v>14624</v>
      </c>
      <c r="AJ17" s="380">
        <v>10891</v>
      </c>
      <c r="AK17" s="380">
        <v>9788</v>
      </c>
      <c r="AL17" s="380">
        <v>12941</v>
      </c>
      <c r="AM17" s="389">
        <v>24650</v>
      </c>
      <c r="AN17" s="381">
        <f t="shared" si="27"/>
        <v>126225</v>
      </c>
      <c r="AO17" s="379">
        <v>121</v>
      </c>
      <c r="AP17" s="380">
        <v>1912</v>
      </c>
      <c r="AQ17" s="380">
        <v>5615</v>
      </c>
      <c r="AR17" s="380">
        <v>7654</v>
      </c>
      <c r="AS17" s="380">
        <v>9838</v>
      </c>
      <c r="AT17" s="380">
        <v>8082</v>
      </c>
      <c r="AU17" s="380">
        <v>9581</v>
      </c>
      <c r="AV17" s="380">
        <v>13427</v>
      </c>
      <c r="AW17" s="380">
        <v>18757</v>
      </c>
      <c r="AX17" s="380">
        <v>21875</v>
      </c>
      <c r="AY17" s="380">
        <v>31992</v>
      </c>
      <c r="AZ17" s="389">
        <v>61407</v>
      </c>
      <c r="BA17" s="381">
        <f t="shared" si="29"/>
        <v>190261</v>
      </c>
      <c r="BB17" s="379">
        <v>5202</v>
      </c>
      <c r="BC17" s="380">
        <v>13701</v>
      </c>
      <c r="BD17" s="380">
        <v>30903</v>
      </c>
      <c r="BE17" s="380">
        <v>17275</v>
      </c>
      <c r="BF17" s="380">
        <v>19264</v>
      </c>
      <c r="BG17" s="380">
        <v>17198</v>
      </c>
      <c r="BH17" s="380">
        <v>29827</v>
      </c>
      <c r="BI17" s="380">
        <v>20994</v>
      </c>
      <c r="BJ17" s="380">
        <v>30041</v>
      </c>
      <c r="BK17" s="380">
        <v>35833</v>
      </c>
      <c r="BL17" s="380">
        <v>36017</v>
      </c>
      <c r="BM17" s="389">
        <v>58163</v>
      </c>
      <c r="BN17" s="381">
        <f t="shared" si="31"/>
        <v>314418</v>
      </c>
      <c r="BO17" s="379">
        <v>3299</v>
      </c>
      <c r="BP17" s="380">
        <v>9676</v>
      </c>
      <c r="BQ17" s="380">
        <v>26439</v>
      </c>
      <c r="BR17" s="380">
        <v>21402</v>
      </c>
      <c r="BS17" s="380">
        <v>23218</v>
      </c>
      <c r="BT17" s="380">
        <v>18429</v>
      </c>
      <c r="BU17" s="380">
        <v>68619</v>
      </c>
      <c r="BV17" s="380">
        <v>10233</v>
      </c>
      <c r="BW17" s="380">
        <v>25125</v>
      </c>
      <c r="BX17" s="380">
        <v>26871</v>
      </c>
      <c r="BY17" s="380">
        <v>18396</v>
      </c>
      <c r="BZ17" s="389">
        <v>77209</v>
      </c>
      <c r="CA17" s="381">
        <f t="shared" si="33"/>
        <v>328916</v>
      </c>
      <c r="CB17" s="379">
        <v>9184</v>
      </c>
      <c r="CC17" s="380">
        <v>15629</v>
      </c>
      <c r="CD17" s="380">
        <v>21556</v>
      </c>
      <c r="CE17" s="380">
        <v>23948</v>
      </c>
      <c r="CF17" s="380">
        <v>18456</v>
      </c>
      <c r="CG17" s="380">
        <v>23445</v>
      </c>
      <c r="CH17" s="380">
        <v>31675</v>
      </c>
      <c r="CI17" s="380">
        <v>15606</v>
      </c>
      <c r="CJ17" s="380">
        <v>30458</v>
      </c>
      <c r="CK17" s="380">
        <v>36915</v>
      </c>
      <c r="CL17" s="380">
        <v>35067</v>
      </c>
      <c r="CM17" s="389">
        <v>87604</v>
      </c>
      <c r="CN17" s="381">
        <f t="shared" si="35"/>
        <v>349543</v>
      </c>
      <c r="CO17" s="379">
        <v>730</v>
      </c>
      <c r="CP17" s="380">
        <v>9294</v>
      </c>
      <c r="CQ17" s="380">
        <v>28683</v>
      </c>
      <c r="CR17" s="380">
        <v>19287</v>
      </c>
      <c r="CS17" s="380">
        <v>18969</v>
      </c>
      <c r="CT17" s="380">
        <v>21133</v>
      </c>
      <c r="CU17" s="380">
        <v>48181</v>
      </c>
      <c r="CV17" s="380">
        <v>24308</v>
      </c>
      <c r="CW17" s="380">
        <v>26812</v>
      </c>
      <c r="CX17" s="380">
        <v>26910</v>
      </c>
      <c r="CY17" s="380">
        <v>29158</v>
      </c>
      <c r="CZ17" s="389">
        <v>85925</v>
      </c>
      <c r="DA17" s="381">
        <f t="shared" si="37"/>
        <v>339390</v>
      </c>
      <c r="DB17" s="379">
        <v>7085</v>
      </c>
      <c r="DC17" s="380">
        <v>11870</v>
      </c>
      <c r="DD17" s="380">
        <v>22630</v>
      </c>
      <c r="DE17" s="380">
        <v>20450</v>
      </c>
      <c r="DF17" s="380">
        <v>22432</v>
      </c>
      <c r="DG17" s="380">
        <v>21298</v>
      </c>
      <c r="DH17" s="380">
        <v>25843</v>
      </c>
      <c r="DI17" s="380">
        <v>21678</v>
      </c>
      <c r="DJ17" s="380">
        <v>43384</v>
      </c>
      <c r="DK17" s="380">
        <v>33819</v>
      </c>
      <c r="DL17" s="380">
        <v>44266</v>
      </c>
      <c r="DM17" s="389">
        <v>118189</v>
      </c>
      <c r="DN17" s="381">
        <f t="shared" si="38"/>
        <v>392944</v>
      </c>
      <c r="DO17" s="379">
        <v>5545</v>
      </c>
      <c r="DP17" s="380">
        <v>14702</v>
      </c>
      <c r="DQ17" s="380">
        <v>48270</v>
      </c>
      <c r="DR17" s="380">
        <v>31172</v>
      </c>
      <c r="DS17" s="380">
        <v>31773</v>
      </c>
      <c r="DT17" s="380">
        <v>42757</v>
      </c>
      <c r="DU17" s="380">
        <v>44384</v>
      </c>
      <c r="DV17" s="380">
        <v>36957</v>
      </c>
      <c r="DW17" s="380">
        <v>74465</v>
      </c>
      <c r="DX17" s="380">
        <v>48335</v>
      </c>
      <c r="DY17" s="380">
        <v>42293</v>
      </c>
      <c r="DZ17" s="389">
        <v>83025</v>
      </c>
      <c r="EA17" s="381">
        <f t="shared" si="39"/>
        <v>503678</v>
      </c>
      <c r="EB17" s="379">
        <v>11060</v>
      </c>
      <c r="EC17" s="380">
        <v>19935</v>
      </c>
      <c r="ED17" s="380">
        <v>37977</v>
      </c>
      <c r="EE17" s="380">
        <v>28916</v>
      </c>
      <c r="EF17" s="380">
        <v>34196</v>
      </c>
      <c r="EG17" s="380">
        <v>50636</v>
      </c>
      <c r="EH17" s="380">
        <v>46446</v>
      </c>
      <c r="EI17" s="380">
        <v>37390</v>
      </c>
      <c r="EJ17" s="380">
        <v>43776</v>
      </c>
      <c r="EK17" s="380">
        <v>65487</v>
      </c>
      <c r="EL17" s="380">
        <v>48349</v>
      </c>
      <c r="EM17" s="389">
        <v>79041</v>
      </c>
      <c r="EN17" s="381">
        <f t="shared" si="41"/>
        <v>503209</v>
      </c>
      <c r="EO17" s="379">
        <v>928</v>
      </c>
      <c r="EP17" s="380">
        <v>16550</v>
      </c>
      <c r="EQ17" s="380">
        <v>24135</v>
      </c>
      <c r="ER17" s="380">
        <v>42780</v>
      </c>
      <c r="ES17" s="380">
        <v>23938</v>
      </c>
      <c r="ET17" s="380">
        <v>32592</v>
      </c>
      <c r="EU17" s="380">
        <v>23994</v>
      </c>
      <c r="EV17" s="380">
        <v>37879</v>
      </c>
      <c r="EW17" s="380">
        <v>52062</v>
      </c>
      <c r="EX17" s="380">
        <v>50808</v>
      </c>
      <c r="EY17" s="380">
        <v>30241</v>
      </c>
      <c r="EZ17" s="389">
        <v>71529</v>
      </c>
      <c r="FA17" s="381">
        <f t="shared" si="43"/>
        <v>407436</v>
      </c>
      <c r="FB17" s="379">
        <v>5877</v>
      </c>
      <c r="FC17" s="380">
        <v>19495</v>
      </c>
      <c r="FD17" s="380">
        <v>18373</v>
      </c>
      <c r="FE17" s="380">
        <v>5600</v>
      </c>
      <c r="FF17" s="380">
        <v>10163</v>
      </c>
      <c r="FG17" s="380">
        <v>5318</v>
      </c>
      <c r="FH17" s="380">
        <v>13077</v>
      </c>
      <c r="FI17" s="380">
        <v>20728</v>
      </c>
      <c r="FJ17" s="380">
        <v>45774</v>
      </c>
      <c r="FK17" s="380">
        <v>59732</v>
      </c>
      <c r="FL17" s="380">
        <v>66685</v>
      </c>
      <c r="FM17" s="389">
        <v>122993</v>
      </c>
      <c r="FN17" s="381">
        <f t="shared" si="45"/>
        <v>393815</v>
      </c>
      <c r="FO17" s="379">
        <v>10727</v>
      </c>
      <c r="FP17" s="380">
        <v>29637</v>
      </c>
      <c r="FQ17" s="380">
        <v>56947</v>
      </c>
      <c r="FR17" s="380">
        <v>35347</v>
      </c>
      <c r="FS17" s="380">
        <v>32252</v>
      </c>
      <c r="FT17" s="380">
        <v>47068</v>
      </c>
      <c r="FU17" s="380">
        <v>37792</v>
      </c>
      <c r="FV17" s="380">
        <v>40565</v>
      </c>
      <c r="FW17" s="380">
        <v>46280</v>
      </c>
      <c r="FX17" s="380">
        <v>40065</v>
      </c>
      <c r="FY17" s="380">
        <v>42675</v>
      </c>
      <c r="FZ17" s="389">
        <v>89554</v>
      </c>
      <c r="GA17" s="381">
        <f t="shared" si="47"/>
        <v>508909</v>
      </c>
      <c r="GB17" s="379">
        <v>4267</v>
      </c>
      <c r="GC17" s="380">
        <v>10402</v>
      </c>
      <c r="GD17" s="380">
        <v>48685</v>
      </c>
      <c r="GE17" s="380">
        <v>25437</v>
      </c>
      <c r="GF17" s="380">
        <v>30257</v>
      </c>
      <c r="GG17" s="380">
        <v>26605</v>
      </c>
      <c r="GH17" s="380">
        <v>39909</v>
      </c>
      <c r="GI17" s="380">
        <v>46781</v>
      </c>
      <c r="GJ17" s="380">
        <v>59011</v>
      </c>
      <c r="GK17" s="380">
        <v>44221</v>
      </c>
      <c r="GL17" s="380">
        <v>55693</v>
      </c>
      <c r="GM17" s="389">
        <v>78106</v>
      </c>
      <c r="GN17" s="381">
        <f t="shared" si="48"/>
        <v>469374</v>
      </c>
      <c r="GO17" s="379">
        <v>2744</v>
      </c>
      <c r="GP17" s="380">
        <v>23530</v>
      </c>
      <c r="GQ17" s="380">
        <v>31463</v>
      </c>
      <c r="GR17" s="380">
        <v>45071</v>
      </c>
      <c r="GS17" s="380">
        <v>21152</v>
      </c>
      <c r="GT17" s="380">
        <v>33776</v>
      </c>
      <c r="GU17" s="380">
        <v>27960</v>
      </c>
      <c r="GV17" s="380">
        <v>38289</v>
      </c>
      <c r="GW17" s="380">
        <v>40066</v>
      </c>
      <c r="GX17" s="380">
        <v>41247</v>
      </c>
      <c r="GY17" s="380">
        <v>65264</v>
      </c>
      <c r="GZ17" s="389">
        <v>87908</v>
      </c>
      <c r="HA17" s="381">
        <f t="shared" si="50"/>
        <v>458470</v>
      </c>
      <c r="HB17" s="379">
        <v>23820</v>
      </c>
      <c r="HC17" s="380">
        <v>59486</v>
      </c>
      <c r="HD17" s="380">
        <v>35201</v>
      </c>
      <c r="HE17" s="380">
        <v>42783</v>
      </c>
      <c r="HF17" s="380">
        <v>41922</v>
      </c>
      <c r="HG17" s="380">
        <v>42763</v>
      </c>
      <c r="HH17" s="380">
        <v>49133</v>
      </c>
      <c r="HI17" s="380">
        <v>43710</v>
      </c>
      <c r="HJ17" s="380">
        <v>37394</v>
      </c>
      <c r="HK17" s="380">
        <v>49516</v>
      </c>
      <c r="HL17" s="380">
        <v>45140</v>
      </c>
      <c r="HM17" s="389">
        <v>91829</v>
      </c>
      <c r="HN17" s="381">
        <f t="shared" si="52"/>
        <v>562697</v>
      </c>
      <c r="HO17" s="379">
        <v>14562</v>
      </c>
      <c r="HP17" s="380">
        <v>26735</v>
      </c>
      <c r="HQ17" s="380">
        <v>41310</v>
      </c>
      <c r="HR17" s="380">
        <v>33462</v>
      </c>
      <c r="HS17" s="380">
        <v>37554</v>
      </c>
      <c r="HT17" s="380">
        <v>41303</v>
      </c>
      <c r="HU17" s="380">
        <v>45479</v>
      </c>
      <c r="HV17" s="380">
        <v>40638</v>
      </c>
      <c r="HW17" s="380">
        <v>40438</v>
      </c>
      <c r="HX17" s="380">
        <v>50399</v>
      </c>
      <c r="HY17" s="380">
        <v>44188</v>
      </c>
      <c r="HZ17" s="391">
        <v>102405</v>
      </c>
      <c r="IA17" s="80">
        <f>SUM(HO17:HZ17)</f>
        <v>518473</v>
      </c>
      <c r="IB17" s="1344">
        <v>18844</v>
      </c>
      <c r="IC17" s="120">
        <v>14626</v>
      </c>
      <c r="ID17" s="120">
        <v>26245</v>
      </c>
      <c r="IE17" s="120">
        <v>40979</v>
      </c>
      <c r="IF17" s="120">
        <v>35525</v>
      </c>
      <c r="IG17" s="120">
        <v>41179</v>
      </c>
      <c r="IH17" s="120">
        <v>57591</v>
      </c>
      <c r="II17" s="120">
        <v>50272</v>
      </c>
      <c r="IJ17" s="120"/>
      <c r="IK17" s="120"/>
      <c r="IL17" s="120"/>
      <c r="IM17" s="1345"/>
      <c r="IN17" s="1346">
        <f t="shared" si="56"/>
        <v>285261</v>
      </c>
      <c r="IO17" s="120"/>
      <c r="IP17" s="371">
        <f t="shared" si="19"/>
        <v>23.706875338353271</v>
      </c>
      <c r="IQ17" s="348">
        <f t="shared" si="57"/>
        <v>1.5008379500645708</v>
      </c>
      <c r="IR17" s="320">
        <f t="shared" si="20"/>
        <v>281043</v>
      </c>
      <c r="IS17" s="344">
        <f t="shared" si="21"/>
        <v>285261</v>
      </c>
      <c r="IU17" s="320"/>
    </row>
    <row r="18" spans="1:255" ht="15" customHeight="1" x14ac:dyDescent="0.2">
      <c r="A18" s="1554" t="s">
        <v>437</v>
      </c>
      <c r="B18" s="379">
        <v>0</v>
      </c>
      <c r="C18" s="380">
        <v>0</v>
      </c>
      <c r="D18" s="380">
        <v>0</v>
      </c>
      <c r="E18" s="380">
        <v>0</v>
      </c>
      <c r="F18" s="380">
        <v>0</v>
      </c>
      <c r="G18" s="380">
        <v>0</v>
      </c>
      <c r="H18" s="380">
        <v>0</v>
      </c>
      <c r="I18" s="380">
        <v>0</v>
      </c>
      <c r="J18" s="380">
        <v>0</v>
      </c>
      <c r="K18" s="380">
        <v>0</v>
      </c>
      <c r="L18" s="380">
        <v>0</v>
      </c>
      <c r="M18" s="389">
        <v>0</v>
      </c>
      <c r="N18" s="381">
        <f t="shared" si="23"/>
        <v>0</v>
      </c>
      <c r="O18" s="379">
        <v>0</v>
      </c>
      <c r="P18" s="380">
        <v>0</v>
      </c>
      <c r="Q18" s="380">
        <v>0</v>
      </c>
      <c r="R18" s="380">
        <v>0</v>
      </c>
      <c r="S18" s="380">
        <v>0</v>
      </c>
      <c r="T18" s="380">
        <v>0</v>
      </c>
      <c r="U18" s="380">
        <v>0</v>
      </c>
      <c r="V18" s="380">
        <v>0</v>
      </c>
      <c r="W18" s="380">
        <v>0</v>
      </c>
      <c r="X18" s="380">
        <v>0</v>
      </c>
      <c r="Y18" s="380">
        <v>0</v>
      </c>
      <c r="Z18" s="389">
        <v>0</v>
      </c>
      <c r="AA18" s="381">
        <f t="shared" si="25"/>
        <v>0</v>
      </c>
      <c r="AB18" s="379">
        <v>0</v>
      </c>
      <c r="AC18" s="380">
        <v>0</v>
      </c>
      <c r="AD18" s="380">
        <v>0</v>
      </c>
      <c r="AE18" s="380">
        <v>0</v>
      </c>
      <c r="AF18" s="380">
        <v>0</v>
      </c>
      <c r="AG18" s="380">
        <v>0</v>
      </c>
      <c r="AH18" s="380">
        <v>0</v>
      </c>
      <c r="AI18" s="380">
        <v>0</v>
      </c>
      <c r="AJ18" s="380">
        <v>0</v>
      </c>
      <c r="AK18" s="380">
        <v>0</v>
      </c>
      <c r="AL18" s="380">
        <v>0</v>
      </c>
      <c r="AM18" s="389">
        <v>0</v>
      </c>
      <c r="AN18" s="381">
        <f t="shared" si="27"/>
        <v>0</v>
      </c>
      <c r="AO18" s="379">
        <v>0</v>
      </c>
      <c r="AP18" s="380">
        <v>0</v>
      </c>
      <c r="AQ18" s="380">
        <v>0</v>
      </c>
      <c r="AR18" s="380">
        <v>0</v>
      </c>
      <c r="AS18" s="380">
        <v>0</v>
      </c>
      <c r="AT18" s="380">
        <v>0</v>
      </c>
      <c r="AU18" s="380">
        <v>0</v>
      </c>
      <c r="AV18" s="380">
        <v>0</v>
      </c>
      <c r="AW18" s="380">
        <v>0</v>
      </c>
      <c r="AX18" s="380">
        <v>0</v>
      </c>
      <c r="AY18" s="380">
        <v>0</v>
      </c>
      <c r="AZ18" s="389">
        <v>0</v>
      </c>
      <c r="BA18" s="381">
        <f t="shared" si="29"/>
        <v>0</v>
      </c>
      <c r="BB18" s="379">
        <v>0</v>
      </c>
      <c r="BC18" s="380">
        <v>0</v>
      </c>
      <c r="BD18" s="380">
        <v>0</v>
      </c>
      <c r="BE18" s="380">
        <v>0</v>
      </c>
      <c r="BF18" s="380">
        <v>0</v>
      </c>
      <c r="BG18" s="380">
        <v>0</v>
      </c>
      <c r="BH18" s="380">
        <v>0</v>
      </c>
      <c r="BI18" s="380">
        <v>0</v>
      </c>
      <c r="BJ18" s="380">
        <v>0</v>
      </c>
      <c r="BK18" s="380">
        <v>0</v>
      </c>
      <c r="BL18" s="380">
        <v>0</v>
      </c>
      <c r="BM18" s="389">
        <v>0</v>
      </c>
      <c r="BN18" s="381">
        <f t="shared" si="31"/>
        <v>0</v>
      </c>
      <c r="BO18" s="379">
        <v>0</v>
      </c>
      <c r="BP18" s="380">
        <v>0</v>
      </c>
      <c r="BQ18" s="380">
        <v>0</v>
      </c>
      <c r="BR18" s="380">
        <v>0</v>
      </c>
      <c r="BS18" s="380">
        <v>0</v>
      </c>
      <c r="BT18" s="380">
        <v>0</v>
      </c>
      <c r="BU18" s="380">
        <v>0</v>
      </c>
      <c r="BV18" s="380">
        <v>0</v>
      </c>
      <c r="BW18" s="380">
        <v>0</v>
      </c>
      <c r="BX18" s="380">
        <v>0</v>
      </c>
      <c r="BY18" s="380">
        <v>0</v>
      </c>
      <c r="BZ18" s="389">
        <v>0</v>
      </c>
      <c r="CA18" s="381">
        <f t="shared" si="33"/>
        <v>0</v>
      </c>
      <c r="CB18" s="379">
        <v>0</v>
      </c>
      <c r="CC18" s="380">
        <v>0</v>
      </c>
      <c r="CD18" s="380">
        <v>0</v>
      </c>
      <c r="CE18" s="380">
        <v>0</v>
      </c>
      <c r="CF18" s="380">
        <v>0</v>
      </c>
      <c r="CG18" s="380">
        <v>0</v>
      </c>
      <c r="CH18" s="380">
        <v>0</v>
      </c>
      <c r="CI18" s="380">
        <v>0</v>
      </c>
      <c r="CJ18" s="380">
        <v>0</v>
      </c>
      <c r="CK18" s="380">
        <v>0</v>
      </c>
      <c r="CL18" s="380">
        <v>0</v>
      </c>
      <c r="CM18" s="389">
        <v>0</v>
      </c>
      <c r="CN18" s="381">
        <f t="shared" si="35"/>
        <v>0</v>
      </c>
      <c r="CO18" s="379">
        <v>0</v>
      </c>
      <c r="CP18" s="380">
        <v>0</v>
      </c>
      <c r="CQ18" s="380">
        <v>0</v>
      </c>
      <c r="CR18" s="380">
        <v>0</v>
      </c>
      <c r="CS18" s="380">
        <v>0</v>
      </c>
      <c r="CT18" s="380">
        <v>0</v>
      </c>
      <c r="CU18" s="380">
        <v>0</v>
      </c>
      <c r="CV18" s="380">
        <v>0</v>
      </c>
      <c r="CW18" s="380">
        <v>0</v>
      </c>
      <c r="CX18" s="380">
        <v>0</v>
      </c>
      <c r="CY18" s="380">
        <v>0</v>
      </c>
      <c r="CZ18" s="389">
        <v>0</v>
      </c>
      <c r="DA18" s="381">
        <f t="shared" si="37"/>
        <v>0</v>
      </c>
      <c r="DB18" s="379">
        <v>0</v>
      </c>
      <c r="DC18" s="380">
        <v>0</v>
      </c>
      <c r="DD18" s="380">
        <v>0</v>
      </c>
      <c r="DE18" s="380">
        <v>0</v>
      </c>
      <c r="DF18" s="380">
        <v>0</v>
      </c>
      <c r="DG18" s="380">
        <v>0</v>
      </c>
      <c r="DH18" s="380">
        <v>0</v>
      </c>
      <c r="DI18" s="380">
        <v>0</v>
      </c>
      <c r="DJ18" s="380">
        <v>0</v>
      </c>
      <c r="DK18" s="380">
        <v>0</v>
      </c>
      <c r="DL18" s="380">
        <v>0</v>
      </c>
      <c r="DM18" s="389">
        <v>0</v>
      </c>
      <c r="DN18" s="381">
        <f t="shared" si="38"/>
        <v>0</v>
      </c>
      <c r="DO18" s="379">
        <v>0</v>
      </c>
      <c r="DP18" s="380">
        <v>0</v>
      </c>
      <c r="DQ18" s="380">
        <v>0</v>
      </c>
      <c r="DR18" s="380">
        <v>0</v>
      </c>
      <c r="DS18" s="380">
        <v>0</v>
      </c>
      <c r="DT18" s="380">
        <v>0</v>
      </c>
      <c r="DU18" s="380">
        <v>0</v>
      </c>
      <c r="DV18" s="380">
        <v>0</v>
      </c>
      <c r="DW18" s="380">
        <v>0</v>
      </c>
      <c r="DX18" s="380">
        <v>0</v>
      </c>
      <c r="DY18" s="380">
        <v>0</v>
      </c>
      <c r="DZ18" s="389">
        <v>0</v>
      </c>
      <c r="EA18" s="381">
        <f t="shared" si="39"/>
        <v>0</v>
      </c>
      <c r="EB18" s="379">
        <v>0</v>
      </c>
      <c r="EC18" s="380">
        <v>0</v>
      </c>
      <c r="ED18" s="380">
        <v>0</v>
      </c>
      <c r="EE18" s="380">
        <v>0</v>
      </c>
      <c r="EF18" s="380">
        <v>0</v>
      </c>
      <c r="EG18" s="380"/>
      <c r="EH18" s="380">
        <v>0</v>
      </c>
      <c r="EI18" s="380">
        <v>0</v>
      </c>
      <c r="EJ18" s="380">
        <v>0</v>
      </c>
      <c r="EK18" s="380">
        <v>0</v>
      </c>
      <c r="EL18" s="380">
        <v>0</v>
      </c>
      <c r="EM18" s="389">
        <v>0</v>
      </c>
      <c r="EN18" s="381">
        <f t="shared" si="41"/>
        <v>0</v>
      </c>
      <c r="EO18" s="379">
        <v>0</v>
      </c>
      <c r="EP18" s="380">
        <v>0</v>
      </c>
      <c r="EQ18" s="380">
        <v>0</v>
      </c>
      <c r="ER18" s="380">
        <v>0</v>
      </c>
      <c r="ES18" s="380">
        <v>0</v>
      </c>
      <c r="ET18" s="380">
        <v>0</v>
      </c>
      <c r="EU18" s="380">
        <v>0</v>
      </c>
      <c r="EV18" s="380">
        <v>0</v>
      </c>
      <c r="EW18" s="380">
        <v>0</v>
      </c>
      <c r="EX18" s="380">
        <v>0</v>
      </c>
      <c r="EY18" s="380">
        <v>0</v>
      </c>
      <c r="EZ18" s="389">
        <v>0</v>
      </c>
      <c r="FA18" s="381">
        <f t="shared" si="43"/>
        <v>0</v>
      </c>
      <c r="FB18" s="379">
        <v>0</v>
      </c>
      <c r="FC18" s="380">
        <v>0</v>
      </c>
      <c r="FD18" s="380">
        <v>0</v>
      </c>
      <c r="FE18" s="380">
        <v>0</v>
      </c>
      <c r="FF18" s="380">
        <v>0</v>
      </c>
      <c r="FG18" s="380">
        <v>0</v>
      </c>
      <c r="FH18" s="380">
        <v>0</v>
      </c>
      <c r="FI18" s="380">
        <v>0</v>
      </c>
      <c r="FJ18" s="380">
        <v>0</v>
      </c>
      <c r="FK18" s="380">
        <v>0</v>
      </c>
      <c r="FL18" s="380">
        <v>0</v>
      </c>
      <c r="FM18" s="389">
        <v>0</v>
      </c>
      <c r="FN18" s="381">
        <f t="shared" si="45"/>
        <v>0</v>
      </c>
      <c r="FO18" s="379">
        <v>0</v>
      </c>
      <c r="FP18" s="380">
        <v>0</v>
      </c>
      <c r="FQ18" s="380">
        <v>0</v>
      </c>
      <c r="FR18" s="380">
        <v>0</v>
      </c>
      <c r="FS18" s="380">
        <v>0</v>
      </c>
      <c r="FT18" s="380">
        <v>0</v>
      </c>
      <c r="FU18" s="380">
        <v>0</v>
      </c>
      <c r="FV18" s="380">
        <v>0</v>
      </c>
      <c r="FW18" s="380">
        <v>0</v>
      </c>
      <c r="FX18" s="380">
        <v>0</v>
      </c>
      <c r="FY18" s="380">
        <v>0</v>
      </c>
      <c r="FZ18" s="389">
        <v>0</v>
      </c>
      <c r="GA18" s="381">
        <f t="shared" si="47"/>
        <v>0</v>
      </c>
      <c r="GB18" s="379">
        <v>0</v>
      </c>
      <c r="GC18" s="380">
        <v>0</v>
      </c>
      <c r="GD18" s="380">
        <v>0</v>
      </c>
      <c r="GE18" s="380">
        <v>0</v>
      </c>
      <c r="GF18" s="380">
        <v>0</v>
      </c>
      <c r="GG18" s="380">
        <v>0</v>
      </c>
      <c r="GH18" s="380">
        <v>0</v>
      </c>
      <c r="GI18" s="380">
        <v>0</v>
      </c>
      <c r="GJ18" s="380">
        <v>0</v>
      </c>
      <c r="GK18" s="380">
        <v>0</v>
      </c>
      <c r="GL18" s="380">
        <v>0</v>
      </c>
      <c r="GM18" s="389">
        <v>0</v>
      </c>
      <c r="GN18" s="381">
        <f t="shared" si="48"/>
        <v>0</v>
      </c>
      <c r="GO18" s="379">
        <v>0</v>
      </c>
      <c r="GP18" s="380">
        <v>0</v>
      </c>
      <c r="GQ18" s="380">
        <v>0</v>
      </c>
      <c r="GR18" s="380">
        <v>0</v>
      </c>
      <c r="GS18" s="380">
        <v>0</v>
      </c>
      <c r="GT18" s="380">
        <v>127</v>
      </c>
      <c r="GU18" s="380">
        <v>0</v>
      </c>
      <c r="GV18" s="380">
        <v>0</v>
      </c>
      <c r="GW18" s="380">
        <v>0</v>
      </c>
      <c r="GX18" s="380">
        <v>0</v>
      </c>
      <c r="GY18" s="380">
        <v>0</v>
      </c>
      <c r="GZ18" s="389">
        <v>0</v>
      </c>
      <c r="HA18" s="381">
        <f t="shared" si="50"/>
        <v>127</v>
      </c>
      <c r="HB18" s="379">
        <v>0</v>
      </c>
      <c r="HC18" s="380">
        <v>0</v>
      </c>
      <c r="HD18" s="380">
        <v>0</v>
      </c>
      <c r="HE18" s="380">
        <v>0</v>
      </c>
      <c r="HF18" s="380">
        <v>0</v>
      </c>
      <c r="HG18" s="380">
        <v>0</v>
      </c>
      <c r="HH18" s="380">
        <v>0</v>
      </c>
      <c r="HI18" s="380">
        <v>0</v>
      </c>
      <c r="HJ18" s="380">
        <v>0</v>
      </c>
      <c r="HK18" s="380">
        <v>0</v>
      </c>
      <c r="HL18" s="380">
        <v>0</v>
      </c>
      <c r="HM18" s="389">
        <v>0</v>
      </c>
      <c r="HN18" s="381">
        <f t="shared" si="52"/>
        <v>0</v>
      </c>
      <c r="HO18" s="379">
        <v>0</v>
      </c>
      <c r="HP18" s="380">
        <v>0</v>
      </c>
      <c r="HQ18" s="380">
        <v>0</v>
      </c>
      <c r="HR18" s="380">
        <v>0</v>
      </c>
      <c r="HS18" s="380">
        <v>0</v>
      </c>
      <c r="HT18" s="380">
        <v>0</v>
      </c>
      <c r="HU18" s="380">
        <v>0</v>
      </c>
      <c r="HV18" s="380">
        <v>0</v>
      </c>
      <c r="HW18" s="380">
        <v>0</v>
      </c>
      <c r="HX18" s="380">
        <v>0</v>
      </c>
      <c r="HY18" s="380">
        <v>0</v>
      </c>
      <c r="HZ18" s="391">
        <v>0</v>
      </c>
      <c r="IA18" s="80">
        <f>SUM(HO18:HZ18)</f>
        <v>0</v>
      </c>
      <c r="IB18" s="1344">
        <v>0</v>
      </c>
      <c r="IC18" s="120">
        <v>0</v>
      </c>
      <c r="ID18" s="120">
        <v>0</v>
      </c>
      <c r="IE18" s="120">
        <v>0</v>
      </c>
      <c r="IF18" s="120">
        <v>0</v>
      </c>
      <c r="IG18" s="120">
        <v>0</v>
      </c>
      <c r="IH18" s="120">
        <v>0</v>
      </c>
      <c r="II18" s="120">
        <v>0</v>
      </c>
      <c r="IJ18" s="120"/>
      <c r="IK18" s="120"/>
      <c r="IL18" s="120"/>
      <c r="IM18" s="1345"/>
      <c r="IN18" s="1346">
        <f t="shared" si="56"/>
        <v>0</v>
      </c>
      <c r="IO18" s="120"/>
      <c r="IP18" s="371" t="str">
        <f t="shared" si="19"/>
        <v/>
      </c>
      <c r="IQ18" s="348" t="str">
        <f t="shared" si="57"/>
        <v/>
      </c>
      <c r="IR18" s="320">
        <f t="shared" si="20"/>
        <v>0</v>
      </c>
      <c r="IS18" s="344">
        <f t="shared" si="21"/>
        <v>0</v>
      </c>
      <c r="IU18" s="320"/>
    </row>
    <row r="19" spans="1:255" ht="15" customHeight="1" x14ac:dyDescent="0.2">
      <c r="A19" s="1553" t="s">
        <v>439</v>
      </c>
      <c r="B19" s="376">
        <f t="shared" ref="B19:M19" si="75">SUM(B20:B21)</f>
        <v>250</v>
      </c>
      <c r="C19" s="377">
        <f t="shared" si="75"/>
        <v>297</v>
      </c>
      <c r="D19" s="377">
        <f t="shared" si="75"/>
        <v>402</v>
      </c>
      <c r="E19" s="377">
        <f t="shared" si="75"/>
        <v>593</v>
      </c>
      <c r="F19" s="377">
        <f t="shared" si="75"/>
        <v>596</v>
      </c>
      <c r="G19" s="377">
        <f t="shared" si="75"/>
        <v>678</v>
      </c>
      <c r="H19" s="377">
        <f t="shared" si="75"/>
        <v>594</v>
      </c>
      <c r="I19" s="377">
        <f t="shared" si="75"/>
        <v>599</v>
      </c>
      <c r="J19" s="377">
        <f t="shared" si="75"/>
        <v>654</v>
      </c>
      <c r="K19" s="377">
        <f t="shared" si="75"/>
        <v>485</v>
      </c>
      <c r="L19" s="377">
        <f t="shared" si="75"/>
        <v>450</v>
      </c>
      <c r="M19" s="388">
        <f t="shared" si="75"/>
        <v>609</v>
      </c>
      <c r="N19" s="378">
        <f t="shared" si="23"/>
        <v>6207</v>
      </c>
      <c r="O19" s="376">
        <f t="shared" ref="O19:Z19" si="76">SUM(O20:O21)</f>
        <v>282</v>
      </c>
      <c r="P19" s="377">
        <f t="shared" si="76"/>
        <v>828</v>
      </c>
      <c r="Q19" s="377">
        <f t="shared" si="76"/>
        <v>585</v>
      </c>
      <c r="R19" s="377">
        <f t="shared" si="76"/>
        <v>803</v>
      </c>
      <c r="S19" s="377">
        <f t="shared" si="76"/>
        <v>891</v>
      </c>
      <c r="T19" s="377">
        <f t="shared" si="76"/>
        <v>812</v>
      </c>
      <c r="U19" s="377">
        <f t="shared" si="76"/>
        <v>851</v>
      </c>
      <c r="V19" s="377">
        <f t="shared" si="76"/>
        <v>917</v>
      </c>
      <c r="W19" s="377">
        <f t="shared" si="76"/>
        <v>702</v>
      </c>
      <c r="X19" s="377">
        <f t="shared" si="76"/>
        <v>759</v>
      </c>
      <c r="Y19" s="377">
        <f t="shared" si="76"/>
        <v>931</v>
      </c>
      <c r="Z19" s="388">
        <f t="shared" si="76"/>
        <v>1157</v>
      </c>
      <c r="AA19" s="378">
        <f t="shared" si="25"/>
        <v>9518</v>
      </c>
      <c r="AB19" s="376">
        <f t="shared" ref="AB19:AM19" si="77">SUM(AB20:AB21)</f>
        <v>703</v>
      </c>
      <c r="AC19" s="377">
        <f t="shared" si="77"/>
        <v>622</v>
      </c>
      <c r="AD19" s="377">
        <f t="shared" si="77"/>
        <v>696</v>
      </c>
      <c r="AE19" s="377">
        <f t="shared" si="77"/>
        <v>780</v>
      </c>
      <c r="AF19" s="377">
        <f t="shared" si="77"/>
        <v>736</v>
      </c>
      <c r="AG19" s="377">
        <f t="shared" si="77"/>
        <v>1097</v>
      </c>
      <c r="AH19" s="377">
        <f t="shared" si="77"/>
        <v>555</v>
      </c>
      <c r="AI19" s="377">
        <f t="shared" si="77"/>
        <v>1019</v>
      </c>
      <c r="AJ19" s="377">
        <f t="shared" si="77"/>
        <v>699</v>
      </c>
      <c r="AK19" s="377">
        <f t="shared" si="77"/>
        <v>948</v>
      </c>
      <c r="AL19" s="377">
        <f t="shared" si="77"/>
        <v>1171</v>
      </c>
      <c r="AM19" s="388">
        <f t="shared" si="77"/>
        <v>606</v>
      </c>
      <c r="AN19" s="378">
        <f t="shared" si="27"/>
        <v>9632</v>
      </c>
      <c r="AO19" s="376">
        <f t="shared" ref="AO19:AZ19" si="78">SUM(AO20:AO21)</f>
        <v>20</v>
      </c>
      <c r="AP19" s="377">
        <f t="shared" si="78"/>
        <v>39</v>
      </c>
      <c r="AQ19" s="377">
        <f t="shared" si="78"/>
        <v>25</v>
      </c>
      <c r="AR19" s="377">
        <f t="shared" si="78"/>
        <v>53</v>
      </c>
      <c r="AS19" s="377">
        <f t="shared" si="78"/>
        <v>36</v>
      </c>
      <c r="AT19" s="377">
        <f t="shared" si="78"/>
        <v>28</v>
      </c>
      <c r="AU19" s="377">
        <f t="shared" si="78"/>
        <v>11</v>
      </c>
      <c r="AV19" s="377">
        <f t="shared" si="78"/>
        <v>15</v>
      </c>
      <c r="AW19" s="377">
        <f t="shared" si="78"/>
        <v>80</v>
      </c>
      <c r="AX19" s="377">
        <f t="shared" si="78"/>
        <v>157</v>
      </c>
      <c r="AY19" s="377">
        <f t="shared" si="78"/>
        <v>32</v>
      </c>
      <c r="AZ19" s="388">
        <f t="shared" si="78"/>
        <v>771</v>
      </c>
      <c r="BA19" s="378">
        <f t="shared" si="29"/>
        <v>1267</v>
      </c>
      <c r="BB19" s="376">
        <f t="shared" ref="BB19:BM19" si="79">SUM(BB20:BB21)</f>
        <v>8</v>
      </c>
      <c r="BC19" s="377">
        <f t="shared" si="79"/>
        <v>58</v>
      </c>
      <c r="BD19" s="377">
        <f t="shared" si="79"/>
        <v>48</v>
      </c>
      <c r="BE19" s="377">
        <f t="shared" si="79"/>
        <v>1114</v>
      </c>
      <c r="BF19" s="377">
        <f t="shared" si="79"/>
        <v>1997</v>
      </c>
      <c r="BG19" s="377">
        <f t="shared" si="79"/>
        <v>637</v>
      </c>
      <c r="BH19" s="377">
        <f t="shared" si="79"/>
        <v>548</v>
      </c>
      <c r="BI19" s="377">
        <f t="shared" si="79"/>
        <v>332</v>
      </c>
      <c r="BJ19" s="377">
        <f t="shared" si="79"/>
        <v>473</v>
      </c>
      <c r="BK19" s="377">
        <f t="shared" si="79"/>
        <v>1552</v>
      </c>
      <c r="BL19" s="377">
        <f t="shared" si="79"/>
        <v>940</v>
      </c>
      <c r="BM19" s="388">
        <f t="shared" si="79"/>
        <v>2564</v>
      </c>
      <c r="BN19" s="378">
        <f t="shared" si="31"/>
        <v>10271</v>
      </c>
      <c r="BO19" s="376">
        <f t="shared" ref="BO19:BZ19" si="80">SUM(BO20:BO21)</f>
        <v>831</v>
      </c>
      <c r="BP19" s="377">
        <f t="shared" si="80"/>
        <v>491</v>
      </c>
      <c r="BQ19" s="377">
        <f t="shared" si="80"/>
        <v>732</v>
      </c>
      <c r="BR19" s="377">
        <f t="shared" si="80"/>
        <v>795</v>
      </c>
      <c r="BS19" s="377">
        <f t="shared" si="80"/>
        <v>272</v>
      </c>
      <c r="BT19" s="377">
        <f t="shared" si="80"/>
        <v>2809</v>
      </c>
      <c r="BU19" s="377">
        <f t="shared" si="80"/>
        <v>1095</v>
      </c>
      <c r="BV19" s="377">
        <f t="shared" si="80"/>
        <v>1270</v>
      </c>
      <c r="BW19" s="377">
        <f t="shared" si="80"/>
        <v>1511</v>
      </c>
      <c r="BX19" s="377">
        <f t="shared" si="80"/>
        <v>3929</v>
      </c>
      <c r="BY19" s="377">
        <f t="shared" si="80"/>
        <v>1379</v>
      </c>
      <c r="BZ19" s="388">
        <f t="shared" si="80"/>
        <v>3083</v>
      </c>
      <c r="CA19" s="378">
        <f t="shared" si="33"/>
        <v>18197</v>
      </c>
      <c r="CB19" s="376">
        <f t="shared" ref="CB19:CM19" si="81">SUM(CB20:CB21)</f>
        <v>580</v>
      </c>
      <c r="CC19" s="377">
        <f t="shared" si="81"/>
        <v>763</v>
      </c>
      <c r="CD19" s="377">
        <f t="shared" si="81"/>
        <v>1125</v>
      </c>
      <c r="CE19" s="377">
        <f t="shared" si="81"/>
        <v>1655</v>
      </c>
      <c r="CF19" s="377">
        <f t="shared" si="81"/>
        <v>390</v>
      </c>
      <c r="CG19" s="377">
        <f t="shared" si="81"/>
        <v>1006</v>
      </c>
      <c r="CH19" s="377">
        <f t="shared" si="81"/>
        <v>540</v>
      </c>
      <c r="CI19" s="377">
        <f t="shared" si="81"/>
        <v>725</v>
      </c>
      <c r="CJ19" s="377">
        <f t="shared" si="81"/>
        <v>966</v>
      </c>
      <c r="CK19" s="377">
        <f t="shared" si="81"/>
        <v>1450</v>
      </c>
      <c r="CL19" s="377">
        <f t="shared" si="81"/>
        <v>530</v>
      </c>
      <c r="CM19" s="388">
        <f t="shared" si="81"/>
        <v>3426</v>
      </c>
      <c r="CN19" s="378">
        <f t="shared" si="35"/>
        <v>13156</v>
      </c>
      <c r="CO19" s="376">
        <f t="shared" ref="CO19:DZ19" si="82">SUM(CO20:CO21)</f>
        <v>0</v>
      </c>
      <c r="CP19" s="377">
        <f t="shared" si="82"/>
        <v>0</v>
      </c>
      <c r="CQ19" s="377">
        <f t="shared" si="82"/>
        <v>0</v>
      </c>
      <c r="CR19" s="377">
        <f t="shared" si="82"/>
        <v>0</v>
      </c>
      <c r="CS19" s="377">
        <f t="shared" si="82"/>
        <v>0</v>
      </c>
      <c r="CT19" s="377">
        <f t="shared" si="82"/>
        <v>0</v>
      </c>
      <c r="CU19" s="377">
        <f t="shared" si="82"/>
        <v>0</v>
      </c>
      <c r="CV19" s="377">
        <f t="shared" si="82"/>
        <v>0</v>
      </c>
      <c r="CW19" s="377">
        <f t="shared" si="82"/>
        <v>0</v>
      </c>
      <c r="CX19" s="377">
        <f t="shared" si="82"/>
        <v>90</v>
      </c>
      <c r="CY19" s="377">
        <f t="shared" si="82"/>
        <v>132</v>
      </c>
      <c r="CZ19" s="388">
        <f t="shared" si="82"/>
        <v>834</v>
      </c>
      <c r="DA19" s="378">
        <f t="shared" si="37"/>
        <v>1056</v>
      </c>
      <c r="DB19" s="376">
        <f t="shared" si="82"/>
        <v>63</v>
      </c>
      <c r="DC19" s="377">
        <f t="shared" si="82"/>
        <v>98</v>
      </c>
      <c r="DD19" s="377">
        <f t="shared" si="82"/>
        <v>840</v>
      </c>
      <c r="DE19" s="377">
        <f t="shared" si="82"/>
        <v>63</v>
      </c>
      <c r="DF19" s="377">
        <f t="shared" si="82"/>
        <v>614</v>
      </c>
      <c r="DG19" s="377">
        <f t="shared" si="82"/>
        <v>384</v>
      </c>
      <c r="DH19" s="377">
        <f t="shared" si="82"/>
        <v>397</v>
      </c>
      <c r="DI19" s="377">
        <f t="shared" si="82"/>
        <v>251</v>
      </c>
      <c r="DJ19" s="377">
        <f t="shared" si="82"/>
        <v>531</v>
      </c>
      <c r="DK19" s="377">
        <f t="shared" si="82"/>
        <v>104</v>
      </c>
      <c r="DL19" s="377">
        <f t="shared" si="82"/>
        <v>170</v>
      </c>
      <c r="DM19" s="388">
        <f t="shared" si="82"/>
        <v>132</v>
      </c>
      <c r="DN19" s="378">
        <f t="shared" si="38"/>
        <v>3647</v>
      </c>
      <c r="DO19" s="376">
        <f t="shared" si="82"/>
        <v>0</v>
      </c>
      <c r="DP19" s="377">
        <f t="shared" si="82"/>
        <v>0</v>
      </c>
      <c r="DQ19" s="377">
        <f t="shared" si="82"/>
        <v>282</v>
      </c>
      <c r="DR19" s="377">
        <f t="shared" si="82"/>
        <v>83</v>
      </c>
      <c r="DS19" s="377">
        <f t="shared" si="82"/>
        <v>123</v>
      </c>
      <c r="DT19" s="377">
        <f t="shared" si="82"/>
        <v>224</v>
      </c>
      <c r="DU19" s="377">
        <f t="shared" si="82"/>
        <v>244</v>
      </c>
      <c r="DV19" s="377">
        <f t="shared" si="82"/>
        <v>258</v>
      </c>
      <c r="DW19" s="377">
        <f t="shared" si="82"/>
        <v>145</v>
      </c>
      <c r="DX19" s="377">
        <f t="shared" si="82"/>
        <v>161</v>
      </c>
      <c r="DY19" s="377">
        <f t="shared" si="82"/>
        <v>260</v>
      </c>
      <c r="DZ19" s="388">
        <f t="shared" si="82"/>
        <v>942</v>
      </c>
      <c r="EA19" s="378">
        <f t="shared" si="39"/>
        <v>2722</v>
      </c>
      <c r="EB19" s="376">
        <f t="shared" ref="EB19:EM19" si="83">SUM(EB20:EB21)</f>
        <v>0</v>
      </c>
      <c r="EC19" s="377">
        <f t="shared" si="83"/>
        <v>0</v>
      </c>
      <c r="ED19" s="377">
        <f t="shared" si="83"/>
        <v>92</v>
      </c>
      <c r="EE19" s="377">
        <f t="shared" si="83"/>
        <v>0</v>
      </c>
      <c r="EF19" s="377">
        <f t="shared" si="83"/>
        <v>1137</v>
      </c>
      <c r="EG19" s="377">
        <f t="shared" si="83"/>
        <v>135</v>
      </c>
      <c r="EH19" s="377">
        <f t="shared" si="83"/>
        <v>200</v>
      </c>
      <c r="EI19" s="377">
        <f t="shared" si="83"/>
        <v>324</v>
      </c>
      <c r="EJ19" s="377">
        <f t="shared" si="83"/>
        <v>340</v>
      </c>
      <c r="EK19" s="377">
        <f t="shared" si="83"/>
        <v>198</v>
      </c>
      <c r="EL19" s="377">
        <f t="shared" si="83"/>
        <v>311</v>
      </c>
      <c r="EM19" s="388">
        <f t="shared" si="83"/>
        <v>286</v>
      </c>
      <c r="EN19" s="378">
        <f t="shared" si="41"/>
        <v>3023</v>
      </c>
      <c r="EO19" s="376">
        <f>SUM(EO20:EO21)</f>
        <v>0</v>
      </c>
      <c r="EP19" s="377">
        <f>SUM(EP20:EP21)</f>
        <v>0</v>
      </c>
      <c r="EQ19" s="377">
        <v>0</v>
      </c>
      <c r="ER19" s="377">
        <f t="shared" ref="ER19:EZ19" si="84">SUM(ER20:ER21)</f>
        <v>0</v>
      </c>
      <c r="ES19" s="377">
        <f t="shared" si="84"/>
        <v>0</v>
      </c>
      <c r="ET19" s="377">
        <f t="shared" si="84"/>
        <v>0</v>
      </c>
      <c r="EU19" s="377">
        <f t="shared" si="84"/>
        <v>0</v>
      </c>
      <c r="EV19" s="377">
        <f t="shared" si="84"/>
        <v>52</v>
      </c>
      <c r="EW19" s="377">
        <f t="shared" si="84"/>
        <v>222</v>
      </c>
      <c r="EX19" s="377">
        <f t="shared" si="84"/>
        <v>258</v>
      </c>
      <c r="EY19" s="377">
        <f t="shared" si="84"/>
        <v>670</v>
      </c>
      <c r="EZ19" s="388">
        <f t="shared" si="84"/>
        <v>615</v>
      </c>
      <c r="FA19" s="378">
        <f t="shared" si="43"/>
        <v>1817</v>
      </c>
      <c r="FB19" s="376">
        <f t="shared" ref="FB19:FM19" si="85">SUM(FB20:FB21)</f>
        <v>266</v>
      </c>
      <c r="FC19" s="377">
        <f t="shared" si="85"/>
        <v>121</v>
      </c>
      <c r="FD19" s="377">
        <f t="shared" si="85"/>
        <v>595</v>
      </c>
      <c r="FE19" s="377">
        <f t="shared" si="85"/>
        <v>255</v>
      </c>
      <c r="FF19" s="377">
        <f t="shared" si="85"/>
        <v>356</v>
      </c>
      <c r="FG19" s="377">
        <f t="shared" si="85"/>
        <v>628</v>
      </c>
      <c r="FH19" s="377">
        <f t="shared" si="85"/>
        <v>1291</v>
      </c>
      <c r="FI19" s="377">
        <f t="shared" si="85"/>
        <v>628</v>
      </c>
      <c r="FJ19" s="377">
        <f t="shared" si="85"/>
        <v>424</v>
      </c>
      <c r="FK19" s="377">
        <f t="shared" si="85"/>
        <v>456</v>
      </c>
      <c r="FL19" s="377">
        <f t="shared" si="85"/>
        <v>395</v>
      </c>
      <c r="FM19" s="388">
        <f t="shared" si="85"/>
        <v>345</v>
      </c>
      <c r="FN19" s="378">
        <f t="shared" si="45"/>
        <v>5760</v>
      </c>
      <c r="FO19" s="376">
        <f t="shared" ref="FO19:GM19" si="86">SUM(FO20:FO21)</f>
        <v>294</v>
      </c>
      <c r="FP19" s="377">
        <f t="shared" si="86"/>
        <v>380</v>
      </c>
      <c r="FQ19" s="377">
        <f t="shared" si="86"/>
        <v>542</v>
      </c>
      <c r="FR19" s="377">
        <f t="shared" si="86"/>
        <v>438</v>
      </c>
      <c r="FS19" s="377">
        <f t="shared" si="86"/>
        <v>380</v>
      </c>
      <c r="FT19" s="377">
        <f t="shared" si="86"/>
        <v>292</v>
      </c>
      <c r="FU19" s="377">
        <f t="shared" si="86"/>
        <v>428</v>
      </c>
      <c r="FV19" s="377">
        <f t="shared" si="86"/>
        <v>868</v>
      </c>
      <c r="FW19" s="377">
        <f t="shared" si="86"/>
        <v>316</v>
      </c>
      <c r="FX19" s="377">
        <f t="shared" si="86"/>
        <v>620</v>
      </c>
      <c r="FY19" s="377">
        <f t="shared" si="86"/>
        <v>1209</v>
      </c>
      <c r="FZ19" s="388">
        <f t="shared" si="86"/>
        <v>657</v>
      </c>
      <c r="GA19" s="378">
        <f t="shared" si="47"/>
        <v>6424</v>
      </c>
      <c r="GB19" s="376">
        <f t="shared" si="86"/>
        <v>658</v>
      </c>
      <c r="GC19" s="377">
        <f t="shared" si="86"/>
        <v>468</v>
      </c>
      <c r="GD19" s="377">
        <f t="shared" si="86"/>
        <v>675</v>
      </c>
      <c r="GE19" s="377">
        <f t="shared" si="86"/>
        <v>555</v>
      </c>
      <c r="GF19" s="377">
        <f t="shared" si="86"/>
        <v>574</v>
      </c>
      <c r="GG19" s="377">
        <f t="shared" si="86"/>
        <v>487</v>
      </c>
      <c r="GH19" s="377">
        <f t="shared" si="86"/>
        <v>336</v>
      </c>
      <c r="GI19" s="377">
        <f t="shared" si="86"/>
        <v>422</v>
      </c>
      <c r="GJ19" s="377">
        <f t="shared" si="86"/>
        <v>128</v>
      </c>
      <c r="GK19" s="377">
        <f t="shared" si="86"/>
        <v>35</v>
      </c>
      <c r="GL19" s="377">
        <f t="shared" si="86"/>
        <v>31</v>
      </c>
      <c r="GM19" s="388">
        <f t="shared" si="86"/>
        <v>32</v>
      </c>
      <c r="GN19" s="378">
        <f t="shared" si="48"/>
        <v>4401</v>
      </c>
      <c r="GO19" s="376">
        <f t="shared" ref="GO19:GZ19" si="87">SUM(GO20:GO21)</f>
        <v>0</v>
      </c>
      <c r="GP19" s="377">
        <f t="shared" si="87"/>
        <v>0</v>
      </c>
      <c r="GQ19" s="377">
        <f t="shared" si="87"/>
        <v>0</v>
      </c>
      <c r="GR19" s="377">
        <f t="shared" si="87"/>
        <v>0</v>
      </c>
      <c r="GS19" s="377">
        <f t="shared" si="87"/>
        <v>0</v>
      </c>
      <c r="GT19" s="377">
        <f t="shared" si="87"/>
        <v>0</v>
      </c>
      <c r="GU19" s="377">
        <f t="shared" si="87"/>
        <v>63</v>
      </c>
      <c r="GV19" s="377">
        <f t="shared" si="87"/>
        <v>729</v>
      </c>
      <c r="GW19" s="377">
        <f t="shared" si="87"/>
        <v>-433</v>
      </c>
      <c r="GX19" s="377">
        <f t="shared" si="87"/>
        <v>1174</v>
      </c>
      <c r="GY19" s="377">
        <f t="shared" si="87"/>
        <v>133</v>
      </c>
      <c r="GZ19" s="388">
        <f t="shared" si="87"/>
        <v>1049</v>
      </c>
      <c r="HA19" s="378">
        <f t="shared" si="50"/>
        <v>2715</v>
      </c>
      <c r="HB19" s="376">
        <f t="shared" ref="HB19:HM19" si="88">SUM(HB20:HB21)</f>
        <v>254</v>
      </c>
      <c r="HC19" s="377">
        <f t="shared" si="88"/>
        <v>3867</v>
      </c>
      <c r="HD19" s="377">
        <f t="shared" si="88"/>
        <v>462</v>
      </c>
      <c r="HE19" s="377">
        <f t="shared" si="88"/>
        <v>-1040</v>
      </c>
      <c r="HF19" s="377">
        <f t="shared" si="88"/>
        <v>1077</v>
      </c>
      <c r="HG19" s="377">
        <f t="shared" si="88"/>
        <v>1263</v>
      </c>
      <c r="HH19" s="377">
        <f t="shared" si="88"/>
        <v>1949</v>
      </c>
      <c r="HI19" s="377">
        <f t="shared" si="88"/>
        <v>1246</v>
      </c>
      <c r="HJ19" s="377">
        <f t="shared" si="88"/>
        <v>840</v>
      </c>
      <c r="HK19" s="377">
        <f t="shared" si="88"/>
        <v>1480</v>
      </c>
      <c r="HL19" s="377">
        <f t="shared" si="88"/>
        <v>726</v>
      </c>
      <c r="HM19" s="388">
        <f t="shared" si="88"/>
        <v>726</v>
      </c>
      <c r="HN19" s="378">
        <f t="shared" si="52"/>
        <v>12850</v>
      </c>
      <c r="HO19" s="376">
        <f t="shared" ref="HO19:IF19" si="89">SUM(HO20:HO21)</f>
        <v>304</v>
      </c>
      <c r="HP19" s="377">
        <f t="shared" si="89"/>
        <v>407</v>
      </c>
      <c r="HQ19" s="377">
        <f t="shared" si="89"/>
        <v>320</v>
      </c>
      <c r="HR19" s="377">
        <f t="shared" si="89"/>
        <v>565</v>
      </c>
      <c r="HS19" s="377">
        <f t="shared" si="89"/>
        <v>532</v>
      </c>
      <c r="HT19" s="377">
        <f t="shared" si="89"/>
        <v>890</v>
      </c>
      <c r="HU19" s="377">
        <f t="shared" si="89"/>
        <v>2095</v>
      </c>
      <c r="HV19" s="377">
        <f t="shared" si="89"/>
        <v>186</v>
      </c>
      <c r="HW19" s="377">
        <f t="shared" si="89"/>
        <v>440</v>
      </c>
      <c r="HX19" s="377">
        <f t="shared" si="89"/>
        <v>536</v>
      </c>
      <c r="HY19" s="377">
        <f t="shared" si="89"/>
        <v>1254</v>
      </c>
      <c r="HZ19" s="1670">
        <v>233</v>
      </c>
      <c r="IA19" s="1673">
        <f t="shared" si="58"/>
        <v>7762</v>
      </c>
      <c r="IB19" s="1328">
        <f>SUM(IB20:IB21)</f>
        <v>350</v>
      </c>
      <c r="IC19" s="129">
        <f t="shared" si="89"/>
        <v>579</v>
      </c>
      <c r="ID19" s="129">
        <f t="shared" si="89"/>
        <v>407</v>
      </c>
      <c r="IE19" s="129">
        <f t="shared" si="89"/>
        <v>350</v>
      </c>
      <c r="IF19" s="1328">
        <f t="shared" si="89"/>
        <v>2042</v>
      </c>
      <c r="IG19" s="129">
        <f t="shared" ref="IG19:IH19" si="90">SUM(IG20:IG21)</f>
        <v>865</v>
      </c>
      <c r="IH19" s="129">
        <f t="shared" si="90"/>
        <v>392</v>
      </c>
      <c r="II19" s="129">
        <f t="shared" ref="II19" si="91">SUM(II20:II21)</f>
        <v>497</v>
      </c>
      <c r="IJ19" s="129"/>
      <c r="IK19" s="129"/>
      <c r="IL19" s="129"/>
      <c r="IM19" s="1268"/>
      <c r="IN19" s="1343">
        <f t="shared" si="56"/>
        <v>5482</v>
      </c>
      <c r="IO19" s="129"/>
      <c r="IP19" s="370">
        <f t="shared" si="19"/>
        <v>167.2043010752688</v>
      </c>
      <c r="IQ19" s="340">
        <f t="shared" si="57"/>
        <v>3.4534817890167879</v>
      </c>
      <c r="IR19" s="339">
        <f t="shared" si="20"/>
        <v>5299</v>
      </c>
      <c r="IS19" s="341">
        <f t="shared" si="21"/>
        <v>5482</v>
      </c>
      <c r="IT19" s="338"/>
      <c r="IU19" s="339"/>
    </row>
    <row r="20" spans="1:255" ht="15" customHeight="1" x14ac:dyDescent="0.2">
      <c r="A20" s="1554" t="s">
        <v>440</v>
      </c>
      <c r="B20" s="379">
        <v>17</v>
      </c>
      <c r="C20" s="380">
        <v>19</v>
      </c>
      <c r="D20" s="380">
        <v>27</v>
      </c>
      <c r="E20" s="380">
        <v>42</v>
      </c>
      <c r="F20" s="380">
        <v>51</v>
      </c>
      <c r="G20" s="380">
        <v>55</v>
      </c>
      <c r="H20" s="380">
        <v>62</v>
      </c>
      <c r="I20" s="380">
        <v>41</v>
      </c>
      <c r="J20" s="380">
        <v>43</v>
      </c>
      <c r="K20" s="380">
        <v>44</v>
      </c>
      <c r="L20" s="380">
        <v>44</v>
      </c>
      <c r="M20" s="389">
        <v>53</v>
      </c>
      <c r="N20" s="381">
        <f t="shared" si="23"/>
        <v>498</v>
      </c>
      <c r="O20" s="379">
        <v>282</v>
      </c>
      <c r="P20" s="380">
        <v>828</v>
      </c>
      <c r="Q20" s="380">
        <v>585</v>
      </c>
      <c r="R20" s="380">
        <v>803</v>
      </c>
      <c r="S20" s="380">
        <v>891</v>
      </c>
      <c r="T20" s="380">
        <v>812</v>
      </c>
      <c r="U20" s="380">
        <v>851</v>
      </c>
      <c r="V20" s="380">
        <v>917</v>
      </c>
      <c r="W20" s="380">
        <v>702</v>
      </c>
      <c r="X20" s="380">
        <v>759</v>
      </c>
      <c r="Y20" s="380">
        <v>931</v>
      </c>
      <c r="Z20" s="389">
        <v>1157</v>
      </c>
      <c r="AA20" s="381">
        <f t="shared" si="25"/>
        <v>9518</v>
      </c>
      <c r="AB20" s="379">
        <v>703</v>
      </c>
      <c r="AC20" s="380">
        <v>622</v>
      </c>
      <c r="AD20" s="380">
        <v>696</v>
      </c>
      <c r="AE20" s="380">
        <v>780</v>
      </c>
      <c r="AF20" s="380">
        <v>736</v>
      </c>
      <c r="AG20" s="380">
        <v>1097</v>
      </c>
      <c r="AH20" s="380">
        <v>555</v>
      </c>
      <c r="AI20" s="380">
        <v>1019</v>
      </c>
      <c r="AJ20" s="380">
        <v>699</v>
      </c>
      <c r="AK20" s="380">
        <v>948</v>
      </c>
      <c r="AL20" s="380">
        <v>1171</v>
      </c>
      <c r="AM20" s="389">
        <v>606</v>
      </c>
      <c r="AN20" s="381">
        <f t="shared" si="27"/>
        <v>9632</v>
      </c>
      <c r="AO20" s="379">
        <v>20</v>
      </c>
      <c r="AP20" s="380">
        <v>39</v>
      </c>
      <c r="AQ20" s="380">
        <v>25</v>
      </c>
      <c r="AR20" s="380">
        <v>53</v>
      </c>
      <c r="AS20" s="380">
        <v>36</v>
      </c>
      <c r="AT20" s="380">
        <v>28</v>
      </c>
      <c r="AU20" s="380">
        <v>11</v>
      </c>
      <c r="AV20" s="380">
        <v>15</v>
      </c>
      <c r="AW20" s="380">
        <v>80</v>
      </c>
      <c r="AX20" s="380">
        <v>157</v>
      </c>
      <c r="AY20" s="380">
        <v>32</v>
      </c>
      <c r="AZ20" s="389">
        <v>771</v>
      </c>
      <c r="BA20" s="381">
        <f t="shared" si="29"/>
        <v>1267</v>
      </c>
      <c r="BB20" s="379">
        <v>8</v>
      </c>
      <c r="BC20" s="380">
        <v>58</v>
      </c>
      <c r="BD20" s="380">
        <v>48</v>
      </c>
      <c r="BE20" s="380">
        <v>1114</v>
      </c>
      <c r="BF20" s="380">
        <v>1997</v>
      </c>
      <c r="BG20" s="380">
        <v>637</v>
      </c>
      <c r="BH20" s="380">
        <v>548</v>
      </c>
      <c r="BI20" s="380">
        <v>332</v>
      </c>
      <c r="BJ20" s="380">
        <v>473</v>
      </c>
      <c r="BK20" s="380">
        <v>1552</v>
      </c>
      <c r="BL20" s="380">
        <v>940</v>
      </c>
      <c r="BM20" s="389">
        <v>2564</v>
      </c>
      <c r="BN20" s="381">
        <f t="shared" si="31"/>
        <v>10271</v>
      </c>
      <c r="BO20" s="379">
        <v>831</v>
      </c>
      <c r="BP20" s="380">
        <v>491</v>
      </c>
      <c r="BQ20" s="380">
        <v>732</v>
      </c>
      <c r="BR20" s="380">
        <v>795</v>
      </c>
      <c r="BS20" s="380">
        <v>272</v>
      </c>
      <c r="BT20" s="380">
        <v>2809</v>
      </c>
      <c r="BU20" s="380">
        <v>1095</v>
      </c>
      <c r="BV20" s="380">
        <v>1270</v>
      </c>
      <c r="BW20" s="380">
        <v>1511</v>
      </c>
      <c r="BX20" s="380">
        <v>3929</v>
      </c>
      <c r="BY20" s="380">
        <v>1379</v>
      </c>
      <c r="BZ20" s="389">
        <v>3083</v>
      </c>
      <c r="CA20" s="381">
        <f t="shared" si="33"/>
        <v>18197</v>
      </c>
      <c r="CB20" s="379">
        <v>580</v>
      </c>
      <c r="CC20" s="380">
        <v>763</v>
      </c>
      <c r="CD20" s="380">
        <v>1125</v>
      </c>
      <c r="CE20" s="380">
        <v>1655</v>
      </c>
      <c r="CF20" s="380">
        <v>390</v>
      </c>
      <c r="CG20" s="380">
        <v>1006</v>
      </c>
      <c r="CH20" s="380">
        <v>540</v>
      </c>
      <c r="CI20" s="380">
        <v>725</v>
      </c>
      <c r="CJ20" s="380">
        <v>966</v>
      </c>
      <c r="CK20" s="380">
        <v>1450</v>
      </c>
      <c r="CL20" s="380">
        <v>530</v>
      </c>
      <c r="CM20" s="389">
        <v>3426</v>
      </c>
      <c r="CN20" s="381">
        <f t="shared" si="35"/>
        <v>13156</v>
      </c>
      <c r="CO20" s="379">
        <v>0</v>
      </c>
      <c r="CP20" s="380">
        <v>0</v>
      </c>
      <c r="CQ20" s="380">
        <v>0</v>
      </c>
      <c r="CR20" s="380">
        <v>0</v>
      </c>
      <c r="CS20" s="380">
        <v>0</v>
      </c>
      <c r="CT20" s="380">
        <v>0</v>
      </c>
      <c r="CU20" s="380">
        <v>0</v>
      </c>
      <c r="CV20" s="380">
        <v>0</v>
      </c>
      <c r="CW20" s="380">
        <v>0</v>
      </c>
      <c r="CX20" s="380">
        <v>90</v>
      </c>
      <c r="CY20" s="380">
        <v>132</v>
      </c>
      <c r="CZ20" s="389">
        <v>834</v>
      </c>
      <c r="DA20" s="381">
        <f t="shared" si="37"/>
        <v>1056</v>
      </c>
      <c r="DB20" s="379">
        <v>63</v>
      </c>
      <c r="DC20" s="380">
        <v>19</v>
      </c>
      <c r="DD20" s="380">
        <v>840</v>
      </c>
      <c r="DE20" s="380">
        <v>63</v>
      </c>
      <c r="DF20" s="380">
        <v>37</v>
      </c>
      <c r="DG20" s="380">
        <v>384</v>
      </c>
      <c r="DH20" s="380">
        <v>37</v>
      </c>
      <c r="DI20" s="380">
        <v>12</v>
      </c>
      <c r="DJ20" s="380">
        <v>78</v>
      </c>
      <c r="DK20" s="380">
        <v>20</v>
      </c>
      <c r="DL20" s="380">
        <v>30</v>
      </c>
      <c r="DM20" s="389">
        <v>18</v>
      </c>
      <c r="DN20" s="381">
        <f t="shared" si="38"/>
        <v>1601</v>
      </c>
      <c r="DO20" s="379">
        <v>0</v>
      </c>
      <c r="DP20" s="380">
        <v>0</v>
      </c>
      <c r="DQ20" s="380">
        <v>39</v>
      </c>
      <c r="DR20" s="380">
        <v>31</v>
      </c>
      <c r="DS20" s="380">
        <v>22</v>
      </c>
      <c r="DT20" s="380">
        <v>46</v>
      </c>
      <c r="DU20" s="380">
        <v>25</v>
      </c>
      <c r="DV20" s="380">
        <v>28</v>
      </c>
      <c r="DW20" s="380">
        <v>16</v>
      </c>
      <c r="DX20" s="380">
        <v>15</v>
      </c>
      <c r="DY20" s="380">
        <v>19</v>
      </c>
      <c r="DZ20" s="389">
        <v>53</v>
      </c>
      <c r="EA20" s="381">
        <f t="shared" si="39"/>
        <v>294</v>
      </c>
      <c r="EB20" s="379">
        <v>0</v>
      </c>
      <c r="EC20" s="380">
        <v>0</v>
      </c>
      <c r="ED20" s="380">
        <v>3</v>
      </c>
      <c r="EE20" s="380">
        <v>0</v>
      </c>
      <c r="EF20" s="380">
        <v>87</v>
      </c>
      <c r="EG20" s="380">
        <v>11</v>
      </c>
      <c r="EH20" s="380">
        <v>16</v>
      </c>
      <c r="EI20" s="380">
        <v>21</v>
      </c>
      <c r="EJ20" s="380">
        <v>18</v>
      </c>
      <c r="EK20" s="380">
        <v>9</v>
      </c>
      <c r="EL20" s="380">
        <v>8</v>
      </c>
      <c r="EM20" s="389">
        <v>5</v>
      </c>
      <c r="EN20" s="381">
        <f t="shared" si="41"/>
        <v>178</v>
      </c>
      <c r="EO20" s="379">
        <v>0</v>
      </c>
      <c r="EP20" s="380">
        <v>0</v>
      </c>
      <c r="EQ20" s="380">
        <v>0</v>
      </c>
      <c r="ER20" s="380">
        <v>0</v>
      </c>
      <c r="ES20" s="380">
        <v>0</v>
      </c>
      <c r="ET20" s="380">
        <v>0</v>
      </c>
      <c r="EU20" s="380">
        <v>0</v>
      </c>
      <c r="EV20" s="380">
        <v>0</v>
      </c>
      <c r="EW20" s="380">
        <v>0</v>
      </c>
      <c r="EX20" s="380">
        <v>0</v>
      </c>
      <c r="EY20" s="380">
        <v>0</v>
      </c>
      <c r="EZ20" s="389">
        <v>0</v>
      </c>
      <c r="FA20" s="381">
        <f t="shared" si="43"/>
        <v>0</v>
      </c>
      <c r="FB20" s="379">
        <v>29</v>
      </c>
      <c r="FC20" s="380">
        <v>9</v>
      </c>
      <c r="FD20" s="380">
        <v>86</v>
      </c>
      <c r="FE20" s="380">
        <v>13</v>
      </c>
      <c r="FF20" s="380">
        <v>39</v>
      </c>
      <c r="FG20" s="380">
        <v>83</v>
      </c>
      <c r="FH20" s="380">
        <v>116</v>
      </c>
      <c r="FI20" s="380">
        <v>74</v>
      </c>
      <c r="FJ20" s="380">
        <v>46</v>
      </c>
      <c r="FK20" s="380">
        <v>51</v>
      </c>
      <c r="FL20" s="380">
        <v>40</v>
      </c>
      <c r="FM20" s="389">
        <v>28</v>
      </c>
      <c r="FN20" s="381">
        <f t="shared" si="45"/>
        <v>614</v>
      </c>
      <c r="FO20" s="379">
        <v>30</v>
      </c>
      <c r="FP20" s="380">
        <v>32</v>
      </c>
      <c r="FQ20" s="380">
        <v>49</v>
      </c>
      <c r="FR20" s="380">
        <v>39</v>
      </c>
      <c r="FS20" s="380">
        <v>25</v>
      </c>
      <c r="FT20" s="380">
        <v>24</v>
      </c>
      <c r="FU20" s="380">
        <v>45</v>
      </c>
      <c r="FV20" s="380">
        <v>57</v>
      </c>
      <c r="FW20" s="380">
        <v>25</v>
      </c>
      <c r="FX20" s="380">
        <v>33</v>
      </c>
      <c r="FY20" s="380">
        <v>58</v>
      </c>
      <c r="FZ20" s="389">
        <v>28</v>
      </c>
      <c r="GA20" s="381">
        <f t="shared" si="47"/>
        <v>445</v>
      </c>
      <c r="GB20" s="379">
        <v>26</v>
      </c>
      <c r="GC20" s="380">
        <v>19</v>
      </c>
      <c r="GD20" s="380">
        <v>20</v>
      </c>
      <c r="GE20" s="380">
        <v>15</v>
      </c>
      <c r="GF20" s="380">
        <v>15</v>
      </c>
      <c r="GG20" s="380">
        <v>25</v>
      </c>
      <c r="GH20" s="380">
        <v>11</v>
      </c>
      <c r="GI20" s="380">
        <v>28</v>
      </c>
      <c r="GJ20" s="380">
        <v>4</v>
      </c>
      <c r="GK20" s="380">
        <v>7</v>
      </c>
      <c r="GL20" s="380">
        <v>2</v>
      </c>
      <c r="GM20" s="389">
        <v>3</v>
      </c>
      <c r="GN20" s="381">
        <f t="shared" si="48"/>
        <v>175</v>
      </c>
      <c r="GO20" s="379">
        <v>0</v>
      </c>
      <c r="GP20" s="380">
        <v>0</v>
      </c>
      <c r="GQ20" s="380">
        <v>0</v>
      </c>
      <c r="GR20" s="380">
        <v>0</v>
      </c>
      <c r="GS20" s="380">
        <v>0</v>
      </c>
      <c r="GT20" s="380">
        <v>0</v>
      </c>
      <c r="GU20" s="380">
        <v>15</v>
      </c>
      <c r="GV20" s="380">
        <v>676</v>
      </c>
      <c r="GW20" s="380">
        <v>-26</v>
      </c>
      <c r="GX20" s="380">
        <v>91</v>
      </c>
      <c r="GY20" s="380">
        <v>17</v>
      </c>
      <c r="GZ20" s="389">
        <v>87</v>
      </c>
      <c r="HA20" s="381">
        <f t="shared" si="50"/>
        <v>860</v>
      </c>
      <c r="HB20" s="379">
        <v>0</v>
      </c>
      <c r="HC20" s="380">
        <v>199</v>
      </c>
      <c r="HD20" s="380">
        <v>36</v>
      </c>
      <c r="HE20" s="380">
        <v>-4</v>
      </c>
      <c r="HF20" s="380">
        <v>83</v>
      </c>
      <c r="HG20" s="380">
        <v>97</v>
      </c>
      <c r="HH20" s="380">
        <v>101</v>
      </c>
      <c r="HI20" s="380">
        <v>80</v>
      </c>
      <c r="HJ20" s="380">
        <v>44</v>
      </c>
      <c r="HK20" s="380">
        <v>71</v>
      </c>
      <c r="HL20" s="380">
        <v>30</v>
      </c>
      <c r="HM20" s="389">
        <v>25</v>
      </c>
      <c r="HN20" s="381">
        <f t="shared" si="52"/>
        <v>762</v>
      </c>
      <c r="HO20" s="379">
        <v>28</v>
      </c>
      <c r="HP20" s="380">
        <v>13</v>
      </c>
      <c r="HQ20" s="380">
        <v>17</v>
      </c>
      <c r="HR20" s="380">
        <v>22</v>
      </c>
      <c r="HS20" s="380">
        <v>27</v>
      </c>
      <c r="HT20" s="380">
        <v>55</v>
      </c>
      <c r="HU20" s="380">
        <v>74</v>
      </c>
      <c r="HV20" s="380">
        <v>11</v>
      </c>
      <c r="HW20" s="380">
        <v>24</v>
      </c>
      <c r="HX20" s="380">
        <v>16</v>
      </c>
      <c r="HY20" s="380">
        <v>49</v>
      </c>
      <c r="HZ20" s="391">
        <v>8</v>
      </c>
      <c r="IA20" s="80">
        <f t="shared" si="58"/>
        <v>344</v>
      </c>
      <c r="IB20" s="1344">
        <v>21</v>
      </c>
      <c r="IC20" s="120">
        <v>24</v>
      </c>
      <c r="ID20" s="120">
        <v>17</v>
      </c>
      <c r="IE20" s="120">
        <v>16</v>
      </c>
      <c r="IF20" s="120">
        <v>83</v>
      </c>
      <c r="IG20" s="120">
        <v>27</v>
      </c>
      <c r="IH20" s="120">
        <v>7</v>
      </c>
      <c r="II20" s="120">
        <v>10</v>
      </c>
      <c r="IJ20" s="120"/>
      <c r="IK20" s="120"/>
      <c r="IL20" s="120"/>
      <c r="IM20" s="1345"/>
      <c r="IN20" s="1346">
        <f t="shared" si="56"/>
        <v>205</v>
      </c>
      <c r="IO20" s="120"/>
      <c r="IP20" s="371">
        <f t="shared" si="19"/>
        <v>-9.0909090909090935</v>
      </c>
      <c r="IQ20" s="348">
        <f t="shared" si="57"/>
        <v>-17.004048582995956</v>
      </c>
      <c r="IR20" s="320">
        <f t="shared" si="20"/>
        <v>247</v>
      </c>
      <c r="IS20" s="344">
        <f t="shared" si="21"/>
        <v>205</v>
      </c>
      <c r="IU20" s="320"/>
    </row>
    <row r="21" spans="1:255" ht="15" customHeight="1" x14ac:dyDescent="0.2">
      <c r="A21" s="1554" t="s">
        <v>441</v>
      </c>
      <c r="B21" s="379">
        <v>233</v>
      </c>
      <c r="C21" s="380">
        <v>278</v>
      </c>
      <c r="D21" s="380">
        <v>375</v>
      </c>
      <c r="E21" s="380">
        <v>551</v>
      </c>
      <c r="F21" s="380">
        <v>545</v>
      </c>
      <c r="G21" s="380">
        <v>623</v>
      </c>
      <c r="H21" s="380">
        <v>532</v>
      </c>
      <c r="I21" s="380">
        <v>558</v>
      </c>
      <c r="J21" s="380">
        <v>611</v>
      </c>
      <c r="K21" s="380">
        <v>441</v>
      </c>
      <c r="L21" s="380">
        <v>406</v>
      </c>
      <c r="M21" s="389">
        <v>556</v>
      </c>
      <c r="N21" s="381">
        <f t="shared" si="23"/>
        <v>5709</v>
      </c>
      <c r="O21" s="379">
        <v>0</v>
      </c>
      <c r="P21" s="380">
        <v>0</v>
      </c>
      <c r="Q21" s="380">
        <v>0</v>
      </c>
      <c r="R21" s="380">
        <v>0</v>
      </c>
      <c r="S21" s="380">
        <v>0</v>
      </c>
      <c r="T21" s="380">
        <v>0</v>
      </c>
      <c r="U21" s="380">
        <v>0</v>
      </c>
      <c r="V21" s="380">
        <v>0</v>
      </c>
      <c r="W21" s="380">
        <v>0</v>
      </c>
      <c r="X21" s="380">
        <v>0</v>
      </c>
      <c r="Y21" s="380">
        <v>0</v>
      </c>
      <c r="Z21" s="389">
        <v>0</v>
      </c>
      <c r="AA21" s="381">
        <f t="shared" si="25"/>
        <v>0</v>
      </c>
      <c r="AB21" s="379">
        <v>0</v>
      </c>
      <c r="AC21" s="380">
        <v>0</v>
      </c>
      <c r="AD21" s="380">
        <v>0</v>
      </c>
      <c r="AE21" s="380">
        <v>0</v>
      </c>
      <c r="AF21" s="380">
        <v>0</v>
      </c>
      <c r="AG21" s="380">
        <v>0</v>
      </c>
      <c r="AH21" s="380">
        <v>0</v>
      </c>
      <c r="AI21" s="380">
        <v>0</v>
      </c>
      <c r="AJ21" s="380">
        <v>0</v>
      </c>
      <c r="AK21" s="380"/>
      <c r="AL21" s="380">
        <v>0</v>
      </c>
      <c r="AM21" s="389">
        <v>0</v>
      </c>
      <c r="AN21" s="381">
        <f t="shared" si="27"/>
        <v>0</v>
      </c>
      <c r="AO21" s="379">
        <v>0</v>
      </c>
      <c r="AP21" s="380">
        <v>0</v>
      </c>
      <c r="AQ21" s="380">
        <v>0</v>
      </c>
      <c r="AR21" s="380">
        <v>0</v>
      </c>
      <c r="AS21" s="380">
        <v>0</v>
      </c>
      <c r="AT21" s="380">
        <v>0</v>
      </c>
      <c r="AU21" s="380">
        <v>0</v>
      </c>
      <c r="AV21" s="380">
        <v>0</v>
      </c>
      <c r="AW21" s="380">
        <v>0</v>
      </c>
      <c r="AX21" s="380">
        <v>0</v>
      </c>
      <c r="AY21" s="380">
        <v>0</v>
      </c>
      <c r="AZ21" s="389">
        <v>0</v>
      </c>
      <c r="BA21" s="381">
        <f t="shared" si="29"/>
        <v>0</v>
      </c>
      <c r="BB21" s="379">
        <v>0</v>
      </c>
      <c r="BC21" s="380">
        <v>0</v>
      </c>
      <c r="BD21" s="380">
        <v>0</v>
      </c>
      <c r="BE21" s="380">
        <v>0</v>
      </c>
      <c r="BF21" s="380">
        <v>0</v>
      </c>
      <c r="BG21" s="380">
        <v>0</v>
      </c>
      <c r="BH21" s="380">
        <v>0</v>
      </c>
      <c r="BI21" s="380">
        <v>0</v>
      </c>
      <c r="BJ21" s="380">
        <v>0</v>
      </c>
      <c r="BK21" s="380">
        <v>0</v>
      </c>
      <c r="BL21" s="380">
        <v>0</v>
      </c>
      <c r="BM21" s="389">
        <v>0</v>
      </c>
      <c r="BN21" s="381">
        <f t="shared" si="31"/>
        <v>0</v>
      </c>
      <c r="BO21" s="379">
        <v>0</v>
      </c>
      <c r="BP21" s="380">
        <v>0</v>
      </c>
      <c r="BQ21" s="380">
        <v>0</v>
      </c>
      <c r="BR21" s="380">
        <v>0</v>
      </c>
      <c r="BS21" s="380">
        <v>0</v>
      </c>
      <c r="BT21" s="380">
        <v>0</v>
      </c>
      <c r="BU21" s="380">
        <v>0</v>
      </c>
      <c r="BV21" s="380">
        <v>0</v>
      </c>
      <c r="BW21" s="380">
        <v>0</v>
      </c>
      <c r="BX21" s="380">
        <v>0</v>
      </c>
      <c r="BY21" s="380">
        <v>0</v>
      </c>
      <c r="BZ21" s="389">
        <v>0</v>
      </c>
      <c r="CA21" s="381">
        <f t="shared" si="33"/>
        <v>0</v>
      </c>
      <c r="CB21" s="379">
        <v>0</v>
      </c>
      <c r="CC21" s="380">
        <v>0</v>
      </c>
      <c r="CD21" s="380">
        <v>0</v>
      </c>
      <c r="CE21" s="380">
        <v>0</v>
      </c>
      <c r="CF21" s="380">
        <v>0</v>
      </c>
      <c r="CG21" s="380">
        <v>0</v>
      </c>
      <c r="CH21" s="380">
        <v>0</v>
      </c>
      <c r="CI21" s="380">
        <v>0</v>
      </c>
      <c r="CJ21" s="380">
        <v>0</v>
      </c>
      <c r="CK21" s="380">
        <v>0</v>
      </c>
      <c r="CL21" s="380">
        <v>0</v>
      </c>
      <c r="CM21" s="389">
        <v>0</v>
      </c>
      <c r="CN21" s="381">
        <f t="shared" si="35"/>
        <v>0</v>
      </c>
      <c r="CO21" s="379">
        <v>0</v>
      </c>
      <c r="CP21" s="380">
        <v>0</v>
      </c>
      <c r="CQ21" s="380">
        <v>0</v>
      </c>
      <c r="CR21" s="380">
        <v>0</v>
      </c>
      <c r="CS21" s="380">
        <v>0</v>
      </c>
      <c r="CT21" s="380">
        <v>0</v>
      </c>
      <c r="CU21" s="380">
        <v>0</v>
      </c>
      <c r="CV21" s="380">
        <v>0</v>
      </c>
      <c r="CW21" s="380">
        <v>0</v>
      </c>
      <c r="CX21" s="380">
        <v>0</v>
      </c>
      <c r="CY21" s="380">
        <v>0</v>
      </c>
      <c r="CZ21" s="389">
        <v>0</v>
      </c>
      <c r="DA21" s="381">
        <f t="shared" si="37"/>
        <v>0</v>
      </c>
      <c r="DB21" s="379">
        <v>0</v>
      </c>
      <c r="DC21" s="380">
        <v>79</v>
      </c>
      <c r="DD21" s="380">
        <v>0</v>
      </c>
      <c r="DE21" s="380">
        <v>0</v>
      </c>
      <c r="DF21" s="380">
        <v>577</v>
      </c>
      <c r="DG21" s="380">
        <v>0</v>
      </c>
      <c r="DH21" s="380">
        <v>360</v>
      </c>
      <c r="DI21" s="380">
        <v>239</v>
      </c>
      <c r="DJ21" s="380">
        <v>453</v>
      </c>
      <c r="DK21" s="380">
        <v>84</v>
      </c>
      <c r="DL21" s="380">
        <v>140</v>
      </c>
      <c r="DM21" s="389">
        <v>114</v>
      </c>
      <c r="DN21" s="381">
        <f t="shared" si="38"/>
        <v>2046</v>
      </c>
      <c r="DO21" s="379">
        <v>0</v>
      </c>
      <c r="DP21" s="380">
        <v>0</v>
      </c>
      <c r="DQ21" s="380">
        <v>243</v>
      </c>
      <c r="DR21" s="380">
        <v>52</v>
      </c>
      <c r="DS21" s="380">
        <v>101</v>
      </c>
      <c r="DT21" s="380">
        <v>178</v>
      </c>
      <c r="DU21" s="380">
        <v>219</v>
      </c>
      <c r="DV21" s="380">
        <v>230</v>
      </c>
      <c r="DW21" s="380">
        <v>129</v>
      </c>
      <c r="DX21" s="380">
        <v>146</v>
      </c>
      <c r="DY21" s="380">
        <v>241</v>
      </c>
      <c r="DZ21" s="389">
        <v>889</v>
      </c>
      <c r="EA21" s="381">
        <f t="shared" si="39"/>
        <v>2428</v>
      </c>
      <c r="EB21" s="379">
        <v>0</v>
      </c>
      <c r="EC21" s="380">
        <v>0</v>
      </c>
      <c r="ED21" s="380">
        <v>89</v>
      </c>
      <c r="EE21" s="380">
        <v>0</v>
      </c>
      <c r="EF21" s="380">
        <v>1050</v>
      </c>
      <c r="EG21" s="380">
        <v>124</v>
      </c>
      <c r="EH21" s="380">
        <v>184</v>
      </c>
      <c r="EI21" s="380">
        <v>303</v>
      </c>
      <c r="EJ21" s="380">
        <v>322</v>
      </c>
      <c r="EK21" s="380">
        <v>189</v>
      </c>
      <c r="EL21" s="380">
        <v>303</v>
      </c>
      <c r="EM21" s="389">
        <v>281</v>
      </c>
      <c r="EN21" s="381">
        <f t="shared" si="41"/>
        <v>2845</v>
      </c>
      <c r="EO21" s="379">
        <v>0</v>
      </c>
      <c r="EP21" s="380">
        <v>0</v>
      </c>
      <c r="EQ21" s="380">
        <v>0</v>
      </c>
      <c r="ER21" s="380">
        <v>0</v>
      </c>
      <c r="ES21" s="380">
        <v>0</v>
      </c>
      <c r="ET21" s="380">
        <v>0</v>
      </c>
      <c r="EU21" s="380">
        <v>0</v>
      </c>
      <c r="EV21" s="380">
        <v>52</v>
      </c>
      <c r="EW21" s="380">
        <v>222</v>
      </c>
      <c r="EX21" s="380">
        <v>258</v>
      </c>
      <c r="EY21" s="380">
        <v>670</v>
      </c>
      <c r="EZ21" s="389">
        <v>615</v>
      </c>
      <c r="FA21" s="381">
        <f t="shared" si="43"/>
        <v>1817</v>
      </c>
      <c r="FB21" s="379">
        <v>237</v>
      </c>
      <c r="FC21" s="380">
        <v>112</v>
      </c>
      <c r="FD21" s="380">
        <v>509</v>
      </c>
      <c r="FE21" s="380">
        <v>242</v>
      </c>
      <c r="FF21" s="380">
        <v>317</v>
      </c>
      <c r="FG21" s="380">
        <v>545</v>
      </c>
      <c r="FH21" s="380">
        <v>1175</v>
      </c>
      <c r="FI21" s="380">
        <v>554</v>
      </c>
      <c r="FJ21" s="380">
        <v>378</v>
      </c>
      <c r="FK21" s="380">
        <v>405</v>
      </c>
      <c r="FL21" s="380">
        <v>355</v>
      </c>
      <c r="FM21" s="389">
        <v>317</v>
      </c>
      <c r="FN21" s="381">
        <f t="shared" si="45"/>
        <v>5146</v>
      </c>
      <c r="FO21" s="379">
        <v>264</v>
      </c>
      <c r="FP21" s="380">
        <v>348</v>
      </c>
      <c r="FQ21" s="380">
        <v>493</v>
      </c>
      <c r="FR21" s="380">
        <v>399</v>
      </c>
      <c r="FS21" s="380">
        <v>355</v>
      </c>
      <c r="FT21" s="380">
        <v>268</v>
      </c>
      <c r="FU21" s="380">
        <v>383</v>
      </c>
      <c r="FV21" s="380">
        <v>811</v>
      </c>
      <c r="FW21" s="380">
        <v>291</v>
      </c>
      <c r="FX21" s="380">
        <v>587</v>
      </c>
      <c r="FY21" s="380">
        <v>1151</v>
      </c>
      <c r="FZ21" s="389">
        <v>629</v>
      </c>
      <c r="GA21" s="381">
        <f t="shared" si="47"/>
        <v>5979</v>
      </c>
      <c r="GB21" s="379">
        <v>632</v>
      </c>
      <c r="GC21" s="380">
        <v>449</v>
      </c>
      <c r="GD21" s="380">
        <v>655</v>
      </c>
      <c r="GE21" s="380">
        <v>540</v>
      </c>
      <c r="GF21" s="380">
        <v>559</v>
      </c>
      <c r="GG21" s="380">
        <v>462</v>
      </c>
      <c r="GH21" s="380">
        <v>325</v>
      </c>
      <c r="GI21" s="380">
        <v>394</v>
      </c>
      <c r="GJ21" s="380">
        <v>124</v>
      </c>
      <c r="GK21" s="380">
        <v>28</v>
      </c>
      <c r="GL21" s="380">
        <v>29</v>
      </c>
      <c r="GM21" s="389">
        <v>29</v>
      </c>
      <c r="GN21" s="381">
        <f t="shared" si="48"/>
        <v>4226</v>
      </c>
      <c r="GO21" s="379">
        <v>0</v>
      </c>
      <c r="GP21" s="380">
        <v>0</v>
      </c>
      <c r="GQ21" s="380">
        <v>0</v>
      </c>
      <c r="GR21" s="380">
        <v>0</v>
      </c>
      <c r="GS21" s="380">
        <v>0</v>
      </c>
      <c r="GT21" s="380">
        <v>0</v>
      </c>
      <c r="GU21" s="380">
        <v>48</v>
      </c>
      <c r="GV21" s="380">
        <v>53</v>
      </c>
      <c r="GW21" s="380">
        <v>-407</v>
      </c>
      <c r="GX21" s="380">
        <v>1083</v>
      </c>
      <c r="GY21" s="380">
        <v>116</v>
      </c>
      <c r="GZ21" s="389">
        <v>962</v>
      </c>
      <c r="HA21" s="381">
        <f t="shared" si="50"/>
        <v>1855</v>
      </c>
      <c r="HB21" s="379">
        <v>254</v>
      </c>
      <c r="HC21" s="380">
        <v>3668</v>
      </c>
      <c r="HD21" s="380">
        <v>426</v>
      </c>
      <c r="HE21" s="380">
        <v>-1036</v>
      </c>
      <c r="HF21" s="380">
        <v>994</v>
      </c>
      <c r="HG21" s="380">
        <v>1166</v>
      </c>
      <c r="HH21" s="380">
        <v>1848</v>
      </c>
      <c r="HI21" s="380">
        <v>1166</v>
      </c>
      <c r="HJ21" s="380">
        <v>796</v>
      </c>
      <c r="HK21" s="380">
        <v>1409</v>
      </c>
      <c r="HL21" s="380">
        <v>696</v>
      </c>
      <c r="HM21" s="389">
        <v>701</v>
      </c>
      <c r="HN21" s="381">
        <f t="shared" si="52"/>
        <v>12088</v>
      </c>
      <c r="HO21" s="379">
        <v>276</v>
      </c>
      <c r="HP21" s="380">
        <v>394</v>
      </c>
      <c r="HQ21" s="380">
        <v>303</v>
      </c>
      <c r="HR21" s="380">
        <v>543</v>
      </c>
      <c r="HS21" s="380">
        <v>505</v>
      </c>
      <c r="HT21" s="380">
        <v>835</v>
      </c>
      <c r="HU21" s="380">
        <v>2021</v>
      </c>
      <c r="HV21" s="380">
        <v>175</v>
      </c>
      <c r="HW21" s="380">
        <v>416</v>
      </c>
      <c r="HX21" s="380">
        <v>520</v>
      </c>
      <c r="HY21" s="380">
        <v>1205</v>
      </c>
      <c r="HZ21" s="391">
        <v>225</v>
      </c>
      <c r="IA21" s="80">
        <f t="shared" si="58"/>
        <v>7418</v>
      </c>
      <c r="IB21" s="1344">
        <v>329</v>
      </c>
      <c r="IC21" s="120">
        <v>555</v>
      </c>
      <c r="ID21" s="120">
        <v>390</v>
      </c>
      <c r="IE21" s="120">
        <v>334</v>
      </c>
      <c r="IF21" s="120">
        <v>1959</v>
      </c>
      <c r="IG21" s="120">
        <v>838</v>
      </c>
      <c r="IH21" s="120">
        <v>385</v>
      </c>
      <c r="II21" s="120">
        <v>487</v>
      </c>
      <c r="IJ21" s="120"/>
      <c r="IK21" s="120"/>
      <c r="IL21" s="120"/>
      <c r="IM21" s="1345"/>
      <c r="IN21" s="1346">
        <f t="shared" si="56"/>
        <v>5277</v>
      </c>
      <c r="IO21" s="120"/>
      <c r="IP21" s="371">
        <f t="shared" si="19"/>
        <v>178.28571428571428</v>
      </c>
      <c r="IQ21" s="348">
        <f t="shared" si="57"/>
        <v>4.453681710213786</v>
      </c>
      <c r="IR21" s="320">
        <f t="shared" si="20"/>
        <v>5052</v>
      </c>
      <c r="IS21" s="344">
        <f t="shared" si="21"/>
        <v>5277</v>
      </c>
      <c r="IU21" s="320"/>
    </row>
    <row r="22" spans="1:255" ht="15" customHeight="1" x14ac:dyDescent="0.2">
      <c r="A22" s="342"/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0"/>
      <c r="M22" s="389"/>
      <c r="N22" s="381"/>
      <c r="O22" s="379"/>
      <c r="P22" s="380"/>
      <c r="Q22" s="380"/>
      <c r="R22" s="380"/>
      <c r="S22" s="380"/>
      <c r="T22" s="380"/>
      <c r="U22" s="380"/>
      <c r="V22" s="380"/>
      <c r="W22" s="380"/>
      <c r="X22" s="380"/>
      <c r="Y22" s="380"/>
      <c r="Z22" s="389"/>
      <c r="AA22" s="381"/>
      <c r="AB22" s="379"/>
      <c r="AC22" s="380"/>
      <c r="AD22" s="380"/>
      <c r="AE22" s="380"/>
      <c r="AF22" s="380"/>
      <c r="AG22" s="380"/>
      <c r="AH22" s="380"/>
      <c r="AI22" s="380"/>
      <c r="AJ22" s="380"/>
      <c r="AK22" s="380"/>
      <c r="AL22" s="380"/>
      <c r="AM22" s="389"/>
      <c r="AN22" s="381"/>
      <c r="AO22" s="379"/>
      <c r="AP22" s="380"/>
      <c r="AQ22" s="380"/>
      <c r="AR22" s="380"/>
      <c r="AS22" s="380"/>
      <c r="AT22" s="380"/>
      <c r="AU22" s="380"/>
      <c r="AV22" s="380"/>
      <c r="AW22" s="380"/>
      <c r="AX22" s="380"/>
      <c r="AY22" s="380"/>
      <c r="AZ22" s="389"/>
      <c r="BA22" s="381"/>
      <c r="BB22" s="379"/>
      <c r="BC22" s="380"/>
      <c r="BD22" s="380"/>
      <c r="BE22" s="380"/>
      <c r="BF22" s="380"/>
      <c r="BG22" s="380"/>
      <c r="BH22" s="380"/>
      <c r="BI22" s="380"/>
      <c r="BJ22" s="380"/>
      <c r="BK22" s="380"/>
      <c r="BL22" s="380"/>
      <c r="BM22" s="389"/>
      <c r="BN22" s="381"/>
      <c r="BO22" s="379"/>
      <c r="BP22" s="380"/>
      <c r="BQ22" s="380"/>
      <c r="BR22" s="380"/>
      <c r="BS22" s="380"/>
      <c r="BT22" s="380"/>
      <c r="BU22" s="380"/>
      <c r="BV22" s="380"/>
      <c r="BW22" s="380"/>
      <c r="BX22" s="380"/>
      <c r="BY22" s="380"/>
      <c r="BZ22" s="389"/>
      <c r="CA22" s="381"/>
      <c r="CB22" s="379"/>
      <c r="CC22" s="380"/>
      <c r="CD22" s="380"/>
      <c r="CE22" s="380"/>
      <c r="CF22" s="380"/>
      <c r="CG22" s="380"/>
      <c r="CH22" s="380"/>
      <c r="CI22" s="380"/>
      <c r="CJ22" s="380"/>
      <c r="CK22" s="380"/>
      <c r="CL22" s="380"/>
      <c r="CM22" s="389"/>
      <c r="CN22" s="381"/>
      <c r="CO22" s="379"/>
      <c r="CP22" s="380"/>
      <c r="CQ22" s="380"/>
      <c r="CR22" s="380"/>
      <c r="CS22" s="380"/>
      <c r="CT22" s="380"/>
      <c r="CU22" s="380"/>
      <c r="CV22" s="380"/>
      <c r="CW22" s="380"/>
      <c r="CX22" s="380"/>
      <c r="CY22" s="380"/>
      <c r="CZ22" s="389"/>
      <c r="DA22" s="381"/>
      <c r="DB22" s="379"/>
      <c r="DC22" s="380"/>
      <c r="DD22" s="380"/>
      <c r="DE22" s="380"/>
      <c r="DF22" s="380"/>
      <c r="DG22" s="380"/>
      <c r="DH22" s="380"/>
      <c r="DI22" s="380"/>
      <c r="DJ22" s="380"/>
      <c r="DK22" s="380"/>
      <c r="DL22" s="380"/>
      <c r="DM22" s="389"/>
      <c r="DN22" s="381"/>
      <c r="DO22" s="379"/>
      <c r="DP22" s="380"/>
      <c r="DQ22" s="380"/>
      <c r="DR22" s="380"/>
      <c r="DS22" s="380"/>
      <c r="DT22" s="380"/>
      <c r="DU22" s="380"/>
      <c r="DV22" s="380"/>
      <c r="DW22" s="380"/>
      <c r="DX22" s="380"/>
      <c r="DY22" s="380"/>
      <c r="DZ22" s="389"/>
      <c r="EA22" s="381"/>
      <c r="EB22" s="379"/>
      <c r="EC22" s="380"/>
      <c r="ED22" s="380"/>
      <c r="EE22" s="380"/>
      <c r="EF22" s="380"/>
      <c r="EG22" s="380"/>
      <c r="EH22" s="380"/>
      <c r="EI22" s="380"/>
      <c r="EJ22" s="380"/>
      <c r="EK22" s="380"/>
      <c r="EL22" s="380"/>
      <c r="EM22" s="389"/>
      <c r="EN22" s="381"/>
      <c r="EO22" s="379"/>
      <c r="EP22" s="380"/>
      <c r="EQ22" s="380"/>
      <c r="ER22" s="380"/>
      <c r="ES22" s="380"/>
      <c r="ET22" s="380"/>
      <c r="EU22" s="380"/>
      <c r="EV22" s="380"/>
      <c r="EW22" s="380"/>
      <c r="EX22" s="380"/>
      <c r="EY22" s="380"/>
      <c r="EZ22" s="389"/>
      <c r="FA22" s="381"/>
      <c r="FB22" s="379"/>
      <c r="FC22" s="380"/>
      <c r="FD22" s="380"/>
      <c r="FE22" s="380"/>
      <c r="FF22" s="380"/>
      <c r="FG22" s="380"/>
      <c r="FH22" s="380"/>
      <c r="FI22" s="380"/>
      <c r="FJ22" s="380"/>
      <c r="FK22" s="380"/>
      <c r="FL22" s="380"/>
      <c r="FM22" s="389"/>
      <c r="FN22" s="381"/>
      <c r="FO22" s="379"/>
      <c r="FP22" s="380"/>
      <c r="FQ22" s="380"/>
      <c r="FR22" s="380"/>
      <c r="FS22" s="380"/>
      <c r="FT22" s="380"/>
      <c r="FU22" s="380"/>
      <c r="FV22" s="380"/>
      <c r="FW22" s="380"/>
      <c r="FX22" s="380"/>
      <c r="FY22" s="380"/>
      <c r="FZ22" s="389"/>
      <c r="GA22" s="381"/>
      <c r="GB22" s="379"/>
      <c r="GC22" s="380"/>
      <c r="GD22" s="380"/>
      <c r="GE22" s="380"/>
      <c r="GF22" s="380"/>
      <c r="GG22" s="380"/>
      <c r="GH22" s="380"/>
      <c r="GI22" s="380"/>
      <c r="GJ22" s="380"/>
      <c r="GK22" s="380"/>
      <c r="GL22" s="380"/>
      <c r="GM22" s="389"/>
      <c r="GN22" s="381"/>
      <c r="GO22" s="379"/>
      <c r="GP22" s="380"/>
      <c r="GQ22" s="380"/>
      <c r="GR22" s="380"/>
      <c r="GS22" s="380"/>
      <c r="GT22" s="380"/>
      <c r="GU22" s="380"/>
      <c r="GV22" s="380"/>
      <c r="GW22" s="380"/>
      <c r="GX22" s="380"/>
      <c r="GY22" s="380"/>
      <c r="GZ22" s="389"/>
      <c r="HA22" s="381"/>
      <c r="HB22" s="379"/>
      <c r="HC22" s="380"/>
      <c r="HD22" s="380"/>
      <c r="HE22" s="380"/>
      <c r="HF22" s="380"/>
      <c r="HG22" s="380"/>
      <c r="HH22" s="380"/>
      <c r="HI22" s="380"/>
      <c r="HJ22" s="380"/>
      <c r="HK22" s="380"/>
      <c r="HL22" s="380"/>
      <c r="HM22" s="389"/>
      <c r="HN22" s="381"/>
      <c r="HO22" s="379"/>
      <c r="HP22" s="380"/>
      <c r="HQ22" s="380"/>
      <c r="HR22" s="380"/>
      <c r="HS22" s="380"/>
      <c r="HT22" s="380"/>
      <c r="HU22" s="380"/>
      <c r="HV22" s="380"/>
      <c r="HW22" s="380"/>
      <c r="HX22" s="380"/>
      <c r="HY22" s="380"/>
      <c r="HZ22" s="391"/>
      <c r="IA22" s="80"/>
      <c r="IB22" s="1344"/>
      <c r="IC22" s="120"/>
      <c r="ID22" s="120"/>
      <c r="IE22" s="120"/>
      <c r="IF22" s="120"/>
      <c r="IG22" s="120"/>
      <c r="IH22" s="120"/>
      <c r="II22" s="120"/>
      <c r="IJ22" s="120"/>
      <c r="IK22" s="120"/>
      <c r="IL22" s="120"/>
      <c r="IM22" s="1345"/>
      <c r="IN22" s="1346"/>
      <c r="IO22" s="120"/>
      <c r="IP22" s="371" t="str">
        <f t="shared" si="19"/>
        <v/>
      </c>
      <c r="IQ22" s="348"/>
      <c r="IR22" s="320">
        <f t="shared" si="20"/>
        <v>0</v>
      </c>
      <c r="IS22" s="344">
        <f t="shared" si="21"/>
        <v>0</v>
      </c>
    </row>
    <row r="23" spans="1:255" ht="15" customHeight="1" x14ac:dyDescent="0.2">
      <c r="A23" s="1552" t="s">
        <v>297</v>
      </c>
      <c r="B23" s="1512">
        <f t="shared" ref="B23:M23" si="92">SUM(B24:B31)</f>
        <v>7778</v>
      </c>
      <c r="C23" s="1513">
        <f t="shared" si="92"/>
        <v>12440</v>
      </c>
      <c r="D23" s="1513">
        <f t="shared" si="92"/>
        <v>11419</v>
      </c>
      <c r="E23" s="1513">
        <f t="shared" si="92"/>
        <v>12876</v>
      </c>
      <c r="F23" s="1513">
        <f t="shared" si="92"/>
        <v>12340</v>
      </c>
      <c r="G23" s="1513">
        <f t="shared" si="92"/>
        <v>12598</v>
      </c>
      <c r="H23" s="1513">
        <f t="shared" si="92"/>
        <v>14130</v>
      </c>
      <c r="I23" s="1513">
        <f t="shared" si="92"/>
        <v>15058</v>
      </c>
      <c r="J23" s="1513">
        <f t="shared" si="92"/>
        <v>14336</v>
      </c>
      <c r="K23" s="1513">
        <f t="shared" si="92"/>
        <v>15874</v>
      </c>
      <c r="L23" s="1513">
        <f t="shared" si="92"/>
        <v>14117</v>
      </c>
      <c r="M23" s="1514">
        <f t="shared" si="92"/>
        <v>25422</v>
      </c>
      <c r="N23" s="1515">
        <f t="shared" ref="N23:N28" si="93">SUM(B23:M23)</f>
        <v>168388</v>
      </c>
      <c r="O23" s="1512">
        <f t="shared" ref="O23:Z23" si="94">SUM(O24:O31)</f>
        <v>7796</v>
      </c>
      <c r="P23" s="1513">
        <f t="shared" si="94"/>
        <v>11029</v>
      </c>
      <c r="Q23" s="1513">
        <f t="shared" si="94"/>
        <v>16013</v>
      </c>
      <c r="R23" s="1513">
        <f t="shared" si="94"/>
        <v>14453</v>
      </c>
      <c r="S23" s="1513">
        <f t="shared" si="94"/>
        <v>14966</v>
      </c>
      <c r="T23" s="1513">
        <f t="shared" si="94"/>
        <v>14995</v>
      </c>
      <c r="U23" s="1513">
        <f t="shared" si="94"/>
        <v>18935</v>
      </c>
      <c r="V23" s="1513">
        <f t="shared" si="94"/>
        <v>18297</v>
      </c>
      <c r="W23" s="1513">
        <f t="shared" si="94"/>
        <v>19608</v>
      </c>
      <c r="X23" s="1513">
        <f t="shared" si="94"/>
        <v>17918</v>
      </c>
      <c r="Y23" s="1513">
        <f t="shared" si="94"/>
        <v>20260</v>
      </c>
      <c r="Z23" s="1514">
        <f t="shared" si="94"/>
        <v>38394</v>
      </c>
      <c r="AA23" s="1515">
        <f t="shared" ref="AA23:AA28" si="95">SUM(O23:Z23)</f>
        <v>212664</v>
      </c>
      <c r="AB23" s="1512">
        <f t="shared" ref="AB23:AM23" si="96">SUM(AB24:AB31)</f>
        <v>9481</v>
      </c>
      <c r="AC23" s="1513">
        <f t="shared" si="96"/>
        <v>11227</v>
      </c>
      <c r="AD23" s="1513">
        <f t="shared" si="96"/>
        <v>19257</v>
      </c>
      <c r="AE23" s="1513">
        <f t="shared" si="96"/>
        <v>17679</v>
      </c>
      <c r="AF23" s="1513">
        <f t="shared" si="96"/>
        <v>20157</v>
      </c>
      <c r="AG23" s="1513">
        <f t="shared" si="96"/>
        <v>22839</v>
      </c>
      <c r="AH23" s="1513">
        <f t="shared" si="96"/>
        <v>20193</v>
      </c>
      <c r="AI23" s="1513">
        <f t="shared" si="96"/>
        <v>25618</v>
      </c>
      <c r="AJ23" s="1513">
        <f t="shared" si="96"/>
        <v>21286</v>
      </c>
      <c r="AK23" s="1513">
        <f t="shared" si="96"/>
        <v>19706</v>
      </c>
      <c r="AL23" s="1513">
        <f t="shared" si="96"/>
        <v>26744</v>
      </c>
      <c r="AM23" s="1514">
        <f t="shared" si="96"/>
        <v>40407</v>
      </c>
      <c r="AN23" s="1515">
        <f t="shared" ref="AN23:AN28" si="97">SUM(AB23:AM23)</f>
        <v>254594</v>
      </c>
      <c r="AO23" s="1512">
        <f t="shared" ref="AO23:AZ23" si="98">SUM(AO24:AO31)</f>
        <v>2968</v>
      </c>
      <c r="AP23" s="1513">
        <f t="shared" si="98"/>
        <v>10386</v>
      </c>
      <c r="AQ23" s="1513">
        <f t="shared" si="98"/>
        <v>18053</v>
      </c>
      <c r="AR23" s="1513">
        <f t="shared" si="98"/>
        <v>17701</v>
      </c>
      <c r="AS23" s="1513">
        <f t="shared" si="98"/>
        <v>21770</v>
      </c>
      <c r="AT23" s="1513">
        <f t="shared" si="98"/>
        <v>18934</v>
      </c>
      <c r="AU23" s="1513">
        <f t="shared" si="98"/>
        <v>21744</v>
      </c>
      <c r="AV23" s="1513">
        <f t="shared" si="98"/>
        <v>24482</v>
      </c>
      <c r="AW23" s="1513">
        <f t="shared" si="98"/>
        <v>32275</v>
      </c>
      <c r="AX23" s="1513">
        <f t="shared" si="98"/>
        <v>34186</v>
      </c>
      <c r="AY23" s="1513">
        <f t="shared" si="98"/>
        <v>45727</v>
      </c>
      <c r="AZ23" s="1514">
        <f t="shared" si="98"/>
        <v>85343</v>
      </c>
      <c r="BA23" s="1515">
        <f t="shared" ref="BA23:BA28" si="99">SUM(AO23:AZ23)</f>
        <v>333569</v>
      </c>
      <c r="BB23" s="1512">
        <f t="shared" ref="BB23:BM23" si="100">SUM(BB24:BB28)</f>
        <v>13131</v>
      </c>
      <c r="BC23" s="1513">
        <f t="shared" si="100"/>
        <v>26556</v>
      </c>
      <c r="BD23" s="1513">
        <f t="shared" si="100"/>
        <v>45978</v>
      </c>
      <c r="BE23" s="1513">
        <f t="shared" si="100"/>
        <v>31138</v>
      </c>
      <c r="BF23" s="1513">
        <f t="shared" si="100"/>
        <v>35508</v>
      </c>
      <c r="BG23" s="1513">
        <f t="shared" si="100"/>
        <v>31711</v>
      </c>
      <c r="BH23" s="1513">
        <f t="shared" si="100"/>
        <v>43653</v>
      </c>
      <c r="BI23" s="1513">
        <f t="shared" si="100"/>
        <v>37238</v>
      </c>
      <c r="BJ23" s="1513">
        <f t="shared" si="100"/>
        <v>45209</v>
      </c>
      <c r="BK23" s="1513">
        <f t="shared" si="100"/>
        <v>52198</v>
      </c>
      <c r="BL23" s="1513">
        <f t="shared" si="100"/>
        <v>53769</v>
      </c>
      <c r="BM23" s="1514">
        <f t="shared" si="100"/>
        <v>88342</v>
      </c>
      <c r="BN23" s="1515"/>
      <c r="BO23" s="1512">
        <f t="shared" ref="BO23:BZ23" si="101">SUM(BO24:BO28)</f>
        <v>15984</v>
      </c>
      <c r="BP23" s="1513">
        <f t="shared" si="101"/>
        <v>20867</v>
      </c>
      <c r="BQ23" s="1513">
        <f t="shared" si="101"/>
        <v>45182</v>
      </c>
      <c r="BR23" s="1513">
        <f t="shared" si="101"/>
        <v>36312</v>
      </c>
      <c r="BS23" s="1513">
        <f t="shared" si="101"/>
        <v>36839</v>
      </c>
      <c r="BT23" s="1513">
        <f t="shared" si="101"/>
        <v>35471</v>
      </c>
      <c r="BU23" s="1513">
        <f t="shared" si="101"/>
        <v>85274</v>
      </c>
      <c r="BV23" s="1513">
        <f t="shared" si="101"/>
        <v>26527</v>
      </c>
      <c r="BW23" s="1513">
        <f t="shared" si="101"/>
        <v>41258</v>
      </c>
      <c r="BX23" s="1513">
        <f t="shared" si="101"/>
        <v>46480</v>
      </c>
      <c r="BY23" s="1513">
        <f t="shared" si="101"/>
        <v>33878</v>
      </c>
      <c r="BZ23" s="1514">
        <f t="shared" si="101"/>
        <v>100415</v>
      </c>
      <c r="CA23" s="1515">
        <f t="shared" ref="CA23:CA28" si="102">SUM(BO23:BZ23)</f>
        <v>524487</v>
      </c>
      <c r="CB23" s="1512">
        <f t="shared" ref="CB23:CM23" si="103">SUM(CB24:CB28)</f>
        <v>22599</v>
      </c>
      <c r="CC23" s="1513">
        <f t="shared" si="103"/>
        <v>31032</v>
      </c>
      <c r="CD23" s="1513">
        <f t="shared" si="103"/>
        <v>39021</v>
      </c>
      <c r="CE23" s="1513">
        <f t="shared" si="103"/>
        <v>40113</v>
      </c>
      <c r="CF23" s="1513">
        <f t="shared" si="103"/>
        <v>35478</v>
      </c>
      <c r="CG23" s="1513">
        <f t="shared" si="103"/>
        <v>40376</v>
      </c>
      <c r="CH23" s="1513">
        <f t="shared" si="103"/>
        <v>50060</v>
      </c>
      <c r="CI23" s="1513">
        <f t="shared" si="103"/>
        <v>32693</v>
      </c>
      <c r="CJ23" s="1513">
        <f t="shared" si="103"/>
        <v>45795</v>
      </c>
      <c r="CK23" s="1513">
        <f t="shared" si="103"/>
        <v>53320</v>
      </c>
      <c r="CL23" s="1513">
        <f t="shared" si="103"/>
        <v>50315</v>
      </c>
      <c r="CM23" s="1514">
        <f t="shared" si="103"/>
        <v>119488</v>
      </c>
      <c r="CN23" s="1515">
        <f t="shared" ref="CN23:CN28" si="104">SUM(CB23:CM23)</f>
        <v>560290</v>
      </c>
      <c r="CO23" s="1512">
        <f t="shared" ref="CO23:DF23" si="105">SUM(CO24:CO28)</f>
        <v>6513</v>
      </c>
      <c r="CP23" s="1513">
        <f t="shared" si="105"/>
        <v>22528</v>
      </c>
      <c r="CQ23" s="1513">
        <f t="shared" si="105"/>
        <v>47768</v>
      </c>
      <c r="CR23" s="1513">
        <f t="shared" si="105"/>
        <v>34595</v>
      </c>
      <c r="CS23" s="1513">
        <f t="shared" si="105"/>
        <v>35024</v>
      </c>
      <c r="CT23" s="1513">
        <f t="shared" si="105"/>
        <v>37318</v>
      </c>
      <c r="CU23" s="1513">
        <f t="shared" si="105"/>
        <v>66811</v>
      </c>
      <c r="CV23" s="1513">
        <f t="shared" si="105"/>
        <v>40508</v>
      </c>
      <c r="CW23" s="1513">
        <f t="shared" si="105"/>
        <v>43466</v>
      </c>
      <c r="CX23" s="1513">
        <f t="shared" si="105"/>
        <v>43961</v>
      </c>
      <c r="CY23" s="1513">
        <f t="shared" si="105"/>
        <v>45543</v>
      </c>
      <c r="CZ23" s="1514">
        <f t="shared" si="105"/>
        <v>115816</v>
      </c>
      <c r="DA23" s="1515">
        <f t="shared" ref="DA23:DA28" si="106">SUM(CO23:CZ23)</f>
        <v>539851</v>
      </c>
      <c r="DB23" s="1512">
        <f t="shared" si="105"/>
        <v>18514</v>
      </c>
      <c r="DC23" s="1513">
        <f t="shared" si="105"/>
        <v>27577</v>
      </c>
      <c r="DD23" s="1513">
        <f t="shared" si="105"/>
        <v>44098</v>
      </c>
      <c r="DE23" s="1513">
        <f t="shared" si="105"/>
        <v>37454</v>
      </c>
      <c r="DF23" s="1513">
        <f t="shared" si="105"/>
        <v>41092</v>
      </c>
      <c r="DG23" s="1513">
        <f>SUM(DG24:DG28)</f>
        <v>40013</v>
      </c>
      <c r="DH23" s="1513">
        <f t="shared" ref="DH23:DZ23" si="107">SUM(DH24:DH28)</f>
        <v>44522</v>
      </c>
      <c r="DI23" s="1513">
        <f t="shared" si="107"/>
        <v>41024</v>
      </c>
      <c r="DJ23" s="1513">
        <f t="shared" si="107"/>
        <v>62065</v>
      </c>
      <c r="DK23" s="1513">
        <f t="shared" si="107"/>
        <v>51688</v>
      </c>
      <c r="DL23" s="1513">
        <f t="shared" si="107"/>
        <v>60496</v>
      </c>
      <c r="DM23" s="1514">
        <f t="shared" si="107"/>
        <v>145013</v>
      </c>
      <c r="DN23" s="1515">
        <f t="shared" ref="DN23:DN28" si="108">SUM(DB23:DM23)</f>
        <v>613556</v>
      </c>
      <c r="DO23" s="1512">
        <f t="shared" si="107"/>
        <v>18650</v>
      </c>
      <c r="DP23" s="1513">
        <f t="shared" si="107"/>
        <v>29190</v>
      </c>
      <c r="DQ23" s="1513">
        <f t="shared" si="107"/>
        <v>70137</v>
      </c>
      <c r="DR23" s="1513">
        <f t="shared" si="107"/>
        <v>46566</v>
      </c>
      <c r="DS23" s="1513">
        <f t="shared" si="107"/>
        <v>50529</v>
      </c>
      <c r="DT23" s="1513">
        <f t="shared" si="107"/>
        <v>63943</v>
      </c>
      <c r="DU23" s="1513">
        <f t="shared" si="107"/>
        <v>64389</v>
      </c>
      <c r="DV23" s="1513">
        <f t="shared" si="107"/>
        <v>55984</v>
      </c>
      <c r="DW23" s="1513">
        <f t="shared" si="107"/>
        <v>93509</v>
      </c>
      <c r="DX23" s="1513">
        <f t="shared" si="107"/>
        <v>68782</v>
      </c>
      <c r="DY23" s="1513">
        <f t="shared" si="107"/>
        <v>65520</v>
      </c>
      <c r="DZ23" s="1514">
        <f t="shared" si="107"/>
        <v>120123</v>
      </c>
      <c r="EA23" s="1515">
        <f t="shared" ref="EA23:EA28" si="109">SUM(DO23:DZ23)</f>
        <v>747322</v>
      </c>
      <c r="EB23" s="1512">
        <f t="shared" ref="EB23:EM23" si="110">SUM(EB24:EB28)</f>
        <v>25439</v>
      </c>
      <c r="EC23" s="1513">
        <f t="shared" si="110"/>
        <v>33807</v>
      </c>
      <c r="ED23" s="1513">
        <f t="shared" si="110"/>
        <v>60873</v>
      </c>
      <c r="EE23" s="1513">
        <f t="shared" si="110"/>
        <v>48098</v>
      </c>
      <c r="EF23" s="1513">
        <f t="shared" si="110"/>
        <v>55954</v>
      </c>
      <c r="EG23" s="1513">
        <f t="shared" si="110"/>
        <v>71927</v>
      </c>
      <c r="EH23" s="1513">
        <f t="shared" si="110"/>
        <v>67856</v>
      </c>
      <c r="EI23" s="1513">
        <f t="shared" si="110"/>
        <v>57517</v>
      </c>
      <c r="EJ23" s="1513">
        <f t="shared" si="110"/>
        <v>62743</v>
      </c>
      <c r="EK23" s="1513">
        <f t="shared" si="110"/>
        <v>86573</v>
      </c>
      <c r="EL23" s="1513">
        <f t="shared" si="110"/>
        <v>72373</v>
      </c>
      <c r="EM23" s="1514">
        <f t="shared" si="110"/>
        <v>109158</v>
      </c>
      <c r="EN23" s="1515">
        <f t="shared" ref="EN23:EN28" si="111">SUM(EB23:EM23)</f>
        <v>752318</v>
      </c>
      <c r="EO23" s="1512">
        <f>SUM(EO24:EO28)</f>
        <v>9313</v>
      </c>
      <c r="EP23" s="1513">
        <f>SUM(EP24:EP28)</f>
        <v>31425</v>
      </c>
      <c r="EQ23" s="1513">
        <v>44808</v>
      </c>
      <c r="ER23" s="1513">
        <f t="shared" ref="ER23:EZ23" si="112">SUM(ER24:ER28)</f>
        <v>62227</v>
      </c>
      <c r="ES23" s="1513">
        <f t="shared" si="112"/>
        <v>47247</v>
      </c>
      <c r="ET23" s="1513">
        <f t="shared" si="112"/>
        <v>54061</v>
      </c>
      <c r="EU23" s="1513">
        <f t="shared" si="112"/>
        <v>47467</v>
      </c>
      <c r="EV23" s="1513">
        <f t="shared" si="112"/>
        <v>61598</v>
      </c>
      <c r="EW23" s="1513">
        <f t="shared" si="112"/>
        <v>73603</v>
      </c>
      <c r="EX23" s="1513">
        <f t="shared" si="112"/>
        <v>74053</v>
      </c>
      <c r="EY23" s="1513">
        <f t="shared" si="112"/>
        <v>52029</v>
      </c>
      <c r="EZ23" s="1514">
        <f t="shared" si="112"/>
        <v>106933</v>
      </c>
      <c r="FA23" s="1515">
        <f t="shared" ref="FA23:FA28" si="113">SUM(EO23:EZ23)</f>
        <v>664764</v>
      </c>
      <c r="FB23" s="1512">
        <f t="shared" ref="FB23:FM23" si="114">SUM(FB24:FB28)</f>
        <v>21985</v>
      </c>
      <c r="FC23" s="1513">
        <f t="shared" si="114"/>
        <v>35806</v>
      </c>
      <c r="FD23" s="1513">
        <f t="shared" si="114"/>
        <v>43850</v>
      </c>
      <c r="FE23" s="1513">
        <f t="shared" si="114"/>
        <v>27537</v>
      </c>
      <c r="FF23" s="1513">
        <f t="shared" si="114"/>
        <v>28088</v>
      </c>
      <c r="FG23" s="1513">
        <f t="shared" si="114"/>
        <v>25443</v>
      </c>
      <c r="FH23" s="1513">
        <f t="shared" si="114"/>
        <v>39249</v>
      </c>
      <c r="FI23" s="1513">
        <f t="shared" si="114"/>
        <v>50114</v>
      </c>
      <c r="FJ23" s="1513">
        <f t="shared" si="114"/>
        <v>85177</v>
      </c>
      <c r="FK23" s="1513">
        <f t="shared" si="114"/>
        <v>108196</v>
      </c>
      <c r="FL23" s="1513">
        <f t="shared" si="114"/>
        <v>132994</v>
      </c>
      <c r="FM23" s="1514">
        <f t="shared" si="114"/>
        <v>229659</v>
      </c>
      <c r="FN23" s="1515">
        <f t="shared" ref="FN23:FN28" si="115">SUM(FB23:FM23)</f>
        <v>828098</v>
      </c>
      <c r="FO23" s="1512">
        <f t="shared" ref="FO23:GM23" si="116">SUM(FO24:FO28)</f>
        <v>25123</v>
      </c>
      <c r="FP23" s="1513">
        <f t="shared" si="116"/>
        <v>53200</v>
      </c>
      <c r="FQ23" s="1513">
        <f t="shared" si="116"/>
        <v>98404</v>
      </c>
      <c r="FR23" s="1513">
        <f t="shared" si="116"/>
        <v>59348</v>
      </c>
      <c r="FS23" s="1513">
        <f t="shared" si="116"/>
        <v>65375</v>
      </c>
      <c r="FT23" s="1513">
        <f t="shared" si="116"/>
        <v>82339</v>
      </c>
      <c r="FU23" s="1513">
        <f t="shared" si="116"/>
        <v>74805</v>
      </c>
      <c r="FV23" s="1513">
        <f t="shared" si="116"/>
        <v>74767</v>
      </c>
      <c r="FW23" s="1513">
        <f t="shared" si="116"/>
        <v>76789</v>
      </c>
      <c r="FX23" s="1513">
        <f t="shared" si="116"/>
        <v>72739</v>
      </c>
      <c r="FY23" s="1513">
        <f t="shared" si="116"/>
        <v>78583</v>
      </c>
      <c r="FZ23" s="1514">
        <f t="shared" si="116"/>
        <v>152659</v>
      </c>
      <c r="GA23" s="1515">
        <f t="shared" si="47"/>
        <v>914131</v>
      </c>
      <c r="GB23" s="1512">
        <f t="shared" si="116"/>
        <v>22918</v>
      </c>
      <c r="GC23" s="1513">
        <f t="shared" si="116"/>
        <v>33571</v>
      </c>
      <c r="GD23" s="1513">
        <f t="shared" si="116"/>
        <v>86242</v>
      </c>
      <c r="GE23" s="1513">
        <f t="shared" si="116"/>
        <v>56695</v>
      </c>
      <c r="GF23" s="1513">
        <f t="shared" si="116"/>
        <v>65379</v>
      </c>
      <c r="GG23" s="1513">
        <f t="shared" si="116"/>
        <v>60887</v>
      </c>
      <c r="GH23" s="1513">
        <f t="shared" si="116"/>
        <v>86052</v>
      </c>
      <c r="GI23" s="1513">
        <f t="shared" si="116"/>
        <v>82438</v>
      </c>
      <c r="GJ23" s="1513">
        <f t="shared" si="116"/>
        <v>86246</v>
      </c>
      <c r="GK23" s="1513">
        <f t="shared" si="116"/>
        <v>74594</v>
      </c>
      <c r="GL23" s="1513">
        <f t="shared" si="116"/>
        <v>87182</v>
      </c>
      <c r="GM23" s="1514">
        <f t="shared" si="116"/>
        <v>130326</v>
      </c>
      <c r="GN23" s="1515">
        <f t="shared" si="48"/>
        <v>872530</v>
      </c>
      <c r="GO23" s="1512">
        <f t="shared" ref="GO23:GZ23" si="117">SUM(GO24:GO28)</f>
        <v>13409</v>
      </c>
      <c r="GP23" s="1513">
        <f t="shared" si="117"/>
        <v>45976</v>
      </c>
      <c r="GQ23" s="1513">
        <f t="shared" si="117"/>
        <v>65525</v>
      </c>
      <c r="GR23" s="1513">
        <f t="shared" si="117"/>
        <v>72827</v>
      </c>
      <c r="GS23" s="1513">
        <f t="shared" si="117"/>
        <v>54469</v>
      </c>
      <c r="GT23" s="1513">
        <f t="shared" si="117"/>
        <v>69919</v>
      </c>
      <c r="GU23" s="1513">
        <f t="shared" si="117"/>
        <v>75099</v>
      </c>
      <c r="GV23" s="1513">
        <f t="shared" si="117"/>
        <v>73410</v>
      </c>
      <c r="GW23" s="1513">
        <f t="shared" si="117"/>
        <v>71744</v>
      </c>
      <c r="GX23" s="1513">
        <f t="shared" si="117"/>
        <v>76050</v>
      </c>
      <c r="GY23" s="1513">
        <f t="shared" si="117"/>
        <v>95708</v>
      </c>
      <c r="GZ23" s="1514">
        <f t="shared" si="117"/>
        <v>135217</v>
      </c>
      <c r="HA23" s="1515">
        <f t="shared" si="50"/>
        <v>849353</v>
      </c>
      <c r="HB23" s="1512">
        <f t="shared" ref="HB23:HM23" si="118">SUM(HB24:HB28)</f>
        <v>43304</v>
      </c>
      <c r="HC23" s="1513">
        <f t="shared" si="118"/>
        <v>92945</v>
      </c>
      <c r="HD23" s="1513">
        <f t="shared" si="118"/>
        <v>70284</v>
      </c>
      <c r="HE23" s="1513">
        <f t="shared" si="118"/>
        <v>75824</v>
      </c>
      <c r="HF23" s="1513">
        <f t="shared" si="118"/>
        <v>82336</v>
      </c>
      <c r="HG23" s="1513">
        <f t="shared" si="118"/>
        <v>79371</v>
      </c>
      <c r="HH23" s="1513">
        <f t="shared" si="118"/>
        <v>92711</v>
      </c>
      <c r="HI23" s="1513">
        <f t="shared" si="118"/>
        <v>81791</v>
      </c>
      <c r="HJ23" s="1513">
        <f t="shared" si="118"/>
        <v>71273</v>
      </c>
      <c r="HK23" s="1513">
        <f t="shared" si="118"/>
        <v>89572</v>
      </c>
      <c r="HL23" s="1513">
        <f t="shared" si="118"/>
        <v>81488</v>
      </c>
      <c r="HM23" s="1514">
        <f t="shared" si="118"/>
        <v>145022</v>
      </c>
      <c r="HN23" s="1515">
        <f t="shared" si="52"/>
        <v>1005921</v>
      </c>
      <c r="HO23" s="1512">
        <f t="shared" ref="HO23:IF23" si="119">SUM(HO24:HO28)</f>
        <v>38038</v>
      </c>
      <c r="HP23" s="1513">
        <f t="shared" si="119"/>
        <v>56692</v>
      </c>
      <c r="HQ23" s="1513">
        <f t="shared" si="119"/>
        <v>80121</v>
      </c>
      <c r="HR23" s="1513">
        <f t="shared" si="119"/>
        <v>71519</v>
      </c>
      <c r="HS23" s="1513">
        <f t="shared" si="119"/>
        <v>78464</v>
      </c>
      <c r="HT23" s="1513">
        <f t="shared" si="119"/>
        <v>79368</v>
      </c>
      <c r="HU23" s="1513">
        <f t="shared" si="119"/>
        <v>89086</v>
      </c>
      <c r="HV23" s="1513">
        <f t="shared" si="119"/>
        <v>81477</v>
      </c>
      <c r="HW23" s="1513">
        <f t="shared" si="119"/>
        <v>78916</v>
      </c>
      <c r="HX23" s="1513">
        <f t="shared" si="119"/>
        <v>90984</v>
      </c>
      <c r="HY23" s="1513">
        <f t="shared" si="119"/>
        <v>81581</v>
      </c>
      <c r="HZ23" s="1669">
        <v>150302</v>
      </c>
      <c r="IA23" s="1672">
        <f t="shared" si="58"/>
        <v>976548</v>
      </c>
      <c r="IB23" s="1516">
        <f>SUM(IB24:IB28)</f>
        <v>44113</v>
      </c>
      <c r="IC23" s="1209">
        <f t="shared" si="119"/>
        <v>49799</v>
      </c>
      <c r="ID23" s="1209">
        <f t="shared" si="119"/>
        <v>67701</v>
      </c>
      <c r="IE23" s="1209">
        <f t="shared" si="119"/>
        <v>78514</v>
      </c>
      <c r="IF23" s="1516">
        <f t="shared" si="119"/>
        <v>81860</v>
      </c>
      <c r="IG23" s="1209">
        <f>SUM(IG24:IG28)</f>
        <v>83376</v>
      </c>
      <c r="IH23" s="1209">
        <f>SUM(IH24:IH28)</f>
        <v>103041</v>
      </c>
      <c r="II23" s="1209">
        <f>SUM(II24:II28)</f>
        <v>91778</v>
      </c>
      <c r="IJ23" s="1209"/>
      <c r="IK23" s="1209"/>
      <c r="IL23" s="1209"/>
      <c r="IM23" s="1517"/>
      <c r="IN23" s="1518">
        <f t="shared" si="56"/>
        <v>600182</v>
      </c>
      <c r="IO23" s="1422"/>
      <c r="IP23" s="1519">
        <f t="shared" si="19"/>
        <v>12.64283171938092</v>
      </c>
      <c r="IQ23" s="1520">
        <f t="shared" si="57"/>
        <v>4.422155141666595</v>
      </c>
      <c r="IR23" s="1521">
        <f t="shared" si="20"/>
        <v>574765</v>
      </c>
      <c r="IS23" s="1522">
        <f t="shared" si="21"/>
        <v>600182</v>
      </c>
      <c r="IT23" s="1523"/>
      <c r="IU23" s="1523"/>
    </row>
    <row r="24" spans="1:255" ht="15" customHeight="1" x14ac:dyDescent="0.2">
      <c r="A24" s="1551" t="s">
        <v>429</v>
      </c>
      <c r="B24" s="379">
        <v>534</v>
      </c>
      <c r="C24" s="380">
        <v>1069</v>
      </c>
      <c r="D24" s="380">
        <v>903</v>
      </c>
      <c r="E24" s="380">
        <v>1492</v>
      </c>
      <c r="F24" s="380">
        <v>1001</v>
      </c>
      <c r="G24" s="380">
        <v>1318</v>
      </c>
      <c r="H24" s="380">
        <v>1838</v>
      </c>
      <c r="I24" s="380">
        <v>2749</v>
      </c>
      <c r="J24" s="380">
        <v>3442</v>
      </c>
      <c r="K24" s="380">
        <v>3520</v>
      </c>
      <c r="L24" s="380">
        <v>3811</v>
      </c>
      <c r="M24" s="389">
        <v>8387</v>
      </c>
      <c r="N24" s="381">
        <f t="shared" si="93"/>
        <v>30064</v>
      </c>
      <c r="O24" s="379">
        <v>453</v>
      </c>
      <c r="P24" s="380">
        <v>962</v>
      </c>
      <c r="Q24" s="380">
        <v>1307</v>
      </c>
      <c r="R24" s="380">
        <v>2345</v>
      </c>
      <c r="S24" s="380">
        <v>4424</v>
      </c>
      <c r="T24" s="380">
        <v>5387</v>
      </c>
      <c r="U24" s="380">
        <v>6316</v>
      </c>
      <c r="V24" s="380">
        <v>7785</v>
      </c>
      <c r="W24" s="380">
        <v>7783</v>
      </c>
      <c r="X24" s="380">
        <v>6369</v>
      </c>
      <c r="Y24" s="380">
        <v>7867</v>
      </c>
      <c r="Z24" s="389">
        <v>23463</v>
      </c>
      <c r="AA24" s="381">
        <f t="shared" si="95"/>
        <v>74461</v>
      </c>
      <c r="AB24" s="379">
        <v>976</v>
      </c>
      <c r="AC24" s="380">
        <v>1323</v>
      </c>
      <c r="AD24" s="380">
        <v>1731</v>
      </c>
      <c r="AE24" s="380">
        <v>2897</v>
      </c>
      <c r="AF24" s="380">
        <v>4168</v>
      </c>
      <c r="AG24" s="380">
        <v>5352</v>
      </c>
      <c r="AH24" s="380">
        <v>2846</v>
      </c>
      <c r="AI24" s="380">
        <v>7652</v>
      </c>
      <c r="AJ24" s="380">
        <v>2530</v>
      </c>
      <c r="AK24" s="380">
        <v>4378</v>
      </c>
      <c r="AL24" s="380">
        <v>3552</v>
      </c>
      <c r="AM24" s="389">
        <v>10028</v>
      </c>
      <c r="AN24" s="381">
        <f t="shared" si="97"/>
        <v>47433</v>
      </c>
      <c r="AO24" s="379">
        <v>712</v>
      </c>
      <c r="AP24" s="380">
        <v>1451</v>
      </c>
      <c r="AQ24" s="380">
        <v>1617</v>
      </c>
      <c r="AR24" s="380">
        <v>4558</v>
      </c>
      <c r="AS24" s="380">
        <v>7007</v>
      </c>
      <c r="AT24" s="380">
        <v>4037</v>
      </c>
      <c r="AU24" s="380">
        <v>5210</v>
      </c>
      <c r="AV24" s="380">
        <v>7674</v>
      </c>
      <c r="AW24" s="380">
        <v>10335</v>
      </c>
      <c r="AX24" s="380">
        <v>14353</v>
      </c>
      <c r="AY24" s="380">
        <v>20761</v>
      </c>
      <c r="AZ24" s="389">
        <v>34273</v>
      </c>
      <c r="BA24" s="381">
        <f t="shared" si="99"/>
        <v>111988</v>
      </c>
      <c r="BB24" s="379">
        <v>413</v>
      </c>
      <c r="BC24" s="380">
        <v>5745</v>
      </c>
      <c r="BD24" s="380">
        <v>18676</v>
      </c>
      <c r="BE24" s="380">
        <v>8288</v>
      </c>
      <c r="BF24" s="380">
        <v>7255</v>
      </c>
      <c r="BG24" s="380">
        <v>1841</v>
      </c>
      <c r="BH24" s="380">
        <v>15507</v>
      </c>
      <c r="BI24" s="380">
        <v>8869</v>
      </c>
      <c r="BJ24" s="380">
        <v>15077</v>
      </c>
      <c r="BK24" s="380">
        <v>23167</v>
      </c>
      <c r="BL24" s="380">
        <v>18513</v>
      </c>
      <c r="BM24" s="389">
        <v>41258</v>
      </c>
      <c r="BN24" s="381">
        <f>SUM(BB24:BM24)</f>
        <v>164609</v>
      </c>
      <c r="BO24" s="379">
        <v>130</v>
      </c>
      <c r="BP24" s="380">
        <v>1489</v>
      </c>
      <c r="BQ24" s="380">
        <v>18061</v>
      </c>
      <c r="BR24" s="380">
        <v>8844</v>
      </c>
      <c r="BS24" s="380">
        <v>11005</v>
      </c>
      <c r="BT24" s="380">
        <v>6722</v>
      </c>
      <c r="BU24" s="380">
        <v>37949</v>
      </c>
      <c r="BV24" s="380">
        <v>-4174</v>
      </c>
      <c r="BW24" s="380">
        <v>16125</v>
      </c>
      <c r="BX24" s="380">
        <v>16767</v>
      </c>
      <c r="BY24" s="380">
        <v>9965</v>
      </c>
      <c r="BZ24" s="389">
        <v>65507</v>
      </c>
      <c r="CA24" s="381">
        <f t="shared" si="102"/>
        <v>188390</v>
      </c>
      <c r="CB24" s="379">
        <v>118</v>
      </c>
      <c r="CC24" s="380">
        <v>1040</v>
      </c>
      <c r="CD24" s="380">
        <v>10769</v>
      </c>
      <c r="CE24" s="380">
        <v>11320</v>
      </c>
      <c r="CF24" s="380">
        <v>6272</v>
      </c>
      <c r="CG24" s="380">
        <v>8154</v>
      </c>
      <c r="CH24" s="380">
        <v>13402</v>
      </c>
      <c r="CI24" s="380">
        <v>5735</v>
      </c>
      <c r="CJ24" s="380">
        <v>16126</v>
      </c>
      <c r="CK24" s="380">
        <v>25023</v>
      </c>
      <c r="CL24" s="380">
        <v>23959</v>
      </c>
      <c r="CM24" s="389">
        <v>47297</v>
      </c>
      <c r="CN24" s="381">
        <f t="shared" si="104"/>
        <v>169215</v>
      </c>
      <c r="CO24" s="379">
        <v>70</v>
      </c>
      <c r="CP24" s="380">
        <v>1472</v>
      </c>
      <c r="CQ24" s="380">
        <v>15983</v>
      </c>
      <c r="CR24" s="380">
        <v>3501</v>
      </c>
      <c r="CS24" s="380">
        <v>7023</v>
      </c>
      <c r="CT24" s="380">
        <v>11328</v>
      </c>
      <c r="CU24" s="380">
        <v>15820</v>
      </c>
      <c r="CV24" s="380">
        <v>10120</v>
      </c>
      <c r="CW24" s="380">
        <v>14250</v>
      </c>
      <c r="CX24" s="380">
        <v>13630</v>
      </c>
      <c r="CY24" s="380">
        <v>17203</v>
      </c>
      <c r="CZ24" s="389">
        <v>44731</v>
      </c>
      <c r="DA24" s="381">
        <f t="shared" si="106"/>
        <v>155131</v>
      </c>
      <c r="DB24" s="379">
        <v>137</v>
      </c>
      <c r="DC24" s="380">
        <v>959</v>
      </c>
      <c r="DD24" s="380">
        <v>6078</v>
      </c>
      <c r="DE24" s="380">
        <v>4499</v>
      </c>
      <c r="DF24" s="380">
        <v>3371</v>
      </c>
      <c r="DG24" s="380">
        <v>5784</v>
      </c>
      <c r="DH24" s="380">
        <v>5582</v>
      </c>
      <c r="DI24" s="380">
        <v>7558</v>
      </c>
      <c r="DJ24" s="380">
        <v>12067</v>
      </c>
      <c r="DK24" s="380">
        <v>21082</v>
      </c>
      <c r="DL24" s="380">
        <v>19073</v>
      </c>
      <c r="DM24" s="389">
        <v>51878</v>
      </c>
      <c r="DN24" s="381">
        <f t="shared" si="108"/>
        <v>138068</v>
      </c>
      <c r="DO24" s="379">
        <v>202</v>
      </c>
      <c r="DP24" s="380">
        <v>7017</v>
      </c>
      <c r="DQ24" s="380">
        <v>19357</v>
      </c>
      <c r="DR24" s="380">
        <v>10631</v>
      </c>
      <c r="DS24" s="380">
        <v>8304</v>
      </c>
      <c r="DT24" s="380">
        <v>14744</v>
      </c>
      <c r="DU24" s="380">
        <v>14516</v>
      </c>
      <c r="DV24" s="380">
        <v>15143</v>
      </c>
      <c r="DW24" s="380">
        <v>33634</v>
      </c>
      <c r="DX24" s="380">
        <v>21126</v>
      </c>
      <c r="DY24" s="380">
        <v>16117</v>
      </c>
      <c r="DZ24" s="389">
        <v>30347</v>
      </c>
      <c r="EA24" s="381">
        <f t="shared" si="109"/>
        <v>191138</v>
      </c>
      <c r="EB24" s="379">
        <v>192</v>
      </c>
      <c r="EC24" s="380">
        <v>901</v>
      </c>
      <c r="ED24" s="380">
        <v>2788</v>
      </c>
      <c r="EE24" s="380">
        <v>1872</v>
      </c>
      <c r="EF24" s="380">
        <v>2798</v>
      </c>
      <c r="EG24" s="380">
        <v>19143</v>
      </c>
      <c r="EH24" s="380">
        <v>12538</v>
      </c>
      <c r="EI24" s="380">
        <v>10352</v>
      </c>
      <c r="EJ24" s="380">
        <v>13635</v>
      </c>
      <c r="EK24" s="380">
        <v>10806</v>
      </c>
      <c r="EL24" s="380">
        <v>14208</v>
      </c>
      <c r="EM24" s="389">
        <v>29515</v>
      </c>
      <c r="EN24" s="381">
        <f t="shared" si="111"/>
        <v>118748</v>
      </c>
      <c r="EO24" s="379">
        <v>674</v>
      </c>
      <c r="EP24" s="380">
        <v>9365</v>
      </c>
      <c r="EQ24" s="380">
        <v>12405</v>
      </c>
      <c r="ER24" s="380">
        <v>29305</v>
      </c>
      <c r="ES24" s="380">
        <v>13973</v>
      </c>
      <c r="ET24" s="380">
        <v>17427</v>
      </c>
      <c r="EU24" s="380">
        <v>11085</v>
      </c>
      <c r="EV24" s="380">
        <v>21507</v>
      </c>
      <c r="EW24" s="380">
        <v>29197</v>
      </c>
      <c r="EX24" s="380">
        <v>36534</v>
      </c>
      <c r="EY24" s="380">
        <v>17387</v>
      </c>
      <c r="EZ24" s="389">
        <v>52884</v>
      </c>
      <c r="FA24" s="381">
        <f t="shared" si="113"/>
        <v>251743</v>
      </c>
      <c r="FB24" s="379">
        <v>2201</v>
      </c>
      <c r="FC24" s="380">
        <v>11970</v>
      </c>
      <c r="FD24" s="380">
        <v>10173</v>
      </c>
      <c r="FE24" s="380">
        <v>10530</v>
      </c>
      <c r="FF24" s="380">
        <v>10796</v>
      </c>
      <c r="FG24" s="380">
        <v>6407</v>
      </c>
      <c r="FH24" s="380">
        <v>9203</v>
      </c>
      <c r="FI24" s="380">
        <v>17149</v>
      </c>
      <c r="FJ24" s="380">
        <v>32248</v>
      </c>
      <c r="FK24" s="380">
        <v>36782</v>
      </c>
      <c r="FL24" s="380">
        <v>38233</v>
      </c>
      <c r="FM24" s="389">
        <v>74701</v>
      </c>
      <c r="FN24" s="381">
        <f t="shared" si="115"/>
        <v>260393</v>
      </c>
      <c r="FO24" s="379">
        <v>76</v>
      </c>
      <c r="FP24" s="380">
        <v>1591</v>
      </c>
      <c r="FQ24" s="380">
        <v>9448</v>
      </c>
      <c r="FR24" s="380">
        <v>6594</v>
      </c>
      <c r="FS24" s="380">
        <v>6848</v>
      </c>
      <c r="FT24" s="380">
        <v>12135</v>
      </c>
      <c r="FU24" s="380">
        <v>8791</v>
      </c>
      <c r="FV24" s="380">
        <v>7613</v>
      </c>
      <c r="FW24" s="380">
        <v>4562</v>
      </c>
      <c r="FX24" s="380">
        <v>5071</v>
      </c>
      <c r="FY24" s="380">
        <v>6240</v>
      </c>
      <c r="FZ24" s="389">
        <v>25404</v>
      </c>
      <c r="GA24" s="381">
        <f t="shared" si="47"/>
        <v>94373</v>
      </c>
      <c r="GB24" s="379">
        <v>1479</v>
      </c>
      <c r="GC24" s="380">
        <v>4369</v>
      </c>
      <c r="GD24" s="380">
        <v>10429</v>
      </c>
      <c r="GE24" s="380">
        <v>12562</v>
      </c>
      <c r="GF24" s="380">
        <v>12294</v>
      </c>
      <c r="GG24" s="380">
        <v>11456</v>
      </c>
      <c r="GH24" s="380">
        <v>14012</v>
      </c>
      <c r="GI24" s="380">
        <v>15066</v>
      </c>
      <c r="GJ24" s="380">
        <v>16087</v>
      </c>
      <c r="GK24" s="380">
        <v>10172</v>
      </c>
      <c r="GL24" s="380">
        <v>27311</v>
      </c>
      <c r="GM24" s="389">
        <v>42356</v>
      </c>
      <c r="GN24" s="381">
        <f t="shared" si="48"/>
        <v>177593</v>
      </c>
      <c r="GO24" s="379">
        <v>1207</v>
      </c>
      <c r="GP24" s="380">
        <v>20615</v>
      </c>
      <c r="GQ24" s="380">
        <v>24628</v>
      </c>
      <c r="GR24" s="380">
        <v>25599</v>
      </c>
      <c r="GS24" s="380">
        <v>15624</v>
      </c>
      <c r="GT24" s="380">
        <v>17221</v>
      </c>
      <c r="GU24" s="380">
        <v>18864</v>
      </c>
      <c r="GV24" s="380">
        <v>22349</v>
      </c>
      <c r="GW24" s="380">
        <v>23082</v>
      </c>
      <c r="GX24" s="380">
        <v>30698</v>
      </c>
      <c r="GY24" s="380">
        <v>51073</v>
      </c>
      <c r="GZ24" s="389">
        <v>76581</v>
      </c>
      <c r="HA24" s="381">
        <f t="shared" si="50"/>
        <v>327541</v>
      </c>
      <c r="HB24" s="379">
        <v>16839</v>
      </c>
      <c r="HC24" s="380">
        <v>53237</v>
      </c>
      <c r="HD24" s="380">
        <v>26184</v>
      </c>
      <c r="HE24" s="380">
        <v>31976</v>
      </c>
      <c r="HF24" s="380">
        <v>35789</v>
      </c>
      <c r="HG24" s="380">
        <v>40134</v>
      </c>
      <c r="HH24" s="380">
        <v>46859</v>
      </c>
      <c r="HI24" s="380">
        <v>39919</v>
      </c>
      <c r="HJ24" s="380">
        <v>32325</v>
      </c>
      <c r="HK24" s="380">
        <v>43625</v>
      </c>
      <c r="HL24" s="380">
        <v>34951</v>
      </c>
      <c r="HM24" s="389">
        <v>82344</v>
      </c>
      <c r="HN24" s="381">
        <f t="shared" si="52"/>
        <v>484182</v>
      </c>
      <c r="HO24" s="379">
        <v>9390</v>
      </c>
      <c r="HP24" s="380">
        <v>20960</v>
      </c>
      <c r="HQ24" s="380">
        <v>31222</v>
      </c>
      <c r="HR24" s="380">
        <v>25438</v>
      </c>
      <c r="HS24" s="380">
        <v>31960</v>
      </c>
      <c r="HT24" s="380">
        <v>32675</v>
      </c>
      <c r="HU24" s="380">
        <v>37470</v>
      </c>
      <c r="HV24" s="380">
        <v>32020</v>
      </c>
      <c r="HW24" s="380">
        <v>32531</v>
      </c>
      <c r="HX24" s="380">
        <v>43296</v>
      </c>
      <c r="HY24" s="380">
        <v>39846</v>
      </c>
      <c r="HZ24" s="391">
        <v>82928</v>
      </c>
      <c r="IA24" s="80">
        <f t="shared" si="58"/>
        <v>419736</v>
      </c>
      <c r="IB24" s="1344">
        <v>15930</v>
      </c>
      <c r="IC24" s="120">
        <v>10360</v>
      </c>
      <c r="ID24" s="120">
        <v>17925</v>
      </c>
      <c r="IE24" s="120">
        <v>27893</v>
      </c>
      <c r="IF24" s="120">
        <v>20281</v>
      </c>
      <c r="IG24" s="120">
        <v>25460</v>
      </c>
      <c r="IH24" s="120">
        <v>34410</v>
      </c>
      <c r="II24" s="120">
        <v>27401</v>
      </c>
      <c r="IJ24" s="120"/>
      <c r="IK24" s="120"/>
      <c r="IL24" s="120"/>
      <c r="IM24" s="1345"/>
      <c r="IN24" s="1346">
        <f t="shared" si="56"/>
        <v>179660</v>
      </c>
      <c r="IO24" s="120"/>
      <c r="IP24" s="371">
        <f t="shared" si="19"/>
        <v>-14.425359150530914</v>
      </c>
      <c r="IQ24" s="348">
        <f t="shared" si="57"/>
        <v>-18.755511339227169</v>
      </c>
      <c r="IR24" s="320">
        <f t="shared" si="20"/>
        <v>221135</v>
      </c>
      <c r="IS24" s="344">
        <f t="shared" si="21"/>
        <v>179660</v>
      </c>
    </row>
    <row r="25" spans="1:255" ht="15" customHeight="1" x14ac:dyDescent="0.2">
      <c r="A25" s="1551" t="s">
        <v>402</v>
      </c>
      <c r="B25" s="379">
        <v>1439</v>
      </c>
      <c r="C25" s="380">
        <v>2327</v>
      </c>
      <c r="D25" s="380">
        <v>1528</v>
      </c>
      <c r="E25" s="380">
        <v>1850</v>
      </c>
      <c r="F25" s="380">
        <v>1745</v>
      </c>
      <c r="G25" s="380">
        <v>1770</v>
      </c>
      <c r="H25" s="380">
        <v>2193</v>
      </c>
      <c r="I25" s="380">
        <v>1947</v>
      </c>
      <c r="J25" s="380">
        <v>2099</v>
      </c>
      <c r="K25" s="380">
        <v>2161</v>
      </c>
      <c r="L25" s="380">
        <v>1700</v>
      </c>
      <c r="M25" s="389">
        <v>3203</v>
      </c>
      <c r="N25" s="381">
        <f t="shared" si="93"/>
        <v>23962</v>
      </c>
      <c r="O25" s="379">
        <v>959</v>
      </c>
      <c r="P25" s="380">
        <v>1596</v>
      </c>
      <c r="Q25" s="380">
        <v>2187</v>
      </c>
      <c r="R25" s="380">
        <v>1939</v>
      </c>
      <c r="S25" s="380">
        <v>1493</v>
      </c>
      <c r="T25" s="380">
        <v>1505</v>
      </c>
      <c r="U25" s="380">
        <v>1912</v>
      </c>
      <c r="V25" s="380">
        <v>1499</v>
      </c>
      <c r="W25" s="380">
        <v>1774</v>
      </c>
      <c r="X25" s="380">
        <v>1472</v>
      </c>
      <c r="Y25" s="380">
        <v>1431</v>
      </c>
      <c r="Z25" s="389">
        <v>2542</v>
      </c>
      <c r="AA25" s="381">
        <f t="shared" si="95"/>
        <v>20309</v>
      </c>
      <c r="AB25" s="379">
        <v>931</v>
      </c>
      <c r="AC25" s="380">
        <v>1520</v>
      </c>
      <c r="AD25" s="380">
        <v>1909</v>
      </c>
      <c r="AE25" s="380">
        <v>1773</v>
      </c>
      <c r="AF25" s="380">
        <v>1968</v>
      </c>
      <c r="AG25" s="380">
        <v>2184</v>
      </c>
      <c r="AH25" s="380">
        <v>2490</v>
      </c>
      <c r="AI25" s="380">
        <v>1923</v>
      </c>
      <c r="AJ25" s="380">
        <v>1752</v>
      </c>
      <c r="AK25" s="380">
        <v>1231</v>
      </c>
      <c r="AL25" s="380">
        <v>2658</v>
      </c>
      <c r="AM25" s="389">
        <v>2136</v>
      </c>
      <c r="AN25" s="381">
        <f t="shared" si="97"/>
        <v>22475</v>
      </c>
      <c r="AO25" s="379">
        <v>262</v>
      </c>
      <c r="AP25" s="380">
        <v>1444</v>
      </c>
      <c r="AQ25" s="380">
        <v>1733</v>
      </c>
      <c r="AR25" s="380">
        <v>1726</v>
      </c>
      <c r="AS25" s="380">
        <v>1764</v>
      </c>
      <c r="AT25" s="380">
        <v>1728</v>
      </c>
      <c r="AU25" s="380">
        <v>1942</v>
      </c>
      <c r="AV25" s="380">
        <v>1862</v>
      </c>
      <c r="AW25" s="380">
        <v>2453</v>
      </c>
      <c r="AX25" s="380">
        <v>1993</v>
      </c>
      <c r="AY25" s="380">
        <v>1675</v>
      </c>
      <c r="AZ25" s="389">
        <v>4268</v>
      </c>
      <c r="BA25" s="381">
        <f t="shared" si="99"/>
        <v>22850</v>
      </c>
      <c r="BB25" s="379">
        <v>1037</v>
      </c>
      <c r="BC25" s="380">
        <v>2539</v>
      </c>
      <c r="BD25" s="380">
        <v>2499</v>
      </c>
      <c r="BE25" s="380">
        <v>1596</v>
      </c>
      <c r="BF25" s="380">
        <v>2868</v>
      </c>
      <c r="BG25" s="380">
        <v>1797</v>
      </c>
      <c r="BH25" s="380">
        <v>2052</v>
      </c>
      <c r="BI25" s="380">
        <v>2351</v>
      </c>
      <c r="BJ25" s="380">
        <v>2081</v>
      </c>
      <c r="BK25" s="380">
        <v>2453</v>
      </c>
      <c r="BL25" s="380">
        <v>2206</v>
      </c>
      <c r="BM25" s="389">
        <v>3515</v>
      </c>
      <c r="BN25" s="381">
        <f>SUM(BB25:BM25)</f>
        <v>26994</v>
      </c>
      <c r="BO25" s="379">
        <v>1317</v>
      </c>
      <c r="BP25" s="380">
        <v>1602</v>
      </c>
      <c r="BQ25" s="380">
        <v>2428</v>
      </c>
      <c r="BR25" s="380">
        <v>2298</v>
      </c>
      <c r="BS25" s="380">
        <v>2223</v>
      </c>
      <c r="BT25" s="380">
        <v>2191</v>
      </c>
      <c r="BU25" s="380">
        <v>2692</v>
      </c>
      <c r="BV25" s="380">
        <v>2669</v>
      </c>
      <c r="BW25" s="380">
        <v>2850</v>
      </c>
      <c r="BX25" s="380">
        <v>2209</v>
      </c>
      <c r="BY25" s="380">
        <v>2239</v>
      </c>
      <c r="BZ25" s="389">
        <v>2642</v>
      </c>
      <c r="CA25" s="381">
        <f t="shared" si="102"/>
        <v>27360</v>
      </c>
      <c r="CB25" s="379">
        <v>966</v>
      </c>
      <c r="CC25" s="380">
        <v>1907</v>
      </c>
      <c r="CD25" s="380">
        <v>2167</v>
      </c>
      <c r="CE25" s="380">
        <v>2440</v>
      </c>
      <c r="CF25" s="380">
        <v>2578</v>
      </c>
      <c r="CG25" s="380">
        <v>2164</v>
      </c>
      <c r="CH25" s="380">
        <v>2381</v>
      </c>
      <c r="CI25" s="380">
        <v>2131</v>
      </c>
      <c r="CJ25" s="380">
        <v>2099</v>
      </c>
      <c r="CK25" s="380">
        <v>2111</v>
      </c>
      <c r="CL25" s="380">
        <v>2189</v>
      </c>
      <c r="CM25" s="389">
        <v>7377</v>
      </c>
      <c r="CN25" s="381">
        <f t="shared" si="104"/>
        <v>30510</v>
      </c>
      <c r="CO25" s="379">
        <v>641</v>
      </c>
      <c r="CP25" s="380">
        <v>1752</v>
      </c>
      <c r="CQ25" s="380">
        <v>3023</v>
      </c>
      <c r="CR25" s="380">
        <v>2607</v>
      </c>
      <c r="CS25" s="380">
        <v>2831</v>
      </c>
      <c r="CT25" s="380">
        <v>2844</v>
      </c>
      <c r="CU25" s="380">
        <v>2709</v>
      </c>
      <c r="CV25" s="380">
        <v>2851</v>
      </c>
      <c r="CW25" s="380">
        <v>3278</v>
      </c>
      <c r="CX25" s="380">
        <v>2891</v>
      </c>
      <c r="CY25" s="380">
        <v>2245</v>
      </c>
      <c r="CZ25" s="389">
        <v>3557</v>
      </c>
      <c r="DA25" s="381">
        <f t="shared" si="106"/>
        <v>31229</v>
      </c>
      <c r="DB25" s="379">
        <v>1631</v>
      </c>
      <c r="DC25" s="380">
        <v>2974</v>
      </c>
      <c r="DD25" s="380">
        <v>3106</v>
      </c>
      <c r="DE25" s="380">
        <v>3381</v>
      </c>
      <c r="DF25" s="380">
        <v>2792</v>
      </c>
      <c r="DG25" s="380">
        <v>2705</v>
      </c>
      <c r="DH25" s="380">
        <v>2835</v>
      </c>
      <c r="DI25" s="380">
        <v>3705</v>
      </c>
      <c r="DJ25" s="380">
        <v>4338</v>
      </c>
      <c r="DK25" s="380">
        <v>3482</v>
      </c>
      <c r="DL25" s="380">
        <v>3770</v>
      </c>
      <c r="DM25" s="389">
        <v>4151</v>
      </c>
      <c r="DN25" s="381">
        <f t="shared" si="108"/>
        <v>38870</v>
      </c>
      <c r="DO25" s="379">
        <v>1862</v>
      </c>
      <c r="DP25" s="380">
        <v>2843</v>
      </c>
      <c r="DQ25" s="380">
        <v>3290</v>
      </c>
      <c r="DR25" s="380">
        <v>2398</v>
      </c>
      <c r="DS25" s="380">
        <v>2911</v>
      </c>
      <c r="DT25" s="380">
        <v>2950</v>
      </c>
      <c r="DU25" s="380">
        <v>3407</v>
      </c>
      <c r="DV25" s="380">
        <v>3381</v>
      </c>
      <c r="DW25" s="380">
        <v>3417</v>
      </c>
      <c r="DX25" s="380">
        <v>4243</v>
      </c>
      <c r="DY25" s="380">
        <v>3556</v>
      </c>
      <c r="DZ25" s="389">
        <v>6096</v>
      </c>
      <c r="EA25" s="381">
        <f t="shared" si="109"/>
        <v>40354</v>
      </c>
      <c r="EB25" s="379">
        <v>2096</v>
      </c>
      <c r="EC25" s="380">
        <v>3060</v>
      </c>
      <c r="ED25" s="380">
        <v>3344</v>
      </c>
      <c r="EE25" s="380">
        <v>3039</v>
      </c>
      <c r="EF25" s="380">
        <v>3277</v>
      </c>
      <c r="EG25" s="380">
        <v>3215</v>
      </c>
      <c r="EH25" s="380">
        <v>3039</v>
      </c>
      <c r="EI25" s="380">
        <v>2780</v>
      </c>
      <c r="EJ25" s="380">
        <v>3466</v>
      </c>
      <c r="EK25" s="380">
        <v>3308</v>
      </c>
      <c r="EL25" s="380">
        <v>3331</v>
      </c>
      <c r="EM25" s="389">
        <v>4289</v>
      </c>
      <c r="EN25" s="381">
        <f t="shared" si="111"/>
        <v>38244</v>
      </c>
      <c r="EO25" s="379">
        <v>923</v>
      </c>
      <c r="EP25" s="380">
        <v>2367</v>
      </c>
      <c r="EQ25" s="380">
        <v>2849</v>
      </c>
      <c r="ER25" s="380">
        <v>3038</v>
      </c>
      <c r="ES25" s="380">
        <v>3879</v>
      </c>
      <c r="ET25" s="380">
        <v>3501</v>
      </c>
      <c r="EU25" s="380">
        <v>3712</v>
      </c>
      <c r="EV25" s="380">
        <v>3693</v>
      </c>
      <c r="EW25" s="380">
        <v>3073</v>
      </c>
      <c r="EX25" s="380">
        <v>4041</v>
      </c>
      <c r="EY25" s="380">
        <v>3447</v>
      </c>
      <c r="EZ25" s="389">
        <v>5176</v>
      </c>
      <c r="FA25" s="381">
        <f t="shared" si="113"/>
        <v>39699</v>
      </c>
      <c r="FB25" s="379">
        <v>1915</v>
      </c>
      <c r="FC25" s="380">
        <v>3027</v>
      </c>
      <c r="FD25" s="380">
        <v>3157</v>
      </c>
      <c r="FE25" s="380">
        <v>581</v>
      </c>
      <c r="FF25" s="380">
        <v>675</v>
      </c>
      <c r="FG25" s="380">
        <v>1035</v>
      </c>
      <c r="FH25" s="380">
        <v>1921</v>
      </c>
      <c r="FI25" s="380">
        <v>2182</v>
      </c>
      <c r="FJ25" s="380">
        <v>2433</v>
      </c>
      <c r="FK25" s="380">
        <v>2963</v>
      </c>
      <c r="FL25" s="380">
        <v>3618</v>
      </c>
      <c r="FM25" s="389">
        <v>5386</v>
      </c>
      <c r="FN25" s="381">
        <f t="shared" si="115"/>
        <v>28893</v>
      </c>
      <c r="FO25" s="379">
        <v>2412</v>
      </c>
      <c r="FP25" s="380">
        <v>3652</v>
      </c>
      <c r="FQ25" s="380">
        <v>4470</v>
      </c>
      <c r="FR25" s="380">
        <v>3076</v>
      </c>
      <c r="FS25" s="380">
        <v>4066</v>
      </c>
      <c r="FT25" s="380">
        <v>3634</v>
      </c>
      <c r="FU25" s="380">
        <v>3509</v>
      </c>
      <c r="FV25" s="380">
        <v>4217</v>
      </c>
      <c r="FW25" s="380">
        <v>3799</v>
      </c>
      <c r="FX25" s="380">
        <v>3898</v>
      </c>
      <c r="FY25" s="380">
        <v>3714</v>
      </c>
      <c r="FZ25" s="389">
        <v>5126</v>
      </c>
      <c r="GA25" s="381">
        <f t="shared" si="47"/>
        <v>45573</v>
      </c>
      <c r="GB25" s="379">
        <v>1966</v>
      </c>
      <c r="GC25" s="380">
        <v>3105</v>
      </c>
      <c r="GD25" s="380">
        <v>4253</v>
      </c>
      <c r="GE25" s="380">
        <v>3595</v>
      </c>
      <c r="GF25" s="380">
        <v>3847</v>
      </c>
      <c r="GG25" s="380">
        <v>3893</v>
      </c>
      <c r="GH25" s="380">
        <v>4184</v>
      </c>
      <c r="GI25" s="380">
        <v>4313</v>
      </c>
      <c r="GJ25" s="380">
        <v>3554</v>
      </c>
      <c r="GK25" s="380">
        <v>3335</v>
      </c>
      <c r="GL25" s="380">
        <v>3507</v>
      </c>
      <c r="GM25" s="389">
        <v>4992</v>
      </c>
      <c r="GN25" s="381">
        <f t="shared" si="48"/>
        <v>44544</v>
      </c>
      <c r="GO25" s="379">
        <v>1041</v>
      </c>
      <c r="GP25" s="380">
        <v>2410</v>
      </c>
      <c r="GQ25" s="380">
        <v>4651</v>
      </c>
      <c r="GR25" s="380">
        <v>4159</v>
      </c>
      <c r="GS25" s="380">
        <v>4828</v>
      </c>
      <c r="GT25" s="380">
        <v>3758</v>
      </c>
      <c r="GU25" s="380">
        <v>4791</v>
      </c>
      <c r="GV25" s="380">
        <v>4397</v>
      </c>
      <c r="GW25" s="380">
        <v>4246</v>
      </c>
      <c r="GX25" s="380">
        <v>4315</v>
      </c>
      <c r="GY25" s="380">
        <v>6782</v>
      </c>
      <c r="GZ25" s="389">
        <v>6236</v>
      </c>
      <c r="HA25" s="381">
        <f t="shared" si="50"/>
        <v>51614</v>
      </c>
      <c r="HB25" s="379">
        <v>1964</v>
      </c>
      <c r="HC25" s="380">
        <v>3929</v>
      </c>
      <c r="HD25" s="380">
        <v>3951</v>
      </c>
      <c r="HE25" s="380">
        <v>4873</v>
      </c>
      <c r="HF25" s="380">
        <v>4270</v>
      </c>
      <c r="HG25" s="380">
        <v>3278</v>
      </c>
      <c r="HH25" s="380">
        <v>4188</v>
      </c>
      <c r="HI25" s="380">
        <v>4438</v>
      </c>
      <c r="HJ25" s="380">
        <v>4269</v>
      </c>
      <c r="HK25" s="380">
        <v>5180</v>
      </c>
      <c r="HL25" s="380">
        <v>4049</v>
      </c>
      <c r="HM25" s="389">
        <v>6366</v>
      </c>
      <c r="HN25" s="381">
        <f t="shared" si="52"/>
        <v>50755</v>
      </c>
      <c r="HO25" s="379">
        <v>2504</v>
      </c>
      <c r="HP25" s="380">
        <v>3577</v>
      </c>
      <c r="HQ25" s="380">
        <v>4748</v>
      </c>
      <c r="HR25" s="380">
        <v>4955</v>
      </c>
      <c r="HS25" s="380">
        <v>4651</v>
      </c>
      <c r="HT25" s="380">
        <v>4754</v>
      </c>
      <c r="HU25" s="380">
        <v>4105</v>
      </c>
      <c r="HV25" s="380">
        <v>4607</v>
      </c>
      <c r="HW25" s="380">
        <v>4930</v>
      </c>
      <c r="HX25" s="380">
        <v>4851</v>
      </c>
      <c r="HY25" s="380">
        <v>4811</v>
      </c>
      <c r="HZ25" s="391">
        <v>7036</v>
      </c>
      <c r="IA25" s="80">
        <f>SUM(HO25:HZ25)</f>
        <v>55529</v>
      </c>
      <c r="IB25" s="1344">
        <v>2220</v>
      </c>
      <c r="IC25" s="120">
        <v>3964</v>
      </c>
      <c r="ID25" s="120">
        <v>4625</v>
      </c>
      <c r="IE25" s="120">
        <v>3735</v>
      </c>
      <c r="IF25" s="120">
        <v>4053</v>
      </c>
      <c r="IG25" s="120">
        <v>3647</v>
      </c>
      <c r="IH25" s="120">
        <v>5299</v>
      </c>
      <c r="II25" s="120">
        <v>6659</v>
      </c>
      <c r="IJ25" s="120"/>
      <c r="IK25" s="120"/>
      <c r="IL25" s="120"/>
      <c r="IM25" s="1345"/>
      <c r="IN25" s="1346">
        <f t="shared" si="56"/>
        <v>34202</v>
      </c>
      <c r="IO25" s="120"/>
      <c r="IP25" s="371">
        <f t="shared" si="19"/>
        <v>44.540915997395267</v>
      </c>
      <c r="IQ25" s="348">
        <f t="shared" si="57"/>
        <v>0.88787941358661193</v>
      </c>
      <c r="IR25" s="320">
        <f t="shared" si="20"/>
        <v>33901</v>
      </c>
      <c r="IS25" s="344">
        <f t="shared" si="21"/>
        <v>34202</v>
      </c>
    </row>
    <row r="26" spans="1:255" ht="15" customHeight="1" x14ac:dyDescent="0.2">
      <c r="A26" s="1551" t="s">
        <v>480</v>
      </c>
      <c r="B26" s="382">
        <v>40</v>
      </c>
      <c r="C26" s="383">
        <v>17</v>
      </c>
      <c r="D26" s="383">
        <v>381</v>
      </c>
      <c r="E26" s="383">
        <v>216</v>
      </c>
      <c r="F26" s="383">
        <v>515</v>
      </c>
      <c r="G26" s="383">
        <v>34</v>
      </c>
      <c r="H26" s="383">
        <v>137</v>
      </c>
      <c r="I26" s="383">
        <v>633</v>
      </c>
      <c r="J26" s="383">
        <v>293</v>
      </c>
      <c r="K26" s="383">
        <v>72</v>
      </c>
      <c r="L26" s="383">
        <v>140</v>
      </c>
      <c r="M26" s="390">
        <v>1566</v>
      </c>
      <c r="N26" s="384">
        <f t="shared" si="93"/>
        <v>4044</v>
      </c>
      <c r="O26" s="382">
        <v>55</v>
      </c>
      <c r="P26" s="383">
        <v>949</v>
      </c>
      <c r="Q26" s="383">
        <v>306</v>
      </c>
      <c r="R26" s="383">
        <v>1401</v>
      </c>
      <c r="S26" s="383">
        <v>94</v>
      </c>
      <c r="T26" s="383">
        <v>8</v>
      </c>
      <c r="U26" s="383">
        <v>246</v>
      </c>
      <c r="V26" s="383">
        <v>188</v>
      </c>
      <c r="W26" s="383">
        <v>989</v>
      </c>
      <c r="X26" s="383">
        <v>112</v>
      </c>
      <c r="Y26" s="383">
        <v>774</v>
      </c>
      <c r="Z26" s="390">
        <v>224</v>
      </c>
      <c r="AA26" s="384">
        <f t="shared" si="95"/>
        <v>5346</v>
      </c>
      <c r="AB26" s="382">
        <v>38</v>
      </c>
      <c r="AC26" s="383">
        <v>1035</v>
      </c>
      <c r="AD26" s="383">
        <v>254</v>
      </c>
      <c r="AE26" s="383">
        <v>378</v>
      </c>
      <c r="AF26" s="383">
        <v>144</v>
      </c>
      <c r="AG26" s="383">
        <v>632</v>
      </c>
      <c r="AH26" s="383">
        <v>500</v>
      </c>
      <c r="AI26" s="383">
        <v>772</v>
      </c>
      <c r="AJ26" s="383">
        <v>983</v>
      </c>
      <c r="AK26" s="383">
        <v>1001</v>
      </c>
      <c r="AL26" s="383">
        <v>505</v>
      </c>
      <c r="AM26" s="390">
        <v>-346</v>
      </c>
      <c r="AN26" s="384">
        <f t="shared" si="97"/>
        <v>5896</v>
      </c>
      <c r="AO26" s="382">
        <v>0</v>
      </c>
      <c r="AP26" s="383">
        <v>163</v>
      </c>
      <c r="AQ26" s="383">
        <v>0</v>
      </c>
      <c r="AR26" s="383">
        <v>0</v>
      </c>
      <c r="AS26" s="383">
        <v>0</v>
      </c>
      <c r="AT26" s="383">
        <v>86</v>
      </c>
      <c r="AU26" s="383">
        <v>28</v>
      </c>
      <c r="AV26" s="383">
        <v>64</v>
      </c>
      <c r="AW26" s="383">
        <v>863</v>
      </c>
      <c r="AX26" s="383">
        <v>559</v>
      </c>
      <c r="AY26" s="383">
        <v>258</v>
      </c>
      <c r="AZ26" s="390">
        <v>1190</v>
      </c>
      <c r="BA26" s="384">
        <f t="shared" si="99"/>
        <v>3211</v>
      </c>
      <c r="BB26" s="382">
        <v>938</v>
      </c>
      <c r="BC26" s="383">
        <v>881</v>
      </c>
      <c r="BD26" s="383">
        <v>1765</v>
      </c>
      <c r="BE26" s="383">
        <v>2171</v>
      </c>
      <c r="BF26" s="383">
        <v>261</v>
      </c>
      <c r="BG26" s="383">
        <v>2045</v>
      </c>
      <c r="BH26" s="383">
        <v>2960</v>
      </c>
      <c r="BI26" s="383">
        <v>312</v>
      </c>
      <c r="BJ26" s="383">
        <v>3477</v>
      </c>
      <c r="BK26" s="383">
        <v>1816</v>
      </c>
      <c r="BL26" s="383">
        <v>848</v>
      </c>
      <c r="BM26" s="390">
        <v>1260</v>
      </c>
      <c r="BN26" s="384">
        <f>SUM(BB26:BM26)</f>
        <v>18734</v>
      </c>
      <c r="BO26" s="382">
        <v>0</v>
      </c>
      <c r="BP26" s="383">
        <v>2193</v>
      </c>
      <c r="BQ26" s="383">
        <v>107</v>
      </c>
      <c r="BR26" s="383">
        <v>1530</v>
      </c>
      <c r="BS26" s="383">
        <v>1101</v>
      </c>
      <c r="BT26" s="383">
        <v>195</v>
      </c>
      <c r="BU26" s="383">
        <v>3252</v>
      </c>
      <c r="BV26" s="383">
        <v>533</v>
      </c>
      <c r="BW26" s="383">
        <v>253</v>
      </c>
      <c r="BX26" s="383">
        <v>716</v>
      </c>
      <c r="BY26" s="383">
        <v>1105</v>
      </c>
      <c r="BZ26" s="390">
        <v>3885</v>
      </c>
      <c r="CA26" s="384">
        <f t="shared" si="102"/>
        <v>14870</v>
      </c>
      <c r="CB26" s="382">
        <v>339</v>
      </c>
      <c r="CC26" s="383">
        <v>72</v>
      </c>
      <c r="CD26" s="383">
        <v>822</v>
      </c>
      <c r="CE26" s="383">
        <v>707</v>
      </c>
      <c r="CF26" s="383">
        <v>491</v>
      </c>
      <c r="CG26" s="383">
        <v>472</v>
      </c>
      <c r="CH26" s="383">
        <v>-60</v>
      </c>
      <c r="CI26" s="383">
        <v>587</v>
      </c>
      <c r="CJ26" s="383">
        <v>783</v>
      </c>
      <c r="CK26" s="383">
        <v>112</v>
      </c>
      <c r="CL26" s="383">
        <v>356</v>
      </c>
      <c r="CM26" s="390">
        <v>16</v>
      </c>
      <c r="CN26" s="384">
        <f t="shared" si="104"/>
        <v>4697</v>
      </c>
      <c r="CO26" s="382">
        <v>0</v>
      </c>
      <c r="CP26" s="383">
        <v>0</v>
      </c>
      <c r="CQ26" s="383">
        <v>0</v>
      </c>
      <c r="CR26" s="383">
        <v>0</v>
      </c>
      <c r="CS26" s="383">
        <v>0</v>
      </c>
      <c r="CT26" s="383">
        <v>0</v>
      </c>
      <c r="CU26" s="383">
        <v>4514</v>
      </c>
      <c r="CV26" s="383">
        <v>2501</v>
      </c>
      <c r="CW26" s="383">
        <v>155</v>
      </c>
      <c r="CX26" s="383">
        <v>3460</v>
      </c>
      <c r="CY26" s="383">
        <v>-223</v>
      </c>
      <c r="CZ26" s="390">
        <v>9591</v>
      </c>
      <c r="DA26" s="384">
        <f t="shared" si="106"/>
        <v>19998</v>
      </c>
      <c r="DB26" s="382">
        <v>2470</v>
      </c>
      <c r="DC26" s="383">
        <v>1320</v>
      </c>
      <c r="DD26" s="383">
        <v>1766</v>
      </c>
      <c r="DE26" s="383">
        <v>1518</v>
      </c>
      <c r="DF26" s="383">
        <v>3884</v>
      </c>
      <c r="DG26" s="383">
        <v>3768</v>
      </c>
      <c r="DH26" s="383">
        <v>4388</v>
      </c>
      <c r="DI26" s="383">
        <v>2984</v>
      </c>
      <c r="DJ26" s="383">
        <v>9272</v>
      </c>
      <c r="DK26" s="383">
        <v>2859</v>
      </c>
      <c r="DL26" s="383">
        <v>6882</v>
      </c>
      <c r="DM26" s="390">
        <v>27212</v>
      </c>
      <c r="DN26" s="384">
        <f t="shared" si="108"/>
        <v>68323</v>
      </c>
      <c r="DO26" s="382">
        <v>1416</v>
      </c>
      <c r="DP26" s="383">
        <v>2398</v>
      </c>
      <c r="DQ26" s="383">
        <v>14130</v>
      </c>
      <c r="DR26" s="383">
        <v>12551</v>
      </c>
      <c r="DS26" s="383">
        <v>14877</v>
      </c>
      <c r="DT26" s="383">
        <v>12321</v>
      </c>
      <c r="DU26" s="383">
        <v>15408</v>
      </c>
      <c r="DV26" s="383">
        <v>12741</v>
      </c>
      <c r="DW26" s="383">
        <v>17912</v>
      </c>
      <c r="DX26" s="383">
        <v>17605</v>
      </c>
      <c r="DY26" s="383">
        <v>14492</v>
      </c>
      <c r="DZ26" s="390">
        <v>31329</v>
      </c>
      <c r="EA26" s="384">
        <f t="shared" si="109"/>
        <v>167180</v>
      </c>
      <c r="EB26" s="382">
        <v>2223</v>
      </c>
      <c r="EC26" s="383">
        <v>9148</v>
      </c>
      <c r="ED26" s="383">
        <v>18415</v>
      </c>
      <c r="EE26" s="383">
        <v>15941</v>
      </c>
      <c r="EF26" s="383">
        <v>17027</v>
      </c>
      <c r="EG26" s="383">
        <v>16004</v>
      </c>
      <c r="EH26" s="383">
        <v>9195</v>
      </c>
      <c r="EI26" s="383">
        <v>7053</v>
      </c>
      <c r="EJ26" s="383">
        <v>14342</v>
      </c>
      <c r="EK26" s="383">
        <v>26914</v>
      </c>
      <c r="EL26" s="383">
        <v>14337</v>
      </c>
      <c r="EM26" s="390">
        <v>20854</v>
      </c>
      <c r="EN26" s="384">
        <f t="shared" si="111"/>
        <v>171453</v>
      </c>
      <c r="EO26" s="382">
        <v>0</v>
      </c>
      <c r="EP26" s="383">
        <v>633</v>
      </c>
      <c r="EQ26" s="383">
        <v>4501</v>
      </c>
      <c r="ER26" s="383">
        <v>822</v>
      </c>
      <c r="ES26" s="383">
        <v>1765</v>
      </c>
      <c r="ET26" s="383">
        <v>983</v>
      </c>
      <c r="EU26" s="383">
        <v>2940</v>
      </c>
      <c r="EV26" s="383">
        <v>3775</v>
      </c>
      <c r="EW26" s="383">
        <v>4875</v>
      </c>
      <c r="EX26" s="383">
        <v>3354</v>
      </c>
      <c r="EY26" s="383">
        <v>3410</v>
      </c>
      <c r="EZ26" s="390">
        <v>6841</v>
      </c>
      <c r="FA26" s="384">
        <f t="shared" si="113"/>
        <v>33899</v>
      </c>
      <c r="FB26" s="382">
        <v>372</v>
      </c>
      <c r="FC26" s="383">
        <v>2570</v>
      </c>
      <c r="FD26" s="383">
        <v>1894</v>
      </c>
      <c r="FE26" s="383">
        <v>1323</v>
      </c>
      <c r="FF26" s="383">
        <v>2782</v>
      </c>
      <c r="FG26" s="383">
        <v>975</v>
      </c>
      <c r="FH26" s="383">
        <v>3855</v>
      </c>
      <c r="FI26" s="383">
        <v>6223</v>
      </c>
      <c r="FJ26" s="383">
        <v>21477</v>
      </c>
      <c r="FK26" s="383">
        <v>37012</v>
      </c>
      <c r="FL26" s="383">
        <v>61380</v>
      </c>
      <c r="FM26" s="390">
        <v>98993</v>
      </c>
      <c r="FN26" s="384">
        <f t="shared" si="115"/>
        <v>238856</v>
      </c>
      <c r="FO26" s="382">
        <v>3191</v>
      </c>
      <c r="FP26" s="383">
        <v>23930</v>
      </c>
      <c r="FQ26" s="383">
        <v>38014</v>
      </c>
      <c r="FR26" s="383">
        <v>23357</v>
      </c>
      <c r="FS26" s="383">
        <v>19889</v>
      </c>
      <c r="FT26" s="383">
        <v>32677</v>
      </c>
      <c r="FU26" s="383">
        <v>27994</v>
      </c>
      <c r="FV26" s="383">
        <v>27862</v>
      </c>
      <c r="FW26" s="383">
        <v>31842</v>
      </c>
      <c r="FX26" s="383">
        <v>29445</v>
      </c>
      <c r="FY26" s="383">
        <v>27428</v>
      </c>
      <c r="FZ26" s="390">
        <v>53742</v>
      </c>
      <c r="GA26" s="384">
        <f t="shared" si="47"/>
        <v>339371</v>
      </c>
      <c r="GB26" s="382">
        <v>364</v>
      </c>
      <c r="GC26" s="383">
        <v>262</v>
      </c>
      <c r="GD26" s="383">
        <v>18761</v>
      </c>
      <c r="GE26" s="383">
        <v>7844</v>
      </c>
      <c r="GF26" s="383">
        <v>6938</v>
      </c>
      <c r="GG26" s="383">
        <v>6783</v>
      </c>
      <c r="GH26" s="383">
        <v>15648</v>
      </c>
      <c r="GI26" s="383">
        <v>14050</v>
      </c>
      <c r="GJ26" s="383">
        <v>25799</v>
      </c>
      <c r="GK26" s="383">
        <v>20262</v>
      </c>
      <c r="GL26" s="383">
        <v>14130</v>
      </c>
      <c r="GM26" s="390">
        <v>14739</v>
      </c>
      <c r="GN26" s="384">
        <f t="shared" si="48"/>
        <v>145580</v>
      </c>
      <c r="GO26" s="382">
        <v>526</v>
      </c>
      <c r="GP26" s="383">
        <v>28</v>
      </c>
      <c r="GQ26" s="383">
        <v>-513</v>
      </c>
      <c r="GR26" s="383">
        <v>1751</v>
      </c>
      <c r="GS26" s="383">
        <v>285</v>
      </c>
      <c r="GT26" s="383">
        <v>2758</v>
      </c>
      <c r="GU26" s="383">
        <v>195</v>
      </c>
      <c r="GV26" s="383">
        <v>1976</v>
      </c>
      <c r="GW26" s="383">
        <v>2909</v>
      </c>
      <c r="GX26" s="383">
        <v>878</v>
      </c>
      <c r="GY26" s="383">
        <v>607</v>
      </c>
      <c r="GZ26" s="390">
        <v>2049</v>
      </c>
      <c r="HA26" s="384">
        <f t="shared" si="50"/>
        <v>13449</v>
      </c>
      <c r="HB26" s="382">
        <v>519</v>
      </c>
      <c r="HC26" s="383">
        <v>1138</v>
      </c>
      <c r="HD26" s="383">
        <v>1829</v>
      </c>
      <c r="HE26" s="383">
        <v>1322</v>
      </c>
      <c r="HF26" s="383">
        <v>863</v>
      </c>
      <c r="HG26" s="383">
        <v>576</v>
      </c>
      <c r="HH26" s="383">
        <v>1156</v>
      </c>
      <c r="HI26" s="383">
        <v>951</v>
      </c>
      <c r="HJ26" s="383">
        <v>422</v>
      </c>
      <c r="HK26" s="383">
        <v>1286</v>
      </c>
      <c r="HL26" s="383">
        <v>2376</v>
      </c>
      <c r="HM26" s="390">
        <v>1514</v>
      </c>
      <c r="HN26" s="384">
        <f t="shared" si="52"/>
        <v>13952</v>
      </c>
      <c r="HO26" s="382">
        <v>174</v>
      </c>
      <c r="HP26" s="383">
        <v>285</v>
      </c>
      <c r="HQ26" s="383">
        <v>52</v>
      </c>
      <c r="HR26" s="383">
        <v>518</v>
      </c>
      <c r="HS26" s="383">
        <v>0</v>
      </c>
      <c r="HT26" s="383">
        <v>659</v>
      </c>
      <c r="HU26" s="383">
        <v>1533</v>
      </c>
      <c r="HV26" s="383">
        <v>3774</v>
      </c>
      <c r="HW26" s="383">
        <v>1314</v>
      </c>
      <c r="HX26" s="383">
        <v>276</v>
      </c>
      <c r="HY26" s="383">
        <v>934</v>
      </c>
      <c r="HZ26" s="1671">
        <v>3717</v>
      </c>
      <c r="IA26" s="1675">
        <f>SUM(HO26:HZ26)</f>
        <v>13236</v>
      </c>
      <c r="IB26" s="1344">
        <v>225</v>
      </c>
      <c r="IC26" s="120">
        <v>117</v>
      </c>
      <c r="ID26" s="120">
        <v>1057</v>
      </c>
      <c r="IE26" s="120">
        <v>2382</v>
      </c>
      <c r="IF26" s="120">
        <v>3345</v>
      </c>
      <c r="IG26" s="120">
        <v>1631</v>
      </c>
      <c r="IH26" s="120">
        <v>3539</v>
      </c>
      <c r="II26" s="120">
        <v>4313</v>
      </c>
      <c r="IJ26" s="120"/>
      <c r="IK26" s="120"/>
      <c r="IL26" s="120"/>
      <c r="IM26" s="1345"/>
      <c r="IN26" s="1346">
        <f t="shared" si="56"/>
        <v>16609</v>
      </c>
      <c r="IO26" s="120"/>
      <c r="IP26" s="371">
        <f t="shared" si="19"/>
        <v>14.281928987811332</v>
      </c>
      <c r="IQ26" s="348">
        <f t="shared" si="57"/>
        <v>137.44102930664761</v>
      </c>
      <c r="IR26" s="320">
        <f t="shared" si="20"/>
        <v>6995</v>
      </c>
      <c r="IS26" s="344">
        <f t="shared" si="21"/>
        <v>16609</v>
      </c>
    </row>
    <row r="27" spans="1:255" ht="15" customHeight="1" x14ac:dyDescent="0.2">
      <c r="A27" s="1551" t="s">
        <v>328</v>
      </c>
      <c r="B27" s="379">
        <v>346</v>
      </c>
      <c r="C27" s="380">
        <v>605</v>
      </c>
      <c r="D27" s="380">
        <v>1107</v>
      </c>
      <c r="E27" s="380">
        <v>971</v>
      </c>
      <c r="F27" s="380">
        <v>892</v>
      </c>
      <c r="G27" s="380">
        <v>1200</v>
      </c>
      <c r="H27" s="380">
        <v>594</v>
      </c>
      <c r="I27" s="380">
        <v>834</v>
      </c>
      <c r="J27" s="380">
        <v>788</v>
      </c>
      <c r="K27" s="380">
        <v>1375</v>
      </c>
      <c r="L27" s="380">
        <v>805</v>
      </c>
      <c r="M27" s="389">
        <v>3136</v>
      </c>
      <c r="N27" s="381">
        <f t="shared" si="93"/>
        <v>12653</v>
      </c>
      <c r="O27" s="379">
        <v>1310</v>
      </c>
      <c r="P27" s="380">
        <v>1020</v>
      </c>
      <c r="Q27" s="380">
        <v>2524</v>
      </c>
      <c r="R27" s="380">
        <v>829</v>
      </c>
      <c r="S27" s="380">
        <v>931</v>
      </c>
      <c r="T27" s="380">
        <v>790</v>
      </c>
      <c r="U27" s="380">
        <v>1727</v>
      </c>
      <c r="V27" s="380">
        <v>792</v>
      </c>
      <c r="W27" s="380">
        <v>712</v>
      </c>
      <c r="X27" s="380">
        <v>1259</v>
      </c>
      <c r="Y27" s="380">
        <v>536</v>
      </c>
      <c r="Z27" s="389">
        <v>1080</v>
      </c>
      <c r="AA27" s="381">
        <f t="shared" si="95"/>
        <v>13510</v>
      </c>
      <c r="AB27" s="379">
        <v>33</v>
      </c>
      <c r="AC27" s="380">
        <v>1148</v>
      </c>
      <c r="AD27" s="380">
        <v>1459</v>
      </c>
      <c r="AE27" s="380">
        <v>795</v>
      </c>
      <c r="AF27" s="380">
        <v>580</v>
      </c>
      <c r="AG27" s="380">
        <v>679</v>
      </c>
      <c r="AH27" s="380">
        <v>495</v>
      </c>
      <c r="AI27" s="380">
        <v>971</v>
      </c>
      <c r="AJ27" s="380">
        <v>891</v>
      </c>
      <c r="AK27" s="380">
        <v>1098</v>
      </c>
      <c r="AL27" s="380">
        <v>1179</v>
      </c>
      <c r="AM27" s="389">
        <v>2433</v>
      </c>
      <c r="AN27" s="381">
        <f t="shared" si="97"/>
        <v>11761</v>
      </c>
      <c r="AO27" s="379">
        <v>0</v>
      </c>
      <c r="AP27" s="380">
        <v>0</v>
      </c>
      <c r="AQ27" s="380">
        <v>87</v>
      </c>
      <c r="AR27" s="380">
        <v>398</v>
      </c>
      <c r="AS27" s="380">
        <v>275</v>
      </c>
      <c r="AT27" s="380">
        <v>1329</v>
      </c>
      <c r="AU27" s="380">
        <v>1486</v>
      </c>
      <c r="AV27" s="380">
        <v>1111</v>
      </c>
      <c r="AW27" s="380">
        <v>1518</v>
      </c>
      <c r="AX27" s="380">
        <v>2200</v>
      </c>
      <c r="AY27" s="380">
        <v>2136</v>
      </c>
      <c r="AZ27" s="389">
        <v>3575</v>
      </c>
      <c r="BA27" s="381">
        <f t="shared" si="99"/>
        <v>14115</v>
      </c>
      <c r="BB27" s="379">
        <v>193</v>
      </c>
      <c r="BC27" s="380">
        <v>393</v>
      </c>
      <c r="BD27" s="380">
        <v>1253</v>
      </c>
      <c r="BE27" s="380">
        <v>1901</v>
      </c>
      <c r="BF27" s="380">
        <v>1188</v>
      </c>
      <c r="BG27" s="380">
        <v>1920</v>
      </c>
      <c r="BH27" s="380">
        <v>1550</v>
      </c>
      <c r="BI27" s="380">
        <v>1984</v>
      </c>
      <c r="BJ27" s="380">
        <v>1402</v>
      </c>
      <c r="BK27" s="380">
        <v>3406</v>
      </c>
      <c r="BL27" s="380">
        <v>4324</v>
      </c>
      <c r="BM27" s="389">
        <v>4863</v>
      </c>
      <c r="BN27" s="381">
        <f>SUM(BB27:BM27)</f>
        <v>24377</v>
      </c>
      <c r="BO27" s="379">
        <v>278</v>
      </c>
      <c r="BP27" s="380">
        <v>1209</v>
      </c>
      <c r="BQ27" s="380">
        <v>1305</v>
      </c>
      <c r="BR27" s="380">
        <v>2769</v>
      </c>
      <c r="BS27" s="380">
        <v>5551</v>
      </c>
      <c r="BT27" s="380">
        <v>4953</v>
      </c>
      <c r="BU27" s="380">
        <v>10533</v>
      </c>
      <c r="BV27" s="380">
        <v>10991</v>
      </c>
      <c r="BW27" s="380">
        <v>4158</v>
      </c>
      <c r="BX27" s="380">
        <v>4549</v>
      </c>
      <c r="BY27" s="380">
        <v>2550</v>
      </c>
      <c r="BZ27" s="389">
        <v>-3297</v>
      </c>
      <c r="CA27" s="381">
        <f t="shared" si="102"/>
        <v>45549</v>
      </c>
      <c r="CB27" s="379">
        <v>779</v>
      </c>
      <c r="CC27" s="380">
        <v>2604</v>
      </c>
      <c r="CD27" s="380">
        <v>2134</v>
      </c>
      <c r="CE27" s="380">
        <v>5073</v>
      </c>
      <c r="CF27" s="380">
        <v>1415</v>
      </c>
      <c r="CG27" s="380">
        <v>1446</v>
      </c>
      <c r="CH27" s="380">
        <v>4169</v>
      </c>
      <c r="CI27" s="380">
        <v>182</v>
      </c>
      <c r="CJ27" s="380">
        <v>3360</v>
      </c>
      <c r="CK27" s="380">
        <v>2673</v>
      </c>
      <c r="CL27" s="380">
        <v>2527</v>
      </c>
      <c r="CM27" s="389">
        <v>2749</v>
      </c>
      <c r="CN27" s="381">
        <f t="shared" si="104"/>
        <v>29111</v>
      </c>
      <c r="CO27" s="379">
        <v>0</v>
      </c>
      <c r="CP27" s="380">
        <v>195</v>
      </c>
      <c r="CQ27" s="380">
        <v>741</v>
      </c>
      <c r="CR27" s="380">
        <v>1814</v>
      </c>
      <c r="CS27" s="380">
        <v>1048</v>
      </c>
      <c r="CT27" s="380">
        <v>1467</v>
      </c>
      <c r="CU27" s="380">
        <v>1303</v>
      </c>
      <c r="CV27" s="380">
        <v>1321</v>
      </c>
      <c r="CW27" s="380">
        <v>1144</v>
      </c>
      <c r="CX27" s="380">
        <v>926</v>
      </c>
      <c r="CY27" s="380">
        <v>1017</v>
      </c>
      <c r="CZ27" s="389">
        <v>3344</v>
      </c>
      <c r="DA27" s="381">
        <f t="shared" si="106"/>
        <v>14320</v>
      </c>
      <c r="DB27" s="379">
        <v>14181</v>
      </c>
      <c r="DC27" s="380">
        <v>1768</v>
      </c>
      <c r="DD27" s="380">
        <v>2044</v>
      </c>
      <c r="DE27" s="380">
        <v>2490</v>
      </c>
      <c r="DF27" s="380">
        <v>2387</v>
      </c>
      <c r="DG27" s="380">
        <v>2082</v>
      </c>
      <c r="DH27" s="380">
        <v>2093</v>
      </c>
      <c r="DI27" s="380">
        <v>1977</v>
      </c>
      <c r="DJ27" s="380">
        <v>3755</v>
      </c>
      <c r="DK27" s="380">
        <v>2911</v>
      </c>
      <c r="DL27" s="380">
        <v>2382</v>
      </c>
      <c r="DM27" s="389">
        <v>2887</v>
      </c>
      <c r="DN27" s="381">
        <f t="shared" si="108"/>
        <v>40957</v>
      </c>
      <c r="DO27" s="379">
        <v>472</v>
      </c>
      <c r="DP27" s="380">
        <v>612</v>
      </c>
      <c r="DQ27" s="380">
        <v>1746</v>
      </c>
      <c r="DR27" s="380">
        <v>1755</v>
      </c>
      <c r="DS27" s="380">
        <v>2296</v>
      </c>
      <c r="DT27" s="380">
        <v>1807</v>
      </c>
      <c r="DU27" s="380">
        <v>2010</v>
      </c>
      <c r="DV27" s="380">
        <v>1558</v>
      </c>
      <c r="DW27" s="380">
        <v>1665</v>
      </c>
      <c r="DX27" s="380">
        <v>2464</v>
      </c>
      <c r="DY27" s="380">
        <v>2286</v>
      </c>
      <c r="DZ27" s="389">
        <v>4213</v>
      </c>
      <c r="EA27" s="381">
        <f t="shared" si="109"/>
        <v>22884</v>
      </c>
      <c r="EB27" s="379">
        <v>863</v>
      </c>
      <c r="EC27" s="380">
        <v>1772</v>
      </c>
      <c r="ED27" s="380">
        <v>2561</v>
      </c>
      <c r="EE27" s="380">
        <v>2910</v>
      </c>
      <c r="EF27" s="380">
        <v>3506</v>
      </c>
      <c r="EG27" s="380">
        <v>3104</v>
      </c>
      <c r="EH27" s="380">
        <v>2866</v>
      </c>
      <c r="EI27" s="380">
        <v>3076</v>
      </c>
      <c r="EJ27" s="380">
        <v>2766</v>
      </c>
      <c r="EK27" s="380">
        <v>2335</v>
      </c>
      <c r="EL27" s="380">
        <v>1322</v>
      </c>
      <c r="EM27" s="389">
        <v>2263</v>
      </c>
      <c r="EN27" s="381">
        <f t="shared" si="111"/>
        <v>29344</v>
      </c>
      <c r="EO27" s="379">
        <v>17</v>
      </c>
      <c r="EP27" s="380">
        <v>217</v>
      </c>
      <c r="EQ27" s="380">
        <v>85</v>
      </c>
      <c r="ER27" s="380">
        <v>333</v>
      </c>
      <c r="ES27" s="380">
        <v>1205</v>
      </c>
      <c r="ET27" s="380">
        <v>1422</v>
      </c>
      <c r="EU27" s="380">
        <v>1303</v>
      </c>
      <c r="EV27" s="380">
        <v>1705</v>
      </c>
      <c r="EW27" s="380">
        <v>1558</v>
      </c>
      <c r="EX27" s="380">
        <v>2004</v>
      </c>
      <c r="EY27" s="380">
        <v>1751</v>
      </c>
      <c r="EZ27" s="389">
        <v>2592</v>
      </c>
      <c r="FA27" s="381">
        <f t="shared" si="113"/>
        <v>14192</v>
      </c>
      <c r="FB27" s="379">
        <v>144</v>
      </c>
      <c r="FC27" s="380">
        <v>227</v>
      </c>
      <c r="FD27" s="380">
        <v>307</v>
      </c>
      <c r="FE27" s="380">
        <v>78</v>
      </c>
      <c r="FF27" s="380">
        <v>66</v>
      </c>
      <c r="FG27" s="380">
        <v>76</v>
      </c>
      <c r="FH27" s="380">
        <v>480</v>
      </c>
      <c r="FI27" s="380">
        <v>1370</v>
      </c>
      <c r="FJ27" s="380">
        <v>2159</v>
      </c>
      <c r="FK27" s="380">
        <v>3070</v>
      </c>
      <c r="FL27" s="380">
        <v>2905</v>
      </c>
      <c r="FM27" s="389">
        <v>3959</v>
      </c>
      <c r="FN27" s="381">
        <f t="shared" si="115"/>
        <v>14841</v>
      </c>
      <c r="FO27" s="379">
        <v>558</v>
      </c>
      <c r="FP27" s="380">
        <v>434</v>
      </c>
      <c r="FQ27" s="380">
        <v>971</v>
      </c>
      <c r="FR27" s="380">
        <v>766</v>
      </c>
      <c r="FS27" s="380">
        <v>2300</v>
      </c>
      <c r="FT27" s="380">
        <v>1401</v>
      </c>
      <c r="FU27" s="380">
        <v>3525</v>
      </c>
      <c r="FV27" s="380">
        <v>1250</v>
      </c>
      <c r="FW27" s="380">
        <v>1524</v>
      </c>
      <c r="FX27" s="380">
        <v>3327</v>
      </c>
      <c r="FY27" s="380">
        <v>5688</v>
      </c>
      <c r="FZ27" s="389">
        <v>10834</v>
      </c>
      <c r="GA27" s="381">
        <f t="shared" si="47"/>
        <v>32578</v>
      </c>
      <c r="GB27" s="379">
        <v>15</v>
      </c>
      <c r="GC27" s="380">
        <v>216</v>
      </c>
      <c r="GD27" s="380">
        <v>3700</v>
      </c>
      <c r="GE27" s="380">
        <v>3124</v>
      </c>
      <c r="GF27" s="380">
        <v>2239</v>
      </c>
      <c r="GG27" s="380">
        <v>4775</v>
      </c>
      <c r="GH27" s="380">
        <v>12929</v>
      </c>
      <c r="GI27" s="380">
        <v>6280</v>
      </c>
      <c r="GJ27" s="380">
        <v>2442</v>
      </c>
      <c r="GK27" s="380">
        <v>3696</v>
      </c>
      <c r="GL27" s="380">
        <v>4143</v>
      </c>
      <c r="GM27" s="389">
        <v>3483</v>
      </c>
      <c r="GN27" s="381">
        <f t="shared" si="48"/>
        <v>47042</v>
      </c>
      <c r="GO27" s="379">
        <v>0</v>
      </c>
      <c r="GP27" s="380">
        <v>147</v>
      </c>
      <c r="GQ27" s="380">
        <v>340</v>
      </c>
      <c r="GR27" s="380">
        <v>380</v>
      </c>
      <c r="GS27" s="380">
        <v>2529</v>
      </c>
      <c r="GT27" s="380">
        <v>7749</v>
      </c>
      <c r="GU27" s="380">
        <v>14233</v>
      </c>
      <c r="GV27" s="380">
        <v>1658</v>
      </c>
      <c r="GW27" s="380">
        <v>2021</v>
      </c>
      <c r="GX27" s="380">
        <v>3202</v>
      </c>
      <c r="GY27" s="380">
        <v>781</v>
      </c>
      <c r="GZ27" s="389">
        <v>1349</v>
      </c>
      <c r="HA27" s="381">
        <f t="shared" si="50"/>
        <v>34389</v>
      </c>
      <c r="HB27" s="379">
        <v>4456</v>
      </c>
      <c r="HC27" s="380">
        <v>1063</v>
      </c>
      <c r="HD27" s="380">
        <v>491</v>
      </c>
      <c r="HE27" s="380">
        <v>886</v>
      </c>
      <c r="HF27" s="380">
        <v>757</v>
      </c>
      <c r="HG27" s="380">
        <v>1914</v>
      </c>
      <c r="HH27" s="380">
        <v>2794</v>
      </c>
      <c r="HI27" s="380">
        <v>2545</v>
      </c>
      <c r="HJ27" s="380">
        <v>1597</v>
      </c>
      <c r="HK27" s="380">
        <v>2654</v>
      </c>
      <c r="HL27" s="380">
        <v>4202</v>
      </c>
      <c r="HM27" s="389">
        <v>6335</v>
      </c>
      <c r="HN27" s="381">
        <f t="shared" si="52"/>
        <v>29694</v>
      </c>
      <c r="HO27" s="379">
        <v>1002</v>
      </c>
      <c r="HP27" s="380">
        <v>1069</v>
      </c>
      <c r="HQ27" s="380">
        <v>3736</v>
      </c>
      <c r="HR27" s="380">
        <v>1415</v>
      </c>
      <c r="HS27" s="380">
        <v>1984</v>
      </c>
      <c r="HT27" s="380">
        <v>2223</v>
      </c>
      <c r="HU27" s="380">
        <v>5961</v>
      </c>
      <c r="HV27" s="380">
        <v>6285</v>
      </c>
      <c r="HW27" s="380">
        <v>5913</v>
      </c>
      <c r="HX27" s="380">
        <v>2876</v>
      </c>
      <c r="HY27" s="380">
        <v>1844</v>
      </c>
      <c r="HZ27" s="391">
        <v>5467</v>
      </c>
      <c r="IA27" s="80">
        <f t="shared" si="58"/>
        <v>39775</v>
      </c>
      <c r="IB27" s="1344">
        <v>215</v>
      </c>
      <c r="IC27" s="120">
        <v>952</v>
      </c>
      <c r="ID27" s="120">
        <v>782</v>
      </c>
      <c r="IE27" s="120">
        <v>1645</v>
      </c>
      <c r="IF27" s="120">
        <v>2250</v>
      </c>
      <c r="IG27" s="120">
        <v>3911</v>
      </c>
      <c r="IH27" s="120">
        <v>2294</v>
      </c>
      <c r="II27" s="120">
        <v>1493</v>
      </c>
      <c r="IJ27" s="120"/>
      <c r="IK27" s="120"/>
      <c r="IL27" s="120"/>
      <c r="IM27" s="1345"/>
      <c r="IN27" s="1346">
        <f t="shared" si="56"/>
        <v>13542</v>
      </c>
      <c r="IO27" s="120"/>
      <c r="IP27" s="371">
        <f t="shared" si="19"/>
        <v>-76.245027844073192</v>
      </c>
      <c r="IQ27" s="348">
        <f t="shared" si="57"/>
        <v>-42.800422386483625</v>
      </c>
      <c r="IR27" s="320">
        <f t="shared" si="20"/>
        <v>23675</v>
      </c>
      <c r="IS27" s="344">
        <f t="shared" si="21"/>
        <v>13542</v>
      </c>
    </row>
    <row r="28" spans="1:255" ht="15" customHeight="1" x14ac:dyDescent="0.2">
      <c r="A28" s="1551" t="s">
        <v>401</v>
      </c>
      <c r="B28" s="379">
        <v>5419</v>
      </c>
      <c r="C28" s="380">
        <v>8422</v>
      </c>
      <c r="D28" s="380">
        <v>7500</v>
      </c>
      <c r="E28" s="380">
        <v>8347</v>
      </c>
      <c r="F28" s="380">
        <v>8187</v>
      </c>
      <c r="G28" s="380">
        <v>8276</v>
      </c>
      <c r="H28" s="380">
        <v>9368</v>
      </c>
      <c r="I28" s="380">
        <v>8895</v>
      </c>
      <c r="J28" s="380">
        <v>7714</v>
      </c>
      <c r="K28" s="380">
        <v>8746</v>
      </c>
      <c r="L28" s="380">
        <v>7661</v>
      </c>
      <c r="M28" s="389">
        <v>9130</v>
      </c>
      <c r="N28" s="381">
        <f t="shared" si="93"/>
        <v>97665</v>
      </c>
      <c r="O28" s="379">
        <v>5019</v>
      </c>
      <c r="P28" s="380">
        <v>6502</v>
      </c>
      <c r="Q28" s="380">
        <v>9689</v>
      </c>
      <c r="R28" s="380">
        <v>7939</v>
      </c>
      <c r="S28" s="380">
        <v>8024</v>
      </c>
      <c r="T28" s="380">
        <v>7305</v>
      </c>
      <c r="U28" s="380">
        <v>8734</v>
      </c>
      <c r="V28" s="380">
        <v>8033</v>
      </c>
      <c r="W28" s="380">
        <v>8350</v>
      </c>
      <c r="X28" s="380">
        <v>8706</v>
      </c>
      <c r="Y28" s="380">
        <v>9652</v>
      </c>
      <c r="Z28" s="389">
        <v>11085</v>
      </c>
      <c r="AA28" s="381">
        <f t="shared" si="95"/>
        <v>99038</v>
      </c>
      <c r="AB28" s="379">
        <v>7503</v>
      </c>
      <c r="AC28" s="380">
        <v>6201</v>
      </c>
      <c r="AD28" s="380">
        <v>13904</v>
      </c>
      <c r="AE28" s="380">
        <v>11836</v>
      </c>
      <c r="AF28" s="380">
        <v>13297</v>
      </c>
      <c r="AG28" s="380">
        <v>13992</v>
      </c>
      <c r="AH28" s="380">
        <v>13862</v>
      </c>
      <c r="AI28" s="380">
        <v>14300</v>
      </c>
      <c r="AJ28" s="380">
        <v>15130</v>
      </c>
      <c r="AK28" s="380">
        <v>11998</v>
      </c>
      <c r="AL28" s="380">
        <v>18850</v>
      </c>
      <c r="AM28" s="389">
        <v>26156</v>
      </c>
      <c r="AN28" s="381">
        <f t="shared" si="97"/>
        <v>167029</v>
      </c>
      <c r="AO28" s="379">
        <v>1994</v>
      </c>
      <c r="AP28" s="380">
        <v>7328</v>
      </c>
      <c r="AQ28" s="380">
        <v>14616</v>
      </c>
      <c r="AR28" s="380">
        <v>11019</v>
      </c>
      <c r="AS28" s="380">
        <v>12724</v>
      </c>
      <c r="AT28" s="380">
        <v>11754</v>
      </c>
      <c r="AU28" s="380">
        <v>13078</v>
      </c>
      <c r="AV28" s="380">
        <v>13771</v>
      </c>
      <c r="AW28" s="380">
        <v>17106</v>
      </c>
      <c r="AX28" s="380">
        <v>15081</v>
      </c>
      <c r="AY28" s="380">
        <v>20897</v>
      </c>
      <c r="AZ28" s="389">
        <v>42037</v>
      </c>
      <c r="BA28" s="381">
        <f t="shared" si="99"/>
        <v>181405</v>
      </c>
      <c r="BB28" s="379">
        <v>10550</v>
      </c>
      <c r="BC28" s="380">
        <v>16998</v>
      </c>
      <c r="BD28" s="380">
        <v>21785</v>
      </c>
      <c r="BE28" s="380">
        <v>17182</v>
      </c>
      <c r="BF28" s="380">
        <v>23936</v>
      </c>
      <c r="BG28" s="380">
        <v>24108</v>
      </c>
      <c r="BH28" s="380">
        <v>21584</v>
      </c>
      <c r="BI28" s="380">
        <v>23722</v>
      </c>
      <c r="BJ28" s="380">
        <v>23172</v>
      </c>
      <c r="BK28" s="380">
        <v>21356</v>
      </c>
      <c r="BL28" s="380">
        <v>27878</v>
      </c>
      <c r="BM28" s="389">
        <v>37446</v>
      </c>
      <c r="BN28" s="381">
        <f>SUM(BB28:BM28)</f>
        <v>269717</v>
      </c>
      <c r="BO28" s="379">
        <v>14259</v>
      </c>
      <c r="BP28" s="380">
        <v>14374</v>
      </c>
      <c r="BQ28" s="380">
        <v>23281</v>
      </c>
      <c r="BR28" s="380">
        <v>20871</v>
      </c>
      <c r="BS28" s="380">
        <v>16959</v>
      </c>
      <c r="BT28" s="380">
        <v>21410</v>
      </c>
      <c r="BU28" s="380">
        <v>30848</v>
      </c>
      <c r="BV28" s="380">
        <v>16508</v>
      </c>
      <c r="BW28" s="380">
        <v>17872</v>
      </c>
      <c r="BX28" s="380">
        <v>22239</v>
      </c>
      <c r="BY28" s="380">
        <v>18019</v>
      </c>
      <c r="BZ28" s="389">
        <v>31678</v>
      </c>
      <c r="CA28" s="381">
        <f t="shared" si="102"/>
        <v>248318</v>
      </c>
      <c r="CB28" s="379">
        <v>20397</v>
      </c>
      <c r="CC28" s="380">
        <v>25409</v>
      </c>
      <c r="CD28" s="380">
        <v>23129</v>
      </c>
      <c r="CE28" s="380">
        <v>20573</v>
      </c>
      <c r="CF28" s="380">
        <v>24722</v>
      </c>
      <c r="CG28" s="380">
        <v>28140</v>
      </c>
      <c r="CH28" s="380">
        <v>30168</v>
      </c>
      <c r="CI28" s="380">
        <v>24058</v>
      </c>
      <c r="CJ28" s="380">
        <v>23427</v>
      </c>
      <c r="CK28" s="380">
        <v>23401</v>
      </c>
      <c r="CL28" s="380">
        <v>21284</v>
      </c>
      <c r="CM28" s="389">
        <v>62049</v>
      </c>
      <c r="CN28" s="381">
        <f t="shared" si="104"/>
        <v>326757</v>
      </c>
      <c r="CO28" s="379">
        <v>5802</v>
      </c>
      <c r="CP28" s="380">
        <v>19109</v>
      </c>
      <c r="CQ28" s="380">
        <v>28021</v>
      </c>
      <c r="CR28" s="380">
        <v>26673</v>
      </c>
      <c r="CS28" s="380">
        <v>24122</v>
      </c>
      <c r="CT28" s="380">
        <v>21679</v>
      </c>
      <c r="CU28" s="380">
        <v>42465</v>
      </c>
      <c r="CV28" s="380">
        <v>23715</v>
      </c>
      <c r="CW28" s="380">
        <v>24639</v>
      </c>
      <c r="CX28" s="380">
        <v>23054</v>
      </c>
      <c r="CY28" s="380">
        <v>25301</v>
      </c>
      <c r="CZ28" s="389">
        <v>54593</v>
      </c>
      <c r="DA28" s="381">
        <f t="shared" si="106"/>
        <v>319173</v>
      </c>
      <c r="DB28" s="379">
        <v>95</v>
      </c>
      <c r="DC28" s="380">
        <v>20556</v>
      </c>
      <c r="DD28" s="380">
        <v>31104</v>
      </c>
      <c r="DE28" s="380">
        <v>25566</v>
      </c>
      <c r="DF28" s="380">
        <v>28658</v>
      </c>
      <c r="DG28" s="380">
        <v>25674</v>
      </c>
      <c r="DH28" s="380">
        <v>29624</v>
      </c>
      <c r="DI28" s="380">
        <v>24800</v>
      </c>
      <c r="DJ28" s="380">
        <v>32633</v>
      </c>
      <c r="DK28" s="380">
        <v>21354</v>
      </c>
      <c r="DL28" s="380">
        <v>28389</v>
      </c>
      <c r="DM28" s="389">
        <v>58885</v>
      </c>
      <c r="DN28" s="381">
        <f t="shared" si="108"/>
        <v>327338</v>
      </c>
      <c r="DO28" s="379">
        <v>14698</v>
      </c>
      <c r="DP28" s="380">
        <v>16320</v>
      </c>
      <c r="DQ28" s="380">
        <v>31614</v>
      </c>
      <c r="DR28" s="380">
        <v>19231</v>
      </c>
      <c r="DS28" s="380">
        <v>22141</v>
      </c>
      <c r="DT28" s="380">
        <v>32121</v>
      </c>
      <c r="DU28" s="380">
        <v>29048</v>
      </c>
      <c r="DV28" s="380">
        <v>23161</v>
      </c>
      <c r="DW28" s="380">
        <v>36881</v>
      </c>
      <c r="DX28" s="380">
        <v>23344</v>
      </c>
      <c r="DY28" s="380">
        <v>29069</v>
      </c>
      <c r="DZ28" s="389">
        <v>48138</v>
      </c>
      <c r="EA28" s="381">
        <f t="shared" si="109"/>
        <v>325766</v>
      </c>
      <c r="EB28" s="379">
        <v>20065</v>
      </c>
      <c r="EC28" s="380">
        <v>18926</v>
      </c>
      <c r="ED28" s="380">
        <v>33765</v>
      </c>
      <c r="EE28" s="380">
        <v>24336</v>
      </c>
      <c r="EF28" s="380">
        <v>29346</v>
      </c>
      <c r="EG28" s="380">
        <v>30461</v>
      </c>
      <c r="EH28" s="380">
        <v>40218</v>
      </c>
      <c r="EI28" s="380">
        <v>34256</v>
      </c>
      <c r="EJ28" s="380">
        <v>28534</v>
      </c>
      <c r="EK28" s="380">
        <v>43210</v>
      </c>
      <c r="EL28" s="380">
        <v>39175</v>
      </c>
      <c r="EM28" s="389">
        <v>52237</v>
      </c>
      <c r="EN28" s="381">
        <f t="shared" si="111"/>
        <v>394529</v>
      </c>
      <c r="EO28" s="379">
        <v>7699</v>
      </c>
      <c r="EP28" s="380">
        <v>18843</v>
      </c>
      <c r="EQ28" s="380">
        <v>24968</v>
      </c>
      <c r="ER28" s="380">
        <v>28729</v>
      </c>
      <c r="ES28" s="380">
        <v>26425</v>
      </c>
      <c r="ET28" s="380">
        <v>30728</v>
      </c>
      <c r="EU28" s="380">
        <v>28427</v>
      </c>
      <c r="EV28" s="380">
        <v>30918</v>
      </c>
      <c r="EW28" s="380">
        <v>34900</v>
      </c>
      <c r="EX28" s="380">
        <v>28120</v>
      </c>
      <c r="EY28" s="380">
        <v>26034</v>
      </c>
      <c r="EZ28" s="389">
        <v>39440</v>
      </c>
      <c r="FA28" s="381">
        <f t="shared" si="113"/>
        <v>325231</v>
      </c>
      <c r="FB28" s="379">
        <v>17353</v>
      </c>
      <c r="FC28" s="380">
        <v>18012</v>
      </c>
      <c r="FD28" s="380">
        <v>28319</v>
      </c>
      <c r="FE28" s="380">
        <v>15025</v>
      </c>
      <c r="FF28" s="380">
        <v>13769</v>
      </c>
      <c r="FG28" s="380">
        <v>16950</v>
      </c>
      <c r="FH28" s="380">
        <v>23790</v>
      </c>
      <c r="FI28" s="380">
        <v>23190</v>
      </c>
      <c r="FJ28" s="380">
        <v>26860</v>
      </c>
      <c r="FK28" s="380">
        <v>28369</v>
      </c>
      <c r="FL28" s="380">
        <v>26858</v>
      </c>
      <c r="FM28" s="389">
        <v>46620</v>
      </c>
      <c r="FN28" s="381">
        <f t="shared" si="115"/>
        <v>285115</v>
      </c>
      <c r="FO28" s="379">
        <v>18886</v>
      </c>
      <c r="FP28" s="380">
        <v>23593</v>
      </c>
      <c r="FQ28" s="380">
        <v>45501</v>
      </c>
      <c r="FR28" s="380">
        <v>25555</v>
      </c>
      <c r="FS28" s="380">
        <v>32272</v>
      </c>
      <c r="FT28" s="380">
        <v>32492</v>
      </c>
      <c r="FU28" s="380">
        <v>30986</v>
      </c>
      <c r="FV28" s="380">
        <v>33825</v>
      </c>
      <c r="FW28" s="380">
        <v>35062</v>
      </c>
      <c r="FX28" s="380">
        <v>30998</v>
      </c>
      <c r="FY28" s="380">
        <v>35513</v>
      </c>
      <c r="FZ28" s="389">
        <v>57553</v>
      </c>
      <c r="GA28" s="381">
        <f t="shared" si="47"/>
        <v>402236</v>
      </c>
      <c r="GB28" s="379">
        <v>19094</v>
      </c>
      <c r="GC28" s="380">
        <v>25619</v>
      </c>
      <c r="GD28" s="380">
        <v>49099</v>
      </c>
      <c r="GE28" s="380">
        <v>29570</v>
      </c>
      <c r="GF28" s="380">
        <v>40061</v>
      </c>
      <c r="GG28" s="380">
        <v>33980</v>
      </c>
      <c r="GH28" s="380">
        <v>39279</v>
      </c>
      <c r="GI28" s="380">
        <v>42729</v>
      </c>
      <c r="GJ28" s="380">
        <v>38364</v>
      </c>
      <c r="GK28" s="380">
        <v>37129</v>
      </c>
      <c r="GL28" s="380">
        <v>38091</v>
      </c>
      <c r="GM28" s="389">
        <v>64756</v>
      </c>
      <c r="GN28" s="381">
        <f t="shared" si="48"/>
        <v>457771</v>
      </c>
      <c r="GO28" s="379">
        <v>10635</v>
      </c>
      <c r="GP28" s="380">
        <v>22776</v>
      </c>
      <c r="GQ28" s="380">
        <v>36419</v>
      </c>
      <c r="GR28" s="380">
        <v>40938</v>
      </c>
      <c r="GS28" s="380">
        <v>31203</v>
      </c>
      <c r="GT28" s="380">
        <v>38433</v>
      </c>
      <c r="GU28" s="380">
        <v>37016</v>
      </c>
      <c r="GV28" s="380">
        <v>43030</v>
      </c>
      <c r="GW28" s="380">
        <v>39486</v>
      </c>
      <c r="GX28" s="380">
        <v>36957</v>
      </c>
      <c r="GY28" s="380">
        <v>36465</v>
      </c>
      <c r="GZ28" s="389">
        <v>49002</v>
      </c>
      <c r="HA28" s="381">
        <f t="shared" si="50"/>
        <v>422360</v>
      </c>
      <c r="HB28" s="379">
        <v>19526</v>
      </c>
      <c r="HC28" s="380">
        <v>33578</v>
      </c>
      <c r="HD28" s="380">
        <v>37829</v>
      </c>
      <c r="HE28" s="380">
        <v>36767</v>
      </c>
      <c r="HF28" s="380">
        <v>40657</v>
      </c>
      <c r="HG28" s="380">
        <v>33469</v>
      </c>
      <c r="HH28" s="380">
        <v>37714</v>
      </c>
      <c r="HI28" s="380">
        <v>33938</v>
      </c>
      <c r="HJ28" s="380">
        <v>32660</v>
      </c>
      <c r="HK28" s="380">
        <v>36827</v>
      </c>
      <c r="HL28" s="380">
        <v>35910</v>
      </c>
      <c r="HM28" s="389">
        <v>48463</v>
      </c>
      <c r="HN28" s="381">
        <f t="shared" si="52"/>
        <v>427338</v>
      </c>
      <c r="HO28" s="379">
        <v>24968</v>
      </c>
      <c r="HP28" s="380">
        <v>30801</v>
      </c>
      <c r="HQ28" s="380">
        <v>40363</v>
      </c>
      <c r="HR28" s="380">
        <v>39193</v>
      </c>
      <c r="HS28" s="380">
        <v>39869</v>
      </c>
      <c r="HT28" s="380">
        <v>39057</v>
      </c>
      <c r="HU28" s="380">
        <v>40017</v>
      </c>
      <c r="HV28" s="380">
        <v>34791</v>
      </c>
      <c r="HW28" s="380">
        <v>34228</v>
      </c>
      <c r="HX28" s="380">
        <v>39685</v>
      </c>
      <c r="HY28" s="380">
        <v>34146</v>
      </c>
      <c r="HZ28" s="391">
        <v>51154</v>
      </c>
      <c r="IA28" s="80">
        <f t="shared" si="58"/>
        <v>448272</v>
      </c>
      <c r="IB28" s="1344">
        <v>25523</v>
      </c>
      <c r="IC28" s="120">
        <v>34406</v>
      </c>
      <c r="ID28" s="120">
        <v>43312</v>
      </c>
      <c r="IE28" s="120">
        <v>42859</v>
      </c>
      <c r="IF28" s="120">
        <v>51931</v>
      </c>
      <c r="IG28" s="120">
        <v>48727</v>
      </c>
      <c r="IH28" s="120">
        <v>57499</v>
      </c>
      <c r="II28" s="120">
        <v>51912</v>
      </c>
      <c r="IJ28" s="120"/>
      <c r="IK28" s="120"/>
      <c r="IL28" s="120"/>
      <c r="IM28" s="1345"/>
      <c r="IN28" s="1346">
        <f t="shared" si="56"/>
        <v>356169</v>
      </c>
      <c r="IO28" s="120"/>
      <c r="IP28" s="371">
        <f t="shared" si="19"/>
        <v>49.211002845563499</v>
      </c>
      <c r="IQ28" s="348">
        <f>IFERROR(((IS28/IR28)-1)*100,"")</f>
        <v>23.216713542909929</v>
      </c>
      <c r="IR28" s="320">
        <f t="shared" si="20"/>
        <v>289059</v>
      </c>
      <c r="IS28" s="344">
        <f t="shared" si="21"/>
        <v>356169</v>
      </c>
    </row>
    <row r="29" spans="1:255" ht="15" customHeight="1" x14ac:dyDescent="0.2">
      <c r="A29" s="1551" t="s">
        <v>430</v>
      </c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0"/>
      <c r="M29" s="389"/>
      <c r="N29" s="381"/>
      <c r="O29" s="379"/>
      <c r="P29" s="380"/>
      <c r="Q29" s="380"/>
      <c r="R29" s="380"/>
      <c r="S29" s="380"/>
      <c r="T29" s="380"/>
      <c r="U29" s="380"/>
      <c r="V29" s="380"/>
      <c r="W29" s="380"/>
      <c r="X29" s="380"/>
      <c r="Y29" s="380"/>
      <c r="Z29" s="389"/>
      <c r="AA29" s="381"/>
      <c r="AB29" s="379"/>
      <c r="AC29" s="380"/>
      <c r="AD29" s="380"/>
      <c r="AE29" s="380"/>
      <c r="AF29" s="380"/>
      <c r="AG29" s="380"/>
      <c r="AH29" s="380"/>
      <c r="AI29" s="380"/>
      <c r="AJ29" s="380"/>
      <c r="AK29" s="380"/>
      <c r="AL29" s="380"/>
      <c r="AM29" s="389"/>
      <c r="AN29" s="381"/>
      <c r="AO29" s="379"/>
      <c r="AP29" s="380"/>
      <c r="AQ29" s="380"/>
      <c r="AR29" s="380"/>
      <c r="AS29" s="380"/>
      <c r="AT29" s="380"/>
      <c r="AU29" s="380"/>
      <c r="AV29" s="380"/>
      <c r="AW29" s="380"/>
      <c r="AX29" s="380"/>
      <c r="AY29" s="380"/>
      <c r="AZ29" s="389"/>
      <c r="BA29" s="381"/>
      <c r="BB29" s="379"/>
      <c r="BC29" s="380"/>
      <c r="BD29" s="380"/>
      <c r="BE29" s="380"/>
      <c r="BF29" s="380"/>
      <c r="BG29" s="380"/>
      <c r="BH29" s="380"/>
      <c r="BI29" s="380"/>
      <c r="BJ29" s="380"/>
      <c r="BK29" s="380"/>
      <c r="BL29" s="380"/>
      <c r="BM29" s="389"/>
      <c r="BN29" s="381"/>
      <c r="BO29" s="379"/>
      <c r="BP29" s="380"/>
      <c r="BQ29" s="380"/>
      <c r="BR29" s="380"/>
      <c r="BS29" s="380"/>
      <c r="BT29" s="380"/>
      <c r="BU29" s="380"/>
      <c r="BV29" s="380"/>
      <c r="BW29" s="380"/>
      <c r="BX29" s="380"/>
      <c r="BY29" s="380"/>
      <c r="BZ29" s="389"/>
      <c r="CA29" s="381"/>
      <c r="CB29" s="379"/>
      <c r="CC29" s="380"/>
      <c r="CD29" s="380"/>
      <c r="CE29" s="380"/>
      <c r="CF29" s="380"/>
      <c r="CG29" s="380"/>
      <c r="CH29" s="380"/>
      <c r="CI29" s="380"/>
      <c r="CJ29" s="380"/>
      <c r="CK29" s="380"/>
      <c r="CL29" s="380"/>
      <c r="CM29" s="389"/>
      <c r="CN29" s="381"/>
      <c r="CO29" s="379"/>
      <c r="CP29" s="380"/>
      <c r="CQ29" s="380"/>
      <c r="CR29" s="380"/>
      <c r="CS29" s="380"/>
      <c r="CT29" s="380"/>
      <c r="CU29" s="380"/>
      <c r="CV29" s="380"/>
      <c r="CW29" s="380"/>
      <c r="CX29" s="380"/>
      <c r="CY29" s="380"/>
      <c r="CZ29" s="389"/>
      <c r="DA29" s="381"/>
      <c r="DB29" s="379"/>
      <c r="DC29" s="380"/>
      <c r="DD29" s="380"/>
      <c r="DE29" s="380"/>
      <c r="DF29" s="380"/>
      <c r="DG29" s="380"/>
      <c r="DH29" s="380"/>
      <c r="DI29" s="380"/>
      <c r="DJ29" s="380"/>
      <c r="DK29" s="380"/>
      <c r="DL29" s="380"/>
      <c r="DM29" s="389"/>
      <c r="DN29" s="381"/>
      <c r="DO29" s="379"/>
      <c r="DP29" s="380"/>
      <c r="DQ29" s="380"/>
      <c r="DR29" s="380"/>
      <c r="DS29" s="380"/>
      <c r="DT29" s="380"/>
      <c r="DU29" s="380"/>
      <c r="DV29" s="380"/>
      <c r="DW29" s="380"/>
      <c r="DX29" s="380"/>
      <c r="DY29" s="380"/>
      <c r="DZ29" s="389"/>
      <c r="EA29" s="381"/>
      <c r="EB29" s="379"/>
      <c r="EC29" s="380"/>
      <c r="ED29" s="380"/>
      <c r="EE29" s="380"/>
      <c r="EF29" s="380"/>
      <c r="EG29" s="380"/>
      <c r="EH29" s="380"/>
      <c r="EI29" s="380"/>
      <c r="EJ29" s="380"/>
      <c r="EK29" s="380"/>
      <c r="EL29" s="380"/>
      <c r="EM29" s="389"/>
      <c r="EN29" s="381"/>
      <c r="EO29" s="379"/>
      <c r="EP29" s="380"/>
      <c r="EQ29" s="380"/>
      <c r="ER29" s="380"/>
      <c r="ES29" s="380"/>
      <c r="ET29" s="380"/>
      <c r="EU29" s="380"/>
      <c r="EV29" s="380"/>
      <c r="EW29" s="380"/>
      <c r="EX29" s="380"/>
      <c r="EY29" s="380"/>
      <c r="EZ29" s="389"/>
      <c r="FA29" s="381"/>
      <c r="FB29" s="379"/>
      <c r="FC29" s="380"/>
      <c r="FD29" s="380"/>
      <c r="FE29" s="380"/>
      <c r="FF29" s="380"/>
      <c r="FG29" s="380"/>
      <c r="FH29" s="380"/>
      <c r="FI29" s="380"/>
      <c r="FJ29" s="380"/>
      <c r="FK29" s="380"/>
      <c r="FL29" s="380"/>
      <c r="FM29" s="389"/>
      <c r="FN29" s="381"/>
      <c r="FO29" s="379"/>
      <c r="FP29" s="380"/>
      <c r="FQ29" s="380"/>
      <c r="FR29" s="380"/>
      <c r="FS29" s="380"/>
      <c r="FT29" s="380"/>
      <c r="FU29" s="380"/>
      <c r="FV29" s="380"/>
      <c r="FW29" s="380"/>
      <c r="FX29" s="380"/>
      <c r="FY29" s="380"/>
      <c r="FZ29" s="389"/>
      <c r="GA29" s="381"/>
      <c r="GB29" s="379"/>
      <c r="GC29" s="380"/>
      <c r="GD29" s="380"/>
      <c r="GE29" s="380"/>
      <c r="GF29" s="380"/>
      <c r="GG29" s="380"/>
      <c r="GH29" s="380"/>
      <c r="GI29" s="380"/>
      <c r="GJ29" s="380"/>
      <c r="GK29" s="380"/>
      <c r="GL29" s="380"/>
      <c r="GM29" s="389"/>
      <c r="GN29" s="381"/>
      <c r="GO29" s="379"/>
      <c r="GP29" s="380"/>
      <c r="GQ29" s="380"/>
      <c r="GR29" s="380"/>
      <c r="GS29" s="380"/>
      <c r="GT29" s="380"/>
      <c r="GU29" s="380"/>
      <c r="GV29" s="380"/>
      <c r="GW29" s="380"/>
      <c r="GX29" s="380"/>
      <c r="GY29" s="380"/>
      <c r="GZ29" s="389"/>
      <c r="HA29" s="381">
        <f t="shared" si="50"/>
        <v>0</v>
      </c>
      <c r="HB29" s="379"/>
      <c r="HC29" s="380"/>
      <c r="HD29" s="380"/>
      <c r="HE29" s="380"/>
      <c r="HF29" s="380"/>
      <c r="HG29" s="380"/>
      <c r="HH29" s="380"/>
      <c r="HI29" s="380"/>
      <c r="HJ29" s="380"/>
      <c r="HK29" s="380"/>
      <c r="HL29" s="380"/>
      <c r="HM29" s="389"/>
      <c r="HN29" s="381"/>
      <c r="HO29" s="379"/>
      <c r="HP29" s="380"/>
      <c r="HQ29" s="380"/>
      <c r="HR29" s="380"/>
      <c r="HS29" s="380"/>
      <c r="HT29" s="380"/>
      <c r="HU29" s="380"/>
      <c r="HV29" s="380"/>
      <c r="HW29" s="380"/>
      <c r="HX29" s="380"/>
      <c r="HY29" s="380"/>
      <c r="HZ29" s="389"/>
      <c r="IA29" s="379">
        <f>SUM(HO29:HZ29)</f>
        <v>0</v>
      </c>
      <c r="IB29" s="1344"/>
      <c r="IC29" s="120"/>
      <c r="ID29" s="120"/>
      <c r="IE29" s="120"/>
      <c r="IF29" s="120"/>
      <c r="IG29" s="120"/>
      <c r="IH29" s="120"/>
      <c r="II29" s="120"/>
      <c r="IJ29" s="120"/>
      <c r="IK29" s="120"/>
      <c r="IL29" s="120"/>
      <c r="IM29" s="1345"/>
      <c r="IN29" s="1346">
        <f t="shared" si="56"/>
        <v>0</v>
      </c>
      <c r="IO29" s="120"/>
      <c r="IP29" s="371" t="str">
        <f t="shared" ref="IP29:IP30" si="120">IFERROR(((II29/HV29)-1)*100,"")</f>
        <v/>
      </c>
      <c r="IQ29" s="348" t="str">
        <f t="shared" si="57"/>
        <v/>
      </c>
      <c r="IR29" s="320">
        <f t="shared" si="20"/>
        <v>0</v>
      </c>
      <c r="IS29" s="344">
        <f t="shared" si="21"/>
        <v>0</v>
      </c>
    </row>
    <row r="30" spans="1:255" ht="15" customHeight="1" x14ac:dyDescent="0.2">
      <c r="A30" s="1551" t="s">
        <v>405</v>
      </c>
      <c r="B30" s="80"/>
      <c r="C30" s="385"/>
      <c r="D30" s="385"/>
      <c r="E30" s="385"/>
      <c r="F30" s="385"/>
      <c r="G30" s="385"/>
      <c r="H30" s="385"/>
      <c r="I30" s="385"/>
      <c r="J30" s="385"/>
      <c r="K30" s="385"/>
      <c r="L30" s="385"/>
      <c r="M30" s="391"/>
      <c r="N30" s="381"/>
      <c r="O30" s="80"/>
      <c r="P30" s="385"/>
      <c r="Q30" s="385"/>
      <c r="R30" s="385"/>
      <c r="S30" s="385"/>
      <c r="T30" s="385"/>
      <c r="U30" s="385"/>
      <c r="V30" s="385"/>
      <c r="W30" s="385"/>
      <c r="X30" s="385"/>
      <c r="Y30" s="385"/>
      <c r="Z30" s="391"/>
      <c r="AA30" s="381"/>
      <c r="AB30" s="80"/>
      <c r="AC30" s="385"/>
      <c r="AD30" s="385"/>
      <c r="AE30" s="385"/>
      <c r="AF30" s="385"/>
      <c r="AG30" s="385"/>
      <c r="AH30" s="385"/>
      <c r="AI30" s="385"/>
      <c r="AJ30" s="385"/>
      <c r="AK30" s="385"/>
      <c r="AL30" s="385"/>
      <c r="AM30" s="391"/>
      <c r="AN30" s="381">
        <f>SUM(AB30:AM30)</f>
        <v>0</v>
      </c>
      <c r="AO30" s="80"/>
      <c r="AP30" s="385"/>
      <c r="AQ30" s="385"/>
      <c r="AR30" s="385"/>
      <c r="AS30" s="385"/>
      <c r="AT30" s="385"/>
      <c r="AU30" s="385"/>
      <c r="AV30" s="385"/>
      <c r="AW30" s="385"/>
      <c r="AX30" s="385"/>
      <c r="AY30" s="385"/>
      <c r="AZ30" s="391"/>
      <c r="BA30" s="381"/>
      <c r="BB30" s="80"/>
      <c r="BC30" s="385"/>
      <c r="BD30" s="385"/>
      <c r="BE30" s="385"/>
      <c r="BF30" s="385"/>
      <c r="BG30" s="385"/>
      <c r="BH30" s="385"/>
      <c r="BI30" s="385"/>
      <c r="BJ30" s="385"/>
      <c r="BK30" s="385"/>
      <c r="BL30" s="385"/>
      <c r="BM30" s="391"/>
      <c r="BN30" s="381"/>
      <c r="BO30" s="80"/>
      <c r="BP30" s="385"/>
      <c r="BQ30" s="385"/>
      <c r="BR30" s="385"/>
      <c r="BS30" s="385"/>
      <c r="BT30" s="385"/>
      <c r="BU30" s="385"/>
      <c r="BV30" s="385"/>
      <c r="BW30" s="385"/>
      <c r="BX30" s="385"/>
      <c r="BY30" s="385"/>
      <c r="BZ30" s="391"/>
      <c r="CA30" s="381"/>
      <c r="CB30" s="80"/>
      <c r="CC30" s="385"/>
      <c r="CD30" s="385"/>
      <c r="CE30" s="385"/>
      <c r="CF30" s="385"/>
      <c r="CG30" s="385"/>
      <c r="CH30" s="385"/>
      <c r="CI30" s="385"/>
      <c r="CJ30" s="385"/>
      <c r="CK30" s="385"/>
      <c r="CL30" s="385"/>
      <c r="CM30" s="391"/>
      <c r="CN30" s="381"/>
      <c r="CO30" s="80"/>
      <c r="CP30" s="385"/>
      <c r="CQ30" s="385"/>
      <c r="CR30" s="385"/>
      <c r="CS30" s="385"/>
      <c r="CT30" s="385"/>
      <c r="CU30" s="385"/>
      <c r="CV30" s="385"/>
      <c r="CW30" s="385"/>
      <c r="CX30" s="385"/>
      <c r="CY30" s="385"/>
      <c r="CZ30" s="391"/>
      <c r="DA30" s="381"/>
      <c r="DB30" s="80"/>
      <c r="DC30" s="385"/>
      <c r="DD30" s="385"/>
      <c r="DE30" s="385"/>
      <c r="DF30" s="385"/>
      <c r="DG30" s="385"/>
      <c r="DH30" s="385"/>
      <c r="DI30" s="385"/>
      <c r="DJ30" s="385"/>
      <c r="DK30" s="385"/>
      <c r="DL30" s="385"/>
      <c r="DM30" s="391"/>
      <c r="DN30" s="381"/>
      <c r="DO30" s="80"/>
      <c r="DP30" s="385"/>
      <c r="DQ30" s="385"/>
      <c r="DR30" s="385"/>
      <c r="DS30" s="385"/>
      <c r="DT30" s="385"/>
      <c r="DU30" s="385"/>
      <c r="DV30" s="385"/>
      <c r="DW30" s="385"/>
      <c r="DX30" s="385"/>
      <c r="DY30" s="385"/>
      <c r="DZ30" s="391"/>
      <c r="EA30" s="381"/>
      <c r="EB30" s="80"/>
      <c r="EC30" s="385"/>
      <c r="ED30" s="385"/>
      <c r="EE30" s="385"/>
      <c r="EF30" s="385"/>
      <c r="EG30" s="385"/>
      <c r="EH30" s="385"/>
      <c r="EI30" s="385"/>
      <c r="EJ30" s="385"/>
      <c r="EK30" s="385"/>
      <c r="EL30" s="385"/>
      <c r="EM30" s="391"/>
      <c r="EN30" s="381"/>
      <c r="EO30" s="80"/>
      <c r="EP30" s="385"/>
      <c r="EQ30" s="385"/>
      <c r="ER30" s="385"/>
      <c r="ES30" s="385"/>
      <c r="ET30" s="385"/>
      <c r="EU30" s="385"/>
      <c r="EV30" s="385"/>
      <c r="EW30" s="385"/>
      <c r="EX30" s="385"/>
      <c r="EY30" s="385"/>
      <c r="EZ30" s="391"/>
      <c r="FA30" s="381"/>
      <c r="FB30" s="80"/>
      <c r="FC30" s="385"/>
      <c r="FD30" s="385"/>
      <c r="FE30" s="385"/>
      <c r="FF30" s="385"/>
      <c r="FG30" s="385"/>
      <c r="FH30" s="385"/>
      <c r="FI30" s="385"/>
      <c r="FJ30" s="385"/>
      <c r="FK30" s="385"/>
      <c r="FL30" s="385"/>
      <c r="FM30" s="391"/>
      <c r="FN30" s="381"/>
      <c r="FO30" s="80"/>
      <c r="FP30" s="385"/>
      <c r="FQ30" s="385"/>
      <c r="FR30" s="385"/>
      <c r="FS30" s="385"/>
      <c r="FT30" s="385"/>
      <c r="FU30" s="385"/>
      <c r="FV30" s="385"/>
      <c r="FW30" s="385"/>
      <c r="FX30" s="385"/>
      <c r="FY30" s="385"/>
      <c r="FZ30" s="391"/>
      <c r="GA30" s="381"/>
      <c r="GB30" s="80"/>
      <c r="GC30" s="385"/>
      <c r="GD30" s="385"/>
      <c r="GE30" s="385"/>
      <c r="GF30" s="385"/>
      <c r="GG30" s="385"/>
      <c r="GH30" s="385"/>
      <c r="GI30" s="385"/>
      <c r="GJ30" s="385"/>
      <c r="GK30" s="385"/>
      <c r="GL30" s="385"/>
      <c r="GM30" s="391"/>
      <c r="GN30" s="381"/>
      <c r="GO30" s="80"/>
      <c r="GP30" s="385"/>
      <c r="GQ30" s="385"/>
      <c r="GR30" s="385"/>
      <c r="GS30" s="385"/>
      <c r="GT30" s="385"/>
      <c r="GU30" s="385"/>
      <c r="GV30" s="385"/>
      <c r="GW30" s="385"/>
      <c r="GX30" s="385"/>
      <c r="GY30" s="385"/>
      <c r="GZ30" s="391"/>
      <c r="HA30" s="381">
        <f t="shared" si="50"/>
        <v>0</v>
      </c>
      <c r="HB30" s="80"/>
      <c r="HC30" s="385"/>
      <c r="HD30" s="385"/>
      <c r="HE30" s="385"/>
      <c r="HF30" s="385"/>
      <c r="HG30" s="385"/>
      <c r="HH30" s="385"/>
      <c r="HI30" s="385"/>
      <c r="HJ30" s="385"/>
      <c r="HK30" s="385"/>
      <c r="HL30" s="385"/>
      <c r="HM30" s="391"/>
      <c r="HN30" s="381"/>
      <c r="HO30" s="80"/>
      <c r="HP30" s="385"/>
      <c r="HQ30" s="385"/>
      <c r="HR30" s="385"/>
      <c r="HS30" s="385"/>
      <c r="HT30" s="385"/>
      <c r="HU30" s="385"/>
      <c r="HV30" s="385"/>
      <c r="HW30" s="385"/>
      <c r="HX30" s="385"/>
      <c r="HY30" s="385"/>
      <c r="HZ30" s="391"/>
      <c r="IA30" s="379">
        <f t="shared" si="58"/>
        <v>0</v>
      </c>
      <c r="IB30" s="1344"/>
      <c r="IC30" s="120"/>
      <c r="ID30" s="120"/>
      <c r="IE30" s="120"/>
      <c r="IF30" s="120"/>
      <c r="IG30" s="120"/>
      <c r="IH30" s="120"/>
      <c r="II30" s="120"/>
      <c r="IJ30" s="120"/>
      <c r="IK30" s="120"/>
      <c r="IL30" s="120"/>
      <c r="IM30" s="1345"/>
      <c r="IN30" s="1346">
        <f t="shared" si="56"/>
        <v>0</v>
      </c>
      <c r="IO30" s="120"/>
      <c r="IP30" s="371" t="str">
        <f t="shared" si="120"/>
        <v/>
      </c>
      <c r="IQ30" s="348" t="str">
        <f>IFERROR(((IS30/IR30)-1)*100,"")</f>
        <v/>
      </c>
      <c r="IR30" s="320">
        <f t="shared" si="20"/>
        <v>0</v>
      </c>
      <c r="IS30" s="344">
        <f t="shared" si="21"/>
        <v>0</v>
      </c>
    </row>
    <row r="31" spans="1:255" ht="15" customHeight="1" x14ac:dyDescent="0.2">
      <c r="A31" s="349"/>
      <c r="B31" s="81"/>
      <c r="C31" s="386"/>
      <c r="D31" s="386"/>
      <c r="E31" s="386"/>
      <c r="F31" s="386"/>
      <c r="G31" s="386"/>
      <c r="H31" s="386"/>
      <c r="I31" s="386"/>
      <c r="J31" s="386"/>
      <c r="K31" s="386"/>
      <c r="L31" s="386"/>
      <c r="M31" s="392"/>
      <c r="N31" s="399"/>
      <c r="O31" s="81"/>
      <c r="P31" s="386"/>
      <c r="Q31" s="386"/>
      <c r="R31" s="386"/>
      <c r="S31" s="386"/>
      <c r="T31" s="386"/>
      <c r="U31" s="386"/>
      <c r="V31" s="386"/>
      <c r="W31" s="386"/>
      <c r="X31" s="386"/>
      <c r="Y31" s="386"/>
      <c r="Z31" s="392"/>
      <c r="AA31" s="399"/>
      <c r="AB31" s="81"/>
      <c r="AC31" s="386"/>
      <c r="AD31" s="386"/>
      <c r="AE31" s="386"/>
      <c r="AF31" s="386"/>
      <c r="AG31" s="386"/>
      <c r="AH31" s="386"/>
      <c r="AI31" s="386"/>
      <c r="AJ31" s="386"/>
      <c r="AK31" s="386"/>
      <c r="AL31" s="386"/>
      <c r="AM31" s="392"/>
      <c r="AN31" s="399"/>
      <c r="AO31" s="81"/>
      <c r="AP31" s="386"/>
      <c r="AQ31" s="386"/>
      <c r="AR31" s="386"/>
      <c r="AS31" s="386"/>
      <c r="AT31" s="386"/>
      <c r="AU31" s="386"/>
      <c r="AV31" s="386"/>
      <c r="AW31" s="386"/>
      <c r="AX31" s="386"/>
      <c r="AY31" s="386"/>
      <c r="AZ31" s="392"/>
      <c r="BA31" s="399"/>
      <c r="BB31" s="81"/>
      <c r="BC31" s="386"/>
      <c r="BD31" s="386"/>
      <c r="BE31" s="386"/>
      <c r="BF31" s="386"/>
      <c r="BG31" s="386"/>
      <c r="BH31" s="386"/>
      <c r="BI31" s="386"/>
      <c r="BJ31" s="386"/>
      <c r="BK31" s="386"/>
      <c r="BL31" s="386"/>
      <c r="BM31" s="392"/>
      <c r="BN31" s="399"/>
      <c r="BO31" s="81"/>
      <c r="BP31" s="386"/>
      <c r="BQ31" s="386"/>
      <c r="BR31" s="386"/>
      <c r="BS31" s="386"/>
      <c r="BT31" s="386"/>
      <c r="BU31" s="386"/>
      <c r="BV31" s="386"/>
      <c r="BW31" s="386"/>
      <c r="BX31" s="386"/>
      <c r="BY31" s="386"/>
      <c r="BZ31" s="392"/>
      <c r="CA31" s="399"/>
      <c r="CB31" s="81"/>
      <c r="CC31" s="386"/>
      <c r="CD31" s="386"/>
      <c r="CE31" s="386"/>
      <c r="CF31" s="386"/>
      <c r="CG31" s="386"/>
      <c r="CH31" s="386"/>
      <c r="CI31" s="386"/>
      <c r="CJ31" s="386"/>
      <c r="CK31" s="386"/>
      <c r="CL31" s="386"/>
      <c r="CM31" s="392"/>
      <c r="CN31" s="399"/>
      <c r="CO31" s="81"/>
      <c r="CP31" s="386"/>
      <c r="CQ31" s="386"/>
      <c r="CR31" s="386"/>
      <c r="CS31" s="386"/>
      <c r="CT31" s="386"/>
      <c r="CU31" s="386"/>
      <c r="CV31" s="386"/>
      <c r="CW31" s="386"/>
      <c r="CX31" s="386"/>
      <c r="CY31" s="386"/>
      <c r="CZ31" s="392"/>
      <c r="DA31" s="399"/>
      <c r="DB31" s="81"/>
      <c r="DC31" s="386"/>
      <c r="DD31" s="386"/>
      <c r="DE31" s="386"/>
      <c r="DF31" s="386"/>
      <c r="DG31" s="386"/>
      <c r="DH31" s="386"/>
      <c r="DI31" s="386"/>
      <c r="DJ31" s="386"/>
      <c r="DK31" s="386"/>
      <c r="DL31" s="386"/>
      <c r="DM31" s="392"/>
      <c r="DN31" s="399"/>
      <c r="DO31" s="81"/>
      <c r="DP31" s="386"/>
      <c r="DQ31" s="386"/>
      <c r="DR31" s="386"/>
      <c r="DS31" s="386"/>
      <c r="DT31" s="386"/>
      <c r="DU31" s="386"/>
      <c r="DV31" s="386"/>
      <c r="DW31" s="386"/>
      <c r="DX31" s="386"/>
      <c r="DY31" s="386"/>
      <c r="DZ31" s="392"/>
      <c r="EA31" s="399"/>
      <c r="EB31" s="81"/>
      <c r="EC31" s="386"/>
      <c r="ED31" s="386"/>
      <c r="EE31" s="386"/>
      <c r="EF31" s="386"/>
      <c r="EG31" s="386"/>
      <c r="EH31" s="386"/>
      <c r="EI31" s="386"/>
      <c r="EJ31" s="386"/>
      <c r="EK31" s="386"/>
      <c r="EL31" s="386"/>
      <c r="EM31" s="392"/>
      <c r="EN31" s="399"/>
      <c r="EO31" s="81"/>
      <c r="EP31" s="386"/>
      <c r="EQ31" s="386"/>
      <c r="ER31" s="386"/>
      <c r="ES31" s="386"/>
      <c r="ET31" s="386"/>
      <c r="EU31" s="386"/>
      <c r="EV31" s="386"/>
      <c r="EW31" s="386"/>
      <c r="EX31" s="386"/>
      <c r="EY31" s="386"/>
      <c r="EZ31" s="392"/>
      <c r="FA31" s="399"/>
      <c r="FB31" s="81"/>
      <c r="FC31" s="386"/>
      <c r="FD31" s="386"/>
      <c r="FE31" s="386"/>
      <c r="FF31" s="386"/>
      <c r="FG31" s="386"/>
      <c r="FH31" s="386"/>
      <c r="FI31" s="386"/>
      <c r="FJ31" s="386"/>
      <c r="FK31" s="386"/>
      <c r="FL31" s="386"/>
      <c r="FM31" s="392"/>
      <c r="FN31" s="399"/>
      <c r="FO31" s="81"/>
      <c r="FP31" s="386"/>
      <c r="FQ31" s="386"/>
      <c r="FR31" s="386"/>
      <c r="FS31" s="386"/>
      <c r="FT31" s="386"/>
      <c r="FU31" s="386"/>
      <c r="FV31" s="386"/>
      <c r="FW31" s="386"/>
      <c r="FX31" s="386"/>
      <c r="FY31" s="386"/>
      <c r="FZ31" s="392"/>
      <c r="GA31" s="399"/>
      <c r="GB31" s="81"/>
      <c r="GC31" s="386"/>
      <c r="GD31" s="386"/>
      <c r="GE31" s="386"/>
      <c r="GF31" s="386"/>
      <c r="GG31" s="386"/>
      <c r="GH31" s="386"/>
      <c r="GI31" s="386"/>
      <c r="GJ31" s="386"/>
      <c r="GK31" s="386"/>
      <c r="GL31" s="386"/>
      <c r="GM31" s="392"/>
      <c r="GN31" s="399"/>
      <c r="GO31" s="81"/>
      <c r="GP31" s="386"/>
      <c r="GQ31" s="386"/>
      <c r="GR31" s="386"/>
      <c r="GS31" s="386"/>
      <c r="GT31" s="386"/>
      <c r="GU31" s="386"/>
      <c r="GV31" s="386"/>
      <c r="GW31" s="386"/>
      <c r="GX31" s="386"/>
      <c r="GY31" s="386"/>
      <c r="GZ31" s="392"/>
      <c r="HA31" s="399"/>
      <c r="HB31" s="81"/>
      <c r="HC31" s="386"/>
      <c r="HD31" s="386"/>
      <c r="HE31" s="386"/>
      <c r="HF31" s="386"/>
      <c r="HG31" s="386"/>
      <c r="HH31" s="386"/>
      <c r="HI31" s="386"/>
      <c r="HJ31" s="386"/>
      <c r="HK31" s="386"/>
      <c r="HL31" s="386"/>
      <c r="HM31" s="392"/>
      <c r="HN31" s="399"/>
      <c r="HO31" s="81"/>
      <c r="HP31" s="386"/>
      <c r="HQ31" s="386"/>
      <c r="HR31" s="386"/>
      <c r="HS31" s="386"/>
      <c r="HT31" s="386"/>
      <c r="HU31" s="386"/>
      <c r="HV31" s="386"/>
      <c r="HW31" s="386"/>
      <c r="HX31" s="386"/>
      <c r="HY31" s="386"/>
      <c r="HZ31" s="392"/>
      <c r="IA31" s="1347"/>
      <c r="IB31" s="1347"/>
      <c r="IC31" s="1348"/>
      <c r="ID31" s="1348"/>
      <c r="IE31" s="1348"/>
      <c r="IF31" s="1348"/>
      <c r="IG31" s="1348"/>
      <c r="IH31" s="1348"/>
      <c r="II31" s="1348"/>
      <c r="IJ31" s="1348"/>
      <c r="IK31" s="1348"/>
      <c r="IL31" s="1348"/>
      <c r="IM31" s="1349"/>
      <c r="IN31" s="399"/>
      <c r="IO31" s="120"/>
      <c r="IP31" s="372" t="str">
        <f t="shared" ref="IP31" si="121">IFERROR(((IF31/HS31)-1)*100,"")</f>
        <v/>
      </c>
      <c r="IQ31" s="351"/>
      <c r="IR31" s="352"/>
      <c r="IS31" s="350"/>
    </row>
    <row r="32" spans="1:255" ht="15" customHeight="1" x14ac:dyDescent="0.2">
      <c r="A32" s="353" t="s">
        <v>301</v>
      </c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  <c r="AA32" s="354"/>
      <c r="GM32" s="316"/>
      <c r="GN32" s="316"/>
      <c r="GO32" s="316"/>
      <c r="GP32" s="316"/>
      <c r="GQ32" s="316"/>
      <c r="GR32" s="316"/>
      <c r="GS32" s="316"/>
      <c r="GT32" s="316"/>
      <c r="GU32" s="316"/>
      <c r="GV32" s="316"/>
      <c r="GW32" s="316"/>
      <c r="GX32" s="316"/>
      <c r="GY32" s="316"/>
      <c r="GZ32" s="316"/>
      <c r="HA32" s="316"/>
      <c r="HB32" s="316"/>
      <c r="HC32" s="316"/>
      <c r="HD32" s="316"/>
      <c r="HE32" s="316"/>
      <c r="HF32" s="316"/>
      <c r="HG32" s="316"/>
      <c r="HH32" s="316"/>
      <c r="HI32" s="316"/>
      <c r="HJ32" s="316"/>
      <c r="HK32" s="316"/>
      <c r="HL32" s="316"/>
      <c r="HM32" s="316"/>
      <c r="HN32" s="316"/>
      <c r="HO32" s="316"/>
      <c r="HP32" s="316"/>
      <c r="HQ32" s="316"/>
      <c r="HR32" s="316"/>
      <c r="HS32" s="316"/>
      <c r="HT32" s="316"/>
      <c r="HU32" s="316"/>
      <c r="HV32" s="316"/>
      <c r="HW32" s="316"/>
      <c r="HX32" s="316"/>
      <c r="HY32" s="316"/>
      <c r="HZ32" s="316"/>
      <c r="IA32" s="316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</row>
    <row r="33" spans="1:255" ht="15" customHeight="1" x14ac:dyDescent="0.2">
      <c r="A33" s="1556" t="s">
        <v>127</v>
      </c>
      <c r="B33" s="356">
        <f t="shared" ref="B33:AN33" si="122">+B23-B7</f>
        <v>0</v>
      </c>
      <c r="C33" s="356">
        <f t="shared" si="122"/>
        <v>0</v>
      </c>
      <c r="D33" s="356">
        <f t="shared" si="122"/>
        <v>0</v>
      </c>
      <c r="E33" s="356">
        <f t="shared" si="122"/>
        <v>0</v>
      </c>
      <c r="F33" s="356">
        <f t="shared" si="122"/>
        <v>0</v>
      </c>
      <c r="G33" s="356">
        <f t="shared" si="122"/>
        <v>0</v>
      </c>
      <c r="H33" s="356">
        <f t="shared" si="122"/>
        <v>0</v>
      </c>
      <c r="I33" s="356">
        <f t="shared" si="122"/>
        <v>0</v>
      </c>
      <c r="J33" s="356">
        <f t="shared" si="122"/>
        <v>0</v>
      </c>
      <c r="K33" s="356">
        <f t="shared" si="122"/>
        <v>0</v>
      </c>
      <c r="L33" s="356">
        <f t="shared" si="122"/>
        <v>0</v>
      </c>
      <c r="M33" s="356">
        <f t="shared" si="122"/>
        <v>0</v>
      </c>
      <c r="N33" s="356">
        <f t="shared" si="122"/>
        <v>0</v>
      </c>
      <c r="O33" s="356">
        <f t="shared" si="122"/>
        <v>0</v>
      </c>
      <c r="P33" s="356">
        <f t="shared" si="122"/>
        <v>0</v>
      </c>
      <c r="Q33" s="356">
        <f t="shared" si="122"/>
        <v>0</v>
      </c>
      <c r="R33" s="356">
        <f t="shared" si="122"/>
        <v>0</v>
      </c>
      <c r="S33" s="356">
        <f t="shared" si="122"/>
        <v>0</v>
      </c>
      <c r="T33" s="356">
        <f t="shared" si="122"/>
        <v>0</v>
      </c>
      <c r="U33" s="356">
        <f t="shared" si="122"/>
        <v>0</v>
      </c>
      <c r="V33" s="356">
        <f t="shared" si="122"/>
        <v>0</v>
      </c>
      <c r="W33" s="356">
        <f t="shared" si="122"/>
        <v>0</v>
      </c>
      <c r="X33" s="356">
        <f t="shared" si="122"/>
        <v>0</v>
      </c>
      <c r="Y33" s="356">
        <f t="shared" si="122"/>
        <v>0</v>
      </c>
      <c r="Z33" s="356">
        <f t="shared" si="122"/>
        <v>0</v>
      </c>
      <c r="AA33" s="356">
        <f t="shared" si="122"/>
        <v>0</v>
      </c>
      <c r="AB33" s="356">
        <f t="shared" si="122"/>
        <v>0</v>
      </c>
      <c r="AC33" s="393">
        <f t="shared" si="122"/>
        <v>0</v>
      </c>
      <c r="AD33" s="393">
        <f t="shared" si="122"/>
        <v>0</v>
      </c>
      <c r="AE33" s="393">
        <f t="shared" si="122"/>
        <v>0</v>
      </c>
      <c r="AF33" s="393">
        <f t="shared" si="122"/>
        <v>0</v>
      </c>
      <c r="AG33" s="393">
        <f t="shared" si="122"/>
        <v>0</v>
      </c>
      <c r="AH33" s="393">
        <f t="shared" si="122"/>
        <v>0</v>
      </c>
      <c r="AI33" s="393">
        <f t="shared" si="122"/>
        <v>0</v>
      </c>
      <c r="AJ33" s="393">
        <f t="shared" si="122"/>
        <v>0</v>
      </c>
      <c r="AK33" s="393">
        <f t="shared" si="122"/>
        <v>0</v>
      </c>
      <c r="AL33" s="393">
        <f t="shared" si="122"/>
        <v>0</v>
      </c>
      <c r="AM33" s="393">
        <f t="shared" si="122"/>
        <v>0</v>
      </c>
      <c r="AN33" s="393">
        <f t="shared" si="122"/>
        <v>0</v>
      </c>
      <c r="AO33" s="393"/>
      <c r="AP33" s="393"/>
      <c r="AQ33" s="393"/>
      <c r="AR33" s="393"/>
      <c r="AS33" s="393"/>
      <c r="AT33" s="393"/>
      <c r="AU33" s="393"/>
      <c r="AV33" s="393"/>
      <c r="AW33" s="393"/>
      <c r="AX33" s="393"/>
      <c r="AY33" s="393"/>
      <c r="AZ33" s="393"/>
      <c r="BA33" s="393"/>
      <c r="BB33" s="393"/>
      <c r="BC33" s="393"/>
      <c r="BD33" s="393"/>
      <c r="BE33" s="393"/>
      <c r="BF33" s="393"/>
      <c r="BG33" s="393"/>
      <c r="BH33" s="393"/>
      <c r="BI33" s="393"/>
      <c r="BJ33" s="393"/>
      <c r="BK33" s="393"/>
      <c r="BL33" s="393"/>
      <c r="BM33" s="393"/>
      <c r="BN33" s="393"/>
      <c r="BO33" s="393"/>
      <c r="BP33" s="393"/>
      <c r="BQ33" s="393"/>
      <c r="BR33" s="393"/>
      <c r="BS33" s="393"/>
      <c r="BT33" s="393"/>
      <c r="BU33" s="393"/>
      <c r="BV33" s="393"/>
      <c r="BW33" s="393"/>
      <c r="BX33" s="393"/>
      <c r="BY33" s="393"/>
      <c r="BZ33" s="393"/>
      <c r="CA33" s="393"/>
      <c r="CB33" s="393"/>
      <c r="CC33" s="393"/>
      <c r="CD33" s="393"/>
      <c r="CE33" s="393"/>
      <c r="CF33" s="393"/>
      <c r="CG33" s="393"/>
      <c r="CH33" s="393"/>
      <c r="CI33" s="393"/>
      <c r="CJ33" s="393"/>
      <c r="CK33" s="393"/>
      <c r="CL33" s="393"/>
      <c r="CM33" s="393"/>
      <c r="CN33" s="393"/>
      <c r="CO33" s="393"/>
      <c r="CP33" s="393"/>
      <c r="CQ33" s="393"/>
      <c r="CR33" s="393"/>
      <c r="CS33" s="393"/>
      <c r="CT33" s="393"/>
      <c r="CU33" s="393"/>
      <c r="CV33" s="393"/>
      <c r="CW33" s="393"/>
      <c r="CX33" s="393"/>
      <c r="CY33" s="393"/>
      <c r="CZ33" s="393"/>
      <c r="DA33" s="393"/>
      <c r="DB33" s="393"/>
      <c r="DC33" s="393"/>
      <c r="DD33" s="393"/>
      <c r="DE33" s="393"/>
      <c r="DF33" s="393"/>
      <c r="DG33" s="393">
        <f>+DG23-DG7</f>
        <v>0</v>
      </c>
      <c r="DH33" s="393"/>
      <c r="DI33" s="393"/>
      <c r="DJ33" s="393"/>
      <c r="DK33" s="393"/>
      <c r="DL33" s="393"/>
      <c r="DM33" s="393"/>
      <c r="DN33" s="393"/>
      <c r="DO33" s="393"/>
      <c r="DP33" s="393"/>
      <c r="DQ33" s="393"/>
      <c r="DR33" s="393"/>
      <c r="DS33" s="393"/>
      <c r="DT33" s="393"/>
      <c r="DU33" s="393"/>
      <c r="DV33" s="393"/>
      <c r="DW33" s="393"/>
      <c r="DX33" s="393"/>
      <c r="DY33" s="393"/>
      <c r="DZ33" s="393"/>
      <c r="EA33" s="393"/>
      <c r="EB33" s="393"/>
      <c r="EC33" s="393"/>
      <c r="ED33" s="393"/>
      <c r="EE33" s="393"/>
      <c r="EF33" s="393"/>
      <c r="EG33" s="393"/>
      <c r="EH33" s="393"/>
      <c r="EI33" s="393"/>
      <c r="EJ33" s="393"/>
      <c r="EK33" s="393"/>
      <c r="EL33" s="393"/>
      <c r="EM33" s="393"/>
      <c r="EN33" s="393"/>
      <c r="EO33" s="393"/>
      <c r="EP33" s="393"/>
      <c r="EQ33" s="393"/>
      <c r="ER33" s="393"/>
      <c r="ES33" s="393"/>
      <c r="ET33" s="393"/>
      <c r="EU33" s="393"/>
      <c r="EV33" s="393"/>
      <c r="EW33" s="393"/>
      <c r="EX33" s="393"/>
      <c r="EY33" s="393"/>
      <c r="EZ33" s="393"/>
      <c r="FA33" s="393"/>
      <c r="FB33" s="393"/>
      <c r="FC33" s="393"/>
      <c r="FD33" s="393"/>
      <c r="FE33" s="393"/>
      <c r="FF33" s="393"/>
      <c r="FG33" s="393"/>
      <c r="FH33" s="393"/>
      <c r="FI33" s="393"/>
      <c r="FJ33" s="393"/>
      <c r="FK33" s="393"/>
      <c r="FL33" s="393"/>
      <c r="FM33" s="393"/>
      <c r="FN33" s="393"/>
      <c r="FO33" s="393"/>
      <c r="FP33" s="393"/>
      <c r="FQ33" s="393"/>
      <c r="FR33" s="393"/>
      <c r="FS33" s="393"/>
      <c r="FT33" s="393"/>
      <c r="FU33" s="393"/>
      <c r="FV33" s="393"/>
      <c r="FW33" s="393"/>
      <c r="FX33" s="393"/>
      <c r="FY33" s="393"/>
      <c r="FZ33" s="393"/>
      <c r="GA33" s="393"/>
      <c r="GB33" s="393"/>
      <c r="GC33" s="393"/>
      <c r="GD33" s="393"/>
      <c r="GE33" s="393"/>
      <c r="GF33" s="393"/>
      <c r="GG33" s="393"/>
      <c r="GH33" s="393"/>
      <c r="GI33" s="393"/>
      <c r="GJ33" s="393"/>
      <c r="GK33" s="393"/>
      <c r="GL33" s="393"/>
      <c r="GM33" s="394"/>
      <c r="GN33" s="394"/>
      <c r="GO33" s="394"/>
      <c r="GP33" s="394"/>
      <c r="GQ33" s="394"/>
      <c r="GR33" s="394"/>
      <c r="GS33" s="394"/>
      <c r="GT33" s="394"/>
      <c r="GU33" s="394"/>
      <c r="GV33" s="394"/>
      <c r="GW33" s="394"/>
      <c r="GX33" s="394"/>
      <c r="GY33" s="394"/>
      <c r="GZ33" s="394"/>
      <c r="HA33" s="394"/>
      <c r="HB33" s="394"/>
      <c r="HC33" s="394"/>
      <c r="HD33" s="394"/>
      <c r="HE33" s="394"/>
      <c r="HF33" s="394"/>
      <c r="HG33" s="394"/>
      <c r="HH33" s="394"/>
      <c r="HI33" s="394"/>
      <c r="HJ33" s="394"/>
      <c r="HK33" s="394"/>
      <c r="HL33" s="394"/>
      <c r="HM33" s="394"/>
      <c r="HN33" s="394"/>
      <c r="HO33" s="394"/>
      <c r="HP33" s="394"/>
      <c r="HQ33" s="394"/>
      <c r="HR33" s="394"/>
      <c r="HS33" s="394"/>
      <c r="HT33" s="394"/>
      <c r="HU33" s="394"/>
      <c r="HV33" s="394"/>
      <c r="HW33" s="394"/>
      <c r="HX33" s="394"/>
      <c r="HY33" s="394"/>
      <c r="HZ33" s="394"/>
      <c r="IA33" s="394"/>
      <c r="IB33" s="120"/>
      <c r="IC33" s="120"/>
      <c r="ID33" s="120"/>
      <c r="IE33" s="120"/>
      <c r="IF33" s="120"/>
      <c r="IG33" s="120"/>
      <c r="IH33" s="120"/>
      <c r="II33" s="120"/>
      <c r="IJ33" s="120"/>
      <c r="IK33" s="120"/>
      <c r="IL33" s="120"/>
      <c r="IM33" s="120"/>
      <c r="IN33" s="120"/>
      <c r="IO33" s="120"/>
      <c r="IP33" s="393"/>
      <c r="IQ33" s="393"/>
    </row>
    <row r="34" spans="1:255" ht="15" customHeight="1" x14ac:dyDescent="0.2">
      <c r="A34" s="317" t="s">
        <v>352</v>
      </c>
      <c r="GM34" s="316"/>
      <c r="GN34" s="316"/>
      <c r="GO34" s="316"/>
      <c r="GP34" s="316"/>
      <c r="GQ34" s="316"/>
      <c r="GR34" s="316"/>
      <c r="GS34" s="316"/>
      <c r="GT34" s="316"/>
      <c r="GU34" s="316"/>
      <c r="GV34" s="316"/>
      <c r="GW34" s="316"/>
      <c r="GX34" s="316"/>
      <c r="GY34" s="316"/>
      <c r="GZ34" s="316"/>
      <c r="HA34" s="316"/>
      <c r="HB34" s="316"/>
      <c r="HC34" s="316"/>
      <c r="HD34" s="316"/>
      <c r="HE34" s="316"/>
      <c r="HF34" s="316"/>
      <c r="HG34" s="316"/>
      <c r="HH34" s="316"/>
      <c r="HI34" s="316"/>
      <c r="HJ34" s="316"/>
      <c r="HK34" s="316"/>
      <c r="HL34" s="316"/>
      <c r="HM34" s="316"/>
      <c r="HN34" s="316"/>
      <c r="HO34" s="316"/>
      <c r="HP34" s="316"/>
      <c r="HQ34" s="316"/>
      <c r="HR34" s="316"/>
      <c r="HS34" s="316"/>
      <c r="HT34" s="316"/>
      <c r="HU34" s="316"/>
      <c r="HV34" s="316"/>
      <c r="HW34" s="316"/>
      <c r="HX34" s="316"/>
      <c r="HY34" s="316"/>
      <c r="HZ34" s="316"/>
      <c r="IA34" s="316"/>
    </row>
    <row r="35" spans="1:255" ht="15" customHeight="1" x14ac:dyDescent="0.2">
      <c r="A35" s="1524" t="s">
        <v>340</v>
      </c>
      <c r="B35" s="315"/>
      <c r="C35" s="315"/>
      <c r="D35" s="315"/>
      <c r="E35" s="315"/>
      <c r="F35" s="315"/>
      <c r="G35" s="315"/>
      <c r="H35" s="3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Y35" s="315"/>
      <c r="Z35" s="315"/>
      <c r="AA35" s="315"/>
      <c r="AB35" s="316"/>
      <c r="AC35" s="316"/>
      <c r="AD35" s="316"/>
      <c r="AE35" s="316"/>
      <c r="AF35" s="316"/>
      <c r="AG35" s="316"/>
      <c r="AH35" s="316"/>
      <c r="AI35" s="316"/>
      <c r="AJ35" s="316"/>
      <c r="AK35" s="316"/>
      <c r="AL35" s="316"/>
      <c r="AM35" s="316"/>
      <c r="AN35" s="316"/>
      <c r="AO35" s="316"/>
      <c r="AP35" s="316"/>
      <c r="AQ35" s="316"/>
      <c r="AR35" s="316"/>
      <c r="AS35" s="316"/>
      <c r="AT35" s="316"/>
      <c r="AU35" s="316"/>
      <c r="AV35" s="316"/>
      <c r="AW35" s="316"/>
      <c r="AX35" s="316"/>
      <c r="AY35" s="316"/>
      <c r="AZ35" s="316"/>
      <c r="BA35" s="316"/>
      <c r="BB35" s="316"/>
      <c r="BC35" s="316"/>
      <c r="BD35" s="316"/>
      <c r="BE35" s="316"/>
      <c r="BF35" s="316"/>
      <c r="BG35" s="316"/>
      <c r="BH35" s="316"/>
      <c r="BI35" s="316"/>
      <c r="BJ35" s="316"/>
      <c r="BK35" s="316"/>
      <c r="BL35" s="316"/>
      <c r="BM35" s="316"/>
      <c r="BN35" s="316"/>
      <c r="BO35" s="316"/>
      <c r="BP35" s="316"/>
      <c r="BQ35" s="316"/>
      <c r="BR35" s="316"/>
      <c r="BS35" s="316"/>
      <c r="BT35" s="316"/>
      <c r="BU35" s="316"/>
      <c r="BV35" s="316"/>
      <c r="BW35" s="316"/>
      <c r="BX35" s="316"/>
      <c r="BY35" s="316"/>
      <c r="BZ35" s="316"/>
      <c r="CA35" s="316"/>
      <c r="CB35" s="316"/>
      <c r="CC35" s="316"/>
      <c r="CD35" s="316"/>
      <c r="CE35" s="316"/>
      <c r="CF35" s="316"/>
      <c r="CG35" s="316"/>
      <c r="CH35" s="316"/>
      <c r="CI35" s="316"/>
      <c r="CJ35" s="316"/>
      <c r="CK35" s="316"/>
      <c r="CL35" s="316"/>
      <c r="CM35" s="316"/>
      <c r="CN35" s="316"/>
      <c r="CO35" s="316"/>
      <c r="CP35" s="316"/>
      <c r="CQ35" s="316"/>
      <c r="CR35" s="316"/>
      <c r="CS35" s="316"/>
      <c r="CT35" s="316"/>
      <c r="CU35" s="316"/>
      <c r="CV35" s="316"/>
      <c r="CW35" s="316"/>
      <c r="CX35" s="316"/>
      <c r="CY35" s="316"/>
      <c r="CZ35" s="316"/>
      <c r="DA35" s="316"/>
      <c r="DB35" s="316"/>
      <c r="DC35" s="316"/>
      <c r="DD35" s="316"/>
      <c r="DE35" s="316"/>
      <c r="DF35" s="316"/>
      <c r="DG35" s="316"/>
      <c r="DH35" s="316"/>
      <c r="DI35" s="316"/>
      <c r="DJ35" s="316"/>
      <c r="DK35" s="316"/>
      <c r="DL35" s="316"/>
      <c r="DM35" s="316"/>
      <c r="DN35" s="316"/>
      <c r="DO35" s="316"/>
      <c r="DP35" s="316"/>
      <c r="DQ35" s="316"/>
      <c r="DR35" s="316"/>
      <c r="DS35" s="316"/>
      <c r="DT35" s="316"/>
      <c r="DU35" s="316"/>
      <c r="DV35" s="316"/>
      <c r="DW35" s="316"/>
      <c r="DX35" s="316"/>
      <c r="DY35" s="316"/>
      <c r="DZ35" s="316"/>
      <c r="EA35" s="316"/>
      <c r="EB35" s="316"/>
      <c r="EC35" s="316"/>
      <c r="ED35" s="316"/>
      <c r="EE35" s="316"/>
      <c r="EF35" s="316"/>
      <c r="EG35" s="316"/>
      <c r="EH35" s="316"/>
      <c r="EI35" s="316"/>
      <c r="EJ35" s="316"/>
      <c r="IB35" s="120"/>
      <c r="IC35" s="120"/>
      <c r="ID35" s="120"/>
      <c r="IE35" s="120"/>
      <c r="IF35" s="120"/>
      <c r="IG35" s="120"/>
      <c r="IH35" s="120"/>
      <c r="II35" s="120"/>
      <c r="IJ35" s="120"/>
      <c r="IK35" s="120"/>
      <c r="IL35" s="120"/>
      <c r="IM35" s="120"/>
      <c r="IN35" s="120"/>
      <c r="IO35" s="120"/>
    </row>
    <row r="36" spans="1:255" ht="15" customHeight="1" x14ac:dyDescent="0.2">
      <c r="A36" s="1524" t="s">
        <v>481</v>
      </c>
      <c r="B36" s="318"/>
      <c r="C36" s="318"/>
      <c r="D36" s="318"/>
      <c r="E36" s="318"/>
      <c r="F36" s="318"/>
      <c r="G36" s="318"/>
      <c r="H36" s="318"/>
      <c r="I36" s="318"/>
      <c r="J36" s="318"/>
      <c r="K36" s="318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6"/>
      <c r="AC36" s="316"/>
      <c r="AD36" s="316"/>
      <c r="AE36" s="316"/>
      <c r="AF36" s="316"/>
      <c r="AG36" s="316"/>
      <c r="AH36" s="316"/>
      <c r="AI36" s="316"/>
      <c r="AJ36" s="316"/>
      <c r="AK36" s="316"/>
      <c r="AL36" s="316"/>
      <c r="AM36" s="316"/>
      <c r="AN36" s="316"/>
      <c r="AO36" s="316"/>
      <c r="AP36" s="316"/>
      <c r="AQ36" s="316"/>
      <c r="AR36" s="316"/>
      <c r="AS36" s="316"/>
      <c r="AT36" s="316"/>
      <c r="AU36" s="316"/>
      <c r="AV36" s="316"/>
      <c r="AW36" s="316"/>
      <c r="AX36" s="316"/>
      <c r="AY36" s="316"/>
      <c r="AZ36" s="316"/>
      <c r="BA36" s="316"/>
      <c r="BB36" s="316"/>
      <c r="BC36" s="316"/>
      <c r="BD36" s="316"/>
      <c r="BE36" s="316"/>
      <c r="BF36" s="316"/>
      <c r="BG36" s="316"/>
      <c r="BH36" s="316"/>
      <c r="BI36" s="316"/>
      <c r="BJ36" s="316"/>
      <c r="BK36" s="316"/>
      <c r="BL36" s="316"/>
      <c r="BM36" s="319"/>
      <c r="BN36" s="319"/>
      <c r="BO36" s="319"/>
      <c r="BP36" s="319"/>
      <c r="BQ36" s="319"/>
      <c r="BR36" s="319"/>
      <c r="BS36" s="319"/>
      <c r="BT36" s="319"/>
      <c r="BU36" s="319"/>
      <c r="BV36" s="319"/>
      <c r="BW36" s="319"/>
      <c r="BX36" s="319"/>
      <c r="BY36" s="319"/>
      <c r="BZ36" s="319"/>
      <c r="CA36" s="319"/>
      <c r="CB36" s="319"/>
      <c r="CC36" s="319"/>
      <c r="CD36" s="319"/>
      <c r="CE36" s="319"/>
      <c r="CF36" s="319"/>
      <c r="CG36" s="319"/>
      <c r="CH36" s="319"/>
      <c r="CI36" s="319"/>
      <c r="CJ36" s="319"/>
      <c r="CK36" s="319"/>
      <c r="CL36" s="319"/>
      <c r="CM36" s="319"/>
      <c r="CN36" s="319"/>
      <c r="CO36" s="319"/>
      <c r="CP36" s="319"/>
      <c r="CQ36" s="319"/>
      <c r="CR36" s="319"/>
      <c r="CS36" s="319"/>
      <c r="CT36" s="319"/>
      <c r="CU36" s="319"/>
      <c r="CV36" s="319"/>
      <c r="CW36" s="319"/>
      <c r="CX36" s="319"/>
      <c r="CY36" s="319"/>
      <c r="CZ36" s="319"/>
      <c r="DA36" s="319"/>
      <c r="DB36" s="319"/>
      <c r="DC36" s="319"/>
      <c r="DD36" s="319"/>
      <c r="DE36" s="319"/>
      <c r="DF36" s="319"/>
      <c r="DG36" s="319"/>
      <c r="DH36" s="319"/>
      <c r="DI36" s="319"/>
      <c r="DJ36" s="319"/>
      <c r="DK36" s="319"/>
      <c r="DL36" s="319"/>
      <c r="DM36" s="319"/>
      <c r="DN36" s="319"/>
      <c r="DO36" s="319"/>
      <c r="DP36" s="319"/>
      <c r="DQ36" s="319"/>
      <c r="DR36" s="319"/>
      <c r="DS36" s="319"/>
      <c r="DT36" s="319"/>
      <c r="DU36" s="319"/>
      <c r="DV36" s="319"/>
      <c r="DW36" s="319"/>
      <c r="DX36" s="319"/>
      <c r="DY36" s="319"/>
      <c r="DZ36" s="319"/>
      <c r="EA36" s="319"/>
      <c r="EB36" s="319"/>
      <c r="EC36" s="319"/>
      <c r="ED36" s="319"/>
      <c r="EE36" s="319"/>
      <c r="EF36" s="319"/>
      <c r="EG36" s="319"/>
      <c r="EH36" s="319"/>
      <c r="EI36" s="319"/>
      <c r="EJ36" s="319"/>
      <c r="EK36" s="320"/>
      <c r="EL36" s="320"/>
      <c r="EM36" s="320"/>
      <c r="EN36" s="320"/>
      <c r="EO36" s="320"/>
      <c r="EP36" s="320"/>
      <c r="EQ36" s="320"/>
      <c r="ER36" s="320"/>
      <c r="ES36" s="320"/>
      <c r="ET36" s="320"/>
      <c r="EU36" s="320"/>
      <c r="EV36" s="320"/>
      <c r="EW36" s="320"/>
      <c r="EX36" s="320"/>
      <c r="EY36" s="320"/>
      <c r="EZ36" s="320"/>
      <c r="FA36" s="320"/>
      <c r="FB36" s="320">
        <f>((FB37/EZ37)-1)*100</f>
        <v>4.9999999999994493E-2</v>
      </c>
      <c r="FC36" s="320">
        <f>((FC37/FB37)-1)*100</f>
        <v>0.14000000000000679</v>
      </c>
      <c r="FD36" s="320">
        <f t="shared" ref="FD36:FM36" si="123">((FD37/FC37)-1)*100</f>
        <v>0.64999999999999503</v>
      </c>
      <c r="FE36" s="320">
        <f t="shared" si="123"/>
        <v>9.9999999999988987E-2</v>
      </c>
      <c r="FF36" s="320">
        <f t="shared" si="123"/>
        <v>0.20000000000000018</v>
      </c>
      <c r="FG36" s="320">
        <f t="shared" si="123"/>
        <v>-0.27000000000000357</v>
      </c>
      <c r="FH36" s="320">
        <f t="shared" si="123"/>
        <v>0.45999999999999375</v>
      </c>
      <c r="FI36" s="320">
        <f t="shared" si="123"/>
        <v>-0.10999999999971033</v>
      </c>
      <c r="FJ36" s="317">
        <f t="shared" si="123"/>
        <v>0.13999999999962931</v>
      </c>
      <c r="FK36" s="317">
        <f t="shared" si="123"/>
        <v>2.0000000000131024E-2</v>
      </c>
      <c r="FL36" s="317">
        <f t="shared" si="123"/>
        <v>0.52000000000000934</v>
      </c>
      <c r="FM36" s="317">
        <f t="shared" si="123"/>
        <v>4.9999999999994493E-2</v>
      </c>
      <c r="FO36" s="317">
        <f>((FO37/FM37)-1)*100</f>
        <v>0.74000000000000732</v>
      </c>
      <c r="FP36" s="317">
        <f>((FP37/FO37)-1)*100</f>
        <v>-0.12999999999998568</v>
      </c>
      <c r="FQ36" s="317">
        <f t="shared" ref="FQ36:FZ36" si="124">((FQ37/FP37)-1)*100</f>
        <v>0.83999999999999631</v>
      </c>
      <c r="FR36" s="317">
        <f t="shared" si="124"/>
        <v>-0.10000000000000009</v>
      </c>
      <c r="FS36" s="317">
        <f t="shared" si="124"/>
        <v>0.26999999999999247</v>
      </c>
      <c r="FT36" s="317">
        <f t="shared" si="124"/>
        <v>0.52000000000009816</v>
      </c>
      <c r="FU36" s="317">
        <f t="shared" si="124"/>
        <v>1.009999999999911</v>
      </c>
      <c r="FV36" s="317">
        <f t="shared" si="124"/>
        <v>0.98000000000000309</v>
      </c>
      <c r="FW36" s="317">
        <f t="shared" si="124"/>
        <v>0.40000000000000036</v>
      </c>
      <c r="FX36" s="317">
        <f t="shared" si="124"/>
        <v>0.58000000000000274</v>
      </c>
      <c r="FY36" s="317">
        <f t="shared" si="124"/>
        <v>0.36000000000000476</v>
      </c>
      <c r="FZ36" s="317">
        <f t="shared" si="124"/>
        <v>0.78000000000000291</v>
      </c>
      <c r="GB36" s="321">
        <f>((GB37/FZ37)-1)*100</f>
        <v>3.9999999999995595E-2</v>
      </c>
      <c r="GC36" s="321">
        <f t="shared" ref="GC36:GM36" si="125">((GC37/GB37)-1)*100</f>
        <v>0.31145630976847638</v>
      </c>
      <c r="GD36" s="321">
        <f t="shared" si="125"/>
        <v>1.4799999999999924</v>
      </c>
      <c r="GE36" s="321">
        <f t="shared" si="125"/>
        <v>0.96000000000000529</v>
      </c>
      <c r="GF36" s="321">
        <f t="shared" si="125"/>
        <v>0.38000000000000256</v>
      </c>
      <c r="GG36" s="321">
        <f t="shared" si="125"/>
        <v>1.1900000000000022</v>
      </c>
      <c r="GH36" s="321">
        <f t="shared" si="125"/>
        <v>0.9400000000000075</v>
      </c>
      <c r="GI36" s="321">
        <f t="shared" si="125"/>
        <v>0.66999999999999282</v>
      </c>
      <c r="GJ36" s="321">
        <f t="shared" si="125"/>
        <v>0.52000000000000934</v>
      </c>
      <c r="GK36" s="321">
        <f t="shared" si="125"/>
        <v>0.35000000000000586</v>
      </c>
      <c r="GL36" s="321">
        <f t="shared" si="125"/>
        <v>0.52000000000000934</v>
      </c>
      <c r="GM36" s="321">
        <f t="shared" si="125"/>
        <v>0.79000000000000181</v>
      </c>
      <c r="GN36" s="321"/>
      <c r="GO36" s="321">
        <f>((GO37/GM37)-1)*100</f>
        <v>0.22999999999999687</v>
      </c>
      <c r="GP36" s="321">
        <f t="shared" ref="GP36:GZ36" si="126">((GP37/GO37)-1)*100</f>
        <v>0.28999999999999027</v>
      </c>
      <c r="GQ36" s="321">
        <f t="shared" si="126"/>
        <v>1.2499999999999956</v>
      </c>
      <c r="GR36" s="321">
        <f t="shared" si="126"/>
        <v>0.56000000000000494</v>
      </c>
      <c r="GS36" s="321">
        <f t="shared" si="126"/>
        <v>0.32000000000000917</v>
      </c>
      <c r="GT36" s="321">
        <f t="shared" si="126"/>
        <v>-0.14999999999999458</v>
      </c>
      <c r="GU36" s="321">
        <f t="shared" si="126"/>
        <v>0.39000000000000146</v>
      </c>
      <c r="GV36" s="321">
        <f t="shared" si="126"/>
        <v>0.38000000000000256</v>
      </c>
      <c r="GW36" s="321">
        <f t="shared" si="126"/>
        <v>1.9999999999997797E-2</v>
      </c>
      <c r="GX36" s="321">
        <f t="shared" si="126"/>
        <v>-0.31999999999999806</v>
      </c>
      <c r="GY36" s="321">
        <f t="shared" si="126"/>
        <v>-0.16000000000000458</v>
      </c>
      <c r="GZ36" s="321">
        <f t="shared" si="126"/>
        <v>0.40999999999999925</v>
      </c>
      <c r="HA36" s="321"/>
      <c r="HB36" s="321">
        <f>((HB37/GZ37)-1)*100</f>
        <v>1.9999999999864571E-2</v>
      </c>
      <c r="HC36" s="321">
        <f t="shared" ref="HC36:HM36" si="127">((HC37/HB37)-1)*100</f>
        <v>0.56000000000013817</v>
      </c>
      <c r="HD36" s="321">
        <f t="shared" si="127"/>
        <v>1.0099999999999998</v>
      </c>
      <c r="HE36" s="321">
        <f t="shared" si="127"/>
        <v>-4.9999999999994493E-2</v>
      </c>
      <c r="HF36" s="321">
        <f t="shared" si="127"/>
        <v>-9.000000000000119E-2</v>
      </c>
      <c r="HG36" s="321">
        <f t="shared" si="127"/>
        <v>0.12000000000000899</v>
      </c>
      <c r="HH36" s="321">
        <f t="shared" si="127"/>
        <v>0.23999999999999577</v>
      </c>
      <c r="HI36" s="321">
        <f t="shared" si="127"/>
        <v>0.27999999999999137</v>
      </c>
      <c r="HJ36" s="321">
        <f t="shared" si="127"/>
        <v>-0.23999999999999577</v>
      </c>
      <c r="HK36" s="321">
        <f t="shared" si="127"/>
        <v>-8.9999999999990088E-2</v>
      </c>
      <c r="HL36" s="321">
        <f t="shared" si="127"/>
        <v>8.9999999999990088E-2</v>
      </c>
      <c r="HM36" s="321">
        <f t="shared" si="127"/>
        <v>0.11000000000001009</v>
      </c>
      <c r="HN36" s="321"/>
      <c r="HO36" s="1667">
        <f>((HO37/HM37)-1)*100</f>
        <v>-9.000000000000119E-2</v>
      </c>
      <c r="HP36" s="1667">
        <f t="shared" ref="HP36:HZ36" si="128">((HP37/HO37)-1)*100</f>
        <v>0.19000000000000128</v>
      </c>
      <c r="HQ36" s="1667">
        <f t="shared" si="128"/>
        <v>0.80999999999999961</v>
      </c>
      <c r="HR36" s="1667">
        <f t="shared" si="128"/>
        <v>0.32000000000000917</v>
      </c>
      <c r="HS36" s="1667">
        <f t="shared" si="128"/>
        <v>-6.0000000000004494E-2</v>
      </c>
      <c r="HT36" s="1667">
        <f t="shared" si="128"/>
        <v>0.13000000000000789</v>
      </c>
      <c r="HU36" s="1667">
        <f t="shared" si="128"/>
        <v>0.22999999999999687</v>
      </c>
      <c r="HV36" s="1667">
        <f t="shared" si="128"/>
        <v>-0.29000000000000137</v>
      </c>
      <c r="HW36" s="1667">
        <f t="shared" si="128"/>
        <v>9.9999999999988987E-3</v>
      </c>
      <c r="HX36" s="1667">
        <f t="shared" si="128"/>
        <v>-0.10000000000000009</v>
      </c>
      <c r="HY36" s="1667">
        <f t="shared" si="128"/>
        <v>0.11000000000001009</v>
      </c>
      <c r="HZ36" s="1667">
        <f t="shared" si="128"/>
        <v>0.23999999999999577</v>
      </c>
      <c r="IA36" s="321"/>
      <c r="IB36" s="1352">
        <f>((IB37/HZ37)-1)*100</f>
        <v>9.9999999999988987E-2</v>
      </c>
      <c r="IC36" s="1352">
        <f>((IC37/IB37)-1)*100</f>
        <v>0.68999999999999062</v>
      </c>
      <c r="ID36" s="1352">
        <f>((ID37/IC37)-1)*100</f>
        <v>2.3800000000000043</v>
      </c>
      <c r="IE36" s="1352">
        <f>((IE37/ID37)-1)*100</f>
        <v>0.52000000000000934</v>
      </c>
      <c r="IF36" s="1352">
        <f>((IF37/IE37)-1)*100</f>
        <v>-0.16000000000000458</v>
      </c>
      <c r="IG36" s="1352">
        <f>((IG37/IF37)-1)*100</f>
        <v>0.22999999999999687</v>
      </c>
      <c r="IH36" s="1352">
        <v>0.28999999999999998</v>
      </c>
      <c r="II36" s="1352">
        <f>((II37/IH37)-1)*100</f>
        <v>6.9999999999992291E-2</v>
      </c>
      <c r="IJ36" s="120"/>
      <c r="IK36" s="120"/>
      <c r="IL36" s="120"/>
      <c r="IM36" s="120"/>
      <c r="IN36" s="120"/>
      <c r="IO36" s="120"/>
    </row>
    <row r="37" spans="1:255" ht="15" customHeight="1" x14ac:dyDescent="0.2">
      <c r="A37" s="1550" t="s">
        <v>383</v>
      </c>
      <c r="B37" s="318">
        <v>1.0218020530659553</v>
      </c>
      <c r="C37" s="318">
        <v>1.0311004517488556</v>
      </c>
      <c r="D37" s="318">
        <v>1.0418238964470437</v>
      </c>
      <c r="E37" s="318">
        <v>1.0433866322917142</v>
      </c>
      <c r="F37" s="318">
        <v>1.0472471628311937</v>
      </c>
      <c r="G37" s="318">
        <v>1.055310965984994</v>
      </c>
      <c r="H37" s="318">
        <v>1.0612207073945099</v>
      </c>
      <c r="I37" s="318">
        <v>1.0674819095681378</v>
      </c>
      <c r="J37" s="318">
        <v>1.0735665564526762</v>
      </c>
      <c r="K37" s="318">
        <v>1.0801153124470375</v>
      </c>
      <c r="L37" s="318">
        <v>1.0834636699156235</v>
      </c>
      <c r="M37" s="318">
        <v>1.0873641391273197</v>
      </c>
      <c r="N37" s="318"/>
      <c r="O37" s="318">
        <v>1.0885602396803598</v>
      </c>
      <c r="P37" s="318">
        <v>1.0877982475125836</v>
      </c>
      <c r="Q37" s="318">
        <v>1.0917143212036289</v>
      </c>
      <c r="R37" s="318">
        <v>1.0919326640678697</v>
      </c>
      <c r="S37" s="318">
        <v>1.0914958910022423</v>
      </c>
      <c r="T37" s="318">
        <v>1.0877848049728345</v>
      </c>
      <c r="U37" s="318">
        <v>1.089851596102283</v>
      </c>
      <c r="V37" s="318">
        <v>1.0875629077504683</v>
      </c>
      <c r="W37" s="318">
        <v>1.0865841011334927</v>
      </c>
      <c r="X37" s="318">
        <v>1.0878880020548529</v>
      </c>
      <c r="Y37" s="318">
        <v>1.0866913252525927</v>
      </c>
      <c r="Z37" s="318">
        <v>1.090168737493401</v>
      </c>
      <c r="AA37" s="318"/>
      <c r="AB37" s="316">
        <v>1.0934392437058811</v>
      </c>
      <c r="AC37" s="316">
        <v>1.0969382492857398</v>
      </c>
      <c r="AD37" s="316">
        <v>1.1000096763837399</v>
      </c>
      <c r="AE37" s="316">
        <v>1.1003396792866551</v>
      </c>
      <c r="AF37" s="316">
        <v>1.102980494516943</v>
      </c>
      <c r="AG37" s="316">
        <v>1.1057379457532355</v>
      </c>
      <c r="AH37" s="316">
        <v>1.1097186023579471</v>
      </c>
      <c r="AI37" s="316">
        <v>1.1127148425843136</v>
      </c>
      <c r="AJ37" s="316">
        <v>1.1123810281315385</v>
      </c>
      <c r="AK37" s="316">
        <v>1.1108236946921544</v>
      </c>
      <c r="AL37" s="316">
        <v>1.1109347770616236</v>
      </c>
      <c r="AM37" s="316">
        <v>1.1129344596603348</v>
      </c>
      <c r="AN37" s="316"/>
      <c r="AO37" s="316">
        <v>1.1172749040530099</v>
      </c>
      <c r="AP37" s="316">
        <v>1.1215205486884112</v>
      </c>
      <c r="AQ37" s="316">
        <v>1.1293711925292302</v>
      </c>
      <c r="AR37" s="316">
        <v>1.1370509166384288</v>
      </c>
      <c r="AS37" s="316">
        <v>1.1368235064551013</v>
      </c>
      <c r="AT37" s="316">
        <v>1.1379603299615562</v>
      </c>
      <c r="AU37" s="316">
        <v>1.1469502165682526</v>
      </c>
      <c r="AV37" s="316">
        <v>1.1500469821529868</v>
      </c>
      <c r="AW37" s="316">
        <v>1.1538421371940917</v>
      </c>
      <c r="AX37" s="316">
        <v>1.1574190478193933</v>
      </c>
      <c r="AY37" s="316">
        <v>1.1623959497250169</v>
      </c>
      <c r="AZ37" s="316">
        <v>1.1655344187892744</v>
      </c>
      <c r="BA37" s="316"/>
      <c r="BB37" s="316">
        <v>1.1643688843704854</v>
      </c>
      <c r="BC37" s="316">
        <v>1.1680948648004708</v>
      </c>
      <c r="BD37" s="316">
        <v>1.1770891952594342</v>
      </c>
      <c r="BE37" s="316">
        <v>1.1833277679943091</v>
      </c>
      <c r="BF37" s="316">
        <v>1.1838010991015069</v>
      </c>
      <c r="BG37" s="316">
        <v>1.1833275786618662</v>
      </c>
      <c r="BH37" s="316">
        <v>1.1843925734826619</v>
      </c>
      <c r="BI37" s="316">
        <v>1.1904329756074237</v>
      </c>
      <c r="BJ37" s="316">
        <v>1.196861313675704</v>
      </c>
      <c r="BK37" s="316">
        <v>1.194946335573823</v>
      </c>
      <c r="BL37" s="316">
        <v>1.1932734107040197</v>
      </c>
      <c r="BM37" s="316">
        <v>1.1963759215718501</v>
      </c>
      <c r="BN37" s="316"/>
      <c r="BO37" s="316">
        <v>1.1978115726777365</v>
      </c>
      <c r="BP37" s="316">
        <v>1.1967335422623264</v>
      </c>
      <c r="BQ37" s="316">
        <v>1.2076238174969136</v>
      </c>
      <c r="BR37" s="316">
        <v>1.2106428770406559</v>
      </c>
      <c r="BS37" s="316">
        <v>1.2129430985070333</v>
      </c>
      <c r="BT37" s="316">
        <v>1.2160967505631517</v>
      </c>
      <c r="BU37" s="316">
        <v>1.2227852826912491</v>
      </c>
      <c r="BV37" s="316">
        <v>1.2293883232177818</v>
      </c>
      <c r="BW37" s="316">
        <v>1.2307406503733216</v>
      </c>
      <c r="BX37" s="316">
        <v>1.231232946633471</v>
      </c>
      <c r="BY37" s="316">
        <v>1.2285242341508773</v>
      </c>
      <c r="BZ37" s="316">
        <v>1.2306127253489338</v>
      </c>
      <c r="CA37" s="316"/>
      <c r="CB37" s="316">
        <v>1.2345506860700504</v>
      </c>
      <c r="CC37" s="316">
        <v>1.2419579901864706</v>
      </c>
      <c r="CD37" s="316">
        <v>1.2484161717354403</v>
      </c>
      <c r="CE37" s="316">
        <v>1.2532849948052085</v>
      </c>
      <c r="CF37" s="316">
        <v>1.2561675502932605</v>
      </c>
      <c r="CG37" s="316">
        <v>1.2581774183737298</v>
      </c>
      <c r="CH37" s="316">
        <v>1.2635875812727368</v>
      </c>
      <c r="CI37" s="316">
        <v>1.2624503524495914</v>
      </c>
      <c r="CJ37" s="316">
        <v>1.2644702730135107</v>
      </c>
      <c r="CK37" s="316">
        <v>1.2692752600509618</v>
      </c>
      <c r="CL37" s="316">
        <v>1.2673713471608854</v>
      </c>
      <c r="CM37" s="316">
        <v>1.2702863012593555</v>
      </c>
      <c r="CN37" s="316"/>
      <c r="CO37" s="316">
        <v>1.2724457879714965</v>
      </c>
      <c r="CP37" s="316">
        <v>1.2762631253354111</v>
      </c>
      <c r="CQ37" s="316">
        <v>1.2859627250879599</v>
      </c>
      <c r="CR37" s="316">
        <v>1.290977979715803</v>
      </c>
      <c r="CS37" s="316">
        <v>1.2982074564022117</v>
      </c>
      <c r="CT37" s="316">
        <v>1.3024915410083393</v>
      </c>
      <c r="CU37" s="316">
        <v>1.3083527529428765</v>
      </c>
      <c r="CV37" s="316">
        <v>1.3133244934040593</v>
      </c>
      <c r="CW37" s="316">
        <v>1.3137184907520796</v>
      </c>
      <c r="CX37" s="316">
        <v>1.3155576966391334</v>
      </c>
      <c r="CY37" s="316">
        <v>1.3200305928077065</v>
      </c>
      <c r="CZ37" s="316">
        <v>1.3259707304753401</v>
      </c>
      <c r="DA37" s="316"/>
      <c r="DB37" s="316">
        <v>1.3308768221781</v>
      </c>
      <c r="DC37" s="316">
        <v>1.3331393127758029</v>
      </c>
      <c r="DD37" s="316">
        <v>1.3411381486524576</v>
      </c>
      <c r="DE37" s="316">
        <v>1.3412722624673228</v>
      </c>
      <c r="DF37" s="316">
        <v>1.3440889342185038</v>
      </c>
      <c r="DG37" s="316">
        <v>1.3459706587264098</v>
      </c>
      <c r="DH37" s="316">
        <v>1.3470474352533908</v>
      </c>
      <c r="DI37" s="316">
        <v>1.3518968060203032</v>
      </c>
      <c r="DJ37" s="316">
        <v>1.3547357893129455</v>
      </c>
      <c r="DK37" s="316">
        <v>1.3602902060491286</v>
      </c>
      <c r="DL37" s="316">
        <v>1.3642350476466711</v>
      </c>
      <c r="DM37" s="316">
        <v>1.3687370233039053</v>
      </c>
      <c r="DN37" s="316"/>
      <c r="DO37" s="316">
        <v>1.3720219921598344</v>
      </c>
      <c r="DP37" s="316">
        <v>1.376412462534746</v>
      </c>
      <c r="DQ37" s="316">
        <v>1.3943058245476976</v>
      </c>
      <c r="DR37" s="316">
        <v>1.3906806294038736</v>
      </c>
      <c r="DS37" s="316">
        <v>1.3848397707603775</v>
      </c>
      <c r="DT37" s="316">
        <v>1.382624027127161</v>
      </c>
      <c r="DU37" s="316">
        <v>1.3853892751814154</v>
      </c>
      <c r="DV37" s="316">
        <v>1.394671383325131</v>
      </c>
      <c r="DW37" s="316">
        <v>1.3943924490484658</v>
      </c>
      <c r="DX37" s="316">
        <v>1.3878388045379382</v>
      </c>
      <c r="DY37" s="316">
        <v>1.385063126928862</v>
      </c>
      <c r="DZ37" s="316">
        <v>1.3872792279319484</v>
      </c>
      <c r="EA37" s="316"/>
      <c r="EB37" s="316">
        <v>1.3890826909282596</v>
      </c>
      <c r="EC37" s="316">
        <v>1.3925553976555805</v>
      </c>
      <c r="ED37" s="316">
        <v>1.3993789191040926</v>
      </c>
      <c r="EE37" s="316">
        <v>1.3974197886173472</v>
      </c>
      <c r="EF37" s="316">
        <v>1.3976992725750705</v>
      </c>
      <c r="EG37" s="316">
        <v>1.4023116801745681</v>
      </c>
      <c r="EH37" s="316">
        <v>1.4076404645592313</v>
      </c>
      <c r="EI37" s="316">
        <v>1.4094703971631584</v>
      </c>
      <c r="EJ37" s="316">
        <v>1.4121483909177683</v>
      </c>
      <c r="EK37" s="317">
        <v>1.4132781096305025</v>
      </c>
      <c r="EL37" s="317">
        <v>1.414974043362059</v>
      </c>
      <c r="EM37" s="317">
        <v>1.4175209966401108</v>
      </c>
      <c r="EO37" s="317">
        <v>1.4185132613377587</v>
      </c>
      <c r="EP37" s="317">
        <v>1.4203573285774977</v>
      </c>
      <c r="EQ37" s="317">
        <v>1.4307259370761134</v>
      </c>
      <c r="ER37" s="317">
        <v>1.4335873889502657</v>
      </c>
      <c r="ES37" s="317">
        <v>1.4357377700336911</v>
      </c>
      <c r="ET37" s="317">
        <v>1.4344456060406601</v>
      </c>
      <c r="EU37" s="317">
        <v>1.4373144972527421</v>
      </c>
      <c r="EV37" s="317">
        <v>1.4381768859510939</v>
      </c>
      <c r="EW37" s="317">
        <v>1.438320703639689</v>
      </c>
      <c r="EX37" s="317">
        <v>1.4399028564136926</v>
      </c>
      <c r="EY37" s="317">
        <v>1.4414867495557475</v>
      </c>
      <c r="EZ37" s="317">
        <v>1.4445138717298147</v>
      </c>
      <c r="FB37" s="317">
        <v>1.4452361286656796</v>
      </c>
      <c r="FC37" s="317">
        <v>1.4472594592458117</v>
      </c>
      <c r="FD37" s="317">
        <v>1.4566666457309094</v>
      </c>
      <c r="FE37" s="317">
        <v>1.4581233123766402</v>
      </c>
      <c r="FF37" s="317">
        <v>1.4610395590013934</v>
      </c>
      <c r="FG37" s="317">
        <v>1.4570947521920896</v>
      </c>
      <c r="FH37" s="317">
        <v>1.4637973880521731</v>
      </c>
      <c r="FI37" s="317">
        <v>1.46218721092532</v>
      </c>
      <c r="FJ37" s="317">
        <v>1.4642342730206099</v>
      </c>
      <c r="FK37" s="317">
        <v>1.4645271198752159</v>
      </c>
      <c r="FL37" s="317">
        <v>1.472142660898567</v>
      </c>
      <c r="FM37" s="317">
        <v>1.4728787322290162</v>
      </c>
      <c r="FO37" s="317">
        <v>1.4837780348475111</v>
      </c>
      <c r="FP37" s="317">
        <v>1.4818491234022095</v>
      </c>
      <c r="FQ37" s="317">
        <v>1.494296656038788</v>
      </c>
      <c r="FR37" s="317">
        <v>1.4928023593827493</v>
      </c>
      <c r="FS37" s="317">
        <v>1.4968329257530826</v>
      </c>
      <c r="FT37" s="317">
        <v>1.504616456967</v>
      </c>
      <c r="FU37" s="317">
        <v>1.5198130831823653</v>
      </c>
      <c r="FV37" s="317">
        <v>1.5347072513975526</v>
      </c>
      <c r="FW37" s="317">
        <v>1.5408460804031427</v>
      </c>
      <c r="FX37" s="317">
        <v>1.5497829876694811</v>
      </c>
      <c r="FY37" s="317">
        <v>1.5553622064250914</v>
      </c>
      <c r="FZ37" s="317">
        <v>1.5674940316352071</v>
      </c>
      <c r="GB37" s="317">
        <v>1.5681210292478611</v>
      </c>
      <c r="GC37" s="317">
        <v>1.5730050411382599</v>
      </c>
      <c r="GD37" s="317">
        <v>1.5962855157471061</v>
      </c>
      <c r="GE37" s="317">
        <v>1.6116098566982784</v>
      </c>
      <c r="GF37" s="317">
        <v>1.617733974153732</v>
      </c>
      <c r="GG37" s="317">
        <v>1.6369850084461615</v>
      </c>
      <c r="GH37" s="317">
        <v>1.6523726675255554</v>
      </c>
      <c r="GI37" s="317">
        <v>1.6634435643979766</v>
      </c>
      <c r="GJ37" s="317">
        <v>1.6720934709328463</v>
      </c>
      <c r="GK37" s="317">
        <v>1.6779457980811114</v>
      </c>
      <c r="GL37" s="317">
        <v>1.6866711162311334</v>
      </c>
      <c r="GM37" s="317">
        <v>1.6999958180493595</v>
      </c>
      <c r="GO37" s="317">
        <v>1.7039058084308729</v>
      </c>
      <c r="GP37" s="317">
        <v>1.7088471352753223</v>
      </c>
      <c r="GQ37" s="317">
        <v>1.7302077244662637</v>
      </c>
      <c r="GR37" s="317">
        <v>1.7398968877232748</v>
      </c>
      <c r="GS37" s="317">
        <v>1.7454645577639893</v>
      </c>
      <c r="GT37" s="317">
        <v>1.7428463609273435</v>
      </c>
      <c r="GU37" s="317">
        <v>1.7496434617349601</v>
      </c>
      <c r="GV37" s="317">
        <v>1.756292106889553</v>
      </c>
      <c r="GW37" s="317">
        <v>1.7566433653109308</v>
      </c>
      <c r="GX37" s="317">
        <v>1.7510221065419358</v>
      </c>
      <c r="GY37" s="317">
        <v>1.7482204711714686</v>
      </c>
      <c r="GZ37" s="317">
        <v>1.7553881751032716</v>
      </c>
      <c r="HB37" s="317">
        <v>1.75573925273829</v>
      </c>
      <c r="HC37" s="317">
        <v>1.7655713925536267</v>
      </c>
      <c r="HD37" s="317">
        <v>1.7834036636184183</v>
      </c>
      <c r="HE37" s="317">
        <v>1.7825119617866092</v>
      </c>
      <c r="HF37" s="317">
        <v>1.7809077010210013</v>
      </c>
      <c r="HG37" s="317">
        <v>1.7830447902622266</v>
      </c>
      <c r="HH37" s="317">
        <v>1.7873240977588558</v>
      </c>
      <c r="HI37" s="317">
        <v>1.7923286052325804</v>
      </c>
      <c r="HJ37" s="317">
        <v>1.7880270165800223</v>
      </c>
      <c r="HK37" s="317">
        <v>1.7864177922651003</v>
      </c>
      <c r="HL37" s="317">
        <v>1.7880255682781387</v>
      </c>
      <c r="HM37" s="317">
        <v>1.7899923964032449</v>
      </c>
      <c r="HO37" s="1667">
        <v>1.788381403246482</v>
      </c>
      <c r="HP37" s="1667">
        <v>1.7917793279126504</v>
      </c>
      <c r="HQ37" s="1667">
        <v>1.8062927404687428</v>
      </c>
      <c r="HR37" s="1667">
        <v>1.8120728772382428</v>
      </c>
      <c r="HS37" s="1667">
        <v>1.8109856335118999</v>
      </c>
      <c r="HT37" s="1667">
        <v>1.8133399148354654</v>
      </c>
      <c r="HU37" s="1667">
        <v>1.817510596639587</v>
      </c>
      <c r="HV37" s="1667">
        <v>1.8122398159093323</v>
      </c>
      <c r="HW37" s="1667">
        <v>1.8124210398909231</v>
      </c>
      <c r="HX37" s="1667">
        <v>1.8106086188510322</v>
      </c>
      <c r="HY37" s="1667">
        <v>1.8126002883317684</v>
      </c>
      <c r="HZ37" s="1667">
        <v>1.8169505290237646</v>
      </c>
      <c r="IB37" s="1352">
        <v>1.8187674795527882</v>
      </c>
      <c r="IC37" s="1352">
        <v>1.8313169751617022</v>
      </c>
      <c r="ID37" s="1352">
        <v>1.8749023191705507</v>
      </c>
      <c r="IE37" s="1352">
        <v>1.8846518112302377</v>
      </c>
      <c r="IF37" s="1352">
        <v>1.8816363683322692</v>
      </c>
      <c r="IG37" s="1352">
        <v>1.8859641319794334</v>
      </c>
      <c r="IH37" s="1352">
        <v>1.8914334279621736</v>
      </c>
      <c r="II37" s="1352">
        <v>1.892757431361747</v>
      </c>
      <c r="IJ37" s="120"/>
      <c r="IK37" s="120"/>
      <c r="IL37" s="120"/>
      <c r="IM37" s="120"/>
      <c r="IN37" s="120"/>
      <c r="IO37" s="120"/>
    </row>
    <row r="38" spans="1:255" ht="15" customHeight="1" x14ac:dyDescent="0.2">
      <c r="A38" s="1525" t="s">
        <v>352</v>
      </c>
      <c r="B38" s="1526">
        <f>YEAR(B39)</f>
        <v>2008</v>
      </c>
      <c r="C38" s="1527"/>
      <c r="D38" s="1527"/>
      <c r="E38" s="1527"/>
      <c r="F38" s="1527"/>
      <c r="G38" s="1527"/>
      <c r="H38" s="1527"/>
      <c r="I38" s="1527"/>
      <c r="J38" s="1527"/>
      <c r="K38" s="1527"/>
      <c r="L38" s="1527"/>
      <c r="M38" s="1527"/>
      <c r="N38" s="1528" t="s">
        <v>29</v>
      </c>
      <c r="O38" s="1526">
        <f>YEAR(O39)</f>
        <v>2009</v>
      </c>
      <c r="P38" s="1527"/>
      <c r="Q38" s="1527"/>
      <c r="R38" s="1527"/>
      <c r="S38" s="1527"/>
      <c r="T38" s="1527"/>
      <c r="U38" s="1527"/>
      <c r="V38" s="1527"/>
      <c r="W38" s="1527"/>
      <c r="X38" s="1527"/>
      <c r="Y38" s="1527"/>
      <c r="Z38" s="1527"/>
      <c r="AA38" s="1528" t="s">
        <v>29</v>
      </c>
      <c r="AB38" s="1526">
        <f>YEAR(AB39)</f>
        <v>2010</v>
      </c>
      <c r="AC38" s="1527"/>
      <c r="AD38" s="1527"/>
      <c r="AE38" s="1527"/>
      <c r="AF38" s="1527"/>
      <c r="AG38" s="1527"/>
      <c r="AH38" s="1527"/>
      <c r="AI38" s="1527"/>
      <c r="AJ38" s="1527"/>
      <c r="AK38" s="1527"/>
      <c r="AL38" s="1527"/>
      <c r="AM38" s="1527"/>
      <c r="AN38" s="1528" t="s">
        <v>29</v>
      </c>
      <c r="AO38" s="1526">
        <f>YEAR(AO39)</f>
        <v>2011</v>
      </c>
      <c r="AP38" s="1527"/>
      <c r="AQ38" s="1527"/>
      <c r="AR38" s="1527"/>
      <c r="AS38" s="1527"/>
      <c r="AT38" s="1527"/>
      <c r="AU38" s="1527"/>
      <c r="AV38" s="1527"/>
      <c r="AW38" s="1527"/>
      <c r="AX38" s="1527"/>
      <c r="AY38" s="1527"/>
      <c r="AZ38" s="1527"/>
      <c r="BA38" s="1528" t="s">
        <v>29</v>
      </c>
      <c r="BB38" s="1526">
        <f>YEAR(BB39)</f>
        <v>2012</v>
      </c>
      <c r="BC38" s="1527"/>
      <c r="BD38" s="1527"/>
      <c r="BE38" s="1527"/>
      <c r="BF38" s="1527"/>
      <c r="BG38" s="1527"/>
      <c r="BH38" s="1527"/>
      <c r="BI38" s="1527"/>
      <c r="BJ38" s="1527"/>
      <c r="BK38" s="1527"/>
      <c r="BL38" s="1527"/>
      <c r="BM38" s="1527"/>
      <c r="BN38" s="1528" t="s">
        <v>29</v>
      </c>
      <c r="BO38" s="1526">
        <f>YEAR(BO39)</f>
        <v>2013</v>
      </c>
      <c r="BP38" s="1527"/>
      <c r="BQ38" s="1527"/>
      <c r="BR38" s="1527"/>
      <c r="BS38" s="1527"/>
      <c r="BT38" s="1527"/>
      <c r="BU38" s="1527"/>
      <c r="BV38" s="1527"/>
      <c r="BW38" s="1527"/>
      <c r="BX38" s="1527"/>
      <c r="BY38" s="1527"/>
      <c r="BZ38" s="1527"/>
      <c r="CA38" s="1528" t="s">
        <v>29</v>
      </c>
      <c r="CB38" s="1526">
        <f>YEAR(CB39)</f>
        <v>2014</v>
      </c>
      <c r="CC38" s="1527"/>
      <c r="CD38" s="1527"/>
      <c r="CE38" s="1527"/>
      <c r="CF38" s="1527"/>
      <c r="CG38" s="1527"/>
      <c r="CH38" s="1527"/>
      <c r="CI38" s="1527"/>
      <c r="CJ38" s="1527"/>
      <c r="CK38" s="1527"/>
      <c r="CL38" s="1527"/>
      <c r="CM38" s="1527"/>
      <c r="CN38" s="1528" t="s">
        <v>29</v>
      </c>
      <c r="CO38" s="1526">
        <f>YEAR(CO39)</f>
        <v>2015</v>
      </c>
      <c r="CP38" s="1527"/>
      <c r="CQ38" s="1527"/>
      <c r="CR38" s="1527"/>
      <c r="CS38" s="1527"/>
      <c r="CT38" s="1527"/>
      <c r="CU38" s="1527"/>
      <c r="CV38" s="1527"/>
      <c r="CW38" s="1527"/>
      <c r="CX38" s="1527"/>
      <c r="CY38" s="1527"/>
      <c r="CZ38" s="1527"/>
      <c r="DA38" s="1528" t="s">
        <v>29</v>
      </c>
      <c r="DB38" s="1526">
        <f>YEAR(DB39)</f>
        <v>2016</v>
      </c>
      <c r="DC38" s="1527"/>
      <c r="DD38" s="1527"/>
      <c r="DE38" s="1527"/>
      <c r="DF38" s="1527"/>
      <c r="DG38" s="1527"/>
      <c r="DH38" s="1527"/>
      <c r="DI38" s="1527"/>
      <c r="DJ38" s="1527"/>
      <c r="DK38" s="1527"/>
      <c r="DL38" s="1527"/>
      <c r="DM38" s="1527"/>
      <c r="DN38" s="1528" t="s">
        <v>29</v>
      </c>
      <c r="DO38" s="1526">
        <f>YEAR(DO39)</f>
        <v>2017</v>
      </c>
      <c r="DP38" s="1527"/>
      <c r="DQ38" s="1527"/>
      <c r="DR38" s="1527"/>
      <c r="DS38" s="1527"/>
      <c r="DT38" s="1527"/>
      <c r="DU38" s="1527"/>
      <c r="DV38" s="1527"/>
      <c r="DW38" s="1527"/>
      <c r="DX38" s="1527"/>
      <c r="DY38" s="1527"/>
      <c r="DZ38" s="1527"/>
      <c r="EA38" s="1528" t="s">
        <v>29</v>
      </c>
      <c r="EB38" s="1526">
        <f>YEAR(EB39)</f>
        <v>2018</v>
      </c>
      <c r="EC38" s="1527"/>
      <c r="ED38" s="1527"/>
      <c r="EE38" s="1527"/>
      <c r="EF38" s="1527"/>
      <c r="EG38" s="1527"/>
      <c r="EH38" s="1527"/>
      <c r="EI38" s="1527"/>
      <c r="EJ38" s="1527"/>
      <c r="EK38" s="1527"/>
      <c r="EL38" s="1527"/>
      <c r="EM38" s="1527"/>
      <c r="EN38" s="1528" t="s">
        <v>29</v>
      </c>
      <c r="EO38" s="1526">
        <f>YEAR(EO39)</f>
        <v>2019</v>
      </c>
      <c r="EP38" s="1527"/>
      <c r="EQ38" s="1527"/>
      <c r="ER38" s="1527"/>
      <c r="ES38" s="1527"/>
      <c r="ET38" s="1527"/>
      <c r="EU38" s="1527"/>
      <c r="EV38" s="1527"/>
      <c r="EW38" s="1527"/>
      <c r="EX38" s="1527"/>
      <c r="EY38" s="1527"/>
      <c r="EZ38" s="1527"/>
      <c r="FA38" s="1528" t="s">
        <v>29</v>
      </c>
      <c r="FB38" s="1526">
        <f>YEAR(FB39)</f>
        <v>2020</v>
      </c>
      <c r="FC38" s="1527"/>
      <c r="FD38" s="1527"/>
      <c r="FE38" s="1527"/>
      <c r="FF38" s="1527"/>
      <c r="FG38" s="1527"/>
      <c r="FH38" s="1527"/>
      <c r="FI38" s="1527"/>
      <c r="FJ38" s="1527"/>
      <c r="FK38" s="1527"/>
      <c r="FL38" s="1527"/>
      <c r="FM38" s="1527"/>
      <c r="FN38" s="1528" t="s">
        <v>29</v>
      </c>
      <c r="FO38" s="1526">
        <f>YEAR(FO39)</f>
        <v>2021</v>
      </c>
      <c r="FP38" s="1527"/>
      <c r="FQ38" s="1527"/>
      <c r="FR38" s="1527"/>
      <c r="FS38" s="1527"/>
      <c r="FT38" s="1527"/>
      <c r="FU38" s="1527"/>
      <c r="FV38" s="1527"/>
      <c r="FW38" s="1527"/>
      <c r="FX38" s="1527"/>
      <c r="FY38" s="1527"/>
      <c r="FZ38" s="1527"/>
      <c r="GA38" s="1528" t="s">
        <v>29</v>
      </c>
      <c r="GB38" s="1526">
        <f>YEAR(GB39)</f>
        <v>2022</v>
      </c>
      <c r="GC38" s="1527"/>
      <c r="GD38" s="1527"/>
      <c r="GE38" s="1527"/>
      <c r="GF38" s="1527"/>
      <c r="GG38" s="1527"/>
      <c r="GH38" s="1527"/>
      <c r="GI38" s="1527"/>
      <c r="GJ38" s="1527"/>
      <c r="GK38" s="1527"/>
      <c r="GL38" s="1527"/>
      <c r="GM38" s="1527"/>
      <c r="GN38" s="1528" t="s">
        <v>29</v>
      </c>
      <c r="GO38" s="1526">
        <f>YEAR(GO39)</f>
        <v>2023</v>
      </c>
      <c r="GP38" s="1527"/>
      <c r="GQ38" s="1527"/>
      <c r="GR38" s="1527"/>
      <c r="GS38" s="1527"/>
      <c r="GT38" s="1527"/>
      <c r="GU38" s="1527"/>
      <c r="GV38" s="1527"/>
      <c r="GW38" s="1527"/>
      <c r="GX38" s="1527"/>
      <c r="GY38" s="1527"/>
      <c r="GZ38" s="1527"/>
      <c r="HA38" s="1528" t="s">
        <v>29</v>
      </c>
      <c r="HB38" s="1526">
        <f>YEAR(HB39)</f>
        <v>2024</v>
      </c>
      <c r="HC38" s="1527"/>
      <c r="HD38" s="1527"/>
      <c r="HE38" s="1527"/>
      <c r="HF38" s="1527"/>
      <c r="HG38" s="1527"/>
      <c r="HH38" s="1527"/>
      <c r="HI38" s="1527"/>
      <c r="HJ38" s="1527"/>
      <c r="HK38" s="1527"/>
      <c r="HL38" s="1527"/>
      <c r="HM38" s="1527"/>
      <c r="HN38" s="1528" t="s">
        <v>29</v>
      </c>
      <c r="HO38" s="1526">
        <f>YEAR(HO39)</f>
        <v>2025</v>
      </c>
      <c r="HP38" s="1527"/>
      <c r="HQ38" s="1527"/>
      <c r="HR38" s="1527"/>
      <c r="HS38" s="1527"/>
      <c r="HT38" s="1527"/>
      <c r="HU38" s="1527"/>
      <c r="HV38" s="1527"/>
      <c r="HW38" s="1527"/>
      <c r="HX38" s="1527"/>
      <c r="HY38" s="1527"/>
      <c r="HZ38" s="1527"/>
      <c r="IA38" s="1529" t="s">
        <v>29</v>
      </c>
      <c r="IB38" s="1526">
        <v>2026</v>
      </c>
      <c r="IC38" s="1527"/>
      <c r="ID38" s="1527"/>
      <c r="IE38" s="1527"/>
      <c r="IF38" s="1527"/>
      <c r="IG38" s="1420"/>
      <c r="IH38" s="1420"/>
      <c r="II38" s="1420"/>
      <c r="IJ38" s="1527"/>
      <c r="IK38" s="1527"/>
      <c r="IL38" s="1527"/>
      <c r="IM38" s="1527"/>
      <c r="IN38" s="1533" t="s">
        <v>29</v>
      </c>
      <c r="IO38" s="1422"/>
      <c r="IP38" s="1692" t="str">
        <f>CONCATENATE("Var.% ",IS38,"/",IS38-1)</f>
        <v>Var.% 2026/2025</v>
      </c>
      <c r="IQ38" s="1693"/>
      <c r="IR38" s="1534">
        <f>IS38-1</f>
        <v>2025</v>
      </c>
      <c r="IS38" s="1534">
        <f>IN39</f>
        <v>2026</v>
      </c>
      <c r="IT38" s="1530"/>
      <c r="IU38" s="1530"/>
    </row>
    <row r="39" spans="1:255" ht="15" customHeight="1" x14ac:dyDescent="0.2">
      <c r="A39" s="1531" t="s">
        <v>352</v>
      </c>
      <c r="B39" s="1429">
        <v>39448</v>
      </c>
      <c r="C39" s="1430">
        <v>39479</v>
      </c>
      <c r="D39" s="1430">
        <v>39508</v>
      </c>
      <c r="E39" s="1430">
        <v>39539</v>
      </c>
      <c r="F39" s="1430">
        <v>39569</v>
      </c>
      <c r="G39" s="1430">
        <v>39600</v>
      </c>
      <c r="H39" s="1430">
        <v>39630</v>
      </c>
      <c r="I39" s="1430">
        <v>39661</v>
      </c>
      <c r="J39" s="1430">
        <v>39692</v>
      </c>
      <c r="K39" s="1430">
        <v>39722</v>
      </c>
      <c r="L39" s="1430">
        <v>39753</v>
      </c>
      <c r="M39" s="1430">
        <v>39783</v>
      </c>
      <c r="N39" s="1432">
        <f>YEAR(M39)</f>
        <v>2008</v>
      </c>
      <c r="O39" s="1429">
        <v>39814</v>
      </c>
      <c r="P39" s="1430">
        <v>39845</v>
      </c>
      <c r="Q39" s="1430">
        <v>39873</v>
      </c>
      <c r="R39" s="1430">
        <v>39904</v>
      </c>
      <c r="S39" s="1430">
        <v>39934</v>
      </c>
      <c r="T39" s="1430">
        <v>39965</v>
      </c>
      <c r="U39" s="1430">
        <v>39995</v>
      </c>
      <c r="V39" s="1430">
        <v>40026</v>
      </c>
      <c r="W39" s="1430">
        <v>40057</v>
      </c>
      <c r="X39" s="1430">
        <v>40087</v>
      </c>
      <c r="Y39" s="1430">
        <v>40118</v>
      </c>
      <c r="Z39" s="1430">
        <v>40148</v>
      </c>
      <c r="AA39" s="1432">
        <f>YEAR(Z39)</f>
        <v>2009</v>
      </c>
      <c r="AB39" s="1429">
        <v>40179</v>
      </c>
      <c r="AC39" s="1430">
        <v>40210</v>
      </c>
      <c r="AD39" s="1430">
        <v>40238</v>
      </c>
      <c r="AE39" s="1430">
        <v>40269</v>
      </c>
      <c r="AF39" s="1430">
        <v>40299</v>
      </c>
      <c r="AG39" s="1430">
        <v>40330</v>
      </c>
      <c r="AH39" s="1430">
        <v>40360</v>
      </c>
      <c r="AI39" s="1430">
        <v>40391</v>
      </c>
      <c r="AJ39" s="1430">
        <v>40422</v>
      </c>
      <c r="AK39" s="1430">
        <v>40452</v>
      </c>
      <c r="AL39" s="1430">
        <v>40483</v>
      </c>
      <c r="AM39" s="1430">
        <v>40513</v>
      </c>
      <c r="AN39" s="1432">
        <f>YEAR(AM39)</f>
        <v>2010</v>
      </c>
      <c r="AO39" s="1429">
        <v>40544</v>
      </c>
      <c r="AP39" s="1430">
        <v>40575</v>
      </c>
      <c r="AQ39" s="1430">
        <v>40603</v>
      </c>
      <c r="AR39" s="1430">
        <v>40634</v>
      </c>
      <c r="AS39" s="1430">
        <v>40664</v>
      </c>
      <c r="AT39" s="1430">
        <v>40695</v>
      </c>
      <c r="AU39" s="1430">
        <v>40725</v>
      </c>
      <c r="AV39" s="1430">
        <v>40756</v>
      </c>
      <c r="AW39" s="1430">
        <v>40787</v>
      </c>
      <c r="AX39" s="1430">
        <v>40817</v>
      </c>
      <c r="AY39" s="1430">
        <v>40848</v>
      </c>
      <c r="AZ39" s="1430">
        <v>40878</v>
      </c>
      <c r="BA39" s="1432">
        <f>YEAR(AZ39)</f>
        <v>2011</v>
      </c>
      <c r="BB39" s="1429">
        <v>40909</v>
      </c>
      <c r="BC39" s="1430">
        <v>40940</v>
      </c>
      <c r="BD39" s="1430">
        <v>40969</v>
      </c>
      <c r="BE39" s="1430">
        <v>41000</v>
      </c>
      <c r="BF39" s="1430">
        <v>41030</v>
      </c>
      <c r="BG39" s="1430">
        <v>41061</v>
      </c>
      <c r="BH39" s="1430">
        <v>41091</v>
      </c>
      <c r="BI39" s="1430">
        <v>41122</v>
      </c>
      <c r="BJ39" s="1430">
        <v>41153</v>
      </c>
      <c r="BK39" s="1430">
        <v>41183</v>
      </c>
      <c r="BL39" s="1430">
        <v>41214</v>
      </c>
      <c r="BM39" s="1430">
        <v>41244</v>
      </c>
      <c r="BN39" s="1432">
        <f>YEAR(BM39)</f>
        <v>2012</v>
      </c>
      <c r="BO39" s="1429">
        <v>41275</v>
      </c>
      <c r="BP39" s="1430">
        <v>41306</v>
      </c>
      <c r="BQ39" s="1430">
        <v>41334</v>
      </c>
      <c r="BR39" s="1430">
        <v>41365</v>
      </c>
      <c r="BS39" s="1430">
        <v>41395</v>
      </c>
      <c r="BT39" s="1430">
        <v>41426</v>
      </c>
      <c r="BU39" s="1430">
        <v>41456</v>
      </c>
      <c r="BV39" s="1430">
        <v>41487</v>
      </c>
      <c r="BW39" s="1430">
        <v>41518</v>
      </c>
      <c r="BX39" s="1430">
        <v>41548</v>
      </c>
      <c r="BY39" s="1430">
        <v>41579</v>
      </c>
      <c r="BZ39" s="1430">
        <v>41609</v>
      </c>
      <c r="CA39" s="1432">
        <f>YEAR(BZ39)</f>
        <v>2013</v>
      </c>
      <c r="CB39" s="1429">
        <v>41640</v>
      </c>
      <c r="CC39" s="1430">
        <v>41671</v>
      </c>
      <c r="CD39" s="1430">
        <v>41699</v>
      </c>
      <c r="CE39" s="1430">
        <v>41730</v>
      </c>
      <c r="CF39" s="1430">
        <v>41760</v>
      </c>
      <c r="CG39" s="1430">
        <v>41791</v>
      </c>
      <c r="CH39" s="1430">
        <v>41821</v>
      </c>
      <c r="CI39" s="1430">
        <v>41852</v>
      </c>
      <c r="CJ39" s="1430">
        <v>41883</v>
      </c>
      <c r="CK39" s="1430">
        <v>41913</v>
      </c>
      <c r="CL39" s="1430">
        <v>41944</v>
      </c>
      <c r="CM39" s="1430">
        <v>41974</v>
      </c>
      <c r="CN39" s="1432">
        <f>YEAR(CM39)</f>
        <v>2014</v>
      </c>
      <c r="CO39" s="1429">
        <v>42005</v>
      </c>
      <c r="CP39" s="1430">
        <v>42036</v>
      </c>
      <c r="CQ39" s="1430">
        <v>42064</v>
      </c>
      <c r="CR39" s="1430">
        <v>42095</v>
      </c>
      <c r="CS39" s="1430">
        <v>42125</v>
      </c>
      <c r="CT39" s="1430">
        <v>42156</v>
      </c>
      <c r="CU39" s="1430">
        <v>42186</v>
      </c>
      <c r="CV39" s="1430">
        <v>42217</v>
      </c>
      <c r="CW39" s="1430">
        <v>42248</v>
      </c>
      <c r="CX39" s="1430">
        <v>42278</v>
      </c>
      <c r="CY39" s="1430">
        <v>42309</v>
      </c>
      <c r="CZ39" s="1430">
        <v>42339</v>
      </c>
      <c r="DA39" s="1432">
        <f>YEAR(CZ39)</f>
        <v>2015</v>
      </c>
      <c r="DB39" s="1429">
        <v>42370</v>
      </c>
      <c r="DC39" s="1430">
        <v>42401</v>
      </c>
      <c r="DD39" s="1430">
        <v>42430</v>
      </c>
      <c r="DE39" s="1430">
        <v>42461</v>
      </c>
      <c r="DF39" s="1430">
        <v>42491</v>
      </c>
      <c r="DG39" s="1430">
        <v>42522</v>
      </c>
      <c r="DH39" s="1430">
        <v>42552</v>
      </c>
      <c r="DI39" s="1430">
        <v>42583</v>
      </c>
      <c r="DJ39" s="1430">
        <v>42614</v>
      </c>
      <c r="DK39" s="1430">
        <v>42644</v>
      </c>
      <c r="DL39" s="1430">
        <v>42675</v>
      </c>
      <c r="DM39" s="1430">
        <v>42705</v>
      </c>
      <c r="DN39" s="1432">
        <f>YEAR(DM39)</f>
        <v>2016</v>
      </c>
      <c r="DO39" s="1429">
        <v>42736</v>
      </c>
      <c r="DP39" s="1430">
        <v>42767</v>
      </c>
      <c r="DQ39" s="1430">
        <v>42795</v>
      </c>
      <c r="DR39" s="1430">
        <v>42826</v>
      </c>
      <c r="DS39" s="1430">
        <v>42856</v>
      </c>
      <c r="DT39" s="1430">
        <v>42887</v>
      </c>
      <c r="DU39" s="1430">
        <v>42917</v>
      </c>
      <c r="DV39" s="1430">
        <v>42948</v>
      </c>
      <c r="DW39" s="1430">
        <v>42979</v>
      </c>
      <c r="DX39" s="1430">
        <v>43009</v>
      </c>
      <c r="DY39" s="1430">
        <v>43040</v>
      </c>
      <c r="DZ39" s="1430">
        <v>43070</v>
      </c>
      <c r="EA39" s="1432">
        <f>YEAR(DZ39)</f>
        <v>2017</v>
      </c>
      <c r="EB39" s="1429">
        <v>43101</v>
      </c>
      <c r="EC39" s="1430">
        <v>43132</v>
      </c>
      <c r="ED39" s="1430">
        <v>43160</v>
      </c>
      <c r="EE39" s="1430">
        <v>43191</v>
      </c>
      <c r="EF39" s="1430">
        <v>43221</v>
      </c>
      <c r="EG39" s="1430">
        <v>43252</v>
      </c>
      <c r="EH39" s="1430">
        <v>43282</v>
      </c>
      <c r="EI39" s="1430">
        <v>43313</v>
      </c>
      <c r="EJ39" s="1430">
        <v>43344</v>
      </c>
      <c r="EK39" s="1430">
        <v>43374</v>
      </c>
      <c r="EL39" s="1430">
        <v>43405</v>
      </c>
      <c r="EM39" s="1430">
        <v>43435</v>
      </c>
      <c r="EN39" s="1432">
        <f>YEAR(EM39)</f>
        <v>2018</v>
      </c>
      <c r="EO39" s="1429">
        <v>43466</v>
      </c>
      <c r="EP39" s="1430">
        <v>43497</v>
      </c>
      <c r="EQ39" s="1430">
        <v>43525</v>
      </c>
      <c r="ER39" s="1430">
        <v>43556</v>
      </c>
      <c r="ES39" s="1430">
        <v>43586</v>
      </c>
      <c r="ET39" s="1430">
        <v>43617</v>
      </c>
      <c r="EU39" s="1430">
        <v>43647</v>
      </c>
      <c r="EV39" s="1430">
        <v>43678</v>
      </c>
      <c r="EW39" s="1430">
        <v>43709</v>
      </c>
      <c r="EX39" s="1430">
        <v>43739</v>
      </c>
      <c r="EY39" s="1430">
        <v>43770</v>
      </c>
      <c r="EZ39" s="1430">
        <v>43800</v>
      </c>
      <c r="FA39" s="1432">
        <f>YEAR(EZ39)</f>
        <v>2019</v>
      </c>
      <c r="FB39" s="1429">
        <v>43831</v>
      </c>
      <c r="FC39" s="1430">
        <v>43862</v>
      </c>
      <c r="FD39" s="1430">
        <v>43891</v>
      </c>
      <c r="FE39" s="1430">
        <v>43922</v>
      </c>
      <c r="FF39" s="1430">
        <v>43952</v>
      </c>
      <c r="FG39" s="1430">
        <v>43983</v>
      </c>
      <c r="FH39" s="1430">
        <v>44013</v>
      </c>
      <c r="FI39" s="1430">
        <v>44044</v>
      </c>
      <c r="FJ39" s="1430">
        <v>44075</v>
      </c>
      <c r="FK39" s="1430">
        <v>44105</v>
      </c>
      <c r="FL39" s="1430">
        <v>44136</v>
      </c>
      <c r="FM39" s="1430">
        <v>44166</v>
      </c>
      <c r="FN39" s="1432">
        <f>YEAR(FM39)</f>
        <v>2020</v>
      </c>
      <c r="FO39" s="1429">
        <v>44197</v>
      </c>
      <c r="FP39" s="1430">
        <v>44228</v>
      </c>
      <c r="FQ39" s="1430">
        <v>44256</v>
      </c>
      <c r="FR39" s="1430">
        <v>44287</v>
      </c>
      <c r="FS39" s="1430">
        <v>44317</v>
      </c>
      <c r="FT39" s="1430">
        <v>44348</v>
      </c>
      <c r="FU39" s="1430">
        <v>44378</v>
      </c>
      <c r="FV39" s="1430">
        <v>44409</v>
      </c>
      <c r="FW39" s="1430">
        <v>44440</v>
      </c>
      <c r="FX39" s="1430">
        <v>44470</v>
      </c>
      <c r="FY39" s="1430">
        <v>44501</v>
      </c>
      <c r="FZ39" s="1430">
        <v>44531</v>
      </c>
      <c r="GA39" s="1432">
        <f>YEAR(FZ39)</f>
        <v>2021</v>
      </c>
      <c r="GB39" s="1429">
        <v>44562</v>
      </c>
      <c r="GC39" s="1430">
        <v>44593</v>
      </c>
      <c r="GD39" s="1430">
        <v>44621</v>
      </c>
      <c r="GE39" s="1430">
        <v>44652</v>
      </c>
      <c r="GF39" s="1430">
        <v>44682</v>
      </c>
      <c r="GG39" s="1430">
        <v>44713</v>
      </c>
      <c r="GH39" s="1430">
        <v>44743</v>
      </c>
      <c r="GI39" s="1430">
        <v>44774</v>
      </c>
      <c r="GJ39" s="1430">
        <v>44805</v>
      </c>
      <c r="GK39" s="1430">
        <v>44835</v>
      </c>
      <c r="GL39" s="1430">
        <v>44866</v>
      </c>
      <c r="GM39" s="1430">
        <v>44896</v>
      </c>
      <c r="GN39" s="1432">
        <f>YEAR(GM39)</f>
        <v>2022</v>
      </c>
      <c r="GO39" s="1429">
        <v>44927</v>
      </c>
      <c r="GP39" s="1430">
        <v>44958</v>
      </c>
      <c r="GQ39" s="1430">
        <v>44986</v>
      </c>
      <c r="GR39" s="1430">
        <v>45017</v>
      </c>
      <c r="GS39" s="1430">
        <v>45047</v>
      </c>
      <c r="GT39" s="1430">
        <v>45078</v>
      </c>
      <c r="GU39" s="1430">
        <v>45108</v>
      </c>
      <c r="GV39" s="1430">
        <v>45139</v>
      </c>
      <c r="GW39" s="1430">
        <v>45170</v>
      </c>
      <c r="GX39" s="1430">
        <v>45200</v>
      </c>
      <c r="GY39" s="1430">
        <v>45231</v>
      </c>
      <c r="GZ39" s="1430">
        <v>45261</v>
      </c>
      <c r="HA39" s="1432">
        <f>YEAR(GZ39)</f>
        <v>2023</v>
      </c>
      <c r="HB39" s="1429">
        <v>45292</v>
      </c>
      <c r="HC39" s="1430">
        <v>45323</v>
      </c>
      <c r="HD39" s="1430">
        <v>45352</v>
      </c>
      <c r="HE39" s="1430">
        <v>45383</v>
      </c>
      <c r="HF39" s="1430">
        <v>45413</v>
      </c>
      <c r="HG39" s="1430">
        <v>45444</v>
      </c>
      <c r="HH39" s="1430">
        <v>45474</v>
      </c>
      <c r="HI39" s="1430">
        <v>45505</v>
      </c>
      <c r="HJ39" s="1430">
        <v>45536</v>
      </c>
      <c r="HK39" s="1430">
        <v>45566</v>
      </c>
      <c r="HL39" s="1430">
        <v>45597</v>
      </c>
      <c r="HM39" s="1430">
        <v>45627</v>
      </c>
      <c r="HN39" s="1432">
        <f>YEAR(HM39)</f>
        <v>2024</v>
      </c>
      <c r="HO39" s="1429">
        <v>45658</v>
      </c>
      <c r="HP39" s="1430">
        <v>45689</v>
      </c>
      <c r="HQ39" s="1430">
        <v>45717</v>
      </c>
      <c r="HR39" s="1430">
        <v>45748</v>
      </c>
      <c r="HS39" s="1430">
        <v>45778</v>
      </c>
      <c r="HT39" s="1430">
        <v>45809</v>
      </c>
      <c r="HU39" s="1430">
        <v>45839</v>
      </c>
      <c r="HV39" s="1430">
        <v>45870</v>
      </c>
      <c r="HW39" s="1430">
        <v>45901</v>
      </c>
      <c r="HX39" s="1430">
        <v>45931</v>
      </c>
      <c r="HY39" s="1430">
        <v>45962</v>
      </c>
      <c r="HZ39" s="1430">
        <v>45992</v>
      </c>
      <c r="IA39" s="1532">
        <f>YEAR(HZ39)</f>
        <v>2025</v>
      </c>
      <c r="IB39" s="1429" t="s">
        <v>0</v>
      </c>
      <c r="IC39" s="1430" t="s">
        <v>1</v>
      </c>
      <c r="ID39" s="1430" t="s">
        <v>2</v>
      </c>
      <c r="IE39" s="1430" t="s">
        <v>3</v>
      </c>
      <c r="IF39" s="1430" t="s">
        <v>4</v>
      </c>
      <c r="IG39" s="1430" t="s">
        <v>5</v>
      </c>
      <c r="IH39" s="1430" t="s">
        <v>6</v>
      </c>
      <c r="II39" s="1430" t="s">
        <v>7</v>
      </c>
      <c r="IJ39" s="1430" t="s">
        <v>8</v>
      </c>
      <c r="IK39" s="1430" t="s">
        <v>9</v>
      </c>
      <c r="IL39" s="1430" t="s">
        <v>10</v>
      </c>
      <c r="IM39" s="1430" t="s">
        <v>11</v>
      </c>
      <c r="IN39" s="1431">
        <v>2026</v>
      </c>
      <c r="IO39" s="1422"/>
      <c r="IP39" s="1433" t="str">
        <f>IH39</f>
        <v>Jul.</v>
      </c>
      <c r="IQ39" s="1535" t="str">
        <f>CONCATENATE("Ene.-",TEXT(IP39,"MMM."))</f>
        <v>Ene.-Jul.</v>
      </c>
      <c r="IR39" s="1535" t="str">
        <f>IQ39</f>
        <v>Ene.-Jul.</v>
      </c>
      <c r="IS39" s="1535" t="str">
        <f>IQ39</f>
        <v>Ene.-Jul.</v>
      </c>
      <c r="IT39" s="1530"/>
      <c r="IU39" s="1530"/>
    </row>
    <row r="40" spans="1:255" ht="15" customHeight="1" x14ac:dyDescent="0.2">
      <c r="A40" s="331" t="s">
        <v>352</v>
      </c>
      <c r="B40" s="373"/>
      <c r="C40" s="374"/>
      <c r="D40" s="374"/>
      <c r="E40" s="374"/>
      <c r="F40" s="374"/>
      <c r="G40" s="374"/>
      <c r="H40" s="374"/>
      <c r="I40" s="374"/>
      <c r="J40" s="374"/>
      <c r="K40" s="374"/>
      <c r="L40" s="374"/>
      <c r="M40" s="387"/>
      <c r="N40" s="375"/>
      <c r="O40" s="373"/>
      <c r="P40" s="374"/>
      <c r="Q40" s="374"/>
      <c r="R40" s="374"/>
      <c r="S40" s="374"/>
      <c r="T40" s="374"/>
      <c r="U40" s="374"/>
      <c r="V40" s="374"/>
      <c r="W40" s="374"/>
      <c r="X40" s="374"/>
      <c r="Y40" s="374"/>
      <c r="Z40" s="387"/>
      <c r="AA40" s="375"/>
      <c r="AB40" s="373"/>
      <c r="AC40" s="374"/>
      <c r="AD40" s="374"/>
      <c r="AE40" s="374"/>
      <c r="AF40" s="374"/>
      <c r="AG40" s="374"/>
      <c r="AH40" s="374"/>
      <c r="AI40" s="374"/>
      <c r="AJ40" s="374"/>
      <c r="AK40" s="374"/>
      <c r="AL40" s="374"/>
      <c r="AM40" s="387"/>
      <c r="AN40" s="375"/>
      <c r="AO40" s="373"/>
      <c r="AP40" s="374"/>
      <c r="AQ40" s="374"/>
      <c r="AR40" s="374"/>
      <c r="AS40" s="374"/>
      <c r="AT40" s="374"/>
      <c r="AU40" s="374"/>
      <c r="AV40" s="374"/>
      <c r="AW40" s="374"/>
      <c r="AX40" s="374"/>
      <c r="AY40" s="374"/>
      <c r="AZ40" s="387"/>
      <c r="BA40" s="375"/>
      <c r="BB40" s="373"/>
      <c r="BC40" s="374"/>
      <c r="BD40" s="374"/>
      <c r="BE40" s="374"/>
      <c r="BF40" s="374"/>
      <c r="BG40" s="374"/>
      <c r="BH40" s="374"/>
      <c r="BI40" s="374"/>
      <c r="BJ40" s="374"/>
      <c r="BK40" s="374"/>
      <c r="BL40" s="374"/>
      <c r="BM40" s="387"/>
      <c r="BN40" s="375"/>
      <c r="BO40" s="373"/>
      <c r="BP40" s="374"/>
      <c r="BQ40" s="374"/>
      <c r="BR40" s="374"/>
      <c r="BS40" s="374"/>
      <c r="BT40" s="374"/>
      <c r="BU40" s="374"/>
      <c r="BV40" s="374"/>
      <c r="BW40" s="374"/>
      <c r="BX40" s="374"/>
      <c r="BY40" s="374"/>
      <c r="BZ40" s="387"/>
      <c r="CA40" s="375"/>
      <c r="CB40" s="373"/>
      <c r="CC40" s="374"/>
      <c r="CD40" s="374"/>
      <c r="CE40" s="374"/>
      <c r="CF40" s="374"/>
      <c r="CG40" s="374"/>
      <c r="CH40" s="374"/>
      <c r="CI40" s="374"/>
      <c r="CJ40" s="374"/>
      <c r="CK40" s="374"/>
      <c r="CL40" s="374"/>
      <c r="CM40" s="387"/>
      <c r="CN40" s="375"/>
      <c r="CO40" s="373"/>
      <c r="CP40" s="374"/>
      <c r="CQ40" s="374"/>
      <c r="CR40" s="374"/>
      <c r="CS40" s="374"/>
      <c r="CT40" s="374"/>
      <c r="CU40" s="374"/>
      <c r="CV40" s="374"/>
      <c r="CW40" s="374"/>
      <c r="CX40" s="374"/>
      <c r="CY40" s="374"/>
      <c r="CZ40" s="387"/>
      <c r="DA40" s="375"/>
      <c r="DB40" s="373"/>
      <c r="DC40" s="374"/>
      <c r="DD40" s="374"/>
      <c r="DE40" s="374"/>
      <c r="DF40" s="374"/>
      <c r="DG40" s="374"/>
      <c r="DH40" s="374"/>
      <c r="DI40" s="374"/>
      <c r="DJ40" s="374"/>
      <c r="DK40" s="374"/>
      <c r="DL40" s="374"/>
      <c r="DM40" s="387"/>
      <c r="DN40" s="375"/>
      <c r="DO40" s="373"/>
      <c r="DP40" s="374"/>
      <c r="DQ40" s="374"/>
      <c r="DR40" s="374"/>
      <c r="DS40" s="374"/>
      <c r="DT40" s="374"/>
      <c r="DU40" s="374"/>
      <c r="DV40" s="374"/>
      <c r="DW40" s="374"/>
      <c r="DX40" s="374"/>
      <c r="DY40" s="374"/>
      <c r="DZ40" s="387"/>
      <c r="EA40" s="375"/>
      <c r="EB40" s="373"/>
      <c r="EC40" s="374"/>
      <c r="ED40" s="374"/>
      <c r="EE40" s="374"/>
      <c r="EF40" s="374"/>
      <c r="EG40" s="374"/>
      <c r="EH40" s="374"/>
      <c r="EI40" s="374"/>
      <c r="EJ40" s="374"/>
      <c r="EK40" s="374"/>
      <c r="EL40" s="374"/>
      <c r="EM40" s="387"/>
      <c r="EN40" s="375"/>
      <c r="EO40" s="373"/>
      <c r="EP40" s="374"/>
      <c r="EQ40" s="374"/>
      <c r="ER40" s="374"/>
      <c r="ES40" s="374"/>
      <c r="ET40" s="374"/>
      <c r="EU40" s="374"/>
      <c r="EV40" s="374"/>
      <c r="EW40" s="374"/>
      <c r="EX40" s="374"/>
      <c r="EY40" s="374"/>
      <c r="EZ40" s="387"/>
      <c r="FA40" s="375"/>
      <c r="FB40" s="373"/>
      <c r="FC40" s="374"/>
      <c r="FD40" s="374"/>
      <c r="FE40" s="374"/>
      <c r="FF40" s="374"/>
      <c r="FG40" s="374"/>
      <c r="FH40" s="374"/>
      <c r="FI40" s="374"/>
      <c r="FJ40" s="374"/>
      <c r="FK40" s="374"/>
      <c r="FL40" s="374"/>
      <c r="FM40" s="387"/>
      <c r="FN40" s="375"/>
      <c r="FO40" s="373"/>
      <c r="FP40" s="374"/>
      <c r="FQ40" s="374"/>
      <c r="FR40" s="374"/>
      <c r="FS40" s="374"/>
      <c r="FT40" s="374"/>
      <c r="FU40" s="374"/>
      <c r="FV40" s="374"/>
      <c r="FW40" s="374"/>
      <c r="FX40" s="374"/>
      <c r="FY40" s="374"/>
      <c r="FZ40" s="387"/>
      <c r="GA40" s="375"/>
      <c r="GB40" s="373"/>
      <c r="GC40" s="374"/>
      <c r="GD40" s="374"/>
      <c r="GE40" s="374"/>
      <c r="GF40" s="374"/>
      <c r="GG40" s="374"/>
      <c r="GH40" s="374"/>
      <c r="GI40" s="374"/>
      <c r="GJ40" s="374"/>
      <c r="GK40" s="374"/>
      <c r="GL40" s="374"/>
      <c r="GM40" s="387"/>
      <c r="GN40" s="375"/>
      <c r="GO40" s="373"/>
      <c r="GP40" s="374"/>
      <c r="GQ40" s="374"/>
      <c r="GR40" s="374"/>
      <c r="GS40" s="374"/>
      <c r="GT40" s="374"/>
      <c r="GU40" s="374"/>
      <c r="GV40" s="374"/>
      <c r="GW40" s="374"/>
      <c r="GX40" s="374"/>
      <c r="GY40" s="374"/>
      <c r="GZ40" s="387"/>
      <c r="HA40" s="375"/>
      <c r="HB40" s="373"/>
      <c r="HC40" s="374"/>
      <c r="HD40" s="374"/>
      <c r="HE40" s="374"/>
      <c r="HF40" s="374"/>
      <c r="HG40" s="374"/>
      <c r="HH40" s="374"/>
      <c r="HI40" s="374"/>
      <c r="HJ40" s="374"/>
      <c r="HK40" s="374"/>
      <c r="HL40" s="374"/>
      <c r="HM40" s="387"/>
      <c r="HN40" s="375"/>
      <c r="HO40" s="373"/>
      <c r="HP40" s="374"/>
      <c r="HQ40" s="374"/>
      <c r="HR40" s="374"/>
      <c r="HS40" s="374"/>
      <c r="HT40" s="374"/>
      <c r="HU40" s="374"/>
      <c r="HV40" s="374"/>
      <c r="HW40" s="374"/>
      <c r="HX40" s="374"/>
      <c r="HY40" s="374"/>
      <c r="HZ40" s="387"/>
      <c r="IA40" s="373"/>
      <c r="IB40" s="1337"/>
      <c r="IC40" s="1338"/>
      <c r="ID40" s="1338"/>
      <c r="IE40" s="1338"/>
      <c r="IF40" s="1338"/>
      <c r="IG40" s="1338"/>
      <c r="IH40" s="1338"/>
      <c r="II40" s="1338"/>
      <c r="IJ40" s="1338"/>
      <c r="IK40" s="1338"/>
      <c r="IL40" s="1338"/>
      <c r="IM40" s="1339"/>
      <c r="IN40" s="1340"/>
      <c r="IO40" s="120"/>
      <c r="IP40" s="369"/>
      <c r="IQ40" s="334"/>
      <c r="IR40" s="337"/>
      <c r="IS40" s="335"/>
    </row>
    <row r="41" spans="1:255" ht="15" customHeight="1" x14ac:dyDescent="0.2">
      <c r="A41" s="1511" t="s">
        <v>300</v>
      </c>
      <c r="B41" s="1512">
        <f t="shared" ref="B41:B55" si="129">+B7/$B$37</f>
        <v>7612.0418594402117</v>
      </c>
      <c r="C41" s="1513">
        <f t="shared" ref="C41:C55" si="130">+C7/$C$37</f>
        <v>12064.779895014537</v>
      </c>
      <c r="D41" s="1513">
        <f t="shared" ref="D41:D55" si="131">+D7/$D$37</f>
        <v>10960.585602751562</v>
      </c>
      <c r="E41" s="1513">
        <f t="shared" ref="E41:E55" si="132">+E7/$E$37</f>
        <v>12340.583635539693</v>
      </c>
      <c r="F41" s="1513">
        <f t="shared" ref="F41:F55" si="133">+F7/$F$37</f>
        <v>11783.273746609415</v>
      </c>
      <c r="G41" s="1513">
        <f t="shared" ref="G41:G55" si="134">+G7/$G$37</f>
        <v>11937.713532846145</v>
      </c>
      <c r="H41" s="1513">
        <f t="shared" ref="H41:H55" si="135">+H7/$H$37</f>
        <v>13314.855148927241</v>
      </c>
      <c r="I41" s="1513">
        <f t="shared" ref="I41:I55" si="136">+I7/$I$37</f>
        <v>14106.093850425894</v>
      </c>
      <c r="J41" s="1513">
        <f t="shared" ref="J41:J55" si="137">+J7/$J$37</f>
        <v>13353.620149429407</v>
      </c>
      <c r="K41" s="1513">
        <f t="shared" ref="K41:K55" si="138">+K7/$K$37</f>
        <v>14696.578982883708</v>
      </c>
      <c r="L41" s="1513">
        <f t="shared" ref="L41:L55" si="139">+L7/$L$37</f>
        <v>13029.50933380109</v>
      </c>
      <c r="M41" s="1514">
        <f t="shared" ref="M41:M55" si="140">+M7/$M$37</f>
        <v>23379.47251083966</v>
      </c>
      <c r="N41" s="1515">
        <f>SUM(B41:M41)</f>
        <v>158579.10824850856</v>
      </c>
      <c r="O41" s="1512">
        <f t="shared" ref="O41:O55" si="141">+O7/$O$37</f>
        <v>7161.7534021720148</v>
      </c>
      <c r="P41" s="1513">
        <f t="shared" ref="P41:P55" si="142">+P7/$P$37</f>
        <v>10138.82861571021</v>
      </c>
      <c r="Q41" s="1513">
        <f t="shared" ref="Q41:Q55" si="143">+Q7/$Q$37</f>
        <v>14667.756654822906</v>
      </c>
      <c r="R41" s="1513">
        <f t="shared" ref="R41:R55" si="144">+R7/$R$37</f>
        <v>13236.164166164797</v>
      </c>
      <c r="S41" s="1513">
        <f t="shared" ref="S41:S55" si="145">+S7/$S$37</f>
        <v>13711.457938937174</v>
      </c>
      <c r="T41" s="1513">
        <f t="shared" ref="T41:T55" si="146">+T7/$T$37</f>
        <v>13784.895625908724</v>
      </c>
      <c r="U41" s="1513">
        <f t="shared" ref="U41:U55" si="147">+U7/$U$37</f>
        <v>17373.925099269152</v>
      </c>
      <c r="V41" s="1513">
        <f t="shared" ref="V41:V55" si="148">+V7/$V$37</f>
        <v>16823.85439003781</v>
      </c>
      <c r="W41" s="1513">
        <f t="shared" ref="W41:W55" si="149">+W7/$W$37</f>
        <v>18045.542889450997</v>
      </c>
      <c r="X41" s="1513">
        <f t="shared" ref="X41:X55" si="150">+X7/$X$37</f>
        <v>16470.445455925295</v>
      </c>
      <c r="Y41" s="1513">
        <f t="shared" ref="Y41:Y55" si="151">+Y7/$Y$37</f>
        <v>18643.748716122976</v>
      </c>
      <c r="Z41" s="1514">
        <f t="shared" ref="Z41:Z55" si="152">+Z7/$Z$37</f>
        <v>35218.401225005233</v>
      </c>
      <c r="AA41" s="1515">
        <f>SUM(O41:Z41)</f>
        <v>195276.7741795273</v>
      </c>
      <c r="AB41" s="1512">
        <f t="shared" ref="AB41:AB55" si="153">+AB7/$AB$37</f>
        <v>8670.8064070089731</v>
      </c>
      <c r="AC41" s="1513">
        <f t="shared" ref="AC41:AC55" si="154">+AC7/$AC$37</f>
        <v>10234.851421500114</v>
      </c>
      <c r="AD41" s="1513">
        <f t="shared" ref="AD41:AD55" si="155">+AD7/$AD$37</f>
        <v>17506.209639270637</v>
      </c>
      <c r="AE41" s="1513">
        <f t="shared" ref="AE41:AE55" si="156">+AE7/$AE$37</f>
        <v>16066.856746874029</v>
      </c>
      <c r="AF41" s="1513">
        <f t="shared" ref="AF41:AF55" si="157">+AF7/$AF$37</f>
        <v>18275.028525167058</v>
      </c>
      <c r="AG41" s="1513">
        <f t="shared" ref="AG41:AG55" si="158">+AG7/$AG$37</f>
        <v>20654.984381893428</v>
      </c>
      <c r="AH41" s="1513">
        <f t="shared" ref="AH41:AH55" si="159">+AH7/$AH$37</f>
        <v>18196.504913131677</v>
      </c>
      <c r="AI41" s="1513">
        <f t="shared" ref="AI41:AI55" si="160">+AI7/$AI$37</f>
        <v>23022.969605133894</v>
      </c>
      <c r="AJ41" s="1513">
        <f t="shared" ref="AJ41:AJ55" si="161">+AJ7/$AJ$37</f>
        <v>19135.529518832231</v>
      </c>
      <c r="AK41" s="1513">
        <f t="shared" ref="AK41:AK55" si="162">+AK7/$AK$37</f>
        <v>17739.988887670585</v>
      </c>
      <c r="AL41" s="1513">
        <f t="shared" ref="AL41:AL55" si="163">+AL7/$AL$37</f>
        <v>24073.420467344422</v>
      </c>
      <c r="AM41" s="1514">
        <f t="shared" ref="AM41:AM55" si="164">+AM7/$AM$37</f>
        <v>36306.720174997667</v>
      </c>
      <c r="AN41" s="1515">
        <f>SUM(AB41:AM41)</f>
        <v>229883.87068882471</v>
      </c>
      <c r="AO41" s="1512">
        <f t="shared" ref="AO41:AO55" si="165">+AO7/$AO$37</f>
        <v>2656.4634981358008</v>
      </c>
      <c r="AP41" s="1513">
        <f t="shared" ref="AP41:AP55" si="166">+AP7/$AP$37</f>
        <v>9260.6417351390955</v>
      </c>
      <c r="AQ41" s="1513">
        <f t="shared" ref="AQ41:AQ55" si="167">+AQ7/$AQ$37</f>
        <v>15985.001317033995</v>
      </c>
      <c r="AR41" s="1513">
        <f t="shared" ref="AR41:AR55" si="168">+AR7/$AR$37</f>
        <v>15567.464693956837</v>
      </c>
      <c r="AS41" s="1513">
        <f t="shared" ref="AS41:AS55" si="169">+AS7/$AS$37</f>
        <v>19149.850329788023</v>
      </c>
      <c r="AT41" s="1513">
        <f t="shared" ref="AT41:AT55" si="170">+AT7/$AT$37</f>
        <v>16638.541345847836</v>
      </c>
      <c r="AU41" s="1513">
        <f t="shared" ref="AU41:AU55" si="171">+AU7/$AU$37</f>
        <v>18958.102702190004</v>
      </c>
      <c r="AV41" s="1513">
        <f t="shared" ref="AV41:AV55" si="172">+AV7/$AV$37</f>
        <v>21287.825958351365</v>
      </c>
      <c r="AW41" s="1513">
        <f t="shared" ref="AW41:AW55" si="173">+AW7/$AW$37</f>
        <v>27971.764039131216</v>
      </c>
      <c r="AX41" s="1513">
        <f t="shared" ref="AX41:AX55" si="174">+AX7/$AX$37</f>
        <v>29536.406943023176</v>
      </c>
      <c r="AY41" s="1513">
        <f t="shared" ref="AY41:AY55" si="175">+AY7/$AY$37</f>
        <v>39338.574786687306</v>
      </c>
      <c r="AZ41" s="1514">
        <f t="shared" ref="AZ41:AZ55" si="176">+AZ7/$AZ$37</f>
        <v>73222.204873753959</v>
      </c>
      <c r="BA41" s="1515">
        <f>SUM(AO41:AZ41)</f>
        <v>289572.84222303861</v>
      </c>
      <c r="BB41" s="1512">
        <f t="shared" ref="BB41:BB55" si="177">+BB7/$BB$37</f>
        <v>11277.353917868786</v>
      </c>
      <c r="BC41" s="1513">
        <f t="shared" ref="BC41:BC55" si="178">+BC7/$BC$37</f>
        <v>22734.454880542762</v>
      </c>
      <c r="BD41" s="1513">
        <f t="shared" ref="BD41:BD55" si="179">+BD7/$BD$37</f>
        <v>39060.761227925723</v>
      </c>
      <c r="BE41" s="1513">
        <f t="shared" ref="BE41:BE55" si="180">+BE7/$BE$37</f>
        <v>26313.926574018966</v>
      </c>
      <c r="BF41" s="1513">
        <f t="shared" ref="BF41:BF55" si="181">+BF7/$BF$37</f>
        <v>29994.903727450681</v>
      </c>
      <c r="BG41" s="1513">
        <f t="shared" ref="BG41:BG55" si="182">+BG7/$BG$37</f>
        <v>26798.158491209611</v>
      </c>
      <c r="BH41" s="1513">
        <f t="shared" ref="BH41:BH55" si="183">+BH7/$BH$37</f>
        <v>36856.867374336864</v>
      </c>
      <c r="BI41" s="1513">
        <f t="shared" ref="BI41:BI55" si="184">+BI7/$BI$37</f>
        <v>31281.055517635628</v>
      </c>
      <c r="BJ41" s="1513">
        <f t="shared" ref="BJ41:BJ55" si="185">+BJ7/$BJ$37</f>
        <v>37772.964572777244</v>
      </c>
      <c r="BK41" s="1513">
        <f t="shared" ref="BK41:BK55" si="186">+BK7/$BK$37</f>
        <v>43682.29638943082</v>
      </c>
      <c r="BL41" s="1513">
        <f t="shared" ref="BL41:BL55" si="187">+BL7/$BL$37</f>
        <v>45060.083898355544</v>
      </c>
      <c r="BM41" s="1514">
        <f t="shared" ref="BM41:BM55" si="188">+BM7/$BM$37</f>
        <v>73841.339003155867</v>
      </c>
      <c r="BN41" s="1515">
        <f>SUM(BB41:BM41)</f>
        <v>424674.16557470849</v>
      </c>
      <c r="BO41" s="1512">
        <f t="shared" ref="BO41:BO55" si="189">+BO7/$BO$37</f>
        <v>13344.335924445431</v>
      </c>
      <c r="BP41" s="1513">
        <f t="shared" ref="BP41:BP55" si="190">+BP7/$BP$37</f>
        <v>17436.630012519454</v>
      </c>
      <c r="BQ41" s="1513">
        <f t="shared" ref="BQ41:BQ55" si="191">+BQ7/$BQ$37</f>
        <v>37413.968940800121</v>
      </c>
      <c r="BR41" s="1513">
        <f t="shared" ref="BR41:BR55" si="192">+BR7/$BR$37</f>
        <v>29993.98145286454</v>
      </c>
      <c r="BS41" s="1513">
        <f t="shared" ref="BS41:BS55" si="193">+BS7/$BS$37</f>
        <v>30371.581358881351</v>
      </c>
      <c r="BT41" s="1513">
        <f t="shared" ref="BT41:BT55" si="194">+BT7/$BT$37</f>
        <v>29167.9095298742</v>
      </c>
      <c r="BU41" s="1513">
        <f t="shared" ref="BU41:BU55" si="195">+BU7/$BU$37</f>
        <v>69737.509280712795</v>
      </c>
      <c r="BV41" s="1513">
        <f t="shared" ref="BV41:BV55" si="196">+BV7/$BV$37</f>
        <v>21577.397067322589</v>
      </c>
      <c r="BW41" s="1513">
        <f t="shared" ref="BW41:BW55" si="197">+BW7/$BW$37</f>
        <v>33522.903454505366</v>
      </c>
      <c r="BX41" s="1513">
        <f t="shared" ref="BX41:BX55" si="198">+BX7/$BX$37</f>
        <v>37750.77667235033</v>
      </c>
      <c r="BY41" s="1513">
        <f t="shared" ref="BY41:BY55" si="199">+BY7/$BY$37</f>
        <v>27576.175592022861</v>
      </c>
      <c r="BZ41" s="1514">
        <f t="shared" ref="BZ41:BZ55" si="200">+BZ7/$BZ$37</f>
        <v>81597.563499538694</v>
      </c>
      <c r="CA41" s="1515">
        <f>SUM(BO41:BZ41)</f>
        <v>429490.73278583772</v>
      </c>
      <c r="CB41" s="1512">
        <f t="shared" ref="CB41:CB55" si="201">+CB7/$CB$37</f>
        <v>18305.44525631384</v>
      </c>
      <c r="CC41" s="1513">
        <f t="shared" ref="CC41:CC55" si="202">+CC7/$CC$37</f>
        <v>24986.352392918525</v>
      </c>
      <c r="CD41" s="1513">
        <f t="shared" ref="CD41:CD55" si="203">+CD7/$CD$37</f>
        <v>31256.403820655716</v>
      </c>
      <c r="CE41" s="1513">
        <f t="shared" ref="CE41:CE55" si="204">+CE7/$CE$37</f>
        <v>32006.287609175877</v>
      </c>
      <c r="CF41" s="1513">
        <f t="shared" ref="CF41:CF55" si="205">+CF7/$CF$37</f>
        <v>28243.047666465693</v>
      </c>
      <c r="CG41" s="1513">
        <f t="shared" ref="CG41:CG55" si="206">+CG7/$CG$37</f>
        <v>32090.863665466524</v>
      </c>
      <c r="CH41" s="1513">
        <f t="shared" ref="CH41:CH55" si="207">+CH7/$CH$37</f>
        <v>39617.356756211178</v>
      </c>
      <c r="CI41" s="1513">
        <f t="shared" ref="CI41:CI55" si="208">+CI7/$CI$37</f>
        <v>25896.463917621986</v>
      </c>
      <c r="CJ41" s="1513">
        <f t="shared" ref="CJ41:CJ55" si="209">+CJ7/$CJ$37</f>
        <v>36216.747026294615</v>
      </c>
      <c r="CK41" s="1513">
        <f t="shared" ref="CK41:CK55" si="210">+CK7/$CK$37</f>
        <v>42008.224439716243</v>
      </c>
      <c r="CL41" s="1513">
        <f t="shared" ref="CL41:CL55" si="211">+CL7/$CL$37</f>
        <v>39700.282093889567</v>
      </c>
      <c r="CM41" s="1514">
        <f t="shared" ref="CM41:CM55" si="212">+CM7/$CM$37</f>
        <v>94063.834177807163</v>
      </c>
      <c r="CN41" s="1515">
        <f>SUM(CB41:CM41)</f>
        <v>444391.3088225369</v>
      </c>
      <c r="CO41" s="1512">
        <f t="shared" ref="CO41:CO55" si="213">+CO7/$CO$37</f>
        <v>5118.4891816749796</v>
      </c>
      <c r="CP41" s="1513">
        <f t="shared" ref="CP41:CP55" si="214">+CP7/$CP$37</f>
        <v>17651.532472255265</v>
      </c>
      <c r="CQ41" s="1513">
        <f t="shared" ref="CQ41:CQ55" si="215">+CQ7/$CQ$37</f>
        <v>37145.711199935962</v>
      </c>
      <c r="CR41" s="1513">
        <f t="shared" ref="CR41:CR55" si="216">+CR7/$CR$37</f>
        <v>26797.513624218263</v>
      </c>
      <c r="CS41" s="1513">
        <f t="shared" ref="CS41:CS55" si="217">+CS7/$CS$37</f>
        <v>26978.738896681269</v>
      </c>
      <c r="CT41" s="1513">
        <f t="shared" ref="CT41:CT55" si="218">+CT7/$CT$37</f>
        <v>28651.241735596861</v>
      </c>
      <c r="CU41" s="1513">
        <f t="shared" ref="CU41:CU55" si="219">+CU7/$CU$37</f>
        <v>51064.974525961814</v>
      </c>
      <c r="CV41" s="1513">
        <f t="shared" ref="CV41:CV55" si="220">+CV7/$CV$37</f>
        <v>30843.862429616052</v>
      </c>
      <c r="CW41" s="1513">
        <f t="shared" ref="CW41:CW55" si="221">+CW7/$CW$37</f>
        <v>33086.235982806727</v>
      </c>
      <c r="CX41" s="1513">
        <f t="shared" ref="CX41:CX55" si="222">+CX7/$CX$37</f>
        <v>33416.24629030528</v>
      </c>
      <c r="CY41" s="1513">
        <f t="shared" ref="CY41:CY55" si="223">+CY7/$CY$37</f>
        <v>34501.473108384547</v>
      </c>
      <c r="CZ41" s="1514">
        <f t="shared" ref="CZ41:CZ55" si="224">+CZ7/$CZ$37</f>
        <v>87344.311105933491</v>
      </c>
      <c r="DA41" s="1515">
        <f>SUM(CO41:CZ41)</f>
        <v>412600.33055337053</v>
      </c>
      <c r="DB41" s="1512">
        <f t="shared" ref="DB41:DB55" si="225">+DB7/$DB$37</f>
        <v>13911.12963384558</v>
      </c>
      <c r="DC41" s="1513">
        <f t="shared" ref="DC41:DC55" si="226">+DC7/$DC$37</f>
        <v>20685.760097030226</v>
      </c>
      <c r="DD41" s="1513">
        <f t="shared" ref="DD41:DD55" si="227">+DD7/$DD$37</f>
        <v>32881.02724115974</v>
      </c>
      <c r="DE41" s="1513">
        <f t="shared" ref="DE41:DE55" si="228">+DE7/$DE$37</f>
        <v>27924.233616150312</v>
      </c>
      <c r="DF41" s="1513">
        <f t="shared" ref="DF41:DF55" si="229">+DF7/$DF$37</f>
        <v>30572.381747858224</v>
      </c>
      <c r="DG41" s="1513">
        <f t="shared" ref="DG41:DG55" si="230">+DG7/$DG$37</f>
        <v>29727.988303891612</v>
      </c>
      <c r="DH41" s="1513">
        <f t="shared" ref="DH41:DH55" si="231">+DH7/$DH$37</f>
        <v>33051.545799220534</v>
      </c>
      <c r="DI41" s="1513">
        <f t="shared" ref="DI41:DI55" si="232">+DI7/$DI$37</f>
        <v>30345.511445334305</v>
      </c>
      <c r="DJ41" s="1513">
        <f t="shared" ref="DJ41:DJ55" si="233">+DJ7/$DJ$37</f>
        <v>45813.361165778515</v>
      </c>
      <c r="DK41" s="1513">
        <f t="shared" ref="DK41:DK55" si="234">+DK7/$DK$37</f>
        <v>37997.774129481033</v>
      </c>
      <c r="DL41" s="1513">
        <f t="shared" ref="DL41:DL55" si="235">+DL7/$DL$37</f>
        <v>44344.264651723061</v>
      </c>
      <c r="DM41" s="1514">
        <f t="shared" ref="DM41:DM55" si="236">+DM7/$DM$37</f>
        <v>105946.57522302023</v>
      </c>
      <c r="DN41" s="1515">
        <f>SUM(DB41:DM41)</f>
        <v>453201.55305449333</v>
      </c>
      <c r="DO41" s="1512">
        <f t="shared" ref="DO41:DO55" si="237">+DO7/$DO$37</f>
        <v>13593.076573533057</v>
      </c>
      <c r="DP41" s="1513">
        <f t="shared" ref="DP41:DP55" si="238">+DP7/$DP$37</f>
        <v>21207.305800068727</v>
      </c>
      <c r="DQ41" s="1513">
        <f t="shared" ref="DQ41:DQ55" si="239">+DQ7/$DQ$37</f>
        <v>50302.450699976042</v>
      </c>
      <c r="DR41" s="1513">
        <f t="shared" ref="DR41:DR55" si="240">+DR7/$DR$37</f>
        <v>33484.323442371446</v>
      </c>
      <c r="DS41" s="1513">
        <f t="shared" ref="DS41:DS55" si="241">+DS7/$DS$37</f>
        <v>36487.253664195327</v>
      </c>
      <c r="DT41" s="1513">
        <f t="shared" ref="DT41:DT55" si="242">+DT7/$DT$37</f>
        <v>46247.568930840745</v>
      </c>
      <c r="DU41" s="1513">
        <f t="shared" ref="DU41:DU55" si="243">+DU7/$DU$37</f>
        <v>46477.189591039903</v>
      </c>
      <c r="DV41" s="1513">
        <f t="shared" ref="DV41:DV55" si="244">+DV7/$DV$37</f>
        <v>40141.355640727881</v>
      </c>
      <c r="DW41" s="1513">
        <f t="shared" ref="DW41:DW55" si="245">+DW7/$DW$37</f>
        <v>67060.747541920922</v>
      </c>
      <c r="DX41" s="1513">
        <f t="shared" ref="DX41:DX55" si="246">+DX7/$DX$37</f>
        <v>49560.510756074458</v>
      </c>
      <c r="DY41" s="1513">
        <f t="shared" ref="DY41:DY55" si="247">+DY7/$DY$37</f>
        <v>47304.703104239925</v>
      </c>
      <c r="DZ41" s="1514">
        <f t="shared" ref="DZ41:DZ55" si="248">+DZ7/$DZ$37</f>
        <v>86588.912730330674</v>
      </c>
      <c r="EA41" s="1515">
        <f>SUM(DO41:DZ41)</f>
        <v>538455.39847531915</v>
      </c>
      <c r="EB41" s="1512">
        <f t="shared" ref="EB41:EB55" si="249">+EB7/$EB$37</f>
        <v>18313.524577143995</v>
      </c>
      <c r="EC41" s="1513">
        <f t="shared" ref="EC41:EC55" si="250">+EC7/$EC$37</f>
        <v>24276.95160775317</v>
      </c>
      <c r="ED41" s="1513">
        <f t="shared" ref="ED41:ED55" si="251">+ED7/$ED$37</f>
        <v>43500.012161803883</v>
      </c>
      <c r="EE41" s="1513">
        <f t="shared" ref="EE41:EE55" si="252">+EE7/$EE$37</f>
        <v>34419.149057270566</v>
      </c>
      <c r="EF41" s="1513">
        <f t="shared" ref="EF41:EF55" si="253">+EF7/$EF$37</f>
        <v>40032.932046185</v>
      </c>
      <c r="EG41" s="1513">
        <f t="shared" ref="EG41:EG55" si="254">+EG7/$EG$37</f>
        <v>51291.735651125789</v>
      </c>
      <c r="EH41" s="1513">
        <f t="shared" ref="EH41:EH55" si="255">+EH7/$EH$37</f>
        <v>48205.491180766439</v>
      </c>
      <c r="EI41" s="1513">
        <f t="shared" ref="EI41:EI55" si="256">+EI7/$EI$37</f>
        <v>40807.526086226775</v>
      </c>
      <c r="EJ41" s="1513">
        <f t="shared" ref="EJ41:EJ55" si="257">+EJ7/$EJ$37</f>
        <v>44430.8830456711</v>
      </c>
      <c r="EK41" s="1513">
        <f t="shared" ref="EK41:EK55" si="258">+EK7/$EK$37</f>
        <v>61256.874644888019</v>
      </c>
      <c r="EL41" s="1513">
        <f t="shared" ref="EL41:EL55" si="259">+EL7/$EL$37</f>
        <v>51147.93471973353</v>
      </c>
      <c r="EM41" s="1514">
        <f t="shared" ref="EM41:EM55" si="260">+EM7/$EM$37</f>
        <v>77006.266756353187</v>
      </c>
      <c r="EN41" s="1515">
        <f>SUM(EB41:EM41)</f>
        <v>534689.28153492149</v>
      </c>
      <c r="EO41" s="1512">
        <f t="shared" ref="EO41:EO55" si="261">+EO7/$EO$37</f>
        <v>6565.3245928890228</v>
      </c>
      <c r="EP41" s="1513">
        <f t="shared" ref="EP41:EP55" si="262">+EP7/$EP$37</f>
        <v>22124.714230518635</v>
      </c>
      <c r="EQ41" s="1513">
        <f>+EQ7/EQ37</f>
        <v>31318.367018334309</v>
      </c>
      <c r="ER41" s="1513">
        <f t="shared" ref="ER41:ER55" si="263">+ER7/$ER$37</f>
        <v>43406.492328008884</v>
      </c>
      <c r="ES41" s="1513">
        <f t="shared" ref="ES41:ES55" si="264">+ES7/$ES$37</f>
        <v>32907.819927932454</v>
      </c>
      <c r="ET41" s="1513">
        <f t="shared" ref="ET41:ET55" si="265">+ET7/$ET$37</f>
        <v>37687.730906171157</v>
      </c>
      <c r="EU41" s="1513">
        <f t="shared" ref="EU41:EU55" si="266">+EU7/$EU$37</f>
        <v>33024.783435168574</v>
      </c>
      <c r="EV41" s="1513">
        <f t="shared" ref="EV41:EV55" si="267">+EV7/$EV$37</f>
        <v>42830.614649507501</v>
      </c>
      <c r="EW41" s="1513">
        <f t="shared" ref="EW41:EW55" si="268">+EW7/$EW$37</f>
        <v>51172.871122376717</v>
      </c>
      <c r="EX41" s="1513">
        <f t="shared" ref="EX41:EX55" si="269">+EX7/$EX$37</f>
        <v>51429.163898209626</v>
      </c>
      <c r="EY41" s="1513">
        <f t="shared" ref="EY41:EY55" si="270">+EY7/$EY$37</f>
        <v>36093.984225685628</v>
      </c>
      <c r="EZ41" s="1514">
        <f t="shared" ref="EZ41:EZ55" si="271">+EZ7/$EZ$37</f>
        <v>74026.980351491569</v>
      </c>
      <c r="FA41" s="1515">
        <f>SUM(EO41:EZ41)</f>
        <v>462588.84668629407</v>
      </c>
      <c r="FB41" s="1512">
        <f t="shared" ref="FB41:FB55" si="272">+FB7/$FB$37</f>
        <v>15212.047058564571</v>
      </c>
      <c r="FC41" s="1513">
        <f t="shared" ref="FC41:FC55" si="273">+FC7/$FC$37</f>
        <v>24740.553444825324</v>
      </c>
      <c r="FD41" s="1513">
        <f t="shared" ref="FD41:FD55" si="274">+FD7/$FD$37</f>
        <v>30102.975261026488</v>
      </c>
      <c r="FE41" s="1513">
        <f t="shared" ref="FE41:FE55" si="275">+FE7/$FE$37</f>
        <v>18885.234030801272</v>
      </c>
      <c r="FF41" s="1513">
        <f t="shared" ref="FF41:FF55" si="276">+FF7/$FF$37</f>
        <v>19224.667687436115</v>
      </c>
      <c r="FG41" s="1513">
        <f t="shared" ref="FG41:FG55" si="277">+FG7/$FG$37</f>
        <v>17461.458811599532</v>
      </c>
      <c r="FH41" s="1513">
        <f t="shared" ref="FH41:FH55" si="278">+FH7/$FH$37</f>
        <v>26813.137064158414</v>
      </c>
      <c r="FI41" s="1513">
        <f t="shared" ref="FI41:FI55" si="279">+FI7/$FI$37</f>
        <v>34273.313037860738</v>
      </c>
      <c r="FJ41" s="1513">
        <f t="shared" ref="FJ41:FJ55" si="280">+FJ7/$FJ$37</f>
        <v>58171.702144552306</v>
      </c>
      <c r="FK41" s="1513">
        <f t="shared" ref="FK41:FK55" si="281">+FK7/$FK$37</f>
        <v>73877.771556199499</v>
      </c>
      <c r="FL41" s="1513">
        <f t="shared" ref="FL41:FL55" si="282">+FL7/$FL$37</f>
        <v>90340.429316016875</v>
      </c>
      <c r="FM41" s="1514">
        <f t="shared" ref="FM41:FM55" si="283">+FM7/$FM$37</f>
        <v>155925.26049475916</v>
      </c>
      <c r="FN41" s="1515">
        <f>SUM(FB41:FM41)</f>
        <v>565028.54990780028</v>
      </c>
      <c r="FO41" s="1512">
        <f t="shared" ref="FO41:FO55" si="284">+FO7/$FO$37</f>
        <v>16931.777806363003</v>
      </c>
      <c r="FP41" s="1513">
        <f t="shared" ref="FP41:FP55" si="285">+FP7/$FP$37</f>
        <v>35901.090846453357</v>
      </c>
      <c r="FQ41" s="1513">
        <f t="shared" ref="FQ41:FQ55" si="286">+FQ7/$FQ$37</f>
        <v>65853.055082688807</v>
      </c>
      <c r="FR41" s="1513">
        <f t="shared" ref="FR41:FR55" si="287">+FR7/$FR$37</f>
        <v>39756.10008048184</v>
      </c>
      <c r="FS41" s="1513">
        <f t="shared" ref="FS41:FS55" si="288">+FS7/$FS$37</f>
        <v>43675.549137929811</v>
      </c>
      <c r="FT41" s="1513">
        <f t="shared" ref="FT41:FT48" si="289">+FT7/$FT$37</f>
        <v>54724.245251164299</v>
      </c>
      <c r="FU41" s="1513">
        <f t="shared" ref="FU41:FU48" si="290">+FU7/$FU$37</f>
        <v>49219.868434981756</v>
      </c>
      <c r="FV41" s="1513">
        <f t="shared" ref="FV41:FV55" si="291">+FV7/$FV$37</f>
        <v>48717.434502192402</v>
      </c>
      <c r="FW41" s="1513">
        <f t="shared" ref="FW41:FW55" si="292">+FW7/$FW$37</f>
        <v>49835.607187908827</v>
      </c>
      <c r="FX41" s="1513">
        <f t="shared" ref="FX41:FX55" si="293">+FX7/$FX$37</f>
        <v>46934.958364320933</v>
      </c>
      <c r="FY41" s="1513">
        <f t="shared" ref="FY41:FY55" si="294">+FY7/$FY$37</f>
        <v>50523.922772058613</v>
      </c>
      <c r="FZ41" s="1514">
        <f t="shared" ref="FZ41:FZ55" si="295">+FZ7/$FZ$37</f>
        <v>97390.482463749096</v>
      </c>
      <c r="GA41" s="1515">
        <f>SUM(FO41:FZ41)</f>
        <v>599464.09193029278</v>
      </c>
      <c r="GB41" s="1512">
        <f t="shared" ref="GB41:GB55" si="296">+GB7/$GB$37</f>
        <v>14614.943344642516</v>
      </c>
      <c r="GC41" s="1513">
        <f t="shared" ref="GC41:GC55" si="297">+GC7/$GC$37</f>
        <v>21341.953218221926</v>
      </c>
      <c r="GD41" s="1513">
        <f t="shared" ref="GD41:GD55" si="298">+GD7/$GD$37</f>
        <v>54026.675772746297</v>
      </c>
      <c r="GE41" s="1513">
        <f t="shared" ref="GE41:GE55" si="299">+GE7/$GE$37</f>
        <v>35179.109735746853</v>
      </c>
      <c r="GF41" s="1513">
        <f t="shared" ref="GF41:GF55" si="300">+GF7/$GF$37</f>
        <v>40413.937671180465</v>
      </c>
      <c r="GG41" s="1513">
        <f t="shared" ref="GG41:GG55" si="301">+GG7/$GG$37</f>
        <v>37194.598414676017</v>
      </c>
      <c r="GH41" s="1513">
        <f t="shared" ref="GH41:GH55" si="302">+GH7/$GH$37</f>
        <v>52077.84036325397</v>
      </c>
      <c r="GI41" s="1513">
        <f t="shared" ref="GI41:GI55" si="303">+GI7/$GI$37</f>
        <v>49558.639538117102</v>
      </c>
      <c r="GJ41" s="1513">
        <f t="shared" ref="GJ41:GJ55" si="304">+GJ7/$GJ$37</f>
        <v>51579.652393406039</v>
      </c>
      <c r="GK41" s="1513">
        <f t="shared" ref="GK41:GK55" si="305">+GK7/$GK$37</f>
        <v>44455.548019075017</v>
      </c>
      <c r="GL41" s="1513">
        <f t="shared" ref="GL41:GL55" si="306">+GL7/$GL$37</f>
        <v>51688.796447056127</v>
      </c>
      <c r="GM41" s="1514">
        <f t="shared" ref="GM41:GM55" si="307">+GM7/$GM$37</f>
        <v>76662.541528802729</v>
      </c>
      <c r="GN41" s="1515">
        <f>SUM(GB41:GM41)</f>
        <v>528794.23644692509</v>
      </c>
      <c r="GO41" s="1512">
        <f t="shared" ref="GO41:GO55" si="308">+GO7/$GO$37</f>
        <v>7869.5664593973943</v>
      </c>
      <c r="GP41" s="1513">
        <f t="shared" ref="GP41:GP55" si="309">+GP7/$GP$37</f>
        <v>26904.68857683548</v>
      </c>
      <c r="GQ41" s="1513">
        <f t="shared" ref="GQ41:GQ55" si="310">+GQ7/$GQ$37</f>
        <v>37871.175277646631</v>
      </c>
      <c r="GR41" s="1513">
        <f t="shared" ref="GR41:GR55" si="311">+GR7/$GR$37</f>
        <v>41857.078148635039</v>
      </c>
      <c r="GS41" s="1513">
        <f t="shared" ref="GS41:GS55" si="312">+GS7/$GS$37</f>
        <v>31206.018912109561</v>
      </c>
      <c r="GT41" s="1513">
        <f t="shared" ref="GT41:GT55" si="313">+GT7/$GT$37</f>
        <v>40117.707198698285</v>
      </c>
      <c r="GU41" s="1513">
        <f t="shared" ref="GU41:GU55" si="314">+GU7/$GU$37</f>
        <v>42922.459142350774</v>
      </c>
      <c r="GV41" s="1513">
        <f t="shared" ref="GV41:GV55" si="315">+GV7/$GV$37</f>
        <v>41798.28612337805</v>
      </c>
      <c r="GW41" s="1513">
        <f t="shared" ref="GW41:GW55" si="316">+GW7/$GW$37</f>
        <v>40841.528460901405</v>
      </c>
      <c r="GX41" s="1513">
        <f t="shared" ref="GX41:GX55" si="317">+GX7/$GX$37</f>
        <v>43431.776055751732</v>
      </c>
      <c r="GY41" s="1513">
        <f t="shared" ref="GY41:GY55" si="318">+GY7/$GY$37</f>
        <v>54745.955431963812</v>
      </c>
      <c r="GZ41" s="1514">
        <f t="shared" ref="GZ41:GZ55" si="319">+GZ7/$GZ$37</f>
        <v>77029.686036277999</v>
      </c>
      <c r="HA41" s="1515">
        <f>SUM(GO41:GZ41)</f>
        <v>486595.92582394613</v>
      </c>
      <c r="HB41" s="1512">
        <f t="shared" ref="HB41:HB55" si="320">+HB7/$HB$37</f>
        <v>24664.254633745939</v>
      </c>
      <c r="HC41" s="1513">
        <f t="shared" ref="HC41:HC55" si="321">+HC7/$HC$37</f>
        <v>52643.014262691126</v>
      </c>
      <c r="HD41" s="1513">
        <f t="shared" ref="HD41:HD55" si="322">+HD7/$HD$37</f>
        <v>39410.034550113021</v>
      </c>
      <c r="HE41" s="1513">
        <f t="shared" ref="HE41:HE55" si="323">+HE7/$HE$37</f>
        <v>42537.722958112274</v>
      </c>
      <c r="HF41" s="1513">
        <f t="shared" ref="HF41:HF55" si="324">+HF7/$HF$37</f>
        <v>46232.603718203056</v>
      </c>
      <c r="HG41" s="1513">
        <f t="shared" ref="HG41:HG55" si="325">+HG7/$HG$37</f>
        <v>44514.305211776067</v>
      </c>
      <c r="HH41" s="1513">
        <f t="shared" ref="HH41:HH55" si="326">+HH7/$HH$37</f>
        <v>51871.398207102611</v>
      </c>
      <c r="HI41" s="1513">
        <f t="shared" ref="HI41:HI55" si="327">+HI7/$HI$37</f>
        <v>45633.931055508896</v>
      </c>
      <c r="HJ41" s="1513">
        <f t="shared" ref="HJ41:HJ55" si="328">+HJ7/$HJ$37</f>
        <v>39861.25452193927</v>
      </c>
      <c r="HK41" s="1513">
        <f t="shared" ref="HK41:HK55" si="329">+HK7/$HK$37</f>
        <v>50140.566438507412</v>
      </c>
      <c r="HL41" s="1513">
        <f t="shared" ref="HL41:HL55" si="330">+HL7/$HL$37</f>
        <v>45574.292362313703</v>
      </c>
      <c r="HM41" s="1514">
        <f t="shared" ref="HM41:HM55" si="331">+HM7/$HM$37</f>
        <v>81018.221245745342</v>
      </c>
      <c r="HN41" s="1515">
        <f>SUM(HB41:HM41)</f>
        <v>564101.5991657587</v>
      </c>
      <c r="HO41" s="1512">
        <f t="shared" ref="HO41:HO55" si="332">+HO7/$HO$37</f>
        <v>21269.512158283971</v>
      </c>
      <c r="HP41" s="1513">
        <f t="shared" ref="HP41:HP55" si="333">+HP7/$HP$37</f>
        <v>31640.056962842551</v>
      </c>
      <c r="HQ41" s="1513">
        <f t="shared" ref="HQ41:HQ55" si="334">+HQ7/$HQ$37</f>
        <v>44356.597468917564</v>
      </c>
      <c r="HR41" s="1513">
        <f t="shared" ref="HR41:HR55" si="335">+HR7/$HR$37</f>
        <v>39468.05942429931</v>
      </c>
      <c r="HS41" s="1513">
        <f t="shared" ref="HS41:HS55" si="336">+HS7/$HS$37</f>
        <v>43326.682745594742</v>
      </c>
      <c r="HT41" s="1513">
        <f>+HT7/$HT$37</f>
        <v>43768.958787410527</v>
      </c>
      <c r="HU41" s="1513">
        <f>+HU7/$HU$37</f>
        <v>49015.395104002127</v>
      </c>
      <c r="HV41" s="1513">
        <f>+HV7/$HV$37</f>
        <v>44959.28148401103</v>
      </c>
      <c r="HW41" s="1513">
        <f>+HW7/$HW$37</f>
        <v>43541.758930777694</v>
      </c>
      <c r="HX41" s="1513">
        <f>+HX7/$HX$37</f>
        <v>50250.506405816304</v>
      </c>
      <c r="HY41" s="1513">
        <f>+HY7/$HY$37</f>
        <v>45007.716552380829</v>
      </c>
      <c r="HZ41" s="1514">
        <f>+HZ7/$HZ$37</f>
        <v>82722.120167331275</v>
      </c>
      <c r="IA41" s="1512">
        <f>SUM(HO41:HZ41)</f>
        <v>539326.64619166788</v>
      </c>
      <c r="IB41" s="1516">
        <f>+IB7/$IB$37</f>
        <v>24254.337344346419</v>
      </c>
      <c r="IC41" s="1209">
        <f>+IC7/$IC$37</f>
        <v>27192.998631819504</v>
      </c>
      <c r="ID41" s="1209">
        <f>+ID7/$ID$37</f>
        <v>36109.081154665517</v>
      </c>
      <c r="IE41" s="1209">
        <f>+IE7/$IE$37</f>
        <v>41659.684580542591</v>
      </c>
      <c r="IF41" s="1209">
        <f>+IF7/$IF$37</f>
        <v>43504.686334562139</v>
      </c>
      <c r="IG41" s="1209">
        <f>+IG7/$IG$37</f>
        <v>44208.68805839475</v>
      </c>
      <c r="IH41" s="1209">
        <f>+IH7/$IH$37</f>
        <v>54477.730210687965</v>
      </c>
      <c r="II41" s="1209">
        <f>+II7/$II$37</f>
        <v>48489.044860846319</v>
      </c>
      <c r="IJ41" s="1209"/>
      <c r="IK41" s="1209"/>
      <c r="IL41" s="1209"/>
      <c r="IM41" s="1517"/>
      <c r="IN41" s="1518">
        <f>SUM(IB41:IM41)</f>
        <v>319896.25117586518</v>
      </c>
      <c r="IO41" s="1422"/>
      <c r="IP41" s="1519">
        <f t="shared" ref="IP41:IP62" si="337">IFERROR(((
_xlfn.XLOOKUP((DATE(YEAR($IP$5),MONTH($IP$5),1)),SMN.GGL.DATE,$B41:$IN41) /
_xlfn.XLOOKUP((DATE(YEAR($IP$5)-1,MONTH($IP$5),1)),SMN.GGL.DATE,$B41:$IN41)
)-1)*100,"")</f>
        <v>7.8510226594492805</v>
      </c>
      <c r="IQ41" s="1520">
        <f>IFERROR(((IS41/IR41)-1)*100,"")</f>
        <v>0.65817405040391463</v>
      </c>
      <c r="IR41" s="1521">
        <f t="shared" ref="IR41:IR64" si="338">SUMIFS($B41:$IN41,SMN.GGL.DATE,"&gt;="&amp;DATE(YEAR($IP$5)-1,1,1),SMN.GGL.DATE,"&lt;="&amp;DATE(YEAR($IP$5)-1,MONTH($IP$5),1))</f>
        <v>317804.54413536179</v>
      </c>
      <c r="IS41" s="1522">
        <f t="shared" ref="IS41:IS64" si="339">SUMIFS($B41:$IN41,SMN.GGL.DATE,"&gt;="&amp;DATE(YEAR($IP$5),1,1),SMN.GGL.DATE,"&lt;="&amp;$IP$5)</f>
        <v>319896.25117586518</v>
      </c>
      <c r="IT41" s="1523"/>
      <c r="IU41" s="1521">
        <f>II41-HV41</f>
        <v>3529.7633768352898</v>
      </c>
    </row>
    <row r="42" spans="1:255" ht="15" customHeight="1" x14ac:dyDescent="0.2">
      <c r="A42" s="1553" t="s">
        <v>432</v>
      </c>
      <c r="B42" s="376">
        <f t="shared" si="129"/>
        <v>5433.5377222437719</v>
      </c>
      <c r="C42" s="377">
        <f t="shared" si="130"/>
        <v>7355.2484504654549</v>
      </c>
      <c r="D42" s="377">
        <f t="shared" si="131"/>
        <v>6491.5001691399257</v>
      </c>
      <c r="E42" s="377">
        <f t="shared" si="132"/>
        <v>7619.419066677583</v>
      </c>
      <c r="F42" s="377">
        <f t="shared" si="133"/>
        <v>6877.0775950632906</v>
      </c>
      <c r="G42" s="377">
        <f t="shared" si="134"/>
        <v>7305.9034242136668</v>
      </c>
      <c r="H42" s="377">
        <f t="shared" si="135"/>
        <v>8666.4347349387008</v>
      </c>
      <c r="I42" s="377">
        <f t="shared" si="136"/>
        <v>7548.605674507362</v>
      </c>
      <c r="J42" s="377">
        <f t="shared" si="137"/>
        <v>6924.5823235810694</v>
      </c>
      <c r="K42" s="377">
        <f t="shared" si="138"/>
        <v>7542.7131771168933</v>
      </c>
      <c r="L42" s="377">
        <f t="shared" si="139"/>
        <v>6424.7654935602031</v>
      </c>
      <c r="M42" s="388">
        <f t="shared" si="140"/>
        <v>9244.3732860892233</v>
      </c>
      <c r="N42" s="378">
        <f t="shared" ref="N42:N55" si="340">SUM(B42:M42)</f>
        <v>87434.161117597148</v>
      </c>
      <c r="O42" s="376">
        <f t="shared" si="141"/>
        <v>4518.8128508573809</v>
      </c>
      <c r="P42" s="377">
        <f t="shared" si="142"/>
        <v>5707.8599034313802</v>
      </c>
      <c r="Q42" s="377">
        <f t="shared" si="143"/>
        <v>8308.9502664022093</v>
      </c>
      <c r="R42" s="377">
        <f t="shared" si="144"/>
        <v>6883.2083216560304</v>
      </c>
      <c r="S42" s="377">
        <f t="shared" si="145"/>
        <v>6944.5978335656673</v>
      </c>
      <c r="T42" s="377">
        <f t="shared" si="146"/>
        <v>7694.5366047919988</v>
      </c>
      <c r="U42" s="377">
        <f t="shared" si="147"/>
        <v>8927.8210306780475</v>
      </c>
      <c r="V42" s="377">
        <f t="shared" si="148"/>
        <v>7996.7787959861625</v>
      </c>
      <c r="W42" s="377">
        <f t="shared" si="149"/>
        <v>7952.4447219372732</v>
      </c>
      <c r="X42" s="377">
        <f t="shared" si="150"/>
        <v>7181.8054664105548</v>
      </c>
      <c r="Y42" s="377">
        <f t="shared" si="151"/>
        <v>8321.5903079911186</v>
      </c>
      <c r="Z42" s="388">
        <f t="shared" si="152"/>
        <v>11708.279242484939</v>
      </c>
      <c r="AA42" s="378">
        <f t="shared" ref="AA42:AA55" si="341">SUM(O42:Z42)</f>
        <v>92146.685346192768</v>
      </c>
      <c r="AB42" s="376">
        <f t="shared" si="153"/>
        <v>5589.7024321947947</v>
      </c>
      <c r="AC42" s="377">
        <f t="shared" si="154"/>
        <v>5447.8909855602278</v>
      </c>
      <c r="AD42" s="377">
        <f t="shared" si="155"/>
        <v>10024.457272276954</v>
      </c>
      <c r="AE42" s="377">
        <f t="shared" si="156"/>
        <v>8446.4826407289565</v>
      </c>
      <c r="AF42" s="377">
        <f t="shared" si="157"/>
        <v>8846.9379544862895</v>
      </c>
      <c r="AG42" s="377">
        <f t="shared" si="158"/>
        <v>8530.0500324015411</v>
      </c>
      <c r="AH42" s="377">
        <f t="shared" si="159"/>
        <v>9243.7848461796038</v>
      </c>
      <c r="AI42" s="377">
        <f t="shared" si="160"/>
        <v>8650.0149289333185</v>
      </c>
      <c r="AJ42" s="377">
        <f t="shared" si="161"/>
        <v>8597.7733871141336</v>
      </c>
      <c r="AK42" s="377">
        <f t="shared" si="162"/>
        <v>7912.1466727766547</v>
      </c>
      <c r="AL42" s="377">
        <f t="shared" si="163"/>
        <v>11294.092379740145</v>
      </c>
      <c r="AM42" s="388">
        <f t="shared" si="164"/>
        <v>13601.879130079309</v>
      </c>
      <c r="AN42" s="378">
        <f t="shared" ref="AN42:AN55" si="342">SUM(AB42:AM42)</f>
        <v>106185.21266247192</v>
      </c>
      <c r="AO42" s="376">
        <f t="shared" si="165"/>
        <v>2530.2635812769236</v>
      </c>
      <c r="AP42" s="377">
        <f t="shared" si="166"/>
        <v>7518.3642509814035</v>
      </c>
      <c r="AQ42" s="377">
        <f t="shared" si="167"/>
        <v>10987.530124803348</v>
      </c>
      <c r="AR42" s="377">
        <f t="shared" si="168"/>
        <v>8785.0067695573616</v>
      </c>
      <c r="AS42" s="377">
        <f t="shared" si="169"/>
        <v>10458.087761637566</v>
      </c>
      <c r="AT42" s="377">
        <f t="shared" si="170"/>
        <v>9496.8161151672957</v>
      </c>
      <c r="AU42" s="377">
        <f t="shared" si="171"/>
        <v>10594.182576081252</v>
      </c>
      <c r="AV42" s="377">
        <f t="shared" si="172"/>
        <v>9597.8687577927594</v>
      </c>
      <c r="AW42" s="377">
        <f t="shared" si="173"/>
        <v>11587.3736701219</v>
      </c>
      <c r="AX42" s="377">
        <f t="shared" si="174"/>
        <v>10499.222406002973</v>
      </c>
      <c r="AY42" s="377">
        <f t="shared" si="175"/>
        <v>11565.766383804408</v>
      </c>
      <c r="AZ42" s="388">
        <f t="shared" si="176"/>
        <v>19809.796800324635</v>
      </c>
      <c r="BA42" s="378">
        <f t="shared" ref="BA42:BA55" si="343">SUM(AO42:AZ42)</f>
        <v>123430.27919755182</v>
      </c>
      <c r="BB42" s="376">
        <f t="shared" si="177"/>
        <v>6801.9680930257236</v>
      </c>
      <c r="BC42" s="377">
        <f t="shared" si="178"/>
        <v>10886.102133641429</v>
      </c>
      <c r="BD42" s="377">
        <f t="shared" si="179"/>
        <v>12764.53820195711</v>
      </c>
      <c r="BE42" s="377">
        <f t="shared" si="180"/>
        <v>10773.008413051377</v>
      </c>
      <c r="BF42" s="377">
        <f t="shared" si="181"/>
        <v>12032.426740278457</v>
      </c>
      <c r="BG42" s="377">
        <f t="shared" si="182"/>
        <v>11725.40913454427</v>
      </c>
      <c r="BH42" s="377">
        <f t="shared" si="183"/>
        <v>11209.965595241349</v>
      </c>
      <c r="BI42" s="377">
        <f t="shared" si="184"/>
        <v>12610.537768697193</v>
      </c>
      <c r="BJ42" s="377">
        <f t="shared" si="185"/>
        <v>12275.440631361969</v>
      </c>
      <c r="BK42" s="377">
        <f t="shared" si="186"/>
        <v>12336.118837438211</v>
      </c>
      <c r="BL42" s="377">
        <f t="shared" si="187"/>
        <v>13824.15786024053</v>
      </c>
      <c r="BM42" s="388">
        <f t="shared" si="188"/>
        <v>22731.985414976192</v>
      </c>
      <c r="BN42" s="378">
        <f t="shared" ref="BN42:BN55" si="344">SUM(BB42:BM42)</f>
        <v>149971.6588244538</v>
      </c>
      <c r="BO42" s="376">
        <f t="shared" si="189"/>
        <v>9896.3812592827926</v>
      </c>
      <c r="BP42" s="377">
        <f t="shared" si="190"/>
        <v>8941.0045111399904</v>
      </c>
      <c r="BQ42" s="377">
        <f t="shared" si="191"/>
        <v>14914.412699587247</v>
      </c>
      <c r="BR42" s="377">
        <f t="shared" si="192"/>
        <v>11659.094740228657</v>
      </c>
      <c r="BS42" s="377">
        <f t="shared" si="193"/>
        <v>10972.485037741304</v>
      </c>
      <c r="BT42" s="377">
        <f t="shared" si="194"/>
        <v>11645.455012885976</v>
      </c>
      <c r="BU42" s="377">
        <f t="shared" si="195"/>
        <v>12704.601715363104</v>
      </c>
      <c r="BV42" s="377">
        <f t="shared" si="196"/>
        <v>12210.137119824307</v>
      </c>
      <c r="BW42" s="377">
        <f t="shared" si="197"/>
        <v>11880.650887386142</v>
      </c>
      <c r="BX42" s="377">
        <f t="shared" si="198"/>
        <v>12707.587173313108</v>
      </c>
      <c r="BY42" s="377">
        <f t="shared" si="199"/>
        <v>11479.627025630156</v>
      </c>
      <c r="BZ42" s="388">
        <f t="shared" si="200"/>
        <v>16244.753193440005</v>
      </c>
      <c r="CA42" s="378">
        <f t="shared" ref="CA42:CA55" si="345">SUM(BO42:BZ42)</f>
        <v>145256.19037582277</v>
      </c>
      <c r="CB42" s="376">
        <f t="shared" si="201"/>
        <v>10396.494971670789</v>
      </c>
      <c r="CC42" s="377">
        <f t="shared" si="202"/>
        <v>11787.838329219103</v>
      </c>
      <c r="CD42" s="377">
        <f t="shared" si="203"/>
        <v>13088.584055496129</v>
      </c>
      <c r="CE42" s="377">
        <f t="shared" si="204"/>
        <v>11577.574183161119</v>
      </c>
      <c r="CF42" s="377">
        <f t="shared" si="205"/>
        <v>13240.271965405531</v>
      </c>
      <c r="CG42" s="377">
        <f t="shared" si="206"/>
        <v>12657.197440869686</v>
      </c>
      <c r="CH42" s="377">
        <f t="shared" si="207"/>
        <v>14122.487641122421</v>
      </c>
      <c r="CI42" s="377">
        <f t="shared" si="208"/>
        <v>12960.509669352183</v>
      </c>
      <c r="CJ42" s="377">
        <f t="shared" si="209"/>
        <v>11333.599773639657</v>
      </c>
      <c r="CK42" s="377">
        <f t="shared" si="210"/>
        <v>11719.286169181903</v>
      </c>
      <c r="CL42" s="377">
        <f t="shared" si="211"/>
        <v>11597.23236044895</v>
      </c>
      <c r="CM42" s="388">
        <f t="shared" si="212"/>
        <v>22401.24920798474</v>
      </c>
      <c r="CN42" s="378">
        <f t="shared" ref="CN42:CN55" si="346">SUM(CB42:CM42)</f>
        <v>156882.32576755222</v>
      </c>
      <c r="CO42" s="376">
        <f t="shared" si="213"/>
        <v>4544.7908702021195</v>
      </c>
      <c r="CP42" s="377">
        <f t="shared" si="214"/>
        <v>10369.335082467425</v>
      </c>
      <c r="CQ42" s="377">
        <f t="shared" si="215"/>
        <v>14841.021149111912</v>
      </c>
      <c r="CR42" s="377">
        <f t="shared" si="216"/>
        <v>11857.677079333233</v>
      </c>
      <c r="CS42" s="377">
        <f t="shared" si="217"/>
        <v>12367.052677770036</v>
      </c>
      <c r="CT42" s="377">
        <f t="shared" si="218"/>
        <v>12426.184347784854</v>
      </c>
      <c r="CU42" s="377">
        <f t="shared" si="219"/>
        <v>14239.27909204575</v>
      </c>
      <c r="CV42" s="377">
        <f t="shared" si="220"/>
        <v>12285.615688304903</v>
      </c>
      <c r="CW42" s="377">
        <f t="shared" si="221"/>
        <v>12726.470790883579</v>
      </c>
      <c r="CX42" s="377">
        <f t="shared" si="222"/>
        <v>12892.631044104271</v>
      </c>
      <c r="CY42" s="377">
        <f t="shared" si="223"/>
        <v>12312.59342666434</v>
      </c>
      <c r="CZ42" s="388">
        <f t="shared" si="224"/>
        <v>21833.061118643149</v>
      </c>
      <c r="DA42" s="378">
        <f t="shared" ref="DA42:DA55" si="347">SUM(CO42:CZ42)</f>
        <v>152695.71236731557</v>
      </c>
      <c r="DB42" s="376">
        <f t="shared" si="225"/>
        <v>8537.9802327637099</v>
      </c>
      <c r="DC42" s="377">
        <f t="shared" si="226"/>
        <v>11708.453760544829</v>
      </c>
      <c r="DD42" s="377">
        <f t="shared" si="227"/>
        <v>15325.788786675072</v>
      </c>
      <c r="DE42" s="377">
        <f t="shared" si="228"/>
        <v>12628.308564915736</v>
      </c>
      <c r="DF42" s="377">
        <f t="shared" si="229"/>
        <v>13423.218911098464</v>
      </c>
      <c r="DG42" s="377">
        <f t="shared" si="230"/>
        <v>13565.674616768474</v>
      </c>
      <c r="DH42" s="377">
        <f t="shared" si="231"/>
        <v>13568.93567490573</v>
      </c>
      <c r="DI42" s="377">
        <f t="shared" si="232"/>
        <v>13759.92599225109</v>
      </c>
      <c r="DJ42" s="377">
        <f t="shared" si="233"/>
        <v>13302.224789631751</v>
      </c>
      <c r="DK42" s="377">
        <f t="shared" si="234"/>
        <v>13058.242955076063</v>
      </c>
      <c r="DL42" s="377">
        <f t="shared" si="235"/>
        <v>11698.130778511773</v>
      </c>
      <c r="DM42" s="388">
        <f t="shared" si="236"/>
        <v>19477.810233880544</v>
      </c>
      <c r="DN42" s="378">
        <f t="shared" ref="DN42:DN64" si="348">SUM(DB42:DM42)</f>
        <v>160054.69529702322</v>
      </c>
      <c r="DO42" s="376">
        <f t="shared" si="237"/>
        <v>9550.138463431831</v>
      </c>
      <c r="DP42" s="377">
        <f t="shared" si="238"/>
        <v>10374.797082048011</v>
      </c>
      <c r="DQ42" s="377">
        <f t="shared" si="239"/>
        <v>15477.95298567351</v>
      </c>
      <c r="DR42" s="377">
        <f t="shared" si="240"/>
        <v>11009.716879829686</v>
      </c>
      <c r="DS42" s="377">
        <f t="shared" si="241"/>
        <v>13454.986196539641</v>
      </c>
      <c r="DT42" s="377">
        <f t="shared" si="242"/>
        <v>15161.026850918532</v>
      </c>
      <c r="DU42" s="377">
        <f t="shared" si="243"/>
        <v>14263.139143626218</v>
      </c>
      <c r="DV42" s="377">
        <f t="shared" si="244"/>
        <v>13456.216442368179</v>
      </c>
      <c r="DW42" s="377">
        <f t="shared" si="245"/>
        <v>13553.573108414843</v>
      </c>
      <c r="DX42" s="377">
        <f t="shared" si="246"/>
        <v>14615.530228493128</v>
      </c>
      <c r="DY42" s="377">
        <f t="shared" si="247"/>
        <v>16581.915692843078</v>
      </c>
      <c r="DZ42" s="388">
        <f t="shared" si="248"/>
        <v>26060.362810949151</v>
      </c>
      <c r="EA42" s="378">
        <f t="shared" ref="EA42:EA64" si="349">SUM(DO42:DZ42)</f>
        <v>173559.35588513582</v>
      </c>
      <c r="EB42" s="376">
        <f t="shared" si="249"/>
        <v>10351.43558688445</v>
      </c>
      <c r="EC42" s="377">
        <f t="shared" si="250"/>
        <v>9961.5426598855847</v>
      </c>
      <c r="ED42" s="377">
        <f t="shared" si="251"/>
        <v>16295.800721794158</v>
      </c>
      <c r="EE42" s="377">
        <f t="shared" si="252"/>
        <v>13726.72704096977</v>
      </c>
      <c r="EF42" s="377">
        <f t="shared" si="253"/>
        <v>14753.531324380398</v>
      </c>
      <c r="EG42" s="377">
        <f t="shared" si="254"/>
        <v>15086.517711502178</v>
      </c>
      <c r="EH42" s="377">
        <f t="shared" si="255"/>
        <v>15067.76803737409</v>
      </c>
      <c r="EI42" s="377">
        <f t="shared" si="256"/>
        <v>14014.483766212381</v>
      </c>
      <c r="EJ42" s="377">
        <f t="shared" si="257"/>
        <v>13190.540115896843</v>
      </c>
      <c r="EK42" s="377">
        <f t="shared" si="258"/>
        <v>14779.822780571552</v>
      </c>
      <c r="EL42" s="377">
        <f t="shared" si="259"/>
        <v>16652.602293687996</v>
      </c>
      <c r="EM42" s="388">
        <f t="shared" si="260"/>
        <v>21044.485457857161</v>
      </c>
      <c r="EN42" s="378">
        <f t="shared" ref="EN42:EN64" si="350">SUM(EB42:EM42)</f>
        <v>174925.25749701654</v>
      </c>
      <c r="EO42" s="376">
        <f t="shared" si="261"/>
        <v>5911.1185129791102</v>
      </c>
      <c r="EP42" s="377">
        <f t="shared" si="262"/>
        <v>10472.71675987159</v>
      </c>
      <c r="EQ42" s="377">
        <f>+EQ8/EQ37</f>
        <v>14449.308189832735</v>
      </c>
      <c r="ER42" s="377">
        <f t="shared" si="263"/>
        <v>13565.270000205519</v>
      </c>
      <c r="ES42" s="377">
        <f t="shared" si="264"/>
        <v>16234.85882066962</v>
      </c>
      <c r="ET42" s="377">
        <f t="shared" si="265"/>
        <v>14966.757825874263</v>
      </c>
      <c r="EU42" s="377">
        <f t="shared" si="266"/>
        <v>16331.150937992961</v>
      </c>
      <c r="EV42" s="377">
        <f t="shared" si="267"/>
        <v>16456.251126820578</v>
      </c>
      <c r="EW42" s="377">
        <f t="shared" si="268"/>
        <v>14822.146372538473</v>
      </c>
      <c r="EX42" s="377">
        <f t="shared" si="269"/>
        <v>15964.271407345343</v>
      </c>
      <c r="EY42" s="377">
        <f t="shared" si="270"/>
        <v>14361.561080169595</v>
      </c>
      <c r="EZ42" s="388">
        <f t="shared" si="271"/>
        <v>24083.534731542553</v>
      </c>
      <c r="FA42" s="378">
        <f t="shared" ref="FA42:FA64" si="351">SUM(EO42:EZ42)</f>
        <v>177618.94576584233</v>
      </c>
      <c r="FB42" s="376">
        <f t="shared" si="272"/>
        <v>10961.530566376163</v>
      </c>
      <c r="FC42" s="377">
        <f t="shared" si="273"/>
        <v>11186.66034384522</v>
      </c>
      <c r="FD42" s="377">
        <f t="shared" si="274"/>
        <v>17081.464776393637</v>
      </c>
      <c r="FE42" s="377">
        <f t="shared" si="275"/>
        <v>14869.798607540153</v>
      </c>
      <c r="FF42" s="377">
        <f t="shared" si="276"/>
        <v>12024.999522948061</v>
      </c>
      <c r="FG42" s="377">
        <f t="shared" si="277"/>
        <v>13380.735858576272</v>
      </c>
      <c r="FH42" s="377">
        <f t="shared" si="278"/>
        <v>16977.07633777678</v>
      </c>
      <c r="FI42" s="377">
        <f t="shared" si="279"/>
        <v>19633.600803985035</v>
      </c>
      <c r="FJ42" s="377">
        <f t="shared" si="280"/>
        <v>26583.860736779865</v>
      </c>
      <c r="FK42" s="377">
        <f t="shared" si="281"/>
        <v>32780.546941384389</v>
      </c>
      <c r="FL42" s="377">
        <f t="shared" si="282"/>
        <v>44774.19325635695</v>
      </c>
      <c r="FM42" s="388">
        <f t="shared" si="283"/>
        <v>72185.847805064419</v>
      </c>
      <c r="FN42" s="378">
        <f t="shared" ref="FN42:FN64" si="352">SUM(FB42:FM42)</f>
        <v>292440.31555702694</v>
      </c>
      <c r="FO42" s="376">
        <f t="shared" si="284"/>
        <v>9504.1169695231893</v>
      </c>
      <c r="FP42" s="377">
        <f t="shared" si="285"/>
        <v>15644.642652130231</v>
      </c>
      <c r="FQ42" s="377">
        <f t="shared" si="286"/>
        <v>27374.082538894614</v>
      </c>
      <c r="FR42" s="377">
        <f t="shared" si="287"/>
        <v>15784.406992592734</v>
      </c>
      <c r="FS42" s="377">
        <f t="shared" si="288"/>
        <v>21874.852855422345</v>
      </c>
      <c r="FT42" s="377">
        <f t="shared" si="289"/>
        <v>23247.785067106426</v>
      </c>
      <c r="FU42" s="377">
        <f t="shared" si="290"/>
        <v>24072.039124307299</v>
      </c>
      <c r="FV42" s="377">
        <f t="shared" si="291"/>
        <v>21365.638280616968</v>
      </c>
      <c r="FW42" s="377">
        <f t="shared" si="292"/>
        <v>19595.078563655356</v>
      </c>
      <c r="FX42" s="377">
        <f t="shared" si="293"/>
        <v>20682.895769943818</v>
      </c>
      <c r="FY42" s="377">
        <f t="shared" si="294"/>
        <v>22309.272950481169</v>
      </c>
      <c r="FZ42" s="388">
        <f t="shared" si="295"/>
        <v>39839.386140982213</v>
      </c>
      <c r="GA42" s="378">
        <f t="shared" ref="GA42:GA64" si="353">SUM(FO42:FZ42)</f>
        <v>261294.19790565636</v>
      </c>
      <c r="GB42" s="376">
        <f t="shared" si="296"/>
        <v>11474.241888478611</v>
      </c>
      <c r="GC42" s="377">
        <f t="shared" si="297"/>
        <v>14431.612999519108</v>
      </c>
      <c r="GD42" s="377">
        <f t="shared" si="298"/>
        <v>23073.566499638127</v>
      </c>
      <c r="GE42" s="377">
        <f t="shared" si="299"/>
        <v>19051.136894199411</v>
      </c>
      <c r="GF42" s="377">
        <f t="shared" si="300"/>
        <v>21324.890588421113</v>
      </c>
      <c r="GG42" s="377">
        <f t="shared" si="301"/>
        <v>20644.660657019987</v>
      </c>
      <c r="GH42" s="377">
        <f t="shared" si="302"/>
        <v>27721.954556774675</v>
      </c>
      <c r="GI42" s="377">
        <f t="shared" si="303"/>
        <v>21181.962979761225</v>
      </c>
      <c r="GJ42" s="377">
        <f t="shared" si="304"/>
        <v>16211.414296640511</v>
      </c>
      <c r="GK42" s="377">
        <f t="shared" si="305"/>
        <v>18080.440997971658</v>
      </c>
      <c r="GL42" s="377">
        <f t="shared" si="306"/>
        <v>18650.938939591793</v>
      </c>
      <c r="GM42" s="388">
        <f t="shared" si="307"/>
        <v>30698.89904781208</v>
      </c>
      <c r="GN42" s="378">
        <f t="shared" ref="GN42:GN64" si="354">SUM(GB42:GM42)</f>
        <v>242545.72034582827</v>
      </c>
      <c r="GO42" s="376">
        <f t="shared" si="308"/>
        <v>6259.1488022576787</v>
      </c>
      <c r="GP42" s="377">
        <f t="shared" si="309"/>
        <v>13135.171389325935</v>
      </c>
      <c r="GQ42" s="377">
        <f t="shared" si="310"/>
        <v>19650.819678595733</v>
      </c>
      <c r="GR42" s="377">
        <f t="shared" si="311"/>
        <v>15927.955383760458</v>
      </c>
      <c r="GS42" s="377">
        <f t="shared" si="312"/>
        <v>19112.963280524462</v>
      </c>
      <c r="GT42" s="377">
        <f t="shared" si="313"/>
        <v>20511.274430971072</v>
      </c>
      <c r="GU42" s="377">
        <f t="shared" si="314"/>
        <v>26906.053164293869</v>
      </c>
      <c r="GV42" s="377">
        <f t="shared" si="315"/>
        <v>19582.163960703147</v>
      </c>
      <c r="GW42" s="377">
        <f t="shared" si="316"/>
        <v>18165.895611003354</v>
      </c>
      <c r="GX42" s="377">
        <f t="shared" si="317"/>
        <v>19127.685410063019</v>
      </c>
      <c r="GY42" s="377">
        <f t="shared" si="318"/>
        <v>17244.392510630387</v>
      </c>
      <c r="GZ42" s="388">
        <f t="shared" si="319"/>
        <v>26315.546985658799</v>
      </c>
      <c r="HA42" s="378">
        <f t="shared" ref="HA42:HA64" si="355">SUM(GO42:GZ42)</f>
        <v>221939.07060778793</v>
      </c>
      <c r="HB42" s="376">
        <f t="shared" si="320"/>
        <v>10867.217310453365</v>
      </c>
      <c r="HC42" s="377">
        <f t="shared" si="321"/>
        <v>16434.906071983522</v>
      </c>
      <c r="HD42" s="377">
        <f t="shared" si="322"/>
        <v>19412.879263551629</v>
      </c>
      <c r="HE42" s="377">
        <f t="shared" si="323"/>
        <v>19119.64729024352</v>
      </c>
      <c r="HF42" s="377">
        <f t="shared" si="324"/>
        <v>22088.174461510804</v>
      </c>
      <c r="HG42" s="377">
        <f t="shared" si="325"/>
        <v>19822.833499769753</v>
      </c>
      <c r="HH42" s="377">
        <f t="shared" si="326"/>
        <v>23291.243066771738</v>
      </c>
      <c r="HI42" s="377">
        <f t="shared" si="327"/>
        <v>20548.129339943724</v>
      </c>
      <c r="HJ42" s="377">
        <f t="shared" si="328"/>
        <v>18477.908719295549</v>
      </c>
      <c r="HK42" s="377">
        <f t="shared" si="329"/>
        <v>21542.553016785594</v>
      </c>
      <c r="HL42" s="377">
        <f t="shared" si="330"/>
        <v>19888.977333946103</v>
      </c>
      <c r="HM42" s="388">
        <f t="shared" si="331"/>
        <v>29285.599260272349</v>
      </c>
      <c r="HN42" s="378">
        <f t="shared" ref="HN42:HN64" si="356">SUM(HB42:HM42)</f>
        <v>240780.06863452762</v>
      </c>
      <c r="HO42" s="376">
        <f t="shared" si="332"/>
        <v>12956.967656863037</v>
      </c>
      <c r="HP42" s="377">
        <f t="shared" si="333"/>
        <v>16491.986228250855</v>
      </c>
      <c r="HQ42" s="377">
        <f t="shared" si="334"/>
        <v>21198.667935776168</v>
      </c>
      <c r="HR42" s="377">
        <f t="shared" si="335"/>
        <v>20690.117086869639</v>
      </c>
      <c r="HS42" s="377">
        <f t="shared" si="336"/>
        <v>22296.145951030085</v>
      </c>
      <c r="HT42" s="377">
        <f t="shared" ref="HT42:HT62" si="357">+HT8/$HT$37</f>
        <v>20500.293241145031</v>
      </c>
      <c r="HU42" s="377">
        <f t="shared" ref="HU42:HU62" si="358">+HU8/$HU$37</f>
        <v>22840.031896788903</v>
      </c>
      <c r="HV42" s="377">
        <f t="shared" ref="HV42:HV62" si="359">+HV8/$HV$37</f>
        <v>22322.100885804561</v>
      </c>
      <c r="HW42" s="377">
        <f t="shared" ref="HW42:HW62" si="360">+HW8/$HW$37</f>
        <v>20932.222240304174</v>
      </c>
      <c r="HX42" s="377">
        <f t="shared" ref="HX42:HX60" si="361">+HX8/$HX$37</f>
        <v>22052.805661191407</v>
      </c>
      <c r="HY42" s="377">
        <f t="shared" ref="HY42:HY62" si="362">+HY8/$HY$37</f>
        <v>19937.655440439452</v>
      </c>
      <c r="HZ42" s="388">
        <f>+HZ8/$HZ$37</f>
        <v>26232.96520109964</v>
      </c>
      <c r="IA42" s="376">
        <f t="shared" ref="IA42:IA63" si="363">SUM(HO42:HZ42)</f>
        <v>248451.95942556296</v>
      </c>
      <c r="IB42" s="1328">
        <f t="shared" ref="IB42:IB63" si="364">+IB8/$IB$37</f>
        <v>13667.497511068466</v>
      </c>
      <c r="IC42" s="129">
        <f t="shared" ref="IC42:IC64" si="365">+IC8/$IC$37</f>
        <v>18890.2306204776</v>
      </c>
      <c r="ID42" s="129">
        <f t="shared" ref="ID42:ID64" si="366">+ID8/$ID$37</f>
        <v>21893.940596414599</v>
      </c>
      <c r="IE42" s="129">
        <f t="shared" ref="IE42:IE64" si="367">+IE8/$IE$37</f>
        <v>19650.844670254919</v>
      </c>
      <c r="IF42" s="129">
        <f t="shared" ref="IF42:IF64" si="368">+IF8/$IF$37</f>
        <v>23486.472064296413</v>
      </c>
      <c r="IG42" s="129">
        <f t="shared" ref="IG42:IG64" si="369">+IG8/$IG$37</f>
        <v>21915.581160400739</v>
      </c>
      <c r="IH42" s="129">
        <f t="shared" ref="IH42:IH64" si="370">+IH8/$IH$37</f>
        <v>23716.404361283767</v>
      </c>
      <c r="II42" s="129">
        <f t="shared" ref="II42:II64" si="371">+II8/$II$37</f>
        <v>21666.273406463933</v>
      </c>
      <c r="IJ42" s="129"/>
      <c r="IK42" s="129"/>
      <c r="IL42" s="129"/>
      <c r="IM42" s="1268"/>
      <c r="IN42" s="1343">
        <f t="shared" ref="IN42:IN64" si="372">SUM(IB42:IM42)</f>
        <v>164887.24439066043</v>
      </c>
      <c r="IO42" s="120"/>
      <c r="IP42" s="370">
        <f t="shared" si="337"/>
        <v>-2.9380186152536014</v>
      </c>
      <c r="IQ42" s="340">
        <f t="shared" ref="IQ42:IQ55" si="373">IFERROR(((IS42/IR42)-1)*100,"")</f>
        <v>3.5097696093257857</v>
      </c>
      <c r="IR42" s="339">
        <f t="shared" si="338"/>
        <v>159296.31088252831</v>
      </c>
      <c r="IS42" s="341">
        <f t="shared" si="339"/>
        <v>164887.24439066043</v>
      </c>
      <c r="IT42" s="338"/>
      <c r="IU42" s="339">
        <f t="shared" ref="IU42:IU52" si="374">II42-HV42</f>
        <v>-655.82747934062718</v>
      </c>
    </row>
    <row r="43" spans="1:255" ht="15" customHeight="1" x14ac:dyDescent="0.2">
      <c r="A43" s="1554" t="s">
        <v>433</v>
      </c>
      <c r="B43" s="379">
        <f t="shared" si="129"/>
        <v>1727.3404322334757</v>
      </c>
      <c r="C43" s="380">
        <f t="shared" si="130"/>
        <v>1995.9258057829516</v>
      </c>
      <c r="D43" s="380">
        <f t="shared" si="131"/>
        <v>1689.3450092690032</v>
      </c>
      <c r="E43" s="380">
        <f t="shared" si="132"/>
        <v>1737.6109141995546</v>
      </c>
      <c r="F43" s="380">
        <f t="shared" si="133"/>
        <v>1619.4839768435631</v>
      </c>
      <c r="G43" s="380">
        <f t="shared" si="134"/>
        <v>1620.3754676271558</v>
      </c>
      <c r="H43" s="380">
        <f t="shared" si="135"/>
        <v>2195.5847485492195</v>
      </c>
      <c r="I43" s="380">
        <f t="shared" si="136"/>
        <v>1623.4467155524023</v>
      </c>
      <c r="J43" s="380">
        <f t="shared" si="137"/>
        <v>1569.5347343602505</v>
      </c>
      <c r="K43" s="380">
        <f t="shared" si="138"/>
        <v>1786.8462540610781</v>
      </c>
      <c r="L43" s="380">
        <f t="shared" si="139"/>
        <v>1705.6409470046337</v>
      </c>
      <c r="M43" s="389">
        <f t="shared" si="140"/>
        <v>2203.4936722512716</v>
      </c>
      <c r="N43" s="381">
        <f t="shared" si="340"/>
        <v>21474.628677734559</v>
      </c>
      <c r="O43" s="379">
        <f t="shared" si="141"/>
        <v>2020.0995037681196</v>
      </c>
      <c r="P43" s="380">
        <f t="shared" si="142"/>
        <v>2006.8059541296027</v>
      </c>
      <c r="Q43" s="380">
        <f t="shared" si="143"/>
        <v>2752.5515985600973</v>
      </c>
      <c r="R43" s="380">
        <f t="shared" si="144"/>
        <v>2236.4016393672205</v>
      </c>
      <c r="S43" s="380">
        <f t="shared" si="145"/>
        <v>2205.2304730069341</v>
      </c>
      <c r="T43" s="380">
        <f t="shared" si="146"/>
        <v>2564.845534930666</v>
      </c>
      <c r="U43" s="380">
        <f t="shared" si="147"/>
        <v>3343.5744949425289</v>
      </c>
      <c r="V43" s="380">
        <f t="shared" si="148"/>
        <v>2626.0549892303648</v>
      </c>
      <c r="W43" s="380">
        <f t="shared" si="149"/>
        <v>2619.2174144929381</v>
      </c>
      <c r="X43" s="380">
        <f t="shared" si="150"/>
        <v>2620.6741820986167</v>
      </c>
      <c r="Y43" s="380">
        <f t="shared" si="151"/>
        <v>2894.1061062293561</v>
      </c>
      <c r="Z43" s="389">
        <f t="shared" si="152"/>
        <v>3442.5863363401736</v>
      </c>
      <c r="AA43" s="381">
        <f t="shared" si="341"/>
        <v>31332.148227096615</v>
      </c>
      <c r="AB43" s="379">
        <f t="shared" si="153"/>
        <v>2921.0585026881827</v>
      </c>
      <c r="AC43" s="380">
        <f t="shared" si="154"/>
        <v>1731.1822258331447</v>
      </c>
      <c r="AD43" s="380">
        <f t="shared" si="155"/>
        <v>3984.5104039530142</v>
      </c>
      <c r="AE43" s="380">
        <f t="shared" si="156"/>
        <v>2476.5079832135148</v>
      </c>
      <c r="AF43" s="380">
        <f t="shared" si="157"/>
        <v>2679.1044943130751</v>
      </c>
      <c r="AG43" s="380">
        <f t="shared" si="158"/>
        <v>2545.8111578891367</v>
      </c>
      <c r="AH43" s="380">
        <f t="shared" si="159"/>
        <v>3433.3028137984293</v>
      </c>
      <c r="AI43" s="380">
        <f t="shared" si="160"/>
        <v>2590.9603158560785</v>
      </c>
      <c r="AJ43" s="380">
        <f t="shared" si="161"/>
        <v>2301.3697062957112</v>
      </c>
      <c r="AK43" s="380">
        <f t="shared" si="162"/>
        <v>2580.9676312266092</v>
      </c>
      <c r="AL43" s="380">
        <f t="shared" si="163"/>
        <v>2899.3601303214318</v>
      </c>
      <c r="AM43" s="389">
        <f t="shared" si="164"/>
        <v>3837.6024418396569</v>
      </c>
      <c r="AN43" s="381">
        <f t="shared" si="342"/>
        <v>33981.737807227983</v>
      </c>
      <c r="AO43" s="379">
        <f t="shared" si="165"/>
        <v>1810.655544719921</v>
      </c>
      <c r="AP43" s="380">
        <f t="shared" si="166"/>
        <v>2714.1722936417686</v>
      </c>
      <c r="AQ43" s="380">
        <f t="shared" si="167"/>
        <v>3718.8835945018991</v>
      </c>
      <c r="AR43" s="380">
        <f t="shared" si="168"/>
        <v>2693.8107653573129</v>
      </c>
      <c r="AS43" s="380">
        <f t="shared" si="169"/>
        <v>2690.8310592017256</v>
      </c>
      <c r="AT43" s="380">
        <f t="shared" si="170"/>
        <v>2585.3273814029967</v>
      </c>
      <c r="AU43" s="380">
        <f t="shared" si="171"/>
        <v>3477.9190433699378</v>
      </c>
      <c r="AV43" s="380">
        <f t="shared" si="172"/>
        <v>2757.2786583584743</v>
      </c>
      <c r="AW43" s="380">
        <f t="shared" si="173"/>
        <v>2673.6759739959657</v>
      </c>
      <c r="AX43" s="380">
        <f t="shared" si="174"/>
        <v>2757.8602633279697</v>
      </c>
      <c r="AY43" s="380">
        <f t="shared" si="175"/>
        <v>2924.9929860856137</v>
      </c>
      <c r="AZ43" s="389">
        <f t="shared" si="176"/>
        <v>3653.2597676721507</v>
      </c>
      <c r="BA43" s="381">
        <f t="shared" si="343"/>
        <v>34458.667331635741</v>
      </c>
      <c r="BB43" s="379">
        <f t="shared" si="177"/>
        <v>2560.1852127916268</v>
      </c>
      <c r="BC43" s="380">
        <f t="shared" si="178"/>
        <v>2506.6457256450221</v>
      </c>
      <c r="BD43" s="380">
        <f t="shared" si="179"/>
        <v>2740.6589177712904</v>
      </c>
      <c r="BE43" s="380">
        <f t="shared" si="180"/>
        <v>2371.278758002994</v>
      </c>
      <c r="BF43" s="380">
        <f t="shared" si="181"/>
        <v>2535.0542437219638</v>
      </c>
      <c r="BG43" s="380">
        <f t="shared" si="182"/>
        <v>2444.8006217107441</v>
      </c>
      <c r="BH43" s="380">
        <f t="shared" si="183"/>
        <v>3059.796288103837</v>
      </c>
      <c r="BI43" s="380">
        <f t="shared" si="184"/>
        <v>2564.6130967114659</v>
      </c>
      <c r="BJ43" s="380">
        <f t="shared" si="185"/>
        <v>2401.2807224703442</v>
      </c>
      <c r="BK43" s="380">
        <f t="shared" si="186"/>
        <v>2585.8901843622598</v>
      </c>
      <c r="BL43" s="380">
        <f t="shared" si="187"/>
        <v>2601.2479387843482</v>
      </c>
      <c r="BM43" s="389">
        <f t="shared" si="188"/>
        <v>3240.6202181888038</v>
      </c>
      <c r="BN43" s="381">
        <f t="shared" si="344"/>
        <v>31612.071928264697</v>
      </c>
      <c r="BO43" s="379">
        <f t="shared" si="189"/>
        <v>3974.7487072250187</v>
      </c>
      <c r="BP43" s="380">
        <f t="shared" si="190"/>
        <v>2179.2653986030928</v>
      </c>
      <c r="BQ43" s="380">
        <f t="shared" si="191"/>
        <v>2903.2219712815995</v>
      </c>
      <c r="BR43" s="380">
        <f t="shared" si="192"/>
        <v>2541.624832850413</v>
      </c>
      <c r="BS43" s="380">
        <f t="shared" si="193"/>
        <v>1996.7960599150529</v>
      </c>
      <c r="BT43" s="380">
        <f t="shared" si="194"/>
        <v>2887.105814873793</v>
      </c>
      <c r="BU43" s="380">
        <f t="shared" si="195"/>
        <v>2989.0775197716216</v>
      </c>
      <c r="BV43" s="380">
        <f t="shared" si="196"/>
        <v>2601.2936186262164</v>
      </c>
      <c r="BW43" s="380">
        <f t="shared" si="197"/>
        <v>2605.748009564174</v>
      </c>
      <c r="BX43" s="380">
        <f t="shared" si="198"/>
        <v>2808.5668186959433</v>
      </c>
      <c r="BY43" s="380">
        <f t="shared" si="199"/>
        <v>2586.0295724616749</v>
      </c>
      <c r="BZ43" s="389">
        <f t="shared" si="200"/>
        <v>3426.7482475482216</v>
      </c>
      <c r="CA43" s="381">
        <f t="shared" si="345"/>
        <v>33500.226571416824</v>
      </c>
      <c r="CB43" s="379">
        <f t="shared" si="201"/>
        <v>3200.3546266514441</v>
      </c>
      <c r="CC43" s="380">
        <f t="shared" si="202"/>
        <v>2700.5744368989667</v>
      </c>
      <c r="CD43" s="380">
        <f t="shared" si="203"/>
        <v>2837.9959185203661</v>
      </c>
      <c r="CE43" s="380">
        <f t="shared" si="204"/>
        <v>2673.7733347879334</v>
      </c>
      <c r="CF43" s="380">
        <f t="shared" si="205"/>
        <v>2553.7994507588351</v>
      </c>
      <c r="CG43" s="380">
        <f t="shared" si="206"/>
        <v>2478.1878568685511</v>
      </c>
      <c r="CH43" s="380">
        <f t="shared" si="207"/>
        <v>3539.9208304141548</v>
      </c>
      <c r="CI43" s="380">
        <f t="shared" si="208"/>
        <v>2749.4150508691741</v>
      </c>
      <c r="CJ43" s="380">
        <f t="shared" si="209"/>
        <v>2564.7103527955765</v>
      </c>
      <c r="CK43" s="380">
        <f t="shared" si="210"/>
        <v>2788.205294301496</v>
      </c>
      <c r="CL43" s="380">
        <f t="shared" si="211"/>
        <v>2691.3974405695581</v>
      </c>
      <c r="CM43" s="389">
        <f t="shared" si="212"/>
        <v>4226.6062341042334</v>
      </c>
      <c r="CN43" s="381">
        <f t="shared" si="346"/>
        <v>35004.940827540289</v>
      </c>
      <c r="CO43" s="379">
        <f t="shared" si="213"/>
        <v>2398.5304748152985</v>
      </c>
      <c r="CP43" s="380">
        <f t="shared" si="214"/>
        <v>3114.5615046703961</v>
      </c>
      <c r="CQ43" s="380">
        <f t="shared" si="215"/>
        <v>3115.9534579246229</v>
      </c>
      <c r="CR43" s="380">
        <f t="shared" si="216"/>
        <v>2678.5894525956569</v>
      </c>
      <c r="CS43" s="380">
        <f t="shared" si="217"/>
        <v>2569.6971493641136</v>
      </c>
      <c r="CT43" s="380">
        <f t="shared" si="218"/>
        <v>2546.6576139389781</v>
      </c>
      <c r="CU43" s="380">
        <f t="shared" si="219"/>
        <v>3330.905973329865</v>
      </c>
      <c r="CV43" s="380">
        <f t="shared" si="220"/>
        <v>2496.717312795276</v>
      </c>
      <c r="CW43" s="380">
        <f t="shared" si="221"/>
        <v>2645.9245450751432</v>
      </c>
      <c r="CX43" s="380">
        <f t="shared" si="222"/>
        <v>2720.5192209686447</v>
      </c>
      <c r="CY43" s="380">
        <f t="shared" si="223"/>
        <v>2582.5159042329869</v>
      </c>
      <c r="CZ43" s="389">
        <f t="shared" si="224"/>
        <v>3839.4512661489557</v>
      </c>
      <c r="DA43" s="381">
        <f t="shared" si="347"/>
        <v>34040.023875859937</v>
      </c>
      <c r="DB43" s="379">
        <f t="shared" si="225"/>
        <v>3032.5871881927601</v>
      </c>
      <c r="DC43" s="380">
        <f t="shared" si="226"/>
        <v>2323.088045128281</v>
      </c>
      <c r="DD43" s="380">
        <f t="shared" si="227"/>
        <v>2979.5588202565723</v>
      </c>
      <c r="DE43" s="380">
        <f t="shared" si="228"/>
        <v>2473.7706823940498</v>
      </c>
      <c r="DF43" s="380">
        <f t="shared" si="229"/>
        <v>2411.2987745743335</v>
      </c>
      <c r="DG43" s="380">
        <f t="shared" si="230"/>
        <v>2300.1987301339173</v>
      </c>
      <c r="DH43" s="380">
        <f t="shared" si="231"/>
        <v>3265.6607962528888</v>
      </c>
      <c r="DI43" s="380">
        <f t="shared" si="232"/>
        <v>2560.8463490578042</v>
      </c>
      <c r="DJ43" s="380">
        <f t="shared" si="233"/>
        <v>2429.9941183878655</v>
      </c>
      <c r="DK43" s="380">
        <f t="shared" si="234"/>
        <v>2791.3161346857969</v>
      </c>
      <c r="DL43" s="380">
        <f t="shared" si="235"/>
        <v>2590.4626963632186</v>
      </c>
      <c r="DM43" s="389">
        <f t="shared" si="236"/>
        <v>3261.4007833474398</v>
      </c>
      <c r="DN43" s="381">
        <f t="shared" si="348"/>
        <v>32420.183118774927</v>
      </c>
      <c r="DO43" s="379">
        <f t="shared" si="237"/>
        <v>3026.1905594267696</v>
      </c>
      <c r="DP43" s="380">
        <f t="shared" si="238"/>
        <v>2030.6413056249432</v>
      </c>
      <c r="DQ43" s="380">
        <f t="shared" si="239"/>
        <v>3017.2720546188061</v>
      </c>
      <c r="DR43" s="380">
        <f t="shared" si="240"/>
        <v>2505.9671691075996</v>
      </c>
      <c r="DS43" s="380">
        <f t="shared" si="241"/>
        <v>2464.5450485047922</v>
      </c>
      <c r="DT43" s="380">
        <f t="shared" si="242"/>
        <v>2344.8167660851959</v>
      </c>
      <c r="DU43" s="380">
        <f t="shared" si="243"/>
        <v>3217.1463139241928</v>
      </c>
      <c r="DV43" s="380">
        <f t="shared" si="244"/>
        <v>2429.2460865744865</v>
      </c>
      <c r="DW43" s="380">
        <f t="shared" si="245"/>
        <v>2394.5912804379682</v>
      </c>
      <c r="DX43" s="380">
        <f t="shared" si="246"/>
        <v>2800.0369980242699</v>
      </c>
      <c r="DY43" s="380">
        <f t="shared" si="247"/>
        <v>2605.6574100000289</v>
      </c>
      <c r="DZ43" s="389">
        <f t="shared" si="248"/>
        <v>3434.0599239720568</v>
      </c>
      <c r="EA43" s="381">
        <f t="shared" si="349"/>
        <v>32270.170916301111</v>
      </c>
      <c r="EB43" s="379">
        <f t="shared" si="249"/>
        <v>3263.3046467311501</v>
      </c>
      <c r="EC43" s="380">
        <f t="shared" si="250"/>
        <v>2140.6688775316416</v>
      </c>
      <c r="ED43" s="380">
        <f t="shared" si="251"/>
        <v>3252.1570375760925</v>
      </c>
      <c r="EE43" s="380">
        <f t="shared" si="252"/>
        <v>2672.7831038485087</v>
      </c>
      <c r="EF43" s="380">
        <f t="shared" si="253"/>
        <v>2666.5249622213155</v>
      </c>
      <c r="EG43" s="380">
        <f t="shared" si="254"/>
        <v>2603.5581473196471</v>
      </c>
      <c r="EH43" s="380">
        <f t="shared" si="255"/>
        <v>3338.9207815020377</v>
      </c>
      <c r="EI43" s="380">
        <f t="shared" si="256"/>
        <v>2639.289202162206</v>
      </c>
      <c r="EJ43" s="380">
        <f t="shared" si="257"/>
        <v>2422.5499402202768</v>
      </c>
      <c r="EK43" s="380">
        <f t="shared" si="258"/>
        <v>2898.2264510350956</v>
      </c>
      <c r="EL43" s="380">
        <f t="shared" si="259"/>
        <v>2788.7437359798341</v>
      </c>
      <c r="EM43" s="389">
        <f t="shared" si="260"/>
        <v>4070.4864433587818</v>
      </c>
      <c r="EN43" s="381">
        <f t="shared" si="350"/>
        <v>34757.213329486585</v>
      </c>
      <c r="EO43" s="379">
        <f t="shared" si="261"/>
        <v>2843.8225499532177</v>
      </c>
      <c r="EP43" s="380">
        <f t="shared" si="262"/>
        <v>2492.3305768030541</v>
      </c>
      <c r="EQ43" s="380">
        <f>+EQ9/EQ37</f>
        <v>2865.6781104974707</v>
      </c>
      <c r="ER43" s="380">
        <f t="shared" si="263"/>
        <v>2703.7068196018199</v>
      </c>
      <c r="ES43" s="380">
        <f t="shared" si="264"/>
        <v>2461.4522747542337</v>
      </c>
      <c r="ET43" s="380">
        <f t="shared" si="265"/>
        <v>2396.7447671226287</v>
      </c>
      <c r="EU43" s="380">
        <f t="shared" si="266"/>
        <v>3478.7097810235082</v>
      </c>
      <c r="EV43" s="380">
        <f t="shared" si="267"/>
        <v>2592.8660350662922</v>
      </c>
      <c r="EW43" s="380">
        <f t="shared" si="268"/>
        <v>2598.1688162754476</v>
      </c>
      <c r="EX43" s="380">
        <f t="shared" si="269"/>
        <v>2952.9769880381259</v>
      </c>
      <c r="EY43" s="380">
        <f t="shared" si="270"/>
        <v>2943.4887287778761</v>
      </c>
      <c r="EZ43" s="389">
        <f t="shared" si="271"/>
        <v>3630.9793229739489</v>
      </c>
      <c r="FA43" s="381">
        <f t="shared" si="351"/>
        <v>33960.924770887628</v>
      </c>
      <c r="FB43" s="379">
        <f t="shared" si="272"/>
        <v>3358.6207151363396</v>
      </c>
      <c r="FC43" s="380">
        <f t="shared" si="273"/>
        <v>2222.821885494137</v>
      </c>
      <c r="FD43" s="380">
        <f t="shared" si="274"/>
        <v>3309.611031548659</v>
      </c>
      <c r="FE43" s="380">
        <f t="shared" si="275"/>
        <v>2586.2010215401679</v>
      </c>
      <c r="FF43" s="380">
        <f t="shared" si="276"/>
        <v>2669.3322408502154</v>
      </c>
      <c r="FG43" s="380">
        <f t="shared" si="277"/>
        <v>2502.2394696809297</v>
      </c>
      <c r="FH43" s="380">
        <f t="shared" si="278"/>
        <v>3283.9244278175111</v>
      </c>
      <c r="FI43" s="380">
        <f t="shared" si="279"/>
        <v>2860.7827839999095</v>
      </c>
      <c r="FJ43" s="380">
        <f t="shared" si="280"/>
        <v>2735.9009919470814</v>
      </c>
      <c r="FK43" s="380">
        <f t="shared" si="281"/>
        <v>2992.7748967690341</v>
      </c>
      <c r="FL43" s="380">
        <f t="shared" si="282"/>
        <v>2811.5481671277944</v>
      </c>
      <c r="FM43" s="389">
        <f t="shared" si="283"/>
        <v>4579.4673060369969</v>
      </c>
      <c r="FN43" s="381">
        <f t="shared" si="352"/>
        <v>35913.224937948777</v>
      </c>
      <c r="FO43" s="379">
        <f t="shared" si="284"/>
        <v>3344.1659624715689</v>
      </c>
      <c r="FP43" s="380">
        <f t="shared" si="285"/>
        <v>2563.688799354818</v>
      </c>
      <c r="FQ43" s="380">
        <f t="shared" si="286"/>
        <v>3047.5876269924479</v>
      </c>
      <c r="FR43" s="380">
        <f t="shared" si="287"/>
        <v>2705.6495286288696</v>
      </c>
      <c r="FS43" s="380">
        <f t="shared" si="288"/>
        <v>2938.2036727895265</v>
      </c>
      <c r="FT43" s="380">
        <f t="shared" si="289"/>
        <v>2750.8671600890107</v>
      </c>
      <c r="FU43" s="380">
        <f t="shared" si="290"/>
        <v>3662.2924631924129</v>
      </c>
      <c r="FV43" s="380">
        <f t="shared" si="291"/>
        <v>2640.8945395346318</v>
      </c>
      <c r="FW43" s="380">
        <f t="shared" si="292"/>
        <v>2562.228667880348</v>
      </c>
      <c r="FX43" s="380">
        <f t="shared" si="293"/>
        <v>2916.537370691522</v>
      </c>
      <c r="FY43" s="380">
        <f t="shared" si="294"/>
        <v>2788.4180174136668</v>
      </c>
      <c r="FZ43" s="389">
        <f t="shared" si="295"/>
        <v>3936.8570951191587</v>
      </c>
      <c r="GA43" s="381">
        <f t="shared" si="353"/>
        <v>35857.390904157983</v>
      </c>
      <c r="GB43" s="379">
        <f t="shared" si="296"/>
        <v>3339.0279846648141</v>
      </c>
      <c r="GC43" s="380">
        <f t="shared" si="297"/>
        <v>2589.9471988036139</v>
      </c>
      <c r="GD43" s="380">
        <f t="shared" si="298"/>
        <v>3179.2558097758338</v>
      </c>
      <c r="GE43" s="380">
        <f t="shared" si="299"/>
        <v>2611.6742724712676</v>
      </c>
      <c r="GF43" s="380">
        <f t="shared" si="300"/>
        <v>2850.2832194101034</v>
      </c>
      <c r="GG43" s="380">
        <f t="shared" si="301"/>
        <v>2447.7927282935075</v>
      </c>
      <c r="GH43" s="380">
        <f t="shared" si="302"/>
        <v>3511.9196256677678</v>
      </c>
      <c r="GI43" s="380">
        <f t="shared" si="303"/>
        <v>2469.5758172515716</v>
      </c>
      <c r="GJ43" s="380">
        <f t="shared" si="304"/>
        <v>2248.6781183962935</v>
      </c>
      <c r="GK43" s="380">
        <f t="shared" si="305"/>
        <v>2755.1545498590208</v>
      </c>
      <c r="GL43" s="380">
        <f t="shared" si="306"/>
        <v>2671.5344542501307</v>
      </c>
      <c r="GM43" s="389">
        <f t="shared" si="307"/>
        <v>4655.3055695635931</v>
      </c>
      <c r="GN43" s="381">
        <f t="shared" si="354"/>
        <v>35330.149348407518</v>
      </c>
      <c r="GO43" s="379">
        <f t="shared" si="308"/>
        <v>2535.3514135727305</v>
      </c>
      <c r="GP43" s="380">
        <f t="shared" si="309"/>
        <v>3040.6464643561239</v>
      </c>
      <c r="GQ43" s="380">
        <f t="shared" si="310"/>
        <v>2671.9335110043553</v>
      </c>
      <c r="GR43" s="380">
        <f t="shared" si="311"/>
        <v>2719.7013991972894</v>
      </c>
      <c r="GS43" s="380">
        <f t="shared" si="312"/>
        <v>2820.4525712665068</v>
      </c>
      <c r="GT43" s="380">
        <f t="shared" si="313"/>
        <v>2546.9829696509059</v>
      </c>
      <c r="GU43" s="380">
        <f t="shared" si="314"/>
        <v>3824.7792458036911</v>
      </c>
      <c r="GV43" s="380">
        <f t="shared" si="315"/>
        <v>2532.0389373472576</v>
      </c>
      <c r="GW43" s="380">
        <f t="shared" si="316"/>
        <v>2596.4291273161698</v>
      </c>
      <c r="GX43" s="380">
        <f t="shared" si="317"/>
        <v>2896.5939270844547</v>
      </c>
      <c r="GY43" s="380">
        <f t="shared" si="318"/>
        <v>2938.4165697120211</v>
      </c>
      <c r="GZ43" s="389">
        <f t="shared" si="319"/>
        <v>4602.4008333796046</v>
      </c>
      <c r="HA43" s="381">
        <f t="shared" si="355"/>
        <v>35725.72696969111</v>
      </c>
      <c r="HB43" s="379">
        <f t="shared" si="320"/>
        <v>6058.4166945121824</v>
      </c>
      <c r="HC43" s="380">
        <f t="shared" si="321"/>
        <v>5475.8476721899806</v>
      </c>
      <c r="HD43" s="380">
        <f t="shared" si="322"/>
        <v>5455.2988751074154</v>
      </c>
      <c r="HE43" s="380">
        <f t="shared" si="323"/>
        <v>5664.4781165338109</v>
      </c>
      <c r="HF43" s="380">
        <f t="shared" si="324"/>
        <v>6103.6290616117767</v>
      </c>
      <c r="HG43" s="380">
        <f t="shared" si="325"/>
        <v>5478.8303991866096</v>
      </c>
      <c r="HH43" s="380">
        <f t="shared" si="326"/>
        <v>7232.0403536258727</v>
      </c>
      <c r="HI43" s="380">
        <f t="shared" si="327"/>
        <v>5513.4978994087242</v>
      </c>
      <c r="HJ43" s="380">
        <f t="shared" si="328"/>
        <v>5473.6309402749939</v>
      </c>
      <c r="HK43" s="380">
        <f t="shared" si="329"/>
        <v>5831.2227101095405</v>
      </c>
      <c r="HL43" s="380">
        <f t="shared" si="330"/>
        <v>5884.7033211793732</v>
      </c>
      <c r="HM43" s="389">
        <f t="shared" si="331"/>
        <v>7398.9141108152653</v>
      </c>
      <c r="HN43" s="381">
        <f t="shared" si="356"/>
        <v>71570.510154555537</v>
      </c>
      <c r="HO43" s="379">
        <f t="shared" si="332"/>
        <v>6911.2774140698748</v>
      </c>
      <c r="HP43" s="380">
        <f t="shared" si="333"/>
        <v>5913.6746556529961</v>
      </c>
      <c r="HQ43" s="380">
        <f t="shared" si="334"/>
        <v>6176.7396557795491</v>
      </c>
      <c r="HR43" s="380">
        <f t="shared" si="335"/>
        <v>6068.7404674145264</v>
      </c>
      <c r="HS43" s="380">
        <f t="shared" si="336"/>
        <v>6534.0109722754714</v>
      </c>
      <c r="HT43" s="380">
        <f t="shared" si="357"/>
        <v>5997.2208801165389</v>
      </c>
      <c r="HU43" s="380">
        <f t="shared" si="358"/>
        <v>8257.4484174939262</v>
      </c>
      <c r="HV43" s="380">
        <f t="shared" si="359"/>
        <v>5882.2237026345792</v>
      </c>
      <c r="HW43" s="380">
        <f t="shared" si="360"/>
        <v>6041.642509656037</v>
      </c>
      <c r="HX43" s="380">
        <f>+HX9/$HX$37</f>
        <v>6308.9283244706721</v>
      </c>
      <c r="HY43" s="380">
        <f t="shared" si="362"/>
        <v>6469.710986746546</v>
      </c>
      <c r="HZ43" s="389">
        <f t="shared" ref="HZ43:HZ62" si="375">+HZ9/$HZ$37</f>
        <v>8031.5890646955158</v>
      </c>
      <c r="IA43" s="379">
        <f>SUM(HO43:HZ43)</f>
        <v>78593.207051006233</v>
      </c>
      <c r="IB43" s="1344">
        <f t="shared" si="364"/>
        <v>7250.5145095526541</v>
      </c>
      <c r="IC43" s="120">
        <f t="shared" si="365"/>
        <v>6678.2540466104247</v>
      </c>
      <c r="ID43" s="120">
        <f t="shared" si="366"/>
        <v>6346.4639615273773</v>
      </c>
      <c r="IE43" s="120">
        <f t="shared" si="367"/>
        <v>6196.9006319402515</v>
      </c>
      <c r="IF43" s="120">
        <f t="shared" si="368"/>
        <v>6794.6178205152328</v>
      </c>
      <c r="IG43" s="120">
        <f t="shared" si="369"/>
        <v>5986.8582909630486</v>
      </c>
      <c r="IH43" s="120">
        <f t="shared" si="370"/>
        <v>8203.8308991493195</v>
      </c>
      <c r="II43" s="120">
        <f t="shared" si="371"/>
        <v>5983.3340566266925</v>
      </c>
      <c r="IJ43" s="120"/>
      <c r="IK43" s="120"/>
      <c r="IL43" s="120"/>
      <c r="IM43" s="1345"/>
      <c r="IN43" s="1346">
        <f t="shared" si="372"/>
        <v>53440.774216885002</v>
      </c>
      <c r="IO43" s="120"/>
      <c r="IP43" s="371">
        <f t="shared" si="337"/>
        <v>1.7189137833507839</v>
      </c>
      <c r="IQ43" s="348">
        <f>IFERROR(((IS43/IR43)-1)*100,"")</f>
        <v>3.2844881431236539</v>
      </c>
      <c r="IR43" s="320">
        <f t="shared" si="338"/>
        <v>51741.33616543746</v>
      </c>
      <c r="IS43" s="344">
        <f t="shared" si="339"/>
        <v>53440.774216885002</v>
      </c>
      <c r="IU43" s="1677">
        <f t="shared" si="374"/>
        <v>101.11035399211323</v>
      </c>
    </row>
    <row r="44" spans="1:255" ht="15" customHeight="1" x14ac:dyDescent="0.2">
      <c r="A44" s="1554" t="s">
        <v>326</v>
      </c>
      <c r="B44" s="379">
        <f t="shared" si="129"/>
        <v>93.951660903350515</v>
      </c>
      <c r="C44" s="380">
        <f t="shared" si="130"/>
        <v>132.86775286310223</v>
      </c>
      <c r="D44" s="380">
        <f t="shared" si="131"/>
        <v>122.86145521956387</v>
      </c>
      <c r="E44" s="380">
        <f t="shared" si="132"/>
        <v>120.76060407564471</v>
      </c>
      <c r="F44" s="380">
        <f t="shared" si="133"/>
        <v>96.443326451179175</v>
      </c>
      <c r="G44" s="380">
        <f t="shared" si="134"/>
        <v>102.3395032185572</v>
      </c>
      <c r="H44" s="380">
        <f t="shared" si="135"/>
        <v>150.76976814071895</v>
      </c>
      <c r="I44" s="380">
        <f t="shared" si="136"/>
        <v>106.79337886495895</v>
      </c>
      <c r="J44" s="380">
        <f t="shared" si="137"/>
        <v>93.14746197983682</v>
      </c>
      <c r="K44" s="380">
        <f t="shared" si="138"/>
        <v>115.72838433038071</v>
      </c>
      <c r="L44" s="380">
        <f t="shared" si="139"/>
        <v>99.680315084686384</v>
      </c>
      <c r="M44" s="389">
        <f t="shared" si="140"/>
        <v>95.644132685364028</v>
      </c>
      <c r="N44" s="381">
        <f t="shared" si="340"/>
        <v>1330.9877438173435</v>
      </c>
      <c r="O44" s="379">
        <f t="shared" si="141"/>
        <v>536.4884539338708</v>
      </c>
      <c r="P44" s="380">
        <f t="shared" si="142"/>
        <v>993.75045186170428</v>
      </c>
      <c r="Q44" s="380">
        <f t="shared" si="143"/>
        <v>867.44304952958805</v>
      </c>
      <c r="R44" s="380">
        <f t="shared" si="144"/>
        <v>831.5531075124635</v>
      </c>
      <c r="S44" s="380">
        <f t="shared" si="145"/>
        <v>894.18568411083004</v>
      </c>
      <c r="T44" s="380">
        <f t="shared" si="146"/>
        <v>1194.1700178763208</v>
      </c>
      <c r="U44" s="380">
        <f t="shared" si="147"/>
        <v>1161.6260457182332</v>
      </c>
      <c r="V44" s="380">
        <f t="shared" si="148"/>
        <v>1284.5233963427238</v>
      </c>
      <c r="W44" s="380">
        <f t="shared" si="149"/>
        <v>1074.9282994124217</v>
      </c>
      <c r="X44" s="380">
        <f t="shared" si="150"/>
        <v>987.23397810379322</v>
      </c>
      <c r="Y44" s="380">
        <f t="shared" si="151"/>
        <v>903.66047577654308</v>
      </c>
      <c r="Z44" s="389">
        <f t="shared" si="152"/>
        <v>1620.850001682144</v>
      </c>
      <c r="AA44" s="381">
        <f t="shared" si="341"/>
        <v>12350.412961860637</v>
      </c>
      <c r="AB44" s="379">
        <f t="shared" si="153"/>
        <v>535.92369523333593</v>
      </c>
      <c r="AC44" s="380">
        <f t="shared" si="154"/>
        <v>775.79572100263624</v>
      </c>
      <c r="AD44" s="380">
        <f t="shared" si="155"/>
        <v>1028.1727736415376</v>
      </c>
      <c r="AE44" s="380">
        <f t="shared" si="156"/>
        <v>984.24152140192166</v>
      </c>
      <c r="AF44" s="380">
        <f t="shared" si="157"/>
        <v>1079.8015068449652</v>
      </c>
      <c r="AG44" s="380">
        <f t="shared" si="158"/>
        <v>1010.1851024377144</v>
      </c>
      <c r="AH44" s="380">
        <f t="shared" si="159"/>
        <v>1157.0500821304943</v>
      </c>
      <c r="AI44" s="380">
        <f t="shared" si="160"/>
        <v>1099.1135852556311</v>
      </c>
      <c r="AJ44" s="380">
        <f t="shared" si="161"/>
        <v>1105.7362260717675</v>
      </c>
      <c r="AK44" s="380">
        <f t="shared" si="162"/>
        <v>927.23985356240235</v>
      </c>
      <c r="AL44" s="380">
        <f t="shared" si="163"/>
        <v>1395.2214225390312</v>
      </c>
      <c r="AM44" s="389">
        <f t="shared" si="164"/>
        <v>1278.6017969416605</v>
      </c>
      <c r="AN44" s="381">
        <f t="shared" si="342"/>
        <v>12377.083287063097</v>
      </c>
      <c r="AO44" s="379">
        <f t="shared" si="165"/>
        <v>237.18424090498223</v>
      </c>
      <c r="AP44" s="380">
        <f t="shared" si="166"/>
        <v>948.71199751473125</v>
      </c>
      <c r="AQ44" s="380">
        <f t="shared" si="167"/>
        <v>922.63731082642357</v>
      </c>
      <c r="AR44" s="380">
        <f t="shared" si="168"/>
        <v>724.6817076899855</v>
      </c>
      <c r="AS44" s="380">
        <f t="shared" si="169"/>
        <v>1018.6277759253345</v>
      </c>
      <c r="AT44" s="380">
        <f t="shared" si="170"/>
        <v>961.36918941362285</v>
      </c>
      <c r="AU44" s="380">
        <f t="shared" si="171"/>
        <v>1002.6590373214913</v>
      </c>
      <c r="AV44" s="380">
        <f t="shared" si="172"/>
        <v>1037.3489244470704</v>
      </c>
      <c r="AW44" s="380">
        <f t="shared" si="173"/>
        <v>1420.4716114681971</v>
      </c>
      <c r="AX44" s="380">
        <f t="shared" si="174"/>
        <v>1089.4930426242386</v>
      </c>
      <c r="AY44" s="380">
        <f t="shared" si="175"/>
        <v>1429.8053949630264</v>
      </c>
      <c r="AZ44" s="389">
        <f t="shared" si="176"/>
        <v>2311.3860531021078</v>
      </c>
      <c r="BA44" s="381">
        <f t="shared" si="343"/>
        <v>13104.376286201212</v>
      </c>
      <c r="BB44" s="379">
        <f t="shared" si="177"/>
        <v>523.03012230462957</v>
      </c>
      <c r="BC44" s="380">
        <f t="shared" si="178"/>
        <v>960.53842355659663</v>
      </c>
      <c r="BD44" s="380">
        <f t="shared" si="179"/>
        <v>829.16401232014243</v>
      </c>
      <c r="BE44" s="380">
        <f t="shared" si="180"/>
        <v>480.84733189725711</v>
      </c>
      <c r="BF44" s="380">
        <f t="shared" si="181"/>
        <v>914.0048956038537</v>
      </c>
      <c r="BG44" s="380">
        <f t="shared" si="182"/>
        <v>927.89183637690871</v>
      </c>
      <c r="BH44" s="380">
        <f t="shared" si="183"/>
        <v>1030.0638718230357</v>
      </c>
      <c r="BI44" s="380">
        <f t="shared" si="184"/>
        <v>1068.5187877553176</v>
      </c>
      <c r="BJ44" s="380">
        <f t="shared" si="185"/>
        <v>1154.6868331433598</v>
      </c>
      <c r="BK44" s="380">
        <f t="shared" si="186"/>
        <v>1090.4255372893283</v>
      </c>
      <c r="BL44" s="380">
        <f t="shared" si="187"/>
        <v>1104.5247368936116</v>
      </c>
      <c r="BM44" s="389">
        <f t="shared" si="188"/>
        <v>1636.6093338183332</v>
      </c>
      <c r="BN44" s="381">
        <f t="shared" si="344"/>
        <v>11720.305722782372</v>
      </c>
      <c r="BO44" s="379">
        <f t="shared" si="189"/>
        <v>255.46589044546434</v>
      </c>
      <c r="BP44" s="380">
        <f t="shared" si="190"/>
        <v>802.18358230788692</v>
      </c>
      <c r="BQ44" s="380">
        <f t="shared" si="191"/>
        <v>874.44449562845659</v>
      </c>
      <c r="BR44" s="380">
        <f t="shared" si="192"/>
        <v>883.00193250474206</v>
      </c>
      <c r="BS44" s="380">
        <f t="shared" si="193"/>
        <v>947.28268903484548</v>
      </c>
      <c r="BT44" s="380">
        <f t="shared" si="194"/>
        <v>850.26129666177792</v>
      </c>
      <c r="BU44" s="380">
        <f t="shared" si="195"/>
        <v>1027.9809691800078</v>
      </c>
      <c r="BV44" s="380">
        <f t="shared" si="196"/>
        <v>1047.6754786712215</v>
      </c>
      <c r="BW44" s="380">
        <f t="shared" si="197"/>
        <v>757.26758494350179</v>
      </c>
      <c r="BX44" s="380">
        <f t="shared" si="198"/>
        <v>1207.7324636786777</v>
      </c>
      <c r="BY44" s="380">
        <f t="shared" si="199"/>
        <v>858.75391845988895</v>
      </c>
      <c r="BZ44" s="389">
        <f t="shared" si="200"/>
        <v>1622.7688523485413</v>
      </c>
      <c r="CA44" s="381">
        <f t="shared" si="345"/>
        <v>11134.819153865012</v>
      </c>
      <c r="CB44" s="379">
        <f t="shared" si="201"/>
        <v>233.28325296775901</v>
      </c>
      <c r="CC44" s="380">
        <f t="shared" si="202"/>
        <v>876.03607255398799</v>
      </c>
      <c r="CD44" s="380">
        <f t="shared" si="203"/>
        <v>976.4372070777099</v>
      </c>
      <c r="CE44" s="380">
        <f t="shared" si="204"/>
        <v>784.33876099568442</v>
      </c>
      <c r="CF44" s="380">
        <f t="shared" si="205"/>
        <v>882.84401212330044</v>
      </c>
      <c r="CG44" s="380">
        <f t="shared" si="206"/>
        <v>826.59248593434677</v>
      </c>
      <c r="CH44" s="380">
        <f t="shared" si="207"/>
        <v>872.91139636637888</v>
      </c>
      <c r="CI44" s="380">
        <f t="shared" si="208"/>
        <v>933.89811148797355</v>
      </c>
      <c r="CJ44" s="380">
        <f t="shared" si="209"/>
        <v>786.89078045994415</v>
      </c>
      <c r="CK44" s="380">
        <f t="shared" si="210"/>
        <v>1236.9263385287791</v>
      </c>
      <c r="CL44" s="380">
        <f t="shared" si="211"/>
        <v>1334.2577167995084</v>
      </c>
      <c r="CM44" s="389">
        <f t="shared" si="212"/>
        <v>1295.7708812321787</v>
      </c>
      <c r="CN44" s="381">
        <f t="shared" si="346"/>
        <v>11040.187016527549</v>
      </c>
      <c r="CO44" s="379">
        <f t="shared" si="213"/>
        <v>138.31630523181275</v>
      </c>
      <c r="CP44" s="380">
        <f t="shared" si="214"/>
        <v>688.72944971201957</v>
      </c>
      <c r="CQ44" s="380">
        <f t="shared" si="215"/>
        <v>861.61128809096135</v>
      </c>
      <c r="CR44" s="380">
        <f t="shared" si="216"/>
        <v>661.5139943657291</v>
      </c>
      <c r="CS44" s="380">
        <f t="shared" si="217"/>
        <v>542.28620897851795</v>
      </c>
      <c r="CT44" s="380">
        <f t="shared" si="218"/>
        <v>753.93963728913968</v>
      </c>
      <c r="CU44" s="380">
        <f t="shared" si="219"/>
        <v>1245.0770607054496</v>
      </c>
      <c r="CV44" s="380">
        <f t="shared" si="220"/>
        <v>873.35613228916782</v>
      </c>
      <c r="CW44" s="380">
        <f t="shared" si="221"/>
        <v>1153.976297564418</v>
      </c>
      <c r="CX44" s="380">
        <f t="shared" si="222"/>
        <v>1349.997802861222</v>
      </c>
      <c r="CY44" s="380">
        <f t="shared" si="223"/>
        <v>1169.6698609961079</v>
      </c>
      <c r="CZ44" s="389">
        <f t="shared" si="224"/>
        <v>1291.1295556171699</v>
      </c>
      <c r="DA44" s="381">
        <f t="shared" si="347"/>
        <v>10729.603593701715</v>
      </c>
      <c r="DB44" s="379">
        <f t="shared" si="225"/>
        <v>215.64730500776068</v>
      </c>
      <c r="DC44" s="380">
        <f t="shared" si="226"/>
        <v>662.3463816106788</v>
      </c>
      <c r="DD44" s="380">
        <f t="shared" si="227"/>
        <v>744.88970506414307</v>
      </c>
      <c r="DE44" s="380">
        <f t="shared" si="228"/>
        <v>873.79723923020686</v>
      </c>
      <c r="DF44" s="380">
        <f t="shared" si="229"/>
        <v>684.47851669496652</v>
      </c>
      <c r="DG44" s="380">
        <f t="shared" si="230"/>
        <v>821.71182026101826</v>
      </c>
      <c r="DH44" s="380">
        <f t="shared" si="231"/>
        <v>890.83722562024707</v>
      </c>
      <c r="DI44" s="380">
        <f t="shared" si="232"/>
        <v>843.99933110195104</v>
      </c>
      <c r="DJ44" s="380">
        <f t="shared" si="233"/>
        <v>894.6393898803442</v>
      </c>
      <c r="DK44" s="380">
        <f t="shared" si="234"/>
        <v>1010.0785802102409</v>
      </c>
      <c r="DL44" s="380">
        <f t="shared" si="235"/>
        <v>1059.9346516528619</v>
      </c>
      <c r="DM44" s="389">
        <f t="shared" si="236"/>
        <v>1402.0224245617692</v>
      </c>
      <c r="DN44" s="381">
        <f t="shared" si="348"/>
        <v>10104.382570896189</v>
      </c>
      <c r="DO44" s="379">
        <f t="shared" si="237"/>
        <v>232.50356176713379</v>
      </c>
      <c r="DP44" s="380">
        <f t="shared" si="238"/>
        <v>565.23754410597701</v>
      </c>
      <c r="DQ44" s="380">
        <f t="shared" si="239"/>
        <v>900.80667948686005</v>
      </c>
      <c r="DR44" s="380">
        <f t="shared" si="240"/>
        <v>610.49243230196612</v>
      </c>
      <c r="DS44" s="380">
        <f t="shared" si="241"/>
        <v>1044.1641195833372</v>
      </c>
      <c r="DT44" s="380">
        <f t="shared" si="242"/>
        <v>871.53121626547227</v>
      </c>
      <c r="DU44" s="380">
        <f t="shared" si="243"/>
        <v>977.34263160272769</v>
      </c>
      <c r="DV44" s="380">
        <f t="shared" si="244"/>
        <v>869.02191762936172</v>
      </c>
      <c r="DW44" s="380">
        <f t="shared" si="245"/>
        <v>960.27485010675036</v>
      </c>
      <c r="DX44" s="380">
        <f t="shared" si="246"/>
        <v>910.76859637227926</v>
      </c>
      <c r="DY44" s="380">
        <f t="shared" si="247"/>
        <v>933.53145778055898</v>
      </c>
      <c r="DZ44" s="389">
        <f t="shared" si="248"/>
        <v>1108.6448705014743</v>
      </c>
      <c r="EA44" s="381">
        <f t="shared" si="349"/>
        <v>9984.3198775039</v>
      </c>
      <c r="EB44" s="379">
        <f t="shared" si="249"/>
        <v>221.00916094120078</v>
      </c>
      <c r="EC44" s="380">
        <f t="shared" si="250"/>
        <v>585.25499335400457</v>
      </c>
      <c r="ED44" s="380">
        <f t="shared" si="251"/>
        <v>793.20903355514452</v>
      </c>
      <c r="EE44" s="380">
        <f t="shared" si="252"/>
        <v>930.28595314673657</v>
      </c>
      <c r="EF44" s="380">
        <f t="shared" si="253"/>
        <v>849.96824661092637</v>
      </c>
      <c r="EG44" s="380">
        <f t="shared" si="254"/>
        <v>728.083502715245</v>
      </c>
      <c r="EH44" s="380">
        <f t="shared" si="255"/>
        <v>1054.2464765423456</v>
      </c>
      <c r="EI44" s="380">
        <f t="shared" si="256"/>
        <v>831.51799595002842</v>
      </c>
      <c r="EJ44" s="380">
        <f t="shared" si="257"/>
        <v>818.61085381310738</v>
      </c>
      <c r="EK44" s="380">
        <f t="shared" si="258"/>
        <v>1058.5319264522711</v>
      </c>
      <c r="EL44" s="380">
        <f t="shared" si="259"/>
        <v>850.89900104402432</v>
      </c>
      <c r="EM44" s="389">
        <f t="shared" si="260"/>
        <v>1310.7389621768832</v>
      </c>
      <c r="EN44" s="381">
        <f t="shared" si="350"/>
        <v>10032.356106301919</v>
      </c>
      <c r="EO44" s="379">
        <f t="shared" si="261"/>
        <v>116.31896894949948</v>
      </c>
      <c r="EP44" s="380">
        <f t="shared" si="262"/>
        <v>394.26698390104809</v>
      </c>
      <c r="EQ44" s="380">
        <f>+EQ10/EQ37</f>
        <v>719.21531114680431</v>
      </c>
      <c r="ER44" s="380">
        <f t="shared" si="263"/>
        <v>727.54546255023172</v>
      </c>
      <c r="ES44" s="380">
        <f t="shared" si="264"/>
        <v>819.7875855647236</v>
      </c>
      <c r="ET44" s="380">
        <f t="shared" si="265"/>
        <v>787.76078733233578</v>
      </c>
      <c r="EU44" s="380">
        <f t="shared" si="266"/>
        <v>1007.434352584408</v>
      </c>
      <c r="EV44" s="380">
        <f t="shared" si="267"/>
        <v>1147.2858562240231</v>
      </c>
      <c r="EW44" s="380">
        <f t="shared" si="268"/>
        <v>894.09823327006313</v>
      </c>
      <c r="EX44" s="380">
        <f t="shared" si="269"/>
        <v>920.20096640416671</v>
      </c>
      <c r="EY44" s="380">
        <f t="shared" si="270"/>
        <v>827.61773590195764</v>
      </c>
      <c r="EZ44" s="389">
        <f t="shared" si="271"/>
        <v>1424.7007524652786</v>
      </c>
      <c r="FA44" s="381">
        <f t="shared" si="351"/>
        <v>9786.2329962945405</v>
      </c>
      <c r="FB44" s="379">
        <f t="shared" si="272"/>
        <v>253.24581412029261</v>
      </c>
      <c r="FC44" s="380">
        <f t="shared" si="273"/>
        <v>408.35801502239195</v>
      </c>
      <c r="FD44" s="380">
        <f t="shared" si="274"/>
        <v>670.02289292501371</v>
      </c>
      <c r="FE44" s="380">
        <f t="shared" si="275"/>
        <v>517.10304169750373</v>
      </c>
      <c r="FF44" s="380">
        <f t="shared" si="276"/>
        <v>1018.4529165090053</v>
      </c>
      <c r="FG44" s="380">
        <f t="shared" si="277"/>
        <v>1133.0766221731253</v>
      </c>
      <c r="FH44" s="380">
        <f t="shared" si="278"/>
        <v>912.01146476729298</v>
      </c>
      <c r="FI44" s="380">
        <f t="shared" si="279"/>
        <v>1147.5958669739059</v>
      </c>
      <c r="FJ44" s="380">
        <f t="shared" si="280"/>
        <v>1075.6475442627691</v>
      </c>
      <c r="FK44" s="380">
        <f t="shared" si="281"/>
        <v>1020.8073170590249</v>
      </c>
      <c r="FL44" s="380">
        <f t="shared" si="282"/>
        <v>1001.2616570056459</v>
      </c>
      <c r="FM44" s="389">
        <f t="shared" si="283"/>
        <v>1002.1191614100233</v>
      </c>
      <c r="FN44" s="381">
        <f t="shared" si="352"/>
        <v>10159.702313925993</v>
      </c>
      <c r="FO44" s="379">
        <f t="shared" si="284"/>
        <v>97.049556347421586</v>
      </c>
      <c r="FP44" s="380">
        <f t="shared" si="285"/>
        <v>722.74564467202163</v>
      </c>
      <c r="FQ44" s="380">
        <f t="shared" si="286"/>
        <v>989.76330705354201</v>
      </c>
      <c r="FR44" s="380">
        <f t="shared" si="287"/>
        <v>687.29794908968063</v>
      </c>
      <c r="FS44" s="380">
        <f t="shared" si="288"/>
        <v>1101.6593579877056</v>
      </c>
      <c r="FT44" s="380">
        <f t="shared" si="289"/>
        <v>1242.1770288007635</v>
      </c>
      <c r="FU44" s="380">
        <f t="shared" si="290"/>
        <v>917.21805492098872</v>
      </c>
      <c r="FV44" s="380">
        <f t="shared" si="291"/>
        <v>956.53421762566973</v>
      </c>
      <c r="FW44" s="380">
        <f t="shared" si="292"/>
        <v>665.86793648562229</v>
      </c>
      <c r="FX44" s="380">
        <f t="shared" si="293"/>
        <v>758.81591768434293</v>
      </c>
      <c r="FY44" s="380">
        <f t="shared" si="294"/>
        <v>755.45104230137395</v>
      </c>
      <c r="FZ44" s="389">
        <f t="shared" si="295"/>
        <v>1006.0644367206147</v>
      </c>
      <c r="GA44" s="381">
        <f t="shared" si="353"/>
        <v>9900.6444496897475</v>
      </c>
      <c r="GB44" s="379">
        <f t="shared" si="296"/>
        <v>188.76094030954641</v>
      </c>
      <c r="GC44" s="380">
        <f t="shared" si="297"/>
        <v>961.85324295283954</v>
      </c>
      <c r="GD44" s="380">
        <f t="shared" si="298"/>
        <v>683.46169230845999</v>
      </c>
      <c r="GE44" s="380">
        <f t="shared" si="299"/>
        <v>946.25879437364767</v>
      </c>
      <c r="GF44" s="380">
        <f t="shared" si="300"/>
        <v>883.33435708892591</v>
      </c>
      <c r="GG44" s="380">
        <f t="shared" si="301"/>
        <v>977.4066297154011</v>
      </c>
      <c r="GH44" s="380">
        <f t="shared" si="302"/>
        <v>961.04228253669066</v>
      </c>
      <c r="GI44" s="380">
        <f t="shared" si="303"/>
        <v>812.77178795621342</v>
      </c>
      <c r="GJ44" s="380">
        <f t="shared" si="304"/>
        <v>1092.642266571816</v>
      </c>
      <c r="GK44" s="380">
        <f t="shared" si="305"/>
        <v>675.23039260010182</v>
      </c>
      <c r="GL44" s="380">
        <f t="shared" si="306"/>
        <v>655.13661161704272</v>
      </c>
      <c r="GM44" s="389">
        <f t="shared" si="307"/>
        <v>808.82551909905749</v>
      </c>
      <c r="GN44" s="381">
        <f t="shared" si="354"/>
        <v>9646.7245171297418</v>
      </c>
      <c r="GO44" s="379">
        <f t="shared" si="308"/>
        <v>96.836338712847351</v>
      </c>
      <c r="GP44" s="380">
        <f t="shared" si="309"/>
        <v>696.37592236023625</v>
      </c>
      <c r="GQ44" s="380">
        <f t="shared" si="310"/>
        <v>728.81422396203584</v>
      </c>
      <c r="GR44" s="380">
        <f t="shared" si="311"/>
        <v>732.22729978388566</v>
      </c>
      <c r="GS44" s="380">
        <f t="shared" si="312"/>
        <v>733.32912679689798</v>
      </c>
      <c r="GT44" s="380">
        <f t="shared" si="313"/>
        <v>959.35019717420926</v>
      </c>
      <c r="GU44" s="380">
        <f t="shared" si="314"/>
        <v>1041.3550188066833</v>
      </c>
      <c r="GV44" s="380">
        <f t="shared" si="315"/>
        <v>958.26884001696305</v>
      </c>
      <c r="GW44" s="380">
        <f t="shared" si="316"/>
        <v>1289.9601847179217</v>
      </c>
      <c r="GX44" s="380">
        <f t="shared" si="317"/>
        <v>1139.9056542706173</v>
      </c>
      <c r="GY44" s="380">
        <f t="shared" si="318"/>
        <v>956.97312071796989</v>
      </c>
      <c r="GZ44" s="389">
        <f t="shared" si="319"/>
        <v>1513.625326685185</v>
      </c>
      <c r="HA44" s="381">
        <f t="shared" si="355"/>
        <v>10847.021254005453</v>
      </c>
      <c r="HB44" s="379">
        <f t="shared" si="320"/>
        <v>141.25104260966637</v>
      </c>
      <c r="HC44" s="380">
        <f t="shared" si="321"/>
        <v>965.6930369346212</v>
      </c>
      <c r="HD44" s="380">
        <f t="shared" si="322"/>
        <v>739.03627478585395</v>
      </c>
      <c r="HE44" s="380">
        <f t="shared" si="323"/>
        <v>1081.0586640151187</v>
      </c>
      <c r="HF44" s="380">
        <f t="shared" si="324"/>
        <v>1525.0649982831264</v>
      </c>
      <c r="HG44" s="380">
        <f t="shared" si="325"/>
        <v>1193.4641303581845</v>
      </c>
      <c r="HH44" s="380">
        <f t="shared" si="326"/>
        <v>1159.8344153695216</v>
      </c>
      <c r="HI44" s="380">
        <f t="shared" si="327"/>
        <v>864.79677636951249</v>
      </c>
      <c r="HJ44" s="380">
        <f t="shared" si="328"/>
        <v>900.99309745407334</v>
      </c>
      <c r="HK44" s="380">
        <f t="shared" si="329"/>
        <v>1111.7220219139433</v>
      </c>
      <c r="HL44" s="380">
        <f t="shared" si="330"/>
        <v>767.32683488482235</v>
      </c>
      <c r="HM44" s="389">
        <f t="shared" si="331"/>
        <v>929.05422578418802</v>
      </c>
      <c r="HN44" s="381">
        <f t="shared" si="356"/>
        <v>11379.295518762632</v>
      </c>
      <c r="HO44" s="379">
        <f t="shared" si="332"/>
        <v>117.42461625846875</v>
      </c>
      <c r="HP44" s="380">
        <f t="shared" si="333"/>
        <v>881.2469121627106</v>
      </c>
      <c r="HQ44" s="380">
        <f t="shared" si="334"/>
        <v>1121.634358932452</v>
      </c>
      <c r="HR44" s="380">
        <f t="shared" si="335"/>
        <v>1653.3551368895082</v>
      </c>
      <c r="HS44" s="380">
        <f t="shared" si="336"/>
        <v>1191.064114527017</v>
      </c>
      <c r="HT44" s="380">
        <f t="shared" si="357"/>
        <v>882.34973868381269</v>
      </c>
      <c r="HU44" s="380">
        <f t="shared" si="358"/>
        <v>1341.395205347161</v>
      </c>
      <c r="HV44" s="380">
        <f t="shared" si="359"/>
        <v>1142.2329328755702</v>
      </c>
      <c r="HW44" s="380">
        <f t="shared" si="360"/>
        <v>712.85864132197253</v>
      </c>
      <c r="HX44" s="380">
        <f t="shared" si="361"/>
        <v>1380.7511871817105</v>
      </c>
      <c r="HY44" s="380">
        <f t="shared" si="362"/>
        <v>951.11978691490117</v>
      </c>
      <c r="HZ44" s="389">
        <f t="shared" si="375"/>
        <v>885.54970226102137</v>
      </c>
      <c r="IA44" s="379">
        <f t="shared" si="363"/>
        <v>12260.982333356305</v>
      </c>
      <c r="IB44" s="1344">
        <f t="shared" si="364"/>
        <v>157.24934782225367</v>
      </c>
      <c r="IC44" s="120">
        <f t="shared" si="365"/>
        <v>1194.2225347454619</v>
      </c>
      <c r="ID44" s="120">
        <f t="shared" si="366"/>
        <v>1288.067103713641</v>
      </c>
      <c r="IE44" s="120">
        <f t="shared" si="367"/>
        <v>1316.9541372100098</v>
      </c>
      <c r="IF44" s="120">
        <f t="shared" si="368"/>
        <v>1031.0174870394642</v>
      </c>
      <c r="IG44" s="120">
        <f t="shared" si="369"/>
        <v>1086.9771939132274</v>
      </c>
      <c r="IH44" s="120">
        <f t="shared" si="370"/>
        <v>1174.7703974937031</v>
      </c>
      <c r="II44" s="120">
        <f t="shared" si="371"/>
        <v>978.99496749927255</v>
      </c>
      <c r="IJ44" s="120"/>
      <c r="IK44" s="120"/>
      <c r="IL44" s="120"/>
      <c r="IM44" s="1345"/>
      <c r="IN44" s="1346">
        <f t="shared" si="372"/>
        <v>8228.2531694370336</v>
      </c>
      <c r="IO44" s="120"/>
      <c r="IP44" s="371">
        <f t="shared" si="337"/>
        <v>-14.291127551833604</v>
      </c>
      <c r="IQ44" s="348">
        <f t="shared" si="373"/>
        <v>-1.2297863223172834</v>
      </c>
      <c r="IR44" s="320">
        <f t="shared" si="338"/>
        <v>8330.7030156766996</v>
      </c>
      <c r="IS44" s="344">
        <f t="shared" si="339"/>
        <v>8228.2531694370336</v>
      </c>
      <c r="IU44" s="320">
        <f t="shared" si="374"/>
        <v>-163.23796537629767</v>
      </c>
    </row>
    <row r="45" spans="1:255" ht="15" customHeight="1" x14ac:dyDescent="0.2">
      <c r="A45" s="1554" t="s">
        <v>434</v>
      </c>
      <c r="B45" s="379">
        <f t="shared" si="129"/>
        <v>3248.1829431064621</v>
      </c>
      <c r="C45" s="380">
        <f t="shared" si="130"/>
        <v>4722.139333506896</v>
      </c>
      <c r="D45" s="380">
        <f t="shared" si="131"/>
        <v>4023.712658440717</v>
      </c>
      <c r="E45" s="380">
        <f t="shared" si="132"/>
        <v>4757.5844335833362</v>
      </c>
      <c r="F45" s="380">
        <f t="shared" si="133"/>
        <v>4531.881458785112</v>
      </c>
      <c r="G45" s="380">
        <f t="shared" si="134"/>
        <v>4776.7910715254338</v>
      </c>
      <c r="H45" s="380">
        <f t="shared" si="135"/>
        <v>5536.0774239170241</v>
      </c>
      <c r="I45" s="380">
        <f t="shared" si="136"/>
        <v>5249.7376768353506</v>
      </c>
      <c r="J45" s="380">
        <f t="shared" si="137"/>
        <v>4432.8877156204344</v>
      </c>
      <c r="K45" s="380">
        <f t="shared" si="138"/>
        <v>5035.5734589835256</v>
      </c>
      <c r="L45" s="380">
        <f t="shared" si="139"/>
        <v>3932.7576164430438</v>
      </c>
      <c r="M45" s="389">
        <f t="shared" si="140"/>
        <v>5830.6134733193076</v>
      </c>
      <c r="N45" s="381">
        <f t="shared" si="340"/>
        <v>56077.939264066641</v>
      </c>
      <c r="O45" s="379">
        <f t="shared" si="141"/>
        <v>1878.6282333814481</v>
      </c>
      <c r="P45" s="380">
        <f t="shared" si="142"/>
        <v>2543.6702130447138</v>
      </c>
      <c r="Q45" s="380">
        <f t="shared" si="143"/>
        <v>4388.5107183698583</v>
      </c>
      <c r="R45" s="380">
        <f t="shared" si="144"/>
        <v>3399.4770210201154</v>
      </c>
      <c r="S45" s="380">
        <f t="shared" si="145"/>
        <v>3193.7820643548703</v>
      </c>
      <c r="T45" s="380">
        <f t="shared" si="146"/>
        <v>3196.4042741770345</v>
      </c>
      <c r="U45" s="380">
        <f t="shared" si="147"/>
        <v>3915.2119566190372</v>
      </c>
      <c r="V45" s="380">
        <f t="shared" si="148"/>
        <v>3477.4999892399296</v>
      </c>
      <c r="W45" s="380">
        <f t="shared" si="149"/>
        <v>3352.7087283899418</v>
      </c>
      <c r="X45" s="380">
        <f t="shared" si="150"/>
        <v>3216.3237331333075</v>
      </c>
      <c r="Y45" s="380">
        <f t="shared" si="151"/>
        <v>3823.532868484253</v>
      </c>
      <c r="Z45" s="389">
        <f t="shared" si="152"/>
        <v>5003.812540563722</v>
      </c>
      <c r="AA45" s="381">
        <f t="shared" si="341"/>
        <v>41389.562340778226</v>
      </c>
      <c r="AB45" s="379">
        <f t="shared" si="153"/>
        <v>2057.7274987628089</v>
      </c>
      <c r="AC45" s="380">
        <f t="shared" si="154"/>
        <v>2335.591818106644</v>
      </c>
      <c r="AD45" s="380">
        <f t="shared" si="155"/>
        <v>4587.2323747083983</v>
      </c>
      <c r="AE45" s="380">
        <f t="shared" si="156"/>
        <v>4184.1624787945038</v>
      </c>
      <c r="AF45" s="380">
        <f t="shared" si="157"/>
        <v>4320.1126617264981</v>
      </c>
      <c r="AG45" s="380">
        <f t="shared" si="158"/>
        <v>3878.8575688051537</v>
      </c>
      <c r="AH45" s="380">
        <f t="shared" si="159"/>
        <v>4309.2005395233828</v>
      </c>
      <c r="AI45" s="380">
        <f t="shared" si="160"/>
        <v>4264.3450221079056</v>
      </c>
      <c r="AJ45" s="380">
        <f t="shared" si="161"/>
        <v>4282.7051878096754</v>
      </c>
      <c r="AK45" s="380">
        <f t="shared" si="162"/>
        <v>3564.9221554437995</v>
      </c>
      <c r="AL45" s="380">
        <f t="shared" si="163"/>
        <v>6470.2268291681012</v>
      </c>
      <c r="AM45" s="389">
        <f t="shared" si="164"/>
        <v>7299.6212216121221</v>
      </c>
      <c r="AN45" s="381">
        <f t="shared" si="342"/>
        <v>51554.705356568986</v>
      </c>
      <c r="AO45" s="379">
        <f t="shared" si="165"/>
        <v>472.57841206728534</v>
      </c>
      <c r="AP45" s="380">
        <f t="shared" si="166"/>
        <v>3697.6585091105171</v>
      </c>
      <c r="AQ45" s="380">
        <f t="shared" si="167"/>
        <v>5893.5450488106289</v>
      </c>
      <c r="AR45" s="380">
        <f t="shared" si="168"/>
        <v>4844.1102499471363</v>
      </c>
      <c r="AS45" s="380">
        <f t="shared" si="169"/>
        <v>5549.6741263496851</v>
      </c>
      <c r="AT45" s="380">
        <f t="shared" si="170"/>
        <v>4903.5101251627193</v>
      </c>
      <c r="AU45" s="380">
        <f t="shared" si="171"/>
        <v>5112.6892129158477</v>
      </c>
      <c r="AV45" s="380">
        <f t="shared" si="172"/>
        <v>5098.9221231832526</v>
      </c>
      <c r="AW45" s="380">
        <f t="shared" si="173"/>
        <v>6718.423387493267</v>
      </c>
      <c r="AX45" s="380">
        <f t="shared" si="174"/>
        <v>5920.0684600010181</v>
      </c>
      <c r="AY45" s="380">
        <f t="shared" si="175"/>
        <v>6368.7420811740576</v>
      </c>
      <c r="AZ45" s="389">
        <f t="shared" si="176"/>
        <v>11608.408796760028</v>
      </c>
      <c r="BA45" s="381">
        <f t="shared" si="343"/>
        <v>66188.330532975451</v>
      </c>
      <c r="BB45" s="379">
        <f t="shared" si="177"/>
        <v>3487.7263163860434</v>
      </c>
      <c r="BC45" s="380">
        <f t="shared" si="178"/>
        <v>6825.644252243088</v>
      </c>
      <c r="BD45" s="380">
        <f t="shared" si="179"/>
        <v>8187.1450683700941</v>
      </c>
      <c r="BE45" s="380">
        <f t="shared" si="180"/>
        <v>6196.9305532558637</v>
      </c>
      <c r="BF45" s="380">
        <f t="shared" si="181"/>
        <v>7661.7600768271277</v>
      </c>
      <c r="BG45" s="380">
        <f t="shared" si="182"/>
        <v>7398.6275295809073</v>
      </c>
      <c r="BH45" s="380">
        <f t="shared" si="183"/>
        <v>6849.0804329741522</v>
      </c>
      <c r="BI45" s="380">
        <f t="shared" si="184"/>
        <v>8397.7848437027606</v>
      </c>
      <c r="BJ45" s="380">
        <f t="shared" si="185"/>
        <v>7977.5324767386392</v>
      </c>
      <c r="BK45" s="380">
        <f t="shared" si="186"/>
        <v>8092.4136190236413</v>
      </c>
      <c r="BL45" s="380">
        <f t="shared" si="187"/>
        <v>9106.8818784695577</v>
      </c>
      <c r="BM45" s="389">
        <f t="shared" si="188"/>
        <v>15532.743233067458</v>
      </c>
      <c r="BN45" s="381">
        <f t="shared" si="344"/>
        <v>95714.27028063935</v>
      </c>
      <c r="BO45" s="379">
        <f t="shared" si="189"/>
        <v>5530.0851578782867</v>
      </c>
      <c r="BP45" s="380">
        <f t="shared" si="190"/>
        <v>5821.6802270198423</v>
      </c>
      <c r="BQ45" s="380">
        <f t="shared" si="191"/>
        <v>8703.0413343324617</v>
      </c>
      <c r="BR45" s="380">
        <f t="shared" si="192"/>
        <v>7353.9440646302328</v>
      </c>
      <c r="BS45" s="380">
        <f t="shared" si="193"/>
        <v>7370.502384657545</v>
      </c>
      <c r="BT45" s="380">
        <f t="shared" si="194"/>
        <v>7290.5383522275843</v>
      </c>
      <c r="BU45" s="380">
        <f t="shared" si="195"/>
        <v>8048.8374691087001</v>
      </c>
      <c r="BV45" s="380">
        <f t="shared" si="196"/>
        <v>7980.391398480866</v>
      </c>
      <c r="BW45" s="380">
        <f t="shared" si="197"/>
        <v>8008.1859626643281</v>
      </c>
      <c r="BX45" s="380">
        <f t="shared" si="198"/>
        <v>7739.3965342260399</v>
      </c>
      <c r="BY45" s="380">
        <f t="shared" si="199"/>
        <v>7439.8206774629243</v>
      </c>
      <c r="BZ45" s="389">
        <f t="shared" si="200"/>
        <v>9530.2118679738069</v>
      </c>
      <c r="CA45" s="381">
        <f t="shared" si="345"/>
        <v>90816.635430662602</v>
      </c>
      <c r="CB45" s="379">
        <f t="shared" si="201"/>
        <v>6872.1358270085675</v>
      </c>
      <c r="CC45" s="380">
        <f t="shared" si="202"/>
        <v>7931.0251053830707</v>
      </c>
      <c r="CD45" s="380">
        <f t="shared" si="203"/>
        <v>8630.1349212922451</v>
      </c>
      <c r="CE45" s="380">
        <f t="shared" si="204"/>
        <v>7632.7411878786543</v>
      </c>
      <c r="CF45" s="380">
        <f t="shared" si="205"/>
        <v>9169.9550727216392</v>
      </c>
      <c r="CG45" s="380">
        <f t="shared" si="206"/>
        <v>8414.5525467182015</v>
      </c>
      <c r="CH45" s="380">
        <f t="shared" si="207"/>
        <v>9054.3783189734731</v>
      </c>
      <c r="CI45" s="380">
        <f t="shared" si="208"/>
        <v>8370.2301476619305</v>
      </c>
      <c r="CJ45" s="380">
        <f t="shared" si="209"/>
        <v>7404.6817863783481</v>
      </c>
      <c r="CK45" s="380">
        <f t="shared" si="210"/>
        <v>6475.3487747567096</v>
      </c>
      <c r="CL45" s="380">
        <f t="shared" si="211"/>
        <v>6545.0430282980024</v>
      </c>
      <c r="CM45" s="389">
        <f t="shared" si="212"/>
        <v>15372.12515055939</v>
      </c>
      <c r="CN45" s="381">
        <f t="shared" si="346"/>
        <v>101872.35186763023</v>
      </c>
      <c r="CO45" s="379">
        <f t="shared" si="213"/>
        <v>1900.2774207416091</v>
      </c>
      <c r="CP45" s="380">
        <f t="shared" si="214"/>
        <v>6364.6749943239311</v>
      </c>
      <c r="CQ45" s="380">
        <f t="shared" si="215"/>
        <v>10546.962003951001</v>
      </c>
      <c r="CR45" s="380">
        <f t="shared" si="216"/>
        <v>8073.7240787751689</v>
      </c>
      <c r="CS45" s="380">
        <f t="shared" si="217"/>
        <v>8957.7362559817975</v>
      </c>
      <c r="CT45" s="380">
        <f t="shared" si="218"/>
        <v>8325.5819009810912</v>
      </c>
      <c r="CU45" s="380">
        <f t="shared" si="219"/>
        <v>8702.5459872266729</v>
      </c>
      <c r="CV45" s="380">
        <f t="shared" si="220"/>
        <v>8191.425694129789</v>
      </c>
      <c r="CW45" s="380">
        <f t="shared" si="221"/>
        <v>8157.759881924715</v>
      </c>
      <c r="CX45" s="380">
        <f t="shared" si="222"/>
        <v>7444.7513970849141</v>
      </c>
      <c r="CY45" s="380">
        <f t="shared" si="223"/>
        <v>7491.493041056031</v>
      </c>
      <c r="CZ45" s="389">
        <f t="shared" si="224"/>
        <v>14857.039863118134</v>
      </c>
      <c r="DA45" s="381">
        <f t="shared" si="347"/>
        <v>99013.972519294854</v>
      </c>
      <c r="DB45" s="379">
        <f t="shared" si="225"/>
        <v>5014.7390718529432</v>
      </c>
      <c r="DC45" s="380">
        <f t="shared" si="226"/>
        <v>8387.7205426620731</v>
      </c>
      <c r="DD45" s="380">
        <f t="shared" si="227"/>
        <v>10952.637515202399</v>
      </c>
      <c r="DE45" s="380">
        <f t="shared" si="228"/>
        <v>8766.3037021064611</v>
      </c>
      <c r="DF45" s="380">
        <f t="shared" si="229"/>
        <v>9622.875146665976</v>
      </c>
      <c r="DG45" s="380">
        <f t="shared" si="230"/>
        <v>9442.999308786204</v>
      </c>
      <c r="DH45" s="380">
        <f t="shared" si="231"/>
        <v>8853.4372939558889</v>
      </c>
      <c r="DI45" s="380">
        <f t="shared" si="232"/>
        <v>9374.2362165250015</v>
      </c>
      <c r="DJ45" s="380">
        <f t="shared" si="233"/>
        <v>9464.5761196747299</v>
      </c>
      <c r="DK45" s="380">
        <f t="shared" si="234"/>
        <v>8691.5276956518774</v>
      </c>
      <c r="DL45" s="380">
        <f t="shared" si="235"/>
        <v>7648.9751659734548</v>
      </c>
      <c r="DM45" s="389">
        <f t="shared" si="236"/>
        <v>13997.575629066667</v>
      </c>
      <c r="DN45" s="381">
        <f t="shared" si="348"/>
        <v>110217.60340812369</v>
      </c>
      <c r="DO45" s="379">
        <f t="shared" si="237"/>
        <v>5991.1576104258293</v>
      </c>
      <c r="DP45" s="380">
        <f t="shared" si="238"/>
        <v>6997.9023455382658</v>
      </c>
      <c r="DQ45" s="380">
        <f t="shared" si="239"/>
        <v>10682.735263500623</v>
      </c>
      <c r="DR45" s="380">
        <f t="shared" si="240"/>
        <v>7290.6746420608188</v>
      </c>
      <c r="DS45" s="380">
        <f t="shared" si="241"/>
        <v>8931.7192220790439</v>
      </c>
      <c r="DT45" s="380">
        <f t="shared" si="242"/>
        <v>10908.243820511081</v>
      </c>
      <c r="DU45" s="380">
        <f t="shared" si="243"/>
        <v>9361.989609961136</v>
      </c>
      <c r="DV45" s="380">
        <f t="shared" si="244"/>
        <v>9296.8136831537176</v>
      </c>
      <c r="DW45" s="380">
        <f t="shared" si="245"/>
        <v>9244.8865516998649</v>
      </c>
      <c r="DX45" s="380">
        <f t="shared" si="246"/>
        <v>9748.9708140165658</v>
      </c>
      <c r="DY45" s="380">
        <f t="shared" si="247"/>
        <v>11875.271011271952</v>
      </c>
      <c r="DZ45" s="389">
        <f t="shared" si="248"/>
        <v>17976.193615452383</v>
      </c>
      <c r="EA45" s="381">
        <f t="shared" si="349"/>
        <v>118306.55818967127</v>
      </c>
      <c r="EB45" s="379">
        <f t="shared" si="249"/>
        <v>6629.5549286889836</v>
      </c>
      <c r="EC45" s="380">
        <f t="shared" si="250"/>
        <v>6987.8728102181831</v>
      </c>
      <c r="ED45" s="380">
        <f t="shared" si="251"/>
        <v>11753.071148541856</v>
      </c>
      <c r="EE45" s="380">
        <f t="shared" si="252"/>
        <v>9120.3803637347373</v>
      </c>
      <c r="EF45" s="380">
        <f t="shared" si="253"/>
        <v>10785.581917221984</v>
      </c>
      <c r="EG45" s="380">
        <f t="shared" si="254"/>
        <v>10422.076779807352</v>
      </c>
      <c r="EH45" s="380">
        <f t="shared" si="255"/>
        <v>9850.5267141079257</v>
      </c>
      <c r="EI45" s="380">
        <f t="shared" si="256"/>
        <v>9724.9293263541294</v>
      </c>
      <c r="EJ45" s="380">
        <f t="shared" si="257"/>
        <v>9324.7990683486132</v>
      </c>
      <c r="EK45" s="380">
        <f t="shared" si="258"/>
        <v>10047.562403490811</v>
      </c>
      <c r="EL45" s="380">
        <f t="shared" si="259"/>
        <v>12316.833712786758</v>
      </c>
      <c r="EM45" s="389">
        <f t="shared" si="260"/>
        <v>15122.17459269304</v>
      </c>
      <c r="EN45" s="381">
        <f t="shared" si="350"/>
        <v>122085.36376599438</v>
      </c>
      <c r="EO45" s="379">
        <f t="shared" si="261"/>
        <v>2841.7076596086813</v>
      </c>
      <c r="EP45" s="380">
        <f t="shared" si="262"/>
        <v>7311.5404068078296</v>
      </c>
      <c r="EQ45" s="380">
        <f>+EQ11/EQ37</f>
        <v>10414.992566956784</v>
      </c>
      <c r="ER45" s="380">
        <f t="shared" si="263"/>
        <v>9521.5681340466563</v>
      </c>
      <c r="ES45" s="380">
        <f t="shared" si="264"/>
        <v>12349.748240992451</v>
      </c>
      <c r="ET45" s="380">
        <f t="shared" si="265"/>
        <v>11036.31949049399</v>
      </c>
      <c r="EU45" s="380">
        <f t="shared" si="266"/>
        <v>11030.988715625545</v>
      </c>
      <c r="EV45" s="380">
        <f t="shared" si="267"/>
        <v>11641.822479247769</v>
      </c>
      <c r="EW45" s="380">
        <f t="shared" si="268"/>
        <v>10160.460016336472</v>
      </c>
      <c r="EX45" s="380">
        <f t="shared" si="269"/>
        <v>11088.248022346359</v>
      </c>
      <c r="EY45" s="380">
        <f t="shared" si="270"/>
        <v>9972.342794292239</v>
      </c>
      <c r="EZ45" s="389">
        <f t="shared" si="271"/>
        <v>14758.598319634244</v>
      </c>
      <c r="FA45" s="381">
        <f t="shared" si="351"/>
        <v>122128.33684638901</v>
      </c>
      <c r="FB45" s="379">
        <f t="shared" si="272"/>
        <v>7093.6505091837153</v>
      </c>
      <c r="FC45" s="380">
        <f t="shared" si="273"/>
        <v>8196.8716281059824</v>
      </c>
      <c r="FD45" s="380">
        <f t="shared" si="274"/>
        <v>12272.540222152122</v>
      </c>
      <c r="FE45" s="380">
        <f t="shared" si="275"/>
        <v>11385.868300082171</v>
      </c>
      <c r="FF45" s="380">
        <f t="shared" si="276"/>
        <v>8037.4278216164312</v>
      </c>
      <c r="FG45" s="380">
        <f t="shared" si="277"/>
        <v>9353.5440845533158</v>
      </c>
      <c r="FH45" s="380">
        <f t="shared" si="278"/>
        <v>12496.264953950056</v>
      </c>
      <c r="FI45" s="380">
        <f t="shared" si="279"/>
        <v>14982.349617280903</v>
      </c>
      <c r="FJ45" s="380">
        <f t="shared" si="280"/>
        <v>21818.229902579482</v>
      </c>
      <c r="FK45" s="380">
        <f t="shared" si="281"/>
        <v>27716.113583105605</v>
      </c>
      <c r="FL45" s="380">
        <f t="shared" si="282"/>
        <v>40082.392533875274</v>
      </c>
      <c r="FM45" s="389">
        <f t="shared" si="283"/>
        <v>64528.055107541622</v>
      </c>
      <c r="FN45" s="381">
        <f t="shared" si="352"/>
        <v>237963.30826402668</v>
      </c>
      <c r="FO45" s="379">
        <f t="shared" si="284"/>
        <v>5852.6274119514519</v>
      </c>
      <c r="FP45" s="380">
        <f t="shared" si="285"/>
        <v>11930.364381098665</v>
      </c>
      <c r="FQ45" s="380">
        <f t="shared" si="286"/>
        <v>22684.250722916779</v>
      </c>
      <c r="FR45" s="380">
        <f t="shared" si="287"/>
        <v>12023.024941775428</v>
      </c>
      <c r="FS45" s="380">
        <f t="shared" si="288"/>
        <v>17398.067313957446</v>
      </c>
      <c r="FT45" s="380">
        <f t="shared" si="289"/>
        <v>18714.403840006369</v>
      </c>
      <c r="FU45" s="380">
        <f t="shared" si="290"/>
        <v>19097.743216701361</v>
      </c>
      <c r="FV45" s="380">
        <f t="shared" si="291"/>
        <v>17336.205309365509</v>
      </c>
      <c r="FW45" s="380">
        <f t="shared" si="292"/>
        <v>15925.665977992872</v>
      </c>
      <c r="FX45" s="380">
        <f t="shared" si="293"/>
        <v>16581.676405316535</v>
      </c>
      <c r="FY45" s="380">
        <f t="shared" si="294"/>
        <v>18258.126552573973</v>
      </c>
      <c r="FZ45" s="389">
        <f t="shared" si="295"/>
        <v>34022.458091509434</v>
      </c>
      <c r="GA45" s="381">
        <f t="shared" si="353"/>
        <v>209824.61416516584</v>
      </c>
      <c r="GB45" s="379">
        <f t="shared" si="296"/>
        <v>7614.8459062036954</v>
      </c>
      <c r="GC45" s="380">
        <f t="shared" si="297"/>
        <v>10389.032185284404</v>
      </c>
      <c r="GD45" s="380">
        <f t="shared" si="298"/>
        <v>18434.04560757905</v>
      </c>
      <c r="GE45" s="380">
        <f t="shared" si="299"/>
        <v>14491.100251673553</v>
      </c>
      <c r="GF45" s="380">
        <f t="shared" si="300"/>
        <v>16971.888109330688</v>
      </c>
      <c r="GG45" s="380">
        <f t="shared" si="301"/>
        <v>16363.008739722958</v>
      </c>
      <c r="GH45" s="380">
        <f t="shared" si="302"/>
        <v>21861.291166292744</v>
      </c>
      <c r="GI45" s="380">
        <f t="shared" si="303"/>
        <v>17021.918029571141</v>
      </c>
      <c r="GJ45" s="380">
        <f t="shared" si="304"/>
        <v>12141.067681266795</v>
      </c>
      <c r="GK45" s="380">
        <f t="shared" si="305"/>
        <v>13403.293494771659</v>
      </c>
      <c r="GL45" s="380">
        <f t="shared" si="306"/>
        <v>14238.104731206589</v>
      </c>
      <c r="GM45" s="389">
        <f t="shared" si="307"/>
        <v>23267.116059959357</v>
      </c>
      <c r="GN45" s="381">
        <f t="shared" si="354"/>
        <v>186196.71196286264</v>
      </c>
      <c r="GO45" s="379">
        <f t="shared" si="308"/>
        <v>3450.3080926838156</v>
      </c>
      <c r="GP45" s="380">
        <f t="shared" si="309"/>
        <v>8949.8935769558429</v>
      </c>
      <c r="GQ45" s="380">
        <f t="shared" si="310"/>
        <v>15047.904151527015</v>
      </c>
      <c r="GR45" s="380">
        <f t="shared" si="311"/>
        <v>11697.244902042105</v>
      </c>
      <c r="GS45" s="380">
        <f t="shared" si="312"/>
        <v>14452.885845082301</v>
      </c>
      <c r="GT45" s="380">
        <f t="shared" si="313"/>
        <v>16672.152320150119</v>
      </c>
      <c r="GU45" s="380">
        <f t="shared" si="314"/>
        <v>21259.188408086386</v>
      </c>
      <c r="GV45" s="380">
        <f t="shared" si="315"/>
        <v>14322.788277258886</v>
      </c>
      <c r="GW45" s="380">
        <f t="shared" si="316"/>
        <v>13440.975252151302</v>
      </c>
      <c r="GX45" s="380">
        <f t="shared" si="317"/>
        <v>13622.900539564784</v>
      </c>
      <c r="GY45" s="380">
        <f t="shared" si="318"/>
        <v>12650.006314810462</v>
      </c>
      <c r="GZ45" s="389">
        <f t="shared" si="319"/>
        <v>17808.026989905487</v>
      </c>
      <c r="HA45" s="381">
        <f t="shared" si="355"/>
        <v>163374.27467021847</v>
      </c>
      <c r="HB45" s="379">
        <f t="shared" si="320"/>
        <v>4304.1698750050355</v>
      </c>
      <c r="HC45" s="380">
        <f t="shared" si="321"/>
        <v>9328.9912090030175</v>
      </c>
      <c r="HD45" s="380">
        <f t="shared" si="322"/>
        <v>12388.109574236625</v>
      </c>
      <c r="HE45" s="380">
        <f t="shared" si="323"/>
        <v>11728.953548813744</v>
      </c>
      <c r="HF45" s="380">
        <f t="shared" si="324"/>
        <v>13677.295003011926</v>
      </c>
      <c r="HG45" s="380">
        <f t="shared" si="325"/>
        <v>12412.475626450818</v>
      </c>
      <c r="HH45" s="380">
        <f t="shared" si="326"/>
        <v>13924.167436228307</v>
      </c>
      <c r="HI45" s="380">
        <f t="shared" si="327"/>
        <v>12726.460947734568</v>
      </c>
      <c r="HJ45" s="380">
        <f t="shared" si="328"/>
        <v>10868.404011685294</v>
      </c>
      <c r="HK45" s="380">
        <f t="shared" si="329"/>
        <v>13377.04992833711</v>
      </c>
      <c r="HL45" s="380">
        <f t="shared" si="330"/>
        <v>11993.117089847034</v>
      </c>
      <c r="HM45" s="389">
        <f t="shared" si="331"/>
        <v>18531.363634087371</v>
      </c>
      <c r="HN45" s="381">
        <f t="shared" si="356"/>
        <v>145260.55788444084</v>
      </c>
      <c r="HO45" s="379">
        <f t="shared" si="332"/>
        <v>5442.910545999689</v>
      </c>
      <c r="HP45" s="380">
        <f t="shared" si="333"/>
        <v>9073.1038955219665</v>
      </c>
      <c r="HQ45" s="380">
        <f t="shared" si="334"/>
        <v>13053.25514062653</v>
      </c>
      <c r="HR45" s="380">
        <f t="shared" si="335"/>
        <v>12199.840457682363</v>
      </c>
      <c r="HS45" s="380">
        <f t="shared" si="336"/>
        <v>13460.073646597388</v>
      </c>
      <c r="HT45" s="380">
        <f t="shared" si="357"/>
        <v>12637.454132298906</v>
      </c>
      <c r="HU45" s="380">
        <f t="shared" si="358"/>
        <v>12091.263754187536</v>
      </c>
      <c r="HV45" s="380">
        <f t="shared" si="359"/>
        <v>14122.303116465926</v>
      </c>
      <c r="HW45" s="380">
        <f t="shared" si="360"/>
        <v>13069.810755135361</v>
      </c>
      <c r="HX45" s="380">
        <f>+HX11/$HX$37</f>
        <v>13150.274306718611</v>
      </c>
      <c r="HY45" s="380">
        <f t="shared" si="362"/>
        <v>9519.473273327505</v>
      </c>
      <c r="HZ45" s="389">
        <f t="shared" si="375"/>
        <v>15134.148982457156</v>
      </c>
      <c r="IA45" s="379">
        <f>SUM(HO45:HZ45)</f>
        <v>142953.91200701892</v>
      </c>
      <c r="IB45" s="1344">
        <f t="shared" si="364"/>
        <v>5722.0068628887893</v>
      </c>
      <c r="IC45" s="120">
        <f t="shared" si="365"/>
        <v>10117.309155813406</v>
      </c>
      <c r="ID45" s="120">
        <f t="shared" si="366"/>
        <v>13241.22315395232</v>
      </c>
      <c r="IE45" s="120">
        <f>+IE11/$IE$37</f>
        <v>11426.513837557439</v>
      </c>
      <c r="IF45" s="120">
        <f t="shared" si="368"/>
        <v>14495.361834536798</v>
      </c>
      <c r="IG45" s="120">
        <f t="shared" si="369"/>
        <v>13311.493879605645</v>
      </c>
      <c r="IH45" s="120">
        <f t="shared" si="370"/>
        <v>13186.824146844257</v>
      </c>
      <c r="II45" s="120">
        <f t="shared" si="371"/>
        <v>13679.513059088593</v>
      </c>
      <c r="IJ45" s="120"/>
      <c r="IK45" s="120"/>
      <c r="IL45" s="120"/>
      <c r="IM45" s="1345"/>
      <c r="IN45" s="1346">
        <f t="shared" si="372"/>
        <v>95180.245930287259</v>
      </c>
      <c r="IO45" s="120"/>
      <c r="IP45" s="371">
        <f t="shared" si="337"/>
        <v>-3.1353955068494588</v>
      </c>
      <c r="IQ45" s="348">
        <f t="shared" si="373"/>
        <v>3.366675010513398</v>
      </c>
      <c r="IR45" s="320">
        <f t="shared" si="338"/>
        <v>92080.204689380305</v>
      </c>
      <c r="IS45" s="344">
        <f t="shared" si="339"/>
        <v>95180.245930287259</v>
      </c>
      <c r="IU45" s="320">
        <f t="shared" si="374"/>
        <v>-442.79005737733314</v>
      </c>
    </row>
    <row r="46" spans="1:255" ht="15" customHeight="1" x14ac:dyDescent="0.2">
      <c r="A46" s="1554" t="s">
        <v>324</v>
      </c>
      <c r="B46" s="379">
        <f t="shared" si="129"/>
        <v>0</v>
      </c>
      <c r="C46" s="380">
        <f t="shared" si="130"/>
        <v>0</v>
      </c>
      <c r="D46" s="380">
        <f t="shared" si="131"/>
        <v>0</v>
      </c>
      <c r="E46" s="380">
        <f t="shared" si="132"/>
        <v>0</v>
      </c>
      <c r="F46" s="380">
        <f t="shared" si="133"/>
        <v>0</v>
      </c>
      <c r="G46" s="380">
        <f t="shared" si="134"/>
        <v>0</v>
      </c>
      <c r="H46" s="380">
        <f t="shared" si="135"/>
        <v>0</v>
      </c>
      <c r="I46" s="380">
        <f t="shared" si="136"/>
        <v>0</v>
      </c>
      <c r="J46" s="380">
        <f t="shared" si="137"/>
        <v>0</v>
      </c>
      <c r="K46" s="380">
        <f t="shared" si="138"/>
        <v>0</v>
      </c>
      <c r="L46" s="380">
        <f t="shared" si="139"/>
        <v>0</v>
      </c>
      <c r="M46" s="389">
        <f t="shared" si="140"/>
        <v>0</v>
      </c>
      <c r="N46" s="381">
        <f t="shared" si="340"/>
        <v>0</v>
      </c>
      <c r="O46" s="379">
        <f t="shared" si="141"/>
        <v>34.908495290217616</v>
      </c>
      <c r="P46" s="380">
        <f t="shared" si="142"/>
        <v>58.834439333162884</v>
      </c>
      <c r="Q46" s="380">
        <f t="shared" si="143"/>
        <v>172.20622313786964</v>
      </c>
      <c r="R46" s="380">
        <f t="shared" si="144"/>
        <v>304.0480525265836</v>
      </c>
      <c r="S46" s="380">
        <f t="shared" si="145"/>
        <v>505.72796888235467</v>
      </c>
      <c r="T46" s="380">
        <f t="shared" si="146"/>
        <v>659.13772349293458</v>
      </c>
      <c r="U46" s="380">
        <f t="shared" si="147"/>
        <v>361.51711059477401</v>
      </c>
      <c r="V46" s="380">
        <f t="shared" si="148"/>
        <v>492.84505400121691</v>
      </c>
      <c r="W46" s="380">
        <f t="shared" si="149"/>
        <v>777.66644948929468</v>
      </c>
      <c r="X46" s="380">
        <f t="shared" si="150"/>
        <v>273.92525649434856</v>
      </c>
      <c r="Y46" s="380">
        <f t="shared" si="151"/>
        <v>542.93246507959304</v>
      </c>
      <c r="Z46" s="389">
        <f t="shared" si="152"/>
        <v>1469.497285056477</v>
      </c>
      <c r="AA46" s="381">
        <f t="shared" si="341"/>
        <v>5653.2465233788271</v>
      </c>
      <c r="AB46" s="379">
        <f t="shared" si="153"/>
        <v>7.3163644400455423</v>
      </c>
      <c r="AC46" s="380">
        <f t="shared" si="154"/>
        <v>552.44677664817573</v>
      </c>
      <c r="AD46" s="380">
        <f t="shared" si="155"/>
        <v>296.36102936086758</v>
      </c>
      <c r="AE46" s="380">
        <f t="shared" si="156"/>
        <v>671.61078884212384</v>
      </c>
      <c r="AF46" s="380">
        <f t="shared" si="157"/>
        <v>664.56297608510454</v>
      </c>
      <c r="AG46" s="380">
        <f t="shared" si="158"/>
        <v>956.8270710645495</v>
      </c>
      <c r="AH46" s="380">
        <f t="shared" si="159"/>
        <v>236.99701838031152</v>
      </c>
      <c r="AI46" s="380">
        <f t="shared" si="160"/>
        <v>550.00614405269516</v>
      </c>
      <c r="AJ46" s="380">
        <f t="shared" si="161"/>
        <v>622.98797127458124</v>
      </c>
      <c r="AK46" s="380">
        <f t="shared" si="162"/>
        <v>637.36487021570963</v>
      </c>
      <c r="AL46" s="380">
        <f t="shared" si="163"/>
        <v>387.96156975117577</v>
      </c>
      <c r="AM46" s="389">
        <f t="shared" si="164"/>
        <v>1075.5350322833224</v>
      </c>
      <c r="AN46" s="381">
        <f t="shared" si="342"/>
        <v>6659.977612398663</v>
      </c>
      <c r="AO46" s="379">
        <f t="shared" si="165"/>
        <v>0</v>
      </c>
      <c r="AP46" s="380">
        <f t="shared" si="166"/>
        <v>94.514541105790897</v>
      </c>
      <c r="AQ46" s="380">
        <f t="shared" si="167"/>
        <v>361.26297775161305</v>
      </c>
      <c r="AR46" s="380">
        <f t="shared" si="168"/>
        <v>394.0017051518368</v>
      </c>
      <c r="AS46" s="380">
        <f t="shared" si="169"/>
        <v>1119.7868383013392</v>
      </c>
      <c r="AT46" s="380">
        <f t="shared" si="170"/>
        <v>972.79313773389435</v>
      </c>
      <c r="AU46" s="380">
        <f t="shared" si="171"/>
        <v>871.00554633406068</v>
      </c>
      <c r="AV46" s="380">
        <f t="shared" si="172"/>
        <v>561.71618205599952</v>
      </c>
      <c r="AW46" s="380">
        <f t="shared" si="173"/>
        <v>684.66905006703826</v>
      </c>
      <c r="AX46" s="380">
        <f t="shared" si="174"/>
        <v>625.52970885007835</v>
      </c>
      <c r="AY46" s="380">
        <f t="shared" si="175"/>
        <v>498.10909968928536</v>
      </c>
      <c r="AZ46" s="389">
        <f t="shared" si="176"/>
        <v>1884.9722192521642</v>
      </c>
      <c r="BA46" s="381">
        <f t="shared" si="343"/>
        <v>8068.3610062931002</v>
      </c>
      <c r="BB46" s="379">
        <f t="shared" si="177"/>
        <v>164.896196194563</v>
      </c>
      <c r="BC46" s="380">
        <f t="shared" si="178"/>
        <v>250.83579153483316</v>
      </c>
      <c r="BD46" s="380">
        <f t="shared" si="179"/>
        <v>841.90731168981665</v>
      </c>
      <c r="BE46" s="380">
        <f t="shared" si="180"/>
        <v>1623.3879166513725</v>
      </c>
      <c r="BF46" s="380">
        <f t="shared" si="181"/>
        <v>676.63393842762173</v>
      </c>
      <c r="BG46" s="380">
        <f t="shared" si="182"/>
        <v>873.80706631486669</v>
      </c>
      <c r="BH46" s="380">
        <f t="shared" si="183"/>
        <v>201.79120111943075</v>
      </c>
      <c r="BI46" s="380">
        <f t="shared" si="184"/>
        <v>452.77643600638066</v>
      </c>
      <c r="BJ46" s="380">
        <f t="shared" si="185"/>
        <v>638.33628112990368</v>
      </c>
      <c r="BK46" s="380">
        <f t="shared" si="186"/>
        <v>423.4499784101306</v>
      </c>
      <c r="BL46" s="380">
        <f t="shared" si="187"/>
        <v>682.99519011251402</v>
      </c>
      <c r="BM46" s="389">
        <f t="shared" si="188"/>
        <v>2085.4649069850566</v>
      </c>
      <c r="BN46" s="381">
        <f t="shared" si="344"/>
        <v>8916.2822145764912</v>
      </c>
      <c r="BO46" s="379">
        <f t="shared" si="189"/>
        <v>24.210819682740084</v>
      </c>
      <c r="BP46" s="380">
        <f t="shared" si="190"/>
        <v>58.492552876616756</v>
      </c>
      <c r="BQ46" s="380">
        <f t="shared" si="191"/>
        <v>2336.8204229768035</v>
      </c>
      <c r="BR46" s="380">
        <f t="shared" si="192"/>
        <v>646.76381024435273</v>
      </c>
      <c r="BS46" s="380">
        <f t="shared" si="193"/>
        <v>460.86250928675253</v>
      </c>
      <c r="BT46" s="380">
        <f t="shared" si="194"/>
        <v>469.53501005210364</v>
      </c>
      <c r="BU46" s="380">
        <f t="shared" si="195"/>
        <v>514.3993871234884</v>
      </c>
      <c r="BV46" s="380">
        <f t="shared" si="196"/>
        <v>486.42075795449574</v>
      </c>
      <c r="BW46" s="380">
        <f t="shared" si="197"/>
        <v>396.50920756698378</v>
      </c>
      <c r="BX46" s="380">
        <f t="shared" si="198"/>
        <v>843.86955599337341</v>
      </c>
      <c r="BY46" s="380">
        <f t="shared" si="199"/>
        <v>465.59928090905828</v>
      </c>
      <c r="BZ46" s="389">
        <f t="shared" si="200"/>
        <v>1640.6461256343039</v>
      </c>
      <c r="CA46" s="381">
        <f t="shared" si="345"/>
        <v>8344.1294403010725</v>
      </c>
      <c r="CB46" s="379">
        <f t="shared" si="201"/>
        <v>23.490327555781288</v>
      </c>
      <c r="CC46" s="380">
        <f t="shared" si="202"/>
        <v>152.9842406114501</v>
      </c>
      <c r="CD46" s="380">
        <f t="shared" si="203"/>
        <v>510.246514280969</v>
      </c>
      <c r="CE46" s="380">
        <f t="shared" si="204"/>
        <v>360.65220749750699</v>
      </c>
      <c r="CF46" s="380">
        <f t="shared" si="205"/>
        <v>441.8200421356463</v>
      </c>
      <c r="CG46" s="380">
        <f t="shared" si="206"/>
        <v>741.54883593917839</v>
      </c>
      <c r="CH46" s="380">
        <f t="shared" si="207"/>
        <v>505.7029757734507</v>
      </c>
      <c r="CI46" s="380">
        <f t="shared" si="208"/>
        <v>679.63068673170596</v>
      </c>
      <c r="CJ46" s="380">
        <f t="shared" si="209"/>
        <v>434.17390801257216</v>
      </c>
      <c r="CK46" s="380">
        <f t="shared" si="210"/>
        <v>1032.8728852300824</v>
      </c>
      <c r="CL46" s="380">
        <f t="shared" si="211"/>
        <v>834.00970234008298</v>
      </c>
      <c r="CM46" s="389">
        <f t="shared" si="212"/>
        <v>1291.8347606938064</v>
      </c>
      <c r="CN46" s="381">
        <f t="shared" si="346"/>
        <v>7008.9670868022331</v>
      </c>
      <c r="CO46" s="379">
        <f t="shared" si="213"/>
        <v>0</v>
      </c>
      <c r="CP46" s="380">
        <f t="shared" si="214"/>
        <v>60.33238637977874</v>
      </c>
      <c r="CQ46" s="380">
        <f t="shared" si="215"/>
        <v>159.4136408471544</v>
      </c>
      <c r="CR46" s="380">
        <f t="shared" si="216"/>
        <v>211.46758836281504</v>
      </c>
      <c r="CS46" s="380">
        <f t="shared" si="217"/>
        <v>107.84100746731892</v>
      </c>
      <c r="CT46" s="380">
        <f t="shared" si="218"/>
        <v>476.01076896055667</v>
      </c>
      <c r="CU46" s="380">
        <f t="shared" si="219"/>
        <v>726.10387211183377</v>
      </c>
      <c r="CV46" s="380">
        <f t="shared" si="220"/>
        <v>494.16576273380116</v>
      </c>
      <c r="CW46" s="380">
        <f t="shared" si="221"/>
        <v>488.68917086830896</v>
      </c>
      <c r="CX46" s="380">
        <f t="shared" si="222"/>
        <v>1161.4845961553756</v>
      </c>
      <c r="CY46" s="380">
        <f t="shared" si="223"/>
        <v>849.22274234238148</v>
      </c>
      <c r="CZ46" s="389">
        <f t="shared" si="224"/>
        <v>1485.7039863118134</v>
      </c>
      <c r="DA46" s="381">
        <f t="shared" si="347"/>
        <v>6220.4355225411382</v>
      </c>
      <c r="DB46" s="379">
        <f t="shared" si="225"/>
        <v>28.55260484423312</v>
      </c>
      <c r="DC46" s="380">
        <f t="shared" si="226"/>
        <v>110.2660454097053</v>
      </c>
      <c r="DD46" s="380">
        <f t="shared" si="227"/>
        <v>287.06960605575085</v>
      </c>
      <c r="DE46" s="380">
        <f t="shared" si="228"/>
        <v>167.75117647337589</v>
      </c>
      <c r="DF46" s="380">
        <f t="shared" si="229"/>
        <v>320.66330510383762</v>
      </c>
      <c r="DG46" s="380">
        <f t="shared" si="230"/>
        <v>610.71167834950904</v>
      </c>
      <c r="DH46" s="380">
        <f t="shared" si="231"/>
        <v>335.54868831695973</v>
      </c>
      <c r="DI46" s="380">
        <f t="shared" si="232"/>
        <v>725.64710237599832</v>
      </c>
      <c r="DJ46" s="380">
        <f t="shared" si="233"/>
        <v>244.32808419999498</v>
      </c>
      <c r="DK46" s="380">
        <f t="shared" si="234"/>
        <v>326.40093858322194</v>
      </c>
      <c r="DL46" s="380">
        <f t="shared" si="235"/>
        <v>139.27218797651713</v>
      </c>
      <c r="DM46" s="389">
        <f t="shared" si="236"/>
        <v>493.88596091910154</v>
      </c>
      <c r="DN46" s="381">
        <f t="shared" si="348"/>
        <v>3790.097378608205</v>
      </c>
      <c r="DO46" s="379">
        <f t="shared" si="237"/>
        <v>58.308103264484956</v>
      </c>
      <c r="DP46" s="380">
        <f t="shared" si="238"/>
        <v>490.40532425647109</v>
      </c>
      <c r="DQ46" s="380">
        <f t="shared" si="239"/>
        <v>530.73005001614365</v>
      </c>
      <c r="DR46" s="380">
        <f t="shared" si="240"/>
        <v>240.17016771361213</v>
      </c>
      <c r="DS46" s="380">
        <f t="shared" si="241"/>
        <v>653.50520623991713</v>
      </c>
      <c r="DT46" s="380">
        <f t="shared" si="242"/>
        <v>705.90412205402572</v>
      </c>
      <c r="DU46" s="380">
        <f t="shared" si="243"/>
        <v>486.5058594536473</v>
      </c>
      <c r="DV46" s="380">
        <f t="shared" si="244"/>
        <v>612.33062512827962</v>
      </c>
      <c r="DW46" s="380">
        <f t="shared" si="245"/>
        <v>714.28958230494652</v>
      </c>
      <c r="DX46" s="380">
        <f t="shared" si="246"/>
        <v>946.07529037721736</v>
      </c>
      <c r="DY46" s="380">
        <f t="shared" si="247"/>
        <v>937.14140154614506</v>
      </c>
      <c r="DZ46" s="389">
        <f t="shared" si="248"/>
        <v>3386.4847864862977</v>
      </c>
      <c r="EA46" s="381">
        <f t="shared" si="349"/>
        <v>9761.8505188411873</v>
      </c>
      <c r="EB46" s="379">
        <f t="shared" si="249"/>
        <v>71.270055156934461</v>
      </c>
      <c r="EC46" s="380">
        <f t="shared" si="250"/>
        <v>76.837158636660732</v>
      </c>
      <c r="ED46" s="380">
        <f t="shared" si="251"/>
        <v>219.38303901029673</v>
      </c>
      <c r="EE46" s="380">
        <f t="shared" si="252"/>
        <v>640.46609851256096</v>
      </c>
      <c r="EF46" s="380">
        <f t="shared" si="253"/>
        <v>338.41328337286882</v>
      </c>
      <c r="EG46" s="380">
        <f t="shared" si="254"/>
        <v>1168.0712805558976</v>
      </c>
      <c r="EH46" s="380">
        <f t="shared" si="255"/>
        <v>384.33109421119201</v>
      </c>
      <c r="EI46" s="380">
        <f t="shared" si="256"/>
        <v>681.10689088056927</v>
      </c>
      <c r="EJ46" s="380">
        <f t="shared" si="257"/>
        <v>446.12875251060348</v>
      </c>
      <c r="EK46" s="380">
        <f t="shared" si="258"/>
        <v>536.34171139760804</v>
      </c>
      <c r="EL46" s="380">
        <f t="shared" si="259"/>
        <v>547.71322741621168</v>
      </c>
      <c r="EM46" s="389">
        <f t="shared" si="260"/>
        <v>330.85929669588711</v>
      </c>
      <c r="EN46" s="381">
        <f t="shared" si="350"/>
        <v>5440.9218883572903</v>
      </c>
      <c r="EO46" s="379">
        <f t="shared" si="261"/>
        <v>22.558830341721112</v>
      </c>
      <c r="EP46" s="380">
        <f t="shared" si="262"/>
        <v>161.22703448810717</v>
      </c>
      <c r="EQ46" s="380">
        <f>+EQ12/EQ37</f>
        <v>278.18046048243741</v>
      </c>
      <c r="ER46" s="380">
        <f t="shared" si="263"/>
        <v>321.57090914252808</v>
      </c>
      <c r="ES46" s="380">
        <f t="shared" si="264"/>
        <v>348.25301001050281</v>
      </c>
      <c r="ET46" s="380">
        <f t="shared" si="265"/>
        <v>623.93442890481469</v>
      </c>
      <c r="EU46" s="380">
        <f t="shared" si="266"/>
        <v>611.55717950393273</v>
      </c>
      <c r="EV46" s="380">
        <f t="shared" si="267"/>
        <v>908.78946308169589</v>
      </c>
      <c r="EW46" s="380">
        <f t="shared" si="268"/>
        <v>971.9668196823859</v>
      </c>
      <c r="EX46" s="380">
        <f t="shared" si="269"/>
        <v>847.27938038723266</v>
      </c>
      <c r="EY46" s="380">
        <f t="shared" si="270"/>
        <v>490.46583343058177</v>
      </c>
      <c r="EZ46" s="389">
        <f t="shared" si="271"/>
        <v>3910.6581878893871</v>
      </c>
      <c r="FA46" s="381">
        <f t="shared" si="351"/>
        <v>9496.4415373453267</v>
      </c>
      <c r="FB46" s="379">
        <f t="shared" si="272"/>
        <v>145.30497531492199</v>
      </c>
      <c r="FC46" s="380">
        <f t="shared" si="273"/>
        <v>171.35835486557227</v>
      </c>
      <c r="FD46" s="380">
        <f t="shared" si="274"/>
        <v>267.04805875802288</v>
      </c>
      <c r="FE46" s="380">
        <f t="shared" si="275"/>
        <v>247.57851200636452</v>
      </c>
      <c r="FF46" s="380">
        <f t="shared" si="276"/>
        <v>213.54657926801724</v>
      </c>
      <c r="FG46" s="380">
        <f t="shared" si="277"/>
        <v>288.24481000164303</v>
      </c>
      <c r="FH46" s="380">
        <f t="shared" si="278"/>
        <v>200.84746864538138</v>
      </c>
      <c r="FI46" s="380">
        <f t="shared" si="279"/>
        <v>510.87849381973047</v>
      </c>
      <c r="FJ46" s="380">
        <f t="shared" si="280"/>
        <v>778.56393679971859</v>
      </c>
      <c r="FK46" s="380">
        <f t="shared" si="281"/>
        <v>796.84424013905152</v>
      </c>
      <c r="FL46" s="380">
        <f t="shared" si="282"/>
        <v>645.99717490662772</v>
      </c>
      <c r="FM46" s="389">
        <f t="shared" si="283"/>
        <v>1725.1929465737596</v>
      </c>
      <c r="FN46" s="381">
        <f t="shared" si="352"/>
        <v>5991.405551098811</v>
      </c>
      <c r="FO46" s="379">
        <f t="shared" si="284"/>
        <v>74.135077765391486</v>
      </c>
      <c r="FP46" s="380">
        <f t="shared" si="285"/>
        <v>265.88401867486135</v>
      </c>
      <c r="FQ46" s="380">
        <f t="shared" si="286"/>
        <v>432.31040997740917</v>
      </c>
      <c r="FR46" s="380">
        <f t="shared" si="287"/>
        <v>177.51847612940094</v>
      </c>
      <c r="FS46" s="380">
        <f t="shared" si="288"/>
        <v>260.55012105227723</v>
      </c>
      <c r="FT46" s="380">
        <f t="shared" si="289"/>
        <v>248.56833000079484</v>
      </c>
      <c r="FU46" s="380">
        <f t="shared" si="290"/>
        <v>239.50313629213767</v>
      </c>
      <c r="FV46" s="380">
        <f t="shared" si="291"/>
        <v>269.10669746553242</v>
      </c>
      <c r="FW46" s="380">
        <f t="shared" si="292"/>
        <v>264.1405946877664</v>
      </c>
      <c r="FX46" s="380">
        <f t="shared" si="293"/>
        <v>247.13137455195863</v>
      </c>
      <c r="FY46" s="380">
        <f t="shared" si="294"/>
        <v>307.96685043604947</v>
      </c>
      <c r="FZ46" s="389">
        <f t="shared" si="295"/>
        <v>503.98915980297124</v>
      </c>
      <c r="GA46" s="381">
        <f t="shared" si="353"/>
        <v>3290.8042468365506</v>
      </c>
      <c r="GB46" s="379">
        <f t="shared" si="296"/>
        <v>205.34129317457413</v>
      </c>
      <c r="GC46" s="380">
        <f t="shared" si="297"/>
        <v>255.561800176498</v>
      </c>
      <c r="GD46" s="380">
        <f t="shared" si="298"/>
        <v>436.63867968743961</v>
      </c>
      <c r="GE46" s="380">
        <f t="shared" si="299"/>
        <v>465.9936751308914</v>
      </c>
      <c r="GF46" s="380">
        <f t="shared" si="300"/>
        <v>424.66809189649553</v>
      </c>
      <c r="GG46" s="380">
        <f t="shared" si="301"/>
        <v>720.83738941510831</v>
      </c>
      <c r="GH46" s="380">
        <f t="shared" si="302"/>
        <v>1267.2686017832684</v>
      </c>
      <c r="GI46" s="380">
        <f t="shared" si="303"/>
        <v>712.97880215685586</v>
      </c>
      <c r="GJ46" s="380">
        <f t="shared" si="304"/>
        <v>568.15005650970181</v>
      </c>
      <c r="GK46" s="380">
        <f t="shared" si="305"/>
        <v>1075.1241202564727</v>
      </c>
      <c r="GL46" s="380">
        <f t="shared" si="306"/>
        <v>942.09237634342162</v>
      </c>
      <c r="GM46" s="389">
        <f t="shared" si="307"/>
        <v>1744.7101742893124</v>
      </c>
      <c r="GN46" s="381">
        <f t="shared" si="354"/>
        <v>8819.3650608200387</v>
      </c>
      <c r="GO46" s="379">
        <f t="shared" si="308"/>
        <v>116.20360645541682</v>
      </c>
      <c r="GP46" s="380">
        <f t="shared" si="309"/>
        <v>303.71353252517866</v>
      </c>
      <c r="GQ46" s="380">
        <f t="shared" si="310"/>
        <v>631.71605613838642</v>
      </c>
      <c r="GR46" s="380">
        <f t="shared" si="311"/>
        <v>359.21668945441803</v>
      </c>
      <c r="GS46" s="380">
        <f t="shared" si="312"/>
        <v>815.828653561549</v>
      </c>
      <c r="GT46" s="380">
        <f t="shared" si="313"/>
        <v>131.39425547421885</v>
      </c>
      <c r="GU46" s="380">
        <f t="shared" si="314"/>
        <v>595.54990647451382</v>
      </c>
      <c r="GV46" s="380">
        <f t="shared" si="315"/>
        <v>1439.9654761752226</v>
      </c>
      <c r="GW46" s="380">
        <f t="shared" si="316"/>
        <v>729.80095181305194</v>
      </c>
      <c r="GX46" s="380">
        <f t="shared" si="317"/>
        <v>1318.0872996275475</v>
      </c>
      <c r="GY46" s="380">
        <f t="shared" si="318"/>
        <v>618.343062460326</v>
      </c>
      <c r="GZ46" s="389">
        <f t="shared" si="319"/>
        <v>2171.5994525118272</v>
      </c>
      <c r="HA46" s="381">
        <f t="shared" si="355"/>
        <v>9231.4189426716566</v>
      </c>
      <c r="HB46" s="379">
        <f t="shared" si="320"/>
        <v>232.95030817481268</v>
      </c>
      <c r="HC46" s="380">
        <f t="shared" si="321"/>
        <v>432.15471388921759</v>
      </c>
      <c r="HD46" s="380">
        <f t="shared" si="322"/>
        <v>663.33832554754565</v>
      </c>
      <c r="HE46" s="380">
        <f t="shared" si="323"/>
        <v>490.31929026944147</v>
      </c>
      <c r="HF46" s="380">
        <f t="shared" si="324"/>
        <v>564.31897027781372</v>
      </c>
      <c r="HG46" s="380">
        <f t="shared" si="325"/>
        <v>574.85936730128719</v>
      </c>
      <c r="HH46" s="380">
        <f t="shared" si="326"/>
        <v>873.93215475503746</v>
      </c>
      <c r="HI46" s="380">
        <f t="shared" si="327"/>
        <v>1321.1863009309714</v>
      </c>
      <c r="HJ46" s="380">
        <f t="shared" si="328"/>
        <v>1093.3839264573019</v>
      </c>
      <c r="HK46" s="380">
        <f t="shared" si="329"/>
        <v>1063.0212082651451</v>
      </c>
      <c r="HL46" s="380">
        <f t="shared" si="330"/>
        <v>1078.2843568935405</v>
      </c>
      <c r="HM46" s="389">
        <f t="shared" si="331"/>
        <v>2327.9428495746911</v>
      </c>
      <c r="HN46" s="381">
        <f t="shared" si="356"/>
        <v>10715.691772336806</v>
      </c>
      <c r="HO46" s="379">
        <f t="shared" si="332"/>
        <v>433.91191531700832</v>
      </c>
      <c r="HP46" s="380">
        <f t="shared" si="333"/>
        <v>472.15635699154728</v>
      </c>
      <c r="HQ46" s="380">
        <f t="shared" si="334"/>
        <v>712.50909177989422</v>
      </c>
      <c r="HR46" s="380">
        <f t="shared" si="335"/>
        <v>423.82401372868566</v>
      </c>
      <c r="HS46" s="380">
        <f t="shared" si="336"/>
        <v>983.99455358699322</v>
      </c>
      <c r="HT46" s="380">
        <f t="shared" si="357"/>
        <v>814.51910252249456</v>
      </c>
      <c r="HU46" s="380">
        <f t="shared" si="358"/>
        <v>984.86358390952353</v>
      </c>
      <c r="HV46" s="380">
        <f t="shared" si="359"/>
        <v>978.8991415078558</v>
      </c>
      <c r="HW46" s="380">
        <f t="shared" si="360"/>
        <v>882.79707903649853</v>
      </c>
      <c r="HX46" s="380">
        <f t="shared" si="361"/>
        <v>1050.4755032078453</v>
      </c>
      <c r="HY46" s="380">
        <f t="shared" si="362"/>
        <v>2751.2960425432784</v>
      </c>
      <c r="HZ46" s="389">
        <f t="shared" si="375"/>
        <v>2000.604827668622</v>
      </c>
      <c r="IA46" s="379">
        <f t="shared" si="363"/>
        <v>12489.851211800245</v>
      </c>
      <c r="IB46" s="1344">
        <f t="shared" si="364"/>
        <v>438.2088469032733</v>
      </c>
      <c r="IC46" s="120">
        <f t="shared" si="365"/>
        <v>682.02283763012429</v>
      </c>
      <c r="ID46" s="120">
        <f>+ID12/$ID$37</f>
        <v>859.24476359531093</v>
      </c>
      <c r="IE46" s="120">
        <f t="shared" si="367"/>
        <v>517.86754146533826</v>
      </c>
      <c r="IF46" s="120">
        <f t="shared" si="368"/>
        <v>972.02628030679386</v>
      </c>
      <c r="IG46" s="120">
        <f t="shared" si="369"/>
        <v>1328.7633404617306</v>
      </c>
      <c r="IH46" s="120">
        <f t="shared" si="370"/>
        <v>1037.3085147986703</v>
      </c>
      <c r="II46" s="120">
        <f t="shared" si="371"/>
        <v>854.83748376353094</v>
      </c>
      <c r="IJ46" s="120"/>
      <c r="IK46" s="120"/>
      <c r="IL46" s="120"/>
      <c r="IM46" s="1345"/>
      <c r="IN46" s="1346">
        <f t="shared" si="372"/>
        <v>6690.2796089247722</v>
      </c>
      <c r="IO46" s="120"/>
      <c r="IP46" s="371">
        <f t="shared" si="337"/>
        <v>-12.673589390754337</v>
      </c>
      <c r="IQ46" s="348">
        <f t="shared" si="373"/>
        <v>15.256692727777764</v>
      </c>
      <c r="IR46" s="320">
        <f t="shared" si="338"/>
        <v>5804.677759344002</v>
      </c>
      <c r="IS46" s="344">
        <f t="shared" si="339"/>
        <v>6690.2796089247722</v>
      </c>
      <c r="IU46" s="320">
        <f t="shared" si="374"/>
        <v>-124.06165774432486</v>
      </c>
    </row>
    <row r="47" spans="1:255" ht="15" customHeight="1" x14ac:dyDescent="0.2">
      <c r="A47" s="1554" t="s">
        <v>319</v>
      </c>
      <c r="B47" s="379">
        <f t="shared" si="129"/>
        <v>364.06268600048327</v>
      </c>
      <c r="C47" s="380">
        <f t="shared" si="130"/>
        <v>504.31555831250478</v>
      </c>
      <c r="D47" s="380">
        <f t="shared" si="131"/>
        <v>655.5810462106416</v>
      </c>
      <c r="E47" s="380">
        <f t="shared" si="132"/>
        <v>1003.4631148190477</v>
      </c>
      <c r="F47" s="380">
        <f t="shared" si="133"/>
        <v>629.26883298343637</v>
      </c>
      <c r="G47" s="380">
        <f t="shared" si="134"/>
        <v>806.39738184252019</v>
      </c>
      <c r="H47" s="380">
        <f t="shared" si="135"/>
        <v>784.00279433173853</v>
      </c>
      <c r="I47" s="380">
        <f t="shared" si="136"/>
        <v>568.62790325464994</v>
      </c>
      <c r="J47" s="380">
        <f t="shared" si="137"/>
        <v>829.01241162054771</v>
      </c>
      <c r="K47" s="380">
        <f t="shared" si="138"/>
        <v>604.56507974190879</v>
      </c>
      <c r="L47" s="380">
        <f t="shared" si="139"/>
        <v>686.68661502783959</v>
      </c>
      <c r="M47" s="389">
        <f t="shared" si="140"/>
        <v>1114.6220078332808</v>
      </c>
      <c r="N47" s="381">
        <f t="shared" si="340"/>
        <v>8550.6054319785981</v>
      </c>
      <c r="O47" s="379">
        <f t="shared" si="141"/>
        <v>48.68816448372457</v>
      </c>
      <c r="P47" s="380">
        <f t="shared" si="142"/>
        <v>104.79884506219638</v>
      </c>
      <c r="Q47" s="380">
        <f t="shared" si="143"/>
        <v>128.23867680479654</v>
      </c>
      <c r="R47" s="380">
        <f t="shared" si="144"/>
        <v>111.72850122964819</v>
      </c>
      <c r="S47" s="380">
        <f t="shared" si="145"/>
        <v>145.67164321067824</v>
      </c>
      <c r="T47" s="380">
        <f t="shared" si="146"/>
        <v>79.979054315042276</v>
      </c>
      <c r="U47" s="380">
        <f t="shared" si="147"/>
        <v>145.8914228034748</v>
      </c>
      <c r="V47" s="380">
        <f t="shared" si="148"/>
        <v>115.85536717192785</v>
      </c>
      <c r="W47" s="380">
        <f t="shared" si="149"/>
        <v>127.92383015267689</v>
      </c>
      <c r="X47" s="380">
        <f t="shared" si="150"/>
        <v>83.648316580488995</v>
      </c>
      <c r="Y47" s="380">
        <f t="shared" si="151"/>
        <v>157.35839242137359</v>
      </c>
      <c r="Z47" s="389">
        <f t="shared" si="152"/>
        <v>171.53307884242273</v>
      </c>
      <c r="AA47" s="381">
        <f t="shared" si="341"/>
        <v>1421.3152930784511</v>
      </c>
      <c r="AB47" s="379">
        <f t="shared" si="153"/>
        <v>67.676371070421268</v>
      </c>
      <c r="AC47" s="380">
        <f t="shared" si="154"/>
        <v>52.874443969627379</v>
      </c>
      <c r="AD47" s="380">
        <f t="shared" si="155"/>
        <v>128.18069061313599</v>
      </c>
      <c r="AE47" s="380">
        <f t="shared" si="156"/>
        <v>129.95986847689269</v>
      </c>
      <c r="AF47" s="380">
        <f t="shared" si="157"/>
        <v>103.35631551664655</v>
      </c>
      <c r="AG47" s="380">
        <f t="shared" si="158"/>
        <v>138.36913220498684</v>
      </c>
      <c r="AH47" s="380">
        <f t="shared" si="159"/>
        <v>107.23439234698506</v>
      </c>
      <c r="AI47" s="380">
        <f t="shared" si="160"/>
        <v>145.58986166100755</v>
      </c>
      <c r="AJ47" s="380">
        <f t="shared" si="161"/>
        <v>284.97429566239862</v>
      </c>
      <c r="AK47" s="380">
        <f t="shared" si="162"/>
        <v>201.65216232813412</v>
      </c>
      <c r="AL47" s="380">
        <f t="shared" si="163"/>
        <v>141.32242796040509</v>
      </c>
      <c r="AM47" s="389">
        <f t="shared" si="164"/>
        <v>110.5186374025469</v>
      </c>
      <c r="AN47" s="381">
        <f t="shared" si="342"/>
        <v>1611.7085992131879</v>
      </c>
      <c r="AO47" s="379">
        <f t="shared" si="165"/>
        <v>9.8453835847351119</v>
      </c>
      <c r="AP47" s="380">
        <f t="shared" si="166"/>
        <v>63.306909608595788</v>
      </c>
      <c r="AQ47" s="380">
        <f t="shared" si="167"/>
        <v>91.201192912784663</v>
      </c>
      <c r="AR47" s="380">
        <f t="shared" si="168"/>
        <v>128.40234141108968</v>
      </c>
      <c r="AS47" s="380">
        <f t="shared" si="169"/>
        <v>79.167961859481949</v>
      </c>
      <c r="AT47" s="380">
        <f t="shared" si="170"/>
        <v>73.816281454062448</v>
      </c>
      <c r="AU47" s="380">
        <f t="shared" si="171"/>
        <v>129.90973613991494</v>
      </c>
      <c r="AV47" s="380">
        <f t="shared" si="172"/>
        <v>142.60286974796273</v>
      </c>
      <c r="AW47" s="380">
        <f t="shared" si="173"/>
        <v>90.133647097432885</v>
      </c>
      <c r="AX47" s="380">
        <f t="shared" si="174"/>
        <v>106.27093119966801</v>
      </c>
      <c r="AY47" s="380">
        <f t="shared" si="175"/>
        <v>344.11682189242515</v>
      </c>
      <c r="AZ47" s="389">
        <f t="shared" si="176"/>
        <v>351.76996353818265</v>
      </c>
      <c r="BA47" s="381">
        <f t="shared" si="343"/>
        <v>1610.5440404463361</v>
      </c>
      <c r="BB47" s="379">
        <f t="shared" si="177"/>
        <v>66.130245348861209</v>
      </c>
      <c r="BC47" s="380">
        <f t="shared" si="178"/>
        <v>342.43794066188826</v>
      </c>
      <c r="BD47" s="380">
        <f t="shared" si="179"/>
        <v>165.66289180576615</v>
      </c>
      <c r="BE47" s="380">
        <f t="shared" si="180"/>
        <v>100.56385324389034</v>
      </c>
      <c r="BF47" s="380">
        <f t="shared" si="181"/>
        <v>244.97358569789054</v>
      </c>
      <c r="BG47" s="380">
        <f t="shared" si="182"/>
        <v>80.282080560843653</v>
      </c>
      <c r="BH47" s="380">
        <f t="shared" si="183"/>
        <v>69.233801220892559</v>
      </c>
      <c r="BI47" s="380">
        <f t="shared" si="184"/>
        <v>126.84460452126805</v>
      </c>
      <c r="BJ47" s="380">
        <f t="shared" si="185"/>
        <v>103.60431787972259</v>
      </c>
      <c r="BK47" s="380">
        <f t="shared" si="186"/>
        <v>143.93951835285071</v>
      </c>
      <c r="BL47" s="380">
        <f t="shared" si="187"/>
        <v>328.50811598049756</v>
      </c>
      <c r="BM47" s="389">
        <f t="shared" si="188"/>
        <v>236.54772291654152</v>
      </c>
      <c r="BN47" s="381">
        <f t="shared" si="344"/>
        <v>2008.7286781909131</v>
      </c>
      <c r="BO47" s="379">
        <f t="shared" si="189"/>
        <v>111.87068405128177</v>
      </c>
      <c r="BP47" s="380">
        <f t="shared" si="190"/>
        <v>79.382750332551311</v>
      </c>
      <c r="BQ47" s="380">
        <f t="shared" si="191"/>
        <v>96.884475367925589</v>
      </c>
      <c r="BR47" s="380">
        <f t="shared" si="192"/>
        <v>233.76009999891676</v>
      </c>
      <c r="BS47" s="380">
        <f t="shared" si="193"/>
        <v>197.04139484710885</v>
      </c>
      <c r="BT47" s="380">
        <f t="shared" si="194"/>
        <v>148.01453907071567</v>
      </c>
      <c r="BU47" s="380">
        <f t="shared" si="195"/>
        <v>124.30637017928495</v>
      </c>
      <c r="BV47" s="380">
        <f t="shared" si="196"/>
        <v>94.355866091507536</v>
      </c>
      <c r="BW47" s="380">
        <f t="shared" si="197"/>
        <v>112.94012264715317</v>
      </c>
      <c r="BX47" s="380">
        <f t="shared" si="198"/>
        <v>108.02180071907475</v>
      </c>
      <c r="BY47" s="380">
        <f t="shared" si="199"/>
        <v>129.42357633660885</v>
      </c>
      <c r="BZ47" s="389">
        <f t="shared" si="200"/>
        <v>24.378099935130816</v>
      </c>
      <c r="CA47" s="381">
        <f t="shared" si="345"/>
        <v>1460.37977957726</v>
      </c>
      <c r="CB47" s="379">
        <f t="shared" si="201"/>
        <v>67.230937487236105</v>
      </c>
      <c r="CC47" s="380">
        <f t="shared" si="202"/>
        <v>127.21847377162693</v>
      </c>
      <c r="CD47" s="380">
        <f t="shared" si="203"/>
        <v>133.76949432483804</v>
      </c>
      <c r="CE47" s="380">
        <f t="shared" si="204"/>
        <v>126.06869200134093</v>
      </c>
      <c r="CF47" s="380">
        <f t="shared" si="205"/>
        <v>191.85338766610948</v>
      </c>
      <c r="CG47" s="380">
        <f t="shared" si="206"/>
        <v>196.31571540940737</v>
      </c>
      <c r="CH47" s="380">
        <f t="shared" si="207"/>
        <v>149.57411959496429</v>
      </c>
      <c r="CI47" s="380">
        <f t="shared" si="208"/>
        <v>227.33567260139816</v>
      </c>
      <c r="CJ47" s="380">
        <f t="shared" si="209"/>
        <v>143.14294599321596</v>
      </c>
      <c r="CK47" s="380">
        <f t="shared" si="210"/>
        <v>185.93287636483558</v>
      </c>
      <c r="CL47" s="380">
        <f t="shared" si="211"/>
        <v>192.52447244179777</v>
      </c>
      <c r="CM47" s="389">
        <f t="shared" si="212"/>
        <v>214.91218139513052</v>
      </c>
      <c r="CN47" s="381">
        <f t="shared" si="346"/>
        <v>1955.8789690519013</v>
      </c>
      <c r="CO47" s="379">
        <f t="shared" si="213"/>
        <v>107.66666941339969</v>
      </c>
      <c r="CP47" s="380">
        <f t="shared" si="214"/>
        <v>141.03674738130096</v>
      </c>
      <c r="CQ47" s="380">
        <f t="shared" si="215"/>
        <v>157.08075829817165</v>
      </c>
      <c r="CR47" s="380">
        <f t="shared" si="216"/>
        <v>232.38196523386267</v>
      </c>
      <c r="CS47" s="380">
        <f t="shared" si="217"/>
        <v>189.49205597828893</v>
      </c>
      <c r="CT47" s="380">
        <f t="shared" si="218"/>
        <v>323.99442661508857</v>
      </c>
      <c r="CU47" s="380">
        <f t="shared" si="219"/>
        <v>234.64619867192943</v>
      </c>
      <c r="CV47" s="380">
        <f t="shared" si="220"/>
        <v>229.95078635686895</v>
      </c>
      <c r="CW47" s="380">
        <f t="shared" si="221"/>
        <v>280.12089545099332</v>
      </c>
      <c r="CX47" s="380">
        <f t="shared" si="222"/>
        <v>215.87802703411433</v>
      </c>
      <c r="CY47" s="380">
        <f t="shared" si="223"/>
        <v>219.69187803683374</v>
      </c>
      <c r="CZ47" s="389">
        <f t="shared" si="224"/>
        <v>359.7364474470736</v>
      </c>
      <c r="DA47" s="381">
        <f t="shared" si="347"/>
        <v>2691.6768559179259</v>
      </c>
      <c r="DB47" s="379">
        <f t="shared" si="225"/>
        <v>246.45406286601221</v>
      </c>
      <c r="DC47" s="380">
        <f t="shared" si="226"/>
        <v>225.03274573409246</v>
      </c>
      <c r="DD47" s="380">
        <f t="shared" si="227"/>
        <v>361.63314009620558</v>
      </c>
      <c r="DE47" s="380">
        <f t="shared" si="228"/>
        <v>346.68576471164351</v>
      </c>
      <c r="DF47" s="380">
        <f t="shared" si="229"/>
        <v>383.90316805935083</v>
      </c>
      <c r="DG47" s="380">
        <f t="shared" si="230"/>
        <v>390.05307923782516</v>
      </c>
      <c r="DH47" s="380">
        <f t="shared" si="231"/>
        <v>223.4516707597453</v>
      </c>
      <c r="DI47" s="380">
        <f t="shared" si="232"/>
        <v>255.19699319033577</v>
      </c>
      <c r="DJ47" s="380">
        <f t="shared" si="233"/>
        <v>268.68707748881621</v>
      </c>
      <c r="DK47" s="380">
        <f t="shared" si="234"/>
        <v>238.91960594492599</v>
      </c>
      <c r="DL47" s="380">
        <f t="shared" si="235"/>
        <v>259.4860765457214</v>
      </c>
      <c r="DM47" s="389">
        <f t="shared" si="236"/>
        <v>322.92543598556642</v>
      </c>
      <c r="DN47" s="381">
        <f t="shared" si="348"/>
        <v>3522.4288206202409</v>
      </c>
      <c r="DO47" s="379">
        <f t="shared" si="237"/>
        <v>241.97862854761257</v>
      </c>
      <c r="DP47" s="380">
        <f t="shared" si="238"/>
        <v>290.61056252235323</v>
      </c>
      <c r="DQ47" s="380">
        <f t="shared" si="239"/>
        <v>346.40893805107754</v>
      </c>
      <c r="DR47" s="380">
        <f t="shared" si="240"/>
        <v>362.41246864569018</v>
      </c>
      <c r="DS47" s="380">
        <f t="shared" si="241"/>
        <v>361.05260013255088</v>
      </c>
      <c r="DT47" s="380">
        <f t="shared" si="242"/>
        <v>330.5309260027559</v>
      </c>
      <c r="DU47" s="380">
        <f t="shared" si="243"/>
        <v>220.154728684514</v>
      </c>
      <c r="DV47" s="380">
        <f t="shared" si="244"/>
        <v>248.80412988233377</v>
      </c>
      <c r="DW47" s="380">
        <f t="shared" si="245"/>
        <v>239.53084386531339</v>
      </c>
      <c r="DX47" s="380">
        <f t="shared" si="246"/>
        <v>209.67852970279532</v>
      </c>
      <c r="DY47" s="380">
        <f t="shared" si="247"/>
        <v>230.31441224439158</v>
      </c>
      <c r="DZ47" s="389">
        <f t="shared" si="248"/>
        <v>154.97961453694211</v>
      </c>
      <c r="EA47" s="381">
        <f t="shared" si="349"/>
        <v>3236.45638281833</v>
      </c>
      <c r="EB47" s="379">
        <f t="shared" si="249"/>
        <v>166.29679536618039</v>
      </c>
      <c r="EC47" s="380">
        <f t="shared" si="250"/>
        <v>170.90882014509583</v>
      </c>
      <c r="ED47" s="380">
        <f t="shared" si="251"/>
        <v>277.98046311076683</v>
      </c>
      <c r="EE47" s="380">
        <f t="shared" si="252"/>
        <v>362.81152172722727</v>
      </c>
      <c r="EF47" s="380">
        <f t="shared" si="253"/>
        <v>113.04291495330503</v>
      </c>
      <c r="EG47" s="380">
        <f t="shared" si="254"/>
        <v>164.72800110403682</v>
      </c>
      <c r="EH47" s="380">
        <f t="shared" si="255"/>
        <v>439.7429710105875</v>
      </c>
      <c r="EI47" s="380">
        <f t="shared" si="256"/>
        <v>137.64035086544837</v>
      </c>
      <c r="EJ47" s="380">
        <f t="shared" si="257"/>
        <v>178.45150100424138</v>
      </c>
      <c r="EK47" s="380">
        <f t="shared" si="258"/>
        <v>239.16028819576718</v>
      </c>
      <c r="EL47" s="380">
        <f t="shared" si="259"/>
        <v>148.41261646116703</v>
      </c>
      <c r="EM47" s="389">
        <f t="shared" si="260"/>
        <v>210.22616293256792</v>
      </c>
      <c r="EN47" s="381">
        <f t="shared" si="350"/>
        <v>2609.402406876392</v>
      </c>
      <c r="EO47" s="379">
        <f t="shared" si="261"/>
        <v>86.710504125990525</v>
      </c>
      <c r="EP47" s="380">
        <f t="shared" si="262"/>
        <v>113.35175787155133</v>
      </c>
      <c r="EQ47" s="380">
        <f>+EQ13/EQ37</f>
        <v>171.24174074923911</v>
      </c>
      <c r="ER47" s="380">
        <f t="shared" si="263"/>
        <v>290.87867486428246</v>
      </c>
      <c r="ES47" s="380">
        <f t="shared" si="264"/>
        <v>255.61770934770905</v>
      </c>
      <c r="ET47" s="380">
        <f t="shared" si="265"/>
        <v>121.99835202049449</v>
      </c>
      <c r="EU47" s="380">
        <f t="shared" si="266"/>
        <v>202.46090925556817</v>
      </c>
      <c r="EV47" s="380">
        <f t="shared" si="267"/>
        <v>165.48729320079849</v>
      </c>
      <c r="EW47" s="380">
        <f t="shared" si="268"/>
        <v>197.45248697410415</v>
      </c>
      <c r="EX47" s="380">
        <f t="shared" si="269"/>
        <v>155.56605016945912</v>
      </c>
      <c r="EY47" s="380">
        <f t="shared" si="270"/>
        <v>127.64598776694066</v>
      </c>
      <c r="EZ47" s="389">
        <f t="shared" si="271"/>
        <v>358.59814857969599</v>
      </c>
      <c r="FA47" s="381">
        <f t="shared" si="351"/>
        <v>2247.0096149258329</v>
      </c>
      <c r="FB47" s="379">
        <f t="shared" si="272"/>
        <v>110.70855262089295</v>
      </c>
      <c r="FC47" s="380">
        <f t="shared" si="273"/>
        <v>187.25046035713743</v>
      </c>
      <c r="FD47" s="380">
        <f t="shared" si="274"/>
        <v>562.24257100982197</v>
      </c>
      <c r="FE47" s="380">
        <f t="shared" si="275"/>
        <v>133.04773221394657</v>
      </c>
      <c r="FF47" s="380">
        <f t="shared" si="276"/>
        <v>86.239964704391582</v>
      </c>
      <c r="FG47" s="380">
        <f t="shared" si="277"/>
        <v>103.63087216725738</v>
      </c>
      <c r="FH47" s="380">
        <f t="shared" si="278"/>
        <v>84.028022596537113</v>
      </c>
      <c r="FI47" s="380">
        <f t="shared" si="279"/>
        <v>131.9940419105863</v>
      </c>
      <c r="FJ47" s="380">
        <f t="shared" si="280"/>
        <v>175.51836119081375</v>
      </c>
      <c r="FK47" s="380">
        <f t="shared" si="281"/>
        <v>254.00690431167709</v>
      </c>
      <c r="FL47" s="380">
        <f t="shared" si="282"/>
        <v>232.99372344161233</v>
      </c>
      <c r="FM47" s="389">
        <f t="shared" si="283"/>
        <v>351.01328350202039</v>
      </c>
      <c r="FN47" s="381">
        <f t="shared" si="352"/>
        <v>2412.6744900266949</v>
      </c>
      <c r="FO47" s="379">
        <f t="shared" si="284"/>
        <v>136.13896098735529</v>
      </c>
      <c r="FP47" s="380">
        <f t="shared" si="285"/>
        <v>161.95980832986479</v>
      </c>
      <c r="FQ47" s="380">
        <f t="shared" si="286"/>
        <v>220.17047195443902</v>
      </c>
      <c r="FR47" s="380">
        <f t="shared" si="287"/>
        <v>190.91609696935575</v>
      </c>
      <c r="FS47" s="380">
        <f t="shared" si="288"/>
        <v>176.37238963538769</v>
      </c>
      <c r="FT47" s="380">
        <f t="shared" si="289"/>
        <v>291.76870820948915</v>
      </c>
      <c r="FU47" s="380">
        <f t="shared" si="290"/>
        <v>155.28225320039695</v>
      </c>
      <c r="FV47" s="380">
        <f t="shared" si="291"/>
        <v>162.89751662562495</v>
      </c>
      <c r="FW47" s="380">
        <f t="shared" si="292"/>
        <v>177.17538660874746</v>
      </c>
      <c r="FX47" s="380">
        <f t="shared" si="293"/>
        <v>178.73470169945833</v>
      </c>
      <c r="FY47" s="380">
        <f t="shared" si="294"/>
        <v>199.31048775610716</v>
      </c>
      <c r="FZ47" s="389">
        <f t="shared" si="295"/>
        <v>370.01735783002948</v>
      </c>
      <c r="GA47" s="381">
        <f t="shared" si="353"/>
        <v>2420.744139806256</v>
      </c>
      <c r="GB47" s="379">
        <f t="shared" si="296"/>
        <v>126.26576412598037</v>
      </c>
      <c r="GC47" s="380">
        <f t="shared" si="297"/>
        <v>235.21857230175189</v>
      </c>
      <c r="GD47" s="380">
        <f t="shared" si="298"/>
        <v>340.16471028734537</v>
      </c>
      <c r="GE47" s="380">
        <f t="shared" si="299"/>
        <v>536.10990055005345</v>
      </c>
      <c r="GF47" s="380">
        <f t="shared" si="300"/>
        <v>194.71681069489969</v>
      </c>
      <c r="GG47" s="380">
        <f t="shared" si="301"/>
        <v>135.61516987301189</v>
      </c>
      <c r="GH47" s="380">
        <f t="shared" si="302"/>
        <v>120.43288049420745</v>
      </c>
      <c r="GI47" s="380">
        <f t="shared" si="303"/>
        <v>164.71854282544561</v>
      </c>
      <c r="GJ47" s="380">
        <f t="shared" si="304"/>
        <v>160.87617389590503</v>
      </c>
      <c r="GK47" s="380">
        <f t="shared" si="305"/>
        <v>171.63844048440365</v>
      </c>
      <c r="GL47" s="380">
        <f t="shared" si="306"/>
        <v>144.0707661746076</v>
      </c>
      <c r="GM47" s="389">
        <f t="shared" si="307"/>
        <v>222.94172490075837</v>
      </c>
      <c r="GN47" s="381">
        <f t="shared" si="354"/>
        <v>2552.7694566083705</v>
      </c>
      <c r="GO47" s="379">
        <f t="shared" si="308"/>
        <v>60.449350832868348</v>
      </c>
      <c r="GP47" s="380">
        <f t="shared" si="309"/>
        <v>144.54189312855326</v>
      </c>
      <c r="GQ47" s="380">
        <f t="shared" si="310"/>
        <v>570.45173596394091</v>
      </c>
      <c r="GR47" s="380">
        <f t="shared" si="311"/>
        <v>419.56509328276024</v>
      </c>
      <c r="GS47" s="380">
        <f t="shared" si="312"/>
        <v>290.46708381720879</v>
      </c>
      <c r="GT47" s="380">
        <f t="shared" si="313"/>
        <v>201.39468852161929</v>
      </c>
      <c r="GU47" s="380">
        <f t="shared" si="314"/>
        <v>185.18058512259353</v>
      </c>
      <c r="GV47" s="380">
        <f t="shared" si="315"/>
        <v>329.10242990481561</v>
      </c>
      <c r="GW47" s="380">
        <f t="shared" si="316"/>
        <v>108.73009500490868</v>
      </c>
      <c r="GX47" s="380">
        <f t="shared" si="317"/>
        <v>150.19798951561742</v>
      </c>
      <c r="GY47" s="380">
        <f t="shared" si="318"/>
        <v>80.653442929607735</v>
      </c>
      <c r="GZ47" s="389">
        <f t="shared" si="319"/>
        <v>219.89438317669604</v>
      </c>
      <c r="HA47" s="381">
        <f t="shared" si="355"/>
        <v>2760.6287712011895</v>
      </c>
      <c r="HB47" s="379">
        <f t="shared" si="320"/>
        <v>130.42939015166775</v>
      </c>
      <c r="HC47" s="380">
        <f t="shared" si="321"/>
        <v>232.2194399666831</v>
      </c>
      <c r="HD47" s="380">
        <f t="shared" si="322"/>
        <v>167.09621387419156</v>
      </c>
      <c r="HE47" s="380">
        <f t="shared" si="323"/>
        <v>154.83767061140256</v>
      </c>
      <c r="HF47" s="380">
        <f t="shared" si="324"/>
        <v>217.86642832616093</v>
      </c>
      <c r="HG47" s="380">
        <f t="shared" si="325"/>
        <v>163.20397647285324</v>
      </c>
      <c r="HH47" s="380">
        <f t="shared" si="326"/>
        <v>101.26870679299729</v>
      </c>
      <c r="HI47" s="380">
        <f t="shared" si="327"/>
        <v>122.18741549995046</v>
      </c>
      <c r="HJ47" s="380">
        <f t="shared" si="328"/>
        <v>141.49674342388613</v>
      </c>
      <c r="HK47" s="380">
        <f t="shared" si="329"/>
        <v>159.53714815985592</v>
      </c>
      <c r="HL47" s="380">
        <f t="shared" si="330"/>
        <v>165.54573114133194</v>
      </c>
      <c r="HM47" s="389">
        <f t="shared" si="331"/>
        <v>98.324440010834081</v>
      </c>
      <c r="HN47" s="381">
        <f t="shared" si="356"/>
        <v>1854.0133044318147</v>
      </c>
      <c r="HO47" s="379">
        <f t="shared" si="332"/>
        <v>51.443165217995833</v>
      </c>
      <c r="HP47" s="380">
        <f t="shared" si="333"/>
        <v>151.80440792163222</v>
      </c>
      <c r="HQ47" s="380">
        <f t="shared" si="334"/>
        <v>134.52968865774224</v>
      </c>
      <c r="HR47" s="380">
        <f t="shared" si="335"/>
        <v>344.35701115455714</v>
      </c>
      <c r="HS47" s="380">
        <f t="shared" si="336"/>
        <v>127.00266404321461</v>
      </c>
      <c r="HT47" s="380">
        <f t="shared" si="357"/>
        <v>168.74938752327918</v>
      </c>
      <c r="HU47" s="380">
        <f t="shared" si="358"/>
        <v>165.06093585075811</v>
      </c>
      <c r="HV47" s="380">
        <f t="shared" si="359"/>
        <v>196.44199232062945</v>
      </c>
      <c r="HW47" s="380">
        <f t="shared" si="360"/>
        <v>225.11325515430713</v>
      </c>
      <c r="HX47" s="380">
        <f t="shared" si="361"/>
        <v>162.37633961256915</v>
      </c>
      <c r="HY47" s="380">
        <f t="shared" si="362"/>
        <v>246.05535090721921</v>
      </c>
      <c r="HZ47" s="389">
        <f t="shared" si="375"/>
        <v>181.07262401732507</v>
      </c>
      <c r="IA47" s="379">
        <f t="shared" si="363"/>
        <v>2154.0068223812291</v>
      </c>
      <c r="IB47" s="1344">
        <f>+IB13/$IB$37</f>
        <v>99.517943901496196</v>
      </c>
      <c r="IC47" s="120">
        <f t="shared" si="365"/>
        <v>218.42204567818231</v>
      </c>
      <c r="ID47" s="120">
        <f t="shared" si="366"/>
        <v>158.94161362594826</v>
      </c>
      <c r="IE47" s="120">
        <f t="shared" si="367"/>
        <v>192.608522081883</v>
      </c>
      <c r="IF47" s="120">
        <f t="shared" si="368"/>
        <v>193.44864189812628</v>
      </c>
      <c r="IG47" s="120">
        <f t="shared" si="369"/>
        <v>201.48845545708605</v>
      </c>
      <c r="IH47" s="120">
        <f t="shared" si="370"/>
        <v>113.67040299781554</v>
      </c>
      <c r="II47" s="120">
        <f t="shared" si="371"/>
        <v>169.59383948584266</v>
      </c>
      <c r="IJ47" s="120"/>
      <c r="IK47" s="120"/>
      <c r="IL47" s="120"/>
      <c r="IM47" s="1345"/>
      <c r="IN47" s="1346">
        <f t="shared" si="372"/>
        <v>1347.6914651263801</v>
      </c>
      <c r="IO47" s="120"/>
      <c r="IP47" s="371">
        <f t="shared" si="337"/>
        <v>-13.667216727758325</v>
      </c>
      <c r="IQ47" s="348">
        <f t="shared" si="373"/>
        <v>0.61985060876803555</v>
      </c>
      <c r="IR47" s="320">
        <f t="shared" si="338"/>
        <v>1339.3892526898087</v>
      </c>
      <c r="IS47" s="344">
        <f t="shared" si="339"/>
        <v>1347.6914651263801</v>
      </c>
      <c r="IU47" s="320">
        <f t="shared" si="374"/>
        <v>-26.848152834786788</v>
      </c>
    </row>
    <row r="48" spans="1:255" ht="15" customHeight="1" x14ac:dyDescent="0.2">
      <c r="A48" s="1553" t="s">
        <v>435</v>
      </c>
      <c r="B48" s="376">
        <f t="shared" si="129"/>
        <v>1933.8383535939647</v>
      </c>
      <c r="C48" s="377">
        <f t="shared" si="130"/>
        <v>4421.489673743672</v>
      </c>
      <c r="D48" s="377">
        <f t="shared" si="131"/>
        <v>4083.2236758126928</v>
      </c>
      <c r="E48" s="377">
        <f t="shared" si="132"/>
        <v>4152.8229957124486</v>
      </c>
      <c r="F48" s="377">
        <f t="shared" si="133"/>
        <v>4337.0850370421367</v>
      </c>
      <c r="G48" s="377">
        <f t="shared" si="134"/>
        <v>3989.345449538202</v>
      </c>
      <c r="H48" s="377">
        <f t="shared" si="135"/>
        <v>4088.6876497661219</v>
      </c>
      <c r="I48" s="377">
        <f t="shared" si="136"/>
        <v>5996.354544864932</v>
      </c>
      <c r="J48" s="377">
        <f t="shared" si="137"/>
        <v>5819.8534245002047</v>
      </c>
      <c r="K48" s="377">
        <f t="shared" si="138"/>
        <v>6704.839674564937</v>
      </c>
      <c r="L48" s="377">
        <f t="shared" si="139"/>
        <v>6189.4091940546941</v>
      </c>
      <c r="M48" s="388">
        <f t="shared" si="140"/>
        <v>13575.029255467871</v>
      </c>
      <c r="N48" s="378">
        <f t="shared" si="340"/>
        <v>65291.978928661876</v>
      </c>
      <c r="O48" s="376">
        <f t="shared" si="141"/>
        <v>2383.8827704767032</v>
      </c>
      <c r="P48" s="377">
        <f t="shared" si="142"/>
        <v>3669.798153406035</v>
      </c>
      <c r="Q48" s="377">
        <f t="shared" si="143"/>
        <v>5822.9519174863681</v>
      </c>
      <c r="R48" s="377">
        <f t="shared" si="144"/>
        <v>5617.5625126447703</v>
      </c>
      <c r="S48" s="377">
        <f t="shared" si="145"/>
        <v>5950.5491990777064</v>
      </c>
      <c r="T48" s="377">
        <f t="shared" si="146"/>
        <v>5343.8878475096635</v>
      </c>
      <c r="U48" s="377">
        <f t="shared" si="147"/>
        <v>7665.2638119511221</v>
      </c>
      <c r="V48" s="377">
        <f t="shared" si="148"/>
        <v>7983.905977411504</v>
      </c>
      <c r="W48" s="377">
        <f t="shared" si="149"/>
        <v>9447.0368094764617</v>
      </c>
      <c r="X48" s="377">
        <f t="shared" si="150"/>
        <v>8590.9578764972539</v>
      </c>
      <c r="Y48" s="377">
        <f t="shared" si="151"/>
        <v>9465.429382726601</v>
      </c>
      <c r="Z48" s="388">
        <f t="shared" si="152"/>
        <v>22448.818387757281</v>
      </c>
      <c r="AA48" s="378">
        <f t="shared" si="341"/>
        <v>94390.044646421477</v>
      </c>
      <c r="AB48" s="376">
        <f t="shared" si="153"/>
        <v>2438.1784496451769</v>
      </c>
      <c r="AC48" s="377">
        <f t="shared" si="154"/>
        <v>4219.9276057828474</v>
      </c>
      <c r="AD48" s="377">
        <f t="shared" si="155"/>
        <v>6849.0306601373513</v>
      </c>
      <c r="AE48" s="377">
        <f t="shared" si="156"/>
        <v>6911.5020962711124</v>
      </c>
      <c r="AF48" s="377">
        <f t="shared" si="157"/>
        <v>8760.8076915557504</v>
      </c>
      <c r="AG48" s="377">
        <f t="shared" si="158"/>
        <v>11132.836715316262</v>
      </c>
      <c r="AH48" s="377">
        <f t="shared" si="159"/>
        <v>8452.5932791152936</v>
      </c>
      <c r="AI48" s="377">
        <f t="shared" si="160"/>
        <v>13457.176472295845</v>
      </c>
      <c r="AJ48" s="377">
        <f t="shared" si="161"/>
        <v>9909.3743251943852</v>
      </c>
      <c r="AK48" s="377">
        <f t="shared" si="162"/>
        <v>8974.4214564695048</v>
      </c>
      <c r="AL48" s="377">
        <f t="shared" si="163"/>
        <v>11725.260806447368</v>
      </c>
      <c r="AM48" s="388">
        <f t="shared" si="164"/>
        <v>22160.334587471662</v>
      </c>
      <c r="AN48" s="378">
        <f t="shared" si="342"/>
        <v>114991.44414570257</v>
      </c>
      <c r="AO48" s="376">
        <f t="shared" si="165"/>
        <v>108.29921943208622</v>
      </c>
      <c r="AP48" s="377">
        <f t="shared" si="166"/>
        <v>1707.5032662036751</v>
      </c>
      <c r="AQ48" s="377">
        <f t="shared" si="167"/>
        <v>4975.3349803586125</v>
      </c>
      <c r="AR48" s="377">
        <f t="shared" si="168"/>
        <v>6735.846115531067</v>
      </c>
      <c r="AS48" s="377">
        <f t="shared" si="169"/>
        <v>8660.0953834066659</v>
      </c>
      <c r="AT48" s="377">
        <f t="shared" si="170"/>
        <v>7117.1198035291873</v>
      </c>
      <c r="AU48" s="377">
        <f t="shared" si="171"/>
        <v>8354.3294744474169</v>
      </c>
      <c r="AV48" s="377">
        <f t="shared" si="172"/>
        <v>11676.914255154827</v>
      </c>
      <c r="AW48" s="377">
        <f t="shared" si="173"/>
        <v>16315.056794318982</v>
      </c>
      <c r="AX48" s="377">
        <f t="shared" si="174"/>
        <v>18901.537901261276</v>
      </c>
      <c r="AY48" s="377">
        <f t="shared" si="175"/>
        <v>27745.279057131505</v>
      </c>
      <c r="AZ48" s="388">
        <f t="shared" si="176"/>
        <v>52750.90894687338</v>
      </c>
      <c r="BA48" s="378">
        <f t="shared" si="343"/>
        <v>165048.22519764869</v>
      </c>
      <c r="BB48" s="376">
        <f t="shared" si="177"/>
        <v>4468.5151500016218</v>
      </c>
      <c r="BC48" s="377">
        <f t="shared" si="178"/>
        <v>11798.699245505361</v>
      </c>
      <c r="BD48" s="377">
        <f t="shared" si="179"/>
        <v>26255.444467985657</v>
      </c>
      <c r="BE48" s="377">
        <f t="shared" si="180"/>
        <v>14599.505282701255</v>
      </c>
      <c r="BF48" s="377">
        <f t="shared" si="181"/>
        <v>16275.538191866402</v>
      </c>
      <c r="BG48" s="377">
        <f t="shared" si="182"/>
        <v>14534.436879641578</v>
      </c>
      <c r="BH48" s="377">
        <f t="shared" si="183"/>
        <v>25184.217351424188</v>
      </c>
      <c r="BI48" s="377">
        <f t="shared" si="184"/>
        <v>18391.62762509035</v>
      </c>
      <c r="BJ48" s="377">
        <f t="shared" si="185"/>
        <v>25102.323599825686</v>
      </c>
      <c r="BK48" s="377">
        <f t="shared" si="186"/>
        <v>30047.374456157584</v>
      </c>
      <c r="BL48" s="377">
        <f t="shared" si="187"/>
        <v>30448.176984488309</v>
      </c>
      <c r="BM48" s="388">
        <f t="shared" si="188"/>
        <v>48966.214501402246</v>
      </c>
      <c r="BN48" s="378">
        <f t="shared" si="344"/>
        <v>266072.07373609021</v>
      </c>
      <c r="BO48" s="376">
        <f t="shared" si="189"/>
        <v>2754.189452874467</v>
      </c>
      <c r="BP48" s="377">
        <f t="shared" si="190"/>
        <v>8085.3420233449106</v>
      </c>
      <c r="BQ48" s="377">
        <f t="shared" si="191"/>
        <v>21893.407215834057</v>
      </c>
      <c r="BR48" s="377">
        <f t="shared" si="192"/>
        <v>17678.210813345642</v>
      </c>
      <c r="BS48" s="377">
        <f t="shared" si="193"/>
        <v>19174.848373866349</v>
      </c>
      <c r="BT48" s="377">
        <f t="shared" si="194"/>
        <v>15212.605404490223</v>
      </c>
      <c r="BU48" s="377">
        <f t="shared" si="195"/>
        <v>56137.411017018654</v>
      </c>
      <c r="BV48" s="377">
        <f t="shared" si="196"/>
        <v>8334.2258963240183</v>
      </c>
      <c r="BW48" s="377">
        <f t="shared" si="197"/>
        <v>20414.536557623909</v>
      </c>
      <c r="BX48" s="377">
        <f t="shared" si="198"/>
        <v>21852.079310877489</v>
      </c>
      <c r="BY48" s="377">
        <f t="shared" si="199"/>
        <v>14974.063586718594</v>
      </c>
      <c r="BZ48" s="388">
        <f t="shared" si="200"/>
        <v>62847.554236098411</v>
      </c>
      <c r="CA48" s="378">
        <f t="shared" si="345"/>
        <v>269358.47388841677</v>
      </c>
      <c r="CB48" s="376">
        <f t="shared" si="201"/>
        <v>7439.1437335274259</v>
      </c>
      <c r="CC48" s="377">
        <f t="shared" si="202"/>
        <v>12584.161560612387</v>
      </c>
      <c r="CD48" s="377">
        <f t="shared" si="203"/>
        <v>17266.677962073107</v>
      </c>
      <c r="CE48" s="377">
        <f t="shared" si="204"/>
        <v>19108.18377245641</v>
      </c>
      <c r="CF48" s="377">
        <f t="shared" si="205"/>
        <v>14692.307563343222</v>
      </c>
      <c r="CG48" s="377">
        <f t="shared" si="206"/>
        <v>18634.096954548808</v>
      </c>
      <c r="CH48" s="377">
        <f t="shared" si="207"/>
        <v>25067.514487674569</v>
      </c>
      <c r="CI48" s="377">
        <f t="shared" si="208"/>
        <v>12361.674239085085</v>
      </c>
      <c r="CJ48" s="377">
        <f t="shared" si="209"/>
        <v>24119.190977354145</v>
      </c>
      <c r="CK48" s="377">
        <f t="shared" si="210"/>
        <v>29146.554072530053</v>
      </c>
      <c r="CL48" s="377">
        <f t="shared" si="211"/>
        <v>27684.861330185897</v>
      </c>
      <c r="CM48" s="388">
        <f t="shared" si="212"/>
        <v>68965.555176929687</v>
      </c>
      <c r="CN48" s="378">
        <f t="shared" si="346"/>
        <v>277069.92183032079</v>
      </c>
      <c r="CO48" s="376">
        <f t="shared" si="213"/>
        <v>573.6983114728597</v>
      </c>
      <c r="CP48" s="377">
        <f t="shared" si="214"/>
        <v>7282.1973897878388</v>
      </c>
      <c r="CQ48" s="377">
        <f t="shared" si="215"/>
        <v>22304.690050824047</v>
      </c>
      <c r="CR48" s="377">
        <f t="shared" si="216"/>
        <v>14939.836544885031</v>
      </c>
      <c r="CS48" s="377">
        <f t="shared" si="217"/>
        <v>14611.686218911231</v>
      </c>
      <c r="CT48" s="377">
        <f t="shared" si="218"/>
        <v>16225.057387812007</v>
      </c>
      <c r="CU48" s="377">
        <f t="shared" si="219"/>
        <v>36825.695433916066</v>
      </c>
      <c r="CV48" s="377">
        <f t="shared" si="220"/>
        <v>18558.246741311148</v>
      </c>
      <c r="CW48" s="377">
        <f t="shared" si="221"/>
        <v>20359.765191923147</v>
      </c>
      <c r="CX48" s="377">
        <f t="shared" si="222"/>
        <v>20455.203195380338</v>
      </c>
      <c r="CY48" s="377">
        <f t="shared" si="223"/>
        <v>22088.881999303441</v>
      </c>
      <c r="CZ48" s="388">
        <f t="shared" si="224"/>
        <v>64882.276827603011</v>
      </c>
      <c r="DA48" s="378">
        <f t="shared" si="347"/>
        <v>259107.23529313016</v>
      </c>
      <c r="DB48" s="376">
        <f t="shared" si="225"/>
        <v>5325.8121877874828</v>
      </c>
      <c r="DC48" s="377">
        <f t="shared" si="226"/>
        <v>8903.7956395455913</v>
      </c>
      <c r="DD48" s="377">
        <f t="shared" si="227"/>
        <v>16928.90476854485</v>
      </c>
      <c r="DE48" s="377">
        <f t="shared" si="228"/>
        <v>15248.95472182203</v>
      </c>
      <c r="DF48" s="377">
        <f t="shared" si="229"/>
        <v>16692.347826704641</v>
      </c>
      <c r="DG48" s="377">
        <f t="shared" si="230"/>
        <v>15877.017720594902</v>
      </c>
      <c r="DH48" s="377">
        <f t="shared" si="231"/>
        <v>19187.891475505439</v>
      </c>
      <c r="DI48" s="377">
        <f t="shared" si="232"/>
        <v>16399.920394269375</v>
      </c>
      <c r="DJ48" s="377">
        <f t="shared" si="233"/>
        <v>32119.178029590275</v>
      </c>
      <c r="DK48" s="377">
        <f t="shared" si="234"/>
        <v>24863.07690050259</v>
      </c>
      <c r="DL48" s="377">
        <f t="shared" si="235"/>
        <v>32521.521915548085</v>
      </c>
      <c r="DM48" s="388">
        <f t="shared" si="236"/>
        <v>86372.32571866436</v>
      </c>
      <c r="DN48" s="378">
        <f t="shared" si="348"/>
        <v>290440.74729907961</v>
      </c>
      <c r="DO48" s="376">
        <f t="shared" si="237"/>
        <v>4042.9381101012259</v>
      </c>
      <c r="DP48" s="377">
        <f t="shared" si="238"/>
        <v>10832.508718020717</v>
      </c>
      <c r="DQ48" s="377">
        <f t="shared" si="239"/>
        <v>34622.246533080164</v>
      </c>
      <c r="DR48" s="377">
        <f t="shared" si="240"/>
        <v>22414.923556792568</v>
      </c>
      <c r="DS48" s="377">
        <f t="shared" si="241"/>
        <v>22943.44852802308</v>
      </c>
      <c r="DT48" s="377">
        <f t="shared" si="242"/>
        <v>30924.531297811453</v>
      </c>
      <c r="DU48" s="377">
        <f t="shared" si="243"/>
        <v>32037.926664466078</v>
      </c>
      <c r="DV48" s="377">
        <f t="shared" si="244"/>
        <v>26500.149384210876</v>
      </c>
      <c r="DW48" s="377">
        <f t="shared" si="245"/>
        <v>53403.186492307068</v>
      </c>
      <c r="DX48" s="377">
        <f t="shared" si="246"/>
        <v>34828.97281870796</v>
      </c>
      <c r="DY48" s="377">
        <f t="shared" si="247"/>
        <v>30535.070335586373</v>
      </c>
      <c r="DZ48" s="388">
        <f t="shared" si="248"/>
        <v>59849.522957084788</v>
      </c>
      <c r="EA48" s="378">
        <f t="shared" si="349"/>
        <v>362935.42539619235</v>
      </c>
      <c r="EB48" s="376">
        <f t="shared" si="249"/>
        <v>7962.0889902595463</v>
      </c>
      <c r="EC48" s="377">
        <f t="shared" si="250"/>
        <v>14315.408947867585</v>
      </c>
      <c r="ED48" s="377">
        <f t="shared" si="251"/>
        <v>27138.467988579931</v>
      </c>
      <c r="EE48" s="377">
        <f t="shared" si="252"/>
        <v>20692.422016300796</v>
      </c>
      <c r="EF48" s="377">
        <f t="shared" si="253"/>
        <v>24465.921011033031</v>
      </c>
      <c r="EG48" s="377">
        <f t="shared" si="254"/>
        <v>36108.948328588784</v>
      </c>
      <c r="EH48" s="377">
        <f t="shared" si="255"/>
        <v>32995.641408009287</v>
      </c>
      <c r="EI48" s="377">
        <f t="shared" si="256"/>
        <v>26563.168744342205</v>
      </c>
      <c r="EJ48" s="377">
        <f t="shared" si="257"/>
        <v>30999.575031593933</v>
      </c>
      <c r="EK48" s="377">
        <f t="shared" si="258"/>
        <v>46336.952050521315</v>
      </c>
      <c r="EL48" s="377">
        <f t="shared" si="259"/>
        <v>34275.540408334004</v>
      </c>
      <c r="EM48" s="388">
        <f t="shared" si="260"/>
        <v>55760.020618634568</v>
      </c>
      <c r="EN48" s="378">
        <f t="shared" si="350"/>
        <v>357614.155544065</v>
      </c>
      <c r="EO48" s="376">
        <f t="shared" si="261"/>
        <v>654.20607990991221</v>
      </c>
      <c r="EP48" s="377">
        <f t="shared" si="262"/>
        <v>11651.997470647048</v>
      </c>
      <c r="EQ48" s="377">
        <f>+EQ14/EQ37</f>
        <v>16869.058828501576</v>
      </c>
      <c r="ER48" s="377">
        <f t="shared" si="263"/>
        <v>29841.222327803367</v>
      </c>
      <c r="ES48" s="377">
        <f t="shared" si="264"/>
        <v>16672.961107262832</v>
      </c>
      <c r="ET48" s="377">
        <f t="shared" si="265"/>
        <v>22720.973080296892</v>
      </c>
      <c r="EU48" s="377">
        <f t="shared" si="266"/>
        <v>16693.632497175611</v>
      </c>
      <c r="EV48" s="377">
        <f t="shared" si="267"/>
        <v>26338.206635096831</v>
      </c>
      <c r="EW48" s="377">
        <f t="shared" si="268"/>
        <v>36196.378087485245</v>
      </c>
      <c r="EX48" s="377">
        <f t="shared" si="269"/>
        <v>35285.713736651247</v>
      </c>
      <c r="EY48" s="377">
        <f t="shared" si="270"/>
        <v>21267.625255277715</v>
      </c>
      <c r="EZ48" s="388">
        <f t="shared" si="271"/>
        <v>49517.696852812885</v>
      </c>
      <c r="FA48" s="378">
        <f t="shared" si="351"/>
        <v>283709.67195892119</v>
      </c>
      <c r="FB48" s="376">
        <f t="shared" si="272"/>
        <v>4066.4635234561738</v>
      </c>
      <c r="FC48" s="377">
        <f t="shared" si="273"/>
        <v>13470.286806872302</v>
      </c>
      <c r="FD48" s="377">
        <f t="shared" si="274"/>
        <v>12613.043659540243</v>
      </c>
      <c r="FE48" s="377">
        <f t="shared" si="275"/>
        <v>3840.5530948355713</v>
      </c>
      <c r="FF48" s="377">
        <f t="shared" si="276"/>
        <v>6956.0060419899337</v>
      </c>
      <c r="FG48" s="377">
        <f t="shared" si="277"/>
        <v>3649.7283323541374</v>
      </c>
      <c r="FH48" s="377">
        <f t="shared" si="278"/>
        <v>8954.1080664456258</v>
      </c>
      <c r="FI48" s="377">
        <f t="shared" si="279"/>
        <v>14210.21866745162</v>
      </c>
      <c r="FJ48" s="377">
        <f t="shared" si="280"/>
        <v>31298.270259348687</v>
      </c>
      <c r="FK48" s="377">
        <f t="shared" si="281"/>
        <v>40785.861312755631</v>
      </c>
      <c r="FL48" s="377">
        <f t="shared" si="282"/>
        <v>45297.919672606171</v>
      </c>
      <c r="FM48" s="388">
        <f t="shared" si="283"/>
        <v>83505.177519852979</v>
      </c>
      <c r="FN48" s="378">
        <f t="shared" si="352"/>
        <v>268647.63695750909</v>
      </c>
      <c r="FO48" s="376">
        <f t="shared" si="284"/>
        <v>7229.5179926304954</v>
      </c>
      <c r="FP48" s="377">
        <f t="shared" si="285"/>
        <v>20000.011831134176</v>
      </c>
      <c r="FQ48" s="377">
        <f t="shared" si="286"/>
        <v>38116.260094556179</v>
      </c>
      <c r="FR48" s="377">
        <f t="shared" si="287"/>
        <v>23678.285191494095</v>
      </c>
      <c r="FS48" s="377">
        <f t="shared" si="288"/>
        <v>21546.82693378986</v>
      </c>
      <c r="FT48" s="377">
        <f t="shared" si="289"/>
        <v>31282.390792720355</v>
      </c>
      <c r="FU48" s="377">
        <f t="shared" si="290"/>
        <v>24866.215732836448</v>
      </c>
      <c r="FV48" s="377">
        <f t="shared" si="291"/>
        <v>26786.216043851266</v>
      </c>
      <c r="FW48" s="377">
        <f t="shared" si="292"/>
        <v>30035.446491768616</v>
      </c>
      <c r="FX48" s="377">
        <f t="shared" si="293"/>
        <v>25852.006583353061</v>
      </c>
      <c r="FY48" s="377">
        <f t="shared" si="294"/>
        <v>27437.338919328624</v>
      </c>
      <c r="FZ48" s="388">
        <f t="shared" si="295"/>
        <v>57131.95597088011</v>
      </c>
      <c r="GA48" s="378">
        <f t="shared" si="353"/>
        <v>333962.47257834335</v>
      </c>
      <c r="GB48" s="376">
        <f t="shared" si="296"/>
        <v>2721.0909875028196</v>
      </c>
      <c r="GC48" s="377">
        <f t="shared" si="297"/>
        <v>6612.8205110346571</v>
      </c>
      <c r="GD48" s="377">
        <f t="shared" si="298"/>
        <v>30530.252589049313</v>
      </c>
      <c r="GE48" s="377">
        <f t="shared" si="299"/>
        <v>15783.596690152443</v>
      </c>
      <c r="GF48" s="377">
        <f t="shared" si="300"/>
        <v>18734.229783270875</v>
      </c>
      <c r="GG48" s="377">
        <f t="shared" si="301"/>
        <v>16252.439614736402</v>
      </c>
      <c r="GH48" s="377">
        <f t="shared" si="302"/>
        <v>24152.541847453896</v>
      </c>
      <c r="GI48" s="377">
        <f t="shared" si="303"/>
        <v>28122.985955902084</v>
      </c>
      <c r="GJ48" s="377">
        <f t="shared" si="304"/>
        <v>35291.687352309484</v>
      </c>
      <c r="GK48" s="377">
        <f t="shared" si="305"/>
        <v>26354.248182850046</v>
      </c>
      <c r="GL48" s="377">
        <f t="shared" si="306"/>
        <v>33019.478109310374</v>
      </c>
      <c r="GM48" s="388">
        <f t="shared" si="307"/>
        <v>45944.818905273438</v>
      </c>
      <c r="GN48" s="378">
        <f t="shared" si="354"/>
        <v>283520.19052884582</v>
      </c>
      <c r="GO48" s="376">
        <f t="shared" si="308"/>
        <v>1610.4176571397159</v>
      </c>
      <c r="GP48" s="377">
        <f t="shared" si="309"/>
        <v>13769.517187509546</v>
      </c>
      <c r="GQ48" s="377">
        <f t="shared" si="310"/>
        <v>18220.355599050898</v>
      </c>
      <c r="GR48" s="377">
        <f t="shared" si="311"/>
        <v>25929.122764874584</v>
      </c>
      <c r="GS48" s="377">
        <f t="shared" si="312"/>
        <v>12093.055631585095</v>
      </c>
      <c r="GT48" s="377">
        <f t="shared" si="313"/>
        <v>19606.432767727216</v>
      </c>
      <c r="GU48" s="377">
        <f t="shared" si="314"/>
        <v>15980.398642060849</v>
      </c>
      <c r="GV48" s="377">
        <f t="shared" si="315"/>
        <v>21801.043146410873</v>
      </c>
      <c r="GW48" s="377">
        <f t="shared" si="316"/>
        <v>22922.125683076716</v>
      </c>
      <c r="GX48" s="377">
        <f t="shared" si="317"/>
        <v>23633.625095531541</v>
      </c>
      <c r="GY48" s="377">
        <f t="shared" si="318"/>
        <v>37425.485560272165</v>
      </c>
      <c r="GZ48" s="388">
        <f t="shared" si="319"/>
        <v>50116.550428980976</v>
      </c>
      <c r="HA48" s="378">
        <f t="shared" si="355"/>
        <v>263108.13016422017</v>
      </c>
      <c r="HB48" s="376">
        <f t="shared" si="320"/>
        <v>13652.368916748803</v>
      </c>
      <c r="HC48" s="377">
        <f t="shared" si="321"/>
        <v>34017.882399607202</v>
      </c>
      <c r="HD48" s="377">
        <f t="shared" si="322"/>
        <v>19738.100082501398</v>
      </c>
      <c r="HE48" s="377">
        <f t="shared" si="323"/>
        <v>24001.521962926217</v>
      </c>
      <c r="HF48" s="377">
        <f t="shared" si="324"/>
        <v>23539.68146466319</v>
      </c>
      <c r="HG48" s="377">
        <f t="shared" si="325"/>
        <v>23983.132803809705</v>
      </c>
      <c r="HH48" s="377">
        <f t="shared" si="326"/>
        <v>27489.698181548818</v>
      </c>
      <c r="HI48" s="377">
        <f t="shared" si="327"/>
        <v>24390.616694044907</v>
      </c>
      <c r="HJ48" s="377">
        <f t="shared" si="328"/>
        <v>20913.554243449795</v>
      </c>
      <c r="HK48" s="377">
        <f t="shared" si="329"/>
        <v>27769.539810225022</v>
      </c>
      <c r="HL48" s="377">
        <f t="shared" si="330"/>
        <v>25279.280566176363</v>
      </c>
      <c r="HM48" s="388">
        <f t="shared" si="331"/>
        <v>51327.033670428304</v>
      </c>
      <c r="HN48" s="378">
        <f t="shared" si="356"/>
        <v>316102.41079612973</v>
      </c>
      <c r="HO48" s="376">
        <f t="shared" si="332"/>
        <v>8142.5583902658182</v>
      </c>
      <c r="HP48" s="377">
        <f t="shared" si="333"/>
        <v>14920.922227150138</v>
      </c>
      <c r="HQ48" s="377">
        <f t="shared" si="334"/>
        <v>22980.771095402804</v>
      </c>
      <c r="HR48" s="377">
        <f t="shared" si="335"/>
        <v>18466.144723163125</v>
      </c>
      <c r="HS48" s="377">
        <f t="shared" si="336"/>
        <v>20736.774110777744</v>
      </c>
      <c r="HT48" s="377">
        <f t="shared" si="357"/>
        <v>22777.858504122625</v>
      </c>
      <c r="HU48" s="377">
        <f t="shared" si="358"/>
        <v>25022.68767185543</v>
      </c>
      <c r="HV48" s="377">
        <f t="shared" si="359"/>
        <v>22534.545175252431</v>
      </c>
      <c r="HW48" s="377">
        <f t="shared" si="360"/>
        <v>22366.767493738484</v>
      </c>
      <c r="HX48" s="377">
        <f>+HX14/$HX$37</f>
        <v>27901.667690093134</v>
      </c>
      <c r="HY48" s="377">
        <f t="shared" si="362"/>
        <v>24378.237322619287</v>
      </c>
      <c r="HZ48" s="388">
        <f t="shared" si="375"/>
        <v>56360.918123082593</v>
      </c>
      <c r="IA48" s="376">
        <f t="shared" si="363"/>
        <v>286589.85252752365</v>
      </c>
      <c r="IB48" s="1328">
        <f t="shared" si="364"/>
        <v>10394.401820208759</v>
      </c>
      <c r="IC48" s="129">
        <f t="shared" si="365"/>
        <v>7986.6021002227362</v>
      </c>
      <c r="ID48" s="129">
        <f t="shared" si="366"/>
        <v>13998.062582594001</v>
      </c>
      <c r="IE48" s="129">
        <f t="shared" si="367"/>
        <v>21823.12921406547</v>
      </c>
      <c r="IF48" s="129">
        <f t="shared" si="368"/>
        <v>18932.98864730975</v>
      </c>
      <c r="IG48" s="129">
        <f t="shared" si="369"/>
        <v>21834.455545440385</v>
      </c>
      <c r="IH48" s="129">
        <f t="shared" si="370"/>
        <v>30554.075626263992</v>
      </c>
      <c r="II48" s="129">
        <f t="shared" si="371"/>
        <v>26560.191584524244</v>
      </c>
      <c r="IJ48" s="129"/>
      <c r="IK48" s="129"/>
      <c r="IL48" s="129"/>
      <c r="IM48" s="1268"/>
      <c r="IN48" s="1343">
        <f t="shared" si="372"/>
        <v>152083.90712062933</v>
      </c>
      <c r="IO48" s="120"/>
      <c r="IP48" s="370">
        <f t="shared" si="337"/>
        <v>17.864333972414936</v>
      </c>
      <c r="IQ48" s="340">
        <f t="shared" si="373"/>
        <v>-2.2485563165642541</v>
      </c>
      <c r="IR48" s="339">
        <f t="shared" si="338"/>
        <v>155582.26189799013</v>
      </c>
      <c r="IS48" s="341">
        <f t="shared" si="339"/>
        <v>152083.90712062933</v>
      </c>
      <c r="IT48" s="338"/>
      <c r="IU48" s="339">
        <f t="shared" si="374"/>
        <v>4025.6464092718124</v>
      </c>
    </row>
    <row r="49" spans="1:255" ht="15" customHeight="1" x14ac:dyDescent="0.2">
      <c r="A49" s="1555" t="s">
        <v>328</v>
      </c>
      <c r="B49" s="379">
        <f t="shared" si="129"/>
        <v>0</v>
      </c>
      <c r="C49" s="380">
        <f t="shared" si="130"/>
        <v>0</v>
      </c>
      <c r="D49" s="380">
        <f t="shared" si="131"/>
        <v>0</v>
      </c>
      <c r="E49" s="380">
        <f t="shared" si="132"/>
        <v>0</v>
      </c>
      <c r="F49" s="380">
        <f t="shared" si="133"/>
        <v>0</v>
      </c>
      <c r="G49" s="380">
        <f t="shared" si="134"/>
        <v>0</v>
      </c>
      <c r="H49" s="380">
        <f t="shared" si="135"/>
        <v>0</v>
      </c>
      <c r="I49" s="380">
        <f t="shared" si="136"/>
        <v>0</v>
      </c>
      <c r="J49" s="380">
        <f t="shared" si="137"/>
        <v>0</v>
      </c>
      <c r="K49" s="380">
        <f t="shared" si="138"/>
        <v>0</v>
      </c>
      <c r="L49" s="380">
        <f t="shared" si="139"/>
        <v>0</v>
      </c>
      <c r="M49" s="389">
        <f t="shared" si="140"/>
        <v>0</v>
      </c>
      <c r="N49" s="381">
        <f t="shared" si="340"/>
        <v>0</v>
      </c>
      <c r="O49" s="379">
        <f t="shared" si="141"/>
        <v>128.61024580606491</v>
      </c>
      <c r="P49" s="380">
        <f t="shared" si="142"/>
        <v>119.5074548954871</v>
      </c>
      <c r="Q49" s="380">
        <f t="shared" si="143"/>
        <v>0</v>
      </c>
      <c r="R49" s="380">
        <f t="shared" si="144"/>
        <v>0</v>
      </c>
      <c r="S49" s="380">
        <f t="shared" si="145"/>
        <v>40.311649693521026</v>
      </c>
      <c r="T49" s="380">
        <f t="shared" si="146"/>
        <v>0</v>
      </c>
      <c r="U49" s="380">
        <f t="shared" si="147"/>
        <v>60.558703805215949</v>
      </c>
      <c r="V49" s="380">
        <f t="shared" si="148"/>
        <v>202.28714903035021</v>
      </c>
      <c r="W49" s="380">
        <f t="shared" si="149"/>
        <v>184.06306496788042</v>
      </c>
      <c r="X49" s="380">
        <f t="shared" si="150"/>
        <v>101.11334971267901</v>
      </c>
      <c r="Y49" s="380">
        <f t="shared" si="151"/>
        <v>323.9190300135877</v>
      </c>
      <c r="Z49" s="389">
        <f t="shared" si="152"/>
        <v>121.9994624922044</v>
      </c>
      <c r="AA49" s="381">
        <f t="shared" si="341"/>
        <v>1282.3701104169907</v>
      </c>
      <c r="AB49" s="379">
        <f t="shared" si="153"/>
        <v>0</v>
      </c>
      <c r="AC49" s="380">
        <f t="shared" si="154"/>
        <v>0.91162834430392037</v>
      </c>
      <c r="AD49" s="380">
        <f t="shared" si="155"/>
        <v>27.272487364497017</v>
      </c>
      <c r="AE49" s="380">
        <f t="shared" si="156"/>
        <v>159.95060735617565</v>
      </c>
      <c r="AF49" s="380">
        <f t="shared" si="157"/>
        <v>3.6265373865490016</v>
      </c>
      <c r="AG49" s="380">
        <f t="shared" si="158"/>
        <v>139.27350561809132</v>
      </c>
      <c r="AH49" s="380">
        <f t="shared" si="159"/>
        <v>28.836139118516993</v>
      </c>
      <c r="AI49" s="380">
        <f t="shared" si="160"/>
        <v>291.17972332201509</v>
      </c>
      <c r="AJ49" s="380">
        <f t="shared" si="161"/>
        <v>99.785952108915609</v>
      </c>
      <c r="AK49" s="380">
        <f t="shared" si="162"/>
        <v>138.63586160059219</v>
      </c>
      <c r="AL49" s="380">
        <f t="shared" si="163"/>
        <v>1.8002857065019757</v>
      </c>
      <c r="AM49" s="389">
        <f t="shared" si="164"/>
        <v>-6.2896785513644575</v>
      </c>
      <c r="AN49" s="381">
        <f t="shared" si="342"/>
        <v>884.98304937479429</v>
      </c>
      <c r="AO49" s="379">
        <f t="shared" si="165"/>
        <v>0</v>
      </c>
      <c r="AP49" s="380">
        <f t="shared" si="166"/>
        <v>0</v>
      </c>
      <c r="AQ49" s="380">
        <f t="shared" si="167"/>
        <v>0</v>
      </c>
      <c r="AR49" s="380">
        <f t="shared" si="168"/>
        <v>3.5178723674271142</v>
      </c>
      <c r="AS49" s="380">
        <f t="shared" si="169"/>
        <v>0.87964402066091063</v>
      </c>
      <c r="AT49" s="380">
        <f t="shared" si="170"/>
        <v>12.302713575677075</v>
      </c>
      <c r="AU49" s="380">
        <f t="shared" si="171"/>
        <v>1.7437548475156368</v>
      </c>
      <c r="AV49" s="380">
        <f t="shared" si="172"/>
        <v>1.7390593871702771</v>
      </c>
      <c r="AW49" s="380">
        <f t="shared" si="173"/>
        <v>57.200199119524719</v>
      </c>
      <c r="AX49" s="380">
        <f t="shared" si="174"/>
        <v>0.86399131056640655</v>
      </c>
      <c r="AY49" s="380">
        <f t="shared" si="175"/>
        <v>218.51418190168997</v>
      </c>
      <c r="AZ49" s="389">
        <f t="shared" si="176"/>
        <v>63.490188541037845</v>
      </c>
      <c r="BA49" s="381">
        <f t="shared" si="343"/>
        <v>360.25160507126998</v>
      </c>
      <c r="BB49" s="379">
        <f t="shared" si="177"/>
        <v>0</v>
      </c>
      <c r="BC49" s="380">
        <f t="shared" si="178"/>
        <v>0</v>
      </c>
      <c r="BD49" s="380">
        <f t="shared" si="179"/>
        <v>0</v>
      </c>
      <c r="BE49" s="380">
        <f t="shared" si="180"/>
        <v>0</v>
      </c>
      <c r="BF49" s="380">
        <f t="shared" si="181"/>
        <v>0</v>
      </c>
      <c r="BG49" s="380">
        <f t="shared" si="182"/>
        <v>0</v>
      </c>
      <c r="BH49" s="380">
        <f t="shared" si="183"/>
        <v>0</v>
      </c>
      <c r="BI49" s="380">
        <f t="shared" si="184"/>
        <v>755.18741367298003</v>
      </c>
      <c r="BJ49" s="380">
        <f t="shared" si="185"/>
        <v>0</v>
      </c>
      <c r="BK49" s="380">
        <f t="shared" si="186"/>
        <v>0</v>
      </c>
      <c r="BL49" s="380">
        <f t="shared" si="187"/>
        <v>175.14845979572445</v>
      </c>
      <c r="BM49" s="389">
        <f t="shared" si="188"/>
        <v>346.8809364323842</v>
      </c>
      <c r="BN49" s="381">
        <f t="shared" si="344"/>
        <v>1277.2168099010887</v>
      </c>
      <c r="BO49" s="379">
        <f t="shared" si="189"/>
        <v>0</v>
      </c>
      <c r="BP49" s="380">
        <f t="shared" si="190"/>
        <v>0</v>
      </c>
      <c r="BQ49" s="380">
        <f t="shared" si="191"/>
        <v>0</v>
      </c>
      <c r="BR49" s="380">
        <f t="shared" si="192"/>
        <v>0</v>
      </c>
      <c r="BS49" s="380">
        <f t="shared" si="193"/>
        <v>32.97763930495546</v>
      </c>
      <c r="BT49" s="380">
        <f t="shared" si="194"/>
        <v>58.383512633448966</v>
      </c>
      <c r="BU49" s="380">
        <f t="shared" si="195"/>
        <v>20.445126674224497</v>
      </c>
      <c r="BV49" s="380">
        <f t="shared" si="196"/>
        <v>10.574364303358603</v>
      </c>
      <c r="BW49" s="380">
        <f t="shared" si="197"/>
        <v>0</v>
      </c>
      <c r="BX49" s="380">
        <f t="shared" si="198"/>
        <v>21.929237739962542</v>
      </c>
      <c r="BY49" s="380">
        <f t="shared" si="199"/>
        <v>0</v>
      </c>
      <c r="BZ49" s="389">
        <f t="shared" si="200"/>
        <v>109.70144970808867</v>
      </c>
      <c r="CA49" s="381">
        <f t="shared" si="345"/>
        <v>254.01133036403871</v>
      </c>
      <c r="CB49" s="379">
        <f t="shared" si="201"/>
        <v>0</v>
      </c>
      <c r="CC49" s="380">
        <f t="shared" si="202"/>
        <v>0</v>
      </c>
      <c r="CD49" s="380">
        <f t="shared" si="203"/>
        <v>0</v>
      </c>
      <c r="CE49" s="380">
        <f t="shared" si="204"/>
        <v>0</v>
      </c>
      <c r="CF49" s="380">
        <f t="shared" si="205"/>
        <v>0</v>
      </c>
      <c r="CG49" s="380">
        <f t="shared" si="206"/>
        <v>0</v>
      </c>
      <c r="CH49" s="380">
        <f t="shared" si="207"/>
        <v>0</v>
      </c>
      <c r="CI49" s="380">
        <f t="shared" si="208"/>
        <v>0</v>
      </c>
      <c r="CJ49" s="380">
        <f t="shared" si="209"/>
        <v>31.633800219495239</v>
      </c>
      <c r="CK49" s="380">
        <f t="shared" si="210"/>
        <v>63.028093682995106</v>
      </c>
      <c r="CL49" s="380">
        <f t="shared" si="211"/>
        <v>15.78069446244244</v>
      </c>
      <c r="CM49" s="389">
        <f t="shared" si="212"/>
        <v>1.5744482153489414</v>
      </c>
      <c r="CN49" s="381">
        <f t="shared" si="346"/>
        <v>112.01703658028173</v>
      </c>
      <c r="CO49" s="379">
        <f t="shared" si="213"/>
        <v>0</v>
      </c>
      <c r="CP49" s="380">
        <f t="shared" si="214"/>
        <v>0</v>
      </c>
      <c r="CQ49" s="380">
        <f t="shared" si="215"/>
        <v>0</v>
      </c>
      <c r="CR49" s="380">
        <f t="shared" si="216"/>
        <v>0</v>
      </c>
      <c r="CS49" s="380">
        <f t="shared" si="217"/>
        <v>0</v>
      </c>
      <c r="CT49" s="380">
        <f t="shared" si="218"/>
        <v>0</v>
      </c>
      <c r="CU49" s="380">
        <f t="shared" si="219"/>
        <v>0</v>
      </c>
      <c r="CV49" s="380">
        <f t="shared" si="220"/>
        <v>49.492718917869148</v>
      </c>
      <c r="CW49" s="380">
        <f t="shared" si="221"/>
        <v>-49.477875555202623</v>
      </c>
      <c r="CX49" s="380">
        <f t="shared" si="222"/>
        <v>0</v>
      </c>
      <c r="CY49" s="380">
        <f t="shared" si="223"/>
        <v>0</v>
      </c>
      <c r="CZ49" s="389">
        <f t="shared" si="224"/>
        <v>80.695597226073119</v>
      </c>
      <c r="DA49" s="381">
        <f t="shared" si="347"/>
        <v>80.710440588739644</v>
      </c>
      <c r="DB49" s="379">
        <f t="shared" si="225"/>
        <v>2.2541530140184043</v>
      </c>
      <c r="DC49" s="380">
        <f t="shared" si="226"/>
        <v>0</v>
      </c>
      <c r="DD49" s="380">
        <f t="shared" si="227"/>
        <v>4.4738120424272854</v>
      </c>
      <c r="DE49" s="380">
        <f t="shared" si="228"/>
        <v>2.2366823529783453</v>
      </c>
      <c r="DF49" s="380">
        <f t="shared" si="229"/>
        <v>2.9759935508476807</v>
      </c>
      <c r="DG49" s="380">
        <f t="shared" si="230"/>
        <v>2.971832984669144</v>
      </c>
      <c r="DH49" s="380">
        <f t="shared" si="231"/>
        <v>2.9694574187341569</v>
      </c>
      <c r="DI49" s="380">
        <f t="shared" si="232"/>
        <v>300.31878039210528</v>
      </c>
      <c r="DJ49" s="380">
        <f t="shared" si="233"/>
        <v>95.221519219937619</v>
      </c>
      <c r="DK49" s="380">
        <f t="shared" si="234"/>
        <v>1.4702744981226215</v>
      </c>
      <c r="DL49" s="380">
        <f t="shared" si="235"/>
        <v>74.034163082253855</v>
      </c>
      <c r="DM49" s="389">
        <f t="shared" si="236"/>
        <v>23.379217084927884</v>
      </c>
      <c r="DN49" s="381">
        <f t="shared" si="348"/>
        <v>512.3058856410222</v>
      </c>
      <c r="DO49" s="379">
        <f t="shared" si="237"/>
        <v>1.4577025816121241</v>
      </c>
      <c r="DP49" s="380">
        <f t="shared" si="238"/>
        <v>151.11749251162368</v>
      </c>
      <c r="DQ49" s="380">
        <f t="shared" si="239"/>
        <v>2.868811081168344</v>
      </c>
      <c r="DR49" s="380">
        <f t="shared" si="240"/>
        <v>0</v>
      </c>
      <c r="DS49" s="380">
        <f t="shared" si="241"/>
        <v>0</v>
      </c>
      <c r="DT49" s="380">
        <f t="shared" si="242"/>
        <v>0</v>
      </c>
      <c r="DU49" s="380">
        <f t="shared" si="243"/>
        <v>0.72181878257217702</v>
      </c>
      <c r="DV49" s="380">
        <f t="shared" si="244"/>
        <v>1.4340295670451515</v>
      </c>
      <c r="DW49" s="380">
        <f t="shared" si="245"/>
        <v>0</v>
      </c>
      <c r="DX49" s="380">
        <f t="shared" si="246"/>
        <v>1.4410895512219608</v>
      </c>
      <c r="DY49" s="380">
        <f t="shared" si="247"/>
        <v>0</v>
      </c>
      <c r="DZ49" s="389">
        <f t="shared" si="248"/>
        <v>2.1625062493526803</v>
      </c>
      <c r="EA49" s="381">
        <f t="shared" si="349"/>
        <v>161.20345032459608</v>
      </c>
      <c r="EB49" s="379">
        <f t="shared" si="249"/>
        <v>0</v>
      </c>
      <c r="EC49" s="380">
        <f t="shared" si="250"/>
        <v>0</v>
      </c>
      <c r="ED49" s="380">
        <f t="shared" si="251"/>
        <v>0</v>
      </c>
      <c r="EE49" s="380">
        <f t="shared" si="252"/>
        <v>0</v>
      </c>
      <c r="EF49" s="380">
        <f t="shared" si="253"/>
        <v>0</v>
      </c>
      <c r="EG49" s="380">
        <f t="shared" si="254"/>
        <v>0</v>
      </c>
      <c r="EH49" s="380">
        <f t="shared" si="255"/>
        <v>0</v>
      </c>
      <c r="EI49" s="380">
        <f t="shared" si="256"/>
        <v>35.474317233362989</v>
      </c>
      <c r="EJ49" s="380">
        <f t="shared" si="257"/>
        <v>0</v>
      </c>
      <c r="EK49" s="380">
        <f t="shared" si="258"/>
        <v>0</v>
      </c>
      <c r="EL49" s="380">
        <f t="shared" si="259"/>
        <v>106.00901175797645</v>
      </c>
      <c r="EM49" s="389">
        <f t="shared" si="260"/>
        <v>0</v>
      </c>
      <c r="EN49" s="381">
        <f t="shared" si="350"/>
        <v>141.48332899133945</v>
      </c>
      <c r="EO49" s="379">
        <f t="shared" si="261"/>
        <v>0</v>
      </c>
      <c r="EP49" s="380">
        <f t="shared" si="262"/>
        <v>0</v>
      </c>
      <c r="EQ49" s="380">
        <f>+EQ15/EQ37</f>
        <v>0</v>
      </c>
      <c r="ER49" s="380">
        <f t="shared" si="263"/>
        <v>0</v>
      </c>
      <c r="ES49" s="380">
        <f t="shared" si="264"/>
        <v>0</v>
      </c>
      <c r="ET49" s="380">
        <f t="shared" si="265"/>
        <v>0</v>
      </c>
      <c r="EU49" s="380">
        <f t="shared" si="266"/>
        <v>0</v>
      </c>
      <c r="EV49" s="380">
        <f t="shared" si="267"/>
        <v>0</v>
      </c>
      <c r="EW49" s="380">
        <f t="shared" si="268"/>
        <v>0</v>
      </c>
      <c r="EX49" s="380">
        <f t="shared" si="269"/>
        <v>0</v>
      </c>
      <c r="EY49" s="380">
        <f t="shared" si="270"/>
        <v>288.59092886438759</v>
      </c>
      <c r="EZ49" s="389">
        <f t="shared" si="271"/>
        <v>0</v>
      </c>
      <c r="FA49" s="381">
        <f t="shared" si="351"/>
        <v>288.59092886438759</v>
      </c>
      <c r="FB49" s="379">
        <f t="shared" si="272"/>
        <v>0</v>
      </c>
      <c r="FC49" s="380">
        <f t="shared" si="273"/>
        <v>0</v>
      </c>
      <c r="FD49" s="380">
        <f t="shared" si="274"/>
        <v>0</v>
      </c>
      <c r="FE49" s="380">
        <f t="shared" si="275"/>
        <v>0</v>
      </c>
      <c r="FF49" s="380">
        <f t="shared" si="276"/>
        <v>0</v>
      </c>
      <c r="FG49" s="380">
        <f t="shared" si="277"/>
        <v>0</v>
      </c>
      <c r="FH49" s="380">
        <f t="shared" si="278"/>
        <v>20.494639657691977</v>
      </c>
      <c r="FI49" s="380">
        <f t="shared" si="279"/>
        <v>34.195347645229617</v>
      </c>
      <c r="FJ49" s="380">
        <f t="shared" si="280"/>
        <v>6.8295082175413908</v>
      </c>
      <c r="FK49" s="380">
        <f t="shared" si="281"/>
        <v>0</v>
      </c>
      <c r="FL49" s="380">
        <f t="shared" si="282"/>
        <v>0</v>
      </c>
      <c r="FM49" s="389">
        <f t="shared" si="283"/>
        <v>0</v>
      </c>
      <c r="FN49" s="381">
        <f t="shared" si="352"/>
        <v>61.519495520462982</v>
      </c>
      <c r="FO49" s="379">
        <f t="shared" si="284"/>
        <v>0</v>
      </c>
      <c r="FP49" s="380">
        <f t="shared" si="285"/>
        <v>0</v>
      </c>
      <c r="FQ49" s="380">
        <f t="shared" si="286"/>
        <v>0</v>
      </c>
      <c r="FR49" s="380">
        <f t="shared" si="287"/>
        <v>0</v>
      </c>
      <c r="FS49" s="380">
        <f t="shared" si="288"/>
        <v>0</v>
      </c>
      <c r="FT49" s="380">
        <f>+FT15/$FS$37</f>
        <v>0</v>
      </c>
      <c r="FU49" s="380">
        <f>+FU15/$FS$37</f>
        <v>0</v>
      </c>
      <c r="FV49" s="380">
        <f t="shared" si="291"/>
        <v>354.46499617735992</v>
      </c>
      <c r="FW49" s="380">
        <f t="shared" si="292"/>
        <v>0</v>
      </c>
      <c r="FX49" s="380">
        <f t="shared" si="293"/>
        <v>0</v>
      </c>
      <c r="FY49" s="380">
        <f t="shared" si="294"/>
        <v>0</v>
      </c>
      <c r="FZ49" s="389">
        <f t="shared" si="295"/>
        <v>0</v>
      </c>
      <c r="GA49" s="381">
        <f t="shared" si="353"/>
        <v>354.46499617735992</v>
      </c>
      <c r="GB49" s="379">
        <f t="shared" si="296"/>
        <v>0</v>
      </c>
      <c r="GC49" s="380">
        <f t="shared" si="297"/>
        <v>0</v>
      </c>
      <c r="GD49" s="380">
        <f t="shared" si="298"/>
        <v>31.322717337692943</v>
      </c>
      <c r="GE49" s="380">
        <f t="shared" si="299"/>
        <v>0</v>
      </c>
      <c r="GF49" s="380">
        <f t="shared" si="300"/>
        <v>30.9074302690317</v>
      </c>
      <c r="GG49" s="380">
        <f t="shared" si="301"/>
        <v>0</v>
      </c>
      <c r="GH49" s="380">
        <f t="shared" si="302"/>
        <v>0</v>
      </c>
      <c r="GI49" s="380">
        <f t="shared" si="303"/>
        <v>0</v>
      </c>
      <c r="GJ49" s="380">
        <f t="shared" si="304"/>
        <v>0</v>
      </c>
      <c r="GK49" s="380">
        <f t="shared" si="305"/>
        <v>0</v>
      </c>
      <c r="GL49" s="380">
        <f t="shared" si="306"/>
        <v>0</v>
      </c>
      <c r="GM49" s="389">
        <f t="shared" si="307"/>
        <v>0</v>
      </c>
      <c r="GN49" s="381">
        <f t="shared" si="354"/>
        <v>62.230147606724643</v>
      </c>
      <c r="GO49" s="379">
        <f t="shared" si="308"/>
        <v>0</v>
      </c>
      <c r="GP49" s="380">
        <f t="shared" si="309"/>
        <v>0</v>
      </c>
      <c r="GQ49" s="380">
        <f t="shared" si="310"/>
        <v>35.833847649203989</v>
      </c>
      <c r="GR49" s="380">
        <f t="shared" si="311"/>
        <v>24.714108234463961</v>
      </c>
      <c r="GS49" s="380">
        <f t="shared" si="312"/>
        <v>-25.208188733643368</v>
      </c>
      <c r="GT49" s="380">
        <f t="shared" si="313"/>
        <v>153.77144308773211</v>
      </c>
      <c r="GU49" s="380">
        <f t="shared" si="314"/>
        <v>0</v>
      </c>
      <c r="GV49" s="380">
        <f t="shared" si="315"/>
        <v>0</v>
      </c>
      <c r="GW49" s="380">
        <f t="shared" si="316"/>
        <v>113.85350262294102</v>
      </c>
      <c r="GX49" s="380">
        <f t="shared" si="317"/>
        <v>77.668922335072125</v>
      </c>
      <c r="GY49" s="380">
        <f t="shared" si="318"/>
        <v>93.809678301104043</v>
      </c>
      <c r="GZ49" s="389">
        <f t="shared" si="319"/>
        <v>37.598521475808127</v>
      </c>
      <c r="HA49" s="381">
        <f t="shared" si="355"/>
        <v>512.04183497268195</v>
      </c>
      <c r="HB49" s="379">
        <f t="shared" si="320"/>
        <v>85.434098352620794</v>
      </c>
      <c r="HC49" s="380">
        <f t="shared" si="321"/>
        <v>325.67360483132387</v>
      </c>
      <c r="HD49" s="380">
        <f t="shared" si="322"/>
        <v>0</v>
      </c>
      <c r="HE49" s="380">
        <f t="shared" si="323"/>
        <v>0</v>
      </c>
      <c r="HF49" s="380">
        <f t="shared" si="324"/>
        <v>0</v>
      </c>
      <c r="HG49" s="380">
        <f t="shared" si="325"/>
        <v>0</v>
      </c>
      <c r="HH49" s="380">
        <f t="shared" si="326"/>
        <v>0</v>
      </c>
      <c r="HI49" s="380">
        <f t="shared" si="327"/>
        <v>3.3476004246561772</v>
      </c>
      <c r="HJ49" s="380">
        <f t="shared" si="328"/>
        <v>0</v>
      </c>
      <c r="HK49" s="380">
        <f t="shared" si="329"/>
        <v>51.499710984935945</v>
      </c>
      <c r="HL49" s="380">
        <f t="shared" si="330"/>
        <v>33.556567123242957</v>
      </c>
      <c r="HM49" s="389">
        <f t="shared" si="331"/>
        <v>25.698433184649819</v>
      </c>
      <c r="HN49" s="381">
        <f t="shared" si="356"/>
        <v>525.21001490142953</v>
      </c>
      <c r="HO49" s="379">
        <f t="shared" si="332"/>
        <v>0</v>
      </c>
      <c r="HP49" s="380">
        <f t="shared" si="333"/>
        <v>0</v>
      </c>
      <c r="HQ49" s="380">
        <f t="shared" si="334"/>
        <v>110.72402358661914</v>
      </c>
      <c r="HR49" s="380">
        <f t="shared" si="335"/>
        <v>0</v>
      </c>
      <c r="HS49" s="380">
        <f t="shared" si="336"/>
        <v>0</v>
      </c>
      <c r="HT49" s="380">
        <f t="shared" si="357"/>
        <v>0</v>
      </c>
      <c r="HU49" s="380">
        <f t="shared" si="358"/>
        <v>0</v>
      </c>
      <c r="HV49" s="380">
        <f t="shared" si="359"/>
        <v>110.36066984305026</v>
      </c>
      <c r="HW49" s="380">
        <f t="shared" si="360"/>
        <v>55.174817439781158</v>
      </c>
      <c r="HX49" s="380">
        <f t="shared" si="361"/>
        <v>66.276056984722103</v>
      </c>
      <c r="HY49" s="380">
        <f t="shared" si="362"/>
        <v>0</v>
      </c>
      <c r="HZ49" s="389">
        <f t="shared" si="375"/>
        <v>0</v>
      </c>
      <c r="IA49" s="379">
        <f t="shared" si="363"/>
        <v>342.53556785417271</v>
      </c>
      <c r="IB49" s="1344">
        <f t="shared" si="364"/>
        <v>33.539196563487671</v>
      </c>
      <c r="IC49" s="120">
        <f t="shared" si="365"/>
        <v>0</v>
      </c>
      <c r="ID49" s="120">
        <f t="shared" si="366"/>
        <v>0</v>
      </c>
      <c r="IE49" s="120">
        <f t="shared" si="367"/>
        <v>79.590298380943381</v>
      </c>
      <c r="IF49" s="120">
        <f t="shared" si="368"/>
        <v>53.145231290694035</v>
      </c>
      <c r="IG49" s="120">
        <f t="shared" si="369"/>
        <v>0</v>
      </c>
      <c r="IH49" s="120">
        <f t="shared" si="370"/>
        <v>105.73990976540982</v>
      </c>
      <c r="II49" s="120">
        <f t="shared" si="371"/>
        <v>0</v>
      </c>
      <c r="IJ49" s="120"/>
      <c r="IK49" s="120"/>
      <c r="IL49" s="120"/>
      <c r="IM49" s="1345"/>
      <c r="IN49" s="1346">
        <f t="shared" si="372"/>
        <v>272.01463600053489</v>
      </c>
      <c r="IO49" s="120"/>
      <c r="IP49" s="371">
        <f t="shared" si="337"/>
        <v>-100</v>
      </c>
      <c r="IQ49" s="348">
        <f t="shared" si="373"/>
        <v>23.036394686937967</v>
      </c>
      <c r="IR49" s="320">
        <f t="shared" si="338"/>
        <v>221.08469342966941</v>
      </c>
      <c r="IS49" s="344">
        <f t="shared" si="339"/>
        <v>272.01463600053489</v>
      </c>
      <c r="IU49" s="320">
        <f t="shared" si="374"/>
        <v>-110.36066984305026</v>
      </c>
    </row>
    <row r="50" spans="1:255" ht="15" customHeight="1" x14ac:dyDescent="0.2">
      <c r="A50" s="1554" t="s">
        <v>438</v>
      </c>
      <c r="B50" s="379">
        <f t="shared" si="129"/>
        <v>62.634440602233674</v>
      </c>
      <c r="C50" s="380">
        <f t="shared" si="130"/>
        <v>785.56846583294021</v>
      </c>
      <c r="D50" s="380">
        <f t="shared" si="131"/>
        <v>357.06610423185748</v>
      </c>
      <c r="E50" s="380">
        <f t="shared" si="132"/>
        <v>77.631816905771601</v>
      </c>
      <c r="F50" s="380">
        <f t="shared" si="133"/>
        <v>122.2252057995142</v>
      </c>
      <c r="G50" s="380">
        <f t="shared" si="134"/>
        <v>121.29126307384557</v>
      </c>
      <c r="H50" s="380">
        <f t="shared" si="135"/>
        <v>194.11607648117564</v>
      </c>
      <c r="I50" s="380">
        <f t="shared" si="136"/>
        <v>212.6499737047867</v>
      </c>
      <c r="J50" s="380">
        <f t="shared" si="137"/>
        <v>95.941885839231929</v>
      </c>
      <c r="K50" s="380">
        <f t="shared" si="138"/>
        <v>522.16647009867779</v>
      </c>
      <c r="L50" s="380">
        <f t="shared" si="139"/>
        <v>239.04816302716458</v>
      </c>
      <c r="M50" s="389">
        <f t="shared" si="140"/>
        <v>265.78033025067504</v>
      </c>
      <c r="N50" s="381">
        <f t="shared" si="340"/>
        <v>3056.1201958478741</v>
      </c>
      <c r="O50" s="379">
        <f t="shared" si="141"/>
        <v>0</v>
      </c>
      <c r="P50" s="380">
        <f t="shared" si="142"/>
        <v>5.5157286874840201</v>
      </c>
      <c r="Q50" s="380">
        <f t="shared" si="143"/>
        <v>6.4119338402398265</v>
      </c>
      <c r="R50" s="380">
        <f t="shared" si="144"/>
        <v>2.7474221613847916</v>
      </c>
      <c r="S50" s="380">
        <f t="shared" si="145"/>
        <v>9.1617385667093245</v>
      </c>
      <c r="T50" s="380">
        <f t="shared" si="146"/>
        <v>2.7578984246566303</v>
      </c>
      <c r="U50" s="380">
        <f t="shared" si="147"/>
        <v>6.4228928278259341</v>
      </c>
      <c r="V50" s="380">
        <f t="shared" si="148"/>
        <v>3.6779481641881859</v>
      </c>
      <c r="W50" s="380">
        <f t="shared" si="149"/>
        <v>0.92031532483940204</v>
      </c>
      <c r="X50" s="380">
        <f t="shared" si="150"/>
        <v>0.91921227011526374</v>
      </c>
      <c r="Y50" s="380">
        <f t="shared" si="151"/>
        <v>0.92022451708405606</v>
      </c>
      <c r="Z50" s="389">
        <f t="shared" si="152"/>
        <v>2.7518675750121293</v>
      </c>
      <c r="AA50" s="381">
        <f t="shared" si="341"/>
        <v>42.207182359539566</v>
      </c>
      <c r="AB50" s="379">
        <f t="shared" si="153"/>
        <v>0</v>
      </c>
      <c r="AC50" s="380">
        <f t="shared" si="154"/>
        <v>0</v>
      </c>
      <c r="AD50" s="380">
        <f t="shared" si="155"/>
        <v>1.8181658242998011</v>
      </c>
      <c r="AE50" s="380">
        <f t="shared" si="156"/>
        <v>9.0881026906917981</v>
      </c>
      <c r="AF50" s="380">
        <f t="shared" si="157"/>
        <v>23.572493012568511</v>
      </c>
      <c r="AG50" s="380">
        <f t="shared" si="158"/>
        <v>18.087468262089782</v>
      </c>
      <c r="AH50" s="380">
        <f t="shared" si="159"/>
        <v>0.90112934745365603</v>
      </c>
      <c r="AI50" s="380">
        <f t="shared" si="160"/>
        <v>23.36627409374195</v>
      </c>
      <c r="AJ50" s="380">
        <f t="shared" si="161"/>
        <v>18.878423371957005</v>
      </c>
      <c r="AK50" s="380">
        <f t="shared" si="162"/>
        <v>24.306287423480452</v>
      </c>
      <c r="AL50" s="380">
        <f t="shared" si="163"/>
        <v>74.711856819831993</v>
      </c>
      <c r="AM50" s="389">
        <f t="shared" si="164"/>
        <v>17.970510146755593</v>
      </c>
      <c r="AN50" s="381">
        <f t="shared" si="342"/>
        <v>212.70071099287054</v>
      </c>
      <c r="AO50" s="379">
        <f t="shared" si="165"/>
        <v>0</v>
      </c>
      <c r="AP50" s="380">
        <f t="shared" si="166"/>
        <v>2.6749398426167232</v>
      </c>
      <c r="AQ50" s="380">
        <f t="shared" si="167"/>
        <v>3.5417938995256182</v>
      </c>
      <c r="AR50" s="380">
        <f t="shared" si="168"/>
        <v>0.87946809185677854</v>
      </c>
      <c r="AS50" s="380">
        <f t="shared" si="169"/>
        <v>5.2778641239654638</v>
      </c>
      <c r="AT50" s="380">
        <f t="shared" si="170"/>
        <v>2.6362957662165161</v>
      </c>
      <c r="AU50" s="380">
        <f t="shared" si="171"/>
        <v>-0.8718774237578184</v>
      </c>
      <c r="AV50" s="380">
        <f t="shared" si="172"/>
        <v>0</v>
      </c>
      <c r="AW50" s="380">
        <f t="shared" si="173"/>
        <v>1.7333393672583248</v>
      </c>
      <c r="AX50" s="380">
        <f t="shared" si="174"/>
        <v>0.86399131056640655</v>
      </c>
      <c r="AY50" s="380">
        <f t="shared" si="175"/>
        <v>4.301460273655314</v>
      </c>
      <c r="AZ50" s="389">
        <f t="shared" si="176"/>
        <v>1.7159510416496715</v>
      </c>
      <c r="BA50" s="381">
        <f t="shared" si="343"/>
        <v>22.753226293552995</v>
      </c>
      <c r="BB50" s="379">
        <f t="shared" si="177"/>
        <v>0.85883435518001561</v>
      </c>
      <c r="BC50" s="380">
        <f t="shared" si="178"/>
        <v>69.34368298403237</v>
      </c>
      <c r="BD50" s="380">
        <f t="shared" si="179"/>
        <v>1.6991065826232425</v>
      </c>
      <c r="BE50" s="380">
        <f t="shared" si="180"/>
        <v>0.84507439700748177</v>
      </c>
      <c r="BF50" s="380">
        <f t="shared" si="181"/>
        <v>2.5342095072195572</v>
      </c>
      <c r="BG50" s="380">
        <f t="shared" si="182"/>
        <v>0.84507453221940687</v>
      </c>
      <c r="BH50" s="380">
        <f t="shared" si="183"/>
        <v>0.84431464903527509</v>
      </c>
      <c r="BI50" s="380">
        <f t="shared" si="184"/>
        <v>0.84003049351833148</v>
      </c>
      <c r="BJ50" s="380">
        <f t="shared" si="185"/>
        <v>2.5065560777352238</v>
      </c>
      <c r="BK50" s="380">
        <f t="shared" si="186"/>
        <v>60.253751868635177</v>
      </c>
      <c r="BL50" s="380">
        <f t="shared" si="187"/>
        <v>89.66930716814602</v>
      </c>
      <c r="BM50" s="389">
        <f t="shared" si="188"/>
        <v>3.3434307126012932</v>
      </c>
      <c r="BN50" s="381">
        <f t="shared" si="344"/>
        <v>233.58337332795341</v>
      </c>
      <c r="BO50" s="379">
        <f t="shared" si="189"/>
        <v>0</v>
      </c>
      <c r="BP50" s="380">
        <f t="shared" si="190"/>
        <v>0</v>
      </c>
      <c r="BQ50" s="380">
        <f t="shared" si="191"/>
        <v>0</v>
      </c>
      <c r="BR50" s="380">
        <f t="shared" si="192"/>
        <v>0</v>
      </c>
      <c r="BS50" s="380">
        <f t="shared" si="193"/>
        <v>0</v>
      </c>
      <c r="BT50" s="380">
        <f t="shared" si="194"/>
        <v>0</v>
      </c>
      <c r="BU50" s="380">
        <f t="shared" si="195"/>
        <v>0</v>
      </c>
      <c r="BV50" s="380">
        <f t="shared" si="196"/>
        <v>0</v>
      </c>
      <c r="BW50" s="380">
        <f t="shared" si="197"/>
        <v>0</v>
      </c>
      <c r="BX50" s="380">
        <f t="shared" si="198"/>
        <v>5.6853579325828809</v>
      </c>
      <c r="BY50" s="380">
        <f t="shared" si="199"/>
        <v>0</v>
      </c>
      <c r="BZ50" s="389">
        <f t="shared" si="200"/>
        <v>-2.4378099935130817</v>
      </c>
      <c r="CA50" s="381">
        <f t="shared" si="345"/>
        <v>3.2475479390697992</v>
      </c>
      <c r="CB50" s="379">
        <f t="shared" si="201"/>
        <v>0</v>
      </c>
      <c r="CC50" s="380">
        <f t="shared" si="202"/>
        <v>0</v>
      </c>
      <c r="CD50" s="380">
        <f t="shared" si="203"/>
        <v>0</v>
      </c>
      <c r="CE50" s="380">
        <f t="shared" si="204"/>
        <v>0</v>
      </c>
      <c r="CF50" s="380">
        <f t="shared" si="205"/>
        <v>0</v>
      </c>
      <c r="CG50" s="380">
        <f t="shared" si="206"/>
        <v>0</v>
      </c>
      <c r="CH50" s="380">
        <f t="shared" si="207"/>
        <v>0</v>
      </c>
      <c r="CI50" s="380">
        <f t="shared" si="208"/>
        <v>0</v>
      </c>
      <c r="CJ50" s="380">
        <f t="shared" si="209"/>
        <v>0</v>
      </c>
      <c r="CK50" s="380">
        <f t="shared" si="210"/>
        <v>0</v>
      </c>
      <c r="CL50" s="380">
        <f t="shared" si="211"/>
        <v>0</v>
      </c>
      <c r="CM50" s="389">
        <f t="shared" si="212"/>
        <v>0</v>
      </c>
      <c r="CN50" s="381">
        <f t="shared" si="346"/>
        <v>0</v>
      </c>
      <c r="CO50" s="379">
        <f t="shared" si="213"/>
        <v>0</v>
      </c>
      <c r="CP50" s="380">
        <f t="shared" si="214"/>
        <v>0</v>
      </c>
      <c r="CQ50" s="380">
        <f t="shared" si="215"/>
        <v>0</v>
      </c>
      <c r="CR50" s="380">
        <f t="shared" si="216"/>
        <v>0</v>
      </c>
      <c r="CS50" s="380">
        <f t="shared" si="217"/>
        <v>0</v>
      </c>
      <c r="CT50" s="380">
        <f t="shared" si="218"/>
        <v>0</v>
      </c>
      <c r="CU50" s="380">
        <f t="shared" si="219"/>
        <v>0</v>
      </c>
      <c r="CV50" s="380">
        <f t="shared" si="220"/>
        <v>0</v>
      </c>
      <c r="CW50" s="380">
        <f t="shared" si="221"/>
        <v>0</v>
      </c>
      <c r="CX50" s="380">
        <f t="shared" si="222"/>
        <v>0</v>
      </c>
      <c r="CY50" s="380">
        <f t="shared" si="223"/>
        <v>0</v>
      </c>
      <c r="CZ50" s="389">
        <f t="shared" si="224"/>
        <v>0</v>
      </c>
      <c r="DA50" s="381">
        <f t="shared" si="347"/>
        <v>0</v>
      </c>
      <c r="DB50" s="379">
        <f t="shared" si="225"/>
        <v>0</v>
      </c>
      <c r="DC50" s="380">
        <f t="shared" si="226"/>
        <v>0</v>
      </c>
      <c r="DD50" s="380">
        <f t="shared" si="227"/>
        <v>50.703203147509235</v>
      </c>
      <c r="DE50" s="380">
        <f t="shared" si="228"/>
        <v>0</v>
      </c>
      <c r="DF50" s="380">
        <f t="shared" si="229"/>
        <v>0</v>
      </c>
      <c r="DG50" s="380">
        <f t="shared" si="230"/>
        <v>50.521160739375446</v>
      </c>
      <c r="DH50" s="380">
        <f t="shared" si="231"/>
        <v>0</v>
      </c>
      <c r="DI50" s="380">
        <f t="shared" si="232"/>
        <v>64.354024369736848</v>
      </c>
      <c r="DJ50" s="380">
        <f t="shared" si="233"/>
        <v>0</v>
      </c>
      <c r="DK50" s="380">
        <f t="shared" si="234"/>
        <v>0</v>
      </c>
      <c r="DL50" s="380">
        <f t="shared" si="235"/>
        <v>0</v>
      </c>
      <c r="DM50" s="389">
        <f t="shared" si="236"/>
        <v>0</v>
      </c>
      <c r="DN50" s="381">
        <f t="shared" si="348"/>
        <v>165.57838825662151</v>
      </c>
      <c r="DO50" s="379">
        <f t="shared" si="237"/>
        <v>0</v>
      </c>
      <c r="DP50" s="380">
        <f t="shared" si="238"/>
        <v>0</v>
      </c>
      <c r="DQ50" s="380">
        <f t="shared" si="239"/>
        <v>0</v>
      </c>
      <c r="DR50" s="380">
        <f t="shared" si="240"/>
        <v>0</v>
      </c>
      <c r="DS50" s="380">
        <f t="shared" si="241"/>
        <v>0</v>
      </c>
      <c r="DT50" s="380">
        <f t="shared" si="242"/>
        <v>0</v>
      </c>
      <c r="DU50" s="380">
        <f t="shared" si="243"/>
        <v>0</v>
      </c>
      <c r="DV50" s="380">
        <f t="shared" si="244"/>
        <v>0</v>
      </c>
      <c r="DW50" s="380">
        <f t="shared" si="245"/>
        <v>0</v>
      </c>
      <c r="DX50" s="380">
        <f t="shared" si="246"/>
        <v>0</v>
      </c>
      <c r="DY50" s="380">
        <f t="shared" si="247"/>
        <v>0</v>
      </c>
      <c r="DZ50" s="389">
        <f t="shared" si="248"/>
        <v>0</v>
      </c>
      <c r="EA50" s="381">
        <f t="shared" si="349"/>
        <v>0</v>
      </c>
      <c r="EB50" s="379">
        <f t="shared" si="249"/>
        <v>0</v>
      </c>
      <c r="EC50" s="380">
        <f t="shared" si="250"/>
        <v>0</v>
      </c>
      <c r="ED50" s="380">
        <f t="shared" si="251"/>
        <v>0</v>
      </c>
      <c r="EE50" s="380">
        <f t="shared" si="252"/>
        <v>0</v>
      </c>
      <c r="EF50" s="380">
        <f t="shared" si="253"/>
        <v>0</v>
      </c>
      <c r="EG50" s="380">
        <f t="shared" si="254"/>
        <v>0</v>
      </c>
      <c r="EH50" s="380">
        <f t="shared" si="255"/>
        <v>0</v>
      </c>
      <c r="EI50" s="380">
        <f t="shared" si="256"/>
        <v>0</v>
      </c>
      <c r="EJ50" s="380">
        <f t="shared" si="257"/>
        <v>0</v>
      </c>
      <c r="EK50" s="380">
        <f t="shared" si="258"/>
        <v>0</v>
      </c>
      <c r="EL50" s="380">
        <f t="shared" si="259"/>
        <v>0</v>
      </c>
      <c r="EM50" s="389">
        <f t="shared" si="260"/>
        <v>0</v>
      </c>
      <c r="EN50" s="381">
        <f t="shared" si="350"/>
        <v>0</v>
      </c>
      <c r="EO50" s="379">
        <f t="shared" si="261"/>
        <v>0</v>
      </c>
      <c r="EP50" s="380">
        <f t="shared" si="262"/>
        <v>0</v>
      </c>
      <c r="EQ50" s="380">
        <f>+EQ16/EQ37</f>
        <v>0</v>
      </c>
      <c r="ER50" s="380">
        <f t="shared" si="263"/>
        <v>0</v>
      </c>
      <c r="ES50" s="380">
        <f t="shared" si="264"/>
        <v>0</v>
      </c>
      <c r="ET50" s="380">
        <f t="shared" si="265"/>
        <v>0</v>
      </c>
      <c r="EU50" s="380">
        <f t="shared" si="266"/>
        <v>0</v>
      </c>
      <c r="EV50" s="380">
        <f t="shared" si="267"/>
        <v>0</v>
      </c>
      <c r="EW50" s="380">
        <f t="shared" si="268"/>
        <v>0</v>
      </c>
      <c r="EX50" s="380">
        <f t="shared" si="269"/>
        <v>0</v>
      </c>
      <c r="EY50" s="380">
        <f t="shared" si="270"/>
        <v>0</v>
      </c>
      <c r="EZ50" s="389">
        <f t="shared" si="271"/>
        <v>0</v>
      </c>
      <c r="FA50" s="381">
        <f t="shared" si="351"/>
        <v>0</v>
      </c>
      <c r="FB50" s="379">
        <f t="shared" si="272"/>
        <v>0</v>
      </c>
      <c r="FC50" s="380">
        <f t="shared" si="273"/>
        <v>0</v>
      </c>
      <c r="FD50" s="380">
        <f t="shared" si="274"/>
        <v>0</v>
      </c>
      <c r="FE50" s="380">
        <f t="shared" si="275"/>
        <v>0</v>
      </c>
      <c r="FF50" s="380">
        <f t="shared" si="276"/>
        <v>0</v>
      </c>
      <c r="FG50" s="380">
        <f t="shared" si="277"/>
        <v>0</v>
      </c>
      <c r="FH50" s="380">
        <f t="shared" si="278"/>
        <v>0</v>
      </c>
      <c r="FI50" s="380">
        <f t="shared" si="279"/>
        <v>0</v>
      </c>
      <c r="FJ50" s="380">
        <f t="shared" si="280"/>
        <v>30.049836157182121</v>
      </c>
      <c r="FK50" s="380">
        <f t="shared" si="281"/>
        <v>0</v>
      </c>
      <c r="FL50" s="380">
        <f t="shared" si="282"/>
        <v>0</v>
      </c>
      <c r="FM50" s="389">
        <f t="shared" si="283"/>
        <v>0</v>
      </c>
      <c r="FN50" s="381">
        <f t="shared" si="352"/>
        <v>30.049836157182121</v>
      </c>
      <c r="FO50" s="379">
        <f t="shared" si="284"/>
        <v>0</v>
      </c>
      <c r="FP50" s="380">
        <f t="shared" si="285"/>
        <v>0</v>
      </c>
      <c r="FQ50" s="380">
        <f t="shared" si="286"/>
        <v>6.6921116095574176</v>
      </c>
      <c r="FR50" s="380">
        <f t="shared" si="287"/>
        <v>0</v>
      </c>
      <c r="FS50" s="380">
        <f t="shared" si="288"/>
        <v>0</v>
      </c>
      <c r="FT50" s="380">
        <f>+FT16/$FS$37</f>
        <v>0</v>
      </c>
      <c r="FU50" s="380">
        <f>+FU16/$FS$37</f>
        <v>0</v>
      </c>
      <c r="FV50" s="380">
        <f t="shared" si="291"/>
        <v>0</v>
      </c>
      <c r="FW50" s="380">
        <f t="shared" si="292"/>
        <v>0</v>
      </c>
      <c r="FX50" s="380">
        <f t="shared" si="293"/>
        <v>0</v>
      </c>
      <c r="FY50" s="380">
        <f t="shared" si="294"/>
        <v>0</v>
      </c>
      <c r="FZ50" s="389">
        <f t="shared" si="295"/>
        <v>0</v>
      </c>
      <c r="GA50" s="381">
        <f t="shared" si="353"/>
        <v>6.6921116095574176</v>
      </c>
      <c r="GB50" s="379">
        <f t="shared" si="296"/>
        <v>0</v>
      </c>
      <c r="GC50" s="380">
        <f t="shared" si="297"/>
        <v>0</v>
      </c>
      <c r="GD50" s="380">
        <f t="shared" si="298"/>
        <v>0</v>
      </c>
      <c r="GE50" s="380">
        <f t="shared" si="299"/>
        <v>0</v>
      </c>
      <c r="GF50" s="380">
        <f t="shared" si="300"/>
        <v>0</v>
      </c>
      <c r="GG50" s="380">
        <f t="shared" si="301"/>
        <v>0</v>
      </c>
      <c r="GH50" s="380">
        <f t="shared" si="302"/>
        <v>0</v>
      </c>
      <c r="GI50" s="380">
        <f t="shared" si="303"/>
        <v>0</v>
      </c>
      <c r="GJ50" s="380">
        <f t="shared" si="304"/>
        <v>0</v>
      </c>
      <c r="GK50" s="380">
        <f t="shared" si="305"/>
        <v>0</v>
      </c>
      <c r="GL50" s="380">
        <f t="shared" si="306"/>
        <v>0</v>
      </c>
      <c r="GM50" s="389">
        <f t="shared" si="307"/>
        <v>0</v>
      </c>
      <c r="GN50" s="381">
        <f t="shared" si="354"/>
        <v>0</v>
      </c>
      <c r="GO50" s="379">
        <f t="shared" si="308"/>
        <v>0</v>
      </c>
      <c r="GP50" s="380">
        <f t="shared" si="309"/>
        <v>0</v>
      </c>
      <c r="GQ50" s="380">
        <f t="shared" si="310"/>
        <v>0</v>
      </c>
      <c r="GR50" s="380">
        <f t="shared" si="311"/>
        <v>0</v>
      </c>
      <c r="GS50" s="380">
        <f t="shared" si="312"/>
        <v>0</v>
      </c>
      <c r="GT50" s="380">
        <f t="shared" si="313"/>
        <v>0</v>
      </c>
      <c r="GU50" s="380">
        <f t="shared" si="314"/>
        <v>0</v>
      </c>
      <c r="GV50" s="380">
        <f t="shared" si="315"/>
        <v>0</v>
      </c>
      <c r="GW50" s="380">
        <f t="shared" si="316"/>
        <v>0</v>
      </c>
      <c r="GX50" s="380">
        <f t="shared" si="317"/>
        <v>0</v>
      </c>
      <c r="GY50" s="380">
        <f t="shared" si="318"/>
        <v>0</v>
      </c>
      <c r="GZ50" s="389">
        <f t="shared" si="319"/>
        <v>0</v>
      </c>
      <c r="HA50" s="381">
        <f t="shared" si="355"/>
        <v>0</v>
      </c>
      <c r="HB50" s="379">
        <f t="shared" si="320"/>
        <v>0</v>
      </c>
      <c r="HC50" s="380">
        <f t="shared" si="321"/>
        <v>0</v>
      </c>
      <c r="HD50" s="380">
        <f t="shared" si="322"/>
        <v>0</v>
      </c>
      <c r="HE50" s="380">
        <f t="shared" si="323"/>
        <v>0</v>
      </c>
      <c r="HF50" s="380">
        <f t="shared" si="324"/>
        <v>0</v>
      </c>
      <c r="HG50" s="380">
        <f t="shared" si="325"/>
        <v>0</v>
      </c>
      <c r="HH50" s="380">
        <f t="shared" si="326"/>
        <v>0</v>
      </c>
      <c r="HI50" s="380">
        <f t="shared" si="327"/>
        <v>0</v>
      </c>
      <c r="HJ50" s="380">
        <f t="shared" si="328"/>
        <v>0</v>
      </c>
      <c r="HK50" s="380">
        <f t="shared" si="329"/>
        <v>0</v>
      </c>
      <c r="HL50" s="380">
        <f t="shared" si="330"/>
        <v>0</v>
      </c>
      <c r="HM50" s="389">
        <f t="shared" si="331"/>
        <v>0</v>
      </c>
      <c r="HN50" s="381">
        <f t="shared" si="356"/>
        <v>0</v>
      </c>
      <c r="HO50" s="379">
        <f t="shared" si="332"/>
        <v>0</v>
      </c>
      <c r="HP50" s="380">
        <f t="shared" si="333"/>
        <v>0</v>
      </c>
      <c r="HQ50" s="380">
        <f t="shared" si="334"/>
        <v>0</v>
      </c>
      <c r="HR50" s="380">
        <f t="shared" si="335"/>
        <v>0</v>
      </c>
      <c r="HS50" s="380">
        <f t="shared" si="336"/>
        <v>0</v>
      </c>
      <c r="HT50" s="380">
        <f t="shared" si="357"/>
        <v>0.55146858667738285</v>
      </c>
      <c r="HU50" s="380">
        <f t="shared" si="358"/>
        <v>0</v>
      </c>
      <c r="HV50" s="380">
        <f t="shared" si="359"/>
        <v>0</v>
      </c>
      <c r="HW50" s="380">
        <f t="shared" si="360"/>
        <v>0</v>
      </c>
      <c r="HX50" s="380">
        <f t="shared" si="361"/>
        <v>0</v>
      </c>
      <c r="HY50" s="380">
        <f t="shared" si="362"/>
        <v>0</v>
      </c>
      <c r="HZ50" s="389">
        <f t="shared" si="375"/>
        <v>0</v>
      </c>
      <c r="IA50" s="379">
        <f t="shared" si="363"/>
        <v>0.55146858667738285</v>
      </c>
      <c r="IB50" s="1344">
        <f t="shared" si="364"/>
        <v>0</v>
      </c>
      <c r="IC50" s="120">
        <f t="shared" si="365"/>
        <v>0</v>
      </c>
      <c r="ID50" s="120">
        <f t="shared" si="366"/>
        <v>0</v>
      </c>
      <c r="IE50" s="120">
        <f t="shared" si="367"/>
        <v>0</v>
      </c>
      <c r="IF50" s="120">
        <f t="shared" si="368"/>
        <v>0</v>
      </c>
      <c r="IG50" s="120">
        <f t="shared" si="369"/>
        <v>0</v>
      </c>
      <c r="IH50" s="120">
        <f t="shared" si="370"/>
        <v>0</v>
      </c>
      <c r="II50" s="120">
        <f t="shared" si="371"/>
        <v>0</v>
      </c>
      <c r="IJ50" s="120"/>
      <c r="IK50" s="120"/>
      <c r="IL50" s="120"/>
      <c r="IM50" s="1345"/>
      <c r="IN50" s="1346">
        <f t="shared" si="372"/>
        <v>0</v>
      </c>
      <c r="IO50" s="120"/>
      <c r="IP50" s="371" t="str">
        <f t="shared" si="337"/>
        <v/>
      </c>
      <c r="IQ50" s="348">
        <f t="shared" si="373"/>
        <v>-100</v>
      </c>
      <c r="IR50" s="320">
        <f t="shared" si="338"/>
        <v>0.55146858667738285</v>
      </c>
      <c r="IS50" s="344">
        <f t="shared" si="339"/>
        <v>0</v>
      </c>
      <c r="IU50" s="320">
        <f t="shared" si="374"/>
        <v>0</v>
      </c>
    </row>
    <row r="51" spans="1:255" ht="15" customHeight="1" x14ac:dyDescent="0.2">
      <c r="A51" s="1554" t="s">
        <v>436</v>
      </c>
      <c r="B51" s="379">
        <f t="shared" si="129"/>
        <v>1871.2039129917312</v>
      </c>
      <c r="C51" s="380">
        <f t="shared" si="130"/>
        <v>3635.9212079107315</v>
      </c>
      <c r="D51" s="380">
        <f t="shared" si="131"/>
        <v>3726.1575715808353</v>
      </c>
      <c r="E51" s="380">
        <f t="shared" si="132"/>
        <v>4075.1911788066773</v>
      </c>
      <c r="F51" s="380">
        <f t="shared" si="133"/>
        <v>4214.859831242622</v>
      </c>
      <c r="G51" s="380">
        <f t="shared" si="134"/>
        <v>3868.0541864643565</v>
      </c>
      <c r="H51" s="380">
        <f t="shared" si="135"/>
        <v>3894.5715732849462</v>
      </c>
      <c r="I51" s="380">
        <f t="shared" si="136"/>
        <v>5783.7045711601459</v>
      </c>
      <c r="J51" s="380">
        <f t="shared" si="137"/>
        <v>5723.9115386609728</v>
      </c>
      <c r="K51" s="380">
        <f t="shared" si="138"/>
        <v>6182.6732044662594</v>
      </c>
      <c r="L51" s="380">
        <f t="shared" si="139"/>
        <v>5950.361031027529</v>
      </c>
      <c r="M51" s="389">
        <f t="shared" si="140"/>
        <v>13309.248925217194</v>
      </c>
      <c r="N51" s="381">
        <f t="shared" si="340"/>
        <v>62235.858732813998</v>
      </c>
      <c r="O51" s="379">
        <f t="shared" si="141"/>
        <v>2255.2725246706382</v>
      </c>
      <c r="P51" s="380">
        <f t="shared" si="142"/>
        <v>3544.7749698230637</v>
      </c>
      <c r="Q51" s="380">
        <f t="shared" si="143"/>
        <v>5816.5399836461283</v>
      </c>
      <c r="R51" s="380">
        <f t="shared" si="144"/>
        <v>5614.8150904833856</v>
      </c>
      <c r="S51" s="380">
        <f t="shared" si="145"/>
        <v>5901.0758108174759</v>
      </c>
      <c r="T51" s="380">
        <f t="shared" si="146"/>
        <v>5341.129949085007</v>
      </c>
      <c r="U51" s="380">
        <f t="shared" si="147"/>
        <v>7598.2822153180796</v>
      </c>
      <c r="V51" s="380">
        <f t="shared" si="148"/>
        <v>7777.9408802169655</v>
      </c>
      <c r="W51" s="380">
        <f t="shared" si="149"/>
        <v>9262.053429183743</v>
      </c>
      <c r="X51" s="380">
        <f t="shared" si="150"/>
        <v>8488.9253145144594</v>
      </c>
      <c r="Y51" s="380">
        <f t="shared" si="151"/>
        <v>9140.5901281959286</v>
      </c>
      <c r="Z51" s="389">
        <f t="shared" si="152"/>
        <v>22324.067057690063</v>
      </c>
      <c r="AA51" s="381">
        <f t="shared" si="341"/>
        <v>93065.467353644926</v>
      </c>
      <c r="AB51" s="379">
        <f t="shared" si="153"/>
        <v>2438.1784496451769</v>
      </c>
      <c r="AC51" s="380">
        <f t="shared" si="154"/>
        <v>4219.0159774385429</v>
      </c>
      <c r="AD51" s="380">
        <f t="shared" si="155"/>
        <v>6819.9400069485537</v>
      </c>
      <c r="AE51" s="380">
        <f t="shared" si="156"/>
        <v>6742.4633862242445</v>
      </c>
      <c r="AF51" s="380">
        <f t="shared" si="157"/>
        <v>8733.6086611566334</v>
      </c>
      <c r="AG51" s="380">
        <f t="shared" si="158"/>
        <v>10975.475741436079</v>
      </c>
      <c r="AH51" s="380">
        <f t="shared" si="159"/>
        <v>8422.8560106493223</v>
      </c>
      <c r="AI51" s="380">
        <f t="shared" si="160"/>
        <v>13142.630474880089</v>
      </c>
      <c r="AJ51" s="380">
        <f t="shared" si="161"/>
        <v>9790.7099497135114</v>
      </c>
      <c r="AK51" s="380">
        <f t="shared" si="162"/>
        <v>8811.4793074454319</v>
      </c>
      <c r="AL51" s="380">
        <f t="shared" si="163"/>
        <v>11648.748663921035</v>
      </c>
      <c r="AM51" s="389">
        <f t="shared" si="164"/>
        <v>22148.653755876268</v>
      </c>
      <c r="AN51" s="381">
        <f t="shared" si="342"/>
        <v>113893.7603853349</v>
      </c>
      <c r="AO51" s="379">
        <f t="shared" si="165"/>
        <v>108.29921943208622</v>
      </c>
      <c r="AP51" s="380">
        <f t="shared" si="166"/>
        <v>1704.8283263610583</v>
      </c>
      <c r="AQ51" s="380">
        <f t="shared" si="167"/>
        <v>4971.7931864590864</v>
      </c>
      <c r="AR51" s="380">
        <f t="shared" si="168"/>
        <v>6731.4487750717835</v>
      </c>
      <c r="AS51" s="380">
        <f t="shared" si="169"/>
        <v>8653.9378752620378</v>
      </c>
      <c r="AT51" s="380">
        <f t="shared" si="170"/>
        <v>7102.1807941872939</v>
      </c>
      <c r="AU51" s="380">
        <f t="shared" si="171"/>
        <v>8353.4575970236583</v>
      </c>
      <c r="AV51" s="380">
        <f t="shared" si="172"/>
        <v>11675.175195767655</v>
      </c>
      <c r="AW51" s="380">
        <f t="shared" si="173"/>
        <v>16256.123255832199</v>
      </c>
      <c r="AX51" s="380">
        <f t="shared" si="174"/>
        <v>18899.809918640145</v>
      </c>
      <c r="AY51" s="380">
        <f t="shared" si="175"/>
        <v>27522.463414956161</v>
      </c>
      <c r="AZ51" s="389">
        <f t="shared" si="176"/>
        <v>52685.702807290691</v>
      </c>
      <c r="BA51" s="381">
        <f t="shared" si="343"/>
        <v>164665.22036628387</v>
      </c>
      <c r="BB51" s="379">
        <f t="shared" si="177"/>
        <v>4467.6563156464417</v>
      </c>
      <c r="BC51" s="380">
        <f t="shared" si="178"/>
        <v>11729.355562521328</v>
      </c>
      <c r="BD51" s="380">
        <f t="shared" si="179"/>
        <v>26253.745361403031</v>
      </c>
      <c r="BE51" s="380">
        <f t="shared" si="180"/>
        <v>14598.660208304247</v>
      </c>
      <c r="BF51" s="380">
        <f t="shared" si="181"/>
        <v>16273.003982359183</v>
      </c>
      <c r="BG51" s="380">
        <f t="shared" si="182"/>
        <v>14533.591805109359</v>
      </c>
      <c r="BH51" s="380">
        <f t="shared" si="183"/>
        <v>25183.373036775152</v>
      </c>
      <c r="BI51" s="380">
        <f t="shared" si="184"/>
        <v>17635.600180923851</v>
      </c>
      <c r="BJ51" s="380">
        <f t="shared" si="185"/>
        <v>25099.817043747953</v>
      </c>
      <c r="BK51" s="380">
        <f t="shared" si="186"/>
        <v>29987.120704288951</v>
      </c>
      <c r="BL51" s="380">
        <f t="shared" si="187"/>
        <v>30183.359217524441</v>
      </c>
      <c r="BM51" s="389">
        <f t="shared" si="188"/>
        <v>48615.990134257256</v>
      </c>
      <c r="BN51" s="381">
        <f t="shared" si="344"/>
        <v>264561.27355286118</v>
      </c>
      <c r="BO51" s="379">
        <f t="shared" si="189"/>
        <v>2754.189452874467</v>
      </c>
      <c r="BP51" s="380">
        <f t="shared" si="190"/>
        <v>8085.3420233449106</v>
      </c>
      <c r="BQ51" s="380">
        <f t="shared" si="191"/>
        <v>21893.407215834057</v>
      </c>
      <c r="BR51" s="380">
        <f t="shared" si="192"/>
        <v>17678.210813345642</v>
      </c>
      <c r="BS51" s="380">
        <f t="shared" si="193"/>
        <v>19141.870734561395</v>
      </c>
      <c r="BT51" s="380">
        <f t="shared" si="194"/>
        <v>15154.221891856774</v>
      </c>
      <c r="BU51" s="380">
        <f t="shared" si="195"/>
        <v>56116.965890344436</v>
      </c>
      <c r="BV51" s="380">
        <f t="shared" si="196"/>
        <v>8323.6515320206599</v>
      </c>
      <c r="BW51" s="380">
        <f t="shared" si="197"/>
        <v>20414.536557623909</v>
      </c>
      <c r="BX51" s="380">
        <f t="shared" si="198"/>
        <v>21824.464715204944</v>
      </c>
      <c r="BY51" s="380">
        <f t="shared" si="199"/>
        <v>14974.063586718594</v>
      </c>
      <c r="BZ51" s="389">
        <f t="shared" si="200"/>
        <v>62740.290596383835</v>
      </c>
      <c r="CA51" s="381">
        <f t="shared" si="345"/>
        <v>269101.21501011361</v>
      </c>
      <c r="CB51" s="379">
        <f t="shared" si="201"/>
        <v>7439.1437335274259</v>
      </c>
      <c r="CC51" s="380">
        <f t="shared" si="202"/>
        <v>12584.161560612387</v>
      </c>
      <c r="CD51" s="380">
        <f t="shared" si="203"/>
        <v>17266.677962073107</v>
      </c>
      <c r="CE51" s="380">
        <f t="shared" si="204"/>
        <v>19108.18377245641</v>
      </c>
      <c r="CF51" s="380">
        <f t="shared" si="205"/>
        <v>14692.307563343222</v>
      </c>
      <c r="CG51" s="380">
        <f t="shared" si="206"/>
        <v>18634.096954548808</v>
      </c>
      <c r="CH51" s="380">
        <f t="shared" si="207"/>
        <v>25067.514487674569</v>
      </c>
      <c r="CI51" s="380">
        <f t="shared" si="208"/>
        <v>12361.674239085085</v>
      </c>
      <c r="CJ51" s="380">
        <f t="shared" si="209"/>
        <v>24087.557177134651</v>
      </c>
      <c r="CK51" s="380">
        <f t="shared" si="210"/>
        <v>29083.525978847054</v>
      </c>
      <c r="CL51" s="380">
        <f t="shared" si="211"/>
        <v>27669.080635723454</v>
      </c>
      <c r="CM51" s="389">
        <f t="shared" si="212"/>
        <v>68963.980728714334</v>
      </c>
      <c r="CN51" s="381">
        <f t="shared" si="346"/>
        <v>276957.90479374048</v>
      </c>
      <c r="CO51" s="379">
        <f t="shared" si="213"/>
        <v>573.6983114728597</v>
      </c>
      <c r="CP51" s="380">
        <f t="shared" si="214"/>
        <v>7282.1973897878388</v>
      </c>
      <c r="CQ51" s="380">
        <f t="shared" si="215"/>
        <v>22304.690050824047</v>
      </c>
      <c r="CR51" s="380">
        <f t="shared" si="216"/>
        <v>14939.836544885031</v>
      </c>
      <c r="CS51" s="380">
        <f t="shared" si="217"/>
        <v>14611.686218911231</v>
      </c>
      <c r="CT51" s="380">
        <f t="shared" si="218"/>
        <v>16225.057387812007</v>
      </c>
      <c r="CU51" s="380">
        <f t="shared" si="219"/>
        <v>36825.695433916066</v>
      </c>
      <c r="CV51" s="380">
        <f t="shared" si="220"/>
        <v>18508.754022393281</v>
      </c>
      <c r="CW51" s="380">
        <f t="shared" si="221"/>
        <v>20409.24306747835</v>
      </c>
      <c r="CX51" s="380">
        <f t="shared" si="222"/>
        <v>20455.203195380338</v>
      </c>
      <c r="CY51" s="380">
        <f t="shared" si="223"/>
        <v>22088.881999303441</v>
      </c>
      <c r="CZ51" s="389">
        <f t="shared" si="224"/>
        <v>64801.581230376942</v>
      </c>
      <c r="DA51" s="381">
        <f t="shared" si="347"/>
        <v>259026.52485254142</v>
      </c>
      <c r="DB51" s="379">
        <f t="shared" si="225"/>
        <v>5323.5580347734649</v>
      </c>
      <c r="DC51" s="380">
        <f t="shared" si="226"/>
        <v>8903.7956395455913</v>
      </c>
      <c r="DD51" s="380">
        <f t="shared" si="227"/>
        <v>16873.727753354913</v>
      </c>
      <c r="DE51" s="380">
        <f t="shared" si="228"/>
        <v>15246.718039469053</v>
      </c>
      <c r="DF51" s="380">
        <f t="shared" si="229"/>
        <v>16689.371833153793</v>
      </c>
      <c r="DG51" s="380">
        <f t="shared" si="230"/>
        <v>15823.524726870857</v>
      </c>
      <c r="DH51" s="380">
        <f t="shared" si="231"/>
        <v>19184.922018086705</v>
      </c>
      <c r="DI51" s="380">
        <f t="shared" si="232"/>
        <v>16035.247589507533</v>
      </c>
      <c r="DJ51" s="380">
        <f t="shared" si="233"/>
        <v>32023.956510370339</v>
      </c>
      <c r="DK51" s="380">
        <f t="shared" si="234"/>
        <v>24861.606626004468</v>
      </c>
      <c r="DL51" s="380">
        <f t="shared" si="235"/>
        <v>32447.48775246583</v>
      </c>
      <c r="DM51" s="389">
        <f t="shared" si="236"/>
        <v>86348.946501579427</v>
      </c>
      <c r="DN51" s="381">
        <f t="shared" si="348"/>
        <v>289762.86302518198</v>
      </c>
      <c r="DO51" s="379">
        <f t="shared" si="237"/>
        <v>4041.4804075196139</v>
      </c>
      <c r="DP51" s="380">
        <f t="shared" si="238"/>
        <v>10681.391225509093</v>
      </c>
      <c r="DQ51" s="380">
        <f t="shared" si="239"/>
        <v>34619.377721998993</v>
      </c>
      <c r="DR51" s="380">
        <f t="shared" si="240"/>
        <v>22414.923556792568</v>
      </c>
      <c r="DS51" s="380">
        <f t="shared" si="241"/>
        <v>22943.44852802308</v>
      </c>
      <c r="DT51" s="380">
        <f t="shared" si="242"/>
        <v>30924.531297811453</v>
      </c>
      <c r="DU51" s="380">
        <f t="shared" si="243"/>
        <v>32037.204845683504</v>
      </c>
      <c r="DV51" s="380">
        <f t="shared" si="244"/>
        <v>26498.715354643831</v>
      </c>
      <c r="DW51" s="380">
        <f t="shared" si="245"/>
        <v>53403.186492307068</v>
      </c>
      <c r="DX51" s="380">
        <f t="shared" si="246"/>
        <v>34827.531729156741</v>
      </c>
      <c r="DY51" s="380">
        <f t="shared" si="247"/>
        <v>30535.070335586373</v>
      </c>
      <c r="DZ51" s="389">
        <f t="shared" si="248"/>
        <v>59847.360450835433</v>
      </c>
      <c r="EA51" s="381">
        <f t="shared" si="349"/>
        <v>362774.22194586776</v>
      </c>
      <c r="EB51" s="379">
        <f t="shared" si="249"/>
        <v>7962.0889902595463</v>
      </c>
      <c r="EC51" s="380">
        <f t="shared" si="250"/>
        <v>14315.408947867585</v>
      </c>
      <c r="ED51" s="380">
        <f t="shared" si="251"/>
        <v>27138.467988579931</v>
      </c>
      <c r="EE51" s="380">
        <f t="shared" si="252"/>
        <v>20692.422016300796</v>
      </c>
      <c r="EF51" s="380">
        <f t="shared" si="253"/>
        <v>24465.921011033031</v>
      </c>
      <c r="EG51" s="380">
        <f t="shared" si="254"/>
        <v>36108.948328588784</v>
      </c>
      <c r="EH51" s="380">
        <f t="shared" si="255"/>
        <v>32995.641408009287</v>
      </c>
      <c r="EI51" s="380">
        <f t="shared" si="256"/>
        <v>26527.69442710884</v>
      </c>
      <c r="EJ51" s="380">
        <f t="shared" si="257"/>
        <v>30999.575031593933</v>
      </c>
      <c r="EK51" s="380">
        <f t="shared" si="258"/>
        <v>46336.952050521315</v>
      </c>
      <c r="EL51" s="380">
        <f t="shared" si="259"/>
        <v>34169.531396576022</v>
      </c>
      <c r="EM51" s="389">
        <f t="shared" si="260"/>
        <v>55760.020618634568</v>
      </c>
      <c r="EN51" s="381">
        <f t="shared" si="350"/>
        <v>357472.67221507366</v>
      </c>
      <c r="EO51" s="379">
        <f t="shared" si="261"/>
        <v>654.20607990991221</v>
      </c>
      <c r="EP51" s="380">
        <f t="shared" si="262"/>
        <v>11651.997470647048</v>
      </c>
      <c r="EQ51" s="380">
        <f>+EQ17/EQ37</f>
        <v>16869.058828501576</v>
      </c>
      <c r="ER51" s="380">
        <f t="shared" si="263"/>
        <v>29841.222327803367</v>
      </c>
      <c r="ES51" s="380">
        <f t="shared" si="264"/>
        <v>16672.961107262832</v>
      </c>
      <c r="ET51" s="380">
        <f t="shared" si="265"/>
        <v>22720.973080296892</v>
      </c>
      <c r="EU51" s="380">
        <f t="shared" si="266"/>
        <v>16693.632497175611</v>
      </c>
      <c r="EV51" s="380">
        <f t="shared" si="267"/>
        <v>26338.206635096831</v>
      </c>
      <c r="EW51" s="380">
        <f t="shared" si="268"/>
        <v>36196.378087485245</v>
      </c>
      <c r="EX51" s="380">
        <f t="shared" si="269"/>
        <v>35285.713736651247</v>
      </c>
      <c r="EY51" s="380">
        <f t="shared" si="270"/>
        <v>20979.03432641333</v>
      </c>
      <c r="EZ51" s="389">
        <f t="shared" si="271"/>
        <v>49517.696852812885</v>
      </c>
      <c r="FA51" s="381">
        <f t="shared" si="351"/>
        <v>283421.08103005675</v>
      </c>
      <c r="FB51" s="379">
        <f t="shared" si="272"/>
        <v>4066.4635234561738</v>
      </c>
      <c r="FC51" s="380">
        <f t="shared" si="273"/>
        <v>13470.286806872302</v>
      </c>
      <c r="FD51" s="380">
        <f t="shared" si="274"/>
        <v>12613.043659540243</v>
      </c>
      <c r="FE51" s="380">
        <f t="shared" si="275"/>
        <v>3840.5530948355713</v>
      </c>
      <c r="FF51" s="380">
        <f t="shared" si="276"/>
        <v>6956.0060419899337</v>
      </c>
      <c r="FG51" s="380">
        <f t="shared" si="277"/>
        <v>3649.7283323541374</v>
      </c>
      <c r="FH51" s="380">
        <f t="shared" si="278"/>
        <v>8933.6134267879333</v>
      </c>
      <c r="FI51" s="380">
        <f t="shared" si="279"/>
        <v>14176.023319806389</v>
      </c>
      <c r="FJ51" s="380">
        <f t="shared" si="280"/>
        <v>31261.390914973963</v>
      </c>
      <c r="FK51" s="380">
        <f t="shared" si="281"/>
        <v>40785.861312755631</v>
      </c>
      <c r="FL51" s="380">
        <f t="shared" si="282"/>
        <v>45297.919672606171</v>
      </c>
      <c r="FM51" s="389">
        <f t="shared" si="283"/>
        <v>83505.177519852979</v>
      </c>
      <c r="FN51" s="381">
        <f t="shared" si="352"/>
        <v>268556.06762583141</v>
      </c>
      <c r="FO51" s="379">
        <f t="shared" si="284"/>
        <v>7229.5179926304954</v>
      </c>
      <c r="FP51" s="380">
        <f t="shared" si="285"/>
        <v>20000.011831134176</v>
      </c>
      <c r="FQ51" s="380">
        <f t="shared" si="286"/>
        <v>38109.567982946624</v>
      </c>
      <c r="FR51" s="380">
        <f t="shared" si="287"/>
        <v>23678.285191494095</v>
      </c>
      <c r="FS51" s="380">
        <f t="shared" si="288"/>
        <v>21546.82693378986</v>
      </c>
      <c r="FT51" s="380">
        <f>+FT17/$FT$37</f>
        <v>31282.390792720355</v>
      </c>
      <c r="FU51" s="380">
        <f>+FU17/$FU$37</f>
        <v>24866.215732836448</v>
      </c>
      <c r="FV51" s="380">
        <f t="shared" si="291"/>
        <v>26431.751047673904</v>
      </c>
      <c r="FW51" s="380">
        <f t="shared" si="292"/>
        <v>30035.446491768616</v>
      </c>
      <c r="FX51" s="380">
        <f t="shared" si="293"/>
        <v>25852.006583353061</v>
      </c>
      <c r="FY51" s="380">
        <f t="shared" si="294"/>
        <v>27437.338919328624</v>
      </c>
      <c r="FZ51" s="389">
        <f t="shared" si="295"/>
        <v>57131.95597088011</v>
      </c>
      <c r="GA51" s="381">
        <f t="shared" si="353"/>
        <v>333601.31547055638</v>
      </c>
      <c r="GB51" s="379">
        <f t="shared" si="296"/>
        <v>2721.0909875028196</v>
      </c>
      <c r="GC51" s="380">
        <f t="shared" si="297"/>
        <v>6612.8205110346571</v>
      </c>
      <c r="GD51" s="380">
        <f t="shared" si="298"/>
        <v>30498.929871711618</v>
      </c>
      <c r="GE51" s="380">
        <f t="shared" si="299"/>
        <v>15783.596690152443</v>
      </c>
      <c r="GF51" s="380">
        <f t="shared" si="300"/>
        <v>18703.322353001844</v>
      </c>
      <c r="GG51" s="380">
        <f t="shared" si="301"/>
        <v>16252.439614736402</v>
      </c>
      <c r="GH51" s="380">
        <f t="shared" si="302"/>
        <v>24152.541847453896</v>
      </c>
      <c r="GI51" s="380">
        <f t="shared" si="303"/>
        <v>28122.985955902084</v>
      </c>
      <c r="GJ51" s="380">
        <f t="shared" si="304"/>
        <v>35291.687352309484</v>
      </c>
      <c r="GK51" s="380">
        <f t="shared" si="305"/>
        <v>26354.248182850046</v>
      </c>
      <c r="GL51" s="380">
        <f t="shared" si="306"/>
        <v>33019.478109310374</v>
      </c>
      <c r="GM51" s="389">
        <f t="shared" si="307"/>
        <v>45944.818905273438</v>
      </c>
      <c r="GN51" s="381">
        <f t="shared" si="354"/>
        <v>283457.96038123913</v>
      </c>
      <c r="GO51" s="379">
        <f t="shared" si="308"/>
        <v>1610.4176571397159</v>
      </c>
      <c r="GP51" s="380">
        <f t="shared" si="309"/>
        <v>13769.517187509546</v>
      </c>
      <c r="GQ51" s="380">
        <f t="shared" si="310"/>
        <v>18184.521751401695</v>
      </c>
      <c r="GR51" s="380">
        <f t="shared" si="311"/>
        <v>25904.40865664012</v>
      </c>
      <c r="GS51" s="380">
        <f t="shared" si="312"/>
        <v>12118.26382031874</v>
      </c>
      <c r="GT51" s="380">
        <f t="shared" si="313"/>
        <v>19379.792021385223</v>
      </c>
      <c r="GU51" s="380">
        <f t="shared" si="314"/>
        <v>15980.398642060849</v>
      </c>
      <c r="GV51" s="380">
        <f t="shared" si="315"/>
        <v>21801.043146410873</v>
      </c>
      <c r="GW51" s="380">
        <f t="shared" si="316"/>
        <v>22808.272180453776</v>
      </c>
      <c r="GX51" s="380">
        <f t="shared" si="317"/>
        <v>23555.956173196471</v>
      </c>
      <c r="GY51" s="380">
        <f t="shared" si="318"/>
        <v>37331.675881971059</v>
      </c>
      <c r="GZ51" s="389">
        <f t="shared" si="319"/>
        <v>50078.951907505165</v>
      </c>
      <c r="HA51" s="381">
        <f t="shared" si="355"/>
        <v>262523.21902599325</v>
      </c>
      <c r="HB51" s="379">
        <f t="shared" si="320"/>
        <v>13566.934818396181</v>
      </c>
      <c r="HC51" s="380">
        <f t="shared" si="321"/>
        <v>33692.208794775877</v>
      </c>
      <c r="HD51" s="380">
        <f t="shared" si="322"/>
        <v>19738.100082501398</v>
      </c>
      <c r="HE51" s="380">
        <f t="shared" si="323"/>
        <v>24001.521962926217</v>
      </c>
      <c r="HF51" s="380">
        <f t="shared" si="324"/>
        <v>23539.68146466319</v>
      </c>
      <c r="HG51" s="380">
        <f t="shared" si="325"/>
        <v>23983.132803809705</v>
      </c>
      <c r="HH51" s="380">
        <f t="shared" si="326"/>
        <v>27489.698181548818</v>
      </c>
      <c r="HI51" s="380">
        <f t="shared" si="327"/>
        <v>24387.269093620253</v>
      </c>
      <c r="HJ51" s="380">
        <f t="shared" si="328"/>
        <v>20913.554243449795</v>
      </c>
      <c r="HK51" s="380">
        <f t="shared" si="329"/>
        <v>27718.040099240086</v>
      </c>
      <c r="HL51" s="380">
        <f t="shared" si="330"/>
        <v>25245.72399905312</v>
      </c>
      <c r="HM51" s="389">
        <f t="shared" si="331"/>
        <v>51301.335237243657</v>
      </c>
      <c r="HN51" s="381">
        <f t="shared" si="356"/>
        <v>315577.20078122831</v>
      </c>
      <c r="HO51" s="379">
        <f t="shared" si="332"/>
        <v>8142.5583902658182</v>
      </c>
      <c r="HP51" s="380">
        <f t="shared" si="333"/>
        <v>14920.922227150138</v>
      </c>
      <c r="HQ51" s="380">
        <f t="shared" si="334"/>
        <v>22870.047071816185</v>
      </c>
      <c r="HR51" s="380">
        <f t="shared" si="335"/>
        <v>18466.144723163125</v>
      </c>
      <c r="HS51" s="380">
        <f t="shared" si="336"/>
        <v>20736.774110777744</v>
      </c>
      <c r="HT51" s="380">
        <f t="shared" si="357"/>
        <v>22777.307035535945</v>
      </c>
      <c r="HU51" s="380">
        <f t="shared" si="358"/>
        <v>25022.68767185543</v>
      </c>
      <c r="HV51" s="380">
        <f t="shared" si="359"/>
        <v>22424.184505409383</v>
      </c>
      <c r="HW51" s="380">
        <f t="shared" si="360"/>
        <v>22311.592676298704</v>
      </c>
      <c r="HX51" s="380">
        <f t="shared" si="361"/>
        <v>27835.391633108411</v>
      </c>
      <c r="HY51" s="380">
        <f t="shared" si="362"/>
        <v>24378.237322619287</v>
      </c>
      <c r="HZ51" s="389">
        <f t="shared" si="375"/>
        <v>56360.918123082593</v>
      </c>
      <c r="IA51" s="379">
        <f t="shared" si="363"/>
        <v>286246.7654910828</v>
      </c>
      <c r="IB51" s="1344">
        <f t="shared" si="364"/>
        <v>10360.862623645273</v>
      </c>
      <c r="IC51" s="120">
        <f t="shared" si="365"/>
        <v>7986.6021002227362</v>
      </c>
      <c r="ID51" s="120">
        <f t="shared" si="366"/>
        <v>13998.062582594001</v>
      </c>
      <c r="IE51" s="120">
        <f t="shared" si="367"/>
        <v>21743.538915684527</v>
      </c>
      <c r="IF51" s="120">
        <f t="shared" si="368"/>
        <v>18879.843416019055</v>
      </c>
      <c r="IG51" s="120">
        <f t="shared" si="369"/>
        <v>21834.455545440385</v>
      </c>
      <c r="IH51" s="120">
        <f t="shared" si="370"/>
        <v>30448.335716498583</v>
      </c>
      <c r="II51" s="120">
        <f t="shared" si="371"/>
        <v>26560.191584524244</v>
      </c>
      <c r="IJ51" s="120"/>
      <c r="IK51" s="120"/>
      <c r="IL51" s="120"/>
      <c r="IM51" s="1345"/>
      <c r="IN51" s="1346">
        <f t="shared" si="372"/>
        <v>151811.8924846288</v>
      </c>
      <c r="IO51" s="120"/>
      <c r="IP51" s="371">
        <f t="shared" si="337"/>
        <v>18.444403532789046</v>
      </c>
      <c r="IQ51" s="348">
        <f t="shared" si="373"/>
        <v>-2.2841908846169656</v>
      </c>
      <c r="IR51" s="320">
        <f t="shared" si="338"/>
        <v>155360.62573597379</v>
      </c>
      <c r="IS51" s="344">
        <f t="shared" si="339"/>
        <v>151811.8924846288</v>
      </c>
      <c r="IU51" s="320">
        <f t="shared" si="374"/>
        <v>4136.007079114861</v>
      </c>
    </row>
    <row r="52" spans="1:255" ht="15" customHeight="1" x14ac:dyDescent="0.2">
      <c r="A52" s="1554" t="s">
        <v>437</v>
      </c>
      <c r="B52" s="379">
        <f t="shared" si="129"/>
        <v>0</v>
      </c>
      <c r="C52" s="380">
        <f t="shared" si="130"/>
        <v>0</v>
      </c>
      <c r="D52" s="380">
        <f t="shared" si="131"/>
        <v>0</v>
      </c>
      <c r="E52" s="380">
        <f t="shared" si="132"/>
        <v>0</v>
      </c>
      <c r="F52" s="380">
        <f t="shared" si="133"/>
        <v>0</v>
      </c>
      <c r="G52" s="380">
        <f t="shared" si="134"/>
        <v>0</v>
      </c>
      <c r="H52" s="380">
        <f t="shared" si="135"/>
        <v>0</v>
      </c>
      <c r="I52" s="380">
        <f t="shared" si="136"/>
        <v>0</v>
      </c>
      <c r="J52" s="380">
        <f t="shared" si="137"/>
        <v>0</v>
      </c>
      <c r="K52" s="380">
        <f t="shared" si="138"/>
        <v>0</v>
      </c>
      <c r="L52" s="380">
        <f t="shared" si="139"/>
        <v>0</v>
      </c>
      <c r="M52" s="389">
        <f t="shared" si="140"/>
        <v>0</v>
      </c>
      <c r="N52" s="381">
        <f t="shared" si="340"/>
        <v>0</v>
      </c>
      <c r="O52" s="379">
        <f t="shared" si="141"/>
        <v>0</v>
      </c>
      <c r="P52" s="380">
        <f t="shared" si="142"/>
        <v>0</v>
      </c>
      <c r="Q52" s="380">
        <f t="shared" si="143"/>
        <v>0</v>
      </c>
      <c r="R52" s="380">
        <f t="shared" si="144"/>
        <v>0</v>
      </c>
      <c r="S52" s="380">
        <f t="shared" si="145"/>
        <v>0</v>
      </c>
      <c r="T52" s="380">
        <f t="shared" si="146"/>
        <v>0</v>
      </c>
      <c r="U52" s="380">
        <f t="shared" si="147"/>
        <v>0</v>
      </c>
      <c r="V52" s="380">
        <f t="shared" si="148"/>
        <v>0</v>
      </c>
      <c r="W52" s="380">
        <f t="shared" si="149"/>
        <v>0</v>
      </c>
      <c r="X52" s="380">
        <f t="shared" si="150"/>
        <v>0</v>
      </c>
      <c r="Y52" s="380">
        <f t="shared" si="151"/>
        <v>0</v>
      </c>
      <c r="Z52" s="389">
        <f t="shared" si="152"/>
        <v>0</v>
      </c>
      <c r="AA52" s="381">
        <f t="shared" si="341"/>
        <v>0</v>
      </c>
      <c r="AB52" s="379">
        <f t="shared" si="153"/>
        <v>0</v>
      </c>
      <c r="AC52" s="380">
        <f t="shared" si="154"/>
        <v>0</v>
      </c>
      <c r="AD52" s="380">
        <f t="shared" si="155"/>
        <v>0</v>
      </c>
      <c r="AE52" s="380">
        <f t="shared" si="156"/>
        <v>0</v>
      </c>
      <c r="AF52" s="380">
        <f t="shared" si="157"/>
        <v>0</v>
      </c>
      <c r="AG52" s="380">
        <f t="shared" si="158"/>
        <v>0</v>
      </c>
      <c r="AH52" s="380">
        <f t="shared" si="159"/>
        <v>0</v>
      </c>
      <c r="AI52" s="380">
        <f t="shared" si="160"/>
        <v>0</v>
      </c>
      <c r="AJ52" s="380">
        <f t="shared" si="161"/>
        <v>0</v>
      </c>
      <c r="AK52" s="380">
        <f t="shared" si="162"/>
        <v>0</v>
      </c>
      <c r="AL52" s="380">
        <f t="shared" si="163"/>
        <v>0</v>
      </c>
      <c r="AM52" s="389">
        <f t="shared" si="164"/>
        <v>0</v>
      </c>
      <c r="AN52" s="381">
        <f t="shared" si="342"/>
        <v>0</v>
      </c>
      <c r="AO52" s="379">
        <f t="shared" si="165"/>
        <v>0</v>
      </c>
      <c r="AP52" s="380">
        <f t="shared" si="166"/>
        <v>0</v>
      </c>
      <c r="AQ52" s="380">
        <f t="shared" si="167"/>
        <v>0</v>
      </c>
      <c r="AR52" s="380">
        <f t="shared" si="168"/>
        <v>0</v>
      </c>
      <c r="AS52" s="380">
        <f t="shared" si="169"/>
        <v>0</v>
      </c>
      <c r="AT52" s="380">
        <f t="shared" si="170"/>
        <v>0</v>
      </c>
      <c r="AU52" s="380">
        <f t="shared" si="171"/>
        <v>0</v>
      </c>
      <c r="AV52" s="380">
        <f t="shared" si="172"/>
        <v>0</v>
      </c>
      <c r="AW52" s="380">
        <f t="shared" si="173"/>
        <v>0</v>
      </c>
      <c r="AX52" s="380">
        <f t="shared" si="174"/>
        <v>0</v>
      </c>
      <c r="AY52" s="380">
        <f t="shared" si="175"/>
        <v>0</v>
      </c>
      <c r="AZ52" s="389">
        <f t="shared" si="176"/>
        <v>0</v>
      </c>
      <c r="BA52" s="381">
        <f t="shared" si="343"/>
        <v>0</v>
      </c>
      <c r="BB52" s="379">
        <f t="shared" si="177"/>
        <v>0</v>
      </c>
      <c r="BC52" s="380">
        <f t="shared" si="178"/>
        <v>0</v>
      </c>
      <c r="BD52" s="380">
        <f t="shared" si="179"/>
        <v>0</v>
      </c>
      <c r="BE52" s="380">
        <f t="shared" si="180"/>
        <v>0</v>
      </c>
      <c r="BF52" s="380">
        <f t="shared" si="181"/>
        <v>0</v>
      </c>
      <c r="BG52" s="380">
        <f t="shared" si="182"/>
        <v>0</v>
      </c>
      <c r="BH52" s="380">
        <f t="shared" si="183"/>
        <v>0</v>
      </c>
      <c r="BI52" s="380">
        <f t="shared" si="184"/>
        <v>0</v>
      </c>
      <c r="BJ52" s="380">
        <f t="shared" si="185"/>
        <v>0</v>
      </c>
      <c r="BK52" s="380">
        <f t="shared" si="186"/>
        <v>0</v>
      </c>
      <c r="BL52" s="380">
        <f t="shared" si="187"/>
        <v>0</v>
      </c>
      <c r="BM52" s="389">
        <f t="shared" si="188"/>
        <v>0</v>
      </c>
      <c r="BN52" s="381">
        <f t="shared" si="344"/>
        <v>0</v>
      </c>
      <c r="BO52" s="379">
        <f t="shared" si="189"/>
        <v>0</v>
      </c>
      <c r="BP52" s="380">
        <f t="shared" si="190"/>
        <v>0</v>
      </c>
      <c r="BQ52" s="380">
        <f t="shared" si="191"/>
        <v>0</v>
      </c>
      <c r="BR52" s="380">
        <f t="shared" si="192"/>
        <v>0</v>
      </c>
      <c r="BS52" s="380">
        <f t="shared" si="193"/>
        <v>0</v>
      </c>
      <c r="BT52" s="380">
        <f t="shared" si="194"/>
        <v>0</v>
      </c>
      <c r="BU52" s="380">
        <f t="shared" si="195"/>
        <v>0</v>
      </c>
      <c r="BV52" s="380">
        <f t="shared" si="196"/>
        <v>0</v>
      </c>
      <c r="BW52" s="380">
        <f t="shared" si="197"/>
        <v>0</v>
      </c>
      <c r="BX52" s="380">
        <f t="shared" si="198"/>
        <v>0</v>
      </c>
      <c r="BY52" s="380">
        <f t="shared" si="199"/>
        <v>0</v>
      </c>
      <c r="BZ52" s="389">
        <f t="shared" si="200"/>
        <v>0</v>
      </c>
      <c r="CA52" s="381">
        <f t="shared" si="345"/>
        <v>0</v>
      </c>
      <c r="CB52" s="379">
        <f t="shared" si="201"/>
        <v>0</v>
      </c>
      <c r="CC52" s="380">
        <f t="shared" si="202"/>
        <v>0</v>
      </c>
      <c r="CD52" s="380">
        <f t="shared" si="203"/>
        <v>0</v>
      </c>
      <c r="CE52" s="380">
        <f t="shared" si="204"/>
        <v>0</v>
      </c>
      <c r="CF52" s="380">
        <f t="shared" si="205"/>
        <v>0</v>
      </c>
      <c r="CG52" s="380">
        <f t="shared" si="206"/>
        <v>0</v>
      </c>
      <c r="CH52" s="380">
        <f t="shared" si="207"/>
        <v>0</v>
      </c>
      <c r="CI52" s="380">
        <f t="shared" si="208"/>
        <v>0</v>
      </c>
      <c r="CJ52" s="380">
        <f t="shared" si="209"/>
        <v>0</v>
      </c>
      <c r="CK52" s="380">
        <f t="shared" si="210"/>
        <v>0</v>
      </c>
      <c r="CL52" s="380">
        <f t="shared" si="211"/>
        <v>0</v>
      </c>
      <c r="CM52" s="389">
        <f t="shared" si="212"/>
        <v>0</v>
      </c>
      <c r="CN52" s="381">
        <f t="shared" si="346"/>
        <v>0</v>
      </c>
      <c r="CO52" s="379">
        <f t="shared" si="213"/>
        <v>0</v>
      </c>
      <c r="CP52" s="380">
        <f t="shared" si="214"/>
        <v>0</v>
      </c>
      <c r="CQ52" s="380">
        <f t="shared" si="215"/>
        <v>0</v>
      </c>
      <c r="CR52" s="380">
        <f t="shared" si="216"/>
        <v>0</v>
      </c>
      <c r="CS52" s="380">
        <f t="shared" si="217"/>
        <v>0</v>
      </c>
      <c r="CT52" s="380">
        <f t="shared" si="218"/>
        <v>0</v>
      </c>
      <c r="CU52" s="380">
        <f t="shared" si="219"/>
        <v>0</v>
      </c>
      <c r="CV52" s="380">
        <f t="shared" si="220"/>
        <v>0</v>
      </c>
      <c r="CW52" s="380">
        <f t="shared" si="221"/>
        <v>0</v>
      </c>
      <c r="CX52" s="380">
        <f t="shared" si="222"/>
        <v>0</v>
      </c>
      <c r="CY52" s="380">
        <f t="shared" si="223"/>
        <v>0</v>
      </c>
      <c r="CZ52" s="389">
        <f t="shared" si="224"/>
        <v>0</v>
      </c>
      <c r="DA52" s="381">
        <f t="shared" si="347"/>
        <v>0</v>
      </c>
      <c r="DB52" s="379">
        <f t="shared" si="225"/>
        <v>0</v>
      </c>
      <c r="DC52" s="380">
        <f t="shared" si="226"/>
        <v>0</v>
      </c>
      <c r="DD52" s="380">
        <f t="shared" si="227"/>
        <v>0</v>
      </c>
      <c r="DE52" s="380">
        <f t="shared" si="228"/>
        <v>0</v>
      </c>
      <c r="DF52" s="380">
        <f t="shared" si="229"/>
        <v>0</v>
      </c>
      <c r="DG52" s="380">
        <f t="shared" si="230"/>
        <v>0</v>
      </c>
      <c r="DH52" s="380">
        <f t="shared" si="231"/>
        <v>0</v>
      </c>
      <c r="DI52" s="380">
        <f t="shared" si="232"/>
        <v>0</v>
      </c>
      <c r="DJ52" s="380">
        <f t="shared" si="233"/>
        <v>0</v>
      </c>
      <c r="DK52" s="380">
        <f t="shared" si="234"/>
        <v>0</v>
      </c>
      <c r="DL52" s="380">
        <f t="shared" si="235"/>
        <v>0</v>
      </c>
      <c r="DM52" s="389">
        <f t="shared" si="236"/>
        <v>0</v>
      </c>
      <c r="DN52" s="381">
        <f t="shared" si="348"/>
        <v>0</v>
      </c>
      <c r="DO52" s="379">
        <f t="shared" si="237"/>
        <v>0</v>
      </c>
      <c r="DP52" s="380">
        <f t="shared" si="238"/>
        <v>0</v>
      </c>
      <c r="DQ52" s="380">
        <f t="shared" si="239"/>
        <v>0</v>
      </c>
      <c r="DR52" s="380">
        <f t="shared" si="240"/>
        <v>0</v>
      </c>
      <c r="DS52" s="380">
        <f t="shared" si="241"/>
        <v>0</v>
      </c>
      <c r="DT52" s="380">
        <f t="shared" si="242"/>
        <v>0</v>
      </c>
      <c r="DU52" s="380">
        <f t="shared" si="243"/>
        <v>0</v>
      </c>
      <c r="DV52" s="380">
        <f t="shared" si="244"/>
        <v>0</v>
      </c>
      <c r="DW52" s="380">
        <f t="shared" si="245"/>
        <v>0</v>
      </c>
      <c r="DX52" s="380">
        <f t="shared" si="246"/>
        <v>0</v>
      </c>
      <c r="DY52" s="380">
        <f t="shared" si="247"/>
        <v>0</v>
      </c>
      <c r="DZ52" s="389">
        <f t="shared" si="248"/>
        <v>0</v>
      </c>
      <c r="EA52" s="381">
        <f t="shared" si="349"/>
        <v>0</v>
      </c>
      <c r="EB52" s="379">
        <f t="shared" si="249"/>
        <v>0</v>
      </c>
      <c r="EC52" s="380">
        <f t="shared" si="250"/>
        <v>0</v>
      </c>
      <c r="ED52" s="380">
        <f t="shared" si="251"/>
        <v>0</v>
      </c>
      <c r="EE52" s="380">
        <f t="shared" si="252"/>
        <v>0</v>
      </c>
      <c r="EF52" s="380">
        <f t="shared" si="253"/>
        <v>0</v>
      </c>
      <c r="EG52" s="380">
        <f t="shared" si="254"/>
        <v>0</v>
      </c>
      <c r="EH52" s="380">
        <f t="shared" si="255"/>
        <v>0</v>
      </c>
      <c r="EI52" s="380">
        <f t="shared" si="256"/>
        <v>0</v>
      </c>
      <c r="EJ52" s="380">
        <f t="shared" si="257"/>
        <v>0</v>
      </c>
      <c r="EK52" s="380">
        <f t="shared" si="258"/>
        <v>0</v>
      </c>
      <c r="EL52" s="380">
        <f t="shared" si="259"/>
        <v>0</v>
      </c>
      <c r="EM52" s="389">
        <f t="shared" si="260"/>
        <v>0</v>
      </c>
      <c r="EN52" s="381">
        <f t="shared" si="350"/>
        <v>0</v>
      </c>
      <c r="EO52" s="379">
        <f t="shared" si="261"/>
        <v>0</v>
      </c>
      <c r="EP52" s="380">
        <f t="shared" si="262"/>
        <v>0</v>
      </c>
      <c r="EQ52" s="380">
        <f>+EQ18/EQ37</f>
        <v>0</v>
      </c>
      <c r="ER52" s="380">
        <f t="shared" si="263"/>
        <v>0</v>
      </c>
      <c r="ES52" s="380">
        <f t="shared" si="264"/>
        <v>0</v>
      </c>
      <c r="ET52" s="380">
        <f t="shared" si="265"/>
        <v>0</v>
      </c>
      <c r="EU52" s="380">
        <f t="shared" si="266"/>
        <v>0</v>
      </c>
      <c r="EV52" s="380">
        <f t="shared" si="267"/>
        <v>0</v>
      </c>
      <c r="EW52" s="380">
        <f t="shared" si="268"/>
        <v>0</v>
      </c>
      <c r="EX52" s="380">
        <f t="shared" si="269"/>
        <v>0</v>
      </c>
      <c r="EY52" s="380">
        <f t="shared" si="270"/>
        <v>0</v>
      </c>
      <c r="EZ52" s="389">
        <f t="shared" si="271"/>
        <v>0</v>
      </c>
      <c r="FA52" s="381">
        <f t="shared" si="351"/>
        <v>0</v>
      </c>
      <c r="FB52" s="379">
        <f t="shared" si="272"/>
        <v>0</v>
      </c>
      <c r="FC52" s="380">
        <f t="shared" si="273"/>
        <v>0</v>
      </c>
      <c r="FD52" s="380">
        <f t="shared" si="274"/>
        <v>0</v>
      </c>
      <c r="FE52" s="380">
        <f t="shared" si="275"/>
        <v>0</v>
      </c>
      <c r="FF52" s="380">
        <f t="shared" si="276"/>
        <v>0</v>
      </c>
      <c r="FG52" s="380">
        <f t="shared" si="277"/>
        <v>0</v>
      </c>
      <c r="FH52" s="380">
        <f t="shared" si="278"/>
        <v>0</v>
      </c>
      <c r="FI52" s="380">
        <f t="shared" si="279"/>
        <v>0</v>
      </c>
      <c r="FJ52" s="380">
        <f t="shared" si="280"/>
        <v>0</v>
      </c>
      <c r="FK52" s="380">
        <f t="shared" si="281"/>
        <v>0</v>
      </c>
      <c r="FL52" s="380">
        <f t="shared" si="282"/>
        <v>0</v>
      </c>
      <c r="FM52" s="389">
        <f t="shared" si="283"/>
        <v>0</v>
      </c>
      <c r="FN52" s="381">
        <f t="shared" si="352"/>
        <v>0</v>
      </c>
      <c r="FO52" s="379">
        <f t="shared" si="284"/>
        <v>0</v>
      </c>
      <c r="FP52" s="380">
        <f t="shared" si="285"/>
        <v>0</v>
      </c>
      <c r="FQ52" s="380">
        <f t="shared" si="286"/>
        <v>0</v>
      </c>
      <c r="FR52" s="380">
        <f t="shared" si="287"/>
        <v>0</v>
      </c>
      <c r="FS52" s="380">
        <f t="shared" si="288"/>
        <v>0</v>
      </c>
      <c r="FT52" s="380">
        <f>+FT18/$FS$37</f>
        <v>0</v>
      </c>
      <c r="FU52" s="380">
        <f>+FU18/$FS$37</f>
        <v>0</v>
      </c>
      <c r="FV52" s="380">
        <f t="shared" si="291"/>
        <v>0</v>
      </c>
      <c r="FW52" s="380">
        <f t="shared" si="292"/>
        <v>0</v>
      </c>
      <c r="FX52" s="380">
        <f t="shared" si="293"/>
        <v>0</v>
      </c>
      <c r="FY52" s="380">
        <f t="shared" si="294"/>
        <v>0</v>
      </c>
      <c r="FZ52" s="389">
        <f t="shared" si="295"/>
        <v>0</v>
      </c>
      <c r="GA52" s="381">
        <f t="shared" si="353"/>
        <v>0</v>
      </c>
      <c r="GB52" s="379">
        <f t="shared" si="296"/>
        <v>0</v>
      </c>
      <c r="GC52" s="380">
        <f t="shared" si="297"/>
        <v>0</v>
      </c>
      <c r="GD52" s="380">
        <f t="shared" si="298"/>
        <v>0</v>
      </c>
      <c r="GE52" s="380">
        <f t="shared" si="299"/>
        <v>0</v>
      </c>
      <c r="GF52" s="380">
        <f t="shared" si="300"/>
        <v>0</v>
      </c>
      <c r="GG52" s="380">
        <f t="shared" si="301"/>
        <v>0</v>
      </c>
      <c r="GH52" s="380">
        <f t="shared" si="302"/>
        <v>0</v>
      </c>
      <c r="GI52" s="380">
        <f t="shared" si="303"/>
        <v>0</v>
      </c>
      <c r="GJ52" s="380">
        <f t="shared" si="304"/>
        <v>0</v>
      </c>
      <c r="GK52" s="380">
        <f t="shared" si="305"/>
        <v>0</v>
      </c>
      <c r="GL52" s="380">
        <f t="shared" si="306"/>
        <v>0</v>
      </c>
      <c r="GM52" s="389">
        <f t="shared" si="307"/>
        <v>0</v>
      </c>
      <c r="GN52" s="381">
        <f t="shared" si="354"/>
        <v>0</v>
      </c>
      <c r="GO52" s="379">
        <f t="shared" si="308"/>
        <v>0</v>
      </c>
      <c r="GP52" s="380">
        <f t="shared" si="309"/>
        <v>0</v>
      </c>
      <c r="GQ52" s="380">
        <f t="shared" si="310"/>
        <v>0</v>
      </c>
      <c r="GR52" s="380">
        <f t="shared" si="311"/>
        <v>0</v>
      </c>
      <c r="GS52" s="380">
        <f t="shared" si="312"/>
        <v>0</v>
      </c>
      <c r="GT52" s="380">
        <f t="shared" si="313"/>
        <v>72.869303254261112</v>
      </c>
      <c r="GU52" s="380">
        <f t="shared" si="314"/>
        <v>0</v>
      </c>
      <c r="GV52" s="380">
        <f t="shared" si="315"/>
        <v>0</v>
      </c>
      <c r="GW52" s="380">
        <f t="shared" si="316"/>
        <v>0</v>
      </c>
      <c r="GX52" s="380">
        <f t="shared" si="317"/>
        <v>0</v>
      </c>
      <c r="GY52" s="380">
        <f t="shared" si="318"/>
        <v>0</v>
      </c>
      <c r="GZ52" s="389">
        <f t="shared" si="319"/>
        <v>0</v>
      </c>
      <c r="HA52" s="381">
        <f t="shared" si="355"/>
        <v>72.869303254261112</v>
      </c>
      <c r="HB52" s="379">
        <f t="shared" si="320"/>
        <v>0</v>
      </c>
      <c r="HC52" s="380">
        <f t="shared" si="321"/>
        <v>0</v>
      </c>
      <c r="HD52" s="380">
        <f t="shared" si="322"/>
        <v>0</v>
      </c>
      <c r="HE52" s="380">
        <f t="shared" si="323"/>
        <v>0</v>
      </c>
      <c r="HF52" s="380">
        <f t="shared" si="324"/>
        <v>0</v>
      </c>
      <c r="HG52" s="380">
        <f t="shared" si="325"/>
        <v>0</v>
      </c>
      <c r="HH52" s="380">
        <f t="shared" si="326"/>
        <v>0</v>
      </c>
      <c r="HI52" s="380">
        <f t="shared" si="327"/>
        <v>0</v>
      </c>
      <c r="HJ52" s="380">
        <f t="shared" si="328"/>
        <v>0</v>
      </c>
      <c r="HK52" s="380">
        <f t="shared" si="329"/>
        <v>0</v>
      </c>
      <c r="HL52" s="380">
        <f t="shared" si="330"/>
        <v>0</v>
      </c>
      <c r="HM52" s="389">
        <f t="shared" si="331"/>
        <v>0</v>
      </c>
      <c r="HN52" s="381">
        <f t="shared" si="356"/>
        <v>0</v>
      </c>
      <c r="HO52" s="379">
        <f t="shared" si="332"/>
        <v>0</v>
      </c>
      <c r="HP52" s="380">
        <f t="shared" si="333"/>
        <v>0</v>
      </c>
      <c r="HQ52" s="380">
        <f t="shared" si="334"/>
        <v>0</v>
      </c>
      <c r="HR52" s="380">
        <f t="shared" si="335"/>
        <v>0</v>
      </c>
      <c r="HS52" s="380">
        <f t="shared" si="336"/>
        <v>0</v>
      </c>
      <c r="HT52" s="380">
        <f t="shared" si="357"/>
        <v>0</v>
      </c>
      <c r="HU52" s="380">
        <f t="shared" si="358"/>
        <v>0</v>
      </c>
      <c r="HV52" s="380">
        <f t="shared" si="359"/>
        <v>0</v>
      </c>
      <c r="HW52" s="380">
        <f t="shared" si="360"/>
        <v>0</v>
      </c>
      <c r="HX52" s="380">
        <f t="shared" si="361"/>
        <v>0</v>
      </c>
      <c r="HY52" s="380">
        <f t="shared" si="362"/>
        <v>0</v>
      </c>
      <c r="HZ52" s="389">
        <f t="shared" si="375"/>
        <v>0</v>
      </c>
      <c r="IA52" s="379">
        <f t="shared" si="363"/>
        <v>0</v>
      </c>
      <c r="IB52" s="1344">
        <f t="shared" si="364"/>
        <v>0</v>
      </c>
      <c r="IC52" s="120">
        <f t="shared" si="365"/>
        <v>0</v>
      </c>
      <c r="ID52" s="120">
        <f t="shared" si="366"/>
        <v>0</v>
      </c>
      <c r="IE52" s="120">
        <f t="shared" si="367"/>
        <v>0</v>
      </c>
      <c r="IF52" s="120">
        <f t="shared" si="368"/>
        <v>0</v>
      </c>
      <c r="IG52" s="120">
        <f t="shared" si="369"/>
        <v>0</v>
      </c>
      <c r="IH52" s="120">
        <f t="shared" si="370"/>
        <v>0</v>
      </c>
      <c r="II52" s="120">
        <f t="shared" si="371"/>
        <v>0</v>
      </c>
      <c r="IJ52" s="120"/>
      <c r="IK52" s="120"/>
      <c r="IL52" s="120"/>
      <c r="IM52" s="1345"/>
      <c r="IN52" s="1346">
        <f t="shared" si="372"/>
        <v>0</v>
      </c>
      <c r="IO52" s="120"/>
      <c r="IP52" s="371" t="str">
        <f t="shared" si="337"/>
        <v/>
      </c>
      <c r="IQ52" s="348" t="str">
        <f t="shared" si="373"/>
        <v/>
      </c>
      <c r="IR52" s="320">
        <f t="shared" si="338"/>
        <v>0</v>
      </c>
      <c r="IS52" s="344">
        <f t="shared" si="339"/>
        <v>0</v>
      </c>
      <c r="IU52" s="320">
        <f t="shared" si="374"/>
        <v>0</v>
      </c>
    </row>
    <row r="53" spans="1:255" ht="15" customHeight="1" x14ac:dyDescent="0.2">
      <c r="A53" s="1553" t="s">
        <v>439</v>
      </c>
      <c r="B53" s="376">
        <f t="shared" si="129"/>
        <v>244.6657836024753</v>
      </c>
      <c r="C53" s="377">
        <f t="shared" si="130"/>
        <v>288.04177080541137</v>
      </c>
      <c r="D53" s="377">
        <f t="shared" si="131"/>
        <v>385.86175779894279</v>
      </c>
      <c r="E53" s="377">
        <f t="shared" si="132"/>
        <v>568.34157314966126</v>
      </c>
      <c r="F53" s="377">
        <f t="shared" si="133"/>
        <v>569.11111450398801</v>
      </c>
      <c r="G53" s="377">
        <f t="shared" si="134"/>
        <v>642.46465909427582</v>
      </c>
      <c r="H53" s="377">
        <f t="shared" si="135"/>
        <v>559.73276422241906</v>
      </c>
      <c r="I53" s="377">
        <f t="shared" si="136"/>
        <v>561.1336310536002</v>
      </c>
      <c r="J53" s="377">
        <f t="shared" si="137"/>
        <v>609.18440134813284</v>
      </c>
      <c r="K53" s="377">
        <f t="shared" si="138"/>
        <v>449.02613120187715</v>
      </c>
      <c r="L53" s="377">
        <f t="shared" si="139"/>
        <v>415.33464618619331</v>
      </c>
      <c r="M53" s="388">
        <f t="shared" si="140"/>
        <v>560.06996928256444</v>
      </c>
      <c r="N53" s="378">
        <f t="shared" si="340"/>
        <v>5852.9682022495417</v>
      </c>
      <c r="O53" s="376">
        <f t="shared" si="141"/>
        <v>259.05778083793075</v>
      </c>
      <c r="P53" s="377">
        <f t="shared" si="142"/>
        <v>761.1705588727948</v>
      </c>
      <c r="Q53" s="377">
        <f t="shared" si="143"/>
        <v>535.85447093432845</v>
      </c>
      <c r="R53" s="377">
        <f t="shared" si="144"/>
        <v>735.39333186399585</v>
      </c>
      <c r="S53" s="377">
        <f t="shared" si="145"/>
        <v>816.31090629380071</v>
      </c>
      <c r="T53" s="377">
        <f t="shared" si="146"/>
        <v>746.47117360706125</v>
      </c>
      <c r="U53" s="377">
        <f t="shared" si="147"/>
        <v>780.84025663998136</v>
      </c>
      <c r="V53" s="377">
        <f t="shared" si="148"/>
        <v>843.16961664014161</v>
      </c>
      <c r="W53" s="377">
        <f t="shared" si="149"/>
        <v>646.06135803726022</v>
      </c>
      <c r="X53" s="377">
        <f t="shared" si="150"/>
        <v>697.68211301748511</v>
      </c>
      <c r="Y53" s="377">
        <f t="shared" si="151"/>
        <v>856.72902540525615</v>
      </c>
      <c r="Z53" s="388">
        <f t="shared" si="152"/>
        <v>1061.3035947630112</v>
      </c>
      <c r="AA53" s="378">
        <f t="shared" si="341"/>
        <v>8740.0441869130464</v>
      </c>
      <c r="AB53" s="376">
        <f t="shared" si="153"/>
        <v>642.92552516900207</v>
      </c>
      <c r="AC53" s="377">
        <f t="shared" si="154"/>
        <v>567.03283015703846</v>
      </c>
      <c r="AD53" s="377">
        <f t="shared" si="155"/>
        <v>632.7217068563308</v>
      </c>
      <c r="AE53" s="377">
        <f t="shared" si="156"/>
        <v>708.87200987396022</v>
      </c>
      <c r="AF53" s="377">
        <f t="shared" si="157"/>
        <v>667.28287912501628</v>
      </c>
      <c r="AG53" s="377">
        <f t="shared" si="158"/>
        <v>992.09763417562453</v>
      </c>
      <c r="AH53" s="377">
        <f t="shared" si="159"/>
        <v>500.1267878367791</v>
      </c>
      <c r="AI53" s="377">
        <f t="shared" si="160"/>
        <v>915.77820390473255</v>
      </c>
      <c r="AJ53" s="377">
        <f t="shared" si="161"/>
        <v>628.38180652371182</v>
      </c>
      <c r="AK53" s="377">
        <f t="shared" si="162"/>
        <v>853.42075842442478</v>
      </c>
      <c r="AL53" s="377">
        <f t="shared" si="163"/>
        <v>1054.0672811569068</v>
      </c>
      <c r="AM53" s="388">
        <f t="shared" si="164"/>
        <v>544.50645744669453</v>
      </c>
      <c r="AN53" s="378">
        <f t="shared" si="342"/>
        <v>8707.2138806502226</v>
      </c>
      <c r="AO53" s="376">
        <f t="shared" si="165"/>
        <v>17.900697426791112</v>
      </c>
      <c r="AP53" s="377">
        <f t="shared" si="166"/>
        <v>34.774217954017402</v>
      </c>
      <c r="AQ53" s="377">
        <f t="shared" si="167"/>
        <v>22.136211872035112</v>
      </c>
      <c r="AR53" s="377">
        <f t="shared" si="168"/>
        <v>46.611808868409263</v>
      </c>
      <c r="AS53" s="377">
        <f t="shared" si="169"/>
        <v>31.667184743792781</v>
      </c>
      <c r="AT53" s="377">
        <f t="shared" si="170"/>
        <v>24.605427151354149</v>
      </c>
      <c r="AU53" s="377">
        <f t="shared" si="171"/>
        <v>9.5906516613360022</v>
      </c>
      <c r="AV53" s="377">
        <f t="shared" si="172"/>
        <v>13.042945403777079</v>
      </c>
      <c r="AW53" s="377">
        <f t="shared" si="173"/>
        <v>69.333574690332995</v>
      </c>
      <c r="AX53" s="377">
        <f t="shared" si="174"/>
        <v>135.64663575892584</v>
      </c>
      <c r="AY53" s="377">
        <f t="shared" si="175"/>
        <v>27.529345751394011</v>
      </c>
      <c r="AZ53" s="388">
        <f t="shared" si="176"/>
        <v>661.49912655594835</v>
      </c>
      <c r="BA53" s="378">
        <f t="shared" si="343"/>
        <v>1094.3378278381142</v>
      </c>
      <c r="BB53" s="376">
        <f t="shared" si="177"/>
        <v>6.8706748414401249</v>
      </c>
      <c r="BC53" s="377">
        <f t="shared" si="178"/>
        <v>49.653501395973798</v>
      </c>
      <c r="BD53" s="377">
        <f t="shared" si="179"/>
        <v>40.778557982957821</v>
      </c>
      <c r="BE53" s="377">
        <f t="shared" si="180"/>
        <v>941.4128782663347</v>
      </c>
      <c r="BF53" s="377">
        <f t="shared" si="181"/>
        <v>1686.9387953058185</v>
      </c>
      <c r="BG53" s="377">
        <f t="shared" si="182"/>
        <v>538.3124770237622</v>
      </c>
      <c r="BH53" s="377">
        <f t="shared" si="183"/>
        <v>462.68442767133075</v>
      </c>
      <c r="BI53" s="377">
        <f t="shared" si="184"/>
        <v>278.89012384808603</v>
      </c>
      <c r="BJ53" s="377">
        <f t="shared" si="185"/>
        <v>395.20034158958697</v>
      </c>
      <c r="BK53" s="377">
        <f t="shared" si="186"/>
        <v>1298.803095835025</v>
      </c>
      <c r="BL53" s="377">
        <f t="shared" si="187"/>
        <v>787.74905362670336</v>
      </c>
      <c r="BM53" s="388">
        <f t="shared" si="188"/>
        <v>2143.1390867774289</v>
      </c>
      <c r="BN53" s="378">
        <f t="shared" si="344"/>
        <v>8630.4330141644496</v>
      </c>
      <c r="BO53" s="376">
        <f t="shared" si="189"/>
        <v>693.76521228817285</v>
      </c>
      <c r="BP53" s="377">
        <f t="shared" si="190"/>
        <v>410.28347803455466</v>
      </c>
      <c r="BQ53" s="377">
        <f t="shared" si="191"/>
        <v>606.14902537881653</v>
      </c>
      <c r="BR53" s="377">
        <f t="shared" si="192"/>
        <v>656.67589929024314</v>
      </c>
      <c r="BS53" s="377">
        <f t="shared" si="193"/>
        <v>224.24794727369709</v>
      </c>
      <c r="BT53" s="377">
        <f t="shared" si="194"/>
        <v>2309.8491124980019</v>
      </c>
      <c r="BU53" s="377">
        <f t="shared" si="195"/>
        <v>895.49654833103295</v>
      </c>
      <c r="BV53" s="377">
        <f t="shared" si="196"/>
        <v>1033.0340511742636</v>
      </c>
      <c r="BW53" s="377">
        <f t="shared" si="197"/>
        <v>1227.7160094953126</v>
      </c>
      <c r="BX53" s="377">
        <f t="shared" si="198"/>
        <v>3191.1101881597342</v>
      </c>
      <c r="BY53" s="377">
        <f t="shared" si="199"/>
        <v>1122.4849796741107</v>
      </c>
      <c r="BZ53" s="388">
        <f t="shared" si="200"/>
        <v>2505.2560700002768</v>
      </c>
      <c r="CA53" s="378">
        <f t="shared" si="345"/>
        <v>14876.068521598216</v>
      </c>
      <c r="CB53" s="376">
        <f t="shared" si="201"/>
        <v>469.80655111562578</v>
      </c>
      <c r="CC53" s="377">
        <f t="shared" si="202"/>
        <v>614.35250308703382</v>
      </c>
      <c r="CD53" s="377">
        <f t="shared" si="203"/>
        <v>901.14180308648372</v>
      </c>
      <c r="CE53" s="377">
        <f t="shared" si="204"/>
        <v>1320.5296535583495</v>
      </c>
      <c r="CF53" s="377">
        <f t="shared" si="205"/>
        <v>310.46813771694065</v>
      </c>
      <c r="CG53" s="377">
        <f t="shared" si="206"/>
        <v>799.56927004803163</v>
      </c>
      <c r="CH53" s="377">
        <f t="shared" si="207"/>
        <v>427.35462741418371</v>
      </c>
      <c r="CI53" s="377">
        <f t="shared" si="208"/>
        <v>574.28000918471662</v>
      </c>
      <c r="CJ53" s="377">
        <f t="shared" si="209"/>
        <v>763.95627530081003</v>
      </c>
      <c r="CK53" s="377">
        <f t="shared" si="210"/>
        <v>1142.3841980042864</v>
      </c>
      <c r="CL53" s="377">
        <f t="shared" si="211"/>
        <v>418.18840325472468</v>
      </c>
      <c r="CM53" s="388">
        <f t="shared" si="212"/>
        <v>2697.0297928927366</v>
      </c>
      <c r="CN53" s="378">
        <f t="shared" si="346"/>
        <v>10439.061224663925</v>
      </c>
      <c r="CO53" s="376">
        <f t="shared" si="213"/>
        <v>0</v>
      </c>
      <c r="CP53" s="377">
        <f t="shared" si="214"/>
        <v>0</v>
      </c>
      <c r="CQ53" s="377">
        <f t="shared" si="215"/>
        <v>0</v>
      </c>
      <c r="CR53" s="377">
        <f t="shared" si="216"/>
        <v>0</v>
      </c>
      <c r="CS53" s="377">
        <f t="shared" si="217"/>
        <v>0</v>
      </c>
      <c r="CT53" s="377">
        <f t="shared" si="218"/>
        <v>0</v>
      </c>
      <c r="CU53" s="377">
        <f t="shared" si="219"/>
        <v>0</v>
      </c>
      <c r="CV53" s="377">
        <f t="shared" si="220"/>
        <v>0</v>
      </c>
      <c r="CW53" s="377">
        <f t="shared" si="221"/>
        <v>0</v>
      </c>
      <c r="CX53" s="377">
        <f t="shared" si="222"/>
        <v>68.412050820670032</v>
      </c>
      <c r="CY53" s="377">
        <f t="shared" si="223"/>
        <v>99.997682416765699</v>
      </c>
      <c r="CZ53" s="388">
        <f t="shared" si="224"/>
        <v>628.97315968733631</v>
      </c>
      <c r="DA53" s="378">
        <f t="shared" si="347"/>
        <v>797.38289292477202</v>
      </c>
      <c r="DB53" s="376">
        <f t="shared" si="225"/>
        <v>47.337213294386487</v>
      </c>
      <c r="DC53" s="377">
        <f t="shared" si="226"/>
        <v>73.510696939803537</v>
      </c>
      <c r="DD53" s="377">
        <f t="shared" si="227"/>
        <v>626.33368593981993</v>
      </c>
      <c r="DE53" s="377">
        <f t="shared" si="228"/>
        <v>46.970329412545247</v>
      </c>
      <c r="DF53" s="377">
        <f t="shared" si="229"/>
        <v>456.81501005511899</v>
      </c>
      <c r="DG53" s="377">
        <f t="shared" si="230"/>
        <v>285.29596652823784</v>
      </c>
      <c r="DH53" s="377">
        <f t="shared" si="231"/>
        <v>294.71864880936505</v>
      </c>
      <c r="DI53" s="377">
        <f t="shared" si="232"/>
        <v>185.6650588138385</v>
      </c>
      <c r="DJ53" s="377">
        <f t="shared" si="233"/>
        <v>391.95834655648741</v>
      </c>
      <c r="DK53" s="377">
        <f t="shared" si="234"/>
        <v>76.454273902376315</v>
      </c>
      <c r="DL53" s="377">
        <f t="shared" si="235"/>
        <v>124.61195766319955</v>
      </c>
      <c r="DM53" s="388">
        <f t="shared" si="236"/>
        <v>96.439270475327518</v>
      </c>
      <c r="DN53" s="378">
        <f t="shared" si="348"/>
        <v>2706.1104583905062</v>
      </c>
      <c r="DO53" s="376">
        <f t="shared" si="237"/>
        <v>0</v>
      </c>
      <c r="DP53" s="377">
        <f t="shared" si="238"/>
        <v>0</v>
      </c>
      <c r="DQ53" s="377">
        <f t="shared" si="239"/>
        <v>202.25118122236827</v>
      </c>
      <c r="DR53" s="377">
        <f t="shared" si="240"/>
        <v>59.68300574919104</v>
      </c>
      <c r="DS53" s="377">
        <f t="shared" si="241"/>
        <v>88.818939632607524</v>
      </c>
      <c r="DT53" s="377">
        <f t="shared" si="242"/>
        <v>162.01078211076</v>
      </c>
      <c r="DU53" s="377">
        <f t="shared" si="243"/>
        <v>176.1237829476112</v>
      </c>
      <c r="DV53" s="377">
        <f t="shared" si="244"/>
        <v>184.98981414882454</v>
      </c>
      <c r="DW53" s="377">
        <f t="shared" si="245"/>
        <v>103.98794119901329</v>
      </c>
      <c r="DX53" s="377">
        <f t="shared" si="246"/>
        <v>116.00770887336785</v>
      </c>
      <c r="DY53" s="377">
        <f t="shared" si="247"/>
        <v>187.7170758104759</v>
      </c>
      <c r="DZ53" s="388">
        <f t="shared" si="248"/>
        <v>679.02696229674166</v>
      </c>
      <c r="EA53" s="378">
        <f t="shared" si="349"/>
        <v>1960.6171939909614</v>
      </c>
      <c r="EB53" s="376">
        <f t="shared" si="249"/>
        <v>0</v>
      </c>
      <c r="EC53" s="377">
        <f t="shared" si="250"/>
        <v>0</v>
      </c>
      <c r="ED53" s="377">
        <f t="shared" si="251"/>
        <v>65.743451429795755</v>
      </c>
      <c r="EE53" s="377">
        <f t="shared" si="252"/>
        <v>0</v>
      </c>
      <c r="EF53" s="377">
        <f t="shared" si="253"/>
        <v>813.47971077156842</v>
      </c>
      <c r="EG53" s="377">
        <f t="shared" si="254"/>
        <v>96.269611034826724</v>
      </c>
      <c r="EH53" s="377">
        <f t="shared" si="255"/>
        <v>142.08173538306542</v>
      </c>
      <c r="EI53" s="377">
        <f t="shared" si="256"/>
        <v>229.87357567219215</v>
      </c>
      <c r="EJ53" s="377">
        <f t="shared" si="257"/>
        <v>240.76789818032569</v>
      </c>
      <c r="EK53" s="377">
        <f t="shared" si="258"/>
        <v>140.09981379515355</v>
      </c>
      <c r="EL53" s="377">
        <f t="shared" si="259"/>
        <v>219.79201771153785</v>
      </c>
      <c r="EM53" s="388">
        <f t="shared" si="260"/>
        <v>201.76067986145782</v>
      </c>
      <c r="EN53" s="378">
        <f t="shared" si="350"/>
        <v>2149.8684938399233</v>
      </c>
      <c r="EO53" s="376">
        <f t="shared" si="261"/>
        <v>0</v>
      </c>
      <c r="EP53" s="377">
        <f t="shared" si="262"/>
        <v>0</v>
      </c>
      <c r="EQ53" s="377">
        <f>+EQ19/EQ37</f>
        <v>0</v>
      </c>
      <c r="ER53" s="377">
        <f t="shared" si="263"/>
        <v>0</v>
      </c>
      <c r="ES53" s="377">
        <f t="shared" si="264"/>
        <v>0</v>
      </c>
      <c r="ET53" s="377">
        <f t="shared" si="265"/>
        <v>0</v>
      </c>
      <c r="EU53" s="377">
        <f t="shared" si="266"/>
        <v>0</v>
      </c>
      <c r="EV53" s="377">
        <f t="shared" si="267"/>
        <v>36.156887590090427</v>
      </c>
      <c r="EW53" s="377">
        <f t="shared" si="268"/>
        <v>154.3466623529969</v>
      </c>
      <c r="EX53" s="377">
        <f t="shared" si="269"/>
        <v>179.17875421303773</v>
      </c>
      <c r="EY53" s="377">
        <f t="shared" si="270"/>
        <v>464.79789023831654</v>
      </c>
      <c r="EZ53" s="388">
        <f t="shared" si="271"/>
        <v>425.74876713612554</v>
      </c>
      <c r="FA53" s="378">
        <f t="shared" si="351"/>
        <v>1260.2289615305672</v>
      </c>
      <c r="FB53" s="376">
        <f t="shared" si="272"/>
        <v>184.05296873223452</v>
      </c>
      <c r="FC53" s="377">
        <f t="shared" si="273"/>
        <v>83.606294107799371</v>
      </c>
      <c r="FD53" s="377">
        <f t="shared" si="274"/>
        <v>408.46682509260569</v>
      </c>
      <c r="FE53" s="377">
        <f t="shared" si="275"/>
        <v>174.88232842554834</v>
      </c>
      <c r="FF53" s="377">
        <f t="shared" si="276"/>
        <v>243.66212249812224</v>
      </c>
      <c r="FG53" s="377">
        <f t="shared" si="277"/>
        <v>430.99462066912338</v>
      </c>
      <c r="FH53" s="377">
        <f t="shared" si="278"/>
        <v>881.9526599360114</v>
      </c>
      <c r="FI53" s="377">
        <f t="shared" si="279"/>
        <v>429.49356642408395</v>
      </c>
      <c r="FJ53" s="377">
        <f t="shared" si="280"/>
        <v>289.57114842375495</v>
      </c>
      <c r="FK53" s="377">
        <f t="shared" si="281"/>
        <v>311.36330205947513</v>
      </c>
      <c r="FL53" s="377">
        <f t="shared" si="282"/>
        <v>268.31638705375178</v>
      </c>
      <c r="FM53" s="388">
        <f t="shared" si="283"/>
        <v>234.23516984177374</v>
      </c>
      <c r="FN53" s="378">
        <f t="shared" si="352"/>
        <v>3940.5973932642846</v>
      </c>
      <c r="FO53" s="376">
        <f t="shared" si="284"/>
        <v>198.14284420931907</v>
      </c>
      <c r="FP53" s="377">
        <f t="shared" si="285"/>
        <v>256.43636318895255</v>
      </c>
      <c r="FQ53" s="377">
        <f t="shared" si="286"/>
        <v>362.71244923801203</v>
      </c>
      <c r="FR53" s="377">
        <f t="shared" si="287"/>
        <v>293.40789639500986</v>
      </c>
      <c r="FS53" s="377">
        <f t="shared" si="288"/>
        <v>253.86934871760349</v>
      </c>
      <c r="FT53" s="377">
        <f>+FT19/$FT$37</f>
        <v>194.06939133751897</v>
      </c>
      <c r="FU53" s="377">
        <f>+FU19/$FU$37</f>
        <v>281.61357783800804</v>
      </c>
      <c r="FV53" s="377">
        <f t="shared" si="291"/>
        <v>565.58017772416986</v>
      </c>
      <c r="FW53" s="377">
        <f t="shared" si="292"/>
        <v>205.08213248485055</v>
      </c>
      <c r="FX53" s="377">
        <f t="shared" si="293"/>
        <v>400.05601102405836</v>
      </c>
      <c r="FY53" s="377">
        <f t="shared" si="294"/>
        <v>777.31090224881791</v>
      </c>
      <c r="FZ53" s="388">
        <f t="shared" si="295"/>
        <v>419.14035188677479</v>
      </c>
      <c r="GA53" s="378">
        <f t="shared" si="353"/>
        <v>4207.4214462930959</v>
      </c>
      <c r="GB53" s="376">
        <f t="shared" si="296"/>
        <v>419.61046866108626</v>
      </c>
      <c r="GC53" s="377">
        <f t="shared" si="297"/>
        <v>297.51970766816186</v>
      </c>
      <c r="GD53" s="377">
        <f t="shared" si="298"/>
        <v>422.85668405885474</v>
      </c>
      <c r="GE53" s="377">
        <f t="shared" si="299"/>
        <v>344.37615139499962</v>
      </c>
      <c r="GF53" s="377">
        <f t="shared" si="300"/>
        <v>354.81729948848391</v>
      </c>
      <c r="GG53" s="377">
        <f t="shared" si="301"/>
        <v>297.4981429196252</v>
      </c>
      <c r="GH53" s="377">
        <f t="shared" si="302"/>
        <v>203.34395902539549</v>
      </c>
      <c r="GI53" s="377">
        <f t="shared" si="303"/>
        <v>253.6906024537885</v>
      </c>
      <c r="GJ53" s="377">
        <f t="shared" si="304"/>
        <v>76.550744456044029</v>
      </c>
      <c r="GK53" s="377">
        <f t="shared" si="305"/>
        <v>20.858838253312943</v>
      </c>
      <c r="GL53" s="377">
        <f t="shared" si="306"/>
        <v>18.379398153962285</v>
      </c>
      <c r="GM53" s="388">
        <f t="shared" si="307"/>
        <v>18.823575717214428</v>
      </c>
      <c r="GN53" s="378">
        <f t="shared" si="354"/>
        <v>2728.3255722509293</v>
      </c>
      <c r="GO53" s="376">
        <f t="shared" si="308"/>
        <v>0</v>
      </c>
      <c r="GP53" s="377">
        <f t="shared" si="309"/>
        <v>0</v>
      </c>
      <c r="GQ53" s="377">
        <f t="shared" si="310"/>
        <v>0</v>
      </c>
      <c r="GR53" s="377">
        <f t="shared" si="311"/>
        <v>0</v>
      </c>
      <c r="GS53" s="377">
        <f t="shared" si="312"/>
        <v>0</v>
      </c>
      <c r="GT53" s="377">
        <f t="shared" si="313"/>
        <v>0</v>
      </c>
      <c r="GU53" s="377">
        <f t="shared" si="314"/>
        <v>36.007335996059851</v>
      </c>
      <c r="GV53" s="377">
        <f t="shared" si="315"/>
        <v>415.07901626403213</v>
      </c>
      <c r="GW53" s="377">
        <f t="shared" si="316"/>
        <v>-246.4928331786673</v>
      </c>
      <c r="GX53" s="377">
        <f t="shared" si="317"/>
        <v>670.46555015716672</v>
      </c>
      <c r="GY53" s="377">
        <f t="shared" si="318"/>
        <v>76.0773610612612</v>
      </c>
      <c r="GZ53" s="388">
        <f t="shared" si="319"/>
        <v>597.58862163822312</v>
      </c>
      <c r="HA53" s="378">
        <f t="shared" si="355"/>
        <v>1548.7250519380757</v>
      </c>
      <c r="HB53" s="376">
        <f t="shared" si="320"/>
        <v>144.6684065437712</v>
      </c>
      <c r="HC53" s="377">
        <f t="shared" si="321"/>
        <v>2190.225791100399</v>
      </c>
      <c r="HD53" s="377">
        <f t="shared" si="322"/>
        <v>259.05520405998823</v>
      </c>
      <c r="HE53" s="377">
        <f t="shared" si="323"/>
        <v>-583.446295057459</v>
      </c>
      <c r="HF53" s="377">
        <f t="shared" si="324"/>
        <v>604.74779202906007</v>
      </c>
      <c r="HG53" s="377">
        <f t="shared" si="325"/>
        <v>708.33890819661053</v>
      </c>
      <c r="HH53" s="377">
        <f t="shared" si="326"/>
        <v>1090.4569587820538</v>
      </c>
      <c r="HI53" s="377">
        <f t="shared" si="327"/>
        <v>695.1850215202661</v>
      </c>
      <c r="HJ53" s="377">
        <f t="shared" si="328"/>
        <v>469.79155919393025</v>
      </c>
      <c r="HK53" s="377">
        <f t="shared" si="329"/>
        <v>828.47361149679557</v>
      </c>
      <c r="HL53" s="377">
        <f t="shared" si="330"/>
        <v>406.03446219123981</v>
      </c>
      <c r="HM53" s="388">
        <f t="shared" si="331"/>
        <v>405.5883150446906</v>
      </c>
      <c r="HN53" s="378">
        <f t="shared" si="356"/>
        <v>7219.1197351013461</v>
      </c>
      <c r="HO53" s="376">
        <f t="shared" si="332"/>
        <v>169.98611115511667</v>
      </c>
      <c r="HP53" s="377">
        <f t="shared" si="333"/>
        <v>227.14850744155999</v>
      </c>
      <c r="HQ53" s="377">
        <f t="shared" si="334"/>
        <v>177.15843773859064</v>
      </c>
      <c r="HR53" s="377">
        <f t="shared" si="335"/>
        <v>311.79761426654613</v>
      </c>
      <c r="HS53" s="377">
        <f t="shared" si="336"/>
        <v>293.76268378691378</v>
      </c>
      <c r="HT53" s="377">
        <f t="shared" si="357"/>
        <v>490.80704214287078</v>
      </c>
      <c r="HU53" s="377">
        <f t="shared" si="358"/>
        <v>1152.6755353577942</v>
      </c>
      <c r="HV53" s="377">
        <f t="shared" si="359"/>
        <v>102.63542295403674</v>
      </c>
      <c r="HW53" s="377">
        <f t="shared" si="360"/>
        <v>242.7691967350371</v>
      </c>
      <c r="HX53" s="377">
        <f t="shared" si="361"/>
        <v>296.03305453175875</v>
      </c>
      <c r="HY53" s="377">
        <f t="shared" si="362"/>
        <v>691.82378932209167</v>
      </c>
      <c r="HZ53" s="388">
        <f t="shared" si="375"/>
        <v>128.23684314904784</v>
      </c>
      <c r="IA53" s="376">
        <f>SUM(HO53:HZ53)</f>
        <v>4284.8342385813639</v>
      </c>
      <c r="IB53" s="1328">
        <f t="shared" si="364"/>
        <v>192.43801306919153</v>
      </c>
      <c r="IC53" s="129">
        <f t="shared" si="365"/>
        <v>316.16591111916892</v>
      </c>
      <c r="ID53" s="129">
        <f t="shared" si="366"/>
        <v>217.07797565691592</v>
      </c>
      <c r="IE53" s="129">
        <f t="shared" si="367"/>
        <v>185.71069622220122</v>
      </c>
      <c r="IF53" s="129">
        <f t="shared" si="368"/>
        <v>1085.2256229559721</v>
      </c>
      <c r="IG53" s="129">
        <f t="shared" si="369"/>
        <v>458.65135255363009</v>
      </c>
      <c r="IH53" s="129">
        <f t="shared" si="370"/>
        <v>207.25022314020325</v>
      </c>
      <c r="II53" s="129">
        <f t="shared" si="371"/>
        <v>262.57986985814273</v>
      </c>
      <c r="IJ53" s="129"/>
      <c r="IK53" s="129"/>
      <c r="IL53" s="129"/>
      <c r="IM53" s="1268"/>
      <c r="IN53" s="1343">
        <f t="shared" si="372"/>
        <v>2925.0996645754258</v>
      </c>
      <c r="IO53" s="129"/>
      <c r="IP53" s="370">
        <f t="shared" si="337"/>
        <v>155.83747043721345</v>
      </c>
      <c r="IQ53" s="340">
        <f t="shared" si="373"/>
        <v>-2.9791483315788625E-2</v>
      </c>
      <c r="IR53" s="339">
        <f t="shared" si="338"/>
        <v>2925.9713548434288</v>
      </c>
      <c r="IS53" s="341">
        <f t="shared" si="339"/>
        <v>2925.0996645754258</v>
      </c>
      <c r="IT53" s="338"/>
      <c r="IU53" s="339"/>
    </row>
    <row r="54" spans="1:255" ht="15" customHeight="1" x14ac:dyDescent="0.2">
      <c r="A54" s="1554" t="s">
        <v>440</v>
      </c>
      <c r="B54" s="379">
        <f t="shared" si="129"/>
        <v>16.63727328496832</v>
      </c>
      <c r="C54" s="380">
        <f t="shared" si="130"/>
        <v>18.426914630649215</v>
      </c>
      <c r="D54" s="380">
        <f t="shared" si="131"/>
        <v>25.916088210376753</v>
      </c>
      <c r="E54" s="380">
        <f t="shared" si="132"/>
        <v>40.253534691881569</v>
      </c>
      <c r="F54" s="380">
        <f t="shared" si="133"/>
        <v>48.699105435743938</v>
      </c>
      <c r="G54" s="380">
        <f t="shared" si="134"/>
        <v>52.117339602043018</v>
      </c>
      <c r="H54" s="380">
        <f t="shared" si="135"/>
        <v>58.423285154528592</v>
      </c>
      <c r="I54" s="380">
        <f t="shared" si="136"/>
        <v>38.408145030379977</v>
      </c>
      <c r="J54" s="380">
        <f t="shared" si="137"/>
        <v>40.053408651329832</v>
      </c>
      <c r="K54" s="380">
        <f t="shared" si="138"/>
        <v>40.736391284294008</v>
      </c>
      <c r="L54" s="380">
        <f t="shared" si="139"/>
        <v>40.610498738205564</v>
      </c>
      <c r="M54" s="389">
        <f t="shared" si="140"/>
        <v>48.741721464656671</v>
      </c>
      <c r="N54" s="381">
        <f t="shared" si="340"/>
        <v>469.02370617905746</v>
      </c>
      <c r="O54" s="379">
        <f t="shared" si="141"/>
        <v>259.05778083793075</v>
      </c>
      <c r="P54" s="380">
        <f t="shared" si="142"/>
        <v>761.1705588727948</v>
      </c>
      <c r="Q54" s="380">
        <f t="shared" si="143"/>
        <v>535.85447093432845</v>
      </c>
      <c r="R54" s="380">
        <f t="shared" si="144"/>
        <v>735.39333186399585</v>
      </c>
      <c r="S54" s="380">
        <f t="shared" si="145"/>
        <v>816.31090629380071</v>
      </c>
      <c r="T54" s="380">
        <f t="shared" si="146"/>
        <v>746.47117360706125</v>
      </c>
      <c r="U54" s="380">
        <f t="shared" si="147"/>
        <v>780.84025663998136</v>
      </c>
      <c r="V54" s="380">
        <f t="shared" si="148"/>
        <v>843.16961664014161</v>
      </c>
      <c r="W54" s="380">
        <f t="shared" si="149"/>
        <v>646.06135803726022</v>
      </c>
      <c r="X54" s="380">
        <f t="shared" si="150"/>
        <v>697.68211301748511</v>
      </c>
      <c r="Y54" s="380">
        <f t="shared" si="151"/>
        <v>856.72902540525615</v>
      </c>
      <c r="Z54" s="389">
        <f t="shared" si="152"/>
        <v>1061.3035947630112</v>
      </c>
      <c r="AA54" s="381">
        <f t="shared" si="341"/>
        <v>8740.0441869130464</v>
      </c>
      <c r="AB54" s="379">
        <f t="shared" si="153"/>
        <v>642.92552516900207</v>
      </c>
      <c r="AC54" s="380">
        <f t="shared" si="154"/>
        <v>567.03283015703846</v>
      </c>
      <c r="AD54" s="380">
        <f t="shared" si="155"/>
        <v>632.7217068563308</v>
      </c>
      <c r="AE54" s="380">
        <f t="shared" si="156"/>
        <v>708.87200987396022</v>
      </c>
      <c r="AF54" s="380">
        <f t="shared" si="157"/>
        <v>667.28287912501628</v>
      </c>
      <c r="AG54" s="380">
        <f t="shared" si="158"/>
        <v>992.09763417562453</v>
      </c>
      <c r="AH54" s="380">
        <f t="shared" si="159"/>
        <v>500.1267878367791</v>
      </c>
      <c r="AI54" s="380">
        <f t="shared" si="160"/>
        <v>915.77820390473255</v>
      </c>
      <c r="AJ54" s="380">
        <f t="shared" si="161"/>
        <v>628.38180652371182</v>
      </c>
      <c r="AK54" s="380">
        <f t="shared" si="162"/>
        <v>853.42075842442478</v>
      </c>
      <c r="AL54" s="380">
        <f t="shared" si="163"/>
        <v>1054.0672811569068</v>
      </c>
      <c r="AM54" s="389">
        <f t="shared" si="164"/>
        <v>544.50645744669453</v>
      </c>
      <c r="AN54" s="381">
        <f t="shared" si="342"/>
        <v>8707.2138806502226</v>
      </c>
      <c r="AO54" s="379">
        <f t="shared" si="165"/>
        <v>17.900697426791112</v>
      </c>
      <c r="AP54" s="380">
        <f t="shared" si="166"/>
        <v>34.774217954017402</v>
      </c>
      <c r="AQ54" s="380">
        <f t="shared" si="167"/>
        <v>22.136211872035112</v>
      </c>
      <c r="AR54" s="380">
        <f t="shared" si="168"/>
        <v>46.611808868409263</v>
      </c>
      <c r="AS54" s="380">
        <f t="shared" si="169"/>
        <v>31.667184743792781</v>
      </c>
      <c r="AT54" s="380">
        <f t="shared" si="170"/>
        <v>24.605427151354149</v>
      </c>
      <c r="AU54" s="380">
        <f t="shared" si="171"/>
        <v>9.5906516613360022</v>
      </c>
      <c r="AV54" s="380">
        <f t="shared" si="172"/>
        <v>13.042945403777079</v>
      </c>
      <c r="AW54" s="380">
        <f t="shared" si="173"/>
        <v>69.333574690332995</v>
      </c>
      <c r="AX54" s="380">
        <f t="shared" si="174"/>
        <v>135.64663575892584</v>
      </c>
      <c r="AY54" s="380">
        <f t="shared" si="175"/>
        <v>27.529345751394011</v>
      </c>
      <c r="AZ54" s="389">
        <f t="shared" si="176"/>
        <v>661.49912655594835</v>
      </c>
      <c r="BA54" s="381">
        <f t="shared" si="343"/>
        <v>1094.3378278381142</v>
      </c>
      <c r="BB54" s="379">
        <f t="shared" si="177"/>
        <v>6.8706748414401249</v>
      </c>
      <c r="BC54" s="380">
        <f t="shared" si="178"/>
        <v>49.653501395973798</v>
      </c>
      <c r="BD54" s="380">
        <f t="shared" si="179"/>
        <v>40.778557982957821</v>
      </c>
      <c r="BE54" s="380">
        <f t="shared" si="180"/>
        <v>941.4128782663347</v>
      </c>
      <c r="BF54" s="380">
        <f t="shared" si="181"/>
        <v>1686.9387953058185</v>
      </c>
      <c r="BG54" s="380">
        <f t="shared" si="182"/>
        <v>538.3124770237622</v>
      </c>
      <c r="BH54" s="380">
        <f t="shared" si="183"/>
        <v>462.68442767133075</v>
      </c>
      <c r="BI54" s="380">
        <f t="shared" si="184"/>
        <v>278.89012384808603</v>
      </c>
      <c r="BJ54" s="380">
        <f t="shared" si="185"/>
        <v>395.20034158958697</v>
      </c>
      <c r="BK54" s="380">
        <f t="shared" si="186"/>
        <v>1298.803095835025</v>
      </c>
      <c r="BL54" s="380">
        <f t="shared" si="187"/>
        <v>787.74905362670336</v>
      </c>
      <c r="BM54" s="389">
        <f t="shared" si="188"/>
        <v>2143.1390867774289</v>
      </c>
      <c r="BN54" s="381">
        <f t="shared" si="344"/>
        <v>8630.4330141644496</v>
      </c>
      <c r="BO54" s="379">
        <f t="shared" si="189"/>
        <v>693.76521228817285</v>
      </c>
      <c r="BP54" s="380">
        <f t="shared" si="190"/>
        <v>410.28347803455466</v>
      </c>
      <c r="BQ54" s="380">
        <f t="shared" si="191"/>
        <v>606.14902537881653</v>
      </c>
      <c r="BR54" s="380">
        <f t="shared" si="192"/>
        <v>656.67589929024314</v>
      </c>
      <c r="BS54" s="380">
        <f t="shared" si="193"/>
        <v>224.24794727369709</v>
      </c>
      <c r="BT54" s="380">
        <f t="shared" si="194"/>
        <v>2309.8491124980019</v>
      </c>
      <c r="BU54" s="380">
        <f t="shared" si="195"/>
        <v>895.49654833103295</v>
      </c>
      <c r="BV54" s="380">
        <f t="shared" si="196"/>
        <v>1033.0340511742636</v>
      </c>
      <c r="BW54" s="380">
        <f t="shared" si="197"/>
        <v>1227.7160094953126</v>
      </c>
      <c r="BX54" s="380">
        <f t="shared" si="198"/>
        <v>3191.1101881597342</v>
      </c>
      <c r="BY54" s="380">
        <f t="shared" si="199"/>
        <v>1122.4849796741107</v>
      </c>
      <c r="BZ54" s="389">
        <f t="shared" si="200"/>
        <v>2505.2560700002768</v>
      </c>
      <c r="CA54" s="381">
        <f t="shared" si="345"/>
        <v>14876.068521598216</v>
      </c>
      <c r="CB54" s="379">
        <f t="shared" si="201"/>
        <v>469.80655111562578</v>
      </c>
      <c r="CC54" s="380">
        <f t="shared" si="202"/>
        <v>614.35250308703382</v>
      </c>
      <c r="CD54" s="380">
        <f t="shared" si="203"/>
        <v>901.14180308648372</v>
      </c>
      <c r="CE54" s="380">
        <f t="shared" si="204"/>
        <v>1320.5296535583495</v>
      </c>
      <c r="CF54" s="380">
        <f t="shared" si="205"/>
        <v>310.46813771694065</v>
      </c>
      <c r="CG54" s="380">
        <f t="shared" si="206"/>
        <v>799.56927004803163</v>
      </c>
      <c r="CH54" s="380">
        <f t="shared" si="207"/>
        <v>427.35462741418371</v>
      </c>
      <c r="CI54" s="380">
        <f t="shared" si="208"/>
        <v>574.28000918471662</v>
      </c>
      <c r="CJ54" s="380">
        <f t="shared" si="209"/>
        <v>763.95627530081003</v>
      </c>
      <c r="CK54" s="380">
        <f t="shared" si="210"/>
        <v>1142.3841980042864</v>
      </c>
      <c r="CL54" s="380">
        <f t="shared" si="211"/>
        <v>418.18840325472468</v>
      </c>
      <c r="CM54" s="389">
        <f t="shared" si="212"/>
        <v>2697.0297928927366</v>
      </c>
      <c r="CN54" s="381">
        <f t="shared" si="346"/>
        <v>10439.061224663925</v>
      </c>
      <c r="CO54" s="379">
        <f t="shared" si="213"/>
        <v>0</v>
      </c>
      <c r="CP54" s="380">
        <f t="shared" si="214"/>
        <v>0</v>
      </c>
      <c r="CQ54" s="380">
        <f t="shared" si="215"/>
        <v>0</v>
      </c>
      <c r="CR54" s="380">
        <f t="shared" si="216"/>
        <v>0</v>
      </c>
      <c r="CS54" s="380">
        <f t="shared" si="217"/>
        <v>0</v>
      </c>
      <c r="CT54" s="380">
        <f t="shared" si="218"/>
        <v>0</v>
      </c>
      <c r="CU54" s="380">
        <f t="shared" si="219"/>
        <v>0</v>
      </c>
      <c r="CV54" s="380">
        <f t="shared" si="220"/>
        <v>0</v>
      </c>
      <c r="CW54" s="380">
        <f t="shared" si="221"/>
        <v>0</v>
      </c>
      <c r="CX54" s="380">
        <f t="shared" si="222"/>
        <v>68.412050820670032</v>
      </c>
      <c r="CY54" s="380">
        <f t="shared" si="223"/>
        <v>99.997682416765699</v>
      </c>
      <c r="CZ54" s="389">
        <f t="shared" si="224"/>
        <v>628.97315968733631</v>
      </c>
      <c r="DA54" s="381">
        <f t="shared" si="347"/>
        <v>797.38289292477202</v>
      </c>
      <c r="DB54" s="379">
        <f t="shared" si="225"/>
        <v>47.337213294386487</v>
      </c>
      <c r="DC54" s="380">
        <f t="shared" si="226"/>
        <v>14.252073896492522</v>
      </c>
      <c r="DD54" s="380">
        <f t="shared" si="227"/>
        <v>626.33368593981993</v>
      </c>
      <c r="DE54" s="380">
        <f t="shared" si="228"/>
        <v>46.970329412545247</v>
      </c>
      <c r="DF54" s="380">
        <f t="shared" si="229"/>
        <v>27.527940345341047</v>
      </c>
      <c r="DG54" s="380">
        <f t="shared" si="230"/>
        <v>285.29596652823784</v>
      </c>
      <c r="DH54" s="380">
        <f t="shared" si="231"/>
        <v>27.467481123290952</v>
      </c>
      <c r="DI54" s="380">
        <f t="shared" si="232"/>
        <v>8.8764171544464627</v>
      </c>
      <c r="DJ54" s="380">
        <f t="shared" si="233"/>
        <v>57.57580231903205</v>
      </c>
      <c r="DK54" s="380">
        <f t="shared" si="234"/>
        <v>14.702744981226214</v>
      </c>
      <c r="DL54" s="380">
        <f t="shared" si="235"/>
        <v>21.99034546997639</v>
      </c>
      <c r="DM54" s="389">
        <f t="shared" si="236"/>
        <v>13.150809610271935</v>
      </c>
      <c r="DN54" s="381">
        <f t="shared" si="348"/>
        <v>1191.480810075067</v>
      </c>
      <c r="DO54" s="379">
        <f t="shared" si="237"/>
        <v>0</v>
      </c>
      <c r="DP54" s="380">
        <f t="shared" si="238"/>
        <v>0</v>
      </c>
      <c r="DQ54" s="380">
        <f t="shared" si="239"/>
        <v>27.970908041391358</v>
      </c>
      <c r="DR54" s="380">
        <f t="shared" si="240"/>
        <v>22.29124311114364</v>
      </c>
      <c r="DS54" s="380">
        <f t="shared" si="241"/>
        <v>15.886314405832239</v>
      </c>
      <c r="DT54" s="380">
        <f t="shared" si="242"/>
        <v>33.270071326316781</v>
      </c>
      <c r="DU54" s="380">
        <f t="shared" si="243"/>
        <v>18.045469564304426</v>
      </c>
      <c r="DV54" s="380">
        <f t="shared" si="244"/>
        <v>20.076413938632122</v>
      </c>
      <c r="DW54" s="380">
        <f t="shared" si="245"/>
        <v>11.474531442649742</v>
      </c>
      <c r="DX54" s="380">
        <f t="shared" si="246"/>
        <v>10.808171634164706</v>
      </c>
      <c r="DY54" s="380">
        <f t="shared" si="247"/>
        <v>13.717786309227085</v>
      </c>
      <c r="DZ54" s="389">
        <f t="shared" si="248"/>
        <v>38.204277071897359</v>
      </c>
      <c r="EA54" s="381">
        <f t="shared" si="349"/>
        <v>211.74518684555946</v>
      </c>
      <c r="EB54" s="379">
        <f t="shared" si="249"/>
        <v>0</v>
      </c>
      <c r="EC54" s="380">
        <f t="shared" si="250"/>
        <v>0</v>
      </c>
      <c r="ED54" s="380">
        <f t="shared" si="251"/>
        <v>2.1438081987976876</v>
      </c>
      <c r="EE54" s="380">
        <f t="shared" si="252"/>
        <v>0</v>
      </c>
      <c r="EF54" s="380">
        <f t="shared" si="253"/>
        <v>62.245149373022386</v>
      </c>
      <c r="EG54" s="380">
        <f t="shared" si="254"/>
        <v>7.8441905287636589</v>
      </c>
      <c r="EH54" s="380">
        <f t="shared" si="255"/>
        <v>11.366538830645235</v>
      </c>
      <c r="EI54" s="380">
        <f t="shared" si="256"/>
        <v>14.899213238012454</v>
      </c>
      <c r="EJ54" s="380">
        <f t="shared" si="257"/>
        <v>12.746535786017242</v>
      </c>
      <c r="EK54" s="380">
        <f t="shared" si="258"/>
        <v>6.3681733543251609</v>
      </c>
      <c r="EL54" s="380">
        <f t="shared" si="259"/>
        <v>5.6538139604254107</v>
      </c>
      <c r="EM54" s="389">
        <f t="shared" si="260"/>
        <v>3.527284612962549</v>
      </c>
      <c r="EN54" s="381">
        <f t="shared" si="350"/>
        <v>126.79470788297179</v>
      </c>
      <c r="EO54" s="379">
        <f t="shared" si="261"/>
        <v>0</v>
      </c>
      <c r="EP54" s="380">
        <f t="shared" si="262"/>
        <v>0</v>
      </c>
      <c r="EQ54" s="380">
        <f>+EQ20/EQ37</f>
        <v>0</v>
      </c>
      <c r="ER54" s="380">
        <f t="shared" si="263"/>
        <v>0</v>
      </c>
      <c r="ES54" s="380">
        <f t="shared" si="264"/>
        <v>0</v>
      </c>
      <c r="ET54" s="380">
        <f t="shared" si="265"/>
        <v>0</v>
      </c>
      <c r="EU54" s="380">
        <f t="shared" si="266"/>
        <v>0</v>
      </c>
      <c r="EV54" s="380">
        <f t="shared" si="267"/>
        <v>0</v>
      </c>
      <c r="EW54" s="380">
        <f t="shared" si="268"/>
        <v>0</v>
      </c>
      <c r="EX54" s="380">
        <f t="shared" si="269"/>
        <v>0</v>
      </c>
      <c r="EY54" s="380">
        <f t="shared" si="270"/>
        <v>0</v>
      </c>
      <c r="EZ54" s="389">
        <f t="shared" si="271"/>
        <v>0</v>
      </c>
      <c r="FA54" s="381">
        <f t="shared" si="351"/>
        <v>0</v>
      </c>
      <c r="FB54" s="379">
        <f t="shared" si="272"/>
        <v>20.065925162536846</v>
      </c>
      <c r="FC54" s="380">
        <f t="shared" si="273"/>
        <v>6.2186499749602833</v>
      </c>
      <c r="FD54" s="380">
        <f t="shared" si="274"/>
        <v>59.038902450359814</v>
      </c>
      <c r="FE54" s="380">
        <f t="shared" si="275"/>
        <v>8.9155696844397188</v>
      </c>
      <c r="FF54" s="380">
        <f t="shared" si="276"/>
        <v>26.693322408502155</v>
      </c>
      <c r="FG54" s="380">
        <f t="shared" si="277"/>
        <v>56.962664833658025</v>
      </c>
      <c r="FH54" s="380">
        <f t="shared" si="278"/>
        <v>79.245940009742313</v>
      </c>
      <c r="FI54" s="380">
        <f t="shared" si="279"/>
        <v>50.609114514939833</v>
      </c>
      <c r="FJ54" s="380">
        <f t="shared" si="280"/>
        <v>31.415737800690398</v>
      </c>
      <c r="FK54" s="380">
        <f t="shared" si="281"/>
        <v>34.823527204020245</v>
      </c>
      <c r="FL54" s="380">
        <f t="shared" si="282"/>
        <v>27.171279701645751</v>
      </c>
      <c r="FM54" s="389">
        <f t="shared" si="283"/>
        <v>19.010390595854101</v>
      </c>
      <c r="FN54" s="381">
        <f t="shared" si="352"/>
        <v>420.17102434134949</v>
      </c>
      <c r="FO54" s="379">
        <f t="shared" si="284"/>
        <v>20.218657572379495</v>
      </c>
      <c r="FP54" s="380">
        <f t="shared" si="285"/>
        <v>21.594641110648638</v>
      </c>
      <c r="FQ54" s="380">
        <f t="shared" si="286"/>
        <v>32.791346886831342</v>
      </c>
      <c r="FR54" s="380">
        <f t="shared" si="287"/>
        <v>26.125360637911839</v>
      </c>
      <c r="FS54" s="380">
        <f t="shared" si="288"/>
        <v>16.70193083668444</v>
      </c>
      <c r="FT54" s="380">
        <f>+FT20/$FT$37</f>
        <v>15.950908877056355</v>
      </c>
      <c r="FU54" s="380">
        <f>+FU20/$FU$37</f>
        <v>29.608904211940096</v>
      </c>
      <c r="FV54" s="380">
        <f t="shared" si="291"/>
        <v>37.140633790642489</v>
      </c>
      <c r="FW54" s="380">
        <f t="shared" si="292"/>
        <v>16.224852253548303</v>
      </c>
      <c r="FX54" s="380">
        <f t="shared" si="293"/>
        <v>21.293303812570848</v>
      </c>
      <c r="FY54" s="380">
        <f t="shared" si="294"/>
        <v>37.290349322110373</v>
      </c>
      <c r="FZ54" s="389">
        <f t="shared" si="295"/>
        <v>17.862906929725561</v>
      </c>
      <c r="GA54" s="381">
        <f t="shared" si="353"/>
        <v>292.80379624204977</v>
      </c>
      <c r="GB54" s="379">
        <f t="shared" si="296"/>
        <v>16.580352865027727</v>
      </c>
      <c r="GC54" s="380">
        <f t="shared" si="297"/>
        <v>12.078791550630502</v>
      </c>
      <c r="GD54" s="380">
        <f t="shared" si="298"/>
        <v>12.529086935077176</v>
      </c>
      <c r="GE54" s="380">
        <f t="shared" si="299"/>
        <v>9.3074635512162072</v>
      </c>
      <c r="GF54" s="380">
        <f t="shared" si="300"/>
        <v>9.2722290807095096</v>
      </c>
      <c r="GG54" s="380">
        <f t="shared" si="301"/>
        <v>15.271978589303142</v>
      </c>
      <c r="GH54" s="380">
        <f t="shared" si="302"/>
        <v>6.6570938966647333</v>
      </c>
      <c r="GI54" s="380">
        <f t="shared" si="303"/>
        <v>16.832551821578384</v>
      </c>
      <c r="GJ54" s="380">
        <f t="shared" si="304"/>
        <v>2.3922107642513759</v>
      </c>
      <c r="GK54" s="380">
        <f t="shared" si="305"/>
        <v>4.1717676506625887</v>
      </c>
      <c r="GL54" s="380">
        <f t="shared" si="306"/>
        <v>1.1857676228362763</v>
      </c>
      <c r="GM54" s="389">
        <f t="shared" si="307"/>
        <v>1.7647102234888525</v>
      </c>
      <c r="GN54" s="381">
        <f t="shared" si="354"/>
        <v>108.04400455144646</v>
      </c>
      <c r="GO54" s="379">
        <f t="shared" si="308"/>
        <v>0</v>
      </c>
      <c r="GP54" s="380">
        <f t="shared" si="309"/>
        <v>0</v>
      </c>
      <c r="GQ54" s="380">
        <f t="shared" si="310"/>
        <v>0</v>
      </c>
      <c r="GR54" s="380">
        <f t="shared" si="311"/>
        <v>0</v>
      </c>
      <c r="GS54" s="380">
        <f t="shared" si="312"/>
        <v>0</v>
      </c>
      <c r="GT54" s="380">
        <f t="shared" si="313"/>
        <v>0</v>
      </c>
      <c r="GU54" s="380">
        <f t="shared" si="314"/>
        <v>8.5731752371571073</v>
      </c>
      <c r="GV54" s="380">
        <f t="shared" si="315"/>
        <v>384.90180383331375</v>
      </c>
      <c r="GW54" s="380">
        <f t="shared" si="316"/>
        <v>-14.800955340982332</v>
      </c>
      <c r="GX54" s="380">
        <f t="shared" si="317"/>
        <v>51.969646562437966</v>
      </c>
      <c r="GY54" s="380">
        <f t="shared" si="318"/>
        <v>9.7241739702363947</v>
      </c>
      <c r="GZ54" s="389">
        <f t="shared" si="319"/>
        <v>49.5616873999289</v>
      </c>
      <c r="HA54" s="381">
        <f t="shared" si="355"/>
        <v>489.92953166209179</v>
      </c>
      <c r="HB54" s="379">
        <f t="shared" si="320"/>
        <v>0</v>
      </c>
      <c r="HC54" s="380">
        <f t="shared" si="321"/>
        <v>112.71138671553643</v>
      </c>
      <c r="HD54" s="380">
        <f t="shared" si="322"/>
        <v>20.186119796882203</v>
      </c>
      <c r="HE54" s="380">
        <f t="shared" si="323"/>
        <v>-2.2440242117594575</v>
      </c>
      <c r="HF54" s="380">
        <f t="shared" si="324"/>
        <v>46.605447296575662</v>
      </c>
      <c r="HG54" s="380">
        <f t="shared" si="325"/>
        <v>54.401325490951088</v>
      </c>
      <c r="HH54" s="380">
        <f t="shared" si="326"/>
        <v>56.509057381727771</v>
      </c>
      <c r="HI54" s="380">
        <f t="shared" si="327"/>
        <v>44.634672328749026</v>
      </c>
      <c r="HJ54" s="380">
        <f t="shared" si="328"/>
        <v>24.608129291110632</v>
      </c>
      <c r="HK54" s="380">
        <f t="shared" si="329"/>
        <v>39.744342173157087</v>
      </c>
      <c r="HL54" s="380">
        <f t="shared" si="330"/>
        <v>16.778283561621478</v>
      </c>
      <c r="HM54" s="389">
        <f t="shared" si="331"/>
        <v>13.966539774266206</v>
      </c>
      <c r="HN54" s="381">
        <f t="shared" si="356"/>
        <v>427.90127959881812</v>
      </c>
      <c r="HO54" s="379">
        <f t="shared" si="332"/>
        <v>15.656615501129167</v>
      </c>
      <c r="HP54" s="380">
        <f t="shared" si="333"/>
        <v>7.2553577315485986</v>
      </c>
      <c r="HQ54" s="380">
        <f t="shared" si="334"/>
        <v>9.4115420048626266</v>
      </c>
      <c r="HR54" s="380">
        <f t="shared" si="335"/>
        <v>12.140792059936309</v>
      </c>
      <c r="HS54" s="380">
        <f t="shared" si="336"/>
        <v>14.909008387681714</v>
      </c>
      <c r="HT54" s="380">
        <f t="shared" si="357"/>
        <v>30.330772267256059</v>
      </c>
      <c r="HU54" s="380">
        <f t="shared" si="358"/>
        <v>40.715030843187002</v>
      </c>
      <c r="HV54" s="380">
        <f t="shared" si="359"/>
        <v>6.0698368413677644</v>
      </c>
      <c r="HW54" s="380">
        <f t="shared" si="360"/>
        <v>13.241956185547478</v>
      </c>
      <c r="HX54" s="380">
        <f t="shared" si="361"/>
        <v>8.836807597962947</v>
      </c>
      <c r="HY54" s="380">
        <f t="shared" si="362"/>
        <v>27.032986983080136</v>
      </c>
      <c r="HZ54" s="389">
        <f t="shared" si="375"/>
        <v>4.4029817390231019</v>
      </c>
      <c r="IA54" s="379">
        <f t="shared" si="363"/>
        <v>190.00368814258289</v>
      </c>
      <c r="IB54" s="1344">
        <f t="shared" si="364"/>
        <v>11.546280784151492</v>
      </c>
      <c r="IC54" s="120">
        <f t="shared" si="365"/>
        <v>13.105322740690939</v>
      </c>
      <c r="ID54" s="120">
        <f t="shared" si="366"/>
        <v>9.0671390323527525</v>
      </c>
      <c r="IE54" s="120">
        <f t="shared" si="367"/>
        <v>8.4896318273006273</v>
      </c>
      <c r="IF54" s="120">
        <f t="shared" si="368"/>
        <v>44.110541971276049</v>
      </c>
      <c r="IG54" s="120">
        <f t="shared" si="369"/>
        <v>14.316284993003482</v>
      </c>
      <c r="IH54" s="120">
        <f t="shared" si="370"/>
        <v>3.7008968417893433</v>
      </c>
      <c r="II54" s="120">
        <f t="shared" si="371"/>
        <v>5.28329718024432</v>
      </c>
      <c r="IJ54" s="120"/>
      <c r="IK54" s="120"/>
      <c r="IL54" s="120"/>
      <c r="IM54" s="1345"/>
      <c r="IN54" s="1346">
        <f t="shared" si="372"/>
        <v>109.619395370809</v>
      </c>
      <c r="IO54" s="120"/>
      <c r="IP54" s="371">
        <f t="shared" si="337"/>
        <v>-12.95816809708854</v>
      </c>
      <c r="IQ54" s="348">
        <f t="shared" si="373"/>
        <v>-19.68625237167716</v>
      </c>
      <c r="IR54" s="320">
        <f t="shared" si="338"/>
        <v>136.48895563696925</v>
      </c>
      <c r="IS54" s="344">
        <f t="shared" si="339"/>
        <v>109.619395370809</v>
      </c>
      <c r="IU54" s="320"/>
    </row>
    <row r="55" spans="1:255" ht="15" customHeight="1" x14ac:dyDescent="0.2">
      <c r="A55" s="1554" t="s">
        <v>441</v>
      </c>
      <c r="B55" s="379">
        <f t="shared" si="129"/>
        <v>228.02851031750697</v>
      </c>
      <c r="C55" s="380">
        <f t="shared" si="130"/>
        <v>269.61485617476217</v>
      </c>
      <c r="D55" s="380">
        <f t="shared" si="131"/>
        <v>359.94566958856603</v>
      </c>
      <c r="E55" s="380">
        <f t="shared" si="132"/>
        <v>528.0880384577797</v>
      </c>
      <c r="F55" s="380">
        <f t="shared" si="133"/>
        <v>520.41200906824406</v>
      </c>
      <c r="G55" s="380">
        <f t="shared" si="134"/>
        <v>590.34731949223271</v>
      </c>
      <c r="H55" s="380">
        <f t="shared" si="135"/>
        <v>501.30947906789049</v>
      </c>
      <c r="I55" s="380">
        <f t="shared" si="136"/>
        <v>522.72548602322013</v>
      </c>
      <c r="J55" s="380">
        <f t="shared" si="137"/>
        <v>569.13099269680299</v>
      </c>
      <c r="K55" s="380">
        <f t="shared" si="138"/>
        <v>408.28973991758312</v>
      </c>
      <c r="L55" s="380">
        <f t="shared" si="139"/>
        <v>374.72414744798772</v>
      </c>
      <c r="M55" s="389">
        <f t="shared" si="140"/>
        <v>511.32824781790771</v>
      </c>
      <c r="N55" s="381">
        <f t="shared" si="340"/>
        <v>5383.9444960704841</v>
      </c>
      <c r="O55" s="379">
        <f t="shared" si="141"/>
        <v>0</v>
      </c>
      <c r="P55" s="380">
        <f t="shared" si="142"/>
        <v>0</v>
      </c>
      <c r="Q55" s="380">
        <f t="shared" si="143"/>
        <v>0</v>
      </c>
      <c r="R55" s="380">
        <f t="shared" si="144"/>
        <v>0</v>
      </c>
      <c r="S55" s="380">
        <f t="shared" si="145"/>
        <v>0</v>
      </c>
      <c r="T55" s="380">
        <f t="shared" si="146"/>
        <v>0</v>
      </c>
      <c r="U55" s="380">
        <f t="shared" si="147"/>
        <v>0</v>
      </c>
      <c r="V55" s="380">
        <f t="shared" si="148"/>
        <v>0</v>
      </c>
      <c r="W55" s="380">
        <f t="shared" si="149"/>
        <v>0</v>
      </c>
      <c r="X55" s="380">
        <f t="shared" si="150"/>
        <v>0</v>
      </c>
      <c r="Y55" s="380">
        <f t="shared" si="151"/>
        <v>0</v>
      </c>
      <c r="Z55" s="389">
        <f t="shared" si="152"/>
        <v>0</v>
      </c>
      <c r="AA55" s="381">
        <f t="shared" si="341"/>
        <v>0</v>
      </c>
      <c r="AB55" s="379">
        <f t="shared" si="153"/>
        <v>0</v>
      </c>
      <c r="AC55" s="380">
        <f t="shared" si="154"/>
        <v>0</v>
      </c>
      <c r="AD55" s="380">
        <f t="shared" si="155"/>
        <v>0</v>
      </c>
      <c r="AE55" s="380">
        <f t="shared" si="156"/>
        <v>0</v>
      </c>
      <c r="AF55" s="380">
        <f t="shared" si="157"/>
        <v>0</v>
      </c>
      <c r="AG55" s="380">
        <f t="shared" si="158"/>
        <v>0</v>
      </c>
      <c r="AH55" s="380">
        <f t="shared" si="159"/>
        <v>0</v>
      </c>
      <c r="AI55" s="380">
        <f t="shared" si="160"/>
        <v>0</v>
      </c>
      <c r="AJ55" s="380">
        <f t="shared" si="161"/>
        <v>0</v>
      </c>
      <c r="AK55" s="380">
        <f t="shared" si="162"/>
        <v>0</v>
      </c>
      <c r="AL55" s="380">
        <f t="shared" si="163"/>
        <v>0</v>
      </c>
      <c r="AM55" s="389">
        <f t="shared" si="164"/>
        <v>0</v>
      </c>
      <c r="AN55" s="381">
        <f t="shared" si="342"/>
        <v>0</v>
      </c>
      <c r="AO55" s="379">
        <f t="shared" si="165"/>
        <v>0</v>
      </c>
      <c r="AP55" s="380">
        <f t="shared" si="166"/>
        <v>0</v>
      </c>
      <c r="AQ55" s="380">
        <f t="shared" si="167"/>
        <v>0</v>
      </c>
      <c r="AR55" s="380">
        <f t="shared" si="168"/>
        <v>0</v>
      </c>
      <c r="AS55" s="380">
        <f t="shared" si="169"/>
        <v>0</v>
      </c>
      <c r="AT55" s="380">
        <f t="shared" si="170"/>
        <v>0</v>
      </c>
      <c r="AU55" s="380">
        <f t="shared" si="171"/>
        <v>0</v>
      </c>
      <c r="AV55" s="380">
        <f t="shared" si="172"/>
        <v>0</v>
      </c>
      <c r="AW55" s="380">
        <f t="shared" si="173"/>
        <v>0</v>
      </c>
      <c r="AX55" s="380">
        <f t="shared" si="174"/>
        <v>0</v>
      </c>
      <c r="AY55" s="380">
        <f t="shared" si="175"/>
        <v>0</v>
      </c>
      <c r="AZ55" s="389">
        <f t="shared" si="176"/>
        <v>0</v>
      </c>
      <c r="BA55" s="381">
        <f t="shared" si="343"/>
        <v>0</v>
      </c>
      <c r="BB55" s="379">
        <f t="shared" si="177"/>
        <v>0</v>
      </c>
      <c r="BC55" s="380">
        <f t="shared" si="178"/>
        <v>0</v>
      </c>
      <c r="BD55" s="380">
        <f t="shared" si="179"/>
        <v>0</v>
      </c>
      <c r="BE55" s="380">
        <f t="shared" si="180"/>
        <v>0</v>
      </c>
      <c r="BF55" s="380">
        <f t="shared" si="181"/>
        <v>0</v>
      </c>
      <c r="BG55" s="380">
        <f t="shared" si="182"/>
        <v>0</v>
      </c>
      <c r="BH55" s="380">
        <f t="shared" si="183"/>
        <v>0</v>
      </c>
      <c r="BI55" s="380">
        <f t="shared" si="184"/>
        <v>0</v>
      </c>
      <c r="BJ55" s="380">
        <f t="shared" si="185"/>
        <v>0</v>
      </c>
      <c r="BK55" s="380">
        <f t="shared" si="186"/>
        <v>0</v>
      </c>
      <c r="BL55" s="380">
        <f t="shared" si="187"/>
        <v>0</v>
      </c>
      <c r="BM55" s="389">
        <f t="shared" si="188"/>
        <v>0</v>
      </c>
      <c r="BN55" s="381">
        <f t="shared" si="344"/>
        <v>0</v>
      </c>
      <c r="BO55" s="379">
        <f t="shared" si="189"/>
        <v>0</v>
      </c>
      <c r="BP55" s="380">
        <f t="shared" si="190"/>
        <v>0</v>
      </c>
      <c r="BQ55" s="380">
        <f t="shared" si="191"/>
        <v>0</v>
      </c>
      <c r="BR55" s="380">
        <f t="shared" si="192"/>
        <v>0</v>
      </c>
      <c r="BS55" s="380">
        <f t="shared" si="193"/>
        <v>0</v>
      </c>
      <c r="BT55" s="380">
        <f t="shared" si="194"/>
        <v>0</v>
      </c>
      <c r="BU55" s="380">
        <f t="shared" si="195"/>
        <v>0</v>
      </c>
      <c r="BV55" s="380">
        <f t="shared" si="196"/>
        <v>0</v>
      </c>
      <c r="BW55" s="380">
        <f t="shared" si="197"/>
        <v>0</v>
      </c>
      <c r="BX55" s="380">
        <f t="shared" si="198"/>
        <v>0</v>
      </c>
      <c r="BY55" s="380">
        <f t="shared" si="199"/>
        <v>0</v>
      </c>
      <c r="BZ55" s="389">
        <f t="shared" si="200"/>
        <v>0</v>
      </c>
      <c r="CA55" s="381">
        <f t="shared" si="345"/>
        <v>0</v>
      </c>
      <c r="CB55" s="379">
        <f t="shared" si="201"/>
        <v>0</v>
      </c>
      <c r="CC55" s="380">
        <f t="shared" si="202"/>
        <v>0</v>
      </c>
      <c r="CD55" s="380">
        <f t="shared" si="203"/>
        <v>0</v>
      </c>
      <c r="CE55" s="380">
        <f t="shared" si="204"/>
        <v>0</v>
      </c>
      <c r="CF55" s="380">
        <f t="shared" si="205"/>
        <v>0</v>
      </c>
      <c r="CG55" s="380">
        <f t="shared" si="206"/>
        <v>0</v>
      </c>
      <c r="CH55" s="380">
        <f t="shared" si="207"/>
        <v>0</v>
      </c>
      <c r="CI55" s="380">
        <f t="shared" si="208"/>
        <v>0</v>
      </c>
      <c r="CJ55" s="380">
        <f t="shared" si="209"/>
        <v>0</v>
      </c>
      <c r="CK55" s="380">
        <f t="shared" si="210"/>
        <v>0</v>
      </c>
      <c r="CL55" s="380">
        <f t="shared" si="211"/>
        <v>0</v>
      </c>
      <c r="CM55" s="389">
        <f t="shared" si="212"/>
        <v>0</v>
      </c>
      <c r="CN55" s="381">
        <f t="shared" si="346"/>
        <v>0</v>
      </c>
      <c r="CO55" s="379">
        <f t="shared" si="213"/>
        <v>0</v>
      </c>
      <c r="CP55" s="380">
        <f t="shared" si="214"/>
        <v>0</v>
      </c>
      <c r="CQ55" s="380">
        <f t="shared" si="215"/>
        <v>0</v>
      </c>
      <c r="CR55" s="380">
        <f t="shared" si="216"/>
        <v>0</v>
      </c>
      <c r="CS55" s="380">
        <f t="shared" si="217"/>
        <v>0</v>
      </c>
      <c r="CT55" s="380">
        <f t="shared" si="218"/>
        <v>0</v>
      </c>
      <c r="CU55" s="380">
        <f t="shared" si="219"/>
        <v>0</v>
      </c>
      <c r="CV55" s="380">
        <f t="shared" si="220"/>
        <v>0</v>
      </c>
      <c r="CW55" s="380">
        <f t="shared" si="221"/>
        <v>0</v>
      </c>
      <c r="CX55" s="380">
        <f t="shared" si="222"/>
        <v>0</v>
      </c>
      <c r="CY55" s="380">
        <f t="shared" si="223"/>
        <v>0</v>
      </c>
      <c r="CZ55" s="389">
        <f t="shared" si="224"/>
        <v>0</v>
      </c>
      <c r="DA55" s="381">
        <f t="shared" si="347"/>
        <v>0</v>
      </c>
      <c r="DB55" s="379">
        <f t="shared" si="225"/>
        <v>0</v>
      </c>
      <c r="DC55" s="380">
        <f t="shared" si="226"/>
        <v>59.258623043311012</v>
      </c>
      <c r="DD55" s="380">
        <f t="shared" si="227"/>
        <v>0</v>
      </c>
      <c r="DE55" s="380">
        <f t="shared" si="228"/>
        <v>0</v>
      </c>
      <c r="DF55" s="380">
        <f t="shared" si="229"/>
        <v>429.28706970977794</v>
      </c>
      <c r="DG55" s="380">
        <f t="shared" si="230"/>
        <v>0</v>
      </c>
      <c r="DH55" s="380">
        <f t="shared" si="231"/>
        <v>267.2511676860741</v>
      </c>
      <c r="DI55" s="380">
        <f t="shared" si="232"/>
        <v>176.78864165939203</v>
      </c>
      <c r="DJ55" s="380">
        <f t="shared" si="233"/>
        <v>334.38254423745536</v>
      </c>
      <c r="DK55" s="380">
        <f t="shared" si="234"/>
        <v>61.751528921150104</v>
      </c>
      <c r="DL55" s="380">
        <f t="shared" si="235"/>
        <v>102.62161219322316</v>
      </c>
      <c r="DM55" s="389">
        <f t="shared" si="236"/>
        <v>83.288460865055583</v>
      </c>
      <c r="DN55" s="381">
        <f t="shared" si="348"/>
        <v>1514.6296483154395</v>
      </c>
      <c r="DO55" s="379">
        <f t="shared" si="237"/>
        <v>0</v>
      </c>
      <c r="DP55" s="380">
        <f t="shared" si="238"/>
        <v>0</v>
      </c>
      <c r="DQ55" s="380">
        <f t="shared" si="239"/>
        <v>174.28027318097691</v>
      </c>
      <c r="DR55" s="380">
        <f t="shared" si="240"/>
        <v>37.391762638047396</v>
      </c>
      <c r="DS55" s="380">
        <f t="shared" si="241"/>
        <v>72.932625226775286</v>
      </c>
      <c r="DT55" s="380">
        <f t="shared" si="242"/>
        <v>128.74071078444319</v>
      </c>
      <c r="DU55" s="380">
        <f t="shared" si="243"/>
        <v>158.07831338330678</v>
      </c>
      <c r="DV55" s="380">
        <f t="shared" si="244"/>
        <v>164.91340021019241</v>
      </c>
      <c r="DW55" s="380">
        <f t="shared" si="245"/>
        <v>92.513409756363544</v>
      </c>
      <c r="DX55" s="380">
        <f t="shared" si="246"/>
        <v>105.19953723920314</v>
      </c>
      <c r="DY55" s="380">
        <f t="shared" si="247"/>
        <v>173.99928950124882</v>
      </c>
      <c r="DZ55" s="389">
        <f t="shared" si="248"/>
        <v>640.82268522484435</v>
      </c>
      <c r="EA55" s="381">
        <f t="shared" si="349"/>
        <v>1748.8720071454018</v>
      </c>
      <c r="EB55" s="379">
        <f t="shared" si="249"/>
        <v>0</v>
      </c>
      <c r="EC55" s="380">
        <f t="shared" si="250"/>
        <v>0</v>
      </c>
      <c r="ED55" s="380">
        <f t="shared" si="251"/>
        <v>63.599643230998069</v>
      </c>
      <c r="EE55" s="380">
        <f t="shared" si="252"/>
        <v>0</v>
      </c>
      <c r="EF55" s="380">
        <f t="shared" si="253"/>
        <v>751.23456139854602</v>
      </c>
      <c r="EG55" s="380">
        <f t="shared" si="254"/>
        <v>88.425420506063062</v>
      </c>
      <c r="EH55" s="380">
        <f t="shared" si="255"/>
        <v>130.7151965524202</v>
      </c>
      <c r="EI55" s="380">
        <f t="shared" si="256"/>
        <v>214.97436243417968</v>
      </c>
      <c r="EJ55" s="380">
        <f t="shared" si="257"/>
        <v>228.02136239430845</v>
      </c>
      <c r="EK55" s="380">
        <f t="shared" si="258"/>
        <v>133.73164044082839</v>
      </c>
      <c r="EL55" s="380">
        <f t="shared" si="259"/>
        <v>214.13820375111243</v>
      </c>
      <c r="EM55" s="389">
        <f t="shared" si="260"/>
        <v>198.23339524849527</v>
      </c>
      <c r="EN55" s="381">
        <f t="shared" si="350"/>
        <v>2023.0737859569515</v>
      </c>
      <c r="EO55" s="379">
        <f t="shared" si="261"/>
        <v>0</v>
      </c>
      <c r="EP55" s="380">
        <f t="shared" si="262"/>
        <v>0</v>
      </c>
      <c r="EQ55" s="380">
        <f>+EQ21/EQ37</f>
        <v>0</v>
      </c>
      <c r="ER55" s="380">
        <f t="shared" si="263"/>
        <v>0</v>
      </c>
      <c r="ES55" s="380">
        <f t="shared" si="264"/>
        <v>0</v>
      </c>
      <c r="ET55" s="380">
        <f t="shared" si="265"/>
        <v>0</v>
      </c>
      <c r="EU55" s="380">
        <f t="shared" si="266"/>
        <v>0</v>
      </c>
      <c r="EV55" s="380">
        <f t="shared" si="267"/>
        <v>36.156887590090427</v>
      </c>
      <c r="EW55" s="380">
        <f t="shared" si="268"/>
        <v>154.3466623529969</v>
      </c>
      <c r="EX55" s="380">
        <f t="shared" si="269"/>
        <v>179.17875421303773</v>
      </c>
      <c r="EY55" s="380">
        <f t="shared" si="270"/>
        <v>464.79789023831654</v>
      </c>
      <c r="EZ55" s="389">
        <f t="shared" si="271"/>
        <v>425.74876713612554</v>
      </c>
      <c r="FA55" s="381">
        <f t="shared" si="351"/>
        <v>1260.2289615305672</v>
      </c>
      <c r="FB55" s="379">
        <f t="shared" si="272"/>
        <v>163.98704356969768</v>
      </c>
      <c r="FC55" s="380">
        <f t="shared" si="273"/>
        <v>77.387644132839085</v>
      </c>
      <c r="FD55" s="380">
        <f t="shared" si="274"/>
        <v>349.4279226422459</v>
      </c>
      <c r="FE55" s="380">
        <f t="shared" si="275"/>
        <v>165.96675874110863</v>
      </c>
      <c r="FF55" s="380">
        <f t="shared" si="276"/>
        <v>216.96880008962009</v>
      </c>
      <c r="FG55" s="380">
        <f t="shared" si="277"/>
        <v>374.03195583546534</v>
      </c>
      <c r="FH55" s="380">
        <f t="shared" si="278"/>
        <v>802.7067199262691</v>
      </c>
      <c r="FI55" s="380">
        <f t="shared" si="279"/>
        <v>378.88445190914416</v>
      </c>
      <c r="FJ55" s="380">
        <f t="shared" si="280"/>
        <v>258.1554106230646</v>
      </c>
      <c r="FK55" s="380">
        <f t="shared" si="281"/>
        <v>276.53977485545488</v>
      </c>
      <c r="FL55" s="380">
        <f t="shared" si="282"/>
        <v>241.14510735210604</v>
      </c>
      <c r="FM55" s="389">
        <f t="shared" si="283"/>
        <v>215.22477924591965</v>
      </c>
      <c r="FN55" s="381">
        <f t="shared" si="352"/>
        <v>3520.4263689229356</v>
      </c>
      <c r="FO55" s="379">
        <f t="shared" si="284"/>
        <v>177.92418663693957</v>
      </c>
      <c r="FP55" s="380">
        <f t="shared" si="285"/>
        <v>234.84172207830395</v>
      </c>
      <c r="FQ55" s="380">
        <f t="shared" si="286"/>
        <v>329.92110235118065</v>
      </c>
      <c r="FR55" s="380">
        <f t="shared" si="287"/>
        <v>267.28253575709806</v>
      </c>
      <c r="FS55" s="380">
        <f t="shared" si="288"/>
        <v>237.16741788091903</v>
      </c>
      <c r="FT55" s="380">
        <f>+FT21/$FT$37</f>
        <v>178.11848246046262</v>
      </c>
      <c r="FU55" s="380">
        <f>+FU21/$FU$37</f>
        <v>252.00467362606793</v>
      </c>
      <c r="FV55" s="380">
        <f t="shared" si="291"/>
        <v>528.43954393352737</v>
      </c>
      <c r="FW55" s="380">
        <f t="shared" si="292"/>
        <v>188.85728023130224</v>
      </c>
      <c r="FX55" s="380">
        <f t="shared" si="293"/>
        <v>378.76270721148751</v>
      </c>
      <c r="FY55" s="380">
        <f t="shared" si="294"/>
        <v>740.02055292670752</v>
      </c>
      <c r="FZ55" s="389">
        <f t="shared" si="295"/>
        <v>401.27744495704923</v>
      </c>
      <c r="GA55" s="381">
        <f t="shared" si="353"/>
        <v>3914.617650051046</v>
      </c>
      <c r="GB55" s="379">
        <f t="shared" si="296"/>
        <v>403.03011579605857</v>
      </c>
      <c r="GC55" s="380">
        <f t="shared" si="297"/>
        <v>285.44091611753134</v>
      </c>
      <c r="GD55" s="380">
        <f t="shared" si="298"/>
        <v>410.32759712377754</v>
      </c>
      <c r="GE55" s="380">
        <f t="shared" si="299"/>
        <v>335.06868784378344</v>
      </c>
      <c r="GF55" s="380">
        <f t="shared" si="300"/>
        <v>345.5450704077744</v>
      </c>
      <c r="GG55" s="380">
        <f t="shared" si="301"/>
        <v>282.22616433032204</v>
      </c>
      <c r="GH55" s="380">
        <f t="shared" si="302"/>
        <v>196.68686512873077</v>
      </c>
      <c r="GI55" s="380">
        <f t="shared" si="303"/>
        <v>236.85805063221011</v>
      </c>
      <c r="GJ55" s="380">
        <f t="shared" si="304"/>
        <v>74.158533691792655</v>
      </c>
      <c r="GK55" s="380">
        <f t="shared" si="305"/>
        <v>16.687070602650355</v>
      </c>
      <c r="GL55" s="380">
        <f t="shared" si="306"/>
        <v>17.193630531126008</v>
      </c>
      <c r="GM55" s="389">
        <f t="shared" si="307"/>
        <v>17.058865493725573</v>
      </c>
      <c r="GN55" s="381">
        <f t="shared" si="354"/>
        <v>2620.2815676994828</v>
      </c>
      <c r="GO55" s="379">
        <f t="shared" si="308"/>
        <v>0</v>
      </c>
      <c r="GP55" s="380">
        <f t="shared" si="309"/>
        <v>0</v>
      </c>
      <c r="GQ55" s="380">
        <f t="shared" si="310"/>
        <v>0</v>
      </c>
      <c r="GR55" s="380">
        <f t="shared" si="311"/>
        <v>0</v>
      </c>
      <c r="GS55" s="380">
        <f t="shared" si="312"/>
        <v>0</v>
      </c>
      <c r="GT55" s="380">
        <f t="shared" si="313"/>
        <v>0</v>
      </c>
      <c r="GU55" s="380">
        <f t="shared" si="314"/>
        <v>27.434160758902745</v>
      </c>
      <c r="GV55" s="380">
        <f t="shared" si="315"/>
        <v>30.177212430718384</v>
      </c>
      <c r="GW55" s="380">
        <f t="shared" si="316"/>
        <v>-231.69187783768498</v>
      </c>
      <c r="GX55" s="380">
        <f t="shared" si="317"/>
        <v>618.49590359472882</v>
      </c>
      <c r="GY55" s="380">
        <f t="shared" si="318"/>
        <v>66.353187091024807</v>
      </c>
      <c r="GZ55" s="389">
        <f t="shared" si="319"/>
        <v>548.0269342382943</v>
      </c>
      <c r="HA55" s="381">
        <f t="shared" si="355"/>
        <v>1058.795520275984</v>
      </c>
      <c r="HB55" s="379">
        <f t="shared" si="320"/>
        <v>144.6684065437712</v>
      </c>
      <c r="HC55" s="380">
        <f t="shared" si="321"/>
        <v>2077.5144043848622</v>
      </c>
      <c r="HD55" s="380">
        <f t="shared" si="322"/>
        <v>238.86908426310606</v>
      </c>
      <c r="HE55" s="380">
        <f t="shared" si="323"/>
        <v>-581.20227084569945</v>
      </c>
      <c r="HF55" s="380">
        <f t="shared" si="324"/>
        <v>558.14234473248439</v>
      </c>
      <c r="HG55" s="380">
        <f t="shared" si="325"/>
        <v>653.93758270565945</v>
      </c>
      <c r="HH55" s="380">
        <f t="shared" si="326"/>
        <v>1033.9479014003259</v>
      </c>
      <c r="HI55" s="380">
        <f t="shared" si="327"/>
        <v>650.55034919151706</v>
      </c>
      <c r="HJ55" s="380">
        <f t="shared" si="328"/>
        <v>445.18342990281957</v>
      </c>
      <c r="HK55" s="380">
        <f t="shared" si="329"/>
        <v>788.7292693236385</v>
      </c>
      <c r="HL55" s="380">
        <f t="shared" si="330"/>
        <v>389.25617862961832</v>
      </c>
      <c r="HM55" s="389">
        <f t="shared" si="331"/>
        <v>391.62177527042439</v>
      </c>
      <c r="HN55" s="381">
        <f t="shared" si="356"/>
        <v>6791.2184555025278</v>
      </c>
      <c r="HO55" s="379">
        <f t="shared" si="332"/>
        <v>154.32949565398749</v>
      </c>
      <c r="HP55" s="380">
        <f t="shared" si="333"/>
        <v>219.89314971001139</v>
      </c>
      <c r="HQ55" s="380">
        <f t="shared" si="334"/>
        <v>167.746895733728</v>
      </c>
      <c r="HR55" s="380">
        <f t="shared" si="335"/>
        <v>299.65682220660977</v>
      </c>
      <c r="HS55" s="380">
        <f t="shared" si="336"/>
        <v>278.85367539923209</v>
      </c>
      <c r="HT55" s="380">
        <f t="shared" si="357"/>
        <v>460.47626987561472</v>
      </c>
      <c r="HU55" s="380">
        <f t="shared" si="358"/>
        <v>1111.9605045146072</v>
      </c>
      <c r="HV55" s="380">
        <f t="shared" si="359"/>
        <v>96.565586112668981</v>
      </c>
      <c r="HW55" s="380">
        <f t="shared" si="360"/>
        <v>229.52724054948962</v>
      </c>
      <c r="HX55" s="380">
        <f t="shared" si="361"/>
        <v>287.19624693379581</v>
      </c>
      <c r="HY55" s="380">
        <f t="shared" si="362"/>
        <v>664.79080233901152</v>
      </c>
      <c r="HZ55" s="389">
        <f t="shared" si="375"/>
        <v>123.83386141002474</v>
      </c>
      <c r="IA55" s="379">
        <f t="shared" si="363"/>
        <v>4094.8305504387813</v>
      </c>
      <c r="IB55" s="1344">
        <f t="shared" si="364"/>
        <v>180.89173228504004</v>
      </c>
      <c r="IC55" s="120">
        <f t="shared" si="365"/>
        <v>303.06058837847797</v>
      </c>
      <c r="ID55" s="120">
        <f t="shared" si="366"/>
        <v>208.01083662456315</v>
      </c>
      <c r="IE55" s="120">
        <f t="shared" si="367"/>
        <v>177.22106439490059</v>
      </c>
      <c r="IF55" s="120">
        <f t="shared" si="368"/>
        <v>1041.1150809846961</v>
      </c>
      <c r="IG55" s="120">
        <f t="shared" si="369"/>
        <v>444.33506756062661</v>
      </c>
      <c r="IH55" s="120">
        <f t="shared" si="370"/>
        <v>203.54932629841389</v>
      </c>
      <c r="II55" s="120">
        <f t="shared" si="371"/>
        <v>257.29657267789838</v>
      </c>
      <c r="IJ55" s="120"/>
      <c r="IK55" s="120"/>
      <c r="IL55" s="120"/>
      <c r="IM55" s="1345"/>
      <c r="IN55" s="1346">
        <f t="shared" si="372"/>
        <v>2815.4802692046164</v>
      </c>
      <c r="IO55" s="120"/>
      <c r="IP55" s="371">
        <f t="shared" si="337"/>
        <v>166.44748200222668</v>
      </c>
      <c r="IQ55" s="348">
        <f t="shared" si="373"/>
        <v>0.93199620135810957</v>
      </c>
      <c r="IR55" s="320">
        <f t="shared" si="338"/>
        <v>2789.4823992064594</v>
      </c>
      <c r="IS55" s="344">
        <f t="shared" si="339"/>
        <v>2815.4802692046164</v>
      </c>
      <c r="IU55" s="320"/>
    </row>
    <row r="56" spans="1:255" ht="15" customHeight="1" x14ac:dyDescent="0.2">
      <c r="A56" s="342" t="s">
        <v>352</v>
      </c>
      <c r="B56" s="379"/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9"/>
      <c r="N56" s="381"/>
      <c r="O56" s="379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9"/>
      <c r="AA56" s="381"/>
      <c r="AB56" s="379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89"/>
      <c r="AN56" s="381"/>
      <c r="AO56" s="379"/>
      <c r="AP56" s="380"/>
      <c r="AQ56" s="380"/>
      <c r="AR56" s="380"/>
      <c r="AS56" s="380"/>
      <c r="AT56" s="380"/>
      <c r="AU56" s="380"/>
      <c r="AV56" s="380"/>
      <c r="AW56" s="380"/>
      <c r="AX56" s="380"/>
      <c r="AY56" s="380"/>
      <c r="AZ56" s="389"/>
      <c r="BA56" s="381"/>
      <c r="BB56" s="379"/>
      <c r="BC56" s="380"/>
      <c r="BD56" s="380"/>
      <c r="BE56" s="380"/>
      <c r="BF56" s="380"/>
      <c r="BG56" s="380"/>
      <c r="BH56" s="380"/>
      <c r="BI56" s="380"/>
      <c r="BJ56" s="380"/>
      <c r="BK56" s="380"/>
      <c r="BL56" s="380"/>
      <c r="BM56" s="389"/>
      <c r="BN56" s="381"/>
      <c r="BO56" s="379"/>
      <c r="BP56" s="380"/>
      <c r="BQ56" s="380"/>
      <c r="BR56" s="380"/>
      <c r="BS56" s="380"/>
      <c r="BT56" s="380"/>
      <c r="BU56" s="380"/>
      <c r="BV56" s="380"/>
      <c r="BW56" s="380"/>
      <c r="BX56" s="380"/>
      <c r="BY56" s="380"/>
      <c r="BZ56" s="389"/>
      <c r="CA56" s="381"/>
      <c r="CB56" s="379"/>
      <c r="CC56" s="380"/>
      <c r="CD56" s="380"/>
      <c r="CE56" s="380"/>
      <c r="CF56" s="380"/>
      <c r="CG56" s="380"/>
      <c r="CH56" s="380"/>
      <c r="CI56" s="380"/>
      <c r="CJ56" s="380"/>
      <c r="CK56" s="380"/>
      <c r="CL56" s="380"/>
      <c r="CM56" s="389"/>
      <c r="CN56" s="381"/>
      <c r="CO56" s="379"/>
      <c r="CP56" s="380"/>
      <c r="CQ56" s="380"/>
      <c r="CR56" s="380"/>
      <c r="CS56" s="380"/>
      <c r="CT56" s="380"/>
      <c r="CU56" s="380"/>
      <c r="CV56" s="380"/>
      <c r="CW56" s="380"/>
      <c r="CX56" s="380"/>
      <c r="CY56" s="380"/>
      <c r="CZ56" s="389"/>
      <c r="DA56" s="381"/>
      <c r="DB56" s="379"/>
      <c r="DC56" s="380"/>
      <c r="DD56" s="380"/>
      <c r="DE56" s="380"/>
      <c r="DF56" s="380"/>
      <c r="DG56" s="380"/>
      <c r="DH56" s="380"/>
      <c r="DI56" s="380"/>
      <c r="DJ56" s="380"/>
      <c r="DK56" s="380"/>
      <c r="DL56" s="380"/>
      <c r="DM56" s="389"/>
      <c r="DN56" s="381"/>
      <c r="DO56" s="379"/>
      <c r="DP56" s="380"/>
      <c r="DQ56" s="380"/>
      <c r="DR56" s="380"/>
      <c r="DS56" s="380"/>
      <c r="DT56" s="380"/>
      <c r="DU56" s="380"/>
      <c r="DV56" s="380"/>
      <c r="DW56" s="380"/>
      <c r="DX56" s="380"/>
      <c r="DY56" s="380"/>
      <c r="DZ56" s="389"/>
      <c r="EA56" s="381"/>
      <c r="EB56" s="379"/>
      <c r="EC56" s="380"/>
      <c r="ED56" s="380"/>
      <c r="EE56" s="380"/>
      <c r="EF56" s="380"/>
      <c r="EG56" s="380"/>
      <c r="EH56" s="380"/>
      <c r="EI56" s="380"/>
      <c r="EJ56" s="380"/>
      <c r="EK56" s="380"/>
      <c r="EL56" s="380"/>
      <c r="EM56" s="389"/>
      <c r="EN56" s="381"/>
      <c r="EO56" s="379"/>
      <c r="EP56" s="380"/>
      <c r="EQ56" s="380"/>
      <c r="ER56" s="380"/>
      <c r="ES56" s="380"/>
      <c r="ET56" s="380"/>
      <c r="EU56" s="380"/>
      <c r="EV56" s="380"/>
      <c r="EW56" s="380"/>
      <c r="EX56" s="380"/>
      <c r="EY56" s="380"/>
      <c r="EZ56" s="389"/>
      <c r="FA56" s="381"/>
      <c r="FB56" s="379"/>
      <c r="FC56" s="380"/>
      <c r="FD56" s="380"/>
      <c r="FE56" s="380"/>
      <c r="FF56" s="380"/>
      <c r="FG56" s="380"/>
      <c r="FH56" s="380"/>
      <c r="FI56" s="380"/>
      <c r="FJ56" s="380"/>
      <c r="FK56" s="380"/>
      <c r="FL56" s="380"/>
      <c r="FM56" s="389"/>
      <c r="FN56" s="381"/>
      <c r="FO56" s="379"/>
      <c r="FP56" s="380"/>
      <c r="FQ56" s="380"/>
      <c r="FR56" s="380"/>
      <c r="FS56" s="380"/>
      <c r="FT56" s="380"/>
      <c r="FU56" s="380"/>
      <c r="FV56" s="380"/>
      <c r="FW56" s="380"/>
      <c r="FX56" s="380"/>
      <c r="FY56" s="380"/>
      <c r="FZ56" s="389"/>
      <c r="GA56" s="381"/>
      <c r="GB56" s="379"/>
      <c r="GC56" s="380"/>
      <c r="GD56" s="380"/>
      <c r="GE56" s="380"/>
      <c r="GF56" s="380"/>
      <c r="GG56" s="380"/>
      <c r="GH56" s="380"/>
      <c r="GI56" s="380"/>
      <c r="GJ56" s="380"/>
      <c r="GK56" s="380"/>
      <c r="GL56" s="380"/>
      <c r="GM56" s="389"/>
      <c r="GN56" s="381"/>
      <c r="GO56" s="379"/>
      <c r="GP56" s="380"/>
      <c r="GQ56" s="380"/>
      <c r="GR56" s="380"/>
      <c r="GS56" s="380"/>
      <c r="GT56" s="380"/>
      <c r="GU56" s="380"/>
      <c r="GV56" s="380"/>
      <c r="GW56" s="380"/>
      <c r="GX56" s="380"/>
      <c r="GY56" s="380"/>
      <c r="GZ56" s="389"/>
      <c r="HA56" s="381"/>
      <c r="HB56" s="379"/>
      <c r="HC56" s="380"/>
      <c r="HD56" s="380"/>
      <c r="HE56" s="380"/>
      <c r="HF56" s="380"/>
      <c r="HG56" s="380"/>
      <c r="HH56" s="380"/>
      <c r="HI56" s="380"/>
      <c r="HJ56" s="380"/>
      <c r="HK56" s="380"/>
      <c r="HL56" s="380"/>
      <c r="HM56" s="389"/>
      <c r="HN56" s="381"/>
      <c r="HO56" s="379"/>
      <c r="HP56" s="380"/>
      <c r="HQ56" s="380"/>
      <c r="HR56" s="380"/>
      <c r="HS56" s="380"/>
      <c r="HT56" s="380"/>
      <c r="HU56" s="380"/>
      <c r="HV56" s="380"/>
      <c r="HW56" s="380"/>
      <c r="HX56" s="380"/>
      <c r="HY56" s="380"/>
      <c r="HZ56" s="389"/>
      <c r="IA56" s="379"/>
      <c r="IB56" s="1344"/>
      <c r="IC56" s="120"/>
      <c r="ID56" s="120"/>
      <c r="IE56" s="120"/>
      <c r="IF56" s="120"/>
      <c r="IG56" s="120">
        <f t="shared" si="369"/>
        <v>0</v>
      </c>
      <c r="IH56" s="120">
        <f t="shared" si="370"/>
        <v>0</v>
      </c>
      <c r="II56" s="120">
        <f t="shared" si="371"/>
        <v>0</v>
      </c>
      <c r="IJ56" s="120"/>
      <c r="IK56" s="120"/>
      <c r="IL56" s="120"/>
      <c r="IM56" s="1345"/>
      <c r="IN56" s="1346"/>
      <c r="IO56" s="120"/>
      <c r="IP56" s="371" t="str">
        <f t="shared" si="337"/>
        <v/>
      </c>
      <c r="IQ56" s="348"/>
      <c r="IR56" s="320">
        <f t="shared" si="338"/>
        <v>0</v>
      </c>
      <c r="IS56" s="344">
        <f t="shared" si="339"/>
        <v>0</v>
      </c>
    </row>
    <row r="57" spans="1:255" ht="15" customHeight="1" x14ac:dyDescent="0.2">
      <c r="A57" s="1552" t="s">
        <v>297</v>
      </c>
      <c r="B57" s="1512">
        <f t="shared" ref="B57:B62" si="376">+B23/$B$37</f>
        <v>7612.0418594402117</v>
      </c>
      <c r="C57" s="1513">
        <f t="shared" ref="C57:C62" si="377">+C23/$C$37</f>
        <v>12064.779895014537</v>
      </c>
      <c r="D57" s="1513">
        <f t="shared" ref="D57:D62" si="378">+D23/$D$37</f>
        <v>10960.585602751562</v>
      </c>
      <c r="E57" s="1513">
        <f t="shared" ref="E57:E62" si="379">+E23/$E$37</f>
        <v>12340.583635539693</v>
      </c>
      <c r="F57" s="1513">
        <f t="shared" ref="F57:F62" si="380">+F23/$F$37</f>
        <v>11783.273746609415</v>
      </c>
      <c r="G57" s="1513">
        <f t="shared" ref="G57:G62" si="381">+G23/$G$37</f>
        <v>11937.713532846145</v>
      </c>
      <c r="H57" s="1513">
        <f t="shared" ref="H57:H62" si="382">+H23/$H$37</f>
        <v>13314.855148927241</v>
      </c>
      <c r="I57" s="1513">
        <f t="shared" ref="I57:I62" si="383">+I23/$I$37</f>
        <v>14106.093850425894</v>
      </c>
      <c r="J57" s="1513">
        <f t="shared" ref="J57:J62" si="384">+J23/$J$37</f>
        <v>13353.620149429407</v>
      </c>
      <c r="K57" s="1513">
        <f t="shared" ref="K57:K62" si="385">+K23/$K$37</f>
        <v>14696.578982883708</v>
      </c>
      <c r="L57" s="1513">
        <f t="shared" ref="L57:L62" si="386">+L23/$L$37</f>
        <v>13029.50933380109</v>
      </c>
      <c r="M57" s="1514">
        <f t="shared" ref="M57:M62" si="387">+M23/$M$37</f>
        <v>23379.47251083966</v>
      </c>
      <c r="N57" s="1515">
        <f t="shared" ref="N57:N62" si="388">SUM(B57:M57)</f>
        <v>158579.10824850856</v>
      </c>
      <c r="O57" s="1512">
        <f t="shared" ref="O57:O62" si="389">+O23/$O$37</f>
        <v>7161.7534021720148</v>
      </c>
      <c r="P57" s="1513">
        <f t="shared" ref="P57:P62" si="390">+P23/$P$37</f>
        <v>10138.82861571021</v>
      </c>
      <c r="Q57" s="1513">
        <f t="shared" ref="Q57:Q62" si="391">+Q23/$Q$37</f>
        <v>14667.756654822906</v>
      </c>
      <c r="R57" s="1513">
        <f t="shared" ref="R57:R62" si="392">+R23/$R$37</f>
        <v>13236.164166164797</v>
      </c>
      <c r="S57" s="1513">
        <f t="shared" ref="S57:S62" si="393">+S23/$S$37</f>
        <v>13711.457938937174</v>
      </c>
      <c r="T57" s="1513">
        <f t="shared" ref="T57:T62" si="394">+T23/$T$37</f>
        <v>13784.895625908724</v>
      </c>
      <c r="U57" s="1513">
        <f t="shared" ref="U57:U62" si="395">+U23/$U$37</f>
        <v>17373.925099269152</v>
      </c>
      <c r="V57" s="1513">
        <f t="shared" ref="V57:V62" si="396">+V23/$V$37</f>
        <v>16823.85439003781</v>
      </c>
      <c r="W57" s="1513">
        <f t="shared" ref="W57:W62" si="397">+W23/$W$37</f>
        <v>18045.542889450997</v>
      </c>
      <c r="X57" s="1513">
        <f t="shared" ref="X57:X62" si="398">+X23/$X$37</f>
        <v>16470.445455925295</v>
      </c>
      <c r="Y57" s="1513">
        <f t="shared" ref="Y57:Y62" si="399">+Y23/$Y$37</f>
        <v>18643.748716122976</v>
      </c>
      <c r="Z57" s="1514">
        <f t="shared" ref="Z57:Z62" si="400">+Z23/$Z$37</f>
        <v>35218.401225005233</v>
      </c>
      <c r="AA57" s="1515">
        <f t="shared" ref="AA57:AA62" si="401">SUM(O57:Z57)</f>
        <v>195276.7741795273</v>
      </c>
      <c r="AB57" s="1512">
        <f t="shared" ref="AB57:AB62" si="402">+AB23/$AB$37</f>
        <v>8670.8064070089731</v>
      </c>
      <c r="AC57" s="1513">
        <f t="shared" ref="AC57:AC62" si="403">+AC23/$AC$37</f>
        <v>10234.851421500114</v>
      </c>
      <c r="AD57" s="1513">
        <f t="shared" ref="AD57:AD62" si="404">+AD23/$AD$37</f>
        <v>17506.209639270637</v>
      </c>
      <c r="AE57" s="1513">
        <f t="shared" ref="AE57:AE62" si="405">+AE23/$AE$37</f>
        <v>16066.856746874029</v>
      </c>
      <c r="AF57" s="1513">
        <f t="shared" ref="AF57:AF62" si="406">+AF23/$AF$37</f>
        <v>18275.028525167058</v>
      </c>
      <c r="AG57" s="1513">
        <f t="shared" ref="AG57:AG62" si="407">+AG23/$AG$37</f>
        <v>20654.984381893428</v>
      </c>
      <c r="AH57" s="1513">
        <f t="shared" ref="AH57:AH62" si="408">+AH23/$AH$37</f>
        <v>18196.504913131677</v>
      </c>
      <c r="AI57" s="1513">
        <f t="shared" ref="AI57:AI62" si="409">+AI23/$AI$37</f>
        <v>23022.969605133894</v>
      </c>
      <c r="AJ57" s="1513">
        <f t="shared" ref="AJ57:AJ62" si="410">+AJ23/$AJ$37</f>
        <v>19135.529518832231</v>
      </c>
      <c r="AK57" s="1513">
        <f t="shared" ref="AK57:AK62" si="411">+AK23/$AK$37</f>
        <v>17739.988887670585</v>
      </c>
      <c r="AL57" s="1513">
        <f t="shared" ref="AL57:AL62" si="412">+AL23/$AL$37</f>
        <v>24073.420467344422</v>
      </c>
      <c r="AM57" s="1514">
        <f t="shared" ref="AM57:AM62" si="413">+AM23/$AM$37</f>
        <v>36306.720174997667</v>
      </c>
      <c r="AN57" s="1515">
        <f>SUM(AB57:AM57)</f>
        <v>229883.87068882471</v>
      </c>
      <c r="AO57" s="1512">
        <f t="shared" ref="AO57:AO62" si="414">+AO23/$AO$37</f>
        <v>2656.4634981358008</v>
      </c>
      <c r="AP57" s="1513">
        <f t="shared" ref="AP57:AP62" si="415">+AP23/$AP$37</f>
        <v>9260.6417351390955</v>
      </c>
      <c r="AQ57" s="1513">
        <f t="shared" ref="AQ57:AQ62" si="416">+AQ23/$AQ$37</f>
        <v>15985.001317033995</v>
      </c>
      <c r="AR57" s="1513">
        <f t="shared" ref="AR57:AR62" si="417">+AR23/$AR$37</f>
        <v>15567.464693956837</v>
      </c>
      <c r="AS57" s="1513">
        <f t="shared" ref="AS57:AS62" si="418">+AS23/$AS$37</f>
        <v>19149.850329788023</v>
      </c>
      <c r="AT57" s="1513">
        <f t="shared" ref="AT57:AT62" si="419">+AT23/$AT$37</f>
        <v>16638.541345847836</v>
      </c>
      <c r="AU57" s="1513">
        <f t="shared" ref="AU57:AU62" si="420">+AU23/$AU$37</f>
        <v>18958.102702190004</v>
      </c>
      <c r="AV57" s="1513">
        <f t="shared" ref="AV57:AV62" si="421">+AV23/$AV$37</f>
        <v>21287.825958351365</v>
      </c>
      <c r="AW57" s="1513">
        <f t="shared" ref="AW57:AW62" si="422">+AW23/$AW$37</f>
        <v>27971.764039131216</v>
      </c>
      <c r="AX57" s="1513">
        <f t="shared" ref="AX57:AX62" si="423">+AX23/$AX$37</f>
        <v>29536.406943023176</v>
      </c>
      <c r="AY57" s="1513">
        <f t="shared" ref="AY57:AY62" si="424">+AY23/$AY$37</f>
        <v>39338.574786687306</v>
      </c>
      <c r="AZ57" s="1514">
        <f t="shared" ref="AZ57:AZ62" si="425">+AZ23/$AZ$37</f>
        <v>73222.204873753959</v>
      </c>
      <c r="BA57" s="1515">
        <f t="shared" ref="BA57:BA62" si="426">SUM(AO57:AZ57)</f>
        <v>289572.84222303861</v>
      </c>
      <c r="BB57" s="1512">
        <f t="shared" ref="BB57:BB62" si="427">+BB23/$BB$37</f>
        <v>11277.353917868786</v>
      </c>
      <c r="BC57" s="1513">
        <f t="shared" ref="BC57:BC62" si="428">+BC23/$BC$37</f>
        <v>22734.454880542762</v>
      </c>
      <c r="BD57" s="1513">
        <f t="shared" ref="BD57:BD62" si="429">+BD23/$BD$37</f>
        <v>39060.761227925723</v>
      </c>
      <c r="BE57" s="1513">
        <f t="shared" ref="BE57:BE62" si="430">+BE23/$BE$37</f>
        <v>26313.926574018966</v>
      </c>
      <c r="BF57" s="1513">
        <f t="shared" ref="BF57:BF62" si="431">+BF23/$BF$37</f>
        <v>29994.903727450681</v>
      </c>
      <c r="BG57" s="1513">
        <f t="shared" ref="BG57:BG62" si="432">+BG23/$BG$37</f>
        <v>26798.158491209611</v>
      </c>
      <c r="BH57" s="1513">
        <f t="shared" ref="BH57:BH62" si="433">+BH23/$BH$37</f>
        <v>36856.867374336864</v>
      </c>
      <c r="BI57" s="1513">
        <f t="shared" ref="BI57:BI62" si="434">+BI23/$BI$37</f>
        <v>31281.055517635628</v>
      </c>
      <c r="BJ57" s="1513">
        <f t="shared" ref="BJ57:BJ62" si="435">+BJ23/$BJ$37</f>
        <v>37772.964572777244</v>
      </c>
      <c r="BK57" s="1513">
        <f t="shared" ref="BK57:BK62" si="436">+BK23/$BK$37</f>
        <v>43682.29638943082</v>
      </c>
      <c r="BL57" s="1513">
        <f t="shared" ref="BL57:BL62" si="437">+BL23/$BL$37</f>
        <v>45060.083898355544</v>
      </c>
      <c r="BM57" s="1514">
        <f t="shared" ref="BM57:BM62" si="438">+BM23/$BM$37</f>
        <v>73841.339003155867</v>
      </c>
      <c r="BN57" s="1515">
        <f t="shared" ref="BN57:BN62" si="439">SUM(BB57:BM57)</f>
        <v>424674.16557470849</v>
      </c>
      <c r="BO57" s="1512">
        <f t="shared" ref="BO57:BO64" si="440">+BO23/$BO$37</f>
        <v>13344.335924445431</v>
      </c>
      <c r="BP57" s="1513">
        <f t="shared" ref="BP57:BP62" si="441">+BP23/$BP$37</f>
        <v>17436.630012519454</v>
      </c>
      <c r="BQ57" s="1513">
        <f t="shared" ref="BQ57:BQ62" si="442">+BQ23/$BQ$37</f>
        <v>37413.968940800121</v>
      </c>
      <c r="BR57" s="1513">
        <f t="shared" ref="BR57:BR62" si="443">+BR23/$BR$37</f>
        <v>29993.98145286454</v>
      </c>
      <c r="BS57" s="1513">
        <f t="shared" ref="BS57:BS62" si="444">+BS23/$BS$37</f>
        <v>30371.581358881351</v>
      </c>
      <c r="BT57" s="1513">
        <f t="shared" ref="BT57:BT62" si="445">+BT23/$BT$37</f>
        <v>29167.9095298742</v>
      </c>
      <c r="BU57" s="1513">
        <f t="shared" ref="BU57:BU62" si="446">+BU23/$BU$37</f>
        <v>69737.509280712795</v>
      </c>
      <c r="BV57" s="1513">
        <f t="shared" ref="BV57:BV62" si="447">+BV23/$BV$37</f>
        <v>21577.397067322589</v>
      </c>
      <c r="BW57" s="1513">
        <f t="shared" ref="BW57:BW62" si="448">+BW23/$BW$37</f>
        <v>33522.903454505366</v>
      </c>
      <c r="BX57" s="1513">
        <f t="shared" ref="BX57:BX62" si="449">+BX23/$BX$37</f>
        <v>37750.77667235033</v>
      </c>
      <c r="BY57" s="1513">
        <f t="shared" ref="BY57:BY62" si="450">+BY23/$BY$37</f>
        <v>27576.175592022861</v>
      </c>
      <c r="BZ57" s="1514">
        <f t="shared" ref="BZ57:BZ62" si="451">+BZ23/$BZ$37</f>
        <v>81597.563499538694</v>
      </c>
      <c r="CA57" s="1515">
        <f t="shared" ref="CA57:CA62" si="452">SUM(BO57:BZ57)</f>
        <v>429490.73278583772</v>
      </c>
      <c r="CB57" s="1512">
        <f t="shared" ref="CB57:CB62" si="453">+CB23/$CB$37</f>
        <v>18305.44525631384</v>
      </c>
      <c r="CC57" s="1513">
        <f t="shared" ref="CC57:CC62" si="454">+CC23/$CC$37</f>
        <v>24986.352392918525</v>
      </c>
      <c r="CD57" s="1513">
        <f t="shared" ref="CD57:CD62" si="455">+CD23/$CD$37</f>
        <v>31256.403820655716</v>
      </c>
      <c r="CE57" s="1513">
        <f t="shared" ref="CE57:CE62" si="456">+CE23/$CE$37</f>
        <v>32006.287609175877</v>
      </c>
      <c r="CF57" s="1513">
        <f t="shared" ref="CF57:CF64" si="457">+CF23/$CF$37</f>
        <v>28243.047666465693</v>
      </c>
      <c r="CG57" s="1513">
        <f t="shared" ref="CG57:CG64" si="458">+CG23/$CG$37</f>
        <v>32090.863665466524</v>
      </c>
      <c r="CH57" s="1513">
        <f t="shared" ref="CH57:CH64" si="459">+CH23/$CH$37</f>
        <v>39617.356756211178</v>
      </c>
      <c r="CI57" s="1513">
        <f t="shared" ref="CI57:CI62" si="460">+CI23/$CI$37</f>
        <v>25896.463917621986</v>
      </c>
      <c r="CJ57" s="1513">
        <f t="shared" ref="CJ57:CJ64" si="461">+CJ23/$CJ$37</f>
        <v>36216.747026294615</v>
      </c>
      <c r="CK57" s="1513">
        <f t="shared" ref="CK57:CK62" si="462">+CK23/$CK$37</f>
        <v>42008.224439716243</v>
      </c>
      <c r="CL57" s="1513">
        <f t="shared" ref="CL57:CL62" si="463">+CL23/$CL$37</f>
        <v>39700.282093889567</v>
      </c>
      <c r="CM57" s="1514">
        <f t="shared" ref="CM57:CM62" si="464">+CM23/$CM$37</f>
        <v>94063.834177807163</v>
      </c>
      <c r="CN57" s="1515">
        <f t="shared" ref="CN57:CN62" si="465">SUM(CB57:CM57)</f>
        <v>444391.3088225369</v>
      </c>
      <c r="CO57" s="1512">
        <f t="shared" ref="CO57:CO62" si="466">+CO23/$CO$37</f>
        <v>5118.4891816749796</v>
      </c>
      <c r="CP57" s="1513">
        <f t="shared" ref="CP57:CP62" si="467">+CP23/$CP$37</f>
        <v>17651.532472255265</v>
      </c>
      <c r="CQ57" s="1513">
        <f t="shared" ref="CQ57:CQ62" si="468">+CQ23/$CQ$37</f>
        <v>37145.711199935962</v>
      </c>
      <c r="CR57" s="1513">
        <f t="shared" ref="CR57:CR62" si="469">+CR23/$CR$37</f>
        <v>26797.513624218263</v>
      </c>
      <c r="CS57" s="1513">
        <f t="shared" ref="CS57:CS62" si="470">+CS23/$CS$37</f>
        <v>26978.738896681269</v>
      </c>
      <c r="CT57" s="1513">
        <f t="shared" ref="CT57:CT62" si="471">+CT23/$CT$37</f>
        <v>28651.241735596861</v>
      </c>
      <c r="CU57" s="1513">
        <f t="shared" ref="CU57:CU62" si="472">+CU23/$CU$37</f>
        <v>51064.974525961814</v>
      </c>
      <c r="CV57" s="1513">
        <f t="shared" ref="CV57:CV62" si="473">+CV23/$CV$37</f>
        <v>30843.862429616052</v>
      </c>
      <c r="CW57" s="1513">
        <f t="shared" ref="CW57:CW62" si="474">+CW23/$CW$37</f>
        <v>33086.235982806727</v>
      </c>
      <c r="CX57" s="1513">
        <f t="shared" ref="CX57:CX62" si="475">+CX23/$CX$37</f>
        <v>33416.24629030528</v>
      </c>
      <c r="CY57" s="1513">
        <f t="shared" ref="CY57:CY62" si="476">+CY23/$CY$37</f>
        <v>34501.473108384547</v>
      </c>
      <c r="CZ57" s="1514">
        <f t="shared" ref="CZ57:CZ62" si="477">+CZ23/$CZ$37</f>
        <v>87344.311105933491</v>
      </c>
      <c r="DA57" s="1515">
        <f t="shared" ref="DA57:DA62" si="478">SUM(CO57:CZ57)</f>
        <v>412600.33055337053</v>
      </c>
      <c r="DB57" s="1512">
        <f t="shared" ref="DB57:DB62" si="479">+DB23/$DB$37</f>
        <v>13911.12963384558</v>
      </c>
      <c r="DC57" s="1513">
        <f t="shared" ref="DC57:DC62" si="480">+DC23/$DC$37</f>
        <v>20685.760097030226</v>
      </c>
      <c r="DD57" s="1513">
        <f t="shared" ref="DD57:DD62" si="481">+DD23/$DD$37</f>
        <v>32881.02724115974</v>
      </c>
      <c r="DE57" s="1513">
        <f t="shared" ref="DE57:DE62" si="482">+DE23/$DE$37</f>
        <v>27924.233616150312</v>
      </c>
      <c r="DF57" s="1513">
        <f t="shared" ref="DF57:DF62" si="483">+DF23/$DF$37</f>
        <v>30572.381747858224</v>
      </c>
      <c r="DG57" s="1513">
        <f t="shared" ref="DG57:DG62" si="484">+DG23/$DG$37</f>
        <v>29727.988303891612</v>
      </c>
      <c r="DH57" s="1513">
        <f t="shared" ref="DH57:DH62" si="485">+DH23/$DH$37</f>
        <v>33051.545799220534</v>
      </c>
      <c r="DI57" s="1513">
        <f t="shared" ref="DI57:DI62" si="486">+DI23/$DI$37</f>
        <v>30345.511445334305</v>
      </c>
      <c r="DJ57" s="1513">
        <f t="shared" ref="DJ57:DJ62" si="487">+DJ23/$DJ$37</f>
        <v>45813.361165778515</v>
      </c>
      <c r="DK57" s="1513">
        <f t="shared" ref="DK57:DK62" si="488">+DK23/$DK$37</f>
        <v>37997.774129481033</v>
      </c>
      <c r="DL57" s="1513">
        <f t="shared" ref="DL57:DL62" si="489">+DL23/$DL$37</f>
        <v>44344.264651723061</v>
      </c>
      <c r="DM57" s="1514">
        <f t="shared" ref="DM57:DM62" si="490">+DM23/$DM$37</f>
        <v>105946.57522302023</v>
      </c>
      <c r="DN57" s="1515">
        <f t="shared" si="348"/>
        <v>453201.55305449333</v>
      </c>
      <c r="DO57" s="1512">
        <f t="shared" ref="DO57:DO62" si="491">+DO23/$DO$37</f>
        <v>13593.076573533057</v>
      </c>
      <c r="DP57" s="1513">
        <f t="shared" ref="DP57:DP62" si="492">+DP23/$DP$37</f>
        <v>21207.305800068727</v>
      </c>
      <c r="DQ57" s="1513">
        <f t="shared" ref="DQ57:DQ62" si="493">+DQ23/$DQ$37</f>
        <v>50302.450699976042</v>
      </c>
      <c r="DR57" s="1513">
        <f t="shared" ref="DR57:DR62" si="494">+DR23/$DR$37</f>
        <v>33484.323442371446</v>
      </c>
      <c r="DS57" s="1513">
        <f t="shared" ref="DS57:DS62" si="495">+DS23/$DS$37</f>
        <v>36487.253664195327</v>
      </c>
      <c r="DT57" s="1513">
        <f t="shared" ref="DT57:DT62" si="496">+DT23/$DT$37</f>
        <v>46247.568930840745</v>
      </c>
      <c r="DU57" s="1513">
        <f t="shared" ref="DU57:DU62" si="497">+DU23/$DU$37</f>
        <v>46477.189591039903</v>
      </c>
      <c r="DV57" s="1513">
        <f t="shared" ref="DV57:DV62" si="498">+DV23/$DV$37</f>
        <v>40141.355640727881</v>
      </c>
      <c r="DW57" s="1513">
        <f t="shared" ref="DW57:DW62" si="499">+DW23/$DW$37</f>
        <v>67060.747541920922</v>
      </c>
      <c r="DX57" s="1513">
        <f t="shared" ref="DX57:DX62" si="500">+DX23/$DX$37</f>
        <v>49560.510756074458</v>
      </c>
      <c r="DY57" s="1513">
        <f t="shared" ref="DY57:DY62" si="501">+DY23/$DY$37</f>
        <v>47304.703104239925</v>
      </c>
      <c r="DZ57" s="1514">
        <f t="shared" ref="DZ57:DZ62" si="502">+DZ23/$DZ$37</f>
        <v>86588.912730330674</v>
      </c>
      <c r="EA57" s="1515">
        <f t="shared" si="349"/>
        <v>538455.39847531915</v>
      </c>
      <c r="EB57" s="1512">
        <f t="shared" ref="EB57:EB62" si="503">+EB23/$EB$37</f>
        <v>18313.524577143995</v>
      </c>
      <c r="EC57" s="1513">
        <f t="shared" ref="EC57:EC62" si="504">+EC23/$EC$37</f>
        <v>24276.95160775317</v>
      </c>
      <c r="ED57" s="1513">
        <f t="shared" ref="ED57:ED62" si="505">+ED23/$ED$37</f>
        <v>43500.012161803883</v>
      </c>
      <c r="EE57" s="1513">
        <f t="shared" ref="EE57:EE62" si="506">+EE23/$EE$37</f>
        <v>34419.149057270566</v>
      </c>
      <c r="EF57" s="1513">
        <f t="shared" ref="EF57:EF62" si="507">+EF23/$EF$37</f>
        <v>40032.932046185</v>
      </c>
      <c r="EG57" s="1513">
        <f t="shared" ref="EG57:EG62" si="508">+EG23/$EG$37</f>
        <v>51291.735651125789</v>
      </c>
      <c r="EH57" s="1513">
        <f t="shared" ref="EH57:EH62" si="509">+EH23/$EH$37</f>
        <v>48205.491180766439</v>
      </c>
      <c r="EI57" s="1513">
        <f t="shared" ref="EI57:EI62" si="510">+EI23/$EI$37</f>
        <v>40807.526086226775</v>
      </c>
      <c r="EJ57" s="1513">
        <f t="shared" ref="EJ57:EJ62" si="511">+EJ23/$EJ$37</f>
        <v>44430.8830456711</v>
      </c>
      <c r="EK57" s="1513">
        <f t="shared" ref="EK57:EK62" si="512">+EK23/$EK$37</f>
        <v>61256.874644888019</v>
      </c>
      <c r="EL57" s="1513">
        <f t="shared" ref="EL57:EL62" si="513">+EL23/$EL$37</f>
        <v>51147.93471973353</v>
      </c>
      <c r="EM57" s="1514">
        <f t="shared" ref="EM57:EM62" si="514">+EM23/$EM$37</f>
        <v>77006.266756353187</v>
      </c>
      <c r="EN57" s="1515">
        <f t="shared" si="350"/>
        <v>534689.28153492149</v>
      </c>
      <c r="EO57" s="1512">
        <f t="shared" ref="EO57:EO62" si="515">+EO23/$EO$37</f>
        <v>6565.3245928890228</v>
      </c>
      <c r="EP57" s="1513">
        <f t="shared" ref="EP57:EP62" si="516">+EP23/$EP$37</f>
        <v>22124.714230518635</v>
      </c>
      <c r="EQ57" s="1513">
        <f>+EQ23/EQ37</f>
        <v>31318.367018334309</v>
      </c>
      <c r="ER57" s="1513">
        <f t="shared" ref="ER57:ER62" si="517">+ER23/$ER$37</f>
        <v>43406.492328008884</v>
      </c>
      <c r="ES57" s="1513">
        <f t="shared" ref="ES57:ES62" si="518">+ES23/$ES$37</f>
        <v>32907.819927932454</v>
      </c>
      <c r="ET57" s="1513">
        <f t="shared" ref="ET57:ET62" si="519">+ET23/$ET$37</f>
        <v>37687.730906171157</v>
      </c>
      <c r="EU57" s="1513">
        <f t="shared" ref="EU57:EU62" si="520">+EU23/$EU$37</f>
        <v>33024.783435168574</v>
      </c>
      <c r="EV57" s="1513">
        <f t="shared" ref="EV57:EV62" si="521">+EV23/$EV$37</f>
        <v>42830.614649507501</v>
      </c>
      <c r="EW57" s="1513">
        <f t="shared" ref="EW57:EW62" si="522">+EW23/$EW$37</f>
        <v>51172.871122376717</v>
      </c>
      <c r="EX57" s="1513">
        <f t="shared" ref="EX57:EX62" si="523">+EX23/$EX$37</f>
        <v>51429.163898209626</v>
      </c>
      <c r="EY57" s="1513">
        <f t="shared" ref="EY57:EY62" si="524">+EY23/$EY$37</f>
        <v>36093.984225685628</v>
      </c>
      <c r="EZ57" s="1514">
        <f t="shared" ref="EZ57:EZ62" si="525">+EZ23/$EZ$37</f>
        <v>74026.980351491569</v>
      </c>
      <c r="FA57" s="1515">
        <f t="shared" si="351"/>
        <v>462588.84668629407</v>
      </c>
      <c r="FB57" s="1512">
        <f t="shared" ref="FB57:FB62" si="526">+FB23/$FB$37</f>
        <v>15212.047058564571</v>
      </c>
      <c r="FC57" s="1513">
        <f t="shared" ref="FC57:FC62" si="527">+FC23/$FC$37</f>
        <v>24740.553444825324</v>
      </c>
      <c r="FD57" s="1513">
        <f t="shared" ref="FD57:FD62" si="528">+FD23/$FD$37</f>
        <v>30102.975261026488</v>
      </c>
      <c r="FE57" s="1513">
        <f t="shared" ref="FE57:FE62" si="529">+FE23/$FE$37</f>
        <v>18885.234030801272</v>
      </c>
      <c r="FF57" s="1513">
        <f t="shared" ref="FF57:FF62" si="530">+FF23/$FF$37</f>
        <v>19224.667687436115</v>
      </c>
      <c r="FG57" s="1513">
        <f t="shared" ref="FG57:FG62" si="531">+FG23/$FG$37</f>
        <v>17461.458811599532</v>
      </c>
      <c r="FH57" s="1513">
        <f t="shared" ref="FH57:FH62" si="532">+FH23/$FH$37</f>
        <v>26813.137064158414</v>
      </c>
      <c r="FI57" s="1513">
        <f t="shared" ref="FI57:FI62" si="533">+FI23/$FI$37</f>
        <v>34273.313037860738</v>
      </c>
      <c r="FJ57" s="1513">
        <f t="shared" ref="FJ57:FJ62" si="534">+FJ23/$FJ$37</f>
        <v>58171.702144552306</v>
      </c>
      <c r="FK57" s="1513">
        <f t="shared" ref="FK57:FK62" si="535">+FK23/$FK$37</f>
        <v>73877.771556199499</v>
      </c>
      <c r="FL57" s="1513">
        <f t="shared" ref="FL57:FL62" si="536">+FL23/$FL$37</f>
        <v>90340.429316016875</v>
      </c>
      <c r="FM57" s="1514">
        <f t="shared" ref="FM57:FM62" si="537">+FM23/$FM$37</f>
        <v>155925.26049475916</v>
      </c>
      <c r="FN57" s="1515">
        <f t="shared" si="352"/>
        <v>565028.54990780028</v>
      </c>
      <c r="FO57" s="1512">
        <f t="shared" ref="FO57:FO62" si="538">+FO23/$FO$37</f>
        <v>16931.777806363003</v>
      </c>
      <c r="FP57" s="1513">
        <f t="shared" ref="FP57:FP62" si="539">+FP23/$FP$37</f>
        <v>35901.090846453357</v>
      </c>
      <c r="FQ57" s="1513">
        <f t="shared" ref="FQ57:FQ62" si="540">+FQ23/$FQ$37</f>
        <v>65853.055082688807</v>
      </c>
      <c r="FR57" s="1513">
        <f t="shared" ref="FR57:FR62" si="541">+FR23/$FR$37</f>
        <v>39756.10008048184</v>
      </c>
      <c r="FS57" s="1513">
        <f t="shared" ref="FS57:FS62" si="542">+FS23/$FS$37</f>
        <v>43675.549137929811</v>
      </c>
      <c r="FT57" s="1513">
        <f t="shared" ref="FT57:FT62" si="543">+FT23/$FT$37</f>
        <v>54724.245251164299</v>
      </c>
      <c r="FU57" s="1513">
        <f t="shared" ref="FU57:FU62" si="544">+FU23/$FU$37</f>
        <v>49219.868434981756</v>
      </c>
      <c r="FV57" s="1513">
        <f t="shared" ref="FV57:FV64" si="545">+FV23/$FV$37</f>
        <v>48717.434502192402</v>
      </c>
      <c r="FW57" s="1513">
        <f t="shared" ref="FW57:FW62" si="546">+FW23/$FW$37</f>
        <v>49835.607187908827</v>
      </c>
      <c r="FX57" s="1513">
        <f t="shared" ref="FX57:FX62" si="547">+FX23/$FX$37</f>
        <v>46934.958364320933</v>
      </c>
      <c r="FY57" s="1513">
        <f t="shared" ref="FY57:FY62" si="548">+FY23/$FY$37</f>
        <v>50523.922772058613</v>
      </c>
      <c r="FZ57" s="1514">
        <f t="shared" ref="FZ57:FZ62" si="549">+FZ23/$FZ$37</f>
        <v>97390.482463749096</v>
      </c>
      <c r="GA57" s="1515">
        <f t="shared" si="353"/>
        <v>599464.09193029278</v>
      </c>
      <c r="GB57" s="1512">
        <f t="shared" ref="GB57:GB62" si="550">+GB23/$GB$37</f>
        <v>14614.943344642516</v>
      </c>
      <c r="GC57" s="1513">
        <f t="shared" ref="GC57:GC62" si="551">+GC23/$GC$37</f>
        <v>21341.953218221926</v>
      </c>
      <c r="GD57" s="1513">
        <f t="shared" ref="GD57:GD62" si="552">+GD23/$GD$37</f>
        <v>54026.675772746297</v>
      </c>
      <c r="GE57" s="1513">
        <f t="shared" ref="GE57:GE62" si="553">+GE23/$GE$37</f>
        <v>35179.109735746853</v>
      </c>
      <c r="GF57" s="1513">
        <f t="shared" ref="GF57:GF62" si="554">+GF23/$GF$37</f>
        <v>40413.937671180465</v>
      </c>
      <c r="GG57" s="1513">
        <f t="shared" ref="GG57:GG62" si="555">+GG23/$GG$37</f>
        <v>37194.598414676017</v>
      </c>
      <c r="GH57" s="1513">
        <f t="shared" ref="GH57:GH62" si="556">+GH23/$GH$37</f>
        <v>52077.84036325397</v>
      </c>
      <c r="GI57" s="1513">
        <f t="shared" ref="GI57:GI62" si="557">+GI23/$GI$37</f>
        <v>49558.639538117102</v>
      </c>
      <c r="GJ57" s="1513">
        <f t="shared" ref="GJ57:GJ62" si="558">+GJ23/$GJ$37</f>
        <v>51579.652393406039</v>
      </c>
      <c r="GK57" s="1513">
        <f t="shared" ref="GK57:GK62" si="559">+GK23/$GK$37</f>
        <v>44455.548019075017</v>
      </c>
      <c r="GL57" s="1513">
        <f t="shared" ref="GL57:GL62" si="560">+GL23/$GL$37</f>
        <v>51688.796447056127</v>
      </c>
      <c r="GM57" s="1514">
        <f t="shared" ref="GM57:GM62" si="561">+GM23/$GM$37</f>
        <v>76662.541528802729</v>
      </c>
      <c r="GN57" s="1515">
        <f t="shared" si="354"/>
        <v>528794.23644692509</v>
      </c>
      <c r="GO57" s="1512">
        <f t="shared" ref="GO57:GO62" si="562">+GO23/$GO$37</f>
        <v>7869.5664593973943</v>
      </c>
      <c r="GP57" s="1513">
        <f t="shared" ref="GP57:GP62" si="563">+GP23/$GP$37</f>
        <v>26904.68857683548</v>
      </c>
      <c r="GQ57" s="1513">
        <f t="shared" ref="GQ57:GQ62" si="564">+GQ23/$GQ$37</f>
        <v>37871.175277646631</v>
      </c>
      <c r="GR57" s="1513">
        <f t="shared" ref="GR57:GR62" si="565">+GR23/$GR$37</f>
        <v>41857.078148635039</v>
      </c>
      <c r="GS57" s="1513">
        <f t="shared" ref="GS57:GS62" si="566">+GS23/$GS$37</f>
        <v>31206.018912109561</v>
      </c>
      <c r="GT57" s="1513">
        <f t="shared" ref="GT57:GT62" si="567">+GT23/$GT$37</f>
        <v>40117.707198698285</v>
      </c>
      <c r="GU57" s="1513">
        <f t="shared" ref="GU57:GU62" si="568">+GU23/$GU$37</f>
        <v>42922.459142350774</v>
      </c>
      <c r="GV57" s="1513">
        <f t="shared" ref="GV57:GV64" si="569">+GV23/$GV$37</f>
        <v>41798.28612337805</v>
      </c>
      <c r="GW57" s="1513">
        <f t="shared" ref="GW57:GW62" si="570">+GW23/$GW$37</f>
        <v>40841.528460901405</v>
      </c>
      <c r="GX57" s="1513">
        <f t="shared" ref="GX57:GX62" si="571">+GX23/$GX$37</f>
        <v>43431.776055751732</v>
      </c>
      <c r="GY57" s="1513">
        <f t="shared" ref="GY57:GY62" si="572">+GY23/$GY$37</f>
        <v>54745.955431963812</v>
      </c>
      <c r="GZ57" s="1514">
        <f t="shared" ref="GZ57:GZ62" si="573">+GZ23/$GZ$37</f>
        <v>77029.686036277999</v>
      </c>
      <c r="HA57" s="1515">
        <f t="shared" si="355"/>
        <v>486595.92582394613</v>
      </c>
      <c r="HB57" s="1512">
        <f t="shared" ref="HB57:HB64" si="574">+HB23/$HB$37</f>
        <v>24664.254633745939</v>
      </c>
      <c r="HC57" s="1513">
        <f t="shared" ref="HC57:HC62" si="575">+HC23/$HC$37</f>
        <v>52643.014262691126</v>
      </c>
      <c r="HD57" s="1513">
        <f t="shared" ref="HD57:HD62" si="576">+HD23/$HD$37</f>
        <v>39410.034550113021</v>
      </c>
      <c r="HE57" s="1513">
        <f t="shared" ref="HE57:HE62" si="577">+HE23/$HE$37</f>
        <v>42537.722958112274</v>
      </c>
      <c r="HF57" s="1513">
        <f t="shared" ref="HF57:HF64" si="578">+HF23/$HF$37</f>
        <v>46232.603718203056</v>
      </c>
      <c r="HG57" s="1513">
        <f t="shared" ref="HG57:HG62" si="579">+HG23/$HG$37</f>
        <v>44514.305211776067</v>
      </c>
      <c r="HH57" s="1513">
        <f t="shared" ref="HH57:HH62" si="580">+HH23/$HH$37</f>
        <v>51871.398207102611</v>
      </c>
      <c r="HI57" s="1513">
        <f t="shared" ref="HI57:HI62" si="581">+HI23/$HI$37</f>
        <v>45633.931055508896</v>
      </c>
      <c r="HJ57" s="1513">
        <f t="shared" ref="HJ57:HJ62" si="582">+HJ23/$HJ$37</f>
        <v>39861.25452193927</v>
      </c>
      <c r="HK57" s="1513">
        <f t="shared" ref="HK57:HK62" si="583">+HK23/$HK$37</f>
        <v>50140.566438507412</v>
      </c>
      <c r="HL57" s="1513">
        <f t="shared" ref="HL57:HL62" si="584">+HL23/$HL$37</f>
        <v>45574.292362313703</v>
      </c>
      <c r="HM57" s="1514">
        <f t="shared" ref="HM57:HM62" si="585">+HM23/$HM$37</f>
        <v>81018.221245745342</v>
      </c>
      <c r="HN57" s="1515">
        <f t="shared" si="356"/>
        <v>564101.5991657587</v>
      </c>
      <c r="HO57" s="1512">
        <f t="shared" ref="HO57:HO62" si="586">+HO23/$HO$37</f>
        <v>21269.512158283971</v>
      </c>
      <c r="HP57" s="1513">
        <f t="shared" ref="HP57:HP62" si="587">+HP23/$HP$37</f>
        <v>31640.056962842551</v>
      </c>
      <c r="HQ57" s="1513">
        <f t="shared" ref="HQ57:HQ62" si="588">+HQ23/$HQ$37</f>
        <v>44356.597468917564</v>
      </c>
      <c r="HR57" s="1513">
        <f t="shared" ref="HR57:HR62" si="589">+HR23/$HR$37</f>
        <v>39468.05942429931</v>
      </c>
      <c r="HS57" s="1513">
        <f t="shared" ref="HS57:HS62" si="590">+HS23/$HS$37</f>
        <v>43326.682745594742</v>
      </c>
      <c r="HT57" s="1513">
        <f t="shared" si="357"/>
        <v>43768.958787410527</v>
      </c>
      <c r="HU57" s="1513">
        <f t="shared" si="358"/>
        <v>49015.395104002127</v>
      </c>
      <c r="HV57" s="1513">
        <f t="shared" si="359"/>
        <v>44959.28148401103</v>
      </c>
      <c r="HW57" s="1513">
        <f t="shared" si="360"/>
        <v>43541.758930777694</v>
      </c>
      <c r="HX57" s="1513">
        <f t="shared" si="361"/>
        <v>50250.506405816304</v>
      </c>
      <c r="HY57" s="1513">
        <f t="shared" si="362"/>
        <v>45007.716552380829</v>
      </c>
      <c r="HZ57" s="1514">
        <f t="shared" si="375"/>
        <v>82722.120167331275</v>
      </c>
      <c r="IA57" s="1512">
        <f t="shared" si="363"/>
        <v>539326.64619166788</v>
      </c>
      <c r="IB57" s="1516">
        <f t="shared" si="364"/>
        <v>24254.337344346419</v>
      </c>
      <c r="IC57" s="1209">
        <f t="shared" si="365"/>
        <v>27192.998631819504</v>
      </c>
      <c r="ID57" s="1209">
        <f t="shared" si="366"/>
        <v>36109.081154665517</v>
      </c>
      <c r="IE57" s="1209">
        <f t="shared" si="367"/>
        <v>41659.684580542591</v>
      </c>
      <c r="IF57" s="1209">
        <f t="shared" si="368"/>
        <v>43504.686334562139</v>
      </c>
      <c r="IG57" s="1209">
        <f t="shared" si="369"/>
        <v>44208.68805839475</v>
      </c>
      <c r="IH57" s="1209">
        <f t="shared" si="370"/>
        <v>54477.730210687965</v>
      </c>
      <c r="II57" s="1209">
        <f t="shared" si="371"/>
        <v>48489.044860846319</v>
      </c>
      <c r="IJ57" s="1209"/>
      <c r="IK57" s="1209"/>
      <c r="IL57" s="1209"/>
      <c r="IM57" s="1517"/>
      <c r="IN57" s="1518">
        <f t="shared" si="372"/>
        <v>319896.25117586518</v>
      </c>
      <c r="IO57" s="1422"/>
      <c r="IP57" s="1519">
        <f t="shared" si="337"/>
        <v>7.8510226594492805</v>
      </c>
      <c r="IQ57" s="1520">
        <f t="shared" ref="IQ57:IQ62" si="591">IFERROR(((IS57/IR57)-1)*100,"")</f>
        <v>0.65817405040391463</v>
      </c>
      <c r="IR57" s="1521">
        <f t="shared" si="338"/>
        <v>317804.54413536179</v>
      </c>
      <c r="IS57" s="1522">
        <f t="shared" si="339"/>
        <v>319896.25117586518</v>
      </c>
      <c r="IT57" s="1523"/>
      <c r="IU57" s="1523"/>
    </row>
    <row r="58" spans="1:255" ht="15" customHeight="1" x14ac:dyDescent="0.2">
      <c r="A58" s="1551" t="s">
        <v>429</v>
      </c>
      <c r="B58" s="379">
        <f t="shared" si="376"/>
        <v>522.60611377488726</v>
      </c>
      <c r="C58" s="380">
        <f t="shared" si="377"/>
        <v>1036.7564073770532</v>
      </c>
      <c r="D58" s="380">
        <f t="shared" si="378"/>
        <v>866.74917236926694</v>
      </c>
      <c r="E58" s="380">
        <f t="shared" si="379"/>
        <v>1429.9588990544596</v>
      </c>
      <c r="F58" s="380">
        <f t="shared" si="380"/>
        <v>955.83930472901341</v>
      </c>
      <c r="G58" s="380">
        <f t="shared" si="381"/>
        <v>1248.9209744635036</v>
      </c>
      <c r="H58" s="380">
        <f t="shared" si="382"/>
        <v>1731.9677115165089</v>
      </c>
      <c r="I58" s="380">
        <f t="shared" si="383"/>
        <v>2575.2192850857209</v>
      </c>
      <c r="J58" s="380">
        <f t="shared" si="384"/>
        <v>3206.1356413459835</v>
      </c>
      <c r="K58" s="380">
        <f t="shared" si="385"/>
        <v>3258.911302743521</v>
      </c>
      <c r="L58" s="380">
        <f t="shared" si="386"/>
        <v>3517.4229702568505</v>
      </c>
      <c r="M58" s="389">
        <f t="shared" si="387"/>
        <v>7713.1475080014243</v>
      </c>
      <c r="N58" s="381">
        <f t="shared" si="388"/>
        <v>28063.635290718194</v>
      </c>
      <c r="O58" s="379">
        <f t="shared" si="389"/>
        <v>416.14600964391002</v>
      </c>
      <c r="P58" s="380">
        <f t="shared" si="390"/>
        <v>884.35516622660452</v>
      </c>
      <c r="Q58" s="380">
        <f t="shared" si="391"/>
        <v>1197.1996470276363</v>
      </c>
      <c r="R58" s="380">
        <f t="shared" si="392"/>
        <v>2147.5683228157786</v>
      </c>
      <c r="S58" s="380">
        <f t="shared" si="393"/>
        <v>4053.1531419122048</v>
      </c>
      <c r="T58" s="380">
        <f t="shared" si="394"/>
        <v>4952.266271208422</v>
      </c>
      <c r="U58" s="380">
        <f t="shared" si="395"/>
        <v>5795.2844429355137</v>
      </c>
      <c r="V58" s="380">
        <f t="shared" si="396"/>
        <v>7158.2066145512563</v>
      </c>
      <c r="W58" s="380">
        <f t="shared" si="397"/>
        <v>7162.814173225066</v>
      </c>
      <c r="X58" s="380">
        <f t="shared" si="398"/>
        <v>5854.4629483641147</v>
      </c>
      <c r="Y58" s="380">
        <f t="shared" si="399"/>
        <v>7239.4062759002691</v>
      </c>
      <c r="Z58" s="389">
        <f t="shared" si="400"/>
        <v>21522.356304169862</v>
      </c>
      <c r="AA58" s="381">
        <f t="shared" si="401"/>
        <v>68383.219317980649</v>
      </c>
      <c r="AB58" s="379">
        <f t="shared" si="402"/>
        <v>892.59646168555616</v>
      </c>
      <c r="AC58" s="380">
        <f t="shared" si="403"/>
        <v>1206.0842995140865</v>
      </c>
      <c r="AD58" s="380">
        <f t="shared" si="404"/>
        <v>1573.622520931478</v>
      </c>
      <c r="AE58" s="380">
        <f t="shared" si="405"/>
        <v>2632.8233494934138</v>
      </c>
      <c r="AF58" s="380">
        <f t="shared" si="406"/>
        <v>3778.8519567840599</v>
      </c>
      <c r="AG58" s="380">
        <f t="shared" si="407"/>
        <v>4840.2065069352257</v>
      </c>
      <c r="AH58" s="380">
        <f t="shared" si="408"/>
        <v>2564.6141228531051</v>
      </c>
      <c r="AI58" s="380">
        <f t="shared" si="409"/>
        <v>6876.8742063582076</v>
      </c>
      <c r="AJ58" s="380">
        <f t="shared" si="410"/>
        <v>2274.4005300500585</v>
      </c>
      <c r="AK58" s="380">
        <f t="shared" si="411"/>
        <v>3941.2194940739782</v>
      </c>
      <c r="AL58" s="380">
        <f t="shared" si="412"/>
        <v>3197.307414747509</v>
      </c>
      <c r="AM58" s="389">
        <f t="shared" si="413"/>
        <v>9010.4137875832548</v>
      </c>
      <c r="AN58" s="381">
        <f t="shared" ref="AN58:AN64" si="592">SUM(AB58:AM58)</f>
        <v>42789.014651009929</v>
      </c>
      <c r="AO58" s="379">
        <f t="shared" si="414"/>
        <v>637.26482839376354</v>
      </c>
      <c r="AP58" s="380">
        <f t="shared" si="415"/>
        <v>1293.7792372122885</v>
      </c>
      <c r="AQ58" s="380">
        <f t="shared" si="416"/>
        <v>1431.7701838832311</v>
      </c>
      <c r="AR58" s="380">
        <f t="shared" si="417"/>
        <v>4008.6155626831969</v>
      </c>
      <c r="AS58" s="380">
        <f t="shared" si="418"/>
        <v>6163.6656527710011</v>
      </c>
      <c r="AT58" s="380">
        <f t="shared" si="419"/>
        <v>3547.575336072025</v>
      </c>
      <c r="AU58" s="380">
        <f t="shared" si="420"/>
        <v>4542.4813777782338</v>
      </c>
      <c r="AV58" s="380">
        <f t="shared" si="421"/>
        <v>6672.7708685723537</v>
      </c>
      <c r="AW58" s="380">
        <f t="shared" si="422"/>
        <v>8957.0311803073928</v>
      </c>
      <c r="AX58" s="380">
        <f t="shared" si="423"/>
        <v>12400.867280559632</v>
      </c>
      <c r="AY58" s="380">
        <f t="shared" si="424"/>
        <v>17860.523348271596</v>
      </c>
      <c r="AZ58" s="389">
        <f t="shared" si="425"/>
        <v>29405.395025229598</v>
      </c>
      <c r="BA58" s="381">
        <f t="shared" si="426"/>
        <v>96921.739881734306</v>
      </c>
      <c r="BB58" s="379">
        <f t="shared" si="427"/>
        <v>354.69858868934648</v>
      </c>
      <c r="BC58" s="380">
        <f t="shared" si="428"/>
        <v>4918.2649227563707</v>
      </c>
      <c r="BD58" s="380">
        <f t="shared" si="429"/>
        <v>15866.257268535839</v>
      </c>
      <c r="BE58" s="380">
        <f t="shared" si="430"/>
        <v>7003.9766023980092</v>
      </c>
      <c r="BF58" s="380">
        <f t="shared" si="431"/>
        <v>6128.5633249592956</v>
      </c>
      <c r="BG58" s="380">
        <f t="shared" si="432"/>
        <v>1555.7822138159281</v>
      </c>
      <c r="BH58" s="380">
        <f t="shared" si="433"/>
        <v>13092.787262590011</v>
      </c>
      <c r="BI58" s="380">
        <f t="shared" si="434"/>
        <v>7450.2304470140825</v>
      </c>
      <c r="BJ58" s="380">
        <f t="shared" si="435"/>
        <v>12597.115328004656</v>
      </c>
      <c r="BK58" s="380">
        <f t="shared" si="436"/>
        <v>19387.481521398211</v>
      </c>
      <c r="BL58" s="380">
        <f t="shared" si="437"/>
        <v>15514.466201905489</v>
      </c>
      <c r="BM58" s="389">
        <f t="shared" si="438"/>
        <v>34485.81608512604</v>
      </c>
      <c r="BN58" s="381">
        <f t="shared" si="439"/>
        <v>138355.43976719328</v>
      </c>
      <c r="BO58" s="379">
        <f t="shared" si="440"/>
        <v>108.5312606467659</v>
      </c>
      <c r="BP58" s="380">
        <f t="shared" si="441"/>
        <v>1244.2201604754621</v>
      </c>
      <c r="BQ58" s="380">
        <f t="shared" si="442"/>
        <v>14955.816321539352</v>
      </c>
      <c r="BR58" s="380">
        <f t="shared" si="443"/>
        <v>7305.2096268212717</v>
      </c>
      <c r="BS58" s="380">
        <f t="shared" si="444"/>
        <v>9072.9730137758706</v>
      </c>
      <c r="BT58" s="380">
        <f t="shared" si="445"/>
        <v>5527.520731296393</v>
      </c>
      <c r="BU58" s="380">
        <f t="shared" si="446"/>
        <v>31034.884486405819</v>
      </c>
      <c r="BV58" s="380">
        <f t="shared" si="447"/>
        <v>-3395.1843540168315</v>
      </c>
      <c r="BW58" s="380">
        <f t="shared" si="448"/>
        <v>13101.866745937732</v>
      </c>
      <c r="BX58" s="380">
        <f t="shared" si="449"/>
        <v>13618.056636516738</v>
      </c>
      <c r="BY58" s="380">
        <f t="shared" si="450"/>
        <v>8111.3581018509885</v>
      </c>
      <c r="BZ58" s="389">
        <f t="shared" si="451"/>
        <v>53231.206415020475</v>
      </c>
      <c r="CA58" s="381">
        <f t="shared" si="452"/>
        <v>153916.45914627003</v>
      </c>
      <c r="CB58" s="379">
        <f t="shared" si="453"/>
        <v>95.581332813179046</v>
      </c>
      <c r="CC58" s="380">
        <f t="shared" si="454"/>
        <v>837.38742229425316</v>
      </c>
      <c r="CD58" s="380">
        <f t="shared" si="455"/>
        <v>8626.1298466118606</v>
      </c>
      <c r="CE58" s="380">
        <f t="shared" si="456"/>
        <v>9032.2632497163249</v>
      </c>
      <c r="CF58" s="380">
        <f t="shared" si="457"/>
        <v>4992.9645122067996</v>
      </c>
      <c r="CG58" s="380">
        <f t="shared" si="458"/>
        <v>6480.803009912177</v>
      </c>
      <c r="CH58" s="380">
        <f t="shared" si="459"/>
        <v>10606.3087344535</v>
      </c>
      <c r="CI58" s="380">
        <f t="shared" si="460"/>
        <v>4542.7529002404817</v>
      </c>
      <c r="CJ58" s="380">
        <f t="shared" si="461"/>
        <v>12753.166558489505</v>
      </c>
      <c r="CK58" s="380">
        <f t="shared" si="462"/>
        <v>19714.399852869832</v>
      </c>
      <c r="CL58" s="380">
        <f t="shared" si="463"/>
        <v>18904.482931282921</v>
      </c>
      <c r="CM58" s="389">
        <f t="shared" si="464"/>
        <v>37233.338620679438</v>
      </c>
      <c r="CN58" s="381">
        <f t="shared" si="465"/>
        <v>133819.5789715703</v>
      </c>
      <c r="CO58" s="379">
        <f t="shared" si="466"/>
        <v>55.012166853561887</v>
      </c>
      <c r="CP58" s="380">
        <f t="shared" si="467"/>
        <v>1153.367178584861</v>
      </c>
      <c r="CQ58" s="380">
        <f t="shared" si="468"/>
        <v>12428.82059346375</v>
      </c>
      <c r="CR58" s="380">
        <f t="shared" si="469"/>
        <v>2711.8975342791773</v>
      </c>
      <c r="CS58" s="380">
        <f t="shared" si="470"/>
        <v>5409.7671103070052</v>
      </c>
      <c r="CT58" s="380">
        <f t="shared" si="471"/>
        <v>8697.1774044922349</v>
      </c>
      <c r="CU58" s="380">
        <f t="shared" si="472"/>
        <v>12091.540270325484</v>
      </c>
      <c r="CV58" s="380">
        <f t="shared" si="473"/>
        <v>7705.6356222897812</v>
      </c>
      <c r="CW58" s="380">
        <f t="shared" si="474"/>
        <v>10847.072717871344</v>
      </c>
      <c r="CX58" s="380">
        <f t="shared" si="475"/>
        <v>10360.625029841472</v>
      </c>
      <c r="CY58" s="380">
        <f t="shared" si="476"/>
        <v>13032.273716785003</v>
      </c>
      <c r="CZ58" s="389">
        <f t="shared" si="477"/>
        <v>33734.530462798844</v>
      </c>
      <c r="DA58" s="381">
        <f t="shared" si="478"/>
        <v>118227.71980789251</v>
      </c>
      <c r="DB58" s="379">
        <f t="shared" si="479"/>
        <v>102.93965430684047</v>
      </c>
      <c r="DC58" s="380">
        <f t="shared" si="480"/>
        <v>719.35467719664882</v>
      </c>
      <c r="DD58" s="380">
        <f t="shared" si="481"/>
        <v>4531.9715989788401</v>
      </c>
      <c r="DE58" s="380">
        <f t="shared" si="482"/>
        <v>3354.2779686831914</v>
      </c>
      <c r="DF58" s="380">
        <f t="shared" si="483"/>
        <v>2508.0185649768828</v>
      </c>
      <c r="DG58" s="380">
        <f t="shared" si="484"/>
        <v>4297.2704958315817</v>
      </c>
      <c r="DH58" s="380">
        <f t="shared" si="485"/>
        <v>4143.8778278435157</v>
      </c>
      <c r="DI58" s="380">
        <f t="shared" si="486"/>
        <v>5590.6634044421962</v>
      </c>
      <c r="DJ58" s="380">
        <f t="shared" si="487"/>
        <v>8907.271879278971</v>
      </c>
      <c r="DK58" s="380">
        <f t="shared" si="488"/>
        <v>15498.163484710552</v>
      </c>
      <c r="DL58" s="380">
        <f t="shared" si="489"/>
        <v>13980.728638295323</v>
      </c>
      <c r="DM58" s="389">
        <f t="shared" si="490"/>
        <v>37902.094497871527</v>
      </c>
      <c r="DN58" s="381">
        <f t="shared" si="348"/>
        <v>101536.63269241607</v>
      </c>
      <c r="DO58" s="379">
        <f t="shared" si="491"/>
        <v>147.22796074282454</v>
      </c>
      <c r="DP58" s="380">
        <f t="shared" si="492"/>
        <v>5098.0357930483815</v>
      </c>
      <c r="DQ58" s="380">
        <f t="shared" si="493"/>
        <v>13882.89402454391</v>
      </c>
      <c r="DR58" s="380">
        <f t="shared" si="494"/>
        <v>7644.4582424054206</v>
      </c>
      <c r="DS58" s="380">
        <f t="shared" si="495"/>
        <v>5996.3615830014051</v>
      </c>
      <c r="DT58" s="380">
        <f t="shared" si="496"/>
        <v>10663.781122504666</v>
      </c>
      <c r="DU58" s="380">
        <f t="shared" si="497"/>
        <v>10477.921447817722</v>
      </c>
      <c r="DV58" s="380">
        <f t="shared" si="498"/>
        <v>10857.754866882364</v>
      </c>
      <c r="DW58" s="380">
        <f t="shared" si="499"/>
        <v>24120.89940888009</v>
      </c>
      <c r="DX58" s="380">
        <f t="shared" si="500"/>
        <v>15222.228929557572</v>
      </c>
      <c r="DY58" s="380">
        <f t="shared" si="501"/>
        <v>11636.292733990154</v>
      </c>
      <c r="DZ58" s="389">
        <f t="shared" si="502"/>
        <v>21875.192383035264</v>
      </c>
      <c r="EA58" s="381">
        <f t="shared" si="349"/>
        <v>137623.04849640979</v>
      </c>
      <c r="EB58" s="379">
        <f t="shared" si="503"/>
        <v>138.22071303163045</v>
      </c>
      <c r="EC58" s="380">
        <f t="shared" si="504"/>
        <v>647.01196197786282</v>
      </c>
      <c r="ED58" s="380">
        <f t="shared" si="505"/>
        <v>1992.3124194159846</v>
      </c>
      <c r="EE58" s="380">
        <f t="shared" si="506"/>
        <v>1339.6117725313006</v>
      </c>
      <c r="EF58" s="380">
        <f t="shared" si="507"/>
        <v>2001.8612407553637</v>
      </c>
      <c r="EG58" s="380">
        <f t="shared" si="508"/>
        <v>13651.030844738429</v>
      </c>
      <c r="EH58" s="380">
        <f t="shared" si="509"/>
        <v>8907.1039911643729</v>
      </c>
      <c r="EI58" s="380">
        <f t="shared" si="510"/>
        <v>7344.6026399954726</v>
      </c>
      <c r="EJ58" s="380">
        <f t="shared" si="511"/>
        <v>9655.5008579080604</v>
      </c>
      <c r="EK58" s="380">
        <f t="shared" si="512"/>
        <v>7646.0534740930771</v>
      </c>
      <c r="EL58" s="380">
        <f t="shared" si="513"/>
        <v>10041.17359371553</v>
      </c>
      <c r="EM58" s="389">
        <f t="shared" si="514"/>
        <v>20821.561070317926</v>
      </c>
      <c r="EN58" s="381">
        <f t="shared" si="350"/>
        <v>84186.044579645008</v>
      </c>
      <c r="EO58" s="379">
        <f t="shared" si="515"/>
        <v>475.14536407250091</v>
      </c>
      <c r="EP58" s="380">
        <f t="shared" si="516"/>
        <v>6593.4112575594918</v>
      </c>
      <c r="EQ58" s="380">
        <f>+EQ24/EQ37</f>
        <v>8670.4236489563718</v>
      </c>
      <c r="ER58" s="380">
        <f t="shared" si="517"/>
        <v>20441.725580090642</v>
      </c>
      <c r="ES58" s="380">
        <f t="shared" si="518"/>
        <v>9732.2786177535108</v>
      </c>
      <c r="ET58" s="380">
        <f t="shared" si="519"/>
        <v>12148.9444609209</v>
      </c>
      <c r="EU58" s="380">
        <f t="shared" si="520"/>
        <v>7712.2995845291171</v>
      </c>
      <c r="EV58" s="380">
        <f t="shared" si="521"/>
        <v>14954.349642309129</v>
      </c>
      <c r="EW58" s="380">
        <f t="shared" si="522"/>
        <v>20299.367120362389</v>
      </c>
      <c r="EX58" s="380">
        <f t="shared" si="523"/>
        <v>25372.544986120622</v>
      </c>
      <c r="EY58" s="380">
        <f t="shared" si="524"/>
        <v>12061.852115781507</v>
      </c>
      <c r="EZ58" s="389">
        <f t="shared" si="525"/>
        <v>36610.240327198153</v>
      </c>
      <c r="FA58" s="381">
        <f t="shared" si="351"/>
        <v>175072.58270565435</v>
      </c>
      <c r="FB58" s="379">
        <f t="shared" si="526"/>
        <v>1522.9345269911585</v>
      </c>
      <c r="FC58" s="380">
        <f t="shared" si="527"/>
        <v>8270.8044666971764</v>
      </c>
      <c r="FD58" s="380">
        <f t="shared" si="528"/>
        <v>6983.7529607850047</v>
      </c>
      <c r="FE58" s="380">
        <f t="shared" si="529"/>
        <v>7221.6114443961724</v>
      </c>
      <c r="FF58" s="380">
        <f t="shared" si="530"/>
        <v>7389.2591980048528</v>
      </c>
      <c r="FG58" s="380">
        <f t="shared" si="531"/>
        <v>4397.1059468583971</v>
      </c>
      <c r="FH58" s="380">
        <f t="shared" si="532"/>
        <v>6287.0722923246421</v>
      </c>
      <c r="FI58" s="380">
        <f t="shared" si="533"/>
        <v>11728.320335360853</v>
      </c>
      <c r="FJ58" s="380">
        <f t="shared" si="534"/>
        <v>22023.798099927477</v>
      </c>
      <c r="FK58" s="380">
        <f t="shared" si="535"/>
        <v>25115.274070946522</v>
      </c>
      <c r="FL58" s="380">
        <f t="shared" si="536"/>
        <v>25970.98842082555</v>
      </c>
      <c r="FM58" s="389">
        <f t="shared" si="537"/>
        <v>50717.685282174898</v>
      </c>
      <c r="FN58" s="381">
        <f t="shared" si="352"/>
        <v>177628.60704529271</v>
      </c>
      <c r="FO58" s="379">
        <f t="shared" si="538"/>
        <v>51.220599183361394</v>
      </c>
      <c r="FP58" s="380">
        <f t="shared" si="539"/>
        <v>1073.658562720062</v>
      </c>
      <c r="FQ58" s="380">
        <f t="shared" si="540"/>
        <v>6322.7070487098481</v>
      </c>
      <c r="FR58" s="380">
        <f t="shared" si="541"/>
        <v>4417.1955909330936</v>
      </c>
      <c r="FS58" s="380">
        <f t="shared" si="542"/>
        <v>4574.992894784602</v>
      </c>
      <c r="FT58" s="380">
        <f t="shared" si="543"/>
        <v>8065.1783009616192</v>
      </c>
      <c r="FU58" s="380">
        <f t="shared" si="544"/>
        <v>5784.2639317147859</v>
      </c>
      <c r="FV58" s="380">
        <f t="shared" si="545"/>
        <v>4960.5551762835312</v>
      </c>
      <c r="FW58" s="380">
        <f t="shared" si="546"/>
        <v>2960.7110392274944</v>
      </c>
      <c r="FX58" s="380">
        <f t="shared" si="547"/>
        <v>3272.0710191983867</v>
      </c>
      <c r="FY58" s="380">
        <f t="shared" si="548"/>
        <v>4011.9272374132538</v>
      </c>
      <c r="FZ58" s="389">
        <f t="shared" si="549"/>
        <v>16206.760272955293</v>
      </c>
      <c r="GA58" s="381">
        <f t="shared" si="353"/>
        <v>61701.241674085337</v>
      </c>
      <c r="GB58" s="379">
        <f t="shared" si="550"/>
        <v>943.16699566830789</v>
      </c>
      <c r="GC58" s="380">
        <f t="shared" si="551"/>
        <v>2777.4863307739297</v>
      </c>
      <c r="GD58" s="380">
        <f t="shared" si="552"/>
        <v>6533.2923822959938</v>
      </c>
      <c r="GE58" s="380">
        <f t="shared" si="553"/>
        <v>7794.6904753585322</v>
      </c>
      <c r="GF58" s="380">
        <f t="shared" si="554"/>
        <v>7599.5189545495141</v>
      </c>
      <c r="GG58" s="380">
        <f t="shared" si="555"/>
        <v>6998.2314687622711</v>
      </c>
      <c r="GH58" s="380">
        <f t="shared" si="556"/>
        <v>8479.9272436423853</v>
      </c>
      <c r="GI58" s="380">
        <f t="shared" si="557"/>
        <v>9057.1152051392837</v>
      </c>
      <c r="GJ58" s="380">
        <f t="shared" si="558"/>
        <v>9620.8736411279715</v>
      </c>
      <c r="GK58" s="380">
        <f t="shared" si="559"/>
        <v>6062.1743632199787</v>
      </c>
      <c r="GL58" s="380">
        <f t="shared" si="560"/>
        <v>16192.249773640773</v>
      </c>
      <c r="GM58" s="389">
        <f t="shared" si="561"/>
        <v>24915.355408697946</v>
      </c>
      <c r="GN58" s="381">
        <f t="shared" si="354"/>
        <v>106974.08224287689</v>
      </c>
      <c r="GO58" s="379">
        <f t="shared" si="562"/>
        <v>708.37248985701058</v>
      </c>
      <c r="GP58" s="380">
        <f t="shared" si="563"/>
        <v>12063.688772652329</v>
      </c>
      <c r="GQ58" s="380">
        <f t="shared" si="564"/>
        <v>14234.129030719287</v>
      </c>
      <c r="GR58" s="380">
        <f t="shared" si="565"/>
        <v>14712.940853349835</v>
      </c>
      <c r="GS58" s="380">
        <f t="shared" si="566"/>
        <v>8951.1986539646368</v>
      </c>
      <c r="GT58" s="380">
        <f t="shared" si="567"/>
        <v>9880.9627664695327</v>
      </c>
      <c r="GU58" s="380">
        <f t="shared" si="568"/>
        <v>10781.62517824878</v>
      </c>
      <c r="GV58" s="380">
        <f t="shared" si="569"/>
        <v>12725.104162530664</v>
      </c>
      <c r="GW58" s="380">
        <f t="shared" si="570"/>
        <v>13139.832737713623</v>
      </c>
      <c r="GX58" s="380">
        <f t="shared" si="571"/>
        <v>17531.474837073853</v>
      </c>
      <c r="GY58" s="380">
        <f t="shared" si="572"/>
        <v>29214.278657757844</v>
      </c>
      <c r="GZ58" s="389">
        <f t="shared" si="573"/>
        <v>43626.24807786155</v>
      </c>
      <c r="HA58" s="381">
        <f t="shared" si="355"/>
        <v>187569.85621819895</v>
      </c>
      <c r="HB58" s="379">
        <f t="shared" si="574"/>
        <v>9590.831881065209</v>
      </c>
      <c r="HC58" s="380">
        <f t="shared" si="575"/>
        <v>30152.844696356849</v>
      </c>
      <c r="HD58" s="380">
        <f t="shared" si="576"/>
        <v>14682.037798932321</v>
      </c>
      <c r="HE58" s="380">
        <f t="shared" si="577"/>
        <v>17938.729548805102</v>
      </c>
      <c r="HF58" s="380">
        <f t="shared" si="578"/>
        <v>20095.931967435499</v>
      </c>
      <c r="HG58" s="380">
        <f t="shared" si="579"/>
        <v>22508.688631482793</v>
      </c>
      <c r="HH58" s="380">
        <f t="shared" si="580"/>
        <v>26217.405147033482</v>
      </c>
      <c r="HI58" s="380">
        <f t="shared" si="581"/>
        <v>22272.143558641656</v>
      </c>
      <c r="HJ58" s="380">
        <f t="shared" si="582"/>
        <v>18078.585893980708</v>
      </c>
      <c r="HK58" s="380">
        <f t="shared" si="583"/>
        <v>24420.379257802506</v>
      </c>
      <c r="HL58" s="380">
        <f t="shared" si="584"/>
        <v>19547.259625407743</v>
      </c>
      <c r="HM58" s="389">
        <f t="shared" si="585"/>
        <v>46002.430046887057</v>
      </c>
      <c r="HN58" s="381">
        <f t="shared" si="356"/>
        <v>271507.26805383095</v>
      </c>
      <c r="HO58" s="379">
        <f t="shared" si="586"/>
        <v>5250.5578412715313</v>
      </c>
      <c r="HP58" s="380">
        <f t="shared" si="587"/>
        <v>11697.869081019895</v>
      </c>
      <c r="HQ58" s="380">
        <f t="shared" si="588"/>
        <v>17285.127322107113</v>
      </c>
      <c r="HR58" s="380">
        <f t="shared" si="589"/>
        <v>14038.066746393628</v>
      </c>
      <c r="HS58" s="380">
        <f t="shared" si="590"/>
        <v>17647.848447048429</v>
      </c>
      <c r="HT58" s="380">
        <f t="shared" si="357"/>
        <v>18019.236069683488</v>
      </c>
      <c r="HU58" s="380">
        <f t="shared" si="358"/>
        <v>20616.110887759689</v>
      </c>
      <c r="HV58" s="380">
        <f t="shared" si="359"/>
        <v>17668.743241872347</v>
      </c>
      <c r="HW58" s="380">
        <f t="shared" si="360"/>
        <v>17948.919861335209</v>
      </c>
      <c r="HX58" s="380">
        <f t="shared" si="361"/>
        <v>23912.401360087737</v>
      </c>
      <c r="HY58" s="380">
        <f t="shared" si="362"/>
        <v>21982.783659751247</v>
      </c>
      <c r="HZ58" s="389">
        <f t="shared" si="375"/>
        <v>45641.308706713477</v>
      </c>
      <c r="IA58" s="379">
        <f t="shared" si="363"/>
        <v>231708.9732250438</v>
      </c>
      <c r="IB58" s="1344">
        <f t="shared" si="364"/>
        <v>8758.6787091206315</v>
      </c>
      <c r="IC58" s="120">
        <f t="shared" si="365"/>
        <v>5657.1309830649225</v>
      </c>
      <c r="ID58" s="120">
        <f t="shared" si="366"/>
        <v>9560.4980679366527</v>
      </c>
      <c r="IE58" s="120">
        <f t="shared" si="367"/>
        <v>14800.081284931024</v>
      </c>
      <c r="IF58" s="120">
        <f t="shared" si="368"/>
        <v>10778.384358065658</v>
      </c>
      <c r="IG58" s="120">
        <f t="shared" si="369"/>
        <v>13499.726515624765</v>
      </c>
      <c r="IH58" s="120">
        <f t="shared" si="370"/>
        <v>18192.55147513876</v>
      </c>
      <c r="II58" s="120">
        <f t="shared" si="371"/>
        <v>14476.762603587462</v>
      </c>
      <c r="IJ58" s="120"/>
      <c r="IK58" s="120"/>
      <c r="IL58" s="120"/>
      <c r="IM58" s="1345"/>
      <c r="IN58" s="1346">
        <f t="shared" si="372"/>
        <v>95723.813997469872</v>
      </c>
      <c r="IO58" s="120"/>
      <c r="IP58" s="371">
        <f t="shared" si="337"/>
        <v>-18.065691456313402</v>
      </c>
      <c r="IQ58" s="348">
        <f t="shared" si="591"/>
        <v>-21.681372820719492</v>
      </c>
      <c r="IR58" s="320">
        <f t="shared" si="338"/>
        <v>122223.55963715611</v>
      </c>
      <c r="IS58" s="344">
        <f t="shared" si="339"/>
        <v>95723.813997469872</v>
      </c>
    </row>
    <row r="59" spans="1:255" ht="15" customHeight="1" x14ac:dyDescent="0.2">
      <c r="A59" s="1551" t="s">
        <v>402</v>
      </c>
      <c r="B59" s="379">
        <f t="shared" si="376"/>
        <v>1408.2962504158479</v>
      </c>
      <c r="C59" s="380">
        <f t="shared" si="377"/>
        <v>2256.8121234484588</v>
      </c>
      <c r="D59" s="380">
        <f t="shared" si="378"/>
        <v>1466.6586216835437</v>
      </c>
      <c r="E59" s="380">
        <f t="shared" si="379"/>
        <v>1773.0723614281169</v>
      </c>
      <c r="F59" s="380">
        <f t="shared" si="380"/>
        <v>1666.2733134386897</v>
      </c>
      <c r="G59" s="380">
        <f t="shared" si="381"/>
        <v>1677.2307471930208</v>
      </c>
      <c r="H59" s="380">
        <f t="shared" si="382"/>
        <v>2066.4881345787289</v>
      </c>
      <c r="I59" s="380">
        <f t="shared" si="383"/>
        <v>1823.9184969304833</v>
      </c>
      <c r="J59" s="380">
        <f t="shared" si="384"/>
        <v>1955.1652269567751</v>
      </c>
      <c r="K59" s="380">
        <f t="shared" si="385"/>
        <v>2000.7123083036217</v>
      </c>
      <c r="L59" s="380">
        <f t="shared" si="386"/>
        <v>1569.041996703397</v>
      </c>
      <c r="M59" s="389">
        <f t="shared" si="387"/>
        <v>2945.6553556848176</v>
      </c>
      <c r="N59" s="381">
        <f t="shared" si="388"/>
        <v>22609.324936765501</v>
      </c>
      <c r="O59" s="379">
        <f t="shared" si="389"/>
        <v>880.9801837715446</v>
      </c>
      <c r="P59" s="380">
        <f t="shared" si="390"/>
        <v>1467.1838308707495</v>
      </c>
      <c r="Q59" s="380">
        <f t="shared" si="391"/>
        <v>2003.2713298006431</v>
      </c>
      <c r="R59" s="380">
        <f t="shared" si="392"/>
        <v>1775.7505236417035</v>
      </c>
      <c r="S59" s="380">
        <f t="shared" si="393"/>
        <v>1367.8475680097022</v>
      </c>
      <c r="T59" s="380">
        <f t="shared" si="394"/>
        <v>1383.5457097027429</v>
      </c>
      <c r="U59" s="380">
        <f t="shared" si="395"/>
        <v>1754.3672981147408</v>
      </c>
      <c r="V59" s="380">
        <f t="shared" si="396"/>
        <v>1378.3110745295226</v>
      </c>
      <c r="W59" s="380">
        <f t="shared" si="397"/>
        <v>1632.6393862650991</v>
      </c>
      <c r="X59" s="380">
        <f t="shared" si="398"/>
        <v>1353.0804616096682</v>
      </c>
      <c r="Y59" s="380">
        <f t="shared" si="399"/>
        <v>1316.8412839472842</v>
      </c>
      <c r="Z59" s="389">
        <f t="shared" si="400"/>
        <v>2331.7491252269442</v>
      </c>
      <c r="AA59" s="381">
        <f t="shared" si="401"/>
        <v>18645.567775490345</v>
      </c>
      <c r="AB59" s="379">
        <f t="shared" si="402"/>
        <v>851.44191171030002</v>
      </c>
      <c r="AC59" s="380">
        <f t="shared" si="403"/>
        <v>1385.675083341959</v>
      </c>
      <c r="AD59" s="380">
        <f t="shared" si="404"/>
        <v>1735.4392792941601</v>
      </c>
      <c r="AE59" s="380">
        <f t="shared" si="405"/>
        <v>1611.3206070596557</v>
      </c>
      <c r="AF59" s="380">
        <f t="shared" si="406"/>
        <v>1784.2563941821088</v>
      </c>
      <c r="AG59" s="380">
        <f t="shared" si="407"/>
        <v>1975.1515342202042</v>
      </c>
      <c r="AH59" s="380">
        <f t="shared" si="408"/>
        <v>2243.8120751596034</v>
      </c>
      <c r="AI59" s="380">
        <f t="shared" si="409"/>
        <v>1728.2055800871451</v>
      </c>
      <c r="AJ59" s="380">
        <f t="shared" si="410"/>
        <v>1574.9998927461274</v>
      </c>
      <c r="AK59" s="380">
        <f t="shared" si="411"/>
        <v>1108.1866599372013</v>
      </c>
      <c r="AL59" s="380">
        <f t="shared" si="412"/>
        <v>2392.5797039411259</v>
      </c>
      <c r="AM59" s="389">
        <f t="shared" si="413"/>
        <v>1919.2504836734975</v>
      </c>
      <c r="AN59" s="381">
        <f t="shared" si="592"/>
        <v>20310.319205353091</v>
      </c>
      <c r="AO59" s="379">
        <f t="shared" si="414"/>
        <v>234.49913629096355</v>
      </c>
      <c r="AP59" s="380">
        <f t="shared" si="415"/>
        <v>1287.5377109128494</v>
      </c>
      <c r="AQ59" s="380">
        <f t="shared" si="416"/>
        <v>1534.482206969474</v>
      </c>
      <c r="AR59" s="380">
        <f t="shared" si="417"/>
        <v>1517.9619265447998</v>
      </c>
      <c r="AS59" s="380">
        <f t="shared" si="418"/>
        <v>1551.6920524458462</v>
      </c>
      <c r="AT59" s="380">
        <f t="shared" si="419"/>
        <v>1518.5063613407133</v>
      </c>
      <c r="AU59" s="380">
        <f t="shared" si="420"/>
        <v>1693.1859569376834</v>
      </c>
      <c r="AV59" s="380">
        <f t="shared" si="421"/>
        <v>1619.0642894555281</v>
      </c>
      <c r="AW59" s="380">
        <f t="shared" si="422"/>
        <v>2125.9407339423351</v>
      </c>
      <c r="AX59" s="380">
        <f t="shared" si="423"/>
        <v>1721.9346819588482</v>
      </c>
      <c r="AY59" s="380">
        <f t="shared" si="424"/>
        <v>1440.9891916745303</v>
      </c>
      <c r="AZ59" s="389">
        <f t="shared" si="425"/>
        <v>3661.8395228803993</v>
      </c>
      <c r="BA59" s="381">
        <f t="shared" si="426"/>
        <v>19907.633771353972</v>
      </c>
      <c r="BB59" s="379">
        <f t="shared" si="427"/>
        <v>890.61122632167621</v>
      </c>
      <c r="BC59" s="380">
        <f t="shared" si="428"/>
        <v>2173.624828351336</v>
      </c>
      <c r="BD59" s="380">
        <f t="shared" si="429"/>
        <v>2123.0336749877415</v>
      </c>
      <c r="BE59" s="380">
        <f t="shared" si="430"/>
        <v>1348.7387376239408</v>
      </c>
      <c r="BF59" s="380">
        <f t="shared" si="431"/>
        <v>2422.7042889018967</v>
      </c>
      <c r="BG59" s="380">
        <f t="shared" si="432"/>
        <v>1518.5989343982742</v>
      </c>
      <c r="BH59" s="380">
        <f t="shared" si="433"/>
        <v>1732.5336598203846</v>
      </c>
      <c r="BI59" s="380">
        <f t="shared" si="434"/>
        <v>1974.9116902615974</v>
      </c>
      <c r="BJ59" s="380">
        <f t="shared" si="435"/>
        <v>1738.7143992556669</v>
      </c>
      <c r="BK59" s="380">
        <f t="shared" si="436"/>
        <v>2052.8118518578067</v>
      </c>
      <c r="BL59" s="380">
        <f t="shared" si="437"/>
        <v>1848.6961832984123</v>
      </c>
      <c r="BM59" s="389">
        <f t="shared" si="438"/>
        <v>2938.0397386983864</v>
      </c>
      <c r="BN59" s="381">
        <f t="shared" si="439"/>
        <v>22763.019213777123</v>
      </c>
      <c r="BO59" s="379">
        <f t="shared" si="440"/>
        <v>1099.5051559368515</v>
      </c>
      <c r="BP59" s="380">
        <f t="shared" si="441"/>
        <v>1338.6438529762863</v>
      </c>
      <c r="BQ59" s="380">
        <f t="shared" si="442"/>
        <v>2010.5598819942165</v>
      </c>
      <c r="BR59" s="380">
        <f t="shared" si="443"/>
        <v>1898.1650522880236</v>
      </c>
      <c r="BS59" s="380">
        <f t="shared" si="444"/>
        <v>1832.7323043728995</v>
      </c>
      <c r="BT59" s="380">
        <f t="shared" si="445"/>
        <v>1801.6658616885447</v>
      </c>
      <c r="BU59" s="380">
        <f t="shared" si="446"/>
        <v>2201.5312402804939</v>
      </c>
      <c r="BV59" s="380">
        <f t="shared" si="447"/>
        <v>2170.9983327433933</v>
      </c>
      <c r="BW59" s="380">
        <f t="shared" si="448"/>
        <v>2315.6787737006225</v>
      </c>
      <c r="BX59" s="380">
        <f t="shared" si="449"/>
        <v>1794.1365247250835</v>
      </c>
      <c r="BY59" s="380">
        <f t="shared" si="450"/>
        <v>1822.5118705513662</v>
      </c>
      <c r="BZ59" s="389">
        <f t="shared" si="451"/>
        <v>2146.8980009538536</v>
      </c>
      <c r="CA59" s="381">
        <f t="shared" si="452"/>
        <v>22433.026852211635</v>
      </c>
      <c r="CB59" s="379">
        <f t="shared" si="453"/>
        <v>782.47091099602505</v>
      </c>
      <c r="CC59" s="380">
        <f t="shared" si="454"/>
        <v>1535.4786676107124</v>
      </c>
      <c r="CD59" s="380">
        <f t="shared" si="455"/>
        <v>1735.799366478587</v>
      </c>
      <c r="CE59" s="380">
        <f t="shared" si="456"/>
        <v>1946.8835979953917</v>
      </c>
      <c r="CF59" s="380">
        <f t="shared" si="457"/>
        <v>2052.2739975237769</v>
      </c>
      <c r="CG59" s="380">
        <f t="shared" si="458"/>
        <v>1719.948211117237</v>
      </c>
      <c r="CH59" s="380">
        <f t="shared" si="459"/>
        <v>1884.3173479132802</v>
      </c>
      <c r="CI59" s="380">
        <f t="shared" si="460"/>
        <v>1687.9871718243187</v>
      </c>
      <c r="CJ59" s="380">
        <f t="shared" si="461"/>
        <v>1659.9836665180128</v>
      </c>
      <c r="CK59" s="380">
        <f t="shared" si="462"/>
        <v>1663.1538220600335</v>
      </c>
      <c r="CL59" s="380">
        <f t="shared" si="463"/>
        <v>1727.1970089143251</v>
      </c>
      <c r="CM59" s="389">
        <f t="shared" si="464"/>
        <v>5807.3522423145705</v>
      </c>
      <c r="CN59" s="381">
        <f t="shared" si="465"/>
        <v>24202.846011266272</v>
      </c>
      <c r="CO59" s="379">
        <f t="shared" si="466"/>
        <v>503.75427075904531</v>
      </c>
      <c r="CP59" s="380">
        <f t="shared" si="467"/>
        <v>1372.7576745113292</v>
      </c>
      <c r="CQ59" s="380">
        <f t="shared" si="468"/>
        <v>2350.7679818582819</v>
      </c>
      <c r="CR59" s="380">
        <f t="shared" si="469"/>
        <v>2019.3992778822667</v>
      </c>
      <c r="CS59" s="380">
        <f t="shared" si="470"/>
        <v>2180.6992295712844</v>
      </c>
      <c r="CT59" s="380">
        <f t="shared" si="471"/>
        <v>2183.5074627803597</v>
      </c>
      <c r="CU59" s="380">
        <f t="shared" si="472"/>
        <v>2070.5425153167976</v>
      </c>
      <c r="CV59" s="380">
        <f t="shared" si="473"/>
        <v>2170.8267943822298</v>
      </c>
      <c r="CW59" s="380">
        <f t="shared" si="474"/>
        <v>2495.2073241531416</v>
      </c>
      <c r="CX59" s="380">
        <f t="shared" si="475"/>
        <v>2197.5470991395227</v>
      </c>
      <c r="CY59" s="380">
        <f t="shared" si="476"/>
        <v>1700.7181592851439</v>
      </c>
      <c r="CZ59" s="389">
        <f t="shared" si="477"/>
        <v>2682.5629844218888</v>
      </c>
      <c r="DA59" s="381">
        <f t="shared" si="478"/>
        <v>23928.290774061297</v>
      </c>
      <c r="DB59" s="379">
        <f t="shared" si="479"/>
        <v>1225.5078552880059</v>
      </c>
      <c r="DC59" s="380">
        <f t="shared" si="480"/>
        <v>2230.824619377303</v>
      </c>
      <c r="DD59" s="380">
        <f t="shared" si="481"/>
        <v>2315.9433672965247</v>
      </c>
      <c r="DE59" s="380">
        <f t="shared" si="482"/>
        <v>2520.741011806595</v>
      </c>
      <c r="DF59" s="380">
        <f t="shared" si="483"/>
        <v>2077.2434984916813</v>
      </c>
      <c r="DG59" s="380">
        <f t="shared" si="484"/>
        <v>2009.7020558825086</v>
      </c>
      <c r="DH59" s="380">
        <f t="shared" si="485"/>
        <v>2104.6029455278335</v>
      </c>
      <c r="DI59" s="380">
        <f t="shared" si="486"/>
        <v>2740.5937964353452</v>
      </c>
      <c r="DJ59" s="380">
        <f t="shared" si="487"/>
        <v>3202.1003905123207</v>
      </c>
      <c r="DK59" s="380">
        <f t="shared" si="488"/>
        <v>2559.7479012314839</v>
      </c>
      <c r="DL59" s="380">
        <f t="shared" si="489"/>
        <v>2763.4534140603664</v>
      </c>
      <c r="DM59" s="389">
        <f t="shared" si="490"/>
        <v>3032.7228162354891</v>
      </c>
      <c r="DN59" s="381">
        <f t="shared" si="348"/>
        <v>28783.183672145453</v>
      </c>
      <c r="DO59" s="379">
        <f t="shared" si="491"/>
        <v>1357.1211034808873</v>
      </c>
      <c r="DP59" s="380">
        <f t="shared" si="492"/>
        <v>2065.5145731276257</v>
      </c>
      <c r="DQ59" s="380">
        <f t="shared" si="493"/>
        <v>2359.5971142609633</v>
      </c>
      <c r="DR59" s="380">
        <f t="shared" si="494"/>
        <v>1724.3355155007241</v>
      </c>
      <c r="DS59" s="380">
        <f t="shared" si="495"/>
        <v>2102.0482379717114</v>
      </c>
      <c r="DT59" s="380">
        <f t="shared" si="496"/>
        <v>2133.624139405098</v>
      </c>
      <c r="DU59" s="380">
        <f t="shared" si="497"/>
        <v>2459.2365922234071</v>
      </c>
      <c r="DV59" s="380">
        <f t="shared" si="498"/>
        <v>2424.2269830898285</v>
      </c>
      <c r="DW59" s="380">
        <f t="shared" si="499"/>
        <v>2450.5296212208855</v>
      </c>
      <c r="DX59" s="380">
        <f t="shared" si="500"/>
        <v>3057.2714829173901</v>
      </c>
      <c r="DY59" s="380">
        <f t="shared" si="501"/>
        <v>2567.3920060848168</v>
      </c>
      <c r="DZ59" s="389">
        <f t="shared" si="502"/>
        <v>4394.212698684647</v>
      </c>
      <c r="EA59" s="381">
        <f t="shared" si="349"/>
        <v>29095.110067967988</v>
      </c>
      <c r="EB59" s="379">
        <f t="shared" si="503"/>
        <v>1508.9094505952992</v>
      </c>
      <c r="EC59" s="380">
        <f t="shared" si="504"/>
        <v>2197.3991161512322</v>
      </c>
      <c r="ED59" s="380">
        <f t="shared" si="505"/>
        <v>2389.6315389264892</v>
      </c>
      <c r="EE59" s="380">
        <f t="shared" si="506"/>
        <v>2174.722316625333</v>
      </c>
      <c r="EF59" s="380">
        <f t="shared" si="507"/>
        <v>2344.5672930505098</v>
      </c>
      <c r="EG59" s="380">
        <f t="shared" si="508"/>
        <v>2292.642959088651</v>
      </c>
      <c r="EH59" s="380">
        <f t="shared" si="509"/>
        <v>2158.9319691456794</v>
      </c>
      <c r="EI59" s="380">
        <f t="shared" si="510"/>
        <v>1972.372038174982</v>
      </c>
      <c r="EJ59" s="380">
        <f t="shared" si="511"/>
        <v>2454.4162796853202</v>
      </c>
      <c r="EK59" s="380">
        <f t="shared" si="512"/>
        <v>2340.6574951230705</v>
      </c>
      <c r="EL59" s="380">
        <f t="shared" si="513"/>
        <v>2354.1067877721307</v>
      </c>
      <c r="EM59" s="389">
        <f t="shared" si="514"/>
        <v>3025.7047409992747</v>
      </c>
      <c r="EN59" s="381">
        <f t="shared" si="350"/>
        <v>27214.061985337969</v>
      </c>
      <c r="EO59" s="379">
        <f t="shared" si="515"/>
        <v>650.68126266901834</v>
      </c>
      <c r="EP59" s="380">
        <f t="shared" si="516"/>
        <v>1666.4820551674659</v>
      </c>
      <c r="EQ59" s="380">
        <f>+EQ25/EQ37</f>
        <v>1991.2968138554377</v>
      </c>
      <c r="ER59" s="380">
        <f t="shared" si="517"/>
        <v>2119.1592667570508</v>
      </c>
      <c r="ES59" s="380">
        <f t="shared" si="518"/>
        <v>2701.7468516614808</v>
      </c>
      <c r="ET59" s="380">
        <f t="shared" si="519"/>
        <v>2440.664173850007</v>
      </c>
      <c r="EU59" s="380">
        <f t="shared" si="520"/>
        <v>2582.5941414318522</v>
      </c>
      <c r="EV59" s="380">
        <f t="shared" si="521"/>
        <v>2567.8343436577679</v>
      </c>
      <c r="EW59" s="380">
        <f t="shared" si="522"/>
        <v>2136.5193396881059</v>
      </c>
      <c r="EX59" s="380">
        <f t="shared" si="523"/>
        <v>2806.4393247088583</v>
      </c>
      <c r="EY59" s="380">
        <f t="shared" si="524"/>
        <v>2391.2810860469808</v>
      </c>
      <c r="EZ59" s="389">
        <f t="shared" si="525"/>
        <v>3583.2123881245298</v>
      </c>
      <c r="FA59" s="381">
        <f t="shared" si="351"/>
        <v>27637.91104761856</v>
      </c>
      <c r="FB59" s="379">
        <f t="shared" si="526"/>
        <v>1325.0429891813124</v>
      </c>
      <c r="FC59" s="380">
        <f t="shared" si="527"/>
        <v>2091.5392749116418</v>
      </c>
      <c r="FD59" s="380">
        <f t="shared" si="528"/>
        <v>2167.2769190207669</v>
      </c>
      <c r="FE59" s="380">
        <f t="shared" si="529"/>
        <v>398.45738358919056</v>
      </c>
      <c r="FF59" s="380">
        <f t="shared" si="530"/>
        <v>461.99981091638347</v>
      </c>
      <c r="FG59" s="380">
        <f t="shared" si="531"/>
        <v>710.31756750404884</v>
      </c>
      <c r="FH59" s="380">
        <f t="shared" si="532"/>
        <v>1312.3400927475429</v>
      </c>
      <c r="FI59" s="380">
        <f t="shared" si="533"/>
        <v>1492.2849712378204</v>
      </c>
      <c r="FJ59" s="380">
        <f t="shared" si="534"/>
        <v>1661.6193493278204</v>
      </c>
      <c r="FK59" s="380">
        <f t="shared" si="535"/>
        <v>2023.178649127686</v>
      </c>
      <c r="FL59" s="380">
        <f t="shared" si="536"/>
        <v>2457.6422490138584</v>
      </c>
      <c r="FM59" s="389">
        <f t="shared" si="537"/>
        <v>3656.7844196167925</v>
      </c>
      <c r="FN59" s="381">
        <f t="shared" si="352"/>
        <v>19758.483676194865</v>
      </c>
      <c r="FO59" s="379">
        <f t="shared" si="538"/>
        <v>1625.5800688193115</v>
      </c>
      <c r="FP59" s="380">
        <f t="shared" si="539"/>
        <v>2464.4884167527757</v>
      </c>
      <c r="FQ59" s="380">
        <f t="shared" si="540"/>
        <v>2991.3738894721655</v>
      </c>
      <c r="FR59" s="380">
        <f t="shared" si="541"/>
        <v>2060.5540851850465</v>
      </c>
      <c r="FS59" s="380">
        <f t="shared" si="542"/>
        <v>2716.4020312783573</v>
      </c>
      <c r="FT59" s="380">
        <f t="shared" si="543"/>
        <v>2415.2334524676162</v>
      </c>
      <c r="FU59" s="380">
        <f t="shared" si="544"/>
        <v>2308.8365528821732</v>
      </c>
      <c r="FV59" s="380">
        <f t="shared" si="545"/>
        <v>2747.7553104410417</v>
      </c>
      <c r="FW59" s="380">
        <f t="shared" si="546"/>
        <v>2465.5285484492001</v>
      </c>
      <c r="FX59" s="380">
        <f t="shared" si="547"/>
        <v>2515.1908564060959</v>
      </c>
      <c r="FY59" s="380">
        <f t="shared" si="548"/>
        <v>2387.8682307296194</v>
      </c>
      <c r="FZ59" s="389">
        <f t="shared" si="549"/>
        <v>3270.1878900633296</v>
      </c>
      <c r="GA59" s="381">
        <f t="shared" si="353"/>
        <v>29968.99933294674</v>
      </c>
      <c r="GB59" s="379">
        <f t="shared" si="550"/>
        <v>1253.7297589478658</v>
      </c>
      <c r="GC59" s="380">
        <f t="shared" si="551"/>
        <v>1973.9288297214584</v>
      </c>
      <c r="GD59" s="380">
        <f t="shared" si="552"/>
        <v>2664.3103367441618</v>
      </c>
      <c r="GE59" s="380">
        <f t="shared" si="553"/>
        <v>2230.6887644414842</v>
      </c>
      <c r="GF59" s="380">
        <f t="shared" si="554"/>
        <v>2378.0176848992987</v>
      </c>
      <c r="GG59" s="380">
        <f t="shared" si="555"/>
        <v>2378.1525059262854</v>
      </c>
      <c r="GH59" s="380">
        <f t="shared" si="556"/>
        <v>2532.1164421495678</v>
      </c>
      <c r="GI59" s="380">
        <f t="shared" si="557"/>
        <v>2592.8141430881274</v>
      </c>
      <c r="GJ59" s="380">
        <f t="shared" si="558"/>
        <v>2125.4792640373475</v>
      </c>
      <c r="GK59" s="380">
        <f t="shared" si="559"/>
        <v>1987.5493021371046</v>
      </c>
      <c r="GL59" s="380">
        <f t="shared" si="560"/>
        <v>2079.2435266434109</v>
      </c>
      <c r="GM59" s="389">
        <f t="shared" si="561"/>
        <v>2936.4778118854506</v>
      </c>
      <c r="GN59" s="381">
        <f t="shared" si="354"/>
        <v>27132.508370621563</v>
      </c>
      <c r="GO59" s="379">
        <f t="shared" si="562"/>
        <v>610.94926424287326</v>
      </c>
      <c r="GP59" s="380">
        <f t="shared" si="563"/>
        <v>1410.3075402421591</v>
      </c>
      <c r="GQ59" s="380">
        <f t="shared" si="564"/>
        <v>2688.1165389749635</v>
      </c>
      <c r="GR59" s="380">
        <f t="shared" si="565"/>
        <v>2390.3715383054791</v>
      </c>
      <c r="GS59" s="380">
        <f t="shared" si="566"/>
        <v>2766.0258001370494</v>
      </c>
      <c r="GT59" s="380">
        <f t="shared" si="567"/>
        <v>2156.2428474764824</v>
      </c>
      <c r="GU59" s="380">
        <f t="shared" si="568"/>
        <v>2738.2721707479805</v>
      </c>
      <c r="GV59" s="380">
        <f t="shared" si="569"/>
        <v>2503.5698690163913</v>
      </c>
      <c r="GW59" s="380">
        <f t="shared" si="570"/>
        <v>2417.1098606850378</v>
      </c>
      <c r="GX59" s="380">
        <f t="shared" si="571"/>
        <v>2464.2749990870311</v>
      </c>
      <c r="GY59" s="380">
        <f t="shared" si="572"/>
        <v>3879.3734038907783</v>
      </c>
      <c r="GZ59" s="389">
        <f t="shared" si="573"/>
        <v>3552.4906048960529</v>
      </c>
      <c r="HA59" s="381">
        <f t="shared" si="355"/>
        <v>29577.104437702284</v>
      </c>
      <c r="HB59" s="379">
        <f t="shared" si="574"/>
        <v>1118.6171277636481</v>
      </c>
      <c r="HC59" s="380">
        <f t="shared" si="575"/>
        <v>2225.3419015343852</v>
      </c>
      <c r="HD59" s="380">
        <f t="shared" si="576"/>
        <v>2215.4266477078218</v>
      </c>
      <c r="HE59" s="380">
        <f t="shared" si="577"/>
        <v>2733.7824959759591</v>
      </c>
      <c r="HF59" s="380">
        <f t="shared" si="578"/>
        <v>2397.6537344141939</v>
      </c>
      <c r="HG59" s="380">
        <f t="shared" si="579"/>
        <v>1838.4282985498728</v>
      </c>
      <c r="HH59" s="380">
        <f t="shared" si="580"/>
        <v>2343.1676466799595</v>
      </c>
      <c r="HI59" s="380">
        <f t="shared" si="581"/>
        <v>2476.1084474373524</v>
      </c>
      <c r="HJ59" s="380">
        <f t="shared" si="582"/>
        <v>2387.5478169034382</v>
      </c>
      <c r="HK59" s="380">
        <f t="shared" si="583"/>
        <v>2899.6576402387846</v>
      </c>
      <c r="HL59" s="380">
        <f t="shared" si="584"/>
        <v>2264.509004700179</v>
      </c>
      <c r="HM59" s="389">
        <f t="shared" si="585"/>
        <v>3556.4396881191465</v>
      </c>
      <c r="HN59" s="381">
        <f t="shared" si="356"/>
        <v>28456.680450024742</v>
      </c>
      <c r="HO59" s="379">
        <f t="shared" si="586"/>
        <v>1400.1487576724082</v>
      </c>
      <c r="HP59" s="380">
        <f t="shared" si="587"/>
        <v>1996.3395850576414</v>
      </c>
      <c r="HQ59" s="380">
        <f t="shared" si="588"/>
        <v>2628.5883199463383</v>
      </c>
      <c r="HR59" s="380">
        <f t="shared" si="589"/>
        <v>2734.4374844083823</v>
      </c>
      <c r="HS59" s="380">
        <f t="shared" si="590"/>
        <v>2568.2147411521355</v>
      </c>
      <c r="HT59" s="380">
        <f t="shared" si="357"/>
        <v>2621.6816610642782</v>
      </c>
      <c r="HU59" s="380">
        <f t="shared" si="358"/>
        <v>2258.5838055578738</v>
      </c>
      <c r="HV59" s="380">
        <f t="shared" si="359"/>
        <v>2542.1580298346626</v>
      </c>
      <c r="HW59" s="380">
        <f t="shared" si="360"/>
        <v>2720.1184997812111</v>
      </c>
      <c r="HX59" s="380">
        <f t="shared" si="361"/>
        <v>2679.2096036073913</v>
      </c>
      <c r="HY59" s="380">
        <f t="shared" si="362"/>
        <v>2654.1979668489498</v>
      </c>
      <c r="HZ59" s="389">
        <f t="shared" si="375"/>
        <v>3872.4224394708181</v>
      </c>
      <c r="IA59" s="379">
        <f t="shared" si="363"/>
        <v>30676.100894402094</v>
      </c>
      <c r="IB59" s="1344">
        <f t="shared" si="364"/>
        <v>1220.6068257531576</v>
      </c>
      <c r="IC59" s="120">
        <f t="shared" si="365"/>
        <v>2164.562472670787</v>
      </c>
      <c r="ID59" s="120">
        <f t="shared" si="366"/>
        <v>2466.7951779194991</v>
      </c>
      <c r="IE59" s="120">
        <f t="shared" si="367"/>
        <v>1981.7984296854902</v>
      </c>
      <c r="IF59" s="120">
        <f t="shared" si="368"/>
        <v>2153.976224211829</v>
      </c>
      <c r="IG59" s="120">
        <f t="shared" si="369"/>
        <v>1933.7589396105075</v>
      </c>
      <c r="IH59" s="120">
        <f t="shared" si="370"/>
        <v>2801.5789092345331</v>
      </c>
      <c r="II59" s="120">
        <f t="shared" si="371"/>
        <v>3518.1475923246926</v>
      </c>
      <c r="IJ59" s="120"/>
      <c r="IK59" s="120"/>
      <c r="IL59" s="120"/>
      <c r="IM59" s="1345"/>
      <c r="IN59" s="1346">
        <f t="shared" si="372"/>
        <v>18241.224571410494</v>
      </c>
      <c r="IO59" s="120"/>
      <c r="IP59" s="371">
        <f t="shared" si="337"/>
        <v>38.392167246719389</v>
      </c>
      <c r="IQ59" s="348">
        <f t="shared" si="591"/>
        <v>-2.7142596115574902</v>
      </c>
      <c r="IR59" s="320">
        <f t="shared" si="338"/>
        <v>18750.15238469372</v>
      </c>
      <c r="IS59" s="344">
        <f t="shared" si="339"/>
        <v>18241.224571410494</v>
      </c>
    </row>
    <row r="60" spans="1:255" ht="15" customHeight="1" x14ac:dyDescent="0.2">
      <c r="A60" s="1551" t="s">
        <v>480</v>
      </c>
      <c r="B60" s="382">
        <f t="shared" si="376"/>
        <v>39.146525376396049</v>
      </c>
      <c r="C60" s="383">
        <f t="shared" si="377"/>
        <v>16.48723940637035</v>
      </c>
      <c r="D60" s="383">
        <f t="shared" si="378"/>
        <v>365.70480030198308</v>
      </c>
      <c r="E60" s="383">
        <f t="shared" si="379"/>
        <v>207.01817841539093</v>
      </c>
      <c r="F60" s="383">
        <f t="shared" si="380"/>
        <v>491.7654764589829</v>
      </c>
      <c r="G60" s="383">
        <f t="shared" si="381"/>
        <v>32.217991753990233</v>
      </c>
      <c r="H60" s="383">
        <f t="shared" si="382"/>
        <v>129.09661397049061</v>
      </c>
      <c r="I60" s="383">
        <f t="shared" si="383"/>
        <v>592.98428790806156</v>
      </c>
      <c r="J60" s="383">
        <f t="shared" si="384"/>
        <v>272.92206360092189</v>
      </c>
      <c r="K60" s="383">
        <f t="shared" si="385"/>
        <v>66.659549374299289</v>
      </c>
      <c r="L60" s="383">
        <f t="shared" si="386"/>
        <v>129.21522325792679</v>
      </c>
      <c r="M60" s="390">
        <f t="shared" si="387"/>
        <v>1440.1799210123083</v>
      </c>
      <c r="N60" s="384">
        <f t="shared" si="388"/>
        <v>3783.3978708371224</v>
      </c>
      <c r="O60" s="382">
        <f t="shared" si="389"/>
        <v>50.5254537095255</v>
      </c>
      <c r="P60" s="383">
        <f t="shared" si="390"/>
        <v>872.40442073705583</v>
      </c>
      <c r="Q60" s="383">
        <f t="shared" si="391"/>
        <v>280.293107873341</v>
      </c>
      <c r="R60" s="383">
        <f t="shared" si="392"/>
        <v>1283.0461493666976</v>
      </c>
      <c r="S60" s="383">
        <f t="shared" si="393"/>
        <v>86.120342527067649</v>
      </c>
      <c r="T60" s="383">
        <f t="shared" si="394"/>
        <v>7.3543957990843474</v>
      </c>
      <c r="U60" s="383">
        <f t="shared" si="395"/>
        <v>225.71880509216854</v>
      </c>
      <c r="V60" s="383">
        <f t="shared" si="396"/>
        <v>172.86356371684474</v>
      </c>
      <c r="W60" s="383">
        <f t="shared" si="397"/>
        <v>910.19185626616866</v>
      </c>
      <c r="X60" s="383">
        <f t="shared" si="398"/>
        <v>102.95177425290953</v>
      </c>
      <c r="Y60" s="383">
        <f t="shared" si="399"/>
        <v>712.25377622305939</v>
      </c>
      <c r="Z60" s="390">
        <f t="shared" si="400"/>
        <v>205.47277893423899</v>
      </c>
      <c r="AA60" s="384">
        <f t="shared" si="401"/>
        <v>4909.1964244981618</v>
      </c>
      <c r="AB60" s="382">
        <f t="shared" si="402"/>
        <v>34.752731090216329</v>
      </c>
      <c r="AC60" s="383">
        <f t="shared" si="403"/>
        <v>943.53533635455756</v>
      </c>
      <c r="AD60" s="383">
        <f t="shared" si="404"/>
        <v>230.90705968607475</v>
      </c>
      <c r="AE60" s="383">
        <f t="shared" si="405"/>
        <v>343.53028170814997</v>
      </c>
      <c r="AF60" s="383">
        <f t="shared" si="406"/>
        <v>130.55534591576406</v>
      </c>
      <c r="AG60" s="383">
        <f t="shared" si="407"/>
        <v>571.56399708203708</v>
      </c>
      <c r="AH60" s="383">
        <f t="shared" si="408"/>
        <v>450.564673726828</v>
      </c>
      <c r="AI60" s="383">
        <f t="shared" si="409"/>
        <v>693.7986000141841</v>
      </c>
      <c r="AJ60" s="383">
        <f t="shared" si="410"/>
        <v>883.69000831589221</v>
      </c>
      <c r="AK60" s="383">
        <f t="shared" si="411"/>
        <v>901.13310040384931</v>
      </c>
      <c r="AL60" s="383">
        <f t="shared" si="412"/>
        <v>454.57214089174892</v>
      </c>
      <c r="AM60" s="390">
        <f t="shared" si="413"/>
        <v>-310.88982553887178</v>
      </c>
      <c r="AN60" s="384">
        <f t="shared" si="592"/>
        <v>5327.7134496504304</v>
      </c>
      <c r="AO60" s="382">
        <f t="shared" si="414"/>
        <v>0</v>
      </c>
      <c r="AP60" s="383">
        <f t="shared" si="415"/>
        <v>145.33839811550862</v>
      </c>
      <c r="AQ60" s="383">
        <f t="shared" si="416"/>
        <v>0</v>
      </c>
      <c r="AR60" s="383">
        <f t="shared" si="417"/>
        <v>0</v>
      </c>
      <c r="AS60" s="383">
        <f t="shared" si="418"/>
        <v>0</v>
      </c>
      <c r="AT60" s="383">
        <f t="shared" si="419"/>
        <v>75.573811964873457</v>
      </c>
      <c r="AU60" s="383">
        <f t="shared" si="420"/>
        <v>24.412567865218918</v>
      </c>
      <c r="AV60" s="383">
        <f t="shared" si="421"/>
        <v>55.649900389448867</v>
      </c>
      <c r="AW60" s="383">
        <f t="shared" si="422"/>
        <v>747.93593697196718</v>
      </c>
      <c r="AX60" s="383">
        <f t="shared" si="423"/>
        <v>482.97114260662124</v>
      </c>
      <c r="AY60" s="383">
        <f t="shared" si="424"/>
        <v>221.95535012061421</v>
      </c>
      <c r="AZ60" s="390">
        <f t="shared" si="425"/>
        <v>1020.9908697815546</v>
      </c>
      <c r="BA60" s="384">
        <f t="shared" si="426"/>
        <v>2774.8279778158071</v>
      </c>
      <c r="BB60" s="382">
        <f t="shared" si="427"/>
        <v>805.58662515885464</v>
      </c>
      <c r="BC60" s="383">
        <f t="shared" si="428"/>
        <v>754.21956430780892</v>
      </c>
      <c r="BD60" s="383">
        <f t="shared" si="429"/>
        <v>1499.4615591650115</v>
      </c>
      <c r="BE60" s="383">
        <f t="shared" si="430"/>
        <v>1834.656515903243</v>
      </c>
      <c r="BF60" s="383">
        <f t="shared" si="431"/>
        <v>220.47622712810147</v>
      </c>
      <c r="BG60" s="383">
        <f t="shared" si="432"/>
        <v>1728.1774183886871</v>
      </c>
      <c r="BH60" s="383">
        <f t="shared" si="433"/>
        <v>2499.1713611444143</v>
      </c>
      <c r="BI60" s="383">
        <f t="shared" si="434"/>
        <v>262.08951397771943</v>
      </c>
      <c r="BJ60" s="383">
        <f t="shared" si="435"/>
        <v>2905.0984940951244</v>
      </c>
      <c r="BK60" s="383">
        <f t="shared" si="436"/>
        <v>1519.733519353354</v>
      </c>
      <c r="BL60" s="383">
        <f t="shared" si="437"/>
        <v>710.65021008025997</v>
      </c>
      <c r="BM60" s="390">
        <f t="shared" si="438"/>
        <v>1053.1806744694074</v>
      </c>
      <c r="BN60" s="384">
        <f t="shared" si="439"/>
        <v>15792.501683171988</v>
      </c>
      <c r="BO60" s="382">
        <f t="shared" si="440"/>
        <v>0</v>
      </c>
      <c r="BP60" s="383">
        <f t="shared" si="441"/>
        <v>1832.4881208345791</v>
      </c>
      <c r="BQ60" s="383">
        <f t="shared" si="442"/>
        <v>88.603750977504603</v>
      </c>
      <c r="BR60" s="383">
        <f t="shared" si="443"/>
        <v>1263.7913533510341</v>
      </c>
      <c r="BS60" s="383">
        <f t="shared" si="444"/>
        <v>907.70952186889895</v>
      </c>
      <c r="BT60" s="383">
        <f t="shared" si="445"/>
        <v>160.34908399327531</v>
      </c>
      <c r="BU60" s="383">
        <f t="shared" si="446"/>
        <v>2659.5020777831228</v>
      </c>
      <c r="BV60" s="383">
        <f t="shared" si="447"/>
        <v>433.54893643770271</v>
      </c>
      <c r="BW60" s="383">
        <f t="shared" si="448"/>
        <v>205.56727359517808</v>
      </c>
      <c r="BX60" s="383">
        <f t="shared" si="449"/>
        <v>581.53089710419181</v>
      </c>
      <c r="BY60" s="383">
        <f t="shared" si="450"/>
        <v>899.45315630158984</v>
      </c>
      <c r="BZ60" s="390">
        <f t="shared" si="451"/>
        <v>3156.9639415994407</v>
      </c>
      <c r="CA60" s="384">
        <f t="shared" si="452"/>
        <v>12189.508113846518</v>
      </c>
      <c r="CB60" s="382">
        <f t="shared" si="453"/>
        <v>274.59382901413301</v>
      </c>
      <c r="CC60" s="383">
        <f t="shared" si="454"/>
        <v>57.972975389602148</v>
      </c>
      <c r="CD60" s="383">
        <f t="shared" si="455"/>
        <v>658.4342774551908</v>
      </c>
      <c r="CE60" s="383">
        <f t="shared" si="456"/>
        <v>564.11750155030404</v>
      </c>
      <c r="CF60" s="383">
        <f t="shared" si="457"/>
        <v>390.87142466414838</v>
      </c>
      <c r="CG60" s="383">
        <f t="shared" si="458"/>
        <v>375.14582053943434</v>
      </c>
      <c r="CH60" s="383">
        <f t="shared" si="459"/>
        <v>-47.483847490464854</v>
      </c>
      <c r="CI60" s="383">
        <f t="shared" si="460"/>
        <v>464.96877985024639</v>
      </c>
      <c r="CJ60" s="383">
        <f t="shared" si="461"/>
        <v>619.23163929661928</v>
      </c>
      <c r="CK60" s="383">
        <f t="shared" si="462"/>
        <v>88.239331156193145</v>
      </c>
      <c r="CL60" s="383">
        <f t="shared" si="463"/>
        <v>280.89636143147544</v>
      </c>
      <c r="CM60" s="390">
        <f t="shared" si="464"/>
        <v>12.595585722791531</v>
      </c>
      <c r="CN60" s="384">
        <f t="shared" si="465"/>
        <v>3739.5836785796737</v>
      </c>
      <c r="CO60" s="382">
        <f t="shared" si="466"/>
        <v>0</v>
      </c>
      <c r="CP60" s="383">
        <f t="shared" si="467"/>
        <v>0</v>
      </c>
      <c r="CQ60" s="383">
        <f t="shared" si="468"/>
        <v>0</v>
      </c>
      <c r="CR60" s="383">
        <f t="shared" si="469"/>
        <v>0</v>
      </c>
      <c r="CS60" s="383">
        <f t="shared" si="470"/>
        <v>0</v>
      </c>
      <c r="CT60" s="383">
        <f t="shared" si="471"/>
        <v>0</v>
      </c>
      <c r="CU60" s="383">
        <f t="shared" si="472"/>
        <v>3450.1398723292818</v>
      </c>
      <c r="CV60" s="383">
        <f t="shared" si="473"/>
        <v>1904.3275386706266</v>
      </c>
      <c r="CW60" s="383">
        <f t="shared" si="474"/>
        <v>117.98570324702163</v>
      </c>
      <c r="CX60" s="383">
        <f t="shared" si="475"/>
        <v>2630.0632871057592</v>
      </c>
      <c r="CY60" s="383">
        <f t="shared" si="476"/>
        <v>-168.93547862832386</v>
      </c>
      <c r="CZ60" s="390">
        <f t="shared" si="477"/>
        <v>7233.1913364043667</v>
      </c>
      <c r="DA60" s="384">
        <f t="shared" si="478"/>
        <v>15166.772259128733</v>
      </c>
      <c r="DB60" s="382">
        <f t="shared" si="479"/>
        <v>1855.9193148751528</v>
      </c>
      <c r="DC60" s="383">
        <f t="shared" si="480"/>
        <v>990.1440812300068</v>
      </c>
      <c r="DD60" s="383">
        <f t="shared" si="481"/>
        <v>1316.7920111544311</v>
      </c>
      <c r="DE60" s="383">
        <f t="shared" si="482"/>
        <v>1131.7612706070427</v>
      </c>
      <c r="DF60" s="383">
        <f t="shared" si="483"/>
        <v>2889.6897378730978</v>
      </c>
      <c r="DG60" s="383">
        <f t="shared" si="484"/>
        <v>2799.4666715583335</v>
      </c>
      <c r="DH60" s="383">
        <f t="shared" si="485"/>
        <v>3257.4947883513701</v>
      </c>
      <c r="DI60" s="383">
        <f t="shared" si="486"/>
        <v>2207.2690657390203</v>
      </c>
      <c r="DJ60" s="383">
        <f t="shared" si="487"/>
        <v>6844.1389628469897</v>
      </c>
      <c r="DK60" s="383">
        <f t="shared" si="488"/>
        <v>2101.7573950662872</v>
      </c>
      <c r="DL60" s="383">
        <f t="shared" si="489"/>
        <v>5044.5852508125836</v>
      </c>
      <c r="DM60" s="390">
        <f t="shared" si="490"/>
        <v>19881.10172859555</v>
      </c>
      <c r="DN60" s="384">
        <f t="shared" si="348"/>
        <v>50320.120278709866</v>
      </c>
      <c r="DO60" s="382">
        <f t="shared" si="491"/>
        <v>1032.0534277813838</v>
      </c>
      <c r="DP60" s="383">
        <f t="shared" si="492"/>
        <v>1742.2103223215076</v>
      </c>
      <c r="DQ60" s="383">
        <f t="shared" si="493"/>
        <v>10134.075144227176</v>
      </c>
      <c r="DR60" s="383">
        <f t="shared" si="494"/>
        <v>9025.0771705794778</v>
      </c>
      <c r="DS60" s="383">
        <f t="shared" si="495"/>
        <v>10742.75906434392</v>
      </c>
      <c r="DT60" s="383">
        <f t="shared" si="496"/>
        <v>8911.3162785119366</v>
      </c>
      <c r="DU60" s="383">
        <f t="shared" si="497"/>
        <v>11121.783801872103</v>
      </c>
      <c r="DV60" s="383">
        <f t="shared" si="498"/>
        <v>9135.4853568611379</v>
      </c>
      <c r="DW60" s="383">
        <f t="shared" si="499"/>
        <v>12845.737950046387</v>
      </c>
      <c r="DX60" s="383">
        <f t="shared" si="500"/>
        <v>12685.19077463131</v>
      </c>
      <c r="DY60" s="383">
        <f t="shared" si="501"/>
        <v>10463.061010174681</v>
      </c>
      <c r="DZ60" s="390">
        <f t="shared" si="502"/>
        <v>22583.052761990042</v>
      </c>
      <c r="EA60" s="384">
        <f t="shared" si="349"/>
        <v>120421.80306334105</v>
      </c>
      <c r="EB60" s="382">
        <f t="shared" si="503"/>
        <v>1600.3366930693464</v>
      </c>
      <c r="EC60" s="383">
        <f t="shared" si="504"/>
        <v>6569.2180112913302</v>
      </c>
      <c r="ED60" s="383">
        <f t="shared" si="505"/>
        <v>13159.40932695314</v>
      </c>
      <c r="EE60" s="383">
        <f t="shared" si="506"/>
        <v>11407.452599317021</v>
      </c>
      <c r="EF60" s="383">
        <f t="shared" si="507"/>
        <v>12182.162739936231</v>
      </c>
      <c r="EG60" s="383">
        <f t="shared" si="508"/>
        <v>11412.584111121236</v>
      </c>
      <c r="EH60" s="383">
        <f t="shared" si="509"/>
        <v>6532.2077842364333</v>
      </c>
      <c r="EI60" s="383">
        <f t="shared" si="510"/>
        <v>5004.0071889381825</v>
      </c>
      <c r="EJ60" s="383">
        <f t="shared" si="511"/>
        <v>10156.156457947738</v>
      </c>
      <c r="EK60" s="383">
        <f t="shared" si="512"/>
        <v>19043.66862870082</v>
      </c>
      <c r="EL60" s="383">
        <f t="shared" si="513"/>
        <v>10132.341343827389</v>
      </c>
      <c r="EM60" s="390">
        <f t="shared" si="514"/>
        <v>14711.5986637442</v>
      </c>
      <c r="EN60" s="384">
        <f t="shared" si="350"/>
        <v>121911.14354908306</v>
      </c>
      <c r="EO60" s="382">
        <f t="shared" si="515"/>
        <v>0</v>
      </c>
      <c r="EP60" s="383">
        <f t="shared" si="516"/>
        <v>445.66250144529187</v>
      </c>
      <c r="EQ60" s="383">
        <f>+EQ26/EQ37</f>
        <v>3145.9554086217358</v>
      </c>
      <c r="ER60" s="383">
        <f t="shared" si="517"/>
        <v>573.38674037995247</v>
      </c>
      <c r="ES60" s="383">
        <f t="shared" si="518"/>
        <v>1229.333125337075</v>
      </c>
      <c r="ET60" s="383">
        <f t="shared" si="519"/>
        <v>685.28217163512045</v>
      </c>
      <c r="EU60" s="383">
        <f t="shared" si="520"/>
        <v>2045.4813512418227</v>
      </c>
      <c r="EV60" s="383">
        <f t="shared" si="521"/>
        <v>2624.8509740882951</v>
      </c>
      <c r="EW60" s="383">
        <f t="shared" si="522"/>
        <v>3389.3692746435131</v>
      </c>
      <c r="EX60" s="383">
        <f t="shared" si="523"/>
        <v>2329.3238047694904</v>
      </c>
      <c r="EY60" s="383">
        <f t="shared" si="524"/>
        <v>2365.6131428547155</v>
      </c>
      <c r="EZ60" s="390">
        <f t="shared" si="525"/>
        <v>4735.8492942735529</v>
      </c>
      <c r="FA60" s="384">
        <f t="shared" si="351"/>
        <v>23570.107789290567</v>
      </c>
      <c r="FB60" s="382">
        <f t="shared" si="526"/>
        <v>257.39738484357611</v>
      </c>
      <c r="FC60" s="383">
        <f t="shared" si="527"/>
        <v>1775.7700484053253</v>
      </c>
      <c r="FD60" s="383">
        <f t="shared" si="528"/>
        <v>1300.2288516393196</v>
      </c>
      <c r="FE60" s="383">
        <f t="shared" si="529"/>
        <v>907.33066865490377</v>
      </c>
      <c r="FF60" s="383">
        <f t="shared" si="530"/>
        <v>1904.1236651398203</v>
      </c>
      <c r="FG60" s="383">
        <f t="shared" si="531"/>
        <v>669.13973750381422</v>
      </c>
      <c r="FH60" s="383">
        <f t="shared" si="532"/>
        <v>2633.5611960134192</v>
      </c>
      <c r="FI60" s="383">
        <f t="shared" si="533"/>
        <v>4255.9529679252782</v>
      </c>
      <c r="FJ60" s="383">
        <f t="shared" si="534"/>
        <v>14667.734798813644</v>
      </c>
      <c r="FK60" s="383">
        <f t="shared" si="535"/>
        <v>25272.321350494065</v>
      </c>
      <c r="FL60" s="383">
        <f t="shared" si="536"/>
        <v>41694.328702175408</v>
      </c>
      <c r="FM60" s="390">
        <f t="shared" si="537"/>
        <v>67210.557009120894</v>
      </c>
      <c r="FN60" s="384">
        <f t="shared" si="352"/>
        <v>162548.44638072947</v>
      </c>
      <c r="FO60" s="382">
        <f t="shared" si="538"/>
        <v>2150.5912104487657</v>
      </c>
      <c r="FP60" s="383">
        <f t="shared" si="539"/>
        <v>16148.742555556933</v>
      </c>
      <c r="FQ60" s="383">
        <f t="shared" si="540"/>
        <v>25439.393072571565</v>
      </c>
      <c r="FR60" s="383">
        <f t="shared" si="541"/>
        <v>15646.411497941201</v>
      </c>
      <c r="FS60" s="383">
        <f t="shared" si="542"/>
        <v>13287.388096432673</v>
      </c>
      <c r="FT60" s="383">
        <f t="shared" si="543"/>
        <v>21717.827057315437</v>
      </c>
      <c r="FU60" s="383">
        <f t="shared" si="544"/>
        <v>18419.370322423358</v>
      </c>
      <c r="FV60" s="383">
        <f t="shared" si="545"/>
        <v>18154.602432892651</v>
      </c>
      <c r="FW60" s="383">
        <f t="shared" si="546"/>
        <v>20665.269818299403</v>
      </c>
      <c r="FX60" s="383">
        <f t="shared" si="547"/>
        <v>18999.434265489352</v>
      </c>
      <c r="FY60" s="383">
        <f t="shared" si="548"/>
        <v>17634.477607014538</v>
      </c>
      <c r="FZ60" s="390">
        <f t="shared" si="549"/>
        <v>34285.298007761114</v>
      </c>
      <c r="GA60" s="384">
        <f t="shared" si="353"/>
        <v>222548.80594414694</v>
      </c>
      <c r="GB60" s="382">
        <f t="shared" si="550"/>
        <v>232.12494011038817</v>
      </c>
      <c r="GC60" s="383">
        <f t="shared" si="551"/>
        <v>166.56017822448376</v>
      </c>
      <c r="GD60" s="383">
        <f t="shared" si="552"/>
        <v>11752.909999449146</v>
      </c>
      <c r="GE60" s="383">
        <f t="shared" si="553"/>
        <v>4867.1829397159954</v>
      </c>
      <c r="GF60" s="383">
        <f t="shared" si="554"/>
        <v>4288.7150241308382</v>
      </c>
      <c r="GG60" s="383">
        <f t="shared" si="555"/>
        <v>4143.5932308497286</v>
      </c>
      <c r="GH60" s="383">
        <f t="shared" si="556"/>
        <v>9470.0186631827037</v>
      </c>
      <c r="GI60" s="383">
        <f t="shared" si="557"/>
        <v>8446.3340390420108</v>
      </c>
      <c r="GJ60" s="383">
        <f t="shared" si="558"/>
        <v>15429.161376730312</v>
      </c>
      <c r="GK60" s="383">
        <f t="shared" si="559"/>
        <v>12075.47944824648</v>
      </c>
      <c r="GL60" s="383">
        <f t="shared" si="560"/>
        <v>8377.4482553382932</v>
      </c>
      <c r="GM60" s="390">
        <f t="shared" si="561"/>
        <v>8670.021328000732</v>
      </c>
      <c r="GN60" s="384">
        <f t="shared" si="354"/>
        <v>87919.549423021119</v>
      </c>
      <c r="GO60" s="382">
        <f t="shared" si="562"/>
        <v>308.70251007853153</v>
      </c>
      <c r="GP60" s="383">
        <f t="shared" si="563"/>
        <v>16.385315820240855</v>
      </c>
      <c r="GQ60" s="383">
        <f t="shared" si="564"/>
        <v>-296.49619103292974</v>
      </c>
      <c r="GR60" s="383">
        <f t="shared" si="565"/>
        <v>1006.3814771754975</v>
      </c>
      <c r="GS60" s="383">
        <f t="shared" si="566"/>
        <v>163.28031338837181</v>
      </c>
      <c r="GT60" s="383">
        <f t="shared" si="567"/>
        <v>1582.4688061043475</v>
      </c>
      <c r="GU60" s="383">
        <f t="shared" si="568"/>
        <v>111.45127808304241</v>
      </c>
      <c r="GV60" s="383">
        <f t="shared" si="569"/>
        <v>1125.0975804358402</v>
      </c>
      <c r="GW60" s="383">
        <f t="shared" si="570"/>
        <v>1655.9991956506772</v>
      </c>
      <c r="GX60" s="383">
        <f t="shared" si="571"/>
        <v>501.42142507495095</v>
      </c>
      <c r="GY60" s="383">
        <f t="shared" si="572"/>
        <v>347.21021176079358</v>
      </c>
      <c r="GZ60" s="390">
        <f t="shared" si="573"/>
        <v>1167.2631894534979</v>
      </c>
      <c r="HA60" s="384">
        <f t="shared" si="355"/>
        <v>7689.165111992862</v>
      </c>
      <c r="HB60" s="382">
        <f t="shared" si="574"/>
        <v>295.60198030006791</v>
      </c>
      <c r="HC60" s="383">
        <f t="shared" si="575"/>
        <v>644.55054312703749</v>
      </c>
      <c r="HD60" s="383">
        <f t="shared" si="576"/>
        <v>1025.5670307915984</v>
      </c>
      <c r="HE60" s="383">
        <f t="shared" si="577"/>
        <v>741.65000198650068</v>
      </c>
      <c r="HF60" s="383">
        <f t="shared" si="578"/>
        <v>484.58434960174452</v>
      </c>
      <c r="HG60" s="383">
        <f t="shared" si="579"/>
        <v>323.04292250296726</v>
      </c>
      <c r="HH60" s="383">
        <f t="shared" si="580"/>
        <v>646.77693399284465</v>
      </c>
      <c r="HI60" s="383">
        <f t="shared" si="581"/>
        <v>530.59466730800409</v>
      </c>
      <c r="HJ60" s="383">
        <f t="shared" si="582"/>
        <v>236.01433092837922</v>
      </c>
      <c r="HK60" s="383">
        <f t="shared" si="583"/>
        <v>719.87639485464808</v>
      </c>
      <c r="HL60" s="383">
        <f t="shared" si="584"/>
        <v>1328.8400580804212</v>
      </c>
      <c r="HM60" s="390">
        <f t="shared" si="585"/>
        <v>845.81364872956135</v>
      </c>
      <c r="HN60" s="384">
        <f t="shared" si="356"/>
        <v>7822.9128622037751</v>
      </c>
      <c r="HO60" s="382">
        <f t="shared" si="586"/>
        <v>97.294682042731253</v>
      </c>
      <c r="HP60" s="383">
        <f t="shared" si="587"/>
        <v>159.05976565318082</v>
      </c>
      <c r="HQ60" s="383">
        <f t="shared" si="588"/>
        <v>28.788246132520978</v>
      </c>
      <c r="HR60" s="383">
        <f t="shared" si="589"/>
        <v>285.86046759304583</v>
      </c>
      <c r="HS60" s="383">
        <f t="shared" si="590"/>
        <v>0</v>
      </c>
      <c r="HT60" s="383">
        <f t="shared" si="357"/>
        <v>363.41779862039533</v>
      </c>
      <c r="HU60" s="383">
        <f t="shared" si="358"/>
        <v>843.46138219737406</v>
      </c>
      <c r="HV60" s="383">
        <f t="shared" si="359"/>
        <v>2082.5058399383583</v>
      </c>
      <c r="HW60" s="383">
        <f t="shared" si="360"/>
        <v>724.99710115872438</v>
      </c>
      <c r="HX60" s="383">
        <f t="shared" si="361"/>
        <v>152.43493106486085</v>
      </c>
      <c r="HY60" s="383">
        <f t="shared" si="362"/>
        <v>515.28183351422138</v>
      </c>
      <c r="HZ60" s="390">
        <f t="shared" si="375"/>
        <v>2045.7353904936087</v>
      </c>
      <c r="IA60" s="382">
        <f>SUM(HO60:HZ60)</f>
        <v>7298.8374384090221</v>
      </c>
      <c r="IB60" s="1344">
        <f t="shared" si="364"/>
        <v>123.71015125876599</v>
      </c>
      <c r="IC60" s="120">
        <f t="shared" si="365"/>
        <v>63.888448360868331</v>
      </c>
      <c r="ID60" s="120">
        <f t="shared" si="366"/>
        <v>563.76270336452114</v>
      </c>
      <c r="IE60" s="120">
        <f>+IE26/$IE$37</f>
        <v>1263.8939382893809</v>
      </c>
      <c r="IF60" s="120">
        <f t="shared" si="368"/>
        <v>1777.7079866737154</v>
      </c>
      <c r="IG60" s="120">
        <f t="shared" si="369"/>
        <v>864.80966013291402</v>
      </c>
      <c r="IH60" s="120">
        <f t="shared" si="370"/>
        <v>1871.0677032989267</v>
      </c>
      <c r="II60" s="120">
        <f t="shared" si="371"/>
        <v>2278.6860738393752</v>
      </c>
      <c r="IJ60" s="120"/>
      <c r="IK60" s="120"/>
      <c r="IL60" s="120"/>
      <c r="IM60" s="1345"/>
      <c r="IN60" s="1346">
        <f t="shared" si="372"/>
        <v>8807.5266652184691</v>
      </c>
      <c r="IO60" s="120"/>
      <c r="IP60" s="371">
        <f t="shared" si="337"/>
        <v>9.4203929774729467</v>
      </c>
      <c r="IQ60" s="348">
        <f t="shared" si="591"/>
        <v>128.15132182510803</v>
      </c>
      <c r="IR60" s="320">
        <f t="shared" si="338"/>
        <v>3860.3881821776067</v>
      </c>
      <c r="IS60" s="344">
        <f t="shared" si="339"/>
        <v>8807.5266652184691</v>
      </c>
    </row>
    <row r="61" spans="1:255" ht="15" customHeight="1" x14ac:dyDescent="0.2">
      <c r="A61" s="1551" t="s">
        <v>328</v>
      </c>
      <c r="B61" s="379">
        <f t="shared" si="376"/>
        <v>338.6174445058258</v>
      </c>
      <c r="C61" s="380">
        <f t="shared" si="377"/>
        <v>586.75175534435652</v>
      </c>
      <c r="D61" s="380">
        <f t="shared" si="378"/>
        <v>1062.559616625447</v>
      </c>
      <c r="E61" s="380">
        <f t="shared" si="379"/>
        <v>930.62338537659537</v>
      </c>
      <c r="F61" s="380">
        <f t="shared" si="380"/>
        <v>851.75690291536455</v>
      </c>
      <c r="G61" s="380">
        <f t="shared" si="381"/>
        <v>1137.1055913173022</v>
      </c>
      <c r="H61" s="380">
        <f t="shared" si="382"/>
        <v>559.73276422241906</v>
      </c>
      <c r="I61" s="380">
        <f t="shared" si="383"/>
        <v>781.27787695943664</v>
      </c>
      <c r="J61" s="380">
        <f t="shared" si="384"/>
        <v>734.00200040111417</v>
      </c>
      <c r="K61" s="380">
        <f t="shared" si="385"/>
        <v>1273.0122276341879</v>
      </c>
      <c r="L61" s="380">
        <f t="shared" si="386"/>
        <v>742.98753373307909</v>
      </c>
      <c r="M61" s="389">
        <f t="shared" si="387"/>
        <v>2884.0384625125157</v>
      </c>
      <c r="N61" s="381">
        <f t="shared" si="388"/>
        <v>11882.465561547644</v>
      </c>
      <c r="O61" s="379">
        <f t="shared" si="389"/>
        <v>1203.4244428996074</v>
      </c>
      <c r="P61" s="380">
        <f t="shared" si="390"/>
        <v>937.67387687228347</v>
      </c>
      <c r="Q61" s="380">
        <f t="shared" si="391"/>
        <v>2311.9601446807605</v>
      </c>
      <c r="R61" s="380">
        <f t="shared" si="392"/>
        <v>759.20432392933071</v>
      </c>
      <c r="S61" s="380">
        <f t="shared" si="393"/>
        <v>852.9578605606381</v>
      </c>
      <c r="T61" s="380">
        <f t="shared" si="394"/>
        <v>726.24658515957935</v>
      </c>
      <c r="U61" s="380">
        <f t="shared" si="395"/>
        <v>1584.6194162364841</v>
      </c>
      <c r="V61" s="380">
        <f t="shared" si="396"/>
        <v>728.23373650926078</v>
      </c>
      <c r="W61" s="380">
        <f t="shared" si="397"/>
        <v>655.26451128565429</v>
      </c>
      <c r="X61" s="380">
        <f t="shared" si="398"/>
        <v>1157.2882480751171</v>
      </c>
      <c r="Y61" s="380">
        <f t="shared" si="399"/>
        <v>493.24034115705405</v>
      </c>
      <c r="Z61" s="389">
        <f t="shared" si="400"/>
        <v>990.67232700436648</v>
      </c>
      <c r="AA61" s="381">
        <f t="shared" si="401"/>
        <v>12400.785814370136</v>
      </c>
      <c r="AB61" s="379">
        <f t="shared" si="402"/>
        <v>30.180003315187861</v>
      </c>
      <c r="AC61" s="380">
        <f t="shared" si="403"/>
        <v>1046.5493392609005</v>
      </c>
      <c r="AD61" s="380">
        <f t="shared" si="404"/>
        <v>1326.3519688267049</v>
      </c>
      <c r="AE61" s="380">
        <f t="shared" si="405"/>
        <v>722.50416390999794</v>
      </c>
      <c r="AF61" s="380">
        <f t="shared" si="406"/>
        <v>525.84792104960525</v>
      </c>
      <c r="AG61" s="380">
        <f t="shared" si="407"/>
        <v>614.06954749794807</v>
      </c>
      <c r="AH61" s="380">
        <f t="shared" si="408"/>
        <v>446.0590269895597</v>
      </c>
      <c r="AI61" s="380">
        <f t="shared" si="409"/>
        <v>872.64046711628589</v>
      </c>
      <c r="AJ61" s="380">
        <f t="shared" si="410"/>
        <v>800.9845344958901</v>
      </c>
      <c r="AK61" s="380">
        <f t="shared" si="411"/>
        <v>988.4556885548717</v>
      </c>
      <c r="AL61" s="380">
        <f t="shared" si="412"/>
        <v>1061.2684239829148</v>
      </c>
      <c r="AM61" s="389">
        <f t="shared" si="413"/>
        <v>2186.1125593528182</v>
      </c>
      <c r="AN61" s="381">
        <f t="shared" si="592"/>
        <v>10621.023644352685</v>
      </c>
      <c r="AO61" s="379">
        <f t="shared" si="414"/>
        <v>0</v>
      </c>
      <c r="AP61" s="380">
        <f t="shared" si="415"/>
        <v>0</v>
      </c>
      <c r="AQ61" s="380">
        <f t="shared" si="416"/>
        <v>77.034017314682188</v>
      </c>
      <c r="AR61" s="380">
        <f t="shared" si="417"/>
        <v>350.0283005589979</v>
      </c>
      <c r="AS61" s="380">
        <f t="shared" si="418"/>
        <v>241.90210568175041</v>
      </c>
      <c r="AT61" s="380">
        <f t="shared" si="419"/>
        <v>1167.8790244339166</v>
      </c>
      <c r="AU61" s="380">
        <f t="shared" si="420"/>
        <v>1295.6098517041182</v>
      </c>
      <c r="AV61" s="380">
        <f t="shared" si="421"/>
        <v>966.04748957308902</v>
      </c>
      <c r="AW61" s="380">
        <f t="shared" si="422"/>
        <v>1315.6045797490685</v>
      </c>
      <c r="AX61" s="380">
        <f t="shared" si="423"/>
        <v>1900.7808832460944</v>
      </c>
      <c r="AY61" s="380">
        <f t="shared" si="424"/>
        <v>1837.5838289055503</v>
      </c>
      <c r="AZ61" s="389">
        <f t="shared" si="425"/>
        <v>3067.2624869487881</v>
      </c>
      <c r="BA61" s="381">
        <f t="shared" si="426"/>
        <v>12219.732568116056</v>
      </c>
      <c r="BB61" s="379">
        <f t="shared" si="427"/>
        <v>165.75503054974303</v>
      </c>
      <c r="BC61" s="380">
        <f t="shared" si="428"/>
        <v>336.44527670030521</v>
      </c>
      <c r="BD61" s="380">
        <f t="shared" si="429"/>
        <v>1064.4902740134614</v>
      </c>
      <c r="BE61" s="380">
        <f t="shared" si="430"/>
        <v>1606.4864287112227</v>
      </c>
      <c r="BF61" s="380">
        <f t="shared" si="431"/>
        <v>1003.5469648589446</v>
      </c>
      <c r="BG61" s="380">
        <f t="shared" si="432"/>
        <v>1622.5431018612612</v>
      </c>
      <c r="BH61" s="380">
        <f t="shared" si="433"/>
        <v>1308.6877060046766</v>
      </c>
      <c r="BI61" s="380">
        <f t="shared" si="434"/>
        <v>1666.6204991403697</v>
      </c>
      <c r="BJ61" s="380">
        <f t="shared" si="435"/>
        <v>1171.397206994928</v>
      </c>
      <c r="BK61" s="380">
        <f t="shared" si="436"/>
        <v>2850.337206452381</v>
      </c>
      <c r="BL61" s="380">
        <f t="shared" si="437"/>
        <v>3623.6456466828354</v>
      </c>
      <c r="BM61" s="389">
        <f t="shared" si="438"/>
        <v>4064.7758888450226</v>
      </c>
      <c r="BN61" s="381">
        <f t="shared" si="439"/>
        <v>20484.731230815152</v>
      </c>
      <c r="BO61" s="379">
        <f t="shared" si="440"/>
        <v>232.08992661385324</v>
      </c>
      <c r="BP61" s="380">
        <f t="shared" si="441"/>
        <v>1010.2499489689951</v>
      </c>
      <c r="BQ61" s="380">
        <f t="shared" si="442"/>
        <v>1080.6345329499393</v>
      </c>
      <c r="BR61" s="380">
        <f t="shared" si="443"/>
        <v>2287.2145473392243</v>
      </c>
      <c r="BS61" s="380">
        <f t="shared" si="444"/>
        <v>4576.4718945451932</v>
      </c>
      <c r="BT61" s="380">
        <f t="shared" si="445"/>
        <v>4072.8667334291931</v>
      </c>
      <c r="BU61" s="380">
        <f t="shared" si="446"/>
        <v>8613.9407703842662</v>
      </c>
      <c r="BV61" s="380">
        <f t="shared" si="447"/>
        <v>8940.2183121703383</v>
      </c>
      <c r="BW61" s="380">
        <f t="shared" si="448"/>
        <v>3378.4534529990137</v>
      </c>
      <c r="BX61" s="380">
        <f t="shared" si="449"/>
        <v>3694.6704621885037</v>
      </c>
      <c r="BY61" s="380">
        <f t="shared" si="450"/>
        <v>2075.6611299267456</v>
      </c>
      <c r="BZ61" s="389">
        <f t="shared" si="451"/>
        <v>-2679.1531828708767</v>
      </c>
      <c r="CA61" s="381">
        <f t="shared" si="452"/>
        <v>37283.318528644391</v>
      </c>
      <c r="CB61" s="379">
        <f t="shared" si="453"/>
        <v>630.99879882598702</v>
      </c>
      <c r="CC61" s="380">
        <f t="shared" si="454"/>
        <v>2096.6892765906109</v>
      </c>
      <c r="CD61" s="380">
        <f t="shared" si="455"/>
        <v>1709.3658735880501</v>
      </c>
      <c r="CE61" s="380">
        <f t="shared" si="456"/>
        <v>4047.762496979763</v>
      </c>
      <c r="CF61" s="380">
        <f t="shared" si="457"/>
        <v>1126.4420894089001</v>
      </c>
      <c r="CG61" s="380">
        <f t="shared" si="458"/>
        <v>1149.2814756356399</v>
      </c>
      <c r="CH61" s="380">
        <f t="shared" si="459"/>
        <v>3299.3360031291331</v>
      </c>
      <c r="CI61" s="380">
        <f t="shared" si="460"/>
        <v>144.16408506430128</v>
      </c>
      <c r="CJ61" s="380">
        <f t="shared" si="461"/>
        <v>2657.2392184376004</v>
      </c>
      <c r="CK61" s="380">
        <f t="shared" si="462"/>
        <v>2105.9261801830739</v>
      </c>
      <c r="CL61" s="380">
        <f t="shared" si="463"/>
        <v>1993.8907453296024</v>
      </c>
      <c r="CM61" s="389">
        <f t="shared" si="464"/>
        <v>2164.0790719971201</v>
      </c>
      <c r="CN61" s="381">
        <f t="shared" si="465"/>
        <v>23125.175315169778</v>
      </c>
      <c r="CO61" s="379">
        <f t="shared" si="466"/>
        <v>0</v>
      </c>
      <c r="CP61" s="380">
        <f t="shared" si="467"/>
        <v>152.78980966307603</v>
      </c>
      <c r="CQ61" s="380">
        <f t="shared" si="468"/>
        <v>576.22198959873856</v>
      </c>
      <c r="CR61" s="380">
        <f t="shared" si="469"/>
        <v>1405.1362831140896</v>
      </c>
      <c r="CS61" s="380">
        <f t="shared" si="470"/>
        <v>807.26697018393008</v>
      </c>
      <c r="CT61" s="380">
        <f t="shared" si="471"/>
        <v>1126.3029001050591</v>
      </c>
      <c r="CU61" s="380">
        <f t="shared" si="472"/>
        <v>995.90878459128362</v>
      </c>
      <c r="CV61" s="380">
        <f t="shared" si="473"/>
        <v>1005.8443337000791</v>
      </c>
      <c r="CW61" s="380">
        <f t="shared" si="474"/>
        <v>870.81060977156619</v>
      </c>
      <c r="CX61" s="380">
        <f t="shared" si="475"/>
        <v>703.8839895548939</v>
      </c>
      <c r="CY61" s="380">
        <f t="shared" si="476"/>
        <v>770.4366895291721</v>
      </c>
      <c r="CZ61" s="389">
        <f t="shared" si="477"/>
        <v>2521.9259544297993</v>
      </c>
      <c r="DA61" s="381">
        <f t="shared" si="478"/>
        <v>10936.528314241685</v>
      </c>
      <c r="DB61" s="379">
        <f t="shared" si="479"/>
        <v>10655.381297264998</v>
      </c>
      <c r="DC61" s="380">
        <f t="shared" si="480"/>
        <v>1326.1929815262515</v>
      </c>
      <c r="DD61" s="380">
        <f t="shared" si="481"/>
        <v>1524.0786357868953</v>
      </c>
      <c r="DE61" s="380">
        <f t="shared" si="482"/>
        <v>1856.4463529720265</v>
      </c>
      <c r="DF61" s="380">
        <f t="shared" si="483"/>
        <v>1775.9241514683536</v>
      </c>
      <c r="DG61" s="380">
        <f t="shared" si="484"/>
        <v>1546.8390685202894</v>
      </c>
      <c r="DH61" s="380">
        <f t="shared" si="485"/>
        <v>1553.7685943526476</v>
      </c>
      <c r="DI61" s="380">
        <f t="shared" si="486"/>
        <v>1462.3897261950547</v>
      </c>
      <c r="DJ61" s="380">
        <f t="shared" si="487"/>
        <v>2771.7581757431453</v>
      </c>
      <c r="DK61" s="380">
        <f t="shared" si="488"/>
        <v>2139.9845320174754</v>
      </c>
      <c r="DL61" s="380">
        <f t="shared" si="489"/>
        <v>1746.0334303161253</v>
      </c>
      <c r="DM61" s="389">
        <f t="shared" si="490"/>
        <v>2109.2437413808375</v>
      </c>
      <c r="DN61" s="381">
        <f t="shared" si="348"/>
        <v>30468.040687544104</v>
      </c>
      <c r="DO61" s="379">
        <f t="shared" si="491"/>
        <v>344.01780926046126</v>
      </c>
      <c r="DP61" s="380">
        <f t="shared" si="492"/>
        <v>444.63416065920046</v>
      </c>
      <c r="DQ61" s="380">
        <f t="shared" si="493"/>
        <v>1252.2360369299822</v>
      </c>
      <c r="DR61" s="380">
        <f t="shared" si="494"/>
        <v>1261.9719890340996</v>
      </c>
      <c r="DS61" s="380">
        <f t="shared" si="495"/>
        <v>1657.9535398086737</v>
      </c>
      <c r="DT61" s="380">
        <f t="shared" si="496"/>
        <v>1306.9351931881397</v>
      </c>
      <c r="DU61" s="380">
        <f t="shared" si="497"/>
        <v>1450.8557529700759</v>
      </c>
      <c r="DV61" s="380">
        <f t="shared" si="498"/>
        <v>1117.1090327281729</v>
      </c>
      <c r="DW61" s="380">
        <f t="shared" si="499"/>
        <v>1194.0684282507389</v>
      </c>
      <c r="DX61" s="380">
        <f t="shared" si="500"/>
        <v>1775.4223271054559</v>
      </c>
      <c r="DY61" s="380">
        <f t="shared" si="501"/>
        <v>1650.4662896259536</v>
      </c>
      <c r="DZ61" s="389">
        <f t="shared" si="502"/>
        <v>3036.8796095076145</v>
      </c>
      <c r="EA61" s="381">
        <f t="shared" si="349"/>
        <v>16492.550169068571</v>
      </c>
      <c r="EB61" s="379">
        <f t="shared" si="503"/>
        <v>621.27330909529735</v>
      </c>
      <c r="EC61" s="380">
        <f t="shared" si="504"/>
        <v>1272.4807953660077</v>
      </c>
      <c r="ED61" s="380">
        <f t="shared" si="505"/>
        <v>1830.0975990402928</v>
      </c>
      <c r="EE61" s="380">
        <f t="shared" si="506"/>
        <v>2082.4093258900025</v>
      </c>
      <c r="EF61" s="380">
        <f t="shared" si="507"/>
        <v>2508.4079735840978</v>
      </c>
      <c r="EG61" s="380">
        <f t="shared" si="508"/>
        <v>2213.4879455711271</v>
      </c>
      <c r="EH61" s="380">
        <f t="shared" si="509"/>
        <v>2036.0312680393276</v>
      </c>
      <c r="EI61" s="380">
        <f t="shared" si="510"/>
        <v>2182.379996196491</v>
      </c>
      <c r="EJ61" s="380">
        <f t="shared" si="511"/>
        <v>1958.7176657846496</v>
      </c>
      <c r="EK61" s="380">
        <f t="shared" si="512"/>
        <v>1652.1871980388057</v>
      </c>
      <c r="EL61" s="380">
        <f t="shared" si="513"/>
        <v>934.29275696029913</v>
      </c>
      <c r="EM61" s="389">
        <f t="shared" si="514"/>
        <v>1596.4490158268497</v>
      </c>
      <c r="EN61" s="381">
        <f t="shared" si="350"/>
        <v>20888.214849393244</v>
      </c>
      <c r="EO61" s="379">
        <f t="shared" si="515"/>
        <v>11.98437861903934</v>
      </c>
      <c r="EP61" s="380">
        <f t="shared" si="516"/>
        <v>152.77845626165615</v>
      </c>
      <c r="EQ61" s="380">
        <f>+EQ27/EQ37</f>
        <v>59.410399851776837</v>
      </c>
      <c r="ER61" s="380">
        <f t="shared" si="517"/>
        <v>232.28440942399536</v>
      </c>
      <c r="ES61" s="380">
        <f t="shared" si="518"/>
        <v>839.28975412531179</v>
      </c>
      <c r="ET61" s="380">
        <f t="shared" si="519"/>
        <v>991.32375184653233</v>
      </c>
      <c r="EU61" s="380">
        <f t="shared" si="520"/>
        <v>906.55176893472617</v>
      </c>
      <c r="EV61" s="380">
        <f t="shared" si="521"/>
        <v>1185.5287180981572</v>
      </c>
      <c r="EW61" s="380">
        <f t="shared" si="522"/>
        <v>1083.2076574142754</v>
      </c>
      <c r="EX61" s="380">
        <f t="shared" si="523"/>
        <v>1391.7605559803396</v>
      </c>
      <c r="EY61" s="380">
        <f t="shared" si="524"/>
        <v>1214.7180683690929</v>
      </c>
      <c r="EZ61" s="389">
        <f t="shared" si="525"/>
        <v>1794.3752917346949</v>
      </c>
      <c r="FA61" s="381">
        <f t="shared" si="351"/>
        <v>9863.2132106596</v>
      </c>
      <c r="FB61" s="379">
        <f t="shared" si="526"/>
        <v>99.637697358803649</v>
      </c>
      <c r="FC61" s="380">
        <f t="shared" si="527"/>
        <v>156.84817159066492</v>
      </c>
      <c r="FD61" s="380">
        <f t="shared" si="528"/>
        <v>210.75515177047049</v>
      </c>
      <c r="FE61" s="380">
        <f t="shared" si="529"/>
        <v>53.493418106638316</v>
      </c>
      <c r="FF61" s="380">
        <f t="shared" si="530"/>
        <v>45.173314845157492</v>
      </c>
      <c r="FG61" s="380">
        <f t="shared" si="531"/>
        <v>52.158584666963975</v>
      </c>
      <c r="FH61" s="380">
        <f t="shared" si="532"/>
        <v>327.91423452307163</v>
      </c>
      <c r="FI61" s="380">
        <f t="shared" si="533"/>
        <v>936.95252547929147</v>
      </c>
      <c r="FJ61" s="380">
        <f t="shared" si="534"/>
        <v>1474.4908241671862</v>
      </c>
      <c r="FK61" s="380">
        <f t="shared" si="535"/>
        <v>2096.2397748302383</v>
      </c>
      <c r="FL61" s="380">
        <f t="shared" si="536"/>
        <v>1973.3141883320227</v>
      </c>
      <c r="FM61" s="389">
        <f t="shared" si="537"/>
        <v>2687.9334417495138</v>
      </c>
      <c r="FN61" s="381">
        <f t="shared" si="352"/>
        <v>10114.911327420023</v>
      </c>
      <c r="FO61" s="379">
        <f t="shared" si="538"/>
        <v>376.06703084625866</v>
      </c>
      <c r="FP61" s="380">
        <f t="shared" si="539"/>
        <v>292.87732006317214</v>
      </c>
      <c r="FQ61" s="380">
        <f t="shared" si="540"/>
        <v>649.80403728802526</v>
      </c>
      <c r="FR61" s="380">
        <f t="shared" si="541"/>
        <v>513.12887817026842</v>
      </c>
      <c r="FS61" s="380">
        <f t="shared" si="542"/>
        <v>1536.5776369749685</v>
      </c>
      <c r="FT61" s="380">
        <f t="shared" si="543"/>
        <v>931.13430569816467</v>
      </c>
      <c r="FU61" s="380">
        <f t="shared" si="544"/>
        <v>2319.3641632686408</v>
      </c>
      <c r="FV61" s="380">
        <f t="shared" si="545"/>
        <v>814.48758312812481</v>
      </c>
      <c r="FW61" s="380">
        <f t="shared" si="546"/>
        <v>989.06699337630459</v>
      </c>
      <c r="FX61" s="380">
        <f t="shared" si="547"/>
        <v>2146.7521752855519</v>
      </c>
      <c r="FY61" s="380">
        <f t="shared" si="548"/>
        <v>3657.0259817959277</v>
      </c>
      <c r="FZ61" s="389">
        <f t="shared" si="549"/>
        <v>6911.6690598802406</v>
      </c>
      <c r="GA61" s="381">
        <f t="shared" si="353"/>
        <v>21137.955165775649</v>
      </c>
      <c r="GB61" s="379">
        <f t="shared" si="550"/>
        <v>9.5655881913621492</v>
      </c>
      <c r="GC61" s="380">
        <f t="shared" si="551"/>
        <v>137.31678815453625</v>
      </c>
      <c r="GD61" s="380">
        <f t="shared" si="552"/>
        <v>2317.8810829892777</v>
      </c>
      <c r="GE61" s="380">
        <f t="shared" si="553"/>
        <v>1938.4344089332953</v>
      </c>
      <c r="GF61" s="380">
        <f t="shared" si="554"/>
        <v>1384.0347274472394</v>
      </c>
      <c r="GG61" s="380">
        <f t="shared" si="555"/>
        <v>2916.9479105568998</v>
      </c>
      <c r="GH61" s="380">
        <f t="shared" si="556"/>
        <v>7824.5060899980308</v>
      </c>
      <c r="GI61" s="380">
        <f t="shared" si="557"/>
        <v>3775.3009085540089</v>
      </c>
      <c r="GJ61" s="380">
        <f t="shared" si="558"/>
        <v>1460.444671575465</v>
      </c>
      <c r="GK61" s="380">
        <f t="shared" si="559"/>
        <v>2202.6933195498468</v>
      </c>
      <c r="GL61" s="380">
        <f t="shared" si="560"/>
        <v>2456.3176307053468</v>
      </c>
      <c r="GM61" s="389">
        <f t="shared" si="561"/>
        <v>2048.8285694705578</v>
      </c>
      <c r="GN61" s="381">
        <f t="shared" si="354"/>
        <v>28472.27169612587</v>
      </c>
      <c r="GO61" s="379">
        <f t="shared" si="562"/>
        <v>0</v>
      </c>
      <c r="GP61" s="380">
        <f t="shared" si="563"/>
        <v>86.022908056264484</v>
      </c>
      <c r="GQ61" s="380">
        <f t="shared" si="564"/>
        <v>196.50819678595735</v>
      </c>
      <c r="GR61" s="380">
        <f t="shared" si="565"/>
        <v>218.40374718828616</v>
      </c>
      <c r="GS61" s="380">
        <f t="shared" si="566"/>
        <v>1448.8979388041837</v>
      </c>
      <c r="GT61" s="380">
        <f t="shared" si="567"/>
        <v>4446.1750465926716</v>
      </c>
      <c r="GU61" s="380">
        <f t="shared" si="568"/>
        <v>8134.8002100304748</v>
      </c>
      <c r="GV61" s="380">
        <f t="shared" si="569"/>
        <v>944.03430585152989</v>
      </c>
      <c r="GW61" s="380">
        <f t="shared" si="570"/>
        <v>1150.489644004819</v>
      </c>
      <c r="GX61" s="380">
        <f t="shared" si="571"/>
        <v>1828.6462449772127</v>
      </c>
      <c r="GY61" s="380">
        <f t="shared" si="572"/>
        <v>446.73999239733081</v>
      </c>
      <c r="GZ61" s="389">
        <f t="shared" si="573"/>
        <v>768.49099198280555</v>
      </c>
      <c r="HA61" s="381">
        <f t="shared" si="355"/>
        <v>19669.209226671537</v>
      </c>
      <c r="HB61" s="379">
        <f t="shared" si="574"/>
        <v>2537.9622817285217</v>
      </c>
      <c r="HC61" s="380">
        <f t="shared" si="575"/>
        <v>602.0713772794735</v>
      </c>
      <c r="HD61" s="380">
        <f t="shared" si="576"/>
        <v>275.31624500747671</v>
      </c>
      <c r="HE61" s="380">
        <f t="shared" si="577"/>
        <v>497.05136290471984</v>
      </c>
      <c r="HF61" s="380">
        <f t="shared" si="578"/>
        <v>425.0641398012985</v>
      </c>
      <c r="HG61" s="380">
        <f t="shared" si="579"/>
        <v>1073.4447112338182</v>
      </c>
      <c r="HH61" s="380">
        <f t="shared" si="580"/>
        <v>1563.230755688588</v>
      </c>
      <c r="HI61" s="380">
        <f t="shared" si="581"/>
        <v>1419.9405134583285</v>
      </c>
      <c r="HJ61" s="380">
        <f t="shared" si="582"/>
        <v>893.16323813417455</v>
      </c>
      <c r="HK61" s="380">
        <f t="shared" si="583"/>
        <v>1485.6547060219564</v>
      </c>
      <c r="HL61" s="380">
        <f t="shared" si="584"/>
        <v>2350.0782508644488</v>
      </c>
      <c r="HM61" s="389">
        <f t="shared" si="585"/>
        <v>3539.1211787990565</v>
      </c>
      <c r="HN61" s="381">
        <f t="shared" si="356"/>
        <v>16662.098760921865</v>
      </c>
      <c r="HO61" s="379">
        <f t="shared" si="586"/>
        <v>560.28316900469372</v>
      </c>
      <c r="HP61" s="380">
        <f t="shared" si="587"/>
        <v>596.61364730965022</v>
      </c>
      <c r="HQ61" s="380">
        <f t="shared" si="588"/>
        <v>2068.3247605980455</v>
      </c>
      <c r="HR61" s="380">
        <f t="shared" si="589"/>
        <v>780.87367112772165</v>
      </c>
      <c r="HS61" s="380">
        <f t="shared" si="590"/>
        <v>1095.5360237466859</v>
      </c>
      <c r="HT61" s="380">
        <f t="shared" si="357"/>
        <v>1225.9146681838222</v>
      </c>
      <c r="HU61" s="380">
        <f t="shared" si="358"/>
        <v>3279.7607953545639</v>
      </c>
      <c r="HV61" s="380">
        <f t="shared" si="359"/>
        <v>3468.0840498178545</v>
      </c>
      <c r="HW61" s="380">
        <f t="shared" si="360"/>
        <v>3262.4869552142595</v>
      </c>
      <c r="HX61" s="380">
        <f>+HX27/$HX$37</f>
        <v>1588.4161657338398</v>
      </c>
      <c r="HY61" s="380">
        <f t="shared" si="362"/>
        <v>1017.3230203428525</v>
      </c>
      <c r="HZ61" s="389">
        <f t="shared" si="375"/>
        <v>3008.887645904912</v>
      </c>
      <c r="IA61" s="379">
        <f t="shared" si="363"/>
        <v>21952.504572338905</v>
      </c>
      <c r="IB61" s="1344">
        <f t="shared" si="364"/>
        <v>118.21192231393195</v>
      </c>
      <c r="IC61" s="120">
        <f t="shared" si="365"/>
        <v>519.84446871407397</v>
      </c>
      <c r="ID61" s="120">
        <f>+ID27/$ID$37</f>
        <v>417.08839548822664</v>
      </c>
      <c r="IE61" s="120">
        <f t="shared" si="367"/>
        <v>872.84027224434578</v>
      </c>
      <c r="IF61" s="120">
        <f t="shared" si="368"/>
        <v>1195.7677040406159</v>
      </c>
      <c r="IG61" s="120">
        <f t="shared" si="369"/>
        <v>2073.7403928754302</v>
      </c>
      <c r="IH61" s="120">
        <f t="shared" si="370"/>
        <v>1212.8367650092505</v>
      </c>
      <c r="II61" s="120">
        <f t="shared" si="371"/>
        <v>788.79626901047698</v>
      </c>
      <c r="IJ61" s="120"/>
      <c r="IK61" s="120"/>
      <c r="IL61" s="120"/>
      <c r="IM61" s="1345"/>
      <c r="IN61" s="1346">
        <f t="shared" si="372"/>
        <v>7199.1261896963515</v>
      </c>
      <c r="IO61" s="120"/>
      <c r="IP61" s="371">
        <f t="shared" si="337"/>
        <v>-77.255560774200234</v>
      </c>
      <c r="IQ61" s="348">
        <f t="shared" si="591"/>
        <v>-44.941407044779226</v>
      </c>
      <c r="IR61" s="320">
        <f t="shared" si="338"/>
        <v>13075.390785143038</v>
      </c>
      <c r="IS61" s="344">
        <f t="shared" si="339"/>
        <v>7199.1261896963515</v>
      </c>
    </row>
    <row r="62" spans="1:255" ht="15" customHeight="1" x14ac:dyDescent="0.2">
      <c r="A62" s="1551" t="s">
        <v>401</v>
      </c>
      <c r="B62" s="379">
        <f t="shared" si="376"/>
        <v>5303.3755253672543</v>
      </c>
      <c r="C62" s="380">
        <f t="shared" si="377"/>
        <v>8167.9723694382983</v>
      </c>
      <c r="D62" s="380">
        <f t="shared" si="378"/>
        <v>7198.9133917713207</v>
      </c>
      <c r="E62" s="380">
        <f t="shared" si="379"/>
        <v>7999.9108112651302</v>
      </c>
      <c r="F62" s="380">
        <f t="shared" si="380"/>
        <v>7817.6387490673651</v>
      </c>
      <c r="G62" s="380">
        <f t="shared" si="381"/>
        <v>7842.2382281183282</v>
      </c>
      <c r="H62" s="380">
        <f t="shared" si="382"/>
        <v>8827.5699246390941</v>
      </c>
      <c r="I62" s="380">
        <f t="shared" si="383"/>
        <v>8332.6939035421929</v>
      </c>
      <c r="J62" s="380">
        <f t="shared" si="384"/>
        <v>7185.3952171246128</v>
      </c>
      <c r="K62" s="380">
        <f t="shared" si="385"/>
        <v>8097.2835948280772</v>
      </c>
      <c r="L62" s="380">
        <f t="shared" si="386"/>
        <v>7070.8416098498374</v>
      </c>
      <c r="M62" s="389">
        <f t="shared" si="387"/>
        <v>8396.4512636285926</v>
      </c>
      <c r="N62" s="381">
        <f t="shared" si="388"/>
        <v>92240.284588640119</v>
      </c>
      <c r="O62" s="379">
        <f t="shared" si="389"/>
        <v>4610.6773121474271</v>
      </c>
      <c r="P62" s="380">
        <f t="shared" si="390"/>
        <v>5977.2113210035168</v>
      </c>
      <c r="Q62" s="380">
        <f t="shared" si="391"/>
        <v>8875.0324254405259</v>
      </c>
      <c r="R62" s="380">
        <f t="shared" si="392"/>
        <v>7270.5948464112862</v>
      </c>
      <c r="S62" s="380">
        <f t="shared" si="393"/>
        <v>7351.379025927562</v>
      </c>
      <c r="T62" s="380">
        <f t="shared" si="394"/>
        <v>6715.4826640388947</v>
      </c>
      <c r="U62" s="380">
        <f t="shared" si="395"/>
        <v>8013.9351368902435</v>
      </c>
      <c r="V62" s="380">
        <f t="shared" si="396"/>
        <v>7386.239400730924</v>
      </c>
      <c r="W62" s="380">
        <f t="shared" si="397"/>
        <v>7684.6329624090067</v>
      </c>
      <c r="X62" s="380">
        <f t="shared" si="398"/>
        <v>8002.6620236234858</v>
      </c>
      <c r="Y62" s="380">
        <f t="shared" si="399"/>
        <v>8882.0070388953081</v>
      </c>
      <c r="Z62" s="389">
        <f t="shared" si="400"/>
        <v>10168.150689669817</v>
      </c>
      <c r="AA62" s="381">
        <f t="shared" si="401"/>
        <v>90938.004847187985</v>
      </c>
      <c r="AB62" s="379">
        <f t="shared" si="402"/>
        <v>6861.8352992077134</v>
      </c>
      <c r="AC62" s="380">
        <f t="shared" si="403"/>
        <v>5653.0073630286097</v>
      </c>
      <c r="AD62" s="380">
        <f t="shared" si="404"/>
        <v>12639.888810532218</v>
      </c>
      <c r="AE62" s="380">
        <f t="shared" si="405"/>
        <v>10756.678344702812</v>
      </c>
      <c r="AF62" s="380">
        <f t="shared" si="406"/>
        <v>12055.516907235518</v>
      </c>
      <c r="AG62" s="380">
        <f t="shared" si="407"/>
        <v>12653.992796158012</v>
      </c>
      <c r="AH62" s="380">
        <f t="shared" si="408"/>
        <v>12491.45501440258</v>
      </c>
      <c r="AI62" s="380">
        <f t="shared" si="409"/>
        <v>12851.450751558074</v>
      </c>
      <c r="AJ62" s="380">
        <f t="shared" si="410"/>
        <v>13601.454553224261</v>
      </c>
      <c r="AK62" s="380">
        <f t="shared" si="411"/>
        <v>10800.993944700684</v>
      </c>
      <c r="AL62" s="380">
        <f t="shared" si="412"/>
        <v>16967.692783781124</v>
      </c>
      <c r="AM62" s="389">
        <f t="shared" si="413"/>
        <v>23501.833169926966</v>
      </c>
      <c r="AN62" s="381">
        <f t="shared" si="592"/>
        <v>150835.79973845859</v>
      </c>
      <c r="AO62" s="379">
        <f t="shared" si="414"/>
        <v>1784.6995334510739</v>
      </c>
      <c r="AP62" s="380">
        <f t="shared" si="415"/>
        <v>6533.9863888984501</v>
      </c>
      <c r="AQ62" s="380">
        <f t="shared" si="416"/>
        <v>12941.714908866608</v>
      </c>
      <c r="AR62" s="380">
        <f t="shared" si="417"/>
        <v>9690.8589041698433</v>
      </c>
      <c r="AS62" s="380">
        <f t="shared" si="418"/>
        <v>11192.590518889427</v>
      </c>
      <c r="AT62" s="380">
        <f t="shared" si="419"/>
        <v>10329.00681203631</v>
      </c>
      <c r="AU62" s="380">
        <f t="shared" si="420"/>
        <v>11402.41294790475</v>
      </c>
      <c r="AV62" s="380">
        <f t="shared" si="421"/>
        <v>11974.293410360944</v>
      </c>
      <c r="AW62" s="380">
        <f t="shared" si="422"/>
        <v>14825.251608160452</v>
      </c>
      <c r="AX62" s="380">
        <f t="shared" si="423"/>
        <v>13029.852954651977</v>
      </c>
      <c r="AY62" s="380">
        <f t="shared" si="424"/>
        <v>17977.523067715021</v>
      </c>
      <c r="AZ62" s="389">
        <f t="shared" si="425"/>
        <v>36066.716968913621</v>
      </c>
      <c r="BA62" s="381">
        <f t="shared" si="426"/>
        <v>157748.90802401848</v>
      </c>
      <c r="BB62" s="379">
        <f t="shared" si="427"/>
        <v>9060.7024471491659</v>
      </c>
      <c r="BC62" s="380">
        <f t="shared" si="428"/>
        <v>14551.900288426941</v>
      </c>
      <c r="BD62" s="380">
        <f t="shared" si="429"/>
        <v>18507.51845122367</v>
      </c>
      <c r="BE62" s="380">
        <f t="shared" si="430"/>
        <v>14520.068289382552</v>
      </c>
      <c r="BF62" s="380">
        <f t="shared" si="431"/>
        <v>20219.612921602442</v>
      </c>
      <c r="BG62" s="380">
        <f t="shared" si="432"/>
        <v>20373.056822745461</v>
      </c>
      <c r="BH62" s="380">
        <f t="shared" si="433"/>
        <v>18223.687384777379</v>
      </c>
      <c r="BI62" s="380">
        <f t="shared" si="434"/>
        <v>19927.203367241858</v>
      </c>
      <c r="BJ62" s="380">
        <f t="shared" si="435"/>
        <v>19360.639144426867</v>
      </c>
      <c r="BK62" s="380">
        <f t="shared" si="436"/>
        <v>17871.93229036907</v>
      </c>
      <c r="BL62" s="380">
        <f t="shared" si="437"/>
        <v>23362.625656388547</v>
      </c>
      <c r="BM62" s="389">
        <f t="shared" si="438"/>
        <v>31299.526616017007</v>
      </c>
      <c r="BN62" s="381">
        <f t="shared" si="439"/>
        <v>227278.47367975098</v>
      </c>
      <c r="BO62" s="379">
        <f t="shared" si="440"/>
        <v>11904.209581247962</v>
      </c>
      <c r="BP62" s="380">
        <f t="shared" si="441"/>
        <v>12011.027929264132</v>
      </c>
      <c r="BQ62" s="380">
        <f t="shared" si="442"/>
        <v>19278.35445333911</v>
      </c>
      <c r="BR62" s="380">
        <f t="shared" si="443"/>
        <v>17239.600873064988</v>
      </c>
      <c r="BS62" s="380">
        <f t="shared" si="444"/>
        <v>13981.69462431849</v>
      </c>
      <c r="BT62" s="380">
        <f t="shared" si="445"/>
        <v>17605.507119466794</v>
      </c>
      <c r="BU62" s="380">
        <f t="shared" si="446"/>
        <v>25227.650705859094</v>
      </c>
      <c r="BV62" s="380">
        <f t="shared" si="447"/>
        <v>13427.815839987985</v>
      </c>
      <c r="BW62" s="380">
        <f t="shared" si="448"/>
        <v>14521.337208272816</v>
      </c>
      <c r="BX62" s="380">
        <f t="shared" si="449"/>
        <v>18062.382151815815</v>
      </c>
      <c r="BY62" s="380">
        <f t="shared" si="450"/>
        <v>14667.191333392169</v>
      </c>
      <c r="BZ62" s="389">
        <f t="shared" si="451"/>
        <v>25741.648324835798</v>
      </c>
      <c r="CA62" s="381">
        <f t="shared" si="452"/>
        <v>203668.42014486517</v>
      </c>
      <c r="CB62" s="379">
        <f t="shared" si="453"/>
        <v>16521.800384664515</v>
      </c>
      <c r="CC62" s="380">
        <f t="shared" si="454"/>
        <v>20458.824051033345</v>
      </c>
      <c r="CD62" s="380">
        <f t="shared" si="455"/>
        <v>18526.674456522029</v>
      </c>
      <c r="CE62" s="380">
        <f t="shared" si="456"/>
        <v>16415.260762934096</v>
      </c>
      <c r="CF62" s="380">
        <f t="shared" si="457"/>
        <v>19680.49564266207</v>
      </c>
      <c r="CG62" s="380">
        <f t="shared" si="458"/>
        <v>22365.685148262037</v>
      </c>
      <c r="CH62" s="380">
        <f t="shared" si="459"/>
        <v>23874.878518205729</v>
      </c>
      <c r="CI62" s="380">
        <f t="shared" si="460"/>
        <v>19056.590980642635</v>
      </c>
      <c r="CJ62" s="380">
        <f t="shared" si="461"/>
        <v>18527.125943552874</v>
      </c>
      <c r="CK62" s="380">
        <f t="shared" si="462"/>
        <v>18436.505253447107</v>
      </c>
      <c r="CL62" s="380">
        <f t="shared" si="463"/>
        <v>16793.815046931246</v>
      </c>
      <c r="CM62" s="389">
        <f t="shared" si="464"/>
        <v>48846.468657093232</v>
      </c>
      <c r="CN62" s="381">
        <f t="shared" si="465"/>
        <v>259504.12484595089</v>
      </c>
      <c r="CO62" s="379">
        <f t="shared" si="466"/>
        <v>4559.7227440623728</v>
      </c>
      <c r="CP62" s="380">
        <f t="shared" si="467"/>
        <v>14972.617809496</v>
      </c>
      <c r="CQ62" s="380">
        <f t="shared" si="468"/>
        <v>21789.900635015187</v>
      </c>
      <c r="CR62" s="380">
        <f t="shared" si="469"/>
        <v>20661.08052894273</v>
      </c>
      <c r="CS62" s="380">
        <f t="shared" si="470"/>
        <v>18581.005586619049</v>
      </c>
      <c r="CT62" s="380">
        <f t="shared" si="471"/>
        <v>16644.253968219207</v>
      </c>
      <c r="CU62" s="380">
        <f t="shared" si="472"/>
        <v>32456.84308339897</v>
      </c>
      <c r="CV62" s="380">
        <f t="shared" si="473"/>
        <v>18057.228140573334</v>
      </c>
      <c r="CW62" s="380">
        <f t="shared" si="474"/>
        <v>18755.159627763653</v>
      </c>
      <c r="CX62" s="380">
        <f t="shared" si="475"/>
        <v>17524.126884663634</v>
      </c>
      <c r="CY62" s="380">
        <f t="shared" si="476"/>
        <v>19166.980021413554</v>
      </c>
      <c r="CZ62" s="389">
        <f t="shared" si="477"/>
        <v>41172.100367878593</v>
      </c>
      <c r="DA62" s="381">
        <f t="shared" si="478"/>
        <v>244341.01939804628</v>
      </c>
      <c r="DB62" s="379">
        <f t="shared" si="479"/>
        <v>71.381512110582804</v>
      </c>
      <c r="DC62" s="380">
        <f t="shared" si="480"/>
        <v>15419.243737700015</v>
      </c>
      <c r="DD62" s="380">
        <f t="shared" si="481"/>
        <v>23192.241627943047</v>
      </c>
      <c r="DE62" s="380">
        <f t="shared" si="482"/>
        <v>19061.007012081456</v>
      </c>
      <c r="DF62" s="380">
        <f t="shared" si="483"/>
        <v>21321.505795048208</v>
      </c>
      <c r="DG62" s="380">
        <f t="shared" si="484"/>
        <v>19074.710012098902</v>
      </c>
      <c r="DH62" s="380">
        <f t="shared" si="485"/>
        <v>21991.801643145165</v>
      </c>
      <c r="DI62" s="380">
        <f t="shared" si="486"/>
        <v>18344.595452522688</v>
      </c>
      <c r="DJ62" s="380">
        <f t="shared" si="487"/>
        <v>24088.091757397087</v>
      </c>
      <c r="DK62" s="380">
        <f t="shared" si="488"/>
        <v>15698.12081645523</v>
      </c>
      <c r="DL62" s="380">
        <f t="shared" si="489"/>
        <v>20809.46391823866</v>
      </c>
      <c r="DM62" s="389">
        <f t="shared" si="490"/>
        <v>43021.41243893683</v>
      </c>
      <c r="DN62" s="381">
        <f t="shared" si="348"/>
        <v>242093.57572367787</v>
      </c>
      <c r="DO62" s="379">
        <f t="shared" si="491"/>
        <v>10712.656272267499</v>
      </c>
      <c r="DP62" s="380">
        <f t="shared" si="492"/>
        <v>11856.910950912012</v>
      </c>
      <c r="DQ62" s="380">
        <f t="shared" si="493"/>
        <v>22673.648380014009</v>
      </c>
      <c r="DR62" s="380">
        <f t="shared" si="494"/>
        <v>13828.48052485172</v>
      </c>
      <c r="DS62" s="380">
        <f t="shared" si="495"/>
        <v>15988.131239069618</v>
      </c>
      <c r="DT62" s="380">
        <f t="shared" si="496"/>
        <v>23231.9121972309</v>
      </c>
      <c r="DU62" s="380">
        <f t="shared" si="497"/>
        <v>20967.391996156599</v>
      </c>
      <c r="DV62" s="380">
        <f t="shared" si="498"/>
        <v>16606.779401166375</v>
      </c>
      <c r="DW62" s="380">
        <f t="shared" si="499"/>
        <v>26449.512133522821</v>
      </c>
      <c r="DX62" s="380">
        <f t="shared" si="500"/>
        <v>16820.397241862727</v>
      </c>
      <c r="DY62" s="380">
        <f t="shared" si="501"/>
        <v>20987.491064364323</v>
      </c>
      <c r="DZ62" s="389">
        <f t="shared" si="502"/>
        <v>34699.575277113108</v>
      </c>
      <c r="EA62" s="381">
        <f t="shared" si="349"/>
        <v>234822.88667853171</v>
      </c>
      <c r="EB62" s="379">
        <f t="shared" si="503"/>
        <v>14444.784411352422</v>
      </c>
      <c r="EC62" s="380">
        <f t="shared" si="504"/>
        <v>13590.841722966738</v>
      </c>
      <c r="ED62" s="380">
        <f t="shared" si="505"/>
        <v>24128.561277467976</v>
      </c>
      <c r="EE62" s="380">
        <f t="shared" si="506"/>
        <v>17414.953042906909</v>
      </c>
      <c r="EF62" s="380">
        <f t="shared" si="507"/>
        <v>20995.932798858794</v>
      </c>
      <c r="EG62" s="380">
        <f t="shared" si="508"/>
        <v>21721.989790606345</v>
      </c>
      <c r="EH62" s="380">
        <f t="shared" si="509"/>
        <v>28571.216168180628</v>
      </c>
      <c r="EI62" s="380">
        <f t="shared" si="510"/>
        <v>24304.164222921649</v>
      </c>
      <c r="EJ62" s="380">
        <f t="shared" si="511"/>
        <v>20206.091784345332</v>
      </c>
      <c r="EK62" s="380">
        <f t="shared" si="512"/>
        <v>30574.307848932247</v>
      </c>
      <c r="EL62" s="380">
        <f t="shared" si="513"/>
        <v>27686.020237458186</v>
      </c>
      <c r="EM62" s="389">
        <f t="shared" si="514"/>
        <v>36850.953265464937</v>
      </c>
      <c r="EN62" s="381">
        <f t="shared" si="350"/>
        <v>280489.81657146214</v>
      </c>
      <c r="EO62" s="379">
        <f t="shared" si="515"/>
        <v>5427.5135875284641</v>
      </c>
      <c r="EP62" s="380">
        <f t="shared" si="516"/>
        <v>13266.379960084731</v>
      </c>
      <c r="EQ62" s="380">
        <f>+EQ28/EQ37</f>
        <v>17451.28074704899</v>
      </c>
      <c r="ER62" s="380">
        <f t="shared" si="517"/>
        <v>20039.936331357247</v>
      </c>
      <c r="ES62" s="380">
        <f t="shared" si="518"/>
        <v>18405.171579055073</v>
      </c>
      <c r="ET62" s="380">
        <f t="shared" si="519"/>
        <v>21421.516347918598</v>
      </c>
      <c r="EU62" s="380">
        <f t="shared" si="520"/>
        <v>19777.856589031053</v>
      </c>
      <c r="EV62" s="380">
        <f t="shared" si="521"/>
        <v>21498.050971354151</v>
      </c>
      <c r="EW62" s="380">
        <f t="shared" si="522"/>
        <v>24264.407730268431</v>
      </c>
      <c r="EX62" s="380">
        <f t="shared" si="523"/>
        <v>19529.095226630314</v>
      </c>
      <c r="EY62" s="380">
        <f t="shared" si="524"/>
        <v>18060.519812633331</v>
      </c>
      <c r="EZ62" s="389">
        <f t="shared" si="525"/>
        <v>27303.303050160637</v>
      </c>
      <c r="FA62" s="381">
        <f t="shared" si="351"/>
        <v>226445.03193307103</v>
      </c>
      <c r="FB62" s="379">
        <f t="shared" si="526"/>
        <v>12007.034460189721</v>
      </c>
      <c r="FC62" s="380">
        <f t="shared" si="527"/>
        <v>12445.591483220514</v>
      </c>
      <c r="FD62" s="380">
        <f t="shared" si="528"/>
        <v>19440.961377810927</v>
      </c>
      <c r="FE62" s="380">
        <f t="shared" si="529"/>
        <v>10304.341116054367</v>
      </c>
      <c r="FF62" s="380">
        <f t="shared" si="530"/>
        <v>9424.1116985299013</v>
      </c>
      <c r="FG62" s="380">
        <f t="shared" si="531"/>
        <v>11632.736975066307</v>
      </c>
      <c r="FH62" s="380">
        <f t="shared" si="532"/>
        <v>16252.249248549739</v>
      </c>
      <c r="FI62" s="380">
        <f t="shared" si="533"/>
        <v>15859.802237857495</v>
      </c>
      <c r="FJ62" s="380">
        <f t="shared" si="534"/>
        <v>18344.059072316177</v>
      </c>
      <c r="FK62" s="380">
        <f t="shared" si="535"/>
        <v>19370.757710800986</v>
      </c>
      <c r="FL62" s="380">
        <f t="shared" si="536"/>
        <v>18244.155755670039</v>
      </c>
      <c r="FM62" s="389">
        <f t="shared" si="537"/>
        <v>31652.300342097078</v>
      </c>
      <c r="FN62" s="381">
        <f t="shared" si="352"/>
        <v>194978.10147816327</v>
      </c>
      <c r="FO62" s="379">
        <f t="shared" si="538"/>
        <v>12728.318897065306</v>
      </c>
      <c r="FP62" s="380">
        <f t="shared" si="539"/>
        <v>15921.323991360416</v>
      </c>
      <c r="FQ62" s="380">
        <f t="shared" si="540"/>
        <v>30449.777034647203</v>
      </c>
      <c r="FR62" s="380">
        <f t="shared" si="541"/>
        <v>17118.810028252232</v>
      </c>
      <c r="FS62" s="380">
        <f t="shared" si="542"/>
        <v>21560.188478459208</v>
      </c>
      <c r="FT62" s="380">
        <f t="shared" si="543"/>
        <v>21594.87213472146</v>
      </c>
      <c r="FU62" s="380">
        <f t="shared" si="544"/>
        <v>20388.033464692795</v>
      </c>
      <c r="FV62" s="380">
        <f t="shared" si="545"/>
        <v>22040.033999447056</v>
      </c>
      <c r="FW62" s="380">
        <f t="shared" si="546"/>
        <v>22755.030788556425</v>
      </c>
      <c r="FX62" s="380">
        <f t="shared" si="547"/>
        <v>20001.510047941549</v>
      </c>
      <c r="FY62" s="380">
        <f t="shared" si="548"/>
        <v>22832.62371510527</v>
      </c>
      <c r="FZ62" s="389">
        <f t="shared" si="549"/>
        <v>36716.567233089118</v>
      </c>
      <c r="GA62" s="381">
        <f t="shared" si="353"/>
        <v>264107.08981333807</v>
      </c>
      <c r="GB62" s="379">
        <f t="shared" si="550"/>
        <v>12176.356061724591</v>
      </c>
      <c r="GC62" s="380">
        <f t="shared" si="551"/>
        <v>16286.661091347518</v>
      </c>
      <c r="GD62" s="380">
        <f t="shared" si="552"/>
        <v>30758.281971267716</v>
      </c>
      <c r="GE62" s="380">
        <f t="shared" si="553"/>
        <v>18348.11314729755</v>
      </c>
      <c r="GF62" s="380">
        <f t="shared" si="554"/>
        <v>24763.651280153579</v>
      </c>
      <c r="GG62" s="380">
        <f t="shared" si="555"/>
        <v>20757.67329858083</v>
      </c>
      <c r="GH62" s="380">
        <f t="shared" si="556"/>
        <v>23771.271924281278</v>
      </c>
      <c r="GI62" s="380">
        <f t="shared" si="557"/>
        <v>25687.075242293671</v>
      </c>
      <c r="GJ62" s="380">
        <f t="shared" si="558"/>
        <v>22943.693439934945</v>
      </c>
      <c r="GK62" s="380">
        <f t="shared" si="559"/>
        <v>22127.651585921605</v>
      </c>
      <c r="GL62" s="380">
        <f t="shared" si="560"/>
        <v>22583.537260728302</v>
      </c>
      <c r="GM62" s="389">
        <f t="shared" si="561"/>
        <v>38091.858410748049</v>
      </c>
      <c r="GN62" s="381">
        <f t="shared" si="354"/>
        <v>278295.82471427968</v>
      </c>
      <c r="GO62" s="379">
        <f t="shared" si="562"/>
        <v>6241.542195218979</v>
      </c>
      <c r="GP62" s="380">
        <f t="shared" si="563"/>
        <v>13328.284040064489</v>
      </c>
      <c r="GQ62" s="380">
        <f t="shared" si="564"/>
        <v>21048.917702199353</v>
      </c>
      <c r="GR62" s="380">
        <f t="shared" si="565"/>
        <v>23528.980532615944</v>
      </c>
      <c r="GS62" s="380">
        <f t="shared" si="566"/>
        <v>17876.616205815317</v>
      </c>
      <c r="GT62" s="380">
        <f t="shared" si="567"/>
        <v>22051.857732055254</v>
      </c>
      <c r="GU62" s="380">
        <f t="shared" si="568"/>
        <v>21156.310305240502</v>
      </c>
      <c r="GV62" s="380">
        <f t="shared" si="569"/>
        <v>24500.480205543623</v>
      </c>
      <c r="GW62" s="380">
        <f t="shared" si="570"/>
        <v>22478.097022847247</v>
      </c>
      <c r="GX62" s="380">
        <f t="shared" si="571"/>
        <v>21105.958549538682</v>
      </c>
      <c r="GY62" s="380">
        <f t="shared" si="572"/>
        <v>20858.353166157067</v>
      </c>
      <c r="GZ62" s="389">
        <f t="shared" si="573"/>
        <v>27915.193172084091</v>
      </c>
      <c r="HA62" s="381">
        <f t="shared" si="355"/>
        <v>242090.59082938053</v>
      </c>
      <c r="HB62" s="379">
        <f t="shared" si="574"/>
        <v>11121.24136288849</v>
      </c>
      <c r="HC62" s="380">
        <f t="shared" si="575"/>
        <v>19018.205744393377</v>
      </c>
      <c r="HD62" s="380">
        <f t="shared" si="576"/>
        <v>21211.686827673799</v>
      </c>
      <c r="HE62" s="380">
        <f t="shared" si="577"/>
        <v>20626.509548439994</v>
      </c>
      <c r="HF62" s="380">
        <f t="shared" si="578"/>
        <v>22829.369526950322</v>
      </c>
      <c r="HG62" s="380">
        <f t="shared" si="579"/>
        <v>18770.700648006616</v>
      </c>
      <c r="HH62" s="380">
        <f t="shared" si="580"/>
        <v>21100.817723707736</v>
      </c>
      <c r="HI62" s="380">
        <f t="shared" si="581"/>
        <v>18935.143868663556</v>
      </c>
      <c r="HJ62" s="380">
        <f t="shared" si="582"/>
        <v>18265.943241992572</v>
      </c>
      <c r="HK62" s="380">
        <f t="shared" si="583"/>
        <v>20614.998439589519</v>
      </c>
      <c r="HL62" s="380">
        <f t="shared" si="584"/>
        <v>20083.605423260909</v>
      </c>
      <c r="HM62" s="389">
        <f t="shared" si="585"/>
        <v>27074.416683210526</v>
      </c>
      <c r="HN62" s="381">
        <f t="shared" si="356"/>
        <v>239652.63903877742</v>
      </c>
      <c r="HO62" s="379">
        <f t="shared" si="586"/>
        <v>13961.227708292608</v>
      </c>
      <c r="HP62" s="380">
        <f t="shared" si="587"/>
        <v>17190.174883802185</v>
      </c>
      <c r="HQ62" s="380">
        <f t="shared" si="588"/>
        <v>22345.76882013354</v>
      </c>
      <c r="HR62" s="380">
        <f t="shared" si="589"/>
        <v>21628.821054776534</v>
      </c>
      <c r="HS62" s="380">
        <f t="shared" si="590"/>
        <v>22015.083533647492</v>
      </c>
      <c r="HT62" s="380">
        <f t="shared" si="357"/>
        <v>21538.708589858543</v>
      </c>
      <c r="HU62" s="380">
        <f t="shared" si="358"/>
        <v>22017.478233132628</v>
      </c>
      <c r="HV62" s="380">
        <f t="shared" si="359"/>
        <v>19197.790322547808</v>
      </c>
      <c r="HW62" s="380">
        <f t="shared" si="360"/>
        <v>18885.236513288295</v>
      </c>
      <c r="HX62" s="380">
        <f>+HX28/$HX$37</f>
        <v>21918.044345322473</v>
      </c>
      <c r="HY62" s="380">
        <f t="shared" si="362"/>
        <v>18838.130071923559</v>
      </c>
      <c r="HZ62" s="389">
        <f t="shared" si="375"/>
        <v>28153.765984748468</v>
      </c>
      <c r="IA62" s="379">
        <f>SUM(HO62:HZ62)</f>
        <v>247690.23006147411</v>
      </c>
      <c r="IB62" s="1344">
        <f t="shared" si="364"/>
        <v>14033.129735899931</v>
      </c>
      <c r="IC62" s="120">
        <f t="shared" si="365"/>
        <v>18787.572259008852</v>
      </c>
      <c r="ID62" s="120">
        <f t="shared" si="366"/>
        <v>23100.936809956613</v>
      </c>
      <c r="IE62" s="120">
        <f t="shared" si="367"/>
        <v>22741.070655392348</v>
      </c>
      <c r="IF62" s="120">
        <f t="shared" si="368"/>
        <v>27598.85006157032</v>
      </c>
      <c r="IG62" s="120">
        <f t="shared" si="369"/>
        <v>25836.652550151135</v>
      </c>
      <c r="IH62" s="120">
        <f t="shared" si="370"/>
        <v>30399.695358006495</v>
      </c>
      <c r="II62" s="120">
        <f t="shared" si="371"/>
        <v>27426.652322084316</v>
      </c>
      <c r="IJ62" s="120"/>
      <c r="IK62" s="120"/>
      <c r="IL62" s="120"/>
      <c r="IM62" s="1345"/>
      <c r="IN62" s="1346">
        <f t="shared" si="372"/>
        <v>189924.55975207</v>
      </c>
      <c r="IO62" s="120"/>
      <c r="IP62" s="371">
        <f t="shared" si="337"/>
        <v>42.863589305232217</v>
      </c>
      <c r="IQ62" s="348">
        <f t="shared" si="591"/>
        <v>18.780760264310857</v>
      </c>
      <c r="IR62" s="320">
        <f t="shared" si="338"/>
        <v>159895.05314619135</v>
      </c>
      <c r="IS62" s="344">
        <f t="shared" si="339"/>
        <v>189924.55975207</v>
      </c>
    </row>
    <row r="63" spans="1:255" ht="15" customHeight="1" x14ac:dyDescent="0.2">
      <c r="A63" s="1551" t="s">
        <v>430</v>
      </c>
      <c r="B63" s="379"/>
      <c r="C63" s="380"/>
      <c r="D63" s="380"/>
      <c r="E63" s="380"/>
      <c r="F63" s="380"/>
      <c r="G63" s="380"/>
      <c r="H63" s="380"/>
      <c r="I63" s="380"/>
      <c r="J63" s="380"/>
      <c r="K63" s="380"/>
      <c r="L63" s="380"/>
      <c r="M63" s="389"/>
      <c r="N63" s="381"/>
      <c r="O63" s="379"/>
      <c r="P63" s="380"/>
      <c r="Q63" s="380"/>
      <c r="R63" s="380"/>
      <c r="S63" s="380"/>
      <c r="T63" s="380"/>
      <c r="U63" s="380"/>
      <c r="V63" s="380"/>
      <c r="W63" s="380"/>
      <c r="X63" s="380"/>
      <c r="Y63" s="380"/>
      <c r="Z63" s="389"/>
      <c r="AA63" s="381"/>
      <c r="AB63" s="379">
        <f>+AB28/$AB$37</f>
        <v>6861.8352992077134</v>
      </c>
      <c r="AC63" s="380">
        <f>+AC28/$AC$37</f>
        <v>5653.0073630286097</v>
      </c>
      <c r="AD63" s="380">
        <f>+AD28/$AD$37</f>
        <v>12639.888810532218</v>
      </c>
      <c r="AE63" s="380">
        <f>+AE28/$AE$37</f>
        <v>10756.678344702812</v>
      </c>
      <c r="AF63" s="380">
        <f>+AF28/$AF$37</f>
        <v>12055.516907235518</v>
      </c>
      <c r="AG63" s="380">
        <f>+AG28/$AG$37</f>
        <v>12653.992796158012</v>
      </c>
      <c r="AH63" s="380">
        <f>+AH28/$AH$37</f>
        <v>12491.45501440258</v>
      </c>
      <c r="AI63" s="380">
        <f>+AI28/$AI$37</f>
        <v>12851.450751558074</v>
      </c>
      <c r="AJ63" s="380">
        <f>+AJ28/$AJ$37</f>
        <v>13601.454553224261</v>
      </c>
      <c r="AK63" s="380">
        <f>+AK28/$AK$37</f>
        <v>10800.993944700684</v>
      </c>
      <c r="AL63" s="380">
        <f>+AL28/$AL$37</f>
        <v>16967.692783781124</v>
      </c>
      <c r="AM63" s="389">
        <f>+AM28/$AM$37</f>
        <v>23501.833169926966</v>
      </c>
      <c r="AN63" s="381">
        <f t="shared" si="592"/>
        <v>150835.79973845859</v>
      </c>
      <c r="AO63" s="379">
        <f>+AO28/$AO$37</f>
        <v>1784.6995334510739</v>
      </c>
      <c r="AP63" s="380">
        <f>+AP28/$AP$37</f>
        <v>6533.9863888984501</v>
      </c>
      <c r="AQ63" s="380">
        <f>+AQ28/$AQ$37</f>
        <v>12941.714908866608</v>
      </c>
      <c r="AR63" s="380"/>
      <c r="AS63" s="380"/>
      <c r="AT63" s="380"/>
      <c r="AU63" s="380"/>
      <c r="AV63" s="380"/>
      <c r="AW63" s="380"/>
      <c r="AX63" s="380"/>
      <c r="AY63" s="380"/>
      <c r="AZ63" s="389"/>
      <c r="BA63" s="381"/>
      <c r="BB63" s="379"/>
      <c r="BC63" s="380"/>
      <c r="BD63" s="380"/>
      <c r="BE63" s="380"/>
      <c r="BF63" s="380"/>
      <c r="BG63" s="380"/>
      <c r="BH63" s="380"/>
      <c r="BI63" s="380"/>
      <c r="BJ63" s="380"/>
      <c r="BK63" s="380"/>
      <c r="BL63" s="380"/>
      <c r="BM63" s="389"/>
      <c r="BN63" s="381"/>
      <c r="BO63" s="379">
        <f t="shared" si="440"/>
        <v>0</v>
      </c>
      <c r="BP63" s="380"/>
      <c r="BQ63" s="380"/>
      <c r="BR63" s="380"/>
      <c r="BS63" s="380"/>
      <c r="BT63" s="380"/>
      <c r="BU63" s="380"/>
      <c r="BV63" s="380"/>
      <c r="BW63" s="380"/>
      <c r="BX63" s="380"/>
      <c r="BY63" s="380"/>
      <c r="BZ63" s="389"/>
      <c r="CA63" s="381"/>
      <c r="CB63" s="379"/>
      <c r="CC63" s="380"/>
      <c r="CD63" s="380"/>
      <c r="CE63" s="380"/>
      <c r="CF63" s="380">
        <f t="shared" si="457"/>
        <v>0</v>
      </c>
      <c r="CG63" s="380">
        <f t="shared" si="458"/>
        <v>0</v>
      </c>
      <c r="CH63" s="380">
        <f t="shared" si="459"/>
        <v>0</v>
      </c>
      <c r="CI63" s="380"/>
      <c r="CJ63" s="380">
        <f t="shared" si="461"/>
        <v>0</v>
      </c>
      <c r="CK63" s="380"/>
      <c r="CL63" s="380"/>
      <c r="CM63" s="389"/>
      <c r="CN63" s="381"/>
      <c r="CO63" s="379"/>
      <c r="CP63" s="380"/>
      <c r="CQ63" s="380"/>
      <c r="CR63" s="380"/>
      <c r="CS63" s="380"/>
      <c r="CT63" s="380"/>
      <c r="CU63" s="380"/>
      <c r="CV63" s="380"/>
      <c r="CW63" s="380"/>
      <c r="CX63" s="380"/>
      <c r="CY63" s="380"/>
      <c r="CZ63" s="389"/>
      <c r="DA63" s="381"/>
      <c r="DB63" s="379"/>
      <c r="DC63" s="380"/>
      <c r="DD63" s="380"/>
      <c r="DE63" s="380"/>
      <c r="DF63" s="380"/>
      <c r="DG63" s="380"/>
      <c r="DH63" s="380"/>
      <c r="DI63" s="380"/>
      <c r="DJ63" s="380"/>
      <c r="DK63" s="380"/>
      <c r="DL63" s="380"/>
      <c r="DM63" s="389"/>
      <c r="DN63" s="381">
        <f t="shared" si="348"/>
        <v>0</v>
      </c>
      <c r="DO63" s="379"/>
      <c r="DP63" s="380"/>
      <c r="DQ63" s="380"/>
      <c r="DR63" s="380"/>
      <c r="DS63" s="380"/>
      <c r="DT63" s="380"/>
      <c r="DU63" s="380"/>
      <c r="DV63" s="380"/>
      <c r="DW63" s="380"/>
      <c r="DX63" s="380"/>
      <c r="DY63" s="380"/>
      <c r="DZ63" s="389"/>
      <c r="EA63" s="381">
        <f t="shared" si="349"/>
        <v>0</v>
      </c>
      <c r="EB63" s="379"/>
      <c r="EC63" s="380"/>
      <c r="ED63" s="380"/>
      <c r="EE63" s="380"/>
      <c r="EF63" s="380"/>
      <c r="EG63" s="380"/>
      <c r="EH63" s="380"/>
      <c r="EI63" s="380"/>
      <c r="EJ63" s="380"/>
      <c r="EK63" s="380"/>
      <c r="EL63" s="380"/>
      <c r="EM63" s="389"/>
      <c r="EN63" s="381">
        <f t="shared" si="350"/>
        <v>0</v>
      </c>
      <c r="EO63" s="379"/>
      <c r="EP63" s="380"/>
      <c r="EQ63" s="380">
        <f>+EQ29/EQ59</f>
        <v>0</v>
      </c>
      <c r="ER63" s="380"/>
      <c r="ES63" s="380"/>
      <c r="ET63" s="380"/>
      <c r="EU63" s="380"/>
      <c r="EV63" s="380"/>
      <c r="EW63" s="380"/>
      <c r="EX63" s="380"/>
      <c r="EY63" s="380"/>
      <c r="EZ63" s="389"/>
      <c r="FA63" s="381">
        <f t="shared" si="351"/>
        <v>0</v>
      </c>
      <c r="FB63" s="379"/>
      <c r="FC63" s="380"/>
      <c r="FD63" s="380"/>
      <c r="FE63" s="380"/>
      <c r="FF63" s="380"/>
      <c r="FG63" s="380"/>
      <c r="FH63" s="380"/>
      <c r="FI63" s="380"/>
      <c r="FJ63" s="380"/>
      <c r="FK63" s="380"/>
      <c r="FL63" s="380"/>
      <c r="FM63" s="389"/>
      <c r="FN63" s="381">
        <f t="shared" si="352"/>
        <v>0</v>
      </c>
      <c r="FO63" s="379"/>
      <c r="FP63" s="380"/>
      <c r="FQ63" s="380"/>
      <c r="FR63" s="380"/>
      <c r="FS63" s="380"/>
      <c r="FT63" s="380"/>
      <c r="FU63" s="380"/>
      <c r="FV63" s="380">
        <f t="shared" si="545"/>
        <v>0</v>
      </c>
      <c r="FW63" s="380"/>
      <c r="FX63" s="380"/>
      <c r="FY63" s="380"/>
      <c r="FZ63" s="389"/>
      <c r="GA63" s="381">
        <f t="shared" si="353"/>
        <v>0</v>
      </c>
      <c r="GB63" s="379"/>
      <c r="GC63" s="380"/>
      <c r="GD63" s="380"/>
      <c r="GE63" s="380"/>
      <c r="GF63" s="380"/>
      <c r="GG63" s="380"/>
      <c r="GH63" s="380"/>
      <c r="GI63" s="380"/>
      <c r="GJ63" s="380"/>
      <c r="GK63" s="380"/>
      <c r="GL63" s="380"/>
      <c r="GM63" s="389"/>
      <c r="GN63" s="381">
        <f t="shared" si="354"/>
        <v>0</v>
      </c>
      <c r="GO63" s="379"/>
      <c r="GP63" s="380"/>
      <c r="GQ63" s="380"/>
      <c r="GR63" s="380"/>
      <c r="GS63" s="380"/>
      <c r="GT63" s="380"/>
      <c r="GU63" s="380"/>
      <c r="GV63" s="380">
        <f t="shared" si="569"/>
        <v>0</v>
      </c>
      <c r="GW63" s="380"/>
      <c r="GX63" s="380"/>
      <c r="GY63" s="380"/>
      <c r="GZ63" s="389"/>
      <c r="HA63" s="381">
        <f t="shared" si="355"/>
        <v>0</v>
      </c>
      <c r="HB63" s="379">
        <f t="shared" si="574"/>
        <v>0</v>
      </c>
      <c r="HC63" s="380"/>
      <c r="HD63" s="380"/>
      <c r="HE63" s="380"/>
      <c r="HF63" s="380">
        <f t="shared" si="578"/>
        <v>0</v>
      </c>
      <c r="HG63" s="380"/>
      <c r="HH63" s="380"/>
      <c r="HI63" s="380"/>
      <c r="HJ63" s="380"/>
      <c r="HK63" s="380"/>
      <c r="HL63" s="380"/>
      <c r="HM63" s="389"/>
      <c r="HN63" s="381">
        <f t="shared" si="356"/>
        <v>0</v>
      </c>
      <c r="HO63" s="379"/>
      <c r="HP63" s="380"/>
      <c r="HQ63" s="380"/>
      <c r="HR63" s="380"/>
      <c r="HS63" s="380"/>
      <c r="HT63" s="380"/>
      <c r="HU63" s="380"/>
      <c r="HV63" s="380"/>
      <c r="HW63" s="380"/>
      <c r="HX63" s="380"/>
      <c r="HY63" s="380"/>
      <c r="HZ63" s="389"/>
      <c r="IA63" s="379">
        <f t="shared" si="363"/>
        <v>0</v>
      </c>
      <c r="IB63" s="1344">
        <f t="shared" si="364"/>
        <v>0</v>
      </c>
      <c r="IC63" s="120">
        <f t="shared" si="365"/>
        <v>0</v>
      </c>
      <c r="ID63" s="120">
        <f t="shared" si="366"/>
        <v>0</v>
      </c>
      <c r="IE63" s="120">
        <f t="shared" si="367"/>
        <v>0</v>
      </c>
      <c r="IF63" s="120">
        <f t="shared" si="368"/>
        <v>0</v>
      </c>
      <c r="IG63" s="120">
        <f t="shared" si="369"/>
        <v>0</v>
      </c>
      <c r="IH63" s="120">
        <f t="shared" si="370"/>
        <v>0</v>
      </c>
      <c r="II63" s="120">
        <f t="shared" si="371"/>
        <v>0</v>
      </c>
      <c r="IJ63" s="120"/>
      <c r="IK63" s="120"/>
      <c r="IL63" s="120"/>
      <c r="IM63" s="1345"/>
      <c r="IN63" s="1346">
        <f t="shared" si="372"/>
        <v>0</v>
      </c>
      <c r="IO63" s="120"/>
      <c r="IP63" s="371" t="str">
        <f t="shared" ref="IP63:IP64" si="593">IFERROR(((II63/HV63)-1)*100,"")</f>
        <v/>
      </c>
      <c r="IQ63" s="348"/>
      <c r="IR63" s="320">
        <f t="shared" si="338"/>
        <v>0</v>
      </c>
      <c r="IS63" s="344">
        <f t="shared" si="339"/>
        <v>0</v>
      </c>
    </row>
    <row r="64" spans="1:255" ht="15" customHeight="1" x14ac:dyDescent="0.2">
      <c r="A64" s="1551" t="s">
        <v>405</v>
      </c>
      <c r="B64" s="80"/>
      <c r="C64" s="385"/>
      <c r="D64" s="385"/>
      <c r="E64" s="385"/>
      <c r="F64" s="385"/>
      <c r="G64" s="385"/>
      <c r="H64" s="385"/>
      <c r="I64" s="385"/>
      <c r="J64" s="385"/>
      <c r="K64" s="385"/>
      <c r="L64" s="385"/>
      <c r="M64" s="391"/>
      <c r="N64" s="381"/>
      <c r="O64" s="80"/>
      <c r="P64" s="385"/>
      <c r="Q64" s="385"/>
      <c r="R64" s="385"/>
      <c r="S64" s="385"/>
      <c r="T64" s="385"/>
      <c r="U64" s="385"/>
      <c r="V64" s="385"/>
      <c r="W64" s="385"/>
      <c r="X64" s="385"/>
      <c r="Y64" s="385"/>
      <c r="Z64" s="391"/>
      <c r="AA64" s="381"/>
      <c r="AB64" s="80">
        <f>+AB30/$AB$37</f>
        <v>0</v>
      </c>
      <c r="AC64" s="385">
        <f>+AC30/$AC$37</f>
        <v>0</v>
      </c>
      <c r="AD64" s="385">
        <f>+AD30/$AD$37</f>
        <v>0</v>
      </c>
      <c r="AE64" s="385">
        <f>+AE30/$AE$37</f>
        <v>0</v>
      </c>
      <c r="AF64" s="385">
        <f>+AF30/$AF$37</f>
        <v>0</v>
      </c>
      <c r="AG64" s="385">
        <f>+AG30/$AG$37</f>
        <v>0</v>
      </c>
      <c r="AH64" s="385">
        <f>+AH30/$AH$37</f>
        <v>0</v>
      </c>
      <c r="AI64" s="385">
        <f>+AI30/$AI$37</f>
        <v>0</v>
      </c>
      <c r="AJ64" s="385">
        <f>+AJ30/$AJ$37</f>
        <v>0</v>
      </c>
      <c r="AK64" s="385">
        <f>+AK30/$AK$37</f>
        <v>0</v>
      </c>
      <c r="AL64" s="385">
        <f>+AL30/$AL$37</f>
        <v>0</v>
      </c>
      <c r="AM64" s="391">
        <f>+AM30/$AM$37</f>
        <v>0</v>
      </c>
      <c r="AN64" s="381">
        <f t="shared" si="592"/>
        <v>0</v>
      </c>
      <c r="AO64" s="80">
        <f>+AO30/$AO$37</f>
        <v>0</v>
      </c>
      <c r="AP64" s="385">
        <f>+AP30/$AP$37</f>
        <v>0</v>
      </c>
      <c r="AQ64" s="385">
        <f>+AQ30/$AQ$37</f>
        <v>0</v>
      </c>
      <c r="AR64" s="385"/>
      <c r="AS64" s="385"/>
      <c r="AT64" s="385"/>
      <c r="AU64" s="385"/>
      <c r="AV64" s="385"/>
      <c r="AW64" s="385"/>
      <c r="AX64" s="385"/>
      <c r="AY64" s="385"/>
      <c r="AZ64" s="391"/>
      <c r="BA64" s="381"/>
      <c r="BB64" s="80"/>
      <c r="BC64" s="385"/>
      <c r="BD64" s="385"/>
      <c r="BE64" s="385"/>
      <c r="BF64" s="385"/>
      <c r="BG64" s="385"/>
      <c r="BH64" s="385"/>
      <c r="BI64" s="385"/>
      <c r="BJ64" s="385"/>
      <c r="BK64" s="385"/>
      <c r="BL64" s="385"/>
      <c r="BM64" s="391"/>
      <c r="BN64" s="381"/>
      <c r="BO64" s="80">
        <f t="shared" si="440"/>
        <v>0</v>
      </c>
      <c r="BP64" s="385"/>
      <c r="BQ64" s="385"/>
      <c r="BR64" s="385"/>
      <c r="BS64" s="385"/>
      <c r="BT64" s="385"/>
      <c r="BU64" s="385"/>
      <c r="BV64" s="385"/>
      <c r="BW64" s="385"/>
      <c r="BX64" s="385"/>
      <c r="BY64" s="385"/>
      <c r="BZ64" s="391"/>
      <c r="CA64" s="381"/>
      <c r="CB64" s="80"/>
      <c r="CC64" s="385"/>
      <c r="CD64" s="385"/>
      <c r="CE64" s="385"/>
      <c r="CF64" s="385">
        <f t="shared" si="457"/>
        <v>0</v>
      </c>
      <c r="CG64" s="385">
        <f t="shared" si="458"/>
        <v>0</v>
      </c>
      <c r="CH64" s="385">
        <f t="shared" si="459"/>
        <v>0</v>
      </c>
      <c r="CI64" s="385"/>
      <c r="CJ64" s="385">
        <f t="shared" si="461"/>
        <v>0</v>
      </c>
      <c r="CK64" s="385"/>
      <c r="CL64" s="385"/>
      <c r="CM64" s="391"/>
      <c r="CN64" s="381"/>
      <c r="CO64" s="80"/>
      <c r="CP64" s="385"/>
      <c r="CQ64" s="385"/>
      <c r="CR64" s="385"/>
      <c r="CS64" s="385"/>
      <c r="CT64" s="385"/>
      <c r="CU64" s="385"/>
      <c r="CV64" s="385"/>
      <c r="CW64" s="385"/>
      <c r="CX64" s="385"/>
      <c r="CY64" s="385"/>
      <c r="CZ64" s="391"/>
      <c r="DA64" s="381"/>
      <c r="DB64" s="80"/>
      <c r="DC64" s="385"/>
      <c r="DD64" s="385"/>
      <c r="DE64" s="385"/>
      <c r="DF64" s="385"/>
      <c r="DG64" s="385"/>
      <c r="DH64" s="385"/>
      <c r="DI64" s="385"/>
      <c r="DJ64" s="385"/>
      <c r="DK64" s="385"/>
      <c r="DL64" s="385"/>
      <c r="DM64" s="391"/>
      <c r="DN64" s="381">
        <f t="shared" si="348"/>
        <v>0</v>
      </c>
      <c r="DO64" s="80"/>
      <c r="DP64" s="385"/>
      <c r="DQ64" s="385"/>
      <c r="DR64" s="385"/>
      <c r="DS64" s="385"/>
      <c r="DT64" s="385"/>
      <c r="DU64" s="385"/>
      <c r="DV64" s="385"/>
      <c r="DW64" s="385"/>
      <c r="DX64" s="385"/>
      <c r="DY64" s="385"/>
      <c r="DZ64" s="391"/>
      <c r="EA64" s="381">
        <f t="shared" si="349"/>
        <v>0</v>
      </c>
      <c r="EB64" s="80"/>
      <c r="EC64" s="385"/>
      <c r="ED64" s="385"/>
      <c r="EE64" s="385"/>
      <c r="EF64" s="385"/>
      <c r="EG64" s="385"/>
      <c r="EH64" s="385"/>
      <c r="EI64" s="385"/>
      <c r="EJ64" s="385"/>
      <c r="EK64" s="385"/>
      <c r="EL64" s="385"/>
      <c r="EM64" s="391"/>
      <c r="EN64" s="381">
        <f t="shared" si="350"/>
        <v>0</v>
      </c>
      <c r="EO64" s="80"/>
      <c r="EP64" s="385"/>
      <c r="EQ64" s="385">
        <f>+EQ30/EQ60</f>
        <v>0</v>
      </c>
      <c r="ER64" s="385"/>
      <c r="ES64" s="385"/>
      <c r="ET64" s="385"/>
      <c r="EU64" s="385"/>
      <c r="EV64" s="385"/>
      <c r="EW64" s="385"/>
      <c r="EX64" s="385"/>
      <c r="EY64" s="385"/>
      <c r="EZ64" s="391"/>
      <c r="FA64" s="381">
        <f t="shared" si="351"/>
        <v>0</v>
      </c>
      <c r="FB64" s="80"/>
      <c r="FC64" s="385"/>
      <c r="FD64" s="385"/>
      <c r="FE64" s="385"/>
      <c r="FF64" s="385"/>
      <c r="FG64" s="385"/>
      <c r="FH64" s="385"/>
      <c r="FI64" s="385"/>
      <c r="FJ64" s="385"/>
      <c r="FK64" s="385"/>
      <c r="FL64" s="385"/>
      <c r="FM64" s="391"/>
      <c r="FN64" s="381">
        <f t="shared" si="352"/>
        <v>0</v>
      </c>
      <c r="FO64" s="80"/>
      <c r="FP64" s="385"/>
      <c r="FQ64" s="385"/>
      <c r="FR64" s="385"/>
      <c r="FS64" s="385"/>
      <c r="FT64" s="385"/>
      <c r="FU64" s="385"/>
      <c r="FV64" s="385">
        <f t="shared" si="545"/>
        <v>0</v>
      </c>
      <c r="FW64" s="385"/>
      <c r="FX64" s="385"/>
      <c r="FY64" s="385"/>
      <c r="FZ64" s="391"/>
      <c r="GA64" s="381">
        <f t="shared" si="353"/>
        <v>0</v>
      </c>
      <c r="GB64" s="80"/>
      <c r="GC64" s="385"/>
      <c r="GD64" s="385"/>
      <c r="GE64" s="385"/>
      <c r="GF64" s="385"/>
      <c r="GG64" s="385"/>
      <c r="GH64" s="385"/>
      <c r="GI64" s="385"/>
      <c r="GJ64" s="385"/>
      <c r="GK64" s="385"/>
      <c r="GL64" s="385"/>
      <c r="GM64" s="391"/>
      <c r="GN64" s="381">
        <f t="shared" si="354"/>
        <v>0</v>
      </c>
      <c r="GO64" s="80"/>
      <c r="GP64" s="385"/>
      <c r="GQ64" s="385"/>
      <c r="GR64" s="385"/>
      <c r="GS64" s="385"/>
      <c r="GT64" s="385"/>
      <c r="GU64" s="385"/>
      <c r="GV64" s="385">
        <f t="shared" si="569"/>
        <v>0</v>
      </c>
      <c r="GW64" s="385"/>
      <c r="GX64" s="385"/>
      <c r="GY64" s="385"/>
      <c r="GZ64" s="391"/>
      <c r="HA64" s="381">
        <f t="shared" si="355"/>
        <v>0</v>
      </c>
      <c r="HB64" s="80">
        <f t="shared" si="574"/>
        <v>0</v>
      </c>
      <c r="HC64" s="385"/>
      <c r="HD64" s="385"/>
      <c r="HE64" s="385"/>
      <c r="HF64" s="385">
        <f t="shared" si="578"/>
        <v>0</v>
      </c>
      <c r="HG64" s="385"/>
      <c r="HH64" s="385"/>
      <c r="HI64" s="385"/>
      <c r="HJ64" s="385"/>
      <c r="HK64" s="385"/>
      <c r="HL64" s="385"/>
      <c r="HM64" s="391"/>
      <c r="HN64" s="381">
        <f t="shared" si="356"/>
        <v>0</v>
      </c>
      <c r="HO64" s="80"/>
      <c r="HP64" s="385"/>
      <c r="HQ64" s="385"/>
      <c r="HR64" s="385"/>
      <c r="HS64" s="385"/>
      <c r="HT64" s="385"/>
      <c r="HU64" s="385"/>
      <c r="HV64" s="385"/>
      <c r="HW64" s="385"/>
      <c r="HX64" s="385"/>
      <c r="HY64" s="385"/>
      <c r="HZ64" s="391"/>
      <c r="IA64" s="379">
        <f>SUM(HO64:HZ64)</f>
        <v>0</v>
      </c>
      <c r="IB64" s="1344">
        <f>+IB30/$IB$37</f>
        <v>0</v>
      </c>
      <c r="IC64" s="120">
        <f t="shared" si="365"/>
        <v>0</v>
      </c>
      <c r="ID64" s="120">
        <f t="shared" si="366"/>
        <v>0</v>
      </c>
      <c r="IE64" s="120">
        <f t="shared" si="367"/>
        <v>0</v>
      </c>
      <c r="IF64" s="120">
        <f t="shared" si="368"/>
        <v>0</v>
      </c>
      <c r="IG64" s="120">
        <f t="shared" si="369"/>
        <v>0</v>
      </c>
      <c r="IH64" s="120">
        <f t="shared" si="370"/>
        <v>0</v>
      </c>
      <c r="II64" s="120">
        <f t="shared" si="371"/>
        <v>0</v>
      </c>
      <c r="IJ64" s="120"/>
      <c r="IK64" s="120"/>
      <c r="IL64" s="120"/>
      <c r="IM64" s="1345"/>
      <c r="IN64" s="1346">
        <f t="shared" si="372"/>
        <v>0</v>
      </c>
      <c r="IO64" s="120"/>
      <c r="IP64" s="371" t="str">
        <f t="shared" si="593"/>
        <v/>
      </c>
      <c r="IQ64" s="348"/>
      <c r="IR64" s="320">
        <f t="shared" si="338"/>
        <v>0</v>
      </c>
      <c r="IS64" s="344">
        <f t="shared" si="339"/>
        <v>0</v>
      </c>
    </row>
    <row r="65" spans="1:253" ht="15" customHeight="1" x14ac:dyDescent="0.2">
      <c r="A65" s="349" t="s">
        <v>352</v>
      </c>
      <c r="B65" s="81"/>
      <c r="C65" s="386"/>
      <c r="D65" s="386"/>
      <c r="E65" s="386"/>
      <c r="F65" s="386"/>
      <c r="G65" s="386"/>
      <c r="H65" s="386"/>
      <c r="I65" s="386"/>
      <c r="J65" s="386"/>
      <c r="K65" s="386"/>
      <c r="L65" s="386"/>
      <c r="M65" s="392"/>
      <c r="N65" s="399"/>
      <c r="O65" s="81"/>
      <c r="P65" s="386"/>
      <c r="Q65" s="386"/>
      <c r="R65" s="386"/>
      <c r="S65" s="386"/>
      <c r="T65" s="386"/>
      <c r="U65" s="386"/>
      <c r="V65" s="386"/>
      <c r="W65" s="386"/>
      <c r="X65" s="386"/>
      <c r="Y65" s="386"/>
      <c r="Z65" s="392"/>
      <c r="AA65" s="399"/>
      <c r="AB65" s="81"/>
      <c r="AC65" s="386"/>
      <c r="AD65" s="386"/>
      <c r="AE65" s="386"/>
      <c r="AF65" s="386"/>
      <c r="AG65" s="386"/>
      <c r="AH65" s="386"/>
      <c r="AI65" s="386"/>
      <c r="AJ65" s="386"/>
      <c r="AK65" s="386"/>
      <c r="AL65" s="386"/>
      <c r="AM65" s="392"/>
      <c r="AN65" s="399"/>
      <c r="AO65" s="81"/>
      <c r="AP65" s="386"/>
      <c r="AQ65" s="386"/>
      <c r="AR65" s="386"/>
      <c r="AS65" s="386"/>
      <c r="AT65" s="386"/>
      <c r="AU65" s="386"/>
      <c r="AV65" s="386"/>
      <c r="AW65" s="386"/>
      <c r="AX65" s="386"/>
      <c r="AY65" s="386"/>
      <c r="AZ65" s="392"/>
      <c r="BA65" s="399"/>
      <c r="BB65" s="81"/>
      <c r="BC65" s="386"/>
      <c r="BD65" s="386"/>
      <c r="BE65" s="386"/>
      <c r="BF65" s="386"/>
      <c r="BG65" s="386"/>
      <c r="BH65" s="386"/>
      <c r="BI65" s="386"/>
      <c r="BJ65" s="386"/>
      <c r="BK65" s="386"/>
      <c r="BL65" s="386"/>
      <c r="BM65" s="392"/>
      <c r="BN65" s="399"/>
      <c r="BO65" s="81"/>
      <c r="BP65" s="386"/>
      <c r="BQ65" s="386"/>
      <c r="BR65" s="386"/>
      <c r="BS65" s="386"/>
      <c r="BT65" s="386"/>
      <c r="BU65" s="386"/>
      <c r="BV65" s="386"/>
      <c r="BW65" s="386"/>
      <c r="BX65" s="386"/>
      <c r="BY65" s="386"/>
      <c r="BZ65" s="392"/>
      <c r="CA65" s="399"/>
      <c r="CB65" s="81"/>
      <c r="CC65" s="386"/>
      <c r="CD65" s="386"/>
      <c r="CE65" s="386"/>
      <c r="CF65" s="386"/>
      <c r="CG65" s="386"/>
      <c r="CH65" s="386"/>
      <c r="CI65" s="386"/>
      <c r="CJ65" s="386"/>
      <c r="CK65" s="386"/>
      <c r="CL65" s="386"/>
      <c r="CM65" s="392"/>
      <c r="CN65" s="399"/>
      <c r="CO65" s="81"/>
      <c r="CP65" s="386"/>
      <c r="CQ65" s="386"/>
      <c r="CR65" s="386"/>
      <c r="CS65" s="386"/>
      <c r="CT65" s="386"/>
      <c r="CU65" s="386"/>
      <c r="CV65" s="386"/>
      <c r="CW65" s="386"/>
      <c r="CX65" s="386"/>
      <c r="CY65" s="386"/>
      <c r="CZ65" s="392"/>
      <c r="DA65" s="399"/>
      <c r="DB65" s="81"/>
      <c r="DC65" s="386"/>
      <c r="DD65" s="386"/>
      <c r="DE65" s="386"/>
      <c r="DF65" s="386"/>
      <c r="DG65" s="386"/>
      <c r="DH65" s="386"/>
      <c r="DI65" s="386"/>
      <c r="DJ65" s="386"/>
      <c r="DK65" s="386"/>
      <c r="DL65" s="386"/>
      <c r="DM65" s="392"/>
      <c r="DN65" s="399"/>
      <c r="DO65" s="81"/>
      <c r="DP65" s="386"/>
      <c r="DQ65" s="386"/>
      <c r="DR65" s="386"/>
      <c r="DS65" s="386"/>
      <c r="DT65" s="386"/>
      <c r="DU65" s="386"/>
      <c r="DV65" s="386"/>
      <c r="DW65" s="386"/>
      <c r="DX65" s="386"/>
      <c r="DY65" s="386"/>
      <c r="DZ65" s="392"/>
      <c r="EA65" s="399"/>
      <c r="EB65" s="81"/>
      <c r="EC65" s="386"/>
      <c r="ED65" s="386"/>
      <c r="EE65" s="386"/>
      <c r="EF65" s="386"/>
      <c r="EG65" s="386"/>
      <c r="EH65" s="386"/>
      <c r="EI65" s="386"/>
      <c r="EJ65" s="386"/>
      <c r="EK65" s="386"/>
      <c r="EL65" s="386"/>
      <c r="EM65" s="392"/>
      <c r="EN65" s="399"/>
      <c r="EO65" s="81"/>
      <c r="EP65" s="386"/>
      <c r="EQ65" s="386"/>
      <c r="ER65" s="386"/>
      <c r="ES65" s="386"/>
      <c r="ET65" s="386"/>
      <c r="EU65" s="386"/>
      <c r="EV65" s="386"/>
      <c r="EW65" s="386"/>
      <c r="EX65" s="386"/>
      <c r="EY65" s="386"/>
      <c r="EZ65" s="392"/>
      <c r="FA65" s="399"/>
      <c r="FB65" s="81"/>
      <c r="FC65" s="386"/>
      <c r="FD65" s="386"/>
      <c r="FE65" s="386"/>
      <c r="FF65" s="386"/>
      <c r="FG65" s="386"/>
      <c r="FH65" s="386"/>
      <c r="FI65" s="386"/>
      <c r="FJ65" s="386"/>
      <c r="FK65" s="386"/>
      <c r="FL65" s="386"/>
      <c r="FM65" s="392"/>
      <c r="FN65" s="399"/>
      <c r="FO65" s="81"/>
      <c r="FP65" s="386"/>
      <c r="FQ65" s="386"/>
      <c r="FR65" s="386"/>
      <c r="FS65" s="386"/>
      <c r="FT65" s="386"/>
      <c r="FU65" s="386"/>
      <c r="FV65" s="386"/>
      <c r="FW65" s="386"/>
      <c r="FX65" s="386"/>
      <c r="FY65" s="386"/>
      <c r="FZ65" s="392"/>
      <c r="GA65" s="399"/>
      <c r="GB65" s="81"/>
      <c r="GC65" s="386"/>
      <c r="GD65" s="386"/>
      <c r="GE65" s="386"/>
      <c r="GF65" s="386"/>
      <c r="GG65" s="386"/>
      <c r="GH65" s="386"/>
      <c r="GI65" s="386"/>
      <c r="GJ65" s="386"/>
      <c r="GK65" s="386"/>
      <c r="GL65" s="386"/>
      <c r="GM65" s="392"/>
      <c r="GN65" s="399"/>
      <c r="GO65" s="81"/>
      <c r="GP65" s="386"/>
      <c r="GQ65" s="386"/>
      <c r="GR65" s="386"/>
      <c r="GS65" s="386"/>
      <c r="GT65" s="386"/>
      <c r="GU65" s="386"/>
      <c r="GV65" s="386"/>
      <c r="GW65" s="386"/>
      <c r="GX65" s="386"/>
      <c r="GY65" s="386"/>
      <c r="GZ65" s="392"/>
      <c r="HA65" s="399"/>
      <c r="HB65" s="81"/>
      <c r="HC65" s="386"/>
      <c r="HD65" s="386"/>
      <c r="HE65" s="386"/>
      <c r="HF65" s="386"/>
      <c r="HG65" s="386"/>
      <c r="HH65" s="386"/>
      <c r="HI65" s="386"/>
      <c r="HJ65" s="386"/>
      <c r="HK65" s="386"/>
      <c r="HL65" s="386"/>
      <c r="HM65" s="392"/>
      <c r="HN65" s="399"/>
      <c r="HO65" s="81"/>
      <c r="HP65" s="386"/>
      <c r="HQ65" s="386"/>
      <c r="HR65" s="386"/>
      <c r="HS65" s="386"/>
      <c r="HT65" s="386"/>
      <c r="HU65" s="386"/>
      <c r="HV65" s="386"/>
      <c r="HW65" s="386"/>
      <c r="HX65" s="386"/>
      <c r="HY65" s="386"/>
      <c r="HZ65" s="392"/>
      <c r="IA65" s="1347"/>
      <c r="IB65" s="1347"/>
      <c r="IC65" s="1348"/>
      <c r="ID65" s="1348"/>
      <c r="IE65" s="1348"/>
      <c r="IF65" s="1348"/>
      <c r="IG65" s="1348"/>
      <c r="IH65" s="1348"/>
      <c r="II65" s="1348"/>
      <c r="IJ65" s="1348"/>
      <c r="IK65" s="1348"/>
      <c r="IL65" s="1348"/>
      <c r="IM65" s="1349"/>
      <c r="IN65" s="399"/>
      <c r="IO65" s="120"/>
      <c r="IP65" s="372" t="str">
        <f t="shared" ref="IP65" si="594">IFERROR(((IG65/HT65)-1)*100,"")</f>
        <v/>
      </c>
      <c r="IQ65" s="351"/>
      <c r="IR65" s="352"/>
      <c r="IS65" s="350"/>
    </row>
    <row r="66" spans="1:253" ht="15" customHeight="1" x14ac:dyDescent="0.2">
      <c r="A66" s="353" t="s">
        <v>298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>
        <f t="shared" ref="O66:AN66" si="595">O57-O41</f>
        <v>0</v>
      </c>
      <c r="P66" s="354">
        <f t="shared" si="595"/>
        <v>0</v>
      </c>
      <c r="Q66" s="354">
        <f t="shared" si="595"/>
        <v>0</v>
      </c>
      <c r="R66" s="354">
        <f t="shared" si="595"/>
        <v>0</v>
      </c>
      <c r="S66" s="354">
        <f t="shared" si="595"/>
        <v>0</v>
      </c>
      <c r="T66" s="354">
        <f t="shared" si="595"/>
        <v>0</v>
      </c>
      <c r="U66" s="354">
        <f t="shared" si="595"/>
        <v>0</v>
      </c>
      <c r="V66" s="354">
        <f t="shared" si="595"/>
        <v>0</v>
      </c>
      <c r="W66" s="354">
        <f t="shared" si="595"/>
        <v>0</v>
      </c>
      <c r="X66" s="354">
        <f t="shared" si="595"/>
        <v>0</v>
      </c>
      <c r="Y66" s="354">
        <f t="shared" si="595"/>
        <v>0</v>
      </c>
      <c r="Z66" s="354">
        <f t="shared" si="595"/>
        <v>0</v>
      </c>
      <c r="AA66" s="354">
        <f t="shared" si="595"/>
        <v>0</v>
      </c>
      <c r="AB66" s="317">
        <f t="shared" si="595"/>
        <v>0</v>
      </c>
      <c r="AC66" s="317">
        <f t="shared" si="595"/>
        <v>0</v>
      </c>
      <c r="AD66" s="317">
        <f t="shared" si="595"/>
        <v>0</v>
      </c>
      <c r="AE66" s="317">
        <f t="shared" si="595"/>
        <v>0</v>
      </c>
      <c r="AF66" s="317">
        <f t="shared" si="595"/>
        <v>0</v>
      </c>
      <c r="AG66" s="317">
        <f t="shared" si="595"/>
        <v>0</v>
      </c>
      <c r="AH66" s="317">
        <f t="shared" si="595"/>
        <v>0</v>
      </c>
      <c r="AI66" s="317">
        <f t="shared" si="595"/>
        <v>0</v>
      </c>
      <c r="AJ66" s="317">
        <f t="shared" si="595"/>
        <v>0</v>
      </c>
      <c r="AK66" s="317">
        <f t="shared" si="595"/>
        <v>0</v>
      </c>
      <c r="AL66" s="317">
        <f t="shared" si="595"/>
        <v>0</v>
      </c>
      <c r="AM66" s="317">
        <f t="shared" si="595"/>
        <v>0</v>
      </c>
      <c r="AN66" s="317">
        <f t="shared" si="595"/>
        <v>0</v>
      </c>
      <c r="GM66" s="316"/>
      <c r="GN66" s="316"/>
      <c r="GO66" s="316"/>
      <c r="GP66" s="316"/>
      <c r="GQ66" s="316"/>
      <c r="GR66" s="316"/>
      <c r="GS66" s="316"/>
      <c r="GT66" s="316"/>
      <c r="GU66" s="316"/>
      <c r="GV66" s="316"/>
      <c r="GW66" s="316"/>
      <c r="GX66" s="316"/>
      <c r="GY66" s="316"/>
      <c r="GZ66" s="316"/>
      <c r="HA66" s="316"/>
      <c r="HB66" s="316"/>
      <c r="HC66" s="316"/>
      <c r="HD66" s="316"/>
      <c r="HE66" s="316"/>
      <c r="HF66" s="316"/>
      <c r="HG66" s="316"/>
      <c r="HH66" s="316"/>
      <c r="HI66" s="316"/>
      <c r="HJ66" s="316"/>
      <c r="HK66" s="316"/>
      <c r="HL66" s="316"/>
      <c r="HM66" s="316"/>
      <c r="HN66" s="316"/>
      <c r="HO66" s="316"/>
      <c r="HP66" s="316"/>
      <c r="HQ66" s="316"/>
      <c r="HR66" s="316"/>
      <c r="HS66" s="316"/>
      <c r="HT66" s="316"/>
      <c r="HU66" s="316"/>
      <c r="HV66" s="316"/>
      <c r="HW66" s="316"/>
      <c r="HX66" s="316"/>
      <c r="HY66" s="316"/>
      <c r="HZ66" s="316"/>
      <c r="IA66" s="316"/>
      <c r="IB66" s="120"/>
      <c r="IC66" s="120"/>
      <c r="ID66" s="120"/>
      <c r="IE66" s="120"/>
      <c r="IF66" s="120"/>
      <c r="IG66" s="120"/>
      <c r="IH66" s="120"/>
      <c r="II66" s="120"/>
      <c r="IJ66" s="120"/>
      <c r="IK66" s="120"/>
      <c r="IL66" s="120"/>
      <c r="IM66" s="120"/>
      <c r="IN66" s="120"/>
      <c r="IO66" s="120"/>
    </row>
    <row r="67" spans="1:253" ht="15" customHeight="1" x14ac:dyDescent="0.2">
      <c r="A67" s="355" t="s">
        <v>127</v>
      </c>
      <c r="B67" s="356"/>
      <c r="C67" s="356"/>
      <c r="D67" s="356"/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6"/>
      <c r="Q67" s="356"/>
      <c r="R67" s="356"/>
      <c r="S67" s="356"/>
      <c r="T67" s="356"/>
      <c r="U67" s="356"/>
      <c r="V67" s="356"/>
      <c r="W67" s="356"/>
      <c r="X67" s="356"/>
      <c r="Y67" s="356"/>
      <c r="Z67" s="356"/>
      <c r="AA67" s="356"/>
      <c r="AB67" s="356"/>
      <c r="AC67" s="393"/>
      <c r="AD67" s="393"/>
      <c r="AE67" s="393"/>
      <c r="AF67" s="393"/>
      <c r="AG67" s="393"/>
      <c r="AH67" s="393"/>
      <c r="AI67" s="393"/>
      <c r="AJ67" s="393"/>
      <c r="AK67" s="393"/>
      <c r="AL67" s="393"/>
      <c r="AM67" s="393"/>
      <c r="AN67" s="393"/>
      <c r="AO67" s="393"/>
      <c r="AP67" s="393"/>
      <c r="AQ67" s="393"/>
      <c r="AR67" s="393"/>
      <c r="AS67" s="393"/>
      <c r="AT67" s="393"/>
      <c r="AU67" s="393"/>
      <c r="AV67" s="393"/>
      <c r="AW67" s="393"/>
      <c r="AX67" s="393"/>
      <c r="AY67" s="393"/>
      <c r="AZ67" s="393"/>
      <c r="BA67" s="393"/>
      <c r="BB67" s="393"/>
      <c r="BC67" s="393"/>
      <c r="BD67" s="393"/>
      <c r="BE67" s="393"/>
      <c r="BF67" s="393"/>
      <c r="BG67" s="393"/>
      <c r="BH67" s="393"/>
      <c r="BI67" s="393"/>
      <c r="BJ67" s="393"/>
      <c r="BK67" s="393"/>
      <c r="BL67" s="393"/>
      <c r="BM67" s="393"/>
      <c r="BN67" s="393"/>
      <c r="BO67" s="393"/>
      <c r="BP67" s="393"/>
      <c r="BQ67" s="393"/>
      <c r="BR67" s="393"/>
      <c r="BS67" s="393"/>
      <c r="BT67" s="393"/>
      <c r="BU67" s="393"/>
      <c r="BV67" s="393"/>
      <c r="BW67" s="393"/>
      <c r="BX67" s="393"/>
      <c r="BY67" s="393"/>
      <c r="BZ67" s="393"/>
      <c r="CA67" s="393"/>
      <c r="CB67" s="393"/>
      <c r="CC67" s="393"/>
      <c r="CD67" s="393"/>
      <c r="CE67" s="393"/>
      <c r="CF67" s="393"/>
      <c r="CG67" s="393"/>
      <c r="CH67" s="393"/>
      <c r="CI67" s="393"/>
      <c r="CJ67" s="393"/>
      <c r="CK67" s="393"/>
      <c r="CL67" s="393"/>
      <c r="CM67" s="393"/>
      <c r="CN67" s="393"/>
      <c r="CO67" s="393"/>
      <c r="CP67" s="393"/>
      <c r="CQ67" s="393"/>
      <c r="CR67" s="393"/>
      <c r="CS67" s="393"/>
      <c r="CT67" s="393"/>
      <c r="CU67" s="393"/>
      <c r="CV67" s="393"/>
      <c r="CW67" s="393"/>
      <c r="CX67" s="393"/>
      <c r="CY67" s="393"/>
      <c r="CZ67" s="393"/>
      <c r="DA67" s="393"/>
      <c r="DB67" s="393"/>
      <c r="DC67" s="393"/>
      <c r="DD67" s="393"/>
      <c r="DE67" s="393"/>
      <c r="DF67" s="393"/>
      <c r="DG67" s="393"/>
      <c r="DH67" s="393"/>
      <c r="DI67" s="393"/>
      <c r="DJ67" s="393"/>
      <c r="DK67" s="393"/>
      <c r="DL67" s="393"/>
      <c r="DM67" s="393"/>
      <c r="DN67" s="393"/>
      <c r="DO67" s="393"/>
      <c r="DP67" s="393"/>
      <c r="DQ67" s="393"/>
      <c r="DR67" s="393"/>
      <c r="DS67" s="393"/>
      <c r="DT67" s="393"/>
      <c r="DU67" s="393"/>
      <c r="DV67" s="393"/>
      <c r="DW67" s="393"/>
      <c r="DX67" s="393"/>
      <c r="DY67" s="393"/>
      <c r="DZ67" s="393"/>
      <c r="EA67" s="393"/>
      <c r="EB67" s="393"/>
      <c r="EC67" s="393"/>
      <c r="ED67" s="393"/>
      <c r="EE67" s="393"/>
      <c r="EF67" s="393"/>
      <c r="EG67" s="393"/>
      <c r="EH67" s="393"/>
      <c r="EI67" s="393"/>
      <c r="EJ67" s="393"/>
      <c r="EK67" s="393"/>
      <c r="EL67" s="393"/>
      <c r="EM67" s="393"/>
      <c r="EN67" s="393"/>
      <c r="EO67" s="393"/>
      <c r="EP67" s="393"/>
      <c r="EQ67" s="393"/>
      <c r="ER67" s="393"/>
      <c r="ES67" s="393"/>
      <c r="ET67" s="393"/>
      <c r="EU67" s="393"/>
      <c r="EV67" s="393"/>
      <c r="EW67" s="393"/>
      <c r="EX67" s="393"/>
      <c r="EY67" s="393"/>
      <c r="EZ67" s="393"/>
      <c r="FA67" s="393"/>
      <c r="FB67" s="393"/>
      <c r="FC67" s="393"/>
      <c r="FD67" s="393"/>
      <c r="FE67" s="393"/>
      <c r="FF67" s="393"/>
      <c r="FG67" s="393"/>
      <c r="FH67" s="393"/>
      <c r="FI67" s="393"/>
      <c r="FJ67" s="393"/>
      <c r="FK67" s="393"/>
      <c r="FL67" s="393"/>
      <c r="FM67" s="393"/>
      <c r="FN67" s="393"/>
      <c r="FO67" s="393"/>
      <c r="FP67" s="393"/>
      <c r="FQ67" s="393"/>
      <c r="FR67" s="393"/>
      <c r="FS67" s="393"/>
      <c r="FT67" s="393"/>
      <c r="FU67" s="393"/>
      <c r="FV67" s="393"/>
      <c r="FW67" s="393"/>
      <c r="FX67" s="393"/>
      <c r="FY67" s="393"/>
      <c r="FZ67" s="393"/>
      <c r="GA67" s="393"/>
      <c r="GB67" s="393"/>
      <c r="GC67" s="393"/>
      <c r="GD67" s="393"/>
      <c r="GE67" s="393"/>
      <c r="GF67" s="393"/>
      <c r="GG67" s="393"/>
      <c r="GH67" s="393"/>
      <c r="GI67" s="393"/>
      <c r="GJ67" s="393"/>
      <c r="GK67" s="393"/>
      <c r="GL67" s="393"/>
      <c r="GM67" s="394"/>
      <c r="GN67" s="394"/>
      <c r="GO67" s="394"/>
      <c r="GP67" s="394"/>
      <c r="GQ67" s="394"/>
      <c r="GR67" s="394"/>
      <c r="GS67" s="394"/>
      <c r="GT67" s="394"/>
      <c r="GU67" s="394"/>
      <c r="GV67" s="394"/>
      <c r="GW67" s="394"/>
      <c r="GX67" s="394"/>
      <c r="GY67" s="394"/>
      <c r="GZ67" s="394"/>
      <c r="HA67" s="394"/>
      <c r="HB67" s="394"/>
      <c r="HC67" s="394"/>
      <c r="HD67" s="394"/>
      <c r="HE67" s="394"/>
      <c r="HF67" s="394"/>
      <c r="HG67" s="394"/>
      <c r="HH67" s="394"/>
      <c r="HI67" s="394"/>
      <c r="HJ67" s="394"/>
      <c r="HK67" s="394"/>
      <c r="HL67" s="394"/>
      <c r="HM67" s="394"/>
      <c r="HN67" s="394"/>
      <c r="HO67" s="394"/>
      <c r="HP67" s="394"/>
      <c r="HQ67" s="394"/>
      <c r="HR67" s="394"/>
      <c r="HS67" s="394"/>
      <c r="HT67" s="394"/>
      <c r="HU67" s="394"/>
      <c r="HV67" s="394"/>
      <c r="HW67" s="394"/>
      <c r="HX67" s="394"/>
      <c r="HY67" s="394"/>
      <c r="HZ67" s="394"/>
      <c r="IA67" s="394"/>
      <c r="IB67" s="120"/>
      <c r="IC67" s="120"/>
      <c r="ID67" s="120"/>
      <c r="IE67" s="120"/>
      <c r="IF67" s="120"/>
      <c r="IG67" s="120"/>
      <c r="IH67" s="120"/>
      <c r="II67" s="120"/>
      <c r="IJ67" s="120"/>
      <c r="IK67" s="120"/>
      <c r="IL67" s="120"/>
      <c r="IM67" s="120"/>
      <c r="IN67" s="120"/>
      <c r="IO67" s="120"/>
      <c r="IP67" s="393"/>
      <c r="IQ67" s="393"/>
    </row>
    <row r="68" spans="1:253" ht="15" customHeight="1" x14ac:dyDescent="0.2">
      <c r="A68" s="354" t="s">
        <v>352</v>
      </c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BO68" s="358"/>
      <c r="BP68" s="358"/>
      <c r="BQ68" s="358"/>
      <c r="BR68" s="358"/>
      <c r="BS68" s="358"/>
      <c r="BT68" s="358"/>
      <c r="BU68" s="358"/>
      <c r="BV68" s="358"/>
      <c r="BW68" s="358"/>
      <c r="BX68" s="358"/>
      <c r="BY68" s="358"/>
      <c r="BZ68" s="358">
        <f>((BZ69/BY69)-1)*100</f>
        <v>-0.10680569083812985</v>
      </c>
      <c r="CA68" s="358"/>
      <c r="CB68" s="358">
        <f>((CB69/BZ69)-1)*100</f>
        <v>3.00000000000189E-2</v>
      </c>
      <c r="CC68" s="358">
        <f t="shared" ref="CC68:CM68" si="596">((CC69/CB69)-1)*100</f>
        <v>0.19999999999988916</v>
      </c>
      <c r="CD68" s="358">
        <f t="shared" si="596"/>
        <v>0.38035266186156047</v>
      </c>
      <c r="CE68" s="358">
        <f t="shared" si="596"/>
        <v>6.1104582843696242E-2</v>
      </c>
      <c r="CF68" s="358">
        <f t="shared" si="596"/>
        <v>0.17850432168358132</v>
      </c>
      <c r="CG68" s="358">
        <f t="shared" si="596"/>
        <v>-0.15005158023071452</v>
      </c>
      <c r="CH68" s="358">
        <f t="shared" si="596"/>
        <v>9.8619329388549559E-2</v>
      </c>
      <c r="CI68" s="358">
        <f t="shared" si="596"/>
        <v>0.2111189303307448</v>
      </c>
      <c r="CJ68" s="358">
        <f t="shared" si="596"/>
        <v>0.34176029962549315</v>
      </c>
      <c r="CK68" s="358">
        <f t="shared" si="596"/>
        <v>0.48989875425742291</v>
      </c>
      <c r="CL68" s="358">
        <f t="shared" si="596"/>
        <v>-6.9644349521780224E-2</v>
      </c>
      <c r="CM68" s="358">
        <f t="shared" si="596"/>
        <v>-0.3112948938344906</v>
      </c>
      <c r="CN68" s="358"/>
      <c r="CO68" s="358">
        <f>((CO69/CM69)-1)*100</f>
        <v>-0.30999999999998806</v>
      </c>
      <c r="CP68" s="358">
        <f t="shared" ref="CP68:CW68" si="597">((CP69/CO69)-1)*100</f>
        <v>0.34999999999998366</v>
      </c>
      <c r="CQ68" s="358">
        <f t="shared" si="597"/>
        <v>0.69000000000001283</v>
      </c>
      <c r="CR68" s="358">
        <f t="shared" si="597"/>
        <v>-4.9999999999983391E-2</v>
      </c>
      <c r="CS68" s="358">
        <f t="shared" si="597"/>
        <v>0.37999999999998035</v>
      </c>
      <c r="CT68" s="358">
        <f t="shared" si="597"/>
        <v>0.25999999999968271</v>
      </c>
      <c r="CU68" s="358">
        <f t="shared" si="597"/>
        <v>-4.2299536598511267E-2</v>
      </c>
      <c r="CV68" s="358">
        <f t="shared" si="597"/>
        <v>0.23926474866931002</v>
      </c>
      <c r="CW68" s="358">
        <f t="shared" si="597"/>
        <v>0.21634954674387696</v>
      </c>
      <c r="CX68" s="358">
        <f>((CX69/CW69)-1)*100</f>
        <v>1.9530980943471832E-2</v>
      </c>
      <c r="CY68" s="358">
        <f>((CY69/CX69)-1)*100</f>
        <v>0.71619945035819033</v>
      </c>
      <c r="CZ68" s="358">
        <f>((CZ69/CY69)-1)*100</f>
        <v>8.1921521308725431E-2</v>
      </c>
      <c r="DA68" s="358"/>
      <c r="DB68" s="358">
        <f>((DB69/CZ69)-1)*100</f>
        <v>3.053448358329991E-2</v>
      </c>
      <c r="DC68" s="358">
        <f t="shared" ref="DC68:DH68" si="598">((DC69/DB69)-1)*100</f>
        <v>0.23219235243348013</v>
      </c>
      <c r="DD68" s="358">
        <f t="shared" si="598"/>
        <v>-0.28672930868928193</v>
      </c>
      <c r="DE68" s="358">
        <f t="shared" si="598"/>
        <v>-0.66892865715068028</v>
      </c>
      <c r="DF68" s="358">
        <f t="shared" si="598"/>
        <v>-7.8050303420562628E-2</v>
      </c>
      <c r="DG68" s="358">
        <f t="shared" si="598"/>
        <v>0.55896268753112821</v>
      </c>
      <c r="DH68" s="358">
        <f t="shared" si="598"/>
        <v>-0.30043095942746678</v>
      </c>
      <c r="DI68" s="358">
        <f>((DI69/DH69)-1)*100</f>
        <v>0.43162471284821091</v>
      </c>
      <c r="DJ68" s="358">
        <f>((DJ69/DI69)-1)*100</f>
        <v>0.78869387074389508</v>
      </c>
      <c r="DK68" s="358">
        <f>((DK69/DJ69)-1)*100</f>
        <v>0.45930640210378737</v>
      </c>
      <c r="DL68" s="358">
        <f>((DL69/DK69)-1)*100</f>
        <v>0.22347258548029991</v>
      </c>
      <c r="DM68" s="358">
        <f>((DM69/DL69)-1)*100</f>
        <v>0.53272555389280996</v>
      </c>
      <c r="DN68" s="358"/>
      <c r="DO68" s="358">
        <f>((DO69/DM69)-1)*100</f>
        <v>3.1737347613192135E-2</v>
      </c>
      <c r="DP68" s="358">
        <f t="shared" ref="DP68:DZ68" si="599">((DP69/DO69)-1)*100</f>
        <v>-0.61843213831460631</v>
      </c>
      <c r="DQ68" s="358">
        <f t="shared" si="599"/>
        <v>0.39649345792385216</v>
      </c>
      <c r="DR68" s="358">
        <f t="shared" si="599"/>
        <v>-0.25290356996410246</v>
      </c>
      <c r="DS68" s="358">
        <f t="shared" si="599"/>
        <v>-0.13312826441995718</v>
      </c>
      <c r="DT68" s="358">
        <f t="shared" si="599"/>
        <v>-0.12688342585249757</v>
      </c>
      <c r="DU68" s="358">
        <f t="shared" si="599"/>
        <v>-0.10704403257981721</v>
      </c>
      <c r="DV68" s="358">
        <f t="shared" si="599"/>
        <v>0.18869062535811221</v>
      </c>
      <c r="DW68" s="358">
        <f t="shared" si="599"/>
        <v>0.21102217153214919</v>
      </c>
      <c r="DX68" s="358">
        <f t="shared" si="599"/>
        <v>-7.3444432088221046E-2</v>
      </c>
      <c r="DY68" s="358">
        <f t="shared" si="599"/>
        <v>-0.16134807921912575</v>
      </c>
      <c r="DZ68" s="358">
        <f t="shared" si="599"/>
        <v>6.1335741311441261E-2</v>
      </c>
      <c r="EA68" s="358"/>
      <c r="EB68" s="358">
        <f>((EB69/DZ69)-1)*100</f>
        <v>0.26357487057231399</v>
      </c>
      <c r="EC68" s="358">
        <f t="shared" ref="EC68:EK68" si="600">((EC69/EB69)-1)*100</f>
        <v>0.38205279946403881</v>
      </c>
      <c r="ED68" s="358">
        <f t="shared" si="600"/>
        <v>9.0167422404063835E-2</v>
      </c>
      <c r="EE68" s="358">
        <f t="shared" si="600"/>
        <v>-9.3202373189993359E-2</v>
      </c>
      <c r="EF68" s="358">
        <f t="shared" si="600"/>
        <v>0.70330936786742182</v>
      </c>
      <c r="EG68" s="358">
        <f t="shared" si="600"/>
        <v>0.28221574746070122</v>
      </c>
      <c r="EH68" s="358">
        <f t="shared" si="600"/>
        <v>7.206102002381698E-2</v>
      </c>
      <c r="EI68" s="358">
        <f t="shared" si="600"/>
        <v>0.13031818425597308</v>
      </c>
      <c r="EJ68" s="358">
        <f t="shared" si="600"/>
        <v>0.63274317403614333</v>
      </c>
      <c r="EK68" s="358">
        <f t="shared" si="600"/>
        <v>0.39157518161896387</v>
      </c>
      <c r="EL68" s="358">
        <f>((EL69/EK69)-1)*100</f>
        <v>0.47741438947532799</v>
      </c>
      <c r="EM68" s="358">
        <f>((EM69/EL69)-1)*100</f>
        <v>-0.13144839318965928</v>
      </c>
      <c r="EN68" s="358"/>
      <c r="EO68" s="358">
        <f>((EO69/EM69)-1)*100</f>
        <v>-0.33058723767540599</v>
      </c>
      <c r="EP68" s="358">
        <f>((EP69/EO69)-1)*100</f>
        <v>-0.45074289343741691</v>
      </c>
      <c r="EQ68" s="358"/>
      <c r="ER68" s="358">
        <f t="shared" ref="ER68:EZ68" si="601">((ER69/EQ69)-1)*100</f>
        <v>0.27101016981725401</v>
      </c>
      <c r="ES68" s="358">
        <f t="shared" si="601"/>
        <v>0.1812326186129809</v>
      </c>
      <c r="ET68" s="358">
        <f t="shared" si="601"/>
        <v>-8.2237010864039117E-2</v>
      </c>
      <c r="EU68" s="358">
        <f t="shared" si="601"/>
        <v>4.2854836252903539E-2</v>
      </c>
      <c r="EV68" s="358">
        <f t="shared" si="601"/>
        <v>0.30860030910426772</v>
      </c>
      <c r="EW68" s="358">
        <f t="shared" si="601"/>
        <v>-1.1282458968542297E-2</v>
      </c>
      <c r="EX68" s="358">
        <f t="shared" si="601"/>
        <v>0.12230891474160899</v>
      </c>
      <c r="EY68" s="358">
        <f t="shared" si="601"/>
        <v>-0.136893284230033</v>
      </c>
      <c r="EZ68" s="358">
        <f t="shared" si="601"/>
        <v>-3.8332177190714134E-2</v>
      </c>
      <c r="FA68" s="358"/>
      <c r="FB68" s="358">
        <f>((FB69/EZ69)-1)*100</f>
        <v>-0.34848401419980135</v>
      </c>
      <c r="FC68" s="358">
        <f t="shared" ref="FC68:FJ68" si="602">((FC69/FB69)-1)*100</f>
        <v>-0.14000000000000679</v>
      </c>
      <c r="FD68" s="358">
        <f t="shared" si="602"/>
        <v>0.27999999999999137</v>
      </c>
      <c r="FE68" s="358">
        <f t="shared" si="602"/>
        <v>-0.23000000000000798</v>
      </c>
      <c r="FF68" s="358">
        <f t="shared" si="602"/>
        <v>-0.12000000000000899</v>
      </c>
      <c r="FG68" s="358">
        <f t="shared" si="602"/>
        <v>-0.15000000000000568</v>
      </c>
      <c r="FH68" s="358">
        <f t="shared" si="602"/>
        <v>0.53000000000000824</v>
      </c>
      <c r="FI68" s="358">
        <f t="shared" si="602"/>
        <v>0.34000000000034003</v>
      </c>
      <c r="FJ68" s="358">
        <f t="shared" si="602"/>
        <v>0.11999999999927624</v>
      </c>
      <c r="FK68" s="358">
        <f>((FK69/FJ69)-1)*100</f>
        <v>0.25000000000037215</v>
      </c>
      <c r="FL68" s="358">
        <f>((FL69/FK69)-1)*100</f>
        <v>0.36000000000002697</v>
      </c>
      <c r="FM68" s="358">
        <f>((FM69/FL69)-1)*100</f>
        <v>0.64999999999999503</v>
      </c>
      <c r="FN68" s="358"/>
      <c r="FO68" s="358">
        <f>((FO69/FM69)-1)*100</f>
        <v>1.0699999999999932</v>
      </c>
      <c r="FP68" s="358">
        <f t="shared" ref="FP68:FZ68" si="603">((FP69/FO69)-1)*100</f>
        <v>1.0699999999999932</v>
      </c>
      <c r="FQ68" s="358">
        <f t="shared" si="603"/>
        <v>1.6100000000000003</v>
      </c>
      <c r="FR68" s="358">
        <f t="shared" si="603"/>
        <v>-9.9999999999988987E-3</v>
      </c>
      <c r="FS68" s="358">
        <f t="shared" si="603"/>
        <v>1.089999999999991</v>
      </c>
      <c r="FT68" s="358">
        <f t="shared" si="603"/>
        <v>1.8299999999996874</v>
      </c>
      <c r="FU68" s="358">
        <f t="shared" si="603"/>
        <v>1.5100000000002778</v>
      </c>
      <c r="FV68" s="358">
        <f t="shared" si="603"/>
        <v>1.8499999999999961</v>
      </c>
      <c r="FW68" s="358">
        <f t="shared" si="603"/>
        <v>1.1600000000000055</v>
      </c>
      <c r="FX68" s="358">
        <f t="shared" si="603"/>
        <v>0.9100000000000108</v>
      </c>
      <c r="FY68" s="358">
        <f t="shared" si="603"/>
        <v>0.37000000000000366</v>
      </c>
      <c r="FZ68" s="358">
        <f t="shared" si="603"/>
        <v>0.36000000000000476</v>
      </c>
      <c r="GA68" s="358"/>
      <c r="GB68" s="358">
        <f>((GB69/FZ69)-1)*100</f>
        <v>-0.26000000000001577</v>
      </c>
      <c r="GC68" s="358">
        <f t="shared" ref="GC68:GI68" si="604">((GC69/GB69)-1)*100</f>
        <v>0.45999999999999375</v>
      </c>
      <c r="GD68" s="358">
        <f t="shared" si="604"/>
        <v>1.7700000000000049</v>
      </c>
      <c r="GE68" s="358">
        <f t="shared" si="604"/>
        <v>1.2999999999999901</v>
      </c>
      <c r="GF68" s="358">
        <f t="shared" si="604"/>
        <v>1.6899999999999915</v>
      </c>
      <c r="GG68" s="358">
        <f t="shared" si="604"/>
        <v>0.38000000000000256</v>
      </c>
      <c r="GH68" s="358">
        <f t="shared" si="604"/>
        <v>1.9600000000000062</v>
      </c>
      <c r="GI68" s="358">
        <f t="shared" si="604"/>
        <v>-0.27000000000001467</v>
      </c>
      <c r="GJ68" s="358">
        <f>((GJ69/GI69)-1)*100</f>
        <v>0.17000000000000348</v>
      </c>
      <c r="GK68" s="358">
        <f>((GK69/GJ69)-1)*100</f>
        <v>0.81999999999999851</v>
      </c>
      <c r="GL68" s="359">
        <f>((GL69/GK69)-1)*100</f>
        <v>-4.9999999999983391E-2</v>
      </c>
      <c r="GM68" s="359">
        <f>((GM69/GL69)-1)*100</f>
        <v>-1.1099999999999999</v>
      </c>
      <c r="GN68" s="359"/>
      <c r="GO68" s="358">
        <f>((GO69/GM69)-1)*100</f>
        <v>0.39000000000000146</v>
      </c>
      <c r="GP68" s="358">
        <f t="shared" ref="GP68:GZ68" si="605">((GP69/GO69)-1)*100</f>
        <v>0.81999999999999851</v>
      </c>
      <c r="GQ68" s="358">
        <f t="shared" si="605"/>
        <v>-0.51000000000001044</v>
      </c>
      <c r="GR68" s="358">
        <f t="shared" si="605"/>
        <v>-8.0000000000002292E-2</v>
      </c>
      <c r="GS68" s="358">
        <f t="shared" si="605"/>
        <v>-0.8399999999999852</v>
      </c>
      <c r="GT68" s="358">
        <f t="shared" si="605"/>
        <v>-0.74999999999999512</v>
      </c>
      <c r="GU68" s="358">
        <f t="shared" si="605"/>
        <v>-0.32999999999999696</v>
      </c>
      <c r="GV68" s="358">
        <f t="shared" si="605"/>
        <v>1.3100000000000112</v>
      </c>
      <c r="GW68" s="358">
        <f t="shared" si="605"/>
        <v>0.13000000000000789</v>
      </c>
      <c r="GX68" s="358">
        <f t="shared" si="605"/>
        <v>0.48999999999999044</v>
      </c>
      <c r="GY68" s="358">
        <f t="shared" si="605"/>
        <v>-0.9299999999999975</v>
      </c>
      <c r="GZ68" s="358">
        <f t="shared" si="605"/>
        <v>-0.71999999999999842</v>
      </c>
      <c r="HA68" s="358"/>
      <c r="HB68" s="358">
        <f>((HB69/GZ69)-1)*100</f>
        <v>-0.72999999999999732</v>
      </c>
      <c r="HC68" s="358">
        <f t="shared" ref="HC68:HM68" si="606">((HC69/HB69)-1)*100</f>
        <v>0.33000000000000806</v>
      </c>
      <c r="HD68" s="358">
        <f t="shared" si="606"/>
        <v>-0.40999999999998815</v>
      </c>
      <c r="HE68" s="358">
        <f t="shared" si="606"/>
        <v>-0.12999999999999678</v>
      </c>
      <c r="HF68" s="358">
        <f t="shared" si="606"/>
        <v>-0.20999999999999908</v>
      </c>
      <c r="HG68" s="358">
        <f t="shared" si="606"/>
        <v>-9.9999999999988987E-3</v>
      </c>
      <c r="HH68" s="358">
        <f t="shared" si="606"/>
        <v>0.62999999999999723</v>
      </c>
      <c r="HI68" s="358">
        <f t="shared" si="606"/>
        <v>-0.29999999999998916</v>
      </c>
      <c r="HJ68" s="358">
        <f t="shared" si="606"/>
        <v>-0.39000000000001256</v>
      </c>
      <c r="HK68" s="358">
        <f t="shared" si="606"/>
        <v>-0.18000000000000238</v>
      </c>
      <c r="HL68" s="358">
        <f t="shared" si="606"/>
        <v>0.32000000000000917</v>
      </c>
      <c r="HM68" s="358">
        <f t="shared" si="606"/>
        <v>-0.29000000000000137</v>
      </c>
      <c r="HN68" s="358"/>
      <c r="HO68" s="358">
        <f>((HO69/HM69)-1)*100</f>
        <v>9.9999999999988987E-2</v>
      </c>
      <c r="HP68" s="358">
        <f t="shared" ref="HP68:HW68" si="607">((HP69/HO69)-1)*100</f>
        <v>-0.36000000000000476</v>
      </c>
      <c r="HQ68" s="358">
        <f t="shared" si="607"/>
        <v>-0.15000000000000568</v>
      </c>
      <c r="HR68" s="358">
        <f t="shared" si="607"/>
        <v>0.19000000000000128</v>
      </c>
      <c r="HS68" s="358">
        <f t="shared" si="607"/>
        <v>-0.40000000000000036</v>
      </c>
      <c r="HT68" s="358">
        <f t="shared" si="607"/>
        <v>-0.33999999999999586</v>
      </c>
      <c r="HU68" s="358">
        <f t="shared" si="607"/>
        <v>-0.74000000000000732</v>
      </c>
      <c r="HV68" s="358">
        <f t="shared" si="607"/>
        <v>-0.75999999999999401</v>
      </c>
      <c r="HW68" s="358">
        <f t="shared" si="607"/>
        <v>-0.35000000000000586</v>
      </c>
      <c r="HX68" s="358">
        <f>((HX69/HW69)-1)*100</f>
        <v>-0.63000000000000833</v>
      </c>
      <c r="HY68" s="358">
        <f>((HY69/HX69)-1)*100</f>
        <v>-0.39000000000000146</v>
      </c>
      <c r="HZ68" s="358">
        <f>((HZ69/HY69)-1)*100</f>
        <v>-6.9999999999992291E-2</v>
      </c>
      <c r="IA68" s="358"/>
      <c r="IB68" s="358">
        <f>((IB69/HZ69)-1)*100</f>
        <v>6.9999999999992291E-2</v>
      </c>
      <c r="IC68" s="1612">
        <f>((IC69/IB69)-1)*100</f>
        <v>0.38000000000000256</v>
      </c>
      <c r="ID68" s="1613">
        <f>((ID69/IC69)-1)*100</f>
        <v>3.1099999999999905</v>
      </c>
      <c r="IE68">
        <f>((IE69/ID69)-1)*100</f>
        <v>1.419999999999999</v>
      </c>
      <c r="IF68" s="1613">
        <f>((IF69/IE69)-1)*100</f>
        <v>-0.43999999999999595</v>
      </c>
      <c r="IG68" s="1613">
        <f>((IG69/IF69)-1)*100</f>
        <v>-0.96000000000000529</v>
      </c>
      <c r="IH68" s="1613">
        <v>0.55000000000000604</v>
      </c>
      <c r="II68" s="1613">
        <f>((II69/IH69)-1)*100</f>
        <v>1.2199999999999989</v>
      </c>
    </row>
    <row r="69" spans="1:253" ht="15" customHeight="1" x14ac:dyDescent="0.2">
      <c r="A69" s="1536" t="s">
        <v>302</v>
      </c>
      <c r="B69" s="1537">
        <v>103.3340852266025</v>
      </c>
      <c r="C69" s="1538">
        <v>104.49456889528352</v>
      </c>
      <c r="D69" s="1538">
        <v>105.34901169214186</v>
      </c>
      <c r="E69" s="1538">
        <v>105.64951008214622</v>
      </c>
      <c r="F69" s="1538">
        <v>106.90473710216291</v>
      </c>
      <c r="G69" s="1538">
        <v>108.71469563372538</v>
      </c>
      <c r="H69" s="1538">
        <v>109.90433774816657</v>
      </c>
      <c r="I69" s="1538">
        <v>111.43743022815431</v>
      </c>
      <c r="J69" s="1538">
        <v>112.81158402414808</v>
      </c>
      <c r="K69" s="1538">
        <v>113.16575685604862</v>
      </c>
      <c r="L69" s="1538">
        <v>113.01469994708543</v>
      </c>
      <c r="M69" s="1539">
        <v>112.10367369586885</v>
      </c>
      <c r="N69" s="1540"/>
      <c r="O69" s="1537">
        <v>110.41441603134632</v>
      </c>
      <c r="P69" s="1538">
        <v>108.70517415135956</v>
      </c>
      <c r="Q69" s="1538">
        <v>108.16369807004685</v>
      </c>
      <c r="R69" s="1538">
        <v>107.40155487337198</v>
      </c>
      <c r="S69" s="1538">
        <v>106.67042834450946</v>
      </c>
      <c r="T69" s="1538">
        <v>106.26558494227692</v>
      </c>
      <c r="U69" s="1538">
        <v>106.31915718478339</v>
      </c>
      <c r="V69" s="1538">
        <v>105.87219408270143</v>
      </c>
      <c r="W69" s="1538">
        <v>105.8094933455375</v>
      </c>
      <c r="X69" s="1538">
        <v>105.97946786970466</v>
      </c>
      <c r="Y69" s="1538">
        <v>105.90794862387742</v>
      </c>
      <c r="Z69" s="1539">
        <v>106.43855599772056</v>
      </c>
      <c r="AA69" s="1540"/>
      <c r="AB69" s="1537">
        <v>107.30665455280798</v>
      </c>
      <c r="AC69" s="1538">
        <v>107.37970057846782</v>
      </c>
      <c r="AD69" s="1538">
        <v>107.66072687923136</v>
      </c>
      <c r="AE69" s="1538">
        <v>107.91445295628694</v>
      </c>
      <c r="AF69" s="1538">
        <v>108.78453790614179</v>
      </c>
      <c r="AG69" s="1538">
        <v>108.9004506470795</v>
      </c>
      <c r="AH69" s="1538">
        <v>108.91407252705787</v>
      </c>
      <c r="AI69" s="1538">
        <v>109.31179697953843</v>
      </c>
      <c r="AJ69" s="1538">
        <v>109.55713875417746</v>
      </c>
      <c r="AK69" s="1538">
        <v>109.72815164672929</v>
      </c>
      <c r="AL69" s="1538">
        <v>110.70863395830406</v>
      </c>
      <c r="AM69" s="1539">
        <v>111.29997656613162</v>
      </c>
      <c r="AN69" s="1540"/>
      <c r="AO69" s="1537">
        <v>112.384214408372</v>
      </c>
      <c r="AP69" s="1538">
        <v>113.09828549654533</v>
      </c>
      <c r="AQ69" s="1538">
        <v>113.85224370784542</v>
      </c>
      <c r="AR69" s="1538">
        <v>115.11639369446513</v>
      </c>
      <c r="AS69" s="1538">
        <v>115.46281574723764</v>
      </c>
      <c r="AT69" s="1538">
        <v>115.81516536461176</v>
      </c>
      <c r="AU69" s="1538">
        <v>116.18433327491996</v>
      </c>
      <c r="AV69" s="1538">
        <v>116.70066322463322</v>
      </c>
      <c r="AW69" s="1538">
        <v>117.48379060980618</v>
      </c>
      <c r="AX69" s="1538">
        <v>117.73562797438393</v>
      </c>
      <c r="AY69" s="1538">
        <v>118.22886820231662</v>
      </c>
      <c r="AZ69" s="1539">
        <v>118.26928721397971</v>
      </c>
      <c r="BA69" s="1540"/>
      <c r="BB69" s="1537">
        <v>117.65587687826842</v>
      </c>
      <c r="BC69" s="1538">
        <v>117.80654757517335</v>
      </c>
      <c r="BD69" s="1538">
        <v>118.5226146569518</v>
      </c>
      <c r="BE69" s="1538">
        <v>118.66307614300121</v>
      </c>
      <c r="BF69" s="1538">
        <v>118.26491861354893</v>
      </c>
      <c r="BG69" s="1538">
        <v>118.18359104949975</v>
      </c>
      <c r="BH69" s="1538">
        <v>117.19081036827485</v>
      </c>
      <c r="BI69" s="1538">
        <v>117.47175592587421</v>
      </c>
      <c r="BJ69" s="1538">
        <v>117.94336884318255</v>
      </c>
      <c r="BK69" s="1538">
        <v>117.97209025950835</v>
      </c>
      <c r="BL69" s="1538">
        <v>117.70604774440227</v>
      </c>
      <c r="BM69" s="1539">
        <v>117.56979280781768</v>
      </c>
      <c r="BN69" s="1540"/>
      <c r="BO69" s="1537">
        <v>116.65744304627282</v>
      </c>
      <c r="BP69" s="1538">
        <v>116.74589859427418</v>
      </c>
      <c r="BQ69" s="1538">
        <v>117.07495747891343</v>
      </c>
      <c r="BR69" s="1538">
        <v>117.13098476532234</v>
      </c>
      <c r="BS69" s="1538">
        <v>116.78507483877326</v>
      </c>
      <c r="BT69" s="1538">
        <v>117.73956293320546</v>
      </c>
      <c r="BU69" s="1538">
        <v>118.8808511850266</v>
      </c>
      <c r="BV69" s="1538">
        <v>119.88543391952852</v>
      </c>
      <c r="BW69" s="1538">
        <v>120.50820763910227</v>
      </c>
      <c r="BX69" s="1538">
        <v>120.00846673949329</v>
      </c>
      <c r="BY69" s="1538">
        <v>119.52443179691967</v>
      </c>
      <c r="BZ69" s="1539">
        <v>119.39677290181862</v>
      </c>
      <c r="CA69" s="1540"/>
      <c r="CB69" s="1537">
        <v>119.43259193368918</v>
      </c>
      <c r="CC69" s="1538">
        <v>119.67145711755643</v>
      </c>
      <c r="CD69" s="1538">
        <v>120.12663069019156</v>
      </c>
      <c r="CE69" s="1538">
        <v>120.20003356675899</v>
      </c>
      <c r="CF69" s="1538">
        <v>120.41459582134078</v>
      </c>
      <c r="CG69" s="1538">
        <v>120.23391181748244</v>
      </c>
      <c r="CH69" s="1538">
        <v>120.35248569501447</v>
      </c>
      <c r="CI69" s="1538">
        <v>120.60657257544025</v>
      </c>
      <c r="CJ69" s="1538">
        <v>121.01875795924211</v>
      </c>
      <c r="CK69" s="1538">
        <v>121.61162734690225</v>
      </c>
      <c r="CL69" s="1538">
        <v>121.52693172009366</v>
      </c>
      <c r="CM69" s="1539">
        <v>121.14862458701528</v>
      </c>
      <c r="CN69" s="1540"/>
      <c r="CO69" s="1537">
        <v>120.77306385079554</v>
      </c>
      <c r="CP69" s="1538">
        <v>121.19576957427331</v>
      </c>
      <c r="CQ69" s="1538">
        <v>122.03202038433581</v>
      </c>
      <c r="CR69" s="1538">
        <v>121.97100437414366</v>
      </c>
      <c r="CS69" s="1538">
        <v>122.43449419076539</v>
      </c>
      <c r="CT69" s="1538">
        <v>122.75282387566099</v>
      </c>
      <c r="CU69" s="1538">
        <v>122.7009</v>
      </c>
      <c r="CV69" s="1538">
        <v>122.99448</v>
      </c>
      <c r="CW69" s="1538">
        <v>123.260578</v>
      </c>
      <c r="CX69" s="1538">
        <v>123.28465199999999</v>
      </c>
      <c r="CY69" s="1538">
        <v>124.16761600000001</v>
      </c>
      <c r="CZ69" s="1539">
        <v>124.269336</v>
      </c>
      <c r="DA69" s="1540"/>
      <c r="DB69" s="1537">
        <v>124.30728099999999</v>
      </c>
      <c r="DC69" s="1538">
        <v>124.595913</v>
      </c>
      <c r="DD69" s="1538">
        <v>124.23866</v>
      </c>
      <c r="DE69" s="1538">
        <v>123.40759199999999</v>
      </c>
      <c r="DF69" s="1538">
        <v>123.31127199999999</v>
      </c>
      <c r="DG69" s="1538">
        <v>124.000536</v>
      </c>
      <c r="DH69" s="1538">
        <v>123.628</v>
      </c>
      <c r="DI69" s="1538">
        <v>124.161609</v>
      </c>
      <c r="DJ69" s="1538">
        <v>125.14086399999999</v>
      </c>
      <c r="DK69" s="1538">
        <v>125.715644</v>
      </c>
      <c r="DL69" s="1538">
        <v>125.996584</v>
      </c>
      <c r="DM69" s="1539">
        <v>126.66780000000001</v>
      </c>
      <c r="DN69" s="1540"/>
      <c r="DO69" s="1537">
        <v>126.708001</v>
      </c>
      <c r="DP69" s="1538">
        <v>125.924398</v>
      </c>
      <c r="DQ69" s="1538">
        <v>126.42368</v>
      </c>
      <c r="DR69" s="1538">
        <v>126.10395000000001</v>
      </c>
      <c r="DS69" s="1538">
        <v>125.93607</v>
      </c>
      <c r="DT69" s="1538">
        <v>125.776278</v>
      </c>
      <c r="DU69" s="1538">
        <v>125.641642</v>
      </c>
      <c r="DV69" s="1538">
        <v>125.878716</v>
      </c>
      <c r="DW69" s="1538">
        <v>126.14434799999999</v>
      </c>
      <c r="DX69" s="1538">
        <v>126.05170200000001</v>
      </c>
      <c r="DY69" s="1538">
        <v>125.84831999999999</v>
      </c>
      <c r="DZ69" s="1539">
        <v>125.92550999999999</v>
      </c>
      <c r="EA69" s="1540"/>
      <c r="EB69" s="1537">
        <v>126.257418</v>
      </c>
      <c r="EC69" s="1538">
        <v>126.739788</v>
      </c>
      <c r="ED69" s="1538">
        <v>126.85406599999999</v>
      </c>
      <c r="EE69" s="1538">
        <v>126.73583499999999</v>
      </c>
      <c r="EF69" s="1538">
        <v>127.62717999999998</v>
      </c>
      <c r="EG69" s="1538">
        <v>127.987364</v>
      </c>
      <c r="EH69" s="1538">
        <v>128.07959299999999</v>
      </c>
      <c r="EI69" s="1538">
        <v>128.24650400000002</v>
      </c>
      <c r="EJ69" s="1538">
        <v>129.057975</v>
      </c>
      <c r="EK69" s="1538">
        <v>129.563334</v>
      </c>
      <c r="EL69" s="1538">
        <v>130.18188799999999</v>
      </c>
      <c r="EM69" s="1539">
        <v>130.01076600000002</v>
      </c>
      <c r="EN69" s="1540"/>
      <c r="EO69" s="1537">
        <v>129.58096699999999</v>
      </c>
      <c r="EP69" s="1538">
        <v>128.99689000000001</v>
      </c>
      <c r="EQ69" s="1538">
        <v>129.03870000000001</v>
      </c>
      <c r="ER69" s="1538">
        <v>129.38840799999997</v>
      </c>
      <c r="ES69" s="1538">
        <v>129.62290200000001</v>
      </c>
      <c r="ET69" s="1538">
        <v>129.51630399999999</v>
      </c>
      <c r="EU69" s="1538">
        <v>129.571808</v>
      </c>
      <c r="EV69" s="1538">
        <v>129.971667</v>
      </c>
      <c r="EW69" s="1538">
        <v>129.95700299999999</v>
      </c>
      <c r="EX69" s="1538">
        <v>130.11595199999999</v>
      </c>
      <c r="EY69" s="1538">
        <v>129.93783200000001</v>
      </c>
      <c r="EZ69" s="1539">
        <v>129.888024</v>
      </c>
      <c r="FA69" s="1540"/>
      <c r="FB69" s="1537">
        <v>129.435385</v>
      </c>
      <c r="FC69" s="1538">
        <v>129.25417546099999</v>
      </c>
      <c r="FD69" s="1538">
        <v>129.61608715229079</v>
      </c>
      <c r="FE69" s="1538">
        <v>129.31797015184051</v>
      </c>
      <c r="FF69" s="1538">
        <v>129.1627885876583</v>
      </c>
      <c r="FG69" s="1538">
        <v>128.96904440477681</v>
      </c>
      <c r="FH69" s="1538">
        <v>129.65258034012214</v>
      </c>
      <c r="FI69" s="1538">
        <v>130.09339911327899</v>
      </c>
      <c r="FJ69" s="1538">
        <v>130.24951119221399</v>
      </c>
      <c r="FK69" s="1538">
        <v>130.57513497019499</v>
      </c>
      <c r="FL69" s="1538">
        <v>131.04520545608773</v>
      </c>
      <c r="FM69" s="1539">
        <v>131.89699929155231</v>
      </c>
      <c r="FN69" s="1540" t="s">
        <v>29</v>
      </c>
      <c r="FO69" s="1537">
        <v>133.30829718397192</v>
      </c>
      <c r="FP69" s="1538">
        <v>134.73469596384041</v>
      </c>
      <c r="FQ69" s="1538">
        <v>136.90392456885823</v>
      </c>
      <c r="FR69" s="1538">
        <v>136.89023417640135</v>
      </c>
      <c r="FS69" s="1538">
        <v>138.38233772892411</v>
      </c>
      <c r="FT69" s="1538">
        <v>140.914734509363</v>
      </c>
      <c r="FU69" s="1538">
        <v>143.04254700045479</v>
      </c>
      <c r="FV69" s="1538">
        <v>145.68883411996319</v>
      </c>
      <c r="FW69" s="1538">
        <v>147.37882459575476</v>
      </c>
      <c r="FX69" s="1538">
        <v>148.71997189957614</v>
      </c>
      <c r="FY69" s="1538">
        <v>149.27023579560458</v>
      </c>
      <c r="FZ69" s="1539">
        <v>149.80760864446876</v>
      </c>
      <c r="GA69" s="1540" t="s">
        <v>29</v>
      </c>
      <c r="GB69" s="1537">
        <v>149.41810886199312</v>
      </c>
      <c r="GC69" s="1538">
        <v>150.10543216275829</v>
      </c>
      <c r="GD69" s="1538">
        <v>152.76229831203912</v>
      </c>
      <c r="GE69" s="1538">
        <v>154.74820819009562</v>
      </c>
      <c r="GF69" s="1538">
        <v>157.36345290850824</v>
      </c>
      <c r="GG69" s="1538">
        <v>157.96143402956056</v>
      </c>
      <c r="GH69" s="1538">
        <v>161.05747813653997</v>
      </c>
      <c r="GI69" s="1538">
        <v>160.62262294557129</v>
      </c>
      <c r="GJ69" s="1538">
        <v>160.89568140457877</v>
      </c>
      <c r="GK69" s="1538">
        <v>162.21502599209632</v>
      </c>
      <c r="GL69" s="1538">
        <v>162.13391847910029</v>
      </c>
      <c r="GM69" s="1539">
        <v>160.33423198398228</v>
      </c>
      <c r="GN69" s="1540" t="s">
        <v>29</v>
      </c>
      <c r="GO69" s="1537">
        <v>160.95953548871981</v>
      </c>
      <c r="GP69" s="1538">
        <v>162.2794036797273</v>
      </c>
      <c r="GQ69" s="1538">
        <v>161.45177872096068</v>
      </c>
      <c r="GR69" s="1538">
        <v>161.3226172979839</v>
      </c>
      <c r="GS69" s="1538">
        <v>159.96750731268085</v>
      </c>
      <c r="GT69" s="1538">
        <v>158.76775100783576</v>
      </c>
      <c r="GU69" s="1538">
        <v>158.2438174295099</v>
      </c>
      <c r="GV69" s="1538">
        <v>160.31681143783649</v>
      </c>
      <c r="GW69" s="1538">
        <v>160.5252232927057</v>
      </c>
      <c r="GX69" s="1538">
        <v>161.31179688683994</v>
      </c>
      <c r="GY69" s="1538">
        <v>159.81159717579234</v>
      </c>
      <c r="GZ69" s="1539">
        <v>158.66095367612664</v>
      </c>
      <c r="HA69" s="1540" t="s">
        <v>29</v>
      </c>
      <c r="HB69" s="1537">
        <v>157.50272871429092</v>
      </c>
      <c r="HC69" s="1538">
        <v>158.02248771904809</v>
      </c>
      <c r="HD69" s="1538">
        <v>157.3745955194</v>
      </c>
      <c r="HE69" s="1538">
        <v>157.17000854522479</v>
      </c>
      <c r="HF69" s="1538">
        <v>156.83995152727982</v>
      </c>
      <c r="HG69" s="1538">
        <v>156.8242675321271</v>
      </c>
      <c r="HH69" s="1538">
        <v>157.81226041757949</v>
      </c>
      <c r="HI69" s="1538">
        <v>157.33882363632677</v>
      </c>
      <c r="HJ69" s="1538">
        <v>156.72520222414508</v>
      </c>
      <c r="HK69" s="1538">
        <v>156.44309686014162</v>
      </c>
      <c r="HL69" s="1538">
        <v>156.94371477009409</v>
      </c>
      <c r="HM69" s="1539">
        <v>156.48857799726082</v>
      </c>
      <c r="HN69" s="1540" t="s">
        <v>29</v>
      </c>
      <c r="HO69" s="1537">
        <v>156.64506657525806</v>
      </c>
      <c r="HP69" s="1538">
        <v>156.08114433558711</v>
      </c>
      <c r="HQ69" s="1538">
        <v>155.84702261908373</v>
      </c>
      <c r="HR69" s="1538">
        <v>156.14313196205998</v>
      </c>
      <c r="HS69" s="1538">
        <v>155.51855943421174</v>
      </c>
      <c r="HT69" s="1538">
        <v>154.98979633213543</v>
      </c>
      <c r="HU69" s="1538">
        <v>153.84287183927762</v>
      </c>
      <c r="HV69" s="1538">
        <v>152.67366601329911</v>
      </c>
      <c r="HW69" s="1538">
        <v>152.13930818225256</v>
      </c>
      <c r="HX69" s="1538">
        <v>151.18083054070436</v>
      </c>
      <c r="HY69" s="1538">
        <v>150.59122530159561</v>
      </c>
      <c r="HZ69" s="1539">
        <v>150.4858114438845</v>
      </c>
      <c r="IA69" s="1541" t="s">
        <v>29</v>
      </c>
      <c r="IB69" s="1542">
        <v>150.59115151189522</v>
      </c>
      <c r="IC69" s="1607">
        <v>151.16339788764043</v>
      </c>
      <c r="ID69" s="1607">
        <v>155.86457956194604</v>
      </c>
      <c r="IE69" s="1607">
        <v>158.07785659172566</v>
      </c>
      <c r="IF69" s="1607">
        <v>157.38231402272208</v>
      </c>
      <c r="IG69" s="1607">
        <v>155.87144380810395</v>
      </c>
      <c r="IH69" s="1607">
        <v>156.72873674904852</v>
      </c>
      <c r="II69" s="1607">
        <v>158.64082733738692</v>
      </c>
      <c r="IJ69" s="1338"/>
      <c r="IK69" s="1338"/>
      <c r="IL69" s="1338"/>
      <c r="IM69" s="1339"/>
      <c r="IN69" s="1320" t="s">
        <v>29</v>
      </c>
      <c r="IO69" s="120"/>
      <c r="IP69" s="1543"/>
      <c r="IQ69" s="1544"/>
      <c r="IR69" s="1545"/>
      <c r="IS69" s="1546"/>
    </row>
    <row r="70" spans="1:253" ht="15" customHeight="1" x14ac:dyDescent="0.2">
      <c r="A70" s="1547" t="s">
        <v>444</v>
      </c>
      <c r="B70" s="395">
        <f t="shared" ref="B70:M70" si="608">+B11/B69*100</f>
        <v>3211.9121127571093</v>
      </c>
      <c r="C70" s="396">
        <f t="shared" si="608"/>
        <v>4659.5723122025029</v>
      </c>
      <c r="D70" s="396">
        <f t="shared" si="608"/>
        <v>3979.1545574724055</v>
      </c>
      <c r="E70" s="396">
        <f t="shared" si="608"/>
        <v>4698.5546796575909</v>
      </c>
      <c r="F70" s="396">
        <f t="shared" si="608"/>
        <v>4439.4665088269303</v>
      </c>
      <c r="G70" s="396">
        <f t="shared" si="608"/>
        <v>4636.9076145729332</v>
      </c>
      <c r="H70" s="396">
        <f t="shared" si="608"/>
        <v>5345.5578918658357</v>
      </c>
      <c r="I70" s="396">
        <f t="shared" si="608"/>
        <v>5028.8309668721768</v>
      </c>
      <c r="J70" s="396">
        <f t="shared" si="608"/>
        <v>4218.5384073512378</v>
      </c>
      <c r="K70" s="396">
        <f t="shared" si="608"/>
        <v>4806.224206955666</v>
      </c>
      <c r="L70" s="396">
        <f t="shared" si="608"/>
        <v>3770.3059885086113</v>
      </c>
      <c r="M70" s="396">
        <f t="shared" si="608"/>
        <v>5655.47924611291</v>
      </c>
      <c r="N70" s="398">
        <f>SUM(B70:M70)</f>
        <v>54450.504493155917</v>
      </c>
      <c r="O70" s="395">
        <f t="shared" ref="O70:Z70" si="609">+O11/O69*100</f>
        <v>1852.1132235300058</v>
      </c>
      <c r="P70" s="396">
        <f t="shared" si="609"/>
        <v>2545.4170158885613</v>
      </c>
      <c r="Q70" s="396">
        <f t="shared" si="609"/>
        <v>4429.3973722101728</v>
      </c>
      <c r="R70" s="396">
        <f t="shared" si="609"/>
        <v>3456.1883246257494</v>
      </c>
      <c r="S70" s="396">
        <f t="shared" si="609"/>
        <v>3268.0097512512061</v>
      </c>
      <c r="T70" s="396">
        <f t="shared" si="609"/>
        <v>3271.9906467260253</v>
      </c>
      <c r="U70" s="396">
        <f t="shared" si="609"/>
        <v>4013.3877214469694</v>
      </c>
      <c r="V70" s="396">
        <f t="shared" si="609"/>
        <v>3572.2316258466444</v>
      </c>
      <c r="W70" s="396">
        <f t="shared" si="609"/>
        <v>3442.9802892101675</v>
      </c>
      <c r="X70" s="396">
        <f t="shared" si="609"/>
        <v>3301.582910665119</v>
      </c>
      <c r="Y70" s="396">
        <f t="shared" si="609"/>
        <v>3923.2182796365073</v>
      </c>
      <c r="Z70" s="396">
        <f t="shared" si="609"/>
        <v>5125.0225530275156</v>
      </c>
      <c r="AA70" s="398">
        <f>SUM(O70:Z70)</f>
        <v>42201.539714064646</v>
      </c>
      <c r="AB70" s="395">
        <f t="shared" ref="AB70:AM70" si="610">+AB11/AB69*100</f>
        <v>2096.7944712997505</v>
      </c>
      <c r="AC70" s="396">
        <f t="shared" si="610"/>
        <v>2385.9258185655085</v>
      </c>
      <c r="AD70" s="396">
        <f t="shared" si="610"/>
        <v>4686.9458773581946</v>
      </c>
      <c r="AE70" s="396">
        <f t="shared" si="610"/>
        <v>4266.3423423597851</v>
      </c>
      <c r="AF70" s="396">
        <f t="shared" si="610"/>
        <v>4380.2180821976681</v>
      </c>
      <c r="AG70" s="396">
        <f t="shared" si="610"/>
        <v>3938.4593677207372</v>
      </c>
      <c r="AH70" s="396">
        <f t="shared" si="610"/>
        <v>4390.6171985369401</v>
      </c>
      <c r="AI70" s="396">
        <f t="shared" si="610"/>
        <v>4340.7940689953111</v>
      </c>
      <c r="AJ70" s="396">
        <f t="shared" si="610"/>
        <v>4348.4158624198708</v>
      </c>
      <c r="AK70" s="396">
        <f t="shared" si="610"/>
        <v>3608.9188969019119</v>
      </c>
      <c r="AL70" s="396">
        <f t="shared" si="610"/>
        <v>6492.7185378397853</v>
      </c>
      <c r="AM70" s="396">
        <f t="shared" si="610"/>
        <v>7299.1929114854083</v>
      </c>
      <c r="AN70" s="398">
        <f>SUM(AB70:AM70)</f>
        <v>52235.343435680865</v>
      </c>
      <c r="AO70" s="395">
        <f t="shared" ref="AO70:AZ70" si="611">+AO11/AO69*100</f>
        <v>469.81687132803137</v>
      </c>
      <c r="AP70" s="396">
        <f t="shared" si="611"/>
        <v>3666.7222511756586</v>
      </c>
      <c r="AQ70" s="396">
        <f t="shared" si="611"/>
        <v>5846.1737627937</v>
      </c>
      <c r="AR70" s="396">
        <f t="shared" si="611"/>
        <v>4784.7225084369793</v>
      </c>
      <c r="AS70" s="396">
        <f t="shared" si="611"/>
        <v>5464.0967823019146</v>
      </c>
      <c r="AT70" s="396">
        <f t="shared" si="611"/>
        <v>4818.0218734160808</v>
      </c>
      <c r="AU70" s="396">
        <f t="shared" si="611"/>
        <v>5047.1520855779854</v>
      </c>
      <c r="AV70" s="396">
        <f t="shared" si="611"/>
        <v>5024.8214859864011</v>
      </c>
      <c r="AW70" s="396">
        <f t="shared" si="611"/>
        <v>6598.3570667602835</v>
      </c>
      <c r="AX70" s="396">
        <f t="shared" si="611"/>
        <v>5819.8186206564496</v>
      </c>
      <c r="AY70" s="396">
        <f t="shared" si="611"/>
        <v>6261.5840890329555</v>
      </c>
      <c r="AZ70" s="396">
        <f t="shared" si="611"/>
        <v>11439.994540189233</v>
      </c>
      <c r="BA70" s="398">
        <f>SUM(AO70:AZ70)</f>
        <v>65241.281937655673</v>
      </c>
      <c r="BB70" s="395">
        <f t="shared" ref="BB70:BM70" si="612">+BB11/BB69*100</f>
        <v>3451.5912912719832</v>
      </c>
      <c r="BC70" s="396">
        <f t="shared" si="612"/>
        <v>6767.8751004160958</v>
      </c>
      <c r="BD70" s="396">
        <f t="shared" si="612"/>
        <v>8130.9377352946822</v>
      </c>
      <c r="BE70" s="396">
        <f t="shared" si="612"/>
        <v>6179.6813620127132</v>
      </c>
      <c r="BF70" s="396">
        <f t="shared" si="612"/>
        <v>7669.2227131511363</v>
      </c>
      <c r="BG70" s="396">
        <f t="shared" si="612"/>
        <v>7407.9657947887836</v>
      </c>
      <c r="BH70" s="396">
        <f t="shared" si="612"/>
        <v>6922.0444627934994</v>
      </c>
      <c r="BI70" s="396">
        <f t="shared" si="612"/>
        <v>8510.130729899196</v>
      </c>
      <c r="BJ70" s="396">
        <f t="shared" si="612"/>
        <v>8095.4106141355142</v>
      </c>
      <c r="BK70" s="396">
        <f t="shared" si="612"/>
        <v>8196.8540005763061</v>
      </c>
      <c r="BL70" s="396">
        <f t="shared" si="612"/>
        <v>9232.3208605199306</v>
      </c>
      <c r="BM70" s="396">
        <f t="shared" si="612"/>
        <v>15805.930720977116</v>
      </c>
      <c r="BN70" s="398">
        <f>SUM(BB70:BM70)</f>
        <v>96369.965385836957</v>
      </c>
      <c r="BO70" s="395">
        <f t="shared" ref="BO70:BZ70" si="613">+BO11/BO69*100</f>
        <v>5678.1631990447049</v>
      </c>
      <c r="BP70" s="396">
        <f t="shared" si="613"/>
        <v>5967.6614629626893</v>
      </c>
      <c r="BQ70" s="396">
        <f t="shared" si="613"/>
        <v>8977.1546591361985</v>
      </c>
      <c r="BR70" s="396">
        <f t="shared" si="613"/>
        <v>7600.8922983424045</v>
      </c>
      <c r="BS70" s="396">
        <f t="shared" si="613"/>
        <v>7655.0877861251092</v>
      </c>
      <c r="BT70" s="396">
        <f t="shared" si="613"/>
        <v>7530.179133610126</v>
      </c>
      <c r="BU70" s="396">
        <f t="shared" si="613"/>
        <v>8278.8774658770526</v>
      </c>
      <c r="BV70" s="396">
        <f t="shared" si="613"/>
        <v>8183.6464024357629</v>
      </c>
      <c r="BW70" s="396">
        <f t="shared" si="613"/>
        <v>8178.696034976082</v>
      </c>
      <c r="BX70" s="396">
        <f t="shared" si="613"/>
        <v>7940.2730981347713</v>
      </c>
      <c r="BY70" s="396">
        <f t="shared" si="613"/>
        <v>7646.972139996863</v>
      </c>
      <c r="BZ70" s="396">
        <f t="shared" si="613"/>
        <v>9822.7110456696118</v>
      </c>
      <c r="CA70" s="398">
        <f>SUM(BO70:BZ70)</f>
        <v>93460.314726311379</v>
      </c>
      <c r="CB70" s="395">
        <f t="shared" ref="CB70:CM70" si="614">+CB11/CB69*100</f>
        <v>7103.5886123198661</v>
      </c>
      <c r="CC70" s="396">
        <f t="shared" si="614"/>
        <v>8230.8682765716512</v>
      </c>
      <c r="CD70" s="396">
        <f t="shared" si="614"/>
        <v>8968.8688828593822</v>
      </c>
      <c r="CE70" s="396">
        <f t="shared" si="614"/>
        <v>7958.4004397861108</v>
      </c>
      <c r="CF70" s="396">
        <f t="shared" si="614"/>
        <v>9566.1160687619195</v>
      </c>
      <c r="CG70" s="396">
        <f t="shared" si="614"/>
        <v>8805.336065311827</v>
      </c>
      <c r="CH70" s="396">
        <f t="shared" si="614"/>
        <v>9506.2432104582094</v>
      </c>
      <c r="CI70" s="396">
        <f t="shared" si="614"/>
        <v>8761.5457220544649</v>
      </c>
      <c r="CJ70" s="396">
        <f t="shared" si="614"/>
        <v>7736.81713305417</v>
      </c>
      <c r="CK70" s="396">
        <f t="shared" si="614"/>
        <v>6758.3998169475681</v>
      </c>
      <c r="CL70" s="396">
        <f t="shared" si="614"/>
        <v>6825.6475191074687</v>
      </c>
      <c r="CM70" s="396">
        <f t="shared" si="614"/>
        <v>16118.218482930186</v>
      </c>
      <c r="CN70" s="398">
        <f>SUM(CB70:CM70)</f>
        <v>106340.05023016281</v>
      </c>
      <c r="CO70" s="395">
        <f t="shared" ref="CO70:CZ70" si="615">+CO11/CO69*100</f>
        <v>2002.1020605945921</v>
      </c>
      <c r="CP70" s="396">
        <f t="shared" si="615"/>
        <v>6702.3791577328293</v>
      </c>
      <c r="CQ70" s="396">
        <f t="shared" si="615"/>
        <v>11114.296032536198</v>
      </c>
      <c r="CR70" s="396">
        <f t="shared" si="615"/>
        <v>8545.4736176703536</v>
      </c>
      <c r="CS70" s="396">
        <f t="shared" si="615"/>
        <v>9498.1402723654301</v>
      </c>
      <c r="CT70" s="396">
        <f t="shared" si="615"/>
        <v>8834.0126586286297</v>
      </c>
      <c r="CU70" s="396">
        <f t="shared" si="615"/>
        <v>9279.4755376692428</v>
      </c>
      <c r="CV70" s="396">
        <f t="shared" si="615"/>
        <v>8746.7339997697472</v>
      </c>
      <c r="CW70" s="396">
        <f t="shared" si="615"/>
        <v>8694.5884676932146</v>
      </c>
      <c r="CX70" s="396">
        <f t="shared" si="615"/>
        <v>7944.2167707947947</v>
      </c>
      <c r="CY70" s="396">
        <f t="shared" si="615"/>
        <v>7964.2344103634869</v>
      </c>
      <c r="CZ70" s="396">
        <f t="shared" si="615"/>
        <v>15852.663765741858</v>
      </c>
      <c r="DA70" s="398">
        <f>SUM(CO70:CZ70)</f>
        <v>105178.31675156037</v>
      </c>
      <c r="DB70" s="395">
        <f t="shared" ref="DB70:DM70" si="616">+DB11/DB69*100</f>
        <v>5368.9534082882883</v>
      </c>
      <c r="DC70" s="396">
        <f t="shared" si="616"/>
        <v>8974.6121929376604</v>
      </c>
      <c r="DD70" s="396">
        <f t="shared" si="616"/>
        <v>11823.211873019236</v>
      </c>
      <c r="DE70" s="396">
        <f t="shared" si="616"/>
        <v>9527.776864813959</v>
      </c>
      <c r="DF70" s="396">
        <f t="shared" si="616"/>
        <v>10488.903236680586</v>
      </c>
      <c r="DG70" s="396">
        <f t="shared" si="616"/>
        <v>10249.955693739905</v>
      </c>
      <c r="DH70" s="396">
        <f t="shared" si="616"/>
        <v>9646.6819814281553</v>
      </c>
      <c r="DI70" s="396">
        <f t="shared" si="616"/>
        <v>10206.858707831339</v>
      </c>
      <c r="DJ70" s="396">
        <f t="shared" si="616"/>
        <v>10246.053599246367</v>
      </c>
      <c r="DK70" s="396">
        <f t="shared" si="616"/>
        <v>9404.5574789403308</v>
      </c>
      <c r="DL70" s="396">
        <f t="shared" si="616"/>
        <v>8281.9705651702443</v>
      </c>
      <c r="DM70" s="396">
        <f t="shared" si="616"/>
        <v>15125.390983343832</v>
      </c>
      <c r="DN70" s="398">
        <f>SUM(DB70:DM70)</f>
        <v>119344.92658543991</v>
      </c>
      <c r="DO70" s="395">
        <f t="shared" ref="DO70:DZ70" si="617">+DO11/DO69*100</f>
        <v>6487.356706069414</v>
      </c>
      <c r="DP70" s="396">
        <f t="shared" si="617"/>
        <v>7649.033986249432</v>
      </c>
      <c r="DQ70" s="396">
        <f t="shared" si="617"/>
        <v>11781.811761847148</v>
      </c>
      <c r="DR70" s="396">
        <f t="shared" si="617"/>
        <v>8040.1922382288576</v>
      </c>
      <c r="DS70" s="396">
        <f t="shared" si="617"/>
        <v>9821.6499847899013</v>
      </c>
      <c r="DT70" s="396">
        <f t="shared" si="617"/>
        <v>11991.132381894779</v>
      </c>
      <c r="DU70" s="396">
        <f t="shared" si="617"/>
        <v>10323.010582749308</v>
      </c>
      <c r="DV70" s="396">
        <f t="shared" si="617"/>
        <v>10300.391052606543</v>
      </c>
      <c r="DW70" s="396">
        <f t="shared" si="617"/>
        <v>10219.245019206093</v>
      </c>
      <c r="DX70" s="396">
        <f t="shared" si="617"/>
        <v>10733.69084695104</v>
      </c>
      <c r="DY70" s="396">
        <f t="shared" si="617"/>
        <v>13069.701685330407</v>
      </c>
      <c r="DZ70" s="396">
        <f t="shared" si="617"/>
        <v>19803.771293044596</v>
      </c>
      <c r="EA70" s="398">
        <f>SUM(DO70:DZ70)</f>
        <v>130220.98753896753</v>
      </c>
      <c r="EB70" s="395">
        <f t="shared" ref="EB70:EM70" si="618">+EB11/EB69*100</f>
        <v>7293.8288663561934</v>
      </c>
      <c r="EC70" s="396">
        <f t="shared" si="618"/>
        <v>7677.9361505638617</v>
      </c>
      <c r="ED70" s="396">
        <f t="shared" si="618"/>
        <v>12965.291944209341</v>
      </c>
      <c r="EE70" s="396">
        <f t="shared" si="618"/>
        <v>10056.35067619194</v>
      </c>
      <c r="EF70" s="396">
        <f t="shared" si="618"/>
        <v>11811.747309624801</v>
      </c>
      <c r="EG70" s="396">
        <f t="shared" si="618"/>
        <v>11419.096028886102</v>
      </c>
      <c r="EH70" s="396">
        <f t="shared" si="618"/>
        <v>10826.080623163754</v>
      </c>
      <c r="EI70" s="396">
        <f t="shared" si="618"/>
        <v>10688.010645498764</v>
      </c>
      <c r="EJ70" s="396">
        <f t="shared" si="618"/>
        <v>10203.166445157691</v>
      </c>
      <c r="EK70" s="396">
        <f t="shared" si="618"/>
        <v>10959.890859245719</v>
      </c>
      <c r="EL70" s="396">
        <f t="shared" si="618"/>
        <v>13387.422987750801</v>
      </c>
      <c r="EM70" s="396">
        <f t="shared" si="618"/>
        <v>16487.865320322777</v>
      </c>
      <c r="EN70" s="398">
        <f>SUM(EB70:EM70)</f>
        <v>133776.68785697175</v>
      </c>
      <c r="EO70" s="395">
        <f t="shared" ref="EO70:EZ70" si="619">+EO11/EO69*100</f>
        <v>3110.7963563815665</v>
      </c>
      <c r="EP70" s="396">
        <f t="shared" si="619"/>
        <v>8050.5816845661939</v>
      </c>
      <c r="EQ70" s="396">
        <f t="shared" si="619"/>
        <v>11547.698481153329</v>
      </c>
      <c r="ER70" s="396">
        <f t="shared" si="619"/>
        <v>10549.631308548138</v>
      </c>
      <c r="ES70" s="396">
        <f t="shared" si="619"/>
        <v>13678.909919791795</v>
      </c>
      <c r="ET70" s="396">
        <f t="shared" si="619"/>
        <v>12223.171532133902</v>
      </c>
      <c r="EU70" s="396">
        <f t="shared" si="619"/>
        <v>12236.45810360229</v>
      </c>
      <c r="EV70" s="396">
        <f t="shared" si="619"/>
        <v>12882.03835994502</v>
      </c>
      <c r="EW70" s="396">
        <f t="shared" si="619"/>
        <v>11245.257787300621</v>
      </c>
      <c r="EX70" s="396">
        <f t="shared" si="619"/>
        <v>12270.593846940459</v>
      </c>
      <c r="EY70" s="396">
        <f t="shared" si="619"/>
        <v>11062.982796265216</v>
      </c>
      <c r="EZ70" s="396">
        <f t="shared" si="619"/>
        <v>16413.368487305648</v>
      </c>
      <c r="FA70" s="398">
        <f>SUM(EO70:EZ70)</f>
        <v>135271.48866393417</v>
      </c>
      <c r="FB70" s="395">
        <f t="shared" ref="FB70:FM70" si="620">+FB11/FB69*100</f>
        <v>7920.5543368221906</v>
      </c>
      <c r="FC70" s="396">
        <f t="shared" si="620"/>
        <v>9178.040057653252</v>
      </c>
      <c r="FD70" s="396">
        <f t="shared" si="620"/>
        <v>13792.269457259301</v>
      </c>
      <c r="FE70" s="396">
        <f t="shared" si="620"/>
        <v>12838.122946491139</v>
      </c>
      <c r="FF70" s="396">
        <f t="shared" si="620"/>
        <v>9091.6278042653394</v>
      </c>
      <c r="FG70" s="396">
        <f t="shared" si="620"/>
        <v>10567.652154748543</v>
      </c>
      <c r="FH70" s="396">
        <f t="shared" si="620"/>
        <v>14108.473546777055</v>
      </c>
      <c r="FI70" s="396">
        <f t="shared" si="620"/>
        <v>16839.440086367835</v>
      </c>
      <c r="FJ70" s="396">
        <f t="shared" si="620"/>
        <v>24527.539264891857</v>
      </c>
      <c r="FK70" s="396">
        <f t="shared" si="620"/>
        <v>31086.316708970109</v>
      </c>
      <c r="FL70" s="396">
        <f t="shared" si="620"/>
        <v>45027.973205607137</v>
      </c>
      <c r="FM70" s="396">
        <f t="shared" si="620"/>
        <v>72057.742413012733</v>
      </c>
      <c r="FN70" s="398">
        <f>SUM(FB70:FM70)</f>
        <v>267035.7519828665</v>
      </c>
      <c r="FO70" s="395">
        <f t="shared" ref="FO70:FZ70" si="621">+FO11/FO69*100</f>
        <v>6514.2231829843713</v>
      </c>
      <c r="FP70" s="396">
        <f t="shared" si="621"/>
        <v>13121.341814393989</v>
      </c>
      <c r="FQ70" s="396">
        <f t="shared" si="621"/>
        <v>24759.699261178528</v>
      </c>
      <c r="FR70" s="396">
        <f t="shared" si="621"/>
        <v>13111.234784558555</v>
      </c>
      <c r="FS70" s="396">
        <f t="shared" si="621"/>
        <v>18818.875607531241</v>
      </c>
      <c r="FT70" s="396">
        <f t="shared" si="621"/>
        <v>19982.296456109107</v>
      </c>
      <c r="FU70" s="396">
        <f t="shared" si="621"/>
        <v>20291.165536857869</v>
      </c>
      <c r="FV70" s="396">
        <f t="shared" si="621"/>
        <v>18262.209427863272</v>
      </c>
      <c r="FW70" s="396">
        <f t="shared" si="621"/>
        <v>16650.288850727371</v>
      </c>
      <c r="FX70" s="396">
        <f t="shared" si="621"/>
        <v>17279.454582840222</v>
      </c>
      <c r="FY70" s="396">
        <f t="shared" si="621"/>
        <v>19024.556267791606</v>
      </c>
      <c r="FZ70" s="396">
        <f t="shared" si="621"/>
        <v>35598.992923360478</v>
      </c>
      <c r="GA70" s="398">
        <f>SUM(FO70:FZ70)</f>
        <v>223414.33869619662</v>
      </c>
      <c r="GB70" s="395">
        <f t="shared" ref="GB70:GM70" si="622">+GB11/GB69*100</f>
        <v>7991.6685406780598</v>
      </c>
      <c r="GC70" s="396">
        <f t="shared" si="622"/>
        <v>10887.014390179085</v>
      </c>
      <c r="GD70" s="396">
        <f t="shared" si="622"/>
        <v>19262.606235403142</v>
      </c>
      <c r="GE70" s="396">
        <f t="shared" si="622"/>
        <v>15091.612544754964</v>
      </c>
      <c r="GF70" s="396">
        <f t="shared" si="622"/>
        <v>17447.507342103781</v>
      </c>
      <c r="GG70" s="396">
        <f t="shared" si="622"/>
        <v>16957.303638423113</v>
      </c>
      <c r="GH70" s="396">
        <f t="shared" si="622"/>
        <v>22428.638780358862</v>
      </c>
      <c r="GI70" s="396">
        <f t="shared" si="622"/>
        <v>17628.2764412301</v>
      </c>
      <c r="GJ70" s="396">
        <f t="shared" si="622"/>
        <v>12617.492168078959</v>
      </c>
      <c r="GK70" s="396">
        <f t="shared" si="622"/>
        <v>13864.313655564678</v>
      </c>
      <c r="GL70" s="396">
        <f t="shared" si="622"/>
        <v>14811.829767190651</v>
      </c>
      <c r="GM70" s="396">
        <f t="shared" si="622"/>
        <v>24669.716198816186</v>
      </c>
      <c r="GN70" s="398">
        <f>SUM(GB70:GM70)</f>
        <v>193657.97970278159</v>
      </c>
      <c r="GO70" s="395">
        <f t="shared" ref="GO70:GZ70" si="623">+GO11/GO69*100</f>
        <v>3652.4707791617639</v>
      </c>
      <c r="GP70" s="396">
        <f t="shared" si="623"/>
        <v>9424.4861967721172</v>
      </c>
      <c r="GQ70" s="396">
        <f t="shared" si="623"/>
        <v>16126.177243917749</v>
      </c>
      <c r="GR70" s="396">
        <f t="shared" si="623"/>
        <v>12615.71399031247</v>
      </c>
      <c r="GS70" s="396">
        <f t="shared" si="623"/>
        <v>15770.077576248024</v>
      </c>
      <c r="GT70" s="396">
        <f t="shared" si="623"/>
        <v>18301.575613152028</v>
      </c>
      <c r="GU70" s="396">
        <f t="shared" si="623"/>
        <v>23505.499680307606</v>
      </c>
      <c r="GV70" s="396">
        <f t="shared" si="623"/>
        <v>15690.806082276626</v>
      </c>
      <c r="GW70" s="396">
        <f t="shared" si="623"/>
        <v>14708.591905801066</v>
      </c>
      <c r="GX70" s="396">
        <f t="shared" si="623"/>
        <v>14787.511180433725</v>
      </c>
      <c r="GY70" s="396">
        <f t="shared" si="623"/>
        <v>13838.169689070533</v>
      </c>
      <c r="GZ70" s="396">
        <f t="shared" si="623"/>
        <v>19702.390081311874</v>
      </c>
      <c r="HA70" s="398">
        <f>SUM(GO70:GZ70)</f>
        <v>178123.47001876557</v>
      </c>
      <c r="HB70" s="395">
        <f t="shared" ref="HB70:HM70" si="624">+HB11/HB69*100</f>
        <v>4798.0121117192557</v>
      </c>
      <c r="HC70" s="396">
        <f t="shared" si="624"/>
        <v>10423.200038012425</v>
      </c>
      <c r="HD70" s="396">
        <f t="shared" si="624"/>
        <v>14038.479290182851</v>
      </c>
      <c r="HE70" s="396">
        <f t="shared" si="624"/>
        <v>13302.156176942708</v>
      </c>
      <c r="HF70" s="396">
        <f t="shared" si="624"/>
        <v>15530.481718979181</v>
      </c>
      <c r="HG70" s="396">
        <f t="shared" si="624"/>
        <v>14112.611745797589</v>
      </c>
      <c r="HH70" s="396">
        <f t="shared" si="624"/>
        <v>15770.004139188992</v>
      </c>
      <c r="HI70" s="396">
        <f t="shared" si="624"/>
        <v>14497.375455611054</v>
      </c>
      <c r="HJ70" s="396">
        <f t="shared" si="624"/>
        <v>12399.40974662603</v>
      </c>
      <c r="HK70" s="396">
        <f t="shared" si="624"/>
        <v>15275.202600574732</v>
      </c>
      <c r="HL70" s="396">
        <f t="shared" si="624"/>
        <v>13663.497153366854</v>
      </c>
      <c r="HM70" s="396">
        <f t="shared" si="624"/>
        <v>21197.074204726065</v>
      </c>
      <c r="HN70" s="398">
        <f>SUM(HB70:HM70)</f>
        <v>165007.50438172772</v>
      </c>
      <c r="HO70" s="395">
        <f t="shared" ref="HO70:HW70" si="625">+HO11/HO69*100</f>
        <v>6214.0482383614863</v>
      </c>
      <c r="HP70" s="396">
        <f t="shared" si="625"/>
        <v>10415.736038586527</v>
      </c>
      <c r="HQ70" s="396">
        <f t="shared" si="625"/>
        <v>15128.938367740644</v>
      </c>
      <c r="HR70" s="396">
        <f t="shared" si="625"/>
        <v>14158.16355302237</v>
      </c>
      <c r="HS70" s="396">
        <f t="shared" si="625"/>
        <v>15674.013499534543</v>
      </c>
      <c r="HT70" s="396">
        <f t="shared" si="625"/>
        <v>14785.489459507482</v>
      </c>
      <c r="HU70" s="396">
        <f t="shared" si="625"/>
        <v>14284.704736244601</v>
      </c>
      <c r="HV70" s="396">
        <f t="shared" si="625"/>
        <v>16763.205252286694</v>
      </c>
      <c r="HW70" s="396">
        <f t="shared" si="625"/>
        <v>15569.940657034791</v>
      </c>
      <c r="HX70" s="396">
        <f>+HX11/HX69*100</f>
        <v>15749.351233779158</v>
      </c>
      <c r="HY70" s="396">
        <f>+HY11/HY69*100</f>
        <v>11458.170929576181</v>
      </c>
      <c r="HZ70" s="396">
        <f>+HZ11/HZ69*100</f>
        <v>18272.819036001867</v>
      </c>
      <c r="IA70" s="395">
        <f>SUM(HO70:HZ70)</f>
        <v>168474.58100167633</v>
      </c>
      <c r="IB70" s="1347">
        <f t="shared" ref="IB70:IG70" si="626">+IB11/IB69*100</f>
        <v>6910.7646070280225</v>
      </c>
      <c r="IC70" s="1348">
        <f t="shared" si="626"/>
        <v>12256.935381785901</v>
      </c>
      <c r="ID70" s="1348">
        <f t="shared" si="626"/>
        <v>15927.929276666273</v>
      </c>
      <c r="IE70" s="1348">
        <f t="shared" si="626"/>
        <v>13623.033905134071</v>
      </c>
      <c r="IF70" s="1348">
        <f t="shared" si="626"/>
        <v>17330.409817244246</v>
      </c>
      <c r="IG70" s="1348">
        <f t="shared" si="626"/>
        <v>16106.221503219796</v>
      </c>
      <c r="IH70" s="1348">
        <f>+IH11/IH69*100</f>
        <v>15914.12048444997</v>
      </c>
      <c r="II70" s="1348">
        <f t="shared" ref="II70" si="627">+II11/II69*100</f>
        <v>16321.145341063175</v>
      </c>
      <c r="IJ70" s="1348"/>
      <c r="IK70" s="1348"/>
      <c r="IL70" s="1348"/>
      <c r="IM70" s="1349"/>
      <c r="IN70" s="399">
        <f>SUM(IB70:IM70)</f>
        <v>114390.56031659147</v>
      </c>
      <c r="IO70" s="120"/>
      <c r="IP70" s="372">
        <f>IFERROR(((
_xlfn.XLOOKUP((DATE(YEAR($IP$5),MONTH($IP$5),1)),SMN.GGN.DATE,$B70:$IN70) /
_xlfn.XLOOKUP((DATE(YEAR($IP$5)-1,MONTH($IP$5),1)),SMN.GGN.DATE,$B70:$IN70)
)-1)*100,"")</f>
        <v>-2.6370846420508798</v>
      </c>
      <c r="IQ70" s="351">
        <f>IFERROR(((IS70/IR70)-1)*100,"-")</f>
        <v>6.4848095139868889</v>
      </c>
      <c r="IR70" s="352">
        <f>SUMIFS($B70:$IN70,$B$5:$IN$5,"&gt;="&amp;DATE(YEAR($IP$5)-1,1,1),$B$5:$IN$5,"&lt;="&amp;DATE(YEAR($IP$5)-1,MONTH($IP$5),1))</f>
        <v>107424.29914528434</v>
      </c>
      <c r="IS70" s="350">
        <f>SUMIFS($B70:$IN70,$B$5:$IN$5,"&gt;="&amp;DATE(YEAR($IP$5),1,1),$B$5:$IN$5,"&lt;="&amp;$IP$5)</f>
        <v>114390.56031659147</v>
      </c>
    </row>
    <row r="71" spans="1:253" ht="15" customHeight="1" x14ac:dyDescent="0.2">
      <c r="A71" s="355"/>
      <c r="B71" s="355"/>
      <c r="C71" s="355"/>
      <c r="D71" s="355"/>
      <c r="E71" s="355"/>
      <c r="F71" s="355"/>
      <c r="G71" s="355"/>
      <c r="H71" s="355"/>
      <c r="I71" s="355"/>
      <c r="J71" s="355"/>
      <c r="K71" s="355"/>
      <c r="L71" s="355"/>
      <c r="M71" s="355"/>
      <c r="N71" s="355"/>
      <c r="O71" s="355"/>
      <c r="P71" s="355"/>
      <c r="Q71" s="355"/>
      <c r="R71" s="355"/>
      <c r="S71" s="355"/>
      <c r="T71" s="355"/>
      <c r="U71" s="355"/>
      <c r="V71" s="355"/>
      <c r="W71" s="355"/>
      <c r="X71" s="355"/>
      <c r="Y71" s="355"/>
      <c r="Z71" s="355"/>
      <c r="AA71" s="355"/>
      <c r="GC71" s="744"/>
    </row>
  </sheetData>
  <mergeCells count="2">
    <mergeCell ref="IP4:IQ4"/>
    <mergeCell ref="IP38:IQ38"/>
  </mergeCells>
  <printOptions horizontalCentered="1" verticalCentered="1"/>
  <pageMargins left="0.74803149606299213" right="0.74803149606299213" top="0.98425196850393704" bottom="0.98425196850393704" header="0" footer="0"/>
  <pageSetup paperSize="9" scale="10" orientation="landscape" r:id="rId1"/>
  <headerFooter alignWithMargins="0"/>
  <colBreaks count="1" manualBreakCount="1">
    <brk id="131" max="71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9A532-B1FA-42A8-AF4A-015A50F68383}">
  <sheetPr>
    <tabColor theme="7" tint="0.59999389629810485"/>
  </sheetPr>
  <dimension ref="A1:JT91"/>
  <sheetViews>
    <sheetView showGridLines="0" view="pageBreakPreview" zoomScale="80" zoomScaleNormal="75" zoomScaleSheetLayoutView="80" workbookViewId="0">
      <pane xSplit="1" topLeftCell="HP1" activePane="topRight" state="frozen"/>
      <selection activeCell="IB59" sqref="IB59:JB59"/>
      <selection pane="topRight" activeCell="II7" sqref="II7"/>
    </sheetView>
  </sheetViews>
  <sheetFormatPr baseColWidth="10" defaultColWidth="8.7109375" defaultRowHeight="13.9" customHeight="1" x14ac:dyDescent="0.2"/>
  <cols>
    <col min="1" max="1" width="30.7109375" customWidth="1"/>
    <col min="217" max="218" width="9.85546875" bestFit="1" customWidth="1"/>
    <col min="219" max="219" width="9.7109375" bestFit="1" customWidth="1"/>
    <col min="220" max="220" width="9.85546875" bestFit="1" customWidth="1"/>
    <col min="221" max="221" width="9.7109375" bestFit="1" customWidth="1"/>
    <col min="222" max="222" width="11.140625" bestFit="1" customWidth="1"/>
    <col min="225" max="225" width="9.85546875" bestFit="1" customWidth="1"/>
    <col min="228" max="228" width="9.85546875" bestFit="1" customWidth="1"/>
    <col min="232" max="232" width="9.7109375" bestFit="1" customWidth="1"/>
    <col min="234" max="234" width="9.7109375" bestFit="1" customWidth="1"/>
    <col min="235" max="235" width="10.7109375" customWidth="1"/>
    <col min="236" max="237" width="10.5703125" customWidth="1"/>
    <col min="238" max="238" width="10.28515625" customWidth="1"/>
    <col min="239" max="239" width="9.85546875" customWidth="1"/>
    <col min="240" max="240" width="10.7109375" customWidth="1"/>
    <col min="241" max="241" width="10.140625" customWidth="1"/>
    <col min="242" max="242" width="9.42578125" customWidth="1"/>
    <col min="243" max="243" width="9.7109375" customWidth="1"/>
    <col min="244" max="244" width="9.28515625" customWidth="1"/>
    <col min="245" max="245" width="8.7109375" customWidth="1"/>
    <col min="246" max="246" width="10.7109375" customWidth="1"/>
    <col min="247" max="247" width="9.85546875" customWidth="1"/>
    <col min="248" max="248" width="10.7109375" customWidth="1"/>
    <col min="249" max="249" width="3.5703125" customWidth="1"/>
    <col min="250" max="250" width="9.42578125" bestFit="1" customWidth="1"/>
    <col min="251" max="251" width="9.85546875" bestFit="1" customWidth="1"/>
    <col min="252" max="253" width="11.85546875" bestFit="1" customWidth="1"/>
    <col min="254" max="254" width="3.28515625" customWidth="1"/>
    <col min="255" max="255" width="9" customWidth="1"/>
  </cols>
  <sheetData>
    <row r="1" spans="1:280" s="317" customFormat="1" ht="15" customHeight="1" x14ac:dyDescent="0.2">
      <c r="A1" s="1524" t="s">
        <v>341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6"/>
      <c r="AC1" s="316"/>
      <c r="AD1" s="316"/>
      <c r="AE1" s="316"/>
      <c r="AF1" s="316"/>
      <c r="AG1" s="316"/>
      <c r="AH1" s="316"/>
      <c r="AI1" s="316"/>
      <c r="AJ1" s="316"/>
      <c r="AK1" s="316"/>
      <c r="AL1" s="316"/>
      <c r="AM1" s="316"/>
      <c r="AN1" s="316"/>
      <c r="AO1" s="316"/>
      <c r="AP1" s="316"/>
      <c r="AQ1" s="316"/>
      <c r="AR1" s="316"/>
      <c r="AS1" s="316"/>
      <c r="AT1" s="316"/>
      <c r="AU1" s="316"/>
      <c r="AV1" s="316"/>
      <c r="AW1" s="316"/>
      <c r="AX1" s="316"/>
      <c r="AY1" s="316"/>
      <c r="AZ1" s="316"/>
      <c r="BA1" s="316"/>
      <c r="BB1" s="316"/>
      <c r="BC1" s="316"/>
      <c r="BD1" s="316"/>
      <c r="BE1" s="316"/>
      <c r="BF1" s="316"/>
      <c r="BG1" s="316"/>
      <c r="BH1" s="316"/>
      <c r="BI1" s="316"/>
      <c r="BJ1" s="316"/>
      <c r="BK1" s="316"/>
      <c r="BL1" s="316"/>
      <c r="BM1" s="316"/>
      <c r="BN1" s="316"/>
      <c r="BO1" s="316"/>
      <c r="BP1" s="316"/>
      <c r="BQ1" s="316"/>
      <c r="BR1" s="316"/>
      <c r="BS1" s="316"/>
      <c r="BT1" s="316"/>
      <c r="BU1" s="316"/>
      <c r="BV1" s="316"/>
      <c r="BW1" s="316"/>
      <c r="BX1" s="316"/>
      <c r="BY1" s="316"/>
      <c r="BZ1" s="316"/>
      <c r="CA1" s="316"/>
      <c r="CB1" s="316"/>
      <c r="CC1" s="316"/>
      <c r="CD1" s="316"/>
      <c r="CE1" s="316"/>
      <c r="CF1" s="316"/>
      <c r="CG1" s="316"/>
      <c r="CH1" s="316"/>
      <c r="CI1" s="316"/>
      <c r="CJ1" s="316"/>
      <c r="CK1" s="316"/>
      <c r="CL1" s="316"/>
      <c r="CM1" s="316"/>
      <c r="CN1" s="316"/>
      <c r="CO1" s="316"/>
      <c r="CP1" s="316"/>
      <c r="CQ1" s="316"/>
      <c r="CR1" s="316"/>
      <c r="CS1" s="316"/>
      <c r="CT1" s="316"/>
      <c r="CU1" s="316"/>
      <c r="CV1" s="316"/>
      <c r="CW1" s="316"/>
      <c r="CX1" s="316"/>
      <c r="CY1" s="316"/>
      <c r="CZ1" s="316"/>
      <c r="DA1" s="316"/>
      <c r="DB1" s="316"/>
      <c r="DC1" s="316"/>
      <c r="DD1" s="316"/>
      <c r="DE1" s="316"/>
      <c r="DF1" s="316"/>
      <c r="DG1" s="316"/>
      <c r="DH1" s="316"/>
      <c r="DI1" s="316"/>
      <c r="DJ1" s="316"/>
      <c r="DK1" s="316"/>
      <c r="DL1" s="316"/>
      <c r="DM1" s="316"/>
      <c r="DN1" s="316"/>
      <c r="DO1" s="316"/>
      <c r="DP1" s="316"/>
      <c r="DQ1" s="316"/>
      <c r="DR1" s="316"/>
      <c r="DS1" s="316"/>
      <c r="DT1" s="316"/>
      <c r="DU1" s="316"/>
      <c r="DV1" s="316"/>
      <c r="DW1" s="316"/>
      <c r="DX1" s="316"/>
      <c r="DY1" s="316"/>
      <c r="DZ1" s="316"/>
      <c r="EA1" s="316"/>
      <c r="EB1" s="316"/>
      <c r="EC1" s="316"/>
      <c r="ED1" s="316"/>
      <c r="EE1" s="316"/>
      <c r="EF1" s="316"/>
      <c r="EG1" s="316"/>
      <c r="EH1" s="316"/>
      <c r="EI1" s="316"/>
      <c r="EJ1" s="316"/>
      <c r="IB1" s="120"/>
      <c r="IC1" s="120"/>
      <c r="ID1" s="120"/>
      <c r="IE1" s="120"/>
      <c r="IF1" s="120"/>
      <c r="IG1" s="120"/>
      <c r="IH1" s="120"/>
      <c r="II1" s="120"/>
      <c r="IJ1" s="120"/>
      <c r="IK1" s="120"/>
      <c r="IL1" s="120"/>
      <c r="IM1" s="120"/>
      <c r="IN1" s="120"/>
      <c r="IO1" s="120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</row>
    <row r="2" spans="1:280" s="317" customFormat="1" ht="15" customHeight="1" x14ac:dyDescent="0.2">
      <c r="A2" s="1524" t="s">
        <v>482</v>
      </c>
      <c r="B2" s="318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9"/>
      <c r="BN2" s="319"/>
      <c r="BO2" s="319"/>
      <c r="BP2" s="319"/>
      <c r="BQ2" s="319"/>
      <c r="BR2" s="319"/>
      <c r="BS2" s="319"/>
      <c r="BT2" s="319"/>
      <c r="BU2" s="319"/>
      <c r="BV2" s="319"/>
      <c r="BW2" s="319"/>
      <c r="BX2" s="319"/>
      <c r="BY2" s="319"/>
      <c r="BZ2" s="319"/>
      <c r="CA2" s="319"/>
      <c r="CB2" s="319"/>
      <c r="CC2" s="319"/>
      <c r="CD2" s="319"/>
      <c r="CE2" s="319"/>
      <c r="CF2" s="319"/>
      <c r="CG2" s="319"/>
      <c r="CH2" s="319"/>
      <c r="CI2" s="319"/>
      <c r="CJ2" s="319"/>
      <c r="CK2" s="319"/>
      <c r="CL2" s="319"/>
      <c r="CM2" s="319"/>
      <c r="CN2" s="319"/>
      <c r="CO2" s="319"/>
      <c r="CP2" s="319"/>
      <c r="CQ2" s="319"/>
      <c r="CR2" s="319"/>
      <c r="CS2" s="319"/>
      <c r="CT2" s="319"/>
      <c r="CU2" s="319"/>
      <c r="CV2" s="319"/>
      <c r="CW2" s="319"/>
      <c r="CX2" s="319"/>
      <c r="CY2" s="319"/>
      <c r="CZ2" s="319"/>
      <c r="DA2" s="319"/>
      <c r="DB2" s="319"/>
      <c r="DC2" s="319"/>
      <c r="DD2" s="319"/>
      <c r="DE2" s="319"/>
      <c r="DF2" s="319"/>
      <c r="DG2" s="319"/>
      <c r="DH2" s="319"/>
      <c r="DI2" s="319"/>
      <c r="DJ2" s="319"/>
      <c r="DK2" s="319"/>
      <c r="DL2" s="319"/>
      <c r="DM2" s="319"/>
      <c r="DN2" s="319"/>
      <c r="DO2" s="319"/>
      <c r="DP2" s="319"/>
      <c r="DQ2" s="319"/>
      <c r="DR2" s="319"/>
      <c r="DS2" s="319"/>
      <c r="DT2" s="319"/>
      <c r="DU2" s="319"/>
      <c r="DV2" s="319"/>
      <c r="DW2" s="319"/>
      <c r="DX2" s="319"/>
      <c r="DY2" s="319"/>
      <c r="DZ2" s="319"/>
      <c r="EA2" s="319"/>
      <c r="EB2" s="319"/>
      <c r="EC2" s="319"/>
      <c r="ED2" s="319"/>
      <c r="EE2" s="319"/>
      <c r="EF2" s="319"/>
      <c r="EG2" s="319"/>
      <c r="EH2" s="319"/>
      <c r="EI2" s="319"/>
      <c r="EJ2" s="319"/>
      <c r="EK2" s="320"/>
      <c r="EL2" s="320"/>
      <c r="EM2" s="320"/>
      <c r="EN2" s="320"/>
      <c r="EO2" s="320"/>
      <c r="EP2" s="320"/>
      <c r="EQ2" s="320"/>
      <c r="ER2" s="320"/>
      <c r="ES2" s="320"/>
      <c r="ET2" s="320"/>
      <c r="EU2" s="320"/>
      <c r="EV2" s="320"/>
      <c r="EW2" s="320"/>
      <c r="EX2" s="320"/>
      <c r="EY2" s="320"/>
      <c r="EZ2" s="320"/>
      <c r="FA2" s="320"/>
      <c r="FB2" s="320"/>
      <c r="FC2" s="320"/>
      <c r="FD2" s="320"/>
      <c r="FE2" s="320"/>
      <c r="FF2" s="320"/>
      <c r="FG2" s="320"/>
      <c r="FH2" s="320"/>
      <c r="FI2" s="320"/>
      <c r="GB2" s="321"/>
      <c r="GC2" s="321"/>
      <c r="GD2" s="321"/>
      <c r="GE2" s="321"/>
      <c r="GF2" s="321"/>
      <c r="GG2" s="321"/>
      <c r="GH2" s="321"/>
      <c r="GI2" s="321"/>
      <c r="GJ2" s="321"/>
      <c r="GK2" s="321"/>
      <c r="GL2" s="321"/>
      <c r="GM2" s="321"/>
      <c r="GN2" s="321"/>
      <c r="GO2" s="321"/>
      <c r="GP2" s="321"/>
      <c r="GQ2" s="321"/>
      <c r="GR2" s="321"/>
      <c r="GS2" s="321"/>
      <c r="GT2" s="321"/>
      <c r="GU2" s="321"/>
      <c r="GV2" s="321"/>
      <c r="GW2" s="321"/>
      <c r="GX2" s="321"/>
      <c r="GY2" s="321"/>
      <c r="GZ2" s="321"/>
      <c r="HA2" s="321"/>
      <c r="HB2" s="321"/>
      <c r="HC2" s="321"/>
      <c r="HD2" s="321"/>
      <c r="HE2" s="321"/>
      <c r="HF2" s="321"/>
      <c r="HG2" s="321"/>
      <c r="HH2" s="321"/>
      <c r="HI2" s="321"/>
      <c r="HJ2" s="321"/>
      <c r="HK2" s="321"/>
      <c r="HL2" s="321"/>
      <c r="HM2" s="321"/>
      <c r="HN2" s="321"/>
      <c r="HO2" s="321"/>
      <c r="HP2" s="321"/>
      <c r="HQ2" s="321"/>
      <c r="HR2" s="321"/>
      <c r="HS2" s="321"/>
      <c r="HT2" s="321"/>
      <c r="HU2" s="321"/>
      <c r="HV2" s="321"/>
      <c r="HW2" s="321"/>
      <c r="HX2" s="321"/>
      <c r="HY2" s="321"/>
      <c r="HZ2" s="321"/>
      <c r="IA2" s="321"/>
      <c r="IB2" s="120"/>
      <c r="IC2" s="120"/>
      <c r="ID2" s="120"/>
      <c r="IE2" s="120"/>
      <c r="IF2" s="120"/>
      <c r="IG2" s="120"/>
      <c r="IH2" s="120"/>
      <c r="II2" s="120"/>
      <c r="IJ2" s="120"/>
      <c r="IK2" s="120"/>
      <c r="IL2" s="120"/>
      <c r="IM2" s="120"/>
      <c r="IN2" s="120"/>
      <c r="IO2" s="120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</row>
    <row r="3" spans="1:280" s="317" customFormat="1" ht="15" customHeight="1" x14ac:dyDescent="0.2">
      <c r="A3" s="1550" t="s">
        <v>618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6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  <c r="AX3" s="316"/>
      <c r="AY3" s="316"/>
      <c r="AZ3" s="316"/>
      <c r="BA3" s="316"/>
      <c r="BB3" s="316"/>
      <c r="BC3" s="316"/>
      <c r="BD3" s="316"/>
      <c r="BE3" s="316"/>
      <c r="BF3" s="316"/>
      <c r="BG3" s="316"/>
      <c r="BH3" s="316"/>
      <c r="BI3" s="316"/>
      <c r="BJ3" s="316"/>
      <c r="BK3" s="316"/>
      <c r="BL3" s="316"/>
      <c r="BM3" s="316"/>
      <c r="BN3" s="316"/>
      <c r="BO3" s="316"/>
      <c r="BP3" s="316"/>
      <c r="BQ3" s="316"/>
      <c r="BR3" s="316"/>
      <c r="BS3" s="316"/>
      <c r="BT3" s="316"/>
      <c r="BU3" s="316"/>
      <c r="BV3" s="316"/>
      <c r="BW3" s="316"/>
      <c r="BX3" s="316"/>
      <c r="BY3" s="316"/>
      <c r="BZ3" s="316"/>
      <c r="CA3" s="316"/>
      <c r="CB3" s="316"/>
      <c r="CC3" s="316"/>
      <c r="CD3" s="316"/>
      <c r="CE3" s="316"/>
      <c r="CF3" s="316"/>
      <c r="CG3" s="316"/>
      <c r="CH3" s="316"/>
      <c r="CI3" s="316"/>
      <c r="CJ3" s="316"/>
      <c r="CK3" s="316"/>
      <c r="CL3" s="316"/>
      <c r="CM3" s="316"/>
      <c r="CN3" s="316"/>
      <c r="CO3" s="316"/>
      <c r="CP3" s="316"/>
      <c r="CQ3" s="316"/>
      <c r="CR3" s="316"/>
      <c r="CS3" s="316"/>
      <c r="CT3" s="316"/>
      <c r="CU3" s="316"/>
      <c r="CV3" s="316"/>
      <c r="CW3" s="316"/>
      <c r="CX3" s="316"/>
      <c r="CY3" s="316"/>
      <c r="CZ3" s="316"/>
      <c r="DA3" s="316"/>
      <c r="DB3" s="316"/>
      <c r="DC3" s="316"/>
      <c r="DD3" s="316"/>
      <c r="DE3" s="316"/>
      <c r="DF3" s="316"/>
      <c r="DG3" s="316"/>
      <c r="DH3" s="316"/>
      <c r="DI3" s="316"/>
      <c r="DJ3" s="316"/>
      <c r="DK3" s="316"/>
      <c r="DL3" s="316"/>
      <c r="DM3" s="316"/>
      <c r="DN3" s="316"/>
      <c r="DO3" s="316"/>
      <c r="DP3" s="316"/>
      <c r="DQ3" s="316"/>
      <c r="DR3" s="316"/>
      <c r="DS3" s="316"/>
      <c r="DT3" s="316"/>
      <c r="DU3" s="316"/>
      <c r="DV3" s="316"/>
      <c r="DW3" s="316"/>
      <c r="DX3" s="316"/>
      <c r="DY3" s="316"/>
      <c r="DZ3" s="316"/>
      <c r="EA3" s="316"/>
      <c r="EB3" s="316"/>
      <c r="EC3" s="316"/>
      <c r="ED3" s="316"/>
      <c r="EE3" s="316"/>
      <c r="EF3" s="316"/>
      <c r="EG3" s="316"/>
      <c r="EH3" s="316"/>
      <c r="EI3" s="316"/>
      <c r="EJ3" s="316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</row>
    <row r="4" spans="1:280" s="1530" customFormat="1" ht="15" customHeight="1" x14ac:dyDescent="0.2">
      <c r="A4" s="1525"/>
      <c r="B4" s="1526">
        <f>YEAR(B5)</f>
        <v>2008</v>
      </c>
      <c r="C4" s="1527"/>
      <c r="D4" s="1527"/>
      <c r="E4" s="1527"/>
      <c r="F4" s="1527"/>
      <c r="G4" s="1527"/>
      <c r="H4" s="1527"/>
      <c r="I4" s="1527"/>
      <c r="J4" s="1527"/>
      <c r="K4" s="1527"/>
      <c r="L4" s="1527"/>
      <c r="M4" s="1527"/>
      <c r="N4" s="1528" t="s">
        <v>29</v>
      </c>
      <c r="O4" s="1526">
        <f>YEAR(O5)</f>
        <v>2009</v>
      </c>
      <c r="P4" s="1527"/>
      <c r="Q4" s="1527"/>
      <c r="R4" s="1527"/>
      <c r="S4" s="1527"/>
      <c r="T4" s="1527"/>
      <c r="U4" s="1527"/>
      <c r="V4" s="1527"/>
      <c r="W4" s="1527"/>
      <c r="X4" s="1527"/>
      <c r="Y4" s="1527"/>
      <c r="Z4" s="1527"/>
      <c r="AA4" s="1528" t="s">
        <v>29</v>
      </c>
      <c r="AB4" s="1526">
        <f>YEAR(AB5)</f>
        <v>2010</v>
      </c>
      <c r="AC4" s="1527"/>
      <c r="AD4" s="1527"/>
      <c r="AE4" s="1527"/>
      <c r="AF4" s="1527"/>
      <c r="AG4" s="1527"/>
      <c r="AH4" s="1527"/>
      <c r="AI4" s="1527"/>
      <c r="AJ4" s="1527"/>
      <c r="AK4" s="1527"/>
      <c r="AL4" s="1527"/>
      <c r="AM4" s="1527"/>
      <c r="AN4" s="1528" t="s">
        <v>29</v>
      </c>
      <c r="AO4" s="1526">
        <f>YEAR(AO5)</f>
        <v>2011</v>
      </c>
      <c r="AP4" s="1527"/>
      <c r="AQ4" s="1527"/>
      <c r="AR4" s="1527"/>
      <c r="AS4" s="1527"/>
      <c r="AT4" s="1527"/>
      <c r="AU4" s="1527"/>
      <c r="AV4" s="1527"/>
      <c r="AW4" s="1527"/>
      <c r="AX4" s="1527"/>
      <c r="AY4" s="1527"/>
      <c r="AZ4" s="1527"/>
      <c r="BA4" s="1528" t="s">
        <v>29</v>
      </c>
      <c r="BB4" s="1526">
        <f>YEAR(BB5)</f>
        <v>2012</v>
      </c>
      <c r="BC4" s="1527"/>
      <c r="BD4" s="1527"/>
      <c r="BE4" s="1527"/>
      <c r="BF4" s="1527"/>
      <c r="BG4" s="1527"/>
      <c r="BH4" s="1527"/>
      <c r="BI4" s="1527"/>
      <c r="BJ4" s="1527"/>
      <c r="BK4" s="1527"/>
      <c r="BL4" s="1527"/>
      <c r="BM4" s="1527"/>
      <c r="BN4" s="1528" t="s">
        <v>29</v>
      </c>
      <c r="BO4" s="1526">
        <f>YEAR(BO5)</f>
        <v>2013</v>
      </c>
      <c r="BP4" s="1527"/>
      <c r="BQ4" s="1527"/>
      <c r="BR4" s="1527"/>
      <c r="BS4" s="1527"/>
      <c r="BT4" s="1527"/>
      <c r="BU4" s="1527"/>
      <c r="BV4" s="1527"/>
      <c r="BW4" s="1527"/>
      <c r="BX4" s="1527"/>
      <c r="BY4" s="1527"/>
      <c r="BZ4" s="1527"/>
      <c r="CA4" s="1528" t="s">
        <v>29</v>
      </c>
      <c r="CB4" s="1526">
        <f>YEAR(CB5)</f>
        <v>2014</v>
      </c>
      <c r="CC4" s="1527"/>
      <c r="CD4" s="1527"/>
      <c r="CE4" s="1527"/>
      <c r="CF4" s="1527"/>
      <c r="CG4" s="1527"/>
      <c r="CH4" s="1527"/>
      <c r="CI4" s="1527"/>
      <c r="CJ4" s="1527"/>
      <c r="CK4" s="1527"/>
      <c r="CL4" s="1527"/>
      <c r="CM4" s="1527"/>
      <c r="CN4" s="1528" t="s">
        <v>29</v>
      </c>
      <c r="CO4" s="1526">
        <f>YEAR(CO5)</f>
        <v>2015</v>
      </c>
      <c r="CP4" s="1527"/>
      <c r="CQ4" s="1527"/>
      <c r="CR4" s="1527"/>
      <c r="CS4" s="1527"/>
      <c r="CT4" s="1527"/>
      <c r="CU4" s="1527"/>
      <c r="CV4" s="1527"/>
      <c r="CW4" s="1527"/>
      <c r="CX4" s="1527"/>
      <c r="CY4" s="1527"/>
      <c r="CZ4" s="1527"/>
      <c r="DA4" s="1528" t="s">
        <v>29</v>
      </c>
      <c r="DB4" s="1526">
        <f>YEAR(DB5)</f>
        <v>2016</v>
      </c>
      <c r="DC4" s="1527"/>
      <c r="DD4" s="1527"/>
      <c r="DE4" s="1527"/>
      <c r="DF4" s="1527"/>
      <c r="DG4" s="1527"/>
      <c r="DH4" s="1527"/>
      <c r="DI4" s="1527"/>
      <c r="DJ4" s="1527"/>
      <c r="DK4" s="1527"/>
      <c r="DL4" s="1527"/>
      <c r="DM4" s="1527"/>
      <c r="DN4" s="1528" t="s">
        <v>29</v>
      </c>
      <c r="DO4" s="1526">
        <f>YEAR(DO5)</f>
        <v>2017</v>
      </c>
      <c r="DP4" s="1527"/>
      <c r="DQ4" s="1527"/>
      <c r="DR4" s="1527"/>
      <c r="DS4" s="1527"/>
      <c r="DT4" s="1527"/>
      <c r="DU4" s="1527"/>
      <c r="DV4" s="1527"/>
      <c r="DW4" s="1527"/>
      <c r="DX4" s="1527"/>
      <c r="DY4" s="1527"/>
      <c r="DZ4" s="1527"/>
      <c r="EA4" s="1528" t="s">
        <v>29</v>
      </c>
      <c r="EB4" s="1526">
        <f>YEAR(EB5)</f>
        <v>2018</v>
      </c>
      <c r="EC4" s="1527"/>
      <c r="ED4" s="1527"/>
      <c r="EE4" s="1527"/>
      <c r="EF4" s="1527"/>
      <c r="EG4" s="1527"/>
      <c r="EH4" s="1527"/>
      <c r="EI4" s="1527"/>
      <c r="EJ4" s="1527"/>
      <c r="EK4" s="1527"/>
      <c r="EL4" s="1527"/>
      <c r="EM4" s="1527"/>
      <c r="EN4" s="1528" t="s">
        <v>29</v>
      </c>
      <c r="EO4" s="1526">
        <f>YEAR(EO5)</f>
        <v>2019</v>
      </c>
      <c r="EP4" s="1527"/>
      <c r="EQ4" s="1527"/>
      <c r="ER4" s="1527"/>
      <c r="ES4" s="1527"/>
      <c r="ET4" s="1527"/>
      <c r="EU4" s="1527"/>
      <c r="EV4" s="1527"/>
      <c r="EW4" s="1527"/>
      <c r="EX4" s="1527"/>
      <c r="EY4" s="1527"/>
      <c r="EZ4" s="1527"/>
      <c r="FA4" s="1528" t="s">
        <v>29</v>
      </c>
      <c r="FB4" s="1526">
        <f>YEAR(FB5)</f>
        <v>2020</v>
      </c>
      <c r="FC4" s="1527"/>
      <c r="FD4" s="1527"/>
      <c r="FE4" s="1527"/>
      <c r="FF4" s="1527"/>
      <c r="FG4" s="1527"/>
      <c r="FH4" s="1527"/>
      <c r="FI4" s="1527"/>
      <c r="FJ4" s="1527"/>
      <c r="FK4" s="1527"/>
      <c r="FL4" s="1527"/>
      <c r="FM4" s="1527"/>
      <c r="FN4" s="1528" t="s">
        <v>29</v>
      </c>
      <c r="FO4" s="1526">
        <f>YEAR(FO5)</f>
        <v>2021</v>
      </c>
      <c r="FP4" s="1527"/>
      <c r="FQ4" s="1527"/>
      <c r="FR4" s="1527"/>
      <c r="FS4" s="1527"/>
      <c r="FT4" s="1527"/>
      <c r="FU4" s="1527"/>
      <c r="FV4" s="1527"/>
      <c r="FW4" s="1527"/>
      <c r="FX4" s="1527"/>
      <c r="FY4" s="1527"/>
      <c r="FZ4" s="1527"/>
      <c r="GA4" s="1528" t="s">
        <v>29</v>
      </c>
      <c r="GB4" s="1526">
        <f>YEAR(GB5)</f>
        <v>2022</v>
      </c>
      <c r="GC4" s="1527"/>
      <c r="GD4" s="1527"/>
      <c r="GE4" s="1527"/>
      <c r="GF4" s="1527"/>
      <c r="GG4" s="1527"/>
      <c r="GH4" s="1527"/>
      <c r="GI4" s="1527"/>
      <c r="GJ4" s="1527"/>
      <c r="GK4" s="1527"/>
      <c r="GL4" s="1527"/>
      <c r="GM4" s="1527"/>
      <c r="GN4" s="1528" t="s">
        <v>29</v>
      </c>
      <c r="GO4" s="1526">
        <f>YEAR(GO5)</f>
        <v>2023</v>
      </c>
      <c r="GP4" s="1527"/>
      <c r="GQ4" s="1527"/>
      <c r="GR4" s="1527"/>
      <c r="GS4" s="1527"/>
      <c r="GT4" s="1527"/>
      <c r="GU4" s="1527"/>
      <c r="GV4" s="1527"/>
      <c r="GW4" s="1527"/>
      <c r="GX4" s="1527"/>
      <c r="GY4" s="1527"/>
      <c r="GZ4" s="1527"/>
      <c r="HA4" s="1528" t="s">
        <v>29</v>
      </c>
      <c r="HB4" s="1526">
        <f>YEAR(HB5)</f>
        <v>2024</v>
      </c>
      <c r="HC4" s="1527"/>
      <c r="HD4" s="1527"/>
      <c r="HE4" s="1527"/>
      <c r="HF4" s="1527"/>
      <c r="HG4" s="1527"/>
      <c r="HH4" s="1527"/>
      <c r="HI4" s="1527"/>
      <c r="HJ4" s="1527"/>
      <c r="HK4" s="1527"/>
      <c r="HL4" s="1527"/>
      <c r="HM4" s="1527"/>
      <c r="HN4" s="1528" t="s">
        <v>29</v>
      </c>
      <c r="HO4" s="1526">
        <f>YEAR(HO5)</f>
        <v>2025</v>
      </c>
      <c r="HP4" s="1527"/>
      <c r="HQ4" s="1527"/>
      <c r="HR4" s="1527"/>
      <c r="HS4" s="1527"/>
      <c r="HT4" s="1527"/>
      <c r="HU4" s="1527"/>
      <c r="HV4" s="1527"/>
      <c r="HW4" s="1527"/>
      <c r="HX4" s="1527"/>
      <c r="HY4" s="1527"/>
      <c r="HZ4" s="1527"/>
      <c r="IA4" s="1529" t="s">
        <v>29</v>
      </c>
      <c r="IB4" s="1526">
        <f>YEAR(IB5)</f>
        <v>2026</v>
      </c>
      <c r="IC4" s="1527"/>
      <c r="ID4" s="1527"/>
      <c r="IE4" s="1527"/>
      <c r="IF4" s="1527"/>
      <c r="IG4" s="1527"/>
      <c r="IH4" s="1527"/>
      <c r="II4" s="1420"/>
      <c r="IJ4" s="1527"/>
      <c r="IK4" s="1527"/>
      <c r="IL4" s="1527"/>
      <c r="IM4" s="1527"/>
      <c r="IN4" s="1533" t="s">
        <v>29</v>
      </c>
      <c r="IO4" s="1422"/>
      <c r="IP4" s="1692" t="str">
        <f>CONCATENATE("Var.% ",IS4,"/",IS4-1)</f>
        <v>Var.% 2026/2025</v>
      </c>
      <c r="IQ4" s="1693"/>
      <c r="IR4" s="1534">
        <f>IS4-1</f>
        <v>2025</v>
      </c>
      <c r="IS4" s="1534">
        <f>YEAR(IP5)</f>
        <v>2026</v>
      </c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</row>
    <row r="5" spans="1:280" s="1530" customFormat="1" ht="15" customHeight="1" x14ac:dyDescent="0.2">
      <c r="A5" s="1531"/>
      <c r="B5" s="1429">
        <v>39448</v>
      </c>
      <c r="C5" s="1430">
        <v>39479</v>
      </c>
      <c r="D5" s="1430">
        <v>39508</v>
      </c>
      <c r="E5" s="1430">
        <v>39539</v>
      </c>
      <c r="F5" s="1430">
        <v>39569</v>
      </c>
      <c r="G5" s="1430">
        <v>39600</v>
      </c>
      <c r="H5" s="1430">
        <v>39630</v>
      </c>
      <c r="I5" s="1430">
        <v>39661</v>
      </c>
      <c r="J5" s="1430">
        <v>39692</v>
      </c>
      <c r="K5" s="1430">
        <v>39722</v>
      </c>
      <c r="L5" s="1430">
        <v>39753</v>
      </c>
      <c r="M5" s="1430">
        <v>39783</v>
      </c>
      <c r="N5" s="1432">
        <f>YEAR(M5)</f>
        <v>2008</v>
      </c>
      <c r="O5" s="1429">
        <v>39814</v>
      </c>
      <c r="P5" s="1430">
        <v>39845</v>
      </c>
      <c r="Q5" s="1430">
        <v>39873</v>
      </c>
      <c r="R5" s="1430">
        <v>39904</v>
      </c>
      <c r="S5" s="1430">
        <v>39934</v>
      </c>
      <c r="T5" s="1430">
        <v>39965</v>
      </c>
      <c r="U5" s="1430">
        <v>39995</v>
      </c>
      <c r="V5" s="1430">
        <v>40026</v>
      </c>
      <c r="W5" s="1430">
        <v>40057</v>
      </c>
      <c r="X5" s="1430">
        <v>40087</v>
      </c>
      <c r="Y5" s="1430">
        <v>40118</v>
      </c>
      <c r="Z5" s="1430">
        <v>40148</v>
      </c>
      <c r="AA5" s="1432">
        <f>YEAR(Z5)</f>
        <v>2009</v>
      </c>
      <c r="AB5" s="1429">
        <v>40179</v>
      </c>
      <c r="AC5" s="1430">
        <v>40210</v>
      </c>
      <c r="AD5" s="1430">
        <v>40238</v>
      </c>
      <c r="AE5" s="1430">
        <v>40269</v>
      </c>
      <c r="AF5" s="1430">
        <v>40299</v>
      </c>
      <c r="AG5" s="1430">
        <v>40330</v>
      </c>
      <c r="AH5" s="1430">
        <v>40360</v>
      </c>
      <c r="AI5" s="1430">
        <v>40391</v>
      </c>
      <c r="AJ5" s="1430">
        <v>40422</v>
      </c>
      <c r="AK5" s="1430">
        <v>40452</v>
      </c>
      <c r="AL5" s="1430">
        <v>40483</v>
      </c>
      <c r="AM5" s="1430">
        <v>40513</v>
      </c>
      <c r="AN5" s="1432">
        <f>YEAR(AM5)</f>
        <v>2010</v>
      </c>
      <c r="AO5" s="1429">
        <v>40544</v>
      </c>
      <c r="AP5" s="1430">
        <v>40575</v>
      </c>
      <c r="AQ5" s="1430">
        <v>40603</v>
      </c>
      <c r="AR5" s="1430">
        <v>40634</v>
      </c>
      <c r="AS5" s="1430">
        <v>40664</v>
      </c>
      <c r="AT5" s="1430">
        <v>40695</v>
      </c>
      <c r="AU5" s="1430">
        <v>40725</v>
      </c>
      <c r="AV5" s="1430">
        <v>40756</v>
      </c>
      <c r="AW5" s="1430">
        <v>40787</v>
      </c>
      <c r="AX5" s="1430">
        <v>40817</v>
      </c>
      <c r="AY5" s="1430">
        <v>40848</v>
      </c>
      <c r="AZ5" s="1430">
        <v>40878</v>
      </c>
      <c r="BA5" s="1432">
        <f>YEAR(AZ5)</f>
        <v>2011</v>
      </c>
      <c r="BB5" s="1429">
        <v>40909</v>
      </c>
      <c r="BC5" s="1430">
        <v>40940</v>
      </c>
      <c r="BD5" s="1430">
        <v>40969</v>
      </c>
      <c r="BE5" s="1430">
        <v>41000</v>
      </c>
      <c r="BF5" s="1430">
        <v>41030</v>
      </c>
      <c r="BG5" s="1430">
        <v>41061</v>
      </c>
      <c r="BH5" s="1430">
        <v>41091</v>
      </c>
      <c r="BI5" s="1430">
        <v>41122</v>
      </c>
      <c r="BJ5" s="1430">
        <v>41153</v>
      </c>
      <c r="BK5" s="1430">
        <v>41183</v>
      </c>
      <c r="BL5" s="1430">
        <v>41214</v>
      </c>
      <c r="BM5" s="1430">
        <v>41244</v>
      </c>
      <c r="BN5" s="1432">
        <f>YEAR(BM5)</f>
        <v>2012</v>
      </c>
      <c r="BO5" s="1429">
        <v>41275</v>
      </c>
      <c r="BP5" s="1430">
        <v>41306</v>
      </c>
      <c r="BQ5" s="1430">
        <v>41334</v>
      </c>
      <c r="BR5" s="1430">
        <v>41365</v>
      </c>
      <c r="BS5" s="1430">
        <v>41395</v>
      </c>
      <c r="BT5" s="1430">
        <v>41426</v>
      </c>
      <c r="BU5" s="1430">
        <v>41456</v>
      </c>
      <c r="BV5" s="1430">
        <v>41487</v>
      </c>
      <c r="BW5" s="1430">
        <v>41518</v>
      </c>
      <c r="BX5" s="1430">
        <v>41548</v>
      </c>
      <c r="BY5" s="1430">
        <v>41579</v>
      </c>
      <c r="BZ5" s="1430">
        <v>41609</v>
      </c>
      <c r="CA5" s="1432">
        <f>YEAR(BZ5)</f>
        <v>2013</v>
      </c>
      <c r="CB5" s="1429">
        <v>41640</v>
      </c>
      <c r="CC5" s="1430">
        <v>41671</v>
      </c>
      <c r="CD5" s="1430">
        <v>41699</v>
      </c>
      <c r="CE5" s="1430">
        <v>41730</v>
      </c>
      <c r="CF5" s="1430">
        <v>41760</v>
      </c>
      <c r="CG5" s="1430">
        <v>41791</v>
      </c>
      <c r="CH5" s="1430">
        <v>41821</v>
      </c>
      <c r="CI5" s="1430">
        <v>41852</v>
      </c>
      <c r="CJ5" s="1430">
        <v>41883</v>
      </c>
      <c r="CK5" s="1430">
        <v>41913</v>
      </c>
      <c r="CL5" s="1430">
        <v>41944</v>
      </c>
      <c r="CM5" s="1430">
        <v>41974</v>
      </c>
      <c r="CN5" s="1432">
        <f>YEAR(CM5)</f>
        <v>2014</v>
      </c>
      <c r="CO5" s="1429">
        <v>42005</v>
      </c>
      <c r="CP5" s="1430">
        <v>42036</v>
      </c>
      <c r="CQ5" s="1430">
        <v>42064</v>
      </c>
      <c r="CR5" s="1430">
        <v>42095</v>
      </c>
      <c r="CS5" s="1430">
        <v>42125</v>
      </c>
      <c r="CT5" s="1430">
        <v>42156</v>
      </c>
      <c r="CU5" s="1430">
        <v>42186</v>
      </c>
      <c r="CV5" s="1430">
        <v>42217</v>
      </c>
      <c r="CW5" s="1430">
        <v>42248</v>
      </c>
      <c r="CX5" s="1430">
        <v>42278</v>
      </c>
      <c r="CY5" s="1430">
        <v>42309</v>
      </c>
      <c r="CZ5" s="1430">
        <v>42339</v>
      </c>
      <c r="DA5" s="1432">
        <f>YEAR(CZ5)</f>
        <v>2015</v>
      </c>
      <c r="DB5" s="1429">
        <v>42370</v>
      </c>
      <c r="DC5" s="1430">
        <v>42401</v>
      </c>
      <c r="DD5" s="1430">
        <v>42430</v>
      </c>
      <c r="DE5" s="1430">
        <v>42461</v>
      </c>
      <c r="DF5" s="1430">
        <v>42491</v>
      </c>
      <c r="DG5" s="1430">
        <v>42522</v>
      </c>
      <c r="DH5" s="1430">
        <v>42552</v>
      </c>
      <c r="DI5" s="1430">
        <v>42583</v>
      </c>
      <c r="DJ5" s="1430">
        <v>42614</v>
      </c>
      <c r="DK5" s="1430">
        <v>42644</v>
      </c>
      <c r="DL5" s="1430">
        <v>42675</v>
      </c>
      <c r="DM5" s="1430">
        <v>42705</v>
      </c>
      <c r="DN5" s="1432">
        <f>YEAR(DM5)</f>
        <v>2016</v>
      </c>
      <c r="DO5" s="1429">
        <v>42736</v>
      </c>
      <c r="DP5" s="1430">
        <v>42767</v>
      </c>
      <c r="DQ5" s="1430">
        <v>42795</v>
      </c>
      <c r="DR5" s="1430">
        <v>42826</v>
      </c>
      <c r="DS5" s="1430">
        <v>42856</v>
      </c>
      <c r="DT5" s="1430">
        <v>42887</v>
      </c>
      <c r="DU5" s="1430">
        <v>42917</v>
      </c>
      <c r="DV5" s="1430">
        <v>42948</v>
      </c>
      <c r="DW5" s="1430">
        <v>42979</v>
      </c>
      <c r="DX5" s="1430">
        <v>43009</v>
      </c>
      <c r="DY5" s="1430">
        <v>43040</v>
      </c>
      <c r="DZ5" s="1430">
        <v>43070</v>
      </c>
      <c r="EA5" s="1432">
        <f>YEAR(DZ5)</f>
        <v>2017</v>
      </c>
      <c r="EB5" s="1429">
        <v>43101</v>
      </c>
      <c r="EC5" s="1430">
        <v>43132</v>
      </c>
      <c r="ED5" s="1430">
        <v>43160</v>
      </c>
      <c r="EE5" s="1430">
        <v>43191</v>
      </c>
      <c r="EF5" s="1430">
        <v>43221</v>
      </c>
      <c r="EG5" s="1430">
        <v>43252</v>
      </c>
      <c r="EH5" s="1430">
        <v>43282</v>
      </c>
      <c r="EI5" s="1430">
        <v>43313</v>
      </c>
      <c r="EJ5" s="1430">
        <v>43344</v>
      </c>
      <c r="EK5" s="1430">
        <v>43374</v>
      </c>
      <c r="EL5" s="1430">
        <v>43405</v>
      </c>
      <c r="EM5" s="1430">
        <v>43435</v>
      </c>
      <c r="EN5" s="1432">
        <f>YEAR(EM5)</f>
        <v>2018</v>
      </c>
      <c r="EO5" s="1429">
        <v>43466</v>
      </c>
      <c r="EP5" s="1430">
        <v>43497</v>
      </c>
      <c r="EQ5" s="1430">
        <v>43525</v>
      </c>
      <c r="ER5" s="1430">
        <v>43556</v>
      </c>
      <c r="ES5" s="1430">
        <v>43586</v>
      </c>
      <c r="ET5" s="1430">
        <v>43617</v>
      </c>
      <c r="EU5" s="1430">
        <v>43647</v>
      </c>
      <c r="EV5" s="1430">
        <v>43678</v>
      </c>
      <c r="EW5" s="1430">
        <v>43709</v>
      </c>
      <c r="EX5" s="1430">
        <v>43739</v>
      </c>
      <c r="EY5" s="1430">
        <v>43770</v>
      </c>
      <c r="EZ5" s="1430">
        <v>43800</v>
      </c>
      <c r="FA5" s="1432">
        <f>YEAR(EZ5)</f>
        <v>2019</v>
      </c>
      <c r="FB5" s="1429">
        <v>43831</v>
      </c>
      <c r="FC5" s="1430">
        <v>43862</v>
      </c>
      <c r="FD5" s="1430">
        <v>43891</v>
      </c>
      <c r="FE5" s="1430">
        <v>43922</v>
      </c>
      <c r="FF5" s="1430">
        <v>43952</v>
      </c>
      <c r="FG5" s="1430">
        <v>43983</v>
      </c>
      <c r="FH5" s="1430">
        <v>44013</v>
      </c>
      <c r="FI5" s="1430">
        <v>44044</v>
      </c>
      <c r="FJ5" s="1430">
        <v>44075</v>
      </c>
      <c r="FK5" s="1430">
        <v>44105</v>
      </c>
      <c r="FL5" s="1430">
        <v>44136</v>
      </c>
      <c r="FM5" s="1430">
        <v>44166</v>
      </c>
      <c r="FN5" s="1432">
        <f>YEAR(FM5)</f>
        <v>2020</v>
      </c>
      <c r="FO5" s="1429">
        <v>44197</v>
      </c>
      <c r="FP5" s="1430">
        <v>44228</v>
      </c>
      <c r="FQ5" s="1430">
        <v>44256</v>
      </c>
      <c r="FR5" s="1430">
        <v>44287</v>
      </c>
      <c r="FS5" s="1430">
        <v>44317</v>
      </c>
      <c r="FT5" s="1430">
        <v>44348</v>
      </c>
      <c r="FU5" s="1430">
        <v>44378</v>
      </c>
      <c r="FV5" s="1430">
        <v>44409</v>
      </c>
      <c r="FW5" s="1430">
        <v>44440</v>
      </c>
      <c r="FX5" s="1430">
        <v>44470</v>
      </c>
      <c r="FY5" s="1430">
        <v>44501</v>
      </c>
      <c r="FZ5" s="1430">
        <v>44531</v>
      </c>
      <c r="GA5" s="1432">
        <f>YEAR(FZ5)</f>
        <v>2021</v>
      </c>
      <c r="GB5" s="1429">
        <v>44562</v>
      </c>
      <c r="GC5" s="1430">
        <v>44593</v>
      </c>
      <c r="GD5" s="1430">
        <v>44621</v>
      </c>
      <c r="GE5" s="1430">
        <v>44652</v>
      </c>
      <c r="GF5" s="1430">
        <v>44682</v>
      </c>
      <c r="GG5" s="1430">
        <v>44713</v>
      </c>
      <c r="GH5" s="1430">
        <v>44743</v>
      </c>
      <c r="GI5" s="1430">
        <v>44774</v>
      </c>
      <c r="GJ5" s="1430">
        <v>44805</v>
      </c>
      <c r="GK5" s="1430">
        <v>44835</v>
      </c>
      <c r="GL5" s="1430">
        <v>44866</v>
      </c>
      <c r="GM5" s="1430">
        <v>44896</v>
      </c>
      <c r="GN5" s="1432">
        <f>YEAR(GM5)</f>
        <v>2022</v>
      </c>
      <c r="GO5" s="1429">
        <v>44927</v>
      </c>
      <c r="GP5" s="1430">
        <v>44958</v>
      </c>
      <c r="GQ5" s="1430">
        <v>44986</v>
      </c>
      <c r="GR5" s="1430">
        <v>45017</v>
      </c>
      <c r="GS5" s="1430">
        <v>45047</v>
      </c>
      <c r="GT5" s="1430">
        <v>45078</v>
      </c>
      <c r="GU5" s="1430">
        <v>45108</v>
      </c>
      <c r="GV5" s="1430">
        <v>45139</v>
      </c>
      <c r="GW5" s="1430">
        <v>45170</v>
      </c>
      <c r="GX5" s="1430">
        <v>45200</v>
      </c>
      <c r="GY5" s="1430">
        <v>45231</v>
      </c>
      <c r="GZ5" s="1430">
        <v>45261</v>
      </c>
      <c r="HA5" s="1432">
        <f>YEAR(GZ5)</f>
        <v>2023</v>
      </c>
      <c r="HB5" s="1429">
        <v>45292</v>
      </c>
      <c r="HC5" s="1430">
        <v>45323</v>
      </c>
      <c r="HD5" s="1430">
        <v>45352</v>
      </c>
      <c r="HE5" s="1430">
        <v>45383</v>
      </c>
      <c r="HF5" s="1430">
        <v>45413</v>
      </c>
      <c r="HG5" s="1430">
        <v>45444</v>
      </c>
      <c r="HH5" s="1430">
        <v>45474</v>
      </c>
      <c r="HI5" s="1430">
        <v>45505</v>
      </c>
      <c r="HJ5" s="1430">
        <v>45536</v>
      </c>
      <c r="HK5" s="1430">
        <v>45566</v>
      </c>
      <c r="HL5" s="1430">
        <v>45597</v>
      </c>
      <c r="HM5" s="1430">
        <v>45627</v>
      </c>
      <c r="HN5" s="1432">
        <f>YEAR(HM5)</f>
        <v>2024</v>
      </c>
      <c r="HO5" s="1429">
        <v>45658</v>
      </c>
      <c r="HP5" s="1430">
        <v>45689</v>
      </c>
      <c r="HQ5" s="1430">
        <v>45717</v>
      </c>
      <c r="HR5" s="1430">
        <v>45748</v>
      </c>
      <c r="HS5" s="1430">
        <v>45778</v>
      </c>
      <c r="HT5" s="1430">
        <v>45809</v>
      </c>
      <c r="HU5" s="1430">
        <v>45839</v>
      </c>
      <c r="HV5" s="1430">
        <v>45870</v>
      </c>
      <c r="HW5" s="1430">
        <v>45901</v>
      </c>
      <c r="HX5" s="1430">
        <v>45931</v>
      </c>
      <c r="HY5" s="1430">
        <v>45962</v>
      </c>
      <c r="HZ5" s="1430">
        <v>45992</v>
      </c>
      <c r="IA5" s="1532">
        <f>YEAR(HZ5)</f>
        <v>2025</v>
      </c>
      <c r="IB5" s="1429">
        <v>46023</v>
      </c>
      <c r="IC5" s="1430">
        <v>46054</v>
      </c>
      <c r="ID5" s="1430">
        <v>46082</v>
      </c>
      <c r="IE5" s="1430">
        <v>46113</v>
      </c>
      <c r="IF5" s="1430">
        <v>46143</v>
      </c>
      <c r="IG5" s="1430">
        <v>46174</v>
      </c>
      <c r="IH5" s="1430">
        <v>46204</v>
      </c>
      <c r="II5" s="1430">
        <v>46235</v>
      </c>
      <c r="IJ5" s="1430">
        <v>46266</v>
      </c>
      <c r="IK5" s="1430">
        <v>46296</v>
      </c>
      <c r="IL5" s="1430">
        <v>46327</v>
      </c>
      <c r="IM5" s="1430">
        <v>46357</v>
      </c>
      <c r="IN5" s="1431">
        <f>YEAR(IM5)</f>
        <v>2026</v>
      </c>
      <c r="IO5" s="1422"/>
      <c r="IP5" s="1433">
        <f>II5</f>
        <v>46235</v>
      </c>
      <c r="IQ5" s="1535" t="str">
        <f>CONCATENATE("Ene.-",TEXT(IP5,"MMM."))</f>
        <v>Ene.-Ago.</v>
      </c>
      <c r="IR5" s="1535" t="str">
        <f>IQ5</f>
        <v>Ene.-Ago.</v>
      </c>
      <c r="IS5" s="1535" t="str">
        <f>IQ5</f>
        <v>Ene.-Ago.</v>
      </c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</row>
    <row r="6" spans="1:280" s="317" customFormat="1" ht="15" customHeight="1" x14ac:dyDescent="0.2">
      <c r="A6" s="331"/>
      <c r="B6" s="373"/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87"/>
      <c r="N6" s="375"/>
      <c r="O6" s="373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87"/>
      <c r="AA6" s="375"/>
      <c r="AB6" s="373"/>
      <c r="AC6" s="374"/>
      <c r="AD6" s="374"/>
      <c r="AE6" s="374"/>
      <c r="AF6" s="374"/>
      <c r="AG6" s="374"/>
      <c r="AH6" s="374"/>
      <c r="AI6" s="374"/>
      <c r="AJ6" s="374"/>
      <c r="AK6" s="374"/>
      <c r="AL6" s="374"/>
      <c r="AM6" s="387"/>
      <c r="AN6" s="375"/>
      <c r="AO6" s="373"/>
      <c r="AP6" s="374"/>
      <c r="AQ6" s="374"/>
      <c r="AR6" s="374"/>
      <c r="AS6" s="374"/>
      <c r="AT6" s="374"/>
      <c r="AU6" s="374"/>
      <c r="AV6" s="374"/>
      <c r="AW6" s="374"/>
      <c r="AX6" s="374"/>
      <c r="AY6" s="374"/>
      <c r="AZ6" s="387"/>
      <c r="BA6" s="375"/>
      <c r="BB6" s="373"/>
      <c r="BC6" s="374"/>
      <c r="BD6" s="374"/>
      <c r="BE6" s="374"/>
      <c r="BF6" s="374"/>
      <c r="BG6" s="374"/>
      <c r="BH6" s="374"/>
      <c r="BI6" s="374"/>
      <c r="BJ6" s="374"/>
      <c r="BK6" s="374"/>
      <c r="BL6" s="374"/>
      <c r="BM6" s="387"/>
      <c r="BN6" s="375"/>
      <c r="BO6" s="373"/>
      <c r="BP6" s="374"/>
      <c r="BQ6" s="374"/>
      <c r="BR6" s="374"/>
      <c r="BS6" s="374"/>
      <c r="BT6" s="374"/>
      <c r="BU6" s="374"/>
      <c r="BV6" s="374"/>
      <c r="BW6" s="374"/>
      <c r="BX6" s="374"/>
      <c r="BY6" s="374"/>
      <c r="BZ6" s="387"/>
      <c r="CA6" s="375"/>
      <c r="CB6" s="373"/>
      <c r="CC6" s="374"/>
      <c r="CD6" s="374"/>
      <c r="CE6" s="374"/>
      <c r="CF6" s="374"/>
      <c r="CG6" s="374"/>
      <c r="CH6" s="374"/>
      <c r="CI6" s="374"/>
      <c r="CJ6" s="374"/>
      <c r="CK6" s="374"/>
      <c r="CL6" s="374"/>
      <c r="CM6" s="387"/>
      <c r="CN6" s="375"/>
      <c r="CO6" s="373"/>
      <c r="CP6" s="374"/>
      <c r="CQ6" s="374"/>
      <c r="CR6" s="374"/>
      <c r="CS6" s="374"/>
      <c r="CT6" s="374"/>
      <c r="CU6" s="374"/>
      <c r="CV6" s="374"/>
      <c r="CW6" s="374"/>
      <c r="CX6" s="374"/>
      <c r="CY6" s="374"/>
      <c r="CZ6" s="387"/>
      <c r="DA6" s="375"/>
      <c r="DB6" s="373"/>
      <c r="DC6" s="374"/>
      <c r="DD6" s="374"/>
      <c r="DE6" s="374"/>
      <c r="DF6" s="374"/>
      <c r="DG6" s="374"/>
      <c r="DH6" s="374"/>
      <c r="DI6" s="374"/>
      <c r="DJ6" s="374"/>
      <c r="DK6" s="374"/>
      <c r="DL6" s="374"/>
      <c r="DM6" s="387"/>
      <c r="DN6" s="375"/>
      <c r="DO6" s="373"/>
      <c r="DP6" s="374"/>
      <c r="DQ6" s="374"/>
      <c r="DR6" s="374"/>
      <c r="DS6" s="374"/>
      <c r="DT6" s="374"/>
      <c r="DU6" s="374"/>
      <c r="DV6" s="374"/>
      <c r="DW6" s="374"/>
      <c r="DX6" s="374"/>
      <c r="DY6" s="374"/>
      <c r="DZ6" s="387"/>
      <c r="EA6" s="375"/>
      <c r="EB6" s="373"/>
      <c r="EC6" s="374"/>
      <c r="ED6" s="374"/>
      <c r="EE6" s="374"/>
      <c r="EF6" s="374"/>
      <c r="EG6" s="374"/>
      <c r="EH6" s="374"/>
      <c r="EI6" s="374"/>
      <c r="EJ6" s="374"/>
      <c r="EK6" s="374"/>
      <c r="EL6" s="374"/>
      <c r="EM6" s="387"/>
      <c r="EN6" s="375"/>
      <c r="EO6" s="373"/>
      <c r="EP6" s="374"/>
      <c r="EQ6" s="374"/>
      <c r="ER6" s="374"/>
      <c r="ES6" s="374"/>
      <c r="ET6" s="374"/>
      <c r="EU6" s="374"/>
      <c r="EV6" s="374"/>
      <c r="EW6" s="374"/>
      <c r="EX6" s="374"/>
      <c r="EY6" s="374"/>
      <c r="EZ6" s="387"/>
      <c r="FA6" s="375"/>
      <c r="FB6" s="373"/>
      <c r="FC6" s="374"/>
      <c r="FD6" s="374"/>
      <c r="FE6" s="374"/>
      <c r="FF6" s="374"/>
      <c r="FG6" s="374"/>
      <c r="FH6" s="374"/>
      <c r="FI6" s="374"/>
      <c r="FJ6" s="374"/>
      <c r="FK6" s="374"/>
      <c r="FL6" s="374"/>
      <c r="FM6" s="387"/>
      <c r="FN6" s="375"/>
      <c r="FO6" s="373"/>
      <c r="FP6" s="374"/>
      <c r="FQ6" s="374"/>
      <c r="FR6" s="374"/>
      <c r="FS6" s="374"/>
      <c r="FT6" s="374"/>
      <c r="FU6" s="374"/>
      <c r="FV6" s="374"/>
      <c r="FW6" s="374"/>
      <c r="FX6" s="374"/>
      <c r="FY6" s="374"/>
      <c r="FZ6" s="387"/>
      <c r="GA6" s="375"/>
      <c r="GB6" s="373"/>
      <c r="GC6" s="374"/>
      <c r="GD6" s="374"/>
      <c r="GE6" s="374"/>
      <c r="GF6" s="374"/>
      <c r="GG6" s="374"/>
      <c r="GH6" s="374"/>
      <c r="GI6" s="374"/>
      <c r="GJ6" s="374"/>
      <c r="GK6" s="374"/>
      <c r="GL6" s="374"/>
      <c r="GM6" s="387"/>
      <c r="GN6" s="375"/>
      <c r="GO6" s="373"/>
      <c r="GP6" s="374"/>
      <c r="GQ6" s="374"/>
      <c r="GR6" s="374"/>
      <c r="GS6" s="374"/>
      <c r="GT6" s="374"/>
      <c r="GU6" s="374"/>
      <c r="GV6" s="374"/>
      <c r="GW6" s="374"/>
      <c r="GX6" s="374"/>
      <c r="GY6" s="374"/>
      <c r="GZ6" s="387"/>
      <c r="HA6" s="375"/>
      <c r="HB6" s="373"/>
      <c r="HC6" s="374"/>
      <c r="HD6" s="374"/>
      <c r="HE6" s="374"/>
      <c r="HF6" s="374"/>
      <c r="HG6" s="374"/>
      <c r="HH6" s="374"/>
      <c r="HI6" s="374"/>
      <c r="HJ6" s="374"/>
      <c r="HK6" s="374"/>
      <c r="HL6" s="374"/>
      <c r="HM6" s="387"/>
      <c r="HN6" s="375"/>
      <c r="HO6" s="1652"/>
      <c r="HP6" s="1653"/>
      <c r="HQ6" s="1653"/>
      <c r="HR6" s="1653"/>
      <c r="HS6" s="1653"/>
      <c r="HT6" s="1653"/>
      <c r="HU6" s="1653"/>
      <c r="HV6" s="1653"/>
      <c r="HW6" s="1653"/>
      <c r="HX6" s="1653"/>
      <c r="HY6" s="1653"/>
      <c r="HZ6" s="1654"/>
      <c r="IA6" s="1652"/>
      <c r="IB6" s="1354"/>
      <c r="IC6" s="1355"/>
      <c r="ID6" s="1355"/>
      <c r="IE6" s="1355"/>
      <c r="IF6" s="1355"/>
      <c r="IG6" s="1355"/>
      <c r="IH6" s="1355"/>
      <c r="II6" s="1355"/>
      <c r="IJ6" s="1355"/>
      <c r="IK6" s="1355"/>
      <c r="IL6" s="1355"/>
      <c r="IM6" s="1356"/>
      <c r="IN6" s="1357"/>
      <c r="IO6"/>
      <c r="IP6" s="1592"/>
      <c r="IQ6" s="1593"/>
      <c r="IR6" s="1594"/>
      <c r="IS6" s="1595"/>
      <c r="IT6" s="1655"/>
      <c r="IU6" s="1655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</row>
    <row r="7" spans="1:280" s="1523" customFormat="1" ht="15" customHeight="1" x14ac:dyDescent="0.2">
      <c r="A7" s="1511" t="s">
        <v>342</v>
      </c>
      <c r="B7" s="1588">
        <f t="shared" ref="B7:M7" si="0">SUM(B8:B28)</f>
        <v>1912</v>
      </c>
      <c r="C7" s="1589">
        <f t="shared" si="0"/>
        <v>3749</v>
      </c>
      <c r="D7" s="1589">
        <f t="shared" si="0"/>
        <v>3882</v>
      </c>
      <c r="E7" s="1589">
        <f t="shared" si="0"/>
        <v>4252</v>
      </c>
      <c r="F7" s="1589">
        <f t="shared" si="0"/>
        <v>4414</v>
      </c>
      <c r="G7" s="1589">
        <f t="shared" si="0"/>
        <v>4082</v>
      </c>
      <c r="H7" s="1589">
        <f t="shared" si="0"/>
        <v>4133</v>
      </c>
      <c r="I7" s="1589">
        <f t="shared" si="0"/>
        <v>6174</v>
      </c>
      <c r="J7" s="1589">
        <f t="shared" si="0"/>
        <v>6145</v>
      </c>
      <c r="K7" s="1589">
        <f t="shared" si="0"/>
        <v>6678</v>
      </c>
      <c r="L7" s="1589">
        <f t="shared" si="0"/>
        <v>6447</v>
      </c>
      <c r="M7" s="1590">
        <f t="shared" si="0"/>
        <v>14472</v>
      </c>
      <c r="N7" s="1591">
        <f t="shared" ref="N7:N28" si="1">SUM(B7:M7)</f>
        <v>66340</v>
      </c>
      <c r="O7" s="1588">
        <f t="shared" ref="O7:Z7" si="2">SUM(O8:O28)</f>
        <v>2455</v>
      </c>
      <c r="P7" s="1589">
        <f t="shared" si="2"/>
        <v>3856</v>
      </c>
      <c r="Q7" s="1589">
        <f t="shared" si="2"/>
        <v>6350</v>
      </c>
      <c r="R7" s="1589">
        <f t="shared" si="2"/>
        <v>6131</v>
      </c>
      <c r="S7" s="1589">
        <f t="shared" si="2"/>
        <v>6442</v>
      </c>
      <c r="T7" s="1589">
        <f t="shared" si="2"/>
        <v>5810</v>
      </c>
      <c r="U7" s="1589">
        <f t="shared" si="2"/>
        <v>8281</v>
      </c>
      <c r="V7" s="1589">
        <f t="shared" si="2"/>
        <v>8459</v>
      </c>
      <c r="W7" s="1589">
        <f t="shared" si="2"/>
        <v>10064</v>
      </c>
      <c r="X7" s="1589">
        <f t="shared" si="2"/>
        <v>9235</v>
      </c>
      <c r="Y7" s="1589">
        <f t="shared" si="2"/>
        <v>9933</v>
      </c>
      <c r="Z7" s="1590">
        <f t="shared" si="2"/>
        <v>24337</v>
      </c>
      <c r="AA7" s="1591">
        <f t="shared" ref="AA7:AA28" si="3">SUM(O7:Z7)</f>
        <v>101353</v>
      </c>
      <c r="AB7" s="1588">
        <f t="shared" ref="AB7:AM7" si="4">SUM(AB8:AB28)</f>
        <v>2666</v>
      </c>
      <c r="AC7" s="1589">
        <f t="shared" si="4"/>
        <v>4628</v>
      </c>
      <c r="AD7" s="1589">
        <f t="shared" si="4"/>
        <v>7502</v>
      </c>
      <c r="AE7" s="1589">
        <f t="shared" si="4"/>
        <v>7419</v>
      </c>
      <c r="AF7" s="1589">
        <f t="shared" si="4"/>
        <v>9633</v>
      </c>
      <c r="AG7" s="1589">
        <f t="shared" si="4"/>
        <v>12136</v>
      </c>
      <c r="AH7" s="1589">
        <f t="shared" si="4"/>
        <v>9347</v>
      </c>
      <c r="AI7" s="1589">
        <f t="shared" si="4"/>
        <v>14624</v>
      </c>
      <c r="AJ7" s="1589">
        <f t="shared" si="4"/>
        <v>10891</v>
      </c>
      <c r="AK7" s="1589">
        <f t="shared" si="4"/>
        <v>9788</v>
      </c>
      <c r="AL7" s="1589">
        <f t="shared" si="4"/>
        <v>12941</v>
      </c>
      <c r="AM7" s="1590">
        <f t="shared" si="4"/>
        <v>24650</v>
      </c>
      <c r="AN7" s="1591">
        <f t="shared" ref="AN7:AN28" si="5">SUM(AB7:AM7)</f>
        <v>126225</v>
      </c>
      <c r="AO7" s="1588">
        <f t="shared" ref="AO7:AZ7" si="6">SUM(AO8:AO28)</f>
        <v>121</v>
      </c>
      <c r="AP7" s="1589">
        <f t="shared" si="6"/>
        <v>1912</v>
      </c>
      <c r="AQ7" s="1589">
        <f t="shared" si="6"/>
        <v>5615</v>
      </c>
      <c r="AR7" s="1589">
        <f t="shared" si="6"/>
        <v>7654</v>
      </c>
      <c r="AS7" s="1589">
        <f t="shared" si="6"/>
        <v>9838</v>
      </c>
      <c r="AT7" s="1589">
        <f t="shared" si="6"/>
        <v>8082</v>
      </c>
      <c r="AU7" s="1589">
        <f t="shared" si="6"/>
        <v>9581</v>
      </c>
      <c r="AV7" s="1589">
        <f t="shared" si="6"/>
        <v>13426</v>
      </c>
      <c r="AW7" s="1589">
        <f t="shared" si="6"/>
        <v>18757</v>
      </c>
      <c r="AX7" s="1589">
        <f t="shared" si="6"/>
        <v>21874</v>
      </c>
      <c r="AY7" s="1589">
        <f t="shared" si="6"/>
        <v>31992</v>
      </c>
      <c r="AZ7" s="1590">
        <f t="shared" si="6"/>
        <v>61407</v>
      </c>
      <c r="BA7" s="1591">
        <f t="shared" ref="BA7:BA28" si="7">SUM(AO7:AZ7)</f>
        <v>190259</v>
      </c>
      <c r="BB7" s="1588">
        <f t="shared" ref="BB7:BM7" si="8">SUM(BB8:BB28)</f>
        <v>5200</v>
      </c>
      <c r="BC7" s="1589">
        <f t="shared" si="8"/>
        <v>13701</v>
      </c>
      <c r="BD7" s="1589">
        <f t="shared" si="8"/>
        <v>30902</v>
      </c>
      <c r="BE7" s="1589">
        <f t="shared" si="8"/>
        <v>17275</v>
      </c>
      <c r="BF7" s="1589">
        <f t="shared" si="8"/>
        <v>19264</v>
      </c>
      <c r="BG7" s="1589">
        <f t="shared" si="8"/>
        <v>17198</v>
      </c>
      <c r="BH7" s="1589">
        <f t="shared" si="8"/>
        <v>29827</v>
      </c>
      <c r="BI7" s="1589">
        <f t="shared" si="8"/>
        <v>20994</v>
      </c>
      <c r="BJ7" s="1589">
        <f t="shared" si="8"/>
        <v>30041</v>
      </c>
      <c r="BK7" s="1589">
        <f t="shared" si="8"/>
        <v>35833</v>
      </c>
      <c r="BL7" s="1589">
        <f t="shared" si="8"/>
        <v>36017</v>
      </c>
      <c r="BM7" s="1590">
        <f t="shared" si="8"/>
        <v>52905</v>
      </c>
      <c r="BN7" s="1591">
        <f t="shared" ref="BN7:BN25" si="9">SUM(BB7:BM7)</f>
        <v>309157</v>
      </c>
      <c r="BO7" s="1588">
        <f t="shared" ref="BO7:BZ7" si="10">SUM(BO8:BO28)</f>
        <v>3299</v>
      </c>
      <c r="BP7" s="1589">
        <f t="shared" si="10"/>
        <v>9676</v>
      </c>
      <c r="BQ7" s="1589">
        <f t="shared" si="10"/>
        <v>26439</v>
      </c>
      <c r="BR7" s="1589">
        <f t="shared" si="10"/>
        <v>21402</v>
      </c>
      <c r="BS7" s="1589">
        <f t="shared" si="10"/>
        <v>23218</v>
      </c>
      <c r="BT7" s="1589">
        <f t="shared" si="10"/>
        <v>18429</v>
      </c>
      <c r="BU7" s="1589">
        <f t="shared" si="10"/>
        <v>68619.157999999996</v>
      </c>
      <c r="BV7" s="1589">
        <f t="shared" si="10"/>
        <v>10233</v>
      </c>
      <c r="BW7" s="1589">
        <f t="shared" si="10"/>
        <v>25125</v>
      </c>
      <c r="BX7" s="1589">
        <f t="shared" si="10"/>
        <v>26871</v>
      </c>
      <c r="BY7" s="1589">
        <f t="shared" si="10"/>
        <v>18395.8</v>
      </c>
      <c r="BZ7" s="1590">
        <f t="shared" si="10"/>
        <v>69741</v>
      </c>
      <c r="CA7" s="1591">
        <f t="shared" ref="CA7:CA28" si="11">SUM(BO7:BZ7)</f>
        <v>321447.95799999998</v>
      </c>
      <c r="CB7" s="1588">
        <f t="shared" ref="CB7:CM7" si="12">SUM(CB8:CB28)</f>
        <v>9184</v>
      </c>
      <c r="CC7" s="1589">
        <f t="shared" si="12"/>
        <v>15629</v>
      </c>
      <c r="CD7" s="1589">
        <f t="shared" si="12"/>
        <v>21556</v>
      </c>
      <c r="CE7" s="1589">
        <f t="shared" si="12"/>
        <v>23948</v>
      </c>
      <c r="CF7" s="1589">
        <f t="shared" si="12"/>
        <v>18456</v>
      </c>
      <c r="CG7" s="1589">
        <f t="shared" si="12"/>
        <v>23445</v>
      </c>
      <c r="CH7" s="1589">
        <f t="shared" si="12"/>
        <v>31675</v>
      </c>
      <c r="CI7" s="1589">
        <f t="shared" si="12"/>
        <v>15605.57</v>
      </c>
      <c r="CJ7" s="1589">
        <f t="shared" si="12"/>
        <v>30458</v>
      </c>
      <c r="CK7" s="1589">
        <f t="shared" si="12"/>
        <v>36915.07</v>
      </c>
      <c r="CL7" s="1589">
        <f t="shared" si="12"/>
        <v>35067</v>
      </c>
      <c r="CM7" s="1590">
        <f t="shared" si="12"/>
        <v>82262</v>
      </c>
      <c r="CN7" s="1591">
        <f t="shared" ref="CN7:CN28" si="13">SUM(CB7:CM7)</f>
        <v>344200.64</v>
      </c>
      <c r="CO7" s="1588">
        <f t="shared" ref="CO7:CZ7" si="14">SUM(CO8:CO28)</f>
        <v>730</v>
      </c>
      <c r="CP7" s="1589">
        <f t="shared" si="14"/>
        <v>9294</v>
      </c>
      <c r="CQ7" s="1589">
        <f t="shared" si="14"/>
        <v>28683</v>
      </c>
      <c r="CR7" s="1589">
        <f t="shared" si="14"/>
        <v>19287</v>
      </c>
      <c r="CS7" s="1589">
        <f t="shared" si="14"/>
        <v>18969</v>
      </c>
      <c r="CT7" s="1589">
        <f t="shared" si="14"/>
        <v>21101</v>
      </c>
      <c r="CU7" s="1589">
        <f t="shared" si="14"/>
        <v>48181</v>
      </c>
      <c r="CV7" s="1589">
        <f t="shared" si="14"/>
        <v>24308</v>
      </c>
      <c r="CW7" s="1589">
        <f t="shared" si="14"/>
        <v>26812</v>
      </c>
      <c r="CX7" s="1589">
        <f t="shared" si="14"/>
        <v>26910</v>
      </c>
      <c r="CY7" s="1589">
        <f t="shared" si="14"/>
        <v>29158</v>
      </c>
      <c r="CZ7" s="1590">
        <f t="shared" si="14"/>
        <v>85925</v>
      </c>
      <c r="DA7" s="1591">
        <f t="shared" ref="DA7:DA35" si="15">SUM(CO7:CZ7)</f>
        <v>339358</v>
      </c>
      <c r="DB7" s="1588">
        <f t="shared" ref="DB7:DM7" si="16">SUM(DB8:DB28)</f>
        <v>7085</v>
      </c>
      <c r="DC7" s="1589">
        <f t="shared" si="16"/>
        <v>11870</v>
      </c>
      <c r="DD7" s="1589">
        <f t="shared" si="16"/>
        <v>22630</v>
      </c>
      <c r="DE7" s="1589">
        <f t="shared" si="16"/>
        <v>20450</v>
      </c>
      <c r="DF7" s="1589">
        <f t="shared" si="16"/>
        <v>22432</v>
      </c>
      <c r="DG7" s="1589">
        <f t="shared" si="16"/>
        <v>21298</v>
      </c>
      <c r="DH7" s="1589">
        <f t="shared" si="16"/>
        <v>25843</v>
      </c>
      <c r="DI7" s="1589">
        <f t="shared" si="16"/>
        <v>21678</v>
      </c>
      <c r="DJ7" s="1589">
        <f t="shared" si="16"/>
        <v>43384</v>
      </c>
      <c r="DK7" s="1589">
        <f t="shared" si="16"/>
        <v>33819</v>
      </c>
      <c r="DL7" s="1589">
        <f t="shared" si="16"/>
        <v>44266</v>
      </c>
      <c r="DM7" s="1590">
        <f t="shared" si="16"/>
        <v>118189</v>
      </c>
      <c r="DN7" s="1591">
        <f>SUM(DB7:DM7)</f>
        <v>392944</v>
      </c>
      <c r="DO7" s="1588">
        <f t="shared" ref="DO7:DZ7" si="17">SUM(DO8:DO28)</f>
        <v>5545</v>
      </c>
      <c r="DP7" s="1589">
        <f t="shared" si="17"/>
        <v>14702</v>
      </c>
      <c r="DQ7" s="1589">
        <f t="shared" si="17"/>
        <v>48270</v>
      </c>
      <c r="DR7" s="1589">
        <f t="shared" si="17"/>
        <v>31172</v>
      </c>
      <c r="DS7" s="1589">
        <f t="shared" si="17"/>
        <v>31783</v>
      </c>
      <c r="DT7" s="1589">
        <f t="shared" si="17"/>
        <v>42757</v>
      </c>
      <c r="DU7" s="1589">
        <f t="shared" si="17"/>
        <v>44384</v>
      </c>
      <c r="DV7" s="1589">
        <f t="shared" si="17"/>
        <v>36957</v>
      </c>
      <c r="DW7" s="1589">
        <f t="shared" si="17"/>
        <v>74465</v>
      </c>
      <c r="DX7" s="1589">
        <f t="shared" si="17"/>
        <v>48335</v>
      </c>
      <c r="DY7" s="1589">
        <f t="shared" si="17"/>
        <v>42293</v>
      </c>
      <c r="DZ7" s="1590">
        <f t="shared" si="17"/>
        <v>83025</v>
      </c>
      <c r="EA7" s="1591">
        <f>SUM(DO7:DZ7)</f>
        <v>503688</v>
      </c>
      <c r="EB7" s="1588">
        <f t="shared" ref="EB7:EM7" si="18">SUM(EB8:EB28)</f>
        <v>11060</v>
      </c>
      <c r="EC7" s="1589">
        <f t="shared" si="18"/>
        <v>19935</v>
      </c>
      <c r="ED7" s="1589">
        <f t="shared" si="18"/>
        <v>37977</v>
      </c>
      <c r="EE7" s="1589">
        <f t="shared" si="18"/>
        <v>28916</v>
      </c>
      <c r="EF7" s="1589">
        <f t="shared" si="18"/>
        <v>34196</v>
      </c>
      <c r="EG7" s="1589">
        <f t="shared" si="18"/>
        <v>50636</v>
      </c>
      <c r="EH7" s="1589">
        <f t="shared" si="18"/>
        <v>46446</v>
      </c>
      <c r="EI7" s="1589">
        <f t="shared" si="18"/>
        <v>37390</v>
      </c>
      <c r="EJ7" s="1589">
        <f t="shared" si="18"/>
        <v>43776</v>
      </c>
      <c r="EK7" s="1589">
        <f t="shared" si="18"/>
        <v>65487</v>
      </c>
      <c r="EL7" s="1589">
        <f t="shared" si="18"/>
        <v>48349</v>
      </c>
      <c r="EM7" s="1590">
        <f t="shared" si="18"/>
        <v>79041</v>
      </c>
      <c r="EN7" s="1591">
        <f>SUM(EB7:EM7)</f>
        <v>503209</v>
      </c>
      <c r="EO7" s="1588">
        <f t="shared" ref="EO7:EZ7" si="19">SUM(EO8:EO28)</f>
        <v>928</v>
      </c>
      <c r="EP7" s="1589">
        <f t="shared" si="19"/>
        <v>16550</v>
      </c>
      <c r="EQ7" s="1589">
        <f t="shared" si="19"/>
        <v>24135</v>
      </c>
      <c r="ER7" s="1589">
        <f t="shared" si="19"/>
        <v>42780</v>
      </c>
      <c r="ES7" s="1589">
        <f t="shared" si="19"/>
        <v>23938</v>
      </c>
      <c r="ET7" s="1589">
        <f t="shared" si="19"/>
        <v>32592</v>
      </c>
      <c r="EU7" s="1589">
        <f t="shared" si="19"/>
        <v>23994</v>
      </c>
      <c r="EV7" s="1589">
        <f t="shared" si="19"/>
        <v>37879</v>
      </c>
      <c r="EW7" s="1589">
        <f t="shared" si="19"/>
        <v>52062</v>
      </c>
      <c r="EX7" s="1589">
        <f t="shared" si="19"/>
        <v>50808</v>
      </c>
      <c r="EY7" s="1589">
        <f t="shared" si="19"/>
        <v>30241</v>
      </c>
      <c r="EZ7" s="1590">
        <f t="shared" si="19"/>
        <v>71529</v>
      </c>
      <c r="FA7" s="1591">
        <f>SUM(EO7:EZ7)</f>
        <v>407436</v>
      </c>
      <c r="FB7" s="1588">
        <f t="shared" ref="FB7:FM7" si="20">SUM(FB8:FB28)</f>
        <v>5877</v>
      </c>
      <c r="FC7" s="1589">
        <f t="shared" si="20"/>
        <v>19495</v>
      </c>
      <c r="FD7" s="1589">
        <f t="shared" si="20"/>
        <v>18373</v>
      </c>
      <c r="FE7" s="1589">
        <f t="shared" si="20"/>
        <v>5600</v>
      </c>
      <c r="FF7" s="1589">
        <f t="shared" si="20"/>
        <v>10163</v>
      </c>
      <c r="FG7" s="1589">
        <f t="shared" si="20"/>
        <v>5318</v>
      </c>
      <c r="FH7" s="1589">
        <f t="shared" si="20"/>
        <v>13077</v>
      </c>
      <c r="FI7" s="1589">
        <f t="shared" si="20"/>
        <v>20728</v>
      </c>
      <c r="FJ7" s="1589">
        <f t="shared" si="20"/>
        <v>45774</v>
      </c>
      <c r="FK7" s="1589">
        <f t="shared" si="20"/>
        <v>59732</v>
      </c>
      <c r="FL7" s="1589">
        <f t="shared" si="20"/>
        <v>66685</v>
      </c>
      <c r="FM7" s="1590">
        <f t="shared" si="20"/>
        <v>122993</v>
      </c>
      <c r="FN7" s="1591">
        <f>SUM(FB7:FM7)</f>
        <v>393815</v>
      </c>
      <c r="FO7" s="1588">
        <f t="shared" ref="FO7:FZ7" si="21">SUM(FO8:FO28)</f>
        <v>10727</v>
      </c>
      <c r="FP7" s="1589">
        <f t="shared" si="21"/>
        <v>29637</v>
      </c>
      <c r="FQ7" s="1589">
        <f t="shared" si="21"/>
        <v>56947</v>
      </c>
      <c r="FR7" s="1589">
        <f t="shared" si="21"/>
        <v>35347</v>
      </c>
      <c r="FS7" s="1589">
        <f t="shared" si="21"/>
        <v>32252</v>
      </c>
      <c r="FT7" s="1589">
        <f t="shared" si="21"/>
        <v>47067</v>
      </c>
      <c r="FU7" s="1589">
        <f t="shared" si="21"/>
        <v>37792</v>
      </c>
      <c r="FV7" s="1589">
        <f t="shared" si="21"/>
        <v>40565</v>
      </c>
      <c r="FW7" s="1589">
        <f t="shared" si="21"/>
        <v>46280</v>
      </c>
      <c r="FX7" s="1589">
        <f t="shared" si="21"/>
        <v>40065</v>
      </c>
      <c r="FY7" s="1589">
        <f t="shared" si="21"/>
        <v>42675</v>
      </c>
      <c r="FZ7" s="1590">
        <f t="shared" si="21"/>
        <v>89554</v>
      </c>
      <c r="GA7" s="1591">
        <f>SUM(FO7:FZ7)</f>
        <v>508908</v>
      </c>
      <c r="GB7" s="1588">
        <f t="shared" ref="GB7:GM7" si="22">SUM(GB8:GB28)</f>
        <v>4267</v>
      </c>
      <c r="GC7" s="1589">
        <f t="shared" si="22"/>
        <v>10402</v>
      </c>
      <c r="GD7" s="1589">
        <f t="shared" si="22"/>
        <v>48685</v>
      </c>
      <c r="GE7" s="1589">
        <f t="shared" si="22"/>
        <v>25437</v>
      </c>
      <c r="GF7" s="1589">
        <f t="shared" si="22"/>
        <v>30257</v>
      </c>
      <c r="GG7" s="1589">
        <f t="shared" si="22"/>
        <v>26605</v>
      </c>
      <c r="GH7" s="1589">
        <f t="shared" si="22"/>
        <v>39909</v>
      </c>
      <c r="GI7" s="1589">
        <f t="shared" si="22"/>
        <v>46781</v>
      </c>
      <c r="GJ7" s="1589">
        <f t="shared" si="22"/>
        <v>59011</v>
      </c>
      <c r="GK7" s="1589">
        <f t="shared" si="22"/>
        <v>44221</v>
      </c>
      <c r="GL7" s="1589">
        <f t="shared" si="22"/>
        <v>55692</v>
      </c>
      <c r="GM7" s="1590">
        <f t="shared" si="22"/>
        <v>78106</v>
      </c>
      <c r="GN7" s="1591">
        <f>SUM(GB7:GM7)</f>
        <v>469373</v>
      </c>
      <c r="GO7" s="1588">
        <f t="shared" ref="GO7:GZ7" si="23">SUM(GO8:GO28)</f>
        <v>2744</v>
      </c>
      <c r="GP7" s="1589">
        <f t="shared" si="23"/>
        <v>23530</v>
      </c>
      <c r="GQ7" s="1589">
        <f t="shared" si="23"/>
        <v>31463</v>
      </c>
      <c r="GR7" s="1589">
        <f t="shared" si="23"/>
        <v>45071</v>
      </c>
      <c r="GS7" s="1589">
        <f t="shared" si="23"/>
        <v>21152</v>
      </c>
      <c r="GT7" s="1589">
        <f t="shared" si="23"/>
        <v>33776</v>
      </c>
      <c r="GU7" s="1589">
        <f t="shared" si="23"/>
        <v>27960</v>
      </c>
      <c r="GV7" s="1589">
        <f t="shared" si="23"/>
        <v>38289</v>
      </c>
      <c r="GW7" s="1589">
        <f t="shared" si="23"/>
        <v>40066</v>
      </c>
      <c r="GX7" s="1589">
        <f t="shared" si="23"/>
        <v>41247</v>
      </c>
      <c r="GY7" s="1589">
        <f t="shared" si="23"/>
        <v>65264</v>
      </c>
      <c r="GZ7" s="1590">
        <f t="shared" si="23"/>
        <v>87908</v>
      </c>
      <c r="HA7" s="1591">
        <f>SUM(GO7:GZ7)</f>
        <v>458470</v>
      </c>
      <c r="HB7" s="1588">
        <f t="shared" ref="HB7:HM7" si="24">SUM(HB8:HB28)</f>
        <v>23820</v>
      </c>
      <c r="HC7" s="1589">
        <f t="shared" si="24"/>
        <v>59486</v>
      </c>
      <c r="HD7" s="1589">
        <f t="shared" si="24"/>
        <v>35201</v>
      </c>
      <c r="HE7" s="1589">
        <f t="shared" si="24"/>
        <v>42783</v>
      </c>
      <c r="HF7" s="1589">
        <f t="shared" si="24"/>
        <v>41922</v>
      </c>
      <c r="HG7" s="1589">
        <f t="shared" si="24"/>
        <v>42763</v>
      </c>
      <c r="HH7" s="1589">
        <f t="shared" si="24"/>
        <v>49133</v>
      </c>
      <c r="HI7" s="1589">
        <f t="shared" si="24"/>
        <v>43710</v>
      </c>
      <c r="HJ7" s="1589">
        <f t="shared" si="24"/>
        <v>37394</v>
      </c>
      <c r="HK7" s="1589">
        <f t="shared" si="24"/>
        <v>49516</v>
      </c>
      <c r="HL7" s="1589">
        <f t="shared" si="24"/>
        <v>45140</v>
      </c>
      <c r="HM7" s="1590">
        <f t="shared" si="24"/>
        <v>91829</v>
      </c>
      <c r="HN7" s="1591">
        <f>SUM(HB7:HM7)</f>
        <v>562697</v>
      </c>
      <c r="HO7" s="1588">
        <f t="shared" ref="HO7:HY7" si="25">SUM(HO8:HO28)</f>
        <v>14562</v>
      </c>
      <c r="HP7" s="1589">
        <f t="shared" si="25"/>
        <v>26735</v>
      </c>
      <c r="HQ7" s="1589">
        <f t="shared" si="25"/>
        <v>41310</v>
      </c>
      <c r="HR7" s="1589">
        <f t="shared" si="25"/>
        <v>33462</v>
      </c>
      <c r="HS7" s="1589">
        <f t="shared" si="25"/>
        <v>37554</v>
      </c>
      <c r="HT7" s="1589">
        <f t="shared" si="25"/>
        <v>41303</v>
      </c>
      <c r="HU7" s="1589">
        <f t="shared" si="25"/>
        <v>45479</v>
      </c>
      <c r="HV7" s="1589">
        <f t="shared" si="25"/>
        <v>40638</v>
      </c>
      <c r="HW7" s="1589">
        <f t="shared" si="25"/>
        <v>40438</v>
      </c>
      <c r="HX7" s="1589">
        <f t="shared" si="25"/>
        <v>50399</v>
      </c>
      <c r="HY7" s="1589">
        <f t="shared" si="25"/>
        <v>44188</v>
      </c>
      <c r="HZ7" s="1590">
        <v>102405</v>
      </c>
      <c r="IA7" s="1588">
        <f>SUM(HO7:HZ7)</f>
        <v>518473</v>
      </c>
      <c r="IB7" s="1572">
        <f>SUM(IB8:IB28)</f>
        <v>18844</v>
      </c>
      <c r="IC7" s="1573">
        <f>SUM(IC8:IC28)</f>
        <v>14626</v>
      </c>
      <c r="ID7" s="1573">
        <f>SUM(ID8:ID28)</f>
        <v>26245</v>
      </c>
      <c r="IE7" s="1573">
        <f>SUM(IE8:IE28)</f>
        <v>40979</v>
      </c>
      <c r="IF7" s="1573">
        <f>SUM(IF8:IF28)</f>
        <v>35525</v>
      </c>
      <c r="IG7" s="1573">
        <f t="shared" ref="IG7" si="26">SUM(IG8:IG28)</f>
        <v>41179</v>
      </c>
      <c r="IH7" s="1573">
        <f>SUM(IH8:IH28)</f>
        <v>57591</v>
      </c>
      <c r="II7" s="1573">
        <v>50272</v>
      </c>
      <c r="IJ7" s="1573"/>
      <c r="IK7" s="1573"/>
      <c r="IL7" s="1573"/>
      <c r="IM7" s="1574"/>
      <c r="IN7" s="1575">
        <f>SUM(IB7:IM7)</f>
        <v>285261</v>
      </c>
      <c r="IO7" s="1422"/>
      <c r="IP7" s="1678">
        <f>IFERROR(((
_xlfn.XLOOKUP((DATE(YEAR($IP$5),MONTH($IP$5),1)),$B$5:$IN$5,$B7:$IN7) /
_xlfn.XLOOKUP((DATE(YEAR($IP$5)-1,MONTH($IP$5),1)),$B$5:$IN$5,$B7:$IN7)
)-1)*100,"")</f>
        <v>23.706875338353271</v>
      </c>
      <c r="IQ7" s="1597">
        <f>IFERROR(((IS7/IR7)-1)*100,"")</f>
        <v>1.5008379500645708</v>
      </c>
      <c r="IR7" s="1589">
        <f>SUMIFS($B7:$IN7,$B$5:$IN$5,"&gt;="&amp;DATE(YEAR($IP$5)-1,1,1),$B$5:$IN$5,"&lt;="&amp;DATE(YEAR($IP$5)-1,MONTH($IP$5),1))</f>
        <v>281043</v>
      </c>
      <c r="IS7" s="1591">
        <f>SUMIFS($B7:$IN7,$B$5:$IN$5,"&gt;="&amp;DATE(YEAR($IP$5),1,1),$B$5:$IN$5,"&lt;="&amp;$IP$5)</f>
        <v>285261</v>
      </c>
      <c r="IU7" s="1521">
        <f>+II7-HV7</f>
        <v>9634</v>
      </c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</row>
    <row r="8" spans="1:280" s="105" customFormat="1" ht="15" customHeight="1" x14ac:dyDescent="0.2">
      <c r="A8" s="1551" t="s">
        <v>624</v>
      </c>
      <c r="B8" s="1565">
        <v>17</v>
      </c>
      <c r="C8" s="1566">
        <v>26</v>
      </c>
      <c r="D8" s="1566">
        <v>32</v>
      </c>
      <c r="E8" s="1566">
        <v>22</v>
      </c>
      <c r="F8" s="1566">
        <v>20</v>
      </c>
      <c r="G8" s="1566">
        <v>51</v>
      </c>
      <c r="H8" s="1566">
        <v>47</v>
      </c>
      <c r="I8" s="1566">
        <v>48</v>
      </c>
      <c r="J8" s="1566">
        <v>45</v>
      </c>
      <c r="K8" s="1566">
        <v>37</v>
      </c>
      <c r="L8" s="1566">
        <v>21</v>
      </c>
      <c r="M8" s="1567">
        <v>102</v>
      </c>
      <c r="N8" s="1568">
        <f t="shared" si="1"/>
        <v>468</v>
      </c>
      <c r="O8" s="1565">
        <v>20</v>
      </c>
      <c r="P8" s="1566">
        <v>13</v>
      </c>
      <c r="Q8" s="1566">
        <v>35</v>
      </c>
      <c r="R8" s="1566">
        <v>21</v>
      </c>
      <c r="S8" s="1566">
        <v>55</v>
      </c>
      <c r="T8" s="1566">
        <v>8</v>
      </c>
      <c r="U8" s="1566">
        <v>28</v>
      </c>
      <c r="V8" s="1566">
        <v>21</v>
      </c>
      <c r="W8" s="1566">
        <v>30</v>
      </c>
      <c r="X8" s="1566">
        <v>132</v>
      </c>
      <c r="Y8" s="1566">
        <v>58</v>
      </c>
      <c r="Z8" s="1567">
        <v>37</v>
      </c>
      <c r="AA8" s="1568">
        <f t="shared" si="3"/>
        <v>458</v>
      </c>
      <c r="AB8" s="1565">
        <v>13</v>
      </c>
      <c r="AC8" s="1566">
        <v>37</v>
      </c>
      <c r="AD8" s="1566">
        <v>47</v>
      </c>
      <c r="AE8" s="1566">
        <v>53</v>
      </c>
      <c r="AF8" s="1566">
        <v>52</v>
      </c>
      <c r="AG8" s="1566">
        <v>44</v>
      </c>
      <c r="AH8" s="1566">
        <v>47</v>
      </c>
      <c r="AI8" s="1566">
        <v>45</v>
      </c>
      <c r="AJ8" s="1566">
        <v>143</v>
      </c>
      <c r="AK8" s="1566">
        <v>161</v>
      </c>
      <c r="AL8" s="1566">
        <v>165</v>
      </c>
      <c r="AM8" s="1567">
        <v>56</v>
      </c>
      <c r="AN8" s="1568">
        <f t="shared" si="5"/>
        <v>863</v>
      </c>
      <c r="AO8" s="1565">
        <v>10</v>
      </c>
      <c r="AP8" s="1566">
        <v>98</v>
      </c>
      <c r="AQ8" s="1566">
        <v>59</v>
      </c>
      <c r="AR8" s="1566">
        <v>28</v>
      </c>
      <c r="AS8" s="1566">
        <v>134</v>
      </c>
      <c r="AT8" s="1566">
        <v>87</v>
      </c>
      <c r="AU8" s="1566">
        <v>169</v>
      </c>
      <c r="AV8" s="1566">
        <v>284</v>
      </c>
      <c r="AW8" s="1566">
        <v>548</v>
      </c>
      <c r="AX8" s="1566">
        <v>482</v>
      </c>
      <c r="AY8" s="1566">
        <v>598</v>
      </c>
      <c r="AZ8" s="1567">
        <v>779</v>
      </c>
      <c r="BA8" s="1568">
        <f t="shared" si="7"/>
        <v>3276</v>
      </c>
      <c r="BB8" s="1565">
        <v>83</v>
      </c>
      <c r="BC8" s="1566">
        <v>383</v>
      </c>
      <c r="BD8" s="1566">
        <v>501</v>
      </c>
      <c r="BE8" s="1566">
        <v>506</v>
      </c>
      <c r="BF8" s="1566">
        <v>616</v>
      </c>
      <c r="BG8" s="1566">
        <v>678</v>
      </c>
      <c r="BH8" s="1566">
        <v>531</v>
      </c>
      <c r="BI8" s="1566">
        <v>611</v>
      </c>
      <c r="BJ8" s="1566">
        <v>815</v>
      </c>
      <c r="BK8" s="1566">
        <v>517</v>
      </c>
      <c r="BL8" s="1566">
        <v>562</v>
      </c>
      <c r="BM8" s="1567">
        <v>762</v>
      </c>
      <c r="BN8" s="1568">
        <f t="shared" si="9"/>
        <v>6565</v>
      </c>
      <c r="BO8" s="1565">
        <v>209</v>
      </c>
      <c r="BP8" s="1566">
        <v>276</v>
      </c>
      <c r="BQ8" s="1566">
        <v>225</v>
      </c>
      <c r="BR8" s="1566">
        <v>315</v>
      </c>
      <c r="BS8" s="1566">
        <v>250</v>
      </c>
      <c r="BT8" s="1566">
        <v>156</v>
      </c>
      <c r="BU8" s="1566">
        <v>171</v>
      </c>
      <c r="BV8" s="1566">
        <v>105</v>
      </c>
      <c r="BW8" s="1566">
        <v>58</v>
      </c>
      <c r="BX8" s="1566">
        <v>129</v>
      </c>
      <c r="BY8" s="1566">
        <v>125</v>
      </c>
      <c r="BZ8" s="1567">
        <v>141</v>
      </c>
      <c r="CA8" s="1568">
        <f t="shared" si="11"/>
        <v>2160</v>
      </c>
      <c r="CB8" s="1565">
        <v>44</v>
      </c>
      <c r="CC8" s="1566">
        <v>219</v>
      </c>
      <c r="CD8" s="1566">
        <v>229</v>
      </c>
      <c r="CE8" s="1566">
        <v>164</v>
      </c>
      <c r="CF8" s="1566">
        <v>278</v>
      </c>
      <c r="CG8" s="1566">
        <v>214</v>
      </c>
      <c r="CH8" s="1566">
        <v>284</v>
      </c>
      <c r="CI8" s="1566">
        <v>259</v>
      </c>
      <c r="CJ8" s="1566">
        <v>253</v>
      </c>
      <c r="CK8" s="1566">
        <v>192</v>
      </c>
      <c r="CL8" s="1566">
        <v>285</v>
      </c>
      <c r="CM8" s="1567">
        <v>641</v>
      </c>
      <c r="CN8" s="1568">
        <f t="shared" si="13"/>
        <v>3062</v>
      </c>
      <c r="CO8" s="1565">
        <v>0</v>
      </c>
      <c r="CP8" s="1566">
        <v>306</v>
      </c>
      <c r="CQ8" s="1566">
        <v>362</v>
      </c>
      <c r="CR8" s="1566">
        <v>486</v>
      </c>
      <c r="CS8" s="1566">
        <v>271</v>
      </c>
      <c r="CT8" s="1566">
        <v>703</v>
      </c>
      <c r="CU8" s="1566">
        <v>468</v>
      </c>
      <c r="CV8" s="1566">
        <v>665</v>
      </c>
      <c r="CW8" s="1566">
        <v>220</v>
      </c>
      <c r="CX8" s="1566">
        <v>214</v>
      </c>
      <c r="CY8" s="1566">
        <v>147</v>
      </c>
      <c r="CZ8" s="1567">
        <v>1340</v>
      </c>
      <c r="DA8" s="1568">
        <f t="shared" si="15"/>
        <v>5182</v>
      </c>
      <c r="DB8" s="1565">
        <v>13</v>
      </c>
      <c r="DC8" s="1566">
        <v>493</v>
      </c>
      <c r="DD8" s="1566">
        <v>466</v>
      </c>
      <c r="DE8" s="1566">
        <v>1024</v>
      </c>
      <c r="DF8" s="1566">
        <v>767</v>
      </c>
      <c r="DG8" s="1566">
        <v>180</v>
      </c>
      <c r="DH8" s="1566">
        <v>346</v>
      </c>
      <c r="DI8" s="1566">
        <v>190</v>
      </c>
      <c r="DJ8" s="1566">
        <v>568</v>
      </c>
      <c r="DK8" s="1566">
        <v>287</v>
      </c>
      <c r="DL8" s="1566">
        <v>482</v>
      </c>
      <c r="DM8" s="1567">
        <v>643</v>
      </c>
      <c r="DN8" s="1568">
        <f t="shared" ref="DN8:DN35" si="27">SUM(DB8:DM8)</f>
        <v>5459</v>
      </c>
      <c r="DO8" s="1565">
        <v>18</v>
      </c>
      <c r="DP8" s="1566">
        <v>163</v>
      </c>
      <c r="DQ8" s="1566">
        <v>913</v>
      </c>
      <c r="DR8" s="1566">
        <v>635</v>
      </c>
      <c r="DS8" s="1566">
        <v>1178</v>
      </c>
      <c r="DT8" s="1566">
        <v>685</v>
      </c>
      <c r="DU8" s="1566">
        <v>1201</v>
      </c>
      <c r="DV8" s="1566">
        <v>640</v>
      </c>
      <c r="DW8" s="1566">
        <v>1001</v>
      </c>
      <c r="DX8" s="1566">
        <v>1383</v>
      </c>
      <c r="DY8" s="1566">
        <v>1613</v>
      </c>
      <c r="DZ8" s="1567">
        <v>2035</v>
      </c>
      <c r="EA8" s="1568">
        <f t="shared" ref="EA8:EA28" si="28">SUM(DO8:DZ8)</f>
        <v>11465</v>
      </c>
      <c r="EB8" s="1565">
        <v>785</v>
      </c>
      <c r="EC8" s="1566">
        <v>420</v>
      </c>
      <c r="ED8" s="1566">
        <v>981</v>
      </c>
      <c r="EE8" s="1566">
        <v>1363</v>
      </c>
      <c r="EF8" s="1566">
        <v>1707</v>
      </c>
      <c r="EG8" s="1566">
        <v>1234</v>
      </c>
      <c r="EH8" s="1566">
        <v>1260</v>
      </c>
      <c r="EI8" s="1566">
        <v>1020</v>
      </c>
      <c r="EJ8" s="1566">
        <v>1131</v>
      </c>
      <c r="EK8" s="1566">
        <v>1076</v>
      </c>
      <c r="EL8" s="1566">
        <v>1018</v>
      </c>
      <c r="EM8" s="1567">
        <v>1387</v>
      </c>
      <c r="EN8" s="1568">
        <f t="shared" ref="EN8:EN28" si="29">SUM(EB8:EM8)</f>
        <v>13382</v>
      </c>
      <c r="EO8" s="1565">
        <v>0</v>
      </c>
      <c r="EP8" s="1566">
        <v>51</v>
      </c>
      <c r="EQ8" s="1566">
        <v>100</v>
      </c>
      <c r="ER8" s="1566">
        <v>234</v>
      </c>
      <c r="ES8" s="1566">
        <v>600</v>
      </c>
      <c r="ET8" s="1566">
        <v>699</v>
      </c>
      <c r="EU8" s="1566">
        <v>803</v>
      </c>
      <c r="EV8" s="1566">
        <v>723</v>
      </c>
      <c r="EW8" s="1566">
        <v>786</v>
      </c>
      <c r="EX8" s="1566">
        <v>934</v>
      </c>
      <c r="EY8" s="1566">
        <v>605</v>
      </c>
      <c r="EZ8" s="1567">
        <v>1238</v>
      </c>
      <c r="FA8" s="1568">
        <f t="shared" ref="FA8:FA28" si="30">SUM(EO8:EZ8)</f>
        <v>6773</v>
      </c>
      <c r="FB8" s="1565">
        <v>85</v>
      </c>
      <c r="FC8" s="1566">
        <v>215</v>
      </c>
      <c r="FD8" s="1566">
        <v>220</v>
      </c>
      <c r="FE8" s="1566">
        <v>21</v>
      </c>
      <c r="FF8" s="1566">
        <v>33</v>
      </c>
      <c r="FG8" s="1566">
        <v>148</v>
      </c>
      <c r="FH8" s="1566">
        <v>228</v>
      </c>
      <c r="FI8" s="1566">
        <v>377</v>
      </c>
      <c r="FJ8" s="1566">
        <v>479</v>
      </c>
      <c r="FK8" s="1566">
        <v>385</v>
      </c>
      <c r="FL8" s="1566">
        <v>434</v>
      </c>
      <c r="FM8" s="1567">
        <v>971</v>
      </c>
      <c r="FN8" s="1568">
        <f>SUM(FB8:FM8)</f>
        <v>3596</v>
      </c>
      <c r="FO8" s="1565">
        <v>103</v>
      </c>
      <c r="FP8" s="1566">
        <v>203</v>
      </c>
      <c r="FQ8" s="1566">
        <v>511</v>
      </c>
      <c r="FR8" s="1566">
        <v>133</v>
      </c>
      <c r="FS8" s="1566">
        <v>360</v>
      </c>
      <c r="FT8" s="1566">
        <v>397</v>
      </c>
      <c r="FU8" s="1566">
        <v>265</v>
      </c>
      <c r="FV8" s="1566">
        <v>187</v>
      </c>
      <c r="FW8" s="1566">
        <v>426</v>
      </c>
      <c r="FX8" s="1566">
        <v>346</v>
      </c>
      <c r="FY8" s="1566">
        <v>931</v>
      </c>
      <c r="FZ8" s="1567">
        <v>2461</v>
      </c>
      <c r="GA8" s="1568">
        <f t="shared" ref="GA8:GA35" si="31">SUM(FO8:FZ8)</f>
        <v>6323</v>
      </c>
      <c r="GB8" s="1565">
        <v>0</v>
      </c>
      <c r="GC8" s="1566">
        <v>227</v>
      </c>
      <c r="GD8" s="1566">
        <v>993</v>
      </c>
      <c r="GE8" s="1566">
        <v>325</v>
      </c>
      <c r="GF8" s="1566">
        <v>1573</v>
      </c>
      <c r="GG8" s="1566">
        <v>1190</v>
      </c>
      <c r="GH8" s="1566">
        <v>806</v>
      </c>
      <c r="GI8" s="1566">
        <v>1018</v>
      </c>
      <c r="GJ8" s="1566">
        <v>922</v>
      </c>
      <c r="GK8" s="1566">
        <v>1036</v>
      </c>
      <c r="GL8" s="1566">
        <v>618</v>
      </c>
      <c r="GM8" s="1567">
        <v>865</v>
      </c>
      <c r="GN8" s="1568">
        <f t="shared" ref="GN8:GN34" si="32">SUM(GB8:GM8)</f>
        <v>9573</v>
      </c>
      <c r="GO8" s="1565">
        <v>0</v>
      </c>
      <c r="GP8" s="1566">
        <v>0</v>
      </c>
      <c r="GQ8" s="1566">
        <v>321</v>
      </c>
      <c r="GR8" s="1566">
        <v>381</v>
      </c>
      <c r="GS8" s="1566">
        <v>224</v>
      </c>
      <c r="GT8" s="1566">
        <v>182</v>
      </c>
      <c r="GU8" s="1566">
        <v>5245</v>
      </c>
      <c r="GV8" s="1566">
        <v>1432</v>
      </c>
      <c r="GW8" s="1566">
        <v>3019</v>
      </c>
      <c r="GX8" s="1566">
        <v>3567</v>
      </c>
      <c r="GY8" s="1566">
        <v>2418</v>
      </c>
      <c r="GZ8" s="1567">
        <v>1196</v>
      </c>
      <c r="HA8" s="1568">
        <f t="shared" ref="HA8:HA35" si="33">SUM(GO8:GZ8)</f>
        <v>17985</v>
      </c>
      <c r="HB8" s="1565">
        <v>6</v>
      </c>
      <c r="HC8" s="1566">
        <v>281</v>
      </c>
      <c r="HD8" s="1566">
        <v>126</v>
      </c>
      <c r="HE8" s="1566">
        <v>414</v>
      </c>
      <c r="HF8" s="1566">
        <v>305</v>
      </c>
      <c r="HG8" s="1566">
        <v>502</v>
      </c>
      <c r="HH8" s="1566">
        <v>567</v>
      </c>
      <c r="HI8" s="1566">
        <v>2415</v>
      </c>
      <c r="HJ8" s="1566">
        <v>1860</v>
      </c>
      <c r="HK8" s="1566">
        <v>1284</v>
      </c>
      <c r="HL8" s="1566">
        <v>1491</v>
      </c>
      <c r="HM8" s="1567">
        <v>1547</v>
      </c>
      <c r="HN8" s="1568">
        <f t="shared" ref="HN8:HN37" si="34">SUM(HB8:HM8)</f>
        <v>10798</v>
      </c>
      <c r="HO8" s="1565">
        <v>112</v>
      </c>
      <c r="HP8" s="1566">
        <v>1463</v>
      </c>
      <c r="HQ8" s="1566">
        <v>1095</v>
      </c>
      <c r="HR8" s="1566">
        <v>531</v>
      </c>
      <c r="HS8" s="1566">
        <v>4158</v>
      </c>
      <c r="HT8" s="1566">
        <v>1169</v>
      </c>
      <c r="HU8" s="1566">
        <v>9281</v>
      </c>
      <c r="HV8" s="1566">
        <v>2204</v>
      </c>
      <c r="HW8" s="1566">
        <v>1202</v>
      </c>
      <c r="HX8" s="1566">
        <v>6509</v>
      </c>
      <c r="HY8" s="1566">
        <v>1660</v>
      </c>
      <c r="HZ8" s="1567">
        <v>18317</v>
      </c>
      <c r="IA8" s="1565">
        <f>SUM(HO8:HZ8)</f>
        <v>47701</v>
      </c>
      <c r="IB8" s="1569">
        <v>199</v>
      </c>
      <c r="IC8" s="1068">
        <v>597</v>
      </c>
      <c r="ID8" s="1068">
        <v>1942</v>
      </c>
      <c r="IE8" s="1068">
        <v>7131</v>
      </c>
      <c r="IF8" s="1068">
        <v>1024</v>
      </c>
      <c r="IG8" s="1068">
        <v>2048</v>
      </c>
      <c r="IH8" s="1068">
        <v>5210</v>
      </c>
      <c r="II8" s="1068">
        <v>2305</v>
      </c>
      <c r="IJ8" s="1068"/>
      <c r="IK8" s="1068"/>
      <c r="IL8" s="1068"/>
      <c r="IM8" s="1570"/>
      <c r="IN8" s="1571">
        <f t="shared" ref="IN8:IN37" si="35">SUM(IB8:IM8)</f>
        <v>20456</v>
      </c>
      <c r="IO8"/>
      <c r="IP8" s="1656">
        <f t="shared" ref="IP8:IP35" si="36">IFERROR(((
_xlfn.XLOOKUP((DATE(YEAR($IP$5),MONTH($IP$5),1)),$B$5:$IN$5,$B8:$IN8) /
_xlfn.XLOOKUP((DATE(YEAR($IP$5)-1,MONTH($IP$5),1)),$B$5:$IN$5,$B8:$IN8)
)-1)*100,"")</f>
        <v>4.5825771324863984</v>
      </c>
      <c r="IQ8" s="1656">
        <f t="shared" ref="IQ8:IQ38" si="37">IFERROR(((IS8/IR8)-1)*100,"")</f>
        <v>2.2135611852295956</v>
      </c>
      <c r="IR8" s="1657">
        <f t="shared" ref="IR8:IR37" si="38">SUMIFS($B8:$IN8,$B$5:$IN$5,"&gt;="&amp;DATE(YEAR($IP$5)-1,1,1),$B$5:$IN$5,"&lt;="&amp;DATE(YEAR($IP$5)-1,MONTH($IP$5),1))</f>
        <v>20013</v>
      </c>
      <c r="IS8" s="1657">
        <f t="shared" ref="IS8:IS37" si="39">SUMIFS($B8:$IN8,$B$5:$IN$5,"&gt;="&amp;DATE(YEAR($IP$5),1,1),$B$5:$IN$5,"&lt;="&amp;$IP$5)</f>
        <v>20456</v>
      </c>
      <c r="IT8" s="1658"/>
      <c r="IU8" s="221">
        <f t="shared" ref="IU8:IU28" si="40">+II8-HV8</f>
        <v>101</v>
      </c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</row>
    <row r="9" spans="1:280" s="105" customFormat="1" ht="15" customHeight="1" x14ac:dyDescent="0.2">
      <c r="A9" s="1551" t="s">
        <v>625</v>
      </c>
      <c r="B9" s="1565"/>
      <c r="C9" s="1566"/>
      <c r="D9" s="1566"/>
      <c r="E9" s="1566"/>
      <c r="F9" s="1566"/>
      <c r="G9" s="1566"/>
      <c r="H9" s="1566"/>
      <c r="I9" s="1566"/>
      <c r="J9" s="1566"/>
      <c r="K9" s="1566"/>
      <c r="L9" s="1566"/>
      <c r="M9" s="1567"/>
      <c r="N9" s="1568">
        <f t="shared" si="1"/>
        <v>0</v>
      </c>
      <c r="O9" s="1565"/>
      <c r="P9" s="1566"/>
      <c r="Q9" s="1566"/>
      <c r="R9" s="1566"/>
      <c r="S9" s="1566"/>
      <c r="T9" s="1566"/>
      <c r="U9" s="1566"/>
      <c r="V9" s="1566"/>
      <c r="W9" s="1566"/>
      <c r="X9" s="1566"/>
      <c r="Y9" s="1566"/>
      <c r="Z9" s="1567"/>
      <c r="AA9" s="1568">
        <f t="shared" si="3"/>
        <v>0</v>
      </c>
      <c r="AB9" s="1565"/>
      <c r="AC9" s="1566"/>
      <c r="AD9" s="1566"/>
      <c r="AE9" s="1566"/>
      <c r="AF9" s="1566"/>
      <c r="AG9" s="1566"/>
      <c r="AH9" s="1566"/>
      <c r="AI9" s="1566"/>
      <c r="AJ9" s="1566"/>
      <c r="AK9" s="1566"/>
      <c r="AL9" s="1566"/>
      <c r="AM9" s="1567"/>
      <c r="AN9" s="1568">
        <f t="shared" si="5"/>
        <v>0</v>
      </c>
      <c r="AO9" s="1565"/>
      <c r="AP9" s="1566"/>
      <c r="AQ9" s="1566"/>
      <c r="AR9" s="1566"/>
      <c r="AS9" s="1566"/>
      <c r="AT9" s="1566"/>
      <c r="AU9" s="1566"/>
      <c r="AV9" s="1566"/>
      <c r="AW9" s="1566"/>
      <c r="AX9" s="1566"/>
      <c r="AY9" s="1566"/>
      <c r="AZ9" s="1567"/>
      <c r="BA9" s="1568">
        <f t="shared" si="7"/>
        <v>0</v>
      </c>
      <c r="BB9" s="1565">
        <v>0</v>
      </c>
      <c r="BC9" s="1566">
        <v>0</v>
      </c>
      <c r="BD9" s="1566">
        <v>0</v>
      </c>
      <c r="BE9" s="1566">
        <v>0</v>
      </c>
      <c r="BF9" s="1566">
        <v>0</v>
      </c>
      <c r="BG9" s="1566">
        <v>0</v>
      </c>
      <c r="BH9" s="1566">
        <v>0</v>
      </c>
      <c r="BI9" s="1566">
        <v>0</v>
      </c>
      <c r="BJ9" s="1566">
        <v>0</v>
      </c>
      <c r="BK9" s="1566">
        <v>0</v>
      </c>
      <c r="BL9" s="1566">
        <v>0</v>
      </c>
      <c r="BM9" s="1567">
        <v>0</v>
      </c>
      <c r="BN9" s="1568">
        <f t="shared" si="9"/>
        <v>0</v>
      </c>
      <c r="BO9" s="1565">
        <v>0</v>
      </c>
      <c r="BP9" s="1566">
        <v>0</v>
      </c>
      <c r="BQ9" s="1566">
        <v>0</v>
      </c>
      <c r="BR9" s="1566">
        <v>0</v>
      </c>
      <c r="BS9" s="1566">
        <v>0</v>
      </c>
      <c r="BT9" s="1566">
        <v>0</v>
      </c>
      <c r="BU9" s="1566">
        <v>0</v>
      </c>
      <c r="BV9" s="1566">
        <v>0</v>
      </c>
      <c r="BW9" s="1566">
        <v>0</v>
      </c>
      <c r="BX9" s="1566">
        <v>0</v>
      </c>
      <c r="BY9" s="1566">
        <v>0</v>
      </c>
      <c r="BZ9" s="1567">
        <v>0</v>
      </c>
      <c r="CA9" s="1568">
        <f t="shared" si="11"/>
        <v>0</v>
      </c>
      <c r="CB9" s="1565">
        <v>0</v>
      </c>
      <c r="CC9" s="1566">
        <v>0</v>
      </c>
      <c r="CD9" s="1566">
        <v>0</v>
      </c>
      <c r="CE9" s="1566">
        <v>0</v>
      </c>
      <c r="CF9" s="1566">
        <v>0</v>
      </c>
      <c r="CG9" s="1566">
        <v>0</v>
      </c>
      <c r="CH9" s="1566">
        <v>0</v>
      </c>
      <c r="CI9" s="1566">
        <v>0</v>
      </c>
      <c r="CJ9" s="1566">
        <v>0</v>
      </c>
      <c r="CK9" s="1566">
        <v>0</v>
      </c>
      <c r="CL9" s="1566">
        <v>0</v>
      </c>
      <c r="CM9" s="1567">
        <v>0</v>
      </c>
      <c r="CN9" s="1568">
        <f t="shared" si="13"/>
        <v>0</v>
      </c>
      <c r="CO9" s="1565">
        <v>0</v>
      </c>
      <c r="CP9" s="1566">
        <v>0</v>
      </c>
      <c r="CQ9" s="1566">
        <v>0</v>
      </c>
      <c r="CR9" s="1566">
        <v>0</v>
      </c>
      <c r="CS9" s="1566">
        <v>0</v>
      </c>
      <c r="CT9" s="1566">
        <v>0</v>
      </c>
      <c r="CU9" s="1566">
        <v>0</v>
      </c>
      <c r="CV9" s="1566">
        <v>0</v>
      </c>
      <c r="CW9" s="1566">
        <v>0</v>
      </c>
      <c r="CX9" s="1566">
        <v>0</v>
      </c>
      <c r="CY9" s="1566">
        <v>0</v>
      </c>
      <c r="CZ9" s="1567">
        <v>0</v>
      </c>
      <c r="DA9" s="1568">
        <f t="shared" si="15"/>
        <v>0</v>
      </c>
      <c r="DB9" s="1565">
        <v>0</v>
      </c>
      <c r="DC9" s="1566">
        <v>0</v>
      </c>
      <c r="DD9" s="1566">
        <v>0</v>
      </c>
      <c r="DE9" s="1566">
        <v>0</v>
      </c>
      <c r="DF9" s="1566">
        <v>0</v>
      </c>
      <c r="DG9" s="1566">
        <v>0</v>
      </c>
      <c r="DH9" s="1566">
        <v>0</v>
      </c>
      <c r="DI9" s="1566">
        <v>0</v>
      </c>
      <c r="DJ9" s="1566">
        <v>0</v>
      </c>
      <c r="DK9" s="1566">
        <v>0</v>
      </c>
      <c r="DL9" s="1566">
        <v>0</v>
      </c>
      <c r="DM9" s="1567">
        <v>0</v>
      </c>
      <c r="DN9" s="1568">
        <f t="shared" si="27"/>
        <v>0</v>
      </c>
      <c r="DO9" s="1565">
        <v>0</v>
      </c>
      <c r="DP9" s="1566">
        <v>0</v>
      </c>
      <c r="DQ9" s="1566">
        <v>0</v>
      </c>
      <c r="DR9" s="1566">
        <v>0</v>
      </c>
      <c r="DS9" s="1566">
        <v>0</v>
      </c>
      <c r="DT9" s="1566">
        <v>0</v>
      </c>
      <c r="DU9" s="1566">
        <v>0</v>
      </c>
      <c r="DV9" s="1566">
        <v>0</v>
      </c>
      <c r="DW9" s="1566">
        <v>0</v>
      </c>
      <c r="DX9" s="1566">
        <v>0</v>
      </c>
      <c r="DY9" s="1566">
        <v>0</v>
      </c>
      <c r="DZ9" s="1567">
        <v>0</v>
      </c>
      <c r="EA9" s="1568">
        <f t="shared" si="28"/>
        <v>0</v>
      </c>
      <c r="EB9" s="1565">
        <v>0</v>
      </c>
      <c r="EC9" s="1566">
        <v>0</v>
      </c>
      <c r="ED9" s="1566">
        <v>0</v>
      </c>
      <c r="EE9" s="1566">
        <v>0</v>
      </c>
      <c r="EF9" s="1566">
        <v>0</v>
      </c>
      <c r="EG9" s="1566">
        <v>0</v>
      </c>
      <c r="EH9" s="1566">
        <v>0</v>
      </c>
      <c r="EI9" s="1566">
        <v>0</v>
      </c>
      <c r="EJ9" s="1566">
        <v>0</v>
      </c>
      <c r="EK9" s="1566">
        <v>0</v>
      </c>
      <c r="EL9" s="1566">
        <v>0</v>
      </c>
      <c r="EM9" s="1567">
        <v>0</v>
      </c>
      <c r="EN9" s="1568">
        <f t="shared" si="29"/>
        <v>0</v>
      </c>
      <c r="EO9" s="1565">
        <v>0</v>
      </c>
      <c r="EP9" s="1566">
        <v>0</v>
      </c>
      <c r="EQ9" s="1566">
        <v>0</v>
      </c>
      <c r="ER9" s="1566">
        <v>0</v>
      </c>
      <c r="ES9" s="1566">
        <v>0</v>
      </c>
      <c r="ET9" s="1566">
        <v>0</v>
      </c>
      <c r="EU9" s="1566">
        <v>0</v>
      </c>
      <c r="EV9" s="1566">
        <v>0</v>
      </c>
      <c r="EW9" s="1566">
        <v>0</v>
      </c>
      <c r="EX9" s="1566">
        <v>0</v>
      </c>
      <c r="EY9" s="1566">
        <v>0</v>
      </c>
      <c r="EZ9" s="1567">
        <v>0</v>
      </c>
      <c r="FA9" s="1568">
        <f t="shared" si="30"/>
        <v>0</v>
      </c>
      <c r="FB9" s="1565">
        <v>0</v>
      </c>
      <c r="FC9" s="1566">
        <v>0</v>
      </c>
      <c r="FD9" s="1566">
        <v>0</v>
      </c>
      <c r="FE9" s="1566">
        <v>0</v>
      </c>
      <c r="FF9" s="1566">
        <v>0</v>
      </c>
      <c r="FG9" s="1566">
        <v>0</v>
      </c>
      <c r="FH9" s="1566">
        <v>0</v>
      </c>
      <c r="FI9" s="1566">
        <v>0</v>
      </c>
      <c r="FJ9" s="1566">
        <v>0</v>
      </c>
      <c r="FK9" s="1566">
        <v>0</v>
      </c>
      <c r="FL9" s="1566">
        <v>0</v>
      </c>
      <c r="FM9" s="1567">
        <v>0</v>
      </c>
      <c r="FN9" s="1568">
        <f t="shared" ref="FN9:FN28" si="41">SUM(FB9:FM9)</f>
        <v>0</v>
      </c>
      <c r="FO9" s="1565">
        <v>0</v>
      </c>
      <c r="FP9" s="1566">
        <v>0</v>
      </c>
      <c r="FQ9" s="1566">
        <v>0</v>
      </c>
      <c r="FR9" s="1566">
        <v>0</v>
      </c>
      <c r="FS9" s="1566">
        <v>0</v>
      </c>
      <c r="FT9" s="1566">
        <v>0</v>
      </c>
      <c r="FU9" s="1566">
        <v>0</v>
      </c>
      <c r="FV9" s="1566">
        <v>0</v>
      </c>
      <c r="FW9" s="1566">
        <v>0</v>
      </c>
      <c r="FX9" s="1566">
        <v>0</v>
      </c>
      <c r="FY9" s="1566">
        <v>0</v>
      </c>
      <c r="FZ9" s="1567">
        <v>0</v>
      </c>
      <c r="GA9" s="1568">
        <f t="shared" si="31"/>
        <v>0</v>
      </c>
      <c r="GB9" s="1565">
        <v>0</v>
      </c>
      <c r="GC9" s="1566">
        <v>0</v>
      </c>
      <c r="GD9" s="1566">
        <v>0</v>
      </c>
      <c r="GE9" s="1566">
        <v>0</v>
      </c>
      <c r="GF9" s="1566">
        <v>0</v>
      </c>
      <c r="GG9" s="1566">
        <v>0</v>
      </c>
      <c r="GH9" s="1566">
        <v>0</v>
      </c>
      <c r="GI9" s="1566">
        <v>0</v>
      </c>
      <c r="GJ9" s="1566">
        <v>0</v>
      </c>
      <c r="GK9" s="1566">
        <v>0</v>
      </c>
      <c r="GL9" s="1566">
        <v>0</v>
      </c>
      <c r="GM9" s="1567">
        <v>0</v>
      </c>
      <c r="GN9" s="1568">
        <f t="shared" si="32"/>
        <v>0</v>
      </c>
      <c r="GO9" s="1565">
        <v>0</v>
      </c>
      <c r="GP9" s="1566">
        <v>0</v>
      </c>
      <c r="GQ9" s="1566">
        <v>0</v>
      </c>
      <c r="GR9" s="1566">
        <v>0</v>
      </c>
      <c r="GS9" s="1566">
        <v>0</v>
      </c>
      <c r="GT9" s="1566">
        <v>0</v>
      </c>
      <c r="GU9" s="1566">
        <v>0</v>
      </c>
      <c r="GV9" s="1566">
        <v>0</v>
      </c>
      <c r="GW9" s="1566">
        <v>0</v>
      </c>
      <c r="GX9" s="1566">
        <v>0</v>
      </c>
      <c r="GY9" s="1566">
        <v>0</v>
      </c>
      <c r="GZ9" s="1567">
        <v>0</v>
      </c>
      <c r="HA9" s="1568">
        <f t="shared" si="33"/>
        <v>0</v>
      </c>
      <c r="HB9" s="1565">
        <v>0</v>
      </c>
      <c r="HC9" s="1566">
        <v>0</v>
      </c>
      <c r="HD9" s="1566">
        <v>0</v>
      </c>
      <c r="HE9" s="1566">
        <v>0</v>
      </c>
      <c r="HF9" s="1566">
        <v>0</v>
      </c>
      <c r="HG9" s="1566">
        <v>0</v>
      </c>
      <c r="HH9" s="1566">
        <v>0</v>
      </c>
      <c r="HI9" s="1566">
        <v>0</v>
      </c>
      <c r="HJ9" s="1566">
        <v>0</v>
      </c>
      <c r="HK9" s="1566">
        <v>0</v>
      </c>
      <c r="HL9" s="1566">
        <v>0</v>
      </c>
      <c r="HM9" s="1567">
        <v>0</v>
      </c>
      <c r="HN9" s="1568">
        <f t="shared" si="34"/>
        <v>0</v>
      </c>
      <c r="HO9" s="1565">
        <v>0</v>
      </c>
      <c r="HP9" s="1566">
        <v>0</v>
      </c>
      <c r="HQ9" s="1566">
        <v>0</v>
      </c>
      <c r="HR9" s="1566">
        <v>0</v>
      </c>
      <c r="HS9" s="1566">
        <v>0</v>
      </c>
      <c r="HT9" s="1566">
        <v>0</v>
      </c>
      <c r="HU9" s="1566">
        <v>0</v>
      </c>
      <c r="HV9" s="1566">
        <v>0</v>
      </c>
      <c r="HW9" s="1566">
        <v>0</v>
      </c>
      <c r="HX9" s="1566">
        <v>0</v>
      </c>
      <c r="HY9" s="1566">
        <v>0</v>
      </c>
      <c r="HZ9" s="1567">
        <v>0</v>
      </c>
      <c r="IA9" s="1565">
        <f t="shared" ref="IA9:IA37" si="42">SUM(HO9:HZ9)</f>
        <v>0</v>
      </c>
      <c r="IB9" s="1569">
        <v>0</v>
      </c>
      <c r="IC9" s="1068">
        <v>0</v>
      </c>
      <c r="ID9" s="1068">
        <v>0</v>
      </c>
      <c r="IE9" s="1068">
        <v>0</v>
      </c>
      <c r="IF9" s="1068">
        <v>0</v>
      </c>
      <c r="IG9" s="1068">
        <v>0</v>
      </c>
      <c r="IH9" s="1068">
        <v>0</v>
      </c>
      <c r="II9" s="1068">
        <v>0</v>
      </c>
      <c r="IJ9" s="1068"/>
      <c r="IK9" s="1068"/>
      <c r="IL9" s="1068"/>
      <c r="IM9" s="1570"/>
      <c r="IN9" s="1571">
        <f t="shared" si="35"/>
        <v>0</v>
      </c>
      <c r="IO9"/>
      <c r="IP9" s="1656" t="str">
        <f t="shared" si="36"/>
        <v/>
      </c>
      <c r="IQ9" s="1656" t="str">
        <f t="shared" si="37"/>
        <v/>
      </c>
      <c r="IR9" s="1657">
        <f t="shared" si="38"/>
        <v>0</v>
      </c>
      <c r="IS9" s="1657">
        <f t="shared" si="39"/>
        <v>0</v>
      </c>
      <c r="IT9" s="1658"/>
      <c r="IU9" s="221">
        <f t="shared" si="40"/>
        <v>0</v>
      </c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</row>
    <row r="10" spans="1:280" s="105" customFormat="1" ht="15" customHeight="1" x14ac:dyDescent="0.2">
      <c r="A10" s="1551" t="s">
        <v>626</v>
      </c>
      <c r="B10" s="1565">
        <v>0</v>
      </c>
      <c r="C10" s="1566">
        <v>0</v>
      </c>
      <c r="D10" s="1566">
        <v>0</v>
      </c>
      <c r="E10" s="1566">
        <v>0</v>
      </c>
      <c r="F10" s="1566">
        <v>0</v>
      </c>
      <c r="G10" s="1566">
        <v>0</v>
      </c>
      <c r="H10" s="1566">
        <v>0</v>
      </c>
      <c r="I10" s="1566">
        <v>0</v>
      </c>
      <c r="J10" s="1566">
        <v>0</v>
      </c>
      <c r="K10" s="1566">
        <v>0</v>
      </c>
      <c r="L10" s="1566">
        <v>0</v>
      </c>
      <c r="M10" s="1567">
        <v>0</v>
      </c>
      <c r="N10" s="1568">
        <f t="shared" si="1"/>
        <v>0</v>
      </c>
      <c r="O10" s="1565">
        <v>95</v>
      </c>
      <c r="P10" s="1566">
        <v>117</v>
      </c>
      <c r="Q10" s="1566">
        <v>239</v>
      </c>
      <c r="R10" s="1566">
        <v>292</v>
      </c>
      <c r="S10" s="1566">
        <v>151</v>
      </c>
      <c r="T10" s="1566">
        <v>69</v>
      </c>
      <c r="U10" s="1566">
        <v>127</v>
      </c>
      <c r="V10" s="1566">
        <v>229</v>
      </c>
      <c r="W10" s="1566">
        <v>159</v>
      </c>
      <c r="X10" s="1566">
        <v>403</v>
      </c>
      <c r="Y10" s="1566">
        <v>285</v>
      </c>
      <c r="Z10" s="1567">
        <v>545</v>
      </c>
      <c r="AA10" s="1568">
        <f t="shared" si="3"/>
        <v>2711</v>
      </c>
      <c r="AB10" s="1565">
        <v>24</v>
      </c>
      <c r="AC10" s="1566">
        <v>36</v>
      </c>
      <c r="AD10" s="1566">
        <v>175</v>
      </c>
      <c r="AE10" s="1566">
        <v>191</v>
      </c>
      <c r="AF10" s="1566">
        <v>201</v>
      </c>
      <c r="AG10" s="1566">
        <v>92</v>
      </c>
      <c r="AH10" s="1566">
        <v>144</v>
      </c>
      <c r="AI10" s="1566">
        <v>169</v>
      </c>
      <c r="AJ10" s="1566">
        <v>173</v>
      </c>
      <c r="AK10" s="1566">
        <v>172</v>
      </c>
      <c r="AL10" s="1566">
        <v>399</v>
      </c>
      <c r="AM10" s="1567">
        <v>588</v>
      </c>
      <c r="AN10" s="1568">
        <f t="shared" si="5"/>
        <v>2364</v>
      </c>
      <c r="AO10" s="1565">
        <v>1</v>
      </c>
      <c r="AP10" s="1566">
        <v>73</v>
      </c>
      <c r="AQ10" s="1566">
        <v>449</v>
      </c>
      <c r="AR10" s="1566">
        <v>199</v>
      </c>
      <c r="AS10" s="1566">
        <v>157</v>
      </c>
      <c r="AT10" s="1566">
        <v>547</v>
      </c>
      <c r="AU10" s="1566">
        <v>234</v>
      </c>
      <c r="AV10" s="1566">
        <v>148</v>
      </c>
      <c r="AW10" s="1566">
        <v>817</v>
      </c>
      <c r="AX10" s="1566">
        <v>261</v>
      </c>
      <c r="AY10" s="1566">
        <v>479</v>
      </c>
      <c r="AZ10" s="1567">
        <v>1285</v>
      </c>
      <c r="BA10" s="1568">
        <f t="shared" si="7"/>
        <v>4650</v>
      </c>
      <c r="BB10" s="1565">
        <v>156</v>
      </c>
      <c r="BC10" s="1566">
        <v>369</v>
      </c>
      <c r="BD10" s="1566">
        <v>981</v>
      </c>
      <c r="BE10" s="1566">
        <v>395</v>
      </c>
      <c r="BF10" s="1566">
        <v>449</v>
      </c>
      <c r="BG10" s="1566">
        <v>574</v>
      </c>
      <c r="BH10" s="1566">
        <v>118</v>
      </c>
      <c r="BI10" s="1566">
        <v>403</v>
      </c>
      <c r="BJ10" s="1566">
        <v>839</v>
      </c>
      <c r="BK10" s="1566">
        <v>720</v>
      </c>
      <c r="BL10" s="1566">
        <v>1173</v>
      </c>
      <c r="BM10" s="1567">
        <v>1374</v>
      </c>
      <c r="BN10" s="1568">
        <f t="shared" si="9"/>
        <v>7551</v>
      </c>
      <c r="BO10" s="1565">
        <v>238</v>
      </c>
      <c r="BP10" s="1566">
        <v>523</v>
      </c>
      <c r="BQ10" s="1566">
        <v>431</v>
      </c>
      <c r="BR10" s="1566">
        <v>433</v>
      </c>
      <c r="BS10" s="1566">
        <v>304</v>
      </c>
      <c r="BT10" s="1566">
        <v>322</v>
      </c>
      <c r="BU10" s="1566">
        <v>400</v>
      </c>
      <c r="BV10" s="1566">
        <v>377</v>
      </c>
      <c r="BW10" s="1566">
        <v>264</v>
      </c>
      <c r="BX10" s="1566">
        <v>740</v>
      </c>
      <c r="BY10" s="1566">
        <v>449</v>
      </c>
      <c r="BZ10" s="1567">
        <v>1350</v>
      </c>
      <c r="CA10" s="1568">
        <f t="shared" si="11"/>
        <v>5831</v>
      </c>
      <c r="CB10" s="1565">
        <v>200</v>
      </c>
      <c r="CC10" s="1566">
        <v>238</v>
      </c>
      <c r="CD10" s="1566">
        <v>690</v>
      </c>
      <c r="CE10" s="1566">
        <v>537</v>
      </c>
      <c r="CF10" s="1566">
        <v>552</v>
      </c>
      <c r="CG10" s="1566">
        <v>2102</v>
      </c>
      <c r="CH10" s="1566">
        <v>3778</v>
      </c>
      <c r="CI10" s="1566">
        <v>450</v>
      </c>
      <c r="CJ10" s="1566">
        <v>627</v>
      </c>
      <c r="CK10" s="1566">
        <v>1978</v>
      </c>
      <c r="CL10" s="1566">
        <v>2897</v>
      </c>
      <c r="CM10" s="1567">
        <v>1296</v>
      </c>
      <c r="CN10" s="1568">
        <f t="shared" si="13"/>
        <v>15345</v>
      </c>
      <c r="CO10" s="1565">
        <v>61</v>
      </c>
      <c r="CP10" s="1566">
        <v>195</v>
      </c>
      <c r="CQ10" s="1566">
        <v>3199</v>
      </c>
      <c r="CR10" s="1566">
        <v>-1168</v>
      </c>
      <c r="CS10" s="1566">
        <v>828</v>
      </c>
      <c r="CT10" s="1566">
        <v>765</v>
      </c>
      <c r="CU10" s="1566">
        <v>1519</v>
      </c>
      <c r="CV10" s="1566">
        <v>813</v>
      </c>
      <c r="CW10" s="1566">
        <v>557</v>
      </c>
      <c r="CX10" s="1566">
        <v>800</v>
      </c>
      <c r="CY10" s="1566">
        <v>539</v>
      </c>
      <c r="CZ10" s="1567">
        <v>1081</v>
      </c>
      <c r="DA10" s="1568">
        <f t="shared" si="15"/>
        <v>9189</v>
      </c>
      <c r="DB10" s="1565">
        <v>154</v>
      </c>
      <c r="DC10" s="1566">
        <v>414</v>
      </c>
      <c r="DD10" s="1566">
        <v>1244</v>
      </c>
      <c r="DE10" s="1566">
        <v>715</v>
      </c>
      <c r="DF10" s="1566">
        <v>499</v>
      </c>
      <c r="DG10" s="1566">
        <v>666</v>
      </c>
      <c r="DH10" s="1566">
        <v>536</v>
      </c>
      <c r="DI10" s="1566">
        <v>469</v>
      </c>
      <c r="DJ10" s="1566">
        <v>155</v>
      </c>
      <c r="DK10" s="1566">
        <v>364</v>
      </c>
      <c r="DL10" s="1566">
        <v>763</v>
      </c>
      <c r="DM10" s="1567">
        <v>1668</v>
      </c>
      <c r="DN10" s="1568">
        <f t="shared" si="27"/>
        <v>7647</v>
      </c>
      <c r="DO10" s="1565">
        <v>203</v>
      </c>
      <c r="DP10" s="1566">
        <v>197</v>
      </c>
      <c r="DQ10" s="1566">
        <v>1662</v>
      </c>
      <c r="DR10" s="1566">
        <v>878</v>
      </c>
      <c r="DS10" s="1566">
        <v>459</v>
      </c>
      <c r="DT10" s="1566">
        <v>781</v>
      </c>
      <c r="DU10" s="1566">
        <v>705</v>
      </c>
      <c r="DV10" s="1566">
        <v>1114</v>
      </c>
      <c r="DW10" s="1566">
        <v>422</v>
      </c>
      <c r="DX10" s="1566">
        <v>216</v>
      </c>
      <c r="DY10" s="1566">
        <v>493</v>
      </c>
      <c r="DZ10" s="1567">
        <v>1499</v>
      </c>
      <c r="EA10" s="1568">
        <f t="shared" si="28"/>
        <v>8629</v>
      </c>
      <c r="EB10" s="1565">
        <v>215</v>
      </c>
      <c r="EC10" s="1566">
        <v>525</v>
      </c>
      <c r="ED10" s="1566">
        <v>663</v>
      </c>
      <c r="EE10" s="1566">
        <v>609</v>
      </c>
      <c r="EF10" s="1566">
        <v>1014</v>
      </c>
      <c r="EG10" s="1566">
        <v>834</v>
      </c>
      <c r="EH10" s="1566">
        <v>753</v>
      </c>
      <c r="EI10" s="1566">
        <v>905</v>
      </c>
      <c r="EJ10" s="1566">
        <v>1079</v>
      </c>
      <c r="EK10" s="1566">
        <v>1035</v>
      </c>
      <c r="EL10" s="1566">
        <v>1584</v>
      </c>
      <c r="EM10" s="1567">
        <v>2356</v>
      </c>
      <c r="EN10" s="1568">
        <f t="shared" si="29"/>
        <v>11572</v>
      </c>
      <c r="EO10" s="1565">
        <v>0</v>
      </c>
      <c r="EP10" s="1566">
        <v>227</v>
      </c>
      <c r="EQ10" s="1566">
        <v>341</v>
      </c>
      <c r="ER10" s="1566">
        <v>689</v>
      </c>
      <c r="ES10" s="1566">
        <v>584</v>
      </c>
      <c r="ET10" s="1566">
        <v>571</v>
      </c>
      <c r="EU10" s="1566">
        <v>474</v>
      </c>
      <c r="EV10" s="1566">
        <v>424</v>
      </c>
      <c r="EW10" s="1566">
        <v>797</v>
      </c>
      <c r="EX10" s="1566">
        <v>935</v>
      </c>
      <c r="EY10" s="1566">
        <v>1038</v>
      </c>
      <c r="EZ10" s="1567">
        <v>2044</v>
      </c>
      <c r="FA10" s="1568">
        <f t="shared" si="30"/>
        <v>8124</v>
      </c>
      <c r="FB10" s="1565">
        <v>485</v>
      </c>
      <c r="FC10" s="1566">
        <v>377</v>
      </c>
      <c r="FD10" s="1566">
        <v>626</v>
      </c>
      <c r="FE10" s="1566">
        <v>100</v>
      </c>
      <c r="FF10" s="1566">
        <v>238</v>
      </c>
      <c r="FG10" s="1566">
        <v>346</v>
      </c>
      <c r="FH10" s="1566">
        <v>199</v>
      </c>
      <c r="FI10" s="1566">
        <v>474</v>
      </c>
      <c r="FJ10" s="1566">
        <v>591</v>
      </c>
      <c r="FK10" s="1566">
        <v>1050</v>
      </c>
      <c r="FL10" s="1566">
        <v>2062</v>
      </c>
      <c r="FM10" s="1567">
        <v>1583</v>
      </c>
      <c r="FN10" s="1568">
        <f t="shared" si="41"/>
        <v>8131</v>
      </c>
      <c r="FO10" s="1565">
        <v>737</v>
      </c>
      <c r="FP10" s="1566">
        <v>591</v>
      </c>
      <c r="FQ10" s="1566">
        <v>1131</v>
      </c>
      <c r="FR10" s="1566">
        <v>663</v>
      </c>
      <c r="FS10" s="1566">
        <v>1043</v>
      </c>
      <c r="FT10" s="1566">
        <v>1169</v>
      </c>
      <c r="FU10" s="1566">
        <v>853</v>
      </c>
      <c r="FV10" s="1566">
        <v>1290</v>
      </c>
      <c r="FW10" s="1566">
        <v>1205</v>
      </c>
      <c r="FX10" s="1566">
        <v>578</v>
      </c>
      <c r="FY10" s="1566">
        <v>335</v>
      </c>
      <c r="FZ10" s="1567">
        <v>1445</v>
      </c>
      <c r="GA10" s="1568">
        <f t="shared" si="31"/>
        <v>11040</v>
      </c>
      <c r="GB10" s="1565">
        <v>65</v>
      </c>
      <c r="GC10" s="1566">
        <v>382</v>
      </c>
      <c r="GD10" s="1566">
        <v>2330</v>
      </c>
      <c r="GE10" s="1566">
        <v>725</v>
      </c>
      <c r="GF10" s="1566">
        <v>1224</v>
      </c>
      <c r="GG10" s="1566">
        <v>743</v>
      </c>
      <c r="GH10" s="1566">
        <v>958</v>
      </c>
      <c r="GI10" s="1566">
        <v>1885</v>
      </c>
      <c r="GJ10" s="1566">
        <v>1473</v>
      </c>
      <c r="GK10" s="1566">
        <v>2042</v>
      </c>
      <c r="GL10" s="1566">
        <v>1304</v>
      </c>
      <c r="GM10" s="1567">
        <v>2821</v>
      </c>
      <c r="GN10" s="1568">
        <f t="shared" si="32"/>
        <v>15952</v>
      </c>
      <c r="GO10" s="1565">
        <v>0</v>
      </c>
      <c r="GP10" s="1566">
        <v>735</v>
      </c>
      <c r="GQ10" s="1566">
        <v>1297</v>
      </c>
      <c r="GR10" s="1566">
        <v>3089</v>
      </c>
      <c r="GS10" s="1566">
        <v>445</v>
      </c>
      <c r="GT10" s="1566">
        <v>1683</v>
      </c>
      <c r="GU10" s="1566">
        <v>706</v>
      </c>
      <c r="GV10" s="1566">
        <v>856</v>
      </c>
      <c r="GW10" s="1566">
        <v>1209</v>
      </c>
      <c r="GX10" s="1566">
        <v>1000</v>
      </c>
      <c r="GY10" s="1566">
        <v>1162</v>
      </c>
      <c r="GZ10" s="1567">
        <v>2063</v>
      </c>
      <c r="HA10" s="1568">
        <f t="shared" si="33"/>
        <v>14245</v>
      </c>
      <c r="HB10" s="1565">
        <v>179</v>
      </c>
      <c r="HC10" s="1566">
        <v>266</v>
      </c>
      <c r="HD10" s="1566">
        <v>455</v>
      </c>
      <c r="HE10" s="1566">
        <v>688</v>
      </c>
      <c r="HF10" s="1566">
        <v>626</v>
      </c>
      <c r="HG10" s="1566">
        <v>364</v>
      </c>
      <c r="HH10" s="1566">
        <v>310</v>
      </c>
      <c r="HI10" s="1566">
        <v>686</v>
      </c>
      <c r="HJ10" s="1566">
        <v>1118</v>
      </c>
      <c r="HK10" s="1566">
        <v>972</v>
      </c>
      <c r="HL10" s="1566">
        <v>1077</v>
      </c>
      <c r="HM10" s="1567">
        <v>1217</v>
      </c>
      <c r="HN10" s="1568">
        <f t="shared" si="34"/>
        <v>7958</v>
      </c>
      <c r="HO10" s="1565">
        <v>267</v>
      </c>
      <c r="HP10" s="1566">
        <v>713</v>
      </c>
      <c r="HQ10" s="1566">
        <v>926</v>
      </c>
      <c r="HR10" s="1566">
        <v>874</v>
      </c>
      <c r="HS10" s="1566">
        <v>853</v>
      </c>
      <c r="HT10" s="1566">
        <v>636</v>
      </c>
      <c r="HU10" s="1566">
        <v>467</v>
      </c>
      <c r="HV10" s="1566">
        <v>1358</v>
      </c>
      <c r="HW10" s="1566">
        <v>821</v>
      </c>
      <c r="HX10" s="1566">
        <v>973</v>
      </c>
      <c r="HY10" s="1566">
        <v>700</v>
      </c>
      <c r="HZ10" s="1567">
        <v>1424</v>
      </c>
      <c r="IA10" s="1565">
        <f t="shared" si="42"/>
        <v>10012</v>
      </c>
      <c r="IB10" s="1569">
        <v>207</v>
      </c>
      <c r="IC10" s="1068">
        <v>147</v>
      </c>
      <c r="ID10" s="1068">
        <v>535</v>
      </c>
      <c r="IE10" s="1068">
        <v>659</v>
      </c>
      <c r="IF10" s="1068">
        <v>750</v>
      </c>
      <c r="IG10" s="1068">
        <v>1528</v>
      </c>
      <c r="IH10" s="1068">
        <v>1392</v>
      </c>
      <c r="II10" s="1068">
        <v>2418</v>
      </c>
      <c r="IJ10" s="1068"/>
      <c r="IK10" s="1068"/>
      <c r="IL10" s="1068"/>
      <c r="IM10" s="1570"/>
      <c r="IN10" s="1571">
        <f t="shared" si="35"/>
        <v>7636</v>
      </c>
      <c r="IO10"/>
      <c r="IP10" s="1656">
        <f t="shared" si="36"/>
        <v>78.055964653902791</v>
      </c>
      <c r="IQ10" s="1656">
        <f t="shared" si="37"/>
        <v>25.303577289136857</v>
      </c>
      <c r="IR10" s="1657">
        <f t="shared" si="38"/>
        <v>6094</v>
      </c>
      <c r="IS10" s="1657">
        <f t="shared" si="39"/>
        <v>7636</v>
      </c>
      <c r="IT10" s="1658"/>
      <c r="IU10" s="221">
        <f t="shared" si="40"/>
        <v>1060</v>
      </c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</row>
    <row r="11" spans="1:280" s="105" customFormat="1" ht="15" customHeight="1" x14ac:dyDescent="0.2">
      <c r="A11" s="1551" t="s">
        <v>633</v>
      </c>
      <c r="B11" s="1565">
        <v>0</v>
      </c>
      <c r="C11" s="1566">
        <v>0</v>
      </c>
      <c r="D11" s="1566">
        <v>0</v>
      </c>
      <c r="E11" s="1566">
        <v>0</v>
      </c>
      <c r="F11" s="1566">
        <v>0</v>
      </c>
      <c r="G11" s="1566">
        <v>0</v>
      </c>
      <c r="H11" s="1566">
        <v>0</v>
      </c>
      <c r="I11" s="1566">
        <v>0</v>
      </c>
      <c r="J11" s="1566">
        <v>0</v>
      </c>
      <c r="K11" s="1566">
        <v>0</v>
      </c>
      <c r="L11" s="1566">
        <v>0</v>
      </c>
      <c r="M11" s="1567">
        <v>0</v>
      </c>
      <c r="N11" s="1568">
        <f t="shared" si="1"/>
        <v>0</v>
      </c>
      <c r="O11" s="1565">
        <v>17</v>
      </c>
      <c r="P11" s="1566">
        <v>45</v>
      </c>
      <c r="Q11" s="1566">
        <v>78</v>
      </c>
      <c r="R11" s="1566">
        <v>113</v>
      </c>
      <c r="S11" s="1566">
        <v>110</v>
      </c>
      <c r="T11" s="1566">
        <v>114</v>
      </c>
      <c r="U11" s="1566">
        <v>44</v>
      </c>
      <c r="V11" s="1566">
        <v>64</v>
      </c>
      <c r="W11" s="1566">
        <v>56</v>
      </c>
      <c r="X11" s="1566">
        <v>158</v>
      </c>
      <c r="Y11" s="1566">
        <v>490</v>
      </c>
      <c r="Z11" s="1567">
        <v>200</v>
      </c>
      <c r="AA11" s="1568">
        <f t="shared" si="3"/>
        <v>1489</v>
      </c>
      <c r="AB11" s="1565">
        <v>13</v>
      </c>
      <c r="AC11" s="1566">
        <v>4</v>
      </c>
      <c r="AD11" s="1566">
        <v>81</v>
      </c>
      <c r="AE11" s="1566">
        <v>44</v>
      </c>
      <c r="AF11" s="1566">
        <v>57</v>
      </c>
      <c r="AG11" s="1566">
        <v>27</v>
      </c>
      <c r="AH11" s="1566">
        <v>47</v>
      </c>
      <c r="AI11" s="1566">
        <v>32</v>
      </c>
      <c r="AJ11" s="1566">
        <v>36</v>
      </c>
      <c r="AK11" s="1566">
        <v>14</v>
      </c>
      <c r="AL11" s="1566">
        <v>50</v>
      </c>
      <c r="AM11" s="1567">
        <v>276</v>
      </c>
      <c r="AN11" s="1568">
        <f t="shared" si="5"/>
        <v>681</v>
      </c>
      <c r="AO11" s="1565">
        <v>0</v>
      </c>
      <c r="AP11" s="1566">
        <v>30</v>
      </c>
      <c r="AQ11" s="1566">
        <v>18</v>
      </c>
      <c r="AR11" s="1566">
        <v>13</v>
      </c>
      <c r="AS11" s="1566">
        <v>136</v>
      </c>
      <c r="AT11" s="1566">
        <v>33</v>
      </c>
      <c r="AU11" s="1566">
        <v>29</v>
      </c>
      <c r="AV11" s="1566">
        <v>602</v>
      </c>
      <c r="AW11" s="1566">
        <v>11</v>
      </c>
      <c r="AX11" s="1566">
        <v>89</v>
      </c>
      <c r="AY11" s="1566">
        <v>64</v>
      </c>
      <c r="AZ11" s="1567">
        <v>240</v>
      </c>
      <c r="BA11" s="1568">
        <f t="shared" si="7"/>
        <v>1265</v>
      </c>
      <c r="BB11" s="1565">
        <v>164</v>
      </c>
      <c r="BC11" s="1566">
        <v>208</v>
      </c>
      <c r="BD11" s="1566">
        <v>89</v>
      </c>
      <c r="BE11" s="1566">
        <v>-92</v>
      </c>
      <c r="BF11" s="1566">
        <v>63</v>
      </c>
      <c r="BG11" s="1566">
        <v>34</v>
      </c>
      <c r="BH11" s="1566">
        <v>33</v>
      </c>
      <c r="BI11" s="1566">
        <v>361</v>
      </c>
      <c r="BJ11" s="1566">
        <v>129</v>
      </c>
      <c r="BK11" s="1566">
        <v>348</v>
      </c>
      <c r="BL11" s="1566">
        <v>234</v>
      </c>
      <c r="BM11" s="1567">
        <v>703</v>
      </c>
      <c r="BN11" s="1568">
        <f t="shared" si="9"/>
        <v>2274</v>
      </c>
      <c r="BO11" s="1565">
        <v>25</v>
      </c>
      <c r="BP11" s="1566">
        <v>57</v>
      </c>
      <c r="BQ11" s="1566">
        <v>161</v>
      </c>
      <c r="BR11" s="1566">
        <v>70</v>
      </c>
      <c r="BS11" s="1566">
        <v>123</v>
      </c>
      <c r="BT11" s="1566">
        <v>79</v>
      </c>
      <c r="BU11" s="1566">
        <v>124</v>
      </c>
      <c r="BV11" s="1566">
        <v>2532</v>
      </c>
      <c r="BW11" s="1566">
        <v>29</v>
      </c>
      <c r="BX11" s="1566">
        <v>18</v>
      </c>
      <c r="BY11" s="1566">
        <v>60</v>
      </c>
      <c r="BZ11" s="1567">
        <v>-2492</v>
      </c>
      <c r="CA11" s="1568">
        <f t="shared" si="11"/>
        <v>786</v>
      </c>
      <c r="CB11" s="1565">
        <v>11</v>
      </c>
      <c r="CC11" s="1566">
        <v>955</v>
      </c>
      <c r="CD11" s="1566">
        <v>313</v>
      </c>
      <c r="CE11" s="1566">
        <v>3566</v>
      </c>
      <c r="CF11" s="1566">
        <v>217</v>
      </c>
      <c r="CG11" s="1566">
        <v>53</v>
      </c>
      <c r="CH11" s="1566">
        <v>-1894</v>
      </c>
      <c r="CI11" s="1566">
        <v>2083</v>
      </c>
      <c r="CJ11" s="1566">
        <v>-39</v>
      </c>
      <c r="CK11" s="1566">
        <v>268</v>
      </c>
      <c r="CL11" s="1566">
        <v>136</v>
      </c>
      <c r="CM11" s="1567">
        <v>32</v>
      </c>
      <c r="CN11" s="1568">
        <f t="shared" si="13"/>
        <v>5701</v>
      </c>
      <c r="CO11" s="1565">
        <v>0</v>
      </c>
      <c r="CP11" s="1566">
        <v>0</v>
      </c>
      <c r="CQ11" s="1566">
        <v>5</v>
      </c>
      <c r="CR11" s="1566">
        <v>38</v>
      </c>
      <c r="CS11" s="1566">
        <v>135</v>
      </c>
      <c r="CT11" s="1566">
        <v>1</v>
      </c>
      <c r="CU11" s="1566">
        <v>792</v>
      </c>
      <c r="CV11" s="1566">
        <v>64</v>
      </c>
      <c r="CW11" s="1566">
        <v>-32</v>
      </c>
      <c r="CX11" s="1566">
        <v>59</v>
      </c>
      <c r="CY11" s="1566">
        <v>-266</v>
      </c>
      <c r="CZ11" s="1567">
        <v>217</v>
      </c>
      <c r="DA11" s="1568">
        <f t="shared" si="15"/>
        <v>1013</v>
      </c>
      <c r="DB11" s="1565">
        <v>19</v>
      </c>
      <c r="DC11" s="1566">
        <v>157</v>
      </c>
      <c r="DD11" s="1566">
        <v>188</v>
      </c>
      <c r="DE11" s="1566">
        <v>167</v>
      </c>
      <c r="DF11" s="1566">
        <v>212</v>
      </c>
      <c r="DG11" s="1566">
        <v>48</v>
      </c>
      <c r="DH11" s="1566">
        <v>222</v>
      </c>
      <c r="DI11" s="1566">
        <v>173</v>
      </c>
      <c r="DJ11" s="1566">
        <v>71</v>
      </c>
      <c r="DK11" s="1566">
        <v>120</v>
      </c>
      <c r="DL11" s="1566">
        <v>21</v>
      </c>
      <c r="DM11" s="1567">
        <v>725</v>
      </c>
      <c r="DN11" s="1568">
        <f t="shared" si="27"/>
        <v>2123</v>
      </c>
      <c r="DO11" s="1565">
        <v>8</v>
      </c>
      <c r="DP11" s="1566">
        <v>0</v>
      </c>
      <c r="DQ11" s="1566">
        <v>283</v>
      </c>
      <c r="DR11" s="1566">
        <v>5</v>
      </c>
      <c r="DS11" s="1566">
        <v>339</v>
      </c>
      <c r="DT11" s="1566">
        <v>101</v>
      </c>
      <c r="DU11" s="1566">
        <v>354</v>
      </c>
      <c r="DV11" s="1566">
        <v>335</v>
      </c>
      <c r="DW11" s="1566">
        <v>763</v>
      </c>
      <c r="DX11" s="1566">
        <v>598</v>
      </c>
      <c r="DY11" s="1566">
        <v>78</v>
      </c>
      <c r="DZ11" s="1567">
        <v>145</v>
      </c>
      <c r="EA11" s="1568">
        <f t="shared" si="28"/>
        <v>3009</v>
      </c>
      <c r="EB11" s="1565">
        <v>482</v>
      </c>
      <c r="EC11" s="1566">
        <v>207</v>
      </c>
      <c r="ED11" s="1566">
        <v>750</v>
      </c>
      <c r="EE11" s="1566">
        <v>479</v>
      </c>
      <c r="EF11" s="1566">
        <v>428</v>
      </c>
      <c r="EG11" s="1566">
        <v>302</v>
      </c>
      <c r="EH11" s="1566">
        <v>10</v>
      </c>
      <c r="EI11" s="1566">
        <v>163</v>
      </c>
      <c r="EJ11" s="1566">
        <v>537</v>
      </c>
      <c r="EK11" s="1566">
        <v>1320</v>
      </c>
      <c r="EL11" s="1566">
        <v>382</v>
      </c>
      <c r="EM11" s="1567">
        <v>1021</v>
      </c>
      <c r="EN11" s="1568">
        <f t="shared" si="29"/>
        <v>6081</v>
      </c>
      <c r="EO11" s="1565">
        <v>0</v>
      </c>
      <c r="EP11" s="1566">
        <v>25</v>
      </c>
      <c r="EQ11" s="1566">
        <v>85</v>
      </c>
      <c r="ER11" s="1566">
        <v>167</v>
      </c>
      <c r="ES11" s="1566">
        <v>243</v>
      </c>
      <c r="ET11" s="1566">
        <v>244</v>
      </c>
      <c r="EU11" s="1566">
        <v>39</v>
      </c>
      <c r="EV11" s="1566">
        <v>38</v>
      </c>
      <c r="EW11" s="1566">
        <v>0</v>
      </c>
      <c r="EX11" s="1566">
        <v>66</v>
      </c>
      <c r="EY11" s="1566">
        <v>127</v>
      </c>
      <c r="EZ11" s="1567">
        <v>287</v>
      </c>
      <c r="FA11" s="1568">
        <f t="shared" si="30"/>
        <v>1321</v>
      </c>
      <c r="FB11" s="1565">
        <v>75</v>
      </c>
      <c r="FC11" s="1566">
        <v>94</v>
      </c>
      <c r="FD11" s="1566">
        <v>48</v>
      </c>
      <c r="FE11" s="1566">
        <v>0</v>
      </c>
      <c r="FF11" s="1566">
        <v>0</v>
      </c>
      <c r="FG11" s="1566">
        <v>29</v>
      </c>
      <c r="FH11" s="1566">
        <v>151</v>
      </c>
      <c r="FI11" s="1566">
        <v>27</v>
      </c>
      <c r="FJ11" s="1566">
        <v>43</v>
      </c>
      <c r="FK11" s="1566">
        <v>11</v>
      </c>
      <c r="FL11" s="1566">
        <v>71</v>
      </c>
      <c r="FM11" s="1567">
        <v>353</v>
      </c>
      <c r="FN11" s="1568">
        <f t="shared" si="41"/>
        <v>902</v>
      </c>
      <c r="FO11" s="1565">
        <v>56</v>
      </c>
      <c r="FP11" s="1566">
        <v>180</v>
      </c>
      <c r="FQ11" s="1566">
        <v>301</v>
      </c>
      <c r="FR11" s="1566">
        <v>22</v>
      </c>
      <c r="FS11" s="1566">
        <v>54</v>
      </c>
      <c r="FT11" s="1566">
        <v>67</v>
      </c>
      <c r="FU11" s="1566">
        <v>16</v>
      </c>
      <c r="FV11" s="1566">
        <v>36</v>
      </c>
      <c r="FW11" s="1566">
        <v>139</v>
      </c>
      <c r="FX11" s="1566">
        <v>357</v>
      </c>
      <c r="FY11" s="1566">
        <v>371</v>
      </c>
      <c r="FZ11" s="1567">
        <v>718</v>
      </c>
      <c r="GA11" s="1568">
        <f t="shared" si="31"/>
        <v>2317</v>
      </c>
      <c r="GB11" s="1565">
        <v>0</v>
      </c>
      <c r="GC11" s="1566">
        <v>18</v>
      </c>
      <c r="GD11" s="1566">
        <v>0</v>
      </c>
      <c r="GE11" s="1566">
        <v>9</v>
      </c>
      <c r="GF11" s="1566">
        <v>0</v>
      </c>
      <c r="GG11" s="1566">
        <v>25</v>
      </c>
      <c r="GH11" s="1566">
        <v>99</v>
      </c>
      <c r="GI11" s="1566">
        <v>2</v>
      </c>
      <c r="GJ11" s="1566">
        <v>428</v>
      </c>
      <c r="GK11" s="1566">
        <v>406</v>
      </c>
      <c r="GL11" s="1566">
        <v>53</v>
      </c>
      <c r="GM11" s="1567">
        <v>139</v>
      </c>
      <c r="GN11" s="1568">
        <f t="shared" si="32"/>
        <v>1179</v>
      </c>
      <c r="GO11" s="1565">
        <v>0</v>
      </c>
      <c r="GP11" s="1566">
        <v>2</v>
      </c>
      <c r="GQ11" s="1566">
        <v>6</v>
      </c>
      <c r="GR11" s="1566">
        <v>21</v>
      </c>
      <c r="GS11" s="1566">
        <v>7</v>
      </c>
      <c r="GT11" s="1566">
        <v>0</v>
      </c>
      <c r="GU11" s="1566">
        <v>25</v>
      </c>
      <c r="GV11" s="1566">
        <v>128</v>
      </c>
      <c r="GW11" s="1566">
        <v>129</v>
      </c>
      <c r="GX11" s="1566">
        <v>58</v>
      </c>
      <c r="GY11" s="1566">
        <v>2</v>
      </c>
      <c r="GZ11" s="1567">
        <v>210</v>
      </c>
      <c r="HA11" s="1568">
        <f t="shared" si="33"/>
        <v>588</v>
      </c>
      <c r="HB11" s="1565">
        <v>9</v>
      </c>
      <c r="HC11" s="1566">
        <v>3</v>
      </c>
      <c r="HD11" s="1566">
        <v>4</v>
      </c>
      <c r="HE11" s="1566">
        <v>227</v>
      </c>
      <c r="HF11" s="1566">
        <v>109</v>
      </c>
      <c r="HG11" s="1566">
        <v>116</v>
      </c>
      <c r="HH11" s="1566">
        <v>69</v>
      </c>
      <c r="HI11" s="1566">
        <v>69</v>
      </c>
      <c r="HJ11" s="1566">
        <v>45</v>
      </c>
      <c r="HK11" s="1566">
        <v>61</v>
      </c>
      <c r="HL11" s="1566">
        <v>24</v>
      </c>
      <c r="HM11" s="1567">
        <v>45</v>
      </c>
      <c r="HN11" s="1568">
        <f t="shared" si="34"/>
        <v>781</v>
      </c>
      <c r="HO11" s="1565">
        <v>0</v>
      </c>
      <c r="HP11" s="1566">
        <v>25</v>
      </c>
      <c r="HQ11" s="1566">
        <v>342</v>
      </c>
      <c r="HR11" s="1566">
        <v>72</v>
      </c>
      <c r="HS11" s="1566">
        <v>0</v>
      </c>
      <c r="HT11" s="1566">
        <v>453</v>
      </c>
      <c r="HU11" s="1566">
        <v>6</v>
      </c>
      <c r="HV11" s="1566">
        <v>163</v>
      </c>
      <c r="HW11" s="1566">
        <v>255</v>
      </c>
      <c r="HX11" s="1566">
        <v>54</v>
      </c>
      <c r="HY11" s="1566">
        <v>7</v>
      </c>
      <c r="HZ11" s="1567">
        <v>48</v>
      </c>
      <c r="IA11" s="1565">
        <f>SUM(HO11:HZ11)</f>
        <v>1425</v>
      </c>
      <c r="IB11" s="1569">
        <v>0</v>
      </c>
      <c r="IC11" s="1068">
        <v>4</v>
      </c>
      <c r="ID11" s="1068">
        <v>37</v>
      </c>
      <c r="IE11" s="1068">
        <v>2</v>
      </c>
      <c r="IF11" s="1068">
        <v>0</v>
      </c>
      <c r="IG11" s="1068">
        <v>119</v>
      </c>
      <c r="IH11" s="1068">
        <v>541</v>
      </c>
      <c r="II11" s="1068">
        <v>191</v>
      </c>
      <c r="IJ11" s="1068"/>
      <c r="IK11" s="1068"/>
      <c r="IL11" s="1068"/>
      <c r="IM11" s="1570"/>
      <c r="IN11" s="1571">
        <f t="shared" si="35"/>
        <v>894</v>
      </c>
      <c r="IO11"/>
      <c r="IP11" s="1656">
        <f t="shared" si="36"/>
        <v>17.177914110429437</v>
      </c>
      <c r="IQ11" s="1656">
        <f>IFERROR(((IS11/IR11)-1)*100,"")</f>
        <v>-15.739868049010363</v>
      </c>
      <c r="IR11" s="1657">
        <f t="shared" si="38"/>
        <v>1061</v>
      </c>
      <c r="IS11" s="1657">
        <f t="shared" si="39"/>
        <v>894</v>
      </c>
      <c r="IT11" s="1658"/>
      <c r="IU11" s="221">
        <f t="shared" si="40"/>
        <v>28</v>
      </c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</row>
    <row r="12" spans="1:280" s="105" customFormat="1" ht="15" customHeight="1" x14ac:dyDescent="0.2">
      <c r="A12" s="1551" t="s">
        <v>627</v>
      </c>
      <c r="B12" s="1565">
        <v>262</v>
      </c>
      <c r="C12" s="1566">
        <v>431</v>
      </c>
      <c r="D12" s="1566">
        <v>306</v>
      </c>
      <c r="E12" s="1566">
        <v>456</v>
      </c>
      <c r="F12" s="1566">
        <v>503</v>
      </c>
      <c r="G12" s="1566">
        <v>341</v>
      </c>
      <c r="H12" s="1566">
        <v>658</v>
      </c>
      <c r="I12" s="1566">
        <v>1196</v>
      </c>
      <c r="J12" s="1566">
        <v>1079</v>
      </c>
      <c r="K12" s="1566">
        <v>1081</v>
      </c>
      <c r="L12" s="1566">
        <v>1458</v>
      </c>
      <c r="M12" s="1567">
        <v>2741</v>
      </c>
      <c r="N12" s="1568">
        <f t="shared" si="1"/>
        <v>10512</v>
      </c>
      <c r="O12" s="1565">
        <v>84</v>
      </c>
      <c r="P12" s="1566">
        <v>259</v>
      </c>
      <c r="Q12" s="1566">
        <v>505</v>
      </c>
      <c r="R12" s="1566">
        <v>441</v>
      </c>
      <c r="S12" s="1566">
        <v>1030</v>
      </c>
      <c r="T12" s="1566">
        <v>1210</v>
      </c>
      <c r="U12" s="1566">
        <v>1121</v>
      </c>
      <c r="V12" s="1566">
        <v>1644</v>
      </c>
      <c r="W12" s="1566">
        <v>1370</v>
      </c>
      <c r="X12" s="1566">
        <v>1478</v>
      </c>
      <c r="Y12" s="1566">
        <v>2422</v>
      </c>
      <c r="Z12" s="1567">
        <v>6135</v>
      </c>
      <c r="AA12" s="1568">
        <f t="shared" si="3"/>
        <v>17699</v>
      </c>
      <c r="AB12" s="1565">
        <v>754</v>
      </c>
      <c r="AC12" s="1566">
        <v>641</v>
      </c>
      <c r="AD12" s="1566">
        <v>1132</v>
      </c>
      <c r="AE12" s="1566">
        <v>854</v>
      </c>
      <c r="AF12" s="1566">
        <v>1247</v>
      </c>
      <c r="AG12" s="1566">
        <v>1306</v>
      </c>
      <c r="AH12" s="1566">
        <v>1182</v>
      </c>
      <c r="AI12" s="1566">
        <v>731</v>
      </c>
      <c r="AJ12" s="1566">
        <v>1268</v>
      </c>
      <c r="AK12" s="1566">
        <v>989</v>
      </c>
      <c r="AL12" s="1566">
        <v>1144</v>
      </c>
      <c r="AM12" s="1567">
        <v>1410</v>
      </c>
      <c r="AN12" s="1568">
        <f t="shared" si="5"/>
        <v>12658</v>
      </c>
      <c r="AO12" s="1565">
        <v>6</v>
      </c>
      <c r="AP12" s="1566">
        <v>88</v>
      </c>
      <c r="AQ12" s="1566">
        <v>611</v>
      </c>
      <c r="AR12" s="1566">
        <v>484</v>
      </c>
      <c r="AS12" s="1566">
        <v>887</v>
      </c>
      <c r="AT12" s="1566">
        <v>842</v>
      </c>
      <c r="AU12" s="1566">
        <v>970</v>
      </c>
      <c r="AV12" s="1566">
        <v>955</v>
      </c>
      <c r="AW12" s="1566">
        <v>999</v>
      </c>
      <c r="AX12" s="1566">
        <v>912</v>
      </c>
      <c r="AY12" s="1566">
        <v>2595</v>
      </c>
      <c r="AZ12" s="1567">
        <v>10717</v>
      </c>
      <c r="BA12" s="1568">
        <f t="shared" si="7"/>
        <v>20066</v>
      </c>
      <c r="BB12" s="1565">
        <v>72</v>
      </c>
      <c r="BC12" s="1566">
        <v>1499</v>
      </c>
      <c r="BD12" s="1566">
        <v>1829</v>
      </c>
      <c r="BE12" s="1566">
        <v>1363</v>
      </c>
      <c r="BF12" s="1566">
        <v>1644</v>
      </c>
      <c r="BG12" s="1566">
        <v>1235</v>
      </c>
      <c r="BH12" s="1566">
        <v>1779</v>
      </c>
      <c r="BI12" s="1566">
        <v>2095</v>
      </c>
      <c r="BJ12" s="1566">
        <v>4513</v>
      </c>
      <c r="BK12" s="1566">
        <v>6855</v>
      </c>
      <c r="BL12" s="1566">
        <v>5578</v>
      </c>
      <c r="BM12" s="1567">
        <v>8301</v>
      </c>
      <c r="BN12" s="1568">
        <f t="shared" si="9"/>
        <v>36763</v>
      </c>
      <c r="BO12" s="1565">
        <v>292</v>
      </c>
      <c r="BP12" s="1566">
        <v>786</v>
      </c>
      <c r="BQ12" s="1566">
        <v>5252</v>
      </c>
      <c r="BR12" s="1566">
        <v>2994</v>
      </c>
      <c r="BS12" s="1566">
        <v>4398</v>
      </c>
      <c r="BT12" s="1566">
        <v>2477</v>
      </c>
      <c r="BU12" s="1566">
        <v>19548</v>
      </c>
      <c r="BV12" s="1566">
        <v>3546</v>
      </c>
      <c r="BW12" s="1566">
        <v>2651</v>
      </c>
      <c r="BX12" s="1566">
        <v>9765</v>
      </c>
      <c r="BY12" s="1566">
        <v>-3078</v>
      </c>
      <c r="BZ12" s="1567">
        <v>18128</v>
      </c>
      <c r="CA12" s="1568">
        <f t="shared" si="11"/>
        <v>66759</v>
      </c>
      <c r="CB12" s="1565">
        <v>2347</v>
      </c>
      <c r="CC12" s="1566">
        <v>4039</v>
      </c>
      <c r="CD12" s="1566">
        <v>2937</v>
      </c>
      <c r="CE12" s="1566">
        <v>2643</v>
      </c>
      <c r="CF12" s="1566">
        <v>2659</v>
      </c>
      <c r="CG12" s="1566">
        <v>6750</v>
      </c>
      <c r="CH12" s="1566">
        <v>5627</v>
      </c>
      <c r="CI12" s="1566">
        <v>2806</v>
      </c>
      <c r="CJ12" s="1566">
        <v>4558</v>
      </c>
      <c r="CK12" s="1566">
        <v>8365</v>
      </c>
      <c r="CL12" s="1566">
        <v>3211</v>
      </c>
      <c r="CM12" s="1567">
        <v>16121</v>
      </c>
      <c r="CN12" s="1568">
        <f t="shared" si="13"/>
        <v>62063</v>
      </c>
      <c r="CO12" s="1565">
        <v>6</v>
      </c>
      <c r="CP12" s="1566">
        <v>930</v>
      </c>
      <c r="CQ12" s="1566">
        <v>9584</v>
      </c>
      <c r="CR12" s="1566">
        <v>4349</v>
      </c>
      <c r="CS12" s="1566">
        <v>6489</v>
      </c>
      <c r="CT12" s="1566">
        <v>5072</v>
      </c>
      <c r="CU12" s="1566">
        <v>18022</v>
      </c>
      <c r="CV12" s="1566">
        <v>5818</v>
      </c>
      <c r="CW12" s="1566">
        <v>6878</v>
      </c>
      <c r="CX12" s="1566">
        <v>6595</v>
      </c>
      <c r="CY12" s="1566">
        <v>8289</v>
      </c>
      <c r="CZ12" s="1567">
        <v>17514</v>
      </c>
      <c r="DA12" s="1568">
        <f t="shared" si="15"/>
        <v>89546</v>
      </c>
      <c r="DB12" s="1565">
        <v>264</v>
      </c>
      <c r="DC12" s="1566">
        <v>1104</v>
      </c>
      <c r="DD12" s="1566">
        <v>2311</v>
      </c>
      <c r="DE12" s="1566">
        <v>2318</v>
      </c>
      <c r="DF12" s="1566">
        <v>4745</v>
      </c>
      <c r="DG12" s="1566">
        <v>4774</v>
      </c>
      <c r="DH12" s="1566">
        <v>4240</v>
      </c>
      <c r="DI12" s="1566">
        <v>3243</v>
      </c>
      <c r="DJ12" s="1566">
        <v>4821</v>
      </c>
      <c r="DK12" s="1566">
        <v>7967</v>
      </c>
      <c r="DL12" s="1566">
        <v>3471</v>
      </c>
      <c r="DM12" s="1567">
        <v>17555</v>
      </c>
      <c r="DN12" s="1568">
        <f t="shared" si="27"/>
        <v>56813</v>
      </c>
      <c r="DO12" s="1565">
        <v>173</v>
      </c>
      <c r="DP12" s="1566">
        <v>1327</v>
      </c>
      <c r="DQ12" s="1566">
        <v>4534</v>
      </c>
      <c r="DR12" s="1566">
        <v>5472</v>
      </c>
      <c r="DS12" s="1566">
        <v>4367</v>
      </c>
      <c r="DT12" s="1566">
        <v>8249</v>
      </c>
      <c r="DU12" s="1566">
        <v>4546</v>
      </c>
      <c r="DV12" s="1566">
        <v>4379</v>
      </c>
      <c r="DW12" s="1566">
        <v>15460</v>
      </c>
      <c r="DX12" s="1566">
        <v>4370</v>
      </c>
      <c r="DY12" s="1566">
        <v>4790</v>
      </c>
      <c r="DZ12" s="1567">
        <v>12653</v>
      </c>
      <c r="EA12" s="1568">
        <f t="shared" si="28"/>
        <v>70320</v>
      </c>
      <c r="EB12" s="1565">
        <v>181</v>
      </c>
      <c r="EC12" s="1566">
        <v>528</v>
      </c>
      <c r="ED12" s="1566">
        <v>3080</v>
      </c>
      <c r="EE12" s="1566">
        <v>1320</v>
      </c>
      <c r="EF12" s="1566">
        <v>2420</v>
      </c>
      <c r="EG12" s="1566">
        <v>9568</v>
      </c>
      <c r="EH12" s="1566">
        <v>6981</v>
      </c>
      <c r="EI12" s="1566">
        <v>8890</v>
      </c>
      <c r="EJ12" s="1566">
        <v>5049</v>
      </c>
      <c r="EK12" s="1566">
        <v>4291</v>
      </c>
      <c r="EL12" s="1566">
        <v>5502</v>
      </c>
      <c r="EM12" s="1567">
        <v>16760</v>
      </c>
      <c r="EN12" s="1568">
        <f t="shared" si="29"/>
        <v>64570</v>
      </c>
      <c r="EO12" s="1565">
        <v>9</v>
      </c>
      <c r="EP12" s="1566">
        <v>5790</v>
      </c>
      <c r="EQ12" s="1566">
        <v>7917</v>
      </c>
      <c r="ER12" s="1566">
        <v>10116</v>
      </c>
      <c r="ES12" s="1566">
        <v>7727</v>
      </c>
      <c r="ET12" s="1566">
        <v>4136</v>
      </c>
      <c r="EU12" s="1566">
        <v>2367</v>
      </c>
      <c r="EV12" s="1566">
        <v>7642</v>
      </c>
      <c r="EW12" s="1566">
        <v>5766</v>
      </c>
      <c r="EX12" s="1566">
        <v>4451</v>
      </c>
      <c r="EY12" s="1566">
        <v>5980</v>
      </c>
      <c r="EZ12" s="1567">
        <v>10510</v>
      </c>
      <c r="FA12" s="1568">
        <f t="shared" si="30"/>
        <v>72411</v>
      </c>
      <c r="FB12" s="1565">
        <v>437</v>
      </c>
      <c r="FC12" s="1566">
        <v>2071</v>
      </c>
      <c r="FD12" s="1566">
        <v>2328</v>
      </c>
      <c r="FE12" s="1566">
        <v>471</v>
      </c>
      <c r="FF12" s="1566">
        <v>512</v>
      </c>
      <c r="FG12" s="1566">
        <v>1556</v>
      </c>
      <c r="FH12" s="1566">
        <v>2022</v>
      </c>
      <c r="FI12" s="1566">
        <v>807</v>
      </c>
      <c r="FJ12" s="1566">
        <v>2344</v>
      </c>
      <c r="FK12" s="1566">
        <v>2726</v>
      </c>
      <c r="FL12" s="1566">
        <v>1910</v>
      </c>
      <c r="FM12" s="1567">
        <v>6249</v>
      </c>
      <c r="FN12" s="1568">
        <f t="shared" si="41"/>
        <v>23433</v>
      </c>
      <c r="FO12" s="1565">
        <v>343</v>
      </c>
      <c r="FP12" s="1566">
        <v>448</v>
      </c>
      <c r="FQ12" s="1566">
        <v>1512</v>
      </c>
      <c r="FR12" s="1566">
        <v>1100</v>
      </c>
      <c r="FS12" s="1566">
        <v>859</v>
      </c>
      <c r="FT12" s="1566">
        <v>1790</v>
      </c>
      <c r="FU12" s="1566">
        <v>613</v>
      </c>
      <c r="FV12" s="1566">
        <v>1157</v>
      </c>
      <c r="FW12" s="1566">
        <v>1179</v>
      </c>
      <c r="FX12" s="1566">
        <v>2992</v>
      </c>
      <c r="FY12" s="1566">
        <v>1070</v>
      </c>
      <c r="FZ12" s="1567">
        <v>4798</v>
      </c>
      <c r="GA12" s="1568">
        <f t="shared" si="31"/>
        <v>17861</v>
      </c>
      <c r="GB12" s="1565">
        <v>671</v>
      </c>
      <c r="GC12" s="1566">
        <v>1319</v>
      </c>
      <c r="GD12" s="1566">
        <v>2538</v>
      </c>
      <c r="GE12" s="1566">
        <v>7566</v>
      </c>
      <c r="GF12" s="1566">
        <v>2194</v>
      </c>
      <c r="GG12" s="1566">
        <v>2138</v>
      </c>
      <c r="GH12" s="1566">
        <v>2327</v>
      </c>
      <c r="GI12" s="1566">
        <v>3316</v>
      </c>
      <c r="GJ12" s="1566">
        <v>3184</v>
      </c>
      <c r="GK12" s="1566">
        <v>2769</v>
      </c>
      <c r="GL12" s="1566">
        <v>13070</v>
      </c>
      <c r="GM12" s="1567">
        <v>13234</v>
      </c>
      <c r="GN12" s="1568">
        <f t="shared" si="32"/>
        <v>54326</v>
      </c>
      <c r="GO12" s="1565">
        <v>76</v>
      </c>
      <c r="GP12" s="1566">
        <v>5881</v>
      </c>
      <c r="GQ12" s="1566">
        <v>6794</v>
      </c>
      <c r="GR12" s="1566">
        <v>5876</v>
      </c>
      <c r="GS12" s="1566">
        <v>3456</v>
      </c>
      <c r="GT12" s="1566">
        <v>8947</v>
      </c>
      <c r="GU12" s="1566">
        <v>3171</v>
      </c>
      <c r="GV12" s="1566">
        <v>4987</v>
      </c>
      <c r="GW12" s="1566">
        <v>4304</v>
      </c>
      <c r="GX12" s="1566">
        <v>6732</v>
      </c>
      <c r="GY12" s="1566">
        <v>6503</v>
      </c>
      <c r="GZ12" s="1567">
        <v>10943</v>
      </c>
      <c r="HA12" s="1568">
        <f t="shared" si="33"/>
        <v>67670</v>
      </c>
      <c r="HB12" s="1565">
        <v>1179</v>
      </c>
      <c r="HC12" s="1566">
        <v>4007</v>
      </c>
      <c r="HD12" s="1566">
        <v>1905</v>
      </c>
      <c r="HE12" s="1566">
        <v>1506</v>
      </c>
      <c r="HF12" s="1566">
        <v>1950</v>
      </c>
      <c r="HG12" s="1566">
        <v>1267</v>
      </c>
      <c r="HH12" s="1566">
        <v>650</v>
      </c>
      <c r="HI12" s="1566">
        <v>445</v>
      </c>
      <c r="HJ12" s="1566">
        <v>1129</v>
      </c>
      <c r="HK12" s="1566">
        <v>525</v>
      </c>
      <c r="HL12" s="1566">
        <v>1909</v>
      </c>
      <c r="HM12" s="1567">
        <v>4585</v>
      </c>
      <c r="HN12" s="1568">
        <f t="shared" si="34"/>
        <v>21057</v>
      </c>
      <c r="HO12" s="1565">
        <v>391</v>
      </c>
      <c r="HP12" s="1566">
        <v>1298</v>
      </c>
      <c r="HQ12" s="1566">
        <v>2115</v>
      </c>
      <c r="HR12" s="1566">
        <v>1100</v>
      </c>
      <c r="HS12" s="1566">
        <v>1124</v>
      </c>
      <c r="HT12" s="1566">
        <v>2714</v>
      </c>
      <c r="HU12" s="1566">
        <v>1563</v>
      </c>
      <c r="HV12" s="1566">
        <v>3096</v>
      </c>
      <c r="HW12" s="1566">
        <v>2122</v>
      </c>
      <c r="HX12" s="1566">
        <v>3487</v>
      </c>
      <c r="HY12" s="1566">
        <v>3566</v>
      </c>
      <c r="HZ12" s="1567">
        <v>9267</v>
      </c>
      <c r="IA12" s="1565">
        <f t="shared" si="42"/>
        <v>31843</v>
      </c>
      <c r="IB12" s="1569">
        <v>571</v>
      </c>
      <c r="IC12" s="1068">
        <v>1011</v>
      </c>
      <c r="ID12" s="1068">
        <v>2606</v>
      </c>
      <c r="IE12" s="1068">
        <v>959</v>
      </c>
      <c r="IF12" s="1068">
        <v>2914</v>
      </c>
      <c r="IG12" s="1068">
        <v>2915</v>
      </c>
      <c r="IH12" s="1068">
        <v>4714</v>
      </c>
      <c r="II12" s="1068">
        <v>3814</v>
      </c>
      <c r="IJ12" s="1068"/>
      <c r="IK12" s="1068"/>
      <c r="IL12" s="1068"/>
      <c r="IM12" s="1570"/>
      <c r="IN12" s="1571">
        <f t="shared" si="35"/>
        <v>19504</v>
      </c>
      <c r="IO12"/>
      <c r="IP12" s="1656">
        <f t="shared" si="36"/>
        <v>23.191214470284226</v>
      </c>
      <c r="IQ12" s="1656">
        <f t="shared" si="37"/>
        <v>45.541377509141114</v>
      </c>
      <c r="IR12" s="1657">
        <f t="shared" si="38"/>
        <v>13401</v>
      </c>
      <c r="IS12" s="1657">
        <f t="shared" si="39"/>
        <v>19504</v>
      </c>
      <c r="IT12" s="1658"/>
      <c r="IU12" s="221">
        <f t="shared" si="40"/>
        <v>718</v>
      </c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</row>
    <row r="13" spans="1:280" s="105" customFormat="1" ht="15" customHeight="1" x14ac:dyDescent="0.2">
      <c r="A13" s="1551" t="s">
        <v>628</v>
      </c>
      <c r="B13" s="1565">
        <v>40</v>
      </c>
      <c r="C13" s="1566">
        <v>49</v>
      </c>
      <c r="D13" s="1566">
        <v>80</v>
      </c>
      <c r="E13" s="1566">
        <v>54</v>
      </c>
      <c r="F13" s="1566">
        <v>26</v>
      </c>
      <c r="G13" s="1566">
        <v>350</v>
      </c>
      <c r="H13" s="1566">
        <v>200</v>
      </c>
      <c r="I13" s="1566">
        <v>294</v>
      </c>
      <c r="J13" s="1566">
        <v>231</v>
      </c>
      <c r="K13" s="1566">
        <v>329</v>
      </c>
      <c r="L13" s="1566">
        <v>354</v>
      </c>
      <c r="M13" s="1567">
        <v>346</v>
      </c>
      <c r="N13" s="1568">
        <f t="shared" si="1"/>
        <v>2353</v>
      </c>
      <c r="O13" s="1565">
        <v>1</v>
      </c>
      <c r="P13" s="1566">
        <v>2</v>
      </c>
      <c r="Q13" s="1566">
        <v>72</v>
      </c>
      <c r="R13" s="1566">
        <v>571</v>
      </c>
      <c r="S13" s="1566">
        <v>279</v>
      </c>
      <c r="T13" s="1566">
        <v>482</v>
      </c>
      <c r="U13" s="1566">
        <v>369</v>
      </c>
      <c r="V13" s="1566">
        <v>248</v>
      </c>
      <c r="W13" s="1566">
        <v>493</v>
      </c>
      <c r="X13" s="1566">
        <v>268</v>
      </c>
      <c r="Y13" s="1566">
        <v>138</v>
      </c>
      <c r="Z13" s="1567">
        <v>594</v>
      </c>
      <c r="AA13" s="1568">
        <f t="shared" si="3"/>
        <v>3517</v>
      </c>
      <c r="AB13" s="1565">
        <v>70</v>
      </c>
      <c r="AC13" s="1566">
        <v>240</v>
      </c>
      <c r="AD13" s="1566">
        <v>208</v>
      </c>
      <c r="AE13" s="1566">
        <v>64</v>
      </c>
      <c r="AF13" s="1566">
        <v>56</v>
      </c>
      <c r="AG13" s="1566">
        <v>65</v>
      </c>
      <c r="AH13" s="1566">
        <v>89</v>
      </c>
      <c r="AI13" s="1566">
        <v>152</v>
      </c>
      <c r="AJ13" s="1566">
        <v>112</v>
      </c>
      <c r="AK13" s="1566">
        <v>24</v>
      </c>
      <c r="AL13" s="1566">
        <v>233</v>
      </c>
      <c r="AM13" s="1567">
        <v>216</v>
      </c>
      <c r="AN13" s="1568">
        <f t="shared" si="5"/>
        <v>1529</v>
      </c>
      <c r="AO13" s="1565">
        <v>0</v>
      </c>
      <c r="AP13" s="1566">
        <v>65</v>
      </c>
      <c r="AQ13" s="1566">
        <v>104</v>
      </c>
      <c r="AR13" s="1566">
        <v>220</v>
      </c>
      <c r="AS13" s="1566">
        <v>104</v>
      </c>
      <c r="AT13" s="1566">
        <v>55</v>
      </c>
      <c r="AU13" s="1566">
        <v>33</v>
      </c>
      <c r="AV13" s="1566">
        <v>20</v>
      </c>
      <c r="AW13" s="1566">
        <v>184</v>
      </c>
      <c r="AX13" s="1566">
        <v>88</v>
      </c>
      <c r="AY13" s="1566">
        <v>140</v>
      </c>
      <c r="AZ13" s="1567">
        <v>2372</v>
      </c>
      <c r="BA13" s="1568">
        <f t="shared" si="7"/>
        <v>3385</v>
      </c>
      <c r="BB13" s="1565">
        <v>2</v>
      </c>
      <c r="BC13" s="1566">
        <v>139</v>
      </c>
      <c r="BD13" s="1566">
        <v>316</v>
      </c>
      <c r="BE13" s="1566">
        <v>44</v>
      </c>
      <c r="BF13" s="1566">
        <v>54</v>
      </c>
      <c r="BG13" s="1566">
        <v>2651</v>
      </c>
      <c r="BH13" s="1566">
        <v>385</v>
      </c>
      <c r="BI13" s="1566">
        <v>454</v>
      </c>
      <c r="BJ13" s="1566">
        <v>1364</v>
      </c>
      <c r="BK13" s="1566">
        <v>486</v>
      </c>
      <c r="BL13" s="1566">
        <v>1295</v>
      </c>
      <c r="BM13" s="1567">
        <v>1141</v>
      </c>
      <c r="BN13" s="1568">
        <f t="shared" si="9"/>
        <v>8331</v>
      </c>
      <c r="BO13" s="1565">
        <v>105</v>
      </c>
      <c r="BP13" s="1566">
        <v>195</v>
      </c>
      <c r="BQ13" s="1566">
        <v>188</v>
      </c>
      <c r="BR13" s="1566">
        <v>1097</v>
      </c>
      <c r="BS13" s="1566">
        <v>208</v>
      </c>
      <c r="BT13" s="1566">
        <v>632</v>
      </c>
      <c r="BU13" s="1566">
        <v>1182</v>
      </c>
      <c r="BV13" s="1566">
        <v>-447</v>
      </c>
      <c r="BW13" s="1566">
        <v>66</v>
      </c>
      <c r="BX13" s="1566">
        <v>176</v>
      </c>
      <c r="BY13" s="1566">
        <v>59</v>
      </c>
      <c r="BZ13" s="1567">
        <v>-48</v>
      </c>
      <c r="CA13" s="1568">
        <f t="shared" si="11"/>
        <v>3413</v>
      </c>
      <c r="CB13" s="1565">
        <v>169</v>
      </c>
      <c r="CC13" s="1566">
        <v>67</v>
      </c>
      <c r="CD13" s="1566">
        <v>363</v>
      </c>
      <c r="CE13" s="1566">
        <v>86</v>
      </c>
      <c r="CF13" s="1566">
        <v>142</v>
      </c>
      <c r="CG13" s="1566">
        <v>460</v>
      </c>
      <c r="CH13" s="1566">
        <v>265</v>
      </c>
      <c r="CI13" s="1566">
        <v>433</v>
      </c>
      <c r="CJ13" s="1566">
        <v>170</v>
      </c>
      <c r="CK13" s="1566">
        <v>221</v>
      </c>
      <c r="CL13" s="1566">
        <v>102</v>
      </c>
      <c r="CM13" s="1567">
        <v>578</v>
      </c>
      <c r="CN13" s="1568">
        <f t="shared" si="13"/>
        <v>3056</v>
      </c>
      <c r="CO13" s="1565">
        <v>95</v>
      </c>
      <c r="CP13" s="1566">
        <v>137</v>
      </c>
      <c r="CQ13" s="1566">
        <v>99</v>
      </c>
      <c r="CR13" s="1566">
        <v>73</v>
      </c>
      <c r="CS13" s="1566">
        <v>27</v>
      </c>
      <c r="CT13" s="1566">
        <v>67</v>
      </c>
      <c r="CU13" s="1566">
        <v>63</v>
      </c>
      <c r="CV13" s="1566">
        <v>110</v>
      </c>
      <c r="CW13" s="1566">
        <v>115</v>
      </c>
      <c r="CX13" s="1566">
        <v>104</v>
      </c>
      <c r="CY13" s="1566">
        <v>371</v>
      </c>
      <c r="CZ13" s="1567">
        <v>232</v>
      </c>
      <c r="DA13" s="1568">
        <f t="shared" si="15"/>
        <v>1493</v>
      </c>
      <c r="DB13" s="1565">
        <v>569</v>
      </c>
      <c r="DC13" s="1566">
        <v>-225</v>
      </c>
      <c r="DD13" s="1566">
        <v>52</v>
      </c>
      <c r="DE13" s="1566">
        <v>827</v>
      </c>
      <c r="DF13" s="1566">
        <v>813</v>
      </c>
      <c r="DG13" s="1566">
        <v>255</v>
      </c>
      <c r="DH13" s="1566">
        <v>175</v>
      </c>
      <c r="DI13" s="1566">
        <v>202</v>
      </c>
      <c r="DJ13" s="1566">
        <v>59</v>
      </c>
      <c r="DK13" s="1566">
        <v>135</v>
      </c>
      <c r="DL13" s="1566">
        <v>77</v>
      </c>
      <c r="DM13" s="1567">
        <v>50</v>
      </c>
      <c r="DN13" s="1568">
        <f t="shared" si="27"/>
        <v>2989</v>
      </c>
      <c r="DO13" s="1565">
        <v>0</v>
      </c>
      <c r="DP13" s="1566">
        <v>37</v>
      </c>
      <c r="DQ13" s="1566">
        <v>0</v>
      </c>
      <c r="DR13" s="1566">
        <v>26</v>
      </c>
      <c r="DS13" s="1566">
        <v>-2</v>
      </c>
      <c r="DT13" s="1566">
        <v>367</v>
      </c>
      <c r="DU13" s="1566">
        <v>310</v>
      </c>
      <c r="DV13" s="1566">
        <v>11</v>
      </c>
      <c r="DW13" s="1566">
        <v>355</v>
      </c>
      <c r="DX13" s="1566">
        <v>38</v>
      </c>
      <c r="DY13" s="1566">
        <v>106</v>
      </c>
      <c r="DZ13" s="1567">
        <v>161</v>
      </c>
      <c r="EA13" s="1568">
        <f t="shared" si="28"/>
        <v>1409</v>
      </c>
      <c r="EB13" s="1565">
        <v>60</v>
      </c>
      <c r="EC13" s="1566">
        <v>52</v>
      </c>
      <c r="ED13" s="1566">
        <v>142</v>
      </c>
      <c r="EE13" s="1566">
        <v>213</v>
      </c>
      <c r="EF13" s="1566">
        <v>188</v>
      </c>
      <c r="EG13" s="1566">
        <v>576</v>
      </c>
      <c r="EH13" s="1566">
        <v>504</v>
      </c>
      <c r="EI13" s="1566">
        <v>777</v>
      </c>
      <c r="EJ13" s="1566">
        <v>492</v>
      </c>
      <c r="EK13" s="1566">
        <v>1082</v>
      </c>
      <c r="EL13" s="1566">
        <v>1915</v>
      </c>
      <c r="EM13" s="1567">
        <v>699</v>
      </c>
      <c r="EN13" s="1568">
        <f t="shared" si="29"/>
        <v>6700</v>
      </c>
      <c r="EO13" s="1565">
        <v>0</v>
      </c>
      <c r="EP13" s="1566">
        <v>25</v>
      </c>
      <c r="EQ13" s="1566">
        <v>98</v>
      </c>
      <c r="ER13" s="1566">
        <v>74</v>
      </c>
      <c r="ES13" s="1566">
        <v>0</v>
      </c>
      <c r="ET13" s="1566">
        <v>192</v>
      </c>
      <c r="EU13" s="1566">
        <v>246</v>
      </c>
      <c r="EV13" s="1566">
        <v>46</v>
      </c>
      <c r="EW13" s="1566">
        <v>865</v>
      </c>
      <c r="EX13" s="1566">
        <v>74</v>
      </c>
      <c r="EY13" s="1566">
        <v>0</v>
      </c>
      <c r="EZ13" s="1567">
        <v>-377</v>
      </c>
      <c r="FA13" s="1568">
        <f t="shared" si="30"/>
        <v>1243</v>
      </c>
      <c r="FB13" s="1565">
        <v>21</v>
      </c>
      <c r="FC13" s="1566">
        <v>83</v>
      </c>
      <c r="FD13" s="1566">
        <v>4</v>
      </c>
      <c r="FE13" s="1566">
        <v>170</v>
      </c>
      <c r="FF13" s="1566">
        <v>38</v>
      </c>
      <c r="FG13" s="1566">
        <v>0</v>
      </c>
      <c r="FH13" s="1566">
        <v>13</v>
      </c>
      <c r="FI13" s="1566">
        <v>0</v>
      </c>
      <c r="FJ13" s="1566">
        <v>110</v>
      </c>
      <c r="FK13" s="1566">
        <v>3</v>
      </c>
      <c r="FL13" s="1566">
        <v>35</v>
      </c>
      <c r="FM13" s="1567">
        <v>419</v>
      </c>
      <c r="FN13" s="1568">
        <f t="shared" si="41"/>
        <v>896</v>
      </c>
      <c r="FO13" s="1565">
        <v>10</v>
      </c>
      <c r="FP13" s="1566">
        <v>60</v>
      </c>
      <c r="FQ13" s="1566">
        <v>72</v>
      </c>
      <c r="FR13" s="1566">
        <v>7</v>
      </c>
      <c r="FS13" s="1566">
        <v>16</v>
      </c>
      <c r="FT13" s="1566">
        <v>427</v>
      </c>
      <c r="FU13" s="1566">
        <v>232</v>
      </c>
      <c r="FV13" s="1566">
        <v>68</v>
      </c>
      <c r="FW13" s="1566">
        <v>34</v>
      </c>
      <c r="FX13" s="1566">
        <v>8</v>
      </c>
      <c r="FY13" s="1566">
        <v>65</v>
      </c>
      <c r="FZ13" s="1567">
        <v>202</v>
      </c>
      <c r="GA13" s="1568">
        <f t="shared" si="31"/>
        <v>1201</v>
      </c>
      <c r="GB13" s="1565">
        <v>0</v>
      </c>
      <c r="GC13" s="1566">
        <v>110</v>
      </c>
      <c r="GD13" s="1566">
        <v>368</v>
      </c>
      <c r="GE13" s="1566">
        <v>108</v>
      </c>
      <c r="GF13" s="1566">
        <v>115</v>
      </c>
      <c r="GG13" s="1566">
        <v>245</v>
      </c>
      <c r="GH13" s="1566">
        <v>101</v>
      </c>
      <c r="GI13" s="1566">
        <v>42</v>
      </c>
      <c r="GJ13" s="1566">
        <v>321</v>
      </c>
      <c r="GK13" s="1566">
        <v>152</v>
      </c>
      <c r="GL13" s="1566">
        <v>256</v>
      </c>
      <c r="GM13" s="1567">
        <v>95</v>
      </c>
      <c r="GN13" s="1568">
        <f t="shared" si="32"/>
        <v>1913</v>
      </c>
      <c r="GO13" s="1565">
        <v>0</v>
      </c>
      <c r="GP13" s="1566">
        <v>0</v>
      </c>
      <c r="GQ13" s="1566">
        <v>7</v>
      </c>
      <c r="GR13" s="1566">
        <v>45</v>
      </c>
      <c r="GS13" s="1566">
        <v>0</v>
      </c>
      <c r="GT13" s="1566">
        <v>65</v>
      </c>
      <c r="GU13" s="1566">
        <v>8</v>
      </c>
      <c r="GV13" s="1566">
        <v>3</v>
      </c>
      <c r="GW13" s="1566">
        <v>6</v>
      </c>
      <c r="GX13" s="1566">
        <v>0</v>
      </c>
      <c r="GY13" s="1566">
        <v>169</v>
      </c>
      <c r="GZ13" s="1567">
        <v>71</v>
      </c>
      <c r="HA13" s="1568">
        <f t="shared" si="33"/>
        <v>374</v>
      </c>
      <c r="HB13" s="1565">
        <v>0</v>
      </c>
      <c r="HC13" s="1566">
        <v>0</v>
      </c>
      <c r="HD13" s="1566">
        <v>0</v>
      </c>
      <c r="HE13" s="1566">
        <v>0</v>
      </c>
      <c r="HF13" s="1566">
        <v>10</v>
      </c>
      <c r="HG13" s="1566">
        <v>27</v>
      </c>
      <c r="HH13" s="1566">
        <v>11</v>
      </c>
      <c r="HI13" s="1566">
        <v>0</v>
      </c>
      <c r="HJ13" s="1566">
        <v>0</v>
      </c>
      <c r="HK13" s="1566">
        <v>75</v>
      </c>
      <c r="HL13" s="1566">
        <v>37</v>
      </c>
      <c r="HM13" s="1567">
        <v>64</v>
      </c>
      <c r="HN13" s="1568">
        <f t="shared" si="34"/>
        <v>224</v>
      </c>
      <c r="HO13" s="1565">
        <v>0</v>
      </c>
      <c r="HP13" s="1566">
        <v>0</v>
      </c>
      <c r="HQ13" s="1566">
        <v>0</v>
      </c>
      <c r="HR13" s="1566">
        <v>20</v>
      </c>
      <c r="HS13" s="1566">
        <v>0</v>
      </c>
      <c r="HT13" s="1566">
        <v>0</v>
      </c>
      <c r="HU13" s="1566">
        <v>7</v>
      </c>
      <c r="HV13" s="1566">
        <v>0</v>
      </c>
      <c r="HW13" s="1566">
        <v>40</v>
      </c>
      <c r="HX13" s="1566">
        <v>22</v>
      </c>
      <c r="HY13" s="1566">
        <v>27</v>
      </c>
      <c r="HZ13" s="1567">
        <v>60</v>
      </c>
      <c r="IA13" s="1565">
        <f t="shared" si="42"/>
        <v>176</v>
      </c>
      <c r="IB13" s="1569">
        <v>0</v>
      </c>
      <c r="IC13" s="1068">
        <v>0</v>
      </c>
      <c r="ID13" s="1068">
        <v>7</v>
      </c>
      <c r="IE13" s="1068">
        <v>3</v>
      </c>
      <c r="IF13" s="1068">
        <v>179</v>
      </c>
      <c r="IG13" s="1068">
        <v>21</v>
      </c>
      <c r="IH13" s="1068">
        <v>105</v>
      </c>
      <c r="II13" s="1068">
        <v>24</v>
      </c>
      <c r="IJ13" s="1068"/>
      <c r="IK13" s="1068"/>
      <c r="IL13" s="1068"/>
      <c r="IM13" s="1570"/>
      <c r="IN13" s="1571">
        <f t="shared" si="35"/>
        <v>339</v>
      </c>
      <c r="IO13"/>
      <c r="IP13" s="1656" t="str">
        <f t="shared" si="36"/>
        <v/>
      </c>
      <c r="IQ13" s="1656">
        <f t="shared" si="37"/>
        <v>1155.5555555555554</v>
      </c>
      <c r="IR13" s="1657">
        <f t="shared" si="38"/>
        <v>27</v>
      </c>
      <c r="IS13" s="1657">
        <f t="shared" si="39"/>
        <v>339</v>
      </c>
      <c r="IT13" s="1658"/>
      <c r="IU13" s="221">
        <f t="shared" si="40"/>
        <v>24</v>
      </c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</row>
    <row r="14" spans="1:280" s="105" customFormat="1" ht="15" customHeight="1" x14ac:dyDescent="0.2">
      <c r="A14" s="1551" t="s">
        <v>629</v>
      </c>
      <c r="B14" s="1565">
        <v>75</v>
      </c>
      <c r="C14" s="1566">
        <v>98</v>
      </c>
      <c r="D14" s="1566">
        <v>89</v>
      </c>
      <c r="E14" s="1566">
        <v>53</v>
      </c>
      <c r="F14" s="1566">
        <v>57</v>
      </c>
      <c r="G14" s="1566">
        <v>51</v>
      </c>
      <c r="H14" s="1566">
        <v>82</v>
      </c>
      <c r="I14" s="1566">
        <v>78</v>
      </c>
      <c r="J14" s="1566">
        <v>88</v>
      </c>
      <c r="K14" s="1566">
        <v>161</v>
      </c>
      <c r="L14" s="1566">
        <v>210</v>
      </c>
      <c r="M14" s="1567">
        <v>282</v>
      </c>
      <c r="N14" s="1568">
        <f t="shared" si="1"/>
        <v>1324</v>
      </c>
      <c r="O14" s="1565">
        <v>0</v>
      </c>
      <c r="P14" s="1566">
        <v>0</v>
      </c>
      <c r="Q14" s="1566">
        <v>2</v>
      </c>
      <c r="R14" s="1566">
        <v>2</v>
      </c>
      <c r="S14" s="1566">
        <v>2</v>
      </c>
      <c r="T14" s="1566">
        <v>2</v>
      </c>
      <c r="U14" s="1566">
        <v>2</v>
      </c>
      <c r="V14" s="1566">
        <v>2</v>
      </c>
      <c r="W14" s="1566">
        <v>2</v>
      </c>
      <c r="X14" s="1566">
        <v>2</v>
      </c>
      <c r="Y14" s="1566">
        <v>2</v>
      </c>
      <c r="Z14" s="1567">
        <v>2</v>
      </c>
      <c r="AA14" s="1568">
        <f t="shared" si="3"/>
        <v>20</v>
      </c>
      <c r="AB14" s="1565">
        <v>1</v>
      </c>
      <c r="AC14" s="1566">
        <v>3</v>
      </c>
      <c r="AD14" s="1566">
        <v>6</v>
      </c>
      <c r="AE14" s="1566">
        <v>7</v>
      </c>
      <c r="AF14" s="1566">
        <v>2</v>
      </c>
      <c r="AG14" s="1566">
        <v>2</v>
      </c>
      <c r="AH14" s="1566">
        <v>79</v>
      </c>
      <c r="AI14" s="1566">
        <v>41</v>
      </c>
      <c r="AJ14" s="1566">
        <v>11</v>
      </c>
      <c r="AK14" s="1566">
        <v>2</v>
      </c>
      <c r="AL14" s="1566">
        <v>1</v>
      </c>
      <c r="AM14" s="1567">
        <v>2</v>
      </c>
      <c r="AN14" s="1568">
        <f t="shared" si="5"/>
        <v>157</v>
      </c>
      <c r="AO14" s="1565">
        <v>0</v>
      </c>
      <c r="AP14" s="1566">
        <v>0</v>
      </c>
      <c r="AQ14" s="1566">
        <v>0</v>
      </c>
      <c r="AR14" s="1566">
        <v>0</v>
      </c>
      <c r="AS14" s="1566">
        <v>0</v>
      </c>
      <c r="AT14" s="1566">
        <v>0</v>
      </c>
      <c r="AU14" s="1566">
        <v>0</v>
      </c>
      <c r="AV14" s="1566">
        <v>0</v>
      </c>
      <c r="AW14" s="1566">
        <v>0</v>
      </c>
      <c r="AX14" s="1566">
        <v>0</v>
      </c>
      <c r="AY14" s="1566"/>
      <c r="AZ14" s="1567">
        <v>0</v>
      </c>
      <c r="BA14" s="1568">
        <f t="shared" si="7"/>
        <v>0</v>
      </c>
      <c r="BB14" s="1565">
        <v>0</v>
      </c>
      <c r="BC14" s="1566">
        <v>0</v>
      </c>
      <c r="BD14" s="1566"/>
      <c r="BE14" s="1566">
        <v>0</v>
      </c>
      <c r="BF14" s="1566">
        <v>0</v>
      </c>
      <c r="BG14" s="1566">
        <v>0</v>
      </c>
      <c r="BH14" s="1566">
        <v>0</v>
      </c>
      <c r="BI14" s="1566">
        <v>0</v>
      </c>
      <c r="BJ14" s="1566">
        <v>0</v>
      </c>
      <c r="BK14" s="1566">
        <v>0</v>
      </c>
      <c r="BL14" s="1566">
        <v>6</v>
      </c>
      <c r="BM14" s="1567">
        <v>0</v>
      </c>
      <c r="BN14" s="1568">
        <f t="shared" si="9"/>
        <v>6</v>
      </c>
      <c r="BO14" s="1565">
        <v>0</v>
      </c>
      <c r="BP14" s="1566">
        <v>0</v>
      </c>
      <c r="BQ14" s="1566">
        <v>0</v>
      </c>
      <c r="BR14" s="1566">
        <v>0</v>
      </c>
      <c r="BS14" s="1566">
        <v>0</v>
      </c>
      <c r="BT14" s="1566">
        <v>0</v>
      </c>
      <c r="BU14" s="1566">
        <v>0</v>
      </c>
      <c r="BV14" s="1566">
        <v>0</v>
      </c>
      <c r="BW14" s="1566">
        <v>0</v>
      </c>
      <c r="BX14" s="1566">
        <v>0</v>
      </c>
      <c r="BY14" s="1566">
        <v>0</v>
      </c>
      <c r="BZ14" s="1567">
        <v>0</v>
      </c>
      <c r="CA14" s="1568">
        <f t="shared" si="11"/>
        <v>0</v>
      </c>
      <c r="CB14" s="1565">
        <v>0</v>
      </c>
      <c r="CC14" s="1566">
        <v>0</v>
      </c>
      <c r="CD14" s="1566">
        <v>0</v>
      </c>
      <c r="CE14" s="1566">
        <v>0</v>
      </c>
      <c r="CF14" s="1566">
        <v>21</v>
      </c>
      <c r="CG14" s="1566">
        <v>47</v>
      </c>
      <c r="CH14" s="1566">
        <v>21</v>
      </c>
      <c r="CI14" s="1566">
        <v>131</v>
      </c>
      <c r="CJ14" s="1566">
        <v>34</v>
      </c>
      <c r="CK14" s="1566">
        <v>24</v>
      </c>
      <c r="CL14" s="1566">
        <v>25</v>
      </c>
      <c r="CM14" s="1567">
        <v>17</v>
      </c>
      <c r="CN14" s="1568">
        <f t="shared" si="13"/>
        <v>320</v>
      </c>
      <c r="CO14" s="1565">
        <v>0</v>
      </c>
      <c r="CP14" s="1566">
        <v>7</v>
      </c>
      <c r="CQ14" s="1566">
        <v>0</v>
      </c>
      <c r="CR14" s="1566">
        <v>0</v>
      </c>
      <c r="CS14" s="1566">
        <v>7</v>
      </c>
      <c r="CT14" s="1566">
        <v>19</v>
      </c>
      <c r="CU14" s="1566">
        <v>7</v>
      </c>
      <c r="CV14" s="1566">
        <v>7</v>
      </c>
      <c r="CW14" s="1566">
        <v>20</v>
      </c>
      <c r="CX14" s="1566">
        <v>6</v>
      </c>
      <c r="CY14" s="1566">
        <v>15</v>
      </c>
      <c r="CZ14" s="1567">
        <v>0</v>
      </c>
      <c r="DA14" s="1568">
        <f t="shared" si="15"/>
        <v>88</v>
      </c>
      <c r="DB14" s="1565">
        <v>0</v>
      </c>
      <c r="DC14" s="1566">
        <v>0</v>
      </c>
      <c r="DD14" s="1566">
        <v>0</v>
      </c>
      <c r="DE14" s="1566">
        <v>0</v>
      </c>
      <c r="DF14" s="1566">
        <v>0</v>
      </c>
      <c r="DG14" s="1566">
        <v>0</v>
      </c>
      <c r="DH14" s="1566">
        <v>0</v>
      </c>
      <c r="DI14" s="1566">
        <v>0</v>
      </c>
      <c r="DJ14" s="1566">
        <v>0</v>
      </c>
      <c r="DK14" s="1566">
        <v>1</v>
      </c>
      <c r="DL14" s="1566">
        <v>0</v>
      </c>
      <c r="DM14" s="1567">
        <v>31</v>
      </c>
      <c r="DN14" s="1568">
        <f t="shared" si="27"/>
        <v>32</v>
      </c>
      <c r="DO14" s="1565">
        <v>0</v>
      </c>
      <c r="DP14" s="1566">
        <v>0</v>
      </c>
      <c r="DQ14" s="1566">
        <v>0</v>
      </c>
      <c r="DR14" s="1566">
        <v>0</v>
      </c>
      <c r="DS14" s="1566">
        <v>0</v>
      </c>
      <c r="DT14" s="1566">
        <v>0</v>
      </c>
      <c r="DU14" s="1566">
        <v>0</v>
      </c>
      <c r="DV14" s="1566">
        <v>0</v>
      </c>
      <c r="DW14" s="1566">
        <v>0</v>
      </c>
      <c r="DX14" s="1566">
        <v>0</v>
      </c>
      <c r="DY14" s="1566">
        <v>0</v>
      </c>
      <c r="DZ14" s="1567">
        <v>0</v>
      </c>
      <c r="EA14" s="1568">
        <f t="shared" si="28"/>
        <v>0</v>
      </c>
      <c r="EB14" s="1565">
        <v>0</v>
      </c>
      <c r="EC14" s="1566">
        <v>0</v>
      </c>
      <c r="ED14" s="1566">
        <v>0</v>
      </c>
      <c r="EE14" s="1566">
        <v>0</v>
      </c>
      <c r="EF14" s="1566">
        <v>0</v>
      </c>
      <c r="EG14" s="1566">
        <v>0</v>
      </c>
      <c r="EH14" s="1566">
        <v>0</v>
      </c>
      <c r="EI14" s="1566">
        <v>0</v>
      </c>
      <c r="EJ14" s="1566">
        <v>1</v>
      </c>
      <c r="EK14" s="1566">
        <v>0</v>
      </c>
      <c r="EL14" s="1566">
        <v>0</v>
      </c>
      <c r="EM14" s="1567">
        <v>0</v>
      </c>
      <c r="EN14" s="1568">
        <f t="shared" si="29"/>
        <v>1</v>
      </c>
      <c r="EO14" s="1565">
        <v>0</v>
      </c>
      <c r="EP14" s="1566">
        <v>0</v>
      </c>
      <c r="EQ14" s="1566">
        <v>0</v>
      </c>
      <c r="ER14" s="1566">
        <v>0</v>
      </c>
      <c r="ES14" s="1566">
        <v>0</v>
      </c>
      <c r="ET14" s="1566">
        <v>0</v>
      </c>
      <c r="EU14" s="1566">
        <v>0</v>
      </c>
      <c r="EV14" s="1566">
        <v>0</v>
      </c>
      <c r="EW14" s="1566">
        <v>481</v>
      </c>
      <c r="EX14" s="1566">
        <v>0</v>
      </c>
      <c r="EY14" s="1566">
        <v>10</v>
      </c>
      <c r="EZ14" s="1567">
        <v>0</v>
      </c>
      <c r="FA14" s="1568">
        <f t="shared" si="30"/>
        <v>491</v>
      </c>
      <c r="FB14" s="1565">
        <v>0</v>
      </c>
      <c r="FC14" s="1566">
        <v>0</v>
      </c>
      <c r="FD14" s="1566">
        <v>4</v>
      </c>
      <c r="FE14" s="1566">
        <v>0</v>
      </c>
      <c r="FF14" s="1566">
        <v>0</v>
      </c>
      <c r="FG14" s="1566">
        <v>0</v>
      </c>
      <c r="FH14" s="1566">
        <v>0</v>
      </c>
      <c r="FI14" s="1566">
        <v>0</v>
      </c>
      <c r="FJ14" s="1566">
        <v>0</v>
      </c>
      <c r="FK14" s="1566">
        <v>0</v>
      </c>
      <c r="FL14" s="1566">
        <v>0</v>
      </c>
      <c r="FM14" s="1567">
        <v>0</v>
      </c>
      <c r="FN14" s="1568">
        <f t="shared" si="41"/>
        <v>4</v>
      </c>
      <c r="FO14" s="1565">
        <v>0</v>
      </c>
      <c r="FP14" s="1566">
        <v>0</v>
      </c>
      <c r="FQ14" s="1566">
        <v>0</v>
      </c>
      <c r="FR14" s="1566">
        <v>0</v>
      </c>
      <c r="FS14" s="1566">
        <v>1</v>
      </c>
      <c r="FT14" s="1566">
        <v>0</v>
      </c>
      <c r="FU14" s="1566">
        <v>0</v>
      </c>
      <c r="FV14" s="1566">
        <v>0</v>
      </c>
      <c r="FW14" s="1566">
        <v>0</v>
      </c>
      <c r="FX14" s="1566">
        <v>0</v>
      </c>
      <c r="FY14" s="1566">
        <v>0</v>
      </c>
      <c r="FZ14" s="1567">
        <v>0</v>
      </c>
      <c r="GA14" s="1568">
        <f t="shared" si="31"/>
        <v>1</v>
      </c>
      <c r="GB14" s="1565">
        <v>0</v>
      </c>
      <c r="GC14" s="1566">
        <v>0</v>
      </c>
      <c r="GD14" s="1566">
        <v>0</v>
      </c>
      <c r="GE14" s="1566">
        <v>0</v>
      </c>
      <c r="GF14" s="1566">
        <v>0</v>
      </c>
      <c r="GG14" s="1566">
        <v>0</v>
      </c>
      <c r="GH14" s="1566">
        <v>0</v>
      </c>
      <c r="GI14" s="1566">
        <v>0</v>
      </c>
      <c r="GJ14" s="1566">
        <v>0</v>
      </c>
      <c r="GK14" s="1566">
        <v>0</v>
      </c>
      <c r="GL14" s="1566">
        <v>0</v>
      </c>
      <c r="GM14" s="1567">
        <v>0</v>
      </c>
      <c r="GN14" s="1568">
        <f t="shared" si="32"/>
        <v>0</v>
      </c>
      <c r="GO14" s="1565">
        <v>0</v>
      </c>
      <c r="GP14" s="1566">
        <v>0</v>
      </c>
      <c r="GQ14" s="1566">
        <v>0</v>
      </c>
      <c r="GR14" s="1566">
        <v>0</v>
      </c>
      <c r="GS14" s="1566">
        <v>0</v>
      </c>
      <c r="GT14" s="1566">
        <v>2</v>
      </c>
      <c r="GU14" s="1566">
        <v>0</v>
      </c>
      <c r="GV14" s="1566">
        <v>0</v>
      </c>
      <c r="GW14" s="1566">
        <v>0</v>
      </c>
      <c r="GX14" s="1566">
        <v>0</v>
      </c>
      <c r="GY14" s="1566">
        <v>0</v>
      </c>
      <c r="GZ14" s="1567">
        <v>0</v>
      </c>
      <c r="HA14" s="1568">
        <f t="shared" si="33"/>
        <v>2</v>
      </c>
      <c r="HB14" s="1565">
        <v>9</v>
      </c>
      <c r="HC14" s="1566">
        <v>17</v>
      </c>
      <c r="HD14" s="1566">
        <v>14</v>
      </c>
      <c r="HE14" s="1566">
        <v>36</v>
      </c>
      <c r="HF14" s="1566">
        <v>8</v>
      </c>
      <c r="HG14" s="1566">
        <v>0</v>
      </c>
      <c r="HH14" s="1566">
        <v>0</v>
      </c>
      <c r="HI14" s="1566">
        <v>3</v>
      </c>
      <c r="HJ14" s="1566">
        <v>0</v>
      </c>
      <c r="HK14" s="1566">
        <v>2</v>
      </c>
      <c r="HL14" s="1566">
        <v>0</v>
      </c>
      <c r="HM14" s="1567">
        <v>0</v>
      </c>
      <c r="HN14" s="1568">
        <f t="shared" si="34"/>
        <v>89</v>
      </c>
      <c r="HO14" s="1565">
        <v>0</v>
      </c>
      <c r="HP14" s="1566">
        <v>0</v>
      </c>
      <c r="HQ14" s="1566">
        <v>0</v>
      </c>
      <c r="HR14" s="1566">
        <v>0</v>
      </c>
      <c r="HS14" s="1566">
        <v>0</v>
      </c>
      <c r="HT14" s="1566">
        <v>0</v>
      </c>
      <c r="HU14" s="1566">
        <v>0</v>
      </c>
      <c r="HV14" s="1566">
        <v>0</v>
      </c>
      <c r="HW14" s="1566">
        <v>0</v>
      </c>
      <c r="HX14" s="1566">
        <v>0</v>
      </c>
      <c r="HY14" s="1566">
        <v>0</v>
      </c>
      <c r="HZ14" s="1567">
        <v>0</v>
      </c>
      <c r="IA14" s="1565">
        <f t="shared" si="42"/>
        <v>0</v>
      </c>
      <c r="IB14" s="1569">
        <v>0</v>
      </c>
      <c r="IC14" s="1068">
        <v>0</v>
      </c>
      <c r="ID14" s="1068">
        <v>0</v>
      </c>
      <c r="IE14" s="1068">
        <v>0</v>
      </c>
      <c r="IF14" s="1068">
        <v>0</v>
      </c>
      <c r="IG14" s="1068">
        <v>0</v>
      </c>
      <c r="IH14" s="1068">
        <v>0</v>
      </c>
      <c r="II14" s="1068">
        <v>0</v>
      </c>
      <c r="IJ14" s="1068"/>
      <c r="IK14" s="1068"/>
      <c r="IL14" s="1068"/>
      <c r="IM14" s="1570"/>
      <c r="IN14" s="1571">
        <f t="shared" si="35"/>
        <v>0</v>
      </c>
      <c r="IO14"/>
      <c r="IP14" s="1656" t="str">
        <f t="shared" si="36"/>
        <v/>
      </c>
      <c r="IQ14" s="1656" t="str">
        <f t="shared" si="37"/>
        <v/>
      </c>
      <c r="IR14" s="1657">
        <f t="shared" si="38"/>
        <v>0</v>
      </c>
      <c r="IS14" s="1657">
        <f t="shared" si="39"/>
        <v>0</v>
      </c>
      <c r="IT14" s="1658"/>
      <c r="IU14" s="221">
        <f t="shared" si="40"/>
        <v>0</v>
      </c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</row>
    <row r="15" spans="1:280" s="105" customFormat="1" ht="15" customHeight="1" x14ac:dyDescent="0.2">
      <c r="A15" s="1551" t="s">
        <v>630</v>
      </c>
      <c r="B15" s="1565"/>
      <c r="C15" s="1566"/>
      <c r="D15" s="1566"/>
      <c r="E15" s="1566"/>
      <c r="F15" s="1566"/>
      <c r="G15" s="1566"/>
      <c r="H15" s="1566"/>
      <c r="I15" s="1566"/>
      <c r="J15" s="1566"/>
      <c r="K15" s="1566"/>
      <c r="L15" s="1566"/>
      <c r="M15" s="1567"/>
      <c r="N15" s="1568">
        <f t="shared" si="1"/>
        <v>0</v>
      </c>
      <c r="O15" s="1565"/>
      <c r="P15" s="1566"/>
      <c r="Q15" s="1566"/>
      <c r="R15" s="1566"/>
      <c r="S15" s="1566"/>
      <c r="T15" s="1566"/>
      <c r="U15" s="1566"/>
      <c r="V15" s="1566"/>
      <c r="W15" s="1566"/>
      <c r="X15" s="1566"/>
      <c r="Y15" s="1566"/>
      <c r="Z15" s="1567"/>
      <c r="AA15" s="1568">
        <f t="shared" si="3"/>
        <v>0</v>
      </c>
      <c r="AB15" s="1565"/>
      <c r="AC15" s="1566"/>
      <c r="AD15" s="1566"/>
      <c r="AE15" s="1566"/>
      <c r="AF15" s="1566"/>
      <c r="AG15" s="1566"/>
      <c r="AH15" s="1566"/>
      <c r="AI15" s="1566"/>
      <c r="AJ15" s="1566"/>
      <c r="AK15" s="1566"/>
      <c r="AL15" s="1566"/>
      <c r="AM15" s="1567"/>
      <c r="AN15" s="1568">
        <f t="shared" si="5"/>
        <v>0</v>
      </c>
      <c r="AO15" s="1565"/>
      <c r="AP15" s="1566"/>
      <c r="AQ15" s="1566"/>
      <c r="AR15" s="1566"/>
      <c r="AS15" s="1566"/>
      <c r="AT15" s="1566"/>
      <c r="AU15" s="1566"/>
      <c r="AV15" s="1566"/>
      <c r="AW15" s="1566"/>
      <c r="AX15" s="1566"/>
      <c r="AY15" s="1566"/>
      <c r="AZ15" s="1567"/>
      <c r="BA15" s="1568">
        <f t="shared" si="7"/>
        <v>0</v>
      </c>
      <c r="BB15" s="1565">
        <v>0</v>
      </c>
      <c r="BC15" s="1566">
        <v>0</v>
      </c>
      <c r="BD15" s="1566">
        <v>0</v>
      </c>
      <c r="BE15" s="1566">
        <v>0</v>
      </c>
      <c r="BF15" s="1566">
        <v>0</v>
      </c>
      <c r="BG15" s="1566">
        <v>0</v>
      </c>
      <c r="BH15" s="1566">
        <v>0</v>
      </c>
      <c r="BI15" s="1566">
        <v>0</v>
      </c>
      <c r="BJ15" s="1566">
        <v>0</v>
      </c>
      <c r="BK15" s="1566">
        <v>0</v>
      </c>
      <c r="BL15" s="1566">
        <v>0</v>
      </c>
      <c r="BM15" s="1567">
        <v>0</v>
      </c>
      <c r="BN15" s="1568">
        <f t="shared" si="9"/>
        <v>0</v>
      </c>
      <c r="BO15" s="1565">
        <v>0</v>
      </c>
      <c r="BP15" s="1566">
        <v>0</v>
      </c>
      <c r="BQ15" s="1566">
        <v>0</v>
      </c>
      <c r="BR15" s="1566">
        <v>0</v>
      </c>
      <c r="BS15" s="1566">
        <v>0</v>
      </c>
      <c r="BT15" s="1566">
        <v>0</v>
      </c>
      <c r="BU15" s="1566">
        <v>0</v>
      </c>
      <c r="BV15" s="1566">
        <v>0</v>
      </c>
      <c r="BW15" s="1566">
        <v>0</v>
      </c>
      <c r="BX15" s="1566">
        <v>0</v>
      </c>
      <c r="BY15" s="1566">
        <v>0</v>
      </c>
      <c r="BZ15" s="1567">
        <v>0</v>
      </c>
      <c r="CA15" s="1568">
        <f t="shared" si="11"/>
        <v>0</v>
      </c>
      <c r="CB15" s="1565">
        <v>0</v>
      </c>
      <c r="CC15" s="1566">
        <v>0</v>
      </c>
      <c r="CD15" s="1566">
        <v>0</v>
      </c>
      <c r="CE15" s="1566">
        <v>0</v>
      </c>
      <c r="CF15" s="1566">
        <v>0</v>
      </c>
      <c r="CG15" s="1566">
        <v>0</v>
      </c>
      <c r="CH15" s="1566">
        <v>0</v>
      </c>
      <c r="CI15" s="1566">
        <v>0</v>
      </c>
      <c r="CJ15" s="1566">
        <v>0</v>
      </c>
      <c r="CK15" s="1566">
        <v>0</v>
      </c>
      <c r="CL15" s="1566">
        <v>0</v>
      </c>
      <c r="CM15" s="1567">
        <v>0</v>
      </c>
      <c r="CN15" s="1568">
        <f t="shared" si="13"/>
        <v>0</v>
      </c>
      <c r="CO15" s="1565">
        <v>0</v>
      </c>
      <c r="CP15" s="1566">
        <v>0</v>
      </c>
      <c r="CQ15" s="1566">
        <v>0</v>
      </c>
      <c r="CR15" s="1566">
        <v>0</v>
      </c>
      <c r="CS15" s="1566">
        <v>0</v>
      </c>
      <c r="CT15" s="1566"/>
      <c r="CU15" s="1566">
        <v>0</v>
      </c>
      <c r="CV15" s="1566">
        <v>0</v>
      </c>
      <c r="CW15" s="1566">
        <v>0</v>
      </c>
      <c r="CX15" s="1566">
        <v>0</v>
      </c>
      <c r="CY15" s="1566">
        <v>0</v>
      </c>
      <c r="CZ15" s="1567">
        <v>0</v>
      </c>
      <c r="DA15" s="1568">
        <f t="shared" si="15"/>
        <v>0</v>
      </c>
      <c r="DB15" s="1565">
        <v>0</v>
      </c>
      <c r="DC15" s="1566">
        <v>0</v>
      </c>
      <c r="DD15" s="1566">
        <v>0</v>
      </c>
      <c r="DE15" s="1566">
        <v>0</v>
      </c>
      <c r="DF15" s="1566">
        <v>0</v>
      </c>
      <c r="DG15" s="1566">
        <v>0</v>
      </c>
      <c r="DH15" s="1566">
        <v>0</v>
      </c>
      <c r="DI15" s="1566">
        <v>0</v>
      </c>
      <c r="DJ15" s="1566">
        <v>0</v>
      </c>
      <c r="DK15" s="1566">
        <v>0</v>
      </c>
      <c r="DL15" s="1566">
        <v>0</v>
      </c>
      <c r="DM15" s="1567">
        <v>0</v>
      </c>
      <c r="DN15" s="1568">
        <f t="shared" si="27"/>
        <v>0</v>
      </c>
      <c r="DO15" s="1565">
        <v>0</v>
      </c>
      <c r="DP15" s="1566">
        <v>0</v>
      </c>
      <c r="DQ15" s="1566">
        <v>0</v>
      </c>
      <c r="DR15" s="1566">
        <v>0</v>
      </c>
      <c r="DS15" s="1566">
        <v>0</v>
      </c>
      <c r="DT15" s="1566">
        <v>0</v>
      </c>
      <c r="DU15" s="1566">
        <v>0</v>
      </c>
      <c r="DV15" s="1566">
        <v>0</v>
      </c>
      <c r="DW15" s="1566">
        <v>0</v>
      </c>
      <c r="DX15" s="1566">
        <v>0</v>
      </c>
      <c r="DY15" s="1566">
        <v>0</v>
      </c>
      <c r="DZ15" s="1567">
        <v>0</v>
      </c>
      <c r="EA15" s="1568">
        <f t="shared" si="28"/>
        <v>0</v>
      </c>
      <c r="EB15" s="1565">
        <v>0</v>
      </c>
      <c r="EC15" s="1566">
        <v>0</v>
      </c>
      <c r="ED15" s="1566">
        <v>0</v>
      </c>
      <c r="EE15" s="1566">
        <v>0</v>
      </c>
      <c r="EF15" s="1566">
        <v>0</v>
      </c>
      <c r="EG15" s="1566">
        <v>0</v>
      </c>
      <c r="EH15" s="1566">
        <v>0</v>
      </c>
      <c r="EI15" s="1566">
        <v>0</v>
      </c>
      <c r="EJ15" s="1566">
        <v>0</v>
      </c>
      <c r="EK15" s="1566">
        <v>0</v>
      </c>
      <c r="EL15" s="1566">
        <v>0</v>
      </c>
      <c r="EM15" s="1567">
        <v>0</v>
      </c>
      <c r="EN15" s="1568">
        <f t="shared" si="29"/>
        <v>0</v>
      </c>
      <c r="EO15" s="1565">
        <v>0</v>
      </c>
      <c r="EP15" s="1566">
        <v>0</v>
      </c>
      <c r="EQ15" s="1566">
        <v>0</v>
      </c>
      <c r="ER15" s="1566">
        <v>0</v>
      </c>
      <c r="ES15" s="1566">
        <v>0</v>
      </c>
      <c r="ET15" s="1566">
        <v>0</v>
      </c>
      <c r="EU15" s="1566">
        <v>0</v>
      </c>
      <c r="EV15" s="1566">
        <v>0</v>
      </c>
      <c r="EW15" s="1566">
        <v>0</v>
      </c>
      <c r="EX15" s="1566">
        <v>0</v>
      </c>
      <c r="EY15" s="1566">
        <v>0</v>
      </c>
      <c r="EZ15" s="1567">
        <v>0</v>
      </c>
      <c r="FA15" s="1568">
        <f t="shared" si="30"/>
        <v>0</v>
      </c>
      <c r="FB15" s="1565">
        <v>0</v>
      </c>
      <c r="FC15" s="1566">
        <v>0</v>
      </c>
      <c r="FD15" s="1566">
        <v>0</v>
      </c>
      <c r="FE15" s="1566">
        <v>0</v>
      </c>
      <c r="FF15" s="1566">
        <v>0</v>
      </c>
      <c r="FG15" s="1566">
        <v>0</v>
      </c>
      <c r="FH15" s="1566">
        <v>0</v>
      </c>
      <c r="FI15" s="1566">
        <v>0</v>
      </c>
      <c r="FJ15" s="1566">
        <v>0</v>
      </c>
      <c r="FK15" s="1566">
        <v>0</v>
      </c>
      <c r="FL15" s="1566">
        <v>0</v>
      </c>
      <c r="FM15" s="1567">
        <v>0</v>
      </c>
      <c r="FN15" s="1568">
        <f t="shared" si="41"/>
        <v>0</v>
      </c>
      <c r="FO15" s="1565">
        <v>0</v>
      </c>
      <c r="FP15" s="1566">
        <v>0</v>
      </c>
      <c r="FQ15" s="1566">
        <v>0</v>
      </c>
      <c r="FR15" s="1566">
        <v>0</v>
      </c>
      <c r="FS15" s="1566">
        <v>0</v>
      </c>
      <c r="FT15" s="1566">
        <v>0</v>
      </c>
      <c r="FU15" s="1566">
        <v>0</v>
      </c>
      <c r="FV15" s="1566">
        <v>0</v>
      </c>
      <c r="FW15" s="1566">
        <v>0</v>
      </c>
      <c r="FX15" s="1566">
        <v>0</v>
      </c>
      <c r="FY15" s="1566">
        <v>0</v>
      </c>
      <c r="FZ15" s="1567">
        <v>0</v>
      </c>
      <c r="GA15" s="1568">
        <f t="shared" si="31"/>
        <v>0</v>
      </c>
      <c r="GB15" s="1565">
        <v>0</v>
      </c>
      <c r="GC15" s="1566">
        <v>0</v>
      </c>
      <c r="GD15" s="1566">
        <v>0</v>
      </c>
      <c r="GE15" s="1566">
        <v>0</v>
      </c>
      <c r="GF15" s="1566">
        <v>0</v>
      </c>
      <c r="GG15" s="1566">
        <v>0</v>
      </c>
      <c r="GH15" s="1566">
        <v>0</v>
      </c>
      <c r="GI15" s="1566">
        <v>0</v>
      </c>
      <c r="GJ15" s="1566">
        <v>0</v>
      </c>
      <c r="GK15" s="1566">
        <v>0</v>
      </c>
      <c r="GL15" s="1566">
        <v>0</v>
      </c>
      <c r="GM15" s="1567">
        <v>0</v>
      </c>
      <c r="GN15" s="1568">
        <f t="shared" si="32"/>
        <v>0</v>
      </c>
      <c r="GO15" s="1565">
        <v>0</v>
      </c>
      <c r="GP15" s="1566">
        <v>0</v>
      </c>
      <c r="GQ15" s="1566">
        <v>0</v>
      </c>
      <c r="GR15" s="1566">
        <v>0</v>
      </c>
      <c r="GS15" s="1566">
        <v>0</v>
      </c>
      <c r="GT15" s="1566">
        <v>0</v>
      </c>
      <c r="GU15" s="1566">
        <v>0</v>
      </c>
      <c r="GV15" s="1566">
        <v>0</v>
      </c>
      <c r="GW15" s="1566">
        <v>0</v>
      </c>
      <c r="GX15" s="1566">
        <v>0</v>
      </c>
      <c r="GY15" s="1566">
        <v>0</v>
      </c>
      <c r="GZ15" s="1567">
        <v>0</v>
      </c>
      <c r="HA15" s="1568">
        <f t="shared" si="33"/>
        <v>0</v>
      </c>
      <c r="HB15" s="1565">
        <v>0</v>
      </c>
      <c r="HC15" s="1566">
        <v>0</v>
      </c>
      <c r="HD15" s="1566">
        <v>0</v>
      </c>
      <c r="HE15" s="1566">
        <v>0</v>
      </c>
      <c r="HF15" s="1566">
        <v>0</v>
      </c>
      <c r="HG15" s="1566">
        <v>0</v>
      </c>
      <c r="HH15" s="1566">
        <v>0</v>
      </c>
      <c r="HI15" s="1566">
        <v>0</v>
      </c>
      <c r="HJ15" s="1566">
        <v>0</v>
      </c>
      <c r="HK15" s="1566">
        <v>0</v>
      </c>
      <c r="HL15" s="1566">
        <v>0</v>
      </c>
      <c r="HM15" s="1567">
        <v>0</v>
      </c>
      <c r="HN15" s="1568">
        <f t="shared" si="34"/>
        <v>0</v>
      </c>
      <c r="HO15" s="1565">
        <v>0</v>
      </c>
      <c r="HP15" s="1566">
        <v>0</v>
      </c>
      <c r="HQ15" s="1566">
        <v>0</v>
      </c>
      <c r="HR15" s="1566">
        <v>0</v>
      </c>
      <c r="HS15" s="1566">
        <v>0</v>
      </c>
      <c r="HT15" s="1566">
        <v>0</v>
      </c>
      <c r="HU15" s="1566">
        <v>0</v>
      </c>
      <c r="HV15" s="1566">
        <v>0</v>
      </c>
      <c r="HW15" s="1566">
        <v>0</v>
      </c>
      <c r="HX15" s="1566">
        <v>0</v>
      </c>
      <c r="HY15" s="1566">
        <v>0</v>
      </c>
      <c r="HZ15" s="1567">
        <v>0</v>
      </c>
      <c r="IA15" s="1565">
        <f t="shared" si="42"/>
        <v>0</v>
      </c>
      <c r="IB15" s="1569">
        <v>0</v>
      </c>
      <c r="IC15" s="1068">
        <v>0</v>
      </c>
      <c r="ID15" s="1068">
        <v>0</v>
      </c>
      <c r="IE15" s="1068">
        <v>0</v>
      </c>
      <c r="IF15" s="1068">
        <v>0</v>
      </c>
      <c r="IG15" s="1068">
        <v>0</v>
      </c>
      <c r="IH15" s="1068">
        <v>0</v>
      </c>
      <c r="II15" s="1068">
        <v>0</v>
      </c>
      <c r="IJ15" s="1068"/>
      <c r="IK15" s="1068"/>
      <c r="IL15" s="1068"/>
      <c r="IM15" s="1570"/>
      <c r="IN15" s="1571">
        <f t="shared" si="35"/>
        <v>0</v>
      </c>
      <c r="IO15"/>
      <c r="IP15" s="1656" t="str">
        <f t="shared" si="36"/>
        <v/>
      </c>
      <c r="IQ15" s="1656" t="str">
        <f>IFERROR(((IS15/IR15)-1)*100,"")</f>
        <v/>
      </c>
      <c r="IR15" s="1657">
        <f t="shared" si="38"/>
        <v>0</v>
      </c>
      <c r="IS15" s="1657">
        <f t="shared" si="39"/>
        <v>0</v>
      </c>
      <c r="IT15" s="1658"/>
      <c r="IU15" s="221">
        <f t="shared" si="40"/>
        <v>0</v>
      </c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</row>
    <row r="16" spans="1:280" s="105" customFormat="1" ht="15" customHeight="1" x14ac:dyDescent="0.2">
      <c r="A16" s="1551" t="s">
        <v>646</v>
      </c>
      <c r="B16" s="1565">
        <v>0</v>
      </c>
      <c r="C16" s="1566">
        <v>0</v>
      </c>
      <c r="D16" s="1566">
        <v>0</v>
      </c>
      <c r="E16" s="1566">
        <v>0</v>
      </c>
      <c r="F16" s="1566">
        <v>0</v>
      </c>
      <c r="G16" s="1566">
        <v>0</v>
      </c>
      <c r="H16" s="1566">
        <v>0</v>
      </c>
      <c r="I16" s="1566">
        <v>0</v>
      </c>
      <c r="J16" s="1566">
        <v>0</v>
      </c>
      <c r="K16" s="1566">
        <v>0</v>
      </c>
      <c r="L16" s="1566">
        <v>0</v>
      </c>
      <c r="M16" s="1567">
        <v>0</v>
      </c>
      <c r="N16" s="1568">
        <f t="shared" si="1"/>
        <v>0</v>
      </c>
      <c r="O16" s="1565">
        <v>53</v>
      </c>
      <c r="P16" s="1566">
        <v>895</v>
      </c>
      <c r="Q16" s="1566">
        <v>354</v>
      </c>
      <c r="R16" s="1566">
        <v>95</v>
      </c>
      <c r="S16" s="1566">
        <v>108</v>
      </c>
      <c r="T16" s="1566">
        <v>74</v>
      </c>
      <c r="U16" s="1566">
        <v>289</v>
      </c>
      <c r="V16" s="1566">
        <v>368</v>
      </c>
      <c r="W16" s="1566">
        <v>347</v>
      </c>
      <c r="X16" s="1566">
        <v>316</v>
      </c>
      <c r="Y16" s="1566">
        <v>438</v>
      </c>
      <c r="Z16" s="1567">
        <v>461</v>
      </c>
      <c r="AA16" s="1568">
        <f t="shared" si="3"/>
        <v>3798</v>
      </c>
      <c r="AB16" s="1565">
        <v>204</v>
      </c>
      <c r="AC16" s="1566">
        <v>412</v>
      </c>
      <c r="AD16" s="1566">
        <v>392</v>
      </c>
      <c r="AE16" s="1566">
        <v>241</v>
      </c>
      <c r="AF16" s="1566">
        <v>239</v>
      </c>
      <c r="AG16" s="1566">
        <v>443</v>
      </c>
      <c r="AH16" s="1566">
        <v>469</v>
      </c>
      <c r="AI16" s="1566">
        <v>252</v>
      </c>
      <c r="AJ16" s="1566">
        <v>233</v>
      </c>
      <c r="AK16" s="1566">
        <v>746</v>
      </c>
      <c r="AL16" s="1566">
        <v>575</v>
      </c>
      <c r="AM16" s="1567">
        <v>295</v>
      </c>
      <c r="AN16" s="1568">
        <f t="shared" si="5"/>
        <v>4501</v>
      </c>
      <c r="AO16" s="1565">
        <v>0</v>
      </c>
      <c r="AP16" s="1566">
        <v>466</v>
      </c>
      <c r="AQ16" s="1566">
        <v>241</v>
      </c>
      <c r="AR16" s="1566">
        <v>152</v>
      </c>
      <c r="AS16" s="1566">
        <v>126</v>
      </c>
      <c r="AT16" s="1566">
        <v>292</v>
      </c>
      <c r="AU16" s="1566">
        <v>261</v>
      </c>
      <c r="AV16" s="1566">
        <v>334</v>
      </c>
      <c r="AW16" s="1566">
        <v>544</v>
      </c>
      <c r="AX16" s="1566">
        <v>1671</v>
      </c>
      <c r="AY16" s="1566">
        <v>2142</v>
      </c>
      <c r="AZ16" s="1567">
        <v>2974</v>
      </c>
      <c r="BA16" s="1568">
        <f t="shared" si="7"/>
        <v>9203</v>
      </c>
      <c r="BB16" s="1565">
        <v>556</v>
      </c>
      <c r="BC16" s="1566">
        <v>568</v>
      </c>
      <c r="BD16" s="1566">
        <v>792</v>
      </c>
      <c r="BE16" s="1566">
        <v>2211</v>
      </c>
      <c r="BF16" s="1566">
        <v>782</v>
      </c>
      <c r="BG16" s="1566">
        <v>795</v>
      </c>
      <c r="BH16" s="1566">
        <v>1768</v>
      </c>
      <c r="BI16" s="1566">
        <v>805</v>
      </c>
      <c r="BJ16" s="1566">
        <v>356</v>
      </c>
      <c r="BK16" s="1566">
        <v>333</v>
      </c>
      <c r="BL16" s="1566">
        <v>461</v>
      </c>
      <c r="BM16" s="1567">
        <v>815</v>
      </c>
      <c r="BN16" s="1568">
        <f t="shared" si="9"/>
        <v>10242</v>
      </c>
      <c r="BO16" s="1565">
        <v>271</v>
      </c>
      <c r="BP16" s="1566">
        <v>250</v>
      </c>
      <c r="BQ16" s="1566">
        <v>468</v>
      </c>
      <c r="BR16" s="1566">
        <v>525</v>
      </c>
      <c r="BS16" s="1566">
        <v>513</v>
      </c>
      <c r="BT16" s="1566">
        <v>450</v>
      </c>
      <c r="BU16" s="1566">
        <v>677</v>
      </c>
      <c r="BV16" s="1566">
        <v>304</v>
      </c>
      <c r="BW16" s="1566">
        <v>221</v>
      </c>
      <c r="BX16" s="1566">
        <v>377</v>
      </c>
      <c r="BY16" s="1566">
        <v>849</v>
      </c>
      <c r="BZ16" s="1567">
        <v>728</v>
      </c>
      <c r="CA16" s="1568">
        <f t="shared" si="11"/>
        <v>5633</v>
      </c>
      <c r="CB16" s="1565">
        <v>142</v>
      </c>
      <c r="CC16" s="1566">
        <v>930</v>
      </c>
      <c r="CD16" s="1566">
        <v>636</v>
      </c>
      <c r="CE16" s="1566">
        <v>613</v>
      </c>
      <c r="CF16" s="1566">
        <v>616</v>
      </c>
      <c r="CG16" s="1566">
        <v>749</v>
      </c>
      <c r="CH16" s="1566">
        <v>869</v>
      </c>
      <c r="CI16" s="1566">
        <v>893</v>
      </c>
      <c r="CJ16" s="1566">
        <v>973</v>
      </c>
      <c r="CK16" s="1566">
        <v>289</v>
      </c>
      <c r="CL16" s="1566">
        <v>303</v>
      </c>
      <c r="CM16" s="1567">
        <v>1845</v>
      </c>
      <c r="CN16" s="1568">
        <f t="shared" si="13"/>
        <v>8858</v>
      </c>
      <c r="CO16" s="1565">
        <v>68</v>
      </c>
      <c r="CP16" s="1566">
        <v>446</v>
      </c>
      <c r="CQ16" s="1566">
        <v>193</v>
      </c>
      <c r="CR16" s="1566">
        <v>1063</v>
      </c>
      <c r="CS16" s="1566">
        <v>547</v>
      </c>
      <c r="CT16" s="1566">
        <v>637</v>
      </c>
      <c r="CU16" s="1566">
        <v>2382</v>
      </c>
      <c r="CV16" s="1566">
        <v>660</v>
      </c>
      <c r="CW16" s="1566">
        <v>802</v>
      </c>
      <c r="CX16" s="1566">
        <v>1384</v>
      </c>
      <c r="CY16" s="1566">
        <v>625</v>
      </c>
      <c r="CZ16" s="1567">
        <v>1181</v>
      </c>
      <c r="DA16" s="1568">
        <f t="shared" si="15"/>
        <v>9988</v>
      </c>
      <c r="DB16" s="1565">
        <v>18</v>
      </c>
      <c r="DC16" s="1566">
        <v>703</v>
      </c>
      <c r="DD16" s="1566">
        <v>504</v>
      </c>
      <c r="DE16" s="1566">
        <v>-376</v>
      </c>
      <c r="DF16" s="1566">
        <v>850</v>
      </c>
      <c r="DG16" s="1566">
        <v>773</v>
      </c>
      <c r="DH16" s="1566">
        <v>337</v>
      </c>
      <c r="DI16" s="1566">
        <v>308</v>
      </c>
      <c r="DJ16" s="1566">
        <v>2446</v>
      </c>
      <c r="DK16" s="1566">
        <v>346</v>
      </c>
      <c r="DL16" s="1566">
        <v>703</v>
      </c>
      <c r="DM16" s="1567">
        <v>1035</v>
      </c>
      <c r="DN16" s="1568">
        <f t="shared" si="27"/>
        <v>7647</v>
      </c>
      <c r="DO16" s="1565">
        <v>41</v>
      </c>
      <c r="DP16" s="1566">
        <v>478</v>
      </c>
      <c r="DQ16" s="1566">
        <v>453</v>
      </c>
      <c r="DR16" s="1566">
        <v>346</v>
      </c>
      <c r="DS16" s="1566">
        <v>237</v>
      </c>
      <c r="DT16" s="1566">
        <v>531</v>
      </c>
      <c r="DU16" s="1566">
        <v>407</v>
      </c>
      <c r="DV16" s="1566">
        <v>277</v>
      </c>
      <c r="DW16" s="1566">
        <v>293</v>
      </c>
      <c r="DX16" s="1566">
        <v>550</v>
      </c>
      <c r="DY16" s="1566">
        <v>348</v>
      </c>
      <c r="DZ16" s="1567">
        <v>1552</v>
      </c>
      <c r="EA16" s="1568">
        <f t="shared" si="28"/>
        <v>5513</v>
      </c>
      <c r="EB16" s="1565">
        <v>2934</v>
      </c>
      <c r="EC16" s="1566">
        <v>320</v>
      </c>
      <c r="ED16" s="1566">
        <v>1021</v>
      </c>
      <c r="EE16" s="1566">
        <v>605</v>
      </c>
      <c r="EF16" s="1566">
        <v>930</v>
      </c>
      <c r="EG16" s="1566">
        <v>930</v>
      </c>
      <c r="EH16" s="1566">
        <v>3338</v>
      </c>
      <c r="EI16" s="1566">
        <v>2617</v>
      </c>
      <c r="EJ16" s="1566">
        <v>2943</v>
      </c>
      <c r="EK16" s="1566">
        <v>4873</v>
      </c>
      <c r="EL16" s="1566">
        <v>2147</v>
      </c>
      <c r="EM16" s="1567">
        <v>3418</v>
      </c>
      <c r="EN16" s="1568">
        <f t="shared" si="29"/>
        <v>26076</v>
      </c>
      <c r="EO16" s="1565">
        <v>0</v>
      </c>
      <c r="EP16" s="1566">
        <v>285</v>
      </c>
      <c r="EQ16" s="1566">
        <v>253</v>
      </c>
      <c r="ER16" s="1566">
        <v>521</v>
      </c>
      <c r="ES16" s="1566">
        <v>117</v>
      </c>
      <c r="ET16" s="1566">
        <v>1013</v>
      </c>
      <c r="EU16" s="1566">
        <v>770</v>
      </c>
      <c r="EV16" s="1566">
        <v>573</v>
      </c>
      <c r="EW16" s="1566">
        <v>712</v>
      </c>
      <c r="EX16" s="1566">
        <v>914</v>
      </c>
      <c r="EY16" s="1566">
        <v>1002</v>
      </c>
      <c r="EZ16" s="1567">
        <v>992</v>
      </c>
      <c r="FA16" s="1568">
        <f t="shared" si="30"/>
        <v>7152</v>
      </c>
      <c r="FB16" s="1565">
        <v>303</v>
      </c>
      <c r="FC16" s="1566">
        <v>172</v>
      </c>
      <c r="FD16" s="1566">
        <v>177</v>
      </c>
      <c r="FE16" s="1566">
        <v>59</v>
      </c>
      <c r="FF16" s="1566">
        <v>110</v>
      </c>
      <c r="FG16" s="1566">
        <v>145</v>
      </c>
      <c r="FH16" s="1566">
        <v>221</v>
      </c>
      <c r="FI16" s="1566">
        <v>395</v>
      </c>
      <c r="FJ16" s="1566">
        <v>1107</v>
      </c>
      <c r="FK16" s="1566">
        <v>1101</v>
      </c>
      <c r="FL16" s="1566">
        <v>1944</v>
      </c>
      <c r="FM16" s="1567">
        <v>1623</v>
      </c>
      <c r="FN16" s="1568">
        <f t="shared" si="41"/>
        <v>7357</v>
      </c>
      <c r="FO16" s="1565">
        <v>172</v>
      </c>
      <c r="FP16" s="1566">
        <v>254</v>
      </c>
      <c r="FQ16" s="1566">
        <v>400</v>
      </c>
      <c r="FR16" s="1566">
        <v>696</v>
      </c>
      <c r="FS16" s="1566">
        <v>354</v>
      </c>
      <c r="FT16" s="1566">
        <v>176</v>
      </c>
      <c r="FU16" s="1566">
        <v>541</v>
      </c>
      <c r="FV16" s="1566">
        <v>919</v>
      </c>
      <c r="FW16" s="1566">
        <v>388</v>
      </c>
      <c r="FX16" s="1566">
        <v>621</v>
      </c>
      <c r="FY16" s="1566">
        <v>818</v>
      </c>
      <c r="FZ16" s="1567">
        <v>1898</v>
      </c>
      <c r="GA16" s="1568">
        <f t="shared" si="31"/>
        <v>7237</v>
      </c>
      <c r="GB16" s="1565">
        <v>195</v>
      </c>
      <c r="GC16" s="1566">
        <v>347</v>
      </c>
      <c r="GD16" s="1566">
        <v>1096</v>
      </c>
      <c r="GE16" s="1566">
        <v>1672</v>
      </c>
      <c r="GF16" s="1566">
        <v>2056</v>
      </c>
      <c r="GG16" s="1566">
        <v>643</v>
      </c>
      <c r="GH16" s="1566">
        <v>1156</v>
      </c>
      <c r="GI16" s="1566">
        <v>635</v>
      </c>
      <c r="GJ16" s="1566">
        <v>743</v>
      </c>
      <c r="GK16" s="1566">
        <v>475</v>
      </c>
      <c r="GL16" s="1566">
        <v>1438</v>
      </c>
      <c r="GM16" s="1567">
        <v>571</v>
      </c>
      <c r="GN16" s="1568">
        <f t="shared" si="32"/>
        <v>11027</v>
      </c>
      <c r="GO16" s="1565">
        <v>0</v>
      </c>
      <c r="GP16" s="1566">
        <v>12</v>
      </c>
      <c r="GQ16" s="1566">
        <v>126</v>
      </c>
      <c r="GR16" s="1566">
        <v>133</v>
      </c>
      <c r="GS16" s="1566">
        <v>52</v>
      </c>
      <c r="GT16" s="1566">
        <v>301</v>
      </c>
      <c r="GU16" s="1566">
        <v>755</v>
      </c>
      <c r="GV16" s="1566">
        <v>2726</v>
      </c>
      <c r="GW16" s="1566">
        <v>2370</v>
      </c>
      <c r="GX16" s="1566">
        <v>1168</v>
      </c>
      <c r="GY16" s="1566">
        <v>2383</v>
      </c>
      <c r="GZ16" s="1567">
        <v>1000</v>
      </c>
      <c r="HA16" s="1568">
        <f t="shared" si="33"/>
        <v>11026</v>
      </c>
      <c r="HB16" s="1565">
        <v>59</v>
      </c>
      <c r="HC16" s="1566">
        <v>214</v>
      </c>
      <c r="HD16" s="1566">
        <v>346</v>
      </c>
      <c r="HE16" s="1566">
        <v>272</v>
      </c>
      <c r="HF16" s="1566">
        <v>559</v>
      </c>
      <c r="HG16" s="1566">
        <v>531</v>
      </c>
      <c r="HH16" s="1566">
        <v>419</v>
      </c>
      <c r="HI16" s="1566">
        <v>345</v>
      </c>
      <c r="HJ16" s="1566">
        <v>196</v>
      </c>
      <c r="HK16" s="1566">
        <v>295</v>
      </c>
      <c r="HL16" s="1566">
        <v>279</v>
      </c>
      <c r="HM16" s="1567">
        <v>967</v>
      </c>
      <c r="HN16" s="1568">
        <f t="shared" si="34"/>
        <v>4482</v>
      </c>
      <c r="HO16" s="1565">
        <v>1241</v>
      </c>
      <c r="HP16" s="1566">
        <v>1399</v>
      </c>
      <c r="HQ16" s="1566">
        <v>693</v>
      </c>
      <c r="HR16" s="1566">
        <v>232</v>
      </c>
      <c r="HS16" s="1566">
        <v>1758</v>
      </c>
      <c r="HT16" s="1566">
        <v>269</v>
      </c>
      <c r="HU16" s="1566">
        <v>769</v>
      </c>
      <c r="HV16" s="1566">
        <v>1408</v>
      </c>
      <c r="HW16" s="1566">
        <v>310</v>
      </c>
      <c r="HX16" s="1566">
        <v>221</v>
      </c>
      <c r="HY16" s="1566">
        <v>80</v>
      </c>
      <c r="HZ16" s="1567">
        <v>209</v>
      </c>
      <c r="IA16" s="1565">
        <f>SUM(HO16:HZ16)</f>
        <v>8589</v>
      </c>
      <c r="IB16" s="1569">
        <v>1</v>
      </c>
      <c r="IC16" s="1068">
        <v>57</v>
      </c>
      <c r="ID16" s="1068">
        <v>53</v>
      </c>
      <c r="IE16" s="1068">
        <v>44</v>
      </c>
      <c r="IF16" s="1068">
        <v>366</v>
      </c>
      <c r="IG16" s="1068">
        <v>771</v>
      </c>
      <c r="IH16" s="1068">
        <v>1049</v>
      </c>
      <c r="II16" s="1068">
        <v>1698</v>
      </c>
      <c r="IJ16" s="1068"/>
      <c r="IK16" s="1068"/>
      <c r="IL16" s="1068"/>
      <c r="IM16" s="1570"/>
      <c r="IN16" s="1571">
        <f t="shared" si="35"/>
        <v>4039</v>
      </c>
      <c r="IO16"/>
      <c r="IP16" s="1656">
        <f t="shared" si="36"/>
        <v>20.596590909090917</v>
      </c>
      <c r="IQ16" s="1656">
        <f t="shared" si="37"/>
        <v>-48.011327069120867</v>
      </c>
      <c r="IR16" s="1657">
        <f t="shared" si="38"/>
        <v>7769</v>
      </c>
      <c r="IS16" s="1657">
        <f t="shared" si="39"/>
        <v>4039</v>
      </c>
      <c r="IT16" s="1658"/>
      <c r="IU16" s="221">
        <f t="shared" si="40"/>
        <v>290</v>
      </c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</row>
    <row r="17" spans="1:280" s="105" customFormat="1" ht="15" customHeight="1" x14ac:dyDescent="0.2">
      <c r="A17" s="1551" t="s">
        <v>632</v>
      </c>
      <c r="B17" s="1565"/>
      <c r="C17" s="1566"/>
      <c r="D17" s="1566"/>
      <c r="E17" s="1566"/>
      <c r="F17" s="1566"/>
      <c r="G17" s="1566"/>
      <c r="H17" s="1566"/>
      <c r="I17" s="1566"/>
      <c r="J17" s="1566"/>
      <c r="K17" s="1566"/>
      <c r="L17" s="1566"/>
      <c r="M17" s="1567"/>
      <c r="N17" s="1568">
        <f t="shared" si="1"/>
        <v>0</v>
      </c>
      <c r="O17" s="1565"/>
      <c r="P17" s="1566"/>
      <c r="Q17" s="1566"/>
      <c r="R17" s="1566"/>
      <c r="S17" s="1566"/>
      <c r="T17" s="1566"/>
      <c r="U17" s="1566"/>
      <c r="V17" s="1566"/>
      <c r="W17" s="1566"/>
      <c r="X17" s="1566"/>
      <c r="Y17" s="1566"/>
      <c r="Z17" s="1567"/>
      <c r="AA17" s="1568">
        <f t="shared" si="3"/>
        <v>0</v>
      </c>
      <c r="AB17" s="1565"/>
      <c r="AC17" s="1566"/>
      <c r="AD17" s="1566"/>
      <c r="AE17" s="1566"/>
      <c r="AF17" s="1566"/>
      <c r="AG17" s="1566"/>
      <c r="AH17" s="1566"/>
      <c r="AI17" s="1566"/>
      <c r="AJ17" s="1566"/>
      <c r="AK17" s="1566"/>
      <c r="AL17" s="1566"/>
      <c r="AM17" s="1567"/>
      <c r="AN17" s="1568">
        <f t="shared" si="5"/>
        <v>0</v>
      </c>
      <c r="AO17" s="1565"/>
      <c r="AP17" s="1566"/>
      <c r="AQ17" s="1566"/>
      <c r="AR17" s="1566"/>
      <c r="AS17" s="1566"/>
      <c r="AT17" s="1566"/>
      <c r="AU17" s="1566"/>
      <c r="AV17" s="1566"/>
      <c r="AW17" s="1566"/>
      <c r="AX17" s="1566"/>
      <c r="AY17" s="1566"/>
      <c r="AZ17" s="1567"/>
      <c r="BA17" s="1568">
        <f t="shared" si="7"/>
        <v>0</v>
      </c>
      <c r="BB17" s="1565">
        <v>0</v>
      </c>
      <c r="BC17" s="1566">
        <v>0</v>
      </c>
      <c r="BD17" s="1566">
        <v>0</v>
      </c>
      <c r="BE17" s="1566">
        <v>0</v>
      </c>
      <c r="BF17" s="1566">
        <v>0</v>
      </c>
      <c r="BG17" s="1566">
        <v>0</v>
      </c>
      <c r="BH17" s="1566">
        <v>0</v>
      </c>
      <c r="BI17" s="1566">
        <v>0</v>
      </c>
      <c r="BJ17" s="1566">
        <v>0</v>
      </c>
      <c r="BK17" s="1566">
        <v>0</v>
      </c>
      <c r="BL17" s="1566">
        <v>0</v>
      </c>
      <c r="BM17" s="1567">
        <v>0</v>
      </c>
      <c r="BN17" s="1568">
        <f t="shared" si="9"/>
        <v>0</v>
      </c>
      <c r="BO17" s="1565">
        <v>0</v>
      </c>
      <c r="BP17" s="1566">
        <v>0</v>
      </c>
      <c r="BQ17" s="1566">
        <v>0</v>
      </c>
      <c r="BR17" s="1566">
        <v>0</v>
      </c>
      <c r="BS17" s="1566">
        <v>0</v>
      </c>
      <c r="BT17" s="1566">
        <v>0</v>
      </c>
      <c r="BU17" s="1566">
        <v>0</v>
      </c>
      <c r="BV17" s="1566">
        <v>0</v>
      </c>
      <c r="BW17" s="1566">
        <v>0</v>
      </c>
      <c r="BX17" s="1566">
        <v>0</v>
      </c>
      <c r="BY17" s="1566">
        <v>0</v>
      </c>
      <c r="BZ17" s="1567">
        <v>0</v>
      </c>
      <c r="CA17" s="1568">
        <f t="shared" si="11"/>
        <v>0</v>
      </c>
      <c r="CB17" s="1565">
        <v>0</v>
      </c>
      <c r="CC17" s="1566">
        <v>0</v>
      </c>
      <c r="CD17" s="1566">
        <v>0</v>
      </c>
      <c r="CE17" s="1566">
        <v>0</v>
      </c>
      <c r="CF17" s="1566">
        <v>0</v>
      </c>
      <c r="CG17" s="1566">
        <v>0</v>
      </c>
      <c r="CH17" s="1566">
        <v>0</v>
      </c>
      <c r="CI17" s="1566">
        <v>0</v>
      </c>
      <c r="CJ17" s="1566">
        <v>0</v>
      </c>
      <c r="CK17" s="1566">
        <v>0</v>
      </c>
      <c r="CL17" s="1566">
        <v>0</v>
      </c>
      <c r="CM17" s="1567">
        <v>0</v>
      </c>
      <c r="CN17" s="1568">
        <f t="shared" si="13"/>
        <v>0</v>
      </c>
      <c r="CO17" s="1565">
        <v>0</v>
      </c>
      <c r="CP17" s="1566">
        <v>0</v>
      </c>
      <c r="CQ17" s="1566">
        <v>0</v>
      </c>
      <c r="CR17" s="1566">
        <v>0</v>
      </c>
      <c r="CS17" s="1566">
        <v>0</v>
      </c>
      <c r="CT17" s="1566"/>
      <c r="CU17" s="1566">
        <v>0</v>
      </c>
      <c r="CV17" s="1566">
        <v>0</v>
      </c>
      <c r="CW17" s="1566">
        <v>0</v>
      </c>
      <c r="CX17" s="1566">
        <v>0</v>
      </c>
      <c r="CY17" s="1566">
        <v>0</v>
      </c>
      <c r="CZ17" s="1567">
        <v>0</v>
      </c>
      <c r="DA17" s="1568">
        <f t="shared" si="15"/>
        <v>0</v>
      </c>
      <c r="DB17" s="1565">
        <v>0</v>
      </c>
      <c r="DC17" s="1566">
        <v>0</v>
      </c>
      <c r="DD17" s="1566">
        <v>0</v>
      </c>
      <c r="DE17" s="1566">
        <v>0</v>
      </c>
      <c r="DF17" s="1566">
        <v>0</v>
      </c>
      <c r="DG17" s="1566">
        <v>0</v>
      </c>
      <c r="DH17" s="1566">
        <v>0</v>
      </c>
      <c r="DI17" s="1566">
        <v>0</v>
      </c>
      <c r="DJ17" s="1566">
        <v>0</v>
      </c>
      <c r="DK17" s="1566">
        <v>0</v>
      </c>
      <c r="DL17" s="1566">
        <v>0</v>
      </c>
      <c r="DM17" s="1567">
        <v>0</v>
      </c>
      <c r="DN17" s="1568">
        <f t="shared" si="27"/>
        <v>0</v>
      </c>
      <c r="DO17" s="1565">
        <v>0</v>
      </c>
      <c r="DP17" s="1566">
        <v>0</v>
      </c>
      <c r="DQ17" s="1566">
        <v>0</v>
      </c>
      <c r="DR17" s="1566">
        <v>0</v>
      </c>
      <c r="DS17" s="1566">
        <v>0</v>
      </c>
      <c r="DT17" s="1566">
        <v>0</v>
      </c>
      <c r="DU17" s="1566">
        <v>0</v>
      </c>
      <c r="DV17" s="1566">
        <v>0</v>
      </c>
      <c r="DW17" s="1566">
        <v>0</v>
      </c>
      <c r="DX17" s="1566">
        <v>0</v>
      </c>
      <c r="DY17" s="1566">
        <v>0</v>
      </c>
      <c r="DZ17" s="1567">
        <v>0</v>
      </c>
      <c r="EA17" s="1568">
        <f t="shared" si="28"/>
        <v>0</v>
      </c>
      <c r="EB17" s="1565">
        <v>0</v>
      </c>
      <c r="EC17" s="1566">
        <v>0</v>
      </c>
      <c r="ED17" s="1566">
        <v>0</v>
      </c>
      <c r="EE17" s="1566">
        <v>0</v>
      </c>
      <c r="EF17" s="1566">
        <v>0</v>
      </c>
      <c r="EG17" s="1566">
        <v>0</v>
      </c>
      <c r="EH17" s="1566">
        <v>0</v>
      </c>
      <c r="EI17" s="1566">
        <v>0</v>
      </c>
      <c r="EJ17" s="1566">
        <v>0</v>
      </c>
      <c r="EK17" s="1566">
        <v>0</v>
      </c>
      <c r="EL17" s="1566">
        <v>0</v>
      </c>
      <c r="EM17" s="1567">
        <v>0</v>
      </c>
      <c r="EN17" s="1568">
        <f t="shared" si="29"/>
        <v>0</v>
      </c>
      <c r="EO17" s="1565">
        <v>0</v>
      </c>
      <c r="EP17" s="1566">
        <v>0</v>
      </c>
      <c r="EQ17" s="1566">
        <v>0</v>
      </c>
      <c r="ER17" s="1566">
        <v>0</v>
      </c>
      <c r="ES17" s="1566">
        <v>0</v>
      </c>
      <c r="ET17" s="1566">
        <v>0</v>
      </c>
      <c r="EU17" s="1566">
        <v>0</v>
      </c>
      <c r="EV17" s="1566">
        <v>0</v>
      </c>
      <c r="EW17" s="1566">
        <v>0</v>
      </c>
      <c r="EX17" s="1566">
        <v>0</v>
      </c>
      <c r="EY17" s="1566">
        <v>0</v>
      </c>
      <c r="EZ17" s="1567">
        <v>0</v>
      </c>
      <c r="FA17" s="1568">
        <f t="shared" si="30"/>
        <v>0</v>
      </c>
      <c r="FB17" s="1565">
        <v>0</v>
      </c>
      <c r="FC17" s="1566">
        <v>0</v>
      </c>
      <c r="FD17" s="1566">
        <v>0</v>
      </c>
      <c r="FE17" s="1566">
        <v>0</v>
      </c>
      <c r="FF17" s="1566">
        <v>0</v>
      </c>
      <c r="FG17" s="1566">
        <v>0</v>
      </c>
      <c r="FH17" s="1566">
        <v>0</v>
      </c>
      <c r="FI17" s="1566">
        <v>0</v>
      </c>
      <c r="FJ17" s="1566">
        <v>0</v>
      </c>
      <c r="FK17" s="1566">
        <v>0</v>
      </c>
      <c r="FL17" s="1566">
        <v>0</v>
      </c>
      <c r="FM17" s="1567">
        <v>0</v>
      </c>
      <c r="FN17" s="1568">
        <f t="shared" si="41"/>
        <v>0</v>
      </c>
      <c r="FO17" s="1565">
        <v>0</v>
      </c>
      <c r="FP17" s="1566">
        <v>0</v>
      </c>
      <c r="FQ17" s="1566">
        <v>0</v>
      </c>
      <c r="FR17" s="1566">
        <v>0</v>
      </c>
      <c r="FS17" s="1566">
        <v>0</v>
      </c>
      <c r="FT17" s="1566">
        <v>0</v>
      </c>
      <c r="FU17" s="1566">
        <v>0</v>
      </c>
      <c r="FV17" s="1566">
        <v>0</v>
      </c>
      <c r="FW17" s="1566">
        <v>0</v>
      </c>
      <c r="FX17" s="1566">
        <v>0</v>
      </c>
      <c r="FY17" s="1566">
        <v>0</v>
      </c>
      <c r="FZ17" s="1567">
        <v>0</v>
      </c>
      <c r="GA17" s="1568">
        <f t="shared" si="31"/>
        <v>0</v>
      </c>
      <c r="GB17" s="1565">
        <v>0</v>
      </c>
      <c r="GC17" s="1566">
        <v>0</v>
      </c>
      <c r="GD17" s="1566">
        <v>0</v>
      </c>
      <c r="GE17" s="1566">
        <v>0</v>
      </c>
      <c r="GF17" s="1566">
        <v>0</v>
      </c>
      <c r="GG17" s="1566">
        <v>0</v>
      </c>
      <c r="GH17" s="1566">
        <v>0</v>
      </c>
      <c r="GI17" s="1566">
        <v>0</v>
      </c>
      <c r="GJ17" s="1566">
        <v>0</v>
      </c>
      <c r="GK17" s="1566">
        <v>0</v>
      </c>
      <c r="GL17" s="1566">
        <v>0</v>
      </c>
      <c r="GM17" s="1567">
        <v>0</v>
      </c>
      <c r="GN17" s="1568">
        <f t="shared" si="32"/>
        <v>0</v>
      </c>
      <c r="GO17" s="1565">
        <v>0</v>
      </c>
      <c r="GP17" s="1566">
        <v>0</v>
      </c>
      <c r="GQ17" s="1566">
        <v>0</v>
      </c>
      <c r="GR17" s="1566">
        <v>0</v>
      </c>
      <c r="GS17" s="1566">
        <v>0</v>
      </c>
      <c r="GT17" s="1566">
        <v>15</v>
      </c>
      <c r="GU17" s="1566">
        <v>0</v>
      </c>
      <c r="GV17" s="1566">
        <v>0</v>
      </c>
      <c r="GW17" s="1566">
        <v>0</v>
      </c>
      <c r="GX17" s="1566">
        <v>0</v>
      </c>
      <c r="GY17" s="1566">
        <v>0</v>
      </c>
      <c r="GZ17" s="1567">
        <v>0</v>
      </c>
      <c r="HA17" s="1568">
        <f t="shared" si="33"/>
        <v>15</v>
      </c>
      <c r="HB17" s="1565">
        <v>0</v>
      </c>
      <c r="HC17" s="1566">
        <v>0</v>
      </c>
      <c r="HD17" s="1566">
        <v>0</v>
      </c>
      <c r="HE17" s="1566">
        <v>0</v>
      </c>
      <c r="HF17" s="1566">
        <v>0</v>
      </c>
      <c r="HG17" s="1566">
        <v>0</v>
      </c>
      <c r="HH17" s="1566">
        <v>0</v>
      </c>
      <c r="HI17" s="1566">
        <v>0</v>
      </c>
      <c r="HJ17" s="1566">
        <v>0</v>
      </c>
      <c r="HK17" s="1566">
        <v>0</v>
      </c>
      <c r="HL17" s="1566">
        <v>0</v>
      </c>
      <c r="HM17" s="1567">
        <v>0</v>
      </c>
      <c r="HN17" s="1568">
        <f t="shared" si="34"/>
        <v>0</v>
      </c>
      <c r="HO17" s="1565">
        <v>0</v>
      </c>
      <c r="HP17" s="1566">
        <v>0</v>
      </c>
      <c r="HQ17" s="1566">
        <v>0</v>
      </c>
      <c r="HR17" s="1566">
        <v>0</v>
      </c>
      <c r="HS17" s="1566">
        <v>0</v>
      </c>
      <c r="HT17" s="1566">
        <v>0</v>
      </c>
      <c r="HU17" s="1566">
        <v>0</v>
      </c>
      <c r="HV17" s="1566">
        <v>0</v>
      </c>
      <c r="HW17" s="1566">
        <v>0</v>
      </c>
      <c r="HX17" s="1566">
        <v>0</v>
      </c>
      <c r="HY17" s="1566">
        <v>0</v>
      </c>
      <c r="HZ17" s="1567">
        <v>0</v>
      </c>
      <c r="IA17" s="1565">
        <f t="shared" si="42"/>
        <v>0</v>
      </c>
      <c r="IB17" s="1569">
        <v>0</v>
      </c>
      <c r="IC17" s="1068">
        <v>0</v>
      </c>
      <c r="ID17" s="1068">
        <v>0</v>
      </c>
      <c r="IE17" s="1068">
        <v>0</v>
      </c>
      <c r="IF17" s="1068">
        <v>0</v>
      </c>
      <c r="IG17" s="1068">
        <v>0</v>
      </c>
      <c r="IH17" s="1068">
        <v>0</v>
      </c>
      <c r="II17" s="1068">
        <v>0</v>
      </c>
      <c r="IJ17" s="1068"/>
      <c r="IK17" s="1068"/>
      <c r="IL17" s="1068"/>
      <c r="IM17" s="1570"/>
      <c r="IN17" s="1571">
        <f t="shared" si="35"/>
        <v>0</v>
      </c>
      <c r="IO17"/>
      <c r="IP17" s="1656" t="str">
        <f t="shared" si="36"/>
        <v/>
      </c>
      <c r="IQ17" s="1656" t="str">
        <f t="shared" si="37"/>
        <v/>
      </c>
      <c r="IR17" s="1657">
        <f t="shared" si="38"/>
        <v>0</v>
      </c>
      <c r="IS17" s="1657">
        <f t="shared" si="39"/>
        <v>0</v>
      </c>
      <c r="IT17" s="1658"/>
      <c r="IU17" s="221">
        <f t="shared" si="40"/>
        <v>0</v>
      </c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</row>
    <row r="18" spans="1:280" s="105" customFormat="1" ht="15" customHeight="1" x14ac:dyDescent="0.2">
      <c r="A18" s="1551" t="s">
        <v>634</v>
      </c>
      <c r="B18" s="1565">
        <v>0</v>
      </c>
      <c r="C18" s="1566">
        <v>0</v>
      </c>
      <c r="D18" s="1566">
        <v>0</v>
      </c>
      <c r="E18" s="1566">
        <v>0</v>
      </c>
      <c r="F18" s="1566">
        <v>0</v>
      </c>
      <c r="G18" s="1566">
        <v>0</v>
      </c>
      <c r="H18" s="1566">
        <v>0</v>
      </c>
      <c r="I18" s="1566">
        <v>0</v>
      </c>
      <c r="J18" s="1566">
        <v>0</v>
      </c>
      <c r="K18" s="1566">
        <v>0</v>
      </c>
      <c r="L18" s="1566">
        <v>0</v>
      </c>
      <c r="M18" s="1567">
        <v>0</v>
      </c>
      <c r="N18" s="1568">
        <f t="shared" si="1"/>
        <v>0</v>
      </c>
      <c r="O18" s="1565">
        <v>7</v>
      </c>
      <c r="P18" s="1566">
        <v>8</v>
      </c>
      <c r="Q18" s="1566">
        <v>39</v>
      </c>
      <c r="R18" s="1566">
        <v>3</v>
      </c>
      <c r="S18" s="1566">
        <v>19</v>
      </c>
      <c r="T18" s="1566">
        <v>1</v>
      </c>
      <c r="U18" s="1566">
        <v>26</v>
      </c>
      <c r="V18" s="1566">
        <v>20</v>
      </c>
      <c r="W18" s="1566">
        <v>19</v>
      </c>
      <c r="X18" s="1566">
        <v>1</v>
      </c>
      <c r="Y18" s="1566">
        <v>42</v>
      </c>
      <c r="Z18" s="1567">
        <v>26</v>
      </c>
      <c r="AA18" s="1568">
        <f t="shared" si="3"/>
        <v>211</v>
      </c>
      <c r="AB18" s="1565">
        <v>11</v>
      </c>
      <c r="AC18" s="1566">
        <v>73</v>
      </c>
      <c r="AD18" s="1566">
        <v>44</v>
      </c>
      <c r="AE18" s="1566">
        <v>8</v>
      </c>
      <c r="AF18" s="1566">
        <v>29</v>
      </c>
      <c r="AG18" s="1566">
        <v>69</v>
      </c>
      <c r="AH18" s="1566">
        <v>144</v>
      </c>
      <c r="AI18" s="1566">
        <v>119</v>
      </c>
      <c r="AJ18" s="1566">
        <v>162</v>
      </c>
      <c r="AK18" s="1566">
        <v>64</v>
      </c>
      <c r="AL18" s="1566">
        <v>80</v>
      </c>
      <c r="AM18" s="1567">
        <v>349</v>
      </c>
      <c r="AN18" s="1568">
        <f t="shared" si="5"/>
        <v>1152</v>
      </c>
      <c r="AO18" s="1565">
        <v>0</v>
      </c>
      <c r="AP18" s="1566">
        <v>8</v>
      </c>
      <c r="AQ18" s="1566">
        <v>36</v>
      </c>
      <c r="AR18" s="1566">
        <v>44</v>
      </c>
      <c r="AS18" s="1566">
        <v>235</v>
      </c>
      <c r="AT18" s="1566">
        <v>490</v>
      </c>
      <c r="AU18" s="1566">
        <v>91</v>
      </c>
      <c r="AV18" s="1566">
        <v>36</v>
      </c>
      <c r="AW18" s="1566">
        <v>143</v>
      </c>
      <c r="AX18" s="1566">
        <v>106</v>
      </c>
      <c r="AY18" s="1566">
        <v>119</v>
      </c>
      <c r="AZ18" s="1567">
        <v>383</v>
      </c>
      <c r="BA18" s="1568">
        <f t="shared" si="7"/>
        <v>1691</v>
      </c>
      <c r="BB18" s="1565">
        <v>51</v>
      </c>
      <c r="BC18" s="1566">
        <v>77</v>
      </c>
      <c r="BD18" s="1566">
        <v>215</v>
      </c>
      <c r="BE18" s="1566">
        <v>159</v>
      </c>
      <c r="BF18" s="1566">
        <v>199</v>
      </c>
      <c r="BG18" s="1566">
        <v>130</v>
      </c>
      <c r="BH18" s="1566">
        <v>130</v>
      </c>
      <c r="BI18" s="1566">
        <v>134</v>
      </c>
      <c r="BJ18" s="1566">
        <v>213</v>
      </c>
      <c r="BK18" s="1566">
        <v>208</v>
      </c>
      <c r="BL18" s="1566">
        <v>454</v>
      </c>
      <c r="BM18" s="1567">
        <v>665</v>
      </c>
      <c r="BN18" s="1568">
        <f t="shared" si="9"/>
        <v>2635</v>
      </c>
      <c r="BO18" s="1565">
        <v>59</v>
      </c>
      <c r="BP18" s="1566">
        <v>243</v>
      </c>
      <c r="BQ18" s="1566">
        <v>762</v>
      </c>
      <c r="BR18" s="1566">
        <v>1406</v>
      </c>
      <c r="BS18" s="1566">
        <v>2104</v>
      </c>
      <c r="BT18" s="1566">
        <v>1815</v>
      </c>
      <c r="BU18" s="1566">
        <v>1796</v>
      </c>
      <c r="BV18" s="1566">
        <v>1123</v>
      </c>
      <c r="BW18" s="1566">
        <v>1785</v>
      </c>
      <c r="BX18" s="1566">
        <v>1291</v>
      </c>
      <c r="BY18" s="1566">
        <v>1665</v>
      </c>
      <c r="BZ18" s="1567">
        <v>2105</v>
      </c>
      <c r="CA18" s="1568">
        <f t="shared" si="11"/>
        <v>16154</v>
      </c>
      <c r="CB18" s="1565">
        <v>63</v>
      </c>
      <c r="CC18" s="1566">
        <v>757</v>
      </c>
      <c r="CD18" s="1566">
        <v>1150</v>
      </c>
      <c r="CE18" s="1566">
        <v>690</v>
      </c>
      <c r="CF18" s="1566">
        <v>830</v>
      </c>
      <c r="CG18" s="1566">
        <v>878</v>
      </c>
      <c r="CH18" s="1566">
        <v>738</v>
      </c>
      <c r="CI18" s="1566">
        <v>629</v>
      </c>
      <c r="CJ18" s="1566">
        <v>776</v>
      </c>
      <c r="CK18" s="1566">
        <v>733</v>
      </c>
      <c r="CL18" s="1566">
        <v>880</v>
      </c>
      <c r="CM18" s="1567">
        <v>3360</v>
      </c>
      <c r="CN18" s="1568">
        <f t="shared" si="13"/>
        <v>11484</v>
      </c>
      <c r="CO18" s="1565">
        <v>12</v>
      </c>
      <c r="CP18" s="1566">
        <v>167</v>
      </c>
      <c r="CQ18" s="1566">
        <v>377</v>
      </c>
      <c r="CR18" s="1566">
        <v>789</v>
      </c>
      <c r="CS18" s="1566">
        <v>777</v>
      </c>
      <c r="CT18" s="1566">
        <v>856</v>
      </c>
      <c r="CU18" s="1566">
        <v>1878</v>
      </c>
      <c r="CV18" s="1566">
        <v>589</v>
      </c>
      <c r="CW18" s="1566">
        <v>859</v>
      </c>
      <c r="CX18" s="1566">
        <v>1083</v>
      </c>
      <c r="CY18" s="1566">
        <v>445</v>
      </c>
      <c r="CZ18" s="1567">
        <v>3010</v>
      </c>
      <c r="DA18" s="1568">
        <f t="shared" si="15"/>
        <v>10842</v>
      </c>
      <c r="DB18" s="1565">
        <v>320</v>
      </c>
      <c r="DC18" s="1566">
        <v>1047</v>
      </c>
      <c r="DD18" s="1566">
        <v>2010</v>
      </c>
      <c r="DE18" s="1566">
        <v>1575</v>
      </c>
      <c r="DF18" s="1566">
        <v>1793</v>
      </c>
      <c r="DG18" s="1566">
        <v>972</v>
      </c>
      <c r="DH18" s="1566">
        <v>594</v>
      </c>
      <c r="DI18" s="1566">
        <v>1167</v>
      </c>
      <c r="DJ18" s="1566">
        <v>1865</v>
      </c>
      <c r="DK18" s="1566">
        <v>773</v>
      </c>
      <c r="DL18" s="1566">
        <v>6357</v>
      </c>
      <c r="DM18" s="1567">
        <v>8925</v>
      </c>
      <c r="DN18" s="1568">
        <f t="shared" si="27"/>
        <v>27398</v>
      </c>
      <c r="DO18" s="1565">
        <v>208</v>
      </c>
      <c r="DP18" s="1566">
        <v>64</v>
      </c>
      <c r="DQ18" s="1566">
        <v>2527</v>
      </c>
      <c r="DR18" s="1566">
        <v>1107</v>
      </c>
      <c r="DS18" s="1566">
        <v>656</v>
      </c>
      <c r="DT18" s="1566">
        <v>1415</v>
      </c>
      <c r="DU18" s="1566">
        <v>1212</v>
      </c>
      <c r="DV18" s="1566">
        <v>1798</v>
      </c>
      <c r="DW18" s="1566">
        <v>11786</v>
      </c>
      <c r="DX18" s="1566">
        <v>450</v>
      </c>
      <c r="DY18" s="1566">
        <v>751</v>
      </c>
      <c r="DZ18" s="1567">
        <v>8182</v>
      </c>
      <c r="EA18" s="1568">
        <f t="shared" si="28"/>
        <v>30156</v>
      </c>
      <c r="EB18" s="1565">
        <v>628</v>
      </c>
      <c r="EC18" s="1566">
        <v>306</v>
      </c>
      <c r="ED18" s="1566">
        <v>486</v>
      </c>
      <c r="EE18" s="1566">
        <v>734</v>
      </c>
      <c r="EF18" s="1566">
        <v>517</v>
      </c>
      <c r="EG18" s="1566">
        <v>3289</v>
      </c>
      <c r="EH18" s="1566">
        <v>2790</v>
      </c>
      <c r="EI18" s="1566">
        <v>3063</v>
      </c>
      <c r="EJ18" s="1566">
        <v>1326</v>
      </c>
      <c r="EK18" s="1566">
        <v>5899</v>
      </c>
      <c r="EL18" s="1566">
        <v>1625</v>
      </c>
      <c r="EM18" s="1567">
        <v>2374</v>
      </c>
      <c r="EN18" s="1568">
        <f t="shared" si="29"/>
        <v>23037</v>
      </c>
      <c r="EO18" s="1565">
        <v>5</v>
      </c>
      <c r="EP18" s="1566">
        <v>29</v>
      </c>
      <c r="EQ18" s="1566">
        <v>640</v>
      </c>
      <c r="ER18" s="1566">
        <v>934</v>
      </c>
      <c r="ES18" s="1566">
        <v>300</v>
      </c>
      <c r="ET18" s="1566">
        <v>1625</v>
      </c>
      <c r="EU18" s="1566">
        <v>2089</v>
      </c>
      <c r="EV18" s="1566">
        <v>1583</v>
      </c>
      <c r="EW18" s="1566">
        <v>2143</v>
      </c>
      <c r="EX18" s="1566">
        <v>1554</v>
      </c>
      <c r="EY18" s="1566">
        <v>245</v>
      </c>
      <c r="EZ18" s="1567">
        <v>3651</v>
      </c>
      <c r="FA18" s="1568">
        <f t="shared" si="30"/>
        <v>14798</v>
      </c>
      <c r="FB18" s="1565">
        <v>92</v>
      </c>
      <c r="FC18" s="1566">
        <v>54</v>
      </c>
      <c r="FD18" s="1566">
        <v>168</v>
      </c>
      <c r="FE18" s="1566">
        <v>1688</v>
      </c>
      <c r="FF18" s="1566">
        <v>824</v>
      </c>
      <c r="FG18" s="1566">
        <v>63</v>
      </c>
      <c r="FH18" s="1566">
        <v>299</v>
      </c>
      <c r="FI18" s="1566">
        <v>2818</v>
      </c>
      <c r="FJ18" s="1566">
        <v>5060</v>
      </c>
      <c r="FK18" s="1566">
        <v>6881</v>
      </c>
      <c r="FL18" s="1566">
        <v>5279</v>
      </c>
      <c r="FM18" s="1567">
        <v>7471</v>
      </c>
      <c r="FN18" s="1568">
        <f t="shared" si="41"/>
        <v>30697</v>
      </c>
      <c r="FO18" s="1565">
        <v>1279</v>
      </c>
      <c r="FP18" s="1566">
        <v>4729</v>
      </c>
      <c r="FQ18" s="1566">
        <v>3679</v>
      </c>
      <c r="FR18" s="1566">
        <v>1730</v>
      </c>
      <c r="FS18" s="1566">
        <v>1893</v>
      </c>
      <c r="FT18" s="1566">
        <v>3177</v>
      </c>
      <c r="FU18" s="1566">
        <v>1444</v>
      </c>
      <c r="FV18" s="1566">
        <v>3160</v>
      </c>
      <c r="FW18" s="1566">
        <v>3667</v>
      </c>
      <c r="FX18" s="1566">
        <v>3861</v>
      </c>
      <c r="FY18" s="1566">
        <v>3245</v>
      </c>
      <c r="FZ18" s="1567">
        <v>6502</v>
      </c>
      <c r="GA18" s="1568">
        <f t="shared" si="31"/>
        <v>38366</v>
      </c>
      <c r="GB18" s="1565">
        <v>11</v>
      </c>
      <c r="GC18" s="1566">
        <v>213</v>
      </c>
      <c r="GD18" s="1566">
        <v>223</v>
      </c>
      <c r="GE18" s="1566">
        <v>20</v>
      </c>
      <c r="GF18" s="1566">
        <v>330</v>
      </c>
      <c r="GG18" s="1566">
        <v>244</v>
      </c>
      <c r="GH18" s="1566">
        <v>5752</v>
      </c>
      <c r="GI18" s="1566">
        <v>1130</v>
      </c>
      <c r="GJ18" s="1566">
        <v>17318</v>
      </c>
      <c r="GK18" s="1566">
        <v>4282</v>
      </c>
      <c r="GL18" s="1566">
        <v>8341</v>
      </c>
      <c r="GM18" s="1567">
        <v>9615</v>
      </c>
      <c r="GN18" s="1568">
        <f t="shared" si="32"/>
        <v>47479</v>
      </c>
      <c r="GO18" s="1565">
        <v>526</v>
      </c>
      <c r="GP18" s="1566">
        <v>4513</v>
      </c>
      <c r="GQ18" s="1566">
        <v>1975</v>
      </c>
      <c r="GR18" s="1566">
        <v>2811</v>
      </c>
      <c r="GS18" s="1566">
        <v>1390</v>
      </c>
      <c r="GT18" s="1566">
        <v>2797</v>
      </c>
      <c r="GU18" s="1566">
        <v>2775</v>
      </c>
      <c r="GV18" s="1566">
        <v>3712</v>
      </c>
      <c r="GW18" s="1566">
        <v>4989</v>
      </c>
      <c r="GX18" s="1566">
        <v>6753</v>
      </c>
      <c r="GY18" s="1566">
        <v>11825</v>
      </c>
      <c r="GZ18" s="1567">
        <v>15949</v>
      </c>
      <c r="HA18" s="1568">
        <f t="shared" si="33"/>
        <v>60015</v>
      </c>
      <c r="HB18" s="1565">
        <v>0</v>
      </c>
      <c r="HC18" s="1566">
        <v>1946</v>
      </c>
      <c r="HD18" s="1566">
        <v>185</v>
      </c>
      <c r="HE18" s="1566">
        <v>1539</v>
      </c>
      <c r="HF18" s="1566">
        <v>2086</v>
      </c>
      <c r="HG18" s="1566">
        <v>2483</v>
      </c>
      <c r="HH18" s="1566">
        <v>1611</v>
      </c>
      <c r="HI18" s="1566">
        <v>3523</v>
      </c>
      <c r="HJ18" s="1566">
        <v>2686</v>
      </c>
      <c r="HK18" s="1566">
        <v>5337</v>
      </c>
      <c r="HL18" s="1566">
        <v>5200</v>
      </c>
      <c r="HM18" s="1567">
        <v>3803</v>
      </c>
      <c r="HN18" s="1568">
        <f t="shared" si="34"/>
        <v>30399</v>
      </c>
      <c r="HO18" s="1565">
        <v>965</v>
      </c>
      <c r="HP18" s="1566">
        <v>100</v>
      </c>
      <c r="HQ18" s="1566">
        <v>663</v>
      </c>
      <c r="HR18" s="1566">
        <v>225</v>
      </c>
      <c r="HS18" s="1566">
        <v>627</v>
      </c>
      <c r="HT18" s="1566">
        <v>2920</v>
      </c>
      <c r="HU18" s="1566">
        <v>3863</v>
      </c>
      <c r="HV18" s="1566">
        <v>2584</v>
      </c>
      <c r="HW18" s="1566">
        <v>3396</v>
      </c>
      <c r="HX18" s="1566">
        <v>4711</v>
      </c>
      <c r="HY18" s="1566">
        <v>2510</v>
      </c>
      <c r="HZ18" s="1567">
        <v>6562</v>
      </c>
      <c r="IA18" s="1565">
        <f t="shared" si="42"/>
        <v>29126</v>
      </c>
      <c r="IB18" s="1569">
        <v>362</v>
      </c>
      <c r="IC18" s="1068">
        <v>1501</v>
      </c>
      <c r="ID18" s="1068">
        <v>838</v>
      </c>
      <c r="IE18" s="1068">
        <v>1441</v>
      </c>
      <c r="IF18" s="1068">
        <v>661</v>
      </c>
      <c r="IG18" s="1068">
        <v>345</v>
      </c>
      <c r="IH18" s="1068">
        <v>1166</v>
      </c>
      <c r="II18" s="1068">
        <v>348</v>
      </c>
      <c r="IJ18" s="1068"/>
      <c r="IK18" s="1068"/>
      <c r="IL18" s="1068"/>
      <c r="IM18" s="1570"/>
      <c r="IN18" s="1571">
        <f t="shared" si="35"/>
        <v>6662</v>
      </c>
      <c r="IO18"/>
      <c r="IP18" s="1656">
        <f t="shared" si="36"/>
        <v>-86.532507739938083</v>
      </c>
      <c r="IQ18" s="1656">
        <f t="shared" si="37"/>
        <v>-44.237046957395165</v>
      </c>
      <c r="IR18" s="1657">
        <f t="shared" si="38"/>
        <v>11947</v>
      </c>
      <c r="IS18" s="1657">
        <f t="shared" si="39"/>
        <v>6662</v>
      </c>
      <c r="IT18" s="1658"/>
      <c r="IU18" s="221">
        <f t="shared" si="40"/>
        <v>-2236</v>
      </c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</row>
    <row r="19" spans="1:280" s="105" customFormat="1" ht="15" customHeight="1" x14ac:dyDescent="0.2">
      <c r="A19" s="1551" t="s">
        <v>635</v>
      </c>
      <c r="B19" s="1565">
        <v>0</v>
      </c>
      <c r="C19" s="1566">
        <v>0</v>
      </c>
      <c r="D19" s="1566">
        <v>0</v>
      </c>
      <c r="E19" s="1566">
        <v>0</v>
      </c>
      <c r="F19" s="1566">
        <v>0</v>
      </c>
      <c r="G19" s="1566">
        <v>0</v>
      </c>
      <c r="H19" s="1566">
        <v>0</v>
      </c>
      <c r="I19" s="1566">
        <v>0</v>
      </c>
      <c r="J19" s="1566">
        <v>0</v>
      </c>
      <c r="K19" s="1566">
        <v>0</v>
      </c>
      <c r="L19" s="1566">
        <v>0</v>
      </c>
      <c r="M19" s="1567">
        <v>0</v>
      </c>
      <c r="N19" s="1568">
        <f t="shared" si="1"/>
        <v>0</v>
      </c>
      <c r="O19" s="1565">
        <v>0</v>
      </c>
      <c r="P19" s="1566">
        <v>0</v>
      </c>
      <c r="Q19" s="1566">
        <v>56</v>
      </c>
      <c r="R19" s="1566">
        <v>0</v>
      </c>
      <c r="S19" s="1566">
        <v>1</v>
      </c>
      <c r="T19" s="1566">
        <v>1</v>
      </c>
      <c r="U19" s="1566">
        <v>4</v>
      </c>
      <c r="V19" s="1566">
        <v>1</v>
      </c>
      <c r="W19" s="1566">
        <v>2</v>
      </c>
      <c r="X19" s="1566">
        <v>0</v>
      </c>
      <c r="Y19" s="1566">
        <v>6</v>
      </c>
      <c r="Z19" s="1567">
        <v>67</v>
      </c>
      <c r="AA19" s="1568">
        <f t="shared" si="3"/>
        <v>138</v>
      </c>
      <c r="AB19" s="1565"/>
      <c r="AC19" s="1566"/>
      <c r="AD19" s="1566">
        <v>30</v>
      </c>
      <c r="AE19" s="1566">
        <v>1</v>
      </c>
      <c r="AF19" s="1566">
        <v>1</v>
      </c>
      <c r="AG19" s="1566">
        <v>0</v>
      </c>
      <c r="AH19" s="1566">
        <v>0</v>
      </c>
      <c r="AI19" s="1566">
        <v>0</v>
      </c>
      <c r="AJ19" s="1566">
        <v>0</v>
      </c>
      <c r="AK19" s="1566">
        <v>0</v>
      </c>
      <c r="AL19" s="1566">
        <v>0</v>
      </c>
      <c r="AM19" s="1567">
        <v>0</v>
      </c>
      <c r="AN19" s="1568">
        <f t="shared" si="5"/>
        <v>32</v>
      </c>
      <c r="AO19" s="1565">
        <v>0</v>
      </c>
      <c r="AP19" s="1566">
        <v>0</v>
      </c>
      <c r="AQ19" s="1566">
        <v>0</v>
      </c>
      <c r="AR19" s="1566">
        <v>0</v>
      </c>
      <c r="AS19" s="1566">
        <v>14</v>
      </c>
      <c r="AT19" s="1566">
        <v>3</v>
      </c>
      <c r="AU19" s="1566">
        <v>16</v>
      </c>
      <c r="AV19" s="1566">
        <v>1</v>
      </c>
      <c r="AW19" s="1566">
        <v>5</v>
      </c>
      <c r="AX19" s="1566">
        <v>5</v>
      </c>
      <c r="AY19" s="1566">
        <v>8</v>
      </c>
      <c r="AZ19" s="1567">
        <v>10</v>
      </c>
      <c r="BA19" s="1568">
        <f t="shared" si="7"/>
        <v>62</v>
      </c>
      <c r="BB19" s="1565">
        <v>0</v>
      </c>
      <c r="BC19" s="1566">
        <v>12</v>
      </c>
      <c r="BD19" s="1566">
        <v>4</v>
      </c>
      <c r="BE19" s="1566">
        <v>29</v>
      </c>
      <c r="BF19" s="1566">
        <v>5</v>
      </c>
      <c r="BG19" s="1566">
        <v>25</v>
      </c>
      <c r="BH19" s="1566">
        <v>6</v>
      </c>
      <c r="BI19" s="1566">
        <v>2</v>
      </c>
      <c r="BJ19" s="1566">
        <v>3</v>
      </c>
      <c r="BK19" s="1566">
        <v>14</v>
      </c>
      <c r="BL19" s="1566">
        <v>11</v>
      </c>
      <c r="BM19" s="1567">
        <v>11</v>
      </c>
      <c r="BN19" s="1568">
        <f t="shared" si="9"/>
        <v>122</v>
      </c>
      <c r="BO19" s="1565">
        <v>0</v>
      </c>
      <c r="BP19" s="1566">
        <v>73</v>
      </c>
      <c r="BQ19" s="1566">
        <v>7</v>
      </c>
      <c r="BR19" s="1566">
        <v>4</v>
      </c>
      <c r="BS19" s="1566">
        <v>2</v>
      </c>
      <c r="BT19" s="1566">
        <v>2</v>
      </c>
      <c r="BU19" s="1566">
        <v>13</v>
      </c>
      <c r="BV19" s="1566">
        <v>8</v>
      </c>
      <c r="BW19" s="1566">
        <v>8</v>
      </c>
      <c r="BX19" s="1566">
        <v>50</v>
      </c>
      <c r="BY19" s="1566">
        <v>0.8</v>
      </c>
      <c r="BZ19" s="1567">
        <v>19</v>
      </c>
      <c r="CA19" s="1568">
        <f t="shared" si="11"/>
        <v>186.8</v>
      </c>
      <c r="CB19" s="1565">
        <v>0</v>
      </c>
      <c r="CC19" s="1566">
        <v>4</v>
      </c>
      <c r="CD19" s="1566">
        <v>2</v>
      </c>
      <c r="CE19" s="1566">
        <v>2</v>
      </c>
      <c r="CF19" s="1566">
        <v>2</v>
      </c>
      <c r="CG19" s="1566">
        <v>2</v>
      </c>
      <c r="CH19" s="1566">
        <v>2</v>
      </c>
      <c r="CI19" s="1566">
        <v>2</v>
      </c>
      <c r="CJ19" s="1566">
        <v>2</v>
      </c>
      <c r="CK19" s="1566">
        <v>7.0000000000000007E-2</v>
      </c>
      <c r="CL19" s="1566">
        <v>3</v>
      </c>
      <c r="CM19" s="1567">
        <v>2</v>
      </c>
      <c r="CN19" s="1568">
        <f t="shared" si="13"/>
        <v>23.07</v>
      </c>
      <c r="CO19" s="1565">
        <v>0</v>
      </c>
      <c r="CP19" s="1566">
        <v>0</v>
      </c>
      <c r="CQ19" s="1566">
        <v>0</v>
      </c>
      <c r="CR19" s="1566">
        <v>0</v>
      </c>
      <c r="CS19" s="1566">
        <v>0</v>
      </c>
      <c r="CT19" s="1566"/>
      <c r="CU19" s="1566">
        <v>0</v>
      </c>
      <c r="CV19" s="1566">
        <v>0</v>
      </c>
      <c r="CW19" s="1566">
        <v>0</v>
      </c>
      <c r="CX19" s="1566">
        <v>0</v>
      </c>
      <c r="CY19" s="1566">
        <v>0</v>
      </c>
      <c r="CZ19" s="1567">
        <v>31</v>
      </c>
      <c r="DA19" s="1568">
        <f t="shared" si="15"/>
        <v>31</v>
      </c>
      <c r="DB19" s="1565">
        <v>1</v>
      </c>
      <c r="DC19" s="1566">
        <v>2</v>
      </c>
      <c r="DD19" s="1566">
        <v>0</v>
      </c>
      <c r="DE19" s="1566">
        <v>1</v>
      </c>
      <c r="DF19" s="1566">
        <v>0</v>
      </c>
      <c r="DG19" s="1566">
        <v>2</v>
      </c>
      <c r="DH19" s="1566">
        <v>1</v>
      </c>
      <c r="DI19" s="1566">
        <v>0</v>
      </c>
      <c r="DJ19" s="1566">
        <v>0</v>
      </c>
      <c r="DK19" s="1566">
        <v>1</v>
      </c>
      <c r="DL19" s="1566">
        <v>0</v>
      </c>
      <c r="DM19" s="1567">
        <v>0</v>
      </c>
      <c r="DN19" s="1568">
        <f t="shared" si="27"/>
        <v>8</v>
      </c>
      <c r="DO19" s="1565">
        <v>6</v>
      </c>
      <c r="DP19" s="1566">
        <v>0</v>
      </c>
      <c r="DQ19" s="1566">
        <v>0</v>
      </c>
      <c r="DR19" s="1566">
        <v>0</v>
      </c>
      <c r="DS19" s="1566">
        <v>0</v>
      </c>
      <c r="DT19" s="1566">
        <v>0</v>
      </c>
      <c r="DU19" s="1566">
        <v>0</v>
      </c>
      <c r="DV19" s="1566">
        <v>0</v>
      </c>
      <c r="DW19" s="1566">
        <v>0</v>
      </c>
      <c r="DX19" s="1566">
        <v>10</v>
      </c>
      <c r="DY19" s="1566">
        <v>0</v>
      </c>
      <c r="DZ19" s="1567">
        <v>0</v>
      </c>
      <c r="EA19" s="1568">
        <f t="shared" si="28"/>
        <v>16</v>
      </c>
      <c r="EB19" s="1565">
        <v>0</v>
      </c>
      <c r="EC19" s="1566">
        <v>0</v>
      </c>
      <c r="ED19" s="1566">
        <v>0</v>
      </c>
      <c r="EE19" s="1566">
        <v>0</v>
      </c>
      <c r="EF19" s="1566">
        <v>0</v>
      </c>
      <c r="EG19" s="1566">
        <v>0</v>
      </c>
      <c r="EH19" s="1566">
        <v>0</v>
      </c>
      <c r="EI19" s="1566">
        <v>0</v>
      </c>
      <c r="EJ19" s="1566">
        <v>0</v>
      </c>
      <c r="EK19" s="1566"/>
      <c r="EL19" s="1566">
        <v>0</v>
      </c>
      <c r="EM19" s="1567">
        <v>0</v>
      </c>
      <c r="EN19" s="1568">
        <f t="shared" si="29"/>
        <v>0</v>
      </c>
      <c r="EO19" s="1565">
        <v>0</v>
      </c>
      <c r="EP19" s="1566">
        <v>0</v>
      </c>
      <c r="EQ19" s="1566">
        <v>0</v>
      </c>
      <c r="ER19" s="1566">
        <v>0</v>
      </c>
      <c r="ES19" s="1566">
        <v>0</v>
      </c>
      <c r="ET19" s="1566">
        <v>0</v>
      </c>
      <c r="EU19" s="1566">
        <v>0</v>
      </c>
      <c r="EV19" s="1566">
        <v>0</v>
      </c>
      <c r="EW19" s="1566">
        <v>0</v>
      </c>
      <c r="EX19" s="1566">
        <v>0</v>
      </c>
      <c r="EY19" s="1566">
        <v>0</v>
      </c>
      <c r="EZ19" s="1567">
        <v>0</v>
      </c>
      <c r="FA19" s="1568">
        <f t="shared" si="30"/>
        <v>0</v>
      </c>
      <c r="FB19" s="1565">
        <v>0</v>
      </c>
      <c r="FC19" s="1566">
        <v>0</v>
      </c>
      <c r="FD19" s="1566">
        <v>0</v>
      </c>
      <c r="FE19" s="1566">
        <v>0</v>
      </c>
      <c r="FF19" s="1566">
        <v>0</v>
      </c>
      <c r="FG19" s="1566">
        <v>0</v>
      </c>
      <c r="FH19" s="1566">
        <v>0</v>
      </c>
      <c r="FI19" s="1566">
        <v>0</v>
      </c>
      <c r="FJ19" s="1566">
        <v>0</v>
      </c>
      <c r="FK19" s="1566">
        <v>0</v>
      </c>
      <c r="FL19" s="1566">
        <v>0</v>
      </c>
      <c r="FM19" s="1567">
        <v>0</v>
      </c>
      <c r="FN19" s="1568">
        <f t="shared" si="41"/>
        <v>0</v>
      </c>
      <c r="FO19" s="1565">
        <v>0</v>
      </c>
      <c r="FP19" s="1566">
        <v>0</v>
      </c>
      <c r="FQ19" s="1566">
        <v>0</v>
      </c>
      <c r="FR19" s="1566">
        <v>0</v>
      </c>
      <c r="FS19" s="1566">
        <v>0</v>
      </c>
      <c r="FT19" s="1566">
        <v>0</v>
      </c>
      <c r="FU19" s="1566">
        <v>0</v>
      </c>
      <c r="FV19" s="1566">
        <v>0</v>
      </c>
      <c r="FW19" s="1566">
        <v>0</v>
      </c>
      <c r="FX19" s="1566">
        <v>0</v>
      </c>
      <c r="FY19" s="1566">
        <v>0</v>
      </c>
      <c r="FZ19" s="1567">
        <v>0</v>
      </c>
      <c r="GA19" s="1568">
        <f t="shared" si="31"/>
        <v>0</v>
      </c>
      <c r="GB19" s="1565">
        <v>0</v>
      </c>
      <c r="GC19" s="1566">
        <v>0</v>
      </c>
      <c r="GD19" s="1566">
        <v>0</v>
      </c>
      <c r="GE19" s="1566">
        <v>0</v>
      </c>
      <c r="GF19" s="1566">
        <v>0</v>
      </c>
      <c r="GG19" s="1566">
        <v>0</v>
      </c>
      <c r="GH19" s="1566">
        <v>0</v>
      </c>
      <c r="GI19" s="1566">
        <v>0</v>
      </c>
      <c r="GJ19" s="1566">
        <v>0</v>
      </c>
      <c r="GK19" s="1566">
        <v>0</v>
      </c>
      <c r="GL19" s="1566">
        <v>0</v>
      </c>
      <c r="GM19" s="1567">
        <v>0</v>
      </c>
      <c r="GN19" s="1568">
        <f t="shared" si="32"/>
        <v>0</v>
      </c>
      <c r="GO19" s="1565">
        <v>0</v>
      </c>
      <c r="GP19" s="1566">
        <v>0</v>
      </c>
      <c r="GQ19" s="1566">
        <v>0</v>
      </c>
      <c r="GR19" s="1566">
        <v>0</v>
      </c>
      <c r="GS19" s="1566">
        <v>0</v>
      </c>
      <c r="GT19" s="1566">
        <v>0</v>
      </c>
      <c r="GU19" s="1566">
        <v>0</v>
      </c>
      <c r="GV19" s="1566">
        <v>0</v>
      </c>
      <c r="GW19" s="1566">
        <v>0</v>
      </c>
      <c r="GX19" s="1566">
        <v>0</v>
      </c>
      <c r="GY19" s="1566">
        <v>0</v>
      </c>
      <c r="GZ19" s="1567">
        <v>0</v>
      </c>
      <c r="HA19" s="1568">
        <f t="shared" si="33"/>
        <v>0</v>
      </c>
      <c r="HB19" s="1565">
        <v>0</v>
      </c>
      <c r="HC19" s="1566">
        <v>0</v>
      </c>
      <c r="HD19" s="1566">
        <v>0</v>
      </c>
      <c r="HE19" s="1566">
        <v>0</v>
      </c>
      <c r="HF19" s="1566">
        <v>0</v>
      </c>
      <c r="HG19" s="1566">
        <v>0</v>
      </c>
      <c r="HH19" s="1566">
        <v>0</v>
      </c>
      <c r="HI19" s="1566">
        <v>0</v>
      </c>
      <c r="HJ19" s="1566">
        <v>0</v>
      </c>
      <c r="HK19" s="1566">
        <v>0</v>
      </c>
      <c r="HL19" s="1566">
        <v>0</v>
      </c>
      <c r="HM19" s="1567">
        <v>0</v>
      </c>
      <c r="HN19" s="1568">
        <f t="shared" si="34"/>
        <v>0</v>
      </c>
      <c r="HO19" s="1565">
        <v>0</v>
      </c>
      <c r="HP19" s="1566">
        <v>0</v>
      </c>
      <c r="HQ19" s="1566">
        <v>0</v>
      </c>
      <c r="HR19" s="1566">
        <v>0</v>
      </c>
      <c r="HS19" s="1566">
        <v>0</v>
      </c>
      <c r="HT19" s="1566">
        <v>0</v>
      </c>
      <c r="HU19" s="1566">
        <v>0</v>
      </c>
      <c r="HV19" s="1566">
        <v>0</v>
      </c>
      <c r="HW19" s="1566">
        <v>0</v>
      </c>
      <c r="HX19" s="1566">
        <v>0</v>
      </c>
      <c r="HY19" s="1566">
        <v>0</v>
      </c>
      <c r="HZ19" s="1567">
        <v>0</v>
      </c>
      <c r="IA19" s="1565">
        <f t="shared" si="42"/>
        <v>0</v>
      </c>
      <c r="IB19" s="1569">
        <v>0</v>
      </c>
      <c r="IC19" s="1068">
        <v>0</v>
      </c>
      <c r="ID19" s="1068">
        <v>0</v>
      </c>
      <c r="IE19" s="1068">
        <v>0</v>
      </c>
      <c r="IF19" s="1068">
        <v>0</v>
      </c>
      <c r="IG19" s="1068">
        <v>0</v>
      </c>
      <c r="IH19" s="1068">
        <v>0</v>
      </c>
      <c r="II19" s="1068">
        <v>0</v>
      </c>
      <c r="IJ19" s="1068"/>
      <c r="IK19" s="1068"/>
      <c r="IL19" s="1068"/>
      <c r="IM19" s="1570"/>
      <c r="IN19" s="1571">
        <f t="shared" si="35"/>
        <v>0</v>
      </c>
      <c r="IO19"/>
      <c r="IP19" s="1656" t="str">
        <f t="shared" si="36"/>
        <v/>
      </c>
      <c r="IQ19" s="1656" t="str">
        <f t="shared" si="37"/>
        <v/>
      </c>
      <c r="IR19" s="1657">
        <f t="shared" si="38"/>
        <v>0</v>
      </c>
      <c r="IS19" s="1657">
        <f t="shared" si="39"/>
        <v>0</v>
      </c>
      <c r="IT19" s="1658"/>
      <c r="IU19" s="221">
        <f t="shared" si="40"/>
        <v>0</v>
      </c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</row>
    <row r="20" spans="1:280" s="105" customFormat="1" ht="15" customHeight="1" x14ac:dyDescent="0.2">
      <c r="A20" s="1551" t="s">
        <v>636</v>
      </c>
      <c r="B20" s="1565">
        <v>280</v>
      </c>
      <c r="C20" s="1566">
        <v>527</v>
      </c>
      <c r="D20" s="1566">
        <v>451</v>
      </c>
      <c r="E20" s="1566">
        <v>629</v>
      </c>
      <c r="F20" s="1566">
        <v>611</v>
      </c>
      <c r="G20" s="1566">
        <v>610</v>
      </c>
      <c r="H20" s="1566">
        <v>744</v>
      </c>
      <c r="I20" s="1566">
        <v>1225</v>
      </c>
      <c r="J20" s="1566">
        <v>1013</v>
      </c>
      <c r="K20" s="1566">
        <v>595</v>
      </c>
      <c r="L20" s="1566">
        <v>449</v>
      </c>
      <c r="M20" s="1567">
        <v>2488</v>
      </c>
      <c r="N20" s="1568">
        <f t="shared" si="1"/>
        <v>9622</v>
      </c>
      <c r="O20" s="1565">
        <v>1062</v>
      </c>
      <c r="P20" s="1566">
        <v>475</v>
      </c>
      <c r="Q20" s="1566">
        <v>749</v>
      </c>
      <c r="R20" s="1566">
        <v>1831</v>
      </c>
      <c r="S20" s="1566">
        <v>518</v>
      </c>
      <c r="T20" s="1566">
        <v>480</v>
      </c>
      <c r="U20" s="1566">
        <v>1978</v>
      </c>
      <c r="V20" s="1566">
        <v>775</v>
      </c>
      <c r="W20" s="1566">
        <v>1769</v>
      </c>
      <c r="X20" s="1566">
        <v>1493</v>
      </c>
      <c r="Y20" s="1566">
        <v>1128</v>
      </c>
      <c r="Z20" s="1567">
        <v>1717</v>
      </c>
      <c r="AA20" s="1568">
        <f t="shared" si="3"/>
        <v>13975</v>
      </c>
      <c r="AB20" s="1565">
        <v>272</v>
      </c>
      <c r="AC20" s="1566">
        <v>183</v>
      </c>
      <c r="AD20" s="1566">
        <v>907</v>
      </c>
      <c r="AE20" s="1566">
        <v>1078</v>
      </c>
      <c r="AF20" s="1566">
        <v>1244</v>
      </c>
      <c r="AG20" s="1566">
        <v>1172</v>
      </c>
      <c r="AH20" s="1566">
        <v>901</v>
      </c>
      <c r="AI20" s="1566">
        <v>1001</v>
      </c>
      <c r="AJ20" s="1566">
        <v>1413</v>
      </c>
      <c r="AK20" s="1566">
        <v>529</v>
      </c>
      <c r="AL20" s="1566">
        <v>1317</v>
      </c>
      <c r="AM20" s="1567">
        <v>2343</v>
      </c>
      <c r="AN20" s="1568">
        <f t="shared" si="5"/>
        <v>12360</v>
      </c>
      <c r="AO20" s="1565">
        <v>26</v>
      </c>
      <c r="AP20" s="1566">
        <v>376</v>
      </c>
      <c r="AQ20" s="1566">
        <v>786</v>
      </c>
      <c r="AR20" s="1566">
        <v>1096</v>
      </c>
      <c r="AS20" s="1566">
        <v>1347</v>
      </c>
      <c r="AT20" s="1566">
        <v>1134</v>
      </c>
      <c r="AU20" s="1566">
        <v>1112</v>
      </c>
      <c r="AV20" s="1566">
        <v>1384</v>
      </c>
      <c r="AW20" s="1566">
        <v>2953</v>
      </c>
      <c r="AX20" s="1566">
        <v>2421</v>
      </c>
      <c r="AY20" s="1566">
        <v>2143</v>
      </c>
      <c r="AZ20" s="1567">
        <v>6403</v>
      </c>
      <c r="BA20" s="1568">
        <f t="shared" si="7"/>
        <v>21181</v>
      </c>
      <c r="BB20" s="1565">
        <v>1039</v>
      </c>
      <c r="BC20" s="1566">
        <v>2322</v>
      </c>
      <c r="BD20" s="1566">
        <v>1829</v>
      </c>
      <c r="BE20" s="1566">
        <v>3671</v>
      </c>
      <c r="BF20" s="1566">
        <v>4432</v>
      </c>
      <c r="BG20" s="1566">
        <v>3332</v>
      </c>
      <c r="BH20" s="1566">
        <v>4739</v>
      </c>
      <c r="BI20" s="1566">
        <v>1937</v>
      </c>
      <c r="BJ20" s="1566">
        <v>4600</v>
      </c>
      <c r="BK20" s="1566">
        <v>2040</v>
      </c>
      <c r="BL20" s="1566">
        <v>1734</v>
      </c>
      <c r="BM20" s="1567">
        <v>4580</v>
      </c>
      <c r="BN20" s="1568">
        <f t="shared" si="9"/>
        <v>36255</v>
      </c>
      <c r="BO20" s="1565">
        <v>631</v>
      </c>
      <c r="BP20" s="1566">
        <v>2474</v>
      </c>
      <c r="BQ20" s="1566">
        <v>1458</v>
      </c>
      <c r="BR20" s="1566">
        <v>1106</v>
      </c>
      <c r="BS20" s="1566">
        <v>1922</v>
      </c>
      <c r="BT20" s="1566">
        <v>1110</v>
      </c>
      <c r="BU20" s="1566">
        <v>1085</v>
      </c>
      <c r="BV20" s="1566">
        <v>1165</v>
      </c>
      <c r="BW20" s="1566">
        <v>1089</v>
      </c>
      <c r="BX20" s="1566">
        <v>1382</v>
      </c>
      <c r="BY20" s="1566">
        <v>1337</v>
      </c>
      <c r="BZ20" s="1567">
        <v>4980</v>
      </c>
      <c r="CA20" s="1568">
        <f t="shared" si="11"/>
        <v>19739</v>
      </c>
      <c r="CB20" s="1565">
        <v>1291</v>
      </c>
      <c r="CC20" s="1566">
        <v>1043</v>
      </c>
      <c r="CD20" s="1566">
        <v>1737</v>
      </c>
      <c r="CE20" s="1566">
        <v>783</v>
      </c>
      <c r="CF20" s="1566">
        <v>1791</v>
      </c>
      <c r="CG20" s="1566">
        <v>1404</v>
      </c>
      <c r="CH20" s="1566">
        <v>1096</v>
      </c>
      <c r="CI20" s="1566">
        <v>1289</v>
      </c>
      <c r="CJ20" s="1566">
        <v>1392</v>
      </c>
      <c r="CK20" s="1566">
        <v>803</v>
      </c>
      <c r="CL20" s="1566">
        <v>1451</v>
      </c>
      <c r="CM20" s="1567">
        <v>2984</v>
      </c>
      <c r="CN20" s="1568">
        <f t="shared" si="13"/>
        <v>17064</v>
      </c>
      <c r="CO20" s="1565">
        <v>109</v>
      </c>
      <c r="CP20" s="1566">
        <v>680</v>
      </c>
      <c r="CQ20" s="1566">
        <v>1664</v>
      </c>
      <c r="CR20" s="1566">
        <v>1830</v>
      </c>
      <c r="CS20" s="1566">
        <v>1874</v>
      </c>
      <c r="CT20" s="1566">
        <v>1362</v>
      </c>
      <c r="CU20" s="1566">
        <v>1575</v>
      </c>
      <c r="CV20" s="1566">
        <v>1524</v>
      </c>
      <c r="CW20" s="1566">
        <v>1159</v>
      </c>
      <c r="CX20" s="1566">
        <v>1481</v>
      </c>
      <c r="CY20" s="1566">
        <v>937</v>
      </c>
      <c r="CZ20" s="1567">
        <v>6276</v>
      </c>
      <c r="DA20" s="1568">
        <f t="shared" si="15"/>
        <v>20471</v>
      </c>
      <c r="DB20" s="1565">
        <v>2991</v>
      </c>
      <c r="DC20" s="1566">
        <v>803</v>
      </c>
      <c r="DD20" s="1566">
        <v>1509</v>
      </c>
      <c r="DE20" s="1566">
        <v>1187</v>
      </c>
      <c r="DF20" s="1566">
        <v>1445</v>
      </c>
      <c r="DG20" s="1566">
        <v>1188</v>
      </c>
      <c r="DH20" s="1566">
        <v>1076</v>
      </c>
      <c r="DI20" s="1566">
        <v>1263</v>
      </c>
      <c r="DJ20" s="1566">
        <v>841</v>
      </c>
      <c r="DK20" s="1566">
        <v>793</v>
      </c>
      <c r="DL20" s="1566">
        <v>573</v>
      </c>
      <c r="DM20" s="1567">
        <v>2248</v>
      </c>
      <c r="DN20" s="1568">
        <f t="shared" si="27"/>
        <v>15917</v>
      </c>
      <c r="DO20" s="1565">
        <v>423</v>
      </c>
      <c r="DP20" s="1566">
        <v>511</v>
      </c>
      <c r="DQ20" s="1566">
        <v>948</v>
      </c>
      <c r="DR20" s="1566">
        <v>655</v>
      </c>
      <c r="DS20" s="1566">
        <v>1214</v>
      </c>
      <c r="DT20" s="1566">
        <v>2263</v>
      </c>
      <c r="DU20" s="1566">
        <v>758</v>
      </c>
      <c r="DV20" s="1566">
        <v>1057</v>
      </c>
      <c r="DW20" s="1566">
        <v>1041</v>
      </c>
      <c r="DX20" s="1566">
        <v>910</v>
      </c>
      <c r="DY20" s="1566">
        <v>1431</v>
      </c>
      <c r="DZ20" s="1567">
        <v>1996</v>
      </c>
      <c r="EA20" s="1568">
        <f t="shared" si="28"/>
        <v>13207</v>
      </c>
      <c r="EB20" s="1565">
        <v>260</v>
      </c>
      <c r="EC20" s="1566">
        <v>587</v>
      </c>
      <c r="ED20" s="1566">
        <v>1062</v>
      </c>
      <c r="EE20" s="1566">
        <v>859</v>
      </c>
      <c r="EF20" s="1566">
        <v>559</v>
      </c>
      <c r="EG20" s="1566">
        <v>676</v>
      </c>
      <c r="EH20" s="1566">
        <v>738</v>
      </c>
      <c r="EI20" s="1566">
        <v>845</v>
      </c>
      <c r="EJ20" s="1566">
        <v>1012</v>
      </c>
      <c r="EK20" s="1566">
        <v>819</v>
      </c>
      <c r="EL20" s="1566">
        <v>1080</v>
      </c>
      <c r="EM20" s="1567">
        <v>2225</v>
      </c>
      <c r="EN20" s="1568">
        <f t="shared" si="29"/>
        <v>10722</v>
      </c>
      <c r="EO20" s="1565">
        <v>141</v>
      </c>
      <c r="EP20" s="1566">
        <v>597</v>
      </c>
      <c r="EQ20" s="1566">
        <v>897</v>
      </c>
      <c r="ER20" s="1566">
        <v>1975</v>
      </c>
      <c r="ES20" s="1566">
        <v>588</v>
      </c>
      <c r="ET20" s="1566">
        <v>2201</v>
      </c>
      <c r="EU20" s="1566">
        <v>1344</v>
      </c>
      <c r="EV20" s="1566">
        <v>1710</v>
      </c>
      <c r="EW20" s="1566">
        <v>4912</v>
      </c>
      <c r="EX20" s="1566">
        <v>2668</v>
      </c>
      <c r="EY20" s="1566">
        <v>3756</v>
      </c>
      <c r="EZ20" s="1567">
        <v>4368</v>
      </c>
      <c r="FA20" s="1568">
        <f t="shared" si="30"/>
        <v>25157</v>
      </c>
      <c r="FB20" s="1565">
        <v>336</v>
      </c>
      <c r="FC20" s="1566">
        <v>701</v>
      </c>
      <c r="FD20" s="1566">
        <v>692</v>
      </c>
      <c r="FE20" s="1566">
        <v>271</v>
      </c>
      <c r="FF20" s="1566">
        <v>1544</v>
      </c>
      <c r="FG20" s="1566">
        <v>1077</v>
      </c>
      <c r="FH20" s="1566">
        <v>1139</v>
      </c>
      <c r="FI20" s="1566">
        <v>892</v>
      </c>
      <c r="FJ20" s="1566">
        <v>3770</v>
      </c>
      <c r="FK20" s="1566">
        <v>2281</v>
      </c>
      <c r="FL20" s="1566">
        <v>3005</v>
      </c>
      <c r="FM20" s="1567">
        <v>6898</v>
      </c>
      <c r="FN20" s="1568">
        <f t="shared" si="41"/>
        <v>22606</v>
      </c>
      <c r="FO20" s="1565">
        <v>3236</v>
      </c>
      <c r="FP20" s="1566">
        <v>2391</v>
      </c>
      <c r="FQ20" s="1566">
        <v>3525</v>
      </c>
      <c r="FR20" s="1566">
        <v>3069</v>
      </c>
      <c r="FS20" s="1566">
        <v>1872</v>
      </c>
      <c r="FT20" s="1566">
        <v>1572</v>
      </c>
      <c r="FU20" s="1566">
        <v>2366</v>
      </c>
      <c r="FV20" s="1566">
        <v>2412</v>
      </c>
      <c r="FW20" s="1566">
        <v>3105</v>
      </c>
      <c r="FX20" s="1566">
        <v>1872</v>
      </c>
      <c r="FY20" s="1566">
        <v>1882</v>
      </c>
      <c r="FZ20" s="1567">
        <v>3679</v>
      </c>
      <c r="GA20" s="1568">
        <f t="shared" si="31"/>
        <v>30981</v>
      </c>
      <c r="GB20" s="1565">
        <v>342</v>
      </c>
      <c r="GC20" s="1566">
        <v>535</v>
      </c>
      <c r="GD20" s="1566">
        <v>3510</v>
      </c>
      <c r="GE20" s="1566">
        <v>900</v>
      </c>
      <c r="GF20" s="1566">
        <v>1773</v>
      </c>
      <c r="GG20" s="1566">
        <v>2278</v>
      </c>
      <c r="GH20" s="1566">
        <v>1839</v>
      </c>
      <c r="GI20" s="1566">
        <v>3113</v>
      </c>
      <c r="GJ20" s="1566">
        <v>3556</v>
      </c>
      <c r="GK20" s="1566">
        <v>2715</v>
      </c>
      <c r="GL20" s="1566">
        <v>2789</v>
      </c>
      <c r="GM20" s="1567">
        <v>3826</v>
      </c>
      <c r="GN20" s="1568">
        <f t="shared" si="32"/>
        <v>27176</v>
      </c>
      <c r="GO20" s="1565">
        <v>206</v>
      </c>
      <c r="GP20" s="1566">
        <v>396</v>
      </c>
      <c r="GQ20" s="1566">
        <v>1275</v>
      </c>
      <c r="GR20" s="1566">
        <v>3351</v>
      </c>
      <c r="GS20" s="1566">
        <v>1937</v>
      </c>
      <c r="GT20" s="1566">
        <v>3012</v>
      </c>
      <c r="GU20" s="1566">
        <v>1980</v>
      </c>
      <c r="GV20" s="1566">
        <v>6702</v>
      </c>
      <c r="GW20" s="1566">
        <v>6603</v>
      </c>
      <c r="GX20" s="1566">
        <v>3365</v>
      </c>
      <c r="GY20" s="1566">
        <v>3965</v>
      </c>
      <c r="GZ20" s="1567">
        <v>4630</v>
      </c>
      <c r="HA20" s="1568">
        <f t="shared" si="33"/>
        <v>37422</v>
      </c>
      <c r="HB20" s="1565">
        <v>725</v>
      </c>
      <c r="HC20" s="1566">
        <v>1378</v>
      </c>
      <c r="HD20" s="1566">
        <v>3240</v>
      </c>
      <c r="HE20" s="1566">
        <v>1450</v>
      </c>
      <c r="HF20" s="1566">
        <v>2247</v>
      </c>
      <c r="HG20" s="1566">
        <v>1205</v>
      </c>
      <c r="HH20" s="1566">
        <v>1667</v>
      </c>
      <c r="HI20" s="1566">
        <v>1373</v>
      </c>
      <c r="HJ20" s="1566">
        <v>1767</v>
      </c>
      <c r="HK20" s="1566">
        <v>2940</v>
      </c>
      <c r="HL20" s="1566">
        <v>2417</v>
      </c>
      <c r="HM20" s="1567">
        <v>3213</v>
      </c>
      <c r="HN20" s="1568">
        <f t="shared" si="34"/>
        <v>23622</v>
      </c>
      <c r="HO20" s="1565">
        <v>1077</v>
      </c>
      <c r="HP20" s="1566">
        <v>916</v>
      </c>
      <c r="HQ20" s="1566">
        <v>1826</v>
      </c>
      <c r="HR20" s="1566">
        <v>1836</v>
      </c>
      <c r="HS20" s="1566">
        <v>1153</v>
      </c>
      <c r="HT20" s="1566">
        <v>1606</v>
      </c>
      <c r="HU20" s="1566">
        <v>2878</v>
      </c>
      <c r="HV20" s="1566">
        <v>1363</v>
      </c>
      <c r="HW20" s="1566">
        <v>1234</v>
      </c>
      <c r="HX20" s="1566">
        <v>1037</v>
      </c>
      <c r="HY20" s="1566">
        <v>1138</v>
      </c>
      <c r="HZ20" s="1567">
        <v>2014</v>
      </c>
      <c r="IA20" s="1565">
        <f t="shared" si="42"/>
        <v>18078</v>
      </c>
      <c r="IB20" s="1569">
        <v>250</v>
      </c>
      <c r="IC20" s="1068">
        <v>474</v>
      </c>
      <c r="ID20" s="1068">
        <v>882</v>
      </c>
      <c r="IE20" s="1068">
        <v>2321</v>
      </c>
      <c r="IF20" s="1068">
        <v>1053</v>
      </c>
      <c r="IG20" s="1068">
        <v>946</v>
      </c>
      <c r="IH20" s="1068">
        <v>4470</v>
      </c>
      <c r="II20" s="1068">
        <v>1453</v>
      </c>
      <c r="IJ20" s="1068"/>
      <c r="IK20" s="1068"/>
      <c r="IL20" s="1068"/>
      <c r="IM20" s="1570"/>
      <c r="IN20" s="1571">
        <f t="shared" si="35"/>
        <v>11849</v>
      </c>
      <c r="IO20"/>
      <c r="IP20" s="1656">
        <f t="shared" si="36"/>
        <v>6.6030814380044101</v>
      </c>
      <c r="IQ20" s="1656">
        <f t="shared" si="37"/>
        <v>-6.3690241011457926</v>
      </c>
      <c r="IR20" s="1657">
        <f t="shared" si="38"/>
        <v>12655</v>
      </c>
      <c r="IS20" s="1657">
        <f t="shared" si="39"/>
        <v>11849</v>
      </c>
      <c r="IT20" s="1658"/>
      <c r="IU20" s="221">
        <f t="shared" si="40"/>
        <v>90</v>
      </c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</row>
    <row r="21" spans="1:280" s="105" customFormat="1" ht="15" customHeight="1" x14ac:dyDescent="0.2">
      <c r="A21" s="1551" t="s">
        <v>637</v>
      </c>
      <c r="B21" s="1565">
        <v>89</v>
      </c>
      <c r="C21" s="1566">
        <v>174</v>
      </c>
      <c r="D21" s="1566">
        <v>102</v>
      </c>
      <c r="E21" s="1566">
        <v>62</v>
      </c>
      <c r="F21" s="1566">
        <v>124</v>
      </c>
      <c r="G21" s="1566">
        <v>125</v>
      </c>
      <c r="H21" s="1566">
        <v>169</v>
      </c>
      <c r="I21" s="1566">
        <v>285</v>
      </c>
      <c r="J21" s="1566">
        <v>290</v>
      </c>
      <c r="K21" s="1566">
        <v>356</v>
      </c>
      <c r="L21" s="1566">
        <v>337</v>
      </c>
      <c r="M21" s="1567">
        <v>1102</v>
      </c>
      <c r="N21" s="1568">
        <f t="shared" si="1"/>
        <v>3215</v>
      </c>
      <c r="O21" s="1565">
        <v>102</v>
      </c>
      <c r="P21" s="1566">
        <v>107</v>
      </c>
      <c r="Q21" s="1566">
        <v>114</v>
      </c>
      <c r="R21" s="1566">
        <v>46</v>
      </c>
      <c r="S21" s="1566">
        <v>69</v>
      </c>
      <c r="T21" s="1566">
        <v>159</v>
      </c>
      <c r="U21" s="1566">
        <v>166</v>
      </c>
      <c r="V21" s="1566">
        <v>128</v>
      </c>
      <c r="W21" s="1566">
        <v>123</v>
      </c>
      <c r="X21" s="1566">
        <v>200</v>
      </c>
      <c r="Y21" s="1566">
        <v>289</v>
      </c>
      <c r="Z21" s="1567">
        <v>285</v>
      </c>
      <c r="AA21" s="1568">
        <f t="shared" si="3"/>
        <v>1788</v>
      </c>
      <c r="AB21" s="1565">
        <v>98</v>
      </c>
      <c r="AC21" s="1566">
        <v>93</v>
      </c>
      <c r="AD21" s="1566">
        <v>156</v>
      </c>
      <c r="AE21" s="1566">
        <v>158</v>
      </c>
      <c r="AF21" s="1566">
        <v>282</v>
      </c>
      <c r="AG21" s="1566">
        <v>174</v>
      </c>
      <c r="AH21" s="1566">
        <v>332</v>
      </c>
      <c r="AI21" s="1566">
        <v>181</v>
      </c>
      <c r="AJ21" s="1566">
        <v>211</v>
      </c>
      <c r="AK21" s="1566">
        <v>252</v>
      </c>
      <c r="AL21" s="1566">
        <v>285</v>
      </c>
      <c r="AM21" s="1567">
        <v>286</v>
      </c>
      <c r="AN21" s="1568">
        <f t="shared" si="5"/>
        <v>2508</v>
      </c>
      <c r="AO21" s="1565">
        <v>18</v>
      </c>
      <c r="AP21" s="1566">
        <v>22</v>
      </c>
      <c r="AQ21" s="1566">
        <v>104</v>
      </c>
      <c r="AR21" s="1566">
        <v>60</v>
      </c>
      <c r="AS21" s="1566">
        <v>103</v>
      </c>
      <c r="AT21" s="1566">
        <v>245</v>
      </c>
      <c r="AU21" s="1566">
        <v>324</v>
      </c>
      <c r="AV21" s="1566">
        <v>239</v>
      </c>
      <c r="AW21" s="1566">
        <v>239</v>
      </c>
      <c r="AX21" s="1566">
        <v>67</v>
      </c>
      <c r="AY21" s="1566">
        <v>204</v>
      </c>
      <c r="AZ21" s="1567">
        <v>623</v>
      </c>
      <c r="BA21" s="1568">
        <f t="shared" si="7"/>
        <v>2248</v>
      </c>
      <c r="BB21" s="1565">
        <v>246</v>
      </c>
      <c r="BC21" s="1566">
        <v>77</v>
      </c>
      <c r="BD21" s="1566">
        <v>-107</v>
      </c>
      <c r="BE21" s="1566">
        <v>144</v>
      </c>
      <c r="BF21" s="1566">
        <v>101</v>
      </c>
      <c r="BG21" s="1566">
        <v>77</v>
      </c>
      <c r="BH21" s="1566">
        <v>102</v>
      </c>
      <c r="BI21" s="1566">
        <v>95</v>
      </c>
      <c r="BJ21" s="1566">
        <v>177</v>
      </c>
      <c r="BK21" s="1566">
        <v>445</v>
      </c>
      <c r="BL21" s="1566">
        <v>299</v>
      </c>
      <c r="BM21" s="1567">
        <v>577</v>
      </c>
      <c r="BN21" s="1568">
        <f t="shared" si="9"/>
        <v>2233</v>
      </c>
      <c r="BO21" s="1565">
        <v>52</v>
      </c>
      <c r="BP21" s="1566">
        <v>91</v>
      </c>
      <c r="BQ21" s="1566">
        <v>276</v>
      </c>
      <c r="BR21" s="1566">
        <v>557</v>
      </c>
      <c r="BS21" s="1566">
        <v>236</v>
      </c>
      <c r="BT21" s="1566">
        <v>249</v>
      </c>
      <c r="BU21" s="1566">
        <v>186</v>
      </c>
      <c r="BV21" s="1566">
        <v>133</v>
      </c>
      <c r="BW21" s="1566">
        <v>122</v>
      </c>
      <c r="BX21" s="1566">
        <v>83</v>
      </c>
      <c r="BY21" s="1566">
        <v>145</v>
      </c>
      <c r="BZ21" s="1567">
        <v>182</v>
      </c>
      <c r="CA21" s="1568">
        <f t="shared" si="11"/>
        <v>2312</v>
      </c>
      <c r="CB21" s="1565">
        <v>104</v>
      </c>
      <c r="CC21" s="1566">
        <v>212</v>
      </c>
      <c r="CD21" s="1566">
        <v>455</v>
      </c>
      <c r="CE21" s="1566">
        <v>226</v>
      </c>
      <c r="CF21" s="1566">
        <v>331</v>
      </c>
      <c r="CG21" s="1566">
        <v>198</v>
      </c>
      <c r="CH21" s="1566">
        <v>268</v>
      </c>
      <c r="CI21" s="1566">
        <v>234</v>
      </c>
      <c r="CJ21" s="1566">
        <v>381</v>
      </c>
      <c r="CK21" s="1566">
        <v>238</v>
      </c>
      <c r="CL21" s="1566">
        <v>415</v>
      </c>
      <c r="CM21" s="1567">
        <v>950</v>
      </c>
      <c r="CN21" s="1568">
        <f t="shared" si="13"/>
        <v>4012</v>
      </c>
      <c r="CO21" s="1565">
        <v>0</v>
      </c>
      <c r="CP21" s="1566">
        <v>28</v>
      </c>
      <c r="CQ21" s="1566">
        <v>38</v>
      </c>
      <c r="CR21" s="1566">
        <v>129</v>
      </c>
      <c r="CS21" s="1566">
        <v>199</v>
      </c>
      <c r="CT21" s="1566">
        <v>210</v>
      </c>
      <c r="CU21" s="1566">
        <v>214</v>
      </c>
      <c r="CV21" s="1566">
        <v>138</v>
      </c>
      <c r="CW21" s="1566">
        <v>206</v>
      </c>
      <c r="CX21" s="1566">
        <v>209</v>
      </c>
      <c r="CY21" s="1566">
        <v>273</v>
      </c>
      <c r="CZ21" s="1567">
        <v>551</v>
      </c>
      <c r="DA21" s="1568">
        <f t="shared" si="15"/>
        <v>2195</v>
      </c>
      <c r="DB21" s="1565">
        <v>80</v>
      </c>
      <c r="DC21" s="1566">
        <v>172</v>
      </c>
      <c r="DD21" s="1566">
        <v>305</v>
      </c>
      <c r="DE21" s="1566">
        <v>235</v>
      </c>
      <c r="DF21" s="1566">
        <v>150</v>
      </c>
      <c r="DG21" s="1566">
        <v>92</v>
      </c>
      <c r="DH21" s="1566">
        <v>219</v>
      </c>
      <c r="DI21" s="1566">
        <v>204</v>
      </c>
      <c r="DJ21" s="1566">
        <v>215</v>
      </c>
      <c r="DK21" s="1566">
        <v>275</v>
      </c>
      <c r="DL21" s="1566">
        <v>453</v>
      </c>
      <c r="DM21" s="1567">
        <v>353</v>
      </c>
      <c r="DN21" s="1568">
        <f t="shared" si="27"/>
        <v>2753</v>
      </c>
      <c r="DO21" s="1565">
        <v>99</v>
      </c>
      <c r="DP21" s="1566">
        <v>121</v>
      </c>
      <c r="DQ21" s="1566">
        <v>149</v>
      </c>
      <c r="DR21" s="1566">
        <v>70</v>
      </c>
      <c r="DS21" s="1566">
        <v>50</v>
      </c>
      <c r="DT21" s="1566">
        <v>147</v>
      </c>
      <c r="DU21" s="1566">
        <v>257</v>
      </c>
      <c r="DV21" s="1566">
        <v>251</v>
      </c>
      <c r="DW21" s="1566">
        <v>203</v>
      </c>
      <c r="DX21" s="1566">
        <v>106</v>
      </c>
      <c r="DY21" s="1566">
        <v>217</v>
      </c>
      <c r="DZ21" s="1567">
        <v>134</v>
      </c>
      <c r="EA21" s="1568">
        <f t="shared" si="28"/>
        <v>1804</v>
      </c>
      <c r="EB21" s="1565">
        <v>15</v>
      </c>
      <c r="EC21" s="1566">
        <v>22</v>
      </c>
      <c r="ED21" s="1566">
        <v>220</v>
      </c>
      <c r="EE21" s="1566">
        <v>96</v>
      </c>
      <c r="EF21" s="1566">
        <v>135</v>
      </c>
      <c r="EG21" s="1566">
        <v>43</v>
      </c>
      <c r="EH21" s="1566">
        <v>4</v>
      </c>
      <c r="EI21" s="1566">
        <v>76</v>
      </c>
      <c r="EJ21" s="1566">
        <v>99</v>
      </c>
      <c r="EK21" s="1566">
        <v>23</v>
      </c>
      <c r="EL21" s="1566">
        <v>38</v>
      </c>
      <c r="EM21" s="1567">
        <v>74</v>
      </c>
      <c r="EN21" s="1568">
        <f t="shared" si="29"/>
        <v>845</v>
      </c>
      <c r="EO21" s="1565">
        <v>0</v>
      </c>
      <c r="EP21" s="1566">
        <v>2</v>
      </c>
      <c r="EQ21" s="1566">
        <v>31</v>
      </c>
      <c r="ER21" s="1566">
        <v>345</v>
      </c>
      <c r="ES21" s="1566">
        <v>24</v>
      </c>
      <c r="ET21" s="1566">
        <v>333</v>
      </c>
      <c r="EU21" s="1566">
        <v>126</v>
      </c>
      <c r="EV21" s="1566">
        <v>-49</v>
      </c>
      <c r="EW21" s="1566">
        <v>0</v>
      </c>
      <c r="EX21" s="1566">
        <v>110</v>
      </c>
      <c r="EY21" s="1566">
        <v>113</v>
      </c>
      <c r="EZ21" s="1567">
        <v>51</v>
      </c>
      <c r="FA21" s="1568">
        <f t="shared" si="30"/>
        <v>1086</v>
      </c>
      <c r="FB21" s="1565">
        <v>31</v>
      </c>
      <c r="FC21" s="1566">
        <v>140</v>
      </c>
      <c r="FD21" s="1566">
        <v>320</v>
      </c>
      <c r="FE21" s="1566">
        <v>66</v>
      </c>
      <c r="FF21" s="1566">
        <v>18</v>
      </c>
      <c r="FG21" s="1566">
        <v>41</v>
      </c>
      <c r="FH21" s="1566">
        <v>17</v>
      </c>
      <c r="FI21" s="1566">
        <v>11</v>
      </c>
      <c r="FJ21" s="1566">
        <v>135</v>
      </c>
      <c r="FK21" s="1566">
        <v>199</v>
      </c>
      <c r="FL21" s="1566">
        <v>349</v>
      </c>
      <c r="FM21" s="1567">
        <v>614</v>
      </c>
      <c r="FN21" s="1568">
        <f t="shared" si="41"/>
        <v>1941</v>
      </c>
      <c r="FO21" s="1565">
        <v>38</v>
      </c>
      <c r="FP21" s="1566">
        <v>381</v>
      </c>
      <c r="FQ21" s="1566">
        <v>331</v>
      </c>
      <c r="FR21" s="1566">
        <v>420</v>
      </c>
      <c r="FS21" s="1566">
        <v>298</v>
      </c>
      <c r="FT21" s="1566">
        <v>337</v>
      </c>
      <c r="FU21" s="1566">
        <v>646</v>
      </c>
      <c r="FV21" s="1566">
        <v>499</v>
      </c>
      <c r="FW21" s="1566">
        <v>569</v>
      </c>
      <c r="FX21" s="1566">
        <v>464</v>
      </c>
      <c r="FY21" s="1566">
        <v>356</v>
      </c>
      <c r="FZ21" s="1567">
        <v>656</v>
      </c>
      <c r="GA21" s="1568">
        <f t="shared" si="31"/>
        <v>4995</v>
      </c>
      <c r="GB21" s="1565">
        <v>17</v>
      </c>
      <c r="GC21" s="1566">
        <v>352</v>
      </c>
      <c r="GD21" s="1566">
        <v>546</v>
      </c>
      <c r="GE21" s="1566">
        <v>240</v>
      </c>
      <c r="GF21" s="1566">
        <v>704</v>
      </c>
      <c r="GG21" s="1566">
        <v>460</v>
      </c>
      <c r="GH21" s="1566">
        <v>575</v>
      </c>
      <c r="GI21" s="1566">
        <v>1009</v>
      </c>
      <c r="GJ21" s="1566">
        <v>725</v>
      </c>
      <c r="GK21" s="1566">
        <v>1507</v>
      </c>
      <c r="GL21" s="1566">
        <v>1292</v>
      </c>
      <c r="GM21" s="1567">
        <v>1265</v>
      </c>
      <c r="GN21" s="1568">
        <f t="shared" si="32"/>
        <v>8692</v>
      </c>
      <c r="GO21" s="1565">
        <v>0</v>
      </c>
      <c r="GP21" s="1566">
        <v>102</v>
      </c>
      <c r="GQ21" s="1566">
        <v>247</v>
      </c>
      <c r="GR21" s="1566">
        <v>530</v>
      </c>
      <c r="GS21" s="1566">
        <v>171</v>
      </c>
      <c r="GT21" s="1566">
        <v>1427</v>
      </c>
      <c r="GU21" s="1566">
        <v>644</v>
      </c>
      <c r="GV21" s="1566">
        <v>733</v>
      </c>
      <c r="GW21" s="1566">
        <v>625</v>
      </c>
      <c r="GX21" s="1566">
        <v>651</v>
      </c>
      <c r="GY21" s="1566">
        <v>311</v>
      </c>
      <c r="GZ21" s="1567">
        <v>227</v>
      </c>
      <c r="HA21" s="1568">
        <f t="shared" si="33"/>
        <v>5668</v>
      </c>
      <c r="HB21" s="1565">
        <v>19</v>
      </c>
      <c r="HC21" s="1566">
        <v>18</v>
      </c>
      <c r="HD21" s="1566">
        <v>352</v>
      </c>
      <c r="HE21" s="1566">
        <v>258</v>
      </c>
      <c r="HF21" s="1566">
        <v>130</v>
      </c>
      <c r="HG21" s="1566">
        <v>76</v>
      </c>
      <c r="HH21" s="1566">
        <v>252</v>
      </c>
      <c r="HI21" s="1566">
        <v>229</v>
      </c>
      <c r="HJ21" s="1566">
        <v>143</v>
      </c>
      <c r="HK21" s="1566">
        <v>192</v>
      </c>
      <c r="HL21" s="1566">
        <v>81</v>
      </c>
      <c r="HM21" s="1567">
        <v>718</v>
      </c>
      <c r="HN21" s="1568">
        <f t="shared" si="34"/>
        <v>2468</v>
      </c>
      <c r="HO21" s="1565">
        <v>7</v>
      </c>
      <c r="HP21" s="1566">
        <v>58</v>
      </c>
      <c r="HQ21" s="1566">
        <v>210</v>
      </c>
      <c r="HR21" s="1566">
        <v>140</v>
      </c>
      <c r="HS21" s="1566">
        <v>32</v>
      </c>
      <c r="HT21" s="1566">
        <v>375</v>
      </c>
      <c r="HU21" s="1566">
        <v>110</v>
      </c>
      <c r="HV21" s="1566">
        <v>147</v>
      </c>
      <c r="HW21" s="1566">
        <v>105</v>
      </c>
      <c r="HX21" s="1566">
        <v>102</v>
      </c>
      <c r="HY21" s="1566">
        <v>550</v>
      </c>
      <c r="HZ21" s="1567">
        <v>520</v>
      </c>
      <c r="IA21" s="1565">
        <f>SUM(HO21:HZ21)</f>
        <v>2356</v>
      </c>
      <c r="IB21" s="1569">
        <v>43</v>
      </c>
      <c r="IC21" s="1068">
        <v>49</v>
      </c>
      <c r="ID21" s="1068">
        <v>481</v>
      </c>
      <c r="IE21" s="1068">
        <v>352</v>
      </c>
      <c r="IF21" s="1068">
        <v>272</v>
      </c>
      <c r="IG21" s="1068">
        <v>351</v>
      </c>
      <c r="IH21" s="1068">
        <v>204</v>
      </c>
      <c r="II21" s="1068">
        <v>274</v>
      </c>
      <c r="IJ21" s="1068"/>
      <c r="IK21" s="1068"/>
      <c r="IL21" s="1068"/>
      <c r="IM21" s="1570"/>
      <c r="IN21" s="1571">
        <f t="shared" si="35"/>
        <v>2026</v>
      </c>
      <c r="IO21"/>
      <c r="IP21" s="1656">
        <f t="shared" si="36"/>
        <v>86.394557823129261</v>
      </c>
      <c r="IQ21" s="1656">
        <f t="shared" si="37"/>
        <v>87.766450417052823</v>
      </c>
      <c r="IR21" s="1657">
        <f t="shared" si="38"/>
        <v>1079</v>
      </c>
      <c r="IS21" s="1657">
        <f t="shared" si="39"/>
        <v>2026</v>
      </c>
      <c r="IT21" s="1658"/>
      <c r="IU21" s="221">
        <f t="shared" si="40"/>
        <v>127</v>
      </c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</row>
    <row r="22" spans="1:280" s="105" customFormat="1" ht="15" customHeight="1" x14ac:dyDescent="0.2">
      <c r="A22" s="1551" t="s">
        <v>638</v>
      </c>
      <c r="B22" s="1565">
        <v>0</v>
      </c>
      <c r="C22" s="1566">
        <v>0</v>
      </c>
      <c r="D22" s="1566">
        <v>0</v>
      </c>
      <c r="E22" s="1566">
        <v>0</v>
      </c>
      <c r="F22" s="1566">
        <v>0</v>
      </c>
      <c r="G22" s="1566">
        <v>0</v>
      </c>
      <c r="H22" s="1566">
        <v>0</v>
      </c>
      <c r="I22" s="1566">
        <v>0</v>
      </c>
      <c r="J22" s="1566">
        <v>0</v>
      </c>
      <c r="K22" s="1566">
        <v>0</v>
      </c>
      <c r="L22" s="1566">
        <v>0</v>
      </c>
      <c r="M22" s="1567">
        <v>0</v>
      </c>
      <c r="N22" s="1568">
        <f t="shared" si="1"/>
        <v>0</v>
      </c>
      <c r="O22" s="1565">
        <v>35</v>
      </c>
      <c r="P22" s="1566">
        <v>123</v>
      </c>
      <c r="Q22" s="1566">
        <v>82</v>
      </c>
      <c r="R22" s="1566">
        <v>54</v>
      </c>
      <c r="S22" s="1566">
        <v>115</v>
      </c>
      <c r="T22" s="1566">
        <v>274</v>
      </c>
      <c r="U22" s="1566">
        <v>203</v>
      </c>
      <c r="V22" s="1566">
        <v>212</v>
      </c>
      <c r="W22" s="1566">
        <v>265</v>
      </c>
      <c r="X22" s="1566">
        <v>179</v>
      </c>
      <c r="Y22" s="1566">
        <v>165</v>
      </c>
      <c r="Z22" s="1567">
        <v>483</v>
      </c>
      <c r="AA22" s="1568">
        <f t="shared" si="3"/>
        <v>2190</v>
      </c>
      <c r="AB22" s="1565">
        <v>25</v>
      </c>
      <c r="AC22" s="1566">
        <v>5</v>
      </c>
      <c r="AD22" s="1566">
        <v>949</v>
      </c>
      <c r="AE22" s="1566">
        <v>129</v>
      </c>
      <c r="AF22" s="1566">
        <v>202</v>
      </c>
      <c r="AG22" s="1566">
        <v>673</v>
      </c>
      <c r="AH22" s="1566">
        <v>269</v>
      </c>
      <c r="AI22" s="1566">
        <v>269</v>
      </c>
      <c r="AJ22" s="1566">
        <v>435</v>
      </c>
      <c r="AK22" s="1566">
        <v>119</v>
      </c>
      <c r="AL22" s="1566">
        <v>495</v>
      </c>
      <c r="AM22" s="1567">
        <v>996</v>
      </c>
      <c r="AN22" s="1568">
        <f t="shared" si="5"/>
        <v>4566</v>
      </c>
      <c r="AO22" s="1565">
        <v>0</v>
      </c>
      <c r="AP22" s="1566">
        <v>106</v>
      </c>
      <c r="AQ22" s="1566">
        <v>507</v>
      </c>
      <c r="AR22" s="1566">
        <v>149</v>
      </c>
      <c r="AS22" s="1566">
        <v>259</v>
      </c>
      <c r="AT22" s="1566">
        <v>459</v>
      </c>
      <c r="AU22" s="1566">
        <v>284</v>
      </c>
      <c r="AV22" s="1566">
        <v>729</v>
      </c>
      <c r="AW22" s="1566">
        <v>504</v>
      </c>
      <c r="AX22" s="1566">
        <v>362</v>
      </c>
      <c r="AY22" s="1566">
        <v>783</v>
      </c>
      <c r="AZ22" s="1567">
        <v>2445</v>
      </c>
      <c r="BA22" s="1568">
        <f t="shared" si="7"/>
        <v>6587</v>
      </c>
      <c r="BB22" s="1565">
        <v>100</v>
      </c>
      <c r="BC22" s="1566">
        <v>212</v>
      </c>
      <c r="BD22" s="1566">
        <v>360</v>
      </c>
      <c r="BE22" s="1566">
        <v>161</v>
      </c>
      <c r="BF22" s="1566">
        <v>376</v>
      </c>
      <c r="BG22" s="1566">
        <v>433</v>
      </c>
      <c r="BH22" s="1566">
        <v>545</v>
      </c>
      <c r="BI22" s="1566">
        <v>325</v>
      </c>
      <c r="BJ22" s="1566">
        <v>301</v>
      </c>
      <c r="BK22" s="1566">
        <v>239</v>
      </c>
      <c r="BL22" s="1566">
        <v>418</v>
      </c>
      <c r="BM22" s="1567">
        <v>399</v>
      </c>
      <c r="BN22" s="1568">
        <f t="shared" si="9"/>
        <v>3869</v>
      </c>
      <c r="BO22" s="1565">
        <v>5</v>
      </c>
      <c r="BP22" s="1566">
        <v>440</v>
      </c>
      <c r="BQ22" s="1566">
        <v>218</v>
      </c>
      <c r="BR22" s="1566">
        <v>411</v>
      </c>
      <c r="BS22" s="1566">
        <v>369</v>
      </c>
      <c r="BT22" s="1566">
        <v>375</v>
      </c>
      <c r="BU22" s="1566">
        <v>874</v>
      </c>
      <c r="BV22" s="1566">
        <v>193</v>
      </c>
      <c r="BW22" s="1566">
        <v>296</v>
      </c>
      <c r="BX22" s="1566">
        <v>282</v>
      </c>
      <c r="BY22" s="1566">
        <v>345</v>
      </c>
      <c r="BZ22" s="1567">
        <v>425</v>
      </c>
      <c r="CA22" s="1568">
        <f t="shared" si="11"/>
        <v>4233</v>
      </c>
      <c r="CB22" s="1565">
        <v>217</v>
      </c>
      <c r="CC22" s="1566">
        <v>245</v>
      </c>
      <c r="CD22" s="1566">
        <v>295</v>
      </c>
      <c r="CE22" s="1566">
        <v>342</v>
      </c>
      <c r="CF22" s="1566">
        <v>546</v>
      </c>
      <c r="CG22" s="1566">
        <v>451</v>
      </c>
      <c r="CH22" s="1566">
        <v>284</v>
      </c>
      <c r="CI22" s="1566">
        <v>176</v>
      </c>
      <c r="CJ22" s="1566">
        <v>95</v>
      </c>
      <c r="CK22" s="1566">
        <v>194</v>
      </c>
      <c r="CL22" s="1566">
        <v>239</v>
      </c>
      <c r="CM22" s="1567">
        <v>625</v>
      </c>
      <c r="CN22" s="1568">
        <f t="shared" si="13"/>
        <v>3709</v>
      </c>
      <c r="CO22" s="1565">
        <v>0</v>
      </c>
      <c r="CP22" s="1566">
        <v>62</v>
      </c>
      <c r="CQ22" s="1566">
        <v>381</v>
      </c>
      <c r="CR22" s="1566">
        <v>127</v>
      </c>
      <c r="CS22" s="1566">
        <v>97</v>
      </c>
      <c r="CT22" s="1566">
        <v>98</v>
      </c>
      <c r="CU22" s="1566">
        <v>394</v>
      </c>
      <c r="CV22" s="1566">
        <v>174</v>
      </c>
      <c r="CW22" s="1566">
        <v>115</v>
      </c>
      <c r="CX22" s="1566">
        <v>448</v>
      </c>
      <c r="CY22" s="1566">
        <v>482</v>
      </c>
      <c r="CZ22" s="1567">
        <v>834</v>
      </c>
      <c r="DA22" s="1568">
        <f t="shared" si="15"/>
        <v>3212</v>
      </c>
      <c r="DB22" s="1565">
        <v>63</v>
      </c>
      <c r="DC22" s="1566">
        <v>63</v>
      </c>
      <c r="DD22" s="1566">
        <v>160</v>
      </c>
      <c r="DE22" s="1566">
        <v>66</v>
      </c>
      <c r="DF22" s="1566">
        <v>145</v>
      </c>
      <c r="DG22" s="1566">
        <v>152</v>
      </c>
      <c r="DH22" s="1566">
        <v>212</v>
      </c>
      <c r="DI22" s="1566">
        <v>31</v>
      </c>
      <c r="DJ22" s="1566">
        <v>220</v>
      </c>
      <c r="DK22" s="1566">
        <v>566</v>
      </c>
      <c r="DL22" s="1566">
        <v>560</v>
      </c>
      <c r="DM22" s="1567">
        <v>1197</v>
      </c>
      <c r="DN22" s="1568">
        <f t="shared" si="27"/>
        <v>3435</v>
      </c>
      <c r="DO22" s="1565">
        <v>0</v>
      </c>
      <c r="DP22" s="1566">
        <v>23</v>
      </c>
      <c r="DQ22" s="1566">
        <v>125</v>
      </c>
      <c r="DR22" s="1566">
        <v>137</v>
      </c>
      <c r="DS22" s="1566">
        <v>76</v>
      </c>
      <c r="DT22" s="1566">
        <v>61</v>
      </c>
      <c r="DU22" s="1566">
        <v>91</v>
      </c>
      <c r="DV22" s="1566">
        <v>10</v>
      </c>
      <c r="DW22" s="1566">
        <v>75</v>
      </c>
      <c r="DX22" s="1566">
        <v>14</v>
      </c>
      <c r="DY22" s="1566">
        <v>259</v>
      </c>
      <c r="DZ22" s="1567">
        <v>755</v>
      </c>
      <c r="EA22" s="1568">
        <f t="shared" si="28"/>
        <v>1626</v>
      </c>
      <c r="EB22" s="1565">
        <v>403</v>
      </c>
      <c r="EC22" s="1566">
        <v>156</v>
      </c>
      <c r="ED22" s="1566">
        <v>358</v>
      </c>
      <c r="EE22" s="1566">
        <v>418</v>
      </c>
      <c r="EF22" s="1566">
        <v>464</v>
      </c>
      <c r="EG22" s="1566">
        <v>333</v>
      </c>
      <c r="EH22" s="1566">
        <v>569</v>
      </c>
      <c r="EI22" s="1566">
        <v>293</v>
      </c>
      <c r="EJ22" s="1566">
        <v>331</v>
      </c>
      <c r="EK22" s="1566">
        <v>577</v>
      </c>
      <c r="EL22" s="1566">
        <v>1036</v>
      </c>
      <c r="EM22" s="1567">
        <v>785</v>
      </c>
      <c r="EN22" s="1568">
        <f t="shared" si="29"/>
        <v>5723</v>
      </c>
      <c r="EO22" s="1565">
        <v>0</v>
      </c>
      <c r="EP22" s="1566">
        <v>452</v>
      </c>
      <c r="EQ22" s="1566">
        <v>306</v>
      </c>
      <c r="ER22" s="1566">
        <v>150</v>
      </c>
      <c r="ES22" s="1566">
        <v>146</v>
      </c>
      <c r="ET22" s="1566">
        <v>712</v>
      </c>
      <c r="EU22" s="1566">
        <v>-473</v>
      </c>
      <c r="EV22" s="1566">
        <v>257</v>
      </c>
      <c r="EW22" s="1566">
        <v>217</v>
      </c>
      <c r="EX22" s="1566">
        <v>132</v>
      </c>
      <c r="EY22" s="1566">
        <v>236</v>
      </c>
      <c r="EZ22" s="1567">
        <v>325</v>
      </c>
      <c r="FA22" s="1568">
        <f t="shared" si="30"/>
        <v>2460</v>
      </c>
      <c r="FB22" s="1565">
        <v>90</v>
      </c>
      <c r="FC22" s="1566">
        <v>7</v>
      </c>
      <c r="FD22" s="1566">
        <v>39</v>
      </c>
      <c r="FE22" s="1566">
        <v>29</v>
      </c>
      <c r="FF22" s="1566">
        <v>69</v>
      </c>
      <c r="FG22" s="1566">
        <v>56</v>
      </c>
      <c r="FH22" s="1566">
        <v>362</v>
      </c>
      <c r="FI22" s="1566">
        <v>92</v>
      </c>
      <c r="FJ22" s="1566">
        <v>147</v>
      </c>
      <c r="FK22" s="1566">
        <v>124</v>
      </c>
      <c r="FL22" s="1566">
        <v>162</v>
      </c>
      <c r="FM22" s="1567">
        <v>270</v>
      </c>
      <c r="FN22" s="1568">
        <f t="shared" si="41"/>
        <v>1447</v>
      </c>
      <c r="FO22" s="1565">
        <v>22</v>
      </c>
      <c r="FP22" s="1566">
        <v>233</v>
      </c>
      <c r="FQ22" s="1566">
        <v>186</v>
      </c>
      <c r="FR22" s="1566">
        <v>172</v>
      </c>
      <c r="FS22" s="1566">
        <v>284</v>
      </c>
      <c r="FT22" s="1566">
        <v>209</v>
      </c>
      <c r="FU22" s="1566">
        <v>130</v>
      </c>
      <c r="FV22" s="1566">
        <v>135</v>
      </c>
      <c r="FW22" s="1566">
        <v>262</v>
      </c>
      <c r="FX22" s="1566">
        <v>234</v>
      </c>
      <c r="FY22" s="1566">
        <v>496</v>
      </c>
      <c r="FZ22" s="1567">
        <v>708</v>
      </c>
      <c r="GA22" s="1568">
        <f t="shared" si="31"/>
        <v>3071</v>
      </c>
      <c r="GB22" s="1565">
        <v>43</v>
      </c>
      <c r="GC22" s="1566">
        <v>268</v>
      </c>
      <c r="GD22" s="1566">
        <v>256</v>
      </c>
      <c r="GE22" s="1566">
        <v>64</v>
      </c>
      <c r="GF22" s="1566">
        <v>51</v>
      </c>
      <c r="GG22" s="1566">
        <v>148</v>
      </c>
      <c r="GH22" s="1566">
        <v>78</v>
      </c>
      <c r="GI22" s="1566">
        <v>145</v>
      </c>
      <c r="GJ22" s="1566">
        <v>189</v>
      </c>
      <c r="GK22" s="1566">
        <v>152</v>
      </c>
      <c r="GL22" s="1566">
        <v>32</v>
      </c>
      <c r="GM22" s="1567">
        <v>252</v>
      </c>
      <c r="GN22" s="1568">
        <f t="shared" si="32"/>
        <v>1678</v>
      </c>
      <c r="GO22" s="1565">
        <v>0</v>
      </c>
      <c r="GP22" s="1566">
        <v>0</v>
      </c>
      <c r="GQ22" s="1566">
        <v>4</v>
      </c>
      <c r="GR22" s="1566">
        <v>306</v>
      </c>
      <c r="GS22" s="1566">
        <v>62</v>
      </c>
      <c r="GT22" s="1566">
        <v>80</v>
      </c>
      <c r="GU22" s="1566">
        <v>97</v>
      </c>
      <c r="GV22" s="1566">
        <v>65</v>
      </c>
      <c r="GW22" s="1566">
        <v>639</v>
      </c>
      <c r="GX22" s="1566">
        <v>113</v>
      </c>
      <c r="GY22" s="1566">
        <v>60</v>
      </c>
      <c r="GZ22" s="1567">
        <v>265</v>
      </c>
      <c r="HA22" s="1568">
        <f t="shared" si="33"/>
        <v>1691</v>
      </c>
      <c r="HB22" s="1565">
        <v>0</v>
      </c>
      <c r="HC22" s="1566">
        <v>25</v>
      </c>
      <c r="HD22" s="1566">
        <v>19</v>
      </c>
      <c r="HE22" s="1566">
        <v>329</v>
      </c>
      <c r="HF22" s="1566">
        <v>107</v>
      </c>
      <c r="HG22" s="1566">
        <v>144</v>
      </c>
      <c r="HH22" s="1566">
        <v>193</v>
      </c>
      <c r="HI22" s="1566">
        <v>104</v>
      </c>
      <c r="HJ22" s="1566">
        <v>127</v>
      </c>
      <c r="HK22" s="1566">
        <v>744</v>
      </c>
      <c r="HL22" s="1566">
        <v>1023</v>
      </c>
      <c r="HM22" s="1567">
        <v>1228</v>
      </c>
      <c r="HN22" s="1568">
        <f t="shared" si="34"/>
        <v>4043</v>
      </c>
      <c r="HO22" s="1565">
        <v>31</v>
      </c>
      <c r="HP22" s="1566">
        <v>290</v>
      </c>
      <c r="HQ22" s="1566">
        <v>685</v>
      </c>
      <c r="HR22" s="1566">
        <v>220</v>
      </c>
      <c r="HS22" s="1566">
        <v>310</v>
      </c>
      <c r="HT22" s="1566">
        <v>331</v>
      </c>
      <c r="HU22" s="1566">
        <v>380</v>
      </c>
      <c r="HV22" s="1566">
        <v>265</v>
      </c>
      <c r="HW22" s="1566">
        <v>329</v>
      </c>
      <c r="HX22" s="1566">
        <v>288</v>
      </c>
      <c r="HY22" s="1566">
        <v>271</v>
      </c>
      <c r="HZ22" s="1567">
        <v>434</v>
      </c>
      <c r="IA22" s="1565">
        <f t="shared" si="42"/>
        <v>3834</v>
      </c>
      <c r="IB22" s="1569">
        <v>22</v>
      </c>
      <c r="IC22" s="1068">
        <v>34</v>
      </c>
      <c r="ID22" s="1068">
        <v>144</v>
      </c>
      <c r="IE22" s="1068">
        <v>36</v>
      </c>
      <c r="IF22" s="1068">
        <v>58</v>
      </c>
      <c r="IG22" s="1068">
        <v>143</v>
      </c>
      <c r="IH22" s="1068">
        <v>43</v>
      </c>
      <c r="II22" s="1068">
        <v>523</v>
      </c>
      <c r="IJ22" s="1068"/>
      <c r="IK22" s="1068"/>
      <c r="IL22" s="1068"/>
      <c r="IM22" s="1570"/>
      <c r="IN22" s="1571">
        <f t="shared" si="35"/>
        <v>1003</v>
      </c>
      <c r="IO22"/>
      <c r="IP22" s="1656">
        <f t="shared" si="36"/>
        <v>97.35849056603773</v>
      </c>
      <c r="IQ22" s="1656">
        <f t="shared" si="37"/>
        <v>-60.071656050955411</v>
      </c>
      <c r="IR22" s="1657">
        <f t="shared" si="38"/>
        <v>2512</v>
      </c>
      <c r="IS22" s="1657">
        <f t="shared" si="39"/>
        <v>1003</v>
      </c>
      <c r="IT22" s="1658"/>
      <c r="IU22" s="221">
        <f t="shared" si="40"/>
        <v>258</v>
      </c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</row>
    <row r="23" spans="1:280" s="105" customFormat="1" ht="15" customHeight="1" x14ac:dyDescent="0.2">
      <c r="A23" s="1551" t="s">
        <v>639</v>
      </c>
      <c r="B23" s="1565">
        <v>422</v>
      </c>
      <c r="C23" s="1566">
        <v>1132</v>
      </c>
      <c r="D23" s="1566">
        <v>1476</v>
      </c>
      <c r="E23" s="1566">
        <v>1641</v>
      </c>
      <c r="F23" s="1566">
        <v>1658</v>
      </c>
      <c r="G23" s="1566">
        <v>1261</v>
      </c>
      <c r="H23" s="1566">
        <v>879</v>
      </c>
      <c r="I23" s="1566">
        <v>1474</v>
      </c>
      <c r="J23" s="1566">
        <v>1720</v>
      </c>
      <c r="K23" s="1566">
        <v>1802</v>
      </c>
      <c r="L23" s="1566">
        <v>1581</v>
      </c>
      <c r="M23" s="1567">
        <v>3214</v>
      </c>
      <c r="N23" s="1568">
        <f t="shared" si="1"/>
        <v>18260</v>
      </c>
      <c r="O23" s="1565">
        <v>311</v>
      </c>
      <c r="P23" s="1566">
        <v>496</v>
      </c>
      <c r="Q23" s="1566">
        <v>2392</v>
      </c>
      <c r="R23" s="1566">
        <v>1167</v>
      </c>
      <c r="S23" s="1566">
        <v>2324</v>
      </c>
      <c r="T23" s="1566">
        <v>1495</v>
      </c>
      <c r="U23" s="1566">
        <v>1230</v>
      </c>
      <c r="V23" s="1566">
        <v>1162</v>
      </c>
      <c r="W23" s="1566">
        <v>1648</v>
      </c>
      <c r="X23" s="1566">
        <v>1679</v>
      </c>
      <c r="Y23" s="1566">
        <v>2039</v>
      </c>
      <c r="Z23" s="1567">
        <v>3906</v>
      </c>
      <c r="AA23" s="1568">
        <f t="shared" si="3"/>
        <v>19849</v>
      </c>
      <c r="AB23" s="1565">
        <v>221</v>
      </c>
      <c r="AC23" s="1566">
        <v>941</v>
      </c>
      <c r="AD23" s="1566">
        <v>908</v>
      </c>
      <c r="AE23" s="1566">
        <v>1069</v>
      </c>
      <c r="AF23" s="1566">
        <v>3470</v>
      </c>
      <c r="AG23" s="1566">
        <v>4615</v>
      </c>
      <c r="AH23" s="1566">
        <v>2531</v>
      </c>
      <c r="AI23" s="1566">
        <v>8269</v>
      </c>
      <c r="AJ23" s="1566">
        <v>2748</v>
      </c>
      <c r="AK23" s="1566">
        <v>3613</v>
      </c>
      <c r="AL23" s="1566">
        <v>4366</v>
      </c>
      <c r="AM23" s="1567">
        <v>12229</v>
      </c>
      <c r="AN23" s="1568">
        <f t="shared" si="5"/>
        <v>44980</v>
      </c>
      <c r="AO23" s="1565">
        <v>22</v>
      </c>
      <c r="AP23" s="1566">
        <v>116</v>
      </c>
      <c r="AQ23" s="1566">
        <v>863</v>
      </c>
      <c r="AR23" s="1566">
        <v>2859</v>
      </c>
      <c r="AS23" s="1566">
        <v>3895</v>
      </c>
      <c r="AT23" s="1566">
        <v>1182</v>
      </c>
      <c r="AU23" s="1566">
        <v>3115</v>
      </c>
      <c r="AV23" s="1566">
        <v>4676</v>
      </c>
      <c r="AW23" s="1566">
        <v>7388</v>
      </c>
      <c r="AX23" s="1566">
        <v>11359</v>
      </c>
      <c r="AY23" s="1566">
        <v>14059</v>
      </c>
      <c r="AZ23" s="1567">
        <v>19012</v>
      </c>
      <c r="BA23" s="1568">
        <f t="shared" si="7"/>
        <v>68546</v>
      </c>
      <c r="BB23" s="1565">
        <v>690</v>
      </c>
      <c r="BC23" s="1566">
        <v>5022</v>
      </c>
      <c r="BD23" s="1566">
        <v>18612</v>
      </c>
      <c r="BE23" s="1566">
        <v>6292</v>
      </c>
      <c r="BF23" s="1566">
        <v>5906</v>
      </c>
      <c r="BG23" s="1566">
        <v>-772</v>
      </c>
      <c r="BH23" s="1566">
        <v>12686</v>
      </c>
      <c r="BI23" s="1566">
        <v>6813</v>
      </c>
      <c r="BJ23" s="1566">
        <v>8466</v>
      </c>
      <c r="BK23" s="1566">
        <v>9553</v>
      </c>
      <c r="BL23" s="1566">
        <v>7446</v>
      </c>
      <c r="BM23" s="1567">
        <v>18978</v>
      </c>
      <c r="BN23" s="1568">
        <f t="shared" si="9"/>
        <v>99692</v>
      </c>
      <c r="BO23" s="1565">
        <v>537</v>
      </c>
      <c r="BP23" s="1566">
        <v>893</v>
      </c>
      <c r="BQ23" s="1566">
        <v>9514</v>
      </c>
      <c r="BR23" s="1566">
        <v>2793</v>
      </c>
      <c r="BS23" s="1566">
        <v>5651</v>
      </c>
      <c r="BT23" s="1566">
        <v>4320</v>
      </c>
      <c r="BU23" s="1566">
        <v>14277</v>
      </c>
      <c r="BV23" s="1566">
        <v>8648</v>
      </c>
      <c r="BW23" s="1566">
        <v>2852</v>
      </c>
      <c r="BX23" s="1566">
        <v>6155</v>
      </c>
      <c r="BY23" s="1566">
        <v>4281</v>
      </c>
      <c r="BZ23" s="1567">
        <v>4415</v>
      </c>
      <c r="CA23" s="1568">
        <f t="shared" si="11"/>
        <v>64336</v>
      </c>
      <c r="CB23" s="1565">
        <v>1028</v>
      </c>
      <c r="CC23" s="1566">
        <v>1295</v>
      </c>
      <c r="CD23" s="1566">
        <v>4934</v>
      </c>
      <c r="CE23" s="1566">
        <v>6596</v>
      </c>
      <c r="CF23" s="1566">
        <v>2896</v>
      </c>
      <c r="CG23" s="1566">
        <v>2217</v>
      </c>
      <c r="CH23" s="1566">
        <v>4695</v>
      </c>
      <c r="CI23" s="1566">
        <v>3506</v>
      </c>
      <c r="CJ23" s="1566">
        <v>9194</v>
      </c>
      <c r="CK23" s="1566">
        <v>8228</v>
      </c>
      <c r="CL23" s="1566">
        <v>11795</v>
      </c>
      <c r="CM23" s="1567">
        <v>23893</v>
      </c>
      <c r="CN23" s="1568">
        <f t="shared" si="13"/>
        <v>80277</v>
      </c>
      <c r="CO23" s="1565">
        <v>58</v>
      </c>
      <c r="CP23" s="1566">
        <v>1712</v>
      </c>
      <c r="CQ23" s="1566">
        <v>5544</v>
      </c>
      <c r="CR23" s="1566">
        <v>2746</v>
      </c>
      <c r="CS23" s="1566">
        <v>2094</v>
      </c>
      <c r="CT23" s="1566">
        <v>7624</v>
      </c>
      <c r="CU23" s="1566">
        <v>10648</v>
      </c>
      <c r="CV23" s="1566">
        <v>9096</v>
      </c>
      <c r="CW23" s="1566">
        <v>8759</v>
      </c>
      <c r="CX23" s="1566">
        <v>7351</v>
      </c>
      <c r="CY23" s="1566">
        <v>8166</v>
      </c>
      <c r="CZ23" s="1567">
        <v>24245</v>
      </c>
      <c r="DA23" s="1568">
        <f t="shared" si="15"/>
        <v>88043</v>
      </c>
      <c r="DB23" s="1565">
        <v>1203</v>
      </c>
      <c r="DC23" s="1566">
        <v>3303</v>
      </c>
      <c r="DD23" s="1566">
        <v>6427</v>
      </c>
      <c r="DE23" s="1566">
        <v>3326</v>
      </c>
      <c r="DF23" s="1566">
        <v>3461</v>
      </c>
      <c r="DG23" s="1566">
        <v>3932</v>
      </c>
      <c r="DH23" s="1566">
        <v>6293</v>
      </c>
      <c r="DI23" s="1566">
        <v>6590</v>
      </c>
      <c r="DJ23" s="1566">
        <v>14360</v>
      </c>
      <c r="DK23" s="1566">
        <v>12624</v>
      </c>
      <c r="DL23" s="1566">
        <v>14406</v>
      </c>
      <c r="DM23" s="1567">
        <v>38452</v>
      </c>
      <c r="DN23" s="1568">
        <f t="shared" si="27"/>
        <v>114377</v>
      </c>
      <c r="DO23" s="1565">
        <v>648</v>
      </c>
      <c r="DP23" s="1566">
        <v>2237</v>
      </c>
      <c r="DQ23" s="1566">
        <v>24744</v>
      </c>
      <c r="DR23" s="1566">
        <v>13578</v>
      </c>
      <c r="DS23" s="1566">
        <v>16824</v>
      </c>
      <c r="DT23" s="1566">
        <v>12874</v>
      </c>
      <c r="DU23" s="1566">
        <v>22689</v>
      </c>
      <c r="DV23" s="1566">
        <v>16229</v>
      </c>
      <c r="DW23" s="1566">
        <v>19037</v>
      </c>
      <c r="DX23" s="1566">
        <v>18357</v>
      </c>
      <c r="DY23" s="1566">
        <v>16634</v>
      </c>
      <c r="DZ23" s="1567">
        <v>32039</v>
      </c>
      <c r="EA23" s="1568">
        <f t="shared" si="28"/>
        <v>195890</v>
      </c>
      <c r="EB23" s="1565">
        <v>2598</v>
      </c>
      <c r="EC23" s="1566">
        <v>11984</v>
      </c>
      <c r="ED23" s="1566">
        <v>9921</v>
      </c>
      <c r="EE23" s="1566">
        <v>17122</v>
      </c>
      <c r="EF23" s="1566">
        <v>16837</v>
      </c>
      <c r="EG23" s="1566">
        <v>19847</v>
      </c>
      <c r="EH23" s="1566">
        <v>17748</v>
      </c>
      <c r="EI23" s="1566">
        <v>10344</v>
      </c>
      <c r="EJ23" s="1566">
        <v>16284</v>
      </c>
      <c r="EK23" s="1566">
        <v>30170</v>
      </c>
      <c r="EL23" s="1566">
        <v>16565</v>
      </c>
      <c r="EM23" s="1567">
        <v>28226</v>
      </c>
      <c r="EN23" s="1568">
        <f t="shared" si="29"/>
        <v>197646</v>
      </c>
      <c r="EO23" s="1565">
        <v>621</v>
      </c>
      <c r="EP23" s="1566">
        <v>7019</v>
      </c>
      <c r="EQ23" s="1566">
        <v>9799</v>
      </c>
      <c r="ER23" s="1566">
        <v>18781</v>
      </c>
      <c r="ES23" s="1566">
        <v>8329</v>
      </c>
      <c r="ET23" s="1566">
        <v>12516</v>
      </c>
      <c r="EU23" s="1566">
        <v>8281</v>
      </c>
      <c r="EV23" s="1566">
        <v>11305</v>
      </c>
      <c r="EW23" s="1566">
        <v>23521</v>
      </c>
      <c r="EX23" s="1566">
        <v>28950</v>
      </c>
      <c r="EY23" s="1566">
        <v>9611</v>
      </c>
      <c r="EZ23" s="1567">
        <v>33345</v>
      </c>
      <c r="FA23" s="1568">
        <f t="shared" si="30"/>
        <v>172078</v>
      </c>
      <c r="FB23" s="1565">
        <v>2257</v>
      </c>
      <c r="FC23" s="1566">
        <v>10356</v>
      </c>
      <c r="FD23" s="1566">
        <v>6973</v>
      </c>
      <c r="FE23" s="1566">
        <v>1054</v>
      </c>
      <c r="FF23" s="1566">
        <v>5575</v>
      </c>
      <c r="FG23" s="1566">
        <v>483</v>
      </c>
      <c r="FH23" s="1566">
        <v>1675</v>
      </c>
      <c r="FI23" s="1566">
        <v>5470</v>
      </c>
      <c r="FJ23" s="1566">
        <v>18407</v>
      </c>
      <c r="FK23" s="1566">
        <v>23945</v>
      </c>
      <c r="FL23" s="1566">
        <v>25005</v>
      </c>
      <c r="FM23" s="1567">
        <v>38195</v>
      </c>
      <c r="FN23" s="1568">
        <f t="shared" si="41"/>
        <v>139395</v>
      </c>
      <c r="FO23" s="1565">
        <v>546</v>
      </c>
      <c r="FP23" s="1566">
        <v>8224</v>
      </c>
      <c r="FQ23" s="1566">
        <v>14596</v>
      </c>
      <c r="FR23" s="1566">
        <v>16533</v>
      </c>
      <c r="FS23" s="1566">
        <v>9706</v>
      </c>
      <c r="FT23" s="1566">
        <v>20675</v>
      </c>
      <c r="FU23" s="1566">
        <v>16459</v>
      </c>
      <c r="FV23" s="1566">
        <v>12549</v>
      </c>
      <c r="FW23" s="1566">
        <v>21622</v>
      </c>
      <c r="FX23" s="1566">
        <v>15028</v>
      </c>
      <c r="FY23" s="1566">
        <v>13748</v>
      </c>
      <c r="FZ23" s="1567">
        <v>38152</v>
      </c>
      <c r="GA23" s="1568">
        <f t="shared" si="31"/>
        <v>187838</v>
      </c>
      <c r="GB23" s="1565">
        <v>7</v>
      </c>
      <c r="GC23" s="1566">
        <v>1029</v>
      </c>
      <c r="GD23" s="1566">
        <v>17972</v>
      </c>
      <c r="GE23" s="1566">
        <v>8556</v>
      </c>
      <c r="GF23" s="1566">
        <v>10104</v>
      </c>
      <c r="GG23" s="1566">
        <v>8838</v>
      </c>
      <c r="GH23" s="1566">
        <v>15954</v>
      </c>
      <c r="GI23" s="1566">
        <v>13366</v>
      </c>
      <c r="GJ23" s="1566">
        <v>12369</v>
      </c>
      <c r="GK23" s="1566">
        <v>13411</v>
      </c>
      <c r="GL23" s="1566">
        <v>8588</v>
      </c>
      <c r="GM23" s="1567">
        <v>11076</v>
      </c>
      <c r="GN23" s="1568">
        <f t="shared" si="32"/>
        <v>121270</v>
      </c>
      <c r="GO23" s="1565">
        <v>367</v>
      </c>
      <c r="GP23" s="1566">
        <v>2422</v>
      </c>
      <c r="GQ23" s="1566">
        <v>1757</v>
      </c>
      <c r="GR23" s="1566">
        <v>14426</v>
      </c>
      <c r="GS23" s="1566">
        <v>7534</v>
      </c>
      <c r="GT23" s="1566">
        <v>4695</v>
      </c>
      <c r="GU23" s="1566">
        <v>6448</v>
      </c>
      <c r="GV23" s="1566">
        <v>5851</v>
      </c>
      <c r="GW23" s="1566">
        <v>7140</v>
      </c>
      <c r="GX23" s="1566">
        <v>3566</v>
      </c>
      <c r="GY23" s="1566">
        <v>18091</v>
      </c>
      <c r="GZ23" s="1567">
        <v>24610</v>
      </c>
      <c r="HA23" s="1568">
        <f t="shared" si="33"/>
        <v>96907</v>
      </c>
      <c r="HB23" s="1565">
        <v>19721</v>
      </c>
      <c r="HC23" s="1566">
        <v>32506</v>
      </c>
      <c r="HD23" s="1566">
        <v>18385</v>
      </c>
      <c r="HE23" s="1566">
        <v>22639</v>
      </c>
      <c r="HF23" s="1566">
        <v>16851</v>
      </c>
      <c r="HG23" s="1566">
        <v>27265</v>
      </c>
      <c r="HH23" s="1566">
        <v>30905</v>
      </c>
      <c r="HI23" s="1566">
        <v>19984</v>
      </c>
      <c r="HJ23" s="1566">
        <v>21155</v>
      </c>
      <c r="HK23" s="1566">
        <v>20547</v>
      </c>
      <c r="HL23" s="1566">
        <v>22520</v>
      </c>
      <c r="HM23" s="1567">
        <v>51272</v>
      </c>
      <c r="HN23" s="1568">
        <f t="shared" si="34"/>
        <v>303750</v>
      </c>
      <c r="HO23" s="1565">
        <v>4952</v>
      </c>
      <c r="HP23" s="1566">
        <v>10188</v>
      </c>
      <c r="HQ23" s="1566">
        <v>15716</v>
      </c>
      <c r="HR23" s="1566">
        <v>10186</v>
      </c>
      <c r="HS23" s="1566">
        <v>11903</v>
      </c>
      <c r="HT23" s="1566">
        <v>11378</v>
      </c>
      <c r="HU23" s="1566">
        <v>8453</v>
      </c>
      <c r="HV23" s="1566">
        <v>9537</v>
      </c>
      <c r="HW23" s="1566">
        <v>8711</v>
      </c>
      <c r="HX23" s="1566">
        <v>6470</v>
      </c>
      <c r="HY23" s="1566">
        <v>12544</v>
      </c>
      <c r="HZ23" s="1567">
        <v>23719</v>
      </c>
      <c r="IA23" s="1565">
        <f t="shared" si="42"/>
        <v>133757</v>
      </c>
      <c r="IB23" s="1569">
        <v>2423</v>
      </c>
      <c r="IC23" s="1068">
        <v>2554</v>
      </c>
      <c r="ID23" s="1068">
        <v>4963</v>
      </c>
      <c r="IE23" s="1068">
        <v>12097</v>
      </c>
      <c r="IF23" s="1068">
        <v>11803</v>
      </c>
      <c r="IG23" s="1068">
        <v>11009</v>
      </c>
      <c r="IH23" s="1068">
        <v>10421</v>
      </c>
      <c r="II23" s="1068">
        <v>10467</v>
      </c>
      <c r="IJ23" s="1068"/>
      <c r="IK23" s="1068"/>
      <c r="IL23" s="1068"/>
      <c r="IM23" s="1570"/>
      <c r="IN23" s="1571">
        <f t="shared" si="35"/>
        <v>65737</v>
      </c>
      <c r="IO23"/>
      <c r="IP23" s="1656">
        <f t="shared" si="36"/>
        <v>9.7514941805599165</v>
      </c>
      <c r="IQ23" s="1656">
        <f t="shared" si="37"/>
        <v>-20.137766816906201</v>
      </c>
      <c r="IR23" s="1657">
        <f t="shared" si="38"/>
        <v>82313</v>
      </c>
      <c r="IS23" s="1657">
        <f t="shared" si="39"/>
        <v>65737</v>
      </c>
      <c r="IT23" s="1658"/>
      <c r="IU23" s="221">
        <f t="shared" si="40"/>
        <v>930</v>
      </c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</row>
    <row r="24" spans="1:280" s="105" customFormat="1" ht="15" customHeight="1" x14ac:dyDescent="0.2">
      <c r="A24" s="1551" t="s">
        <v>640</v>
      </c>
      <c r="B24" s="1565"/>
      <c r="C24" s="1566"/>
      <c r="D24" s="1566"/>
      <c r="E24" s="1566"/>
      <c r="F24" s="1566"/>
      <c r="G24" s="1566"/>
      <c r="H24" s="1566"/>
      <c r="I24" s="1566"/>
      <c r="J24" s="1566"/>
      <c r="K24" s="1566"/>
      <c r="L24" s="1566"/>
      <c r="M24" s="1567"/>
      <c r="N24" s="1568">
        <f t="shared" si="1"/>
        <v>0</v>
      </c>
      <c r="O24" s="1565"/>
      <c r="P24" s="1566"/>
      <c r="Q24" s="1566"/>
      <c r="R24" s="1566"/>
      <c r="S24" s="1566"/>
      <c r="T24" s="1566"/>
      <c r="U24" s="1566"/>
      <c r="V24" s="1566"/>
      <c r="W24" s="1566"/>
      <c r="X24" s="1566"/>
      <c r="Y24" s="1566"/>
      <c r="Z24" s="1567"/>
      <c r="AA24" s="1568">
        <f t="shared" si="3"/>
        <v>0</v>
      </c>
      <c r="AB24" s="1565"/>
      <c r="AC24" s="1566"/>
      <c r="AD24" s="1566"/>
      <c r="AE24" s="1566"/>
      <c r="AF24" s="1566"/>
      <c r="AG24" s="1566"/>
      <c r="AH24" s="1566"/>
      <c r="AI24" s="1566"/>
      <c r="AJ24" s="1566"/>
      <c r="AK24" s="1566"/>
      <c r="AL24" s="1566"/>
      <c r="AM24" s="1567"/>
      <c r="AN24" s="1568">
        <f t="shared" si="5"/>
        <v>0</v>
      </c>
      <c r="AO24" s="1565"/>
      <c r="AP24" s="1566"/>
      <c r="AQ24" s="1566"/>
      <c r="AR24" s="1566"/>
      <c r="AS24" s="1566"/>
      <c r="AT24" s="1566"/>
      <c r="AU24" s="1566"/>
      <c r="AV24" s="1566"/>
      <c r="AW24" s="1566"/>
      <c r="AX24" s="1566"/>
      <c r="AY24" s="1566"/>
      <c r="AZ24" s="1567"/>
      <c r="BA24" s="1568">
        <f t="shared" si="7"/>
        <v>0</v>
      </c>
      <c r="BB24" s="1565">
        <v>0</v>
      </c>
      <c r="BC24" s="1566">
        <v>0</v>
      </c>
      <c r="BD24" s="1566">
        <v>0</v>
      </c>
      <c r="BE24" s="1566">
        <v>0</v>
      </c>
      <c r="BF24" s="1566">
        <v>0</v>
      </c>
      <c r="BG24" s="1566">
        <v>0</v>
      </c>
      <c r="BH24" s="1566">
        <v>0</v>
      </c>
      <c r="BI24" s="1566">
        <v>0</v>
      </c>
      <c r="BJ24" s="1566">
        <v>0</v>
      </c>
      <c r="BK24" s="1566">
        <v>0</v>
      </c>
      <c r="BL24" s="1566">
        <v>0</v>
      </c>
      <c r="BM24" s="1567">
        <v>0</v>
      </c>
      <c r="BN24" s="1568">
        <f t="shared" si="9"/>
        <v>0</v>
      </c>
      <c r="BO24" s="1565">
        <v>0</v>
      </c>
      <c r="BP24" s="1566">
        <v>0</v>
      </c>
      <c r="BQ24" s="1566">
        <v>106</v>
      </c>
      <c r="BR24" s="1566">
        <v>5</v>
      </c>
      <c r="BS24" s="1566">
        <v>2</v>
      </c>
      <c r="BT24" s="1566">
        <v>8</v>
      </c>
      <c r="BU24" s="1566">
        <v>0.158</v>
      </c>
      <c r="BV24" s="1566">
        <v>0</v>
      </c>
      <c r="BW24" s="1566">
        <v>0</v>
      </c>
      <c r="BX24" s="1566">
        <v>0</v>
      </c>
      <c r="BY24" s="1566">
        <v>0</v>
      </c>
      <c r="BZ24" s="1567">
        <v>0</v>
      </c>
      <c r="CA24" s="1568">
        <f t="shared" si="11"/>
        <v>121.158</v>
      </c>
      <c r="CB24" s="1565">
        <v>1</v>
      </c>
      <c r="CC24" s="1566">
        <v>55</v>
      </c>
      <c r="CD24" s="1566">
        <v>49</v>
      </c>
      <c r="CE24" s="1566">
        <v>33</v>
      </c>
      <c r="CF24" s="1566">
        <v>39</v>
      </c>
      <c r="CG24" s="1566">
        <v>13</v>
      </c>
      <c r="CH24" s="1566">
        <v>15</v>
      </c>
      <c r="CI24" s="1566">
        <v>0.56999999999999995</v>
      </c>
      <c r="CJ24" s="1566">
        <v>0</v>
      </c>
      <c r="CK24" s="1566">
        <v>0</v>
      </c>
      <c r="CL24" s="1566">
        <v>0</v>
      </c>
      <c r="CM24" s="1567">
        <v>0</v>
      </c>
      <c r="CN24" s="1568">
        <f t="shared" si="13"/>
        <v>205.57</v>
      </c>
      <c r="CO24" s="1565">
        <v>0</v>
      </c>
      <c r="CP24" s="1566">
        <v>0</v>
      </c>
      <c r="CQ24" s="1566">
        <v>0</v>
      </c>
      <c r="CR24" s="1566">
        <v>11</v>
      </c>
      <c r="CS24" s="1566">
        <v>0</v>
      </c>
      <c r="CT24" s="1566">
        <v>3</v>
      </c>
      <c r="CU24" s="1566">
        <v>0</v>
      </c>
      <c r="CV24" s="1566">
        <v>0</v>
      </c>
      <c r="CW24" s="1566">
        <v>0</v>
      </c>
      <c r="CX24" s="1566">
        <v>0</v>
      </c>
      <c r="CY24" s="1566">
        <v>0</v>
      </c>
      <c r="CZ24" s="1567">
        <v>0</v>
      </c>
      <c r="DA24" s="1568">
        <f t="shared" si="15"/>
        <v>14</v>
      </c>
      <c r="DB24" s="1565">
        <v>0</v>
      </c>
      <c r="DC24" s="1566">
        <v>0</v>
      </c>
      <c r="DD24" s="1566">
        <v>0</v>
      </c>
      <c r="DE24" s="1566">
        <v>0</v>
      </c>
      <c r="DF24" s="1566">
        <v>0</v>
      </c>
      <c r="DG24" s="1566">
        <v>0</v>
      </c>
      <c r="DH24" s="1566">
        <v>0</v>
      </c>
      <c r="DI24" s="1566">
        <v>0</v>
      </c>
      <c r="DJ24" s="1566">
        <v>0</v>
      </c>
      <c r="DK24" s="1566">
        <v>0</v>
      </c>
      <c r="DL24" s="1566">
        <v>0</v>
      </c>
      <c r="DM24" s="1567">
        <v>0</v>
      </c>
      <c r="DN24" s="1568">
        <f t="shared" si="27"/>
        <v>0</v>
      </c>
      <c r="DO24" s="1565">
        <v>2</v>
      </c>
      <c r="DP24" s="1566">
        <v>12</v>
      </c>
      <c r="DQ24" s="1566">
        <v>114</v>
      </c>
      <c r="DR24" s="1566">
        <v>159</v>
      </c>
      <c r="DS24" s="1566">
        <v>184</v>
      </c>
      <c r="DT24" s="1566">
        <v>71</v>
      </c>
      <c r="DU24" s="1566">
        <v>16</v>
      </c>
      <c r="DV24" s="1566">
        <v>14</v>
      </c>
      <c r="DW24" s="1566">
        <v>0</v>
      </c>
      <c r="DX24" s="1566">
        <v>0</v>
      </c>
      <c r="DY24" s="1566">
        <v>32</v>
      </c>
      <c r="DZ24" s="1567">
        <v>185</v>
      </c>
      <c r="EA24" s="1568">
        <f t="shared" si="28"/>
        <v>789</v>
      </c>
      <c r="EB24" s="1565">
        <v>0</v>
      </c>
      <c r="EC24" s="1566">
        <v>0</v>
      </c>
      <c r="ED24" s="1566">
        <v>0</v>
      </c>
      <c r="EE24" s="1566"/>
      <c r="EF24" s="1566">
        <v>0</v>
      </c>
      <c r="EG24" s="1566">
        <v>0</v>
      </c>
      <c r="EH24" s="1566"/>
      <c r="EI24" s="1566">
        <v>0</v>
      </c>
      <c r="EJ24" s="1566">
        <v>0</v>
      </c>
      <c r="EK24" s="1566">
        <v>0</v>
      </c>
      <c r="EL24" s="1566">
        <v>0</v>
      </c>
      <c r="EM24" s="1567">
        <v>0</v>
      </c>
      <c r="EN24" s="1568">
        <f t="shared" si="29"/>
        <v>0</v>
      </c>
      <c r="EO24" s="1565">
        <v>0</v>
      </c>
      <c r="EP24" s="1566">
        <v>0</v>
      </c>
      <c r="EQ24" s="1566">
        <v>0</v>
      </c>
      <c r="ER24" s="1566">
        <v>0</v>
      </c>
      <c r="ES24" s="1566">
        <v>0</v>
      </c>
      <c r="ET24" s="1566">
        <v>0</v>
      </c>
      <c r="EU24" s="1566">
        <v>0</v>
      </c>
      <c r="EV24" s="1566">
        <v>0</v>
      </c>
      <c r="EW24" s="1566">
        <v>0</v>
      </c>
      <c r="EX24" s="1566">
        <v>21</v>
      </c>
      <c r="EY24" s="1566">
        <v>48</v>
      </c>
      <c r="EZ24" s="1567">
        <v>37</v>
      </c>
      <c r="FA24" s="1568">
        <f t="shared" si="30"/>
        <v>106</v>
      </c>
      <c r="FB24" s="1565">
        <v>17</v>
      </c>
      <c r="FC24" s="1566">
        <v>12</v>
      </c>
      <c r="FD24" s="1566">
        <v>0</v>
      </c>
      <c r="FE24" s="1566">
        <v>0</v>
      </c>
      <c r="FF24" s="1566">
        <v>0</v>
      </c>
      <c r="FG24" s="1566">
        <v>0</v>
      </c>
      <c r="FH24" s="1566">
        <v>0</v>
      </c>
      <c r="FI24" s="1566">
        <v>0</v>
      </c>
      <c r="FJ24" s="1566">
        <v>0</v>
      </c>
      <c r="FK24" s="1566">
        <v>78</v>
      </c>
      <c r="FL24" s="1566">
        <v>53</v>
      </c>
      <c r="FM24" s="1567">
        <v>99</v>
      </c>
      <c r="FN24" s="1568">
        <f t="shared" si="41"/>
        <v>259</v>
      </c>
      <c r="FO24" s="1565">
        <v>0</v>
      </c>
      <c r="FP24" s="1566">
        <v>0</v>
      </c>
      <c r="FQ24" s="1566">
        <v>34</v>
      </c>
      <c r="FR24" s="1566">
        <v>22</v>
      </c>
      <c r="FS24" s="1566">
        <v>37</v>
      </c>
      <c r="FT24" s="1566">
        <v>10</v>
      </c>
      <c r="FU24" s="1566">
        <v>17</v>
      </c>
      <c r="FV24" s="1566">
        <v>16</v>
      </c>
      <c r="FW24" s="1566">
        <v>3</v>
      </c>
      <c r="FX24" s="1566">
        <v>0</v>
      </c>
      <c r="FY24" s="1566">
        <v>0</v>
      </c>
      <c r="FZ24" s="1567">
        <v>1</v>
      </c>
      <c r="GA24" s="1568">
        <f t="shared" si="31"/>
        <v>140</v>
      </c>
      <c r="GB24" s="1565">
        <v>26</v>
      </c>
      <c r="GC24" s="1566">
        <v>0</v>
      </c>
      <c r="GD24" s="1566">
        <v>0</v>
      </c>
      <c r="GE24" s="1566">
        <v>0</v>
      </c>
      <c r="GF24" s="1566">
        <v>0</v>
      </c>
      <c r="GG24" s="1566">
        <v>0</v>
      </c>
      <c r="GH24" s="1566">
        <v>0</v>
      </c>
      <c r="GI24" s="1566">
        <v>163</v>
      </c>
      <c r="GJ24" s="1566">
        <v>73</v>
      </c>
      <c r="GK24" s="1566">
        <v>81</v>
      </c>
      <c r="GL24" s="1566">
        <v>71</v>
      </c>
      <c r="GM24" s="1567">
        <v>65</v>
      </c>
      <c r="GN24" s="1568">
        <f t="shared" si="32"/>
        <v>479</v>
      </c>
      <c r="GO24" s="1565">
        <v>0</v>
      </c>
      <c r="GP24" s="1566">
        <v>0</v>
      </c>
      <c r="GQ24" s="1566">
        <v>0</v>
      </c>
      <c r="GR24" s="1566">
        <v>0</v>
      </c>
      <c r="GS24" s="1566">
        <v>0</v>
      </c>
      <c r="GT24" s="1566">
        <v>0</v>
      </c>
      <c r="GU24" s="1566">
        <v>0</v>
      </c>
      <c r="GV24" s="1566">
        <v>2</v>
      </c>
      <c r="GW24" s="1566">
        <v>14</v>
      </c>
      <c r="GX24" s="1566">
        <v>0</v>
      </c>
      <c r="GY24" s="1566">
        <v>2</v>
      </c>
      <c r="GZ24" s="1567">
        <v>0</v>
      </c>
      <c r="HA24" s="1568">
        <f t="shared" si="33"/>
        <v>18</v>
      </c>
      <c r="HB24" s="1565">
        <v>5</v>
      </c>
      <c r="HC24" s="1566">
        <v>0</v>
      </c>
      <c r="HD24" s="1566">
        <v>0</v>
      </c>
      <c r="HE24" s="1566">
        <v>0</v>
      </c>
      <c r="HF24" s="1566">
        <v>0</v>
      </c>
      <c r="HG24" s="1566">
        <v>0</v>
      </c>
      <c r="HH24" s="1566">
        <v>0</v>
      </c>
      <c r="HI24" s="1566">
        <v>0</v>
      </c>
      <c r="HJ24" s="1566">
        <v>0</v>
      </c>
      <c r="HK24" s="1566">
        <v>0</v>
      </c>
      <c r="HL24" s="1566">
        <v>2</v>
      </c>
      <c r="HM24" s="1567">
        <v>45</v>
      </c>
      <c r="HN24" s="1568">
        <f t="shared" si="34"/>
        <v>52</v>
      </c>
      <c r="HO24" s="1565">
        <v>109</v>
      </c>
      <c r="HP24" s="1566">
        <v>22</v>
      </c>
      <c r="HQ24" s="1566">
        <v>156</v>
      </c>
      <c r="HR24" s="1566">
        <v>108</v>
      </c>
      <c r="HS24" s="1566">
        <v>190</v>
      </c>
      <c r="HT24" s="1566">
        <v>104</v>
      </c>
      <c r="HU24" s="1566">
        <v>82</v>
      </c>
      <c r="HV24" s="1566">
        <v>1</v>
      </c>
      <c r="HW24" s="1566">
        <v>0</v>
      </c>
      <c r="HX24" s="1566">
        <v>0</v>
      </c>
      <c r="HY24" s="1566">
        <v>0</v>
      </c>
      <c r="HZ24" s="1567">
        <v>-1</v>
      </c>
      <c r="IA24" s="1565">
        <f t="shared" si="42"/>
        <v>771</v>
      </c>
      <c r="IB24" s="1569">
        <v>0</v>
      </c>
      <c r="IC24" s="1068">
        <v>0</v>
      </c>
      <c r="ID24" s="1068">
        <v>1</v>
      </c>
      <c r="IE24" s="1068">
        <v>0</v>
      </c>
      <c r="IF24" s="1068">
        <v>0</v>
      </c>
      <c r="IG24" s="1068">
        <v>0</v>
      </c>
      <c r="IH24" s="1068">
        <v>1</v>
      </c>
      <c r="II24" s="1068">
        <v>5</v>
      </c>
      <c r="IJ24" s="1068"/>
      <c r="IK24" s="1068"/>
      <c r="IL24" s="1068"/>
      <c r="IM24" s="1570"/>
      <c r="IN24" s="1571">
        <f t="shared" si="35"/>
        <v>7</v>
      </c>
      <c r="IO24"/>
      <c r="IP24" s="1656">
        <f t="shared" si="36"/>
        <v>400</v>
      </c>
      <c r="IQ24" s="1656">
        <f t="shared" si="37"/>
        <v>-99.093264248704656</v>
      </c>
      <c r="IR24" s="1657">
        <f t="shared" si="38"/>
        <v>772</v>
      </c>
      <c r="IS24" s="1657">
        <f t="shared" si="39"/>
        <v>7</v>
      </c>
      <c r="IT24" s="1658"/>
      <c r="IU24" s="221">
        <f t="shared" si="40"/>
        <v>4</v>
      </c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</row>
    <row r="25" spans="1:280" s="105" customFormat="1" ht="15" customHeight="1" x14ac:dyDescent="0.2">
      <c r="A25" s="1551" t="s">
        <v>641</v>
      </c>
      <c r="B25" s="1565">
        <v>639</v>
      </c>
      <c r="C25" s="1566">
        <v>1188</v>
      </c>
      <c r="D25" s="1566">
        <v>1289</v>
      </c>
      <c r="E25" s="1566">
        <v>1218</v>
      </c>
      <c r="F25" s="1566">
        <v>1333</v>
      </c>
      <c r="G25" s="1566">
        <v>1160</v>
      </c>
      <c r="H25" s="1566">
        <v>1281</v>
      </c>
      <c r="I25" s="1566">
        <v>1507</v>
      </c>
      <c r="J25" s="1566">
        <v>1599</v>
      </c>
      <c r="K25" s="1566">
        <v>2184</v>
      </c>
      <c r="L25" s="1566">
        <v>1717</v>
      </c>
      <c r="M25" s="1567">
        <v>3944</v>
      </c>
      <c r="N25" s="1568">
        <f t="shared" si="1"/>
        <v>19059</v>
      </c>
      <c r="O25" s="1565">
        <v>615</v>
      </c>
      <c r="P25" s="1566">
        <v>1283</v>
      </c>
      <c r="Q25" s="1566">
        <v>1528</v>
      </c>
      <c r="R25" s="1566">
        <v>1411</v>
      </c>
      <c r="S25" s="1566">
        <v>1547</v>
      </c>
      <c r="T25" s="1566">
        <v>1293</v>
      </c>
      <c r="U25" s="1566">
        <v>2235</v>
      </c>
      <c r="V25" s="1566">
        <v>2871</v>
      </c>
      <c r="W25" s="1566">
        <v>2971</v>
      </c>
      <c r="X25" s="1566">
        <v>2565</v>
      </c>
      <c r="Y25" s="1566">
        <v>2138</v>
      </c>
      <c r="Z25" s="1567">
        <v>8715</v>
      </c>
      <c r="AA25" s="1568">
        <f t="shared" si="3"/>
        <v>29172</v>
      </c>
      <c r="AB25" s="1565">
        <v>932</v>
      </c>
      <c r="AC25" s="1566">
        <v>1871</v>
      </c>
      <c r="AD25" s="1566">
        <v>2311</v>
      </c>
      <c r="AE25" s="1566">
        <v>2353</v>
      </c>
      <c r="AF25" s="1566">
        <v>2305</v>
      </c>
      <c r="AG25" s="1566">
        <v>2383</v>
      </c>
      <c r="AH25" s="1566">
        <v>2130</v>
      </c>
      <c r="AI25" s="1566">
        <v>2889</v>
      </c>
      <c r="AJ25" s="1566">
        <v>3640</v>
      </c>
      <c r="AK25" s="1566">
        <v>2515</v>
      </c>
      <c r="AL25" s="1566">
        <v>3635</v>
      </c>
      <c r="AM25" s="1567">
        <v>4866</v>
      </c>
      <c r="AN25" s="1568">
        <f t="shared" si="5"/>
        <v>31830</v>
      </c>
      <c r="AO25" s="1565">
        <v>38</v>
      </c>
      <c r="AP25" s="1566">
        <v>435</v>
      </c>
      <c r="AQ25" s="1566">
        <v>1620</v>
      </c>
      <c r="AR25" s="1566">
        <v>2025</v>
      </c>
      <c r="AS25" s="1566">
        <v>2284</v>
      </c>
      <c r="AT25" s="1566">
        <v>2522</v>
      </c>
      <c r="AU25" s="1566">
        <v>2693</v>
      </c>
      <c r="AV25" s="1566">
        <v>3663</v>
      </c>
      <c r="AW25" s="1566">
        <v>3849</v>
      </c>
      <c r="AX25" s="1566">
        <v>3503</v>
      </c>
      <c r="AY25" s="1566">
        <v>8195</v>
      </c>
      <c r="AZ25" s="1567">
        <v>12400</v>
      </c>
      <c r="BA25" s="1568">
        <f t="shared" si="7"/>
        <v>43227</v>
      </c>
      <c r="BB25" s="1565">
        <v>1972</v>
      </c>
      <c r="BC25" s="1566">
        <v>2643</v>
      </c>
      <c r="BD25" s="1566">
        <v>5156</v>
      </c>
      <c r="BE25" s="1566">
        <v>2060</v>
      </c>
      <c r="BF25" s="1566">
        <v>3385</v>
      </c>
      <c r="BG25" s="1566">
        <v>7640</v>
      </c>
      <c r="BH25" s="1566">
        <v>5743</v>
      </c>
      <c r="BI25" s="1566">
        <v>5749</v>
      </c>
      <c r="BJ25" s="1566">
        <v>5714</v>
      </c>
      <c r="BK25" s="1566">
        <v>12751</v>
      </c>
      <c r="BL25" s="1566">
        <v>12169</v>
      </c>
      <c r="BM25" s="1567">
        <v>11560</v>
      </c>
      <c r="BN25" s="1568">
        <f t="shared" si="9"/>
        <v>76542</v>
      </c>
      <c r="BO25" s="1565">
        <v>729</v>
      </c>
      <c r="BP25" s="1566">
        <v>2360</v>
      </c>
      <c r="BQ25" s="1566">
        <v>4361</v>
      </c>
      <c r="BR25" s="1566">
        <v>5582</v>
      </c>
      <c r="BS25" s="1566">
        <v>6251</v>
      </c>
      <c r="BT25" s="1566">
        <v>5511</v>
      </c>
      <c r="BU25" s="1566">
        <v>26915</v>
      </c>
      <c r="BV25" s="1566">
        <v>-8397</v>
      </c>
      <c r="BW25" s="1566">
        <v>11098</v>
      </c>
      <c r="BX25" s="1566">
        <v>5292</v>
      </c>
      <c r="BY25" s="1566">
        <v>10518</v>
      </c>
      <c r="BZ25" s="1567">
        <v>36128</v>
      </c>
      <c r="CA25" s="1568">
        <f t="shared" si="11"/>
        <v>106348</v>
      </c>
      <c r="CB25" s="1565">
        <v>3207</v>
      </c>
      <c r="CC25" s="1566">
        <v>5292</v>
      </c>
      <c r="CD25" s="1566">
        <v>5776</v>
      </c>
      <c r="CE25" s="1566">
        <v>6681</v>
      </c>
      <c r="CF25" s="1566">
        <v>6325</v>
      </c>
      <c r="CG25" s="1566">
        <v>7187</v>
      </c>
      <c r="CH25" s="1566">
        <v>15086</v>
      </c>
      <c r="CI25" s="1566">
        <v>1937</v>
      </c>
      <c r="CJ25" s="1566">
        <v>11126</v>
      </c>
      <c r="CK25" s="1566">
        <v>11877</v>
      </c>
      <c r="CL25" s="1566">
        <v>8922</v>
      </c>
      <c r="CM25" s="1567">
        <v>27130</v>
      </c>
      <c r="CN25" s="1568">
        <f t="shared" si="13"/>
        <v>110546</v>
      </c>
      <c r="CO25" s="1565">
        <v>205</v>
      </c>
      <c r="CP25" s="1566">
        <v>3664</v>
      </c>
      <c r="CQ25" s="1566">
        <v>5895</v>
      </c>
      <c r="CR25" s="1566">
        <v>7376</v>
      </c>
      <c r="CS25" s="1566">
        <v>4301</v>
      </c>
      <c r="CT25" s="1566">
        <v>3045</v>
      </c>
      <c r="CU25" s="1566">
        <v>8989</v>
      </c>
      <c r="CV25" s="1566">
        <v>3924</v>
      </c>
      <c r="CW25" s="1566">
        <v>5116</v>
      </c>
      <c r="CX25" s="1566">
        <v>5027</v>
      </c>
      <c r="CY25" s="1566">
        <v>6197</v>
      </c>
      <c r="CZ25" s="1567">
        <v>19576</v>
      </c>
      <c r="DA25" s="1568">
        <f t="shared" si="15"/>
        <v>73315</v>
      </c>
      <c r="DB25" s="1565">
        <v>909</v>
      </c>
      <c r="DC25" s="1566">
        <v>3264</v>
      </c>
      <c r="DD25" s="1566">
        <v>5950</v>
      </c>
      <c r="DE25" s="1566">
        <v>6533</v>
      </c>
      <c r="DF25" s="1566">
        <v>6292</v>
      </c>
      <c r="DG25" s="1566">
        <v>6594</v>
      </c>
      <c r="DH25" s="1566">
        <v>10287</v>
      </c>
      <c r="DI25" s="1566">
        <v>7041</v>
      </c>
      <c r="DJ25" s="1566">
        <v>13355</v>
      </c>
      <c r="DK25" s="1566">
        <v>8063</v>
      </c>
      <c r="DL25" s="1566">
        <v>13462</v>
      </c>
      <c r="DM25" s="1567">
        <v>40314</v>
      </c>
      <c r="DN25" s="1568">
        <f t="shared" si="27"/>
        <v>122064</v>
      </c>
      <c r="DO25" s="1565">
        <v>3540</v>
      </c>
      <c r="DP25" s="1566">
        <v>9046</v>
      </c>
      <c r="DQ25" s="1566">
        <v>10494</v>
      </c>
      <c r="DR25" s="1566">
        <v>7495</v>
      </c>
      <c r="DS25" s="1566">
        <v>5877</v>
      </c>
      <c r="DT25" s="1566">
        <v>14269</v>
      </c>
      <c r="DU25" s="1566">
        <v>11109</v>
      </c>
      <c r="DV25" s="1566">
        <v>10553</v>
      </c>
      <c r="DW25" s="1566">
        <v>22631</v>
      </c>
      <c r="DX25" s="1566">
        <v>20747</v>
      </c>
      <c r="DY25" s="1566">
        <v>14823</v>
      </c>
      <c r="DZ25" s="1567">
        <v>19957</v>
      </c>
      <c r="EA25" s="1568">
        <f t="shared" si="28"/>
        <v>150541</v>
      </c>
      <c r="EB25" s="1565">
        <v>2350</v>
      </c>
      <c r="EC25" s="1566">
        <v>4499</v>
      </c>
      <c r="ED25" s="1566">
        <v>18584</v>
      </c>
      <c r="EE25" s="1566">
        <v>3229</v>
      </c>
      <c r="EF25" s="1566">
        <v>7831</v>
      </c>
      <c r="EG25" s="1566">
        <v>11379</v>
      </c>
      <c r="EH25" s="1566">
        <v>10173</v>
      </c>
      <c r="EI25" s="1566">
        <v>6447</v>
      </c>
      <c r="EJ25" s="1566">
        <v>11417</v>
      </c>
      <c r="EK25" s="1566">
        <v>11123</v>
      </c>
      <c r="EL25" s="1566">
        <v>12690</v>
      </c>
      <c r="EM25" s="1567">
        <v>15944</v>
      </c>
      <c r="EN25" s="1568">
        <f t="shared" si="29"/>
        <v>115666</v>
      </c>
      <c r="EO25" s="1565">
        <v>152</v>
      </c>
      <c r="EP25" s="1566">
        <v>1974</v>
      </c>
      <c r="EQ25" s="1566">
        <v>3289</v>
      </c>
      <c r="ER25" s="1566">
        <v>8257</v>
      </c>
      <c r="ES25" s="1566">
        <v>5077</v>
      </c>
      <c r="ET25" s="1566">
        <v>7320</v>
      </c>
      <c r="EU25" s="1566">
        <v>5756</v>
      </c>
      <c r="EV25" s="1566">
        <v>12157</v>
      </c>
      <c r="EW25" s="1566">
        <v>10271</v>
      </c>
      <c r="EX25" s="1566">
        <v>6270</v>
      </c>
      <c r="EY25" s="1566">
        <v>4730</v>
      </c>
      <c r="EZ25" s="1567">
        <v>11048</v>
      </c>
      <c r="FA25" s="1568">
        <f t="shared" si="30"/>
        <v>76301</v>
      </c>
      <c r="FB25" s="1565">
        <v>1173</v>
      </c>
      <c r="FC25" s="1566">
        <v>4531</v>
      </c>
      <c r="FD25" s="1566">
        <v>5097</v>
      </c>
      <c r="FE25" s="1566">
        <v>1047</v>
      </c>
      <c r="FF25" s="1566">
        <v>1097</v>
      </c>
      <c r="FG25" s="1566">
        <v>1262</v>
      </c>
      <c r="FH25" s="1566">
        <v>5334</v>
      </c>
      <c r="FI25" s="1566">
        <v>8678</v>
      </c>
      <c r="FJ25" s="1566">
        <v>8827</v>
      </c>
      <c r="FK25" s="1566">
        <v>9480</v>
      </c>
      <c r="FL25" s="1566">
        <v>12527</v>
      </c>
      <c r="FM25" s="1567">
        <v>27263</v>
      </c>
      <c r="FN25" s="1568">
        <f t="shared" si="41"/>
        <v>86316</v>
      </c>
      <c r="FO25" s="1565">
        <v>2636</v>
      </c>
      <c r="FP25" s="1566">
        <v>6654</v>
      </c>
      <c r="FQ25" s="1566">
        <v>14480</v>
      </c>
      <c r="FR25" s="1566">
        <v>4596</v>
      </c>
      <c r="FS25" s="1566">
        <v>5284</v>
      </c>
      <c r="FT25" s="1566">
        <v>8571</v>
      </c>
      <c r="FU25" s="1566">
        <v>6288</v>
      </c>
      <c r="FV25" s="1566">
        <v>10856</v>
      </c>
      <c r="FW25" s="1566">
        <v>7064</v>
      </c>
      <c r="FX25" s="1566">
        <v>6086</v>
      </c>
      <c r="FY25" s="1566">
        <v>9038</v>
      </c>
      <c r="FZ25" s="1567">
        <v>14262</v>
      </c>
      <c r="GA25" s="1568">
        <f t="shared" si="31"/>
        <v>95815</v>
      </c>
      <c r="GB25" s="1565">
        <v>1670</v>
      </c>
      <c r="GC25" s="1566">
        <v>2621</v>
      </c>
      <c r="GD25" s="1566">
        <v>8401</v>
      </c>
      <c r="GE25" s="1566">
        <v>1744</v>
      </c>
      <c r="GF25" s="1566">
        <v>5408</v>
      </c>
      <c r="GG25" s="1566">
        <v>4202</v>
      </c>
      <c r="GH25" s="1566">
        <v>7126</v>
      </c>
      <c r="GI25" s="1566">
        <v>11520</v>
      </c>
      <c r="GJ25" s="1566">
        <v>12380</v>
      </c>
      <c r="GK25" s="1566">
        <v>8393</v>
      </c>
      <c r="GL25" s="1566">
        <v>12053</v>
      </c>
      <c r="GM25" s="1567">
        <v>23012</v>
      </c>
      <c r="GN25" s="1568">
        <f t="shared" si="32"/>
        <v>98530</v>
      </c>
      <c r="GO25" s="1565">
        <v>229</v>
      </c>
      <c r="GP25" s="1566">
        <v>7443</v>
      </c>
      <c r="GQ25" s="1566">
        <v>12920</v>
      </c>
      <c r="GR25" s="1566">
        <v>10766</v>
      </c>
      <c r="GS25" s="1566">
        <v>4296</v>
      </c>
      <c r="GT25" s="1566">
        <v>8404</v>
      </c>
      <c r="GU25" s="1566">
        <v>4437</v>
      </c>
      <c r="GV25" s="1566">
        <v>8702</v>
      </c>
      <c r="GW25" s="1566">
        <v>8156</v>
      </c>
      <c r="GX25" s="1566">
        <v>12155</v>
      </c>
      <c r="GY25" s="1566">
        <v>12316</v>
      </c>
      <c r="GZ25" s="1567">
        <v>22061</v>
      </c>
      <c r="HA25" s="1568">
        <f t="shared" si="33"/>
        <v>111885</v>
      </c>
      <c r="HB25" s="1565">
        <v>1332</v>
      </c>
      <c r="HC25" s="1566">
        <v>17455</v>
      </c>
      <c r="HD25" s="1566">
        <v>8433</v>
      </c>
      <c r="HE25" s="1566">
        <v>9475</v>
      </c>
      <c r="HF25" s="1566">
        <v>13145</v>
      </c>
      <c r="HG25" s="1566">
        <v>8033</v>
      </c>
      <c r="HH25" s="1566">
        <v>7798</v>
      </c>
      <c r="HI25" s="1566">
        <v>11468</v>
      </c>
      <c r="HJ25" s="1566">
        <v>5708</v>
      </c>
      <c r="HK25" s="1566">
        <v>13915</v>
      </c>
      <c r="HL25" s="1566">
        <v>6346</v>
      </c>
      <c r="HM25" s="1567">
        <v>19566</v>
      </c>
      <c r="HN25" s="1568">
        <f t="shared" si="34"/>
        <v>122674</v>
      </c>
      <c r="HO25" s="1565">
        <v>4340</v>
      </c>
      <c r="HP25" s="1566">
        <v>8124</v>
      </c>
      <c r="HQ25" s="1566">
        <v>12639</v>
      </c>
      <c r="HR25" s="1566">
        <v>12457</v>
      </c>
      <c r="HS25" s="1566">
        <v>10067</v>
      </c>
      <c r="HT25" s="1566">
        <v>13962</v>
      </c>
      <c r="HU25" s="1566">
        <v>11094</v>
      </c>
      <c r="HV25" s="1566">
        <v>11511</v>
      </c>
      <c r="HW25" s="1566">
        <v>13966</v>
      </c>
      <c r="HX25" s="1566">
        <v>19592</v>
      </c>
      <c r="HY25" s="1566">
        <v>16304</v>
      </c>
      <c r="HZ25" s="1567">
        <v>32767</v>
      </c>
      <c r="IA25" s="1565">
        <f t="shared" si="42"/>
        <v>166823</v>
      </c>
      <c r="IB25" s="1569">
        <v>7954</v>
      </c>
      <c r="IC25" s="1068">
        <v>5722</v>
      </c>
      <c r="ID25" s="1068">
        <v>9674</v>
      </c>
      <c r="IE25" s="1068">
        <v>8763</v>
      </c>
      <c r="IF25" s="1068">
        <v>8674</v>
      </c>
      <c r="IG25" s="1068">
        <v>15201</v>
      </c>
      <c r="IH25" s="1068">
        <v>20592</v>
      </c>
      <c r="II25" s="1068">
        <v>17874</v>
      </c>
      <c r="IJ25" s="1068"/>
      <c r="IK25" s="1068"/>
      <c r="IL25" s="1068"/>
      <c r="IM25" s="1570"/>
      <c r="IN25" s="1571">
        <f t="shared" si="35"/>
        <v>94454</v>
      </c>
      <c r="IO25"/>
      <c r="IP25" s="1656">
        <f t="shared" si="36"/>
        <v>55.277560594214222</v>
      </c>
      <c r="IQ25" s="1656">
        <f t="shared" si="37"/>
        <v>12.186141530275307</v>
      </c>
      <c r="IR25" s="1657">
        <f t="shared" si="38"/>
        <v>84194</v>
      </c>
      <c r="IS25" s="1657">
        <f t="shared" si="39"/>
        <v>94454</v>
      </c>
      <c r="IT25" s="1658"/>
      <c r="IU25" s="221">
        <f t="shared" si="40"/>
        <v>6363</v>
      </c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</row>
    <row r="26" spans="1:280" s="105" customFormat="1" ht="15" customHeight="1" x14ac:dyDescent="0.2">
      <c r="A26" s="1551" t="s">
        <v>642</v>
      </c>
      <c r="B26" s="1565">
        <v>0</v>
      </c>
      <c r="C26" s="1566">
        <v>0</v>
      </c>
      <c r="D26" s="1566">
        <v>0</v>
      </c>
      <c r="E26" s="1566">
        <v>0</v>
      </c>
      <c r="F26" s="1566">
        <v>0</v>
      </c>
      <c r="G26" s="1566">
        <v>0</v>
      </c>
      <c r="H26" s="1566">
        <v>0</v>
      </c>
      <c r="I26" s="1566">
        <v>67</v>
      </c>
      <c r="J26" s="1566">
        <v>0</v>
      </c>
      <c r="K26" s="1566">
        <v>0</v>
      </c>
      <c r="L26" s="1566">
        <v>0</v>
      </c>
      <c r="M26" s="1567">
        <v>0</v>
      </c>
      <c r="N26" s="1568">
        <f t="shared" si="1"/>
        <v>67</v>
      </c>
      <c r="O26" s="1565">
        <v>8</v>
      </c>
      <c r="P26" s="1566">
        <v>0</v>
      </c>
      <c r="Q26" s="1566">
        <v>7</v>
      </c>
      <c r="R26" s="1566">
        <v>18</v>
      </c>
      <c r="S26" s="1566">
        <v>19</v>
      </c>
      <c r="T26" s="1566">
        <v>37</v>
      </c>
      <c r="U26" s="1566">
        <v>22</v>
      </c>
      <c r="V26" s="1566">
        <v>28</v>
      </c>
      <c r="W26" s="1566">
        <v>15</v>
      </c>
      <c r="X26" s="1566">
        <v>6</v>
      </c>
      <c r="Y26" s="1566">
        <v>28</v>
      </c>
      <c r="Z26" s="1567">
        <v>22</v>
      </c>
      <c r="AA26" s="1568">
        <f t="shared" si="3"/>
        <v>210</v>
      </c>
      <c r="AB26" s="1565">
        <v>16</v>
      </c>
      <c r="AC26" s="1566">
        <v>24</v>
      </c>
      <c r="AD26" s="1566">
        <v>32</v>
      </c>
      <c r="AE26" s="1566">
        <v>31</v>
      </c>
      <c r="AF26" s="1566">
        <v>31</v>
      </c>
      <c r="AG26" s="1566">
        <v>48</v>
      </c>
      <c r="AH26" s="1566">
        <v>56</v>
      </c>
      <c r="AI26" s="1566">
        <v>11</v>
      </c>
      <c r="AJ26" s="1566">
        <v>24</v>
      </c>
      <c r="AK26" s="1566">
        <v>2</v>
      </c>
      <c r="AL26" s="1566">
        <v>10</v>
      </c>
      <c r="AM26" s="1567">
        <v>36</v>
      </c>
      <c r="AN26" s="1568">
        <f t="shared" si="5"/>
        <v>321</v>
      </c>
      <c r="AO26" s="1565">
        <v>0</v>
      </c>
      <c r="AP26" s="1566">
        <v>0</v>
      </c>
      <c r="AQ26" s="1566">
        <v>5</v>
      </c>
      <c r="AR26" s="1566">
        <v>45</v>
      </c>
      <c r="AS26" s="1566">
        <v>16</v>
      </c>
      <c r="AT26" s="1566">
        <v>30</v>
      </c>
      <c r="AU26" s="1566">
        <v>30</v>
      </c>
      <c r="AV26" s="1566">
        <v>32</v>
      </c>
      <c r="AW26" s="1566">
        <v>25</v>
      </c>
      <c r="AX26" s="1566">
        <v>14</v>
      </c>
      <c r="AY26" s="1566">
        <v>19</v>
      </c>
      <c r="AZ26" s="1567">
        <v>99</v>
      </c>
      <c r="BA26" s="1568">
        <f t="shared" si="7"/>
        <v>315</v>
      </c>
      <c r="BB26" s="1565">
        <v>0</v>
      </c>
      <c r="BC26" s="1566">
        <v>18</v>
      </c>
      <c r="BD26" s="1566">
        <v>0</v>
      </c>
      <c r="BE26" s="1566">
        <v>0</v>
      </c>
      <c r="BF26" s="1566">
        <v>0</v>
      </c>
      <c r="BG26" s="1566">
        <v>1</v>
      </c>
      <c r="BH26" s="1566">
        <v>0</v>
      </c>
      <c r="BI26" s="1566">
        <v>0</v>
      </c>
      <c r="BJ26" s="1566">
        <v>0</v>
      </c>
      <c r="BK26" s="1566">
        <v>0</v>
      </c>
      <c r="BL26" s="1566">
        <v>10</v>
      </c>
      <c r="BM26" s="1567">
        <v>8</v>
      </c>
      <c r="BN26" s="1568"/>
      <c r="BO26" s="1565">
        <v>0</v>
      </c>
      <c r="BP26" s="1566">
        <v>2</v>
      </c>
      <c r="BQ26" s="1566">
        <v>4</v>
      </c>
      <c r="BR26" s="1566">
        <v>2</v>
      </c>
      <c r="BS26" s="1566">
        <v>2</v>
      </c>
      <c r="BT26" s="1566">
        <v>15</v>
      </c>
      <c r="BU26" s="1566">
        <v>7</v>
      </c>
      <c r="BV26" s="1566">
        <v>4</v>
      </c>
      <c r="BW26" s="1566">
        <v>4</v>
      </c>
      <c r="BX26" s="1566">
        <v>0</v>
      </c>
      <c r="BY26" s="1566">
        <v>5</v>
      </c>
      <c r="BZ26" s="1567">
        <v>0</v>
      </c>
      <c r="CA26" s="1568">
        <f t="shared" si="11"/>
        <v>45</v>
      </c>
      <c r="CB26" s="1565">
        <v>0</v>
      </c>
      <c r="CC26" s="1566">
        <v>0</v>
      </c>
      <c r="CD26" s="1566">
        <v>0</v>
      </c>
      <c r="CE26" s="1566">
        <v>0</v>
      </c>
      <c r="CF26" s="1566">
        <v>0</v>
      </c>
      <c r="CG26" s="1566">
        <v>0</v>
      </c>
      <c r="CH26" s="1566">
        <v>0</v>
      </c>
      <c r="CI26" s="1566">
        <v>0</v>
      </c>
      <c r="CJ26" s="1566">
        <v>0</v>
      </c>
      <c r="CK26" s="1566">
        <v>6</v>
      </c>
      <c r="CL26" s="1566">
        <v>50</v>
      </c>
      <c r="CM26" s="1567">
        <v>58</v>
      </c>
      <c r="CN26" s="1568">
        <f t="shared" si="13"/>
        <v>114</v>
      </c>
      <c r="CO26" s="1565">
        <v>0</v>
      </c>
      <c r="CP26" s="1566">
        <v>0</v>
      </c>
      <c r="CQ26" s="1566">
        <v>2</v>
      </c>
      <c r="CR26" s="1566">
        <v>0</v>
      </c>
      <c r="CS26" s="1566">
        <v>11</v>
      </c>
      <c r="CT26" s="1566">
        <v>5</v>
      </c>
      <c r="CU26" s="1566">
        <v>19</v>
      </c>
      <c r="CV26" s="1566">
        <v>12</v>
      </c>
      <c r="CW26" s="1566">
        <v>2</v>
      </c>
      <c r="CX26" s="1566">
        <v>0</v>
      </c>
      <c r="CY26" s="1566">
        <v>24</v>
      </c>
      <c r="CZ26" s="1567">
        <v>-11</v>
      </c>
      <c r="DA26" s="1568">
        <f t="shared" si="15"/>
        <v>64</v>
      </c>
      <c r="DB26" s="1565">
        <v>0</v>
      </c>
      <c r="DC26" s="1566">
        <v>5</v>
      </c>
      <c r="DD26" s="1566">
        <v>17</v>
      </c>
      <c r="DE26" s="1566">
        <v>2</v>
      </c>
      <c r="DF26" s="1566">
        <v>1</v>
      </c>
      <c r="DG26" s="1566">
        <v>11</v>
      </c>
      <c r="DH26" s="1566">
        <v>19</v>
      </c>
      <c r="DI26" s="1566">
        <v>3</v>
      </c>
      <c r="DJ26" s="1566">
        <v>0</v>
      </c>
      <c r="DK26" s="1566">
        <v>48</v>
      </c>
      <c r="DL26" s="1566">
        <v>10</v>
      </c>
      <c r="DM26" s="1567">
        <v>38</v>
      </c>
      <c r="DN26" s="1568">
        <f t="shared" si="27"/>
        <v>154</v>
      </c>
      <c r="DO26" s="1565">
        <v>0</v>
      </c>
      <c r="DP26" s="1566">
        <v>0</v>
      </c>
      <c r="DQ26" s="1566">
        <v>0</v>
      </c>
      <c r="DR26" s="1566">
        <v>0</v>
      </c>
      <c r="DS26" s="1566">
        <v>0</v>
      </c>
      <c r="DT26" s="1566">
        <v>0</v>
      </c>
      <c r="DU26" s="1566">
        <v>0</v>
      </c>
      <c r="DV26" s="1566">
        <v>0</v>
      </c>
      <c r="DW26" s="1566">
        <v>8</v>
      </c>
      <c r="DX26" s="1566">
        <v>0</v>
      </c>
      <c r="DY26" s="1566">
        <v>0</v>
      </c>
      <c r="DZ26" s="1567">
        <v>19</v>
      </c>
      <c r="EA26" s="1568">
        <f t="shared" si="28"/>
        <v>27</v>
      </c>
      <c r="EB26" s="1565">
        <v>0</v>
      </c>
      <c r="EC26" s="1566">
        <v>0</v>
      </c>
      <c r="ED26" s="1566">
        <v>0</v>
      </c>
      <c r="EE26" s="1566">
        <v>0</v>
      </c>
      <c r="EF26" s="1566">
        <v>0</v>
      </c>
      <c r="EG26" s="1566">
        <v>372</v>
      </c>
      <c r="EH26" s="1566">
        <v>623</v>
      </c>
      <c r="EI26" s="1566">
        <v>6</v>
      </c>
      <c r="EJ26" s="1566">
        <v>245</v>
      </c>
      <c r="EK26" s="1566">
        <v>443</v>
      </c>
      <c r="EL26" s="1566">
        <v>439</v>
      </c>
      <c r="EM26" s="1567">
        <v>862</v>
      </c>
      <c r="EN26" s="1568">
        <f t="shared" si="29"/>
        <v>2990</v>
      </c>
      <c r="EO26" s="1565">
        <v>0</v>
      </c>
      <c r="EP26" s="1566">
        <v>0</v>
      </c>
      <c r="EQ26" s="1566">
        <v>3</v>
      </c>
      <c r="ER26" s="1566">
        <v>19</v>
      </c>
      <c r="ES26" s="1566">
        <v>0</v>
      </c>
      <c r="ET26" s="1566">
        <v>9</v>
      </c>
      <c r="EU26" s="1566">
        <v>0</v>
      </c>
      <c r="EV26" s="1566">
        <v>4</v>
      </c>
      <c r="EW26" s="1566">
        <v>0</v>
      </c>
      <c r="EX26" s="1566">
        <v>0</v>
      </c>
      <c r="EY26" s="1566">
        <v>0</v>
      </c>
      <c r="EZ26" s="1567">
        <v>0</v>
      </c>
      <c r="FA26" s="1568">
        <f t="shared" si="30"/>
        <v>35</v>
      </c>
      <c r="FB26" s="1565">
        <v>0</v>
      </c>
      <c r="FC26" s="1566">
        <v>0</v>
      </c>
      <c r="FD26" s="1566">
        <v>0</v>
      </c>
      <c r="FE26" s="1566">
        <v>0</v>
      </c>
      <c r="FF26" s="1566">
        <v>0</v>
      </c>
      <c r="FG26" s="1566">
        <v>0</v>
      </c>
      <c r="FH26" s="1566">
        <v>0</v>
      </c>
      <c r="FI26" s="1566">
        <v>138</v>
      </c>
      <c r="FJ26" s="1566">
        <v>21</v>
      </c>
      <c r="FK26" s="1566">
        <v>0</v>
      </c>
      <c r="FL26" s="1566">
        <v>10</v>
      </c>
      <c r="FM26" s="1567">
        <v>4</v>
      </c>
      <c r="FN26" s="1568">
        <f t="shared" si="41"/>
        <v>173</v>
      </c>
      <c r="FO26" s="1565">
        <v>0</v>
      </c>
      <c r="FP26" s="1566">
        <v>0</v>
      </c>
      <c r="FQ26" s="1566">
        <v>0</v>
      </c>
      <c r="FR26" s="1566">
        <v>2</v>
      </c>
      <c r="FS26" s="1566">
        <v>6</v>
      </c>
      <c r="FT26" s="1566">
        <v>6</v>
      </c>
      <c r="FU26" s="1566">
        <v>0</v>
      </c>
      <c r="FV26" s="1566">
        <v>8</v>
      </c>
      <c r="FW26" s="1566">
        <v>203</v>
      </c>
      <c r="FX26" s="1566">
        <v>0</v>
      </c>
      <c r="FY26" s="1566">
        <v>12</v>
      </c>
      <c r="FZ26" s="1567">
        <v>5</v>
      </c>
      <c r="GA26" s="1568">
        <f t="shared" si="31"/>
        <v>242</v>
      </c>
      <c r="GB26" s="1565">
        <v>0</v>
      </c>
      <c r="GC26" s="1566">
        <v>0</v>
      </c>
      <c r="GD26" s="1566">
        <v>2</v>
      </c>
      <c r="GE26" s="1566">
        <v>0</v>
      </c>
      <c r="GF26" s="1566">
        <v>2</v>
      </c>
      <c r="GG26" s="1566">
        <v>0</v>
      </c>
      <c r="GH26" s="1566">
        <v>0</v>
      </c>
      <c r="GI26" s="1566">
        <v>0</v>
      </c>
      <c r="GJ26" s="1566">
        <v>0</v>
      </c>
      <c r="GK26" s="1566">
        <v>0</v>
      </c>
      <c r="GL26" s="1566">
        <v>0</v>
      </c>
      <c r="GM26" s="1567">
        <v>0</v>
      </c>
      <c r="GN26" s="1568">
        <f t="shared" si="32"/>
        <v>4</v>
      </c>
      <c r="GO26" s="1565">
        <v>0</v>
      </c>
      <c r="GP26" s="1566">
        <v>0</v>
      </c>
      <c r="GQ26" s="1566">
        <v>10</v>
      </c>
      <c r="GR26" s="1566">
        <v>6</v>
      </c>
      <c r="GS26" s="1566">
        <v>0</v>
      </c>
      <c r="GT26" s="1566">
        <v>0</v>
      </c>
      <c r="GU26" s="1566">
        <v>0</v>
      </c>
      <c r="GV26" s="1566">
        <v>2</v>
      </c>
      <c r="GW26" s="1566">
        <v>28</v>
      </c>
      <c r="GX26" s="1566">
        <v>0</v>
      </c>
      <c r="GY26" s="1566">
        <v>0</v>
      </c>
      <c r="GZ26" s="1567">
        <v>3</v>
      </c>
      <c r="HA26" s="1568">
        <f t="shared" si="33"/>
        <v>49</v>
      </c>
      <c r="HB26" s="1565">
        <v>0</v>
      </c>
      <c r="HC26" s="1566">
        <v>0</v>
      </c>
      <c r="HD26" s="1566">
        <v>0</v>
      </c>
      <c r="HE26" s="1566">
        <v>0</v>
      </c>
      <c r="HF26" s="1566">
        <v>30</v>
      </c>
      <c r="HG26" s="1566">
        <v>6</v>
      </c>
      <c r="HH26" s="1566">
        <v>3</v>
      </c>
      <c r="HI26" s="1566">
        <v>0</v>
      </c>
      <c r="HJ26" s="1566">
        <v>0</v>
      </c>
      <c r="HK26" s="1566">
        <v>0</v>
      </c>
      <c r="HL26" s="1566">
        <v>0</v>
      </c>
      <c r="HM26" s="1567">
        <v>5</v>
      </c>
      <c r="HN26" s="1568">
        <f t="shared" si="34"/>
        <v>44</v>
      </c>
      <c r="HO26" s="1565">
        <v>0</v>
      </c>
      <c r="HP26" s="1566">
        <v>0</v>
      </c>
      <c r="HQ26" s="1566">
        <v>0</v>
      </c>
      <c r="HR26" s="1566">
        <v>0</v>
      </c>
      <c r="HS26" s="1566">
        <v>0</v>
      </c>
      <c r="HT26" s="1566">
        <v>2</v>
      </c>
      <c r="HU26" s="1566">
        <v>0</v>
      </c>
      <c r="HV26" s="1566">
        <v>0</v>
      </c>
      <c r="HW26" s="1566">
        <v>0</v>
      </c>
      <c r="HX26" s="1566">
        <v>0</v>
      </c>
      <c r="HY26" s="1566">
        <v>1</v>
      </c>
      <c r="HZ26" s="1567">
        <v>0</v>
      </c>
      <c r="IA26" s="1565">
        <f t="shared" si="42"/>
        <v>3</v>
      </c>
      <c r="IB26" s="1569">
        <v>0</v>
      </c>
      <c r="IC26" s="1068">
        <v>0</v>
      </c>
      <c r="ID26" s="1068">
        <v>0</v>
      </c>
      <c r="IE26" s="1068">
        <v>0</v>
      </c>
      <c r="IF26" s="1068">
        <v>0</v>
      </c>
      <c r="IG26" s="1068">
        <v>0</v>
      </c>
      <c r="IH26" s="1068">
        <v>0</v>
      </c>
      <c r="II26" s="1068">
        <v>0</v>
      </c>
      <c r="IJ26" s="1068"/>
      <c r="IK26" s="1068"/>
      <c r="IL26" s="1068"/>
      <c r="IM26" s="1570"/>
      <c r="IN26" s="1571">
        <f t="shared" si="35"/>
        <v>0</v>
      </c>
      <c r="IO26"/>
      <c r="IP26" s="1656" t="str">
        <f t="shared" si="36"/>
        <v/>
      </c>
      <c r="IQ26" s="1656">
        <f t="shared" si="37"/>
        <v>-100</v>
      </c>
      <c r="IR26" s="1657">
        <f t="shared" si="38"/>
        <v>2</v>
      </c>
      <c r="IS26" s="1657">
        <f t="shared" si="39"/>
        <v>0</v>
      </c>
      <c r="IT26" s="1658"/>
      <c r="IU26" s="221">
        <f t="shared" si="40"/>
        <v>0</v>
      </c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</row>
    <row r="27" spans="1:280" s="105" customFormat="1" ht="15" customHeight="1" x14ac:dyDescent="0.2">
      <c r="A27" s="1551" t="s">
        <v>643</v>
      </c>
      <c r="B27" s="1565">
        <v>0</v>
      </c>
      <c r="C27" s="1566">
        <v>0</v>
      </c>
      <c r="D27" s="1566">
        <v>0</v>
      </c>
      <c r="E27" s="1566">
        <v>0</v>
      </c>
      <c r="F27" s="1566">
        <v>0</v>
      </c>
      <c r="G27" s="1566">
        <v>0</v>
      </c>
      <c r="H27" s="1566">
        <v>0</v>
      </c>
      <c r="I27" s="1566">
        <v>0</v>
      </c>
      <c r="J27" s="1566">
        <v>0</v>
      </c>
      <c r="K27" s="1566">
        <v>0</v>
      </c>
      <c r="L27" s="1566">
        <v>0</v>
      </c>
      <c r="M27" s="1567">
        <v>0</v>
      </c>
      <c r="N27" s="1568">
        <f t="shared" si="1"/>
        <v>0</v>
      </c>
      <c r="O27" s="1565">
        <v>2</v>
      </c>
      <c r="P27" s="1566">
        <v>3</v>
      </c>
      <c r="Q27" s="1566">
        <v>35</v>
      </c>
      <c r="R27" s="1566">
        <v>13</v>
      </c>
      <c r="S27" s="1566">
        <v>5</v>
      </c>
      <c r="T27" s="1566">
        <v>0</v>
      </c>
      <c r="U27" s="1566">
        <v>1</v>
      </c>
      <c r="V27" s="1566">
        <v>17</v>
      </c>
      <c r="W27" s="1566">
        <v>41</v>
      </c>
      <c r="X27" s="1566">
        <v>21</v>
      </c>
      <c r="Y27" s="1566">
        <v>12</v>
      </c>
      <c r="Z27" s="1567">
        <v>170</v>
      </c>
      <c r="AA27" s="1568">
        <f t="shared" si="3"/>
        <v>320</v>
      </c>
      <c r="AB27" s="1565">
        <v>1</v>
      </c>
      <c r="AC27" s="1566">
        <v>23</v>
      </c>
      <c r="AD27" s="1566">
        <v>36</v>
      </c>
      <c r="AE27" s="1566">
        <v>23</v>
      </c>
      <c r="AF27" s="1566">
        <v>47</v>
      </c>
      <c r="AG27" s="1566">
        <v>70</v>
      </c>
      <c r="AH27" s="1566">
        <v>68</v>
      </c>
      <c r="AI27" s="1566">
        <v>34</v>
      </c>
      <c r="AJ27" s="1566">
        <v>10</v>
      </c>
      <c r="AK27" s="1566">
        <v>0</v>
      </c>
      <c r="AL27" s="1566">
        <v>15</v>
      </c>
      <c r="AM27" s="1567">
        <v>47</v>
      </c>
      <c r="AN27" s="1568">
        <f t="shared" si="5"/>
        <v>374</v>
      </c>
      <c r="AO27" s="1565">
        <v>0</v>
      </c>
      <c r="AP27" s="1566">
        <v>0</v>
      </c>
      <c r="AQ27" s="1566">
        <v>5</v>
      </c>
      <c r="AR27" s="1566">
        <v>3</v>
      </c>
      <c r="AS27" s="1566">
        <v>1</v>
      </c>
      <c r="AT27" s="1566">
        <v>0</v>
      </c>
      <c r="AU27" s="1566">
        <v>0</v>
      </c>
      <c r="AV27" s="1566">
        <v>22</v>
      </c>
      <c r="AW27" s="1566">
        <v>21</v>
      </c>
      <c r="AX27" s="1566">
        <v>12</v>
      </c>
      <c r="AY27" s="1566">
        <v>13</v>
      </c>
      <c r="AZ27" s="1567">
        <v>-1</v>
      </c>
      <c r="BA27" s="1568">
        <f t="shared" si="7"/>
        <v>76</v>
      </c>
      <c r="BB27" s="1565">
        <v>0</v>
      </c>
      <c r="BC27" s="1566">
        <v>0</v>
      </c>
      <c r="BD27" s="1566">
        <v>9</v>
      </c>
      <c r="BE27" s="1566">
        <v>6</v>
      </c>
      <c r="BF27" s="1566">
        <v>0</v>
      </c>
      <c r="BG27" s="1566">
        <v>22</v>
      </c>
      <c r="BH27" s="1566">
        <v>32</v>
      </c>
      <c r="BI27" s="1566">
        <v>61</v>
      </c>
      <c r="BJ27" s="1566">
        <v>149</v>
      </c>
      <c r="BK27" s="1566">
        <v>267</v>
      </c>
      <c r="BL27" s="1566">
        <v>157</v>
      </c>
      <c r="BM27" s="1567">
        <v>168</v>
      </c>
      <c r="BN27" s="1568">
        <f>SUM(BB27:BM27)</f>
        <v>871</v>
      </c>
      <c r="BO27" s="1565">
        <v>11</v>
      </c>
      <c r="BP27" s="1566">
        <v>69</v>
      </c>
      <c r="BQ27" s="1566">
        <v>656</v>
      </c>
      <c r="BR27" s="1566">
        <v>1274</v>
      </c>
      <c r="BS27" s="1566">
        <v>88</v>
      </c>
      <c r="BT27" s="1566">
        <v>71</v>
      </c>
      <c r="BU27" s="1566">
        <v>19</v>
      </c>
      <c r="BV27" s="1566">
        <v>31</v>
      </c>
      <c r="BW27" s="1566">
        <v>7</v>
      </c>
      <c r="BX27" s="1566">
        <v>49</v>
      </c>
      <c r="BY27" s="1566">
        <v>256</v>
      </c>
      <c r="BZ27" s="1567">
        <v>1321</v>
      </c>
      <c r="CA27" s="1568">
        <f t="shared" si="11"/>
        <v>3852</v>
      </c>
      <c r="CB27" s="1565">
        <v>66</v>
      </c>
      <c r="CC27" s="1566">
        <v>127</v>
      </c>
      <c r="CD27" s="1566">
        <v>98</v>
      </c>
      <c r="CE27" s="1566">
        <v>289</v>
      </c>
      <c r="CF27" s="1566">
        <v>135</v>
      </c>
      <c r="CG27" s="1566">
        <v>105</v>
      </c>
      <c r="CH27" s="1566">
        <v>29</v>
      </c>
      <c r="CI27" s="1566">
        <v>85</v>
      </c>
      <c r="CJ27" s="1566">
        <v>7</v>
      </c>
      <c r="CK27" s="1566">
        <v>10</v>
      </c>
      <c r="CL27" s="1566">
        <v>0</v>
      </c>
      <c r="CM27" s="1567">
        <v>9</v>
      </c>
      <c r="CN27" s="1568">
        <f t="shared" si="13"/>
        <v>960</v>
      </c>
      <c r="CO27" s="1565">
        <v>0</v>
      </c>
      <c r="CP27" s="1566">
        <v>61</v>
      </c>
      <c r="CQ27" s="1566">
        <v>291</v>
      </c>
      <c r="CR27" s="1566">
        <v>125</v>
      </c>
      <c r="CS27" s="1566">
        <v>437</v>
      </c>
      <c r="CT27" s="1566">
        <v>97</v>
      </c>
      <c r="CU27" s="1566">
        <v>236</v>
      </c>
      <c r="CV27" s="1566">
        <v>139</v>
      </c>
      <c r="CW27" s="1566">
        <v>109</v>
      </c>
      <c r="CX27" s="1566">
        <v>78</v>
      </c>
      <c r="CY27" s="1566">
        <v>209</v>
      </c>
      <c r="CZ27" s="1567">
        <v>499</v>
      </c>
      <c r="DA27" s="1568">
        <f t="shared" si="15"/>
        <v>2281</v>
      </c>
      <c r="DB27" s="1565">
        <v>23</v>
      </c>
      <c r="DC27" s="1566">
        <v>38</v>
      </c>
      <c r="DD27" s="1566">
        <v>14</v>
      </c>
      <c r="DE27" s="1566">
        <v>21</v>
      </c>
      <c r="DF27" s="1566">
        <v>27</v>
      </c>
      <c r="DG27" s="1566">
        <v>56</v>
      </c>
      <c r="DH27" s="1566">
        <v>44</v>
      </c>
      <c r="DI27" s="1566">
        <v>6</v>
      </c>
      <c r="DJ27" s="1566">
        <v>22</v>
      </c>
      <c r="DK27" s="1566">
        <v>30</v>
      </c>
      <c r="DL27" s="1566">
        <v>15</v>
      </c>
      <c r="DM27" s="1567">
        <v>62</v>
      </c>
      <c r="DN27" s="1568">
        <f t="shared" si="27"/>
        <v>358</v>
      </c>
      <c r="DO27" s="1565">
        <v>0</v>
      </c>
      <c r="DP27" s="1566">
        <v>20</v>
      </c>
      <c r="DQ27" s="1566">
        <v>3</v>
      </c>
      <c r="DR27" s="1566">
        <v>4</v>
      </c>
      <c r="DS27" s="1566">
        <v>5</v>
      </c>
      <c r="DT27" s="1566">
        <v>20</v>
      </c>
      <c r="DU27" s="1566">
        <v>27</v>
      </c>
      <c r="DV27" s="1566">
        <v>3</v>
      </c>
      <c r="DW27" s="1566">
        <v>3</v>
      </c>
      <c r="DX27" s="1566">
        <v>42</v>
      </c>
      <c r="DY27" s="1566">
        <v>0</v>
      </c>
      <c r="DZ27" s="1567">
        <v>1</v>
      </c>
      <c r="EA27" s="1568">
        <f t="shared" si="28"/>
        <v>128</v>
      </c>
      <c r="EB27" s="1565">
        <v>0</v>
      </c>
      <c r="EC27" s="1566">
        <v>10</v>
      </c>
      <c r="ED27" s="1566">
        <v>224</v>
      </c>
      <c r="EE27" s="1566">
        <v>180</v>
      </c>
      <c r="EF27" s="1566">
        <v>178</v>
      </c>
      <c r="EG27" s="1566">
        <v>155</v>
      </c>
      <c r="EH27" s="1566">
        <v>70</v>
      </c>
      <c r="EI27" s="1566">
        <v>69</v>
      </c>
      <c r="EJ27" s="1566">
        <v>62</v>
      </c>
      <c r="EK27" s="1566">
        <v>37</v>
      </c>
      <c r="EL27" s="1566">
        <v>45</v>
      </c>
      <c r="EM27" s="1567">
        <v>1</v>
      </c>
      <c r="EN27" s="1568">
        <f t="shared" si="29"/>
        <v>1031</v>
      </c>
      <c r="EO27" s="1565">
        <v>0</v>
      </c>
      <c r="EP27" s="1566">
        <v>17</v>
      </c>
      <c r="EQ27" s="1566">
        <v>43</v>
      </c>
      <c r="ER27" s="1566">
        <v>352</v>
      </c>
      <c r="ES27" s="1566">
        <v>40</v>
      </c>
      <c r="ET27" s="1566">
        <v>-201</v>
      </c>
      <c r="EU27" s="1566">
        <v>151</v>
      </c>
      <c r="EV27" s="1566">
        <v>105</v>
      </c>
      <c r="EW27" s="1566">
        <v>46</v>
      </c>
      <c r="EX27" s="1566">
        <v>55</v>
      </c>
      <c r="EY27" s="1566">
        <v>59</v>
      </c>
      <c r="EZ27" s="1567">
        <v>411</v>
      </c>
      <c r="FA27" s="1568">
        <f t="shared" si="30"/>
        <v>1078</v>
      </c>
      <c r="FB27" s="1565">
        <v>16</v>
      </c>
      <c r="FC27" s="1566">
        <v>9</v>
      </c>
      <c r="FD27" s="1566">
        <v>40</v>
      </c>
      <c r="FE27" s="1566">
        <v>26</v>
      </c>
      <c r="FF27" s="1566">
        <v>3</v>
      </c>
      <c r="FG27" s="1566">
        <v>18</v>
      </c>
      <c r="FH27" s="1566">
        <v>401</v>
      </c>
      <c r="FI27" s="1566">
        <v>9</v>
      </c>
      <c r="FJ27" s="1566">
        <v>3</v>
      </c>
      <c r="FK27" s="1566">
        <v>34</v>
      </c>
      <c r="FL27" s="1566">
        <v>2</v>
      </c>
      <c r="FM27" s="1567">
        <v>19</v>
      </c>
      <c r="FN27" s="1568">
        <f t="shared" si="41"/>
        <v>580</v>
      </c>
      <c r="FO27" s="1565">
        <v>0</v>
      </c>
      <c r="FP27" s="1566">
        <v>58</v>
      </c>
      <c r="FQ27" s="1566">
        <v>0</v>
      </c>
      <c r="FR27" s="1566">
        <v>0</v>
      </c>
      <c r="FS27" s="1566">
        <v>1</v>
      </c>
      <c r="FT27" s="1566">
        <v>211</v>
      </c>
      <c r="FU27" s="1566">
        <v>6</v>
      </c>
      <c r="FV27" s="1566">
        <v>80</v>
      </c>
      <c r="FW27" s="1566">
        <v>184</v>
      </c>
      <c r="FX27" s="1566">
        <v>56</v>
      </c>
      <c r="FY27" s="1566">
        <v>1348</v>
      </c>
      <c r="FZ27" s="1567">
        <v>343</v>
      </c>
      <c r="GA27" s="1568">
        <f t="shared" si="31"/>
        <v>2287</v>
      </c>
      <c r="GB27" s="1565">
        <v>0</v>
      </c>
      <c r="GC27" s="1566">
        <v>585</v>
      </c>
      <c r="GD27" s="1566">
        <v>937</v>
      </c>
      <c r="GE27" s="1566">
        <v>232</v>
      </c>
      <c r="GF27" s="1566">
        <v>626</v>
      </c>
      <c r="GG27" s="1566">
        <v>536</v>
      </c>
      <c r="GH27" s="1566">
        <v>526</v>
      </c>
      <c r="GI27" s="1566">
        <v>827</v>
      </c>
      <c r="GJ27" s="1566">
        <v>712</v>
      </c>
      <c r="GK27" s="1566">
        <v>424</v>
      </c>
      <c r="GL27" s="1566">
        <v>525</v>
      </c>
      <c r="GM27" s="1567">
        <v>568</v>
      </c>
      <c r="GN27" s="1568">
        <f t="shared" si="32"/>
        <v>6498</v>
      </c>
      <c r="GO27" s="1565">
        <v>0</v>
      </c>
      <c r="GP27" s="1566">
        <v>395</v>
      </c>
      <c r="GQ27" s="1566">
        <v>258</v>
      </c>
      <c r="GR27" s="1566">
        <v>207</v>
      </c>
      <c r="GS27" s="1566">
        <v>335</v>
      </c>
      <c r="GT27" s="1566">
        <v>573</v>
      </c>
      <c r="GU27" s="1566">
        <v>0</v>
      </c>
      <c r="GV27" s="1566">
        <v>35</v>
      </c>
      <c r="GW27" s="1566">
        <v>74</v>
      </c>
      <c r="GX27" s="1566">
        <v>2</v>
      </c>
      <c r="GY27" s="1566">
        <v>45</v>
      </c>
      <c r="GZ27" s="1567">
        <v>148</v>
      </c>
      <c r="HA27" s="1568">
        <f t="shared" si="33"/>
        <v>2072</v>
      </c>
      <c r="HB27" s="1565">
        <v>10</v>
      </c>
      <c r="HC27" s="1566">
        <v>19</v>
      </c>
      <c r="HD27" s="1566">
        <v>7</v>
      </c>
      <c r="HE27" s="1566">
        <v>19</v>
      </c>
      <c r="HF27" s="1566">
        <v>1</v>
      </c>
      <c r="HG27" s="1566">
        <v>23</v>
      </c>
      <c r="HH27" s="1566">
        <v>13</v>
      </c>
      <c r="HI27" s="1566">
        <v>50</v>
      </c>
      <c r="HJ27" s="1566">
        <v>44</v>
      </c>
      <c r="HK27" s="1566">
        <v>0</v>
      </c>
      <c r="HL27" s="1566">
        <v>0</v>
      </c>
      <c r="HM27" s="1567">
        <v>30</v>
      </c>
      <c r="HN27" s="1568">
        <f t="shared" si="34"/>
        <v>216</v>
      </c>
      <c r="HO27" s="1565">
        <v>0</v>
      </c>
      <c r="HP27" s="1566">
        <v>6</v>
      </c>
      <c r="HQ27" s="1566">
        <v>36</v>
      </c>
      <c r="HR27" s="1566">
        <v>1</v>
      </c>
      <c r="HS27" s="1566">
        <v>11</v>
      </c>
      <c r="HT27" s="1566">
        <v>4</v>
      </c>
      <c r="HU27" s="1566">
        <v>9</v>
      </c>
      <c r="HV27" s="1566">
        <v>41</v>
      </c>
      <c r="HW27" s="1566">
        <v>4</v>
      </c>
      <c r="HX27" s="1566">
        <v>4</v>
      </c>
      <c r="HY27" s="1566">
        <v>39</v>
      </c>
      <c r="HZ27" s="1567">
        <v>343</v>
      </c>
      <c r="IA27" s="1565">
        <f t="shared" si="42"/>
        <v>498</v>
      </c>
      <c r="IB27" s="1569">
        <v>0</v>
      </c>
      <c r="IC27" s="1068">
        <v>0</v>
      </c>
      <c r="ID27" s="1068">
        <v>13</v>
      </c>
      <c r="IE27" s="1068">
        <v>164</v>
      </c>
      <c r="IF27" s="1068">
        <v>104</v>
      </c>
      <c r="IG27" s="1068">
        <v>4</v>
      </c>
      <c r="IH27" s="1068">
        <v>7</v>
      </c>
      <c r="II27" s="1068">
        <v>46</v>
      </c>
      <c r="IJ27" s="1068"/>
      <c r="IK27" s="1068"/>
      <c r="IL27" s="1068"/>
      <c r="IM27" s="1570"/>
      <c r="IN27" s="1571">
        <f t="shared" si="35"/>
        <v>338</v>
      </c>
      <c r="IO27"/>
      <c r="IP27" s="1656">
        <f t="shared" si="36"/>
        <v>12.195121951219523</v>
      </c>
      <c r="IQ27" s="1656">
        <f t="shared" si="37"/>
        <v>212.96296296296299</v>
      </c>
      <c r="IR27" s="1657">
        <f t="shared" si="38"/>
        <v>108</v>
      </c>
      <c r="IS27" s="1657">
        <f t="shared" si="39"/>
        <v>338</v>
      </c>
      <c r="IT27" s="1658"/>
      <c r="IU27" s="221">
        <f t="shared" si="40"/>
        <v>5</v>
      </c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</row>
    <row r="28" spans="1:280" s="105" customFormat="1" ht="15" customHeight="1" x14ac:dyDescent="0.2">
      <c r="A28" s="1551" t="s">
        <v>644</v>
      </c>
      <c r="B28" s="1565">
        <v>88</v>
      </c>
      <c r="C28" s="1566">
        <v>124</v>
      </c>
      <c r="D28" s="1566">
        <v>57</v>
      </c>
      <c r="E28" s="1566">
        <v>117</v>
      </c>
      <c r="F28" s="1566">
        <v>82</v>
      </c>
      <c r="G28" s="1566">
        <v>133</v>
      </c>
      <c r="H28" s="1566">
        <v>73</v>
      </c>
      <c r="I28" s="1566">
        <v>0</v>
      </c>
      <c r="J28" s="1566">
        <v>80</v>
      </c>
      <c r="K28" s="1566">
        <v>133</v>
      </c>
      <c r="L28" s="1566">
        <v>320</v>
      </c>
      <c r="M28" s="1567">
        <v>253</v>
      </c>
      <c r="N28" s="1568">
        <f t="shared" si="1"/>
        <v>1460</v>
      </c>
      <c r="O28" s="1565">
        <v>43</v>
      </c>
      <c r="P28" s="1566">
        <v>30</v>
      </c>
      <c r="Q28" s="1566">
        <v>63</v>
      </c>
      <c r="R28" s="1566">
        <v>53</v>
      </c>
      <c r="S28" s="1566">
        <v>90</v>
      </c>
      <c r="T28" s="1566">
        <v>111</v>
      </c>
      <c r="U28" s="1566">
        <v>436</v>
      </c>
      <c r="V28" s="1566">
        <v>669</v>
      </c>
      <c r="W28" s="1566">
        <v>754</v>
      </c>
      <c r="X28" s="1566">
        <v>334</v>
      </c>
      <c r="Y28" s="1566">
        <v>253</v>
      </c>
      <c r="Z28" s="1567">
        <v>972</v>
      </c>
      <c r="AA28" s="1568">
        <f t="shared" si="3"/>
        <v>3808</v>
      </c>
      <c r="AB28" s="1565">
        <v>11</v>
      </c>
      <c r="AC28" s="1566">
        <v>42</v>
      </c>
      <c r="AD28" s="1566">
        <v>88</v>
      </c>
      <c r="AE28" s="1566">
        <v>1115</v>
      </c>
      <c r="AF28" s="1566">
        <v>168</v>
      </c>
      <c r="AG28" s="1566">
        <v>953</v>
      </c>
      <c r="AH28" s="1566">
        <v>859</v>
      </c>
      <c r="AI28" s="1566">
        <v>429</v>
      </c>
      <c r="AJ28" s="1566">
        <v>272</v>
      </c>
      <c r="AK28" s="1566">
        <v>586</v>
      </c>
      <c r="AL28" s="1566">
        <v>171</v>
      </c>
      <c r="AM28" s="1567">
        <v>655</v>
      </c>
      <c r="AN28" s="1568">
        <f t="shared" si="5"/>
        <v>5349</v>
      </c>
      <c r="AO28" s="1565">
        <v>0</v>
      </c>
      <c r="AP28" s="1566">
        <v>29</v>
      </c>
      <c r="AQ28" s="1566">
        <v>207</v>
      </c>
      <c r="AR28" s="1566">
        <v>277</v>
      </c>
      <c r="AS28" s="1566">
        <v>140</v>
      </c>
      <c r="AT28" s="1566">
        <v>161</v>
      </c>
      <c r="AU28" s="1566">
        <v>220</v>
      </c>
      <c r="AV28" s="1566">
        <v>301</v>
      </c>
      <c r="AW28" s="1566">
        <v>527</v>
      </c>
      <c r="AX28" s="1566">
        <v>522</v>
      </c>
      <c r="AY28" s="1566">
        <v>431</v>
      </c>
      <c r="AZ28" s="1567">
        <v>1666</v>
      </c>
      <c r="BA28" s="1568">
        <f t="shared" si="7"/>
        <v>4481</v>
      </c>
      <c r="BB28" s="1565">
        <v>69</v>
      </c>
      <c r="BC28" s="1566">
        <v>152</v>
      </c>
      <c r="BD28" s="1566">
        <v>316</v>
      </c>
      <c r="BE28" s="1566">
        <v>326</v>
      </c>
      <c r="BF28" s="1566">
        <v>1252</v>
      </c>
      <c r="BG28" s="1566">
        <v>343</v>
      </c>
      <c r="BH28" s="1566">
        <v>1230</v>
      </c>
      <c r="BI28" s="1566">
        <v>1149</v>
      </c>
      <c r="BJ28" s="1566">
        <v>2402</v>
      </c>
      <c r="BK28" s="1566">
        <v>1057</v>
      </c>
      <c r="BL28" s="1566">
        <v>4010</v>
      </c>
      <c r="BM28" s="1567">
        <v>2863</v>
      </c>
      <c r="BN28" s="1568">
        <f>SUM(BB28:BM28)</f>
        <v>15169</v>
      </c>
      <c r="BO28" s="1565">
        <v>135</v>
      </c>
      <c r="BP28" s="1566">
        <v>944</v>
      </c>
      <c r="BQ28" s="1566">
        <v>2352</v>
      </c>
      <c r="BR28" s="1566">
        <v>2828</v>
      </c>
      <c r="BS28" s="1566">
        <v>795</v>
      </c>
      <c r="BT28" s="1566">
        <v>837</v>
      </c>
      <c r="BU28" s="1566">
        <v>1345</v>
      </c>
      <c r="BV28" s="1566">
        <v>908</v>
      </c>
      <c r="BW28" s="1566">
        <v>4575</v>
      </c>
      <c r="BX28" s="1566">
        <v>1082</v>
      </c>
      <c r="BY28" s="1566">
        <v>1379</v>
      </c>
      <c r="BZ28" s="1567">
        <v>2359</v>
      </c>
      <c r="CA28" s="1568">
        <f t="shared" si="11"/>
        <v>19539</v>
      </c>
      <c r="CB28" s="1565">
        <v>294</v>
      </c>
      <c r="CC28" s="1566">
        <v>151</v>
      </c>
      <c r="CD28" s="1566">
        <v>1892</v>
      </c>
      <c r="CE28" s="1566">
        <v>697</v>
      </c>
      <c r="CF28" s="1566">
        <v>1076</v>
      </c>
      <c r="CG28" s="1566">
        <v>615</v>
      </c>
      <c r="CH28" s="1566">
        <v>512</v>
      </c>
      <c r="CI28" s="1566">
        <v>692</v>
      </c>
      <c r="CJ28" s="1566">
        <v>909</v>
      </c>
      <c r="CK28" s="1566">
        <v>3489</v>
      </c>
      <c r="CL28" s="1566">
        <v>4353</v>
      </c>
      <c r="CM28" s="1567">
        <v>2721</v>
      </c>
      <c r="CN28" s="1568">
        <f t="shared" si="13"/>
        <v>17401</v>
      </c>
      <c r="CO28" s="1565">
        <v>116</v>
      </c>
      <c r="CP28" s="1566">
        <v>899</v>
      </c>
      <c r="CQ28" s="1566">
        <v>1049</v>
      </c>
      <c r="CR28" s="1566">
        <v>1313</v>
      </c>
      <c r="CS28" s="1566">
        <v>875</v>
      </c>
      <c r="CT28" s="1566">
        <v>537</v>
      </c>
      <c r="CU28" s="1566">
        <v>975</v>
      </c>
      <c r="CV28" s="1566">
        <v>575</v>
      </c>
      <c r="CW28" s="1566">
        <v>1927</v>
      </c>
      <c r="CX28" s="1566">
        <v>2071</v>
      </c>
      <c r="CY28" s="1566">
        <v>2705</v>
      </c>
      <c r="CZ28" s="1567">
        <v>9349</v>
      </c>
      <c r="DA28" s="1568">
        <f t="shared" si="15"/>
        <v>22391</v>
      </c>
      <c r="DB28" s="1565">
        <v>458</v>
      </c>
      <c r="DC28" s="1566">
        <v>527</v>
      </c>
      <c r="DD28" s="1566">
        <v>1473</v>
      </c>
      <c r="DE28" s="1566">
        <v>2829</v>
      </c>
      <c r="DF28" s="1566">
        <v>1232</v>
      </c>
      <c r="DG28" s="1566">
        <v>1603</v>
      </c>
      <c r="DH28" s="1566">
        <v>1242</v>
      </c>
      <c r="DI28" s="1566">
        <v>788</v>
      </c>
      <c r="DJ28" s="1566">
        <v>4386</v>
      </c>
      <c r="DK28" s="1566">
        <v>1426</v>
      </c>
      <c r="DL28" s="1566">
        <v>2913</v>
      </c>
      <c r="DM28" s="1567">
        <v>4893</v>
      </c>
      <c r="DN28" s="1568">
        <f t="shared" si="27"/>
        <v>23770</v>
      </c>
      <c r="DO28" s="1565">
        <v>176</v>
      </c>
      <c r="DP28" s="1566">
        <v>466</v>
      </c>
      <c r="DQ28" s="1566">
        <v>1321</v>
      </c>
      <c r="DR28" s="1566">
        <v>605</v>
      </c>
      <c r="DS28" s="1566">
        <v>319</v>
      </c>
      <c r="DT28" s="1566">
        <v>923</v>
      </c>
      <c r="DU28" s="1566">
        <v>702</v>
      </c>
      <c r="DV28" s="1566">
        <v>286</v>
      </c>
      <c r="DW28" s="1566">
        <v>1387</v>
      </c>
      <c r="DX28" s="1566">
        <v>544</v>
      </c>
      <c r="DY28" s="1566">
        <v>718</v>
      </c>
      <c r="DZ28" s="1567">
        <v>1712</v>
      </c>
      <c r="EA28" s="1568">
        <f t="shared" si="28"/>
        <v>9159</v>
      </c>
      <c r="EB28" s="1565">
        <v>149</v>
      </c>
      <c r="EC28" s="1566">
        <v>319</v>
      </c>
      <c r="ED28" s="1566">
        <v>485</v>
      </c>
      <c r="EE28" s="1566">
        <v>1689</v>
      </c>
      <c r="EF28" s="1566">
        <v>988</v>
      </c>
      <c r="EG28" s="1566">
        <v>1098</v>
      </c>
      <c r="EH28" s="1566">
        <v>885</v>
      </c>
      <c r="EI28" s="1566">
        <v>1875</v>
      </c>
      <c r="EJ28" s="1566">
        <v>1768</v>
      </c>
      <c r="EK28" s="1566">
        <v>2719</v>
      </c>
      <c r="EL28" s="1566">
        <v>2283</v>
      </c>
      <c r="EM28" s="1567">
        <v>2909</v>
      </c>
      <c r="EN28" s="1568">
        <f t="shared" si="29"/>
        <v>17167</v>
      </c>
      <c r="EO28" s="1565"/>
      <c r="EP28" s="1566">
        <v>57</v>
      </c>
      <c r="EQ28" s="1566">
        <v>333</v>
      </c>
      <c r="ER28" s="1566">
        <v>166</v>
      </c>
      <c r="ES28" s="1566">
        <v>163</v>
      </c>
      <c r="ET28" s="1566">
        <v>1222</v>
      </c>
      <c r="EU28" s="1566">
        <v>2021</v>
      </c>
      <c r="EV28" s="1566">
        <v>1361</v>
      </c>
      <c r="EW28" s="1566">
        <v>1545</v>
      </c>
      <c r="EX28" s="1566">
        <v>3674</v>
      </c>
      <c r="EY28" s="1566">
        <v>2681</v>
      </c>
      <c r="EZ28" s="1567">
        <v>3599</v>
      </c>
      <c r="FA28" s="1568">
        <f t="shared" si="30"/>
        <v>16822</v>
      </c>
      <c r="FB28" s="1565">
        <v>459</v>
      </c>
      <c r="FC28" s="1566">
        <v>673</v>
      </c>
      <c r="FD28" s="1566">
        <v>1637</v>
      </c>
      <c r="FE28" s="1566">
        <v>598</v>
      </c>
      <c r="FF28" s="1566">
        <v>102</v>
      </c>
      <c r="FG28" s="1566">
        <v>94</v>
      </c>
      <c r="FH28" s="1566">
        <v>1016</v>
      </c>
      <c r="FI28" s="1566">
        <v>540</v>
      </c>
      <c r="FJ28" s="1566">
        <v>4730</v>
      </c>
      <c r="FK28" s="1566">
        <v>11434</v>
      </c>
      <c r="FL28" s="1566">
        <v>13837</v>
      </c>
      <c r="FM28" s="1567">
        <v>30962</v>
      </c>
      <c r="FN28" s="1568">
        <f t="shared" si="41"/>
        <v>66082</v>
      </c>
      <c r="FO28" s="1565">
        <v>1549</v>
      </c>
      <c r="FP28" s="1566">
        <v>5231</v>
      </c>
      <c r="FQ28" s="1566">
        <v>16189</v>
      </c>
      <c r="FR28" s="1566">
        <v>6182</v>
      </c>
      <c r="FS28" s="1566">
        <v>10184</v>
      </c>
      <c r="FT28" s="1566">
        <v>8273</v>
      </c>
      <c r="FU28" s="1566">
        <v>7916</v>
      </c>
      <c r="FV28" s="1566">
        <v>7193</v>
      </c>
      <c r="FW28" s="1566">
        <v>6230</v>
      </c>
      <c r="FX28" s="1566">
        <v>7562</v>
      </c>
      <c r="FY28" s="1566">
        <v>8960</v>
      </c>
      <c r="FZ28" s="1567">
        <v>13724</v>
      </c>
      <c r="GA28" s="1568">
        <f t="shared" si="31"/>
        <v>99193</v>
      </c>
      <c r="GB28" s="1565">
        <v>1220</v>
      </c>
      <c r="GC28" s="1566">
        <v>2396</v>
      </c>
      <c r="GD28" s="1566">
        <v>9513</v>
      </c>
      <c r="GE28" s="1566">
        <v>3276</v>
      </c>
      <c r="GF28" s="1566">
        <v>4097</v>
      </c>
      <c r="GG28" s="1566">
        <v>4915</v>
      </c>
      <c r="GH28" s="1566">
        <v>2612</v>
      </c>
      <c r="GI28" s="1566">
        <v>8610</v>
      </c>
      <c r="GJ28" s="1566">
        <v>4618</v>
      </c>
      <c r="GK28" s="1566">
        <v>6376</v>
      </c>
      <c r="GL28" s="1566">
        <v>5262</v>
      </c>
      <c r="GM28" s="1567">
        <v>10702</v>
      </c>
      <c r="GN28" s="1568">
        <f t="shared" si="32"/>
        <v>63597</v>
      </c>
      <c r="GO28" s="1565">
        <v>1340</v>
      </c>
      <c r="GP28" s="1566">
        <v>1629</v>
      </c>
      <c r="GQ28" s="1566">
        <v>4466</v>
      </c>
      <c r="GR28" s="1566">
        <v>3123</v>
      </c>
      <c r="GS28" s="1566">
        <v>1243</v>
      </c>
      <c r="GT28" s="1566">
        <v>1593</v>
      </c>
      <c r="GU28" s="1566">
        <v>1669</v>
      </c>
      <c r="GV28" s="1566">
        <v>2353</v>
      </c>
      <c r="GW28" s="1566">
        <v>761</v>
      </c>
      <c r="GX28" s="1566">
        <v>2117</v>
      </c>
      <c r="GY28" s="1566">
        <v>6012</v>
      </c>
      <c r="GZ28" s="1567">
        <v>4532</v>
      </c>
      <c r="HA28" s="1568">
        <f t="shared" si="33"/>
        <v>30838</v>
      </c>
      <c r="HB28" s="1565">
        <v>567</v>
      </c>
      <c r="HC28" s="1566">
        <v>1351</v>
      </c>
      <c r="HD28" s="1566">
        <v>1730</v>
      </c>
      <c r="HE28" s="1566">
        <v>3931</v>
      </c>
      <c r="HF28" s="1566">
        <v>3758</v>
      </c>
      <c r="HG28" s="1566">
        <v>721</v>
      </c>
      <c r="HH28" s="1566">
        <v>4665</v>
      </c>
      <c r="HI28" s="1566">
        <v>3016</v>
      </c>
      <c r="HJ28" s="1566">
        <v>1416</v>
      </c>
      <c r="HK28" s="1566">
        <v>2627</v>
      </c>
      <c r="HL28" s="1566">
        <v>2734</v>
      </c>
      <c r="HM28" s="1567">
        <v>3524</v>
      </c>
      <c r="HN28" s="1568">
        <f t="shared" si="34"/>
        <v>30040</v>
      </c>
      <c r="HO28" s="1565">
        <v>1070</v>
      </c>
      <c r="HP28" s="1566">
        <v>2133</v>
      </c>
      <c r="HQ28" s="1566">
        <v>4208</v>
      </c>
      <c r="HR28" s="1566">
        <v>5460</v>
      </c>
      <c r="HS28" s="1566">
        <v>5368</v>
      </c>
      <c r="HT28" s="1566">
        <v>5380</v>
      </c>
      <c r="HU28" s="1566">
        <v>6517</v>
      </c>
      <c r="HV28" s="1566">
        <v>6960</v>
      </c>
      <c r="HW28" s="1566">
        <v>7943</v>
      </c>
      <c r="HX28" s="1566">
        <v>6929</v>
      </c>
      <c r="HY28" s="1566">
        <v>4791</v>
      </c>
      <c r="HZ28" s="1567">
        <v>6722</v>
      </c>
      <c r="IA28" s="1565">
        <f t="shared" si="42"/>
        <v>63481</v>
      </c>
      <c r="IB28" s="1569">
        <v>6812</v>
      </c>
      <c r="IC28" s="1068">
        <v>2476</v>
      </c>
      <c r="ID28" s="1068">
        <v>4069</v>
      </c>
      <c r="IE28" s="1068">
        <v>7007</v>
      </c>
      <c r="IF28" s="1068">
        <v>7667</v>
      </c>
      <c r="IG28" s="1068">
        <v>5778</v>
      </c>
      <c r="IH28" s="1068">
        <v>7676</v>
      </c>
      <c r="II28" s="1068">
        <v>8832</v>
      </c>
      <c r="IJ28" s="1068"/>
      <c r="IK28" s="1068"/>
      <c r="IL28" s="1068"/>
      <c r="IM28" s="1570"/>
      <c r="IN28" s="1571">
        <f t="shared" si="35"/>
        <v>50317</v>
      </c>
      <c r="IO28"/>
      <c r="IP28" s="1656">
        <f t="shared" si="36"/>
        <v>26.896551724137939</v>
      </c>
      <c r="IQ28" s="1656">
        <f t="shared" si="37"/>
        <v>35.639961181798576</v>
      </c>
      <c r="IR28" s="1657">
        <f t="shared" si="38"/>
        <v>37096</v>
      </c>
      <c r="IS28" s="1657">
        <f t="shared" si="39"/>
        <v>50317</v>
      </c>
      <c r="IT28" s="1658"/>
      <c r="IU28" s="221">
        <f t="shared" si="40"/>
        <v>1872</v>
      </c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</row>
    <row r="29" spans="1:280" s="105" customFormat="1" ht="15" customHeight="1" x14ac:dyDescent="0.2">
      <c r="A29" s="342"/>
      <c r="B29" s="1565"/>
      <c r="C29" s="1566"/>
      <c r="D29" s="1566"/>
      <c r="E29" s="1566"/>
      <c r="F29" s="1566"/>
      <c r="G29" s="1566"/>
      <c r="H29" s="1566"/>
      <c r="I29" s="1566"/>
      <c r="J29" s="1566"/>
      <c r="K29" s="1566"/>
      <c r="L29" s="1566"/>
      <c r="M29" s="1567"/>
      <c r="N29" s="1568"/>
      <c r="O29" s="1565"/>
      <c r="P29" s="1566"/>
      <c r="Q29" s="1566"/>
      <c r="R29" s="1566"/>
      <c r="S29" s="1566"/>
      <c r="T29" s="1566"/>
      <c r="U29" s="1566"/>
      <c r="V29" s="1566"/>
      <c r="W29" s="1566"/>
      <c r="X29" s="1566"/>
      <c r="Y29" s="1566"/>
      <c r="Z29" s="1567"/>
      <c r="AA29" s="1568"/>
      <c r="AB29" s="1565"/>
      <c r="AC29" s="1566"/>
      <c r="AD29" s="1566"/>
      <c r="AE29" s="1566"/>
      <c r="AF29" s="1566"/>
      <c r="AG29" s="1566"/>
      <c r="AH29" s="1566"/>
      <c r="AI29" s="1566"/>
      <c r="AJ29" s="1566"/>
      <c r="AK29" s="1566"/>
      <c r="AL29" s="1566"/>
      <c r="AM29" s="1567"/>
      <c r="AN29" s="1568"/>
      <c r="AO29" s="1565"/>
      <c r="AP29" s="1566"/>
      <c r="AQ29" s="1566"/>
      <c r="AR29" s="1566"/>
      <c r="AS29" s="1566"/>
      <c r="AT29" s="1566"/>
      <c r="AU29" s="1566"/>
      <c r="AV29" s="1566"/>
      <c r="AW29" s="1566"/>
      <c r="AX29" s="1566"/>
      <c r="AY29" s="1566"/>
      <c r="AZ29" s="1567"/>
      <c r="BA29" s="1568"/>
      <c r="BB29" s="1565"/>
      <c r="BC29" s="1566"/>
      <c r="BD29" s="1566"/>
      <c r="BE29" s="1566"/>
      <c r="BF29" s="1566"/>
      <c r="BG29" s="1566"/>
      <c r="BH29" s="1566"/>
      <c r="BI29" s="1566"/>
      <c r="BJ29" s="1566"/>
      <c r="BK29" s="1566"/>
      <c r="BL29" s="1566"/>
      <c r="BM29" s="1567"/>
      <c r="BN29" s="1568"/>
      <c r="BO29" s="1565"/>
      <c r="BP29" s="1566"/>
      <c r="BQ29" s="1566"/>
      <c r="BR29" s="1566"/>
      <c r="BS29" s="1566"/>
      <c r="BT29" s="1566"/>
      <c r="BU29" s="1566"/>
      <c r="BV29" s="1566"/>
      <c r="BW29" s="1566"/>
      <c r="BX29" s="1566"/>
      <c r="BY29" s="1566"/>
      <c r="BZ29" s="1567"/>
      <c r="CA29" s="1568"/>
      <c r="CB29" s="1565"/>
      <c r="CC29" s="1566"/>
      <c r="CD29" s="1566"/>
      <c r="CE29" s="1566"/>
      <c r="CF29" s="1566"/>
      <c r="CG29" s="1566"/>
      <c r="CH29" s="1566"/>
      <c r="CI29" s="1566"/>
      <c r="CJ29" s="1566"/>
      <c r="CK29" s="1566"/>
      <c r="CL29" s="1566"/>
      <c r="CM29" s="1567"/>
      <c r="CN29" s="1568"/>
      <c r="CO29" s="1565"/>
      <c r="CP29" s="1566"/>
      <c r="CQ29" s="1566"/>
      <c r="CR29" s="1566"/>
      <c r="CS29" s="1566"/>
      <c r="CT29" s="1566"/>
      <c r="CU29" s="1566"/>
      <c r="CV29" s="1566"/>
      <c r="CW29" s="1566"/>
      <c r="CX29" s="1566"/>
      <c r="CY29" s="1566"/>
      <c r="CZ29" s="1567"/>
      <c r="DA29" s="1568"/>
      <c r="DB29" s="1565"/>
      <c r="DC29" s="1566"/>
      <c r="DD29" s="1566"/>
      <c r="DE29" s="1566"/>
      <c r="DF29" s="1566"/>
      <c r="DG29" s="1566"/>
      <c r="DH29" s="1566"/>
      <c r="DI29" s="1566"/>
      <c r="DJ29" s="1566"/>
      <c r="DK29" s="1566"/>
      <c r="DL29" s="1566"/>
      <c r="DM29" s="1567"/>
      <c r="DN29" s="1568"/>
      <c r="DO29" s="1565"/>
      <c r="DP29" s="1566"/>
      <c r="DQ29" s="1566"/>
      <c r="DR29" s="1566"/>
      <c r="DS29" s="1566"/>
      <c r="DT29" s="1566"/>
      <c r="DU29" s="1566"/>
      <c r="DV29" s="1566"/>
      <c r="DW29" s="1566"/>
      <c r="DX29" s="1566"/>
      <c r="DY29" s="1566"/>
      <c r="DZ29" s="1567"/>
      <c r="EA29" s="1568"/>
      <c r="EB29" s="1565"/>
      <c r="EC29" s="1566"/>
      <c r="ED29" s="1566"/>
      <c r="EE29" s="1566"/>
      <c r="EF29" s="1566"/>
      <c r="EG29" s="1566"/>
      <c r="EH29" s="1566"/>
      <c r="EI29" s="1566"/>
      <c r="EJ29" s="1566"/>
      <c r="EK29" s="1566"/>
      <c r="EL29" s="1566"/>
      <c r="EM29" s="1567"/>
      <c r="EN29" s="1568"/>
      <c r="EO29" s="1565"/>
      <c r="EP29" s="1566"/>
      <c r="EQ29" s="1566"/>
      <c r="ER29" s="1566"/>
      <c r="ES29" s="1566"/>
      <c r="ET29" s="1566"/>
      <c r="EU29" s="1566"/>
      <c r="EV29" s="1566"/>
      <c r="EW29" s="1566"/>
      <c r="EX29" s="1566"/>
      <c r="EY29" s="1566"/>
      <c r="EZ29" s="1567"/>
      <c r="FA29" s="1568"/>
      <c r="FB29" s="1565"/>
      <c r="FC29" s="1566"/>
      <c r="FD29" s="1566"/>
      <c r="FE29" s="1566"/>
      <c r="FF29" s="1566"/>
      <c r="FG29" s="1566"/>
      <c r="FH29" s="1566"/>
      <c r="FI29" s="1566"/>
      <c r="FJ29" s="1566"/>
      <c r="FK29" s="1566"/>
      <c r="FL29" s="1566"/>
      <c r="FM29" s="1567"/>
      <c r="FN29" s="1568"/>
      <c r="FO29" s="1565"/>
      <c r="FP29" s="1566"/>
      <c r="FQ29" s="1566"/>
      <c r="FR29" s="1566"/>
      <c r="FS29" s="1566"/>
      <c r="FT29" s="1566"/>
      <c r="FU29" s="1566"/>
      <c r="FV29" s="1566"/>
      <c r="FW29" s="1566"/>
      <c r="FX29" s="1566"/>
      <c r="FY29" s="1566"/>
      <c r="FZ29" s="1567"/>
      <c r="GA29" s="1568"/>
      <c r="GB29" s="1565"/>
      <c r="GC29" s="1566"/>
      <c r="GD29" s="1566"/>
      <c r="GE29" s="1566"/>
      <c r="GF29" s="1566"/>
      <c r="GG29" s="1566"/>
      <c r="GH29" s="1566"/>
      <c r="GI29" s="1566"/>
      <c r="GJ29" s="1566"/>
      <c r="GK29" s="1566"/>
      <c r="GL29" s="1566"/>
      <c r="GM29" s="1567"/>
      <c r="GN29" s="1568"/>
      <c r="GO29" s="1565"/>
      <c r="GP29" s="1566"/>
      <c r="GQ29" s="1566"/>
      <c r="GR29" s="1566"/>
      <c r="GS29" s="1566"/>
      <c r="GT29" s="1566"/>
      <c r="GU29" s="1566"/>
      <c r="GV29" s="1566"/>
      <c r="GW29" s="1566"/>
      <c r="GX29" s="1566"/>
      <c r="GY29" s="1566"/>
      <c r="GZ29" s="1567"/>
      <c r="HA29" s="1568"/>
      <c r="HB29" s="1565"/>
      <c r="HC29" s="1566"/>
      <c r="HD29" s="1566"/>
      <c r="HE29" s="1566"/>
      <c r="HF29" s="1566"/>
      <c r="HG29" s="1566"/>
      <c r="HH29" s="1566"/>
      <c r="HI29" s="1566"/>
      <c r="HJ29" s="1566"/>
      <c r="HK29" s="1566"/>
      <c r="HL29" s="1566"/>
      <c r="HM29" s="1567"/>
      <c r="HN29" s="1568"/>
      <c r="HO29" s="1565"/>
      <c r="HP29" s="1566"/>
      <c r="HQ29" s="1566"/>
      <c r="HR29" s="1566"/>
      <c r="HS29" s="1566"/>
      <c r="HT29" s="1566"/>
      <c r="HU29" s="1566"/>
      <c r="HV29" s="1566"/>
      <c r="HW29" s="1566"/>
      <c r="HX29" s="1566"/>
      <c r="HY29" s="1566"/>
      <c r="HZ29" s="1567"/>
      <c r="IA29" s="1565"/>
      <c r="IB29" s="1569"/>
      <c r="IC29" s="1068"/>
      <c r="ID29" s="1068"/>
      <c r="IE29" s="1068"/>
      <c r="IF29" s="1068"/>
      <c r="IG29" s="1068"/>
      <c r="IH29" s="1068"/>
      <c r="II29" s="1068"/>
      <c r="IJ29" s="1068"/>
      <c r="IK29" s="1068"/>
      <c r="IL29" s="1068"/>
      <c r="IM29" s="1570"/>
      <c r="IN29" s="1571"/>
      <c r="IO29"/>
      <c r="IP29" s="1656" t="str">
        <f t="shared" si="36"/>
        <v/>
      </c>
      <c r="IQ29" s="1656"/>
      <c r="IR29" s="1657">
        <f t="shared" si="38"/>
        <v>0</v>
      </c>
      <c r="IS29" s="1657">
        <f t="shared" si="39"/>
        <v>0</v>
      </c>
      <c r="IT29" s="1658"/>
      <c r="IU29" s="1658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</row>
    <row r="30" spans="1:280" s="1564" customFormat="1" ht="15" customHeight="1" x14ac:dyDescent="0.2">
      <c r="A30" s="1563" t="s">
        <v>297</v>
      </c>
      <c r="B30" s="1572">
        <f t="shared" ref="B30:M30" si="43">SUM(B31:B37)</f>
        <v>1912</v>
      </c>
      <c r="C30" s="1573">
        <f t="shared" si="43"/>
        <v>3749</v>
      </c>
      <c r="D30" s="1573">
        <f t="shared" si="43"/>
        <v>3882</v>
      </c>
      <c r="E30" s="1573">
        <f t="shared" si="43"/>
        <v>4252</v>
      </c>
      <c r="F30" s="1573">
        <f t="shared" si="43"/>
        <v>4414</v>
      </c>
      <c r="G30" s="1573">
        <f t="shared" si="43"/>
        <v>4082</v>
      </c>
      <c r="H30" s="1573">
        <f t="shared" si="43"/>
        <v>4133</v>
      </c>
      <c r="I30" s="1573">
        <f t="shared" si="43"/>
        <v>6174</v>
      </c>
      <c r="J30" s="1573">
        <f t="shared" si="43"/>
        <v>6145</v>
      </c>
      <c r="K30" s="1573">
        <f t="shared" si="43"/>
        <v>6678</v>
      </c>
      <c r="L30" s="1573">
        <f t="shared" si="43"/>
        <v>6447</v>
      </c>
      <c r="M30" s="1574">
        <f t="shared" si="43"/>
        <v>14472</v>
      </c>
      <c r="N30" s="1575">
        <f t="shared" ref="N30:N35" si="44">SUM(B30:M30)</f>
        <v>66340</v>
      </c>
      <c r="O30" s="1572">
        <f t="shared" ref="O30:Z30" si="45">SUM(O31:O37)</f>
        <v>2455</v>
      </c>
      <c r="P30" s="1573">
        <f t="shared" si="45"/>
        <v>3856</v>
      </c>
      <c r="Q30" s="1573">
        <f t="shared" si="45"/>
        <v>6350</v>
      </c>
      <c r="R30" s="1573">
        <f t="shared" si="45"/>
        <v>6131</v>
      </c>
      <c r="S30" s="1573">
        <f t="shared" si="45"/>
        <v>6442</v>
      </c>
      <c r="T30" s="1573">
        <f t="shared" si="45"/>
        <v>5810</v>
      </c>
      <c r="U30" s="1573">
        <f t="shared" si="45"/>
        <v>8281</v>
      </c>
      <c r="V30" s="1573">
        <f t="shared" si="45"/>
        <v>8459</v>
      </c>
      <c r="W30" s="1573">
        <f t="shared" si="45"/>
        <v>10064</v>
      </c>
      <c r="X30" s="1573">
        <f t="shared" si="45"/>
        <v>9235</v>
      </c>
      <c r="Y30" s="1573">
        <f t="shared" si="45"/>
        <v>9933</v>
      </c>
      <c r="Z30" s="1574">
        <f t="shared" si="45"/>
        <v>24337</v>
      </c>
      <c r="AA30" s="1575">
        <f t="shared" ref="AA30:AA35" si="46">SUM(O30:Z30)</f>
        <v>101353</v>
      </c>
      <c r="AB30" s="1572">
        <f t="shared" ref="AB30:AM30" si="47">SUM(AB31:AB37)</f>
        <v>2666</v>
      </c>
      <c r="AC30" s="1573">
        <f t="shared" si="47"/>
        <v>4628</v>
      </c>
      <c r="AD30" s="1573">
        <f t="shared" si="47"/>
        <v>7502</v>
      </c>
      <c r="AE30" s="1573">
        <f t="shared" si="47"/>
        <v>7419</v>
      </c>
      <c r="AF30" s="1573">
        <f t="shared" si="47"/>
        <v>9633</v>
      </c>
      <c r="AG30" s="1573">
        <f t="shared" si="47"/>
        <v>12136</v>
      </c>
      <c r="AH30" s="1573">
        <f t="shared" si="47"/>
        <v>9347</v>
      </c>
      <c r="AI30" s="1573">
        <f t="shared" si="47"/>
        <v>14624</v>
      </c>
      <c r="AJ30" s="1573">
        <f t="shared" si="47"/>
        <v>10891</v>
      </c>
      <c r="AK30" s="1573">
        <f t="shared" si="47"/>
        <v>9788</v>
      </c>
      <c r="AL30" s="1573">
        <f t="shared" si="47"/>
        <v>12941</v>
      </c>
      <c r="AM30" s="1574">
        <f t="shared" si="47"/>
        <v>24650</v>
      </c>
      <c r="AN30" s="1575">
        <f>SUM(AB30:AM30)</f>
        <v>126225</v>
      </c>
      <c r="AO30" s="1572">
        <f t="shared" ref="AO30:AZ30" si="48">SUM(AO31:AO37)</f>
        <v>121</v>
      </c>
      <c r="AP30" s="1573">
        <f t="shared" si="48"/>
        <v>1912</v>
      </c>
      <c r="AQ30" s="1573">
        <f t="shared" si="48"/>
        <v>5615</v>
      </c>
      <c r="AR30" s="1573">
        <f t="shared" si="48"/>
        <v>7654</v>
      </c>
      <c r="AS30" s="1573">
        <f t="shared" si="48"/>
        <v>9838</v>
      </c>
      <c r="AT30" s="1573">
        <f t="shared" si="48"/>
        <v>8082</v>
      </c>
      <c r="AU30" s="1573">
        <f t="shared" si="48"/>
        <v>9581</v>
      </c>
      <c r="AV30" s="1573">
        <f t="shared" si="48"/>
        <v>13426</v>
      </c>
      <c r="AW30" s="1573">
        <f t="shared" si="48"/>
        <v>18757</v>
      </c>
      <c r="AX30" s="1573">
        <f t="shared" si="48"/>
        <v>21874</v>
      </c>
      <c r="AY30" s="1573">
        <f t="shared" si="48"/>
        <v>31992</v>
      </c>
      <c r="AZ30" s="1574">
        <f t="shared" si="48"/>
        <v>61407</v>
      </c>
      <c r="BA30" s="1575">
        <f t="shared" ref="BA30:BA35" si="49">SUM(AO30:AZ30)</f>
        <v>190259</v>
      </c>
      <c r="BB30" s="1572">
        <f t="shared" ref="BB30:BM30" si="50">SUM(BB31:BB35)</f>
        <v>5200</v>
      </c>
      <c r="BC30" s="1573">
        <f t="shared" si="50"/>
        <v>13701</v>
      </c>
      <c r="BD30" s="1573">
        <f t="shared" si="50"/>
        <v>30902</v>
      </c>
      <c r="BE30" s="1573">
        <f t="shared" si="50"/>
        <v>17275</v>
      </c>
      <c r="BF30" s="1573">
        <f t="shared" si="50"/>
        <v>19264</v>
      </c>
      <c r="BG30" s="1573">
        <f t="shared" si="50"/>
        <v>17198</v>
      </c>
      <c r="BH30" s="1573">
        <f t="shared" si="50"/>
        <v>29827</v>
      </c>
      <c r="BI30" s="1573">
        <f t="shared" si="50"/>
        <v>20994</v>
      </c>
      <c r="BJ30" s="1573">
        <f t="shared" si="50"/>
        <v>30041</v>
      </c>
      <c r="BK30" s="1573">
        <f t="shared" si="50"/>
        <v>35833</v>
      </c>
      <c r="BL30" s="1573">
        <f t="shared" si="50"/>
        <v>36017</v>
      </c>
      <c r="BM30" s="1574">
        <f t="shared" si="50"/>
        <v>52905</v>
      </c>
      <c r="BN30" s="1575">
        <f t="shared" ref="BN30:BN35" si="51">SUM(BB30:BM30)</f>
        <v>309157</v>
      </c>
      <c r="BO30" s="1572">
        <f t="shared" ref="BO30:BZ30" si="52">SUM(BO31:BO35)</f>
        <v>3298.77</v>
      </c>
      <c r="BP30" s="1573">
        <f t="shared" si="52"/>
        <v>9676</v>
      </c>
      <c r="BQ30" s="1573">
        <f t="shared" si="52"/>
        <v>26439</v>
      </c>
      <c r="BR30" s="1573">
        <f t="shared" si="52"/>
        <v>21402</v>
      </c>
      <c r="BS30" s="1573">
        <f t="shared" si="52"/>
        <v>23218</v>
      </c>
      <c r="BT30" s="1573">
        <f t="shared" si="52"/>
        <v>18429</v>
      </c>
      <c r="BU30" s="1573">
        <f t="shared" si="52"/>
        <v>68619</v>
      </c>
      <c r="BV30" s="1573">
        <f t="shared" si="52"/>
        <v>10233</v>
      </c>
      <c r="BW30" s="1573">
        <f t="shared" si="52"/>
        <v>25125</v>
      </c>
      <c r="BX30" s="1573">
        <f t="shared" si="52"/>
        <v>26871</v>
      </c>
      <c r="BY30" s="1573">
        <f t="shared" si="52"/>
        <v>18396</v>
      </c>
      <c r="BZ30" s="1574">
        <f t="shared" si="52"/>
        <v>69741</v>
      </c>
      <c r="CA30" s="1575">
        <f t="shared" ref="CA30:CA35" si="53">SUM(BO30:BZ30)</f>
        <v>321447.77</v>
      </c>
      <c r="CB30" s="1572">
        <f t="shared" ref="CB30:CM30" si="54">SUM(CB31:CB35)</f>
        <v>9184</v>
      </c>
      <c r="CC30" s="1573">
        <f t="shared" si="54"/>
        <v>15629</v>
      </c>
      <c r="CD30" s="1573">
        <f t="shared" si="54"/>
        <v>21556</v>
      </c>
      <c r="CE30" s="1573">
        <f t="shared" si="54"/>
        <v>23948</v>
      </c>
      <c r="CF30" s="1573">
        <f t="shared" si="54"/>
        <v>18456</v>
      </c>
      <c r="CG30" s="1573">
        <f t="shared" si="54"/>
        <v>23445</v>
      </c>
      <c r="CH30" s="1573">
        <f t="shared" si="54"/>
        <v>31675</v>
      </c>
      <c r="CI30" s="1573">
        <f t="shared" si="54"/>
        <v>15606</v>
      </c>
      <c r="CJ30" s="1573">
        <f t="shared" si="54"/>
        <v>30458</v>
      </c>
      <c r="CK30" s="1573">
        <f t="shared" si="54"/>
        <v>36915</v>
      </c>
      <c r="CL30" s="1573">
        <f t="shared" si="54"/>
        <v>35067</v>
      </c>
      <c r="CM30" s="1574">
        <f t="shared" si="54"/>
        <v>82262</v>
      </c>
      <c r="CN30" s="1575">
        <f t="shared" ref="CN30:CN35" si="55">SUM(CB30:CM30)</f>
        <v>344201</v>
      </c>
      <c r="CO30" s="1572">
        <f t="shared" ref="CO30:DZ30" si="56">SUM(CO31:CO35)</f>
        <v>730</v>
      </c>
      <c r="CP30" s="1573">
        <f t="shared" si="56"/>
        <v>9294</v>
      </c>
      <c r="CQ30" s="1573">
        <f t="shared" si="56"/>
        <v>28683</v>
      </c>
      <c r="CR30" s="1573">
        <f t="shared" si="56"/>
        <v>19287</v>
      </c>
      <c r="CS30" s="1573">
        <f t="shared" si="56"/>
        <v>18969</v>
      </c>
      <c r="CT30" s="1573">
        <f t="shared" si="56"/>
        <v>21101</v>
      </c>
      <c r="CU30" s="1573">
        <f t="shared" si="56"/>
        <v>48181</v>
      </c>
      <c r="CV30" s="1573">
        <f t="shared" si="56"/>
        <v>24308</v>
      </c>
      <c r="CW30" s="1573">
        <f t="shared" si="56"/>
        <v>26812</v>
      </c>
      <c r="CX30" s="1573">
        <f t="shared" si="56"/>
        <v>26910</v>
      </c>
      <c r="CY30" s="1573">
        <f t="shared" si="56"/>
        <v>29158</v>
      </c>
      <c r="CZ30" s="1574">
        <f t="shared" si="56"/>
        <v>85925</v>
      </c>
      <c r="DA30" s="1575">
        <f t="shared" si="15"/>
        <v>339358</v>
      </c>
      <c r="DB30" s="1572">
        <f t="shared" si="56"/>
        <v>7085</v>
      </c>
      <c r="DC30" s="1573">
        <f t="shared" si="56"/>
        <v>11870</v>
      </c>
      <c r="DD30" s="1573">
        <f t="shared" si="56"/>
        <v>22630</v>
      </c>
      <c r="DE30" s="1573">
        <f t="shared" si="56"/>
        <v>20450</v>
      </c>
      <c r="DF30" s="1573">
        <f t="shared" si="56"/>
        <v>22432</v>
      </c>
      <c r="DG30" s="1573">
        <f t="shared" si="56"/>
        <v>21298</v>
      </c>
      <c r="DH30" s="1573">
        <f t="shared" si="56"/>
        <v>25843</v>
      </c>
      <c r="DI30" s="1573">
        <f t="shared" si="56"/>
        <v>21678</v>
      </c>
      <c r="DJ30" s="1573">
        <f t="shared" si="56"/>
        <v>43384</v>
      </c>
      <c r="DK30" s="1573">
        <f t="shared" si="56"/>
        <v>33819</v>
      </c>
      <c r="DL30" s="1573">
        <f t="shared" si="56"/>
        <v>44266</v>
      </c>
      <c r="DM30" s="1574">
        <f t="shared" si="56"/>
        <v>118189</v>
      </c>
      <c r="DN30" s="1575">
        <f t="shared" si="27"/>
        <v>392944</v>
      </c>
      <c r="DO30" s="1572">
        <f t="shared" si="56"/>
        <v>5545</v>
      </c>
      <c r="DP30" s="1573">
        <f t="shared" si="56"/>
        <v>14702</v>
      </c>
      <c r="DQ30" s="1573">
        <f t="shared" si="56"/>
        <v>48270</v>
      </c>
      <c r="DR30" s="1573">
        <f t="shared" si="56"/>
        <v>31172</v>
      </c>
      <c r="DS30" s="1573">
        <f t="shared" si="56"/>
        <v>31783</v>
      </c>
      <c r="DT30" s="1573">
        <f t="shared" si="56"/>
        <v>42757</v>
      </c>
      <c r="DU30" s="1573">
        <f t="shared" si="56"/>
        <v>44384</v>
      </c>
      <c r="DV30" s="1573">
        <f t="shared" si="56"/>
        <v>36957</v>
      </c>
      <c r="DW30" s="1573">
        <f t="shared" si="56"/>
        <v>74465</v>
      </c>
      <c r="DX30" s="1573">
        <f t="shared" si="56"/>
        <v>48335</v>
      </c>
      <c r="DY30" s="1573">
        <f t="shared" si="56"/>
        <v>42293</v>
      </c>
      <c r="DZ30" s="1574">
        <f t="shared" si="56"/>
        <v>90008</v>
      </c>
      <c r="EA30" s="1575">
        <f t="shared" ref="EA30:EA35" si="57">SUM(DO30:DZ30)</f>
        <v>510671</v>
      </c>
      <c r="EB30" s="1572">
        <f t="shared" ref="EB30:EM30" si="58">SUM(EB31:EB35)</f>
        <v>11060</v>
      </c>
      <c r="EC30" s="1573">
        <f t="shared" si="58"/>
        <v>19935</v>
      </c>
      <c r="ED30" s="1573">
        <f t="shared" si="58"/>
        <v>37977</v>
      </c>
      <c r="EE30" s="1573">
        <f t="shared" si="58"/>
        <v>28916</v>
      </c>
      <c r="EF30" s="1573">
        <f t="shared" si="58"/>
        <v>34196</v>
      </c>
      <c r="EG30" s="1573">
        <f t="shared" si="58"/>
        <v>50636</v>
      </c>
      <c r="EH30" s="1573">
        <f t="shared" si="58"/>
        <v>46446</v>
      </c>
      <c r="EI30" s="1573">
        <f t="shared" si="58"/>
        <v>37390</v>
      </c>
      <c r="EJ30" s="1573">
        <f t="shared" si="58"/>
        <v>43776</v>
      </c>
      <c r="EK30" s="1573">
        <f t="shared" si="58"/>
        <v>65487</v>
      </c>
      <c r="EL30" s="1573">
        <f t="shared" si="58"/>
        <v>48349</v>
      </c>
      <c r="EM30" s="1574">
        <f t="shared" si="58"/>
        <v>79041</v>
      </c>
      <c r="EN30" s="1575">
        <f t="shared" ref="EN30:EN35" si="59">SUM(EB30:EM30)</f>
        <v>503209</v>
      </c>
      <c r="EO30" s="1572">
        <f t="shared" ref="EO30:EZ30" si="60">SUM(EO31:EO35)</f>
        <v>928</v>
      </c>
      <c r="EP30" s="1573">
        <f t="shared" si="60"/>
        <v>16550</v>
      </c>
      <c r="EQ30" s="1573">
        <f t="shared" si="60"/>
        <v>24135</v>
      </c>
      <c r="ER30" s="1573">
        <f t="shared" si="60"/>
        <v>42780</v>
      </c>
      <c r="ES30" s="1573">
        <f t="shared" si="60"/>
        <v>23938</v>
      </c>
      <c r="ET30" s="1573">
        <f t="shared" si="60"/>
        <v>32592</v>
      </c>
      <c r="EU30" s="1573">
        <f t="shared" si="60"/>
        <v>23994</v>
      </c>
      <c r="EV30" s="1573">
        <f t="shared" si="60"/>
        <v>37879</v>
      </c>
      <c r="EW30" s="1573">
        <f t="shared" si="60"/>
        <v>52062</v>
      </c>
      <c r="EX30" s="1573">
        <f t="shared" si="60"/>
        <v>50808</v>
      </c>
      <c r="EY30" s="1573">
        <f t="shared" si="60"/>
        <v>30241</v>
      </c>
      <c r="EZ30" s="1574">
        <f t="shared" si="60"/>
        <v>73159</v>
      </c>
      <c r="FA30" s="1575">
        <f t="shared" ref="FA30:FA35" si="61">SUM(EO30:EZ30)</f>
        <v>409066</v>
      </c>
      <c r="FB30" s="1572">
        <f t="shared" ref="FB30:FJ30" si="62">SUM(FB31:FB35)</f>
        <v>5877</v>
      </c>
      <c r="FC30" s="1573">
        <f t="shared" si="62"/>
        <v>19495</v>
      </c>
      <c r="FD30" s="1573">
        <f t="shared" si="62"/>
        <v>18373</v>
      </c>
      <c r="FE30" s="1573">
        <f t="shared" si="62"/>
        <v>5600</v>
      </c>
      <c r="FF30" s="1573">
        <f t="shared" si="62"/>
        <v>10163</v>
      </c>
      <c r="FG30" s="1573">
        <f t="shared" si="62"/>
        <v>5318</v>
      </c>
      <c r="FH30" s="1573">
        <f t="shared" si="62"/>
        <v>13077</v>
      </c>
      <c r="FI30" s="1573">
        <f t="shared" si="62"/>
        <v>20728</v>
      </c>
      <c r="FJ30" s="1573">
        <f t="shared" si="62"/>
        <v>45774</v>
      </c>
      <c r="FK30" s="1573">
        <f>SUM(FK31:FK35)</f>
        <v>59732</v>
      </c>
      <c r="FL30" s="1573">
        <f>SUM(FL31:FL35)</f>
        <v>66685</v>
      </c>
      <c r="FM30" s="1574">
        <f>SUM(FM31:FM35)</f>
        <v>122993</v>
      </c>
      <c r="FN30" s="1575">
        <f t="shared" ref="FN30:FN35" si="63">SUM(FB30:FM30)</f>
        <v>393815</v>
      </c>
      <c r="FO30" s="1572">
        <f>SUM(FO31:FO35)</f>
        <v>10727</v>
      </c>
      <c r="FP30" s="1573">
        <f t="shared" ref="FP30:GM30" si="64">SUM(FP31:FP35)</f>
        <v>29637</v>
      </c>
      <c r="FQ30" s="1573">
        <f t="shared" si="64"/>
        <v>56947</v>
      </c>
      <c r="FR30" s="1573">
        <f t="shared" si="64"/>
        <v>35347</v>
      </c>
      <c r="FS30" s="1573">
        <f t="shared" si="64"/>
        <v>32252</v>
      </c>
      <c r="FT30" s="1573">
        <f t="shared" si="64"/>
        <v>47067</v>
      </c>
      <c r="FU30" s="1573">
        <f t="shared" si="64"/>
        <v>37792</v>
      </c>
      <c r="FV30" s="1573">
        <f t="shared" si="64"/>
        <v>40565</v>
      </c>
      <c r="FW30" s="1573">
        <f t="shared" si="64"/>
        <v>46280</v>
      </c>
      <c r="FX30" s="1573">
        <f t="shared" si="64"/>
        <v>40065</v>
      </c>
      <c r="FY30" s="1573">
        <f t="shared" si="64"/>
        <v>42675</v>
      </c>
      <c r="FZ30" s="1574">
        <f t="shared" si="64"/>
        <v>89554</v>
      </c>
      <c r="GA30" s="1575">
        <f t="shared" si="31"/>
        <v>508908</v>
      </c>
      <c r="GB30" s="1572">
        <f t="shared" si="64"/>
        <v>4267</v>
      </c>
      <c r="GC30" s="1573">
        <f t="shared" si="64"/>
        <v>10402</v>
      </c>
      <c r="GD30" s="1573">
        <f t="shared" si="64"/>
        <v>48685</v>
      </c>
      <c r="GE30" s="1573">
        <f t="shared" si="64"/>
        <v>25437</v>
      </c>
      <c r="GF30" s="1573">
        <f t="shared" si="64"/>
        <v>30257</v>
      </c>
      <c r="GG30" s="1573">
        <f t="shared" si="64"/>
        <v>26605</v>
      </c>
      <c r="GH30" s="1573">
        <f t="shared" si="64"/>
        <v>39909</v>
      </c>
      <c r="GI30" s="1573">
        <f t="shared" si="64"/>
        <v>46781</v>
      </c>
      <c r="GJ30" s="1573">
        <f t="shared" si="64"/>
        <v>59011</v>
      </c>
      <c r="GK30" s="1573">
        <f t="shared" si="64"/>
        <v>44221</v>
      </c>
      <c r="GL30" s="1573">
        <f t="shared" si="64"/>
        <v>55692</v>
      </c>
      <c r="GM30" s="1574">
        <f t="shared" si="64"/>
        <v>78106</v>
      </c>
      <c r="GN30" s="1575">
        <f t="shared" si="32"/>
        <v>469373</v>
      </c>
      <c r="GO30" s="1572">
        <f t="shared" ref="GO30:GZ30" si="65">SUM(GO31:GO35)</f>
        <v>2744</v>
      </c>
      <c r="GP30" s="1573">
        <f t="shared" si="65"/>
        <v>23530</v>
      </c>
      <c r="GQ30" s="1573">
        <f t="shared" si="65"/>
        <v>31463</v>
      </c>
      <c r="GR30" s="1573">
        <f t="shared" si="65"/>
        <v>45071</v>
      </c>
      <c r="GS30" s="1573">
        <f t="shared" si="65"/>
        <v>21152</v>
      </c>
      <c r="GT30" s="1573">
        <f t="shared" si="65"/>
        <v>33776</v>
      </c>
      <c r="GU30" s="1573">
        <f t="shared" si="65"/>
        <v>27960</v>
      </c>
      <c r="GV30" s="1573">
        <f t="shared" si="65"/>
        <v>38289</v>
      </c>
      <c r="GW30" s="1573">
        <f t="shared" si="65"/>
        <v>40066</v>
      </c>
      <c r="GX30" s="1573">
        <f t="shared" si="65"/>
        <v>41247</v>
      </c>
      <c r="GY30" s="1573">
        <f t="shared" si="65"/>
        <v>65264</v>
      </c>
      <c r="GZ30" s="1574">
        <f t="shared" si="65"/>
        <v>87908</v>
      </c>
      <c r="HA30" s="1575">
        <f t="shared" si="33"/>
        <v>458470</v>
      </c>
      <c r="HB30" s="1572">
        <f t="shared" ref="HB30:HM30" si="66">SUM(HB31:HB35)</f>
        <v>23820</v>
      </c>
      <c r="HC30" s="1573">
        <f t="shared" si="66"/>
        <v>59486</v>
      </c>
      <c r="HD30" s="1573">
        <f t="shared" si="66"/>
        <v>35201</v>
      </c>
      <c r="HE30" s="1573">
        <f t="shared" si="66"/>
        <v>42783</v>
      </c>
      <c r="HF30" s="1573">
        <f t="shared" si="66"/>
        <v>41922</v>
      </c>
      <c r="HG30" s="1573">
        <f t="shared" si="66"/>
        <v>42763</v>
      </c>
      <c r="HH30" s="1573">
        <f t="shared" si="66"/>
        <v>49133</v>
      </c>
      <c r="HI30" s="1573">
        <f t="shared" si="66"/>
        <v>43710</v>
      </c>
      <c r="HJ30" s="1573">
        <f t="shared" si="66"/>
        <v>37394</v>
      </c>
      <c r="HK30" s="1573">
        <f t="shared" si="66"/>
        <v>49516</v>
      </c>
      <c r="HL30" s="1573">
        <f t="shared" si="66"/>
        <v>45140</v>
      </c>
      <c r="HM30" s="1574">
        <f t="shared" si="66"/>
        <v>91829</v>
      </c>
      <c r="HN30" s="1575">
        <f t="shared" si="34"/>
        <v>562697</v>
      </c>
      <c r="HO30" s="1572">
        <f t="shared" ref="HO30:IE30" si="67">SUM(HO31:HO35)</f>
        <v>14562</v>
      </c>
      <c r="HP30" s="1573">
        <f t="shared" si="67"/>
        <v>26735</v>
      </c>
      <c r="HQ30" s="1573">
        <f t="shared" si="67"/>
        <v>41310</v>
      </c>
      <c r="HR30" s="1573">
        <f t="shared" si="67"/>
        <v>33462</v>
      </c>
      <c r="HS30" s="1573">
        <f t="shared" si="67"/>
        <v>37554</v>
      </c>
      <c r="HT30" s="1573">
        <f t="shared" si="67"/>
        <v>41303</v>
      </c>
      <c r="HU30" s="1573">
        <f t="shared" si="67"/>
        <v>45479</v>
      </c>
      <c r="HV30" s="1573">
        <f t="shared" si="67"/>
        <v>40638</v>
      </c>
      <c r="HW30" s="1573">
        <f t="shared" si="67"/>
        <v>40438</v>
      </c>
      <c r="HX30" s="1573">
        <f t="shared" si="67"/>
        <v>50399</v>
      </c>
      <c r="HY30" s="1573">
        <f t="shared" si="67"/>
        <v>44188</v>
      </c>
      <c r="HZ30" s="1574">
        <v>102405</v>
      </c>
      <c r="IA30" s="1572">
        <f>SUM(HO30:HZ30)</f>
        <v>518473</v>
      </c>
      <c r="IB30" s="1572">
        <f t="shared" si="67"/>
        <v>18844</v>
      </c>
      <c r="IC30" s="1573">
        <f t="shared" si="67"/>
        <v>14626</v>
      </c>
      <c r="ID30" s="1573">
        <f t="shared" si="67"/>
        <v>26245</v>
      </c>
      <c r="IE30" s="1573">
        <f t="shared" si="67"/>
        <v>40979</v>
      </c>
      <c r="IF30" s="1668">
        <f t="shared" ref="IF30" si="68">SUM(IF31:IF35)</f>
        <v>35525</v>
      </c>
      <c r="IG30" s="1668">
        <f t="shared" ref="IG30:IH30" si="69">SUM(IG31:IG35)</f>
        <v>41179</v>
      </c>
      <c r="IH30" s="1573">
        <f t="shared" si="69"/>
        <v>57591</v>
      </c>
      <c r="II30" s="1573">
        <v>50272</v>
      </c>
      <c r="IJ30" s="1573"/>
      <c r="IK30" s="1573"/>
      <c r="IL30" s="1573"/>
      <c r="IM30" s="1574"/>
      <c r="IN30" s="1575">
        <f t="shared" si="35"/>
        <v>285261</v>
      </c>
      <c r="IO30" s="1209"/>
      <c r="IP30" s="1679">
        <f t="shared" si="36"/>
        <v>23.706875338353271</v>
      </c>
      <c r="IQ30" s="1598">
        <f>IFERROR(((IS30/IR30)-1)*100,"")</f>
        <v>1.5008379500645708</v>
      </c>
      <c r="IR30" s="1599">
        <f t="shared" si="38"/>
        <v>281043</v>
      </c>
      <c r="IS30" s="1599">
        <f t="shared" si="39"/>
        <v>285261</v>
      </c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</row>
    <row r="31" spans="1:280" s="105" customFormat="1" ht="15" customHeight="1" x14ac:dyDescent="0.2">
      <c r="A31" s="309" t="s">
        <v>429</v>
      </c>
      <c r="B31" s="1576">
        <v>0</v>
      </c>
      <c r="C31" s="1577">
        <v>0</v>
      </c>
      <c r="D31" s="1577">
        <v>0</v>
      </c>
      <c r="E31" s="1577">
        <v>0</v>
      </c>
      <c r="F31" s="1577">
        <v>0</v>
      </c>
      <c r="G31" s="1577">
        <v>44</v>
      </c>
      <c r="H31" s="1577">
        <v>461</v>
      </c>
      <c r="I31" s="1577">
        <v>1739</v>
      </c>
      <c r="J31" s="1577">
        <v>2105</v>
      </c>
      <c r="K31" s="1577">
        <v>2327</v>
      </c>
      <c r="L31" s="1577">
        <v>2497</v>
      </c>
      <c r="M31" s="1578">
        <v>6618</v>
      </c>
      <c r="N31" s="1579">
        <f t="shared" si="44"/>
        <v>15791</v>
      </c>
      <c r="O31" s="1576">
        <v>0</v>
      </c>
      <c r="P31" s="1577">
        <v>9</v>
      </c>
      <c r="Q31" s="1577">
        <v>436</v>
      </c>
      <c r="R31" s="1577">
        <v>1244</v>
      </c>
      <c r="S31" s="1577">
        <v>3199</v>
      </c>
      <c r="T31" s="1577">
        <v>3210</v>
      </c>
      <c r="U31" s="1577">
        <v>3706</v>
      </c>
      <c r="V31" s="1577">
        <v>5460</v>
      </c>
      <c r="W31" s="1577">
        <v>5496</v>
      </c>
      <c r="X31" s="1577">
        <v>4736</v>
      </c>
      <c r="Y31" s="1577">
        <v>4588</v>
      </c>
      <c r="Z31" s="1578">
        <v>19039</v>
      </c>
      <c r="AA31" s="1579">
        <f t="shared" si="46"/>
        <v>51123</v>
      </c>
      <c r="AB31" s="1576">
        <v>0</v>
      </c>
      <c r="AC31" s="1577">
        <v>71</v>
      </c>
      <c r="AD31" s="1577">
        <v>128</v>
      </c>
      <c r="AE31" s="1577">
        <v>992</v>
      </c>
      <c r="AF31" s="1577">
        <v>2226</v>
      </c>
      <c r="AG31" s="1577">
        <v>3348</v>
      </c>
      <c r="AH31" s="1577">
        <v>1253</v>
      </c>
      <c r="AI31" s="1577">
        <v>6061</v>
      </c>
      <c r="AJ31" s="1577">
        <v>749</v>
      </c>
      <c r="AK31" s="1577">
        <v>2718</v>
      </c>
      <c r="AL31" s="1577">
        <v>1384</v>
      </c>
      <c r="AM31" s="1578">
        <v>7664</v>
      </c>
      <c r="AN31" s="1579">
        <f t="shared" ref="AN31:AN37" si="70">SUM(AB31:AM31)</f>
        <v>26594</v>
      </c>
      <c r="AO31" s="1576">
        <v>7</v>
      </c>
      <c r="AP31" s="1577">
        <v>1</v>
      </c>
      <c r="AQ31" s="1577">
        <v>-8</v>
      </c>
      <c r="AR31" s="1577">
        <v>3207</v>
      </c>
      <c r="AS31" s="1577">
        <v>4187</v>
      </c>
      <c r="AT31" s="1577">
        <v>2046</v>
      </c>
      <c r="AU31" s="1577">
        <v>2954</v>
      </c>
      <c r="AV31" s="1577">
        <v>6110</v>
      </c>
      <c r="AW31" s="1577">
        <v>8461</v>
      </c>
      <c r="AX31" s="1577">
        <v>12647</v>
      </c>
      <c r="AY31" s="1577">
        <v>18295</v>
      </c>
      <c r="AZ31" s="1578">
        <v>30210</v>
      </c>
      <c r="BA31" s="1579">
        <f t="shared" si="49"/>
        <v>88117</v>
      </c>
      <c r="BB31" s="1576">
        <v>14</v>
      </c>
      <c r="BC31" s="1577">
        <v>4693</v>
      </c>
      <c r="BD31" s="1577">
        <v>17101</v>
      </c>
      <c r="BE31" s="1577">
        <v>6981</v>
      </c>
      <c r="BF31" s="1577">
        <v>5627</v>
      </c>
      <c r="BG31" s="1577">
        <v>-115</v>
      </c>
      <c r="BH31" s="1577">
        <v>14069</v>
      </c>
      <c r="BI31" s="1577">
        <v>7138</v>
      </c>
      <c r="BJ31" s="1577">
        <v>13161</v>
      </c>
      <c r="BK31" s="1577">
        <v>21915</v>
      </c>
      <c r="BL31" s="1577">
        <v>16756</v>
      </c>
      <c r="BM31" s="1578">
        <v>31991</v>
      </c>
      <c r="BN31" s="1579">
        <f t="shared" si="51"/>
        <v>139331</v>
      </c>
      <c r="BO31" s="1576">
        <v>0</v>
      </c>
      <c r="BP31" s="1577">
        <v>649</v>
      </c>
      <c r="BQ31" s="1577">
        <v>16259</v>
      </c>
      <c r="BR31" s="1577">
        <v>7219</v>
      </c>
      <c r="BS31" s="1577">
        <v>9316</v>
      </c>
      <c r="BT31" s="1577">
        <v>5537</v>
      </c>
      <c r="BU31" s="1577">
        <v>36430</v>
      </c>
      <c r="BV31" s="1577">
        <v>-5842</v>
      </c>
      <c r="BW31" s="1577">
        <v>14973</v>
      </c>
      <c r="BX31" s="1577">
        <v>14548</v>
      </c>
      <c r="BY31" s="1577">
        <v>8486</v>
      </c>
      <c r="BZ31" s="1578">
        <v>60386</v>
      </c>
      <c r="CA31" s="1579">
        <f t="shared" si="53"/>
        <v>167961</v>
      </c>
      <c r="CB31" s="1576">
        <v>0</v>
      </c>
      <c r="CC31" s="1577">
        <v>0</v>
      </c>
      <c r="CD31" s="1577">
        <v>9212</v>
      </c>
      <c r="CE31" s="1577">
        <v>10050</v>
      </c>
      <c r="CF31" s="1577">
        <v>4884</v>
      </c>
      <c r="CG31" s="1577">
        <v>6432</v>
      </c>
      <c r="CH31" s="1577">
        <v>11918</v>
      </c>
      <c r="CI31" s="1577">
        <v>3935</v>
      </c>
      <c r="CJ31" s="1577">
        <v>14712</v>
      </c>
      <c r="CK31" s="1577">
        <v>22848</v>
      </c>
      <c r="CL31" s="1577">
        <v>21828</v>
      </c>
      <c r="CM31" s="1578">
        <v>44020</v>
      </c>
      <c r="CN31" s="1579">
        <f t="shared" si="55"/>
        <v>149839</v>
      </c>
      <c r="CO31" s="1576">
        <v>0</v>
      </c>
      <c r="CP31" s="1577">
        <v>797</v>
      </c>
      <c r="CQ31" s="1577">
        <v>15094</v>
      </c>
      <c r="CR31" s="1577">
        <v>2729</v>
      </c>
      <c r="CS31" s="1577">
        <v>6166</v>
      </c>
      <c r="CT31" s="1577">
        <v>10400</v>
      </c>
      <c r="CU31" s="1577">
        <v>13524</v>
      </c>
      <c r="CV31" s="1577">
        <v>8307</v>
      </c>
      <c r="CW31" s="1577">
        <v>12127</v>
      </c>
      <c r="CX31" s="1577">
        <v>10458</v>
      </c>
      <c r="CY31" s="1577">
        <v>14869</v>
      </c>
      <c r="CZ31" s="1578">
        <v>40773</v>
      </c>
      <c r="DA31" s="1579">
        <f t="shared" si="15"/>
        <v>135244</v>
      </c>
      <c r="DB31" s="1576">
        <v>0</v>
      </c>
      <c r="DC31" s="1577">
        <v>148</v>
      </c>
      <c r="DD31" s="1577">
        <v>5212</v>
      </c>
      <c r="DE31" s="1577">
        <v>3433</v>
      </c>
      <c r="DF31" s="1577">
        <v>2434</v>
      </c>
      <c r="DG31" s="1577">
        <v>4238</v>
      </c>
      <c r="DH31" s="1577">
        <v>4122</v>
      </c>
      <c r="DI31" s="1577">
        <v>5673</v>
      </c>
      <c r="DJ31" s="1577">
        <v>10618</v>
      </c>
      <c r="DK31" s="1577">
        <v>19584</v>
      </c>
      <c r="DL31" s="1577">
        <v>17647</v>
      </c>
      <c r="DM31" s="1578">
        <v>49446</v>
      </c>
      <c r="DN31" s="1579">
        <f t="shared" si="27"/>
        <v>122555</v>
      </c>
      <c r="DO31" s="1576">
        <v>0</v>
      </c>
      <c r="DP31" s="1577">
        <v>5726</v>
      </c>
      <c r="DQ31" s="1577">
        <v>17903</v>
      </c>
      <c r="DR31" s="1577">
        <v>9787</v>
      </c>
      <c r="DS31" s="1577">
        <v>6334</v>
      </c>
      <c r="DT31" s="1577">
        <v>12822</v>
      </c>
      <c r="DU31" s="1577">
        <v>12631</v>
      </c>
      <c r="DV31" s="1577">
        <v>13147</v>
      </c>
      <c r="DW31" s="1577">
        <v>31098</v>
      </c>
      <c r="DX31" s="1577">
        <v>17792</v>
      </c>
      <c r="DY31" s="1577">
        <v>13069</v>
      </c>
      <c r="DZ31" s="1578">
        <v>19046</v>
      </c>
      <c r="EA31" s="1579">
        <f t="shared" si="57"/>
        <v>159355</v>
      </c>
      <c r="EB31" s="1576">
        <v>0</v>
      </c>
      <c r="EC31" s="1577">
        <v>177</v>
      </c>
      <c r="ED31" s="1577">
        <v>1787</v>
      </c>
      <c r="EE31" s="1577">
        <v>641</v>
      </c>
      <c r="EF31" s="1577">
        <v>1557</v>
      </c>
      <c r="EG31" s="1577">
        <v>17228</v>
      </c>
      <c r="EH31" s="1577">
        <v>10817</v>
      </c>
      <c r="EI31" s="1577">
        <v>8510</v>
      </c>
      <c r="EJ31" s="1577">
        <v>11630</v>
      </c>
      <c r="EK31" s="1577">
        <v>8791</v>
      </c>
      <c r="EL31" s="1577">
        <v>12069</v>
      </c>
      <c r="EM31" s="1578">
        <v>27124</v>
      </c>
      <c r="EN31" s="1579">
        <f t="shared" si="59"/>
        <v>100331</v>
      </c>
      <c r="EO31" s="1576">
        <v>621</v>
      </c>
      <c r="EP31" s="1577">
        <v>8860</v>
      </c>
      <c r="EQ31" s="1577">
        <v>11365</v>
      </c>
      <c r="ER31" s="1577">
        <v>27778</v>
      </c>
      <c r="ES31" s="1577">
        <v>12768</v>
      </c>
      <c r="ET31" s="1577">
        <v>15836</v>
      </c>
      <c r="EU31" s="1577">
        <v>9099</v>
      </c>
      <c r="EV31" s="1577">
        <v>19092</v>
      </c>
      <c r="EW31" s="1577">
        <v>26790</v>
      </c>
      <c r="EX31" s="1577">
        <v>33555</v>
      </c>
      <c r="EY31" s="1577">
        <v>14563</v>
      </c>
      <c r="EZ31" s="1578">
        <v>43677</v>
      </c>
      <c r="FA31" s="1579">
        <f t="shared" si="61"/>
        <v>224004</v>
      </c>
      <c r="FB31" s="1576">
        <v>1967</v>
      </c>
      <c r="FC31" s="1577">
        <v>11498</v>
      </c>
      <c r="FD31" s="1577">
        <v>9221</v>
      </c>
      <c r="FE31" s="1577">
        <v>2130</v>
      </c>
      <c r="FF31" s="1577">
        <v>5439</v>
      </c>
      <c r="FG31" s="1577">
        <v>2051</v>
      </c>
      <c r="FH31" s="1577">
        <v>3656</v>
      </c>
      <c r="FI31" s="1577">
        <v>7972</v>
      </c>
      <c r="FJ31" s="1577">
        <v>20081</v>
      </c>
      <c r="FK31" s="1577">
        <v>25146</v>
      </c>
      <c r="FL31" s="1577">
        <v>28029</v>
      </c>
      <c r="FM31" s="1578">
        <v>49812</v>
      </c>
      <c r="FN31" s="1579">
        <f t="shared" si="63"/>
        <v>167002</v>
      </c>
      <c r="FO31" s="1576">
        <v>33</v>
      </c>
      <c r="FP31" s="1577">
        <v>279</v>
      </c>
      <c r="FQ31" s="1577">
        <v>5213</v>
      </c>
      <c r="FR31" s="1577">
        <v>2692</v>
      </c>
      <c r="FS31" s="1577">
        <v>3026</v>
      </c>
      <c r="FT31" s="1577">
        <v>5505</v>
      </c>
      <c r="FU31" s="1577">
        <v>2332</v>
      </c>
      <c r="FV31" s="1577">
        <v>1253</v>
      </c>
      <c r="FW31" s="1577">
        <v>1486</v>
      </c>
      <c r="FX31" s="1577">
        <v>1497</v>
      </c>
      <c r="FY31" s="1577">
        <v>2416</v>
      </c>
      <c r="FZ31" s="1578">
        <v>16515</v>
      </c>
      <c r="GA31" s="1579">
        <f t="shared" si="31"/>
        <v>42247</v>
      </c>
      <c r="GB31" s="1576">
        <v>1207</v>
      </c>
      <c r="GC31" s="1577">
        <v>2954</v>
      </c>
      <c r="GD31" s="1577">
        <v>9244</v>
      </c>
      <c r="GE31" s="1577">
        <v>11064</v>
      </c>
      <c r="GF31" s="1577">
        <v>9930</v>
      </c>
      <c r="GG31" s="1577">
        <v>8716</v>
      </c>
      <c r="GH31" s="1577">
        <v>10291</v>
      </c>
      <c r="GI31" s="1577">
        <v>11637</v>
      </c>
      <c r="GJ31" s="1577">
        <v>13286</v>
      </c>
      <c r="GK31" s="1577">
        <v>6556</v>
      </c>
      <c r="GL31" s="1577">
        <v>24068</v>
      </c>
      <c r="GM31" s="1578">
        <v>32642</v>
      </c>
      <c r="GN31" s="1579">
        <f t="shared" si="32"/>
        <v>141595</v>
      </c>
      <c r="GO31" s="1576">
        <v>1145</v>
      </c>
      <c r="GP31" s="1577">
        <v>19504</v>
      </c>
      <c r="GQ31" s="1577">
        <v>23343</v>
      </c>
      <c r="GR31" s="1577">
        <v>24350</v>
      </c>
      <c r="GS31" s="1577">
        <v>13725</v>
      </c>
      <c r="GT31" s="1577">
        <v>15970</v>
      </c>
      <c r="GU31" s="1577">
        <v>16553</v>
      </c>
      <c r="GV31" s="1577">
        <v>18918</v>
      </c>
      <c r="GW31" s="1577">
        <v>19977</v>
      </c>
      <c r="GX31" s="1577">
        <v>26728</v>
      </c>
      <c r="GY31" s="1577">
        <v>48072</v>
      </c>
      <c r="GZ31" s="1578">
        <v>68290</v>
      </c>
      <c r="HA31" s="1579">
        <f t="shared" si="33"/>
        <v>296575</v>
      </c>
      <c r="HB31" s="1576">
        <v>16564</v>
      </c>
      <c r="HC31" s="1577">
        <v>51055</v>
      </c>
      <c r="HD31" s="1577">
        <v>24478</v>
      </c>
      <c r="HE31" s="1577">
        <v>29697</v>
      </c>
      <c r="HF31" s="1577">
        <v>29274</v>
      </c>
      <c r="HG31" s="1577">
        <v>34168</v>
      </c>
      <c r="HH31" s="1577">
        <v>39539</v>
      </c>
      <c r="HI31" s="1577">
        <v>33901</v>
      </c>
      <c r="HJ31" s="1577">
        <v>27335</v>
      </c>
      <c r="HK31" s="1577">
        <v>38040</v>
      </c>
      <c r="HL31" s="1577">
        <v>31349</v>
      </c>
      <c r="HM31" s="1578">
        <v>73822</v>
      </c>
      <c r="HN31" s="1579">
        <f t="shared" si="34"/>
        <v>429222</v>
      </c>
      <c r="HO31" s="1576">
        <v>8645</v>
      </c>
      <c r="HP31" s="1577">
        <v>19139</v>
      </c>
      <c r="HQ31" s="1577">
        <v>28726</v>
      </c>
      <c r="HR31" s="1577">
        <v>21940</v>
      </c>
      <c r="HS31" s="1577">
        <v>28441</v>
      </c>
      <c r="HT31" s="1577">
        <v>29823</v>
      </c>
      <c r="HU31" s="1577">
        <v>33000</v>
      </c>
      <c r="HV31" s="1577">
        <v>27721</v>
      </c>
      <c r="HW31" s="1577">
        <v>28379</v>
      </c>
      <c r="HX31" s="1577">
        <v>35889</v>
      </c>
      <c r="HY31" s="1577">
        <v>32933</v>
      </c>
      <c r="HZ31" s="1578">
        <v>76516</v>
      </c>
      <c r="IA31" s="1576">
        <f>SUM(HO31:HZ31)</f>
        <v>371152</v>
      </c>
      <c r="IB31" s="1569">
        <v>15405</v>
      </c>
      <c r="IC31" s="1068">
        <v>7866</v>
      </c>
      <c r="ID31" s="1068">
        <v>15225</v>
      </c>
      <c r="IE31" s="1068">
        <v>25101</v>
      </c>
      <c r="IF31" s="1068">
        <v>17071</v>
      </c>
      <c r="IG31" s="1068">
        <v>21402</v>
      </c>
      <c r="IH31" s="1068">
        <v>30237</v>
      </c>
      <c r="II31" s="1068">
        <v>23815</v>
      </c>
      <c r="IJ31" s="1068"/>
      <c r="IK31" s="1068"/>
      <c r="IL31" s="1068"/>
      <c r="IM31" s="1570"/>
      <c r="IN31" s="1571">
        <f t="shared" si="35"/>
        <v>156122</v>
      </c>
      <c r="IO31"/>
      <c r="IP31" s="1656">
        <f t="shared" si="36"/>
        <v>-14.090400779192668</v>
      </c>
      <c r="IQ31" s="1656">
        <f t="shared" si="37"/>
        <v>-20.92486134677236</v>
      </c>
      <c r="IR31" s="1657">
        <f t="shared" si="38"/>
        <v>197435</v>
      </c>
      <c r="IS31" s="1657">
        <f t="shared" si="39"/>
        <v>156122</v>
      </c>
      <c r="IT31" s="1659"/>
      <c r="IU31" s="1659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</row>
    <row r="32" spans="1:280" s="105" customFormat="1" ht="15" customHeight="1" x14ac:dyDescent="0.2">
      <c r="A32" s="309" t="s">
        <v>402</v>
      </c>
      <c r="B32" s="1576">
        <v>175</v>
      </c>
      <c r="C32" s="1577">
        <v>188</v>
      </c>
      <c r="D32" s="1577">
        <v>57</v>
      </c>
      <c r="E32" s="1577">
        <v>53</v>
      </c>
      <c r="F32" s="1577">
        <v>69</v>
      </c>
      <c r="G32" s="1577">
        <v>50</v>
      </c>
      <c r="H32" s="1577">
        <v>85</v>
      </c>
      <c r="I32" s="1577">
        <v>120</v>
      </c>
      <c r="J32" s="1577">
        <v>199</v>
      </c>
      <c r="K32" s="1577">
        <v>197</v>
      </c>
      <c r="L32" s="1577">
        <v>290</v>
      </c>
      <c r="M32" s="1578">
        <v>304</v>
      </c>
      <c r="N32" s="1579">
        <f t="shared" si="44"/>
        <v>1787</v>
      </c>
      <c r="O32" s="1576">
        <v>70</v>
      </c>
      <c r="P32" s="1577">
        <v>41</v>
      </c>
      <c r="Q32" s="1577">
        <v>53</v>
      </c>
      <c r="R32" s="1577">
        <v>126</v>
      </c>
      <c r="S32" s="1577">
        <v>77</v>
      </c>
      <c r="T32" s="1577">
        <v>49</v>
      </c>
      <c r="U32" s="1577">
        <v>2</v>
      </c>
      <c r="V32" s="1577">
        <v>6</v>
      </c>
      <c r="W32" s="1577">
        <v>287</v>
      </c>
      <c r="X32" s="1577">
        <v>127</v>
      </c>
      <c r="Y32" s="1577">
        <v>89</v>
      </c>
      <c r="Z32" s="1578">
        <v>134</v>
      </c>
      <c r="AA32" s="1579">
        <f t="shared" si="46"/>
        <v>1061</v>
      </c>
      <c r="AB32" s="1576">
        <v>28</v>
      </c>
      <c r="AC32" s="1577">
        <v>55</v>
      </c>
      <c r="AD32" s="1577">
        <v>53</v>
      </c>
      <c r="AE32" s="1577">
        <v>391</v>
      </c>
      <c r="AF32" s="1577">
        <v>474</v>
      </c>
      <c r="AG32" s="1577">
        <v>635</v>
      </c>
      <c r="AH32" s="1577">
        <v>665</v>
      </c>
      <c r="AI32" s="1577">
        <v>208</v>
      </c>
      <c r="AJ32" s="1577">
        <v>416</v>
      </c>
      <c r="AK32" s="1577">
        <v>294</v>
      </c>
      <c r="AL32" s="1577">
        <v>367</v>
      </c>
      <c r="AM32" s="1578">
        <v>299</v>
      </c>
      <c r="AN32" s="1579">
        <f t="shared" si="70"/>
        <v>3885</v>
      </c>
      <c r="AO32" s="1576">
        <v>0</v>
      </c>
      <c r="AP32" s="1577">
        <v>0</v>
      </c>
      <c r="AQ32" s="1577">
        <v>135</v>
      </c>
      <c r="AR32" s="1577">
        <v>48</v>
      </c>
      <c r="AS32" s="1577">
        <v>36</v>
      </c>
      <c r="AT32" s="1577">
        <v>37</v>
      </c>
      <c r="AU32" s="1577">
        <v>136</v>
      </c>
      <c r="AV32" s="1577">
        <v>17</v>
      </c>
      <c r="AW32" s="1577">
        <v>123</v>
      </c>
      <c r="AX32" s="1577">
        <v>126</v>
      </c>
      <c r="AY32" s="1577">
        <v>65</v>
      </c>
      <c r="AZ32" s="1578">
        <v>986</v>
      </c>
      <c r="BA32" s="1579">
        <f t="shared" si="49"/>
        <v>1709</v>
      </c>
      <c r="BB32" s="1576">
        <v>0</v>
      </c>
      <c r="BC32" s="1577">
        <v>542</v>
      </c>
      <c r="BD32" s="1577">
        <v>784</v>
      </c>
      <c r="BE32" s="1577">
        <v>198</v>
      </c>
      <c r="BF32" s="1577">
        <v>802</v>
      </c>
      <c r="BG32" s="1577">
        <v>199</v>
      </c>
      <c r="BH32" s="1577">
        <v>267</v>
      </c>
      <c r="BI32" s="1577">
        <v>487</v>
      </c>
      <c r="BJ32" s="1577">
        <v>193</v>
      </c>
      <c r="BK32" s="1577">
        <v>166</v>
      </c>
      <c r="BL32" s="1577">
        <v>35</v>
      </c>
      <c r="BM32" s="1578">
        <v>126</v>
      </c>
      <c r="BN32" s="1579">
        <f t="shared" si="51"/>
        <v>3799</v>
      </c>
      <c r="BO32" s="1576">
        <v>0.77</v>
      </c>
      <c r="BP32" s="1577">
        <v>7</v>
      </c>
      <c r="BQ32" s="1577">
        <v>438</v>
      </c>
      <c r="BR32" s="1577">
        <v>149</v>
      </c>
      <c r="BS32" s="1577">
        <v>100</v>
      </c>
      <c r="BT32" s="1577">
        <v>77</v>
      </c>
      <c r="BU32" s="1577">
        <v>288</v>
      </c>
      <c r="BV32" s="1577">
        <v>99</v>
      </c>
      <c r="BW32" s="1577">
        <v>200</v>
      </c>
      <c r="BX32" s="1577">
        <v>60</v>
      </c>
      <c r="BY32" s="1577">
        <v>307</v>
      </c>
      <c r="BZ32" s="1578">
        <v>234</v>
      </c>
      <c r="CA32" s="1579">
        <f t="shared" si="53"/>
        <v>1959.77</v>
      </c>
      <c r="CB32" s="1576">
        <v>3</v>
      </c>
      <c r="CC32" s="1577">
        <v>71</v>
      </c>
      <c r="CD32" s="1577">
        <v>67</v>
      </c>
      <c r="CE32" s="1577">
        <v>254</v>
      </c>
      <c r="CF32" s="1577">
        <v>49</v>
      </c>
      <c r="CG32" s="1577">
        <v>58</v>
      </c>
      <c r="CH32" s="1577">
        <v>54</v>
      </c>
      <c r="CI32" s="1577">
        <v>62</v>
      </c>
      <c r="CJ32" s="1577">
        <v>213</v>
      </c>
      <c r="CK32" s="1577">
        <v>140</v>
      </c>
      <c r="CL32" s="1577">
        <v>214</v>
      </c>
      <c r="CM32" s="1578">
        <v>558</v>
      </c>
      <c r="CN32" s="1579">
        <f t="shared" si="55"/>
        <v>1743</v>
      </c>
      <c r="CO32" s="1576">
        <v>2</v>
      </c>
      <c r="CP32" s="1577">
        <v>87</v>
      </c>
      <c r="CQ32" s="1577">
        <v>159</v>
      </c>
      <c r="CR32" s="1577">
        <v>63</v>
      </c>
      <c r="CS32" s="1577">
        <v>164</v>
      </c>
      <c r="CT32" s="1577">
        <v>228</v>
      </c>
      <c r="CU32" s="1577">
        <v>31</v>
      </c>
      <c r="CV32" s="1577">
        <v>192</v>
      </c>
      <c r="CW32" s="1577">
        <v>222</v>
      </c>
      <c r="CX32" s="1577">
        <v>122</v>
      </c>
      <c r="CY32" s="1577">
        <v>248</v>
      </c>
      <c r="CZ32" s="1578">
        <v>62</v>
      </c>
      <c r="DA32" s="1579">
        <f t="shared" si="15"/>
        <v>1580</v>
      </c>
      <c r="DB32" s="1576">
        <v>14</v>
      </c>
      <c r="DC32" s="1577">
        <v>233</v>
      </c>
      <c r="DD32" s="1577">
        <v>99</v>
      </c>
      <c r="DE32" s="1577">
        <v>239</v>
      </c>
      <c r="DF32" s="1577">
        <v>97</v>
      </c>
      <c r="DG32" s="1577">
        <v>76</v>
      </c>
      <c r="DH32" s="1577">
        <v>107</v>
      </c>
      <c r="DI32" s="1577">
        <v>248</v>
      </c>
      <c r="DJ32" s="1577">
        <v>655</v>
      </c>
      <c r="DK32" s="1577">
        <v>176</v>
      </c>
      <c r="DL32" s="1577">
        <v>209</v>
      </c>
      <c r="DM32" s="1578">
        <v>450</v>
      </c>
      <c r="DN32" s="1579">
        <f t="shared" si="27"/>
        <v>2603</v>
      </c>
      <c r="DO32" s="1576">
        <v>28</v>
      </c>
      <c r="DP32" s="1577">
        <v>50</v>
      </c>
      <c r="DQ32" s="1577">
        <v>610</v>
      </c>
      <c r="DR32" s="1577">
        <v>84</v>
      </c>
      <c r="DS32" s="1577">
        <v>37</v>
      </c>
      <c r="DT32" s="1577">
        <v>47</v>
      </c>
      <c r="DU32" s="1577">
        <v>67</v>
      </c>
      <c r="DV32" s="1577">
        <v>123</v>
      </c>
      <c r="DW32" s="1577">
        <v>319</v>
      </c>
      <c r="DX32" s="1577">
        <v>45</v>
      </c>
      <c r="DY32" s="1577">
        <v>95</v>
      </c>
      <c r="DZ32" s="1578">
        <v>83</v>
      </c>
      <c r="EA32" s="1579">
        <f t="shared" si="57"/>
        <v>1588</v>
      </c>
      <c r="EB32" s="1576">
        <v>14</v>
      </c>
      <c r="EC32" s="1577">
        <v>78</v>
      </c>
      <c r="ED32" s="1577">
        <v>362</v>
      </c>
      <c r="EE32" s="1577">
        <v>89</v>
      </c>
      <c r="EF32" s="1577">
        <v>178</v>
      </c>
      <c r="EG32" s="1577">
        <v>150</v>
      </c>
      <c r="EH32" s="1577">
        <v>160</v>
      </c>
      <c r="EI32" s="1577">
        <v>204</v>
      </c>
      <c r="EJ32" s="1577">
        <v>580</v>
      </c>
      <c r="EK32" s="1577">
        <v>368</v>
      </c>
      <c r="EL32" s="1577">
        <v>282</v>
      </c>
      <c r="EM32" s="1578">
        <v>230</v>
      </c>
      <c r="EN32" s="1579">
        <f t="shared" si="59"/>
        <v>2695</v>
      </c>
      <c r="EO32" s="1576">
        <v>0</v>
      </c>
      <c r="EP32" s="1577">
        <v>39</v>
      </c>
      <c r="EQ32" s="1577">
        <v>170</v>
      </c>
      <c r="ER32" s="1577">
        <v>62</v>
      </c>
      <c r="ES32" s="1577">
        <v>189</v>
      </c>
      <c r="ET32" s="1577">
        <v>160</v>
      </c>
      <c r="EU32" s="1577">
        <v>17</v>
      </c>
      <c r="EV32" s="1577">
        <v>327</v>
      </c>
      <c r="EW32" s="1577">
        <v>93</v>
      </c>
      <c r="EX32" s="1577">
        <v>141</v>
      </c>
      <c r="EY32" s="1577">
        <v>231</v>
      </c>
      <c r="EZ32" s="1578">
        <v>888</v>
      </c>
      <c r="FA32" s="1579">
        <f t="shared" si="61"/>
        <v>2317</v>
      </c>
      <c r="FB32" s="1576">
        <v>4</v>
      </c>
      <c r="FC32" s="1577">
        <v>152</v>
      </c>
      <c r="FD32" s="1577">
        <v>104</v>
      </c>
      <c r="FE32" s="1577">
        <v>2</v>
      </c>
      <c r="FF32" s="1577">
        <v>56</v>
      </c>
      <c r="FG32" s="1577">
        <v>85</v>
      </c>
      <c r="FH32" s="1577">
        <v>172</v>
      </c>
      <c r="FI32" s="1577">
        <v>168</v>
      </c>
      <c r="FJ32" s="1577">
        <v>118</v>
      </c>
      <c r="FK32" s="1577">
        <v>147</v>
      </c>
      <c r="FL32" s="1577">
        <v>197</v>
      </c>
      <c r="FM32" s="1578">
        <v>421</v>
      </c>
      <c r="FN32" s="1579">
        <f t="shared" si="63"/>
        <v>1626</v>
      </c>
      <c r="FO32" s="1576">
        <v>72</v>
      </c>
      <c r="FP32" s="1577">
        <v>225</v>
      </c>
      <c r="FQ32" s="1577">
        <v>290</v>
      </c>
      <c r="FR32" s="1577">
        <v>206</v>
      </c>
      <c r="FS32" s="1577">
        <v>166</v>
      </c>
      <c r="FT32" s="1577">
        <v>226</v>
      </c>
      <c r="FU32" s="1577">
        <v>88</v>
      </c>
      <c r="FV32" s="1577">
        <v>267</v>
      </c>
      <c r="FW32" s="1577">
        <v>269</v>
      </c>
      <c r="FX32" s="1577">
        <v>269</v>
      </c>
      <c r="FY32" s="1577">
        <v>527</v>
      </c>
      <c r="FZ32" s="1578">
        <v>616</v>
      </c>
      <c r="GA32" s="1579">
        <f t="shared" si="31"/>
        <v>3221</v>
      </c>
      <c r="GB32" s="1576">
        <v>19</v>
      </c>
      <c r="GC32" s="1577">
        <v>95</v>
      </c>
      <c r="GD32" s="1577">
        <v>305</v>
      </c>
      <c r="GE32" s="1577">
        <v>66</v>
      </c>
      <c r="GF32" s="1577">
        <v>80</v>
      </c>
      <c r="GG32" s="1577">
        <v>150</v>
      </c>
      <c r="GH32" s="1577">
        <v>109</v>
      </c>
      <c r="GI32" s="1577">
        <v>322</v>
      </c>
      <c r="GJ32" s="1577">
        <v>417</v>
      </c>
      <c r="GK32" s="1577">
        <v>306</v>
      </c>
      <c r="GL32" s="1577">
        <v>196</v>
      </c>
      <c r="GM32" s="1578">
        <v>507</v>
      </c>
      <c r="GN32" s="1579">
        <f t="shared" si="32"/>
        <v>2572</v>
      </c>
      <c r="GO32" s="1576">
        <v>0</v>
      </c>
      <c r="GP32" s="1577">
        <v>21</v>
      </c>
      <c r="GQ32" s="1577">
        <v>443</v>
      </c>
      <c r="GR32" s="1577">
        <v>173</v>
      </c>
      <c r="GS32" s="1577">
        <v>259</v>
      </c>
      <c r="GT32" s="1577">
        <v>339</v>
      </c>
      <c r="GU32" s="1577">
        <v>244</v>
      </c>
      <c r="GV32" s="1577">
        <v>146</v>
      </c>
      <c r="GW32" s="1577">
        <v>200</v>
      </c>
      <c r="GX32" s="1577">
        <v>658</v>
      </c>
      <c r="GY32" s="1577">
        <v>2476</v>
      </c>
      <c r="GZ32" s="1578">
        <v>606</v>
      </c>
      <c r="HA32" s="1579">
        <f t="shared" si="33"/>
        <v>5565</v>
      </c>
      <c r="HB32" s="1576">
        <v>48</v>
      </c>
      <c r="HC32" s="1577">
        <v>209</v>
      </c>
      <c r="HD32" s="1577">
        <v>159</v>
      </c>
      <c r="HE32" s="1577">
        <v>509</v>
      </c>
      <c r="HF32" s="1577">
        <v>558</v>
      </c>
      <c r="HG32" s="1577">
        <v>399</v>
      </c>
      <c r="HH32" s="1577">
        <v>114</v>
      </c>
      <c r="HI32" s="1577">
        <v>256</v>
      </c>
      <c r="HJ32" s="1577">
        <v>370</v>
      </c>
      <c r="HK32" s="1577">
        <v>367</v>
      </c>
      <c r="HL32" s="1577">
        <v>322</v>
      </c>
      <c r="HM32" s="1578">
        <v>411</v>
      </c>
      <c r="HN32" s="1579">
        <f t="shared" si="34"/>
        <v>3722</v>
      </c>
      <c r="HO32" s="1576">
        <v>108</v>
      </c>
      <c r="HP32" s="1577">
        <v>428</v>
      </c>
      <c r="HQ32" s="1577">
        <v>169</v>
      </c>
      <c r="HR32" s="1577">
        <v>147</v>
      </c>
      <c r="HS32" s="1577">
        <v>113</v>
      </c>
      <c r="HT32" s="1577">
        <v>448</v>
      </c>
      <c r="HU32" s="1577">
        <v>111</v>
      </c>
      <c r="HV32" s="1577">
        <v>194</v>
      </c>
      <c r="HW32" s="1577">
        <v>496</v>
      </c>
      <c r="HX32" s="1577">
        <v>235</v>
      </c>
      <c r="HY32" s="1577">
        <v>363</v>
      </c>
      <c r="HZ32" s="1578">
        <v>295</v>
      </c>
      <c r="IA32" s="1576">
        <f t="shared" si="42"/>
        <v>3107</v>
      </c>
      <c r="IB32" s="1569">
        <v>86</v>
      </c>
      <c r="IC32" s="1068">
        <v>479</v>
      </c>
      <c r="ID32" s="1068">
        <v>210</v>
      </c>
      <c r="IE32" s="1068">
        <v>293</v>
      </c>
      <c r="IF32" s="1068">
        <v>206</v>
      </c>
      <c r="IG32" s="1068">
        <v>305</v>
      </c>
      <c r="IH32" s="1068">
        <v>640</v>
      </c>
      <c r="II32" s="1068">
        <v>1867</v>
      </c>
      <c r="IJ32" s="1068"/>
      <c r="IK32" s="1068"/>
      <c r="IL32" s="1068"/>
      <c r="IM32" s="1570"/>
      <c r="IN32" s="1571">
        <f t="shared" si="35"/>
        <v>4086</v>
      </c>
      <c r="IO32"/>
      <c r="IP32" s="1656">
        <f t="shared" si="36"/>
        <v>862.37113402061846</v>
      </c>
      <c r="IQ32" s="1656">
        <f t="shared" si="37"/>
        <v>137.83469150174622</v>
      </c>
      <c r="IR32" s="1657">
        <f t="shared" si="38"/>
        <v>1718</v>
      </c>
      <c r="IS32" s="1657">
        <f t="shared" si="39"/>
        <v>4086</v>
      </c>
      <c r="IT32" s="1659"/>
      <c r="IU32" s="1659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</row>
    <row r="33" spans="1:280" s="105" customFormat="1" ht="15" customHeight="1" x14ac:dyDescent="0.2">
      <c r="A33" s="309" t="s">
        <v>480</v>
      </c>
      <c r="B33" s="1576">
        <v>40</v>
      </c>
      <c r="C33" s="1577">
        <v>17</v>
      </c>
      <c r="D33" s="1577">
        <v>62</v>
      </c>
      <c r="E33" s="1577">
        <v>215</v>
      </c>
      <c r="F33" s="1577">
        <v>514</v>
      </c>
      <c r="G33" s="1577">
        <v>34</v>
      </c>
      <c r="H33" s="1577">
        <v>135</v>
      </c>
      <c r="I33" s="1577">
        <v>633</v>
      </c>
      <c r="J33" s="1577">
        <v>293</v>
      </c>
      <c r="K33" s="1577">
        <v>73</v>
      </c>
      <c r="L33" s="1577">
        <v>140</v>
      </c>
      <c r="M33" s="1578">
        <v>1566</v>
      </c>
      <c r="N33" s="1579">
        <f t="shared" si="44"/>
        <v>3722</v>
      </c>
      <c r="O33" s="1576">
        <v>55</v>
      </c>
      <c r="P33" s="1577">
        <v>896</v>
      </c>
      <c r="Q33" s="1577">
        <v>306</v>
      </c>
      <c r="R33" s="1577">
        <v>1400</v>
      </c>
      <c r="S33" s="1577">
        <v>94</v>
      </c>
      <c r="T33" s="1577">
        <v>8</v>
      </c>
      <c r="U33" s="1577">
        <v>246</v>
      </c>
      <c r="V33" s="1577">
        <v>188</v>
      </c>
      <c r="W33" s="1577">
        <v>989</v>
      </c>
      <c r="X33" s="1577">
        <v>112</v>
      </c>
      <c r="Y33" s="1577">
        <v>774</v>
      </c>
      <c r="Z33" s="1578">
        <v>224</v>
      </c>
      <c r="AA33" s="1579">
        <f t="shared" si="46"/>
        <v>5292</v>
      </c>
      <c r="AB33" s="1576">
        <v>37</v>
      </c>
      <c r="AC33" s="1577">
        <v>1034</v>
      </c>
      <c r="AD33" s="1577">
        <v>254</v>
      </c>
      <c r="AE33" s="1577">
        <v>378</v>
      </c>
      <c r="AF33" s="1577">
        <v>144</v>
      </c>
      <c r="AG33" s="1577">
        <v>632</v>
      </c>
      <c r="AH33" s="1577">
        <v>500</v>
      </c>
      <c r="AI33" s="1577">
        <v>772</v>
      </c>
      <c r="AJ33" s="1577">
        <v>983</v>
      </c>
      <c r="AK33" s="1577">
        <v>1001</v>
      </c>
      <c r="AL33" s="1577">
        <v>505</v>
      </c>
      <c r="AM33" s="1578">
        <v>-346</v>
      </c>
      <c r="AN33" s="1579">
        <f t="shared" si="70"/>
        <v>5894</v>
      </c>
      <c r="AO33" s="1576">
        <v>0</v>
      </c>
      <c r="AP33" s="1577">
        <v>0</v>
      </c>
      <c r="AQ33" s="1577">
        <v>0</v>
      </c>
      <c r="AR33" s="1577">
        <v>0</v>
      </c>
      <c r="AS33" s="1577">
        <v>0</v>
      </c>
      <c r="AT33" s="1577">
        <v>86</v>
      </c>
      <c r="AU33" s="1577">
        <v>28</v>
      </c>
      <c r="AV33" s="1577">
        <v>64</v>
      </c>
      <c r="AW33" s="1577">
        <v>863</v>
      </c>
      <c r="AX33" s="1577">
        <v>559</v>
      </c>
      <c r="AY33" s="1577">
        <v>258</v>
      </c>
      <c r="AZ33" s="1578">
        <v>1090</v>
      </c>
      <c r="BA33" s="1579">
        <f t="shared" si="49"/>
        <v>2948</v>
      </c>
      <c r="BB33" s="1576">
        <v>938</v>
      </c>
      <c r="BC33" s="1577">
        <v>881</v>
      </c>
      <c r="BD33" s="1577">
        <v>1765</v>
      </c>
      <c r="BE33" s="1577">
        <v>2171</v>
      </c>
      <c r="BF33" s="1577">
        <v>261</v>
      </c>
      <c r="BG33" s="1577">
        <v>2045</v>
      </c>
      <c r="BH33" s="1577">
        <v>2948</v>
      </c>
      <c r="BI33" s="1577">
        <v>314</v>
      </c>
      <c r="BJ33" s="1577">
        <v>3477</v>
      </c>
      <c r="BK33" s="1577">
        <v>1755</v>
      </c>
      <c r="BL33" s="1577">
        <v>614</v>
      </c>
      <c r="BM33" s="1578">
        <v>1260</v>
      </c>
      <c r="BN33" s="1579">
        <f t="shared" si="51"/>
        <v>18429</v>
      </c>
      <c r="BO33" s="1576">
        <v>0</v>
      </c>
      <c r="BP33" s="1577">
        <v>2193</v>
      </c>
      <c r="BQ33" s="1577">
        <v>106</v>
      </c>
      <c r="BR33" s="1577">
        <v>1530</v>
      </c>
      <c r="BS33" s="1577">
        <v>1088</v>
      </c>
      <c r="BT33" s="1577">
        <v>181</v>
      </c>
      <c r="BU33" s="1577">
        <v>3253</v>
      </c>
      <c r="BV33" s="1577">
        <v>533</v>
      </c>
      <c r="BW33" s="1577">
        <v>253</v>
      </c>
      <c r="BX33" s="1577">
        <v>716</v>
      </c>
      <c r="BY33" s="1577">
        <v>1105</v>
      </c>
      <c r="BZ33" s="1578">
        <v>3885</v>
      </c>
      <c r="CA33" s="1579">
        <f t="shared" si="53"/>
        <v>14843</v>
      </c>
      <c r="CB33" s="1576">
        <v>339</v>
      </c>
      <c r="CC33" s="1577">
        <v>58</v>
      </c>
      <c r="CD33" s="1577">
        <v>822</v>
      </c>
      <c r="CE33" s="1577">
        <v>707</v>
      </c>
      <c r="CF33" s="1577">
        <v>491</v>
      </c>
      <c r="CG33" s="1577">
        <v>472</v>
      </c>
      <c r="CH33" s="1577">
        <v>-60</v>
      </c>
      <c r="CI33" s="1577">
        <v>587</v>
      </c>
      <c r="CJ33" s="1577">
        <v>783</v>
      </c>
      <c r="CK33" s="1577">
        <v>112</v>
      </c>
      <c r="CL33" s="1577">
        <v>356</v>
      </c>
      <c r="CM33" s="1578">
        <v>15</v>
      </c>
      <c r="CN33" s="1579">
        <f t="shared" si="55"/>
        <v>4682</v>
      </c>
      <c r="CO33" s="1576">
        <v>0</v>
      </c>
      <c r="CP33" s="1577">
        <v>0</v>
      </c>
      <c r="CQ33" s="1577">
        <v>0</v>
      </c>
      <c r="CR33" s="1577">
        <v>0</v>
      </c>
      <c r="CS33" s="1577">
        <v>0</v>
      </c>
      <c r="CT33" s="1577">
        <v>0</v>
      </c>
      <c r="CU33" s="1577">
        <v>4514</v>
      </c>
      <c r="CV33" s="1577">
        <v>2500</v>
      </c>
      <c r="CW33" s="1577">
        <v>156</v>
      </c>
      <c r="CX33" s="1577">
        <v>3460</v>
      </c>
      <c r="CY33" s="1577">
        <v>-224</v>
      </c>
      <c r="CZ33" s="1578">
        <v>9591</v>
      </c>
      <c r="DA33" s="1579">
        <f t="shared" si="15"/>
        <v>19997</v>
      </c>
      <c r="DB33" s="1576">
        <v>2470</v>
      </c>
      <c r="DC33" s="1577">
        <v>1320</v>
      </c>
      <c r="DD33" s="1577">
        <v>1766</v>
      </c>
      <c r="DE33" s="1577">
        <v>1519</v>
      </c>
      <c r="DF33" s="1577">
        <v>3884</v>
      </c>
      <c r="DG33" s="1577">
        <v>3768</v>
      </c>
      <c r="DH33" s="1577">
        <v>4389</v>
      </c>
      <c r="DI33" s="1577">
        <v>2984</v>
      </c>
      <c r="DJ33" s="1577">
        <v>9272</v>
      </c>
      <c r="DK33" s="1577">
        <v>2859</v>
      </c>
      <c r="DL33" s="1577">
        <v>6882</v>
      </c>
      <c r="DM33" s="1578">
        <v>27213</v>
      </c>
      <c r="DN33" s="1579">
        <f t="shared" si="27"/>
        <v>68326</v>
      </c>
      <c r="DO33" s="1576">
        <v>1416</v>
      </c>
      <c r="DP33" s="1577">
        <v>2398</v>
      </c>
      <c r="DQ33" s="1577">
        <v>14130</v>
      </c>
      <c r="DR33" s="1577">
        <v>12552</v>
      </c>
      <c r="DS33" s="1577">
        <v>14877</v>
      </c>
      <c r="DT33" s="1577">
        <v>12321</v>
      </c>
      <c r="DU33" s="1577">
        <v>15408</v>
      </c>
      <c r="DV33" s="1577">
        <v>12741</v>
      </c>
      <c r="DW33" s="1577">
        <v>17912</v>
      </c>
      <c r="DX33" s="1577">
        <v>17605</v>
      </c>
      <c r="DY33" s="1577">
        <v>14492</v>
      </c>
      <c r="DZ33" s="1578">
        <v>32077</v>
      </c>
      <c r="EA33" s="1579">
        <f t="shared" si="57"/>
        <v>167929</v>
      </c>
      <c r="EB33" s="1576">
        <v>2223</v>
      </c>
      <c r="EC33" s="1577">
        <v>9148</v>
      </c>
      <c r="ED33" s="1577">
        <v>18415</v>
      </c>
      <c r="EE33" s="1577">
        <v>15526</v>
      </c>
      <c r="EF33" s="1577">
        <v>17026</v>
      </c>
      <c r="EG33" s="1577">
        <v>15450</v>
      </c>
      <c r="EH33" s="1577">
        <v>9195</v>
      </c>
      <c r="EI33" s="1577">
        <v>7002</v>
      </c>
      <c r="EJ33" s="1577">
        <v>14342</v>
      </c>
      <c r="EK33" s="1577">
        <v>26914</v>
      </c>
      <c r="EL33" s="1577">
        <v>14338</v>
      </c>
      <c r="EM33" s="1578">
        <v>20854</v>
      </c>
      <c r="EN33" s="1579">
        <f t="shared" si="59"/>
        <v>170433</v>
      </c>
      <c r="EO33" s="1576">
        <v>0</v>
      </c>
      <c r="EP33" s="1577">
        <v>633</v>
      </c>
      <c r="EQ33" s="1577">
        <v>4502</v>
      </c>
      <c r="ER33" s="1577">
        <v>822</v>
      </c>
      <c r="ES33" s="1577">
        <v>1765</v>
      </c>
      <c r="ET33" s="1577">
        <v>984</v>
      </c>
      <c r="EU33" s="1577">
        <v>2940</v>
      </c>
      <c r="EV33" s="1577">
        <v>3775</v>
      </c>
      <c r="EW33" s="1577">
        <v>4876</v>
      </c>
      <c r="EX33" s="1577">
        <v>3355</v>
      </c>
      <c r="EY33" s="1577">
        <v>3410</v>
      </c>
      <c r="EZ33" s="1578">
        <v>7160</v>
      </c>
      <c r="FA33" s="1579">
        <f t="shared" si="61"/>
        <v>34222</v>
      </c>
      <c r="FB33" s="1576">
        <v>372</v>
      </c>
      <c r="FC33" s="1577">
        <v>2570</v>
      </c>
      <c r="FD33" s="1577">
        <v>1894</v>
      </c>
      <c r="FE33" s="1577">
        <v>1322</v>
      </c>
      <c r="FF33" s="1577">
        <v>2782</v>
      </c>
      <c r="FG33" s="1577">
        <v>975</v>
      </c>
      <c r="FH33" s="1577">
        <v>3855</v>
      </c>
      <c r="FI33" s="1577">
        <v>4631</v>
      </c>
      <c r="FJ33" s="1577">
        <v>14055</v>
      </c>
      <c r="FK33" s="1577">
        <v>21570</v>
      </c>
      <c r="FL33" s="1577">
        <v>23865</v>
      </c>
      <c r="FM33" s="1578">
        <v>44597</v>
      </c>
      <c r="FN33" s="1579">
        <f t="shared" si="63"/>
        <v>122488</v>
      </c>
      <c r="FO33" s="1576">
        <v>3191</v>
      </c>
      <c r="FP33" s="1577">
        <v>20640</v>
      </c>
      <c r="FQ33" s="1577">
        <v>30477</v>
      </c>
      <c r="FR33" s="1577">
        <v>24354</v>
      </c>
      <c r="FS33" s="1577">
        <v>19218</v>
      </c>
      <c r="FT33" s="1577">
        <v>29357</v>
      </c>
      <c r="FU33" s="1577">
        <v>26093</v>
      </c>
      <c r="FV33" s="1577">
        <v>25249</v>
      </c>
      <c r="FW33" s="1577">
        <v>29378</v>
      </c>
      <c r="FX33" s="1577">
        <v>27701</v>
      </c>
      <c r="FY33" s="1577">
        <v>26679</v>
      </c>
      <c r="FZ33" s="1578">
        <v>51327</v>
      </c>
      <c r="GA33" s="1579">
        <f t="shared" si="31"/>
        <v>313664</v>
      </c>
      <c r="GB33" s="1576">
        <v>364</v>
      </c>
      <c r="GC33" s="1577">
        <v>262</v>
      </c>
      <c r="GD33" s="1577">
        <v>18760</v>
      </c>
      <c r="GE33" s="1577">
        <v>7843</v>
      </c>
      <c r="GF33" s="1577">
        <v>6938</v>
      </c>
      <c r="GG33" s="1577">
        <v>6783</v>
      </c>
      <c r="GH33" s="1577">
        <v>15648</v>
      </c>
      <c r="GI33" s="1577">
        <v>14050</v>
      </c>
      <c r="GJ33" s="1577">
        <v>25799</v>
      </c>
      <c r="GK33" s="1577">
        <v>20252</v>
      </c>
      <c r="GL33" s="1577">
        <v>14130</v>
      </c>
      <c r="GM33" s="1578">
        <v>14739</v>
      </c>
      <c r="GN33" s="1579">
        <f t="shared" si="32"/>
        <v>145568</v>
      </c>
      <c r="GO33" s="1576">
        <v>526</v>
      </c>
      <c r="GP33" s="1577">
        <v>28</v>
      </c>
      <c r="GQ33" s="1577">
        <v>-513</v>
      </c>
      <c r="GR33" s="1577">
        <v>1750</v>
      </c>
      <c r="GS33" s="1577">
        <v>285</v>
      </c>
      <c r="GT33" s="1577">
        <v>2490</v>
      </c>
      <c r="GU33" s="1577">
        <v>195</v>
      </c>
      <c r="GV33" s="1577">
        <v>1976</v>
      </c>
      <c r="GW33" s="1577">
        <v>2909</v>
      </c>
      <c r="GX33" s="1577">
        <v>878</v>
      </c>
      <c r="GY33" s="1577">
        <v>607</v>
      </c>
      <c r="GZ33" s="1578">
        <v>2049</v>
      </c>
      <c r="HA33" s="1579">
        <f t="shared" si="33"/>
        <v>13180</v>
      </c>
      <c r="HB33" s="1576">
        <v>519</v>
      </c>
      <c r="HC33" s="1577">
        <v>1138</v>
      </c>
      <c r="HD33" s="1577">
        <v>1829</v>
      </c>
      <c r="HE33" s="1577">
        <v>1323</v>
      </c>
      <c r="HF33" s="1577">
        <v>862</v>
      </c>
      <c r="HG33" s="1577">
        <v>576</v>
      </c>
      <c r="HH33" s="1577">
        <v>1156</v>
      </c>
      <c r="HI33" s="1577">
        <v>951</v>
      </c>
      <c r="HJ33" s="1577">
        <v>422</v>
      </c>
      <c r="HK33" s="1577">
        <v>1286</v>
      </c>
      <c r="HL33" s="1577">
        <v>2376</v>
      </c>
      <c r="HM33" s="1578">
        <v>1514</v>
      </c>
      <c r="HN33" s="1579">
        <f t="shared" si="34"/>
        <v>13952</v>
      </c>
      <c r="HO33" s="1576">
        <v>174</v>
      </c>
      <c r="HP33" s="1577">
        <v>285</v>
      </c>
      <c r="HQ33" s="1577">
        <v>52</v>
      </c>
      <c r="HR33" s="1577">
        <v>517</v>
      </c>
      <c r="HS33" s="1577">
        <v>0</v>
      </c>
      <c r="HT33" s="1577">
        <v>659</v>
      </c>
      <c r="HU33" s="1577">
        <v>1533</v>
      </c>
      <c r="HV33" s="1577">
        <v>3774</v>
      </c>
      <c r="HW33" s="1577">
        <v>1314</v>
      </c>
      <c r="HX33" s="1577">
        <v>276</v>
      </c>
      <c r="HY33" s="1577">
        <v>934</v>
      </c>
      <c r="HZ33" s="1578">
        <v>3717</v>
      </c>
      <c r="IA33" s="1576">
        <f t="shared" si="42"/>
        <v>13235</v>
      </c>
      <c r="IB33" s="1569">
        <v>225</v>
      </c>
      <c r="IC33" s="1068">
        <v>117</v>
      </c>
      <c r="ID33" s="1068">
        <v>1057</v>
      </c>
      <c r="IE33" s="1068">
        <v>2382</v>
      </c>
      <c r="IF33" s="1068">
        <v>3345</v>
      </c>
      <c r="IG33" s="1068">
        <v>1631</v>
      </c>
      <c r="IH33" s="1068">
        <v>3539</v>
      </c>
      <c r="II33" s="1068">
        <v>4313</v>
      </c>
      <c r="IJ33" s="1068"/>
      <c r="IK33" s="1068"/>
      <c r="IL33" s="1068"/>
      <c r="IM33" s="1570"/>
      <c r="IN33" s="1571">
        <f t="shared" si="35"/>
        <v>16609</v>
      </c>
      <c r="IO33"/>
      <c r="IP33" s="1656">
        <f t="shared" si="36"/>
        <v>14.281928987811332</v>
      </c>
      <c r="IQ33" s="1656">
        <f t="shared" si="37"/>
        <v>137.47497855304545</v>
      </c>
      <c r="IR33" s="1657">
        <f t="shared" si="38"/>
        <v>6994</v>
      </c>
      <c r="IS33" s="1657">
        <f t="shared" si="39"/>
        <v>16609</v>
      </c>
      <c r="IT33" s="1659"/>
      <c r="IU33" s="1659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</row>
    <row r="34" spans="1:280" s="105" customFormat="1" ht="15" customHeight="1" x14ac:dyDescent="0.2">
      <c r="A34" s="309" t="s">
        <v>328</v>
      </c>
      <c r="B34" s="1576">
        <v>246</v>
      </c>
      <c r="C34" s="1577">
        <v>440</v>
      </c>
      <c r="D34" s="1577">
        <v>992</v>
      </c>
      <c r="E34" s="1577">
        <v>737</v>
      </c>
      <c r="F34" s="1577">
        <v>500</v>
      </c>
      <c r="G34" s="1577">
        <v>826</v>
      </c>
      <c r="H34" s="1577">
        <v>232</v>
      </c>
      <c r="I34" s="1577">
        <v>520</v>
      </c>
      <c r="J34" s="1577">
        <v>555</v>
      </c>
      <c r="K34" s="1577">
        <v>1012</v>
      </c>
      <c r="L34" s="1577">
        <v>540</v>
      </c>
      <c r="M34" s="1578">
        <v>2721</v>
      </c>
      <c r="N34" s="1579">
        <f t="shared" si="44"/>
        <v>9321</v>
      </c>
      <c r="O34" s="1576">
        <v>1260</v>
      </c>
      <c r="P34" s="1577">
        <v>956</v>
      </c>
      <c r="Q34" s="1577">
        <v>2345</v>
      </c>
      <c r="R34" s="1577">
        <v>717</v>
      </c>
      <c r="S34" s="1577">
        <v>695</v>
      </c>
      <c r="T34" s="1577">
        <v>574</v>
      </c>
      <c r="U34" s="1577">
        <v>1323</v>
      </c>
      <c r="V34" s="1577">
        <v>449</v>
      </c>
      <c r="W34" s="1577">
        <v>396</v>
      </c>
      <c r="X34" s="1577">
        <v>958</v>
      </c>
      <c r="Y34" s="1577">
        <v>265</v>
      </c>
      <c r="Z34" s="1578">
        <v>431</v>
      </c>
      <c r="AA34" s="1579">
        <f t="shared" si="46"/>
        <v>10369</v>
      </c>
      <c r="AB34" s="1576">
        <v>16</v>
      </c>
      <c r="AC34" s="1577">
        <v>712</v>
      </c>
      <c r="AD34" s="1577">
        <v>1322</v>
      </c>
      <c r="AE34" s="1577">
        <v>558</v>
      </c>
      <c r="AF34" s="1577">
        <v>387</v>
      </c>
      <c r="AG34" s="1577">
        <v>363</v>
      </c>
      <c r="AH34" s="1577">
        <v>161</v>
      </c>
      <c r="AI34" s="1577">
        <v>460</v>
      </c>
      <c r="AJ34" s="1577">
        <v>606</v>
      </c>
      <c r="AK34" s="1577">
        <v>707</v>
      </c>
      <c r="AL34" s="1577">
        <v>728</v>
      </c>
      <c r="AM34" s="1578">
        <v>1943</v>
      </c>
      <c r="AN34" s="1579">
        <f t="shared" si="70"/>
        <v>7963</v>
      </c>
      <c r="AO34" s="1576">
        <v>0</v>
      </c>
      <c r="AP34" s="1577">
        <v>141</v>
      </c>
      <c r="AQ34" s="1577">
        <v>65</v>
      </c>
      <c r="AR34" s="1577">
        <v>228</v>
      </c>
      <c r="AS34" s="1577">
        <v>89</v>
      </c>
      <c r="AT34" s="1577">
        <v>735</v>
      </c>
      <c r="AU34" s="1577">
        <v>1138</v>
      </c>
      <c r="AV34" s="1577">
        <v>461</v>
      </c>
      <c r="AW34" s="1577">
        <v>821</v>
      </c>
      <c r="AX34" s="1577">
        <v>1096</v>
      </c>
      <c r="AY34" s="1577">
        <v>1496</v>
      </c>
      <c r="AZ34" s="1578">
        <v>2209</v>
      </c>
      <c r="BA34" s="1579">
        <f t="shared" si="49"/>
        <v>8479</v>
      </c>
      <c r="BB34" s="1576">
        <v>100</v>
      </c>
      <c r="BC34" s="1577">
        <v>389</v>
      </c>
      <c r="BD34" s="1577">
        <v>887</v>
      </c>
      <c r="BE34" s="1577">
        <v>703</v>
      </c>
      <c r="BF34" s="1577">
        <v>919</v>
      </c>
      <c r="BG34" s="1577">
        <v>1239</v>
      </c>
      <c r="BH34" s="1577">
        <v>1059</v>
      </c>
      <c r="BI34" s="1577">
        <v>1263</v>
      </c>
      <c r="BJ34" s="1577">
        <v>783</v>
      </c>
      <c r="BK34" s="1577">
        <v>2622</v>
      </c>
      <c r="BL34" s="1577">
        <v>3820</v>
      </c>
      <c r="BM34" s="1578">
        <v>2892</v>
      </c>
      <c r="BN34" s="1579">
        <f t="shared" si="51"/>
        <v>16676</v>
      </c>
      <c r="BO34" s="1576">
        <v>170</v>
      </c>
      <c r="BP34" s="1577">
        <v>1066</v>
      </c>
      <c r="BQ34" s="1577">
        <v>1198</v>
      </c>
      <c r="BR34" s="1577">
        <v>2638</v>
      </c>
      <c r="BS34" s="1577">
        <v>5409</v>
      </c>
      <c r="BT34" s="1577">
        <v>4471</v>
      </c>
      <c r="BU34" s="1577">
        <v>10297</v>
      </c>
      <c r="BV34" s="1577">
        <v>10667</v>
      </c>
      <c r="BW34" s="1577">
        <v>3501</v>
      </c>
      <c r="BX34" s="1577">
        <v>4010</v>
      </c>
      <c r="BY34" s="1577">
        <v>2259</v>
      </c>
      <c r="BZ34" s="1578">
        <v>-7822</v>
      </c>
      <c r="CA34" s="1579">
        <f t="shared" si="53"/>
        <v>37864</v>
      </c>
      <c r="CB34" s="1576">
        <v>701</v>
      </c>
      <c r="CC34" s="1577">
        <v>2547</v>
      </c>
      <c r="CD34" s="1577">
        <v>2019</v>
      </c>
      <c r="CE34" s="1577">
        <v>4902</v>
      </c>
      <c r="CF34" s="1577">
        <v>1306</v>
      </c>
      <c r="CG34" s="1577">
        <v>1298</v>
      </c>
      <c r="CH34" s="1577">
        <v>4031</v>
      </c>
      <c r="CI34" s="1577">
        <v>51</v>
      </c>
      <c r="CJ34" s="1577">
        <v>3218</v>
      </c>
      <c r="CK34" s="1577">
        <v>2185</v>
      </c>
      <c r="CL34" s="1577">
        <v>2044</v>
      </c>
      <c r="CM34" s="1578">
        <v>2501</v>
      </c>
      <c r="CN34" s="1579">
        <f t="shared" si="55"/>
        <v>26803</v>
      </c>
      <c r="CO34" s="1576">
        <v>0</v>
      </c>
      <c r="CP34" s="1577">
        <v>85</v>
      </c>
      <c r="CQ34" s="1577">
        <v>424</v>
      </c>
      <c r="CR34" s="1577">
        <v>1773</v>
      </c>
      <c r="CS34" s="1577">
        <v>837</v>
      </c>
      <c r="CT34" s="1577">
        <v>1420</v>
      </c>
      <c r="CU34" s="1577">
        <v>1136</v>
      </c>
      <c r="CV34" s="1577">
        <v>1179</v>
      </c>
      <c r="CW34" s="1577">
        <v>987</v>
      </c>
      <c r="CX34" s="1577">
        <v>833</v>
      </c>
      <c r="CY34" s="1577">
        <v>808</v>
      </c>
      <c r="CZ34" s="1578">
        <v>3119</v>
      </c>
      <c r="DA34" s="1579">
        <f t="shared" si="15"/>
        <v>12601</v>
      </c>
      <c r="DB34" s="1576">
        <v>94</v>
      </c>
      <c r="DC34" s="1577">
        <v>1665</v>
      </c>
      <c r="DD34" s="1577">
        <v>1501</v>
      </c>
      <c r="DE34" s="1577">
        <v>1863</v>
      </c>
      <c r="DF34" s="1577">
        <v>1817</v>
      </c>
      <c r="DG34" s="1577">
        <v>1109</v>
      </c>
      <c r="DH34" s="1577">
        <v>1309</v>
      </c>
      <c r="DI34" s="1577">
        <v>1579</v>
      </c>
      <c r="DJ34" s="1577">
        <v>2782</v>
      </c>
      <c r="DK34" s="1577">
        <v>1795</v>
      </c>
      <c r="DL34" s="1577">
        <v>1992</v>
      </c>
      <c r="DM34" s="1578">
        <v>2434</v>
      </c>
      <c r="DN34" s="1579">
        <f t="shared" si="27"/>
        <v>19940</v>
      </c>
      <c r="DO34" s="1576">
        <v>462</v>
      </c>
      <c r="DP34" s="1577">
        <v>610</v>
      </c>
      <c r="DQ34" s="1577">
        <v>1703</v>
      </c>
      <c r="DR34" s="1577">
        <v>1691</v>
      </c>
      <c r="DS34" s="1577">
        <v>2206</v>
      </c>
      <c r="DT34" s="1577">
        <v>1707</v>
      </c>
      <c r="DU34" s="1577">
        <v>1915</v>
      </c>
      <c r="DV34" s="1577">
        <v>1489</v>
      </c>
      <c r="DW34" s="1577">
        <v>1520</v>
      </c>
      <c r="DX34" s="1577">
        <v>2400</v>
      </c>
      <c r="DY34" s="1577">
        <v>2178</v>
      </c>
      <c r="DZ34" s="1578">
        <v>4120</v>
      </c>
      <c r="EA34" s="1579">
        <f t="shared" si="57"/>
        <v>22001</v>
      </c>
      <c r="EB34" s="1576">
        <v>785</v>
      </c>
      <c r="EC34" s="1577">
        <v>1657</v>
      </c>
      <c r="ED34" s="1577">
        <v>2499</v>
      </c>
      <c r="EE34" s="1577">
        <v>2834</v>
      </c>
      <c r="EF34" s="1577">
        <v>3421</v>
      </c>
      <c r="EG34" s="1577">
        <v>3027</v>
      </c>
      <c r="EH34" s="1577">
        <v>2678</v>
      </c>
      <c r="EI34" s="1577">
        <v>2749</v>
      </c>
      <c r="EJ34" s="1577">
        <v>2379</v>
      </c>
      <c r="EK34" s="1577">
        <v>2121</v>
      </c>
      <c r="EL34" s="1577">
        <v>1319</v>
      </c>
      <c r="EM34" s="1578">
        <v>2245</v>
      </c>
      <c r="EN34" s="1579">
        <f t="shared" si="59"/>
        <v>27714</v>
      </c>
      <c r="EO34" s="1576">
        <v>17</v>
      </c>
      <c r="EP34" s="1577">
        <v>194</v>
      </c>
      <c r="EQ34" s="1577">
        <v>85</v>
      </c>
      <c r="ER34" s="1577">
        <v>326</v>
      </c>
      <c r="ES34" s="1577">
        <v>867</v>
      </c>
      <c r="ET34" s="1577">
        <v>907</v>
      </c>
      <c r="EU34" s="1577">
        <v>1191</v>
      </c>
      <c r="EV34" s="1577">
        <v>1395</v>
      </c>
      <c r="EW34" s="1577">
        <v>1443</v>
      </c>
      <c r="EX34" s="1577">
        <v>1810</v>
      </c>
      <c r="EY34" s="1577">
        <v>1599</v>
      </c>
      <c r="EZ34" s="1578">
        <v>2248</v>
      </c>
      <c r="FA34" s="1579">
        <f t="shared" si="61"/>
        <v>12082</v>
      </c>
      <c r="FB34" s="1576">
        <v>111</v>
      </c>
      <c r="FC34" s="1577">
        <v>146</v>
      </c>
      <c r="FD34" s="1577">
        <v>74</v>
      </c>
      <c r="FE34" s="1577">
        <v>66</v>
      </c>
      <c r="FF34" s="1577">
        <v>40</v>
      </c>
      <c r="FG34" s="1577">
        <v>15</v>
      </c>
      <c r="FH34" s="1577">
        <v>163</v>
      </c>
      <c r="FI34" s="1577">
        <v>985</v>
      </c>
      <c r="FJ34" s="1577">
        <v>1721</v>
      </c>
      <c r="FK34" s="1577">
        <v>2727</v>
      </c>
      <c r="FL34" s="1577">
        <v>2590</v>
      </c>
      <c r="FM34" s="1578">
        <v>3243</v>
      </c>
      <c r="FN34" s="1579">
        <f t="shared" si="63"/>
        <v>11881</v>
      </c>
      <c r="FO34" s="1576">
        <v>558</v>
      </c>
      <c r="FP34" s="1577">
        <v>339</v>
      </c>
      <c r="FQ34" s="1577">
        <v>810</v>
      </c>
      <c r="FR34" s="1577">
        <v>496</v>
      </c>
      <c r="FS34" s="1577">
        <v>904</v>
      </c>
      <c r="FT34" s="1577">
        <v>488</v>
      </c>
      <c r="FU34" s="1577">
        <v>869</v>
      </c>
      <c r="FV34" s="1577">
        <v>752</v>
      </c>
      <c r="FW34" s="1577">
        <v>792</v>
      </c>
      <c r="FX34" s="1577">
        <v>601</v>
      </c>
      <c r="FY34" s="1577">
        <v>1004</v>
      </c>
      <c r="FZ34" s="1578">
        <v>2083</v>
      </c>
      <c r="GA34" s="1579">
        <f t="shared" si="31"/>
        <v>9696</v>
      </c>
      <c r="GB34" s="1576">
        <v>13</v>
      </c>
      <c r="GC34" s="1577">
        <v>20</v>
      </c>
      <c r="GD34" s="1577">
        <v>1323</v>
      </c>
      <c r="GE34" s="1577">
        <v>348</v>
      </c>
      <c r="GF34" s="1577">
        <v>893</v>
      </c>
      <c r="GG34" s="1577">
        <v>1036</v>
      </c>
      <c r="GH34" s="1577">
        <v>1111</v>
      </c>
      <c r="GI34" s="1577">
        <v>1755</v>
      </c>
      <c r="GJ34" s="1577">
        <v>1691</v>
      </c>
      <c r="GK34" s="1577">
        <v>2232</v>
      </c>
      <c r="GL34" s="1577">
        <v>2116</v>
      </c>
      <c r="GM34" s="1578">
        <v>3008</v>
      </c>
      <c r="GN34" s="1579">
        <f t="shared" si="32"/>
        <v>15546</v>
      </c>
      <c r="GO34" s="1576">
        <v>0</v>
      </c>
      <c r="GP34" s="1577">
        <v>144</v>
      </c>
      <c r="GQ34" s="1577">
        <v>327</v>
      </c>
      <c r="GR34" s="1577">
        <v>369</v>
      </c>
      <c r="GS34" s="1577">
        <v>230</v>
      </c>
      <c r="GT34" s="1577">
        <v>279</v>
      </c>
      <c r="GU34" s="1577">
        <v>594</v>
      </c>
      <c r="GV34" s="1577">
        <v>479</v>
      </c>
      <c r="GW34" s="1577">
        <v>403</v>
      </c>
      <c r="GX34" s="1577">
        <v>551</v>
      </c>
      <c r="GY34" s="1577">
        <v>574</v>
      </c>
      <c r="GZ34" s="1578">
        <v>507</v>
      </c>
      <c r="HA34" s="1579">
        <f t="shared" si="33"/>
        <v>4457</v>
      </c>
      <c r="HB34" s="1576">
        <v>4457</v>
      </c>
      <c r="HC34" s="1577">
        <v>898</v>
      </c>
      <c r="HD34" s="1577">
        <v>447</v>
      </c>
      <c r="HE34" s="1577">
        <v>877</v>
      </c>
      <c r="HF34" s="1577">
        <v>563</v>
      </c>
      <c r="HG34" s="1577">
        <v>972</v>
      </c>
      <c r="HH34" s="1577">
        <v>902</v>
      </c>
      <c r="HI34" s="1577">
        <v>627</v>
      </c>
      <c r="HJ34" s="1577">
        <v>700</v>
      </c>
      <c r="HK34" s="1577">
        <v>799</v>
      </c>
      <c r="HL34" s="1577">
        <v>1763</v>
      </c>
      <c r="HM34" s="1578">
        <v>2512</v>
      </c>
      <c r="HN34" s="1579">
        <f t="shared" si="34"/>
        <v>15517</v>
      </c>
      <c r="HO34" s="1576">
        <v>812</v>
      </c>
      <c r="HP34" s="1577">
        <v>848</v>
      </c>
      <c r="HQ34" s="1577">
        <v>3388</v>
      </c>
      <c r="HR34" s="1577">
        <v>1133</v>
      </c>
      <c r="HS34" s="1577">
        <v>1548</v>
      </c>
      <c r="HT34" s="1577">
        <v>1985</v>
      </c>
      <c r="HU34" s="1577">
        <v>4021</v>
      </c>
      <c r="HV34" s="1577">
        <v>1999</v>
      </c>
      <c r="HW34" s="1577">
        <v>2150</v>
      </c>
      <c r="HX34" s="1577">
        <v>2097</v>
      </c>
      <c r="HY34" s="1577">
        <v>1452</v>
      </c>
      <c r="HZ34" s="1578">
        <v>3477</v>
      </c>
      <c r="IA34" s="1576">
        <f t="shared" si="42"/>
        <v>24910</v>
      </c>
      <c r="IB34" s="1569">
        <v>215</v>
      </c>
      <c r="IC34" s="1068">
        <v>841</v>
      </c>
      <c r="ID34" s="1068">
        <v>775</v>
      </c>
      <c r="IE34" s="1068">
        <v>1106</v>
      </c>
      <c r="IF34" s="1068">
        <v>1317</v>
      </c>
      <c r="IG34" s="1068">
        <v>2129</v>
      </c>
      <c r="IH34" s="1068">
        <v>1389</v>
      </c>
      <c r="II34" s="1068">
        <v>1116</v>
      </c>
      <c r="IJ34" s="1068"/>
      <c r="IK34" s="1068"/>
      <c r="IL34" s="1068"/>
      <c r="IM34" s="1570"/>
      <c r="IN34" s="1571">
        <f t="shared" si="35"/>
        <v>8888</v>
      </c>
      <c r="IO34"/>
      <c r="IP34" s="1656">
        <f t="shared" si="36"/>
        <v>-44.172086043021508</v>
      </c>
      <c r="IQ34" s="1656">
        <f t="shared" si="37"/>
        <v>-43.510868183551544</v>
      </c>
      <c r="IR34" s="1657">
        <f t="shared" si="38"/>
        <v>15734</v>
      </c>
      <c r="IS34" s="1657">
        <f t="shared" si="39"/>
        <v>8888</v>
      </c>
      <c r="IT34" s="1659"/>
      <c r="IU34" s="1659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</row>
    <row r="35" spans="1:280" s="105" customFormat="1" ht="15" customHeight="1" x14ac:dyDescent="0.2">
      <c r="A35" s="309" t="s">
        <v>401</v>
      </c>
      <c r="B35" s="1576">
        <v>1451</v>
      </c>
      <c r="C35" s="1577">
        <v>3104</v>
      </c>
      <c r="D35" s="1577">
        <v>2771</v>
      </c>
      <c r="E35" s="1577">
        <v>3247</v>
      </c>
      <c r="F35" s="1577">
        <v>3331</v>
      </c>
      <c r="G35" s="1577">
        <v>3128</v>
      </c>
      <c r="H35" s="1577">
        <v>3220</v>
      </c>
      <c r="I35" s="1577">
        <v>3162</v>
      </c>
      <c r="J35" s="1577">
        <v>2993</v>
      </c>
      <c r="K35" s="1577">
        <v>3069</v>
      </c>
      <c r="L35" s="1577">
        <v>2980</v>
      </c>
      <c r="M35" s="1578">
        <v>3263</v>
      </c>
      <c r="N35" s="1579">
        <f t="shared" si="44"/>
        <v>35719</v>
      </c>
      <c r="O35" s="1576">
        <v>1070</v>
      </c>
      <c r="P35" s="1577">
        <v>1954</v>
      </c>
      <c r="Q35" s="1577">
        <v>3210</v>
      </c>
      <c r="R35" s="1577">
        <v>2644</v>
      </c>
      <c r="S35" s="1577">
        <v>2377</v>
      </c>
      <c r="T35" s="1577">
        <v>1969</v>
      </c>
      <c r="U35" s="1577">
        <v>3004</v>
      </c>
      <c r="V35" s="1577">
        <v>2356</v>
      </c>
      <c r="W35" s="1577">
        <v>2896</v>
      </c>
      <c r="X35" s="1577">
        <v>3302</v>
      </c>
      <c r="Y35" s="1577">
        <v>4217</v>
      </c>
      <c r="Z35" s="1578">
        <v>4509</v>
      </c>
      <c r="AA35" s="1579">
        <f t="shared" si="46"/>
        <v>33508</v>
      </c>
      <c r="AB35" s="1576">
        <v>2585</v>
      </c>
      <c r="AC35" s="1577">
        <v>2756</v>
      </c>
      <c r="AD35" s="1577">
        <v>5745</v>
      </c>
      <c r="AE35" s="1577">
        <v>5100</v>
      </c>
      <c r="AF35" s="1577">
        <v>6402</v>
      </c>
      <c r="AG35" s="1577">
        <v>7158</v>
      </c>
      <c r="AH35" s="1577">
        <v>6768</v>
      </c>
      <c r="AI35" s="1577">
        <v>7123</v>
      </c>
      <c r="AJ35" s="1577">
        <v>8137</v>
      </c>
      <c r="AK35" s="1577">
        <v>5068</v>
      </c>
      <c r="AL35" s="1577">
        <v>9957</v>
      </c>
      <c r="AM35" s="1578">
        <v>15090</v>
      </c>
      <c r="AN35" s="1579">
        <f t="shared" si="70"/>
        <v>81889</v>
      </c>
      <c r="AO35" s="1576">
        <v>114</v>
      </c>
      <c r="AP35" s="1577">
        <v>1770</v>
      </c>
      <c r="AQ35" s="1577">
        <v>5423</v>
      </c>
      <c r="AR35" s="1577">
        <v>4171</v>
      </c>
      <c r="AS35" s="1577">
        <v>5526</v>
      </c>
      <c r="AT35" s="1577">
        <v>5178</v>
      </c>
      <c r="AU35" s="1577">
        <v>5325</v>
      </c>
      <c r="AV35" s="1577">
        <v>6774</v>
      </c>
      <c r="AW35" s="1577">
        <v>8489</v>
      </c>
      <c r="AX35" s="1577">
        <v>7446</v>
      </c>
      <c r="AY35" s="1577">
        <v>11878</v>
      </c>
      <c r="AZ35" s="1578">
        <v>26912</v>
      </c>
      <c r="BA35" s="1579">
        <f t="shared" si="49"/>
        <v>89006</v>
      </c>
      <c r="BB35" s="1576">
        <v>4148</v>
      </c>
      <c r="BC35" s="1577">
        <v>7196</v>
      </c>
      <c r="BD35" s="1577">
        <v>10365</v>
      </c>
      <c r="BE35" s="1577">
        <v>7222</v>
      </c>
      <c r="BF35" s="1577">
        <v>11655</v>
      </c>
      <c r="BG35" s="1577">
        <v>13830</v>
      </c>
      <c r="BH35" s="1577">
        <v>11484</v>
      </c>
      <c r="BI35" s="1577">
        <v>11792</v>
      </c>
      <c r="BJ35" s="1577">
        <v>12427</v>
      </c>
      <c r="BK35" s="1577">
        <v>9375</v>
      </c>
      <c r="BL35" s="1577">
        <v>14792</v>
      </c>
      <c r="BM35" s="1578">
        <v>16636</v>
      </c>
      <c r="BN35" s="1579">
        <f t="shared" si="51"/>
        <v>130922</v>
      </c>
      <c r="BO35" s="1576">
        <v>3128</v>
      </c>
      <c r="BP35" s="1577">
        <v>5761</v>
      </c>
      <c r="BQ35" s="1577">
        <v>8438</v>
      </c>
      <c r="BR35" s="1577">
        <v>9866</v>
      </c>
      <c r="BS35" s="1577">
        <v>7305</v>
      </c>
      <c r="BT35" s="1577">
        <v>8163</v>
      </c>
      <c r="BU35" s="1577">
        <v>18351</v>
      </c>
      <c r="BV35" s="1577">
        <v>4776</v>
      </c>
      <c r="BW35" s="1577">
        <v>6198</v>
      </c>
      <c r="BX35" s="1577">
        <v>7537</v>
      </c>
      <c r="BY35" s="1577">
        <v>6239</v>
      </c>
      <c r="BZ35" s="1578">
        <v>13058</v>
      </c>
      <c r="CA35" s="1579">
        <f t="shared" si="53"/>
        <v>98820</v>
      </c>
      <c r="CB35" s="1576">
        <v>8141</v>
      </c>
      <c r="CC35" s="1577">
        <v>12953</v>
      </c>
      <c r="CD35" s="1577">
        <v>9436</v>
      </c>
      <c r="CE35" s="1577">
        <v>8035</v>
      </c>
      <c r="CF35" s="1577">
        <v>11726</v>
      </c>
      <c r="CG35" s="1577">
        <v>15185</v>
      </c>
      <c r="CH35" s="1577">
        <v>15732</v>
      </c>
      <c r="CI35" s="1577">
        <v>10971</v>
      </c>
      <c r="CJ35" s="1577">
        <v>11532</v>
      </c>
      <c r="CK35" s="1577">
        <v>11630</v>
      </c>
      <c r="CL35" s="1577">
        <v>10625</v>
      </c>
      <c r="CM35" s="1578">
        <v>35168</v>
      </c>
      <c r="CN35" s="1579">
        <f t="shared" si="55"/>
        <v>161134</v>
      </c>
      <c r="CO35" s="1576">
        <v>728</v>
      </c>
      <c r="CP35" s="1577">
        <v>8325</v>
      </c>
      <c r="CQ35" s="1577">
        <v>13006</v>
      </c>
      <c r="CR35" s="1577">
        <v>14722</v>
      </c>
      <c r="CS35" s="1577">
        <v>11802</v>
      </c>
      <c r="CT35" s="1577">
        <v>9053</v>
      </c>
      <c r="CU35" s="1577">
        <v>28976</v>
      </c>
      <c r="CV35" s="1577">
        <v>12130</v>
      </c>
      <c r="CW35" s="1577">
        <v>13320</v>
      </c>
      <c r="CX35" s="1577">
        <v>12037</v>
      </c>
      <c r="CY35" s="1577">
        <v>13457</v>
      </c>
      <c r="CZ35" s="1578">
        <v>32380</v>
      </c>
      <c r="DA35" s="1579">
        <f t="shared" si="15"/>
        <v>169936</v>
      </c>
      <c r="DB35" s="1576">
        <v>4507</v>
      </c>
      <c r="DC35" s="1577">
        <v>8504</v>
      </c>
      <c r="DD35" s="1577">
        <v>14052</v>
      </c>
      <c r="DE35" s="1577">
        <v>13396</v>
      </c>
      <c r="DF35" s="1577">
        <v>14200</v>
      </c>
      <c r="DG35" s="1577">
        <v>12107</v>
      </c>
      <c r="DH35" s="1577">
        <v>15916</v>
      </c>
      <c r="DI35" s="1577">
        <v>11194</v>
      </c>
      <c r="DJ35" s="1577">
        <v>20057</v>
      </c>
      <c r="DK35" s="1577">
        <v>9405</v>
      </c>
      <c r="DL35" s="1577">
        <v>17536</v>
      </c>
      <c r="DM35" s="1578">
        <v>38646</v>
      </c>
      <c r="DN35" s="1579">
        <f t="shared" si="27"/>
        <v>179520</v>
      </c>
      <c r="DO35" s="1576">
        <v>3639</v>
      </c>
      <c r="DP35" s="1577">
        <v>5918</v>
      </c>
      <c r="DQ35" s="1577">
        <v>13924</v>
      </c>
      <c r="DR35" s="1577">
        <v>7058</v>
      </c>
      <c r="DS35" s="1577">
        <v>8329</v>
      </c>
      <c r="DT35" s="1577">
        <v>15860</v>
      </c>
      <c r="DU35" s="1577">
        <v>14363</v>
      </c>
      <c r="DV35" s="1577">
        <v>9457</v>
      </c>
      <c r="DW35" s="1577">
        <v>23616</v>
      </c>
      <c r="DX35" s="1577">
        <v>10493</v>
      </c>
      <c r="DY35" s="1577">
        <v>12459</v>
      </c>
      <c r="DZ35" s="1578">
        <v>34682</v>
      </c>
      <c r="EA35" s="1579">
        <f t="shared" si="57"/>
        <v>159798</v>
      </c>
      <c r="EB35" s="1576">
        <v>8038</v>
      </c>
      <c r="EC35" s="1577">
        <v>8875</v>
      </c>
      <c r="ED35" s="1577">
        <v>14914</v>
      </c>
      <c r="EE35" s="1577">
        <v>9826</v>
      </c>
      <c r="EF35" s="1577">
        <v>12014</v>
      </c>
      <c r="EG35" s="1577">
        <v>14781</v>
      </c>
      <c r="EH35" s="1577">
        <v>23596</v>
      </c>
      <c r="EI35" s="1577">
        <v>18925</v>
      </c>
      <c r="EJ35" s="1577">
        <v>14845</v>
      </c>
      <c r="EK35" s="1577">
        <v>27293</v>
      </c>
      <c r="EL35" s="1577">
        <v>20341</v>
      </c>
      <c r="EM35" s="1578">
        <v>28588</v>
      </c>
      <c r="EN35" s="1579">
        <f t="shared" si="59"/>
        <v>202036</v>
      </c>
      <c r="EO35" s="1576">
        <v>290</v>
      </c>
      <c r="EP35" s="1577">
        <v>6824</v>
      </c>
      <c r="EQ35" s="1577">
        <v>8013</v>
      </c>
      <c r="ER35" s="1577">
        <v>13792</v>
      </c>
      <c r="ES35" s="1577">
        <v>8349</v>
      </c>
      <c r="ET35" s="1577">
        <v>14705</v>
      </c>
      <c r="EU35" s="1577">
        <v>10747</v>
      </c>
      <c r="EV35" s="1577">
        <v>13290</v>
      </c>
      <c r="EW35" s="1577">
        <v>18860</v>
      </c>
      <c r="EX35" s="1577">
        <v>11947</v>
      </c>
      <c r="EY35" s="1577">
        <v>10438</v>
      </c>
      <c r="EZ35" s="1578">
        <v>19186</v>
      </c>
      <c r="FA35" s="1579">
        <f t="shared" si="61"/>
        <v>136441</v>
      </c>
      <c r="FB35" s="1576">
        <v>3423</v>
      </c>
      <c r="FC35" s="1577">
        <v>5129</v>
      </c>
      <c r="FD35" s="1577">
        <v>7080</v>
      </c>
      <c r="FE35" s="1577">
        <v>2080</v>
      </c>
      <c r="FF35" s="1577">
        <v>1846</v>
      </c>
      <c r="FG35" s="1577">
        <v>2192</v>
      </c>
      <c r="FH35" s="1577">
        <v>5231</v>
      </c>
      <c r="FI35" s="1577">
        <v>6972</v>
      </c>
      <c r="FJ35" s="1577">
        <v>9799</v>
      </c>
      <c r="FK35" s="1577">
        <v>10142</v>
      </c>
      <c r="FL35" s="1577">
        <v>12004</v>
      </c>
      <c r="FM35" s="1578">
        <v>24920</v>
      </c>
      <c r="FN35" s="1579">
        <f t="shared" si="63"/>
        <v>90818</v>
      </c>
      <c r="FO35" s="1576">
        <v>6873</v>
      </c>
      <c r="FP35" s="1577">
        <v>8154</v>
      </c>
      <c r="FQ35" s="1577">
        <v>20157</v>
      </c>
      <c r="FR35" s="1577">
        <v>7599</v>
      </c>
      <c r="FS35" s="1577">
        <v>8938</v>
      </c>
      <c r="FT35" s="1577">
        <v>11491</v>
      </c>
      <c r="FU35" s="1577">
        <v>8410</v>
      </c>
      <c r="FV35" s="1577">
        <v>13044</v>
      </c>
      <c r="FW35" s="1577">
        <v>14355</v>
      </c>
      <c r="FX35" s="1577">
        <v>9997</v>
      </c>
      <c r="FY35" s="1577">
        <v>12049</v>
      </c>
      <c r="FZ35" s="1578">
        <v>19013</v>
      </c>
      <c r="GA35" s="1579">
        <f t="shared" si="31"/>
        <v>140080</v>
      </c>
      <c r="GB35" s="1576">
        <v>2664</v>
      </c>
      <c r="GC35" s="1577">
        <v>7071</v>
      </c>
      <c r="GD35" s="1577">
        <v>19053</v>
      </c>
      <c r="GE35" s="1577">
        <v>6116</v>
      </c>
      <c r="GF35" s="1577">
        <v>12416</v>
      </c>
      <c r="GG35" s="1577">
        <v>9920</v>
      </c>
      <c r="GH35" s="1577">
        <v>12750</v>
      </c>
      <c r="GI35" s="1577">
        <v>19017</v>
      </c>
      <c r="GJ35" s="1577">
        <v>17818</v>
      </c>
      <c r="GK35" s="1577">
        <v>14875</v>
      </c>
      <c r="GL35" s="1577">
        <v>15182</v>
      </c>
      <c r="GM35" s="1578">
        <v>27210</v>
      </c>
      <c r="GN35" s="1579">
        <f>SUM(GB35:GM35)</f>
        <v>164092</v>
      </c>
      <c r="GO35" s="1576">
        <v>1073</v>
      </c>
      <c r="GP35" s="1577">
        <v>3833</v>
      </c>
      <c r="GQ35" s="1577">
        <v>7863</v>
      </c>
      <c r="GR35" s="1577">
        <v>18429</v>
      </c>
      <c r="GS35" s="1577">
        <v>6653</v>
      </c>
      <c r="GT35" s="1577">
        <v>14698</v>
      </c>
      <c r="GU35" s="1577">
        <v>10374</v>
      </c>
      <c r="GV35" s="1577">
        <v>16770</v>
      </c>
      <c r="GW35" s="1577">
        <v>16577</v>
      </c>
      <c r="GX35" s="1577">
        <v>12432</v>
      </c>
      <c r="GY35" s="1577">
        <v>13535</v>
      </c>
      <c r="GZ35" s="1578">
        <v>16456</v>
      </c>
      <c r="HA35" s="1579">
        <f t="shared" si="33"/>
        <v>138693</v>
      </c>
      <c r="HB35" s="1576">
        <v>2232</v>
      </c>
      <c r="HC35" s="1577">
        <v>6186</v>
      </c>
      <c r="HD35" s="1577">
        <v>8288</v>
      </c>
      <c r="HE35" s="1577">
        <v>10377</v>
      </c>
      <c r="HF35" s="1577">
        <v>10665</v>
      </c>
      <c r="HG35" s="1577">
        <v>6648</v>
      </c>
      <c r="HH35" s="1577">
        <v>7422</v>
      </c>
      <c r="HI35" s="1577">
        <v>7975</v>
      </c>
      <c r="HJ35" s="1577">
        <v>8567</v>
      </c>
      <c r="HK35" s="1577">
        <v>9024</v>
      </c>
      <c r="HL35" s="1577">
        <v>9330</v>
      </c>
      <c r="HM35" s="1578">
        <v>13570</v>
      </c>
      <c r="HN35" s="1579">
        <f t="shared" si="34"/>
        <v>100284</v>
      </c>
      <c r="HO35" s="1576">
        <v>4823</v>
      </c>
      <c r="HP35" s="1577">
        <v>6035</v>
      </c>
      <c r="HQ35" s="1577">
        <v>8975</v>
      </c>
      <c r="HR35" s="1577">
        <v>9725</v>
      </c>
      <c r="HS35" s="1577">
        <v>7452</v>
      </c>
      <c r="HT35" s="1577">
        <v>8388</v>
      </c>
      <c r="HU35" s="1577">
        <v>6814</v>
      </c>
      <c r="HV35" s="1577">
        <v>6950</v>
      </c>
      <c r="HW35" s="1577">
        <v>8099</v>
      </c>
      <c r="HX35" s="1577">
        <v>11902</v>
      </c>
      <c r="HY35" s="1577">
        <v>8506</v>
      </c>
      <c r="HZ35" s="1578">
        <v>18400</v>
      </c>
      <c r="IA35" s="1576">
        <f>SUM(HO35:HZ35)</f>
        <v>106069</v>
      </c>
      <c r="IB35" s="1569">
        <v>2913</v>
      </c>
      <c r="IC35" s="1068">
        <v>5323</v>
      </c>
      <c r="ID35" s="1068">
        <v>8978</v>
      </c>
      <c r="IE35" s="1068">
        <v>12097</v>
      </c>
      <c r="IF35" s="1068">
        <v>13586</v>
      </c>
      <c r="IG35" s="1068">
        <v>15712</v>
      </c>
      <c r="IH35" s="1068">
        <v>21786</v>
      </c>
      <c r="II35" s="1068">
        <v>19161</v>
      </c>
      <c r="IJ35" s="1068"/>
      <c r="IK35" s="1068"/>
      <c r="IL35" s="1068"/>
      <c r="IM35" s="1570"/>
      <c r="IN35" s="1571">
        <f t="shared" si="35"/>
        <v>99556</v>
      </c>
      <c r="IO35"/>
      <c r="IP35" s="1656">
        <f t="shared" si="36"/>
        <v>175.69784172661872</v>
      </c>
      <c r="IQ35" s="1656">
        <f>IFERROR(((IS35/IR35)-1)*100,"")</f>
        <v>68.276934518778944</v>
      </c>
      <c r="IR35" s="1657">
        <f t="shared" si="38"/>
        <v>59162</v>
      </c>
      <c r="IS35" s="1657">
        <f t="shared" si="39"/>
        <v>99556</v>
      </c>
      <c r="IT35" s="1659"/>
      <c r="IU35" s="1659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</row>
    <row r="36" spans="1:280" s="105" customFormat="1" ht="15" customHeight="1" x14ac:dyDescent="0.2">
      <c r="A36" s="309" t="s">
        <v>430</v>
      </c>
      <c r="B36" s="1576"/>
      <c r="C36" s="1577"/>
      <c r="D36" s="1577"/>
      <c r="E36" s="1577"/>
      <c r="F36" s="1577"/>
      <c r="G36" s="1577"/>
      <c r="H36" s="1577"/>
      <c r="I36" s="1577"/>
      <c r="J36" s="1577"/>
      <c r="K36" s="1577"/>
      <c r="L36" s="1577"/>
      <c r="M36" s="1578"/>
      <c r="N36" s="1579"/>
      <c r="O36" s="1576"/>
      <c r="P36" s="1577"/>
      <c r="Q36" s="1577"/>
      <c r="R36" s="1577"/>
      <c r="S36" s="1577"/>
      <c r="T36" s="1577"/>
      <c r="U36" s="1577"/>
      <c r="V36" s="1577"/>
      <c r="W36" s="1577"/>
      <c r="X36" s="1577"/>
      <c r="Y36" s="1577"/>
      <c r="Z36" s="1578"/>
      <c r="AA36" s="1579"/>
      <c r="AB36" s="1576"/>
      <c r="AC36" s="1577"/>
      <c r="AD36" s="1577"/>
      <c r="AE36" s="1577"/>
      <c r="AF36" s="1577"/>
      <c r="AG36" s="1577"/>
      <c r="AH36" s="1577"/>
      <c r="AI36" s="1577"/>
      <c r="AJ36" s="1577"/>
      <c r="AK36" s="1577"/>
      <c r="AL36" s="1577"/>
      <c r="AM36" s="1578"/>
      <c r="AN36" s="1579">
        <f t="shared" si="70"/>
        <v>0</v>
      </c>
      <c r="AO36" s="1576"/>
      <c r="AP36" s="1577"/>
      <c r="AQ36" s="1577"/>
      <c r="AR36" s="1577"/>
      <c r="AS36" s="1577"/>
      <c r="AT36" s="1577"/>
      <c r="AU36" s="1577"/>
      <c r="AV36" s="1577"/>
      <c r="AW36" s="1577"/>
      <c r="AX36" s="1577"/>
      <c r="AY36" s="1577"/>
      <c r="AZ36" s="1578"/>
      <c r="BA36" s="1579"/>
      <c r="BB36" s="1576"/>
      <c r="BC36" s="1577"/>
      <c r="BD36" s="1577"/>
      <c r="BE36" s="1577"/>
      <c r="BF36" s="1577"/>
      <c r="BG36" s="1577"/>
      <c r="BH36" s="1577"/>
      <c r="BI36" s="1577"/>
      <c r="BJ36" s="1577"/>
      <c r="BK36" s="1577"/>
      <c r="BL36" s="1577"/>
      <c r="BM36" s="1578"/>
      <c r="BN36" s="1579"/>
      <c r="BO36" s="1576"/>
      <c r="BP36" s="1577"/>
      <c r="BQ36" s="1577"/>
      <c r="BR36" s="1577"/>
      <c r="BS36" s="1577"/>
      <c r="BT36" s="1577"/>
      <c r="BU36" s="1577"/>
      <c r="BV36" s="1577"/>
      <c r="BW36" s="1577"/>
      <c r="BX36" s="1577"/>
      <c r="BY36" s="1577"/>
      <c r="BZ36" s="1578"/>
      <c r="CA36" s="1579"/>
      <c r="CB36" s="1576"/>
      <c r="CC36" s="1577"/>
      <c r="CD36" s="1577"/>
      <c r="CE36" s="1577"/>
      <c r="CF36" s="1577"/>
      <c r="CG36" s="1577"/>
      <c r="CH36" s="1577"/>
      <c r="CI36" s="1577"/>
      <c r="CJ36" s="1577"/>
      <c r="CK36" s="1577"/>
      <c r="CL36" s="1577"/>
      <c r="CM36" s="1578"/>
      <c r="CN36" s="1579"/>
      <c r="CO36" s="1576"/>
      <c r="CP36" s="1577"/>
      <c r="CQ36" s="1577"/>
      <c r="CR36" s="1577"/>
      <c r="CS36" s="1577"/>
      <c r="CT36" s="1577"/>
      <c r="CU36" s="1577"/>
      <c r="CV36" s="1577"/>
      <c r="CW36" s="1577"/>
      <c r="CX36" s="1577"/>
      <c r="CY36" s="1577"/>
      <c r="CZ36" s="1578"/>
      <c r="DA36" s="1579"/>
      <c r="DB36" s="1576"/>
      <c r="DC36" s="1577"/>
      <c r="DD36" s="1577"/>
      <c r="DE36" s="1577"/>
      <c r="DF36" s="1577"/>
      <c r="DG36" s="1577"/>
      <c r="DH36" s="1577"/>
      <c r="DI36" s="1577"/>
      <c r="DJ36" s="1577"/>
      <c r="DK36" s="1577"/>
      <c r="DL36" s="1577"/>
      <c r="DM36" s="1578"/>
      <c r="DN36" s="1579"/>
      <c r="DO36" s="1576"/>
      <c r="DP36" s="1577"/>
      <c r="DQ36" s="1577"/>
      <c r="DR36" s="1577"/>
      <c r="DS36" s="1577"/>
      <c r="DT36" s="1577"/>
      <c r="DU36" s="1577"/>
      <c r="DV36" s="1577"/>
      <c r="DW36" s="1577"/>
      <c r="DX36" s="1577"/>
      <c r="DY36" s="1577"/>
      <c r="DZ36" s="1578"/>
      <c r="EA36" s="1579"/>
      <c r="EB36" s="1576"/>
      <c r="EC36" s="1577"/>
      <c r="ED36" s="1577"/>
      <c r="EE36" s="1577"/>
      <c r="EF36" s="1577"/>
      <c r="EG36" s="1577"/>
      <c r="EH36" s="1577"/>
      <c r="EI36" s="1577"/>
      <c r="EJ36" s="1577"/>
      <c r="EK36" s="1577"/>
      <c r="EL36" s="1577"/>
      <c r="EM36" s="1578"/>
      <c r="EN36" s="1579"/>
      <c r="EO36" s="1576"/>
      <c r="EP36" s="1577"/>
      <c r="EQ36" s="1577"/>
      <c r="ER36" s="1577"/>
      <c r="ES36" s="1577"/>
      <c r="ET36" s="1577"/>
      <c r="EU36" s="1577"/>
      <c r="EV36" s="1577"/>
      <c r="EW36" s="1577"/>
      <c r="EX36" s="1577"/>
      <c r="EY36" s="1577"/>
      <c r="EZ36" s="1578"/>
      <c r="FA36" s="1579"/>
      <c r="FB36" s="1576"/>
      <c r="FC36" s="1577"/>
      <c r="FD36" s="1577"/>
      <c r="FE36" s="1577"/>
      <c r="FF36" s="1577"/>
      <c r="FG36" s="1577"/>
      <c r="FH36" s="1577"/>
      <c r="FI36" s="1577"/>
      <c r="FJ36" s="1577"/>
      <c r="FK36" s="1577"/>
      <c r="FL36" s="1577"/>
      <c r="FM36" s="1578"/>
      <c r="FN36" s="1579"/>
      <c r="FO36" s="1576"/>
      <c r="FP36" s="1577"/>
      <c r="FQ36" s="1577"/>
      <c r="FR36" s="1577"/>
      <c r="FS36" s="1577"/>
      <c r="FT36" s="1577"/>
      <c r="FU36" s="1577"/>
      <c r="FV36" s="1577"/>
      <c r="FW36" s="1577"/>
      <c r="FX36" s="1577"/>
      <c r="FY36" s="1577"/>
      <c r="FZ36" s="1578"/>
      <c r="GA36" s="1579"/>
      <c r="GB36" s="1576"/>
      <c r="GC36" s="1577"/>
      <c r="GD36" s="1577"/>
      <c r="GE36" s="1577"/>
      <c r="GF36" s="1577"/>
      <c r="GG36" s="1577"/>
      <c r="GH36" s="1577"/>
      <c r="GI36" s="1577"/>
      <c r="GJ36" s="1577"/>
      <c r="GK36" s="1577"/>
      <c r="GL36" s="1577"/>
      <c r="GM36" s="1578"/>
      <c r="GN36" s="1579"/>
      <c r="GO36" s="1576"/>
      <c r="GP36" s="1577"/>
      <c r="GQ36" s="1577"/>
      <c r="GR36" s="1577"/>
      <c r="GS36" s="1577"/>
      <c r="GT36" s="1577"/>
      <c r="GU36" s="1577"/>
      <c r="GV36" s="1577"/>
      <c r="GW36" s="1577"/>
      <c r="GX36" s="1577"/>
      <c r="GY36" s="1577"/>
      <c r="GZ36" s="1578"/>
      <c r="HA36" s="1579"/>
      <c r="HB36" s="1576"/>
      <c r="HC36" s="1577"/>
      <c r="HD36" s="1577"/>
      <c r="HE36" s="1577"/>
      <c r="HF36" s="1577"/>
      <c r="HG36" s="1577"/>
      <c r="HH36" s="1577"/>
      <c r="HI36" s="1577"/>
      <c r="HJ36" s="1577"/>
      <c r="HK36" s="1577"/>
      <c r="HL36" s="1577"/>
      <c r="HM36" s="1578"/>
      <c r="HN36" s="1579">
        <f t="shared" si="34"/>
        <v>0</v>
      </c>
      <c r="HO36" s="1576">
        <v>0</v>
      </c>
      <c r="HP36" s="1577">
        <v>0</v>
      </c>
      <c r="HQ36" s="1577">
        <v>0</v>
      </c>
      <c r="HR36" s="1577">
        <v>0</v>
      </c>
      <c r="HS36" s="1577">
        <v>0</v>
      </c>
      <c r="HT36" s="1577">
        <v>0</v>
      </c>
      <c r="HU36" s="1577">
        <v>0</v>
      </c>
      <c r="HV36" s="1577">
        <v>0</v>
      </c>
      <c r="HW36" s="1577">
        <v>0</v>
      </c>
      <c r="HX36" s="1577">
        <v>0</v>
      </c>
      <c r="HY36" s="1577">
        <v>0</v>
      </c>
      <c r="HZ36" s="1578">
        <v>0</v>
      </c>
      <c r="IA36" s="1576">
        <f t="shared" si="42"/>
        <v>0</v>
      </c>
      <c r="IB36" s="1569">
        <v>0</v>
      </c>
      <c r="IC36" s="1068">
        <v>0</v>
      </c>
      <c r="ID36" s="1068">
        <v>0</v>
      </c>
      <c r="IE36" s="1068">
        <v>0</v>
      </c>
      <c r="IF36" s="1068">
        <v>0</v>
      </c>
      <c r="IG36" s="1068">
        <v>0</v>
      </c>
      <c r="IH36" s="1068">
        <v>0</v>
      </c>
      <c r="II36" s="1068">
        <v>0</v>
      </c>
      <c r="IJ36" s="1068"/>
      <c r="IK36" s="1068"/>
      <c r="IL36" s="1068"/>
      <c r="IM36" s="1570"/>
      <c r="IN36" s="1571">
        <f t="shared" si="35"/>
        <v>0</v>
      </c>
      <c r="IO36"/>
      <c r="IP36" s="1656" t="str">
        <f t="shared" ref="IP36:IP37" si="71">IFERROR(((IE36/HR36)-1)*100,"")</f>
        <v/>
      </c>
      <c r="IQ36" s="1656" t="str">
        <f t="shared" si="37"/>
        <v/>
      </c>
      <c r="IR36" s="1657">
        <f t="shared" si="38"/>
        <v>0</v>
      </c>
      <c r="IS36" s="1657">
        <f t="shared" si="39"/>
        <v>0</v>
      </c>
      <c r="IT36" s="1659"/>
      <c r="IU36" s="1659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</row>
    <row r="37" spans="1:280" s="105" customFormat="1" ht="15" customHeight="1" x14ac:dyDescent="0.2">
      <c r="A37" s="309" t="s">
        <v>405</v>
      </c>
      <c r="B37" s="1576"/>
      <c r="C37" s="1577"/>
      <c r="D37" s="1577"/>
      <c r="E37" s="1577"/>
      <c r="F37" s="1577"/>
      <c r="G37" s="1577"/>
      <c r="H37" s="1577"/>
      <c r="I37" s="1577"/>
      <c r="J37" s="1577"/>
      <c r="K37" s="1577"/>
      <c r="L37" s="1577"/>
      <c r="M37" s="1578"/>
      <c r="N37" s="1579"/>
      <c r="O37" s="1576"/>
      <c r="P37" s="1577"/>
      <c r="Q37" s="1577"/>
      <c r="R37" s="1577"/>
      <c r="S37" s="1577"/>
      <c r="T37" s="1577"/>
      <c r="U37" s="1577"/>
      <c r="V37" s="1577"/>
      <c r="W37" s="1577"/>
      <c r="X37" s="1577"/>
      <c r="Y37" s="1577"/>
      <c r="Z37" s="1578"/>
      <c r="AA37" s="1579"/>
      <c r="AB37" s="1576"/>
      <c r="AC37" s="1577"/>
      <c r="AD37" s="1577"/>
      <c r="AE37" s="1577"/>
      <c r="AF37" s="1577"/>
      <c r="AG37" s="1577"/>
      <c r="AH37" s="1577"/>
      <c r="AI37" s="1577"/>
      <c r="AJ37" s="1577"/>
      <c r="AK37" s="1577"/>
      <c r="AL37" s="1577"/>
      <c r="AM37" s="1578"/>
      <c r="AN37" s="1579">
        <f t="shared" si="70"/>
        <v>0</v>
      </c>
      <c r="AO37" s="1576"/>
      <c r="AP37" s="1577"/>
      <c r="AQ37" s="1577"/>
      <c r="AR37" s="1577"/>
      <c r="AS37" s="1577"/>
      <c r="AT37" s="1577"/>
      <c r="AU37" s="1577"/>
      <c r="AV37" s="1577"/>
      <c r="AW37" s="1577"/>
      <c r="AX37" s="1577"/>
      <c r="AY37" s="1577"/>
      <c r="AZ37" s="1578"/>
      <c r="BA37" s="1579"/>
      <c r="BB37" s="1576"/>
      <c r="BC37" s="1577"/>
      <c r="BD37" s="1577"/>
      <c r="BE37" s="1577"/>
      <c r="BF37" s="1577"/>
      <c r="BG37" s="1577"/>
      <c r="BH37" s="1577"/>
      <c r="BI37" s="1577"/>
      <c r="BJ37" s="1577"/>
      <c r="BK37" s="1577"/>
      <c r="BL37" s="1577"/>
      <c r="BM37" s="1578"/>
      <c r="BN37" s="1579"/>
      <c r="BO37" s="1576"/>
      <c r="BP37" s="1577"/>
      <c r="BQ37" s="1577"/>
      <c r="BR37" s="1577"/>
      <c r="BS37" s="1577"/>
      <c r="BT37" s="1577"/>
      <c r="BU37" s="1577"/>
      <c r="BV37" s="1577"/>
      <c r="BW37" s="1577"/>
      <c r="BX37" s="1577"/>
      <c r="BY37" s="1577"/>
      <c r="BZ37" s="1578"/>
      <c r="CA37" s="1579"/>
      <c r="CB37" s="1576"/>
      <c r="CC37" s="1577"/>
      <c r="CD37" s="1577"/>
      <c r="CE37" s="1577"/>
      <c r="CF37" s="1577"/>
      <c r="CG37" s="1577"/>
      <c r="CH37" s="1577"/>
      <c r="CI37" s="1577"/>
      <c r="CJ37" s="1577"/>
      <c r="CK37" s="1577"/>
      <c r="CL37" s="1577"/>
      <c r="CM37" s="1578"/>
      <c r="CN37" s="1579"/>
      <c r="CO37" s="1576"/>
      <c r="CP37" s="1577"/>
      <c r="CQ37" s="1577"/>
      <c r="CR37" s="1577"/>
      <c r="CS37" s="1577"/>
      <c r="CT37" s="1577"/>
      <c r="CU37" s="1577"/>
      <c r="CV37" s="1577"/>
      <c r="CW37" s="1577"/>
      <c r="CX37" s="1577"/>
      <c r="CY37" s="1577"/>
      <c r="CZ37" s="1578"/>
      <c r="DA37" s="1579"/>
      <c r="DB37" s="1576"/>
      <c r="DC37" s="1577"/>
      <c r="DD37" s="1577"/>
      <c r="DE37" s="1577"/>
      <c r="DF37" s="1577"/>
      <c r="DG37" s="1577"/>
      <c r="DH37" s="1577"/>
      <c r="DI37" s="1577"/>
      <c r="DJ37" s="1577"/>
      <c r="DK37" s="1577"/>
      <c r="DL37" s="1577"/>
      <c r="DM37" s="1578"/>
      <c r="DN37" s="1579"/>
      <c r="DO37" s="1576"/>
      <c r="DP37" s="1577"/>
      <c r="DQ37" s="1577"/>
      <c r="DR37" s="1577"/>
      <c r="DS37" s="1577"/>
      <c r="DT37" s="1577"/>
      <c r="DU37" s="1577"/>
      <c r="DV37" s="1577"/>
      <c r="DW37" s="1577"/>
      <c r="DX37" s="1577"/>
      <c r="DY37" s="1577"/>
      <c r="DZ37" s="1578"/>
      <c r="EA37" s="1579"/>
      <c r="EB37" s="1576"/>
      <c r="EC37" s="1577"/>
      <c r="ED37" s="1577"/>
      <c r="EE37" s="1577"/>
      <c r="EF37" s="1577"/>
      <c r="EG37" s="1577"/>
      <c r="EH37" s="1577"/>
      <c r="EI37" s="1577"/>
      <c r="EJ37" s="1577"/>
      <c r="EK37" s="1577"/>
      <c r="EL37" s="1577"/>
      <c r="EM37" s="1578"/>
      <c r="EN37" s="1579"/>
      <c r="EO37" s="1576"/>
      <c r="EP37" s="1577"/>
      <c r="EQ37" s="1577"/>
      <c r="ER37" s="1577"/>
      <c r="ES37" s="1577"/>
      <c r="ET37" s="1577"/>
      <c r="EU37" s="1577"/>
      <c r="EV37" s="1577"/>
      <c r="EW37" s="1577"/>
      <c r="EX37" s="1577"/>
      <c r="EY37" s="1577"/>
      <c r="EZ37" s="1578"/>
      <c r="FA37" s="1579"/>
      <c r="FB37" s="1576"/>
      <c r="FC37" s="1577"/>
      <c r="FD37" s="1577"/>
      <c r="FE37" s="1577"/>
      <c r="FF37" s="1577"/>
      <c r="FG37" s="1577"/>
      <c r="FH37" s="1577"/>
      <c r="FI37" s="1577"/>
      <c r="FJ37" s="1577"/>
      <c r="FK37" s="1577"/>
      <c r="FL37" s="1577"/>
      <c r="FM37" s="1578"/>
      <c r="FN37" s="1579"/>
      <c r="FO37" s="1576"/>
      <c r="FP37" s="1577"/>
      <c r="FQ37" s="1577"/>
      <c r="FR37" s="1577"/>
      <c r="FS37" s="1577"/>
      <c r="FT37" s="1577"/>
      <c r="FU37" s="1577"/>
      <c r="FV37" s="1577"/>
      <c r="FW37" s="1577"/>
      <c r="FX37" s="1577"/>
      <c r="FY37" s="1577"/>
      <c r="FZ37" s="1578"/>
      <c r="GA37" s="1579"/>
      <c r="GB37" s="1576"/>
      <c r="GC37" s="1577"/>
      <c r="GD37" s="1577"/>
      <c r="GE37" s="1577"/>
      <c r="GF37" s="1577"/>
      <c r="GG37" s="1577"/>
      <c r="GH37" s="1577"/>
      <c r="GI37" s="1577"/>
      <c r="GJ37" s="1577"/>
      <c r="GK37" s="1577"/>
      <c r="GL37" s="1577"/>
      <c r="GM37" s="1578"/>
      <c r="GN37" s="1579"/>
      <c r="GO37" s="1576"/>
      <c r="GP37" s="1577"/>
      <c r="GQ37" s="1577"/>
      <c r="GR37" s="1577"/>
      <c r="GS37" s="1577"/>
      <c r="GT37" s="1577"/>
      <c r="GU37" s="1577"/>
      <c r="GV37" s="1577"/>
      <c r="GW37" s="1577"/>
      <c r="GX37" s="1577"/>
      <c r="GY37" s="1577"/>
      <c r="GZ37" s="1578"/>
      <c r="HA37" s="1579"/>
      <c r="HB37" s="1576"/>
      <c r="HC37" s="1577"/>
      <c r="HD37" s="1577"/>
      <c r="HE37" s="1577"/>
      <c r="HF37" s="1577"/>
      <c r="HG37" s="1577"/>
      <c r="HH37" s="1577"/>
      <c r="HI37" s="1577"/>
      <c r="HJ37" s="1577"/>
      <c r="HK37" s="1577"/>
      <c r="HL37" s="1577"/>
      <c r="HM37" s="1578"/>
      <c r="HN37" s="1579">
        <f t="shared" si="34"/>
        <v>0</v>
      </c>
      <c r="HO37" s="1576">
        <v>0</v>
      </c>
      <c r="HP37" s="1577">
        <v>0</v>
      </c>
      <c r="HQ37" s="1577">
        <v>0</v>
      </c>
      <c r="HR37" s="1577">
        <v>0</v>
      </c>
      <c r="HS37" s="1577">
        <v>0</v>
      </c>
      <c r="HT37" s="1577">
        <v>0</v>
      </c>
      <c r="HU37" s="1577">
        <v>0</v>
      </c>
      <c r="HV37" s="1577">
        <v>0</v>
      </c>
      <c r="HW37" s="1577">
        <v>0</v>
      </c>
      <c r="HX37" s="1577">
        <v>0</v>
      </c>
      <c r="HY37" s="1577">
        <v>0</v>
      </c>
      <c r="HZ37" s="1578">
        <v>0</v>
      </c>
      <c r="IA37" s="1576">
        <f t="shared" si="42"/>
        <v>0</v>
      </c>
      <c r="IB37" s="1569">
        <v>0</v>
      </c>
      <c r="IC37" s="1068">
        <v>0</v>
      </c>
      <c r="ID37" s="1068">
        <v>0</v>
      </c>
      <c r="IE37" s="1068">
        <v>0</v>
      </c>
      <c r="IF37" s="1068">
        <v>0</v>
      </c>
      <c r="IG37" s="1068">
        <v>0</v>
      </c>
      <c r="IH37" s="1068">
        <v>0</v>
      </c>
      <c r="II37" s="1068">
        <v>0</v>
      </c>
      <c r="IJ37" s="1068"/>
      <c r="IK37" s="1068"/>
      <c r="IL37" s="1068"/>
      <c r="IM37" s="1570"/>
      <c r="IN37" s="1571">
        <f t="shared" si="35"/>
        <v>0</v>
      </c>
      <c r="IO37"/>
      <c r="IP37" s="1656" t="str">
        <f t="shared" si="71"/>
        <v/>
      </c>
      <c r="IQ37" s="1656" t="str">
        <f t="shared" si="37"/>
        <v/>
      </c>
      <c r="IR37" s="1657">
        <f t="shared" si="38"/>
        <v>0</v>
      </c>
      <c r="IS37" s="1657">
        <f t="shared" si="39"/>
        <v>0</v>
      </c>
      <c r="IT37" s="1659"/>
      <c r="IU37" s="1659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</row>
    <row r="38" spans="1:280" s="105" customFormat="1" ht="15" customHeight="1" x14ac:dyDescent="0.2">
      <c r="A38" s="310" t="s">
        <v>352</v>
      </c>
      <c r="B38" s="1580"/>
      <c r="C38" s="1581"/>
      <c r="D38" s="1581"/>
      <c r="E38" s="1581"/>
      <c r="F38" s="1581"/>
      <c r="G38" s="1581"/>
      <c r="H38" s="1581"/>
      <c r="I38" s="1581"/>
      <c r="J38" s="1581"/>
      <c r="K38" s="1581"/>
      <c r="L38" s="1581"/>
      <c r="M38" s="1582"/>
      <c r="N38" s="1583"/>
      <c r="O38" s="1580"/>
      <c r="P38" s="1581"/>
      <c r="Q38" s="1581"/>
      <c r="R38" s="1581"/>
      <c r="S38" s="1581"/>
      <c r="T38" s="1581"/>
      <c r="U38" s="1581"/>
      <c r="V38" s="1581"/>
      <c r="W38" s="1581"/>
      <c r="X38" s="1581"/>
      <c r="Y38" s="1581"/>
      <c r="Z38" s="1582"/>
      <c r="AA38" s="1583"/>
      <c r="AB38" s="1580"/>
      <c r="AC38" s="1581"/>
      <c r="AD38" s="1581"/>
      <c r="AE38" s="1581"/>
      <c r="AF38" s="1581"/>
      <c r="AG38" s="1581"/>
      <c r="AH38" s="1581"/>
      <c r="AI38" s="1581"/>
      <c r="AJ38" s="1581"/>
      <c r="AK38" s="1581"/>
      <c r="AL38" s="1581"/>
      <c r="AM38" s="1582"/>
      <c r="AN38" s="1583"/>
      <c r="AO38" s="1580"/>
      <c r="AP38" s="1581"/>
      <c r="AQ38" s="1581"/>
      <c r="AR38" s="1581"/>
      <c r="AS38" s="1581"/>
      <c r="AT38" s="1581"/>
      <c r="AU38" s="1581"/>
      <c r="AV38" s="1581"/>
      <c r="AW38" s="1581"/>
      <c r="AX38" s="1581"/>
      <c r="AY38" s="1581"/>
      <c r="AZ38" s="1582"/>
      <c r="BA38" s="1583"/>
      <c r="BB38" s="1580"/>
      <c r="BC38" s="1581"/>
      <c r="BD38" s="1581"/>
      <c r="BE38" s="1581"/>
      <c r="BF38" s="1581"/>
      <c r="BG38" s="1581"/>
      <c r="BH38" s="1581"/>
      <c r="BI38" s="1581"/>
      <c r="BJ38" s="1581"/>
      <c r="BK38" s="1581"/>
      <c r="BL38" s="1581"/>
      <c r="BM38" s="1582"/>
      <c r="BN38" s="1583"/>
      <c r="BO38" s="1580"/>
      <c r="BP38" s="1581"/>
      <c r="BQ38" s="1581"/>
      <c r="BR38" s="1581"/>
      <c r="BS38" s="1581"/>
      <c r="BT38" s="1581"/>
      <c r="BU38" s="1581"/>
      <c r="BV38" s="1581"/>
      <c r="BW38" s="1581"/>
      <c r="BX38" s="1581"/>
      <c r="BY38" s="1581"/>
      <c r="BZ38" s="1582"/>
      <c r="CA38" s="1583"/>
      <c r="CB38" s="1580"/>
      <c r="CC38" s="1581"/>
      <c r="CD38" s="1581"/>
      <c r="CE38" s="1581"/>
      <c r="CF38" s="1581"/>
      <c r="CG38" s="1581"/>
      <c r="CH38" s="1581"/>
      <c r="CI38" s="1581"/>
      <c r="CJ38" s="1581"/>
      <c r="CK38" s="1581"/>
      <c r="CL38" s="1581"/>
      <c r="CM38" s="1582"/>
      <c r="CN38" s="1583"/>
      <c r="CO38" s="1580"/>
      <c r="CP38" s="1581"/>
      <c r="CQ38" s="1581"/>
      <c r="CR38" s="1581"/>
      <c r="CS38" s="1581"/>
      <c r="CT38" s="1581"/>
      <c r="CU38" s="1581"/>
      <c r="CV38" s="1581"/>
      <c r="CW38" s="1581"/>
      <c r="CX38" s="1581"/>
      <c r="CY38" s="1581"/>
      <c r="CZ38" s="1582"/>
      <c r="DA38" s="1583"/>
      <c r="DB38" s="1580"/>
      <c r="DC38" s="1581"/>
      <c r="DD38" s="1581"/>
      <c r="DE38" s="1581"/>
      <c r="DF38" s="1581"/>
      <c r="DG38" s="1581"/>
      <c r="DH38" s="1581"/>
      <c r="DI38" s="1581"/>
      <c r="DJ38" s="1581"/>
      <c r="DK38" s="1581"/>
      <c r="DL38" s="1581"/>
      <c r="DM38" s="1582"/>
      <c r="DN38" s="1583"/>
      <c r="DO38" s="1580"/>
      <c r="DP38" s="1581"/>
      <c r="DQ38" s="1581"/>
      <c r="DR38" s="1581"/>
      <c r="DS38" s="1581"/>
      <c r="DT38" s="1581"/>
      <c r="DU38" s="1581"/>
      <c r="DV38" s="1581"/>
      <c r="DW38" s="1581"/>
      <c r="DX38" s="1581"/>
      <c r="DY38" s="1581"/>
      <c r="DZ38" s="1582"/>
      <c r="EA38" s="1583"/>
      <c r="EB38" s="1580"/>
      <c r="EC38" s="1581"/>
      <c r="ED38" s="1581"/>
      <c r="EE38" s="1581"/>
      <c r="EF38" s="1581"/>
      <c r="EG38" s="1581"/>
      <c r="EH38" s="1581"/>
      <c r="EI38" s="1581"/>
      <c r="EJ38" s="1581"/>
      <c r="EK38" s="1581"/>
      <c r="EL38" s="1581"/>
      <c r="EM38" s="1582"/>
      <c r="EN38" s="1583"/>
      <c r="EO38" s="1580"/>
      <c r="EP38" s="1581"/>
      <c r="EQ38" s="1581"/>
      <c r="ER38" s="1581"/>
      <c r="ES38" s="1581"/>
      <c r="ET38" s="1581"/>
      <c r="EU38" s="1581"/>
      <c r="EV38" s="1581"/>
      <c r="EW38" s="1581"/>
      <c r="EX38" s="1581"/>
      <c r="EY38" s="1581"/>
      <c r="EZ38" s="1582"/>
      <c r="FA38" s="1583"/>
      <c r="FB38" s="1580"/>
      <c r="FC38" s="1581"/>
      <c r="FD38" s="1581"/>
      <c r="FE38" s="1581"/>
      <c r="FF38" s="1581"/>
      <c r="FG38" s="1581"/>
      <c r="FH38" s="1581"/>
      <c r="FI38" s="1581"/>
      <c r="FJ38" s="1581"/>
      <c r="FK38" s="1581"/>
      <c r="FL38" s="1581"/>
      <c r="FM38" s="1582"/>
      <c r="FN38" s="1583"/>
      <c r="FO38" s="1580"/>
      <c r="FP38" s="1581"/>
      <c r="FQ38" s="1581"/>
      <c r="FR38" s="1581"/>
      <c r="FS38" s="1581"/>
      <c r="FT38" s="1581"/>
      <c r="FU38" s="1581"/>
      <c r="FV38" s="1581"/>
      <c r="FW38" s="1581"/>
      <c r="FX38" s="1581"/>
      <c r="FY38" s="1581"/>
      <c r="FZ38" s="1582"/>
      <c r="GA38" s="1583"/>
      <c r="GB38" s="1580"/>
      <c r="GC38" s="1581"/>
      <c r="GD38" s="1581"/>
      <c r="GE38" s="1581"/>
      <c r="GF38" s="1581"/>
      <c r="GG38" s="1581"/>
      <c r="GH38" s="1581"/>
      <c r="GI38" s="1581"/>
      <c r="GJ38" s="1581"/>
      <c r="GK38" s="1581"/>
      <c r="GL38" s="1581"/>
      <c r="GM38" s="1582"/>
      <c r="GN38" s="1583"/>
      <c r="GO38" s="1580"/>
      <c r="GP38" s="1581"/>
      <c r="GQ38" s="1581"/>
      <c r="GR38" s="1581"/>
      <c r="GS38" s="1581"/>
      <c r="GT38" s="1581"/>
      <c r="GU38" s="1581"/>
      <c r="GV38" s="1581"/>
      <c r="GW38" s="1581"/>
      <c r="GX38" s="1581"/>
      <c r="GY38" s="1581"/>
      <c r="GZ38" s="1582"/>
      <c r="HA38" s="1583"/>
      <c r="HB38" s="1580"/>
      <c r="HC38" s="1581"/>
      <c r="HD38" s="1581"/>
      <c r="HE38" s="1581"/>
      <c r="HF38" s="1581"/>
      <c r="HG38" s="1581"/>
      <c r="HH38" s="1581"/>
      <c r="HI38" s="1581"/>
      <c r="HJ38" s="1581"/>
      <c r="HK38" s="1581"/>
      <c r="HL38" s="1581"/>
      <c r="HM38" s="1582"/>
      <c r="HN38" s="1583"/>
      <c r="HO38" s="1584"/>
      <c r="HP38" s="1585"/>
      <c r="HQ38" s="1585"/>
      <c r="HR38" s="1585"/>
      <c r="HS38" s="1585"/>
      <c r="HT38" s="1585"/>
      <c r="HU38" s="1585"/>
      <c r="HV38" s="1585"/>
      <c r="HW38" s="1585"/>
      <c r="HX38" s="1585"/>
      <c r="HY38" s="1585"/>
      <c r="HZ38" s="1586"/>
      <c r="IA38" s="1584"/>
      <c r="IB38" s="1584"/>
      <c r="IC38" s="1585"/>
      <c r="ID38" s="1585"/>
      <c r="IE38" s="1585"/>
      <c r="IF38" s="1585"/>
      <c r="IG38" s="1585"/>
      <c r="IH38" s="1585"/>
      <c r="II38" s="1585"/>
      <c r="IJ38" s="1585"/>
      <c r="IK38" s="1585"/>
      <c r="IL38" s="1585"/>
      <c r="IM38" s="1586"/>
      <c r="IN38" s="1587"/>
      <c r="IO38"/>
      <c r="IP38" s="1660" t="str">
        <f>IFERROR(((HS38/HF38)-1)*100,"")</f>
        <v/>
      </c>
      <c r="IQ38" s="1661" t="str">
        <f t="shared" si="37"/>
        <v/>
      </c>
      <c r="IR38" s="1661"/>
      <c r="IS38" s="1661"/>
      <c r="IT38" s="1659"/>
      <c r="IU38" s="1659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</row>
    <row r="39" spans="1:280" s="105" customFormat="1" ht="15" customHeight="1" x14ac:dyDescent="0.2">
      <c r="A39" s="311" t="s">
        <v>298</v>
      </c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4"/>
      <c r="Z39" s="314"/>
      <c r="AA39" s="314"/>
      <c r="AB39" s="314"/>
      <c r="AC39" s="314"/>
      <c r="AD39" s="314"/>
      <c r="AE39" s="314"/>
      <c r="AF39" s="314"/>
      <c r="AG39" s="314"/>
      <c r="AH39" s="314"/>
      <c r="AI39" s="314"/>
      <c r="AJ39" s="314"/>
      <c r="AK39" s="314"/>
      <c r="AL39" s="314"/>
      <c r="AM39" s="314"/>
      <c r="AN39" s="314"/>
      <c r="AO39" s="314"/>
      <c r="AP39" s="314"/>
      <c r="AQ39" s="314"/>
      <c r="AR39" s="314"/>
      <c r="AS39" s="314"/>
      <c r="AT39" s="314"/>
      <c r="AU39" s="314"/>
      <c r="AV39" s="314"/>
      <c r="AW39" s="314"/>
      <c r="AX39" s="314"/>
      <c r="AY39" s="314"/>
      <c r="AZ39" s="314"/>
      <c r="BA39" s="314"/>
      <c r="BB39" s="314"/>
      <c r="BC39" s="314"/>
      <c r="BD39" s="314"/>
      <c r="BE39" s="314"/>
      <c r="BF39" s="314"/>
      <c r="BG39" s="314"/>
      <c r="BH39" s="314"/>
      <c r="BI39" s="314"/>
      <c r="BJ39" s="314"/>
      <c r="BK39" s="314"/>
      <c r="BL39" s="314"/>
      <c r="BM39" s="314"/>
      <c r="BN39" s="314"/>
      <c r="BO39" s="314"/>
      <c r="BP39" s="314"/>
      <c r="BQ39" s="314"/>
      <c r="BR39" s="314"/>
      <c r="BS39" s="314"/>
      <c r="BT39" s="314"/>
      <c r="BU39" s="314"/>
      <c r="BV39" s="314"/>
      <c r="BW39" s="314"/>
      <c r="BX39" s="314"/>
      <c r="BY39" s="314"/>
      <c r="BZ39" s="314"/>
      <c r="CA39" s="314"/>
      <c r="CB39" s="314"/>
      <c r="CC39" s="314"/>
      <c r="CD39" s="314"/>
      <c r="CE39" s="314"/>
      <c r="CF39" s="314"/>
      <c r="CG39" s="314"/>
      <c r="CH39" s="314"/>
      <c r="CI39" s="314"/>
      <c r="CJ39" s="314"/>
      <c r="CK39" s="314"/>
      <c r="CL39" s="314"/>
      <c r="CM39" s="314"/>
      <c r="CN39" s="314"/>
      <c r="CO39" s="314"/>
      <c r="CP39" s="314"/>
      <c r="CQ39" s="314"/>
      <c r="CR39" s="314"/>
      <c r="CS39" s="314"/>
      <c r="CT39" s="314"/>
      <c r="CU39" s="314"/>
      <c r="CV39" s="314"/>
      <c r="CW39" s="314"/>
      <c r="CX39" s="314"/>
      <c r="CY39" s="314"/>
      <c r="CZ39" s="314"/>
      <c r="DA39" s="314"/>
      <c r="DB39" s="314"/>
      <c r="DC39" s="314"/>
      <c r="DD39" s="314"/>
      <c r="DE39" s="314"/>
      <c r="DF39" s="314"/>
      <c r="DG39" s="314"/>
      <c r="DH39" s="314"/>
      <c r="DI39" s="314"/>
      <c r="DJ39" s="314"/>
      <c r="DK39" s="314"/>
      <c r="DL39" s="314"/>
      <c r="DM39" s="314"/>
      <c r="DN39" s="314"/>
      <c r="DO39" s="314"/>
      <c r="DP39" s="314"/>
      <c r="DQ39" s="314"/>
      <c r="DR39" s="314"/>
      <c r="DS39" s="314"/>
      <c r="DT39" s="314"/>
      <c r="DU39" s="314"/>
      <c r="DV39" s="314"/>
      <c r="DW39" s="314"/>
      <c r="DX39" s="314"/>
      <c r="DY39" s="314"/>
      <c r="DZ39" s="314"/>
      <c r="EA39" s="314"/>
      <c r="EB39" s="314"/>
      <c r="EC39" s="314"/>
      <c r="ED39" s="314"/>
      <c r="EE39" s="314"/>
      <c r="EF39" s="314"/>
      <c r="EG39" s="314"/>
      <c r="EH39" s="314"/>
      <c r="EI39" s="314"/>
      <c r="EJ39" s="314"/>
      <c r="EK39" s="314"/>
      <c r="EL39" s="314"/>
      <c r="EM39" s="314"/>
      <c r="EN39" s="314"/>
      <c r="EO39" s="314"/>
      <c r="EP39" s="314"/>
      <c r="EQ39" s="314"/>
      <c r="ER39" s="314"/>
      <c r="ES39" s="314"/>
      <c r="ET39" s="314"/>
      <c r="EU39" s="314"/>
      <c r="EV39" s="314"/>
      <c r="EW39" s="314"/>
      <c r="EX39" s="314"/>
      <c r="EY39" s="314"/>
      <c r="EZ39" s="314"/>
      <c r="FA39" s="314"/>
      <c r="FB39" s="314"/>
      <c r="FC39" s="314"/>
      <c r="FD39" s="314"/>
      <c r="FE39" s="314"/>
      <c r="FF39" s="314"/>
      <c r="FG39" s="314"/>
      <c r="FH39" s="314"/>
      <c r="FI39" s="314"/>
      <c r="FJ39" s="400"/>
      <c r="FK39" s="400"/>
      <c r="FL39" s="400"/>
      <c r="FM39" s="401"/>
      <c r="FS39" s="120"/>
      <c r="FT39" s="120"/>
      <c r="FU39" s="120"/>
      <c r="FV39" s="120"/>
      <c r="FW39" s="120"/>
      <c r="FX39" s="120"/>
      <c r="FY39" s="120"/>
      <c r="FZ39" s="120"/>
      <c r="GA39" s="120"/>
      <c r="GB39" s="120"/>
      <c r="GC39" s="120"/>
      <c r="GD39" s="120"/>
      <c r="GE39" s="120"/>
      <c r="GF39" s="120"/>
      <c r="GG39" s="120"/>
      <c r="GH39" s="120"/>
      <c r="GI39" s="120"/>
      <c r="GJ39" s="120"/>
      <c r="GK39" s="120"/>
      <c r="HO39" s="1659"/>
      <c r="HP39" s="1659"/>
      <c r="HQ39" s="1659"/>
      <c r="HR39" s="1659"/>
      <c r="HS39" s="1659"/>
      <c r="HT39" s="1659"/>
      <c r="HU39" s="1659"/>
      <c r="HV39" s="1659"/>
      <c r="HW39" s="1659"/>
      <c r="HX39" s="1659"/>
      <c r="HY39" s="1659"/>
      <c r="HZ39" s="1659"/>
      <c r="IA39" s="165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 s="1659"/>
      <c r="IQ39" s="1659"/>
      <c r="IR39" s="1659"/>
      <c r="IS39" s="1659"/>
      <c r="IT39" s="1659"/>
      <c r="IU39" s="165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</row>
    <row r="40" spans="1:280" s="105" customFormat="1" ht="15" customHeight="1" x14ac:dyDescent="0.2">
      <c r="A40" s="112" t="s">
        <v>127</v>
      </c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FS40" s="120"/>
      <c r="FT40" s="120"/>
      <c r="FU40" s="120"/>
      <c r="FV40" s="120"/>
      <c r="FW40" s="120"/>
      <c r="FX40" s="120"/>
      <c r="FY40" s="120"/>
      <c r="FZ40" s="120"/>
      <c r="GA40" s="120"/>
      <c r="GB40" s="120"/>
      <c r="GC40" s="120"/>
      <c r="GD40" s="120"/>
      <c r="GE40" s="120"/>
      <c r="GF40" s="120"/>
      <c r="GG40" s="120"/>
      <c r="GH40" s="120"/>
      <c r="GI40" s="120"/>
      <c r="GJ40" s="120"/>
      <c r="GK40" s="12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</row>
    <row r="41" spans="1:280" ht="15" customHeight="1" x14ac:dyDescent="0.2"/>
    <row r="42" spans="1:280" ht="15" customHeight="1" x14ac:dyDescent="0.2"/>
    <row r="43" spans="1:280" ht="15" customHeight="1" x14ac:dyDescent="0.2"/>
    <row r="44" spans="1:280" ht="15" customHeight="1" x14ac:dyDescent="0.2"/>
    <row r="45" spans="1:280" ht="15" customHeight="1" x14ac:dyDescent="0.2"/>
    <row r="46" spans="1:280" ht="15" customHeight="1" x14ac:dyDescent="0.2"/>
    <row r="47" spans="1:280" ht="15" customHeight="1" x14ac:dyDescent="0.2"/>
    <row r="48" spans="1:28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</sheetData>
  <mergeCells count="1">
    <mergeCell ref="IP4:IQ4"/>
  </mergeCells>
  <printOptions horizontalCentered="1" verticalCentered="1"/>
  <pageMargins left="0.23622047244094491" right="0.15748031496062992" top="0.98425196850393704" bottom="0.98425196850393704" header="0" footer="0"/>
  <pageSetup paperSize="9" scale="10" orientation="landscape" r:id="rId1"/>
  <headerFooter alignWithMargins="0"/>
  <colBreaks count="1" manualBreakCount="1">
    <brk id="144" max="39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G47"/>
  <sheetViews>
    <sheetView showGridLines="0" view="pageBreakPreview" zoomScale="95" zoomScaleNormal="75" zoomScaleSheetLayoutView="100" workbookViewId="0">
      <pane xSplit="1" topLeftCell="ED1" activePane="topRight" state="frozen"/>
      <selection activeCell="IB59" sqref="IB59:JB59"/>
      <selection pane="topRight" activeCell="IB59" sqref="IB59:JB59"/>
    </sheetView>
  </sheetViews>
  <sheetFormatPr baseColWidth="10" defaultColWidth="9.7109375" defaultRowHeight="13.9" customHeight="1" x14ac:dyDescent="0.2"/>
  <cols>
    <col min="1" max="1" width="36.7109375" style="317" customWidth="1"/>
    <col min="2" max="22" width="10.5703125" style="317" customWidth="1"/>
    <col min="23" max="145" width="9.85546875" style="317" customWidth="1"/>
    <col min="146" max="146" width="9.85546875" customWidth="1"/>
    <col min="147" max="148" width="9.85546875" style="317" customWidth="1"/>
    <col min="149" max="149" width="9.7109375" style="317"/>
    <col min="150" max="151" width="9.85546875" style="317" customWidth="1"/>
    <col min="152" max="157" width="9.7109375" style="317"/>
    <col min="158" max="158" width="9.85546875" style="317" customWidth="1"/>
    <col min="159" max="16384" width="9.7109375" style="317"/>
  </cols>
  <sheetData>
    <row r="1" spans="1:163" ht="13.9" customHeight="1" x14ac:dyDescent="0.2">
      <c r="A1" s="357" t="s">
        <v>223</v>
      </c>
      <c r="B1" s="779"/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79"/>
      <c r="O1" s="779"/>
      <c r="P1" s="779"/>
      <c r="Q1" s="779"/>
      <c r="R1" s="779"/>
      <c r="S1" s="779"/>
      <c r="T1" s="779"/>
      <c r="U1" s="779"/>
      <c r="V1" s="779"/>
      <c r="W1" s="779"/>
      <c r="X1" s="779"/>
      <c r="Y1" s="779"/>
      <c r="Z1" s="779"/>
      <c r="AA1" s="779"/>
      <c r="AB1" s="779"/>
      <c r="AC1" s="779"/>
      <c r="AD1" s="779"/>
      <c r="AE1" s="779"/>
      <c r="AF1" s="779"/>
      <c r="AG1" s="779"/>
      <c r="AH1" s="779"/>
      <c r="AI1" s="779"/>
      <c r="AJ1" s="779"/>
      <c r="AK1" s="779"/>
      <c r="AL1" s="779"/>
      <c r="AM1" s="779"/>
      <c r="AN1" s="779"/>
      <c r="AO1" s="779"/>
      <c r="AP1" s="779"/>
      <c r="AQ1" s="779"/>
      <c r="AR1" s="779"/>
      <c r="AS1" s="779"/>
      <c r="AT1" s="779"/>
      <c r="AU1" s="779"/>
      <c r="AV1" s="779"/>
      <c r="AW1" s="779"/>
      <c r="AX1" s="779"/>
      <c r="AY1" s="779"/>
      <c r="AZ1" s="779"/>
      <c r="BA1" s="779"/>
      <c r="BB1" s="779"/>
      <c r="BC1" s="779"/>
      <c r="BD1" s="779"/>
      <c r="BE1" s="779"/>
      <c r="BF1" s="779"/>
      <c r="BG1" s="779"/>
      <c r="BH1" s="779"/>
      <c r="BI1" s="779"/>
      <c r="BJ1" s="779"/>
      <c r="BK1" s="779"/>
      <c r="BL1" s="779"/>
      <c r="BM1" s="779"/>
      <c r="BN1" s="779"/>
      <c r="BO1" s="779"/>
      <c r="BP1" s="779"/>
      <c r="BQ1" s="779"/>
      <c r="BR1" s="779"/>
      <c r="BS1" s="779"/>
      <c r="BT1" s="779"/>
      <c r="BU1" s="779"/>
      <c r="BV1" s="779"/>
      <c r="BW1" s="779"/>
      <c r="BX1" s="779"/>
      <c r="BY1" s="779"/>
      <c r="BZ1" s="779"/>
      <c r="CA1" s="779"/>
      <c r="CB1" s="779"/>
      <c r="CC1" s="779"/>
      <c r="CD1" s="779"/>
      <c r="CE1" s="779"/>
      <c r="CF1" s="779"/>
      <c r="CG1" s="779"/>
      <c r="CH1" s="779"/>
      <c r="CI1" s="779"/>
      <c r="CJ1" s="779"/>
      <c r="CK1" s="779"/>
      <c r="CL1" s="779"/>
      <c r="CM1" s="779"/>
      <c r="CN1" s="779"/>
      <c r="CO1" s="779"/>
      <c r="CP1" s="779"/>
      <c r="CQ1" s="779"/>
      <c r="CR1" s="779"/>
      <c r="CS1" s="779"/>
      <c r="CT1" s="779"/>
      <c r="CU1" s="779"/>
      <c r="CV1" s="779"/>
      <c r="CW1" s="779"/>
      <c r="CX1" s="779"/>
      <c r="CY1" s="779"/>
      <c r="CZ1" s="779"/>
      <c r="DA1" s="779"/>
      <c r="DB1" s="779"/>
      <c r="DC1" s="779"/>
      <c r="DD1" s="779"/>
      <c r="DE1" s="779"/>
      <c r="DF1" s="779"/>
      <c r="DG1" s="779"/>
      <c r="DH1" s="779"/>
      <c r="DI1" s="779"/>
      <c r="DJ1" s="779"/>
      <c r="DK1" s="779"/>
      <c r="DL1" s="779"/>
      <c r="DM1" s="779"/>
      <c r="DN1" s="779"/>
      <c r="DO1" s="779"/>
      <c r="DP1" s="779"/>
      <c r="DQ1" s="779"/>
      <c r="DR1" s="779"/>
      <c r="DS1" s="779"/>
      <c r="DT1" s="779"/>
      <c r="DU1" s="779"/>
      <c r="DV1" s="779"/>
      <c r="DW1" s="779"/>
      <c r="DX1" s="779"/>
      <c r="DY1" s="779"/>
      <c r="DZ1" s="779"/>
      <c r="EA1" s="779"/>
      <c r="EB1" s="779"/>
      <c r="EC1" s="779"/>
      <c r="ED1" s="779"/>
      <c r="EE1" s="779"/>
      <c r="EF1" s="779"/>
      <c r="EG1" s="779"/>
      <c r="EH1" s="779"/>
      <c r="EI1" s="779"/>
      <c r="EJ1" s="779"/>
      <c r="EK1" s="779"/>
      <c r="EL1" s="779"/>
      <c r="EM1" s="779"/>
      <c r="EN1" s="779"/>
      <c r="EO1" s="779"/>
      <c r="EQ1" s="779"/>
      <c r="ER1" s="779"/>
    </row>
    <row r="2" spans="1:163" ht="13.9" customHeight="1" x14ac:dyDescent="0.2">
      <c r="A2" s="357" t="s">
        <v>153</v>
      </c>
      <c r="B2" s="779"/>
      <c r="C2" s="779"/>
      <c r="D2" s="779"/>
      <c r="E2" s="779"/>
      <c r="F2" s="779"/>
      <c r="G2" s="779"/>
      <c r="H2" s="779"/>
      <c r="I2" s="779"/>
      <c r="J2" s="779"/>
      <c r="K2" s="779"/>
      <c r="L2" s="779"/>
      <c r="M2" s="779"/>
      <c r="N2" s="779"/>
      <c r="O2" s="779"/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779"/>
      <c r="AC2" s="779"/>
      <c r="AD2" s="779"/>
      <c r="AE2" s="779"/>
      <c r="AF2" s="779"/>
      <c r="AG2" s="779"/>
      <c r="AH2" s="779"/>
      <c r="AI2" s="779"/>
      <c r="AJ2" s="779"/>
      <c r="AK2" s="779"/>
      <c r="AL2" s="779"/>
      <c r="AM2" s="779"/>
      <c r="AN2" s="779"/>
      <c r="AO2" s="779"/>
      <c r="AP2" s="779"/>
      <c r="AQ2" s="779"/>
      <c r="AR2" s="779"/>
      <c r="AS2" s="779"/>
      <c r="AT2" s="779"/>
      <c r="AU2" s="779"/>
      <c r="AV2" s="779"/>
      <c r="AW2" s="779"/>
      <c r="AX2" s="779"/>
      <c r="AY2" s="779"/>
      <c r="AZ2" s="779"/>
      <c r="BA2" s="779"/>
      <c r="BB2" s="779"/>
      <c r="BC2" s="779"/>
      <c r="BD2" s="779"/>
      <c r="BE2" s="779"/>
      <c r="BF2" s="779"/>
      <c r="BG2" s="779"/>
      <c r="BH2" s="779"/>
      <c r="BI2" s="779"/>
      <c r="BJ2" s="779"/>
      <c r="BK2" s="779"/>
      <c r="BL2" s="779"/>
      <c r="BM2" s="779"/>
      <c r="BN2" s="779"/>
      <c r="BO2" s="779"/>
      <c r="BP2" s="779"/>
      <c r="BQ2" s="779"/>
      <c r="BR2" s="779"/>
      <c r="BS2" s="779"/>
      <c r="BT2" s="779"/>
      <c r="BU2" s="779"/>
      <c r="BV2" s="779"/>
      <c r="BW2" s="779"/>
      <c r="BX2" s="779"/>
      <c r="BY2" s="779"/>
      <c r="BZ2" s="779"/>
      <c r="CA2" s="779"/>
      <c r="CB2" s="779"/>
      <c r="CC2" s="779"/>
      <c r="CD2" s="779"/>
      <c r="CE2" s="779"/>
      <c r="CF2" s="779"/>
      <c r="CG2" s="779"/>
      <c r="CH2" s="779"/>
      <c r="CI2" s="779"/>
      <c r="CJ2" s="779"/>
      <c r="CK2" s="779"/>
      <c r="CL2" s="779"/>
      <c r="CM2" s="779"/>
      <c r="CN2" s="779"/>
      <c r="CO2" s="779"/>
      <c r="CP2" s="779"/>
      <c r="CQ2" s="779"/>
      <c r="CR2" s="779"/>
      <c r="CS2" s="779"/>
      <c r="CT2" s="779"/>
      <c r="CU2" s="779"/>
      <c r="CV2" s="779"/>
      <c r="CW2" s="779"/>
      <c r="CX2" s="779"/>
      <c r="CY2" s="779"/>
      <c r="CZ2" s="779"/>
      <c r="DA2" s="779"/>
      <c r="DB2" s="779"/>
      <c r="DC2" s="779"/>
      <c r="DD2" s="779"/>
      <c r="DE2" s="779"/>
      <c r="DF2" s="779"/>
      <c r="DG2" s="779"/>
      <c r="DH2" s="779"/>
      <c r="DI2" s="779"/>
      <c r="DJ2" s="779"/>
      <c r="DK2" s="779"/>
      <c r="DL2" s="779"/>
      <c r="DM2" s="779"/>
      <c r="DN2" s="779"/>
      <c r="DO2" s="779"/>
      <c r="DP2" s="779"/>
      <c r="DQ2" s="779"/>
      <c r="DR2" s="779"/>
      <c r="DS2" s="779"/>
      <c r="DT2" s="779"/>
      <c r="DU2" s="779"/>
      <c r="DV2" s="779"/>
      <c r="DW2" s="779"/>
      <c r="DX2" s="779"/>
      <c r="DY2" s="779"/>
      <c r="DZ2" s="779"/>
      <c r="EA2" s="779"/>
      <c r="EB2" s="779"/>
      <c r="EC2" s="779"/>
      <c r="ED2" s="779"/>
      <c r="EE2" s="779"/>
      <c r="EF2" s="779"/>
      <c r="EG2" s="779"/>
      <c r="EH2" s="779"/>
      <c r="EI2" s="779"/>
      <c r="EJ2" s="779"/>
      <c r="EK2" s="779"/>
      <c r="EL2" s="779"/>
      <c r="EM2" s="779"/>
      <c r="EN2" s="779"/>
      <c r="EO2" s="779"/>
      <c r="EQ2" s="779"/>
      <c r="ER2" s="779"/>
    </row>
    <row r="3" spans="1:163" ht="13.9" customHeight="1" x14ac:dyDescent="0.2">
      <c r="A3" s="780" t="s">
        <v>383</v>
      </c>
      <c r="B3" s="779"/>
      <c r="C3" s="781"/>
      <c r="D3" s="781"/>
      <c r="E3" s="781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779"/>
      <c r="AB3" s="779"/>
      <c r="AC3" s="779"/>
      <c r="AD3" s="779"/>
      <c r="AE3" s="779"/>
      <c r="AF3" s="779"/>
      <c r="AG3" s="779"/>
      <c r="AH3" s="779"/>
      <c r="AI3" s="779"/>
      <c r="AJ3" s="779"/>
      <c r="AK3" s="779"/>
      <c r="AL3" s="779"/>
      <c r="AM3" s="779"/>
      <c r="AN3" s="779"/>
      <c r="AO3" s="779"/>
      <c r="AP3" s="779"/>
      <c r="AQ3" s="779"/>
      <c r="AR3" s="779"/>
      <c r="AS3" s="779"/>
      <c r="AT3" s="779"/>
      <c r="AU3" s="779"/>
      <c r="AV3" s="779"/>
      <c r="AW3" s="779"/>
      <c r="AX3" s="779"/>
      <c r="AY3" s="779"/>
      <c r="AZ3" s="779"/>
      <c r="BA3" s="779"/>
      <c r="BB3" s="779"/>
      <c r="BC3" s="779"/>
      <c r="BD3" s="779"/>
      <c r="BE3" s="779"/>
      <c r="BF3" s="779"/>
      <c r="BG3" s="779"/>
      <c r="BH3" s="779"/>
      <c r="BI3" s="779"/>
      <c r="BJ3" s="779"/>
      <c r="BK3" s="779"/>
      <c r="BL3" s="779"/>
      <c r="BM3" s="779"/>
      <c r="BN3" s="779"/>
      <c r="BO3" s="779"/>
      <c r="BP3" s="779"/>
      <c r="BQ3" s="779"/>
      <c r="BR3" s="779"/>
      <c r="BS3" s="779"/>
      <c r="BT3" s="779"/>
      <c r="BU3" s="779"/>
      <c r="BV3" s="779"/>
      <c r="BW3" s="779"/>
      <c r="BX3" s="779"/>
      <c r="BY3" s="779"/>
      <c r="BZ3" s="779"/>
      <c r="CA3" s="779"/>
      <c r="CB3" s="779"/>
      <c r="CC3" s="779"/>
      <c r="CD3" s="779"/>
      <c r="CE3" s="779"/>
      <c r="CF3" s="779"/>
      <c r="CG3" s="779"/>
      <c r="CH3" s="779"/>
      <c r="CI3" s="779"/>
      <c r="CJ3" s="779"/>
      <c r="CK3" s="779"/>
      <c r="CL3" s="779"/>
      <c r="CM3" s="779"/>
      <c r="CN3" s="779"/>
      <c r="CO3" s="779"/>
      <c r="CP3" s="779"/>
      <c r="CQ3" s="779"/>
      <c r="CR3" s="779"/>
      <c r="CS3" s="779"/>
      <c r="CT3" s="779"/>
      <c r="CU3" s="779"/>
      <c r="CV3" s="779"/>
      <c r="CW3" s="779"/>
      <c r="CX3" s="779"/>
      <c r="CY3" s="779"/>
      <c r="CZ3" s="779"/>
      <c r="DA3" s="779"/>
      <c r="DB3" s="779"/>
      <c r="DC3" s="779"/>
      <c r="DD3" s="779"/>
      <c r="DE3" s="779"/>
      <c r="DF3" s="779"/>
      <c r="DG3" s="779"/>
      <c r="DH3" s="779"/>
      <c r="DI3" s="779"/>
      <c r="DJ3" s="779"/>
      <c r="DK3" s="779"/>
      <c r="DL3" s="779"/>
      <c r="DM3" s="779"/>
      <c r="DN3" s="779"/>
      <c r="DO3" s="779"/>
      <c r="DP3" s="779"/>
      <c r="DQ3" s="781"/>
      <c r="DR3" s="779"/>
      <c r="DS3" s="779"/>
      <c r="DT3" s="779"/>
      <c r="DU3" s="779"/>
      <c r="DV3" s="779"/>
      <c r="DW3" s="779"/>
      <c r="DX3" s="779"/>
      <c r="DY3" s="779"/>
      <c r="DZ3" s="779"/>
      <c r="EA3" s="779"/>
      <c r="EB3" s="779"/>
      <c r="EC3" s="779"/>
      <c r="ED3" s="779"/>
      <c r="EE3" s="779"/>
      <c r="EF3" s="779"/>
      <c r="EG3" s="779"/>
      <c r="EH3" s="779"/>
      <c r="EI3" s="779"/>
      <c r="EJ3" s="779"/>
      <c r="EK3" s="779"/>
      <c r="EL3" s="779"/>
      <c r="EM3" s="779"/>
      <c r="EN3" s="779"/>
      <c r="EO3" s="779"/>
      <c r="EQ3" s="779"/>
      <c r="ER3" s="779"/>
    </row>
    <row r="4" spans="1:163" ht="13.9" customHeight="1" x14ac:dyDescent="0.2">
      <c r="A4" s="322" t="s">
        <v>352</v>
      </c>
      <c r="B4" s="39">
        <f>YEAR(B5)</f>
        <v>2009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94"/>
      <c r="N4" s="39">
        <f>YEAR(N5)</f>
        <v>2010</v>
      </c>
      <c r="O4" s="40"/>
      <c r="P4" s="40"/>
      <c r="Q4" s="40"/>
      <c r="R4" s="40"/>
      <c r="S4" s="40"/>
      <c r="T4" s="40"/>
      <c r="U4" s="40"/>
      <c r="V4" s="40"/>
      <c r="W4" s="40"/>
      <c r="X4" s="40"/>
      <c r="Y4" s="94"/>
      <c r="Z4" s="39">
        <f>YEAR(Z5)</f>
        <v>2011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94"/>
      <c r="AL4" s="39">
        <f>YEAR(AL5)</f>
        <v>2012</v>
      </c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94"/>
      <c r="AX4" s="39">
        <f>YEAR(AX5)</f>
        <v>2013</v>
      </c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94"/>
      <c r="BJ4" s="39">
        <f>YEAR(BJ5)</f>
        <v>2014</v>
      </c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94"/>
      <c r="BV4" s="39">
        <f>YEAR(BV5)</f>
        <v>2015</v>
      </c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94"/>
      <c r="CH4" s="39">
        <f>YEAR(CH5)</f>
        <v>2016</v>
      </c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94"/>
      <c r="CT4" s="39">
        <f>YEAR(CT5)</f>
        <v>2017</v>
      </c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94"/>
      <c r="DF4" s="39">
        <f>YEAR(DF5)</f>
        <v>2018</v>
      </c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94"/>
      <c r="DR4" s="39">
        <f>YEAR(DR5)</f>
        <v>2019</v>
      </c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94"/>
      <c r="ED4" s="39">
        <f>YEAR(ED5)</f>
        <v>2020</v>
      </c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94"/>
      <c r="EQ4" s="942" t="s">
        <v>77</v>
      </c>
      <c r="ER4" s="821"/>
      <c r="FG4" s="1014" t="s">
        <v>538</v>
      </c>
    </row>
    <row r="5" spans="1:163" ht="13.9" customHeight="1" x14ac:dyDescent="0.2">
      <c r="A5" s="324" t="s">
        <v>352</v>
      </c>
      <c r="B5" s="68">
        <v>39814</v>
      </c>
      <c r="C5" s="69">
        <v>39845</v>
      </c>
      <c r="D5" s="69">
        <v>39873</v>
      </c>
      <c r="E5" s="69">
        <v>39904</v>
      </c>
      <c r="F5" s="69">
        <v>39934</v>
      </c>
      <c r="G5" s="69">
        <v>39965</v>
      </c>
      <c r="H5" s="69">
        <v>39995</v>
      </c>
      <c r="I5" s="69">
        <v>40026</v>
      </c>
      <c r="J5" s="69">
        <v>40057</v>
      </c>
      <c r="K5" s="69">
        <v>40087</v>
      </c>
      <c r="L5" s="69">
        <v>40118</v>
      </c>
      <c r="M5" s="138">
        <v>40148</v>
      </c>
      <c r="N5" s="68">
        <v>40179</v>
      </c>
      <c r="O5" s="69">
        <v>40210</v>
      </c>
      <c r="P5" s="69">
        <v>40238</v>
      </c>
      <c r="Q5" s="69">
        <v>40269</v>
      </c>
      <c r="R5" s="69">
        <v>40299</v>
      </c>
      <c r="S5" s="69">
        <v>40330</v>
      </c>
      <c r="T5" s="69">
        <v>40360</v>
      </c>
      <c r="U5" s="69">
        <v>40391</v>
      </c>
      <c r="V5" s="69">
        <v>40422</v>
      </c>
      <c r="W5" s="69">
        <v>40452</v>
      </c>
      <c r="X5" s="69">
        <v>40483</v>
      </c>
      <c r="Y5" s="138">
        <v>40513</v>
      </c>
      <c r="Z5" s="68">
        <v>40544</v>
      </c>
      <c r="AA5" s="69">
        <v>40575</v>
      </c>
      <c r="AB5" s="69">
        <v>40603</v>
      </c>
      <c r="AC5" s="69">
        <v>40634</v>
      </c>
      <c r="AD5" s="69">
        <v>40664</v>
      </c>
      <c r="AE5" s="69">
        <v>40695</v>
      </c>
      <c r="AF5" s="69">
        <v>40725</v>
      </c>
      <c r="AG5" s="69">
        <v>40756</v>
      </c>
      <c r="AH5" s="69">
        <v>40787</v>
      </c>
      <c r="AI5" s="69">
        <v>40817</v>
      </c>
      <c r="AJ5" s="69">
        <v>40848</v>
      </c>
      <c r="AK5" s="138">
        <v>40878</v>
      </c>
      <c r="AL5" s="68">
        <v>40909</v>
      </c>
      <c r="AM5" s="69">
        <v>40940</v>
      </c>
      <c r="AN5" s="69">
        <v>40969</v>
      </c>
      <c r="AO5" s="69">
        <v>41000</v>
      </c>
      <c r="AP5" s="69">
        <v>41030</v>
      </c>
      <c r="AQ5" s="69">
        <v>41061</v>
      </c>
      <c r="AR5" s="69">
        <v>41091</v>
      </c>
      <c r="AS5" s="69">
        <v>41122</v>
      </c>
      <c r="AT5" s="69">
        <v>41153</v>
      </c>
      <c r="AU5" s="69">
        <v>41183</v>
      </c>
      <c r="AV5" s="69">
        <v>41214</v>
      </c>
      <c r="AW5" s="138">
        <v>41244</v>
      </c>
      <c r="AX5" s="68">
        <v>41275</v>
      </c>
      <c r="AY5" s="69">
        <v>41306</v>
      </c>
      <c r="AZ5" s="69">
        <v>41334</v>
      </c>
      <c r="BA5" s="69">
        <v>41365</v>
      </c>
      <c r="BB5" s="69">
        <v>41395</v>
      </c>
      <c r="BC5" s="69">
        <v>41426</v>
      </c>
      <c r="BD5" s="69">
        <v>41456</v>
      </c>
      <c r="BE5" s="69">
        <v>41487</v>
      </c>
      <c r="BF5" s="69">
        <v>41518</v>
      </c>
      <c r="BG5" s="69">
        <v>41548</v>
      </c>
      <c r="BH5" s="69">
        <v>41579</v>
      </c>
      <c r="BI5" s="138">
        <v>41609</v>
      </c>
      <c r="BJ5" s="68">
        <v>41640</v>
      </c>
      <c r="BK5" s="69">
        <v>41671</v>
      </c>
      <c r="BL5" s="69">
        <v>41699</v>
      </c>
      <c r="BM5" s="69">
        <v>41730</v>
      </c>
      <c r="BN5" s="69">
        <v>41760</v>
      </c>
      <c r="BO5" s="69">
        <v>41791</v>
      </c>
      <c r="BP5" s="69">
        <v>41821</v>
      </c>
      <c r="BQ5" s="69">
        <v>41852</v>
      </c>
      <c r="BR5" s="69">
        <v>41883</v>
      </c>
      <c r="BS5" s="69">
        <v>41913</v>
      </c>
      <c r="BT5" s="69">
        <v>41944</v>
      </c>
      <c r="BU5" s="138">
        <v>41974</v>
      </c>
      <c r="BV5" s="68">
        <v>42005</v>
      </c>
      <c r="BW5" s="69">
        <v>42036</v>
      </c>
      <c r="BX5" s="69">
        <v>42064</v>
      </c>
      <c r="BY5" s="69">
        <v>42095</v>
      </c>
      <c r="BZ5" s="69">
        <v>42125</v>
      </c>
      <c r="CA5" s="69">
        <v>42156</v>
      </c>
      <c r="CB5" s="69">
        <v>42186</v>
      </c>
      <c r="CC5" s="69">
        <v>42217</v>
      </c>
      <c r="CD5" s="69">
        <v>42248</v>
      </c>
      <c r="CE5" s="69">
        <v>42278</v>
      </c>
      <c r="CF5" s="69">
        <v>42309</v>
      </c>
      <c r="CG5" s="138">
        <v>42339</v>
      </c>
      <c r="CH5" s="68">
        <v>42370</v>
      </c>
      <c r="CI5" s="69">
        <v>42401</v>
      </c>
      <c r="CJ5" s="69">
        <v>42430</v>
      </c>
      <c r="CK5" s="69">
        <v>42461</v>
      </c>
      <c r="CL5" s="69">
        <v>42491</v>
      </c>
      <c r="CM5" s="69">
        <v>42522</v>
      </c>
      <c r="CN5" s="69">
        <v>42552</v>
      </c>
      <c r="CO5" s="69">
        <v>42583</v>
      </c>
      <c r="CP5" s="69">
        <v>42614</v>
      </c>
      <c r="CQ5" s="69">
        <v>42644</v>
      </c>
      <c r="CR5" s="69">
        <v>42675</v>
      </c>
      <c r="CS5" s="138">
        <v>42705</v>
      </c>
      <c r="CT5" s="68">
        <v>42736</v>
      </c>
      <c r="CU5" s="69">
        <v>42767</v>
      </c>
      <c r="CV5" s="69">
        <v>42795</v>
      </c>
      <c r="CW5" s="69">
        <v>42826</v>
      </c>
      <c r="CX5" s="69">
        <v>42856</v>
      </c>
      <c r="CY5" s="69">
        <v>42887</v>
      </c>
      <c r="CZ5" s="69">
        <v>42917</v>
      </c>
      <c r="DA5" s="69">
        <v>42948</v>
      </c>
      <c r="DB5" s="69">
        <v>42979</v>
      </c>
      <c r="DC5" s="69">
        <v>43009</v>
      </c>
      <c r="DD5" s="69">
        <v>43040</v>
      </c>
      <c r="DE5" s="138">
        <v>43070</v>
      </c>
      <c r="DF5" s="68">
        <v>43101</v>
      </c>
      <c r="DG5" s="69">
        <v>43132</v>
      </c>
      <c r="DH5" s="69">
        <v>43160</v>
      </c>
      <c r="DI5" s="69">
        <v>43191</v>
      </c>
      <c r="DJ5" s="69">
        <v>43221</v>
      </c>
      <c r="DK5" s="69">
        <v>43252</v>
      </c>
      <c r="DL5" s="69">
        <v>43282</v>
      </c>
      <c r="DM5" s="69">
        <v>43313</v>
      </c>
      <c r="DN5" s="69">
        <v>43344</v>
      </c>
      <c r="DO5" s="69">
        <v>43374</v>
      </c>
      <c r="DP5" s="69">
        <v>43405</v>
      </c>
      <c r="DQ5" s="138">
        <v>43435</v>
      </c>
      <c r="DR5" s="68">
        <v>43466</v>
      </c>
      <c r="DS5" s="69">
        <v>43497</v>
      </c>
      <c r="DT5" s="69">
        <v>43525</v>
      </c>
      <c r="DU5" s="69">
        <v>43556</v>
      </c>
      <c r="DV5" s="69">
        <v>43586</v>
      </c>
      <c r="DW5" s="69">
        <v>43617</v>
      </c>
      <c r="DX5" s="69">
        <v>43647</v>
      </c>
      <c r="DY5" s="69">
        <v>43678</v>
      </c>
      <c r="DZ5" s="69">
        <v>43709</v>
      </c>
      <c r="EA5" s="69">
        <v>43739</v>
      </c>
      <c r="EB5" s="69">
        <v>43770</v>
      </c>
      <c r="EC5" s="138">
        <v>43800</v>
      </c>
      <c r="ED5" s="68">
        <v>43831</v>
      </c>
      <c r="EE5" s="69">
        <v>43862</v>
      </c>
      <c r="EF5" s="69">
        <v>43891</v>
      </c>
      <c r="EG5" s="69">
        <v>43922</v>
      </c>
      <c r="EH5" s="69">
        <v>43952</v>
      </c>
      <c r="EI5" s="69">
        <v>43983</v>
      </c>
      <c r="EJ5" s="69">
        <v>44013</v>
      </c>
      <c r="EK5" s="69">
        <v>44044</v>
      </c>
      <c r="EL5" s="69">
        <v>44075</v>
      </c>
      <c r="EM5" s="69">
        <v>44105</v>
      </c>
      <c r="EN5" s="69">
        <v>44136</v>
      </c>
      <c r="EO5" s="138">
        <v>44166</v>
      </c>
      <c r="EQ5" s="823" t="s">
        <v>287</v>
      </c>
      <c r="ER5" s="823" t="s">
        <v>12</v>
      </c>
      <c r="FG5" s="331"/>
    </row>
    <row r="6" spans="1:163" ht="13.9" customHeight="1" x14ac:dyDescent="0.2">
      <c r="A6" s="322" t="s">
        <v>352</v>
      </c>
      <c r="M6" s="332"/>
      <c r="S6" s="744"/>
      <c r="T6" s="744"/>
      <c r="U6" s="744"/>
      <c r="V6" s="744"/>
      <c r="W6" s="744"/>
      <c r="X6" s="744"/>
      <c r="Y6" s="744"/>
      <c r="Z6" s="782"/>
      <c r="AA6" s="744"/>
      <c r="AB6" s="744"/>
      <c r="AC6" s="744"/>
      <c r="AD6" s="744"/>
      <c r="AE6" s="744"/>
      <c r="AF6" s="744"/>
      <c r="AG6" s="744"/>
      <c r="AH6" s="744"/>
      <c r="AI6" s="744"/>
      <c r="AJ6" s="744"/>
      <c r="AK6" s="744"/>
      <c r="AL6" s="782"/>
      <c r="AM6" s="744"/>
      <c r="AN6" s="744"/>
      <c r="AO6" s="744"/>
      <c r="AP6" s="744"/>
      <c r="AQ6" s="744"/>
      <c r="AR6" s="744"/>
      <c r="AS6" s="744"/>
      <c r="AT6" s="744"/>
      <c r="AU6" s="744"/>
      <c r="AV6" s="744"/>
      <c r="AW6" s="744"/>
      <c r="AX6" s="782"/>
      <c r="BA6" s="744"/>
      <c r="BB6" s="744"/>
      <c r="BJ6" s="782"/>
      <c r="BK6" s="744"/>
      <c r="BL6" s="744"/>
      <c r="BM6" s="744"/>
      <c r="BN6" s="744"/>
      <c r="BO6" s="744"/>
      <c r="BP6" s="744"/>
      <c r="BQ6" s="744"/>
      <c r="BR6" s="744"/>
      <c r="BS6" s="744"/>
      <c r="BT6" s="744"/>
      <c r="BU6" s="783"/>
      <c r="BV6" s="782"/>
      <c r="BW6" s="744"/>
      <c r="BX6" s="744"/>
      <c r="BY6" s="744"/>
      <c r="BZ6" s="744"/>
      <c r="CA6" s="744"/>
      <c r="CB6" s="744"/>
      <c r="CC6" s="744"/>
      <c r="CD6" s="744"/>
      <c r="CE6" s="744"/>
      <c r="CF6" s="744"/>
      <c r="CG6" s="783"/>
      <c r="CH6" s="744"/>
      <c r="CI6" s="744"/>
      <c r="CJ6" s="744"/>
      <c r="CK6" s="744"/>
      <c r="CL6" s="744"/>
      <c r="CM6" s="744"/>
      <c r="CN6" s="744"/>
      <c r="CO6" s="744"/>
      <c r="CP6" s="744"/>
      <c r="CQ6" s="744"/>
      <c r="CR6" s="744"/>
      <c r="CS6" s="744"/>
      <c r="CT6" s="333"/>
      <c r="DF6" s="333"/>
      <c r="DK6" s="744"/>
      <c r="DQ6" s="332"/>
      <c r="EC6" s="332"/>
      <c r="ED6" s="333"/>
      <c r="EO6" s="332"/>
      <c r="EQ6" s="784"/>
      <c r="ER6" s="785"/>
      <c r="FG6" s="331"/>
    </row>
    <row r="7" spans="1:163" s="336" customFormat="1" ht="13.9" customHeight="1" x14ac:dyDescent="0.2">
      <c r="A7" s="786" t="s">
        <v>217</v>
      </c>
      <c r="B7" s="337">
        <f t="shared" ref="B7:Y7" si="0">SUM(B8+B24+B19)</f>
        <v>210649</v>
      </c>
      <c r="C7" s="337">
        <f t="shared" si="0"/>
        <v>208524</v>
      </c>
      <c r="D7" s="337">
        <f t="shared" si="0"/>
        <v>213543</v>
      </c>
      <c r="E7" s="337">
        <f t="shared" si="0"/>
        <v>207779</v>
      </c>
      <c r="F7" s="337">
        <f t="shared" si="0"/>
        <v>214670</v>
      </c>
      <c r="G7" s="337">
        <f t="shared" si="0"/>
        <v>216203</v>
      </c>
      <c r="H7" s="337">
        <f t="shared" si="0"/>
        <v>220043</v>
      </c>
      <c r="I7" s="337">
        <f t="shared" si="0"/>
        <v>216505</v>
      </c>
      <c r="J7" s="337">
        <f t="shared" si="0"/>
        <v>221768</v>
      </c>
      <c r="K7" s="337">
        <f t="shared" si="0"/>
        <v>221081</v>
      </c>
      <c r="L7" s="337">
        <f t="shared" si="0"/>
        <v>230087</v>
      </c>
      <c r="M7" s="745">
        <f t="shared" si="0"/>
        <v>235548.80499999999</v>
      </c>
      <c r="N7" s="337">
        <f t="shared" si="0"/>
        <v>216234.75622000001</v>
      </c>
      <c r="O7" s="337">
        <f t="shared" si="0"/>
        <v>216597</v>
      </c>
      <c r="P7" s="337">
        <f t="shared" si="0"/>
        <v>220322</v>
      </c>
      <c r="Q7" s="337">
        <f t="shared" si="0"/>
        <v>214083</v>
      </c>
      <c r="R7" s="337">
        <f t="shared" si="0"/>
        <v>228134</v>
      </c>
      <c r="S7" s="337">
        <f t="shared" si="0"/>
        <v>240816</v>
      </c>
      <c r="T7" s="337">
        <f t="shared" si="0"/>
        <v>246973</v>
      </c>
      <c r="U7" s="337">
        <f t="shared" si="0"/>
        <v>260394</v>
      </c>
      <c r="V7" s="337">
        <f t="shared" si="0"/>
        <v>262386</v>
      </c>
      <c r="W7" s="337">
        <f t="shared" si="0"/>
        <v>267146</v>
      </c>
      <c r="X7" s="337">
        <f t="shared" si="0"/>
        <v>275204</v>
      </c>
      <c r="Y7" s="337">
        <f t="shared" si="0"/>
        <v>291405</v>
      </c>
      <c r="Z7" s="787">
        <f t="shared" ref="Z7:BE7" si="1">Z8+Z18+Z39</f>
        <v>371831.15136000002</v>
      </c>
      <c r="AA7" s="337">
        <f t="shared" si="1"/>
        <v>359869.10100000002</v>
      </c>
      <c r="AB7" s="337">
        <f t="shared" si="1"/>
        <v>390568.11300000001</v>
      </c>
      <c r="AC7" s="337">
        <f t="shared" si="1"/>
        <v>386013.40895000001</v>
      </c>
      <c r="AD7" s="337">
        <f t="shared" si="1"/>
        <v>417047.65062999999</v>
      </c>
      <c r="AE7" s="337">
        <f t="shared" si="1"/>
        <v>438162.58539999998</v>
      </c>
      <c r="AF7" s="337">
        <f t="shared" si="1"/>
        <v>456654.50893000001</v>
      </c>
      <c r="AG7" s="337">
        <f t="shared" si="1"/>
        <v>486613.99115000002</v>
      </c>
      <c r="AH7" s="337">
        <f t="shared" si="1"/>
        <v>482469.26699999999</v>
      </c>
      <c r="AI7" s="337">
        <f t="shared" si="1"/>
        <v>466710.58199999999</v>
      </c>
      <c r="AJ7" s="337">
        <f t="shared" si="1"/>
        <v>459317.522</v>
      </c>
      <c r="AK7" s="337">
        <f t="shared" si="1"/>
        <v>486118.10399999999</v>
      </c>
      <c r="AL7" s="787">
        <f t="shared" si="1"/>
        <v>458294.00900000002</v>
      </c>
      <c r="AM7" s="337">
        <f t="shared" si="1"/>
        <v>445618.859</v>
      </c>
      <c r="AN7" s="337">
        <f t="shared" si="1"/>
        <v>437254.304</v>
      </c>
      <c r="AO7" s="337">
        <f t="shared" si="1"/>
        <v>430320.20299999998</v>
      </c>
      <c r="AP7" s="337">
        <f t="shared" si="1"/>
        <v>448974.995</v>
      </c>
      <c r="AQ7" s="337">
        <f t="shared" si="1"/>
        <v>461444.55200000003</v>
      </c>
      <c r="AR7" s="337">
        <f t="shared" si="1"/>
        <v>465988.80800000002</v>
      </c>
      <c r="AS7" s="337">
        <f t="shared" si="1"/>
        <v>461779.20000000001</v>
      </c>
      <c r="AT7" s="337">
        <f t="shared" si="1"/>
        <v>491859.72499999998</v>
      </c>
      <c r="AU7" s="337">
        <f t="shared" si="1"/>
        <v>484848.424</v>
      </c>
      <c r="AV7" s="337">
        <f t="shared" si="1"/>
        <v>485799.33600000001</v>
      </c>
      <c r="AW7" s="337">
        <f t="shared" si="1"/>
        <v>501776.89591000002</v>
      </c>
      <c r="AX7" s="787">
        <f t="shared" si="1"/>
        <v>477307.97814000002</v>
      </c>
      <c r="AY7" s="337">
        <f t="shared" si="1"/>
        <v>476197.24909</v>
      </c>
      <c r="AZ7" s="337">
        <f t="shared" si="1"/>
        <v>522052.99437000003</v>
      </c>
      <c r="BA7" s="337">
        <f t="shared" si="1"/>
        <v>495866.87492999999</v>
      </c>
      <c r="BB7" s="337">
        <f t="shared" si="1"/>
        <v>513707.47266000003</v>
      </c>
      <c r="BC7" s="337">
        <f t="shared" si="1"/>
        <v>521914.01262000005</v>
      </c>
      <c r="BD7" s="337">
        <f t="shared" si="1"/>
        <v>543103.14666999993</v>
      </c>
      <c r="BE7" s="337">
        <f t="shared" si="1"/>
        <v>533598.52341999998</v>
      </c>
      <c r="BF7" s="337">
        <f t="shared" ref="BF7:CK7" si="2">BF8+BF18+BF39</f>
        <v>518359.26136999996</v>
      </c>
      <c r="BG7" s="337">
        <f t="shared" si="2"/>
        <v>545003.71870000008</v>
      </c>
      <c r="BH7" s="337">
        <f t="shared" si="2"/>
        <v>546537.28194999998</v>
      </c>
      <c r="BI7" s="337">
        <f t="shared" si="2"/>
        <v>546586.2877799999</v>
      </c>
      <c r="BJ7" s="787">
        <f t="shared" si="2"/>
        <v>558972.78168000001</v>
      </c>
      <c r="BK7" s="337">
        <f t="shared" si="2"/>
        <v>581431.18795000005</v>
      </c>
      <c r="BL7" s="337">
        <f t="shared" si="2"/>
        <v>576745.6627499999</v>
      </c>
      <c r="BM7" s="337">
        <f t="shared" si="2"/>
        <v>601918.49659999995</v>
      </c>
      <c r="BN7" s="337">
        <f t="shared" si="2"/>
        <v>619482.94204999995</v>
      </c>
      <c r="BO7" s="337">
        <f t="shared" si="2"/>
        <v>626102.25933999999</v>
      </c>
      <c r="BP7" s="337">
        <f t="shared" si="2"/>
        <v>646716.3300999999</v>
      </c>
      <c r="BQ7" s="337">
        <f t="shared" si="2"/>
        <v>657138.83972000005</v>
      </c>
      <c r="BR7" s="337">
        <f t="shared" si="2"/>
        <v>658277.75814000005</v>
      </c>
      <c r="BS7" s="337">
        <f t="shared" si="2"/>
        <v>643795.24566000002</v>
      </c>
      <c r="BT7" s="337">
        <f t="shared" si="2"/>
        <v>645538.44251999992</v>
      </c>
      <c r="BU7" s="745">
        <f t="shared" si="2"/>
        <v>695063.96375999996</v>
      </c>
      <c r="BV7" s="787">
        <f t="shared" si="2"/>
        <v>680267.59764999989</v>
      </c>
      <c r="BW7" s="337">
        <f t="shared" si="2"/>
        <v>661445.3918199999</v>
      </c>
      <c r="BX7" s="337">
        <f t="shared" si="2"/>
        <v>739432.26841000002</v>
      </c>
      <c r="BY7" s="337">
        <f t="shared" si="2"/>
        <v>751261.68162000016</v>
      </c>
      <c r="BZ7" s="337">
        <f t="shared" si="2"/>
        <v>770331.32211999991</v>
      </c>
      <c r="CA7" s="337">
        <f t="shared" si="2"/>
        <v>771836.80394999997</v>
      </c>
      <c r="CB7" s="337">
        <f t="shared" si="2"/>
        <v>808707.26292000001</v>
      </c>
      <c r="CC7" s="337">
        <f t="shared" si="2"/>
        <v>760397.50508000015</v>
      </c>
      <c r="CD7" s="337">
        <f t="shared" si="2"/>
        <v>768580.46185000008</v>
      </c>
      <c r="CE7" s="337">
        <f t="shared" si="2"/>
        <v>761768.52600999991</v>
      </c>
      <c r="CF7" s="337">
        <f t="shared" si="2"/>
        <v>758665.15534000006</v>
      </c>
      <c r="CG7" s="745">
        <f t="shared" si="2"/>
        <v>822530.77386000007</v>
      </c>
      <c r="CH7" s="337">
        <f t="shared" si="2"/>
        <v>843955.86566999997</v>
      </c>
      <c r="CI7" s="337">
        <f t="shared" si="2"/>
        <v>821215.39061</v>
      </c>
      <c r="CJ7" s="337">
        <f t="shared" si="2"/>
        <v>813246.19945000007</v>
      </c>
      <c r="CK7" s="337">
        <f t="shared" si="2"/>
        <v>798062.98013000004</v>
      </c>
      <c r="CL7" s="337">
        <f t="shared" ref="CL7:DQ7" si="3">CL8+CL18+CL39</f>
        <v>819213.18692999997</v>
      </c>
      <c r="CM7" s="337">
        <f t="shared" si="3"/>
        <v>841790.74233999988</v>
      </c>
      <c r="CN7" s="337">
        <f t="shared" si="3"/>
        <v>867690.19168999989</v>
      </c>
      <c r="CO7" s="337">
        <f t="shared" si="3"/>
        <v>871197.68235000002</v>
      </c>
      <c r="CP7" s="337">
        <f t="shared" si="3"/>
        <v>875495.14393000014</v>
      </c>
      <c r="CQ7" s="337">
        <f t="shared" si="3"/>
        <v>880222.41333000001</v>
      </c>
      <c r="CR7" s="337">
        <f t="shared" si="3"/>
        <v>895924.58624000009</v>
      </c>
      <c r="CS7" s="337">
        <f t="shared" si="3"/>
        <v>923476.82238999999</v>
      </c>
      <c r="CT7" s="787">
        <f t="shared" si="3"/>
        <v>876046.02890999988</v>
      </c>
      <c r="CU7" s="337">
        <f t="shared" si="3"/>
        <v>846735.25720999995</v>
      </c>
      <c r="CV7" s="337">
        <f t="shared" si="3"/>
        <v>845510.85493999987</v>
      </c>
      <c r="CW7" s="337">
        <f t="shared" si="3"/>
        <v>847765.12140999991</v>
      </c>
      <c r="CX7" s="337">
        <f t="shared" si="3"/>
        <v>873926.36423000006</v>
      </c>
      <c r="CY7" s="337">
        <f t="shared" si="3"/>
        <v>902607.38371999993</v>
      </c>
      <c r="CZ7" s="337">
        <f t="shared" si="3"/>
        <v>939245.12916000001</v>
      </c>
      <c r="DA7" s="337">
        <f t="shared" si="3"/>
        <v>962384.23001000006</v>
      </c>
      <c r="DB7" s="337">
        <f t="shared" si="3"/>
        <v>984010.25896999985</v>
      </c>
      <c r="DC7" s="337">
        <f t="shared" si="3"/>
        <v>965049.64728999999</v>
      </c>
      <c r="DD7" s="337">
        <f t="shared" si="3"/>
        <v>997879.2423299998</v>
      </c>
      <c r="DE7" s="337">
        <f t="shared" si="3"/>
        <v>1042809.02774</v>
      </c>
      <c r="DF7" s="787">
        <f t="shared" si="3"/>
        <v>1011326.3912599999</v>
      </c>
      <c r="DG7" s="337">
        <f t="shared" si="3"/>
        <v>989678.64678000007</v>
      </c>
      <c r="DH7" s="337">
        <f t="shared" si="3"/>
        <v>963567.71114999999</v>
      </c>
      <c r="DI7" s="337">
        <f t="shared" si="3"/>
        <v>965769.77989999985</v>
      </c>
      <c r="DJ7" s="337">
        <f t="shared" si="3"/>
        <v>1001676.60858</v>
      </c>
      <c r="DK7" s="337">
        <f t="shared" si="3"/>
        <v>1020428.49364</v>
      </c>
      <c r="DL7" s="337">
        <f t="shared" si="3"/>
        <v>1071070.1782199999</v>
      </c>
      <c r="DM7" s="337">
        <f t="shared" si="3"/>
        <v>1062157.0361899999</v>
      </c>
      <c r="DN7" s="337">
        <f t="shared" si="3"/>
        <v>1054488.8905100001</v>
      </c>
      <c r="DO7" s="337">
        <f t="shared" si="3"/>
        <v>1067037.6059000001</v>
      </c>
      <c r="DP7" s="337">
        <f t="shared" si="3"/>
        <v>1083990.5095299999</v>
      </c>
      <c r="DQ7" s="745">
        <f t="shared" si="3"/>
        <v>1148994.3344999996</v>
      </c>
      <c r="DR7" s="337">
        <f t="shared" ref="DR7:EO7" si="4">DR8+DR18+DR39</f>
        <v>1112963.7438700001</v>
      </c>
      <c r="DS7" s="337">
        <f t="shared" si="4"/>
        <v>1080835.5348399999</v>
      </c>
      <c r="DT7" s="337">
        <f t="shared" si="4"/>
        <v>1036677.6618200002</v>
      </c>
      <c r="DU7" s="337">
        <f t="shared" si="4"/>
        <v>1029289.9457099999</v>
      </c>
      <c r="DV7" s="337">
        <f t="shared" si="4"/>
        <v>1071635.16897</v>
      </c>
      <c r="DW7" s="337">
        <f t="shared" si="4"/>
        <v>1106577.6982800001</v>
      </c>
      <c r="DX7" s="337">
        <f t="shared" si="4"/>
        <v>1143646.25116</v>
      </c>
      <c r="DY7" s="337">
        <f t="shared" si="4"/>
        <v>1175713.7472699999</v>
      </c>
      <c r="DZ7" s="337">
        <f t="shared" si="4"/>
        <v>1191136.6181099999</v>
      </c>
      <c r="EA7" s="337">
        <f t="shared" si="4"/>
        <v>1207501.2180600001</v>
      </c>
      <c r="EB7" s="337">
        <f t="shared" si="4"/>
        <v>1223887.0075399999</v>
      </c>
      <c r="EC7" s="745">
        <f t="shared" si="4"/>
        <v>1257898.2957899999</v>
      </c>
      <c r="ED7" s="787">
        <f t="shared" si="4"/>
        <v>1193642.1017400001</v>
      </c>
      <c r="EE7" s="337">
        <f t="shared" si="4"/>
        <v>1177693.5</v>
      </c>
      <c r="EF7" s="337">
        <f t="shared" si="4"/>
        <v>1219625.5</v>
      </c>
      <c r="EG7" s="337">
        <f t="shared" si="4"/>
        <v>1292487.7756099999</v>
      </c>
      <c r="EH7" s="337">
        <f t="shared" si="4"/>
        <v>1474134</v>
      </c>
      <c r="EI7" s="337">
        <f t="shared" si="4"/>
        <v>1585688</v>
      </c>
      <c r="EJ7" s="337">
        <f t="shared" si="4"/>
        <v>1681585.8</v>
      </c>
      <c r="EK7" s="337">
        <f t="shared" si="4"/>
        <v>1710698</v>
      </c>
      <c r="EL7" s="337">
        <f t="shared" si="4"/>
        <v>1730838</v>
      </c>
      <c r="EM7" s="337">
        <f t="shared" si="4"/>
        <v>1787786</v>
      </c>
      <c r="EN7" s="337">
        <f t="shared" si="4"/>
        <v>1822289.6</v>
      </c>
      <c r="EO7" s="745">
        <f t="shared" si="4"/>
        <v>1923153</v>
      </c>
      <c r="EP7"/>
      <c r="EQ7" s="788">
        <f>IFERROR(((EO7/EN7)-1)*100,"-")</f>
        <v>5.5349819260341437</v>
      </c>
      <c r="ER7" s="788">
        <f>IFERROR(((EO7/EC7)-1)*100,"-")</f>
        <v>52.886207608080049</v>
      </c>
      <c r="ET7" s="789">
        <f>IFERROR(+ED7/$ED$7,"-")</f>
        <v>1</v>
      </c>
      <c r="EU7" s="336">
        <f>CK7-BY7</f>
        <v>46801.298509999877</v>
      </c>
      <c r="FG7" s="747"/>
    </row>
    <row r="8" spans="1:163" s="338" customFormat="1" ht="13.9" customHeight="1" x14ac:dyDescent="0.2">
      <c r="A8" s="790" t="s">
        <v>237</v>
      </c>
      <c r="B8" s="339">
        <f t="shared" ref="B8:AG8" si="5">SUM(B9:B17)</f>
        <v>162469</v>
      </c>
      <c r="C8" s="339">
        <f t="shared" si="5"/>
        <v>162429</v>
      </c>
      <c r="D8" s="339">
        <f t="shared" si="5"/>
        <v>167501</v>
      </c>
      <c r="E8" s="339">
        <f t="shared" si="5"/>
        <v>162911</v>
      </c>
      <c r="F8" s="339">
        <f t="shared" si="5"/>
        <v>170427</v>
      </c>
      <c r="G8" s="339">
        <f t="shared" si="5"/>
        <v>171355</v>
      </c>
      <c r="H8" s="339">
        <f t="shared" si="5"/>
        <v>173796</v>
      </c>
      <c r="I8" s="339">
        <f t="shared" si="5"/>
        <v>169566</v>
      </c>
      <c r="J8" s="339">
        <f t="shared" si="5"/>
        <v>172954</v>
      </c>
      <c r="K8" s="339">
        <f t="shared" si="5"/>
        <v>172770</v>
      </c>
      <c r="L8" s="339">
        <f t="shared" si="5"/>
        <v>182601</v>
      </c>
      <c r="M8" s="642">
        <f t="shared" si="5"/>
        <v>188508.66245999999</v>
      </c>
      <c r="N8" s="339">
        <f t="shared" si="5"/>
        <v>170466.98397</v>
      </c>
      <c r="O8" s="339">
        <f t="shared" si="5"/>
        <v>171856</v>
      </c>
      <c r="P8" s="339">
        <f t="shared" si="5"/>
        <v>174735</v>
      </c>
      <c r="Q8" s="339">
        <f t="shared" si="5"/>
        <v>166693</v>
      </c>
      <c r="R8" s="339">
        <f t="shared" si="5"/>
        <v>177460</v>
      </c>
      <c r="S8" s="339">
        <f t="shared" si="5"/>
        <v>185107</v>
      </c>
      <c r="T8" s="339">
        <f t="shared" si="5"/>
        <v>187924</v>
      </c>
      <c r="U8" s="339">
        <f t="shared" si="5"/>
        <v>200240</v>
      </c>
      <c r="V8" s="339">
        <f t="shared" si="5"/>
        <v>201325</v>
      </c>
      <c r="W8" s="339">
        <f t="shared" si="5"/>
        <v>203851</v>
      </c>
      <c r="X8" s="339">
        <f t="shared" si="5"/>
        <v>209463</v>
      </c>
      <c r="Y8" s="339">
        <f t="shared" si="5"/>
        <v>224192</v>
      </c>
      <c r="Z8" s="645">
        <f t="shared" si="5"/>
        <v>209682</v>
      </c>
      <c r="AA8" s="339">
        <f t="shared" si="5"/>
        <v>202337</v>
      </c>
      <c r="AB8" s="339">
        <f t="shared" si="5"/>
        <v>225237</v>
      </c>
      <c r="AC8" s="339">
        <f t="shared" si="5"/>
        <v>219112</v>
      </c>
      <c r="AD8" s="339">
        <f t="shared" si="5"/>
        <v>234020</v>
      </c>
      <c r="AE8" s="339">
        <f t="shared" si="5"/>
        <v>245386</v>
      </c>
      <c r="AF8" s="339">
        <f t="shared" si="5"/>
        <v>255248</v>
      </c>
      <c r="AG8" s="339">
        <f t="shared" si="5"/>
        <v>268029</v>
      </c>
      <c r="AH8" s="339">
        <f t="shared" ref="AH8:CV8" si="6">SUM(AH9:AH17)</f>
        <v>268439</v>
      </c>
      <c r="AI8" s="339">
        <f t="shared" si="6"/>
        <v>261250</v>
      </c>
      <c r="AJ8" s="339">
        <f t="shared" si="6"/>
        <v>258856</v>
      </c>
      <c r="AK8" s="339">
        <f t="shared" si="6"/>
        <v>266256</v>
      </c>
      <c r="AL8" s="645">
        <f t="shared" si="6"/>
        <v>248428</v>
      </c>
      <c r="AM8" s="339">
        <f t="shared" si="6"/>
        <v>244732</v>
      </c>
      <c r="AN8" s="339">
        <f t="shared" si="6"/>
        <v>237999</v>
      </c>
      <c r="AO8" s="339">
        <f t="shared" si="6"/>
        <v>239093</v>
      </c>
      <c r="AP8" s="339">
        <f t="shared" si="6"/>
        <v>247418</v>
      </c>
      <c r="AQ8" s="339">
        <f t="shared" si="6"/>
        <v>252686</v>
      </c>
      <c r="AR8" s="339">
        <f t="shared" si="6"/>
        <v>245929</v>
      </c>
      <c r="AS8" s="339">
        <f t="shared" si="6"/>
        <v>252124</v>
      </c>
      <c r="AT8" s="339">
        <f t="shared" si="6"/>
        <v>268650</v>
      </c>
      <c r="AU8" s="339">
        <f t="shared" si="6"/>
        <v>265969</v>
      </c>
      <c r="AV8" s="339">
        <f t="shared" si="6"/>
        <v>270304</v>
      </c>
      <c r="AW8" s="339">
        <f t="shared" si="6"/>
        <v>284696</v>
      </c>
      <c r="AX8" s="645">
        <f t="shared" si="6"/>
        <v>264339</v>
      </c>
      <c r="AY8" s="339">
        <f t="shared" si="6"/>
        <v>251985</v>
      </c>
      <c r="AZ8" s="339">
        <f t="shared" si="6"/>
        <v>293354</v>
      </c>
      <c r="BA8" s="339">
        <f t="shared" si="6"/>
        <v>265883</v>
      </c>
      <c r="BB8" s="339">
        <f t="shared" si="6"/>
        <v>278928</v>
      </c>
      <c r="BC8" s="339">
        <f t="shared" si="6"/>
        <v>283859.13058</v>
      </c>
      <c r="BD8" s="339">
        <f t="shared" si="6"/>
        <v>295987.88121999998</v>
      </c>
      <c r="BE8" s="339">
        <f t="shared" si="6"/>
        <v>292327.61455</v>
      </c>
      <c r="BF8" s="339">
        <f t="shared" si="6"/>
        <v>278361.67543999996</v>
      </c>
      <c r="BG8" s="339">
        <f t="shared" si="6"/>
        <v>281857.23073000001</v>
      </c>
      <c r="BH8" s="339">
        <f t="shared" si="6"/>
        <v>292934.50211999996</v>
      </c>
      <c r="BI8" s="339">
        <f t="shared" si="6"/>
        <v>300196.19796999998</v>
      </c>
      <c r="BJ8" s="645">
        <f t="shared" si="6"/>
        <v>308495.46960999997</v>
      </c>
      <c r="BK8" s="339">
        <f t="shared" si="6"/>
        <v>319441.66861000005</v>
      </c>
      <c r="BL8" s="339">
        <f t="shared" si="6"/>
        <v>312532.54580000002</v>
      </c>
      <c r="BM8" s="339">
        <f t="shared" si="6"/>
        <v>336215.24022999994</v>
      </c>
      <c r="BN8" s="339">
        <f t="shared" si="6"/>
        <v>350429.00551999995</v>
      </c>
      <c r="BO8" s="339">
        <f t="shared" si="6"/>
        <v>352494.25641999999</v>
      </c>
      <c r="BP8" s="339">
        <f t="shared" si="6"/>
        <v>363375.34732</v>
      </c>
      <c r="BQ8" s="339">
        <f t="shared" si="6"/>
        <v>355105.41803</v>
      </c>
      <c r="BR8" s="339">
        <f t="shared" si="6"/>
        <v>362406.10720000003</v>
      </c>
      <c r="BS8" s="339">
        <f t="shared" si="6"/>
        <v>343968.39086000004</v>
      </c>
      <c r="BT8" s="339">
        <f t="shared" si="6"/>
        <v>358311.81435999996</v>
      </c>
      <c r="BU8" s="642">
        <f t="shared" si="6"/>
        <v>389593.99492999999</v>
      </c>
      <c r="BV8" s="645">
        <f t="shared" si="6"/>
        <v>380017.76334999996</v>
      </c>
      <c r="BW8" s="339">
        <f t="shared" si="6"/>
        <v>367282.82825999992</v>
      </c>
      <c r="BX8" s="339">
        <f t="shared" si="6"/>
        <v>416620.78167</v>
      </c>
      <c r="BY8" s="339">
        <f t="shared" si="6"/>
        <v>427593.46351000009</v>
      </c>
      <c r="BZ8" s="339">
        <f t="shared" si="6"/>
        <v>448447.08983000001</v>
      </c>
      <c r="CA8" s="339">
        <f t="shared" si="6"/>
        <v>443934.78586999996</v>
      </c>
      <c r="CB8" s="339">
        <f t="shared" si="6"/>
        <v>474628.90308000002</v>
      </c>
      <c r="CC8" s="339">
        <f t="shared" si="6"/>
        <v>422937.31537000008</v>
      </c>
      <c r="CD8" s="339">
        <f t="shared" si="6"/>
        <v>435821.49975000008</v>
      </c>
      <c r="CE8" s="339">
        <f t="shared" si="6"/>
        <v>423711.22941000003</v>
      </c>
      <c r="CF8" s="339">
        <f t="shared" si="6"/>
        <v>431404.04063</v>
      </c>
      <c r="CG8" s="642">
        <f t="shared" si="6"/>
        <v>488013.35946999997</v>
      </c>
      <c r="CH8" s="339">
        <f t="shared" si="6"/>
        <v>493502.22000000003</v>
      </c>
      <c r="CI8" s="339">
        <f t="shared" si="6"/>
        <v>481304.83526000008</v>
      </c>
      <c r="CJ8" s="339">
        <f t="shared" si="6"/>
        <v>482037.98353000009</v>
      </c>
      <c r="CK8" s="339">
        <f t="shared" si="6"/>
        <v>468557.24340000004</v>
      </c>
      <c r="CL8" s="339">
        <f t="shared" si="6"/>
        <v>490341.70964999998</v>
      </c>
      <c r="CM8" s="339">
        <f t="shared" si="6"/>
        <v>490843.4571</v>
      </c>
      <c r="CN8" s="339">
        <f t="shared" si="6"/>
        <v>506483.65613999998</v>
      </c>
      <c r="CO8" s="339">
        <f t="shared" si="6"/>
        <v>503878.81851000001</v>
      </c>
      <c r="CP8" s="339">
        <f t="shared" si="6"/>
        <v>512011.78334000008</v>
      </c>
      <c r="CQ8" s="339">
        <f t="shared" si="6"/>
        <v>511845.44468000002</v>
      </c>
      <c r="CR8" s="339">
        <f t="shared" si="6"/>
        <v>517954.39051</v>
      </c>
      <c r="CS8" s="339">
        <f t="shared" si="6"/>
        <v>545677.56342999998</v>
      </c>
      <c r="CT8" s="645">
        <f t="shared" si="6"/>
        <v>503197.10726999992</v>
      </c>
      <c r="CU8" s="339">
        <f t="shared" si="6"/>
        <v>481429.4106</v>
      </c>
      <c r="CV8" s="339">
        <f t="shared" si="6"/>
        <v>490740.55532999994</v>
      </c>
      <c r="CW8" s="339">
        <f t="shared" ref="CW8:EO8" si="7">SUM(CW9:CW17)</f>
        <v>484005.45929000003</v>
      </c>
      <c r="CX8" s="339">
        <f t="shared" si="7"/>
        <v>504577.19450000004</v>
      </c>
      <c r="CY8" s="339">
        <f t="shared" si="7"/>
        <v>523887.05706999998</v>
      </c>
      <c r="CZ8" s="339">
        <f t="shared" si="7"/>
        <v>548824.21303999994</v>
      </c>
      <c r="DA8" s="339">
        <f t="shared" si="7"/>
        <v>563164.57263000007</v>
      </c>
      <c r="DB8" s="339">
        <f t="shared" si="7"/>
        <v>596392.83763999993</v>
      </c>
      <c r="DC8" s="339">
        <f t="shared" si="7"/>
        <v>572148.13401000004</v>
      </c>
      <c r="DD8" s="339">
        <f t="shared" si="7"/>
        <v>589020.21614999988</v>
      </c>
      <c r="DE8" s="339">
        <f t="shared" si="7"/>
        <v>630435.44972999999</v>
      </c>
      <c r="DF8" s="645">
        <f t="shared" si="7"/>
        <v>608351.00916000002</v>
      </c>
      <c r="DG8" s="339">
        <f t="shared" si="7"/>
        <v>594926.75214</v>
      </c>
      <c r="DH8" s="339">
        <f t="shared" si="7"/>
        <v>585976.62500999996</v>
      </c>
      <c r="DI8" s="339">
        <f t="shared" si="7"/>
        <v>571256.24707999988</v>
      </c>
      <c r="DJ8" s="339">
        <f t="shared" si="7"/>
        <v>600701.76292999997</v>
      </c>
      <c r="DK8" s="339">
        <f t="shared" si="7"/>
        <v>604184.71973000001</v>
      </c>
      <c r="DL8" s="339">
        <f t="shared" si="7"/>
        <v>634214.28310999996</v>
      </c>
      <c r="DM8" s="339">
        <f t="shared" si="7"/>
        <v>630347.02475999994</v>
      </c>
      <c r="DN8" s="339">
        <f t="shared" si="7"/>
        <v>637402.56975999998</v>
      </c>
      <c r="DO8" s="339">
        <f t="shared" si="7"/>
        <v>638063.37413999997</v>
      </c>
      <c r="DP8" s="339">
        <f t="shared" si="7"/>
        <v>661672.95334999997</v>
      </c>
      <c r="DQ8" s="642">
        <f t="shared" si="7"/>
        <v>705121.38145999971</v>
      </c>
      <c r="DR8" s="339">
        <f t="shared" si="7"/>
        <v>684993.4725700001</v>
      </c>
      <c r="DS8" s="339">
        <f t="shared" si="7"/>
        <v>663391.75445000001</v>
      </c>
      <c r="DT8" s="339">
        <f t="shared" si="7"/>
        <v>634503.71443000005</v>
      </c>
      <c r="DU8" s="339">
        <f t="shared" si="7"/>
        <v>621236.23677000008</v>
      </c>
      <c r="DV8" s="339">
        <f t="shared" si="7"/>
        <v>660560.35940000007</v>
      </c>
      <c r="DW8" s="339">
        <f t="shared" si="7"/>
        <v>673678.78619000001</v>
      </c>
      <c r="DX8" s="339">
        <f t="shared" si="7"/>
        <v>693983.31224</v>
      </c>
      <c r="DY8" s="339">
        <f t="shared" si="7"/>
        <v>721002.81746999989</v>
      </c>
      <c r="DZ8" s="339">
        <f t="shared" si="7"/>
        <v>739036.09948999994</v>
      </c>
      <c r="EA8" s="339">
        <f t="shared" si="7"/>
        <v>750437.16159000003</v>
      </c>
      <c r="EB8" s="339">
        <f t="shared" si="7"/>
        <v>760300.88136999996</v>
      </c>
      <c r="EC8" s="642">
        <f t="shared" si="7"/>
        <v>756607.58536999987</v>
      </c>
      <c r="ED8" s="645">
        <f t="shared" si="7"/>
        <v>673072.60395000002</v>
      </c>
      <c r="EE8" s="339">
        <f t="shared" si="7"/>
        <v>661479</v>
      </c>
      <c r="EF8" s="339">
        <f t="shared" si="7"/>
        <v>681182</v>
      </c>
      <c r="EG8" s="339">
        <f t="shared" si="7"/>
        <v>699726.6</v>
      </c>
      <c r="EH8" s="339">
        <f t="shared" si="7"/>
        <v>865433</v>
      </c>
      <c r="EI8" s="339">
        <f t="shared" si="7"/>
        <v>953057</v>
      </c>
      <c r="EJ8" s="339">
        <f t="shared" si="7"/>
        <v>1013593.8</v>
      </c>
      <c r="EK8" s="339">
        <f t="shared" si="7"/>
        <v>1022804</v>
      </c>
      <c r="EL8" s="339">
        <f t="shared" si="7"/>
        <v>1037272.5</v>
      </c>
      <c r="EM8" s="339">
        <f t="shared" si="7"/>
        <v>1040094</v>
      </c>
      <c r="EN8" s="339">
        <f t="shared" si="7"/>
        <v>1070900.2</v>
      </c>
      <c r="EO8" s="642">
        <f t="shared" si="7"/>
        <v>1128347</v>
      </c>
      <c r="EP8"/>
      <c r="EQ8" s="791">
        <f t="shared" ref="EQ8:EQ39" si="8">IFERROR(((EO8/EN8)-1)*100,"-")</f>
        <v>5.3643467430485092</v>
      </c>
      <c r="ER8" s="791">
        <f t="shared" ref="ER8:ER39" si="9">IFERROR(((EO8/EC8)-1)*100,"-")</f>
        <v>49.132393306394142</v>
      </c>
      <c r="ET8" s="792">
        <f t="shared" ref="ET8:ET39" si="10">IFERROR(+ED8/$ED$7,"-")</f>
        <v>0.56388142054376789</v>
      </c>
      <c r="EU8" s="338">
        <f t="shared" ref="EU8:EU22" si="11">CQ8-CE8</f>
        <v>88134.215269999986</v>
      </c>
      <c r="FG8" s="748" t="s">
        <v>237</v>
      </c>
    </row>
    <row r="9" spans="1:163" ht="13.9" customHeight="1" x14ac:dyDescent="0.2">
      <c r="A9" s="1036" t="s">
        <v>486</v>
      </c>
      <c r="B9" s="320">
        <v>67493</v>
      </c>
      <c r="C9" s="320">
        <v>69462</v>
      </c>
      <c r="D9" s="320">
        <v>69443</v>
      </c>
      <c r="E9" s="320">
        <v>67241</v>
      </c>
      <c r="F9" s="320">
        <v>69023</v>
      </c>
      <c r="G9" s="320">
        <v>68009</v>
      </c>
      <c r="H9" s="320">
        <v>69702</v>
      </c>
      <c r="I9" s="320">
        <v>70518</v>
      </c>
      <c r="J9" s="320">
        <v>73255</v>
      </c>
      <c r="K9" s="320">
        <v>74334</v>
      </c>
      <c r="L9" s="320">
        <v>75885</v>
      </c>
      <c r="M9" s="343">
        <v>81704.656530000007</v>
      </c>
      <c r="N9" s="320">
        <v>71258.719759999993</v>
      </c>
      <c r="O9" s="320">
        <v>73656</v>
      </c>
      <c r="P9" s="320">
        <v>76050</v>
      </c>
      <c r="Q9" s="320">
        <v>71564</v>
      </c>
      <c r="R9" s="320">
        <v>75110</v>
      </c>
      <c r="S9" s="320">
        <v>79769</v>
      </c>
      <c r="T9" s="320">
        <v>78158</v>
      </c>
      <c r="U9" s="320">
        <v>83565</v>
      </c>
      <c r="V9" s="320">
        <v>80561</v>
      </c>
      <c r="W9" s="320">
        <v>84899</v>
      </c>
      <c r="X9" s="320">
        <v>85740</v>
      </c>
      <c r="Y9" s="320">
        <v>87219</v>
      </c>
      <c r="Z9" s="345">
        <v>83095</v>
      </c>
      <c r="AA9" s="320">
        <v>82254</v>
      </c>
      <c r="AB9" s="320">
        <v>93310</v>
      </c>
      <c r="AC9" s="320">
        <v>94125</v>
      </c>
      <c r="AD9" s="320">
        <v>96417</v>
      </c>
      <c r="AE9" s="320">
        <v>104061</v>
      </c>
      <c r="AF9" s="320">
        <v>110657</v>
      </c>
      <c r="AG9" s="320">
        <v>116984</v>
      </c>
      <c r="AH9" s="320">
        <v>112649</v>
      </c>
      <c r="AI9" s="320">
        <v>113036</v>
      </c>
      <c r="AJ9" s="320">
        <v>104849</v>
      </c>
      <c r="AK9" s="320">
        <v>108437</v>
      </c>
      <c r="AL9" s="345">
        <v>101628</v>
      </c>
      <c r="AM9" s="320">
        <v>105104</v>
      </c>
      <c r="AN9" s="320">
        <v>99087</v>
      </c>
      <c r="AO9" s="320">
        <v>102430</v>
      </c>
      <c r="AP9" s="320">
        <v>100644</v>
      </c>
      <c r="AQ9" s="320">
        <v>104878</v>
      </c>
      <c r="AR9" s="320">
        <v>99764</v>
      </c>
      <c r="AS9" s="320">
        <v>106917</v>
      </c>
      <c r="AT9" s="320">
        <v>122250</v>
      </c>
      <c r="AU9" s="320">
        <v>125499</v>
      </c>
      <c r="AV9" s="320">
        <v>123363</v>
      </c>
      <c r="AW9" s="320">
        <v>121939</v>
      </c>
      <c r="AX9" s="345">
        <v>114847</v>
      </c>
      <c r="AY9" s="320">
        <v>107419</v>
      </c>
      <c r="AZ9" s="320">
        <v>118326</v>
      </c>
      <c r="BA9" s="320">
        <v>122371</v>
      </c>
      <c r="BB9" s="320">
        <v>117320</v>
      </c>
      <c r="BC9" s="320">
        <v>119086</v>
      </c>
      <c r="BD9" s="320">
        <v>123533.30056</v>
      </c>
      <c r="BE9" s="320">
        <v>126212.37026000001</v>
      </c>
      <c r="BF9" s="320">
        <v>116746.30114</v>
      </c>
      <c r="BG9" s="320">
        <v>117232.69990999998</v>
      </c>
      <c r="BH9" s="320">
        <v>128092.44396</v>
      </c>
      <c r="BI9" s="320">
        <v>130448.79617</v>
      </c>
      <c r="BJ9" s="345">
        <v>134513.57102</v>
      </c>
      <c r="BK9" s="320">
        <v>140438.78975999999</v>
      </c>
      <c r="BL9" s="320">
        <v>137682.01247999998</v>
      </c>
      <c r="BM9" s="320">
        <v>159987.6116</v>
      </c>
      <c r="BN9" s="320">
        <v>167240.62698</v>
      </c>
      <c r="BO9" s="320">
        <v>164699.47278000001</v>
      </c>
      <c r="BP9" s="320">
        <v>168609.88079000002</v>
      </c>
      <c r="BQ9" s="320">
        <v>162925.86930000002</v>
      </c>
      <c r="BR9" s="320">
        <v>161182.9889</v>
      </c>
      <c r="BS9" s="320">
        <v>152421.7892</v>
      </c>
      <c r="BT9" s="320">
        <v>157617.78052999999</v>
      </c>
      <c r="BU9" s="343">
        <v>172060.65721999999</v>
      </c>
      <c r="BV9" s="345">
        <v>162438.69929999998</v>
      </c>
      <c r="BW9" s="320">
        <v>157886.04524000001</v>
      </c>
      <c r="BX9" s="320">
        <v>153707.81956999999</v>
      </c>
      <c r="BY9" s="320">
        <v>164399.01046999998</v>
      </c>
      <c r="BZ9" s="320">
        <v>186569.87418000001</v>
      </c>
      <c r="CA9" s="320">
        <v>171110.68153</v>
      </c>
      <c r="CB9" s="320">
        <v>176149.77971999999</v>
      </c>
      <c r="CC9" s="320">
        <v>163970.42568000001</v>
      </c>
      <c r="CD9" s="320">
        <v>171645.58264000001</v>
      </c>
      <c r="CE9" s="320">
        <v>167046.93570000003</v>
      </c>
      <c r="CF9" s="320">
        <v>172345.86968999999</v>
      </c>
      <c r="CG9" s="343">
        <v>191182.85025000002</v>
      </c>
      <c r="CH9" s="320">
        <v>189680.28576</v>
      </c>
      <c r="CI9" s="320">
        <v>174517.60623999999</v>
      </c>
      <c r="CJ9" s="320">
        <v>177172.65821000002</v>
      </c>
      <c r="CK9" s="320">
        <v>171329.74712999997</v>
      </c>
      <c r="CL9" s="320">
        <v>182509.36914999998</v>
      </c>
      <c r="CM9" s="320">
        <v>171357.76209999999</v>
      </c>
      <c r="CN9" s="320">
        <v>191051.51606000002</v>
      </c>
      <c r="CO9" s="320">
        <v>183410.29995000002</v>
      </c>
      <c r="CP9" s="320">
        <v>180786.43793000001</v>
      </c>
      <c r="CQ9" s="320">
        <v>188249.82387999998</v>
      </c>
      <c r="CR9" s="320">
        <v>194401.89427000002</v>
      </c>
      <c r="CS9" s="320">
        <v>206065.61916999999</v>
      </c>
      <c r="CT9" s="345">
        <v>182588.94169999997</v>
      </c>
      <c r="CU9" s="320">
        <v>174842.72891000001</v>
      </c>
      <c r="CV9" s="320">
        <v>171727.11066000001</v>
      </c>
      <c r="CW9" s="320">
        <v>177025.71479000003</v>
      </c>
      <c r="CX9" s="320">
        <v>176599.13138000001</v>
      </c>
      <c r="CY9" s="320">
        <v>185255.21896999999</v>
      </c>
      <c r="CZ9" s="320">
        <v>195835.43054999999</v>
      </c>
      <c r="DA9" s="320">
        <v>196959.47543000002</v>
      </c>
      <c r="DB9" s="320">
        <v>230934.28382999997</v>
      </c>
      <c r="DC9" s="320">
        <v>219564.43857999999</v>
      </c>
      <c r="DD9" s="320">
        <v>230621.84185</v>
      </c>
      <c r="DE9" s="320">
        <v>258562.55187000002</v>
      </c>
      <c r="DF9" s="345">
        <v>241691.23601000002</v>
      </c>
      <c r="DG9" s="320">
        <v>236345.93664999999</v>
      </c>
      <c r="DH9" s="320">
        <v>236269.06485</v>
      </c>
      <c r="DI9" s="320">
        <v>219973.68287999998</v>
      </c>
      <c r="DJ9" s="320">
        <v>236641.94480999999</v>
      </c>
      <c r="DK9" s="320">
        <v>247909.27268000002</v>
      </c>
      <c r="DL9" s="320">
        <v>256434.07045000003</v>
      </c>
      <c r="DM9" s="320">
        <v>257948.74836999999</v>
      </c>
      <c r="DN9" s="320">
        <v>264444.3211</v>
      </c>
      <c r="DO9" s="320">
        <v>260766.95693999997</v>
      </c>
      <c r="DP9" s="320">
        <v>273130.44842999999</v>
      </c>
      <c r="DQ9" s="343">
        <v>298124.11512999993</v>
      </c>
      <c r="DR9" s="320">
        <v>282285.71807</v>
      </c>
      <c r="DS9" s="320">
        <v>276353.19661999994</v>
      </c>
      <c r="DT9" s="320">
        <v>269068.59273000003</v>
      </c>
      <c r="DU9" s="320">
        <v>258727.13088000001</v>
      </c>
      <c r="DV9" s="320">
        <v>272938.23233999999</v>
      </c>
      <c r="DW9" s="320">
        <v>273479.38228999998</v>
      </c>
      <c r="DX9" s="320">
        <v>286907.29411999998</v>
      </c>
      <c r="DY9" s="320">
        <v>302674.68475000001</v>
      </c>
      <c r="DZ9" s="320">
        <v>299358.35411000001</v>
      </c>
      <c r="EA9" s="320">
        <v>302426.28010000003</v>
      </c>
      <c r="EB9" s="320">
        <v>331036.67313999997</v>
      </c>
      <c r="EC9" s="343">
        <v>330409.40737000003</v>
      </c>
      <c r="ED9" s="345">
        <v>240473.77710000004</v>
      </c>
      <c r="EE9" s="320">
        <v>240675.5</v>
      </c>
      <c r="EF9" s="320">
        <v>247859</v>
      </c>
      <c r="EG9" s="320">
        <v>256441.4</v>
      </c>
      <c r="EH9" s="320">
        <v>285066</v>
      </c>
      <c r="EI9" s="320">
        <v>329141</v>
      </c>
      <c r="EJ9" s="320">
        <v>374067.4</v>
      </c>
      <c r="EK9" s="320">
        <v>368203.5</v>
      </c>
      <c r="EL9" s="320">
        <v>373294.5</v>
      </c>
      <c r="EM9" s="320">
        <v>381238.5</v>
      </c>
      <c r="EN9" s="320">
        <v>399968.2</v>
      </c>
      <c r="EO9" s="343">
        <v>433312</v>
      </c>
      <c r="EQ9" s="794">
        <f t="shared" si="8"/>
        <v>8.336612760714468</v>
      </c>
      <c r="ER9" s="794">
        <f t="shared" si="9"/>
        <v>31.14396573907694</v>
      </c>
      <c r="ES9" s="320"/>
      <c r="ET9" s="795">
        <f t="shared" si="10"/>
        <v>0.20146221111793541</v>
      </c>
      <c r="EU9" s="317">
        <f t="shared" si="11"/>
        <v>21202.888179999951</v>
      </c>
      <c r="FA9" s="796" t="s">
        <v>106</v>
      </c>
      <c r="FB9" s="797">
        <f>ET10</f>
        <v>0.1918520468456813</v>
      </c>
      <c r="FG9" s="331"/>
    </row>
    <row r="10" spans="1:163" ht="13.9" customHeight="1" x14ac:dyDescent="0.2">
      <c r="A10" s="1036" t="s">
        <v>487</v>
      </c>
      <c r="B10" s="320">
        <v>61007</v>
      </c>
      <c r="C10" s="320">
        <v>60425</v>
      </c>
      <c r="D10" s="320">
        <v>64751</v>
      </c>
      <c r="E10" s="320">
        <v>63075</v>
      </c>
      <c r="F10" s="320">
        <v>67548</v>
      </c>
      <c r="G10" s="320">
        <v>69528</v>
      </c>
      <c r="H10" s="320">
        <v>68944</v>
      </c>
      <c r="I10" s="320">
        <v>65685</v>
      </c>
      <c r="J10" s="320">
        <v>64827</v>
      </c>
      <c r="K10" s="320">
        <v>64270</v>
      </c>
      <c r="L10" s="320">
        <v>70087</v>
      </c>
      <c r="M10" s="343">
        <v>70977.521519999995</v>
      </c>
      <c r="N10" s="320">
        <v>63576.409470000006</v>
      </c>
      <c r="O10" s="320">
        <v>63374</v>
      </c>
      <c r="P10" s="320">
        <v>63759</v>
      </c>
      <c r="Q10" s="320">
        <v>60859</v>
      </c>
      <c r="R10" s="320">
        <v>66139</v>
      </c>
      <c r="S10" s="320">
        <v>68949</v>
      </c>
      <c r="T10" s="320">
        <v>68752</v>
      </c>
      <c r="U10" s="320">
        <v>74445</v>
      </c>
      <c r="V10" s="320">
        <v>75080</v>
      </c>
      <c r="W10" s="320">
        <v>74398</v>
      </c>
      <c r="X10" s="320">
        <v>76369</v>
      </c>
      <c r="Y10" s="320">
        <v>86272</v>
      </c>
      <c r="Z10" s="345">
        <v>78645</v>
      </c>
      <c r="AA10" s="320">
        <v>75484</v>
      </c>
      <c r="AB10" s="320">
        <v>87524</v>
      </c>
      <c r="AC10" s="320">
        <v>79463</v>
      </c>
      <c r="AD10" s="320">
        <v>89958</v>
      </c>
      <c r="AE10" s="320">
        <v>92499</v>
      </c>
      <c r="AF10" s="320">
        <v>89233</v>
      </c>
      <c r="AG10" s="320">
        <v>93808</v>
      </c>
      <c r="AH10" s="320">
        <v>94884</v>
      </c>
      <c r="AI10" s="320">
        <v>89469</v>
      </c>
      <c r="AJ10" s="320">
        <v>93958</v>
      </c>
      <c r="AK10" s="320">
        <v>96465</v>
      </c>
      <c r="AL10" s="345">
        <v>92415</v>
      </c>
      <c r="AM10" s="320">
        <v>87823</v>
      </c>
      <c r="AN10" s="320">
        <v>90049</v>
      </c>
      <c r="AO10" s="320">
        <v>89114</v>
      </c>
      <c r="AP10" s="320">
        <v>97168</v>
      </c>
      <c r="AQ10" s="320">
        <v>98914</v>
      </c>
      <c r="AR10" s="320">
        <v>96980</v>
      </c>
      <c r="AS10" s="320">
        <v>93797</v>
      </c>
      <c r="AT10" s="320">
        <v>94454</v>
      </c>
      <c r="AU10" s="320">
        <v>88837</v>
      </c>
      <c r="AV10" s="320">
        <v>90704</v>
      </c>
      <c r="AW10" s="320">
        <v>101595</v>
      </c>
      <c r="AX10" s="345">
        <v>91514</v>
      </c>
      <c r="AY10" s="320">
        <v>89120</v>
      </c>
      <c r="AZ10" s="320">
        <v>121814</v>
      </c>
      <c r="BA10" s="320">
        <v>88064</v>
      </c>
      <c r="BB10" s="320">
        <v>102223</v>
      </c>
      <c r="BC10" s="320">
        <v>104766.69562000001</v>
      </c>
      <c r="BD10" s="320">
        <v>105260.52191</v>
      </c>
      <c r="BE10" s="320">
        <v>99553.961890000006</v>
      </c>
      <c r="BF10" s="320">
        <v>93803.51578999999</v>
      </c>
      <c r="BG10" s="320">
        <v>95339.567160000006</v>
      </c>
      <c r="BH10" s="320">
        <v>99148.524860000005</v>
      </c>
      <c r="BI10" s="320">
        <v>100982.45496</v>
      </c>
      <c r="BJ10" s="345">
        <v>101763.12334999999</v>
      </c>
      <c r="BK10" s="320">
        <v>106137.79907000001</v>
      </c>
      <c r="BL10" s="320">
        <v>103596.66459000001</v>
      </c>
      <c r="BM10" s="320">
        <v>101758.89911</v>
      </c>
      <c r="BN10" s="320">
        <v>105351.57756999999</v>
      </c>
      <c r="BO10" s="320">
        <v>108888.46924999999</v>
      </c>
      <c r="BP10" s="320">
        <v>113681.23015999999</v>
      </c>
      <c r="BQ10" s="320">
        <v>110484.87933</v>
      </c>
      <c r="BR10" s="320">
        <v>113377.98711</v>
      </c>
      <c r="BS10" s="320">
        <v>111899.18404000001</v>
      </c>
      <c r="BT10" s="320">
        <v>108654.97166</v>
      </c>
      <c r="BU10" s="343">
        <v>123914.20362000001</v>
      </c>
      <c r="BV10" s="345">
        <v>118324.31633000002</v>
      </c>
      <c r="BW10" s="320">
        <v>111568.73650999999</v>
      </c>
      <c r="BX10" s="320">
        <v>121839.45296000001</v>
      </c>
      <c r="BY10" s="320">
        <v>124233.06463000001</v>
      </c>
      <c r="BZ10" s="320">
        <v>121448.12438000001</v>
      </c>
      <c r="CA10" s="320">
        <v>126452.22664000001</v>
      </c>
      <c r="CB10" s="320">
        <v>149627.97395000001</v>
      </c>
      <c r="CC10" s="320">
        <v>151977.93387000001</v>
      </c>
      <c r="CD10" s="320">
        <v>155693.55166</v>
      </c>
      <c r="CE10" s="320">
        <v>149963.84850000002</v>
      </c>
      <c r="CF10" s="320">
        <v>149130.50730999999</v>
      </c>
      <c r="CG10" s="343">
        <v>173159.41123999999</v>
      </c>
      <c r="CH10" s="320">
        <v>185876.81745</v>
      </c>
      <c r="CI10" s="320">
        <v>194121.91208000001</v>
      </c>
      <c r="CJ10" s="320">
        <v>193916.96961999999</v>
      </c>
      <c r="CK10" s="320">
        <v>187489.92415000001</v>
      </c>
      <c r="CL10" s="320">
        <v>195419.03628</v>
      </c>
      <c r="CM10" s="320">
        <v>197118.06413000001</v>
      </c>
      <c r="CN10" s="320">
        <v>198013.94653999998</v>
      </c>
      <c r="CO10" s="320">
        <v>197371.39769999997</v>
      </c>
      <c r="CP10" s="320">
        <v>198823.6593</v>
      </c>
      <c r="CQ10" s="320">
        <v>197394.75634000002</v>
      </c>
      <c r="CR10" s="320">
        <v>196896.796</v>
      </c>
      <c r="CS10" s="320">
        <v>197246.11503999998</v>
      </c>
      <c r="CT10" s="345">
        <v>184059.01165999999</v>
      </c>
      <c r="CU10" s="320">
        <v>175681.93979999999</v>
      </c>
      <c r="CV10" s="320">
        <v>185946.96190999998</v>
      </c>
      <c r="CW10" s="320">
        <v>183145.53339999999</v>
      </c>
      <c r="CX10" s="320">
        <v>194091.43277999997</v>
      </c>
      <c r="CY10" s="320">
        <v>192518.70757</v>
      </c>
      <c r="CZ10" s="320">
        <v>206315.32217999999</v>
      </c>
      <c r="DA10" s="320">
        <v>218374.38268000001</v>
      </c>
      <c r="DB10" s="320">
        <v>209876.70949000001</v>
      </c>
      <c r="DC10" s="320">
        <v>200379.60634</v>
      </c>
      <c r="DD10" s="320">
        <v>203749.96551000001</v>
      </c>
      <c r="DE10" s="320">
        <v>215606.38003</v>
      </c>
      <c r="DF10" s="345">
        <v>209750.568</v>
      </c>
      <c r="DG10" s="320">
        <v>205431.84216999999</v>
      </c>
      <c r="DH10" s="320">
        <v>200569.17980000001</v>
      </c>
      <c r="DI10" s="320">
        <v>199130.34462999998</v>
      </c>
      <c r="DJ10" s="320">
        <v>208476.04093999998</v>
      </c>
      <c r="DK10" s="320">
        <v>208615.13226000001</v>
      </c>
      <c r="DL10" s="320">
        <v>214577.09044000003</v>
      </c>
      <c r="DM10" s="320">
        <v>214577.09044000003</v>
      </c>
      <c r="DN10" s="320">
        <v>214770.28652000002</v>
      </c>
      <c r="DO10" s="320">
        <v>209974.00221000001</v>
      </c>
      <c r="DP10" s="320">
        <v>208823.38396000001</v>
      </c>
      <c r="DQ10" s="343">
        <v>212536.82462</v>
      </c>
      <c r="DR10" s="320">
        <v>207167.22244000001</v>
      </c>
      <c r="DS10" s="320">
        <v>199717.85465999998</v>
      </c>
      <c r="DT10" s="320">
        <v>192504.99387000001</v>
      </c>
      <c r="DU10" s="320">
        <v>190350.44699</v>
      </c>
      <c r="DV10" s="320">
        <v>212938.02997999999</v>
      </c>
      <c r="DW10" s="320">
        <v>212905.18036999999</v>
      </c>
      <c r="DX10" s="320">
        <v>215412.22837999999</v>
      </c>
      <c r="DY10" s="320">
        <v>217182.33497000003</v>
      </c>
      <c r="DZ10" s="320">
        <v>233289.64953000002</v>
      </c>
      <c r="EA10" s="320">
        <v>228933.77727000002</v>
      </c>
      <c r="EB10" s="320">
        <v>227648.08169999998</v>
      </c>
      <c r="EC10" s="343">
        <v>225902.15650999997</v>
      </c>
      <c r="ED10" s="345">
        <v>229002.68041999999</v>
      </c>
      <c r="EE10" s="320">
        <v>230792.5</v>
      </c>
      <c r="EF10" s="320">
        <v>235423</v>
      </c>
      <c r="EG10" s="320">
        <v>236685.4</v>
      </c>
      <c r="EH10" s="320">
        <v>309159</v>
      </c>
      <c r="EI10" s="320">
        <v>330528</v>
      </c>
      <c r="EJ10" s="320">
        <v>332981.40000000002</v>
      </c>
      <c r="EK10" s="320">
        <v>351542.5</v>
      </c>
      <c r="EL10" s="320">
        <v>359009.5</v>
      </c>
      <c r="EM10" s="320">
        <v>361708.5</v>
      </c>
      <c r="EN10" s="320">
        <v>376167</v>
      </c>
      <c r="EO10" s="343">
        <v>399545</v>
      </c>
      <c r="EQ10" s="794">
        <f t="shared" si="8"/>
        <v>6.214792897835264</v>
      </c>
      <c r="ER10" s="794">
        <f t="shared" si="9"/>
        <v>76.866394802350385</v>
      </c>
      <c r="ES10" s="320"/>
      <c r="ET10" s="795">
        <f t="shared" si="10"/>
        <v>0.1918520468456813</v>
      </c>
      <c r="EU10" s="317">
        <f t="shared" si="11"/>
        <v>47430.90784</v>
      </c>
      <c r="FA10" s="793" t="s">
        <v>266</v>
      </c>
      <c r="FB10" s="798">
        <f>ET39</f>
        <v>0.23336788758870006</v>
      </c>
      <c r="FG10" s="331"/>
    </row>
    <row r="11" spans="1:163" ht="13.9" customHeight="1" x14ac:dyDescent="0.2">
      <c r="A11" s="1036" t="s">
        <v>488</v>
      </c>
      <c r="B11" s="320">
        <v>18750</v>
      </c>
      <c r="C11" s="320">
        <v>18641</v>
      </c>
      <c r="D11" s="320">
        <v>19104</v>
      </c>
      <c r="E11" s="320">
        <v>18783</v>
      </c>
      <c r="F11" s="320">
        <v>19013</v>
      </c>
      <c r="G11" s="320">
        <v>18731</v>
      </c>
      <c r="H11" s="320">
        <v>18926</v>
      </c>
      <c r="I11" s="320">
        <v>16664</v>
      </c>
      <c r="J11" s="320">
        <v>17893</v>
      </c>
      <c r="K11" s="320">
        <v>18205</v>
      </c>
      <c r="L11" s="320">
        <v>20355</v>
      </c>
      <c r="M11" s="343">
        <v>18070.295529999999</v>
      </c>
      <c r="N11" s="320">
        <v>18833.800870000003</v>
      </c>
      <c r="O11" s="320">
        <v>17847</v>
      </c>
      <c r="P11" s="320">
        <v>17111</v>
      </c>
      <c r="Q11" s="320">
        <v>16692</v>
      </c>
      <c r="R11" s="320">
        <v>17969</v>
      </c>
      <c r="S11" s="320">
        <v>17201</v>
      </c>
      <c r="T11" s="320">
        <v>20183</v>
      </c>
      <c r="U11" s="320">
        <v>19015</v>
      </c>
      <c r="V11" s="320">
        <v>20473</v>
      </c>
      <c r="W11" s="320">
        <v>19794</v>
      </c>
      <c r="X11" s="320">
        <v>20840</v>
      </c>
      <c r="Y11" s="320">
        <v>23616</v>
      </c>
      <c r="Z11" s="345">
        <v>22171</v>
      </c>
      <c r="AA11" s="320">
        <v>22618</v>
      </c>
      <c r="AB11" s="320">
        <v>22315</v>
      </c>
      <c r="AC11" s="320">
        <v>22297</v>
      </c>
      <c r="AD11" s="320">
        <v>23473</v>
      </c>
      <c r="AE11" s="320">
        <v>22850</v>
      </c>
      <c r="AF11" s="320">
        <v>24923</v>
      </c>
      <c r="AG11" s="320">
        <v>23483</v>
      </c>
      <c r="AH11" s="320">
        <v>26479</v>
      </c>
      <c r="AI11" s="320">
        <v>24552</v>
      </c>
      <c r="AJ11" s="320">
        <v>24895</v>
      </c>
      <c r="AK11" s="320">
        <v>22614</v>
      </c>
      <c r="AL11" s="345">
        <v>22667</v>
      </c>
      <c r="AM11" s="320">
        <v>22227</v>
      </c>
      <c r="AN11" s="320">
        <v>21472</v>
      </c>
      <c r="AO11" s="320">
        <v>20999</v>
      </c>
      <c r="AP11" s="320">
        <v>21168</v>
      </c>
      <c r="AQ11" s="320">
        <v>21476</v>
      </c>
      <c r="AR11" s="320">
        <v>20789</v>
      </c>
      <c r="AS11" s="320">
        <v>21297</v>
      </c>
      <c r="AT11" s="320">
        <v>24226</v>
      </c>
      <c r="AU11" s="320">
        <v>23055</v>
      </c>
      <c r="AV11" s="320">
        <v>25816</v>
      </c>
      <c r="AW11" s="320">
        <v>25866</v>
      </c>
      <c r="AX11" s="345">
        <v>24732</v>
      </c>
      <c r="AY11" s="320">
        <v>24892</v>
      </c>
      <c r="AZ11" s="320">
        <v>24423</v>
      </c>
      <c r="BA11" s="320">
        <v>23567</v>
      </c>
      <c r="BB11" s="320">
        <v>26532</v>
      </c>
      <c r="BC11" s="320">
        <v>26417.400250000002</v>
      </c>
      <c r="BD11" s="320">
        <v>28384.762000000002</v>
      </c>
      <c r="BE11" s="320">
        <v>28388.017260000001</v>
      </c>
      <c r="BF11" s="320">
        <v>27349.989309999997</v>
      </c>
      <c r="BG11" s="320">
        <v>29142.322629999999</v>
      </c>
      <c r="BH11" s="320">
        <v>26577.120769999998</v>
      </c>
      <c r="BI11" s="320">
        <v>27852.90322</v>
      </c>
      <c r="BJ11" s="345">
        <v>29052.819459999999</v>
      </c>
      <c r="BK11" s="320">
        <v>28827.459079999997</v>
      </c>
      <c r="BL11" s="320">
        <v>30247.499799999998</v>
      </c>
      <c r="BM11" s="320">
        <v>30141.11707</v>
      </c>
      <c r="BN11" s="320">
        <v>29792.319009999999</v>
      </c>
      <c r="BO11" s="320">
        <v>30386.014179999998</v>
      </c>
      <c r="BP11" s="320">
        <v>30848.486930000003</v>
      </c>
      <c r="BQ11" s="320">
        <v>30822.321929999998</v>
      </c>
      <c r="BR11" s="320">
        <v>31370.276020000001</v>
      </c>
      <c r="BS11" s="320">
        <v>31728.193659999997</v>
      </c>
      <c r="BT11" s="320">
        <v>34822.83223</v>
      </c>
      <c r="BU11" s="343">
        <v>35758.602460000002</v>
      </c>
      <c r="BV11" s="345">
        <v>39243.657160000002</v>
      </c>
      <c r="BW11" s="320">
        <v>38697.072389999994</v>
      </c>
      <c r="BX11" s="320">
        <v>37812.585570000003</v>
      </c>
      <c r="BY11" s="320">
        <v>36685.635989999995</v>
      </c>
      <c r="BZ11" s="320">
        <v>37135.602480000001</v>
      </c>
      <c r="CA11" s="320">
        <v>37863.502220000002</v>
      </c>
      <c r="CB11" s="320">
        <v>41835.935010000001</v>
      </c>
      <c r="CC11" s="320">
        <v>42044.938289999998</v>
      </c>
      <c r="CD11" s="320">
        <v>41295.223660000003</v>
      </c>
      <c r="CE11" s="320">
        <v>42295.405610000002</v>
      </c>
      <c r="CF11" s="320">
        <v>41208.908180000006</v>
      </c>
      <c r="CG11" s="343">
        <v>44615.131259999995</v>
      </c>
      <c r="CH11" s="320">
        <v>41190.776069999993</v>
      </c>
      <c r="CI11" s="320">
        <v>42884.54709</v>
      </c>
      <c r="CJ11" s="320">
        <v>42442.963280000004</v>
      </c>
      <c r="CK11" s="320">
        <v>42328.300060000001</v>
      </c>
      <c r="CL11" s="320">
        <v>43652.131340000007</v>
      </c>
      <c r="CM11" s="320">
        <v>46736.856</v>
      </c>
      <c r="CN11" s="320">
        <v>46567.151089999999</v>
      </c>
      <c r="CO11" s="320">
        <v>50151.787879999996</v>
      </c>
      <c r="CP11" s="320">
        <v>51449.780550000003</v>
      </c>
      <c r="CQ11" s="320">
        <v>51021.562790000004</v>
      </c>
      <c r="CR11" s="320">
        <v>52238.049569999996</v>
      </c>
      <c r="CS11" s="320">
        <v>59920.098399999995</v>
      </c>
      <c r="CT11" s="345">
        <v>55981.227840000007</v>
      </c>
      <c r="CU11" s="320">
        <v>55121.291270000002</v>
      </c>
      <c r="CV11" s="320">
        <v>55693.85673</v>
      </c>
      <c r="CW11" s="320">
        <v>50247.399379999995</v>
      </c>
      <c r="CX11" s="320">
        <v>53003.063549999999</v>
      </c>
      <c r="CY11" s="320">
        <v>64126.126259999997</v>
      </c>
      <c r="CZ11" s="320">
        <v>62509.148250000006</v>
      </c>
      <c r="DA11" s="320">
        <v>60443.236969999998</v>
      </c>
      <c r="DB11" s="320">
        <v>65110.294159999998</v>
      </c>
      <c r="DC11" s="320">
        <v>65086.736089999999</v>
      </c>
      <c r="DD11" s="320">
        <v>62914.293789999996</v>
      </c>
      <c r="DE11" s="320">
        <v>68561.634000000005</v>
      </c>
      <c r="DF11" s="345">
        <v>63520.470519999995</v>
      </c>
      <c r="DG11" s="320">
        <v>60124.757259999998</v>
      </c>
      <c r="DH11" s="320">
        <v>62898.108670000001</v>
      </c>
      <c r="DI11" s="320">
        <v>63506.847309999997</v>
      </c>
      <c r="DJ11" s="320">
        <v>64462.143909999999</v>
      </c>
      <c r="DK11" s="320">
        <v>62457.239000000009</v>
      </c>
      <c r="DL11" s="320">
        <v>68553.654299999995</v>
      </c>
      <c r="DM11" s="320">
        <v>67658.70358999999</v>
      </c>
      <c r="DN11" s="320">
        <v>67466.394490000006</v>
      </c>
      <c r="DO11" s="320">
        <v>66911.027120000013</v>
      </c>
      <c r="DP11" s="320">
        <v>77386.09365000001</v>
      </c>
      <c r="DQ11" s="343">
        <v>78036.826209999999</v>
      </c>
      <c r="DR11" s="320">
        <v>82758.399059999996</v>
      </c>
      <c r="DS11" s="320">
        <v>81995.744689999992</v>
      </c>
      <c r="DT11" s="320">
        <v>74875.127250000005</v>
      </c>
      <c r="DU11" s="320">
        <v>75456.87036999999</v>
      </c>
      <c r="DV11" s="320">
        <v>78452.765569999989</v>
      </c>
      <c r="DW11" s="320">
        <v>78839.573069999984</v>
      </c>
      <c r="DX11" s="320">
        <v>79378.323300000004</v>
      </c>
      <c r="DY11" s="320">
        <v>83060.090989999997</v>
      </c>
      <c r="DZ11" s="320">
        <v>89681.287779999999</v>
      </c>
      <c r="EA11" s="320">
        <v>91391.090320000003</v>
      </c>
      <c r="EB11" s="320">
        <v>78892.737150000001</v>
      </c>
      <c r="EC11" s="343">
        <v>79192.666119999994</v>
      </c>
      <c r="ED11" s="345">
        <v>78698.559240000002</v>
      </c>
      <c r="EE11" s="320">
        <v>73294</v>
      </c>
      <c r="EF11" s="320">
        <v>77766</v>
      </c>
      <c r="EG11" s="320">
        <v>78631.399999999994</v>
      </c>
      <c r="EH11" s="320">
        <v>92863</v>
      </c>
      <c r="EI11" s="320">
        <v>107987</v>
      </c>
      <c r="EJ11" s="320">
        <v>108180</v>
      </c>
      <c r="EK11" s="320">
        <v>110265</v>
      </c>
      <c r="EL11" s="320">
        <v>108277.5</v>
      </c>
      <c r="EM11" s="320">
        <v>107704</v>
      </c>
      <c r="EN11" s="320">
        <v>111991</v>
      </c>
      <c r="EO11" s="343">
        <v>105493</v>
      </c>
      <c r="EQ11" s="794">
        <f t="shared" si="8"/>
        <v>-5.8022519666758976</v>
      </c>
      <c r="ER11" s="794">
        <f t="shared" si="9"/>
        <v>33.210567554509815</v>
      </c>
      <c r="ES11" s="320"/>
      <c r="ET11" s="795">
        <f t="shared" si="10"/>
        <v>6.5931453930184986E-2</v>
      </c>
      <c r="EU11" s="317">
        <f t="shared" si="11"/>
        <v>8726.157180000002</v>
      </c>
      <c r="FA11" s="793" t="s">
        <v>280</v>
      </c>
      <c r="FB11" s="798">
        <f>ET9</f>
        <v>0.20146221111793541</v>
      </c>
      <c r="FG11" s="331"/>
    </row>
    <row r="12" spans="1:163" ht="13.9" customHeight="1" x14ac:dyDescent="0.2">
      <c r="A12" s="1036" t="s">
        <v>489</v>
      </c>
      <c r="B12" s="320">
        <v>10249</v>
      </c>
      <c r="C12" s="320">
        <v>9028</v>
      </c>
      <c r="D12" s="320">
        <v>9137</v>
      </c>
      <c r="E12" s="320">
        <v>8880</v>
      </c>
      <c r="F12" s="320">
        <v>9395</v>
      </c>
      <c r="G12" s="320">
        <v>9737</v>
      </c>
      <c r="H12" s="320">
        <v>9238</v>
      </c>
      <c r="I12" s="320">
        <v>10340</v>
      </c>
      <c r="J12" s="320">
        <v>10231</v>
      </c>
      <c r="K12" s="320">
        <v>8997</v>
      </c>
      <c r="L12" s="320">
        <v>8611</v>
      </c>
      <c r="M12" s="343">
        <v>10070.155429999999</v>
      </c>
      <c r="N12" s="320">
        <v>9320.2698300000011</v>
      </c>
      <c r="O12" s="320">
        <v>8691</v>
      </c>
      <c r="P12" s="320">
        <v>9782</v>
      </c>
      <c r="Q12" s="320">
        <v>9779</v>
      </c>
      <c r="R12" s="320">
        <v>10590</v>
      </c>
      <c r="S12" s="320">
        <v>11422</v>
      </c>
      <c r="T12" s="320">
        <v>13353</v>
      </c>
      <c r="U12" s="320">
        <v>15323</v>
      </c>
      <c r="V12" s="320">
        <v>16641</v>
      </c>
      <c r="W12" s="320">
        <v>15321</v>
      </c>
      <c r="X12" s="320">
        <v>17789</v>
      </c>
      <c r="Y12" s="320">
        <v>18930</v>
      </c>
      <c r="Z12" s="345">
        <v>17952</v>
      </c>
      <c r="AA12" s="320">
        <v>14531</v>
      </c>
      <c r="AB12" s="320">
        <v>14447</v>
      </c>
      <c r="AC12" s="320">
        <v>15182</v>
      </c>
      <c r="AD12" s="320">
        <v>16062</v>
      </c>
      <c r="AE12" s="320">
        <v>17391</v>
      </c>
      <c r="AF12" s="320">
        <v>21015</v>
      </c>
      <c r="AG12" s="320">
        <v>23626</v>
      </c>
      <c r="AH12" s="320">
        <v>23849</v>
      </c>
      <c r="AI12" s="320">
        <v>23728</v>
      </c>
      <c r="AJ12" s="320">
        <v>24461</v>
      </c>
      <c r="AK12" s="320">
        <v>27733</v>
      </c>
      <c r="AL12" s="345">
        <v>22137</v>
      </c>
      <c r="AM12" s="320">
        <v>20480</v>
      </c>
      <c r="AN12" s="320">
        <v>18140</v>
      </c>
      <c r="AO12" s="320">
        <v>17802</v>
      </c>
      <c r="AP12" s="320">
        <v>19517</v>
      </c>
      <c r="AQ12" s="320">
        <v>18834</v>
      </c>
      <c r="AR12" s="320">
        <v>19626</v>
      </c>
      <c r="AS12" s="320">
        <v>20804</v>
      </c>
      <c r="AT12" s="320">
        <v>17282</v>
      </c>
      <c r="AU12" s="320">
        <v>19011</v>
      </c>
      <c r="AV12" s="320">
        <v>20729</v>
      </c>
      <c r="AW12" s="320">
        <v>25795</v>
      </c>
      <c r="AX12" s="345">
        <v>23455</v>
      </c>
      <c r="AY12" s="320">
        <v>21046</v>
      </c>
      <c r="AZ12" s="320">
        <v>19406</v>
      </c>
      <c r="BA12" s="320">
        <v>22136</v>
      </c>
      <c r="BB12" s="320">
        <v>23616</v>
      </c>
      <c r="BC12" s="320">
        <v>24935.250169999999</v>
      </c>
      <c r="BD12" s="320">
        <v>29327.324849999997</v>
      </c>
      <c r="BE12" s="320">
        <v>27920.756099999999</v>
      </c>
      <c r="BF12" s="320">
        <v>30294.411780000002</v>
      </c>
      <c r="BG12" s="320">
        <v>30566.80647</v>
      </c>
      <c r="BH12" s="320">
        <v>28682.621090000001</v>
      </c>
      <c r="BI12" s="320">
        <v>30157.098129999998</v>
      </c>
      <c r="BJ12" s="345">
        <v>31448.18461</v>
      </c>
      <c r="BK12" s="320">
        <v>32425.307520000002</v>
      </c>
      <c r="BL12" s="320">
        <v>30312.67612</v>
      </c>
      <c r="BM12" s="320">
        <v>33083.196729999996</v>
      </c>
      <c r="BN12" s="320">
        <v>36227.472610000004</v>
      </c>
      <c r="BO12" s="320">
        <v>36206.073909999999</v>
      </c>
      <c r="BP12" s="320">
        <v>37717.226439999999</v>
      </c>
      <c r="BQ12" s="320">
        <v>38001.641049999998</v>
      </c>
      <c r="BR12" s="320">
        <v>43058.392260000001</v>
      </c>
      <c r="BS12" s="320">
        <v>34781.91676</v>
      </c>
      <c r="BT12" s="320">
        <v>41914.14112</v>
      </c>
      <c r="BU12" s="343">
        <v>43093.439160000002</v>
      </c>
      <c r="BV12" s="345">
        <v>46808.712350000002</v>
      </c>
      <c r="BW12" s="320">
        <v>46314.35499</v>
      </c>
      <c r="BX12" s="320">
        <v>44913.799039999998</v>
      </c>
      <c r="BY12" s="320">
        <v>46755.464510000005</v>
      </c>
      <c r="BZ12" s="320">
        <v>47350.349549999999</v>
      </c>
      <c r="CA12" s="320">
        <v>51887.818620000005</v>
      </c>
      <c r="CB12" s="320">
        <v>50240.2408</v>
      </c>
      <c r="CC12" s="320">
        <v>50267.762690000003</v>
      </c>
      <c r="CD12" s="320">
        <v>53804.968789999999</v>
      </c>
      <c r="CE12" s="320">
        <v>50361.851840000003</v>
      </c>
      <c r="CF12" s="320">
        <v>52064.442360000001</v>
      </c>
      <c r="CG12" s="343">
        <v>60277.365749999997</v>
      </c>
      <c r="CH12" s="320">
        <v>60005.805960000012</v>
      </c>
      <c r="CI12" s="320">
        <v>53975.071020000003</v>
      </c>
      <c r="CJ12" s="320">
        <v>52401.300100000008</v>
      </c>
      <c r="CK12" s="320">
        <v>52622.632540000006</v>
      </c>
      <c r="CL12" s="320">
        <v>52143.38798</v>
      </c>
      <c r="CM12" s="320">
        <v>59111.354129999992</v>
      </c>
      <c r="CN12" s="320">
        <v>54094.034009999996</v>
      </c>
      <c r="CO12" s="320">
        <v>56229.659820000001</v>
      </c>
      <c r="CP12" s="320">
        <v>60848.866109999995</v>
      </c>
      <c r="CQ12" s="320">
        <v>58876.24626</v>
      </c>
      <c r="CR12" s="320">
        <v>58263.585010000003</v>
      </c>
      <c r="CS12" s="320">
        <v>64331.233219999995</v>
      </c>
      <c r="CT12" s="345">
        <v>62194.730619999995</v>
      </c>
      <c r="CU12" s="320">
        <v>57760.572349999995</v>
      </c>
      <c r="CV12" s="320">
        <v>58528.385750000001</v>
      </c>
      <c r="CW12" s="320">
        <v>55713.188199999997</v>
      </c>
      <c r="CX12" s="320">
        <v>62048.45983</v>
      </c>
      <c r="CY12" s="320">
        <v>62129.1558</v>
      </c>
      <c r="CZ12" s="320">
        <v>63349.357709999997</v>
      </c>
      <c r="DA12" s="320">
        <v>66492.444860000003</v>
      </c>
      <c r="DB12" s="320">
        <v>69577.507769999997</v>
      </c>
      <c r="DC12" s="320">
        <v>65524.790929999988</v>
      </c>
      <c r="DD12" s="320">
        <v>72593.715909999999</v>
      </c>
      <c r="DE12" s="320">
        <v>68268.837410000007</v>
      </c>
      <c r="DF12" s="345">
        <v>72684.626910000006</v>
      </c>
      <c r="DG12" s="320">
        <v>74260.554009999993</v>
      </c>
      <c r="DH12" s="320">
        <v>65903.237099999998</v>
      </c>
      <c r="DI12" s="320">
        <v>68706.953130000009</v>
      </c>
      <c r="DJ12" s="320">
        <v>70724.10613</v>
      </c>
      <c r="DK12" s="320">
        <v>66629.997069999998</v>
      </c>
      <c r="DL12" s="320">
        <v>68706.981880000007</v>
      </c>
      <c r="DM12" s="320">
        <v>66858.418980000002</v>
      </c>
      <c r="DN12" s="320">
        <v>67028.863459999993</v>
      </c>
      <c r="DO12" s="320">
        <v>73371.665129999994</v>
      </c>
      <c r="DP12" s="320">
        <v>77646.147070000006</v>
      </c>
      <c r="DQ12" s="343">
        <v>58274.396489999999</v>
      </c>
      <c r="DR12" s="320">
        <v>86647.294049999997</v>
      </c>
      <c r="DS12" s="320">
        <v>80297.808680000002</v>
      </c>
      <c r="DT12" s="320">
        <v>75591.775680000006</v>
      </c>
      <c r="DU12" s="320">
        <v>75262.562340000004</v>
      </c>
      <c r="DV12" s="320">
        <v>73817.83008</v>
      </c>
      <c r="DW12" s="320">
        <v>81154.08845000001</v>
      </c>
      <c r="DX12" s="320">
        <v>83511.290659999999</v>
      </c>
      <c r="DY12" s="320">
        <v>87466.934819999995</v>
      </c>
      <c r="DZ12" s="320">
        <v>85862.888349999994</v>
      </c>
      <c r="EA12" s="320">
        <v>95300.580860000002</v>
      </c>
      <c r="EB12" s="320">
        <v>91212.865470000004</v>
      </c>
      <c r="EC12" s="343">
        <v>88726.465020000003</v>
      </c>
      <c r="ED12" s="345">
        <v>91250.951830000005</v>
      </c>
      <c r="EE12" s="320">
        <v>85151</v>
      </c>
      <c r="EF12" s="320">
        <v>84366</v>
      </c>
      <c r="EG12" s="320">
        <v>93798.399999999994</v>
      </c>
      <c r="EH12" s="320">
        <v>128230</v>
      </c>
      <c r="EI12" s="320">
        <v>137950</v>
      </c>
      <c r="EJ12" s="320">
        <v>146963</v>
      </c>
      <c r="EK12" s="320">
        <v>137122</v>
      </c>
      <c r="EL12" s="320">
        <v>139074</v>
      </c>
      <c r="EM12" s="320">
        <v>130685</v>
      </c>
      <c r="EN12" s="320">
        <v>114413</v>
      </c>
      <c r="EO12" s="343">
        <v>112224</v>
      </c>
      <c r="EQ12" s="794">
        <f t="shared" si="8"/>
        <v>-1.9132441243564946</v>
      </c>
      <c r="ER12" s="794">
        <f t="shared" si="9"/>
        <v>26.483118621601086</v>
      </c>
      <c r="ES12" s="320"/>
      <c r="ET12" s="795">
        <f t="shared" si="10"/>
        <v>7.6447497702185063E-2</v>
      </c>
      <c r="EU12" s="317">
        <f t="shared" si="11"/>
        <v>8514.3944199999969</v>
      </c>
      <c r="FA12" s="793" t="s">
        <v>84</v>
      </c>
      <c r="FB12" s="798">
        <f>ET26</f>
        <v>0.16922663431152909</v>
      </c>
      <c r="FG12" s="331"/>
    </row>
    <row r="13" spans="1:163" ht="13.9" customHeight="1" x14ac:dyDescent="0.2">
      <c r="A13" s="1036" t="s">
        <v>490</v>
      </c>
      <c r="B13" s="320">
        <v>4938</v>
      </c>
      <c r="C13" s="320">
        <v>4825</v>
      </c>
      <c r="D13" s="320">
        <v>5010</v>
      </c>
      <c r="E13" s="320">
        <v>4853</v>
      </c>
      <c r="F13" s="320">
        <v>5358</v>
      </c>
      <c r="G13" s="320">
        <v>5254</v>
      </c>
      <c r="H13" s="320">
        <v>6859</v>
      </c>
      <c r="I13" s="320">
        <v>6190</v>
      </c>
      <c r="J13" s="320">
        <v>6516</v>
      </c>
      <c r="K13" s="320">
        <v>6743</v>
      </c>
      <c r="L13" s="320">
        <v>7403</v>
      </c>
      <c r="M13" s="343">
        <v>7405.3835999999992</v>
      </c>
      <c r="N13" s="320">
        <v>7256.5458500000004</v>
      </c>
      <c r="O13" s="320">
        <v>7010</v>
      </c>
      <c r="P13" s="320">
        <v>7147</v>
      </c>
      <c r="Q13" s="320">
        <v>7020</v>
      </c>
      <c r="R13" s="320">
        <v>7218</v>
      </c>
      <c r="S13" s="320">
        <v>7372</v>
      </c>
      <c r="T13" s="320">
        <v>7117</v>
      </c>
      <c r="U13" s="320">
        <v>7501</v>
      </c>
      <c r="V13" s="320">
        <v>8161</v>
      </c>
      <c r="W13" s="320">
        <v>9008</v>
      </c>
      <c r="X13" s="320">
        <v>8312</v>
      </c>
      <c r="Y13" s="320">
        <v>7706</v>
      </c>
      <c r="Z13" s="345">
        <v>7385</v>
      </c>
      <c r="AA13" s="320">
        <v>6973</v>
      </c>
      <c r="AB13" s="320">
        <v>7109</v>
      </c>
      <c r="AC13" s="320">
        <v>7451</v>
      </c>
      <c r="AD13" s="320">
        <v>7574</v>
      </c>
      <c r="AE13" s="320">
        <v>7928</v>
      </c>
      <c r="AF13" s="320">
        <v>8830</v>
      </c>
      <c r="AG13" s="320">
        <v>9344</v>
      </c>
      <c r="AH13" s="320">
        <v>9841</v>
      </c>
      <c r="AI13" s="320">
        <v>9571</v>
      </c>
      <c r="AJ13" s="320">
        <v>9885</v>
      </c>
      <c r="AK13" s="320">
        <v>10248</v>
      </c>
      <c r="AL13" s="345">
        <v>8847</v>
      </c>
      <c r="AM13" s="320">
        <v>8312</v>
      </c>
      <c r="AN13" s="320">
        <v>8483</v>
      </c>
      <c r="AO13" s="320">
        <v>7919</v>
      </c>
      <c r="AP13" s="320">
        <v>8072</v>
      </c>
      <c r="AQ13" s="320">
        <v>7663</v>
      </c>
      <c r="AR13" s="320">
        <v>7647</v>
      </c>
      <c r="AS13" s="320">
        <v>8200</v>
      </c>
      <c r="AT13" s="320">
        <v>9321</v>
      </c>
      <c r="AU13" s="320">
        <v>8618</v>
      </c>
      <c r="AV13" s="320">
        <v>8599</v>
      </c>
      <c r="AW13" s="320">
        <v>8340</v>
      </c>
      <c r="AX13" s="345">
        <v>8625</v>
      </c>
      <c r="AY13" s="320">
        <v>8203</v>
      </c>
      <c r="AZ13" s="320">
        <v>8181</v>
      </c>
      <c r="BA13" s="320">
        <v>8592</v>
      </c>
      <c r="BB13" s="320">
        <v>8192</v>
      </c>
      <c r="BC13" s="320">
        <v>7474.1689299999998</v>
      </c>
      <c r="BD13" s="320">
        <v>8262.7706400000006</v>
      </c>
      <c r="BE13" s="320">
        <v>9000.7010399999999</v>
      </c>
      <c r="BF13" s="320">
        <v>8949.1846400000013</v>
      </c>
      <c r="BG13" s="320">
        <v>8471.7644700000001</v>
      </c>
      <c r="BH13" s="320">
        <v>9123.3489000000009</v>
      </c>
      <c r="BI13" s="320">
        <v>9224.9475899999998</v>
      </c>
      <c r="BJ13" s="345">
        <v>10189.587459999999</v>
      </c>
      <c r="BK13" s="320">
        <v>9868.8086799999983</v>
      </c>
      <c r="BL13" s="320">
        <v>9126.0437199999997</v>
      </c>
      <c r="BM13" s="320">
        <v>9565.9194299999999</v>
      </c>
      <c r="BN13" s="320">
        <v>9995.1951300000001</v>
      </c>
      <c r="BO13" s="320">
        <v>9996.4858700000004</v>
      </c>
      <c r="BP13" s="320">
        <v>9849.2411400000001</v>
      </c>
      <c r="BQ13" s="320">
        <v>9960.7573200000006</v>
      </c>
      <c r="BR13" s="320">
        <v>10340.59736</v>
      </c>
      <c r="BS13" s="320">
        <v>9948.4687300000005</v>
      </c>
      <c r="BT13" s="320">
        <v>9762.4843099999998</v>
      </c>
      <c r="BU13" s="343">
        <v>9723.9621299999999</v>
      </c>
      <c r="BV13" s="345">
        <v>9143.6914800000013</v>
      </c>
      <c r="BW13" s="320">
        <v>8852.6167499999992</v>
      </c>
      <c r="BX13" s="320">
        <v>53666.020239999998</v>
      </c>
      <c r="BY13" s="320">
        <v>51742.01597</v>
      </c>
      <c r="BZ13" s="320">
        <v>52199.857260000004</v>
      </c>
      <c r="CA13" s="320">
        <v>51391.87672</v>
      </c>
      <c r="CB13" s="320">
        <v>51801.682849999997</v>
      </c>
      <c r="CC13" s="320">
        <v>9091.4458799999993</v>
      </c>
      <c r="CD13" s="320">
        <v>8549.1636599999983</v>
      </c>
      <c r="CE13" s="320">
        <v>8476.3652999999995</v>
      </c>
      <c r="CF13" s="320">
        <v>9850.0948600000011</v>
      </c>
      <c r="CG13" s="343">
        <v>9809.9019900000003</v>
      </c>
      <c r="CH13" s="320">
        <v>9973.18815</v>
      </c>
      <c r="CI13" s="320">
        <v>9482.0656400000007</v>
      </c>
      <c r="CJ13" s="320">
        <v>9742.1721600000001</v>
      </c>
      <c r="CK13" s="320">
        <v>9057.9674899999991</v>
      </c>
      <c r="CL13" s="320">
        <v>9845.0421100000003</v>
      </c>
      <c r="CM13" s="320">
        <v>9941.003709999999</v>
      </c>
      <c r="CN13" s="320">
        <v>10209.655439999999</v>
      </c>
      <c r="CO13" s="320">
        <v>10266.08769</v>
      </c>
      <c r="CP13" s="320">
        <v>10831.00383</v>
      </c>
      <c r="CQ13" s="320">
        <v>10448.16965</v>
      </c>
      <c r="CR13" s="320">
        <v>10438.68921</v>
      </c>
      <c r="CS13" s="320">
        <v>10612.001449999998</v>
      </c>
      <c r="CT13" s="345">
        <v>11064.697520000002</v>
      </c>
      <c r="CU13" s="320">
        <v>10935.582440000002</v>
      </c>
      <c r="CV13" s="320">
        <v>11654.015630000002</v>
      </c>
      <c r="CW13" s="320">
        <v>11309.402580000002</v>
      </c>
      <c r="CX13" s="320">
        <v>10809.321169999999</v>
      </c>
      <c r="CY13" s="320">
        <v>11089.295760000001</v>
      </c>
      <c r="CZ13" s="320">
        <v>12226.589609999997</v>
      </c>
      <c r="DA13" s="320">
        <v>11013.499539999999</v>
      </c>
      <c r="DB13" s="320">
        <v>12325.635850000001</v>
      </c>
      <c r="DC13" s="320">
        <v>12182.41383</v>
      </c>
      <c r="DD13" s="320">
        <v>10048.491940000002</v>
      </c>
      <c r="DE13" s="320">
        <v>11330.69176</v>
      </c>
      <c r="DF13" s="345">
        <v>11687.62552</v>
      </c>
      <c r="DG13" s="320">
        <v>10691.027659999998</v>
      </c>
      <c r="DH13" s="320">
        <v>10819.93765</v>
      </c>
      <c r="DI13" s="320">
        <v>11141.75628</v>
      </c>
      <c r="DJ13" s="320">
        <v>11719.812590000001</v>
      </c>
      <c r="DK13" s="320">
        <v>11372.314069999999</v>
      </c>
      <c r="DL13" s="320">
        <v>11550.649939999999</v>
      </c>
      <c r="DM13" s="320">
        <v>12767.690930000001</v>
      </c>
      <c r="DN13" s="320">
        <v>13357.86873</v>
      </c>
      <c r="DO13" s="320">
        <v>14581.363969999999</v>
      </c>
      <c r="DP13" s="320">
        <v>13367.674569999999</v>
      </c>
      <c r="DQ13" s="343">
        <v>43415.255470000011</v>
      </c>
      <c r="DR13" s="320">
        <v>14202.51887</v>
      </c>
      <c r="DS13" s="320">
        <v>12491.85238</v>
      </c>
      <c r="DT13" s="320">
        <v>12300.343049999999</v>
      </c>
      <c r="DU13" s="320">
        <v>11278.714320000001</v>
      </c>
      <c r="DV13" s="320">
        <v>11950.136339999999</v>
      </c>
      <c r="DW13" s="320">
        <v>12831.13906</v>
      </c>
      <c r="DX13" s="320">
        <v>12795.455680000001</v>
      </c>
      <c r="DY13" s="320">
        <v>13644.888710000003</v>
      </c>
      <c r="DZ13" s="320">
        <v>13237.691150000001</v>
      </c>
      <c r="EA13" s="320">
        <v>13069.191250000002</v>
      </c>
      <c r="EB13" s="320">
        <v>14657.60621</v>
      </c>
      <c r="EC13" s="343">
        <v>14373.18838</v>
      </c>
      <c r="ED13" s="345">
        <v>13665.843040000002</v>
      </c>
      <c r="EE13" s="320">
        <v>13060</v>
      </c>
      <c r="EF13" s="320">
        <v>18219</v>
      </c>
      <c r="EG13" s="320">
        <v>17506</v>
      </c>
      <c r="EH13" s="320">
        <v>22998</v>
      </c>
      <c r="EI13" s="320">
        <v>24210</v>
      </c>
      <c r="EJ13" s="320">
        <v>24950</v>
      </c>
      <c r="EK13" s="320">
        <v>27084</v>
      </c>
      <c r="EL13" s="320">
        <v>27752</v>
      </c>
      <c r="EM13" s="320">
        <v>28042</v>
      </c>
      <c r="EN13" s="320">
        <v>28893</v>
      </c>
      <c r="EO13" s="343">
        <v>28861</v>
      </c>
      <c r="EQ13" s="794">
        <f t="shared" si="8"/>
        <v>-0.11075346969854349</v>
      </c>
      <c r="ER13" s="794">
        <f t="shared" si="9"/>
        <v>100.79747956382104</v>
      </c>
      <c r="ES13" s="320"/>
      <c r="ET13" s="795">
        <f t="shared" si="10"/>
        <v>1.1448861446893489E-2</v>
      </c>
      <c r="EU13" s="317">
        <f t="shared" si="11"/>
        <v>1971.8043500000003</v>
      </c>
      <c r="FA13" s="793" t="str">
        <f>A12</f>
        <v>Scotiabank</v>
      </c>
      <c r="FB13" s="798">
        <f>ET12</f>
        <v>7.6447497702185063E-2</v>
      </c>
      <c r="FG13" s="331"/>
    </row>
    <row r="14" spans="1:163" ht="13.9" customHeight="1" x14ac:dyDescent="0.2">
      <c r="A14" s="1036" t="s">
        <v>491</v>
      </c>
      <c r="B14" s="320">
        <v>32</v>
      </c>
      <c r="C14" s="320">
        <v>48</v>
      </c>
      <c r="D14" s="320">
        <v>56</v>
      </c>
      <c r="E14" s="320">
        <v>78</v>
      </c>
      <c r="F14" s="320">
        <v>90</v>
      </c>
      <c r="G14" s="320">
        <v>95</v>
      </c>
      <c r="H14" s="320">
        <v>125</v>
      </c>
      <c r="I14" s="320">
        <v>131</v>
      </c>
      <c r="J14" s="320">
        <v>171</v>
      </c>
      <c r="K14" s="320">
        <v>153</v>
      </c>
      <c r="L14" s="320">
        <v>195</v>
      </c>
      <c r="M14" s="343">
        <v>236.14126000000002</v>
      </c>
      <c r="N14" s="320">
        <v>191.03532000000001</v>
      </c>
      <c r="O14" s="320">
        <v>215</v>
      </c>
      <c r="P14" s="320">
        <v>217</v>
      </c>
      <c r="Q14" s="320">
        <v>286</v>
      </c>
      <c r="R14" s="320">
        <v>296</v>
      </c>
      <c r="S14" s="320">
        <v>306</v>
      </c>
      <c r="T14" s="320">
        <v>318</v>
      </c>
      <c r="U14" s="320">
        <v>330</v>
      </c>
      <c r="V14" s="320">
        <v>333</v>
      </c>
      <c r="W14" s="320">
        <v>350</v>
      </c>
      <c r="X14" s="320">
        <v>356</v>
      </c>
      <c r="Y14" s="320">
        <v>397</v>
      </c>
      <c r="Z14" s="345">
        <v>357</v>
      </c>
      <c r="AA14" s="320">
        <v>384</v>
      </c>
      <c r="AB14" s="320">
        <v>399</v>
      </c>
      <c r="AC14" s="320">
        <v>403</v>
      </c>
      <c r="AD14" s="320">
        <v>439</v>
      </c>
      <c r="AE14" s="320">
        <v>487</v>
      </c>
      <c r="AF14" s="320">
        <v>493</v>
      </c>
      <c r="AG14" s="320">
        <v>526</v>
      </c>
      <c r="AH14" s="320">
        <v>569</v>
      </c>
      <c r="AI14" s="320">
        <v>574</v>
      </c>
      <c r="AJ14" s="320">
        <v>596</v>
      </c>
      <c r="AK14" s="320">
        <v>610</v>
      </c>
      <c r="AL14" s="345">
        <v>627</v>
      </c>
      <c r="AM14" s="320">
        <v>552</v>
      </c>
      <c r="AN14" s="320">
        <v>537</v>
      </c>
      <c r="AO14" s="320">
        <v>555</v>
      </c>
      <c r="AP14" s="320">
        <v>535</v>
      </c>
      <c r="AQ14" s="320">
        <v>556</v>
      </c>
      <c r="AR14" s="320">
        <v>644</v>
      </c>
      <c r="AS14" s="320">
        <v>628</v>
      </c>
      <c r="AT14" s="320">
        <v>508</v>
      </c>
      <c r="AU14" s="320">
        <v>534</v>
      </c>
      <c r="AV14" s="320">
        <v>553</v>
      </c>
      <c r="AW14" s="320">
        <v>553</v>
      </c>
      <c r="AX14" s="345">
        <v>585</v>
      </c>
      <c r="AY14" s="320">
        <v>650</v>
      </c>
      <c r="AZ14" s="320">
        <v>657</v>
      </c>
      <c r="BA14" s="320">
        <v>649</v>
      </c>
      <c r="BB14" s="320">
        <v>656</v>
      </c>
      <c r="BC14" s="320">
        <v>693.91081999999994</v>
      </c>
      <c r="BD14" s="320">
        <v>755.31832999999995</v>
      </c>
      <c r="BE14" s="320">
        <v>772.93531999999993</v>
      </c>
      <c r="BF14" s="320">
        <v>737.94093000000009</v>
      </c>
      <c r="BG14" s="320">
        <v>716.01255000000003</v>
      </c>
      <c r="BH14" s="320">
        <v>755.04993000000002</v>
      </c>
      <c r="BI14" s="320">
        <v>768.75122999999996</v>
      </c>
      <c r="BJ14" s="345">
        <v>741.42669999999998</v>
      </c>
      <c r="BK14" s="320">
        <v>754.37341000000004</v>
      </c>
      <c r="BL14" s="320">
        <v>656.09518000000003</v>
      </c>
      <c r="BM14" s="320">
        <v>665.62650000000008</v>
      </c>
      <c r="BN14" s="320">
        <v>678.86087999999995</v>
      </c>
      <c r="BO14" s="320">
        <v>689.61654999999996</v>
      </c>
      <c r="BP14" s="320">
        <v>779.27837</v>
      </c>
      <c r="BQ14" s="320">
        <v>797.87279000000001</v>
      </c>
      <c r="BR14" s="320">
        <v>855.87207999999998</v>
      </c>
      <c r="BS14" s="320">
        <v>872.78280999999993</v>
      </c>
      <c r="BT14" s="320">
        <v>922.51910999999996</v>
      </c>
      <c r="BU14" s="343">
        <v>960.52695999999992</v>
      </c>
      <c r="BV14" s="345">
        <v>887.25094999999999</v>
      </c>
      <c r="BW14" s="320">
        <v>883.98973999999987</v>
      </c>
      <c r="BX14" s="320">
        <v>920.53305000000012</v>
      </c>
      <c r="BY14" s="320">
        <v>870.06805999999995</v>
      </c>
      <c r="BZ14" s="320">
        <v>937.11646000000007</v>
      </c>
      <c r="CA14" s="320">
        <v>909.83852000000002</v>
      </c>
      <c r="CB14" s="320">
        <v>994.00855999999999</v>
      </c>
      <c r="CC14" s="320">
        <v>995.06774000000007</v>
      </c>
      <c r="CD14" s="320">
        <v>853.57312999999999</v>
      </c>
      <c r="CE14" s="320">
        <v>809.56637999999998</v>
      </c>
      <c r="CF14" s="320">
        <v>749.09577999999999</v>
      </c>
      <c r="CG14" s="343">
        <v>709.71367000000009</v>
      </c>
      <c r="CH14" s="320">
        <v>747.75934999999993</v>
      </c>
      <c r="CI14" s="320">
        <v>657.26306999999997</v>
      </c>
      <c r="CJ14" s="320">
        <v>640.93118000000004</v>
      </c>
      <c r="CK14" s="320">
        <v>656.27605000000005</v>
      </c>
      <c r="CL14" s="320">
        <v>668.86793</v>
      </c>
      <c r="CM14" s="320">
        <v>692.18634999999995</v>
      </c>
      <c r="CN14" s="320">
        <v>751.87807999999995</v>
      </c>
      <c r="CO14" s="320">
        <v>759.89670999999998</v>
      </c>
      <c r="CP14" s="320">
        <v>740.08927000000006</v>
      </c>
      <c r="CQ14" s="320">
        <v>722.22031000000004</v>
      </c>
      <c r="CR14" s="320">
        <v>786.91703000000007</v>
      </c>
      <c r="CS14" s="320">
        <v>794.45445999999993</v>
      </c>
      <c r="CT14" s="345">
        <v>771.42090000000007</v>
      </c>
      <c r="CU14" s="320">
        <v>732.77674999999999</v>
      </c>
      <c r="CV14" s="320">
        <v>758.35762</v>
      </c>
      <c r="CW14" s="320">
        <v>732.04408000000001</v>
      </c>
      <c r="CX14" s="320">
        <v>765.23708999999997</v>
      </c>
      <c r="CY14" s="320">
        <v>741.91812000000004</v>
      </c>
      <c r="CZ14" s="320">
        <v>724.43085999999994</v>
      </c>
      <c r="DA14" s="320">
        <v>782.94813999999997</v>
      </c>
      <c r="DB14" s="320">
        <v>735.68664000000001</v>
      </c>
      <c r="DC14" s="320">
        <v>727.02638999999999</v>
      </c>
      <c r="DD14" s="320">
        <v>723.43861000000004</v>
      </c>
      <c r="DE14" s="320">
        <v>716.08389999999997</v>
      </c>
      <c r="DF14" s="345">
        <v>806.93231000000003</v>
      </c>
      <c r="DG14" s="320">
        <v>807.66263000000004</v>
      </c>
      <c r="DH14" s="320">
        <v>849.04290000000003</v>
      </c>
      <c r="DI14" s="320">
        <v>872.44027000000006</v>
      </c>
      <c r="DJ14" s="320">
        <v>854.10223999999994</v>
      </c>
      <c r="DK14" s="320">
        <v>787.66939000000002</v>
      </c>
      <c r="DL14" s="320">
        <v>813.85395999999992</v>
      </c>
      <c r="DM14" s="320">
        <v>795.30327</v>
      </c>
      <c r="DN14" s="320">
        <v>781.07869999999991</v>
      </c>
      <c r="DO14" s="320">
        <v>783.23805000000004</v>
      </c>
      <c r="DP14" s="320">
        <v>820.37070999999992</v>
      </c>
      <c r="DQ14" s="343">
        <v>819.67793999999992</v>
      </c>
      <c r="DR14" s="320">
        <v>792.71143000000006</v>
      </c>
      <c r="DS14" s="320">
        <v>785.97577000000001</v>
      </c>
      <c r="DT14" s="320">
        <v>761.84556999999995</v>
      </c>
      <c r="DU14" s="320">
        <v>761.81848000000002</v>
      </c>
      <c r="DV14" s="320">
        <v>748.7398199999999</v>
      </c>
      <c r="DW14" s="320">
        <v>735.02730000000008</v>
      </c>
      <c r="DX14" s="320">
        <v>788.75934999999993</v>
      </c>
      <c r="DY14" s="320">
        <v>729.29524000000004</v>
      </c>
      <c r="DZ14" s="320">
        <v>710.31763999999998</v>
      </c>
      <c r="EA14" s="320">
        <v>709.95236</v>
      </c>
      <c r="EB14" s="320">
        <v>758.48818999999992</v>
      </c>
      <c r="EC14" s="343">
        <v>758.48818999999992</v>
      </c>
      <c r="ED14" s="345">
        <v>763.31720999999993</v>
      </c>
      <c r="EE14" s="320">
        <v>735</v>
      </c>
      <c r="EF14" s="320">
        <v>699</v>
      </c>
      <c r="EG14" s="320">
        <v>695</v>
      </c>
      <c r="EH14" s="320">
        <v>701</v>
      </c>
      <c r="EI14" s="320">
        <v>701</v>
      </c>
      <c r="EJ14" s="320">
        <v>681</v>
      </c>
      <c r="EK14" s="320">
        <v>603</v>
      </c>
      <c r="EL14" s="320">
        <v>721</v>
      </c>
      <c r="EM14" s="320">
        <v>509</v>
      </c>
      <c r="EN14" s="320">
        <v>607</v>
      </c>
      <c r="EO14" s="343">
        <v>552</v>
      </c>
      <c r="EQ14" s="794">
        <f t="shared" si="8"/>
        <v>-9.0609555189456348</v>
      </c>
      <c r="ER14" s="794">
        <f t="shared" si="9"/>
        <v>-27.223652618770501</v>
      </c>
      <c r="ES14" s="320"/>
      <c r="ET14" s="795">
        <f t="shared" si="10"/>
        <v>6.3948582987085874E-4</v>
      </c>
      <c r="EU14" s="317">
        <f t="shared" si="11"/>
        <v>-87.346069999999941</v>
      </c>
      <c r="FA14" s="799" t="str">
        <f>A11</f>
        <v>Interbank</v>
      </c>
      <c r="FB14" s="800">
        <f>ET11</f>
        <v>6.5931453930184986E-2</v>
      </c>
      <c r="FG14" s="331"/>
    </row>
    <row r="15" spans="1:163" ht="13.9" customHeight="1" x14ac:dyDescent="0.2">
      <c r="A15" s="1036" t="s">
        <v>492</v>
      </c>
      <c r="B15" s="801"/>
      <c r="C15" s="801"/>
      <c r="D15" s="801"/>
      <c r="E15" s="801">
        <v>1</v>
      </c>
      <c r="F15" s="801"/>
      <c r="G15" s="801">
        <v>1</v>
      </c>
      <c r="H15" s="801">
        <v>2</v>
      </c>
      <c r="I15" s="801">
        <v>38</v>
      </c>
      <c r="J15" s="801">
        <v>61</v>
      </c>
      <c r="K15" s="801">
        <v>68</v>
      </c>
      <c r="L15" s="801">
        <v>65</v>
      </c>
      <c r="M15" s="802">
        <v>44.508589999999998</v>
      </c>
      <c r="N15" s="801">
        <v>30.202870000000001</v>
      </c>
      <c r="O15" s="801">
        <v>1063</v>
      </c>
      <c r="P15" s="801">
        <v>669</v>
      </c>
      <c r="Q15" s="801">
        <v>493</v>
      </c>
      <c r="R15" s="801">
        <v>138</v>
      </c>
      <c r="S15" s="801">
        <v>88</v>
      </c>
      <c r="T15" s="801">
        <v>43</v>
      </c>
      <c r="U15" s="801">
        <v>61</v>
      </c>
      <c r="V15" s="801">
        <v>76</v>
      </c>
      <c r="W15" s="801">
        <v>81</v>
      </c>
      <c r="X15" s="801">
        <v>57</v>
      </c>
      <c r="Y15" s="801">
        <v>52</v>
      </c>
      <c r="Z15" s="803">
        <v>77</v>
      </c>
      <c r="AA15" s="801">
        <v>93</v>
      </c>
      <c r="AB15" s="801">
        <v>133</v>
      </c>
      <c r="AC15" s="801">
        <v>191</v>
      </c>
      <c r="AD15" s="801">
        <v>97</v>
      </c>
      <c r="AE15" s="801">
        <v>170</v>
      </c>
      <c r="AF15" s="801">
        <v>97</v>
      </c>
      <c r="AG15" s="801">
        <v>258</v>
      </c>
      <c r="AH15" s="801">
        <v>168</v>
      </c>
      <c r="AI15" s="801">
        <v>320</v>
      </c>
      <c r="AJ15" s="801">
        <v>212</v>
      </c>
      <c r="AK15" s="801">
        <v>149</v>
      </c>
      <c r="AL15" s="803">
        <v>107</v>
      </c>
      <c r="AM15" s="801">
        <v>234</v>
      </c>
      <c r="AN15" s="801">
        <v>231</v>
      </c>
      <c r="AO15" s="801">
        <v>274</v>
      </c>
      <c r="AP15" s="801">
        <v>314</v>
      </c>
      <c r="AQ15" s="801">
        <v>365</v>
      </c>
      <c r="AR15" s="801">
        <v>479</v>
      </c>
      <c r="AS15" s="801">
        <v>481</v>
      </c>
      <c r="AT15" s="801">
        <v>609</v>
      </c>
      <c r="AU15" s="801">
        <v>415</v>
      </c>
      <c r="AV15" s="801">
        <v>540</v>
      </c>
      <c r="AW15" s="801">
        <v>608</v>
      </c>
      <c r="AX15" s="803">
        <v>581</v>
      </c>
      <c r="AY15" s="801">
        <v>655</v>
      </c>
      <c r="AZ15" s="801">
        <v>547</v>
      </c>
      <c r="BA15" s="801">
        <v>504</v>
      </c>
      <c r="BB15" s="801">
        <v>389</v>
      </c>
      <c r="BC15" s="801">
        <v>485.70479</v>
      </c>
      <c r="BD15" s="801">
        <v>463.88292999999999</v>
      </c>
      <c r="BE15" s="801">
        <v>478.87268</v>
      </c>
      <c r="BF15" s="801">
        <v>480.33184999999997</v>
      </c>
      <c r="BG15" s="801">
        <v>388.05753999999996</v>
      </c>
      <c r="BH15" s="801">
        <v>555.39260999999999</v>
      </c>
      <c r="BI15" s="801">
        <v>757.05266000000006</v>
      </c>
      <c r="BJ15" s="803">
        <v>582.4876999999999</v>
      </c>
      <c r="BK15" s="801">
        <v>646.85158000000001</v>
      </c>
      <c r="BL15" s="801">
        <v>684.81592000000001</v>
      </c>
      <c r="BM15" s="801">
        <v>786.69141999999999</v>
      </c>
      <c r="BN15" s="801">
        <v>434.89452</v>
      </c>
      <c r="BO15" s="801">
        <v>737.26256999999998</v>
      </c>
      <c r="BP15" s="801">
        <v>445.80781999999999</v>
      </c>
      <c r="BQ15" s="801">
        <v>712.03420999999992</v>
      </c>
      <c r="BR15" s="801">
        <v>546.06754000000001</v>
      </c>
      <c r="BS15" s="801">
        <v>655.13833999999997</v>
      </c>
      <c r="BT15" s="801">
        <v>581.80331000000001</v>
      </c>
      <c r="BU15" s="802">
        <v>646.91380000000004</v>
      </c>
      <c r="BV15" s="803">
        <v>565.54816000000005</v>
      </c>
      <c r="BW15" s="801">
        <v>837.43871999999999</v>
      </c>
      <c r="BX15" s="801">
        <v>788.80395999999996</v>
      </c>
      <c r="BY15" s="801">
        <v>711.08807999999999</v>
      </c>
      <c r="BZ15" s="801">
        <v>669.92468000000008</v>
      </c>
      <c r="CA15" s="801">
        <v>638.61292000000003</v>
      </c>
      <c r="CB15" s="801">
        <v>690.26367000000005</v>
      </c>
      <c r="CC15" s="801">
        <v>677.76008999999999</v>
      </c>
      <c r="CD15" s="801">
        <v>538.37006000000008</v>
      </c>
      <c r="CE15" s="801">
        <v>702.15247999999997</v>
      </c>
      <c r="CF15" s="801">
        <v>772.04147999999998</v>
      </c>
      <c r="CG15" s="802">
        <v>904.63718999999992</v>
      </c>
      <c r="CH15" s="801">
        <v>831.97494999999992</v>
      </c>
      <c r="CI15" s="801">
        <v>714.75202000000002</v>
      </c>
      <c r="CJ15" s="801">
        <v>849.43179000000009</v>
      </c>
      <c r="CK15" s="801">
        <v>736.09686999999997</v>
      </c>
      <c r="CL15" s="801">
        <v>791.08454000000006</v>
      </c>
      <c r="CM15" s="801">
        <v>629.50175000000002</v>
      </c>
      <c r="CN15" s="801">
        <v>696.53215999999998</v>
      </c>
      <c r="CO15" s="801">
        <v>929.52717000000007</v>
      </c>
      <c r="CP15" s="801">
        <v>953.48322999999993</v>
      </c>
      <c r="CQ15" s="801">
        <v>1206.7595800000001</v>
      </c>
      <c r="CR15" s="801">
        <v>948.54466000000002</v>
      </c>
      <c r="CS15" s="801">
        <v>1034.13283</v>
      </c>
      <c r="CT15" s="803">
        <v>1046.61789</v>
      </c>
      <c r="CU15" s="801">
        <v>1041.41659</v>
      </c>
      <c r="CV15" s="801">
        <v>1256.741</v>
      </c>
      <c r="CW15" s="801">
        <v>925.80971</v>
      </c>
      <c r="CX15" s="801">
        <v>1234.0384299999998</v>
      </c>
      <c r="CY15" s="801">
        <v>1442.8425099999999</v>
      </c>
      <c r="CZ15" s="801">
        <v>1256.2724499999999</v>
      </c>
      <c r="DA15" s="801">
        <v>1028.2351700000002</v>
      </c>
      <c r="DB15" s="801">
        <v>982.57035999999994</v>
      </c>
      <c r="DC15" s="801">
        <v>1133.57395</v>
      </c>
      <c r="DD15" s="801">
        <v>1175.2090499999999</v>
      </c>
      <c r="DE15" s="801">
        <v>994.98138000000006</v>
      </c>
      <c r="DF15" s="803">
        <v>1412.13761</v>
      </c>
      <c r="DG15" s="801">
        <v>1141.2778700000001</v>
      </c>
      <c r="DH15" s="801">
        <v>1235.1958</v>
      </c>
      <c r="DI15" s="801">
        <v>1622.71398</v>
      </c>
      <c r="DJ15" s="801">
        <v>1750.9288899999999</v>
      </c>
      <c r="DK15" s="801">
        <v>1815.11232</v>
      </c>
      <c r="DL15" s="801">
        <v>2085.2973200000001</v>
      </c>
      <c r="DM15" s="801">
        <v>2557.5711200000001</v>
      </c>
      <c r="DN15" s="801">
        <v>2077.26044</v>
      </c>
      <c r="DO15" s="801">
        <v>1514.52611</v>
      </c>
      <c r="DP15" s="801">
        <v>2024.5822000000001</v>
      </c>
      <c r="DQ15" s="802">
        <v>1796.34211</v>
      </c>
      <c r="DR15" s="801">
        <v>1660.00496</v>
      </c>
      <c r="DS15" s="801">
        <v>1815.20804</v>
      </c>
      <c r="DT15" s="801">
        <v>1504.0793899999999</v>
      </c>
      <c r="DU15" s="801">
        <v>1720.4421200000002</v>
      </c>
      <c r="DV15" s="801">
        <v>1671.14239</v>
      </c>
      <c r="DW15" s="801">
        <v>2007.74161</v>
      </c>
      <c r="DX15" s="801">
        <v>2364.2383100000002</v>
      </c>
      <c r="DY15" s="801">
        <v>2357.85853</v>
      </c>
      <c r="DZ15" s="801">
        <v>3007.5140899999997</v>
      </c>
      <c r="EA15" s="801">
        <v>2492.3038799999999</v>
      </c>
      <c r="EB15" s="801">
        <v>2481.8400099999999</v>
      </c>
      <c r="EC15" s="802">
        <v>2489.3762900000002</v>
      </c>
      <c r="ED15" s="803">
        <v>2668.5339700000004</v>
      </c>
      <c r="EE15" s="801">
        <v>3531</v>
      </c>
      <c r="EF15" s="801">
        <v>2119</v>
      </c>
      <c r="EG15" s="801">
        <v>2154</v>
      </c>
      <c r="EH15" s="801">
        <v>2387</v>
      </c>
      <c r="EI15" s="801">
        <v>3158</v>
      </c>
      <c r="EJ15" s="801">
        <v>3062</v>
      </c>
      <c r="EK15" s="801">
        <v>3886</v>
      </c>
      <c r="EL15" s="801">
        <v>4069</v>
      </c>
      <c r="EM15" s="801">
        <v>4204</v>
      </c>
      <c r="EN15" s="801">
        <v>3449</v>
      </c>
      <c r="EO15" s="802">
        <v>4519</v>
      </c>
      <c r="EQ15" s="794">
        <f t="shared" si="8"/>
        <v>31.023485068135681</v>
      </c>
      <c r="ER15" s="794">
        <f t="shared" si="9"/>
        <v>81.531414842872138</v>
      </c>
      <c r="ES15" s="320"/>
      <c r="ET15" s="795">
        <f t="shared" si="10"/>
        <v>2.2356231956882351E-3</v>
      </c>
      <c r="EU15" s="317">
        <f t="shared" si="11"/>
        <v>504.60710000000017</v>
      </c>
      <c r="FB15" s="804">
        <f>SUM(FB9:FB14)</f>
        <v>0.9382877314962158</v>
      </c>
      <c r="FG15" s="331"/>
    </row>
    <row r="16" spans="1:163" ht="13.9" customHeight="1" x14ac:dyDescent="0.2">
      <c r="A16" s="1036" t="s">
        <v>493</v>
      </c>
      <c r="B16" s="801"/>
      <c r="C16" s="801"/>
      <c r="D16" s="801"/>
      <c r="E16" s="801"/>
      <c r="F16" s="801"/>
      <c r="G16" s="801"/>
      <c r="H16" s="801"/>
      <c r="I16" s="801"/>
      <c r="J16" s="801"/>
      <c r="K16" s="801"/>
      <c r="L16" s="801"/>
      <c r="M16" s="802"/>
      <c r="N16" s="801"/>
      <c r="O16" s="801"/>
      <c r="P16" s="801"/>
      <c r="Q16" s="801"/>
      <c r="R16" s="801"/>
      <c r="S16" s="801"/>
      <c r="T16" s="801"/>
      <c r="U16" s="801"/>
      <c r="V16" s="801"/>
      <c r="W16" s="801"/>
      <c r="X16" s="801"/>
      <c r="Y16" s="801"/>
      <c r="Z16" s="803"/>
      <c r="AA16" s="801"/>
      <c r="AB16" s="801"/>
      <c r="AC16" s="801"/>
      <c r="AD16" s="801"/>
      <c r="AE16" s="801"/>
      <c r="AF16" s="801"/>
      <c r="AG16" s="801"/>
      <c r="AH16" s="801"/>
      <c r="AI16" s="801"/>
      <c r="AJ16" s="801"/>
      <c r="AK16" s="801"/>
      <c r="AL16" s="803"/>
      <c r="AM16" s="801"/>
      <c r="AN16" s="801"/>
      <c r="AO16" s="801"/>
      <c r="AP16" s="801"/>
      <c r="AQ16" s="801"/>
      <c r="AR16" s="801"/>
      <c r="AS16" s="801"/>
      <c r="AT16" s="801"/>
      <c r="AU16" s="801"/>
      <c r="AV16" s="801"/>
      <c r="AW16" s="805"/>
      <c r="AX16" s="806"/>
      <c r="AY16" s="805"/>
      <c r="AZ16" s="805"/>
      <c r="BA16" s="805"/>
      <c r="BB16" s="805"/>
      <c r="BC16" s="805"/>
      <c r="BD16" s="805"/>
      <c r="BE16" s="805"/>
      <c r="BF16" s="805"/>
      <c r="BG16" s="805"/>
      <c r="BH16" s="805"/>
      <c r="BI16" s="801">
        <v>4.1940100000000005</v>
      </c>
      <c r="BJ16" s="803">
        <v>204.26930999999999</v>
      </c>
      <c r="BK16" s="801">
        <v>342.27951000000002</v>
      </c>
      <c r="BL16" s="801">
        <v>226.73799</v>
      </c>
      <c r="BM16" s="801">
        <v>226.17837</v>
      </c>
      <c r="BN16" s="801">
        <v>708.05881999999997</v>
      </c>
      <c r="BO16" s="801">
        <v>890.86131</v>
      </c>
      <c r="BP16" s="801">
        <v>1444.1956699999998</v>
      </c>
      <c r="BQ16" s="801">
        <v>1400.0421000000001</v>
      </c>
      <c r="BR16" s="801">
        <v>1673.9259299999999</v>
      </c>
      <c r="BS16" s="801">
        <v>1660.91732</v>
      </c>
      <c r="BT16" s="801">
        <v>4035.2820899999997</v>
      </c>
      <c r="BU16" s="802">
        <v>3435.6895800000002</v>
      </c>
      <c r="BV16" s="803">
        <v>2605.88762</v>
      </c>
      <c r="BW16" s="801">
        <v>2242.5739199999998</v>
      </c>
      <c r="BX16" s="801">
        <v>2971.7672799999996</v>
      </c>
      <c r="BY16" s="801">
        <v>2197.1158</v>
      </c>
      <c r="BZ16" s="801">
        <v>2136.2408399999999</v>
      </c>
      <c r="CA16" s="801">
        <v>3680.2287000000001</v>
      </c>
      <c r="CB16" s="801">
        <v>3289.0185200000001</v>
      </c>
      <c r="CC16" s="801">
        <v>3911.9811299999997</v>
      </c>
      <c r="CD16" s="801">
        <v>3441.0661500000001</v>
      </c>
      <c r="CE16" s="801">
        <v>4055.1035999999999</v>
      </c>
      <c r="CF16" s="801">
        <v>5283.08097</v>
      </c>
      <c r="CG16" s="802">
        <v>7354.3481200000006</v>
      </c>
      <c r="CH16" s="801">
        <v>5195.6123099999995</v>
      </c>
      <c r="CI16" s="801">
        <v>4951.6180999999997</v>
      </c>
      <c r="CJ16" s="801">
        <v>4871.5571900000004</v>
      </c>
      <c r="CK16" s="801">
        <v>4336.2991099999999</v>
      </c>
      <c r="CL16" s="801">
        <v>5312.7903200000001</v>
      </c>
      <c r="CM16" s="801">
        <v>5256.7289299999993</v>
      </c>
      <c r="CN16" s="801">
        <v>5098.9427599999999</v>
      </c>
      <c r="CO16" s="801">
        <v>4760.1615899999997</v>
      </c>
      <c r="CP16" s="801">
        <v>7578.4631200000003</v>
      </c>
      <c r="CQ16" s="801">
        <v>3925.90587</v>
      </c>
      <c r="CR16" s="801">
        <v>3979.9147599999997</v>
      </c>
      <c r="CS16" s="801">
        <v>5673.9088600000005</v>
      </c>
      <c r="CT16" s="803">
        <v>5490.4591399999999</v>
      </c>
      <c r="CU16" s="801">
        <v>5313.1024900000002</v>
      </c>
      <c r="CV16" s="801">
        <v>5175.1260300000004</v>
      </c>
      <c r="CW16" s="801">
        <v>4906.36715</v>
      </c>
      <c r="CX16" s="801">
        <v>6026.5102699999998</v>
      </c>
      <c r="CY16" s="801">
        <v>6583.7920800000002</v>
      </c>
      <c r="CZ16" s="801">
        <v>6607.6614300000001</v>
      </c>
      <c r="DA16" s="801">
        <v>8070.3498399999999</v>
      </c>
      <c r="DB16" s="801">
        <v>6850.1495400000003</v>
      </c>
      <c r="DC16" s="801">
        <v>7549.5479000000005</v>
      </c>
      <c r="DD16" s="801">
        <v>7193.2594900000004</v>
      </c>
      <c r="DE16" s="801">
        <v>6394.2893800000002</v>
      </c>
      <c r="DF16" s="803">
        <v>6797.4122800000005</v>
      </c>
      <c r="DG16" s="801">
        <v>6123.6938899999996</v>
      </c>
      <c r="DH16" s="801">
        <v>7432.8582400000005</v>
      </c>
      <c r="DI16" s="801">
        <v>6301.5085999999992</v>
      </c>
      <c r="DJ16" s="801">
        <v>6072.6834200000003</v>
      </c>
      <c r="DK16" s="801">
        <v>4597.9829400000008</v>
      </c>
      <c r="DL16" s="801">
        <v>11492.68482</v>
      </c>
      <c r="DM16" s="801">
        <v>7183.4980599999999</v>
      </c>
      <c r="DN16" s="801">
        <v>7476.4963200000002</v>
      </c>
      <c r="DO16" s="801">
        <v>10160.59461</v>
      </c>
      <c r="DP16" s="801">
        <v>8474.2527599999994</v>
      </c>
      <c r="DQ16" s="802">
        <v>12117.94349</v>
      </c>
      <c r="DR16" s="801">
        <v>9479.6036899999999</v>
      </c>
      <c r="DS16" s="801">
        <v>9934.1136099999985</v>
      </c>
      <c r="DT16" s="801">
        <v>7896.9568899999995</v>
      </c>
      <c r="DU16" s="801">
        <v>7678.2512699999997</v>
      </c>
      <c r="DV16" s="801">
        <v>8043.4828799999996</v>
      </c>
      <c r="DW16" s="801">
        <v>11726.654039999999</v>
      </c>
      <c r="DX16" s="801">
        <v>12825.72244</v>
      </c>
      <c r="DY16" s="801">
        <v>13886.72946</v>
      </c>
      <c r="DZ16" s="801">
        <v>13888.396839999999</v>
      </c>
      <c r="EA16" s="801">
        <v>16113.985550000001</v>
      </c>
      <c r="EB16" s="801">
        <v>13612.5895</v>
      </c>
      <c r="EC16" s="802">
        <v>14755.83749</v>
      </c>
      <c r="ED16" s="803">
        <v>16548.941139999999</v>
      </c>
      <c r="EE16" s="801">
        <v>14240</v>
      </c>
      <c r="EF16" s="801">
        <v>14731</v>
      </c>
      <c r="EG16" s="801">
        <v>13815</v>
      </c>
      <c r="EH16" s="801">
        <v>24029</v>
      </c>
      <c r="EI16" s="801">
        <v>19382</v>
      </c>
      <c r="EJ16" s="801">
        <v>22709</v>
      </c>
      <c r="EK16" s="801">
        <v>24098</v>
      </c>
      <c r="EL16" s="801">
        <v>25075</v>
      </c>
      <c r="EM16" s="801">
        <v>26003</v>
      </c>
      <c r="EN16" s="801">
        <v>35412</v>
      </c>
      <c r="EO16" s="802">
        <v>43841</v>
      </c>
      <c r="EQ16" s="794">
        <f t="shared" si="8"/>
        <v>23.802665763018194</v>
      </c>
      <c r="ER16" s="794">
        <f t="shared" si="9"/>
        <v>197.109533970613</v>
      </c>
      <c r="ES16" s="320"/>
      <c r="ET16" s="795">
        <f t="shared" si="10"/>
        <v>1.3864240475328592E-2</v>
      </c>
      <c r="EU16" s="317">
        <f t="shared" si="11"/>
        <v>-129.19772999999986</v>
      </c>
      <c r="FG16" s="331"/>
    </row>
    <row r="17" spans="1:163" ht="13.9" customHeight="1" x14ac:dyDescent="0.2">
      <c r="A17" s="1036" t="s">
        <v>494</v>
      </c>
      <c r="B17" s="801"/>
      <c r="C17" s="801"/>
      <c r="D17" s="801"/>
      <c r="E17" s="801"/>
      <c r="F17" s="801"/>
      <c r="G17" s="801"/>
      <c r="H17" s="801"/>
      <c r="I17" s="801"/>
      <c r="J17" s="801"/>
      <c r="K17" s="801"/>
      <c r="L17" s="801"/>
      <c r="M17" s="802"/>
      <c r="N17" s="801"/>
      <c r="O17" s="801"/>
      <c r="P17" s="801"/>
      <c r="Q17" s="801"/>
      <c r="R17" s="801"/>
      <c r="S17" s="801"/>
      <c r="T17" s="801"/>
      <c r="U17" s="801"/>
      <c r="V17" s="801"/>
      <c r="W17" s="801"/>
      <c r="X17" s="805"/>
      <c r="Y17" s="805"/>
      <c r="Z17" s="806"/>
      <c r="AA17" s="805"/>
      <c r="AB17" s="805"/>
      <c r="AC17" s="805"/>
      <c r="AD17" s="805"/>
      <c r="AE17" s="805"/>
      <c r="AF17" s="805"/>
      <c r="AG17" s="805"/>
      <c r="AH17" s="805"/>
      <c r="AI17" s="805"/>
      <c r="AJ17" s="805"/>
      <c r="AK17" s="805"/>
      <c r="AL17" s="806"/>
      <c r="AM17" s="805"/>
      <c r="AN17" s="805"/>
      <c r="AO17" s="805"/>
      <c r="AP17" s="805"/>
      <c r="AQ17" s="805"/>
      <c r="AR17" s="805"/>
      <c r="AS17" s="805"/>
      <c r="AT17" s="805"/>
      <c r="AU17" s="805"/>
      <c r="AV17" s="805"/>
      <c r="AW17" s="805"/>
      <c r="AX17" s="806"/>
      <c r="AY17" s="805"/>
      <c r="AZ17" s="805"/>
      <c r="BA17" s="805"/>
      <c r="BB17" s="805"/>
      <c r="BC17" s="805"/>
      <c r="BD17" s="805"/>
      <c r="BE17" s="805"/>
      <c r="BF17" s="805"/>
      <c r="BG17" s="805"/>
      <c r="BH17" s="805"/>
      <c r="BI17" s="805"/>
      <c r="BJ17" s="806"/>
      <c r="BK17" s="805"/>
      <c r="BL17" s="805"/>
      <c r="BM17" s="805"/>
      <c r="BN17" s="805"/>
      <c r="BO17" s="805"/>
      <c r="BP17" s="805"/>
      <c r="BQ17" s="805"/>
      <c r="BR17" s="805"/>
      <c r="BS17" s="805"/>
      <c r="BT17" s="805"/>
      <c r="BU17" s="807"/>
      <c r="BV17" s="806"/>
      <c r="BW17" s="805"/>
      <c r="BX17" s="805"/>
      <c r="BY17" s="805"/>
      <c r="BZ17" s="805"/>
      <c r="CA17" s="805"/>
      <c r="CB17" s="805"/>
      <c r="CC17" s="805"/>
      <c r="CD17" s="805"/>
      <c r="CE17" s="805"/>
      <c r="CF17" s="805"/>
      <c r="CG17" s="807"/>
      <c r="CH17" s="805"/>
      <c r="CI17" s="805"/>
      <c r="CJ17" s="805"/>
      <c r="CK17" s="805"/>
      <c r="CL17" s="805"/>
      <c r="CM17" s="805"/>
      <c r="CN17" s="805"/>
      <c r="CO17" s="805"/>
      <c r="CP17" s="805"/>
      <c r="CQ17" s="805"/>
      <c r="CR17" s="805"/>
      <c r="CS17" s="805"/>
      <c r="CT17" s="806"/>
      <c r="CU17" s="805"/>
      <c r="CV17" s="805"/>
      <c r="CW17" s="805"/>
      <c r="CX17" s="805"/>
      <c r="CY17" s="805"/>
      <c r="CZ17" s="805"/>
      <c r="DA17" s="805"/>
      <c r="DB17" s="805"/>
      <c r="DC17" s="805"/>
      <c r="DD17" s="805"/>
      <c r="DE17" s="805"/>
      <c r="DF17" s="806"/>
      <c r="DG17" s="805"/>
      <c r="DH17" s="805"/>
      <c r="DI17" s="805"/>
      <c r="DJ17" s="805"/>
      <c r="DK17" s="805"/>
      <c r="DL17" s="805"/>
      <c r="DM17" s="805"/>
      <c r="DN17" s="805"/>
      <c r="DO17" s="805"/>
      <c r="DP17" s="805"/>
      <c r="DQ17" s="807"/>
      <c r="DR17" s="805"/>
      <c r="DS17" s="801"/>
      <c r="DT17" s="801"/>
      <c r="DU17" s="801"/>
      <c r="DV17" s="801"/>
      <c r="DW17" s="801"/>
      <c r="DX17" s="801"/>
      <c r="DY17" s="801"/>
      <c r="DZ17" s="801"/>
      <c r="EA17" s="801"/>
      <c r="EB17" s="801"/>
      <c r="EC17" s="802"/>
      <c r="ED17" s="803"/>
      <c r="EE17" s="801"/>
      <c r="EF17" s="801"/>
      <c r="EG17" s="801"/>
      <c r="EH17" s="801"/>
      <c r="EI17" s="801"/>
      <c r="EJ17" s="801"/>
      <c r="EK17" s="801"/>
      <c r="EL17" s="801"/>
      <c r="EM17" s="801"/>
      <c r="EN17" s="801"/>
      <c r="EO17" s="802"/>
      <c r="EQ17" s="794" t="str">
        <f t="shared" si="8"/>
        <v>-</v>
      </c>
      <c r="ER17" s="794" t="str">
        <f t="shared" si="9"/>
        <v>-</v>
      </c>
      <c r="ES17" s="320"/>
      <c r="ET17" s="795">
        <f t="shared" si="10"/>
        <v>0</v>
      </c>
      <c r="EU17" s="317">
        <f t="shared" si="11"/>
        <v>0</v>
      </c>
      <c r="FG17" s="331"/>
    </row>
    <row r="18" spans="1:163" s="338" customFormat="1" ht="13.9" customHeight="1" x14ac:dyDescent="0.2">
      <c r="A18" s="790" t="s">
        <v>235</v>
      </c>
      <c r="B18" s="1038"/>
      <c r="C18" s="1038"/>
      <c r="D18" s="1038"/>
      <c r="E18" s="1038"/>
      <c r="F18" s="1038"/>
      <c r="G18" s="1038"/>
      <c r="H18" s="1038"/>
      <c r="I18" s="1038"/>
      <c r="J18" s="1038"/>
      <c r="K18" s="1038"/>
      <c r="L18" s="1038"/>
      <c r="M18" s="808"/>
      <c r="N18" s="1038"/>
      <c r="O18" s="1038"/>
      <c r="P18" s="1038"/>
      <c r="Q18" s="1038"/>
      <c r="R18" s="1038"/>
      <c r="S18" s="1038"/>
      <c r="T18" s="1038"/>
      <c r="U18" s="1038"/>
      <c r="V18" s="1038"/>
      <c r="W18" s="1038"/>
      <c r="X18" s="809"/>
      <c r="Y18" s="809"/>
      <c r="Z18" s="339">
        <f t="shared" ref="Z18:BE18" si="12">Z19+Z24</f>
        <v>66450</v>
      </c>
      <c r="AA18" s="339">
        <f t="shared" si="12"/>
        <v>65140</v>
      </c>
      <c r="AB18" s="339">
        <f t="shared" si="12"/>
        <v>67134</v>
      </c>
      <c r="AC18" s="339">
        <f t="shared" si="12"/>
        <v>69041</v>
      </c>
      <c r="AD18" s="339">
        <f t="shared" si="12"/>
        <v>77497</v>
      </c>
      <c r="AE18" s="339">
        <f t="shared" si="12"/>
        <v>83050</v>
      </c>
      <c r="AF18" s="339">
        <f t="shared" si="12"/>
        <v>88596</v>
      </c>
      <c r="AG18" s="339">
        <f t="shared" si="12"/>
        <v>91183</v>
      </c>
      <c r="AH18" s="339">
        <f t="shared" si="12"/>
        <v>93086</v>
      </c>
      <c r="AI18" s="339">
        <f t="shared" si="12"/>
        <v>94392</v>
      </c>
      <c r="AJ18" s="339">
        <f t="shared" si="12"/>
        <v>92429</v>
      </c>
      <c r="AK18" s="339">
        <f t="shared" si="12"/>
        <v>91781</v>
      </c>
      <c r="AL18" s="339">
        <f t="shared" si="12"/>
        <v>87376</v>
      </c>
      <c r="AM18" s="339">
        <f t="shared" si="12"/>
        <v>85150</v>
      </c>
      <c r="AN18" s="339">
        <f t="shared" si="12"/>
        <v>82303</v>
      </c>
      <c r="AO18" s="339">
        <f t="shared" si="12"/>
        <v>80975</v>
      </c>
      <c r="AP18" s="339">
        <f t="shared" si="12"/>
        <v>86054</v>
      </c>
      <c r="AQ18" s="339">
        <f t="shared" si="12"/>
        <v>87077</v>
      </c>
      <c r="AR18" s="339">
        <f t="shared" si="12"/>
        <v>92882</v>
      </c>
      <c r="AS18" s="339">
        <f t="shared" si="12"/>
        <v>90426</v>
      </c>
      <c r="AT18" s="339">
        <f t="shared" si="12"/>
        <v>93707</v>
      </c>
      <c r="AU18" s="339">
        <f t="shared" si="12"/>
        <v>94358</v>
      </c>
      <c r="AV18" s="339">
        <f t="shared" si="12"/>
        <v>93804</v>
      </c>
      <c r="AW18" s="339">
        <f t="shared" si="12"/>
        <v>88878</v>
      </c>
      <c r="AX18" s="645">
        <f t="shared" si="12"/>
        <v>86606</v>
      </c>
      <c r="AY18" s="339">
        <f t="shared" si="12"/>
        <v>83707</v>
      </c>
      <c r="AZ18" s="339">
        <f t="shared" si="12"/>
        <v>81381</v>
      </c>
      <c r="BA18" s="339">
        <f t="shared" si="12"/>
        <v>82122</v>
      </c>
      <c r="BB18" s="339">
        <f t="shared" si="12"/>
        <v>86517</v>
      </c>
      <c r="BC18" s="339">
        <f t="shared" si="12"/>
        <v>90731.649840000013</v>
      </c>
      <c r="BD18" s="339">
        <f t="shared" si="12"/>
        <v>91190.206579999998</v>
      </c>
      <c r="BE18" s="339">
        <f t="shared" si="12"/>
        <v>94361.24248999999</v>
      </c>
      <c r="BF18" s="339">
        <f t="shared" ref="BF18:CK18" si="13">BF19+BF24</f>
        <v>93839.626049999977</v>
      </c>
      <c r="BG18" s="339">
        <f t="shared" si="13"/>
        <v>91660.904989999995</v>
      </c>
      <c r="BH18" s="339">
        <f t="shared" si="13"/>
        <v>96913.355670000004</v>
      </c>
      <c r="BI18" s="339">
        <f t="shared" si="13"/>
        <v>97369.865810000003</v>
      </c>
      <c r="BJ18" s="645">
        <f t="shared" si="13"/>
        <v>99672.270619999996</v>
      </c>
      <c r="BK18" s="339">
        <f t="shared" si="13"/>
        <v>103354.96367</v>
      </c>
      <c r="BL18" s="339">
        <f t="shared" si="13"/>
        <v>102960.57853999999</v>
      </c>
      <c r="BM18" s="339">
        <f t="shared" si="13"/>
        <v>105243.49616</v>
      </c>
      <c r="BN18" s="339">
        <f t="shared" si="13"/>
        <v>113444.11929000002</v>
      </c>
      <c r="BO18" s="339">
        <f t="shared" si="13"/>
        <v>114845.04645000001</v>
      </c>
      <c r="BP18" s="339">
        <f t="shared" si="13"/>
        <v>119767.11550000003</v>
      </c>
      <c r="BQ18" s="339">
        <f t="shared" si="13"/>
        <v>124671.30177999999</v>
      </c>
      <c r="BR18" s="339">
        <f t="shared" si="13"/>
        <v>125792.36264000001</v>
      </c>
      <c r="BS18" s="339">
        <f t="shared" si="13"/>
        <v>129137.93111000003</v>
      </c>
      <c r="BT18" s="339">
        <f t="shared" si="13"/>
        <v>132655.81212999998</v>
      </c>
      <c r="BU18" s="642">
        <f t="shared" si="13"/>
        <v>132923.65179</v>
      </c>
      <c r="BV18" s="645">
        <f t="shared" si="13"/>
        <v>137107.05382</v>
      </c>
      <c r="BW18" s="339">
        <f t="shared" si="13"/>
        <v>132718.71251000001</v>
      </c>
      <c r="BX18" s="339">
        <f t="shared" si="13"/>
        <v>129253.83427000001</v>
      </c>
      <c r="BY18" s="339">
        <f t="shared" si="13"/>
        <v>130599.66137000003</v>
      </c>
      <c r="BZ18" s="339">
        <f t="shared" si="13"/>
        <v>133611.36718</v>
      </c>
      <c r="CA18" s="339">
        <f t="shared" si="13"/>
        <v>134744.71812000001</v>
      </c>
      <c r="CB18" s="339">
        <f t="shared" si="13"/>
        <v>138653.95187999998</v>
      </c>
      <c r="CC18" s="339">
        <f t="shared" si="13"/>
        <v>145633.90713000004</v>
      </c>
      <c r="CD18" s="339">
        <f t="shared" si="13"/>
        <v>146067.29809</v>
      </c>
      <c r="CE18" s="339">
        <f t="shared" si="13"/>
        <v>145920.55258999998</v>
      </c>
      <c r="CF18" s="339">
        <f t="shared" si="13"/>
        <v>146027.67840999999</v>
      </c>
      <c r="CG18" s="642">
        <f t="shared" si="13"/>
        <v>142329.22077000001</v>
      </c>
      <c r="CH18" s="339">
        <f t="shared" si="13"/>
        <v>142994.19454</v>
      </c>
      <c r="CI18" s="339">
        <f t="shared" si="13"/>
        <v>136853.38613999999</v>
      </c>
      <c r="CJ18" s="339">
        <f t="shared" si="13"/>
        <v>132714.86025999999</v>
      </c>
      <c r="CK18" s="339">
        <f t="shared" si="13"/>
        <v>135072.79509999999</v>
      </c>
      <c r="CL18" s="339">
        <f t="shared" ref="CL18:DQ18" si="14">CL19+CL24</f>
        <v>140304.89277999999</v>
      </c>
      <c r="CM18" s="339">
        <f t="shared" si="14"/>
        <v>150801.75201</v>
      </c>
      <c r="CN18" s="339">
        <f t="shared" si="14"/>
        <v>158751.48434999998</v>
      </c>
      <c r="CO18" s="339">
        <f t="shared" si="14"/>
        <v>161684.30318999998</v>
      </c>
      <c r="CP18" s="339">
        <f t="shared" si="14"/>
        <v>167511.00808</v>
      </c>
      <c r="CQ18" s="339">
        <f t="shared" si="14"/>
        <v>169564.62754000002</v>
      </c>
      <c r="CR18" s="339">
        <f t="shared" si="14"/>
        <v>177431.29701000001</v>
      </c>
      <c r="CS18" s="339">
        <f t="shared" si="14"/>
        <v>179379.05445000005</v>
      </c>
      <c r="CT18" s="645">
        <f t="shared" si="14"/>
        <v>178748.46439000004</v>
      </c>
      <c r="CU18" s="339">
        <f t="shared" si="14"/>
        <v>171818.88073999999</v>
      </c>
      <c r="CV18" s="339">
        <f t="shared" si="14"/>
        <v>169773.2297</v>
      </c>
      <c r="CW18" s="339">
        <f t="shared" si="14"/>
        <v>171977.31460999994</v>
      </c>
      <c r="CX18" s="339">
        <f t="shared" si="14"/>
        <v>182556.34894</v>
      </c>
      <c r="CY18" s="339">
        <f t="shared" si="14"/>
        <v>185426.20948999998</v>
      </c>
      <c r="CZ18" s="339">
        <f t="shared" si="14"/>
        <v>190881.70701000001</v>
      </c>
      <c r="DA18" s="339">
        <f t="shared" si="14"/>
        <v>196282.84404</v>
      </c>
      <c r="DB18" s="339">
        <f t="shared" si="14"/>
        <v>197544.75641999999</v>
      </c>
      <c r="DC18" s="339">
        <f t="shared" si="14"/>
        <v>198619.68304999999</v>
      </c>
      <c r="DD18" s="339">
        <f t="shared" si="14"/>
        <v>204030.35581999997</v>
      </c>
      <c r="DE18" s="339">
        <f t="shared" si="14"/>
        <v>205606.44852000001</v>
      </c>
      <c r="DF18" s="645">
        <f t="shared" si="14"/>
        <v>200156.00862999997</v>
      </c>
      <c r="DG18" s="339">
        <f t="shared" si="14"/>
        <v>191915.40353000004</v>
      </c>
      <c r="DH18" s="339">
        <f t="shared" si="14"/>
        <v>185201.58119000006</v>
      </c>
      <c r="DI18" s="339">
        <f t="shared" si="14"/>
        <v>188291.24381000001</v>
      </c>
      <c r="DJ18" s="339">
        <f t="shared" si="14"/>
        <v>197319.59103000001</v>
      </c>
      <c r="DK18" s="339">
        <f t="shared" si="14"/>
        <v>201382.77966000003</v>
      </c>
      <c r="DL18" s="339">
        <f t="shared" si="14"/>
        <v>207281.70574</v>
      </c>
      <c r="DM18" s="339">
        <f t="shared" si="14"/>
        <v>215960.95538</v>
      </c>
      <c r="DN18" s="339">
        <f t="shared" si="14"/>
        <v>208541.90905999995</v>
      </c>
      <c r="DO18" s="339">
        <f t="shared" si="14"/>
        <v>214973.26456000001</v>
      </c>
      <c r="DP18" s="339">
        <f t="shared" si="14"/>
        <v>215043.43877999997</v>
      </c>
      <c r="DQ18" s="642">
        <f t="shared" si="14"/>
        <v>220275.97757000005</v>
      </c>
      <c r="DR18" s="339">
        <f t="shared" ref="DR18:EO18" si="15">DR19+DR24</f>
        <v>214880.02360000001</v>
      </c>
      <c r="DS18" s="339">
        <f t="shared" si="15"/>
        <v>207810.44621999995</v>
      </c>
      <c r="DT18" s="339">
        <f t="shared" si="15"/>
        <v>201035.17503000001</v>
      </c>
      <c r="DU18" s="339">
        <f t="shared" si="15"/>
        <v>200351.67534999995</v>
      </c>
      <c r="DV18" s="339">
        <f t="shared" si="15"/>
        <v>212173.36008000001</v>
      </c>
      <c r="DW18" s="339">
        <f t="shared" si="15"/>
        <v>213821.65403999999</v>
      </c>
      <c r="DX18" s="339">
        <f t="shared" si="15"/>
        <v>228394.96717999998</v>
      </c>
      <c r="DY18" s="339">
        <f t="shared" si="15"/>
        <v>229676.03459</v>
      </c>
      <c r="DZ18" s="339">
        <f t="shared" si="15"/>
        <v>226769.19336</v>
      </c>
      <c r="EA18" s="339">
        <f t="shared" si="15"/>
        <v>229737.49598000001</v>
      </c>
      <c r="EB18" s="339">
        <f t="shared" si="15"/>
        <v>233514.19143999997</v>
      </c>
      <c r="EC18" s="642">
        <f t="shared" si="15"/>
        <v>239330.51467</v>
      </c>
      <c r="ED18" s="645">
        <f t="shared" si="15"/>
        <v>242011.76196999996</v>
      </c>
      <c r="EE18" s="339">
        <f t="shared" si="15"/>
        <v>243494.5</v>
      </c>
      <c r="EF18" s="339">
        <f t="shared" si="15"/>
        <v>255710.5</v>
      </c>
      <c r="EG18" s="339">
        <f t="shared" si="15"/>
        <v>281530.59999999998</v>
      </c>
      <c r="EH18" s="339">
        <f t="shared" si="15"/>
        <v>282692</v>
      </c>
      <c r="EI18" s="339">
        <f t="shared" si="15"/>
        <v>307160</v>
      </c>
      <c r="EJ18" s="339">
        <f t="shared" si="15"/>
        <v>334519</v>
      </c>
      <c r="EK18" s="339">
        <f t="shared" si="15"/>
        <v>346513</v>
      </c>
      <c r="EL18" s="339">
        <f t="shared" si="15"/>
        <v>363710</v>
      </c>
      <c r="EM18" s="339">
        <f t="shared" si="15"/>
        <v>377039</v>
      </c>
      <c r="EN18" s="339">
        <f t="shared" si="15"/>
        <v>390720</v>
      </c>
      <c r="EO18" s="642">
        <f t="shared" si="15"/>
        <v>389017.5</v>
      </c>
      <c r="EP18"/>
      <c r="EQ18" s="341">
        <f t="shared" si="8"/>
        <v>-0.43573402948402506</v>
      </c>
      <c r="ER18" s="791">
        <f t="shared" si="9"/>
        <v>62.544045223984646</v>
      </c>
      <c r="ES18" s="339"/>
      <c r="ET18" s="792">
        <f t="shared" si="10"/>
        <v>0.20275069186753195</v>
      </c>
      <c r="EU18" s="338">
        <f t="shared" si="11"/>
        <v>23644.074950000038</v>
      </c>
      <c r="FG18" s="748" t="s">
        <v>545</v>
      </c>
    </row>
    <row r="19" spans="1:163" ht="13.9" customHeight="1" x14ac:dyDescent="0.2">
      <c r="A19" s="1036" t="s">
        <v>495</v>
      </c>
      <c r="B19" s="801">
        <f t="shared" ref="B19:AK19" si="16">B20</f>
        <v>1608</v>
      </c>
      <c r="C19" s="801">
        <f t="shared" si="16"/>
        <v>1571</v>
      </c>
      <c r="D19" s="801">
        <f t="shared" si="16"/>
        <v>1395</v>
      </c>
      <c r="E19" s="801">
        <f t="shared" si="16"/>
        <v>1390</v>
      </c>
      <c r="F19" s="801">
        <f t="shared" si="16"/>
        <v>1419</v>
      </c>
      <c r="G19" s="801">
        <f t="shared" si="16"/>
        <v>1505</v>
      </c>
      <c r="H19" s="801">
        <f t="shared" si="16"/>
        <v>1610</v>
      </c>
      <c r="I19" s="801">
        <f t="shared" si="16"/>
        <v>1440</v>
      </c>
      <c r="J19" s="801">
        <f t="shared" si="16"/>
        <v>1373</v>
      </c>
      <c r="K19" s="801">
        <f t="shared" si="16"/>
        <v>1392</v>
      </c>
      <c r="L19" s="801">
        <f t="shared" si="16"/>
        <v>1345</v>
      </c>
      <c r="M19" s="802">
        <f t="shared" si="16"/>
        <v>1335.8057299999998</v>
      </c>
      <c r="N19" s="801">
        <f t="shared" si="16"/>
        <v>1247.0761299999999</v>
      </c>
      <c r="O19" s="801">
        <f t="shared" si="16"/>
        <v>1229</v>
      </c>
      <c r="P19" s="801">
        <f t="shared" si="16"/>
        <v>1172</v>
      </c>
      <c r="Q19" s="801">
        <f t="shared" si="16"/>
        <v>1337</v>
      </c>
      <c r="R19" s="801">
        <f t="shared" si="16"/>
        <v>1236</v>
      </c>
      <c r="S19" s="801">
        <f t="shared" si="16"/>
        <v>1307</v>
      </c>
      <c r="T19" s="801">
        <f t="shared" si="16"/>
        <v>1349</v>
      </c>
      <c r="U19" s="801">
        <f t="shared" si="16"/>
        <v>1153</v>
      </c>
      <c r="V19" s="801">
        <f t="shared" si="16"/>
        <v>1259</v>
      </c>
      <c r="W19" s="801">
        <f t="shared" si="16"/>
        <v>1255</v>
      </c>
      <c r="X19" s="801">
        <f t="shared" si="16"/>
        <v>1233</v>
      </c>
      <c r="Y19" s="801">
        <f t="shared" si="16"/>
        <v>1349</v>
      </c>
      <c r="Z19" s="803">
        <f t="shared" si="16"/>
        <v>1111</v>
      </c>
      <c r="AA19" s="801">
        <f t="shared" si="16"/>
        <v>968</v>
      </c>
      <c r="AB19" s="801">
        <f t="shared" si="16"/>
        <v>1092</v>
      </c>
      <c r="AC19" s="801">
        <f t="shared" si="16"/>
        <v>1109</v>
      </c>
      <c r="AD19" s="801">
        <f t="shared" si="16"/>
        <v>1346</v>
      </c>
      <c r="AE19" s="801">
        <f t="shared" si="16"/>
        <v>1217</v>
      </c>
      <c r="AF19" s="801">
        <f t="shared" si="16"/>
        <v>1247</v>
      </c>
      <c r="AG19" s="801">
        <f t="shared" si="16"/>
        <v>1306</v>
      </c>
      <c r="AH19" s="801">
        <f t="shared" si="16"/>
        <v>1483</v>
      </c>
      <c r="AI19" s="801">
        <f t="shared" si="16"/>
        <v>1845</v>
      </c>
      <c r="AJ19" s="801">
        <f t="shared" si="16"/>
        <v>1868</v>
      </c>
      <c r="AK19" s="801">
        <f t="shared" si="16"/>
        <v>2150</v>
      </c>
      <c r="AL19" s="803">
        <f t="shared" ref="AL19:BA19" si="17">SUM(AL20)</f>
        <v>2489</v>
      </c>
      <c r="AM19" s="801">
        <f t="shared" si="17"/>
        <v>2318</v>
      </c>
      <c r="AN19" s="801">
        <f t="shared" si="17"/>
        <v>2329</v>
      </c>
      <c r="AO19" s="801">
        <f t="shared" si="17"/>
        <v>2016</v>
      </c>
      <c r="AP19" s="801">
        <f t="shared" si="17"/>
        <v>2165</v>
      </c>
      <c r="AQ19" s="801">
        <f t="shared" si="17"/>
        <v>2319</v>
      </c>
      <c r="AR19" s="801">
        <f t="shared" si="17"/>
        <v>2270</v>
      </c>
      <c r="AS19" s="801">
        <f t="shared" si="17"/>
        <v>2056</v>
      </c>
      <c r="AT19" s="801">
        <f t="shared" si="17"/>
        <v>2128</v>
      </c>
      <c r="AU19" s="801">
        <f t="shared" si="17"/>
        <v>2162</v>
      </c>
      <c r="AV19" s="801">
        <f t="shared" si="17"/>
        <v>2477</v>
      </c>
      <c r="AW19" s="801">
        <f t="shared" si="17"/>
        <v>2207</v>
      </c>
      <c r="AX19" s="803">
        <f t="shared" si="17"/>
        <v>1894</v>
      </c>
      <c r="AY19" s="801">
        <f t="shared" si="17"/>
        <v>1997</v>
      </c>
      <c r="AZ19" s="801">
        <f t="shared" si="17"/>
        <v>1835</v>
      </c>
      <c r="BA19" s="801">
        <f t="shared" si="17"/>
        <v>1708</v>
      </c>
      <c r="BB19" s="801">
        <f t="shared" ref="BB19:CC19" si="18">SUM(BB20:BB21)</f>
        <v>2870</v>
      </c>
      <c r="BC19" s="801">
        <f t="shared" si="18"/>
        <v>2926.15816</v>
      </c>
      <c r="BD19" s="801">
        <f t="shared" si="18"/>
        <v>3097.0091000000002</v>
      </c>
      <c r="BE19" s="801">
        <f t="shared" si="18"/>
        <v>3422.5519299999996</v>
      </c>
      <c r="BF19" s="801">
        <f t="shared" si="18"/>
        <v>3288.8524400000001</v>
      </c>
      <c r="BG19" s="801">
        <f t="shared" si="18"/>
        <v>3258.7107399999995</v>
      </c>
      <c r="BH19" s="801">
        <f t="shared" si="18"/>
        <v>3882.2636699999998</v>
      </c>
      <c r="BI19" s="801">
        <f t="shared" si="18"/>
        <v>3913.85599</v>
      </c>
      <c r="BJ19" s="803">
        <f t="shared" si="18"/>
        <v>3955.5518099999999</v>
      </c>
      <c r="BK19" s="801">
        <f t="shared" si="18"/>
        <v>3901.7049400000005</v>
      </c>
      <c r="BL19" s="801">
        <f t="shared" si="18"/>
        <v>3824.9922399999996</v>
      </c>
      <c r="BM19" s="801">
        <f t="shared" si="18"/>
        <v>3919.99098</v>
      </c>
      <c r="BN19" s="801">
        <f t="shared" si="18"/>
        <v>4329.2588999999998</v>
      </c>
      <c r="BO19" s="801">
        <f t="shared" si="18"/>
        <v>3993.9569699999997</v>
      </c>
      <c r="BP19" s="801">
        <f t="shared" si="18"/>
        <v>4392</v>
      </c>
      <c r="BQ19" s="801">
        <f t="shared" si="18"/>
        <v>4183.2816599999996</v>
      </c>
      <c r="BR19" s="801">
        <f t="shared" si="18"/>
        <v>3823.2852700000003</v>
      </c>
      <c r="BS19" s="801">
        <f t="shared" si="18"/>
        <v>3805.0024899999999</v>
      </c>
      <c r="BT19" s="801">
        <f t="shared" si="18"/>
        <v>4037.1103199999998</v>
      </c>
      <c r="BU19" s="802">
        <f t="shared" si="18"/>
        <v>4434.6316999999999</v>
      </c>
      <c r="BV19" s="803">
        <f t="shared" si="18"/>
        <v>3897.32431</v>
      </c>
      <c r="BW19" s="801">
        <f t="shared" si="18"/>
        <v>4090.59528</v>
      </c>
      <c r="BX19" s="801">
        <f t="shared" si="18"/>
        <v>3868.8026299999997</v>
      </c>
      <c r="BY19" s="801">
        <f t="shared" si="18"/>
        <v>3861.6948899999998</v>
      </c>
      <c r="BZ19" s="801">
        <f t="shared" si="18"/>
        <v>4074.6537199999998</v>
      </c>
      <c r="CA19" s="801">
        <f t="shared" si="18"/>
        <v>4081.7220399999997</v>
      </c>
      <c r="CB19" s="801">
        <f t="shared" si="18"/>
        <v>4326.59771</v>
      </c>
      <c r="CC19" s="801">
        <f t="shared" si="18"/>
        <v>4171.36715</v>
      </c>
      <c r="CD19" s="801">
        <f>SUM(CD20:CD22)</f>
        <v>4106.7473799999998</v>
      </c>
      <c r="CE19" s="801">
        <f>SUM(CE20:CE22)</f>
        <v>4468.4993800000002</v>
      </c>
      <c r="CF19" s="801">
        <f>SUM(CF20:CF22)</f>
        <v>4718.7596599999997</v>
      </c>
      <c r="CG19" s="802">
        <f>SUM(CG20:CG22)</f>
        <v>4143.7093100000002</v>
      </c>
      <c r="CH19" s="801">
        <f>SUM(CH20:CH22)</f>
        <v>4611.29727</v>
      </c>
      <c r="CI19" s="801">
        <f t="shared" ref="CI19:DW19" si="19">SUM(CI20:CI22)</f>
        <v>4573.5748299999996</v>
      </c>
      <c r="CJ19" s="801">
        <f t="shared" si="19"/>
        <v>4371.6841800000002</v>
      </c>
      <c r="CK19" s="801">
        <f t="shared" si="19"/>
        <v>4673.6898300000003</v>
      </c>
      <c r="CL19" s="801">
        <f t="shared" si="19"/>
        <v>4606.5986499999999</v>
      </c>
      <c r="CM19" s="801">
        <f t="shared" si="19"/>
        <v>4347.3258700000006</v>
      </c>
      <c r="CN19" s="801">
        <f t="shared" si="19"/>
        <v>4316.0641699999996</v>
      </c>
      <c r="CO19" s="801">
        <f t="shared" si="19"/>
        <v>4450.4728999999998</v>
      </c>
      <c r="CP19" s="801">
        <f t="shared" si="19"/>
        <v>4281.5114999999996</v>
      </c>
      <c r="CQ19" s="801">
        <f t="shared" si="19"/>
        <v>4290.3940700000003</v>
      </c>
      <c r="CR19" s="801">
        <f t="shared" si="19"/>
        <v>4480.0504600000004</v>
      </c>
      <c r="CS19" s="801">
        <f t="shared" si="19"/>
        <v>4591.0751300000002</v>
      </c>
      <c r="CT19" s="803">
        <f t="shared" si="19"/>
        <v>4715.3718200000003</v>
      </c>
      <c r="CU19" s="801">
        <f t="shared" si="19"/>
        <v>4832.6266799999994</v>
      </c>
      <c r="CV19" s="801">
        <f t="shared" si="19"/>
        <v>4877.3887699999996</v>
      </c>
      <c r="CW19" s="801">
        <f t="shared" si="19"/>
        <v>4744.5309500000003</v>
      </c>
      <c r="CX19" s="801">
        <f t="shared" si="19"/>
        <v>5015.2506899999989</v>
      </c>
      <c r="CY19" s="801">
        <f t="shared" si="19"/>
        <v>5100.0501899999999</v>
      </c>
      <c r="CZ19" s="801">
        <f t="shared" si="19"/>
        <v>5112.1118999999999</v>
      </c>
      <c r="DA19" s="801">
        <f t="shared" si="19"/>
        <v>4716.7221399999999</v>
      </c>
      <c r="DB19" s="801">
        <f t="shared" si="19"/>
        <v>4677.5214999999998</v>
      </c>
      <c r="DC19" s="801">
        <f t="shared" si="19"/>
        <v>4882.7191500000008</v>
      </c>
      <c r="DD19" s="801">
        <f t="shared" si="19"/>
        <v>4950.4047799999998</v>
      </c>
      <c r="DE19" s="801">
        <f t="shared" si="19"/>
        <v>4942.7486200000003</v>
      </c>
      <c r="DF19" s="803">
        <f t="shared" si="19"/>
        <v>4689.6328599999997</v>
      </c>
      <c r="DG19" s="801">
        <f t="shared" si="19"/>
        <v>4002.7726199999997</v>
      </c>
      <c r="DH19" s="801">
        <f t="shared" si="19"/>
        <v>4035.6121400000002</v>
      </c>
      <c r="DI19" s="801">
        <f t="shared" si="19"/>
        <v>4061.3749299999995</v>
      </c>
      <c r="DJ19" s="801">
        <f t="shared" si="19"/>
        <v>4270.3718600000002</v>
      </c>
      <c r="DK19" s="801">
        <f t="shared" si="19"/>
        <v>4523.4204499999996</v>
      </c>
      <c r="DL19" s="801">
        <f t="shared" si="19"/>
        <v>4583.5305399999997</v>
      </c>
      <c r="DM19" s="801">
        <f t="shared" si="19"/>
        <v>4283.1424900000002</v>
      </c>
      <c r="DN19" s="801">
        <f t="shared" si="19"/>
        <v>4364.4475199999997</v>
      </c>
      <c r="DO19" s="801">
        <f t="shared" si="19"/>
        <v>4693.3534099999997</v>
      </c>
      <c r="DP19" s="801">
        <f t="shared" si="19"/>
        <v>4901.3115899999993</v>
      </c>
      <c r="DQ19" s="802">
        <f t="shared" si="19"/>
        <v>4760.5630899999996</v>
      </c>
      <c r="DR19" s="801">
        <f t="shared" si="19"/>
        <v>5429.6507599999995</v>
      </c>
      <c r="DS19" s="801">
        <f t="shared" si="19"/>
        <v>5081.3254799999995</v>
      </c>
      <c r="DT19" s="801">
        <f t="shared" si="19"/>
        <v>5467.9015300000001</v>
      </c>
      <c r="DU19" s="801">
        <f t="shared" si="19"/>
        <v>5667.6696299999994</v>
      </c>
      <c r="DV19" s="801">
        <f t="shared" si="19"/>
        <v>5364.4096899999995</v>
      </c>
      <c r="DW19" s="801">
        <f t="shared" si="19"/>
        <v>5646.2118200000004</v>
      </c>
      <c r="DX19" s="801">
        <f t="shared" ref="DX19:EO19" si="20">SUM(DX20:DX23)</f>
        <v>5716.3934000000008</v>
      </c>
      <c r="DY19" s="801">
        <f t="shared" si="20"/>
        <v>5987.6959100000004</v>
      </c>
      <c r="DZ19" s="801">
        <f t="shared" si="20"/>
        <v>6696.3577599999999</v>
      </c>
      <c r="EA19" s="801">
        <f t="shared" si="20"/>
        <v>7674.1708499999995</v>
      </c>
      <c r="EB19" s="801">
        <f t="shared" si="20"/>
        <v>8110.1843200000003</v>
      </c>
      <c r="EC19" s="802">
        <f t="shared" si="20"/>
        <v>8656.1364099999992</v>
      </c>
      <c r="ED19" s="803">
        <f t="shared" si="20"/>
        <v>9271.3195899999992</v>
      </c>
      <c r="EE19" s="801">
        <f t="shared" si="20"/>
        <v>9218</v>
      </c>
      <c r="EF19" s="801">
        <f t="shared" si="20"/>
        <v>8741</v>
      </c>
      <c r="EG19" s="801">
        <f t="shared" si="20"/>
        <v>8515</v>
      </c>
      <c r="EH19" s="801">
        <f t="shared" si="20"/>
        <v>9048</v>
      </c>
      <c r="EI19" s="801">
        <f t="shared" si="20"/>
        <v>9230</v>
      </c>
      <c r="EJ19" s="801">
        <f t="shared" si="20"/>
        <v>10084</v>
      </c>
      <c r="EK19" s="801">
        <f t="shared" si="20"/>
        <v>10565</v>
      </c>
      <c r="EL19" s="801">
        <f t="shared" si="20"/>
        <v>10789</v>
      </c>
      <c r="EM19" s="801">
        <f t="shared" si="20"/>
        <v>11515</v>
      </c>
      <c r="EN19" s="801">
        <f t="shared" si="20"/>
        <v>13081</v>
      </c>
      <c r="EO19" s="802">
        <f t="shared" si="20"/>
        <v>14170.5</v>
      </c>
      <c r="EQ19" s="1010">
        <f t="shared" si="8"/>
        <v>8.3288739393012854</v>
      </c>
      <c r="ER19" s="794">
        <f t="shared" si="9"/>
        <v>63.70467525938632</v>
      </c>
      <c r="ES19" s="320"/>
      <c r="ET19" s="795">
        <f t="shared" si="10"/>
        <v>7.7672524925896796E-3</v>
      </c>
      <c r="EU19" s="317">
        <f t="shared" si="11"/>
        <v>-178.10530999999992</v>
      </c>
      <c r="FG19" s="331"/>
    </row>
    <row r="20" spans="1:163" ht="13.9" customHeight="1" x14ac:dyDescent="0.2">
      <c r="A20" s="1037" t="s">
        <v>496</v>
      </c>
      <c r="B20" s="320">
        <v>1608</v>
      </c>
      <c r="C20" s="320">
        <v>1571</v>
      </c>
      <c r="D20" s="320">
        <v>1395</v>
      </c>
      <c r="E20" s="320">
        <v>1390</v>
      </c>
      <c r="F20" s="320">
        <v>1419</v>
      </c>
      <c r="G20" s="320">
        <v>1505</v>
      </c>
      <c r="H20" s="320">
        <v>1610</v>
      </c>
      <c r="I20" s="320">
        <v>1440</v>
      </c>
      <c r="J20" s="320">
        <v>1373</v>
      </c>
      <c r="K20" s="320">
        <v>1392</v>
      </c>
      <c r="L20" s="320">
        <v>1345</v>
      </c>
      <c r="M20" s="343">
        <v>1335.8057299999998</v>
      </c>
      <c r="N20" s="320">
        <v>1247.0761299999999</v>
      </c>
      <c r="O20" s="320">
        <v>1229</v>
      </c>
      <c r="P20" s="320">
        <v>1172</v>
      </c>
      <c r="Q20" s="320">
        <v>1337</v>
      </c>
      <c r="R20" s="320">
        <v>1236</v>
      </c>
      <c r="S20" s="320">
        <v>1307</v>
      </c>
      <c r="T20" s="320">
        <v>1349</v>
      </c>
      <c r="U20" s="320">
        <v>1153</v>
      </c>
      <c r="V20" s="320">
        <v>1259</v>
      </c>
      <c r="W20" s="320">
        <v>1255</v>
      </c>
      <c r="X20" s="320">
        <v>1233</v>
      </c>
      <c r="Y20" s="320">
        <v>1349</v>
      </c>
      <c r="Z20" s="345">
        <v>1111</v>
      </c>
      <c r="AA20" s="320">
        <v>968</v>
      </c>
      <c r="AB20" s="320">
        <v>1092</v>
      </c>
      <c r="AC20" s="320">
        <v>1109</v>
      </c>
      <c r="AD20" s="320">
        <v>1346</v>
      </c>
      <c r="AE20" s="320">
        <v>1217</v>
      </c>
      <c r="AF20" s="320">
        <v>1247</v>
      </c>
      <c r="AG20" s="320">
        <v>1306</v>
      </c>
      <c r="AH20" s="320">
        <v>1483</v>
      </c>
      <c r="AI20" s="320">
        <v>1845</v>
      </c>
      <c r="AJ20" s="320">
        <v>1868</v>
      </c>
      <c r="AK20" s="320">
        <v>2150</v>
      </c>
      <c r="AL20" s="345">
        <v>2489</v>
      </c>
      <c r="AM20" s="320">
        <v>2318</v>
      </c>
      <c r="AN20" s="320">
        <v>2329</v>
      </c>
      <c r="AO20" s="320">
        <v>2016</v>
      </c>
      <c r="AP20" s="320">
        <v>2165</v>
      </c>
      <c r="AQ20" s="320">
        <v>2319</v>
      </c>
      <c r="AR20" s="320">
        <v>2270</v>
      </c>
      <c r="AS20" s="320">
        <v>2056</v>
      </c>
      <c r="AT20" s="320">
        <v>2128</v>
      </c>
      <c r="AU20" s="320">
        <v>2162</v>
      </c>
      <c r="AV20" s="320">
        <v>2477</v>
      </c>
      <c r="AW20" s="320">
        <v>2207</v>
      </c>
      <c r="AX20" s="345">
        <v>1894</v>
      </c>
      <c r="AY20" s="320">
        <v>1997</v>
      </c>
      <c r="AZ20" s="320">
        <v>1835</v>
      </c>
      <c r="BA20" s="320">
        <v>1708</v>
      </c>
      <c r="BB20" s="320">
        <v>1786</v>
      </c>
      <c r="BC20" s="320">
        <v>1828.06601</v>
      </c>
      <c r="BD20" s="320">
        <v>1887.17301</v>
      </c>
      <c r="BE20" s="320">
        <v>1906.1752899999997</v>
      </c>
      <c r="BF20" s="320">
        <v>1955.92245</v>
      </c>
      <c r="BG20" s="320">
        <v>1908.1054299999998</v>
      </c>
      <c r="BH20" s="320">
        <v>1959.4265399999999</v>
      </c>
      <c r="BI20" s="320">
        <v>1777.27433</v>
      </c>
      <c r="BJ20" s="345">
        <v>1705.2916399999999</v>
      </c>
      <c r="BK20" s="320">
        <v>1802.0375200000003</v>
      </c>
      <c r="BL20" s="320">
        <v>1637.9672499999999</v>
      </c>
      <c r="BM20" s="320">
        <v>1698.6161999999999</v>
      </c>
      <c r="BN20" s="320">
        <v>1918.4121599999999</v>
      </c>
      <c r="BO20" s="320">
        <v>1731.5514699999999</v>
      </c>
      <c r="BP20" s="320">
        <v>2025</v>
      </c>
      <c r="BQ20" s="320">
        <v>1915.8962499999998</v>
      </c>
      <c r="BR20" s="320">
        <v>1744.4273600000001</v>
      </c>
      <c r="BS20" s="320">
        <v>1629.4553799999999</v>
      </c>
      <c r="BT20" s="320">
        <v>1688.8678099999997</v>
      </c>
      <c r="BU20" s="343">
        <v>2166.0016599999999</v>
      </c>
      <c r="BV20" s="345">
        <v>1872.62806</v>
      </c>
      <c r="BW20" s="320">
        <v>2095.80899</v>
      </c>
      <c r="BX20" s="320">
        <v>1762.00398</v>
      </c>
      <c r="BY20" s="320">
        <v>1882.19298</v>
      </c>
      <c r="BZ20" s="320">
        <v>1904.8112799999999</v>
      </c>
      <c r="CA20" s="320">
        <v>1914.4680999999998</v>
      </c>
      <c r="CB20" s="320">
        <v>1741.80664</v>
      </c>
      <c r="CC20" s="320">
        <v>1882.9559700000002</v>
      </c>
      <c r="CD20" s="320">
        <v>1497.8888999999999</v>
      </c>
      <c r="CE20" s="320">
        <v>1495.58889</v>
      </c>
      <c r="CF20" s="320">
        <v>1800.5021099999999</v>
      </c>
      <c r="CG20" s="343">
        <v>1476.2099000000001</v>
      </c>
      <c r="CH20" s="320">
        <v>1673.4178999999999</v>
      </c>
      <c r="CI20" s="320">
        <v>1612.8615500000001</v>
      </c>
      <c r="CJ20" s="320">
        <v>1513.79351</v>
      </c>
      <c r="CK20" s="320">
        <v>1944.35229</v>
      </c>
      <c r="CL20" s="320">
        <v>1741.8781800000002</v>
      </c>
      <c r="CM20" s="320">
        <v>1798.20625</v>
      </c>
      <c r="CN20" s="320">
        <v>1745.88409</v>
      </c>
      <c r="CO20" s="320">
        <v>1915.7799199999999</v>
      </c>
      <c r="CP20" s="320">
        <v>1786.8514599999999</v>
      </c>
      <c r="CQ20" s="320">
        <v>1696.07871</v>
      </c>
      <c r="CR20" s="320">
        <v>1648.47389</v>
      </c>
      <c r="CS20" s="320">
        <v>1853.8495499999999</v>
      </c>
      <c r="CT20" s="345">
        <v>2183.7710999999999</v>
      </c>
      <c r="CU20" s="320">
        <v>2071.2444700000001</v>
      </c>
      <c r="CV20" s="320">
        <v>2093.9079999999999</v>
      </c>
      <c r="CW20" s="320">
        <v>1963.6149700000001</v>
      </c>
      <c r="CX20" s="320">
        <v>1848.8891699999999</v>
      </c>
      <c r="CY20" s="320">
        <v>1784.1776599999998</v>
      </c>
      <c r="CZ20" s="320">
        <v>1697.82629</v>
      </c>
      <c r="DA20" s="320">
        <v>1734.49566</v>
      </c>
      <c r="DB20" s="320">
        <v>1644.0593200000001</v>
      </c>
      <c r="DC20" s="320">
        <v>1664.8984700000001</v>
      </c>
      <c r="DD20" s="320">
        <v>1696.34097</v>
      </c>
      <c r="DE20" s="320">
        <v>1610.65209</v>
      </c>
      <c r="DF20" s="345">
        <v>1638.30207</v>
      </c>
      <c r="DG20" s="320">
        <v>1571.2116699999999</v>
      </c>
      <c r="DH20" s="320">
        <v>1524.81152</v>
      </c>
      <c r="DI20" s="320">
        <v>1671.5457499999998</v>
      </c>
      <c r="DJ20" s="320">
        <v>1573.29342</v>
      </c>
      <c r="DK20" s="320">
        <v>1524.35095</v>
      </c>
      <c r="DL20" s="320">
        <v>1599.57754</v>
      </c>
      <c r="DM20" s="320">
        <v>1480.0957399999998</v>
      </c>
      <c r="DN20" s="320">
        <v>1637.2144499999999</v>
      </c>
      <c r="DO20" s="320">
        <v>1781.3775999999998</v>
      </c>
      <c r="DP20" s="320">
        <v>1974.7148400000001</v>
      </c>
      <c r="DQ20" s="343">
        <v>1922.1317799999999</v>
      </c>
      <c r="DR20" s="320">
        <v>2349.4688199999996</v>
      </c>
      <c r="DS20" s="320">
        <v>2242.8485999999998</v>
      </c>
      <c r="DT20" s="320">
        <v>2523.0002100000002</v>
      </c>
      <c r="DU20" s="320">
        <v>2554.9973199999995</v>
      </c>
      <c r="DV20" s="320">
        <v>2235.1843199999998</v>
      </c>
      <c r="DW20" s="320">
        <v>2418.09872</v>
      </c>
      <c r="DX20" s="320">
        <v>2579.3330100000003</v>
      </c>
      <c r="DY20" s="320">
        <v>2543.1014599999999</v>
      </c>
      <c r="DZ20" s="320">
        <v>2811.8014599999997</v>
      </c>
      <c r="EA20" s="320">
        <v>3086.2526899999998</v>
      </c>
      <c r="EB20" s="320">
        <v>3220.0321800000002</v>
      </c>
      <c r="EC20" s="343">
        <v>3202.8873899999999</v>
      </c>
      <c r="ED20" s="345">
        <v>3243.7059400000003</v>
      </c>
      <c r="EE20" s="320">
        <v>2828</v>
      </c>
      <c r="EF20" s="320">
        <v>2533</v>
      </c>
      <c r="EG20" s="320">
        <v>2337</v>
      </c>
      <c r="EH20" s="320">
        <v>2326</v>
      </c>
      <c r="EI20" s="320">
        <v>2369</v>
      </c>
      <c r="EJ20" s="320">
        <v>2375</v>
      </c>
      <c r="EK20" s="320">
        <v>2547</v>
      </c>
      <c r="EL20" s="320">
        <v>2597</v>
      </c>
      <c r="EM20" s="320">
        <v>2547</v>
      </c>
      <c r="EN20" s="320">
        <v>2534</v>
      </c>
      <c r="EO20" s="343">
        <v>2422</v>
      </c>
      <c r="EQ20" s="794">
        <f t="shared" si="8"/>
        <v>-4.4198895027624303</v>
      </c>
      <c r="ER20" s="794">
        <f t="shared" si="9"/>
        <v>-24.38073197447007</v>
      </c>
      <c r="ES20" s="320"/>
      <c r="ET20" s="795">
        <f t="shared" si="10"/>
        <v>2.7174862006556018E-3</v>
      </c>
      <c r="EU20" s="317">
        <f t="shared" si="11"/>
        <v>200.48982000000001</v>
      </c>
      <c r="FG20" s="331"/>
    </row>
    <row r="21" spans="1:163" ht="13.9" customHeight="1" x14ac:dyDescent="0.2">
      <c r="A21" s="1037" t="s">
        <v>497</v>
      </c>
      <c r="B21" s="320"/>
      <c r="C21" s="320"/>
      <c r="D21" s="320"/>
      <c r="E21" s="320"/>
      <c r="F21" s="320"/>
      <c r="G21" s="320"/>
      <c r="H21" s="320"/>
      <c r="I21" s="320"/>
      <c r="J21" s="320"/>
      <c r="K21" s="320"/>
      <c r="L21" s="320"/>
      <c r="M21" s="343"/>
      <c r="N21" s="320"/>
      <c r="O21" s="320"/>
      <c r="P21" s="320"/>
      <c r="Q21" s="320"/>
      <c r="R21" s="320"/>
      <c r="S21" s="320"/>
      <c r="T21" s="320"/>
      <c r="U21" s="320"/>
      <c r="V21" s="320"/>
      <c r="W21" s="320"/>
      <c r="X21" s="320"/>
      <c r="Y21" s="320"/>
      <c r="Z21" s="345"/>
      <c r="AA21" s="320"/>
      <c r="AB21" s="320"/>
      <c r="AC21" s="320"/>
      <c r="AD21" s="320"/>
      <c r="AE21" s="320"/>
      <c r="AF21" s="320"/>
      <c r="AG21" s="320"/>
      <c r="AH21" s="320"/>
      <c r="AI21" s="320"/>
      <c r="AJ21" s="320"/>
      <c r="AK21" s="320"/>
      <c r="AL21" s="345"/>
      <c r="AM21" s="320"/>
      <c r="AN21" s="320"/>
      <c r="AO21" s="320"/>
      <c r="AP21" s="801"/>
      <c r="AQ21" s="801"/>
      <c r="AR21" s="801"/>
      <c r="AS21" s="801"/>
      <c r="AT21" s="801"/>
      <c r="AU21" s="801"/>
      <c r="AV21" s="801"/>
      <c r="AW21" s="801"/>
      <c r="AX21" s="803"/>
      <c r="AY21" s="801"/>
      <c r="AZ21" s="801"/>
      <c r="BA21" s="801"/>
      <c r="BB21" s="320">
        <v>1084</v>
      </c>
      <c r="BC21" s="320">
        <v>1098.0921499999999</v>
      </c>
      <c r="BD21" s="320">
        <v>1209.83609</v>
      </c>
      <c r="BE21" s="320">
        <v>1516.37664</v>
      </c>
      <c r="BF21" s="320">
        <v>1332.9299900000001</v>
      </c>
      <c r="BG21" s="320">
        <v>1350.6053099999999</v>
      </c>
      <c r="BH21" s="320">
        <v>1922.8371299999999</v>
      </c>
      <c r="BI21" s="320">
        <v>2136.5816599999998</v>
      </c>
      <c r="BJ21" s="345">
        <v>2250.26017</v>
      </c>
      <c r="BK21" s="320">
        <v>2099.6674200000002</v>
      </c>
      <c r="BL21" s="320">
        <v>2187.0249899999999</v>
      </c>
      <c r="BM21" s="320">
        <v>2221.3747800000001</v>
      </c>
      <c r="BN21" s="320">
        <v>2410.84674</v>
      </c>
      <c r="BO21" s="320">
        <v>2262.4054999999998</v>
      </c>
      <c r="BP21" s="320">
        <v>2367</v>
      </c>
      <c r="BQ21" s="320">
        <v>2267.3854099999999</v>
      </c>
      <c r="BR21" s="320">
        <v>2078.8579100000002</v>
      </c>
      <c r="BS21" s="320">
        <v>2175.54711</v>
      </c>
      <c r="BT21" s="320">
        <v>2348.24251</v>
      </c>
      <c r="BU21" s="343">
        <v>2268.63004</v>
      </c>
      <c r="BV21" s="345">
        <v>2024.69625</v>
      </c>
      <c r="BW21" s="320">
        <v>1994.78629</v>
      </c>
      <c r="BX21" s="320">
        <v>2106.7986499999997</v>
      </c>
      <c r="BY21" s="320">
        <v>1979.50191</v>
      </c>
      <c r="BZ21" s="320">
        <v>2169.8424399999999</v>
      </c>
      <c r="CA21" s="320">
        <v>2167.2539400000001</v>
      </c>
      <c r="CB21" s="320">
        <v>2584.7910700000002</v>
      </c>
      <c r="CC21" s="320">
        <v>2288.4111800000001</v>
      </c>
      <c r="CD21" s="320">
        <v>2238.1475799999998</v>
      </c>
      <c r="CE21" s="320">
        <v>2630.5907999999999</v>
      </c>
      <c r="CF21" s="320">
        <v>2918.2575500000003</v>
      </c>
      <c r="CG21" s="343">
        <v>2667.4994099999999</v>
      </c>
      <c r="CH21" s="320">
        <v>2937.8793700000001</v>
      </c>
      <c r="CI21" s="320">
        <v>2960.7132799999999</v>
      </c>
      <c r="CJ21" s="320">
        <v>2857.8906699999998</v>
      </c>
      <c r="CK21" s="320">
        <v>2729.33754</v>
      </c>
      <c r="CL21" s="320">
        <v>2864.7204700000002</v>
      </c>
      <c r="CM21" s="320">
        <v>2549.1196200000004</v>
      </c>
      <c r="CN21" s="320">
        <v>2570.1800800000001</v>
      </c>
      <c r="CO21" s="320">
        <v>2534.6929799999998</v>
      </c>
      <c r="CP21" s="320">
        <v>2494.6600399999998</v>
      </c>
      <c r="CQ21" s="320">
        <v>2594.3153600000001</v>
      </c>
      <c r="CR21" s="320">
        <v>2831.5765700000002</v>
      </c>
      <c r="CS21" s="320">
        <v>2737.2255800000003</v>
      </c>
      <c r="CT21" s="345">
        <v>2531.6007200000004</v>
      </c>
      <c r="CU21" s="320">
        <v>2761.3822099999998</v>
      </c>
      <c r="CV21" s="320">
        <v>2783.4807700000001</v>
      </c>
      <c r="CW21" s="320">
        <v>2780.9159799999998</v>
      </c>
      <c r="CX21" s="320">
        <v>3166.3615199999995</v>
      </c>
      <c r="CY21" s="320">
        <v>3315.8725299999996</v>
      </c>
      <c r="CZ21" s="320">
        <v>3414.2856099999995</v>
      </c>
      <c r="DA21" s="320">
        <v>2982.2264800000003</v>
      </c>
      <c r="DB21" s="320">
        <v>3033.46218</v>
      </c>
      <c r="DC21" s="320">
        <v>3217.8206800000003</v>
      </c>
      <c r="DD21" s="320">
        <v>3254.0638100000001</v>
      </c>
      <c r="DE21" s="320">
        <v>3332.0965299999998</v>
      </c>
      <c r="DF21" s="345">
        <v>3051.33079</v>
      </c>
      <c r="DG21" s="320">
        <v>2431.56095</v>
      </c>
      <c r="DH21" s="320">
        <v>2510.80062</v>
      </c>
      <c r="DI21" s="320">
        <v>2389.8291799999997</v>
      </c>
      <c r="DJ21" s="320">
        <v>2697.0784400000002</v>
      </c>
      <c r="DK21" s="320">
        <v>2999.0695000000001</v>
      </c>
      <c r="DL21" s="320">
        <v>2983.9529999999995</v>
      </c>
      <c r="DM21" s="320">
        <v>2803.04675</v>
      </c>
      <c r="DN21" s="320">
        <v>2727.2330699999998</v>
      </c>
      <c r="DO21" s="320">
        <v>2911.9758099999999</v>
      </c>
      <c r="DP21" s="320">
        <v>2926.5967499999997</v>
      </c>
      <c r="DQ21" s="343">
        <v>2838.4313099999999</v>
      </c>
      <c r="DR21" s="320">
        <v>3080.1819399999999</v>
      </c>
      <c r="DS21" s="320">
        <v>2838.4768800000002</v>
      </c>
      <c r="DT21" s="320">
        <v>2944.9013199999999</v>
      </c>
      <c r="DU21" s="320">
        <v>3112.6723099999999</v>
      </c>
      <c r="DV21" s="320">
        <v>3129.2253699999997</v>
      </c>
      <c r="DW21" s="320">
        <v>3228.1131</v>
      </c>
      <c r="DX21" s="320">
        <v>2989.7440800000004</v>
      </c>
      <c r="DY21" s="320">
        <v>3055.5872500000005</v>
      </c>
      <c r="DZ21" s="320">
        <v>3195.7229699999998</v>
      </c>
      <c r="EA21" s="320">
        <v>3271.2654699999998</v>
      </c>
      <c r="EB21" s="320">
        <v>3493.8361599999998</v>
      </c>
      <c r="EC21" s="343">
        <v>3912.49802</v>
      </c>
      <c r="ED21" s="345">
        <v>4057.0562299999997</v>
      </c>
      <c r="EE21" s="320">
        <v>4440</v>
      </c>
      <c r="EF21" s="320">
        <v>4275</v>
      </c>
      <c r="EG21" s="320">
        <v>4291.5</v>
      </c>
      <c r="EH21" s="320">
        <v>4950</v>
      </c>
      <c r="EI21" s="320">
        <v>5085</v>
      </c>
      <c r="EJ21" s="320">
        <v>5661</v>
      </c>
      <c r="EK21" s="320">
        <v>5951</v>
      </c>
      <c r="EL21" s="320">
        <v>5981</v>
      </c>
      <c r="EM21" s="320">
        <v>6760</v>
      </c>
      <c r="EN21" s="320">
        <v>8257</v>
      </c>
      <c r="EO21" s="343">
        <v>9243.4</v>
      </c>
      <c r="EQ21" s="794">
        <f t="shared" si="8"/>
        <v>11.946227443381364</v>
      </c>
      <c r="ER21" s="794">
        <f t="shared" si="9"/>
        <v>136.25315470447191</v>
      </c>
      <c r="ES21" s="320"/>
      <c r="ET21" s="795">
        <f t="shared" si="10"/>
        <v>3.3988883469223594E-3</v>
      </c>
      <c r="EU21" s="317">
        <f t="shared" si="11"/>
        <v>-36.27543999999989</v>
      </c>
      <c r="FG21" s="331"/>
    </row>
    <row r="22" spans="1:163" ht="13.9" customHeight="1" x14ac:dyDescent="0.2">
      <c r="A22" s="1037" t="s">
        <v>498</v>
      </c>
      <c r="B22" s="320"/>
      <c r="C22" s="320"/>
      <c r="D22" s="320"/>
      <c r="E22" s="320"/>
      <c r="F22" s="320"/>
      <c r="G22" s="320"/>
      <c r="H22" s="320"/>
      <c r="I22" s="320"/>
      <c r="J22" s="320"/>
      <c r="K22" s="320"/>
      <c r="L22" s="320"/>
      <c r="M22" s="343"/>
      <c r="N22" s="320"/>
      <c r="O22" s="320"/>
      <c r="P22" s="320"/>
      <c r="Q22" s="320"/>
      <c r="R22" s="320"/>
      <c r="S22" s="320"/>
      <c r="T22" s="320"/>
      <c r="U22" s="320"/>
      <c r="V22" s="320"/>
      <c r="W22" s="320"/>
      <c r="X22" s="320"/>
      <c r="Y22" s="320"/>
      <c r="Z22" s="345"/>
      <c r="AA22" s="320"/>
      <c r="AB22" s="320"/>
      <c r="AC22" s="320"/>
      <c r="AD22" s="320"/>
      <c r="AE22" s="320"/>
      <c r="AF22" s="320"/>
      <c r="AG22" s="320"/>
      <c r="AH22" s="320"/>
      <c r="AI22" s="320"/>
      <c r="AJ22" s="320"/>
      <c r="AK22" s="320"/>
      <c r="AL22" s="345"/>
      <c r="AM22" s="320"/>
      <c r="AN22" s="320"/>
      <c r="AO22" s="320"/>
      <c r="AP22" s="801"/>
      <c r="AQ22" s="801"/>
      <c r="AR22" s="801"/>
      <c r="AS22" s="801"/>
      <c r="AT22" s="801"/>
      <c r="AU22" s="801"/>
      <c r="AV22" s="801"/>
      <c r="AW22" s="801"/>
      <c r="AX22" s="803"/>
      <c r="AY22" s="801"/>
      <c r="AZ22" s="801"/>
      <c r="BA22" s="801"/>
      <c r="BB22" s="320"/>
      <c r="BC22" s="320"/>
      <c r="BD22" s="320"/>
      <c r="BE22" s="320"/>
      <c r="BF22" s="320"/>
      <c r="BG22" s="320"/>
      <c r="BH22" s="320"/>
      <c r="BI22" s="320"/>
      <c r="BJ22" s="345"/>
      <c r="BK22" s="320"/>
      <c r="BL22" s="320"/>
      <c r="BM22" s="320"/>
      <c r="BN22" s="320"/>
      <c r="BO22" s="320"/>
      <c r="BP22" s="320"/>
      <c r="BQ22" s="320"/>
      <c r="BR22" s="320"/>
      <c r="BS22" s="320"/>
      <c r="BT22" s="320"/>
      <c r="BU22" s="343"/>
      <c r="BV22" s="801"/>
      <c r="BW22" s="801"/>
      <c r="BX22" s="801"/>
      <c r="BY22" s="801"/>
      <c r="BZ22" s="801"/>
      <c r="CA22" s="801"/>
      <c r="CB22" s="801"/>
      <c r="CC22" s="801"/>
      <c r="CD22" s="320">
        <v>370.71090000000004</v>
      </c>
      <c r="CE22" s="320">
        <v>342.31968999999998</v>
      </c>
      <c r="CF22" s="320"/>
      <c r="CG22" s="343"/>
      <c r="CH22" s="801"/>
      <c r="CI22" s="801"/>
      <c r="CJ22" s="801"/>
      <c r="CK22" s="801"/>
      <c r="CL22" s="801"/>
      <c r="CM22" s="801"/>
      <c r="CN22" s="801"/>
      <c r="CO22" s="801"/>
      <c r="CP22" s="801"/>
      <c r="CQ22" s="801"/>
      <c r="CR22" s="801"/>
      <c r="CS22" s="801"/>
      <c r="CT22" s="803"/>
      <c r="CU22" s="801"/>
      <c r="CV22" s="801"/>
      <c r="CW22" s="801"/>
      <c r="CX22" s="801"/>
      <c r="CY22" s="801"/>
      <c r="CZ22" s="801"/>
      <c r="DA22" s="801"/>
      <c r="DB22" s="801"/>
      <c r="DC22" s="801"/>
      <c r="DD22" s="801"/>
      <c r="DE22" s="801"/>
      <c r="DF22" s="803"/>
      <c r="DG22" s="801"/>
      <c r="DH22" s="801"/>
      <c r="DI22" s="801"/>
      <c r="DJ22" s="801"/>
      <c r="DK22" s="801"/>
      <c r="DL22" s="801"/>
      <c r="DM22" s="801"/>
      <c r="DN22" s="801"/>
      <c r="DO22" s="801"/>
      <c r="DP22" s="801"/>
      <c r="DQ22" s="802"/>
      <c r="DR22" s="801"/>
      <c r="DS22" s="801"/>
      <c r="DT22" s="801"/>
      <c r="DU22" s="801"/>
      <c r="DV22" s="801"/>
      <c r="DW22" s="801"/>
      <c r="DX22" s="801"/>
      <c r="DY22" s="801"/>
      <c r="DZ22" s="801"/>
      <c r="EA22" s="801"/>
      <c r="EB22" s="801"/>
      <c r="EC22" s="802"/>
      <c r="ED22" s="803"/>
      <c r="EE22" s="801"/>
      <c r="EF22" s="801"/>
      <c r="EG22" s="801"/>
      <c r="EH22" s="801"/>
      <c r="EI22" s="801"/>
      <c r="EJ22" s="801"/>
      <c r="EK22" s="801"/>
      <c r="EL22" s="801"/>
      <c r="EM22" s="801"/>
      <c r="EN22" s="801"/>
      <c r="EO22" s="802"/>
      <c r="EQ22" s="794" t="str">
        <f t="shared" si="8"/>
        <v>-</v>
      </c>
      <c r="ER22" s="794" t="str">
        <f t="shared" si="9"/>
        <v>-</v>
      </c>
      <c r="ES22" s="320"/>
      <c r="ET22" s="795">
        <f t="shared" si="10"/>
        <v>0</v>
      </c>
      <c r="EU22" s="317">
        <f t="shared" si="11"/>
        <v>-342.31968999999998</v>
      </c>
      <c r="FG22" s="331"/>
    </row>
    <row r="23" spans="1:163" ht="13.9" customHeight="1" x14ac:dyDescent="0.2">
      <c r="A23" s="1037" t="s">
        <v>499</v>
      </c>
      <c r="B23" s="320"/>
      <c r="C23" s="320"/>
      <c r="D23" s="320"/>
      <c r="E23" s="320"/>
      <c r="F23" s="320"/>
      <c r="G23" s="320"/>
      <c r="H23" s="320"/>
      <c r="I23" s="320"/>
      <c r="J23" s="320"/>
      <c r="K23" s="320"/>
      <c r="L23" s="320"/>
      <c r="M23" s="343"/>
      <c r="N23" s="320"/>
      <c r="O23" s="320"/>
      <c r="P23" s="320"/>
      <c r="Q23" s="320"/>
      <c r="R23" s="320"/>
      <c r="S23" s="320"/>
      <c r="T23" s="320"/>
      <c r="U23" s="320"/>
      <c r="V23" s="320"/>
      <c r="W23" s="320"/>
      <c r="X23" s="320"/>
      <c r="Y23" s="320"/>
      <c r="Z23" s="345"/>
      <c r="AA23" s="320"/>
      <c r="AB23" s="320"/>
      <c r="AC23" s="320"/>
      <c r="AD23" s="320"/>
      <c r="AE23" s="320"/>
      <c r="AF23" s="320"/>
      <c r="AG23" s="320"/>
      <c r="AH23" s="320"/>
      <c r="AI23" s="320"/>
      <c r="AJ23" s="320"/>
      <c r="AK23" s="320"/>
      <c r="AL23" s="345"/>
      <c r="AM23" s="320"/>
      <c r="AN23" s="320"/>
      <c r="AO23" s="320"/>
      <c r="AP23" s="801"/>
      <c r="AQ23" s="801"/>
      <c r="AR23" s="801"/>
      <c r="AS23" s="801"/>
      <c r="AT23" s="801"/>
      <c r="AU23" s="801"/>
      <c r="AV23" s="801"/>
      <c r="AW23" s="801"/>
      <c r="AX23" s="803"/>
      <c r="AY23" s="801"/>
      <c r="AZ23" s="801"/>
      <c r="BA23" s="801"/>
      <c r="BB23" s="320"/>
      <c r="BC23" s="320"/>
      <c r="BD23" s="320"/>
      <c r="BE23" s="320"/>
      <c r="BF23" s="320"/>
      <c r="BG23" s="320"/>
      <c r="BH23" s="320"/>
      <c r="BI23" s="320"/>
      <c r="BJ23" s="345"/>
      <c r="BK23" s="320"/>
      <c r="BL23" s="320"/>
      <c r="BM23" s="320"/>
      <c r="BN23" s="320"/>
      <c r="BO23" s="320"/>
      <c r="BP23" s="320"/>
      <c r="BQ23" s="320"/>
      <c r="BR23" s="320"/>
      <c r="BS23" s="320"/>
      <c r="BT23" s="320"/>
      <c r="BU23" s="343"/>
      <c r="BV23" s="801"/>
      <c r="BW23" s="801"/>
      <c r="BX23" s="801"/>
      <c r="BY23" s="801"/>
      <c r="BZ23" s="801"/>
      <c r="CA23" s="801"/>
      <c r="CB23" s="801"/>
      <c r="CC23" s="801"/>
      <c r="CD23" s="320"/>
      <c r="CE23" s="320"/>
      <c r="CF23" s="320"/>
      <c r="CG23" s="343"/>
      <c r="CH23" s="801"/>
      <c r="CI23" s="801"/>
      <c r="CJ23" s="801"/>
      <c r="CK23" s="801"/>
      <c r="CL23" s="801"/>
      <c r="CM23" s="801"/>
      <c r="CN23" s="801"/>
      <c r="CO23" s="801"/>
      <c r="CP23" s="801"/>
      <c r="CQ23" s="801"/>
      <c r="CR23" s="801"/>
      <c r="CS23" s="801"/>
      <c r="CT23" s="803"/>
      <c r="CU23" s="801"/>
      <c r="CV23" s="801"/>
      <c r="CW23" s="801"/>
      <c r="CX23" s="801"/>
      <c r="CY23" s="801"/>
      <c r="CZ23" s="801"/>
      <c r="DA23" s="801"/>
      <c r="DB23" s="801"/>
      <c r="DC23" s="801"/>
      <c r="DD23" s="801"/>
      <c r="DE23" s="801"/>
      <c r="DF23" s="803"/>
      <c r="DG23" s="801"/>
      <c r="DH23" s="801"/>
      <c r="DI23" s="801"/>
      <c r="DJ23" s="801"/>
      <c r="DK23" s="801"/>
      <c r="DL23" s="801"/>
      <c r="DM23" s="801"/>
      <c r="DN23" s="801"/>
      <c r="DO23" s="801"/>
      <c r="DP23" s="801"/>
      <c r="DQ23" s="802"/>
      <c r="DR23" s="801"/>
      <c r="DS23" s="801"/>
      <c r="DT23" s="801"/>
      <c r="DU23" s="801"/>
      <c r="DV23" s="801"/>
      <c r="DW23" s="801"/>
      <c r="DX23" s="801">
        <v>147.31630999999999</v>
      </c>
      <c r="DY23" s="801">
        <v>389.00720000000001</v>
      </c>
      <c r="DZ23" s="801">
        <v>688.83333000000005</v>
      </c>
      <c r="EA23" s="801">
        <v>1316.6526899999999</v>
      </c>
      <c r="EB23" s="801">
        <v>1396.3159800000001</v>
      </c>
      <c r="EC23" s="802">
        <v>1540.751</v>
      </c>
      <c r="ED23" s="803">
        <v>1970.5574200000001</v>
      </c>
      <c r="EE23" s="801">
        <v>1950</v>
      </c>
      <c r="EF23" s="801">
        <v>1933</v>
      </c>
      <c r="EG23" s="801">
        <v>1886.5</v>
      </c>
      <c r="EH23" s="801">
        <v>1772</v>
      </c>
      <c r="EI23" s="801">
        <v>1776</v>
      </c>
      <c r="EJ23" s="801">
        <v>2048</v>
      </c>
      <c r="EK23" s="801">
        <v>2067</v>
      </c>
      <c r="EL23" s="801">
        <v>2211</v>
      </c>
      <c r="EM23" s="801">
        <v>2208</v>
      </c>
      <c r="EN23" s="801">
        <v>2290</v>
      </c>
      <c r="EO23" s="802">
        <v>2505.1</v>
      </c>
      <c r="EQ23" s="794">
        <f t="shared" si="8"/>
        <v>9.3930131004366757</v>
      </c>
      <c r="ER23" s="794">
        <f t="shared" si="9"/>
        <v>62.589542372518324</v>
      </c>
      <c r="ES23" s="320"/>
      <c r="ET23" s="795">
        <f t="shared" si="10"/>
        <v>1.6508779450117186E-3</v>
      </c>
      <c r="FG23" s="331"/>
    </row>
    <row r="24" spans="1:163" s="338" customFormat="1" ht="13.9" customHeight="1" x14ac:dyDescent="0.2">
      <c r="A24" s="790" t="s">
        <v>500</v>
      </c>
      <c r="B24" s="339">
        <f t="shared" ref="B24:Y24" si="21">SUM(B26:B40)</f>
        <v>46572</v>
      </c>
      <c r="C24" s="339">
        <f t="shared" si="21"/>
        <v>44524</v>
      </c>
      <c r="D24" s="339">
        <f t="shared" si="21"/>
        <v>44647</v>
      </c>
      <c r="E24" s="339">
        <f t="shared" si="21"/>
        <v>43478</v>
      </c>
      <c r="F24" s="339">
        <f t="shared" si="21"/>
        <v>42824</v>
      </c>
      <c r="G24" s="339">
        <f t="shared" si="21"/>
        <v>43343</v>
      </c>
      <c r="H24" s="339">
        <f t="shared" si="21"/>
        <v>44637</v>
      </c>
      <c r="I24" s="339">
        <f t="shared" si="21"/>
        <v>45499</v>
      </c>
      <c r="J24" s="339">
        <f t="shared" si="21"/>
        <v>47441</v>
      </c>
      <c r="K24" s="339">
        <f t="shared" si="21"/>
        <v>46919</v>
      </c>
      <c r="L24" s="339">
        <f t="shared" si="21"/>
        <v>46141</v>
      </c>
      <c r="M24" s="642">
        <f t="shared" si="21"/>
        <v>45704.336810000001</v>
      </c>
      <c r="N24" s="339">
        <f t="shared" si="21"/>
        <v>44520.696120000001</v>
      </c>
      <c r="O24" s="339">
        <f t="shared" si="21"/>
        <v>43512</v>
      </c>
      <c r="P24" s="339">
        <f t="shared" si="21"/>
        <v>44415</v>
      </c>
      <c r="Q24" s="339">
        <f t="shared" si="21"/>
        <v>46053</v>
      </c>
      <c r="R24" s="339">
        <f t="shared" si="21"/>
        <v>49438</v>
      </c>
      <c r="S24" s="339">
        <f t="shared" si="21"/>
        <v>54402</v>
      </c>
      <c r="T24" s="339">
        <f t="shared" si="21"/>
        <v>57700</v>
      </c>
      <c r="U24" s="339">
        <f t="shared" si="21"/>
        <v>59001</v>
      </c>
      <c r="V24" s="339">
        <f t="shared" si="21"/>
        <v>59802</v>
      </c>
      <c r="W24" s="339">
        <f t="shared" si="21"/>
        <v>62040</v>
      </c>
      <c r="X24" s="339">
        <f t="shared" si="21"/>
        <v>64508</v>
      </c>
      <c r="Y24" s="339">
        <f t="shared" si="21"/>
        <v>65864</v>
      </c>
      <c r="Z24" s="645">
        <f t="shared" ref="Z24:BE24" si="22">Z25+Z33</f>
        <v>65339</v>
      </c>
      <c r="AA24" s="339">
        <f t="shared" si="22"/>
        <v>64172</v>
      </c>
      <c r="AB24" s="339">
        <f t="shared" si="22"/>
        <v>66042</v>
      </c>
      <c r="AC24" s="339">
        <f t="shared" si="22"/>
        <v>67932</v>
      </c>
      <c r="AD24" s="339">
        <f t="shared" si="22"/>
        <v>76151</v>
      </c>
      <c r="AE24" s="339">
        <f t="shared" si="22"/>
        <v>81833</v>
      </c>
      <c r="AF24" s="339">
        <f t="shared" si="22"/>
        <v>87349</v>
      </c>
      <c r="AG24" s="339">
        <f t="shared" si="22"/>
        <v>89877</v>
      </c>
      <c r="AH24" s="339">
        <f t="shared" si="22"/>
        <v>91603</v>
      </c>
      <c r="AI24" s="339">
        <f t="shared" si="22"/>
        <v>92547</v>
      </c>
      <c r="AJ24" s="339">
        <f t="shared" si="22"/>
        <v>90561</v>
      </c>
      <c r="AK24" s="339">
        <f t="shared" si="22"/>
        <v>89631</v>
      </c>
      <c r="AL24" s="645">
        <f t="shared" si="22"/>
        <v>84887</v>
      </c>
      <c r="AM24" s="339">
        <f t="shared" si="22"/>
        <v>82832</v>
      </c>
      <c r="AN24" s="339">
        <f t="shared" si="22"/>
        <v>79974</v>
      </c>
      <c r="AO24" s="339">
        <f t="shared" si="22"/>
        <v>78959</v>
      </c>
      <c r="AP24" s="339">
        <f t="shared" si="22"/>
        <v>83889</v>
      </c>
      <c r="AQ24" s="339">
        <f t="shared" si="22"/>
        <v>84758</v>
      </c>
      <c r="AR24" s="339">
        <f t="shared" si="22"/>
        <v>90612</v>
      </c>
      <c r="AS24" s="339">
        <f t="shared" si="22"/>
        <v>88370</v>
      </c>
      <c r="AT24" s="339">
        <f t="shared" si="22"/>
        <v>91579</v>
      </c>
      <c r="AU24" s="339">
        <f t="shared" si="22"/>
        <v>92196</v>
      </c>
      <c r="AV24" s="339">
        <f t="shared" si="22"/>
        <v>91327</v>
      </c>
      <c r="AW24" s="339">
        <f t="shared" si="22"/>
        <v>86671</v>
      </c>
      <c r="AX24" s="645">
        <f t="shared" si="22"/>
        <v>84712</v>
      </c>
      <c r="AY24" s="339">
        <f t="shared" si="22"/>
        <v>81710</v>
      </c>
      <c r="AZ24" s="339">
        <f t="shared" si="22"/>
        <v>79546</v>
      </c>
      <c r="BA24" s="339">
        <f t="shared" si="22"/>
        <v>80414</v>
      </c>
      <c r="BB24" s="339">
        <f t="shared" si="22"/>
        <v>83647</v>
      </c>
      <c r="BC24" s="339">
        <f t="shared" si="22"/>
        <v>87805.491680000006</v>
      </c>
      <c r="BD24" s="339">
        <f t="shared" si="22"/>
        <v>88093.197480000003</v>
      </c>
      <c r="BE24" s="339">
        <f t="shared" si="22"/>
        <v>90938.690559999988</v>
      </c>
      <c r="BF24" s="339">
        <f t="shared" ref="BF24:CK24" si="23">BF25+BF33</f>
        <v>90550.773609999975</v>
      </c>
      <c r="BG24" s="339">
        <f t="shared" si="23"/>
        <v>88402.19425</v>
      </c>
      <c r="BH24" s="339">
        <f t="shared" si="23"/>
        <v>93031.092000000004</v>
      </c>
      <c r="BI24" s="339">
        <f t="shared" si="23"/>
        <v>93456.009820000007</v>
      </c>
      <c r="BJ24" s="645">
        <f t="shared" si="23"/>
        <v>95716.718809999991</v>
      </c>
      <c r="BK24" s="339">
        <f t="shared" si="23"/>
        <v>99453.258730000001</v>
      </c>
      <c r="BL24" s="339">
        <f t="shared" si="23"/>
        <v>99135.586299999995</v>
      </c>
      <c r="BM24" s="339">
        <f t="shared" si="23"/>
        <v>101323.50517999999</v>
      </c>
      <c r="BN24" s="339">
        <f t="shared" si="23"/>
        <v>109114.86039000002</v>
      </c>
      <c r="BO24" s="339">
        <f t="shared" si="23"/>
        <v>110851.08948000001</v>
      </c>
      <c r="BP24" s="339">
        <f t="shared" si="23"/>
        <v>115375.11550000003</v>
      </c>
      <c r="BQ24" s="339">
        <f t="shared" si="23"/>
        <v>120488.02012</v>
      </c>
      <c r="BR24" s="339">
        <f t="shared" si="23"/>
        <v>121969.07737000001</v>
      </c>
      <c r="BS24" s="339">
        <f t="shared" si="23"/>
        <v>125332.92862000004</v>
      </c>
      <c r="BT24" s="339">
        <f t="shared" si="23"/>
        <v>128618.70180999997</v>
      </c>
      <c r="BU24" s="642">
        <f t="shared" si="23"/>
        <v>128489.02009000001</v>
      </c>
      <c r="BV24" s="645">
        <f t="shared" si="23"/>
        <v>133209.72951</v>
      </c>
      <c r="BW24" s="339">
        <f t="shared" si="23"/>
        <v>128628.11723</v>
      </c>
      <c r="BX24" s="339">
        <f t="shared" si="23"/>
        <v>125385.03164</v>
      </c>
      <c r="BY24" s="339">
        <f t="shared" si="23"/>
        <v>126737.96648000003</v>
      </c>
      <c r="BZ24" s="339">
        <f t="shared" si="23"/>
        <v>129536.71346000001</v>
      </c>
      <c r="CA24" s="339">
        <f t="shared" si="23"/>
        <v>130662.99608000001</v>
      </c>
      <c r="CB24" s="339">
        <f t="shared" si="23"/>
        <v>134327.35416999998</v>
      </c>
      <c r="CC24" s="339">
        <f t="shared" si="23"/>
        <v>141462.53998000003</v>
      </c>
      <c r="CD24" s="339">
        <f t="shared" si="23"/>
        <v>141960.55071000001</v>
      </c>
      <c r="CE24" s="339">
        <f t="shared" si="23"/>
        <v>141452.05320999998</v>
      </c>
      <c r="CF24" s="339">
        <f t="shared" si="23"/>
        <v>141308.91874999998</v>
      </c>
      <c r="CG24" s="642">
        <f t="shared" si="23"/>
        <v>138185.51146000001</v>
      </c>
      <c r="CH24" s="339">
        <f t="shared" si="23"/>
        <v>138382.89726999999</v>
      </c>
      <c r="CI24" s="339">
        <f t="shared" si="23"/>
        <v>132279.81130999999</v>
      </c>
      <c r="CJ24" s="339">
        <f t="shared" si="23"/>
        <v>128343.17607999999</v>
      </c>
      <c r="CK24" s="339">
        <f t="shared" si="23"/>
        <v>130399.10526999999</v>
      </c>
      <c r="CL24" s="339">
        <f t="shared" ref="CL24:DQ24" si="24">CL25+CL33</f>
        <v>135698.29412999999</v>
      </c>
      <c r="CM24" s="339">
        <f t="shared" si="24"/>
        <v>146454.42614</v>
      </c>
      <c r="CN24" s="339">
        <f t="shared" si="24"/>
        <v>154435.42017999999</v>
      </c>
      <c r="CO24" s="339">
        <f t="shared" si="24"/>
        <v>157233.83028999998</v>
      </c>
      <c r="CP24" s="339">
        <f t="shared" si="24"/>
        <v>163229.49658000001</v>
      </c>
      <c r="CQ24" s="339">
        <f t="shared" si="24"/>
        <v>165274.23347000001</v>
      </c>
      <c r="CR24" s="339">
        <f t="shared" si="24"/>
        <v>172951.24655000001</v>
      </c>
      <c r="CS24" s="339">
        <f t="shared" si="24"/>
        <v>174787.97932000004</v>
      </c>
      <c r="CT24" s="645">
        <f t="shared" si="24"/>
        <v>174033.09257000004</v>
      </c>
      <c r="CU24" s="339">
        <f t="shared" si="24"/>
        <v>166986.25406000001</v>
      </c>
      <c r="CV24" s="339">
        <f t="shared" si="24"/>
        <v>164895.84093000001</v>
      </c>
      <c r="CW24" s="339">
        <f t="shared" si="24"/>
        <v>167232.78365999996</v>
      </c>
      <c r="CX24" s="339">
        <f t="shared" si="24"/>
        <v>177541.09825000001</v>
      </c>
      <c r="CY24" s="339">
        <f t="shared" si="24"/>
        <v>180326.15929999997</v>
      </c>
      <c r="CZ24" s="339">
        <f t="shared" si="24"/>
        <v>185769.59511000002</v>
      </c>
      <c r="DA24" s="339">
        <f t="shared" si="24"/>
        <v>191566.1219</v>
      </c>
      <c r="DB24" s="339">
        <f t="shared" si="24"/>
        <v>192867.23491999999</v>
      </c>
      <c r="DC24" s="339">
        <f t="shared" si="24"/>
        <v>193736.9639</v>
      </c>
      <c r="DD24" s="339">
        <f t="shared" si="24"/>
        <v>199079.95103999996</v>
      </c>
      <c r="DE24" s="339">
        <f t="shared" si="24"/>
        <v>200663.69990000001</v>
      </c>
      <c r="DF24" s="645">
        <f t="shared" si="24"/>
        <v>195466.37576999996</v>
      </c>
      <c r="DG24" s="339">
        <f t="shared" si="24"/>
        <v>187912.63091000004</v>
      </c>
      <c r="DH24" s="339">
        <f t="shared" si="24"/>
        <v>181165.96905000004</v>
      </c>
      <c r="DI24" s="339">
        <f t="shared" si="24"/>
        <v>184229.86888000002</v>
      </c>
      <c r="DJ24" s="339">
        <f t="shared" si="24"/>
        <v>193049.21917</v>
      </c>
      <c r="DK24" s="339">
        <f t="shared" si="24"/>
        <v>196859.35921000002</v>
      </c>
      <c r="DL24" s="339">
        <f t="shared" si="24"/>
        <v>202698.1752</v>
      </c>
      <c r="DM24" s="339">
        <f t="shared" si="24"/>
        <v>211677.81289</v>
      </c>
      <c r="DN24" s="339">
        <f t="shared" si="24"/>
        <v>204177.46153999996</v>
      </c>
      <c r="DO24" s="339">
        <f t="shared" si="24"/>
        <v>210279.91115</v>
      </c>
      <c r="DP24" s="339">
        <f t="shared" si="24"/>
        <v>210142.12718999997</v>
      </c>
      <c r="DQ24" s="642">
        <f t="shared" si="24"/>
        <v>215515.41448000004</v>
      </c>
      <c r="DR24" s="339">
        <f t="shared" ref="DR24:EO24" si="25">DR25+DR33</f>
        <v>209450.37284000003</v>
      </c>
      <c r="DS24" s="339">
        <f t="shared" si="25"/>
        <v>202729.12073999995</v>
      </c>
      <c r="DT24" s="339">
        <f t="shared" si="25"/>
        <v>195567.27350000001</v>
      </c>
      <c r="DU24" s="339">
        <f t="shared" si="25"/>
        <v>194684.00571999996</v>
      </c>
      <c r="DV24" s="339">
        <f t="shared" si="25"/>
        <v>206808.95039000001</v>
      </c>
      <c r="DW24" s="339">
        <f t="shared" si="25"/>
        <v>208175.44222</v>
      </c>
      <c r="DX24" s="339">
        <f t="shared" si="25"/>
        <v>222678.57377999998</v>
      </c>
      <c r="DY24" s="339">
        <f t="shared" si="25"/>
        <v>223688.33867999999</v>
      </c>
      <c r="DZ24" s="339">
        <f t="shared" si="25"/>
        <v>220072.83559999999</v>
      </c>
      <c r="EA24" s="339">
        <f t="shared" si="25"/>
        <v>222063.32513000001</v>
      </c>
      <c r="EB24" s="339">
        <f t="shared" si="25"/>
        <v>225404.00711999997</v>
      </c>
      <c r="EC24" s="642">
        <f t="shared" si="25"/>
        <v>230674.37826</v>
      </c>
      <c r="ED24" s="645">
        <f t="shared" si="25"/>
        <v>232740.44237999996</v>
      </c>
      <c r="EE24" s="339">
        <f t="shared" si="25"/>
        <v>234276.5</v>
      </c>
      <c r="EF24" s="339">
        <f t="shared" si="25"/>
        <v>246969.5</v>
      </c>
      <c r="EG24" s="339">
        <f t="shared" si="25"/>
        <v>273015.59999999998</v>
      </c>
      <c r="EH24" s="339">
        <f t="shared" si="25"/>
        <v>273644</v>
      </c>
      <c r="EI24" s="339">
        <f t="shared" si="25"/>
        <v>297930</v>
      </c>
      <c r="EJ24" s="339">
        <f t="shared" si="25"/>
        <v>324435</v>
      </c>
      <c r="EK24" s="339">
        <f t="shared" si="25"/>
        <v>335948</v>
      </c>
      <c r="EL24" s="339">
        <f t="shared" si="25"/>
        <v>352921</v>
      </c>
      <c r="EM24" s="339">
        <f t="shared" si="25"/>
        <v>365524</v>
      </c>
      <c r="EN24" s="339">
        <f t="shared" si="25"/>
        <v>377639</v>
      </c>
      <c r="EO24" s="642">
        <f t="shared" si="25"/>
        <v>374847</v>
      </c>
      <c r="EP24"/>
      <c r="EQ24" s="791">
        <f t="shared" si="8"/>
        <v>-0.73933041873323058</v>
      </c>
      <c r="ER24" s="791">
        <f t="shared" si="9"/>
        <v>62.500492177548537</v>
      </c>
      <c r="ET24" s="792">
        <f t="shared" si="10"/>
        <v>0.19498343937494225</v>
      </c>
      <c r="EU24" s="338">
        <f t="shared" ref="EU24:EU37" si="26">CQ24-CE24</f>
        <v>23822.180260000023</v>
      </c>
      <c r="FG24" s="748"/>
    </row>
    <row r="25" spans="1:163" ht="13.9" customHeight="1" x14ac:dyDescent="0.2">
      <c r="A25" s="1036" t="s">
        <v>501</v>
      </c>
      <c r="B25" s="320"/>
      <c r="C25" s="320"/>
      <c r="D25" s="320"/>
      <c r="E25" s="320"/>
      <c r="F25" s="320"/>
      <c r="G25" s="320"/>
      <c r="H25" s="320"/>
      <c r="I25" s="320"/>
      <c r="J25" s="320"/>
      <c r="K25" s="320"/>
      <c r="L25" s="320"/>
      <c r="M25" s="343"/>
      <c r="N25" s="320"/>
      <c r="O25" s="320"/>
      <c r="P25" s="320"/>
      <c r="Q25" s="320"/>
      <c r="R25" s="320"/>
      <c r="S25" s="320"/>
      <c r="T25" s="320"/>
      <c r="U25" s="320"/>
      <c r="V25" s="320"/>
      <c r="W25" s="320"/>
      <c r="X25" s="320"/>
      <c r="Y25" s="320"/>
      <c r="Z25" s="345">
        <f t="shared" ref="Z25:AW25" si="27">SUM(Z26:Z30)</f>
        <v>63916</v>
      </c>
      <c r="AA25" s="320">
        <f t="shared" si="27"/>
        <v>62875</v>
      </c>
      <c r="AB25" s="320">
        <f t="shared" si="27"/>
        <v>64592</v>
      </c>
      <c r="AC25" s="320">
        <f t="shared" si="27"/>
        <v>66380</v>
      </c>
      <c r="AD25" s="320">
        <f t="shared" si="27"/>
        <v>74440</v>
      </c>
      <c r="AE25" s="320">
        <f t="shared" si="27"/>
        <v>79908</v>
      </c>
      <c r="AF25" s="320">
        <f t="shared" si="27"/>
        <v>85337</v>
      </c>
      <c r="AG25" s="320">
        <f t="shared" si="27"/>
        <v>87621</v>
      </c>
      <c r="AH25" s="320">
        <f t="shared" si="27"/>
        <v>89121</v>
      </c>
      <c r="AI25" s="320">
        <f t="shared" si="27"/>
        <v>90032</v>
      </c>
      <c r="AJ25" s="320">
        <f t="shared" si="27"/>
        <v>88036</v>
      </c>
      <c r="AK25" s="320">
        <f t="shared" si="27"/>
        <v>87075</v>
      </c>
      <c r="AL25" s="345">
        <f t="shared" si="27"/>
        <v>82286</v>
      </c>
      <c r="AM25" s="320">
        <f t="shared" si="27"/>
        <v>80401</v>
      </c>
      <c r="AN25" s="320">
        <f t="shared" si="27"/>
        <v>77574</v>
      </c>
      <c r="AO25" s="320">
        <f t="shared" si="27"/>
        <v>76604</v>
      </c>
      <c r="AP25" s="320">
        <f t="shared" si="27"/>
        <v>81425</v>
      </c>
      <c r="AQ25" s="320">
        <f t="shared" si="27"/>
        <v>82077</v>
      </c>
      <c r="AR25" s="320">
        <f t="shared" si="27"/>
        <v>87904</v>
      </c>
      <c r="AS25" s="320">
        <f t="shared" si="27"/>
        <v>85866</v>
      </c>
      <c r="AT25" s="320">
        <f t="shared" si="27"/>
        <v>89261</v>
      </c>
      <c r="AU25" s="320">
        <f t="shared" si="27"/>
        <v>89864</v>
      </c>
      <c r="AV25" s="320">
        <f t="shared" si="27"/>
        <v>88837</v>
      </c>
      <c r="AW25" s="343">
        <f t="shared" si="27"/>
        <v>84344</v>
      </c>
      <c r="AX25" s="320">
        <f t="shared" ref="AX25:CO25" si="28">SUM(AX26:AX31)</f>
        <v>82515</v>
      </c>
      <c r="AY25" s="320">
        <f t="shared" si="28"/>
        <v>79590</v>
      </c>
      <c r="AZ25" s="320">
        <f t="shared" si="28"/>
        <v>77358</v>
      </c>
      <c r="BA25" s="320">
        <f t="shared" si="28"/>
        <v>78423</v>
      </c>
      <c r="BB25" s="320">
        <f t="shared" si="28"/>
        <v>82573</v>
      </c>
      <c r="BC25" s="320">
        <f t="shared" si="28"/>
        <v>86804.392879999999</v>
      </c>
      <c r="BD25" s="320">
        <f t="shared" si="28"/>
        <v>87111.923980000007</v>
      </c>
      <c r="BE25" s="320">
        <f t="shared" si="28"/>
        <v>90019.246499999994</v>
      </c>
      <c r="BF25" s="320">
        <f t="shared" si="28"/>
        <v>89646.330239999981</v>
      </c>
      <c r="BG25" s="320">
        <f t="shared" si="28"/>
        <v>87512.125899999999</v>
      </c>
      <c r="BH25" s="320">
        <f t="shared" si="28"/>
        <v>92188.413530000005</v>
      </c>
      <c r="BI25" s="320">
        <f t="shared" si="28"/>
        <v>92708.928830000004</v>
      </c>
      <c r="BJ25" s="345">
        <f t="shared" si="28"/>
        <v>94979.000199999995</v>
      </c>
      <c r="BK25" s="320">
        <f t="shared" si="28"/>
        <v>98936.705610000005</v>
      </c>
      <c r="BL25" s="320">
        <f t="shared" si="28"/>
        <v>98614.806349999999</v>
      </c>
      <c r="BM25" s="320">
        <f t="shared" si="28"/>
        <v>100766.76538</v>
      </c>
      <c r="BN25" s="320">
        <f t="shared" si="28"/>
        <v>108539.18074000001</v>
      </c>
      <c r="BO25" s="320">
        <f t="shared" si="28"/>
        <v>110343.96246000001</v>
      </c>
      <c r="BP25" s="320">
        <f t="shared" si="28"/>
        <v>114833.61391000003</v>
      </c>
      <c r="BQ25" s="320">
        <f t="shared" si="28"/>
        <v>119989.60386</v>
      </c>
      <c r="BR25" s="320">
        <f t="shared" si="28"/>
        <v>121446.76896000002</v>
      </c>
      <c r="BS25" s="320">
        <f t="shared" si="28"/>
        <v>124813.82628000004</v>
      </c>
      <c r="BT25" s="320">
        <f t="shared" si="28"/>
        <v>128045.68165999997</v>
      </c>
      <c r="BU25" s="343">
        <f t="shared" si="28"/>
        <v>127983.44979</v>
      </c>
      <c r="BV25" s="345">
        <f t="shared" si="28"/>
        <v>132661.87033000001</v>
      </c>
      <c r="BW25" s="320">
        <f t="shared" si="28"/>
        <v>128093.62087</v>
      </c>
      <c r="BX25" s="320">
        <f t="shared" si="28"/>
        <v>124912.04793</v>
      </c>
      <c r="BY25" s="320">
        <f t="shared" si="28"/>
        <v>126282.29425000004</v>
      </c>
      <c r="BZ25" s="320">
        <f t="shared" si="28"/>
        <v>129015.95665000001</v>
      </c>
      <c r="CA25" s="320">
        <f>SUM(CA26:CA31)</f>
        <v>130172.63812000002</v>
      </c>
      <c r="CB25" s="320">
        <f t="shared" si="28"/>
        <v>133855.30592999997</v>
      </c>
      <c r="CC25" s="320">
        <f t="shared" si="28"/>
        <v>140992.78956000003</v>
      </c>
      <c r="CD25" s="320">
        <f t="shared" si="28"/>
        <v>141905.51068000001</v>
      </c>
      <c r="CE25" s="320">
        <f t="shared" si="28"/>
        <v>141369.05320999998</v>
      </c>
      <c r="CF25" s="320">
        <f t="shared" si="28"/>
        <v>141229.72557999997</v>
      </c>
      <c r="CG25" s="343">
        <f t="shared" si="28"/>
        <v>138092.00198</v>
      </c>
      <c r="CH25" s="320">
        <f t="shared" si="28"/>
        <v>138253.12951999999</v>
      </c>
      <c r="CI25" s="320">
        <f t="shared" si="28"/>
        <v>132191.06117999999</v>
      </c>
      <c r="CJ25" s="320">
        <f t="shared" si="28"/>
        <v>128262.30514999999</v>
      </c>
      <c r="CK25" s="320">
        <f t="shared" si="28"/>
        <v>130327.17562999998</v>
      </c>
      <c r="CL25" s="320">
        <f t="shared" si="28"/>
        <v>135626.02685999998</v>
      </c>
      <c r="CM25" s="320">
        <f t="shared" si="28"/>
        <v>146331.55069999999</v>
      </c>
      <c r="CN25" s="320">
        <f t="shared" si="28"/>
        <v>154323.83025999999</v>
      </c>
      <c r="CO25" s="320">
        <f t="shared" si="28"/>
        <v>157095.63271999999</v>
      </c>
      <c r="CP25" s="320">
        <f t="shared" ref="CP25:EO25" si="29">SUM(CP26:CP32)</f>
        <v>163083.56505</v>
      </c>
      <c r="CQ25" s="320">
        <f t="shared" si="29"/>
        <v>165168.85383000001</v>
      </c>
      <c r="CR25" s="320">
        <f t="shared" si="29"/>
        <v>172748.14478</v>
      </c>
      <c r="CS25" s="320">
        <f t="shared" si="29"/>
        <v>174601.21048000004</v>
      </c>
      <c r="CT25" s="345">
        <f t="shared" si="29"/>
        <v>173874.28182000003</v>
      </c>
      <c r="CU25" s="320">
        <f t="shared" si="29"/>
        <v>166835.30926000001</v>
      </c>
      <c r="CV25" s="320">
        <f t="shared" si="29"/>
        <v>164744.52095999999</v>
      </c>
      <c r="CW25" s="320">
        <f t="shared" si="29"/>
        <v>167069.64484999995</v>
      </c>
      <c r="CX25" s="320">
        <f t="shared" si="29"/>
        <v>177303.27383000002</v>
      </c>
      <c r="CY25" s="320">
        <f t="shared" si="29"/>
        <v>179955.98825999998</v>
      </c>
      <c r="CZ25" s="320">
        <f t="shared" si="29"/>
        <v>185380.17981000003</v>
      </c>
      <c r="DA25" s="320">
        <f t="shared" si="29"/>
        <v>191166.17945999998</v>
      </c>
      <c r="DB25" s="320">
        <f t="shared" si="29"/>
        <v>192425.36786999999</v>
      </c>
      <c r="DC25" s="320">
        <f t="shared" si="29"/>
        <v>193327.89697</v>
      </c>
      <c r="DD25" s="320">
        <f t="shared" si="29"/>
        <v>198602.94522999995</v>
      </c>
      <c r="DE25" s="320">
        <f t="shared" si="29"/>
        <v>200312.40155000001</v>
      </c>
      <c r="DF25" s="345">
        <f t="shared" si="29"/>
        <v>195124.46481999996</v>
      </c>
      <c r="DG25" s="320">
        <f t="shared" si="29"/>
        <v>187695.19967000003</v>
      </c>
      <c r="DH25" s="320">
        <f t="shared" si="29"/>
        <v>180998.85985000004</v>
      </c>
      <c r="DI25" s="320">
        <f t="shared" si="29"/>
        <v>184038.53520000001</v>
      </c>
      <c r="DJ25" s="320">
        <f t="shared" si="29"/>
        <v>192782.97365999999</v>
      </c>
      <c r="DK25" s="320">
        <f t="shared" si="29"/>
        <v>196708.21771000003</v>
      </c>
      <c r="DL25" s="320">
        <f t="shared" si="29"/>
        <v>202484.85649999999</v>
      </c>
      <c r="DM25" s="320">
        <f t="shared" si="29"/>
        <v>211489.61395</v>
      </c>
      <c r="DN25" s="320">
        <f t="shared" si="29"/>
        <v>204014.59982999996</v>
      </c>
      <c r="DO25" s="320">
        <f t="shared" si="29"/>
        <v>210094.4247</v>
      </c>
      <c r="DP25" s="320">
        <f t="shared" si="29"/>
        <v>210001.46663999997</v>
      </c>
      <c r="DQ25" s="343">
        <f t="shared" si="29"/>
        <v>215338.18377000003</v>
      </c>
      <c r="DR25" s="320">
        <f t="shared" si="29"/>
        <v>209316.14688000001</v>
      </c>
      <c r="DS25" s="320">
        <f t="shared" si="29"/>
        <v>202627.54533999995</v>
      </c>
      <c r="DT25" s="320">
        <f t="shared" si="29"/>
        <v>195447.43155000001</v>
      </c>
      <c r="DU25" s="320">
        <f t="shared" si="29"/>
        <v>194578.64570999995</v>
      </c>
      <c r="DV25" s="320">
        <f t="shared" si="29"/>
        <v>206723.15796000001</v>
      </c>
      <c r="DW25" s="320">
        <f t="shared" si="29"/>
        <v>208042.62406</v>
      </c>
      <c r="DX25" s="320">
        <f t="shared" si="29"/>
        <v>222563.08599999998</v>
      </c>
      <c r="DY25" s="320">
        <f t="shared" si="29"/>
        <v>223510.61429</v>
      </c>
      <c r="DZ25" s="320">
        <f t="shared" si="29"/>
        <v>219929.19081</v>
      </c>
      <c r="EA25" s="320">
        <f t="shared" si="29"/>
        <v>221836.23222000001</v>
      </c>
      <c r="EB25" s="320">
        <f t="shared" si="29"/>
        <v>225271.91548999996</v>
      </c>
      <c r="EC25" s="343">
        <f t="shared" si="29"/>
        <v>230422.05134999999</v>
      </c>
      <c r="ED25" s="345">
        <f t="shared" si="29"/>
        <v>232536.56679999997</v>
      </c>
      <c r="EE25" s="320">
        <f t="shared" si="29"/>
        <v>234137</v>
      </c>
      <c r="EF25" s="320">
        <f t="shared" si="29"/>
        <v>246827</v>
      </c>
      <c r="EG25" s="320">
        <f t="shared" si="29"/>
        <v>272844</v>
      </c>
      <c r="EH25" s="320">
        <f t="shared" si="29"/>
        <v>273490</v>
      </c>
      <c r="EI25" s="320">
        <f t="shared" si="29"/>
        <v>297689</v>
      </c>
      <c r="EJ25" s="320">
        <f t="shared" si="29"/>
        <v>324209</v>
      </c>
      <c r="EK25" s="320">
        <f t="shared" si="29"/>
        <v>335681</v>
      </c>
      <c r="EL25" s="320">
        <f t="shared" si="29"/>
        <v>352684</v>
      </c>
      <c r="EM25" s="320">
        <f t="shared" si="29"/>
        <v>365112</v>
      </c>
      <c r="EN25" s="320">
        <f t="shared" si="29"/>
        <v>377346</v>
      </c>
      <c r="EO25" s="343">
        <f t="shared" si="29"/>
        <v>374496</v>
      </c>
      <c r="EQ25" s="794">
        <f t="shared" si="8"/>
        <v>-0.75527499960248434</v>
      </c>
      <c r="ER25" s="794">
        <f t="shared" si="9"/>
        <v>62.52611145760465</v>
      </c>
      <c r="ET25" s="795">
        <f t="shared" si="10"/>
        <v>0.19481263811072513</v>
      </c>
      <c r="EU25" s="317">
        <f t="shared" si="26"/>
        <v>23799.800620000024</v>
      </c>
      <c r="FG25" s="331" t="s">
        <v>546</v>
      </c>
    </row>
    <row r="26" spans="1:163" ht="13.9" customHeight="1" x14ac:dyDescent="0.2">
      <c r="A26" s="1037" t="s">
        <v>502</v>
      </c>
      <c r="B26" s="320">
        <v>32985</v>
      </c>
      <c r="C26" s="320">
        <v>31155</v>
      </c>
      <c r="D26" s="320">
        <v>31002</v>
      </c>
      <c r="E26" s="320">
        <v>30455</v>
      </c>
      <c r="F26" s="320">
        <v>30054</v>
      </c>
      <c r="G26" s="320">
        <v>30240</v>
      </c>
      <c r="H26" s="320">
        <v>31236</v>
      </c>
      <c r="I26" s="320">
        <v>31887</v>
      </c>
      <c r="J26" s="320">
        <v>33585</v>
      </c>
      <c r="K26" s="320">
        <v>32489</v>
      </c>
      <c r="L26" s="320">
        <v>31489</v>
      </c>
      <c r="M26" s="343">
        <v>30962.65451</v>
      </c>
      <c r="N26" s="320">
        <v>29863.224439999998</v>
      </c>
      <c r="O26" s="320">
        <v>29095</v>
      </c>
      <c r="P26" s="320">
        <v>29666</v>
      </c>
      <c r="Q26" s="320">
        <v>30969</v>
      </c>
      <c r="R26" s="320">
        <v>33546</v>
      </c>
      <c r="S26" s="320">
        <v>37322</v>
      </c>
      <c r="T26" s="320">
        <v>39343</v>
      </c>
      <c r="U26" s="320">
        <v>40387</v>
      </c>
      <c r="V26" s="320">
        <v>41317</v>
      </c>
      <c r="W26" s="320">
        <v>43194</v>
      </c>
      <c r="X26" s="320">
        <v>45609</v>
      </c>
      <c r="Y26" s="320">
        <v>46568</v>
      </c>
      <c r="Z26" s="345">
        <v>46414</v>
      </c>
      <c r="AA26" s="320">
        <v>45698</v>
      </c>
      <c r="AB26" s="320">
        <v>47430</v>
      </c>
      <c r="AC26" s="320">
        <v>49332</v>
      </c>
      <c r="AD26" s="320">
        <v>56272</v>
      </c>
      <c r="AE26" s="320">
        <v>60919</v>
      </c>
      <c r="AF26" s="320">
        <v>65690</v>
      </c>
      <c r="AG26" s="320">
        <v>68877</v>
      </c>
      <c r="AH26" s="320">
        <v>69461</v>
      </c>
      <c r="AI26" s="320">
        <v>70595</v>
      </c>
      <c r="AJ26" s="320">
        <v>68214</v>
      </c>
      <c r="AK26" s="320">
        <v>66377</v>
      </c>
      <c r="AL26" s="345">
        <v>62488</v>
      </c>
      <c r="AM26" s="320">
        <v>60231</v>
      </c>
      <c r="AN26" s="320">
        <v>57391</v>
      </c>
      <c r="AO26" s="320">
        <v>57422</v>
      </c>
      <c r="AP26" s="320">
        <v>61735</v>
      </c>
      <c r="AQ26" s="320">
        <v>61987</v>
      </c>
      <c r="AR26" s="320">
        <v>67931</v>
      </c>
      <c r="AS26" s="320">
        <v>66282</v>
      </c>
      <c r="AT26" s="320">
        <v>68765</v>
      </c>
      <c r="AU26" s="320">
        <v>69394</v>
      </c>
      <c r="AV26" s="320">
        <v>67956</v>
      </c>
      <c r="AW26" s="320">
        <v>64195</v>
      </c>
      <c r="AX26" s="345">
        <v>62392</v>
      </c>
      <c r="AY26" s="320">
        <v>59970</v>
      </c>
      <c r="AZ26" s="320">
        <v>57971</v>
      </c>
      <c r="BA26" s="320">
        <v>59414</v>
      </c>
      <c r="BB26" s="320">
        <v>61926</v>
      </c>
      <c r="BC26" s="320">
        <v>66071.750090000001</v>
      </c>
      <c r="BD26" s="320">
        <v>66752.495810000008</v>
      </c>
      <c r="BE26" s="320">
        <v>66303.363769999996</v>
      </c>
      <c r="BF26" s="320">
        <v>66825.751929999999</v>
      </c>
      <c r="BG26" s="320">
        <v>66427.868520000004</v>
      </c>
      <c r="BH26" s="320">
        <v>69573.509239999999</v>
      </c>
      <c r="BI26" s="320">
        <v>70461.363729999997</v>
      </c>
      <c r="BJ26" s="345">
        <v>72309</v>
      </c>
      <c r="BK26" s="320">
        <v>72299.558350000007</v>
      </c>
      <c r="BL26" s="320">
        <v>71728.600259999992</v>
      </c>
      <c r="BM26" s="320">
        <v>73765.019570000004</v>
      </c>
      <c r="BN26" s="320">
        <v>80761.289350000006</v>
      </c>
      <c r="BO26" s="320">
        <v>82353.918579999998</v>
      </c>
      <c r="BP26" s="320">
        <v>87355.195140000011</v>
      </c>
      <c r="BQ26" s="320">
        <v>91955.755959999995</v>
      </c>
      <c r="BR26" s="320">
        <v>93684.651520000014</v>
      </c>
      <c r="BS26" s="320">
        <v>96409.798550000036</v>
      </c>
      <c r="BT26" s="320">
        <v>99796.864769999986</v>
      </c>
      <c r="BU26" s="343">
        <v>101089.18109999999</v>
      </c>
      <c r="BV26" s="345">
        <v>106293.49737</v>
      </c>
      <c r="BW26" s="320">
        <v>102278.36743000001</v>
      </c>
      <c r="BX26" s="320">
        <v>98533.979169999991</v>
      </c>
      <c r="BY26" s="320">
        <v>101171.71735000002</v>
      </c>
      <c r="BZ26" s="320">
        <v>103111.19757</v>
      </c>
      <c r="CA26" s="320">
        <v>104352.64674</v>
      </c>
      <c r="CB26" s="320">
        <v>108428.49239</v>
      </c>
      <c r="CC26" s="320">
        <v>115753.44421000002</v>
      </c>
      <c r="CD26" s="320">
        <v>116414.80899000002</v>
      </c>
      <c r="CE26" s="320">
        <v>116128.28611</v>
      </c>
      <c r="CF26" s="320">
        <v>115147.02605999999</v>
      </c>
      <c r="CG26" s="343">
        <v>113128.95153000001</v>
      </c>
      <c r="CH26" s="320">
        <v>113676.29854999999</v>
      </c>
      <c r="CI26" s="320">
        <v>107488.69095999999</v>
      </c>
      <c r="CJ26" s="320">
        <v>102980.63885</v>
      </c>
      <c r="CK26" s="320">
        <v>105030.39779999999</v>
      </c>
      <c r="CL26" s="320">
        <v>109446.42713</v>
      </c>
      <c r="CM26" s="320">
        <v>120377.04668</v>
      </c>
      <c r="CN26" s="320">
        <v>127620.00767000001</v>
      </c>
      <c r="CO26" s="320">
        <v>129354.05653</v>
      </c>
      <c r="CP26" s="320">
        <v>135208.63141</v>
      </c>
      <c r="CQ26" s="320">
        <v>136876.03543000002</v>
      </c>
      <c r="CR26" s="320">
        <v>143931.40455000001</v>
      </c>
      <c r="CS26" s="320">
        <v>150122.07895</v>
      </c>
      <c r="CT26" s="345">
        <v>149468.11052000002</v>
      </c>
      <c r="CU26" s="320">
        <v>143142.63561</v>
      </c>
      <c r="CV26" s="320">
        <v>139979.60892</v>
      </c>
      <c r="CW26" s="320">
        <v>141978.74101999999</v>
      </c>
      <c r="CX26" s="320">
        <v>151442.17186</v>
      </c>
      <c r="CY26" s="320">
        <v>154012.22225999998</v>
      </c>
      <c r="CZ26" s="320">
        <v>159034.11817000003</v>
      </c>
      <c r="DA26" s="320">
        <v>163691.96580000003</v>
      </c>
      <c r="DB26" s="320">
        <v>165128.16102999999</v>
      </c>
      <c r="DC26" s="320">
        <v>165434.83101000002</v>
      </c>
      <c r="DD26" s="320">
        <v>170998.95810999995</v>
      </c>
      <c r="DE26" s="320">
        <v>171914.49350000001</v>
      </c>
      <c r="DF26" s="345">
        <v>168443.43170999998</v>
      </c>
      <c r="DG26" s="320">
        <v>162803.11004000003</v>
      </c>
      <c r="DH26" s="320">
        <v>157547.65315000003</v>
      </c>
      <c r="DI26" s="320">
        <v>160068.28924000001</v>
      </c>
      <c r="DJ26" s="320">
        <v>167087.09819000002</v>
      </c>
      <c r="DK26" s="320">
        <v>170268.88112999999</v>
      </c>
      <c r="DL26" s="320">
        <v>175658.65966</v>
      </c>
      <c r="DM26" s="320">
        <v>184245.35375999997</v>
      </c>
      <c r="DN26" s="320">
        <v>176389.73645999999</v>
      </c>
      <c r="DO26" s="320">
        <v>182854.89968</v>
      </c>
      <c r="DP26" s="320">
        <v>182632.05214999997</v>
      </c>
      <c r="DQ26" s="343">
        <v>186351.57712</v>
      </c>
      <c r="DR26" s="320">
        <v>181717.13371999998</v>
      </c>
      <c r="DS26" s="320">
        <v>176202.55578999998</v>
      </c>
      <c r="DT26" s="320">
        <v>167996.68821000002</v>
      </c>
      <c r="DU26" s="320">
        <v>168297.47590999998</v>
      </c>
      <c r="DV26" s="320">
        <v>180034.11774000002</v>
      </c>
      <c r="DW26" s="320">
        <v>180307.58927</v>
      </c>
      <c r="DX26" s="320">
        <v>194217.34726999997</v>
      </c>
      <c r="DY26" s="320">
        <v>195254.94932000001</v>
      </c>
      <c r="DZ26" s="320">
        <v>191143.02379000004</v>
      </c>
      <c r="EA26" s="320">
        <v>193536.50623000003</v>
      </c>
      <c r="EB26" s="320">
        <v>195788.99518999999</v>
      </c>
      <c r="EC26" s="343">
        <v>200683.02475000001</v>
      </c>
      <c r="ED26" s="345">
        <v>201996.03545</v>
      </c>
      <c r="EE26" s="320">
        <v>202053</v>
      </c>
      <c r="EF26" s="320">
        <v>199154.4</v>
      </c>
      <c r="EG26" s="320">
        <v>207673</v>
      </c>
      <c r="EH26" s="320">
        <v>225021</v>
      </c>
      <c r="EI26" s="320">
        <v>246693</v>
      </c>
      <c r="EJ26" s="320">
        <v>271227</v>
      </c>
      <c r="EK26" s="320">
        <v>282174</v>
      </c>
      <c r="EL26" s="320">
        <v>293979</v>
      </c>
      <c r="EM26" s="320">
        <v>302297</v>
      </c>
      <c r="EN26" s="320">
        <v>312068</v>
      </c>
      <c r="EO26" s="343">
        <v>304752</v>
      </c>
      <c r="EQ26" s="794">
        <f t="shared" si="8"/>
        <v>-2.3443608444313369</v>
      </c>
      <c r="ER26" s="794">
        <f t="shared" si="9"/>
        <v>51.857388226853487</v>
      </c>
      <c r="ES26" s="320"/>
      <c r="ET26" s="795">
        <f t="shared" si="10"/>
        <v>0.16922663431152909</v>
      </c>
      <c r="EU26" s="317">
        <f t="shared" si="26"/>
        <v>20747.749320000017</v>
      </c>
      <c r="FG26" s="331"/>
    </row>
    <row r="27" spans="1:163" ht="13.9" customHeight="1" x14ac:dyDescent="0.2">
      <c r="A27" s="1037" t="s">
        <v>503</v>
      </c>
      <c r="B27" s="320">
        <v>10952</v>
      </c>
      <c r="C27" s="320">
        <v>10782</v>
      </c>
      <c r="D27" s="320">
        <v>10437</v>
      </c>
      <c r="E27" s="320">
        <v>10188</v>
      </c>
      <c r="F27" s="320">
        <v>10414</v>
      </c>
      <c r="G27" s="320">
        <v>10190</v>
      </c>
      <c r="H27" s="320">
        <v>10569</v>
      </c>
      <c r="I27" s="320">
        <v>10488</v>
      </c>
      <c r="J27" s="320">
        <v>10610</v>
      </c>
      <c r="K27" s="320">
        <v>11086</v>
      </c>
      <c r="L27" s="320">
        <v>11065</v>
      </c>
      <c r="M27" s="343">
        <v>10671.057920000001</v>
      </c>
      <c r="N27" s="320">
        <v>10653.663240000002</v>
      </c>
      <c r="O27" s="320">
        <v>10541</v>
      </c>
      <c r="P27" s="320">
        <v>10520</v>
      </c>
      <c r="Q27" s="320">
        <v>10732</v>
      </c>
      <c r="R27" s="320">
        <v>10762</v>
      </c>
      <c r="S27" s="320">
        <v>11587</v>
      </c>
      <c r="T27" s="320">
        <v>11746</v>
      </c>
      <c r="U27" s="320">
        <v>11872</v>
      </c>
      <c r="V27" s="320">
        <v>11513</v>
      </c>
      <c r="W27" s="320">
        <v>11904</v>
      </c>
      <c r="X27" s="320">
        <v>11977</v>
      </c>
      <c r="Y27" s="320">
        <v>12113</v>
      </c>
      <c r="Z27" s="345">
        <v>12214</v>
      </c>
      <c r="AA27" s="320">
        <v>12003</v>
      </c>
      <c r="AB27" s="320">
        <v>12112</v>
      </c>
      <c r="AC27" s="320">
        <v>11702</v>
      </c>
      <c r="AD27" s="320">
        <v>12300</v>
      </c>
      <c r="AE27" s="320">
        <v>13078</v>
      </c>
      <c r="AF27" s="320">
        <v>13231</v>
      </c>
      <c r="AG27" s="320">
        <v>12244</v>
      </c>
      <c r="AH27" s="320">
        <v>12291</v>
      </c>
      <c r="AI27" s="320">
        <v>11853</v>
      </c>
      <c r="AJ27" s="320">
        <v>12092</v>
      </c>
      <c r="AK27" s="320">
        <v>12849</v>
      </c>
      <c r="AL27" s="345">
        <v>12321</v>
      </c>
      <c r="AM27" s="320">
        <v>12405</v>
      </c>
      <c r="AN27" s="320">
        <v>12572</v>
      </c>
      <c r="AO27" s="320">
        <v>11891</v>
      </c>
      <c r="AP27" s="320">
        <v>12181</v>
      </c>
      <c r="AQ27" s="320">
        <v>11859</v>
      </c>
      <c r="AR27" s="320">
        <v>11833</v>
      </c>
      <c r="AS27" s="320">
        <v>11612</v>
      </c>
      <c r="AT27" s="320">
        <v>11942</v>
      </c>
      <c r="AU27" s="320">
        <v>11672</v>
      </c>
      <c r="AV27" s="320">
        <v>11524</v>
      </c>
      <c r="AW27" s="320">
        <v>11158</v>
      </c>
      <c r="AX27" s="345">
        <v>11004</v>
      </c>
      <c r="AY27" s="320">
        <v>10686</v>
      </c>
      <c r="AZ27" s="320">
        <v>10617</v>
      </c>
      <c r="BA27" s="320">
        <v>10446</v>
      </c>
      <c r="BB27" s="320">
        <v>10980</v>
      </c>
      <c r="BC27" s="320">
        <v>11523.94471</v>
      </c>
      <c r="BD27" s="320">
        <v>10642.09288</v>
      </c>
      <c r="BE27" s="320">
        <v>13382.482249999999</v>
      </c>
      <c r="BF27" s="320">
        <v>12420.01765</v>
      </c>
      <c r="BG27" s="320">
        <v>10619.025180000001</v>
      </c>
      <c r="BH27" s="320">
        <v>10916.73287</v>
      </c>
      <c r="BI27" s="320">
        <v>10529.188120000001</v>
      </c>
      <c r="BJ27" s="345">
        <v>10634</v>
      </c>
      <c r="BK27" s="320">
        <v>10246.110499999999</v>
      </c>
      <c r="BL27" s="320">
        <v>10316.08855</v>
      </c>
      <c r="BM27" s="320">
        <v>10373.574339999999</v>
      </c>
      <c r="BN27" s="320">
        <v>11217.56057</v>
      </c>
      <c r="BO27" s="320">
        <v>10909.422379999998</v>
      </c>
      <c r="BP27" s="320">
        <v>10406.18563</v>
      </c>
      <c r="BQ27" s="320">
        <v>10495.448270000001</v>
      </c>
      <c r="BR27" s="320">
        <v>10694.813979999999</v>
      </c>
      <c r="BS27" s="320">
        <v>10945.05882</v>
      </c>
      <c r="BT27" s="320">
        <v>10731.579760000001</v>
      </c>
      <c r="BU27" s="343">
        <v>9756.6026899999997</v>
      </c>
      <c r="BV27" s="345">
        <v>9443.41273</v>
      </c>
      <c r="BW27" s="320">
        <v>9616.69002</v>
      </c>
      <c r="BX27" s="320">
        <v>9748.0619000000006</v>
      </c>
      <c r="BY27" s="320">
        <v>9613.3795200000004</v>
      </c>
      <c r="BZ27" s="320">
        <v>9267.8467199999996</v>
      </c>
      <c r="CA27" s="320">
        <v>9335.8353399999996</v>
      </c>
      <c r="CB27" s="320">
        <v>8966.0477499999997</v>
      </c>
      <c r="CC27" s="320">
        <v>9178.0945699999993</v>
      </c>
      <c r="CD27" s="320">
        <v>9116.5713999999989</v>
      </c>
      <c r="CE27" s="320">
        <v>8756.9841300000007</v>
      </c>
      <c r="CF27" s="320">
        <v>8931.2650699999995</v>
      </c>
      <c r="CG27" s="343">
        <v>8954.5866499999993</v>
      </c>
      <c r="CH27" s="320">
        <v>8644.3005400000002</v>
      </c>
      <c r="CI27" s="320">
        <v>8793.18541</v>
      </c>
      <c r="CJ27" s="320">
        <v>9683.8111499999995</v>
      </c>
      <c r="CK27" s="320">
        <v>9498.3861900000011</v>
      </c>
      <c r="CL27" s="320">
        <v>9187.0058700000009</v>
      </c>
      <c r="CM27" s="320">
        <v>8313.9560700000002</v>
      </c>
      <c r="CN27" s="320">
        <v>8519.37961</v>
      </c>
      <c r="CO27" s="320">
        <v>8601.0962299999992</v>
      </c>
      <c r="CP27" s="320">
        <v>8550.1999299999989</v>
      </c>
      <c r="CQ27" s="320">
        <v>8511.5705999999991</v>
      </c>
      <c r="CR27" s="320">
        <v>8329.0461199999991</v>
      </c>
      <c r="CS27" s="320">
        <v>8014.86186</v>
      </c>
      <c r="CT27" s="345">
        <v>8203.2536500000006</v>
      </c>
      <c r="CU27" s="320">
        <v>7749.6993499999999</v>
      </c>
      <c r="CV27" s="320">
        <v>8216.5595299999986</v>
      </c>
      <c r="CW27" s="320">
        <v>8399.3791300000012</v>
      </c>
      <c r="CX27" s="320">
        <v>8361.7194899999995</v>
      </c>
      <c r="CY27" s="320">
        <v>8315.5584600000002</v>
      </c>
      <c r="CZ27" s="320">
        <v>8220.65913</v>
      </c>
      <c r="DA27" s="320">
        <v>8153.0857599999999</v>
      </c>
      <c r="DB27" s="320">
        <v>8306.5131700000002</v>
      </c>
      <c r="DC27" s="320">
        <v>8084.3278799999998</v>
      </c>
      <c r="DD27" s="320">
        <v>7959.1621200000009</v>
      </c>
      <c r="DE27" s="320">
        <v>7767.1658200000002</v>
      </c>
      <c r="DF27" s="345">
        <v>7228.0633500000004</v>
      </c>
      <c r="DG27" s="320">
        <v>7022.5706</v>
      </c>
      <c r="DH27" s="320">
        <v>5980.4036399999995</v>
      </c>
      <c r="DI27" s="320">
        <v>5910.91734</v>
      </c>
      <c r="DJ27" s="320">
        <v>5911.1827699999994</v>
      </c>
      <c r="DK27" s="320">
        <v>5797.0463300000001</v>
      </c>
      <c r="DL27" s="320">
        <v>5968.8483399999996</v>
      </c>
      <c r="DM27" s="320">
        <v>5900.1959100000004</v>
      </c>
      <c r="DN27" s="320">
        <v>5823.3587399999997</v>
      </c>
      <c r="DO27" s="320">
        <v>6017.9839899999997</v>
      </c>
      <c r="DP27" s="320">
        <v>5955.5087600000006</v>
      </c>
      <c r="DQ27" s="343">
        <v>6069.9037399999997</v>
      </c>
      <c r="DR27" s="320">
        <v>6086.0359999999991</v>
      </c>
      <c r="DS27" s="320">
        <v>6094.4369999999999</v>
      </c>
      <c r="DT27" s="320">
        <v>5865.2966900000001</v>
      </c>
      <c r="DU27" s="320">
        <v>5682.9293399999988</v>
      </c>
      <c r="DV27" s="320">
        <v>5574.0497599999999</v>
      </c>
      <c r="DW27" s="320">
        <v>5609.8515199999993</v>
      </c>
      <c r="DX27" s="320">
        <v>5476.7777799999994</v>
      </c>
      <c r="DY27" s="320">
        <v>5498.7978800000001</v>
      </c>
      <c r="DZ27" s="320">
        <v>5443.830570000001</v>
      </c>
      <c r="EA27" s="320">
        <v>5307.7519599999996</v>
      </c>
      <c r="EB27" s="320">
        <v>5374.60394</v>
      </c>
      <c r="EC27" s="343">
        <v>5207.1597399999991</v>
      </c>
      <c r="ED27" s="345">
        <v>5002.1470499999996</v>
      </c>
      <c r="EE27" s="320">
        <v>5302</v>
      </c>
      <c r="EF27" s="320">
        <v>5197</v>
      </c>
      <c r="EG27" s="320">
        <v>5145</v>
      </c>
      <c r="EH27" s="320">
        <v>5352</v>
      </c>
      <c r="EI27" s="320">
        <v>5452</v>
      </c>
      <c r="EJ27" s="320">
        <v>5563</v>
      </c>
      <c r="EK27" s="320">
        <v>5542</v>
      </c>
      <c r="EL27" s="320">
        <v>5821</v>
      </c>
      <c r="EM27" s="320">
        <v>5646</v>
      </c>
      <c r="EN27" s="320">
        <v>5823</v>
      </c>
      <c r="EO27" s="343">
        <v>5965</v>
      </c>
      <c r="EQ27" s="794">
        <f t="shared" si="8"/>
        <v>2.4386055297956455</v>
      </c>
      <c r="ER27" s="794">
        <f t="shared" si="9"/>
        <v>14.553812401384114</v>
      </c>
      <c r="ES27" s="320"/>
      <c r="ET27" s="795">
        <f t="shared" si="10"/>
        <v>4.1906590281192771E-3</v>
      </c>
      <c r="EU27" s="317">
        <f t="shared" si="26"/>
        <v>-245.41353000000163</v>
      </c>
      <c r="FG27" s="331"/>
    </row>
    <row r="28" spans="1:163" ht="13.9" customHeight="1" x14ac:dyDescent="0.2">
      <c r="A28" s="1037" t="s">
        <v>504</v>
      </c>
      <c r="B28" s="320">
        <v>1738</v>
      </c>
      <c r="C28" s="320">
        <v>1763</v>
      </c>
      <c r="D28" s="320">
        <v>2237</v>
      </c>
      <c r="E28" s="320">
        <v>1802</v>
      </c>
      <c r="F28" s="320">
        <v>1766</v>
      </c>
      <c r="G28" s="320">
        <v>1718</v>
      </c>
      <c r="H28" s="320">
        <v>1593</v>
      </c>
      <c r="I28" s="320">
        <v>1809</v>
      </c>
      <c r="J28" s="320">
        <v>1889</v>
      </c>
      <c r="K28" s="320">
        <v>2000</v>
      </c>
      <c r="L28" s="320">
        <v>2002</v>
      </c>
      <c r="M28" s="343">
        <v>2242.3473399999998</v>
      </c>
      <c r="N28" s="320">
        <v>2131.6343099999999</v>
      </c>
      <c r="O28" s="320">
        <v>2236</v>
      </c>
      <c r="P28" s="320">
        <v>2376</v>
      </c>
      <c r="Q28" s="320">
        <v>2399</v>
      </c>
      <c r="R28" s="320">
        <v>2985</v>
      </c>
      <c r="S28" s="320">
        <v>3109</v>
      </c>
      <c r="T28" s="320">
        <v>4200</v>
      </c>
      <c r="U28" s="320">
        <v>4513</v>
      </c>
      <c r="V28" s="320">
        <v>4440</v>
      </c>
      <c r="W28" s="320">
        <v>4589</v>
      </c>
      <c r="X28" s="320">
        <v>4645</v>
      </c>
      <c r="Y28" s="320">
        <v>5073</v>
      </c>
      <c r="Z28" s="345">
        <v>4463</v>
      </c>
      <c r="AA28" s="320">
        <v>4497</v>
      </c>
      <c r="AB28" s="320">
        <v>4254</v>
      </c>
      <c r="AC28" s="320">
        <v>4529</v>
      </c>
      <c r="AD28" s="320">
        <v>5028</v>
      </c>
      <c r="AE28" s="320">
        <v>5077</v>
      </c>
      <c r="AF28" s="320">
        <v>5276</v>
      </c>
      <c r="AG28" s="320">
        <v>5492</v>
      </c>
      <c r="AH28" s="320">
        <v>6318</v>
      </c>
      <c r="AI28" s="320">
        <v>6185</v>
      </c>
      <c r="AJ28" s="320">
        <v>6174</v>
      </c>
      <c r="AK28" s="320">
        <v>6334</v>
      </c>
      <c r="AL28" s="345">
        <v>6071</v>
      </c>
      <c r="AM28" s="320">
        <v>6119</v>
      </c>
      <c r="AN28" s="320">
        <v>5890</v>
      </c>
      <c r="AO28" s="320">
        <v>5736</v>
      </c>
      <c r="AP28" s="320">
        <v>6042</v>
      </c>
      <c r="AQ28" s="320">
        <v>6402</v>
      </c>
      <c r="AR28" s="320">
        <v>6385</v>
      </c>
      <c r="AS28" s="320">
        <v>6103</v>
      </c>
      <c r="AT28" s="320">
        <v>6809</v>
      </c>
      <c r="AU28" s="320">
        <v>7041</v>
      </c>
      <c r="AV28" s="320">
        <v>7098</v>
      </c>
      <c r="AW28" s="320">
        <v>7238</v>
      </c>
      <c r="AX28" s="345">
        <v>7327</v>
      </c>
      <c r="AY28" s="320">
        <v>7296</v>
      </c>
      <c r="AZ28" s="320">
        <v>7340</v>
      </c>
      <c r="BA28" s="320">
        <v>7260</v>
      </c>
      <c r="BB28" s="320">
        <v>7954</v>
      </c>
      <c r="BC28" s="320">
        <v>7634.1409100000001</v>
      </c>
      <c r="BD28" s="320">
        <v>7944.0066500000003</v>
      </c>
      <c r="BE28" s="320">
        <v>8604.1591099999987</v>
      </c>
      <c r="BF28" s="320">
        <v>8470.5802299999996</v>
      </c>
      <c r="BG28" s="320">
        <v>8324.1329600000008</v>
      </c>
      <c r="BH28" s="320">
        <v>9173.7757899999997</v>
      </c>
      <c r="BI28" s="320">
        <v>8859.7752899999996</v>
      </c>
      <c r="BJ28" s="345">
        <v>8965</v>
      </c>
      <c r="BK28" s="320">
        <v>13813.745939999999</v>
      </c>
      <c r="BL28" s="320">
        <v>13615.389630000001</v>
      </c>
      <c r="BM28" s="320">
        <v>13490.605009999999</v>
      </c>
      <c r="BN28" s="320">
        <v>13168.151960000001</v>
      </c>
      <c r="BO28" s="320">
        <v>13686.158640000001</v>
      </c>
      <c r="BP28" s="320">
        <v>13121.685449999999</v>
      </c>
      <c r="BQ28" s="320">
        <v>12943.252710000001</v>
      </c>
      <c r="BR28" s="320">
        <v>12991.398070000001</v>
      </c>
      <c r="BS28" s="320">
        <v>13423.67755</v>
      </c>
      <c r="BT28" s="320">
        <v>13344.253500000001</v>
      </c>
      <c r="BU28" s="343">
        <v>13121.643269999999</v>
      </c>
      <c r="BV28" s="345">
        <v>12811.76215</v>
      </c>
      <c r="BW28" s="320">
        <v>12143.99085</v>
      </c>
      <c r="BX28" s="320">
        <v>12797.53119</v>
      </c>
      <c r="BY28" s="320">
        <v>11812.777980000001</v>
      </c>
      <c r="BZ28" s="320">
        <v>12023.271000000001</v>
      </c>
      <c r="CA28" s="320">
        <v>11927.001689999999</v>
      </c>
      <c r="CB28" s="320">
        <v>12128.04457</v>
      </c>
      <c r="CC28" s="320">
        <v>11331.02347</v>
      </c>
      <c r="CD28" s="320">
        <v>11342.391509999999</v>
      </c>
      <c r="CE28" s="320">
        <v>11595.16632</v>
      </c>
      <c r="CF28" s="320">
        <v>11691.395789999999</v>
      </c>
      <c r="CG28" s="343">
        <v>11263.489619999998</v>
      </c>
      <c r="CH28" s="320">
        <v>11473.169029999999</v>
      </c>
      <c r="CI28" s="320">
        <v>11159.266029999999</v>
      </c>
      <c r="CJ28" s="320">
        <v>10916.8323</v>
      </c>
      <c r="CK28" s="320">
        <v>11163.77909</v>
      </c>
      <c r="CL28" s="320">
        <v>11813.776730000001</v>
      </c>
      <c r="CM28" s="320">
        <v>12212.35468</v>
      </c>
      <c r="CN28" s="320">
        <v>12668.505740000001</v>
      </c>
      <c r="CO28" s="320">
        <v>13082.59021</v>
      </c>
      <c r="CP28" s="320">
        <v>12771.503489999999</v>
      </c>
      <c r="CQ28" s="320">
        <v>12647.019009999998</v>
      </c>
      <c r="CR28" s="320">
        <v>12943.05817</v>
      </c>
      <c r="CS28" s="320">
        <v>8321.6255900000015</v>
      </c>
      <c r="CT28" s="345">
        <v>8217.00317</v>
      </c>
      <c r="CU28" s="320">
        <v>8085.1271900000002</v>
      </c>
      <c r="CV28" s="320">
        <v>8183.593100000001</v>
      </c>
      <c r="CW28" s="320">
        <v>8347.1598599999998</v>
      </c>
      <c r="CX28" s="320">
        <v>8641.7151700000013</v>
      </c>
      <c r="CY28" s="320">
        <v>8583.0710800000015</v>
      </c>
      <c r="CZ28" s="320">
        <v>8634.2848699999995</v>
      </c>
      <c r="DA28" s="320">
        <v>8914.3987699999998</v>
      </c>
      <c r="DB28" s="320">
        <v>8793.6522400000013</v>
      </c>
      <c r="DC28" s="320">
        <v>9223.8916100000006</v>
      </c>
      <c r="DD28" s="320">
        <v>9571.7479599999988</v>
      </c>
      <c r="DE28" s="320">
        <v>10286.770830000001</v>
      </c>
      <c r="DF28" s="345">
        <v>8824.1440599999987</v>
      </c>
      <c r="DG28" s="320">
        <v>8173.29619</v>
      </c>
      <c r="DH28" s="320">
        <v>7808.5953400000008</v>
      </c>
      <c r="DI28" s="320">
        <v>7998.8134</v>
      </c>
      <c r="DJ28" s="320">
        <v>8617.8324699999994</v>
      </c>
      <c r="DK28" s="320">
        <v>8507.3375599999999</v>
      </c>
      <c r="DL28" s="320">
        <v>8702.7855799999998</v>
      </c>
      <c r="DM28" s="320">
        <v>8765.4612899999993</v>
      </c>
      <c r="DN28" s="320">
        <v>9301.0259399999995</v>
      </c>
      <c r="DO28" s="320">
        <v>8670.3512899999987</v>
      </c>
      <c r="DP28" s="320">
        <v>9132.4442099999997</v>
      </c>
      <c r="DQ28" s="343">
        <v>9401.6437800000003</v>
      </c>
      <c r="DR28" s="320">
        <v>8825.8683400000009</v>
      </c>
      <c r="DS28" s="320">
        <v>8300.3358900000003</v>
      </c>
      <c r="DT28" s="320">
        <v>8466.7800200000001</v>
      </c>
      <c r="DU28" s="320">
        <v>8020.6284500000002</v>
      </c>
      <c r="DV28" s="320">
        <v>8515.1843900000003</v>
      </c>
      <c r="DW28" s="320">
        <v>8999.9027600000009</v>
      </c>
      <c r="DX28" s="320">
        <v>9053.7398099999991</v>
      </c>
      <c r="DY28" s="320">
        <v>9134.2725399999999</v>
      </c>
      <c r="DZ28" s="320">
        <v>8803.0984399999998</v>
      </c>
      <c r="EA28" s="320">
        <v>8431.5311799999999</v>
      </c>
      <c r="EB28" s="320">
        <v>8657.8740999999991</v>
      </c>
      <c r="EC28" s="343">
        <v>8593.5097000000005</v>
      </c>
      <c r="ED28" s="345">
        <v>8719.9712799999998</v>
      </c>
      <c r="EE28" s="320">
        <v>8222</v>
      </c>
      <c r="EF28" s="320">
        <v>7601</v>
      </c>
      <c r="EG28" s="320">
        <v>7540</v>
      </c>
      <c r="EH28" s="320">
        <v>7758</v>
      </c>
      <c r="EI28" s="320">
        <v>8413</v>
      </c>
      <c r="EJ28" s="320">
        <v>8901</v>
      </c>
      <c r="EK28" s="320">
        <v>7867</v>
      </c>
      <c r="EL28" s="320">
        <v>7704</v>
      </c>
      <c r="EM28" s="320">
        <v>7988</v>
      </c>
      <c r="EN28" s="320">
        <v>8604</v>
      </c>
      <c r="EO28" s="343">
        <v>9594</v>
      </c>
      <c r="EQ28" s="794">
        <f t="shared" si="8"/>
        <v>11.506276150627626</v>
      </c>
      <c r="ER28" s="794">
        <f t="shared" si="9"/>
        <v>11.642394492206121</v>
      </c>
      <c r="ES28" s="320"/>
      <c r="ET28" s="795">
        <f t="shared" si="10"/>
        <v>7.3053482842878057E-3</v>
      </c>
      <c r="EU28" s="317">
        <f t="shared" si="26"/>
        <v>1051.8526899999979</v>
      </c>
      <c r="FG28" s="331"/>
    </row>
    <row r="29" spans="1:163" ht="13.9" customHeight="1" x14ac:dyDescent="0.2">
      <c r="A29" s="1037" t="s">
        <v>505</v>
      </c>
      <c r="B29" s="320">
        <v>865</v>
      </c>
      <c r="C29" s="320">
        <v>764</v>
      </c>
      <c r="D29" s="320">
        <v>914</v>
      </c>
      <c r="E29" s="320">
        <v>949</v>
      </c>
      <c r="F29" s="320">
        <v>362</v>
      </c>
      <c r="G29" s="320">
        <v>624</v>
      </c>
      <c r="H29" s="320">
        <v>637</v>
      </c>
      <c r="I29" s="320">
        <v>632</v>
      </c>
      <c r="J29" s="320">
        <v>698</v>
      </c>
      <c r="K29" s="320">
        <v>651</v>
      </c>
      <c r="L29" s="320">
        <v>807</v>
      </c>
      <c r="M29" s="343">
        <v>1087.25191</v>
      </c>
      <c r="N29" s="320">
        <v>1093.8004900000001</v>
      </c>
      <c r="O29" s="320">
        <v>866</v>
      </c>
      <c r="P29" s="320">
        <v>909</v>
      </c>
      <c r="Q29" s="320">
        <v>933</v>
      </c>
      <c r="R29" s="320">
        <v>939</v>
      </c>
      <c r="S29" s="320">
        <v>1167</v>
      </c>
      <c r="T29" s="320">
        <v>1038</v>
      </c>
      <c r="U29" s="320">
        <v>981</v>
      </c>
      <c r="V29" s="320">
        <v>1118</v>
      </c>
      <c r="W29" s="320">
        <v>1090</v>
      </c>
      <c r="X29" s="320">
        <v>943</v>
      </c>
      <c r="Y29" s="320">
        <v>739</v>
      </c>
      <c r="Z29" s="345">
        <v>825</v>
      </c>
      <c r="AA29" s="320">
        <v>677</v>
      </c>
      <c r="AB29" s="320">
        <v>796</v>
      </c>
      <c r="AC29" s="320">
        <v>817</v>
      </c>
      <c r="AD29" s="320">
        <v>840</v>
      </c>
      <c r="AE29" s="320">
        <v>834</v>
      </c>
      <c r="AF29" s="320">
        <v>1140</v>
      </c>
      <c r="AG29" s="320">
        <v>1008</v>
      </c>
      <c r="AH29" s="320">
        <v>1051</v>
      </c>
      <c r="AI29" s="320">
        <v>1399</v>
      </c>
      <c r="AJ29" s="320">
        <v>1556</v>
      </c>
      <c r="AK29" s="320">
        <v>1515</v>
      </c>
      <c r="AL29" s="345">
        <v>1406</v>
      </c>
      <c r="AM29" s="320">
        <v>1646</v>
      </c>
      <c r="AN29" s="320">
        <v>1721</v>
      </c>
      <c r="AO29" s="320">
        <v>1555</v>
      </c>
      <c r="AP29" s="320">
        <v>1467</v>
      </c>
      <c r="AQ29" s="320">
        <v>1829</v>
      </c>
      <c r="AR29" s="320">
        <v>1755</v>
      </c>
      <c r="AS29" s="320">
        <v>1869</v>
      </c>
      <c r="AT29" s="320">
        <v>1745</v>
      </c>
      <c r="AU29" s="320">
        <v>1757</v>
      </c>
      <c r="AV29" s="320">
        <v>2259</v>
      </c>
      <c r="AW29" s="320">
        <v>1753</v>
      </c>
      <c r="AX29" s="345">
        <v>1792</v>
      </c>
      <c r="AY29" s="320">
        <v>1638</v>
      </c>
      <c r="AZ29" s="320">
        <v>1430</v>
      </c>
      <c r="BA29" s="320">
        <v>1303</v>
      </c>
      <c r="BB29" s="320">
        <v>1713</v>
      </c>
      <c r="BC29" s="320">
        <v>1574.55717</v>
      </c>
      <c r="BD29" s="320">
        <v>1773.3286400000002</v>
      </c>
      <c r="BE29" s="320">
        <v>1729.24137</v>
      </c>
      <c r="BF29" s="320">
        <v>1929.9804300000001</v>
      </c>
      <c r="BG29" s="320">
        <v>2058.0712199999998</v>
      </c>
      <c r="BH29" s="320">
        <v>2346.3325500000001</v>
      </c>
      <c r="BI29" s="320">
        <v>2559.0791000000004</v>
      </c>
      <c r="BJ29" s="345">
        <v>2617</v>
      </c>
      <c r="BK29" s="320">
        <v>2187.8040099999998</v>
      </c>
      <c r="BL29" s="320">
        <v>2454.9830400000001</v>
      </c>
      <c r="BM29" s="320">
        <v>2438.46893</v>
      </c>
      <c r="BN29" s="320">
        <v>2467.7529099999997</v>
      </c>
      <c r="BO29" s="320">
        <v>2303.8623499999999</v>
      </c>
      <c r="BP29" s="320">
        <v>2861.5792899999997</v>
      </c>
      <c r="BQ29" s="320">
        <v>3367.6291700000002</v>
      </c>
      <c r="BR29" s="320">
        <v>2778.80764</v>
      </c>
      <c r="BS29" s="320">
        <v>2698.50702</v>
      </c>
      <c r="BT29" s="320">
        <v>2896.6940600000003</v>
      </c>
      <c r="BU29" s="343">
        <v>2825.7975499999998</v>
      </c>
      <c r="BV29" s="345">
        <v>2984.7813300000003</v>
      </c>
      <c r="BW29" s="320">
        <v>3050.0933599999998</v>
      </c>
      <c r="BX29" s="320">
        <v>2790.0084000000002</v>
      </c>
      <c r="BY29" s="320">
        <v>2684.7019999999993</v>
      </c>
      <c r="BZ29" s="320">
        <v>3396.4817499999999</v>
      </c>
      <c r="CA29" s="320">
        <v>3342.6122000000005</v>
      </c>
      <c r="CB29" s="320">
        <v>2942.7924699999999</v>
      </c>
      <c r="CC29" s="320">
        <v>3140.4779899999999</v>
      </c>
      <c r="CD29" s="320">
        <v>3130.8580400000001</v>
      </c>
      <c r="CE29" s="320">
        <v>2756.4986199999998</v>
      </c>
      <c r="CF29" s="320">
        <v>3049.5460300000004</v>
      </c>
      <c r="CG29" s="343">
        <v>2988.7681400000001</v>
      </c>
      <c r="CH29" s="320">
        <v>2558.53251</v>
      </c>
      <c r="CI29" s="320">
        <v>3136.35482</v>
      </c>
      <c r="CJ29" s="320">
        <v>2742.692</v>
      </c>
      <c r="CK29" s="320">
        <v>2435.0382399999999</v>
      </c>
      <c r="CL29" s="320">
        <v>2481.15724</v>
      </c>
      <c r="CM29" s="320">
        <v>2335.8297600000001</v>
      </c>
      <c r="CN29" s="320">
        <v>2081.0569</v>
      </c>
      <c r="CO29" s="320">
        <v>2440.3663000000001</v>
      </c>
      <c r="CP29" s="320">
        <v>2744.7103500000003</v>
      </c>
      <c r="CQ29" s="320">
        <v>3177.38987</v>
      </c>
      <c r="CR29" s="320">
        <v>3027.04709</v>
      </c>
      <c r="CS29" s="320">
        <v>3273.5491200000001</v>
      </c>
      <c r="CT29" s="345">
        <v>3492.2549800000006</v>
      </c>
      <c r="CU29" s="320">
        <v>3064.8174200000003</v>
      </c>
      <c r="CV29" s="320">
        <v>3603.2661199999998</v>
      </c>
      <c r="CW29" s="320">
        <v>3738.33466</v>
      </c>
      <c r="CX29" s="320">
        <v>3574.3915900000002</v>
      </c>
      <c r="CY29" s="320">
        <v>3646.18255</v>
      </c>
      <c r="CZ29" s="320">
        <v>3897.6098000000002</v>
      </c>
      <c r="DA29" s="320">
        <v>4494.3962799999999</v>
      </c>
      <c r="DB29" s="320">
        <v>4349.3780100000004</v>
      </c>
      <c r="DC29" s="320">
        <v>4679.1586600000001</v>
      </c>
      <c r="DD29" s="320">
        <v>4417.2542899999999</v>
      </c>
      <c r="DE29" s="320">
        <v>4064.5509000000006</v>
      </c>
      <c r="DF29" s="345">
        <v>4160.8211900000006</v>
      </c>
      <c r="DG29" s="320">
        <v>3873.2972600000003</v>
      </c>
      <c r="DH29" s="320">
        <v>3748.9817900000003</v>
      </c>
      <c r="DI29" s="320">
        <v>4115.8347899999999</v>
      </c>
      <c r="DJ29" s="320">
        <v>4126.3438100000003</v>
      </c>
      <c r="DK29" s="320">
        <v>4721.3805900000007</v>
      </c>
      <c r="DL29" s="320">
        <v>4293.6839</v>
      </c>
      <c r="DM29" s="320">
        <v>4810.2198199999993</v>
      </c>
      <c r="DN29" s="320">
        <v>4351.3422700000001</v>
      </c>
      <c r="DO29" s="320">
        <v>4116.38105</v>
      </c>
      <c r="DP29" s="320">
        <v>4410.7509700000001</v>
      </c>
      <c r="DQ29" s="343">
        <v>4761.1743800000004</v>
      </c>
      <c r="DR29" s="320">
        <v>4414.1086599999999</v>
      </c>
      <c r="DS29" s="320">
        <v>3846.4901800000002</v>
      </c>
      <c r="DT29" s="320">
        <v>4054.2240299999994</v>
      </c>
      <c r="DU29" s="320">
        <v>3941.6302899999996</v>
      </c>
      <c r="DV29" s="320">
        <v>3946.9913200000001</v>
      </c>
      <c r="DW29" s="320">
        <v>4134.6072800000002</v>
      </c>
      <c r="DX29" s="320">
        <v>4469.7982200000006</v>
      </c>
      <c r="DY29" s="320">
        <v>4344.7687700000006</v>
      </c>
      <c r="DZ29" s="320">
        <v>4452.9045600000009</v>
      </c>
      <c r="EA29" s="320">
        <v>4596.7053199999991</v>
      </c>
      <c r="EB29" s="320">
        <v>4941.3296300000002</v>
      </c>
      <c r="EC29" s="343">
        <v>5337.9882799999996</v>
      </c>
      <c r="ED29" s="345">
        <v>5162.80008</v>
      </c>
      <c r="EE29" s="320">
        <v>5052</v>
      </c>
      <c r="EF29" s="320">
        <v>4112</v>
      </c>
      <c r="EG29" s="320">
        <v>3998</v>
      </c>
      <c r="EH29" s="320">
        <v>4074</v>
      </c>
      <c r="EI29" s="320">
        <v>4306</v>
      </c>
      <c r="EJ29" s="320">
        <v>4726</v>
      </c>
      <c r="EK29" s="320">
        <v>4731</v>
      </c>
      <c r="EL29" s="320">
        <v>4896</v>
      </c>
      <c r="EM29" s="320">
        <v>4934</v>
      </c>
      <c r="EN29" s="320">
        <v>5223</v>
      </c>
      <c r="EO29" s="343">
        <v>5846</v>
      </c>
      <c r="EQ29" s="794">
        <f t="shared" si="8"/>
        <v>11.928010721807381</v>
      </c>
      <c r="ER29" s="794">
        <f t="shared" si="9"/>
        <v>9.5169133642234236</v>
      </c>
      <c r="ES29" s="320"/>
      <c r="ET29" s="795">
        <f t="shared" si="10"/>
        <v>4.3252496476741771E-3</v>
      </c>
      <c r="EU29" s="317">
        <f t="shared" si="26"/>
        <v>420.89125000000013</v>
      </c>
      <c r="FG29" s="331"/>
    </row>
    <row r="30" spans="1:163" ht="13.9" customHeight="1" x14ac:dyDescent="0.2">
      <c r="A30" s="1037" t="s">
        <v>506</v>
      </c>
      <c r="B30" s="320"/>
      <c r="C30" s="320"/>
      <c r="D30" s="320"/>
      <c r="E30" s="320"/>
      <c r="F30" s="320"/>
      <c r="G30" s="320"/>
      <c r="H30" s="320"/>
      <c r="I30" s="320"/>
      <c r="J30" s="320"/>
      <c r="K30" s="320"/>
      <c r="L30" s="320"/>
      <c r="M30" s="343"/>
      <c r="N30" s="320"/>
      <c r="O30" s="320"/>
      <c r="P30" s="320"/>
      <c r="Q30" s="320"/>
      <c r="R30" s="320"/>
      <c r="S30" s="320"/>
      <c r="T30" s="320"/>
      <c r="U30" s="320"/>
      <c r="V30" s="320"/>
      <c r="W30" s="320"/>
      <c r="X30" s="320"/>
      <c r="Y30" s="320"/>
      <c r="Z30" s="345"/>
      <c r="AA30" s="320"/>
      <c r="AB30" s="320"/>
      <c r="AC30" s="320"/>
      <c r="AD30" s="320"/>
      <c r="AE30" s="320"/>
      <c r="AF30" s="320"/>
      <c r="AG30" s="320"/>
      <c r="AH30" s="320"/>
      <c r="AI30" s="320"/>
      <c r="AJ30" s="320"/>
      <c r="AK30" s="320"/>
      <c r="AL30" s="345"/>
      <c r="AM30" s="320"/>
      <c r="AN30" s="320"/>
      <c r="AO30" s="320"/>
      <c r="AP30" s="320"/>
      <c r="AQ30" s="320"/>
      <c r="AR30" s="320"/>
      <c r="AS30" s="320"/>
      <c r="AT30" s="320"/>
      <c r="AU30" s="320"/>
      <c r="AV30" s="320"/>
      <c r="AW30" s="320"/>
      <c r="AX30" s="345"/>
      <c r="AY30" s="320"/>
      <c r="AZ30" s="320"/>
      <c r="BA30" s="320"/>
      <c r="BB30" s="320"/>
      <c r="BC30" s="320"/>
      <c r="BD30" s="320"/>
      <c r="BE30" s="320"/>
      <c r="BF30" s="320"/>
      <c r="BG30" s="320">
        <v>83.028019999999998</v>
      </c>
      <c r="BH30" s="320">
        <v>178.06307999999999</v>
      </c>
      <c r="BI30" s="320">
        <v>299.52259000000004</v>
      </c>
      <c r="BJ30" s="345">
        <v>454</v>
      </c>
      <c r="BK30" s="320">
        <v>387.77206000000001</v>
      </c>
      <c r="BL30" s="320">
        <v>498.98701</v>
      </c>
      <c r="BM30" s="320">
        <v>695.85517000000004</v>
      </c>
      <c r="BN30" s="320">
        <v>920.7673299999999</v>
      </c>
      <c r="BO30" s="320">
        <v>1084.7202299999999</v>
      </c>
      <c r="BP30" s="320">
        <v>1082.48433</v>
      </c>
      <c r="BQ30" s="320">
        <v>1220.91371</v>
      </c>
      <c r="BR30" s="320">
        <v>1277.2799199999999</v>
      </c>
      <c r="BS30" s="320">
        <v>1324.2050400000001</v>
      </c>
      <c r="BT30" s="320">
        <v>1266.3261599999998</v>
      </c>
      <c r="BU30" s="343">
        <v>1177.03891</v>
      </c>
      <c r="BV30" s="345">
        <v>1091.8232</v>
      </c>
      <c r="BW30" s="320">
        <v>958.77805000000001</v>
      </c>
      <c r="BX30" s="320">
        <v>1025.1677299999999</v>
      </c>
      <c r="BY30" s="320">
        <v>974.36081999999999</v>
      </c>
      <c r="BZ30" s="320">
        <v>1149.5840700000001</v>
      </c>
      <c r="CA30" s="320">
        <v>1133.4892600000001</v>
      </c>
      <c r="CB30" s="320">
        <v>1328.9164900000001</v>
      </c>
      <c r="CC30" s="320">
        <v>1534.29285</v>
      </c>
      <c r="CD30" s="320">
        <v>1843.50882</v>
      </c>
      <c r="CE30" s="320">
        <v>2075.8705</v>
      </c>
      <c r="CF30" s="320">
        <v>2357.4487400000003</v>
      </c>
      <c r="CG30" s="343">
        <v>1724.0309099999999</v>
      </c>
      <c r="CH30" s="320">
        <v>1843.4534699999999</v>
      </c>
      <c r="CI30" s="320">
        <v>1561.8839399999999</v>
      </c>
      <c r="CJ30" s="320">
        <v>1896.8826299999998</v>
      </c>
      <c r="CK30" s="320">
        <v>2138.3188399999999</v>
      </c>
      <c r="CL30" s="320">
        <v>2664.83554</v>
      </c>
      <c r="CM30" s="320">
        <v>2997.6819700000001</v>
      </c>
      <c r="CN30" s="320">
        <v>3383.2684399999998</v>
      </c>
      <c r="CO30" s="320">
        <v>3569.7046500000001</v>
      </c>
      <c r="CP30" s="320">
        <v>3628.6366800000001</v>
      </c>
      <c r="CQ30" s="320">
        <v>3556.9450900000002</v>
      </c>
      <c r="CR30" s="320">
        <v>3838.4321600000003</v>
      </c>
      <c r="CS30" s="320">
        <v>4174.6701600000006</v>
      </c>
      <c r="CT30" s="345">
        <v>3702.07611</v>
      </c>
      <c r="CU30" s="320">
        <v>3745.3456200000001</v>
      </c>
      <c r="CV30" s="320">
        <v>3613.7451900000001</v>
      </c>
      <c r="CW30" s="320">
        <v>3508.6636899999999</v>
      </c>
      <c r="CX30" s="320">
        <v>3792.8223800000001</v>
      </c>
      <c r="CY30" s="320">
        <v>4047.01566</v>
      </c>
      <c r="CZ30" s="320">
        <v>4283.6493200000004</v>
      </c>
      <c r="DA30" s="320">
        <v>4209.7436399999997</v>
      </c>
      <c r="DB30" s="320">
        <v>4033.7275800000002</v>
      </c>
      <c r="DC30" s="320">
        <v>4120.1993499999999</v>
      </c>
      <c r="DD30" s="320">
        <v>4072.3830400000002</v>
      </c>
      <c r="DE30" s="320">
        <v>4627.8980600000004</v>
      </c>
      <c r="DF30" s="345">
        <v>4458.9636199999995</v>
      </c>
      <c r="DG30" s="320">
        <v>4230.01631</v>
      </c>
      <c r="DH30" s="320">
        <v>4417.1347399999995</v>
      </c>
      <c r="DI30" s="320">
        <v>4344.6087099999995</v>
      </c>
      <c r="DJ30" s="320">
        <v>4965.0126000000009</v>
      </c>
      <c r="DK30" s="320">
        <v>5459.50803</v>
      </c>
      <c r="DL30" s="320">
        <v>5566.1388699999998</v>
      </c>
      <c r="DM30" s="320">
        <v>5427.0321600000007</v>
      </c>
      <c r="DN30" s="320">
        <v>5575.81196</v>
      </c>
      <c r="DO30" s="320">
        <v>5761.01433</v>
      </c>
      <c r="DP30" s="320">
        <v>5855.4935399999995</v>
      </c>
      <c r="DQ30" s="343">
        <v>6294.61229</v>
      </c>
      <c r="DR30" s="320">
        <v>5848.2633100000003</v>
      </c>
      <c r="DS30" s="320">
        <v>6105.65409</v>
      </c>
      <c r="DT30" s="320">
        <v>6673.9428499999995</v>
      </c>
      <c r="DU30" s="320">
        <v>6384.0774200000005</v>
      </c>
      <c r="DV30" s="320">
        <v>6495.1179900000006</v>
      </c>
      <c r="DW30" s="320">
        <v>7061.3016200000002</v>
      </c>
      <c r="DX30" s="320">
        <v>7068.1976700000005</v>
      </c>
      <c r="DY30" s="320">
        <v>6947.6829499999994</v>
      </c>
      <c r="DZ30" s="320">
        <v>7550.2935500000003</v>
      </c>
      <c r="EA30" s="320">
        <v>7333.4136600000002</v>
      </c>
      <c r="EB30" s="320">
        <v>7905.6280000000006</v>
      </c>
      <c r="EC30" s="343">
        <v>8200.6730100000004</v>
      </c>
      <c r="ED30" s="345">
        <v>8009.8650099999995</v>
      </c>
      <c r="EE30" s="320">
        <v>9977</v>
      </c>
      <c r="EF30" s="320">
        <v>10264.200000000001</v>
      </c>
      <c r="EG30" s="320">
        <v>28035</v>
      </c>
      <c r="EH30" s="320">
        <v>10641</v>
      </c>
      <c r="EI30" s="320">
        <v>11637</v>
      </c>
      <c r="EJ30" s="320">
        <v>11684</v>
      </c>
      <c r="EK30" s="320">
        <v>13181</v>
      </c>
      <c r="EL30" s="320">
        <v>16743</v>
      </c>
      <c r="EM30" s="320">
        <v>17871</v>
      </c>
      <c r="EN30" s="320">
        <v>19529</v>
      </c>
      <c r="EO30" s="343">
        <v>22026</v>
      </c>
      <c r="EQ30" s="794">
        <f t="shared" si="8"/>
        <v>12.786112960213014</v>
      </c>
      <c r="ER30" s="794">
        <f t="shared" si="9"/>
        <v>168.58771192487771</v>
      </c>
      <c r="ES30" s="320"/>
      <c r="ET30" s="795">
        <f t="shared" si="10"/>
        <v>6.7104410931248413E-3</v>
      </c>
      <c r="EU30" s="317">
        <f t="shared" si="26"/>
        <v>1481.0745900000002</v>
      </c>
      <c r="FG30" s="331"/>
    </row>
    <row r="31" spans="1:163" ht="13.9" customHeight="1" x14ac:dyDescent="0.2">
      <c r="A31" s="1037" t="s">
        <v>507</v>
      </c>
      <c r="B31" s="320"/>
      <c r="C31" s="320"/>
      <c r="D31" s="320"/>
      <c r="E31" s="320"/>
      <c r="F31" s="320"/>
      <c r="G31" s="320"/>
      <c r="H31" s="320"/>
      <c r="I31" s="320"/>
      <c r="J31" s="320"/>
      <c r="K31" s="320"/>
      <c r="L31" s="320"/>
      <c r="M31" s="343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Y31" s="320"/>
      <c r="Z31" s="320"/>
      <c r="AA31" s="320"/>
      <c r="AB31" s="320"/>
      <c r="AC31" s="320"/>
      <c r="AD31" s="320"/>
      <c r="AE31" s="320"/>
      <c r="AF31" s="320"/>
      <c r="AG31" s="320"/>
      <c r="AH31" s="320"/>
      <c r="AI31" s="320"/>
      <c r="AJ31" s="320"/>
      <c r="AK31" s="320"/>
      <c r="AL31" s="320"/>
      <c r="AM31" s="320"/>
      <c r="AN31" s="320"/>
      <c r="AO31" s="320"/>
      <c r="AP31" s="320"/>
      <c r="AQ31" s="320"/>
      <c r="AR31" s="320"/>
      <c r="AS31" s="320"/>
      <c r="AT31" s="320"/>
      <c r="AU31" s="320"/>
      <c r="AV31" s="320"/>
      <c r="AW31" s="320"/>
      <c r="AX31" s="320"/>
      <c r="AY31" s="320"/>
      <c r="AZ31" s="320"/>
      <c r="BA31" s="320"/>
      <c r="BB31" s="320"/>
      <c r="BC31" s="320"/>
      <c r="BD31" s="320"/>
      <c r="BE31" s="320"/>
      <c r="BF31" s="320"/>
      <c r="BG31" s="320"/>
      <c r="BH31" s="320"/>
      <c r="BI31" s="320"/>
      <c r="BJ31" s="345">
        <v>2.0000000000000001E-4</v>
      </c>
      <c r="BK31" s="320">
        <v>1.71475</v>
      </c>
      <c r="BL31" s="320">
        <v>0.75785999999999998</v>
      </c>
      <c r="BM31" s="320">
        <v>3.2423600000000001</v>
      </c>
      <c r="BN31" s="320">
        <v>3.65862</v>
      </c>
      <c r="BO31" s="320">
        <v>5.88028</v>
      </c>
      <c r="BP31" s="320">
        <v>6.48407</v>
      </c>
      <c r="BQ31" s="320">
        <v>6.6040400000000004</v>
      </c>
      <c r="BR31" s="320">
        <v>19.817830000000001</v>
      </c>
      <c r="BS31" s="320">
        <v>12.5793</v>
      </c>
      <c r="BT31" s="320">
        <v>9.9634099999999997</v>
      </c>
      <c r="BU31" s="343">
        <v>13.18627</v>
      </c>
      <c r="BV31" s="345">
        <v>36.59355</v>
      </c>
      <c r="BW31" s="320">
        <v>45.701160000000002</v>
      </c>
      <c r="BX31" s="320">
        <v>17.29954</v>
      </c>
      <c r="BY31" s="320">
        <v>25.356580000000001</v>
      </c>
      <c r="BZ31" s="320">
        <v>67.57553999999999</v>
      </c>
      <c r="CA31" s="320">
        <v>81.052890000000005</v>
      </c>
      <c r="CB31" s="320">
        <v>61.012260000000005</v>
      </c>
      <c r="CC31" s="320">
        <v>55.456470000000003</v>
      </c>
      <c r="CD31" s="320">
        <v>57.371919999999996</v>
      </c>
      <c r="CE31" s="320">
        <v>56.247529999999998</v>
      </c>
      <c r="CF31" s="320">
        <v>53.043889999999998</v>
      </c>
      <c r="CG31" s="343">
        <v>32.175130000000003</v>
      </c>
      <c r="CH31" s="320">
        <v>57.375419999999998</v>
      </c>
      <c r="CI31" s="320">
        <v>51.680019999999999</v>
      </c>
      <c r="CJ31" s="320">
        <v>41.448219999999999</v>
      </c>
      <c r="CK31" s="320">
        <v>61.255470000000003</v>
      </c>
      <c r="CL31" s="320">
        <v>32.824349999999995</v>
      </c>
      <c r="CM31" s="320">
        <v>94.681539999999998</v>
      </c>
      <c r="CN31" s="320">
        <v>51.611899999999999</v>
      </c>
      <c r="CO31" s="320">
        <v>47.818800000000003</v>
      </c>
      <c r="CP31" s="320">
        <v>58.379269999999998</v>
      </c>
      <c r="CQ31" s="320">
        <v>60.530110000000001</v>
      </c>
      <c r="CR31" s="320">
        <v>74.519279999999995</v>
      </c>
      <c r="CS31" s="320">
        <v>107.79495</v>
      </c>
      <c r="CT31" s="345">
        <v>108.13656</v>
      </c>
      <c r="CU31" s="320">
        <v>99.131539999999987</v>
      </c>
      <c r="CV31" s="320">
        <v>101.08983000000001</v>
      </c>
      <c r="CW31" s="320">
        <v>101.18905000000001</v>
      </c>
      <c r="CX31" s="320">
        <v>95.791679999999999</v>
      </c>
      <c r="CY31" s="320">
        <v>98.360619999999997</v>
      </c>
      <c r="CZ31" s="320">
        <v>114.90424</v>
      </c>
      <c r="DA31" s="320">
        <v>110.18329</v>
      </c>
      <c r="DB31" s="320">
        <v>123.92133</v>
      </c>
      <c r="DC31" s="320">
        <v>122.71946000000001</v>
      </c>
      <c r="DD31" s="320">
        <v>110.02713</v>
      </c>
      <c r="DE31" s="320">
        <v>108.13</v>
      </c>
      <c r="DF31" s="345">
        <v>109.80678999999999</v>
      </c>
      <c r="DG31" s="320">
        <v>88.533550000000005</v>
      </c>
      <c r="DH31" s="320">
        <v>87.859669999999994</v>
      </c>
      <c r="DI31" s="320">
        <v>94.114020000000011</v>
      </c>
      <c r="DJ31" s="320">
        <v>91.168630000000007</v>
      </c>
      <c r="DK31" s="320">
        <v>90.991</v>
      </c>
      <c r="DL31" s="320">
        <v>103.55416000000001</v>
      </c>
      <c r="DM31" s="320">
        <v>96.003720000000001</v>
      </c>
      <c r="DN31" s="320">
        <v>98.330539999999999</v>
      </c>
      <c r="DO31" s="320">
        <v>99.980530000000002</v>
      </c>
      <c r="DP31" s="320">
        <v>118.07783999999999</v>
      </c>
      <c r="DQ31" s="343">
        <v>109.24427</v>
      </c>
      <c r="DR31" s="320">
        <v>114.98675</v>
      </c>
      <c r="DS31" s="320">
        <v>114.61099</v>
      </c>
      <c r="DT31" s="320">
        <v>115.04828000000001</v>
      </c>
      <c r="DU31" s="320">
        <v>109.58388000000001</v>
      </c>
      <c r="DV31" s="320">
        <v>130.50863000000001</v>
      </c>
      <c r="DW31" s="320">
        <v>124.52542</v>
      </c>
      <c r="DX31" s="320">
        <v>130.08896999999999</v>
      </c>
      <c r="DY31" s="320">
        <v>109.74478999999999</v>
      </c>
      <c r="DZ31" s="320">
        <v>106.27253</v>
      </c>
      <c r="EA31" s="320">
        <v>120.10829</v>
      </c>
      <c r="EB31" s="320">
        <v>127.14089999999999</v>
      </c>
      <c r="EC31" s="343">
        <v>143.69792000000001</v>
      </c>
      <c r="ED31" s="345">
        <v>144.05976999999999</v>
      </c>
      <c r="EE31" s="320">
        <v>142</v>
      </c>
      <c r="EF31" s="320">
        <v>137</v>
      </c>
      <c r="EG31" s="320">
        <v>143</v>
      </c>
      <c r="EH31" s="320">
        <v>142</v>
      </c>
      <c r="EI31" s="320">
        <v>151</v>
      </c>
      <c r="EJ31" s="320">
        <v>161</v>
      </c>
      <c r="EK31" s="320">
        <v>168</v>
      </c>
      <c r="EL31" s="320">
        <v>179</v>
      </c>
      <c r="EM31" s="320">
        <v>176</v>
      </c>
      <c r="EN31" s="320">
        <v>213</v>
      </c>
      <c r="EO31" s="343">
        <v>213</v>
      </c>
      <c r="EQ31" s="794">
        <f t="shared" si="8"/>
        <v>0</v>
      </c>
      <c r="ER31" s="794">
        <f t="shared" si="9"/>
        <v>48.227615264020507</v>
      </c>
      <c r="ES31" s="320"/>
      <c r="ET31" s="795">
        <f t="shared" si="10"/>
        <v>1.2068924997702467E-4</v>
      </c>
      <c r="EU31" s="317">
        <f t="shared" si="26"/>
        <v>4.2825800000000029</v>
      </c>
      <c r="FG31" s="331"/>
    </row>
    <row r="32" spans="1:163" ht="13.9" customHeight="1" x14ac:dyDescent="0.2">
      <c r="A32" s="1037" t="s">
        <v>508</v>
      </c>
      <c r="B32" s="320"/>
      <c r="C32" s="320"/>
      <c r="D32" s="320"/>
      <c r="E32" s="320"/>
      <c r="F32" s="320"/>
      <c r="G32" s="320"/>
      <c r="H32" s="320"/>
      <c r="I32" s="320"/>
      <c r="J32" s="320"/>
      <c r="K32" s="320"/>
      <c r="L32" s="320"/>
      <c r="M32" s="343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Z32" s="320"/>
      <c r="AA32" s="320"/>
      <c r="AB32" s="320"/>
      <c r="AC32" s="320"/>
      <c r="AD32" s="320"/>
      <c r="AE32" s="320"/>
      <c r="AF32" s="320"/>
      <c r="AG32" s="320"/>
      <c r="AH32" s="320"/>
      <c r="AI32" s="320"/>
      <c r="AJ32" s="320"/>
      <c r="AK32" s="320"/>
      <c r="AL32" s="320"/>
      <c r="AM32" s="320"/>
      <c r="AN32" s="320"/>
      <c r="AO32" s="320"/>
      <c r="AP32" s="320"/>
      <c r="AQ32" s="320"/>
      <c r="AR32" s="320"/>
      <c r="AS32" s="320"/>
      <c r="AT32" s="320"/>
      <c r="AU32" s="320"/>
      <c r="AV32" s="320"/>
      <c r="AW32" s="320"/>
      <c r="AX32" s="320"/>
      <c r="AY32" s="320"/>
      <c r="AZ32" s="320"/>
      <c r="BA32" s="320"/>
      <c r="BB32" s="320"/>
      <c r="BC32" s="320"/>
      <c r="BD32" s="320"/>
      <c r="BE32" s="320"/>
      <c r="BF32" s="320"/>
      <c r="BG32" s="320"/>
      <c r="BH32" s="320"/>
      <c r="BI32" s="320"/>
      <c r="BJ32" s="345"/>
      <c r="BK32" s="320"/>
      <c r="BL32" s="320"/>
      <c r="BM32" s="320"/>
      <c r="BN32" s="320"/>
      <c r="BO32" s="320"/>
      <c r="BP32" s="320"/>
      <c r="BQ32" s="320"/>
      <c r="BR32" s="320"/>
      <c r="BS32" s="320"/>
      <c r="BT32" s="320"/>
      <c r="BU32" s="343"/>
      <c r="BV32" s="345"/>
      <c r="BW32" s="320"/>
      <c r="BX32" s="320"/>
      <c r="BY32" s="320"/>
      <c r="BZ32" s="320"/>
      <c r="CA32" s="320"/>
      <c r="CB32" s="320"/>
      <c r="CC32" s="320"/>
      <c r="CD32" s="320"/>
      <c r="CE32" s="320"/>
      <c r="CF32" s="320"/>
      <c r="CG32" s="343"/>
      <c r="CH32" s="320"/>
      <c r="CI32" s="320"/>
      <c r="CJ32" s="320"/>
      <c r="CK32" s="320"/>
      <c r="CL32" s="320"/>
      <c r="CM32" s="320"/>
      <c r="CN32" s="320"/>
      <c r="CO32" s="320"/>
      <c r="CP32" s="320">
        <v>121.50391999999999</v>
      </c>
      <c r="CQ32" s="320">
        <v>339.36371999999994</v>
      </c>
      <c r="CR32" s="320">
        <v>604.63741000000005</v>
      </c>
      <c r="CS32" s="320">
        <v>586.62985000000003</v>
      </c>
      <c r="CT32" s="345">
        <v>683.44682999999998</v>
      </c>
      <c r="CU32" s="320">
        <v>948.55253000000005</v>
      </c>
      <c r="CV32" s="320">
        <v>1046.6582699999999</v>
      </c>
      <c r="CW32" s="320">
        <v>996.17743999999993</v>
      </c>
      <c r="CX32" s="320">
        <v>1394.6616600000002</v>
      </c>
      <c r="CY32" s="320">
        <v>1253.57763</v>
      </c>
      <c r="CZ32" s="320">
        <v>1194.9542799999999</v>
      </c>
      <c r="DA32" s="320">
        <v>1592.4059200000002</v>
      </c>
      <c r="DB32" s="320">
        <v>1690.01451</v>
      </c>
      <c r="DC32" s="320">
        <v>1662.769</v>
      </c>
      <c r="DD32" s="320">
        <v>1473.4125799999999</v>
      </c>
      <c r="DE32" s="320">
        <v>1543.3924400000001</v>
      </c>
      <c r="DF32" s="345">
        <v>1899.2341000000001</v>
      </c>
      <c r="DG32" s="320">
        <v>1504.37572</v>
      </c>
      <c r="DH32" s="320">
        <v>1408.2315199999998</v>
      </c>
      <c r="DI32" s="320">
        <v>1505.9576999999999</v>
      </c>
      <c r="DJ32" s="320">
        <v>1984.3351899999998</v>
      </c>
      <c r="DK32" s="320">
        <v>1863.0730699999999</v>
      </c>
      <c r="DL32" s="320">
        <v>2191.1859899999999</v>
      </c>
      <c r="DM32" s="320">
        <v>2245.3472899999997</v>
      </c>
      <c r="DN32" s="320">
        <v>2474.9939199999999</v>
      </c>
      <c r="DO32" s="320">
        <v>2573.8138300000001</v>
      </c>
      <c r="DP32" s="320">
        <v>1897.1391699999999</v>
      </c>
      <c r="DQ32" s="343">
        <v>2350.02819</v>
      </c>
      <c r="DR32" s="320">
        <v>2309.7501000000002</v>
      </c>
      <c r="DS32" s="320">
        <v>1963.4614000000001</v>
      </c>
      <c r="DT32" s="320">
        <v>2275.45147</v>
      </c>
      <c r="DU32" s="320">
        <v>2142.32042</v>
      </c>
      <c r="DV32" s="320">
        <v>2027.18813</v>
      </c>
      <c r="DW32" s="320">
        <v>1804.8461900000002</v>
      </c>
      <c r="DX32" s="320">
        <v>2147.1362800000002</v>
      </c>
      <c r="DY32" s="320">
        <v>2220.39804</v>
      </c>
      <c r="DZ32" s="320">
        <v>2429.76737</v>
      </c>
      <c r="EA32" s="320">
        <v>2510.21558</v>
      </c>
      <c r="EB32" s="320">
        <v>2476.3437300000001</v>
      </c>
      <c r="EC32" s="343">
        <v>2255.9979499999999</v>
      </c>
      <c r="ED32" s="345">
        <v>3501.6881600000002</v>
      </c>
      <c r="EE32" s="320">
        <v>3389</v>
      </c>
      <c r="EF32" s="320">
        <v>20361.400000000001</v>
      </c>
      <c r="EG32" s="320">
        <v>20310</v>
      </c>
      <c r="EH32" s="320">
        <v>20502</v>
      </c>
      <c r="EI32" s="320">
        <v>21037</v>
      </c>
      <c r="EJ32" s="320">
        <v>21947</v>
      </c>
      <c r="EK32" s="320">
        <v>22018</v>
      </c>
      <c r="EL32" s="320">
        <v>23362</v>
      </c>
      <c r="EM32" s="320">
        <v>26200</v>
      </c>
      <c r="EN32" s="320">
        <v>25886</v>
      </c>
      <c r="EO32" s="343">
        <v>26100</v>
      </c>
      <c r="EQ32" s="794">
        <f t="shared" si="8"/>
        <v>0.82670169203431509</v>
      </c>
      <c r="ER32" s="794">
        <f t="shared" si="9"/>
        <v>1056.9159448925918</v>
      </c>
      <c r="ES32" s="320"/>
      <c r="ET32" s="795">
        <f t="shared" si="10"/>
        <v>2.933616496012923E-3</v>
      </c>
      <c r="EU32" s="317">
        <f t="shared" si="26"/>
        <v>339.36371999999994</v>
      </c>
      <c r="FG32" s="331"/>
    </row>
    <row r="33" spans="1:163" ht="13.9" customHeight="1" x14ac:dyDescent="0.2">
      <c r="A33" s="1036" t="s">
        <v>509</v>
      </c>
      <c r="B33" s="320"/>
      <c r="C33" s="320"/>
      <c r="D33" s="320"/>
      <c r="E33" s="320"/>
      <c r="F33" s="320"/>
      <c r="G33" s="320"/>
      <c r="H33" s="320"/>
      <c r="I33" s="320"/>
      <c r="J33" s="320"/>
      <c r="K33" s="320"/>
      <c r="L33" s="320"/>
      <c r="M33" s="343"/>
      <c r="N33" s="320"/>
      <c r="O33" s="320"/>
      <c r="P33" s="320"/>
      <c r="Q33" s="320"/>
      <c r="R33" s="320"/>
      <c r="S33" s="320"/>
      <c r="T33" s="320"/>
      <c r="U33" s="320"/>
      <c r="V33" s="320"/>
      <c r="W33" s="320"/>
      <c r="X33" s="320"/>
      <c r="Y33" s="320"/>
      <c r="Z33" s="320">
        <f t="shared" ref="Z33:CK33" si="30">SUM(Z34:Z37)</f>
        <v>1423</v>
      </c>
      <c r="AA33" s="320">
        <f t="shared" si="30"/>
        <v>1297</v>
      </c>
      <c r="AB33" s="320">
        <f t="shared" si="30"/>
        <v>1450</v>
      </c>
      <c r="AC33" s="320">
        <f t="shared" si="30"/>
        <v>1552</v>
      </c>
      <c r="AD33" s="320">
        <f t="shared" si="30"/>
        <v>1711</v>
      </c>
      <c r="AE33" s="320">
        <f t="shared" si="30"/>
        <v>1925</v>
      </c>
      <c r="AF33" s="320">
        <f t="shared" si="30"/>
        <v>2012</v>
      </c>
      <c r="AG33" s="320">
        <f t="shared" si="30"/>
        <v>2256</v>
      </c>
      <c r="AH33" s="320">
        <f t="shared" si="30"/>
        <v>2482</v>
      </c>
      <c r="AI33" s="320">
        <f t="shared" si="30"/>
        <v>2515</v>
      </c>
      <c r="AJ33" s="320">
        <f t="shared" si="30"/>
        <v>2525</v>
      </c>
      <c r="AK33" s="343">
        <f t="shared" si="30"/>
        <v>2556</v>
      </c>
      <c r="AL33" s="320">
        <f t="shared" si="30"/>
        <v>2601</v>
      </c>
      <c r="AM33" s="320">
        <f t="shared" si="30"/>
        <v>2431</v>
      </c>
      <c r="AN33" s="320">
        <f t="shared" si="30"/>
        <v>2400</v>
      </c>
      <c r="AO33" s="320">
        <f t="shared" si="30"/>
        <v>2355</v>
      </c>
      <c r="AP33" s="320">
        <f t="shared" si="30"/>
        <v>2464</v>
      </c>
      <c r="AQ33" s="320">
        <f t="shared" si="30"/>
        <v>2681</v>
      </c>
      <c r="AR33" s="320">
        <f t="shared" si="30"/>
        <v>2708</v>
      </c>
      <c r="AS33" s="320">
        <f t="shared" si="30"/>
        <v>2504</v>
      </c>
      <c r="AT33" s="320">
        <f t="shared" si="30"/>
        <v>2318</v>
      </c>
      <c r="AU33" s="320">
        <f t="shared" si="30"/>
        <v>2332</v>
      </c>
      <c r="AV33" s="320">
        <f t="shared" si="30"/>
        <v>2490</v>
      </c>
      <c r="AW33" s="343">
        <f t="shared" si="30"/>
        <v>2327</v>
      </c>
      <c r="AX33" s="320">
        <f t="shared" si="30"/>
        <v>2197</v>
      </c>
      <c r="AY33" s="320">
        <f t="shared" si="30"/>
        <v>2120</v>
      </c>
      <c r="AZ33" s="320">
        <f t="shared" si="30"/>
        <v>2188</v>
      </c>
      <c r="BA33" s="320">
        <f t="shared" si="30"/>
        <v>1991</v>
      </c>
      <c r="BB33" s="320">
        <f t="shared" si="30"/>
        <v>1074</v>
      </c>
      <c r="BC33" s="320">
        <f t="shared" si="30"/>
        <v>1001.0988</v>
      </c>
      <c r="BD33" s="320">
        <f t="shared" si="30"/>
        <v>981.27350000000001</v>
      </c>
      <c r="BE33" s="320">
        <f t="shared" si="30"/>
        <v>919.44405999999992</v>
      </c>
      <c r="BF33" s="320">
        <f t="shared" si="30"/>
        <v>904.44336999999996</v>
      </c>
      <c r="BG33" s="320">
        <f t="shared" si="30"/>
        <v>890.06835000000001</v>
      </c>
      <c r="BH33" s="320">
        <f t="shared" si="30"/>
        <v>842.67846999999995</v>
      </c>
      <c r="BI33" s="320">
        <f t="shared" si="30"/>
        <v>747.08099000000004</v>
      </c>
      <c r="BJ33" s="345">
        <f t="shared" si="30"/>
        <v>737.71861000000001</v>
      </c>
      <c r="BK33" s="320">
        <f t="shared" si="30"/>
        <v>516.55312000000004</v>
      </c>
      <c r="BL33" s="320">
        <f t="shared" si="30"/>
        <v>520.77994999999999</v>
      </c>
      <c r="BM33" s="320">
        <f t="shared" si="30"/>
        <v>556.73979999999995</v>
      </c>
      <c r="BN33" s="320">
        <f t="shared" si="30"/>
        <v>575.67964999999992</v>
      </c>
      <c r="BO33" s="320">
        <f t="shared" si="30"/>
        <v>507.12702000000002</v>
      </c>
      <c r="BP33" s="320">
        <f t="shared" si="30"/>
        <v>541.50158999999996</v>
      </c>
      <c r="BQ33" s="320">
        <f t="shared" si="30"/>
        <v>498.41625999999997</v>
      </c>
      <c r="BR33" s="320">
        <f t="shared" si="30"/>
        <v>522.30840999999998</v>
      </c>
      <c r="BS33" s="320">
        <f t="shared" si="30"/>
        <v>519.10234000000003</v>
      </c>
      <c r="BT33" s="320">
        <f t="shared" si="30"/>
        <v>573.02014999999994</v>
      </c>
      <c r="BU33" s="343">
        <f t="shared" si="30"/>
        <v>505.57029999999997</v>
      </c>
      <c r="BV33" s="345">
        <f t="shared" si="30"/>
        <v>547.85918000000004</v>
      </c>
      <c r="BW33" s="320">
        <f t="shared" si="30"/>
        <v>534.49635999999998</v>
      </c>
      <c r="BX33" s="320">
        <f t="shared" si="30"/>
        <v>472.98370999999997</v>
      </c>
      <c r="BY33" s="320">
        <f t="shared" si="30"/>
        <v>455.67223000000001</v>
      </c>
      <c r="BZ33" s="320">
        <f t="shared" si="30"/>
        <v>520.75680999999997</v>
      </c>
      <c r="CA33" s="320">
        <f t="shared" si="30"/>
        <v>490.35795999999993</v>
      </c>
      <c r="CB33" s="320">
        <f t="shared" si="30"/>
        <v>472.04824000000002</v>
      </c>
      <c r="CC33" s="320">
        <f t="shared" si="30"/>
        <v>469.75041999999996</v>
      </c>
      <c r="CD33" s="320">
        <f t="shared" si="30"/>
        <v>55.040030000000002</v>
      </c>
      <c r="CE33" s="320">
        <f t="shared" si="30"/>
        <v>83</v>
      </c>
      <c r="CF33" s="320">
        <f t="shared" si="30"/>
        <v>79.193169999999995</v>
      </c>
      <c r="CG33" s="343">
        <f t="shared" si="30"/>
        <v>93.509479999999996</v>
      </c>
      <c r="CH33" s="320">
        <f t="shared" si="30"/>
        <v>129.76775000000001</v>
      </c>
      <c r="CI33" s="320">
        <f t="shared" si="30"/>
        <v>88.750129999999999</v>
      </c>
      <c r="CJ33" s="320">
        <f t="shared" si="30"/>
        <v>80.870929999999987</v>
      </c>
      <c r="CK33" s="320">
        <f t="shared" si="30"/>
        <v>71.929640000000006</v>
      </c>
      <c r="CL33" s="320">
        <f t="shared" ref="CL33:CS33" si="31">SUM(CL34:CL37)</f>
        <v>72.267270000000011</v>
      </c>
      <c r="CM33" s="320">
        <f t="shared" si="31"/>
        <v>122.87544</v>
      </c>
      <c r="CN33" s="320">
        <f t="shared" si="31"/>
        <v>111.58991999999999</v>
      </c>
      <c r="CO33" s="320">
        <f t="shared" si="31"/>
        <v>138.19757000000001</v>
      </c>
      <c r="CP33" s="320">
        <f t="shared" si="31"/>
        <v>145.93153000000001</v>
      </c>
      <c r="CQ33" s="320">
        <f t="shared" si="31"/>
        <v>105.37963999999999</v>
      </c>
      <c r="CR33" s="320">
        <f t="shared" si="31"/>
        <v>203.10176999999999</v>
      </c>
      <c r="CS33" s="320">
        <f t="shared" si="31"/>
        <v>186.76883999999998</v>
      </c>
      <c r="CT33" s="345">
        <f>SUM(CT34:CT38)</f>
        <v>158.81075000000001</v>
      </c>
      <c r="CU33" s="320">
        <f>SUM(CU34:CU38)</f>
        <v>150.94479999999999</v>
      </c>
      <c r="CV33" s="320">
        <f t="shared" ref="CV33:EO33" si="32">SUM(CV34:CV38)</f>
        <v>151.31997000000001</v>
      </c>
      <c r="CW33" s="320">
        <f t="shared" si="32"/>
        <v>163.13881000000001</v>
      </c>
      <c r="CX33" s="320">
        <f t="shared" si="32"/>
        <v>237.82442</v>
      </c>
      <c r="CY33" s="320">
        <f t="shared" si="32"/>
        <v>370.17104</v>
      </c>
      <c r="CZ33" s="320">
        <f t="shared" si="32"/>
        <v>389.4153</v>
      </c>
      <c r="DA33" s="320">
        <f t="shared" si="32"/>
        <v>399.94244000000003</v>
      </c>
      <c r="DB33" s="320">
        <f t="shared" si="32"/>
        <v>441.86705000000001</v>
      </c>
      <c r="DC33" s="320">
        <f t="shared" si="32"/>
        <v>409.06693000000001</v>
      </c>
      <c r="DD33" s="320">
        <f t="shared" si="32"/>
        <v>477.00581</v>
      </c>
      <c r="DE33" s="320">
        <f t="shared" si="32"/>
        <v>351.29834999999997</v>
      </c>
      <c r="DF33" s="345">
        <f t="shared" si="32"/>
        <v>341.91094999999996</v>
      </c>
      <c r="DG33" s="320">
        <f t="shared" si="32"/>
        <v>217.43124</v>
      </c>
      <c r="DH33" s="320">
        <f t="shared" si="32"/>
        <v>167.10919999999999</v>
      </c>
      <c r="DI33" s="320">
        <f t="shared" si="32"/>
        <v>191.33368000000002</v>
      </c>
      <c r="DJ33" s="320">
        <f t="shared" si="32"/>
        <v>266.24550999999997</v>
      </c>
      <c r="DK33" s="320">
        <f t="shared" si="32"/>
        <v>151.14150000000001</v>
      </c>
      <c r="DL33" s="320">
        <f t="shared" si="32"/>
        <v>213.31869999999998</v>
      </c>
      <c r="DM33" s="320">
        <f t="shared" si="32"/>
        <v>188.19893999999999</v>
      </c>
      <c r="DN33" s="320">
        <f t="shared" si="32"/>
        <v>162.86171000000002</v>
      </c>
      <c r="DO33" s="320">
        <f t="shared" si="32"/>
        <v>185.48644999999999</v>
      </c>
      <c r="DP33" s="320">
        <f t="shared" si="32"/>
        <v>140.66055</v>
      </c>
      <c r="DQ33" s="343">
        <f t="shared" si="32"/>
        <v>177.23070999999999</v>
      </c>
      <c r="DR33" s="320">
        <f t="shared" si="32"/>
        <v>134.22595999999999</v>
      </c>
      <c r="DS33" s="320">
        <f t="shared" si="32"/>
        <v>101.5754</v>
      </c>
      <c r="DT33" s="320">
        <f t="shared" si="32"/>
        <v>119.84195</v>
      </c>
      <c r="DU33" s="320">
        <f t="shared" si="32"/>
        <v>105.36000999999999</v>
      </c>
      <c r="DV33" s="320">
        <f t="shared" si="32"/>
        <v>85.792429999999996</v>
      </c>
      <c r="DW33" s="320">
        <f t="shared" si="32"/>
        <v>132.81815999999998</v>
      </c>
      <c r="DX33" s="320">
        <f t="shared" si="32"/>
        <v>115.48778</v>
      </c>
      <c r="DY33" s="320">
        <f t="shared" si="32"/>
        <v>177.72439</v>
      </c>
      <c r="DZ33" s="320">
        <f t="shared" si="32"/>
        <v>143.64479</v>
      </c>
      <c r="EA33" s="320">
        <f t="shared" si="32"/>
        <v>227.09290999999999</v>
      </c>
      <c r="EB33" s="320">
        <f t="shared" si="32"/>
        <v>132.09163000000001</v>
      </c>
      <c r="EC33" s="343">
        <f t="shared" si="32"/>
        <v>252.32691</v>
      </c>
      <c r="ED33" s="345">
        <f t="shared" si="32"/>
        <v>203.87558000000001</v>
      </c>
      <c r="EE33" s="320">
        <f t="shared" si="32"/>
        <v>139.5</v>
      </c>
      <c r="EF33" s="320">
        <f t="shared" si="32"/>
        <v>142.5</v>
      </c>
      <c r="EG33" s="320">
        <f t="shared" si="32"/>
        <v>171.60000000000002</v>
      </c>
      <c r="EH33" s="320">
        <f t="shared" si="32"/>
        <v>154</v>
      </c>
      <c r="EI33" s="320">
        <f t="shared" si="32"/>
        <v>241</v>
      </c>
      <c r="EJ33" s="320">
        <f t="shared" si="32"/>
        <v>226</v>
      </c>
      <c r="EK33" s="320">
        <f t="shared" si="32"/>
        <v>267</v>
      </c>
      <c r="EL33" s="320">
        <f t="shared" si="32"/>
        <v>237</v>
      </c>
      <c r="EM33" s="320">
        <f t="shared" si="32"/>
        <v>412</v>
      </c>
      <c r="EN33" s="320">
        <f t="shared" si="32"/>
        <v>293</v>
      </c>
      <c r="EO33" s="343">
        <f t="shared" si="32"/>
        <v>351</v>
      </c>
      <c r="EQ33" s="794">
        <f t="shared" si="8"/>
        <v>19.795221843003418</v>
      </c>
      <c r="ER33" s="794">
        <f t="shared" si="9"/>
        <v>39.105258333326411</v>
      </c>
      <c r="ES33" s="320"/>
      <c r="ET33" s="795">
        <f t="shared" si="10"/>
        <v>1.708012642171433E-4</v>
      </c>
      <c r="EU33" s="317">
        <f t="shared" si="26"/>
        <v>22.379639999999995</v>
      </c>
      <c r="FG33" s="331" t="s">
        <v>547</v>
      </c>
    </row>
    <row r="34" spans="1:163" ht="13.9" customHeight="1" x14ac:dyDescent="0.2">
      <c r="A34" s="1037" t="s">
        <v>510</v>
      </c>
      <c r="B34" s="320"/>
      <c r="C34" s="320"/>
      <c r="D34" s="801"/>
      <c r="E34" s="320"/>
      <c r="F34" s="801"/>
      <c r="G34" s="801"/>
      <c r="H34" s="801"/>
      <c r="I34" s="801"/>
      <c r="J34" s="801"/>
      <c r="K34" s="801"/>
      <c r="L34" s="801"/>
      <c r="M34" s="802"/>
      <c r="N34" s="801"/>
      <c r="O34" s="801"/>
      <c r="P34" s="320">
        <v>123</v>
      </c>
      <c r="Q34" s="320">
        <v>201</v>
      </c>
      <c r="R34" s="320">
        <v>270</v>
      </c>
      <c r="S34" s="320">
        <v>330</v>
      </c>
      <c r="T34" s="320">
        <v>446</v>
      </c>
      <c r="U34" s="320">
        <v>385</v>
      </c>
      <c r="V34" s="320">
        <v>524</v>
      </c>
      <c r="W34" s="320">
        <v>477</v>
      </c>
      <c r="X34" s="320">
        <v>474</v>
      </c>
      <c r="Y34" s="320">
        <v>562</v>
      </c>
      <c r="Z34" s="345">
        <v>574</v>
      </c>
      <c r="AA34" s="320">
        <v>451</v>
      </c>
      <c r="AB34" s="320">
        <v>482</v>
      </c>
      <c r="AC34" s="320">
        <v>532</v>
      </c>
      <c r="AD34" s="320">
        <v>670</v>
      </c>
      <c r="AE34" s="320">
        <v>836</v>
      </c>
      <c r="AF34" s="320">
        <v>875</v>
      </c>
      <c r="AG34" s="320">
        <v>895</v>
      </c>
      <c r="AH34" s="320">
        <v>1081</v>
      </c>
      <c r="AI34" s="320">
        <v>1019</v>
      </c>
      <c r="AJ34" s="320">
        <v>1053</v>
      </c>
      <c r="AK34" s="320">
        <v>1125</v>
      </c>
      <c r="AL34" s="345">
        <v>1199</v>
      </c>
      <c r="AM34" s="320">
        <v>1075</v>
      </c>
      <c r="AN34" s="320">
        <v>1057</v>
      </c>
      <c r="AO34" s="320">
        <v>1053</v>
      </c>
      <c r="AP34" s="320">
        <v>1051</v>
      </c>
      <c r="AQ34" s="320">
        <v>1218</v>
      </c>
      <c r="AR34" s="320">
        <v>1210</v>
      </c>
      <c r="AS34" s="320">
        <v>1050</v>
      </c>
      <c r="AT34" s="320">
        <v>953</v>
      </c>
      <c r="AU34" s="320">
        <v>1034</v>
      </c>
      <c r="AV34" s="320">
        <v>1089</v>
      </c>
      <c r="AW34" s="320">
        <v>1049</v>
      </c>
      <c r="AX34" s="345">
        <v>963</v>
      </c>
      <c r="AY34" s="320">
        <v>925</v>
      </c>
      <c r="AZ34" s="320">
        <v>1097</v>
      </c>
      <c r="BA34" s="320">
        <v>946</v>
      </c>
      <c r="BB34" s="801"/>
      <c r="BC34" s="801"/>
      <c r="BD34" s="801"/>
      <c r="BE34" s="801"/>
      <c r="BF34" s="801"/>
      <c r="BG34" s="801"/>
      <c r="BH34" s="801"/>
      <c r="BI34" s="801"/>
      <c r="BJ34" s="803"/>
      <c r="BK34" s="801"/>
      <c r="BL34" s="801"/>
      <c r="BM34" s="801"/>
      <c r="BN34" s="801"/>
      <c r="BO34" s="801"/>
      <c r="BP34" s="801"/>
      <c r="BQ34" s="801"/>
      <c r="BR34" s="801"/>
      <c r="BS34" s="801"/>
      <c r="BT34" s="801"/>
      <c r="BU34" s="802"/>
      <c r="BV34" s="803"/>
      <c r="BW34" s="801"/>
      <c r="BX34" s="801"/>
      <c r="BY34" s="801"/>
      <c r="BZ34" s="801"/>
      <c r="CA34" s="801"/>
      <c r="CB34" s="801"/>
      <c r="CC34" s="801"/>
      <c r="CD34" s="801"/>
      <c r="CE34" s="801"/>
      <c r="CF34" s="801"/>
      <c r="CG34" s="802"/>
      <c r="CH34" s="801"/>
      <c r="CI34" s="801"/>
      <c r="CJ34" s="801"/>
      <c r="CK34" s="801"/>
      <c r="CL34" s="801"/>
      <c r="CM34" s="801"/>
      <c r="CN34" s="801"/>
      <c r="CO34" s="801"/>
      <c r="CP34" s="801"/>
      <c r="CQ34" s="801"/>
      <c r="CR34" s="801"/>
      <c r="CS34" s="801"/>
      <c r="CT34" s="803"/>
      <c r="CU34" s="801"/>
      <c r="CV34" s="801"/>
      <c r="CW34" s="801"/>
      <c r="CX34" s="801"/>
      <c r="CY34" s="801"/>
      <c r="CZ34" s="801"/>
      <c r="DA34" s="801"/>
      <c r="DB34" s="801"/>
      <c r="DC34" s="801"/>
      <c r="DD34" s="801"/>
      <c r="DE34" s="801"/>
      <c r="DF34" s="803"/>
      <c r="DG34" s="801"/>
      <c r="DH34" s="801"/>
      <c r="DI34" s="801"/>
      <c r="DJ34" s="801"/>
      <c r="DK34" s="801"/>
      <c r="DL34" s="801"/>
      <c r="DM34" s="801"/>
      <c r="DN34" s="801"/>
      <c r="DO34" s="801"/>
      <c r="DP34" s="801"/>
      <c r="DQ34" s="802"/>
      <c r="DR34" s="801"/>
      <c r="DS34" s="801"/>
      <c r="DT34" s="801"/>
      <c r="DU34" s="801"/>
      <c r="DV34" s="801"/>
      <c r="DW34" s="801"/>
      <c r="DX34" s="801"/>
      <c r="DY34" s="801"/>
      <c r="DZ34" s="801"/>
      <c r="EA34" s="801"/>
      <c r="EB34" s="801"/>
      <c r="EC34" s="802"/>
      <c r="ED34" s="803"/>
      <c r="EE34" s="801"/>
      <c r="EF34" s="801"/>
      <c r="EG34" s="801"/>
      <c r="EH34" s="801"/>
      <c r="EI34" s="801"/>
      <c r="EJ34" s="801"/>
      <c r="EK34" s="801"/>
      <c r="EL34" s="801"/>
      <c r="EM34" s="801"/>
      <c r="EN34" s="801"/>
      <c r="EO34" s="802"/>
      <c r="EQ34" s="1010" t="str">
        <f t="shared" si="8"/>
        <v>-</v>
      </c>
      <c r="ER34" s="794" t="str">
        <f t="shared" si="9"/>
        <v>-</v>
      </c>
      <c r="ES34" s="320"/>
      <c r="ET34" s="795">
        <f t="shared" si="10"/>
        <v>0</v>
      </c>
      <c r="EU34" s="317">
        <f t="shared" si="26"/>
        <v>0</v>
      </c>
      <c r="FG34" s="331"/>
    </row>
    <row r="35" spans="1:163" ht="13.9" customHeight="1" x14ac:dyDescent="0.2">
      <c r="A35" s="1037" t="s">
        <v>511</v>
      </c>
      <c r="B35" s="801">
        <v>32</v>
      </c>
      <c r="C35" s="801">
        <v>60</v>
      </c>
      <c r="D35" s="801">
        <v>57</v>
      </c>
      <c r="E35" s="801">
        <v>84</v>
      </c>
      <c r="F35" s="801">
        <v>228</v>
      </c>
      <c r="G35" s="801">
        <v>571</v>
      </c>
      <c r="H35" s="801">
        <v>602</v>
      </c>
      <c r="I35" s="801">
        <v>683</v>
      </c>
      <c r="J35" s="801">
        <v>659</v>
      </c>
      <c r="K35" s="801">
        <v>693</v>
      </c>
      <c r="L35" s="801">
        <v>778</v>
      </c>
      <c r="M35" s="802">
        <v>741.02512999999999</v>
      </c>
      <c r="N35" s="801">
        <v>778.37364000000002</v>
      </c>
      <c r="O35" s="801">
        <v>774</v>
      </c>
      <c r="P35" s="801">
        <v>821</v>
      </c>
      <c r="Q35" s="801">
        <v>819</v>
      </c>
      <c r="R35" s="801">
        <v>936</v>
      </c>
      <c r="S35" s="801">
        <v>887</v>
      </c>
      <c r="T35" s="801">
        <v>927</v>
      </c>
      <c r="U35" s="801">
        <v>863</v>
      </c>
      <c r="V35" s="801">
        <v>890</v>
      </c>
      <c r="W35" s="801">
        <v>786</v>
      </c>
      <c r="X35" s="801">
        <v>860</v>
      </c>
      <c r="Y35" s="801">
        <v>809</v>
      </c>
      <c r="Z35" s="803">
        <v>849</v>
      </c>
      <c r="AA35" s="801">
        <v>846</v>
      </c>
      <c r="AB35" s="801">
        <v>968</v>
      </c>
      <c r="AC35" s="801">
        <v>1020</v>
      </c>
      <c r="AD35" s="801">
        <v>1041</v>
      </c>
      <c r="AE35" s="801">
        <v>1089</v>
      </c>
      <c r="AF35" s="801">
        <v>1137</v>
      </c>
      <c r="AG35" s="801">
        <v>1361</v>
      </c>
      <c r="AH35" s="801">
        <v>1401</v>
      </c>
      <c r="AI35" s="801">
        <v>1496</v>
      </c>
      <c r="AJ35" s="801">
        <v>1472</v>
      </c>
      <c r="AK35" s="801">
        <v>1431</v>
      </c>
      <c r="AL35" s="803">
        <v>1402</v>
      </c>
      <c r="AM35" s="801">
        <v>1356</v>
      </c>
      <c r="AN35" s="801">
        <v>1343</v>
      </c>
      <c r="AO35" s="801">
        <v>1302</v>
      </c>
      <c r="AP35" s="801">
        <v>1413</v>
      </c>
      <c r="AQ35" s="801">
        <v>1463</v>
      </c>
      <c r="AR35" s="801">
        <v>1498</v>
      </c>
      <c r="AS35" s="801">
        <v>1454</v>
      </c>
      <c r="AT35" s="801">
        <v>1365</v>
      </c>
      <c r="AU35" s="801">
        <v>1298</v>
      </c>
      <c r="AV35" s="801">
        <v>1401</v>
      </c>
      <c r="AW35" s="801">
        <v>1278</v>
      </c>
      <c r="AX35" s="803">
        <v>1234</v>
      </c>
      <c r="AY35" s="801">
        <v>1195</v>
      </c>
      <c r="AZ35" s="801">
        <v>1091</v>
      </c>
      <c r="BA35" s="801">
        <v>1045</v>
      </c>
      <c r="BB35" s="801">
        <v>1074</v>
      </c>
      <c r="BC35" s="801">
        <v>1001.0988</v>
      </c>
      <c r="BD35" s="801">
        <v>981.27350000000001</v>
      </c>
      <c r="BE35" s="801">
        <v>919.44405999999992</v>
      </c>
      <c r="BF35" s="801">
        <v>904.44336999999996</v>
      </c>
      <c r="BG35" s="801">
        <v>890.06835000000001</v>
      </c>
      <c r="BH35" s="801">
        <v>842.67846999999995</v>
      </c>
      <c r="BI35" s="801">
        <v>747.08099000000004</v>
      </c>
      <c r="BJ35" s="803">
        <v>737.71861000000001</v>
      </c>
      <c r="BK35" s="801">
        <v>515.06932000000006</v>
      </c>
      <c r="BL35" s="801">
        <v>503.89382999999998</v>
      </c>
      <c r="BM35" s="801">
        <v>498.56822999999997</v>
      </c>
      <c r="BN35" s="801">
        <v>525.62686999999994</v>
      </c>
      <c r="BO35" s="801">
        <v>447.42180000000002</v>
      </c>
      <c r="BP35" s="801">
        <v>435.47841999999997</v>
      </c>
      <c r="BQ35" s="801">
        <v>446.22913999999997</v>
      </c>
      <c r="BR35" s="801">
        <v>460.24470000000002</v>
      </c>
      <c r="BS35" s="801">
        <v>442.38767999999999</v>
      </c>
      <c r="BT35" s="801">
        <v>468.54456999999996</v>
      </c>
      <c r="BU35" s="802">
        <v>433.18952999999999</v>
      </c>
      <c r="BV35" s="803">
        <v>434.59953999999999</v>
      </c>
      <c r="BW35" s="801">
        <v>418.78559000000001</v>
      </c>
      <c r="BX35" s="801">
        <v>414.83528999999999</v>
      </c>
      <c r="BY35" s="801">
        <v>422.42526000000004</v>
      </c>
      <c r="BZ35" s="801">
        <v>429.46143999999998</v>
      </c>
      <c r="CA35" s="801">
        <v>431.41060999999996</v>
      </c>
      <c r="CB35" s="801">
        <v>400.88976000000002</v>
      </c>
      <c r="CC35" s="801">
        <v>388.50423999999998</v>
      </c>
      <c r="CD35" s="801"/>
      <c r="CE35" s="801"/>
      <c r="CF35" s="801"/>
      <c r="CG35" s="802"/>
      <c r="CH35" s="801"/>
      <c r="CI35" s="801"/>
      <c r="CJ35" s="801"/>
      <c r="CK35" s="801"/>
      <c r="CL35" s="801"/>
      <c r="CM35" s="801"/>
      <c r="CN35" s="801"/>
      <c r="CO35" s="801"/>
      <c r="CP35" s="801"/>
      <c r="CQ35" s="801"/>
      <c r="CR35" s="801"/>
      <c r="CS35" s="801"/>
      <c r="CT35" s="803"/>
      <c r="CU35" s="801"/>
      <c r="CV35" s="801"/>
      <c r="CW35" s="801"/>
      <c r="CX35" s="801"/>
      <c r="CY35" s="801"/>
      <c r="CZ35" s="801"/>
      <c r="DA35" s="801"/>
      <c r="DB35" s="801"/>
      <c r="DC35" s="801"/>
      <c r="DD35" s="801"/>
      <c r="DE35" s="801"/>
      <c r="DF35" s="803"/>
      <c r="DG35" s="801"/>
      <c r="DH35" s="801"/>
      <c r="DI35" s="801"/>
      <c r="DJ35" s="801"/>
      <c r="DK35" s="801"/>
      <c r="DL35" s="801"/>
      <c r="DM35" s="801"/>
      <c r="DN35" s="801"/>
      <c r="DO35" s="801"/>
      <c r="DP35" s="801"/>
      <c r="DQ35" s="802"/>
      <c r="DR35" s="801"/>
      <c r="DS35" s="801"/>
      <c r="DT35" s="801"/>
      <c r="DU35" s="801"/>
      <c r="DV35" s="801"/>
      <c r="DW35" s="801"/>
      <c r="DX35" s="801"/>
      <c r="DY35" s="801"/>
      <c r="DZ35" s="801"/>
      <c r="EA35" s="801"/>
      <c r="EB35" s="801"/>
      <c r="EC35" s="802"/>
      <c r="ED35" s="803"/>
      <c r="EE35" s="801"/>
      <c r="EF35" s="801"/>
      <c r="EG35" s="801"/>
      <c r="EH35" s="801"/>
      <c r="EI35" s="801"/>
      <c r="EJ35" s="801"/>
      <c r="EK35" s="801"/>
      <c r="EL35" s="801"/>
      <c r="EM35" s="801"/>
      <c r="EN35" s="801"/>
      <c r="EO35" s="802"/>
      <c r="EQ35" s="1010" t="str">
        <f t="shared" si="8"/>
        <v>-</v>
      </c>
      <c r="ER35" s="802" t="str">
        <f t="shared" si="9"/>
        <v>-</v>
      </c>
      <c r="ES35" s="320"/>
      <c r="ET35" s="795">
        <f t="shared" si="10"/>
        <v>0</v>
      </c>
      <c r="EU35" s="317">
        <f t="shared" si="26"/>
        <v>0</v>
      </c>
      <c r="FG35" s="331"/>
    </row>
    <row r="36" spans="1:163" ht="13.9" customHeight="1" x14ac:dyDescent="0.2">
      <c r="A36" s="1037" t="s">
        <v>512</v>
      </c>
      <c r="B36" s="801"/>
      <c r="C36" s="801"/>
      <c r="D36" s="801"/>
      <c r="E36" s="801"/>
      <c r="F36" s="801"/>
      <c r="G36" s="801"/>
      <c r="H36" s="801"/>
      <c r="I36" s="801"/>
      <c r="J36" s="801"/>
      <c r="K36" s="801"/>
      <c r="L36" s="801"/>
      <c r="M36" s="802"/>
      <c r="N36" s="801"/>
      <c r="O36" s="801"/>
      <c r="P36" s="801"/>
      <c r="Q36" s="801"/>
      <c r="R36" s="801"/>
      <c r="S36" s="801"/>
      <c r="T36" s="801"/>
      <c r="U36" s="801"/>
      <c r="V36" s="801"/>
      <c r="W36" s="801"/>
      <c r="X36" s="801"/>
      <c r="Y36" s="801"/>
      <c r="Z36" s="806"/>
      <c r="AA36" s="805"/>
      <c r="AB36" s="805"/>
      <c r="AC36" s="805"/>
      <c r="AD36" s="805"/>
      <c r="AE36" s="805"/>
      <c r="AF36" s="805"/>
      <c r="AG36" s="805"/>
      <c r="AH36" s="805"/>
      <c r="AI36" s="805"/>
      <c r="AJ36" s="805"/>
      <c r="AK36" s="805"/>
      <c r="AL36" s="806"/>
      <c r="AM36" s="805"/>
      <c r="AN36" s="805"/>
      <c r="AO36" s="805"/>
      <c r="AP36" s="805"/>
      <c r="AQ36" s="805"/>
      <c r="AR36" s="805"/>
      <c r="AS36" s="805"/>
      <c r="AT36" s="805"/>
      <c r="AU36" s="805"/>
      <c r="AV36" s="805"/>
      <c r="AW36" s="805"/>
      <c r="AX36" s="806"/>
      <c r="AY36" s="805"/>
      <c r="AZ36" s="805"/>
      <c r="BA36" s="805"/>
      <c r="BB36" s="805"/>
      <c r="BC36" s="805"/>
      <c r="BD36" s="805"/>
      <c r="BE36" s="805"/>
      <c r="BF36" s="805"/>
      <c r="BG36" s="805"/>
      <c r="BH36" s="805"/>
      <c r="BI36" s="805"/>
      <c r="BJ36" s="806"/>
      <c r="BK36" s="805"/>
      <c r="BL36" s="805"/>
      <c r="BM36" s="805"/>
      <c r="BN36" s="805"/>
      <c r="BO36" s="805"/>
      <c r="BP36" s="805"/>
      <c r="BQ36" s="805"/>
      <c r="BR36" s="805"/>
      <c r="BS36" s="805"/>
      <c r="BT36" s="805"/>
      <c r="BU36" s="807"/>
      <c r="BV36" s="806"/>
      <c r="BW36" s="805"/>
      <c r="BX36" s="805"/>
      <c r="BY36" s="805"/>
      <c r="BZ36" s="805"/>
      <c r="CA36" s="805"/>
      <c r="CB36" s="805"/>
      <c r="CC36" s="805"/>
      <c r="CD36" s="805"/>
      <c r="CE36" s="805"/>
      <c r="CF36" s="805"/>
      <c r="CG36" s="807"/>
      <c r="CH36" s="805"/>
      <c r="CI36" s="805"/>
      <c r="CJ36" s="805"/>
      <c r="CK36" s="805"/>
      <c r="CL36" s="805"/>
      <c r="CM36" s="805"/>
      <c r="CN36" s="805"/>
      <c r="CO36" s="805"/>
      <c r="CP36" s="805"/>
      <c r="CQ36" s="805"/>
      <c r="CR36" s="805"/>
      <c r="CS36" s="805"/>
      <c r="CT36" s="806"/>
      <c r="CU36" s="805"/>
      <c r="CV36" s="805"/>
      <c r="CW36" s="805"/>
      <c r="CX36" s="805"/>
      <c r="CY36" s="805"/>
      <c r="CZ36" s="805"/>
      <c r="DA36" s="805"/>
      <c r="DB36" s="805"/>
      <c r="DC36" s="805"/>
      <c r="DD36" s="805"/>
      <c r="DE36" s="805"/>
      <c r="DF36" s="806"/>
      <c r="DG36" s="805"/>
      <c r="DH36" s="805"/>
      <c r="DI36" s="805"/>
      <c r="DJ36" s="805"/>
      <c r="DK36" s="805"/>
      <c r="DL36" s="805"/>
      <c r="DM36" s="805"/>
      <c r="DN36" s="805"/>
      <c r="DO36" s="805"/>
      <c r="DP36" s="805"/>
      <c r="DQ36" s="807"/>
      <c r="DR36" s="805"/>
      <c r="DS36" s="805"/>
      <c r="DT36" s="805"/>
      <c r="DU36" s="805"/>
      <c r="DV36" s="805"/>
      <c r="DW36" s="805"/>
      <c r="DX36" s="805"/>
      <c r="DY36" s="805"/>
      <c r="DZ36" s="805"/>
      <c r="EA36" s="805"/>
      <c r="EB36" s="805"/>
      <c r="EC36" s="807"/>
      <c r="ED36" s="806"/>
      <c r="EE36" s="805"/>
      <c r="EF36" s="805"/>
      <c r="EG36" s="805"/>
      <c r="EH36" s="805"/>
      <c r="EI36" s="805"/>
      <c r="EJ36" s="805"/>
      <c r="EK36" s="805"/>
      <c r="EL36" s="805"/>
      <c r="EM36" s="805"/>
      <c r="EN36" s="805"/>
      <c r="EO36" s="807"/>
      <c r="EQ36" s="1010" t="str">
        <f t="shared" si="8"/>
        <v>-</v>
      </c>
      <c r="ER36" s="794" t="str">
        <f t="shared" si="9"/>
        <v>-</v>
      </c>
      <c r="ES36" s="320"/>
      <c r="ET36" s="795">
        <f t="shared" si="10"/>
        <v>0</v>
      </c>
      <c r="EU36" s="317">
        <f t="shared" si="26"/>
        <v>0</v>
      </c>
      <c r="FG36" s="331"/>
    </row>
    <row r="37" spans="1:163" ht="13.9" customHeight="1" x14ac:dyDescent="0.2">
      <c r="A37" s="1037" t="s">
        <v>513</v>
      </c>
      <c r="B37" s="801"/>
      <c r="C37" s="801"/>
      <c r="D37" s="801"/>
      <c r="E37" s="801"/>
      <c r="F37" s="801"/>
      <c r="G37" s="801"/>
      <c r="H37" s="801"/>
      <c r="I37" s="801"/>
      <c r="J37" s="801"/>
      <c r="K37" s="801"/>
      <c r="L37" s="801"/>
      <c r="M37" s="802"/>
      <c r="N37" s="801"/>
      <c r="O37" s="801"/>
      <c r="P37" s="801"/>
      <c r="Q37" s="801"/>
      <c r="R37" s="801"/>
      <c r="S37" s="801"/>
      <c r="T37" s="801"/>
      <c r="U37" s="801"/>
      <c r="V37" s="801"/>
      <c r="W37" s="801"/>
      <c r="X37" s="801"/>
      <c r="Y37" s="801"/>
      <c r="Z37" s="803"/>
      <c r="AA37" s="801"/>
      <c r="AB37" s="801"/>
      <c r="AC37" s="801"/>
      <c r="AD37" s="801"/>
      <c r="AE37" s="801"/>
      <c r="AF37" s="801"/>
      <c r="AG37" s="801"/>
      <c r="AH37" s="801"/>
      <c r="AI37" s="801"/>
      <c r="AJ37" s="801"/>
      <c r="AK37" s="801"/>
      <c r="AL37" s="803"/>
      <c r="AM37" s="801"/>
      <c r="AN37" s="801"/>
      <c r="AO37" s="801"/>
      <c r="AP37" s="801"/>
      <c r="AQ37" s="801"/>
      <c r="AR37" s="801"/>
      <c r="AS37" s="801"/>
      <c r="AT37" s="801"/>
      <c r="AU37" s="801"/>
      <c r="AV37" s="801"/>
      <c r="AW37" s="801"/>
      <c r="AX37" s="803"/>
      <c r="AY37" s="801"/>
      <c r="AZ37" s="801"/>
      <c r="BA37" s="801"/>
      <c r="BB37" s="801"/>
      <c r="BC37" s="801"/>
      <c r="BD37" s="801"/>
      <c r="BE37" s="805"/>
      <c r="BF37" s="805"/>
      <c r="BG37" s="805"/>
      <c r="BH37" s="805"/>
      <c r="BI37" s="805"/>
      <c r="BJ37" s="806"/>
      <c r="BK37" s="801">
        <v>1.4838</v>
      </c>
      <c r="BL37" s="801">
        <v>16.886119999999998</v>
      </c>
      <c r="BM37" s="801">
        <v>58.171570000000003</v>
      </c>
      <c r="BN37" s="801">
        <v>50.052779999999998</v>
      </c>
      <c r="BO37" s="801">
        <v>59.705220000000004</v>
      </c>
      <c r="BP37" s="801">
        <v>106.02316999999999</v>
      </c>
      <c r="BQ37" s="801">
        <v>52.18712</v>
      </c>
      <c r="BR37" s="801">
        <v>62.06371</v>
      </c>
      <c r="BS37" s="801">
        <v>76.714660000000009</v>
      </c>
      <c r="BT37" s="801">
        <v>104.47558000000001</v>
      </c>
      <c r="BU37" s="802">
        <v>72.380769999999998</v>
      </c>
      <c r="BV37" s="803">
        <v>113.25964</v>
      </c>
      <c r="BW37" s="801">
        <v>115.71077000000001</v>
      </c>
      <c r="BX37" s="801">
        <v>58.148420000000002</v>
      </c>
      <c r="BY37" s="801">
        <v>33.246970000000005</v>
      </c>
      <c r="BZ37" s="801">
        <v>91.295369999999991</v>
      </c>
      <c r="CA37" s="801">
        <v>58.94735</v>
      </c>
      <c r="CB37" s="801">
        <v>71.158479999999997</v>
      </c>
      <c r="CC37" s="801">
        <v>81.246179999999995</v>
      </c>
      <c r="CD37" s="801">
        <v>55.040030000000002</v>
      </c>
      <c r="CE37" s="801">
        <v>83</v>
      </c>
      <c r="CF37" s="801">
        <v>79.193169999999995</v>
      </c>
      <c r="CG37" s="802">
        <v>93.509479999999996</v>
      </c>
      <c r="CH37" s="801">
        <v>129.76775000000001</v>
      </c>
      <c r="CI37" s="801">
        <v>88.750129999999999</v>
      </c>
      <c r="CJ37" s="801">
        <v>80.870929999999987</v>
      </c>
      <c r="CK37" s="801">
        <v>71.929640000000006</v>
      </c>
      <c r="CL37" s="801">
        <v>72.267270000000011</v>
      </c>
      <c r="CM37" s="801">
        <v>122.87544</v>
      </c>
      <c r="CN37" s="801">
        <v>111.58991999999999</v>
      </c>
      <c r="CO37" s="801">
        <v>138.19757000000001</v>
      </c>
      <c r="CP37" s="801">
        <v>145.93153000000001</v>
      </c>
      <c r="CQ37" s="801">
        <v>105.37963999999999</v>
      </c>
      <c r="CR37" s="801">
        <v>203.10176999999999</v>
      </c>
      <c r="CS37" s="801">
        <v>186.76883999999998</v>
      </c>
      <c r="CT37" s="803">
        <v>158.81075000000001</v>
      </c>
      <c r="CU37" s="801">
        <v>150.94479999999999</v>
      </c>
      <c r="CV37" s="801">
        <v>151.31997000000001</v>
      </c>
      <c r="CW37" s="801">
        <v>163.13881000000001</v>
      </c>
      <c r="CX37" s="801">
        <v>237.82442</v>
      </c>
      <c r="CY37" s="801">
        <v>263.92674</v>
      </c>
      <c r="CZ37" s="801">
        <v>295.40199999999999</v>
      </c>
      <c r="DA37" s="801">
        <v>264.89683000000002</v>
      </c>
      <c r="DB37" s="801">
        <v>244.90198000000001</v>
      </c>
      <c r="DC37" s="801">
        <v>267.67540000000002</v>
      </c>
      <c r="DD37" s="801">
        <v>325.36881</v>
      </c>
      <c r="DE37" s="801">
        <v>287.90818999999999</v>
      </c>
      <c r="DF37" s="803">
        <v>258.67795999999998</v>
      </c>
      <c r="DG37" s="801">
        <v>115.28147</v>
      </c>
      <c r="DH37" s="801">
        <v>96.684579999999997</v>
      </c>
      <c r="DI37" s="801">
        <v>89.788740000000004</v>
      </c>
      <c r="DJ37" s="801">
        <v>105.45671</v>
      </c>
      <c r="DK37" s="801">
        <v>91.204740000000001</v>
      </c>
      <c r="DL37" s="801">
        <v>98.859690000000001</v>
      </c>
      <c r="DM37" s="801">
        <v>99.866759999999999</v>
      </c>
      <c r="DN37" s="801">
        <v>114.27785</v>
      </c>
      <c r="DO37" s="801">
        <v>83.552779999999998</v>
      </c>
      <c r="DP37" s="801">
        <v>78.508240000000001</v>
      </c>
      <c r="DQ37" s="802">
        <v>104.81653</v>
      </c>
      <c r="DR37" s="801">
        <v>75.483539999999991</v>
      </c>
      <c r="DS37" s="801">
        <v>62.397030000000001</v>
      </c>
      <c r="DT37" s="801">
        <v>31.650659999999998</v>
      </c>
      <c r="DU37" s="801">
        <v>32.745899999999999</v>
      </c>
      <c r="DV37" s="801">
        <v>21.704799999999999</v>
      </c>
      <c r="DW37" s="801">
        <v>76.803509999999989</v>
      </c>
      <c r="DX37" s="801">
        <v>50.349040000000002</v>
      </c>
      <c r="DY37" s="801">
        <v>18.488610000000001</v>
      </c>
      <c r="DZ37" s="801">
        <v>9.3136299999999999</v>
      </c>
      <c r="EA37" s="801">
        <v>41.448320000000002</v>
      </c>
      <c r="EB37" s="801">
        <v>37.822859999999999</v>
      </c>
      <c r="EC37" s="802">
        <v>99.470280000000002</v>
      </c>
      <c r="ED37" s="803">
        <v>96.029970000000006</v>
      </c>
      <c r="EE37" s="801">
        <v>70.2</v>
      </c>
      <c r="EF37" s="801">
        <v>50.2</v>
      </c>
      <c r="EG37" s="801">
        <v>56.2</v>
      </c>
      <c r="EH37" s="801">
        <v>57</v>
      </c>
      <c r="EI37" s="801">
        <v>124</v>
      </c>
      <c r="EJ37" s="801">
        <v>102</v>
      </c>
      <c r="EK37" s="801">
        <v>87</v>
      </c>
      <c r="EL37" s="801">
        <v>117.5</v>
      </c>
      <c r="EM37" s="801">
        <v>78</v>
      </c>
      <c r="EN37" s="801">
        <v>78</v>
      </c>
      <c r="EO37" s="802">
        <v>158</v>
      </c>
      <c r="EQ37" s="794">
        <f t="shared" si="8"/>
        <v>102.56410256410255</v>
      </c>
      <c r="ER37" s="794">
        <f t="shared" si="9"/>
        <v>58.84141474217224</v>
      </c>
      <c r="ES37" s="320"/>
      <c r="ET37" s="795">
        <f t="shared" si="10"/>
        <v>8.0451225589324367E-5</v>
      </c>
      <c r="EU37" s="317">
        <f t="shared" si="26"/>
        <v>22.379639999999995</v>
      </c>
      <c r="FG37" s="331"/>
    </row>
    <row r="38" spans="1:163" ht="13.9" customHeight="1" x14ac:dyDescent="0.2">
      <c r="A38" s="1037" t="s">
        <v>514</v>
      </c>
      <c r="B38" s="801"/>
      <c r="C38" s="801"/>
      <c r="D38" s="801"/>
      <c r="E38" s="801"/>
      <c r="F38" s="801"/>
      <c r="G38" s="801"/>
      <c r="H38" s="801"/>
      <c r="I38" s="801"/>
      <c r="J38" s="801"/>
      <c r="K38" s="801"/>
      <c r="L38" s="801"/>
      <c r="M38" s="802"/>
      <c r="N38" s="801"/>
      <c r="O38" s="801"/>
      <c r="P38" s="801"/>
      <c r="Q38" s="801"/>
      <c r="R38" s="801"/>
      <c r="S38" s="801"/>
      <c r="T38" s="801"/>
      <c r="U38" s="801"/>
      <c r="V38" s="801"/>
      <c r="W38" s="801"/>
      <c r="X38" s="801"/>
      <c r="Y38" s="801"/>
      <c r="Z38" s="801"/>
      <c r="AA38" s="801"/>
      <c r="AB38" s="801"/>
      <c r="AC38" s="801"/>
      <c r="AD38" s="801"/>
      <c r="AE38" s="801"/>
      <c r="AF38" s="801"/>
      <c r="AG38" s="801"/>
      <c r="AH38" s="801"/>
      <c r="AI38" s="801"/>
      <c r="AJ38" s="801"/>
      <c r="AK38" s="801"/>
      <c r="AL38" s="803"/>
      <c r="AM38" s="801"/>
      <c r="AN38" s="801"/>
      <c r="AO38" s="801"/>
      <c r="AP38" s="801"/>
      <c r="AQ38" s="801"/>
      <c r="AR38" s="801"/>
      <c r="AS38" s="801"/>
      <c r="AT38" s="801"/>
      <c r="AU38" s="801"/>
      <c r="AV38" s="801"/>
      <c r="AW38" s="801"/>
      <c r="AX38" s="803"/>
      <c r="AY38" s="801"/>
      <c r="AZ38" s="801"/>
      <c r="BA38" s="801"/>
      <c r="BB38" s="801"/>
      <c r="BC38" s="801"/>
      <c r="BD38" s="801"/>
      <c r="BE38" s="805"/>
      <c r="BF38" s="805"/>
      <c r="BG38" s="805"/>
      <c r="BH38" s="805"/>
      <c r="BI38" s="805"/>
      <c r="BJ38" s="806"/>
      <c r="BK38" s="801"/>
      <c r="BL38" s="801"/>
      <c r="BM38" s="801"/>
      <c r="BN38" s="801"/>
      <c r="BO38" s="801"/>
      <c r="BP38" s="801"/>
      <c r="BQ38" s="801"/>
      <c r="BR38" s="801"/>
      <c r="BS38" s="801"/>
      <c r="BT38" s="801"/>
      <c r="BU38" s="802"/>
      <c r="BV38" s="803"/>
      <c r="BW38" s="801"/>
      <c r="BX38" s="801"/>
      <c r="BY38" s="801"/>
      <c r="BZ38" s="801"/>
      <c r="CA38" s="801"/>
      <c r="CB38" s="801"/>
      <c r="CC38" s="801"/>
      <c r="CD38" s="801"/>
      <c r="CE38" s="801"/>
      <c r="CF38" s="801"/>
      <c r="CG38" s="802"/>
      <c r="CH38" s="801"/>
      <c r="CI38" s="801"/>
      <c r="CJ38" s="801"/>
      <c r="CK38" s="801"/>
      <c r="CL38" s="801"/>
      <c r="CM38" s="801"/>
      <c r="CN38" s="801"/>
      <c r="CO38" s="801"/>
      <c r="CP38" s="801"/>
      <c r="CQ38" s="801"/>
      <c r="CR38" s="801"/>
      <c r="CS38" s="801"/>
      <c r="CT38" s="803"/>
      <c r="CU38" s="801"/>
      <c r="CV38" s="801"/>
      <c r="CW38" s="801"/>
      <c r="CX38" s="801"/>
      <c r="CY38" s="801">
        <v>106.24430000000001</v>
      </c>
      <c r="CZ38" s="801">
        <v>94.013300000000001</v>
      </c>
      <c r="DA38" s="801">
        <v>135.04560999999998</v>
      </c>
      <c r="DB38" s="801">
        <v>196.96507</v>
      </c>
      <c r="DC38" s="801">
        <v>141.39152999999999</v>
      </c>
      <c r="DD38" s="801">
        <v>151.637</v>
      </c>
      <c r="DE38" s="801">
        <v>63.390160000000002</v>
      </c>
      <c r="DF38" s="803">
        <v>83.232990000000001</v>
      </c>
      <c r="DG38" s="801">
        <v>102.14977</v>
      </c>
      <c r="DH38" s="801">
        <v>70.42461999999999</v>
      </c>
      <c r="DI38" s="801">
        <v>101.54494</v>
      </c>
      <c r="DJ38" s="801">
        <v>160.78879999999998</v>
      </c>
      <c r="DK38" s="801">
        <v>59.93676</v>
      </c>
      <c r="DL38" s="801">
        <v>114.45900999999999</v>
      </c>
      <c r="DM38" s="801">
        <v>88.332179999999994</v>
      </c>
      <c r="DN38" s="801">
        <v>48.583860000000001</v>
      </c>
      <c r="DO38" s="801">
        <v>101.93366999999999</v>
      </c>
      <c r="DP38" s="801">
        <v>62.15231</v>
      </c>
      <c r="DQ38" s="802">
        <v>72.414179999999988</v>
      </c>
      <c r="DR38" s="801">
        <v>58.742419999999996</v>
      </c>
      <c r="DS38" s="801">
        <v>39.178370000000001</v>
      </c>
      <c r="DT38" s="801">
        <v>88.191289999999995</v>
      </c>
      <c r="DU38" s="801">
        <v>72.614109999999997</v>
      </c>
      <c r="DV38" s="801">
        <v>64.087630000000004</v>
      </c>
      <c r="DW38" s="801">
        <v>56.014650000000003</v>
      </c>
      <c r="DX38" s="801">
        <v>65.138739999999999</v>
      </c>
      <c r="DY38" s="801">
        <v>159.23578000000001</v>
      </c>
      <c r="DZ38" s="801">
        <v>134.33116000000001</v>
      </c>
      <c r="EA38" s="801">
        <v>185.64458999999999</v>
      </c>
      <c r="EB38" s="801">
        <v>94.268770000000004</v>
      </c>
      <c r="EC38" s="802">
        <v>152.85663</v>
      </c>
      <c r="ED38" s="803">
        <v>107.84560999999999</v>
      </c>
      <c r="EE38" s="801">
        <v>69.3</v>
      </c>
      <c r="EF38" s="801">
        <v>92.3</v>
      </c>
      <c r="EG38" s="801">
        <v>115.4</v>
      </c>
      <c r="EH38" s="801">
        <v>97</v>
      </c>
      <c r="EI38" s="801">
        <v>117</v>
      </c>
      <c r="EJ38" s="801">
        <v>124</v>
      </c>
      <c r="EK38" s="801">
        <v>180</v>
      </c>
      <c r="EL38" s="801">
        <v>119.5</v>
      </c>
      <c r="EM38" s="801">
        <v>334</v>
      </c>
      <c r="EN38" s="801">
        <v>215</v>
      </c>
      <c r="EO38" s="802">
        <v>193</v>
      </c>
      <c r="EQ38" s="794">
        <f t="shared" si="8"/>
        <v>-10.232558139534886</v>
      </c>
      <c r="ER38" s="794">
        <f t="shared" si="9"/>
        <v>26.262105870056153</v>
      </c>
      <c r="ES38" s="320"/>
      <c r="ET38" s="795">
        <f t="shared" si="10"/>
        <v>9.0350038627818948E-5</v>
      </c>
      <c r="FG38" s="331"/>
    </row>
    <row r="39" spans="1:163" s="338" customFormat="1" ht="13.9" customHeight="1" x14ac:dyDescent="0.2">
      <c r="A39" s="790" t="s">
        <v>236</v>
      </c>
      <c r="B39" s="1038"/>
      <c r="C39" s="1038"/>
      <c r="D39" s="1038"/>
      <c r="E39" s="1038"/>
      <c r="F39" s="1038"/>
      <c r="G39" s="1038"/>
      <c r="H39" s="1038"/>
      <c r="I39" s="1038"/>
      <c r="J39" s="1038"/>
      <c r="K39" s="1038"/>
      <c r="L39" s="1038"/>
      <c r="M39" s="808"/>
      <c r="N39" s="1038"/>
      <c r="O39" s="1038"/>
      <c r="P39" s="1038"/>
      <c r="Q39" s="1038"/>
      <c r="R39" s="1038"/>
      <c r="S39" s="1038"/>
      <c r="T39" s="1038"/>
      <c r="U39" s="1038"/>
      <c r="V39" s="1038"/>
      <c r="W39" s="1038"/>
      <c r="X39" s="1038"/>
      <c r="Y39" s="1038"/>
      <c r="Z39" s="339">
        <v>95699.151360000003</v>
      </c>
      <c r="AA39" s="339">
        <v>92392.100999999995</v>
      </c>
      <c r="AB39" s="339">
        <v>98197.112999999998</v>
      </c>
      <c r="AC39" s="339">
        <v>97860.408949999997</v>
      </c>
      <c r="AD39" s="339">
        <v>105530.65062999999</v>
      </c>
      <c r="AE39" s="339">
        <v>109726.58540000001</v>
      </c>
      <c r="AF39" s="339">
        <v>112810.50893000003</v>
      </c>
      <c r="AG39" s="339">
        <v>127401.99114999999</v>
      </c>
      <c r="AH39" s="339">
        <v>120944.26700000001</v>
      </c>
      <c r="AI39" s="339">
        <v>111068.58199999999</v>
      </c>
      <c r="AJ39" s="339">
        <v>108032.522</v>
      </c>
      <c r="AK39" s="642">
        <v>128081.10400000001</v>
      </c>
      <c r="AL39" s="339">
        <v>122490.00900000001</v>
      </c>
      <c r="AM39" s="339">
        <v>115736.859</v>
      </c>
      <c r="AN39" s="339">
        <v>116952.304</v>
      </c>
      <c r="AO39" s="339">
        <v>110252.20299999999</v>
      </c>
      <c r="AP39" s="339">
        <v>115502.995</v>
      </c>
      <c r="AQ39" s="339">
        <v>121681.552</v>
      </c>
      <c r="AR39" s="339">
        <v>127177.808</v>
      </c>
      <c r="AS39" s="339">
        <v>119229.2</v>
      </c>
      <c r="AT39" s="339">
        <v>129502.72500000001</v>
      </c>
      <c r="AU39" s="339">
        <v>124521.424</v>
      </c>
      <c r="AV39" s="339">
        <v>121691.336</v>
      </c>
      <c r="AW39" s="339">
        <v>128202.89591000001</v>
      </c>
      <c r="AX39" s="645">
        <v>126362.97813999999</v>
      </c>
      <c r="AY39" s="339">
        <v>140505.24909</v>
      </c>
      <c r="AZ39" s="339">
        <v>147317.99437000003</v>
      </c>
      <c r="BA39" s="339">
        <v>147861.87492999999</v>
      </c>
      <c r="BB39" s="339">
        <v>148262.47266000003</v>
      </c>
      <c r="BC39" s="339">
        <v>147323.23220000003</v>
      </c>
      <c r="BD39" s="339">
        <v>155925.05887000001</v>
      </c>
      <c r="BE39" s="339">
        <v>146909.66638000001</v>
      </c>
      <c r="BF39" s="339">
        <v>146157.95988000001</v>
      </c>
      <c r="BG39" s="339">
        <v>171485.58298000001</v>
      </c>
      <c r="BH39" s="339">
        <v>156689.42416</v>
      </c>
      <c r="BI39" s="339">
        <v>149020.22399999999</v>
      </c>
      <c r="BJ39" s="645">
        <v>150805.04145000002</v>
      </c>
      <c r="BK39" s="339">
        <v>158634.55567</v>
      </c>
      <c r="BL39" s="339">
        <v>161252.53840999998</v>
      </c>
      <c r="BM39" s="339">
        <v>160459.76021000001</v>
      </c>
      <c r="BN39" s="339">
        <v>155609.81724000003</v>
      </c>
      <c r="BO39" s="339">
        <v>158762.95647</v>
      </c>
      <c r="BP39" s="339">
        <v>163573.86727999995</v>
      </c>
      <c r="BQ39" s="339">
        <v>177362.11991000001</v>
      </c>
      <c r="BR39" s="339">
        <v>170079.28829999999</v>
      </c>
      <c r="BS39" s="339">
        <v>170688.92369</v>
      </c>
      <c r="BT39" s="339">
        <v>154570.81603000002</v>
      </c>
      <c r="BU39" s="642">
        <v>172546.31703999997</v>
      </c>
      <c r="BV39" s="645">
        <v>163142.78048000002</v>
      </c>
      <c r="BW39" s="339">
        <v>161443.85104999997</v>
      </c>
      <c r="BX39" s="339">
        <v>193557.65247</v>
      </c>
      <c r="BY39" s="339">
        <v>193068.55674</v>
      </c>
      <c r="BZ39" s="339">
        <v>188272.86510999996</v>
      </c>
      <c r="CA39" s="339">
        <v>193157.29996</v>
      </c>
      <c r="CB39" s="339">
        <v>195424.40795999998</v>
      </c>
      <c r="CC39" s="339">
        <v>191826.28258</v>
      </c>
      <c r="CD39" s="339">
        <v>186691.66400999998</v>
      </c>
      <c r="CE39" s="339">
        <v>192136.74400999997</v>
      </c>
      <c r="CF39" s="339">
        <v>181233.4363</v>
      </c>
      <c r="CG39" s="642">
        <v>192188.19361999998</v>
      </c>
      <c r="CH39" s="339">
        <v>207459.45113</v>
      </c>
      <c r="CI39" s="339">
        <v>203057.16920999996</v>
      </c>
      <c r="CJ39" s="339">
        <v>198493.35566</v>
      </c>
      <c r="CK39" s="339">
        <v>194432.94163000002</v>
      </c>
      <c r="CL39" s="339">
        <v>188566.58450000003</v>
      </c>
      <c r="CM39" s="339">
        <v>200145.53323</v>
      </c>
      <c r="CN39" s="339">
        <v>202455.05119999999</v>
      </c>
      <c r="CO39" s="339">
        <v>205634.56065</v>
      </c>
      <c r="CP39" s="339">
        <v>195972.35251000003</v>
      </c>
      <c r="CQ39" s="339">
        <v>198812.34111000001</v>
      </c>
      <c r="CR39" s="339">
        <v>200538.89872</v>
      </c>
      <c r="CS39" s="339">
        <v>198420.20450999998</v>
      </c>
      <c r="CT39" s="645">
        <v>194100.45725000001</v>
      </c>
      <c r="CU39" s="339">
        <v>193486.96587000001</v>
      </c>
      <c r="CV39" s="339">
        <v>184997.06990999996</v>
      </c>
      <c r="CW39" s="339">
        <v>191782.34751000002</v>
      </c>
      <c r="CX39" s="339">
        <v>186792.82079000003</v>
      </c>
      <c r="CY39" s="339">
        <v>193294.11715999999</v>
      </c>
      <c r="CZ39" s="339">
        <v>199539.20911</v>
      </c>
      <c r="DA39" s="339">
        <v>202936.81333999999</v>
      </c>
      <c r="DB39" s="339">
        <v>190072.66490999999</v>
      </c>
      <c r="DC39" s="339">
        <v>194281.83022999999</v>
      </c>
      <c r="DD39" s="339">
        <v>204828.67035999996</v>
      </c>
      <c r="DE39" s="339">
        <v>206767.12949000002</v>
      </c>
      <c r="DF39" s="645">
        <v>202819.37346999999</v>
      </c>
      <c r="DG39" s="339">
        <v>202836.49111</v>
      </c>
      <c r="DH39" s="339">
        <v>192389.50495</v>
      </c>
      <c r="DI39" s="339">
        <v>206222.28900999998</v>
      </c>
      <c r="DJ39" s="339">
        <v>203655.25461999999</v>
      </c>
      <c r="DK39" s="339">
        <v>214860.99425000002</v>
      </c>
      <c r="DL39" s="339">
        <v>229574.18936999998</v>
      </c>
      <c r="DM39" s="339">
        <v>215849.05604999998</v>
      </c>
      <c r="DN39" s="339">
        <v>208544.41169000001</v>
      </c>
      <c r="DO39" s="339">
        <v>214000.96719999998</v>
      </c>
      <c r="DP39" s="339">
        <v>207274.11739999999</v>
      </c>
      <c r="DQ39" s="642">
        <v>223596.97546999998</v>
      </c>
      <c r="DR39" s="339">
        <v>213090.24769999998</v>
      </c>
      <c r="DS39" s="339">
        <v>209633.33416999999</v>
      </c>
      <c r="DT39" s="339">
        <v>201138.77236000003</v>
      </c>
      <c r="DU39" s="339">
        <v>207702.03358999992</v>
      </c>
      <c r="DV39" s="339">
        <v>198901.44949</v>
      </c>
      <c r="DW39" s="339">
        <v>219077.25805000003</v>
      </c>
      <c r="DX39" s="339">
        <v>221267.97174000001</v>
      </c>
      <c r="DY39" s="339">
        <v>225034.89520999999</v>
      </c>
      <c r="DZ39" s="339">
        <v>225331.32526000001</v>
      </c>
      <c r="EA39" s="339">
        <v>227326.56049000003</v>
      </c>
      <c r="EB39" s="339">
        <v>230071.93472999998</v>
      </c>
      <c r="EC39" s="642">
        <v>261960.19574999996</v>
      </c>
      <c r="ED39" s="645">
        <v>278557.73582</v>
      </c>
      <c r="EE39" s="339">
        <v>272720</v>
      </c>
      <c r="EF39" s="339">
        <v>282733</v>
      </c>
      <c r="EG39" s="339">
        <v>311230.57561</v>
      </c>
      <c r="EH39" s="339">
        <v>326009</v>
      </c>
      <c r="EI39" s="339">
        <v>325471</v>
      </c>
      <c r="EJ39" s="339">
        <v>333473</v>
      </c>
      <c r="EK39" s="339">
        <v>341381</v>
      </c>
      <c r="EL39" s="339">
        <v>329855.5</v>
      </c>
      <c r="EM39" s="339">
        <v>370653</v>
      </c>
      <c r="EN39" s="339">
        <v>360669.4</v>
      </c>
      <c r="EO39" s="642">
        <v>405788.5</v>
      </c>
      <c r="EP39"/>
      <c r="EQ39" s="791">
        <f t="shared" si="8"/>
        <v>12.509822014287874</v>
      </c>
      <c r="ER39" s="791">
        <f t="shared" si="9"/>
        <v>54.90464069864327</v>
      </c>
      <c r="ES39" s="339"/>
      <c r="ET39" s="792">
        <f t="shared" si="10"/>
        <v>0.23336788758870006</v>
      </c>
      <c r="EU39" s="338">
        <f>CQ39-CE39</f>
        <v>6675.5971000000427</v>
      </c>
      <c r="FG39" s="748" t="s">
        <v>548</v>
      </c>
    </row>
    <row r="40" spans="1:163" ht="13.9" customHeight="1" x14ac:dyDescent="0.2">
      <c r="A40" s="799" t="s">
        <v>352</v>
      </c>
      <c r="B40" s="810"/>
      <c r="C40" s="810"/>
      <c r="D40" s="810"/>
      <c r="E40" s="810"/>
      <c r="F40" s="810"/>
      <c r="G40" s="810"/>
      <c r="H40" s="810"/>
      <c r="I40" s="810"/>
      <c r="J40" s="810"/>
      <c r="K40" s="810"/>
      <c r="L40" s="810"/>
      <c r="M40" s="811"/>
      <c r="N40" s="810"/>
      <c r="O40" s="810"/>
      <c r="P40" s="810"/>
      <c r="Q40" s="810"/>
      <c r="R40" s="810"/>
      <c r="S40" s="810"/>
      <c r="T40" s="810"/>
      <c r="U40" s="810"/>
      <c r="V40" s="810"/>
      <c r="W40" s="810"/>
      <c r="X40" s="810"/>
      <c r="Y40" s="811"/>
      <c r="Z40" s="812"/>
      <c r="AA40" s="812"/>
      <c r="AB40" s="812"/>
      <c r="AC40" s="812"/>
      <c r="AD40" s="812"/>
      <c r="AE40" s="812"/>
      <c r="AF40" s="813"/>
      <c r="AG40" s="813"/>
      <c r="AH40" s="813"/>
      <c r="AI40" s="813"/>
      <c r="AJ40" s="813"/>
      <c r="AK40" s="813"/>
      <c r="AL40" s="814"/>
      <c r="AM40" s="813"/>
      <c r="AN40" s="813"/>
      <c r="AO40" s="813"/>
      <c r="AP40" s="813"/>
      <c r="AQ40" s="813"/>
      <c r="AR40" s="813"/>
      <c r="AS40" s="813"/>
      <c r="AT40" s="813"/>
      <c r="AU40" s="813"/>
      <c r="AV40" s="813"/>
      <c r="AW40" s="813"/>
      <c r="AX40" s="814"/>
      <c r="AY40" s="813"/>
      <c r="AZ40" s="813"/>
      <c r="BA40" s="813"/>
      <c r="BB40" s="813"/>
      <c r="BC40" s="813"/>
      <c r="BD40" s="813"/>
      <c r="BE40" s="813"/>
      <c r="BF40" s="813"/>
      <c r="BG40" s="813"/>
      <c r="BH40" s="813"/>
      <c r="BI40" s="813"/>
      <c r="BJ40" s="814"/>
      <c r="BK40" s="813"/>
      <c r="BL40" s="813"/>
      <c r="BM40" s="813"/>
      <c r="BN40" s="813"/>
      <c r="BO40" s="813"/>
      <c r="BP40" s="813"/>
      <c r="BQ40" s="813"/>
      <c r="BR40" s="813"/>
      <c r="BS40" s="813"/>
      <c r="BT40" s="813"/>
      <c r="BU40" s="815"/>
      <c r="BV40" s="814"/>
      <c r="BW40" s="813"/>
      <c r="BX40" s="813"/>
      <c r="BY40" s="813"/>
      <c r="BZ40" s="813"/>
      <c r="CA40" s="813"/>
      <c r="CB40" s="813"/>
      <c r="CC40" s="813"/>
      <c r="CD40" s="813"/>
      <c r="CE40" s="813"/>
      <c r="CF40" s="813"/>
      <c r="CG40" s="815"/>
      <c r="CH40" s="813"/>
      <c r="CI40" s="813"/>
      <c r="CJ40" s="813"/>
      <c r="CK40" s="813"/>
      <c r="CL40" s="813"/>
      <c r="CM40" s="813"/>
      <c r="CN40" s="813"/>
      <c r="CO40" s="813"/>
      <c r="CP40" s="813"/>
      <c r="CQ40" s="813"/>
      <c r="CR40" s="813"/>
      <c r="CS40" s="813"/>
      <c r="CT40" s="814"/>
      <c r="CU40" s="813"/>
      <c r="CV40" s="813"/>
      <c r="CW40" s="813"/>
      <c r="CX40" s="813"/>
      <c r="CY40" s="813"/>
      <c r="CZ40" s="813"/>
      <c r="DA40" s="813"/>
      <c r="DB40" s="813"/>
      <c r="DC40" s="813"/>
      <c r="DD40" s="813"/>
      <c r="DE40" s="813"/>
      <c r="DF40" s="814"/>
      <c r="DG40" s="813"/>
      <c r="DH40" s="813"/>
      <c r="DI40" s="813"/>
      <c r="DJ40" s="813"/>
      <c r="DK40" s="813"/>
      <c r="DL40" s="813"/>
      <c r="DM40" s="813"/>
      <c r="DN40" s="813"/>
      <c r="DO40" s="813"/>
      <c r="DP40" s="813"/>
      <c r="DQ40" s="815"/>
      <c r="DR40" s="813"/>
      <c r="DS40" s="813"/>
      <c r="DT40" s="813"/>
      <c r="DU40" s="813"/>
      <c r="DV40" s="813"/>
      <c r="DW40" s="813"/>
      <c r="DX40" s="813"/>
      <c r="DY40" s="813"/>
      <c r="DZ40" s="813"/>
      <c r="EA40" s="813"/>
      <c r="EB40" s="813"/>
      <c r="EC40" s="815"/>
      <c r="ED40" s="814"/>
      <c r="EE40" s="813"/>
      <c r="EF40" s="813"/>
      <c r="EG40" s="813"/>
      <c r="EH40" s="813"/>
      <c r="EI40" s="813"/>
      <c r="EJ40" s="813"/>
      <c r="EK40" s="813"/>
      <c r="EL40" s="813"/>
      <c r="EM40" s="813"/>
      <c r="EN40" s="813"/>
      <c r="EO40" s="815"/>
      <c r="EQ40" s="816"/>
      <c r="ER40" s="816"/>
      <c r="ES40" s="345"/>
      <c r="ET40" s="795"/>
      <c r="FG40" s="324"/>
    </row>
    <row r="41" spans="1:163" ht="13.9" customHeight="1" x14ac:dyDescent="0.2">
      <c r="A41" s="817" t="s">
        <v>187</v>
      </c>
      <c r="B41" s="801"/>
      <c r="C41" s="801"/>
      <c r="D41" s="801"/>
      <c r="E41" s="801"/>
      <c r="F41" s="801"/>
      <c r="G41" s="801"/>
      <c r="H41" s="801"/>
      <c r="I41" s="801"/>
      <c r="J41" s="801"/>
      <c r="K41" s="801"/>
      <c r="L41" s="801"/>
      <c r="M41" s="801"/>
      <c r="N41" s="801"/>
      <c r="O41" s="801"/>
      <c r="P41" s="801"/>
      <c r="Q41" s="801"/>
      <c r="R41" s="801"/>
      <c r="S41" s="801"/>
      <c r="T41" s="801"/>
      <c r="U41" s="801"/>
      <c r="V41" s="801"/>
      <c r="W41" s="801"/>
      <c r="X41" s="801"/>
      <c r="Y41" s="801"/>
      <c r="Z41" s="801"/>
      <c r="AA41" s="801"/>
      <c r="AB41" s="801"/>
      <c r="AC41" s="801"/>
      <c r="AD41" s="801"/>
      <c r="AE41" s="801"/>
      <c r="AF41" s="801"/>
      <c r="AG41" s="801"/>
      <c r="AH41" s="801"/>
      <c r="AI41" s="801"/>
      <c r="AJ41" s="801"/>
      <c r="AK41" s="801"/>
      <c r="AL41" s="801"/>
      <c r="AM41" s="801"/>
      <c r="AN41" s="801"/>
      <c r="AO41" s="801"/>
      <c r="AP41" s="801"/>
      <c r="AQ41" s="801"/>
      <c r="AR41" s="801"/>
      <c r="AS41" s="801"/>
      <c r="AT41" s="801"/>
      <c r="AU41" s="801"/>
      <c r="AV41" s="801"/>
      <c r="AW41" s="801"/>
      <c r="AX41" s="801"/>
      <c r="AY41" s="801"/>
      <c r="AZ41" s="801"/>
      <c r="BA41" s="801"/>
      <c r="BB41" s="801"/>
      <c r="BC41" s="801"/>
      <c r="BD41" s="801"/>
      <c r="BE41" s="801"/>
      <c r="BF41" s="801"/>
      <c r="BG41" s="801"/>
      <c r="BH41" s="801"/>
      <c r="BI41" s="801"/>
      <c r="BJ41" s="801"/>
      <c r="BK41" s="801"/>
      <c r="BL41" s="801"/>
      <c r="BM41" s="801"/>
      <c r="BN41" s="801"/>
      <c r="BO41" s="801"/>
      <c r="BP41" s="801"/>
      <c r="BQ41" s="801"/>
      <c r="BR41" s="801"/>
      <c r="BS41" s="801"/>
      <c r="BT41" s="801"/>
      <c r="BU41" s="801"/>
      <c r="BV41" s="801"/>
      <c r="BW41" s="801"/>
      <c r="BX41" s="801"/>
      <c r="BY41" s="801"/>
      <c r="BZ41" s="801"/>
      <c r="CA41" s="801"/>
      <c r="CB41" s="801"/>
      <c r="CC41" s="801"/>
      <c r="CD41" s="801"/>
      <c r="CE41" s="801"/>
      <c r="CF41" s="801"/>
      <c r="CG41" s="801"/>
      <c r="CH41" s="801"/>
      <c r="CI41" s="801"/>
      <c r="CJ41" s="801"/>
      <c r="CK41" s="801"/>
      <c r="CL41" s="801"/>
      <c r="CM41" s="801"/>
      <c r="CN41" s="801"/>
      <c r="CO41" s="801"/>
      <c r="CP41" s="801"/>
      <c r="CQ41" s="801"/>
      <c r="CR41" s="801"/>
      <c r="CS41" s="801"/>
      <c r="CT41" s="801"/>
      <c r="CU41" s="801"/>
      <c r="CV41" s="801"/>
      <c r="CW41" s="801"/>
      <c r="CX41" s="801"/>
      <c r="CY41" s="801"/>
      <c r="CZ41" s="801"/>
      <c r="DA41" s="801"/>
      <c r="DB41" s="801"/>
      <c r="DC41" s="801"/>
      <c r="DD41" s="801"/>
      <c r="DE41" s="801"/>
      <c r="DF41" s="801"/>
      <c r="DG41" s="801"/>
      <c r="DH41" s="801"/>
      <c r="DI41" s="801"/>
      <c r="DJ41" s="801"/>
      <c r="DK41" s="801"/>
      <c r="DL41" s="801"/>
      <c r="DM41" s="801"/>
      <c r="DN41" s="801"/>
      <c r="DO41" s="801"/>
      <c r="DP41" s="801"/>
      <c r="DQ41" s="801"/>
      <c r="DR41" s="801"/>
      <c r="DS41" s="801"/>
      <c r="DT41" s="801"/>
      <c r="DU41" s="801"/>
      <c r="DV41" s="801"/>
      <c r="DW41" s="801"/>
      <c r="DX41" s="801"/>
      <c r="DY41" s="801"/>
      <c r="DZ41" s="801"/>
      <c r="EA41" s="801"/>
      <c r="EB41" s="801"/>
      <c r="EC41" s="801"/>
      <c r="ED41" s="801"/>
      <c r="EE41" s="801"/>
      <c r="EF41" s="801"/>
      <c r="EG41" s="801"/>
      <c r="EH41" s="801"/>
      <c r="EI41" s="801"/>
      <c r="EJ41" s="801"/>
      <c r="EK41" s="801"/>
      <c r="EL41" s="801"/>
      <c r="EM41" s="801"/>
      <c r="EN41" s="801"/>
      <c r="EO41" s="801"/>
      <c r="EQ41" s="818"/>
      <c r="ER41" s="818"/>
      <c r="ES41" s="320"/>
    </row>
    <row r="42" spans="1:163" ht="13.9" customHeight="1" x14ac:dyDescent="0.2">
      <c r="A42" s="817" t="s">
        <v>188</v>
      </c>
      <c r="B42" s="361">
        <v>1.9275679903224412</v>
      </c>
      <c r="C42" s="361">
        <v>1.9262186927292158</v>
      </c>
      <c r="D42" s="361">
        <v>1.9331530800230408</v>
      </c>
      <c r="E42" s="361">
        <v>1.9335397106390453</v>
      </c>
      <c r="F42" s="361">
        <v>1.9327662947547899</v>
      </c>
      <c r="G42" s="361">
        <v>1.9261948893526231</v>
      </c>
      <c r="H42" s="361">
        <v>1.9298546596423929</v>
      </c>
      <c r="I42" s="361">
        <v>1.9258019648571441</v>
      </c>
      <c r="J42" s="361">
        <v>1.9240687430887724</v>
      </c>
      <c r="K42" s="361">
        <v>1.9263776255804792</v>
      </c>
      <c r="L42" s="361">
        <v>1.9242586101923407</v>
      </c>
      <c r="M42" s="361">
        <v>1.9304162377449561</v>
      </c>
      <c r="N42" s="361">
        <v>1.9362074864581909</v>
      </c>
      <c r="O42" s="361">
        <v>1.9424033504148568</v>
      </c>
      <c r="P42" s="361">
        <v>1.9478420797960185</v>
      </c>
      <c r="Q42" s="361">
        <v>1.9484264324199574</v>
      </c>
      <c r="R42" s="361">
        <v>1.953102655857768</v>
      </c>
      <c r="S42" s="361">
        <v>1.9579854124974125</v>
      </c>
      <c r="T42" s="361">
        <v>1.9650341599823999</v>
      </c>
      <c r="U42" s="361">
        <v>1.9703397522143531</v>
      </c>
      <c r="V42" s="361">
        <v>1.969748650288689</v>
      </c>
      <c r="W42" s="361">
        <v>1.9669910021782848</v>
      </c>
      <c r="X42" s="361">
        <v>1.9671877012785028</v>
      </c>
      <c r="Y42" s="361">
        <v>1.9707286391408045</v>
      </c>
      <c r="Z42" s="361">
        <v>1.9784144808334547</v>
      </c>
      <c r="AA42" s="361">
        <v>1.9859324558606217</v>
      </c>
      <c r="AB42" s="361">
        <v>1.9998339830516501</v>
      </c>
      <c r="AC42" s="361">
        <v>2.0134328541363975</v>
      </c>
      <c r="AD42" s="361">
        <v>2.01303016756557</v>
      </c>
      <c r="AE42" s="361">
        <v>2.0150431977331356</v>
      </c>
      <c r="AF42" s="361">
        <v>2.0309620389952276</v>
      </c>
      <c r="AG42" s="361">
        <v>2.0364456365005199</v>
      </c>
      <c r="AH42" s="361">
        <v>2.04316590710097</v>
      </c>
      <c r="AI42" s="361">
        <v>2.04949972141298</v>
      </c>
      <c r="AJ42" s="361">
        <v>2.0583125702150538</v>
      </c>
      <c r="AK42" s="361">
        <v>2.0638700141546344</v>
      </c>
      <c r="AL42" s="361">
        <v>2.0618061441404798</v>
      </c>
      <c r="AM42" s="361">
        <v>2.0684039238017293</v>
      </c>
      <c r="AN42" s="361">
        <v>2.0843306340150023</v>
      </c>
      <c r="AO42" s="361">
        <v>2.0953775863752817</v>
      </c>
      <c r="AP42" s="361">
        <v>2.0962157374098318</v>
      </c>
      <c r="AQ42" s="361">
        <v>2.0953772511148681</v>
      </c>
      <c r="AR42" s="361">
        <v>2.0972630906408711</v>
      </c>
      <c r="AS42" s="361">
        <v>2.1079591324031401</v>
      </c>
      <c r="AT42" s="361">
        <v>2.1193421117181175</v>
      </c>
      <c r="AU42" s="361">
        <v>2.11595116433937</v>
      </c>
      <c r="AV42" s="361">
        <v>2.1129888327092901</v>
      </c>
      <c r="AW42" s="361">
        <v>2.1184826036743378</v>
      </c>
      <c r="AX42" s="361">
        <v>2.121024782798747</v>
      </c>
      <c r="AY42" s="361">
        <v>2.1191158604942277</v>
      </c>
      <c r="AZ42" s="361">
        <v>2.1383998148247256</v>
      </c>
      <c r="BA42" s="361">
        <v>2.1437458143617873</v>
      </c>
      <c r="BB42" s="361">
        <v>2.1478189314090752</v>
      </c>
      <c r="BC42" s="361">
        <v>2.1534032606307387</v>
      </c>
      <c r="BD42" s="361">
        <v>2.1652469785642081</v>
      </c>
      <c r="BE42" s="361">
        <v>2.1769393122484546</v>
      </c>
      <c r="BF42" s="361">
        <v>2.179333945491928</v>
      </c>
      <c r="BG42" s="361">
        <v>2.1802056790701254</v>
      </c>
      <c r="BH42" s="361">
        <v>2.1754092265761709</v>
      </c>
      <c r="BI42" s="361">
        <v>2.1791074222613505</v>
      </c>
      <c r="BJ42" s="361">
        <v>1.2345506860700497</v>
      </c>
      <c r="BK42" s="361">
        <v>1.2419579901864699</v>
      </c>
      <c r="BL42" s="361">
        <v>1.2484161717354396</v>
      </c>
      <c r="BM42" s="361">
        <v>1.2532849948052076</v>
      </c>
      <c r="BN42" s="361">
        <v>1.2561675502932597</v>
      </c>
      <c r="BO42" s="361">
        <v>1.2581774183737287</v>
      </c>
      <c r="BP42" s="361">
        <v>1.2635875812727357</v>
      </c>
      <c r="BQ42" s="361">
        <v>1.26245035244959</v>
      </c>
      <c r="BR42" s="361">
        <v>1.2644702730135093</v>
      </c>
      <c r="BS42" s="361">
        <v>1.2692752600509609</v>
      </c>
      <c r="BT42" s="361">
        <v>1.2673713471608843</v>
      </c>
      <c r="BU42" s="361">
        <v>1.2702863012593546</v>
      </c>
      <c r="BV42" s="361">
        <v>1.2724457879714952</v>
      </c>
      <c r="BW42" s="361">
        <v>1.2762631253354098</v>
      </c>
      <c r="BX42" s="361">
        <v>1.2859627250879588</v>
      </c>
      <c r="BY42" s="361">
        <v>1.2909779797158021</v>
      </c>
      <c r="BZ42" s="361">
        <v>1.2982074564022108</v>
      </c>
      <c r="CA42" s="361">
        <v>1.302491541008338</v>
      </c>
      <c r="CB42" s="361">
        <v>1.3083527529428765</v>
      </c>
      <c r="CC42" s="361">
        <v>1.3133244934040593</v>
      </c>
      <c r="CD42" s="361">
        <v>1.3137184907520796</v>
      </c>
      <c r="CE42" s="361">
        <v>1.3155576966391334</v>
      </c>
      <c r="CF42" s="361">
        <v>1.3200305928077065</v>
      </c>
      <c r="CG42" s="361">
        <v>1.3259707304753412</v>
      </c>
      <c r="CH42" s="361">
        <v>1.3308768221781</v>
      </c>
      <c r="CI42" s="361">
        <v>1.3331393127758029</v>
      </c>
      <c r="CJ42" s="361">
        <v>1.3411381486524576</v>
      </c>
      <c r="CK42" s="361">
        <v>1.3412722624673228</v>
      </c>
      <c r="CL42" s="361">
        <v>1.3440889342185038</v>
      </c>
      <c r="CM42" s="361">
        <v>1.3459706587264098</v>
      </c>
      <c r="CN42" s="361">
        <v>1.3470474352533908</v>
      </c>
      <c r="CO42" s="361">
        <v>1.3518968060203032</v>
      </c>
      <c r="CP42" s="361">
        <v>1.3547357893129455</v>
      </c>
      <c r="CQ42" s="361">
        <v>1.3602902060491286</v>
      </c>
      <c r="CR42" s="361">
        <v>1.3642350476466711</v>
      </c>
      <c r="CS42" s="361">
        <v>1.3687370233039053</v>
      </c>
      <c r="CT42" s="361">
        <v>1.3720219921598344</v>
      </c>
      <c r="CU42" s="361">
        <v>1.376412462534746</v>
      </c>
      <c r="CV42" s="361">
        <v>1.3943058245476976</v>
      </c>
      <c r="CW42" s="361">
        <v>1.3906806294038736</v>
      </c>
      <c r="CX42" s="361">
        <v>1.3848397707603775</v>
      </c>
      <c r="CY42" s="361">
        <v>1.382624027127161</v>
      </c>
      <c r="CZ42" s="361">
        <v>1.3853892751814154</v>
      </c>
      <c r="DA42" s="361">
        <v>1.394671383325131</v>
      </c>
      <c r="DB42" s="361">
        <v>1.3943924490484658</v>
      </c>
      <c r="DC42" s="361">
        <v>1.3878388045379382</v>
      </c>
      <c r="DD42" s="361">
        <v>1.385063126928862</v>
      </c>
      <c r="DE42" s="361">
        <v>1.3872792279319484</v>
      </c>
      <c r="DF42" s="361">
        <v>1.3890826909282596</v>
      </c>
      <c r="DG42" s="361">
        <v>1.3925553976555805</v>
      </c>
      <c r="DH42" s="361">
        <v>1.3993789191040926</v>
      </c>
      <c r="DI42" s="361">
        <v>1.3974197886173472</v>
      </c>
      <c r="DJ42" s="361">
        <v>1.3976992725750705</v>
      </c>
      <c r="DK42" s="361">
        <v>1.4023116801745681</v>
      </c>
      <c r="DL42" s="361">
        <v>1.4076404645592313</v>
      </c>
      <c r="DM42" s="361">
        <v>1.4094703971631584</v>
      </c>
      <c r="DN42" s="361">
        <v>1.4121483909177683</v>
      </c>
      <c r="DO42" s="361">
        <v>1.4132781096305025</v>
      </c>
      <c r="DP42" s="361">
        <v>1.414974043362059</v>
      </c>
      <c r="DQ42" s="361">
        <v>1.4175209966401108</v>
      </c>
      <c r="DR42" s="361">
        <v>1.4185132613377587</v>
      </c>
      <c r="DS42" s="361">
        <v>1.4203573285774977</v>
      </c>
      <c r="DT42" s="361">
        <v>1.4307259370761134</v>
      </c>
      <c r="DU42" s="361">
        <v>1.4335873889502657</v>
      </c>
      <c r="DV42" s="361">
        <v>1.4357377700336911</v>
      </c>
      <c r="DW42" s="361">
        <v>1.4344456060406607</v>
      </c>
      <c r="DX42" s="361">
        <v>1.4373144972527421</v>
      </c>
      <c r="DY42" s="361">
        <v>1.4381768859510939</v>
      </c>
      <c r="DZ42" s="361">
        <v>1.438320703639689</v>
      </c>
      <c r="EA42" s="361">
        <v>1.4399028564136926</v>
      </c>
      <c r="EB42" s="361">
        <v>1.4414867495557475</v>
      </c>
      <c r="EC42" s="361">
        <v>1.4445138717298147</v>
      </c>
      <c r="ED42" s="361">
        <v>1.4452361286656796</v>
      </c>
      <c r="EE42" s="361"/>
      <c r="EF42" s="361"/>
      <c r="EG42" s="361"/>
      <c r="EH42" s="361"/>
      <c r="EI42" s="361"/>
      <c r="EJ42" s="361"/>
      <c r="EK42" s="361"/>
      <c r="EL42" s="361"/>
      <c r="EM42" s="361"/>
      <c r="EN42" s="361"/>
      <c r="EO42" s="361"/>
      <c r="EQ42" s="818"/>
      <c r="ER42" s="818"/>
      <c r="ES42" s="320"/>
    </row>
    <row r="43" spans="1:163" ht="13.9" customHeight="1" x14ac:dyDescent="0.2">
      <c r="A43" s="819" t="s">
        <v>271</v>
      </c>
      <c r="B43" s="819"/>
      <c r="C43" s="819"/>
      <c r="D43" s="819"/>
      <c r="E43" s="819"/>
      <c r="F43" s="819"/>
      <c r="G43" s="819"/>
      <c r="H43" s="819"/>
      <c r="I43" s="819"/>
      <c r="J43" s="819"/>
      <c r="K43" s="819"/>
      <c r="L43" s="819"/>
      <c r="M43" s="819"/>
      <c r="N43" s="819"/>
      <c r="O43" s="819"/>
      <c r="P43" s="819"/>
      <c r="Q43" s="819"/>
      <c r="R43" s="819"/>
      <c r="S43" s="819"/>
      <c r="T43" s="819"/>
      <c r="U43" s="819"/>
      <c r="V43" s="819"/>
      <c r="W43" s="819"/>
      <c r="X43" s="819"/>
      <c r="Y43" s="819"/>
      <c r="Z43" s="819"/>
      <c r="AA43" s="819"/>
      <c r="AB43" s="819"/>
      <c r="AC43" s="819"/>
      <c r="AD43" s="819"/>
      <c r="AE43" s="819"/>
      <c r="AF43" s="819"/>
      <c r="AG43" s="819"/>
      <c r="AH43" s="819"/>
      <c r="AI43" s="819"/>
      <c r="AJ43" s="819"/>
      <c r="AK43" s="819"/>
      <c r="AL43" s="819"/>
      <c r="AM43" s="819"/>
      <c r="AN43" s="819"/>
      <c r="AO43" s="819"/>
      <c r="AP43" s="819"/>
      <c r="AQ43" s="819"/>
      <c r="AR43" s="819"/>
      <c r="AS43" s="819"/>
      <c r="AT43" s="819"/>
      <c r="AU43" s="819"/>
      <c r="AV43" s="819"/>
      <c r="AW43" s="819"/>
      <c r="AX43" s="819"/>
      <c r="AY43" s="819"/>
      <c r="AZ43" s="819"/>
      <c r="BA43" s="819"/>
      <c r="BB43" s="819"/>
      <c r="BC43" s="819"/>
      <c r="BD43" s="819"/>
      <c r="BE43" s="819"/>
      <c r="BF43" s="819"/>
      <c r="BG43" s="819"/>
      <c r="BH43" s="819"/>
      <c r="BI43" s="819"/>
      <c r="BJ43" s="819"/>
      <c r="BK43" s="819"/>
      <c r="BL43" s="819"/>
      <c r="BM43" s="819"/>
      <c r="BN43" s="819"/>
      <c r="BO43" s="819"/>
      <c r="BP43" s="819"/>
      <c r="BQ43" s="819"/>
      <c r="BR43" s="819"/>
      <c r="BS43" s="819"/>
      <c r="BT43" s="819"/>
      <c r="BU43" s="819"/>
      <c r="BV43" s="819"/>
      <c r="BW43" s="819"/>
      <c r="BX43" s="819"/>
      <c r="BY43" s="819"/>
      <c r="BZ43" s="819"/>
      <c r="CA43" s="819"/>
      <c r="CB43" s="819"/>
      <c r="CC43" s="819"/>
      <c r="CD43" s="819"/>
      <c r="CE43" s="819"/>
      <c r="CF43" s="819"/>
      <c r="CG43" s="819"/>
      <c r="CH43" s="819"/>
      <c r="CI43" s="819"/>
      <c r="CJ43" s="819"/>
      <c r="CK43" s="819"/>
      <c r="CL43" s="819"/>
      <c r="CM43" s="819"/>
      <c r="CN43" s="819"/>
      <c r="CO43" s="819"/>
      <c r="CP43" s="819"/>
      <c r="CQ43" s="819"/>
      <c r="CR43" s="819"/>
      <c r="CS43" s="819"/>
      <c r="CT43" s="819"/>
      <c r="CU43" s="819"/>
      <c r="CV43" s="819"/>
      <c r="CW43" s="819"/>
      <c r="CX43" s="819"/>
      <c r="CY43" s="819"/>
      <c r="CZ43" s="819"/>
      <c r="DA43" s="819"/>
      <c r="DB43" s="819"/>
      <c r="DC43" s="819"/>
      <c r="DD43" s="361"/>
      <c r="DE43" s="361"/>
      <c r="DF43" s="361"/>
      <c r="DG43" s="361"/>
      <c r="DH43" s="361"/>
      <c r="DI43" s="361"/>
      <c r="DJ43" s="361"/>
      <c r="DK43" s="361"/>
      <c r="DL43" s="361"/>
      <c r="DM43" s="361"/>
      <c r="DN43" s="361"/>
      <c r="DO43" s="361"/>
      <c r="DP43" s="361"/>
      <c r="DQ43" s="361"/>
      <c r="DR43" s="361"/>
      <c r="DS43" s="361"/>
      <c r="DT43" s="361"/>
      <c r="DU43" s="361"/>
      <c r="DV43" s="361"/>
      <c r="DW43" s="361"/>
      <c r="DX43" s="361"/>
      <c r="DY43" s="361"/>
      <c r="DZ43" s="361"/>
      <c r="EA43" s="361"/>
      <c r="EB43" s="361"/>
      <c r="EC43" s="361"/>
      <c r="ED43" s="361"/>
      <c r="EE43" s="361"/>
      <c r="EF43" s="361"/>
      <c r="EG43" s="361"/>
      <c r="EH43" s="361"/>
      <c r="EI43" s="361"/>
      <c r="EJ43" s="361"/>
      <c r="EK43" s="361"/>
      <c r="EL43" s="361"/>
      <c r="EM43" s="361"/>
      <c r="EN43" s="361"/>
      <c r="EO43" s="361"/>
      <c r="EQ43" s="818"/>
      <c r="ER43" s="818"/>
      <c r="ES43" s="320"/>
    </row>
    <row r="44" spans="1:163" ht="13.9" customHeight="1" x14ac:dyDescent="0.2">
      <c r="A44" s="819" t="s">
        <v>275</v>
      </c>
      <c r="B44" s="819"/>
      <c r="C44" s="819"/>
      <c r="D44" s="819"/>
      <c r="E44" s="819"/>
      <c r="F44" s="819"/>
      <c r="G44" s="819"/>
      <c r="H44" s="819"/>
      <c r="I44" s="819"/>
      <c r="J44" s="819"/>
      <c r="K44" s="819"/>
      <c r="L44" s="819"/>
      <c r="M44" s="819"/>
      <c r="N44" s="819"/>
      <c r="O44" s="819"/>
      <c r="P44" s="819"/>
      <c r="Q44" s="819"/>
      <c r="R44" s="819"/>
      <c r="S44" s="819"/>
      <c r="T44" s="819"/>
      <c r="U44" s="819"/>
      <c r="V44" s="819"/>
      <c r="W44" s="819"/>
      <c r="X44" s="819"/>
      <c r="Y44" s="819"/>
      <c r="Z44" s="819"/>
      <c r="AA44" s="819"/>
      <c r="AB44" s="819"/>
      <c r="AC44" s="819"/>
      <c r="AD44" s="819"/>
      <c r="AE44" s="819"/>
      <c r="AF44" s="819"/>
      <c r="AG44" s="819"/>
      <c r="AH44" s="819"/>
      <c r="AI44" s="819"/>
      <c r="AJ44" s="819"/>
      <c r="AK44" s="819"/>
      <c r="AL44" s="819"/>
      <c r="AM44" s="819"/>
      <c r="AN44" s="819"/>
      <c r="AO44" s="819"/>
      <c r="AP44" s="819"/>
      <c r="AQ44" s="819"/>
      <c r="AR44" s="819"/>
      <c r="AS44" s="819"/>
      <c r="AT44" s="819"/>
      <c r="AU44" s="819"/>
      <c r="AV44" s="819"/>
      <c r="AW44" s="819"/>
      <c r="AX44" s="819"/>
      <c r="AY44" s="819"/>
      <c r="AZ44" s="819"/>
      <c r="BA44" s="819"/>
      <c r="BB44" s="819"/>
      <c r="BC44" s="819"/>
      <c r="BD44" s="819"/>
      <c r="BE44" s="819"/>
      <c r="BF44" s="819"/>
      <c r="BG44" s="819"/>
      <c r="BH44" s="819"/>
      <c r="BI44" s="819"/>
      <c r="BJ44" s="819"/>
      <c r="BK44" s="819"/>
      <c r="BL44" s="819"/>
      <c r="BM44" s="819"/>
      <c r="BN44" s="819"/>
      <c r="BO44" s="819"/>
      <c r="BP44" s="819"/>
      <c r="BQ44" s="819"/>
      <c r="BR44" s="819"/>
      <c r="BS44" s="819"/>
      <c r="BT44" s="819"/>
      <c r="BU44" s="819"/>
      <c r="BV44" s="819"/>
      <c r="BW44" s="819"/>
      <c r="BX44" s="819"/>
      <c r="BY44" s="819"/>
      <c r="BZ44" s="819"/>
      <c r="CA44" s="819"/>
      <c r="CB44" s="819"/>
      <c r="CC44" s="819"/>
      <c r="CD44" s="819"/>
      <c r="CE44" s="819"/>
      <c r="CF44" s="819"/>
      <c r="CG44" s="819"/>
      <c r="CH44" s="819"/>
      <c r="CI44" s="819"/>
      <c r="CJ44" s="819"/>
      <c r="CK44" s="819"/>
      <c r="CL44" s="819"/>
      <c r="CM44" s="819"/>
      <c r="CN44" s="819"/>
      <c r="CO44" s="819"/>
      <c r="CP44" s="819"/>
      <c r="CQ44" s="819"/>
      <c r="CR44" s="819"/>
      <c r="CS44" s="819"/>
      <c r="CT44" s="819"/>
      <c r="CU44" s="819"/>
      <c r="CV44" s="819"/>
      <c r="CW44" s="819"/>
      <c r="CX44" s="819"/>
      <c r="CY44" s="819"/>
      <c r="CZ44" s="819"/>
      <c r="DA44" s="819"/>
      <c r="DB44" s="819"/>
      <c r="DC44" s="819"/>
      <c r="DD44" s="361"/>
      <c r="DE44" s="361"/>
      <c r="DF44" s="361"/>
      <c r="DG44" s="361"/>
      <c r="DH44" s="361"/>
      <c r="DI44" s="361"/>
      <c r="DJ44" s="361"/>
      <c r="DK44" s="361"/>
      <c r="DL44" s="361"/>
      <c r="DM44" s="361"/>
      <c r="DN44" s="361"/>
      <c r="DO44" s="361"/>
      <c r="DP44" s="361"/>
      <c r="DQ44" s="361"/>
      <c r="DR44" s="361"/>
      <c r="DS44" s="361"/>
      <c r="DT44" s="361"/>
      <c r="DU44" s="361"/>
      <c r="DV44" s="361"/>
      <c r="DW44" s="361"/>
      <c r="DX44" s="361"/>
      <c r="DY44" s="361"/>
      <c r="DZ44" s="361"/>
      <c r="EA44" s="361"/>
      <c r="EB44" s="361"/>
      <c r="EC44" s="361"/>
      <c r="ED44" s="361"/>
      <c r="EE44" s="361"/>
      <c r="EF44" s="361"/>
      <c r="EG44" s="361"/>
      <c r="EH44" s="361"/>
      <c r="EI44" s="361"/>
      <c r="EJ44" s="361"/>
      <c r="EK44" s="361"/>
      <c r="EL44" s="361"/>
      <c r="EM44" s="361"/>
      <c r="EN44" s="361"/>
      <c r="EO44" s="361"/>
      <c r="EQ44" s="818"/>
      <c r="ER44" s="818"/>
      <c r="ES44" s="320"/>
    </row>
    <row r="45" spans="1:163" ht="13.9" customHeight="1" x14ac:dyDescent="0.2">
      <c r="A45" s="354" t="s">
        <v>113</v>
      </c>
      <c r="B45" s="317">
        <f t="shared" ref="B45:AG45" si="33">B7/B42</f>
        <v>109282.26711461571</v>
      </c>
      <c r="C45" s="317">
        <f t="shared" si="33"/>
        <v>108255.62060377841</v>
      </c>
      <c r="D45" s="317">
        <f t="shared" si="33"/>
        <v>110463.57487501964</v>
      </c>
      <c r="E45" s="317">
        <f t="shared" si="33"/>
        <v>107460.42548633662</v>
      </c>
      <c r="F45" s="317">
        <f t="shared" si="33"/>
        <v>111068.78290592044</v>
      </c>
      <c r="G45" s="317">
        <f t="shared" si="33"/>
        <v>112243.57472605688</v>
      </c>
      <c r="H45" s="317">
        <f t="shared" si="33"/>
        <v>114020.50351334465</v>
      </c>
      <c r="I45" s="317">
        <f t="shared" si="33"/>
        <v>112423.29375027942</v>
      </c>
      <c r="J45" s="317">
        <f t="shared" si="33"/>
        <v>115259.91511300598</v>
      </c>
      <c r="K45" s="317">
        <f t="shared" si="33"/>
        <v>114765.1410939645</v>
      </c>
      <c r="L45" s="317">
        <f t="shared" si="33"/>
        <v>119571.76586415351</v>
      </c>
      <c r="M45" s="317">
        <f t="shared" si="33"/>
        <v>122019.69730381038</v>
      </c>
      <c r="N45" s="317">
        <f t="shared" si="33"/>
        <v>111679.53730803284</v>
      </c>
      <c r="O45" s="317">
        <f t="shared" si="33"/>
        <v>111509.79530267975</v>
      </c>
      <c r="P45" s="317">
        <f t="shared" si="33"/>
        <v>113110.8123627109</v>
      </c>
      <c r="Q45" s="317">
        <f t="shared" si="33"/>
        <v>109874.8181803855</v>
      </c>
      <c r="R45" s="317">
        <f t="shared" si="33"/>
        <v>116805.9442834599</v>
      </c>
      <c r="S45" s="317">
        <f t="shared" si="33"/>
        <v>122991.72325948993</v>
      </c>
      <c r="T45" s="317">
        <f t="shared" si="33"/>
        <v>125683.82017451139</v>
      </c>
      <c r="U45" s="317">
        <f t="shared" si="33"/>
        <v>132156.90324846664</v>
      </c>
      <c r="V45" s="317">
        <f t="shared" si="33"/>
        <v>133207.85875981912</v>
      </c>
      <c r="W45" s="320">
        <f t="shared" si="33"/>
        <v>135814.55111088828</v>
      </c>
      <c r="X45" s="320">
        <f t="shared" si="33"/>
        <v>139897.17393065291</v>
      </c>
      <c r="Y45" s="320">
        <f t="shared" si="33"/>
        <v>147866.6287242095</v>
      </c>
      <c r="Z45" s="320">
        <f t="shared" si="33"/>
        <v>187944.01019717424</v>
      </c>
      <c r="AA45" s="320">
        <f t="shared" si="33"/>
        <v>181209.13424724081</v>
      </c>
      <c r="AB45" s="320">
        <f t="shared" si="33"/>
        <v>195300.26807725907</v>
      </c>
      <c r="AC45" s="320">
        <f t="shared" si="33"/>
        <v>191719.03754176549</v>
      </c>
      <c r="AD45" s="320">
        <f t="shared" si="33"/>
        <v>207174.06889850576</v>
      </c>
      <c r="AE45" s="320">
        <f t="shared" si="33"/>
        <v>217445.75297091398</v>
      </c>
      <c r="AF45" s="320">
        <f t="shared" si="33"/>
        <v>224846.40291746639</v>
      </c>
      <c r="AG45" s="320">
        <f t="shared" si="33"/>
        <v>238952.60567142363</v>
      </c>
      <c r="AH45" s="320">
        <f t="shared" ref="AH45:BM45" si="34">AH7/AH42</f>
        <v>236138.07636628556</v>
      </c>
      <c r="AI45" s="320">
        <f t="shared" si="34"/>
        <v>227719.27076830107</v>
      </c>
      <c r="AJ45" s="320">
        <f t="shared" si="34"/>
        <v>223152.46413328283</v>
      </c>
      <c r="AK45" s="320">
        <f t="shared" si="34"/>
        <v>235537.17078404038</v>
      </c>
      <c r="AL45" s="320">
        <f t="shared" si="34"/>
        <v>222277.93350138279</v>
      </c>
      <c r="AM45" s="320">
        <f t="shared" si="34"/>
        <v>215440.92711879598</v>
      </c>
      <c r="AN45" s="320">
        <f t="shared" si="34"/>
        <v>209781.64253994878</v>
      </c>
      <c r="AO45" s="320">
        <f t="shared" si="34"/>
        <v>205366.42455186104</v>
      </c>
      <c r="AP45" s="320">
        <f t="shared" si="34"/>
        <v>214183.58186489501</v>
      </c>
      <c r="AQ45" s="320">
        <f t="shared" si="34"/>
        <v>220220.27382156768</v>
      </c>
      <c r="AR45" s="320">
        <f t="shared" si="34"/>
        <v>222189.00913266226</v>
      </c>
      <c r="AS45" s="320">
        <f t="shared" si="34"/>
        <v>219064.58854046051</v>
      </c>
      <c r="AT45" s="320">
        <f t="shared" si="34"/>
        <v>232081.32480378877</v>
      </c>
      <c r="AU45" s="320">
        <f t="shared" si="34"/>
        <v>229139.70424803096</v>
      </c>
      <c r="AV45" s="320">
        <f t="shared" si="34"/>
        <v>229910.98129804333</v>
      </c>
      <c r="AW45" s="320">
        <f t="shared" si="34"/>
        <v>236856.74597455194</v>
      </c>
      <c r="AX45" s="320">
        <f t="shared" si="34"/>
        <v>225036.49274205076</v>
      </c>
      <c r="AY45" s="320">
        <f t="shared" si="34"/>
        <v>224715.06063804345</v>
      </c>
      <c r="AZ45" s="320">
        <f t="shared" si="34"/>
        <v>244132.54750154857</v>
      </c>
      <c r="BA45" s="320">
        <f t="shared" si="34"/>
        <v>231308.61485909144</v>
      </c>
      <c r="BB45" s="320">
        <f t="shared" si="34"/>
        <v>239176.34077421163</v>
      </c>
      <c r="BC45" s="320">
        <f t="shared" si="34"/>
        <v>242367.05783900863</v>
      </c>
      <c r="BD45" s="320">
        <f t="shared" si="34"/>
        <v>250827.34304524271</v>
      </c>
      <c r="BE45" s="320">
        <f t="shared" si="34"/>
        <v>245114.10144404625</v>
      </c>
      <c r="BF45" s="320">
        <f t="shared" si="34"/>
        <v>237852.14856229562</v>
      </c>
      <c r="BG45" s="320">
        <f t="shared" si="34"/>
        <v>249978.12084062104</v>
      </c>
      <c r="BH45" s="320">
        <f t="shared" si="34"/>
        <v>251234.23918275049</v>
      </c>
      <c r="BI45" s="320">
        <f t="shared" si="34"/>
        <v>250830.35475726321</v>
      </c>
      <c r="BJ45" s="320">
        <f t="shared" si="34"/>
        <v>452774.26677342865</v>
      </c>
      <c r="BK45" s="320">
        <f t="shared" si="34"/>
        <v>468156.88819128484</v>
      </c>
      <c r="BL45" s="320">
        <f t="shared" si="34"/>
        <v>461981.89018030599</v>
      </c>
      <c r="BM45" s="320">
        <f t="shared" si="34"/>
        <v>480272.64277073182</v>
      </c>
      <c r="BN45" s="320">
        <f t="shared" ref="BN45:CS45" si="35">BN7/BN42</f>
        <v>493153.11632224382</v>
      </c>
      <c r="BO45" s="320">
        <f t="shared" si="35"/>
        <v>497626.36826630979</v>
      </c>
      <c r="BP45" s="320">
        <f t="shared" si="35"/>
        <v>511809.65980102582</v>
      </c>
      <c r="BQ45" s="320">
        <f t="shared" si="35"/>
        <v>520526.48125522211</v>
      </c>
      <c r="BR45" s="320">
        <f t="shared" si="35"/>
        <v>520595.67724844976</v>
      </c>
      <c r="BS45" s="320">
        <f t="shared" si="35"/>
        <v>507214.83820156701</v>
      </c>
      <c r="BT45" s="320">
        <f t="shared" si="35"/>
        <v>509352.24625845446</v>
      </c>
      <c r="BU45" s="320">
        <f t="shared" si="35"/>
        <v>547171.10864764696</v>
      </c>
      <c r="BV45" s="320">
        <f t="shared" si="35"/>
        <v>534614.20838562201</v>
      </c>
      <c r="BW45" s="320">
        <f t="shared" si="35"/>
        <v>518267.25907023915</v>
      </c>
      <c r="BX45" s="320">
        <f t="shared" si="35"/>
        <v>575002.8783761391</v>
      </c>
      <c r="BY45" s="320">
        <f t="shared" si="35"/>
        <v>581932.21993250737</v>
      </c>
      <c r="BZ45" s="320">
        <f t="shared" si="35"/>
        <v>593380.75615037582</v>
      </c>
      <c r="CA45" s="320">
        <f t="shared" si="35"/>
        <v>592584.88800048106</v>
      </c>
      <c r="CB45" s="320">
        <f t="shared" si="35"/>
        <v>618111.02632755239</v>
      </c>
      <c r="CC45" s="320">
        <f t="shared" si="35"/>
        <v>578986.76899651426</v>
      </c>
      <c r="CD45" s="320">
        <f t="shared" si="35"/>
        <v>585041.97608576098</v>
      </c>
      <c r="CE45" s="320">
        <f t="shared" si="35"/>
        <v>579046.0790553668</v>
      </c>
      <c r="CF45" s="320">
        <f t="shared" si="35"/>
        <v>574733.00957845105</v>
      </c>
      <c r="CG45" s="320">
        <f t="shared" si="35"/>
        <v>620323.47694819386</v>
      </c>
      <c r="CH45" s="320">
        <f t="shared" si="35"/>
        <v>634135.21943284734</v>
      </c>
      <c r="CI45" s="320">
        <f t="shared" si="35"/>
        <v>616001.18062687851</v>
      </c>
      <c r="CJ45" s="320">
        <f t="shared" si="35"/>
        <v>606385.10675960546</v>
      </c>
      <c r="CK45" s="320">
        <f t="shared" si="35"/>
        <v>595004.46140735957</v>
      </c>
      <c r="CL45" s="320">
        <f t="shared" si="35"/>
        <v>609493.2902682639</v>
      </c>
      <c r="CM45" s="320">
        <f t="shared" si="35"/>
        <v>625415.37356878398</v>
      </c>
      <c r="CN45" s="320">
        <f t="shared" si="35"/>
        <v>644142.26921918325</v>
      </c>
      <c r="CO45" s="320">
        <f t="shared" si="35"/>
        <v>644426.17104379495</v>
      </c>
      <c r="CP45" s="320">
        <f t="shared" si="35"/>
        <v>646247.88895110518</v>
      </c>
      <c r="CQ45" s="320">
        <f t="shared" si="35"/>
        <v>647084.28349752421</v>
      </c>
      <c r="CR45" s="320">
        <f t="shared" si="35"/>
        <v>656723.03888210864</v>
      </c>
      <c r="CS45" s="320">
        <f t="shared" si="35"/>
        <v>674692.65948610008</v>
      </c>
      <c r="CT45" s="320">
        <f t="shared" ref="CT45:ED45" si="36">CT7/CT42</f>
        <v>638507.27897657815</v>
      </c>
      <c r="CU45" s="320">
        <f t="shared" si="36"/>
        <v>615175.52351326891</v>
      </c>
      <c r="CV45" s="320">
        <f t="shared" si="36"/>
        <v>606402.72747499798</v>
      </c>
      <c r="CW45" s="320">
        <f t="shared" si="36"/>
        <v>609604.46524188749</v>
      </c>
      <c r="CX45" s="320">
        <f t="shared" si="36"/>
        <v>631066.77225925645</v>
      </c>
      <c r="CY45" s="320">
        <f t="shared" si="36"/>
        <v>652822.0007831431</v>
      </c>
      <c r="CZ45" s="320">
        <f t="shared" si="36"/>
        <v>677964.77566711837</v>
      </c>
      <c r="DA45" s="320">
        <f t="shared" si="36"/>
        <v>690043.72034616093</v>
      </c>
      <c r="DB45" s="320">
        <f t="shared" si="36"/>
        <v>705691.04102757364</v>
      </c>
      <c r="DC45" s="320">
        <f t="shared" si="36"/>
        <v>695361.48156002886</v>
      </c>
      <c r="DD45" s="320">
        <f t="shared" si="36"/>
        <v>720457.5899313878</v>
      </c>
      <c r="DE45" s="320">
        <f t="shared" si="36"/>
        <v>751693.67978971428</v>
      </c>
      <c r="DF45" s="320">
        <f t="shared" si="36"/>
        <v>728053.41097741085</v>
      </c>
      <c r="DG45" s="320">
        <f t="shared" si="36"/>
        <v>710692.47833598673</v>
      </c>
      <c r="DH45" s="320">
        <f t="shared" si="36"/>
        <v>688568.11975336401</v>
      </c>
      <c r="DI45" s="320">
        <f t="shared" si="36"/>
        <v>691109.27708814258</v>
      </c>
      <c r="DJ45" s="320">
        <f t="shared" si="36"/>
        <v>716661.03591407568</v>
      </c>
      <c r="DK45" s="320">
        <f t="shared" si="36"/>
        <v>727675.95682649594</v>
      </c>
      <c r="DL45" s="320">
        <f t="shared" si="36"/>
        <v>760897.54819273378</v>
      </c>
      <c r="DM45" s="320">
        <f t="shared" si="36"/>
        <v>753585.91306905332</v>
      </c>
      <c r="DN45" s="320">
        <f t="shared" si="36"/>
        <v>746726.68771351851</v>
      </c>
      <c r="DO45" s="320">
        <f t="shared" si="36"/>
        <v>755008.93888392148</v>
      </c>
      <c r="DP45" s="320">
        <f t="shared" si="36"/>
        <v>766085.084468671</v>
      </c>
      <c r="DQ45" s="320">
        <f t="shared" si="36"/>
        <v>810566.0072925986</v>
      </c>
      <c r="DR45" s="320">
        <f t="shared" si="36"/>
        <v>784598.75857656507</v>
      </c>
      <c r="DS45" s="320">
        <f t="shared" si="36"/>
        <v>760960.2971686481</v>
      </c>
      <c r="DT45" s="320">
        <f t="shared" si="36"/>
        <v>724581.58124860341</v>
      </c>
      <c r="DU45" s="320">
        <f t="shared" si="36"/>
        <v>717982.00349941012</v>
      </c>
      <c r="DV45" s="320">
        <f t="shared" si="36"/>
        <v>746400.34645383258</v>
      </c>
      <c r="DW45" s="320">
        <f t="shared" si="36"/>
        <v>771432.31755881105</v>
      </c>
      <c r="DX45" s="320">
        <f t="shared" si="36"/>
        <v>795682.67998823186</v>
      </c>
      <c r="DY45" s="320">
        <f t="shared" si="36"/>
        <v>817502.88073394948</v>
      </c>
      <c r="DZ45" s="320">
        <f t="shared" si="36"/>
        <v>828143.97032303957</v>
      </c>
      <c r="EA45" s="320">
        <f t="shared" si="36"/>
        <v>838599.08512680791</v>
      </c>
      <c r="EB45" s="320">
        <f t="shared" si="36"/>
        <v>849044.92387265456</v>
      </c>
      <c r="EC45" s="320">
        <f t="shared" si="36"/>
        <v>870810.81075646472</v>
      </c>
      <c r="ED45" s="320">
        <f t="shared" si="36"/>
        <v>825914.93394372531</v>
      </c>
      <c r="EE45" s="320"/>
      <c r="EF45" s="320"/>
      <c r="EG45" s="320"/>
      <c r="EH45" s="320"/>
      <c r="EI45" s="320"/>
      <c r="EJ45" s="320"/>
      <c r="EK45" s="320"/>
      <c r="EL45" s="320"/>
      <c r="EM45" s="320"/>
      <c r="EN45" s="320"/>
      <c r="EO45" s="320"/>
      <c r="EQ45" s="320"/>
    </row>
    <row r="46" spans="1:163" ht="13.9" customHeight="1" x14ac:dyDescent="0.2">
      <c r="A46" s="317" t="s">
        <v>352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361"/>
      <c r="AB46" s="361"/>
      <c r="AC46" s="361"/>
      <c r="AD46" s="361"/>
      <c r="AE46" s="361"/>
      <c r="AF46" s="361"/>
      <c r="AG46" s="361"/>
      <c r="AH46" s="361"/>
      <c r="AI46" s="361"/>
      <c r="AJ46" s="361"/>
      <c r="AK46" s="361"/>
      <c r="AL46" s="361"/>
      <c r="AM46" s="361"/>
      <c r="AN46" s="361"/>
      <c r="AO46" s="361"/>
      <c r="AP46" s="361"/>
      <c r="AQ46" s="361"/>
      <c r="AR46" s="361"/>
      <c r="AS46" s="361"/>
      <c r="AT46" s="361"/>
      <c r="AU46" s="361"/>
      <c r="AV46" s="361"/>
      <c r="AW46" s="361"/>
      <c r="AX46" s="361"/>
      <c r="AY46" s="361"/>
      <c r="AZ46" s="361"/>
      <c r="BA46" s="361"/>
      <c r="BB46" s="361"/>
      <c r="BC46" s="361"/>
      <c r="BD46" s="361"/>
      <c r="BE46" s="361"/>
      <c r="BF46" s="361"/>
      <c r="BG46" s="361"/>
      <c r="BH46" s="361"/>
      <c r="BI46" s="361"/>
      <c r="BJ46" s="361"/>
      <c r="BK46" s="361"/>
      <c r="BL46" s="361"/>
      <c r="BM46" s="361"/>
      <c r="BN46" s="361"/>
      <c r="BO46" s="361"/>
      <c r="BP46" s="361"/>
      <c r="BQ46" s="361"/>
      <c r="BR46" s="361"/>
      <c r="BS46" s="361"/>
      <c r="BT46" s="361"/>
      <c r="BU46" s="361"/>
      <c r="BV46" s="361"/>
      <c r="BW46" s="361"/>
      <c r="BX46" s="361"/>
      <c r="BY46" s="361"/>
      <c r="BZ46" s="361"/>
      <c r="CA46" s="361"/>
      <c r="CB46" s="361"/>
      <c r="CC46" s="361"/>
      <c r="CD46" s="361"/>
      <c r="CE46" s="361"/>
      <c r="CF46" s="361"/>
      <c r="CG46" s="361"/>
      <c r="CH46" s="361"/>
      <c r="CI46" s="361"/>
      <c r="CJ46" s="361"/>
      <c r="CK46" s="361"/>
      <c r="CL46" s="361"/>
      <c r="CM46" s="361"/>
      <c r="CN46" s="361"/>
      <c r="CO46" s="361"/>
      <c r="CP46" s="361"/>
      <c r="CQ46" s="361"/>
      <c r="CR46" s="361"/>
      <c r="CS46" s="361"/>
      <c r="CT46" s="361"/>
      <c r="CU46" s="361"/>
      <c r="CV46" s="361"/>
      <c r="CW46" s="361"/>
      <c r="CX46" s="361"/>
      <c r="CY46" s="361"/>
      <c r="CZ46" s="361"/>
      <c r="DA46" s="361"/>
      <c r="DB46" s="361"/>
      <c r="DC46" s="361"/>
      <c r="DD46" s="361"/>
      <c r="DE46" s="361"/>
      <c r="DF46" s="361"/>
      <c r="DG46" s="361"/>
      <c r="DH46" s="361"/>
      <c r="DI46" s="361"/>
      <c r="DJ46" s="361"/>
      <c r="DK46" s="361"/>
      <c r="DL46" s="361"/>
      <c r="DM46" s="361"/>
      <c r="DN46" s="361"/>
      <c r="DO46" s="361"/>
      <c r="DP46" s="361"/>
      <c r="DQ46" s="361"/>
      <c r="DR46" s="361"/>
      <c r="DS46" s="361"/>
      <c r="DT46" s="361"/>
      <c r="DU46" s="361"/>
      <c r="DV46" s="361"/>
      <c r="DW46" s="361"/>
      <c r="DX46" s="361"/>
      <c r="DY46" s="361"/>
      <c r="DZ46" s="361"/>
      <c r="EA46" s="361"/>
      <c r="EB46" s="361"/>
      <c r="EC46" s="361"/>
      <c r="ED46" s="361"/>
      <c r="EE46" s="361"/>
      <c r="EF46" s="361"/>
      <c r="EG46" s="361"/>
      <c r="EH46" s="361"/>
      <c r="EI46" s="361"/>
      <c r="EJ46" s="361"/>
      <c r="EK46" s="361"/>
      <c r="EL46" s="361"/>
      <c r="EM46" s="361"/>
      <c r="EN46" s="361"/>
      <c r="EO46" s="361"/>
    </row>
    <row r="47" spans="1:163" ht="13.9" customHeight="1" x14ac:dyDescent="0.2">
      <c r="A47" s="317" t="s">
        <v>352</v>
      </c>
      <c r="B47" s="779"/>
      <c r="C47" s="779"/>
      <c r="D47" s="779"/>
      <c r="E47" s="779"/>
      <c r="F47" s="779"/>
      <c r="G47" s="779"/>
      <c r="H47" s="779"/>
      <c r="I47" s="779"/>
      <c r="J47" s="779"/>
      <c r="K47" s="779"/>
      <c r="L47" s="779"/>
      <c r="M47" s="779"/>
      <c r="N47" s="779"/>
      <c r="O47" s="779"/>
      <c r="P47" s="779"/>
      <c r="Q47" s="779"/>
      <c r="R47" s="779"/>
      <c r="S47" s="779"/>
      <c r="T47" s="779"/>
      <c r="U47" s="779"/>
      <c r="V47" s="779"/>
      <c r="W47" s="779"/>
      <c r="X47" s="779"/>
      <c r="Y47" s="779"/>
      <c r="Z47" s="779"/>
      <c r="AA47" s="779"/>
      <c r="AB47" s="779"/>
      <c r="AC47" s="779"/>
      <c r="AD47" s="779"/>
      <c r="AE47" s="779"/>
      <c r="AF47" s="779"/>
      <c r="AG47" s="779"/>
      <c r="AH47" s="779"/>
      <c r="AI47" s="779"/>
      <c r="AJ47" s="779"/>
      <c r="AK47" s="779"/>
      <c r="AL47" s="779"/>
      <c r="AM47" s="779"/>
      <c r="AN47" s="779"/>
      <c r="AO47" s="779"/>
      <c r="AP47" s="779"/>
      <c r="AQ47" s="779"/>
      <c r="AR47" s="779"/>
      <c r="AS47" s="779"/>
      <c r="AT47" s="779"/>
      <c r="AU47" s="779"/>
      <c r="AV47" s="779"/>
      <c r="AW47" s="779"/>
      <c r="AX47" s="779"/>
      <c r="AY47" s="779"/>
      <c r="AZ47" s="779"/>
      <c r="BA47" s="779"/>
      <c r="BB47" s="779"/>
      <c r="BC47" s="779"/>
      <c r="BD47" s="779"/>
      <c r="BE47" s="779"/>
      <c r="BF47" s="779"/>
      <c r="BG47" s="779"/>
      <c r="BH47" s="779"/>
      <c r="BI47" s="779"/>
      <c r="BJ47" s="779"/>
      <c r="BK47" s="779"/>
      <c r="BL47" s="779"/>
      <c r="BM47" s="779"/>
      <c r="BN47" s="779"/>
      <c r="BO47" s="779"/>
      <c r="BP47" s="779"/>
      <c r="BQ47" s="779"/>
      <c r="BR47" s="779"/>
      <c r="BS47" s="779"/>
      <c r="BT47" s="779"/>
      <c r="BU47" s="779"/>
      <c r="BV47" s="779"/>
      <c r="BW47" s="779"/>
      <c r="BX47" s="779"/>
      <c r="BY47" s="779"/>
      <c r="BZ47" s="779"/>
      <c r="CA47" s="779"/>
      <c r="CB47" s="779"/>
      <c r="CC47" s="779"/>
      <c r="CD47" s="779"/>
      <c r="CE47" s="779"/>
      <c r="CF47" s="779"/>
      <c r="CG47" s="779"/>
      <c r="CH47" s="779"/>
      <c r="CI47" s="779"/>
      <c r="CJ47" s="779"/>
      <c r="CK47" s="779"/>
      <c r="CL47" s="779"/>
      <c r="CM47" s="779"/>
      <c r="CN47" s="779"/>
      <c r="CO47" s="779"/>
      <c r="CP47" s="779"/>
      <c r="CQ47" s="779"/>
      <c r="CR47" s="779"/>
      <c r="CS47" s="779"/>
      <c r="CT47" s="779"/>
      <c r="CU47" s="779"/>
      <c r="CV47" s="779"/>
      <c r="CW47" s="779"/>
      <c r="CX47" s="779"/>
      <c r="CY47" s="779"/>
      <c r="CZ47" s="779"/>
      <c r="DA47" s="779"/>
      <c r="DB47" s="779"/>
      <c r="DC47" s="779"/>
      <c r="DD47" s="779"/>
      <c r="DE47" s="779"/>
      <c r="DF47" s="779"/>
      <c r="DG47" s="779"/>
      <c r="DH47" s="779"/>
      <c r="DI47" s="779"/>
      <c r="DJ47" s="779"/>
      <c r="DK47" s="779"/>
      <c r="DL47" s="779"/>
      <c r="DM47" s="779"/>
      <c r="DN47" s="779"/>
      <c r="DO47" s="779"/>
      <c r="DP47" s="779"/>
      <c r="DQ47" s="779"/>
      <c r="DR47" s="779"/>
      <c r="DS47" s="779"/>
      <c r="DT47" s="779"/>
      <c r="DU47" s="779"/>
      <c r="DV47" s="779"/>
      <c r="DW47" s="779"/>
      <c r="DX47" s="779"/>
      <c r="DY47" s="779"/>
      <c r="DZ47" s="779"/>
      <c r="EA47" s="779"/>
      <c r="EB47" s="779"/>
      <c r="EC47" s="779"/>
      <c r="ED47" s="779"/>
      <c r="EE47" s="779"/>
      <c r="EF47" s="779"/>
      <c r="EG47" s="779"/>
      <c r="EH47" s="779"/>
      <c r="EI47" s="779"/>
      <c r="EJ47" s="779"/>
      <c r="EK47" s="779"/>
      <c r="EL47" s="779"/>
      <c r="EM47" s="779"/>
      <c r="EN47" s="779"/>
      <c r="EO47" s="779"/>
    </row>
  </sheetData>
  <printOptions horizontalCentered="1" verticalCentered="1"/>
  <pageMargins left="0.74803149606299213" right="0.74803149606299213" top="0.98425196850393704" bottom="0.98425196850393704" header="0" footer="0"/>
  <pageSetup paperSize="9" scale="10" orientation="landscape" r:id="rId1"/>
  <headerFooter alignWithMargins="0"/>
  <colBreaks count="1" manualBreakCount="1">
    <brk id="109" max="4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Q28"/>
  <sheetViews>
    <sheetView showGridLines="0" view="pageBreakPreview" zoomScaleNormal="75" zoomScaleSheetLayoutView="100" workbookViewId="0">
      <pane xSplit="1" topLeftCell="CT1" activePane="topRight" state="frozen"/>
      <selection activeCell="IB59" sqref="IB59:JB59"/>
      <selection pane="topRight" activeCell="IB59" sqref="IB59:JB59"/>
    </sheetView>
  </sheetViews>
  <sheetFormatPr baseColWidth="10" defaultColWidth="8.7109375" defaultRowHeight="13.9" customHeight="1" x14ac:dyDescent="0.2"/>
  <cols>
    <col min="1" max="1" width="30.7109375" style="105" customWidth="1"/>
    <col min="2" max="108" width="8.85546875" style="105" customWidth="1"/>
    <col min="109" max="110" width="9.140625" style="105" customWidth="1"/>
    <col min="111" max="113" width="8.85546875" style="105" customWidth="1"/>
    <col min="114" max="145" width="9.140625" style="105" customWidth="1"/>
    <col min="146" max="147" width="8.85546875" style="105" customWidth="1"/>
    <col min="148" max="16384" width="8.7109375" style="105"/>
  </cols>
  <sheetData>
    <row r="1" spans="1:147" ht="13.9" customHeight="1" x14ac:dyDescent="0.2">
      <c r="A1" s="184" t="s">
        <v>224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  <c r="CF1" s="208"/>
      <c r="CG1" s="208"/>
      <c r="CH1" s="208"/>
      <c r="CI1" s="208"/>
      <c r="CJ1" s="208"/>
      <c r="CK1" s="208"/>
      <c r="CL1" s="208"/>
      <c r="CM1" s="208"/>
      <c r="CN1" s="208"/>
      <c r="CO1" s="208"/>
      <c r="CP1" s="208"/>
      <c r="CQ1" s="208"/>
      <c r="CR1" s="208"/>
      <c r="CS1" s="208"/>
      <c r="CT1" s="208"/>
      <c r="CU1" s="208"/>
      <c r="CV1" s="208"/>
      <c r="CW1" s="208"/>
      <c r="CX1" s="208"/>
      <c r="CY1" s="208"/>
      <c r="CZ1" s="208"/>
      <c r="DA1" s="208"/>
      <c r="DB1" s="208"/>
      <c r="DC1" s="208"/>
      <c r="DD1" s="208"/>
      <c r="DE1" s="208"/>
      <c r="DF1" s="208"/>
      <c r="DG1" s="208"/>
      <c r="DH1" s="208"/>
      <c r="DI1" s="208"/>
      <c r="DJ1" s="208"/>
      <c r="DK1" s="208"/>
      <c r="DL1" s="208"/>
      <c r="DM1" s="208"/>
      <c r="DN1" s="208"/>
      <c r="DO1" s="208"/>
      <c r="DP1" s="208"/>
      <c r="DQ1" s="208"/>
      <c r="DR1" s="208"/>
      <c r="DS1" s="208"/>
      <c r="DT1" s="208"/>
      <c r="DU1" s="208"/>
      <c r="DV1" s="208"/>
      <c r="DW1" s="208"/>
      <c r="DX1" s="208"/>
      <c r="DY1" s="208"/>
      <c r="DZ1" s="208"/>
      <c r="EA1" s="208"/>
      <c r="EB1" s="208"/>
      <c r="EC1" s="208"/>
      <c r="ED1" s="208"/>
      <c r="EE1" s="208"/>
      <c r="EF1" s="208"/>
      <c r="EG1" s="208"/>
      <c r="EH1" s="208"/>
      <c r="EI1" s="208"/>
      <c r="EJ1" s="208"/>
      <c r="EK1" s="208"/>
      <c r="EL1" s="208"/>
      <c r="EM1" s="208"/>
      <c r="EN1" s="208"/>
      <c r="EO1" s="208"/>
      <c r="EP1" s="208"/>
      <c r="EQ1" s="208"/>
    </row>
    <row r="2" spans="1:147" ht="13.9" customHeight="1" x14ac:dyDescent="0.2">
      <c r="A2" s="184" t="s">
        <v>154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8"/>
      <c r="BH2" s="208"/>
      <c r="BI2" s="208"/>
      <c r="BJ2" s="208"/>
      <c r="BK2" s="208"/>
      <c r="BL2" s="208"/>
      <c r="BM2" s="208"/>
      <c r="BN2" s="208"/>
      <c r="BO2" s="208"/>
      <c r="BP2" s="208"/>
      <c r="BQ2" s="208"/>
      <c r="BR2" s="208"/>
      <c r="BS2" s="208"/>
      <c r="BT2" s="208"/>
      <c r="BU2" s="208"/>
      <c r="BV2" s="208"/>
      <c r="BW2" s="208"/>
      <c r="BX2" s="208"/>
      <c r="BY2" s="208"/>
      <c r="BZ2" s="208"/>
      <c r="CA2" s="208"/>
      <c r="CB2" s="208"/>
      <c r="CC2" s="208"/>
      <c r="CD2" s="208"/>
      <c r="CE2" s="208"/>
      <c r="CF2" s="208"/>
      <c r="CG2" s="208"/>
      <c r="CH2" s="208"/>
      <c r="CI2" s="208"/>
      <c r="CJ2" s="208"/>
      <c r="CK2" s="208"/>
      <c r="CL2" s="208"/>
      <c r="CM2" s="208"/>
      <c r="CN2" s="208"/>
      <c r="CO2" s="208"/>
      <c r="CP2" s="208"/>
      <c r="CQ2" s="208"/>
      <c r="CR2" s="208"/>
      <c r="CS2" s="208"/>
      <c r="CT2" s="208"/>
      <c r="CU2" s="208"/>
      <c r="CV2" s="208"/>
      <c r="CW2" s="208"/>
      <c r="CX2" s="208"/>
      <c r="CY2" s="208"/>
      <c r="CZ2" s="208"/>
      <c r="DA2" s="208"/>
      <c r="DB2" s="208"/>
      <c r="DC2" s="208"/>
      <c r="DD2" s="208"/>
      <c r="DE2" s="208"/>
      <c r="DF2" s="208"/>
      <c r="DG2" s="208"/>
      <c r="DH2" s="208"/>
      <c r="DI2" s="208"/>
      <c r="DJ2" s="208"/>
      <c r="DK2" s="208"/>
      <c r="DL2" s="208"/>
      <c r="DM2" s="208"/>
      <c r="DN2" s="208"/>
      <c r="DO2" s="208"/>
      <c r="DP2" s="208"/>
      <c r="DQ2" s="208"/>
      <c r="DR2" s="208"/>
      <c r="DS2" s="208"/>
      <c r="DT2" s="208"/>
      <c r="DU2" s="208"/>
      <c r="DV2" s="208"/>
      <c r="DW2" s="208"/>
      <c r="DX2" s="208"/>
      <c r="DY2" s="208"/>
      <c r="DZ2" s="208"/>
      <c r="EA2" s="208"/>
      <c r="EB2" s="208"/>
      <c r="EC2" s="208"/>
      <c r="ED2" s="208"/>
      <c r="EE2" s="208"/>
      <c r="EF2" s="208"/>
      <c r="EG2" s="208"/>
      <c r="EH2" s="208"/>
      <c r="EI2" s="208"/>
      <c r="EJ2" s="208"/>
      <c r="EK2" s="208"/>
      <c r="EL2" s="208"/>
      <c r="EM2" s="208"/>
      <c r="EN2" s="208"/>
      <c r="EO2" s="208"/>
      <c r="EP2" s="208"/>
      <c r="EQ2" s="208"/>
    </row>
    <row r="3" spans="1:147" ht="13.9" customHeight="1" x14ac:dyDescent="0.2">
      <c r="A3" s="213" t="s">
        <v>384</v>
      </c>
      <c r="B3" s="208"/>
      <c r="C3" s="751"/>
      <c r="D3" s="751"/>
      <c r="E3" s="751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8"/>
      <c r="BO3" s="208"/>
      <c r="BP3" s="208"/>
      <c r="BQ3" s="208"/>
      <c r="BR3" s="208"/>
      <c r="BS3" s="208"/>
      <c r="BT3" s="208"/>
      <c r="BU3" s="208"/>
      <c r="BV3" s="208"/>
      <c r="BW3" s="208"/>
      <c r="BX3" s="208"/>
      <c r="BY3" s="208"/>
      <c r="BZ3" s="208"/>
      <c r="CA3" s="208"/>
      <c r="CB3" s="208"/>
      <c r="CC3" s="208"/>
      <c r="CD3" s="208"/>
      <c r="CE3" s="208"/>
      <c r="CF3" s="208"/>
      <c r="CG3" s="208"/>
      <c r="CH3" s="208"/>
      <c r="CI3" s="208"/>
      <c r="CJ3" s="208"/>
      <c r="CK3" s="208"/>
      <c r="CL3" s="208"/>
      <c r="CM3" s="208"/>
      <c r="CN3" s="208"/>
      <c r="CO3" s="208"/>
      <c r="CP3" s="208"/>
      <c r="CQ3" s="208"/>
      <c r="CR3" s="208"/>
      <c r="CS3" s="208"/>
      <c r="CT3" s="208"/>
      <c r="CU3" s="208"/>
      <c r="CV3" s="208"/>
      <c r="CW3" s="208"/>
      <c r="CX3" s="208"/>
      <c r="CY3" s="208"/>
      <c r="CZ3" s="208"/>
      <c r="DA3" s="208"/>
      <c r="DB3" s="208"/>
      <c r="DC3" s="208"/>
      <c r="DD3" s="208"/>
      <c r="DE3" s="208"/>
      <c r="DF3" s="208"/>
      <c r="DG3" s="208"/>
      <c r="DH3" s="208"/>
      <c r="DI3" s="208"/>
      <c r="DJ3" s="208"/>
      <c r="DK3" s="208"/>
      <c r="DL3" s="208"/>
      <c r="DM3" s="208"/>
      <c r="DN3" s="208"/>
      <c r="DO3" s="208"/>
      <c r="DP3" s="208"/>
      <c r="DQ3" s="208"/>
      <c r="DR3" s="208"/>
      <c r="DS3" s="208"/>
      <c r="DT3" s="208"/>
      <c r="DU3" s="208"/>
      <c r="DV3" s="208"/>
      <c r="DW3" s="208"/>
      <c r="DX3" s="208"/>
      <c r="DY3" s="208"/>
      <c r="DZ3" s="208"/>
      <c r="EA3" s="208"/>
      <c r="EB3" s="208"/>
      <c r="EC3" s="208"/>
      <c r="ED3" s="208"/>
      <c r="EE3" s="208"/>
      <c r="EF3" s="208"/>
      <c r="EG3" s="208"/>
      <c r="EH3" s="208"/>
      <c r="EI3" s="208"/>
      <c r="EJ3" s="208"/>
      <c r="EK3" s="208"/>
      <c r="EL3" s="208"/>
      <c r="EM3" s="208"/>
      <c r="EN3" s="208"/>
      <c r="EO3" s="208"/>
      <c r="EP3" s="208"/>
      <c r="EQ3" s="208"/>
    </row>
    <row r="4" spans="1:147" ht="13.9" customHeight="1" x14ac:dyDescent="0.2">
      <c r="A4" s="308"/>
      <c r="B4" s="39">
        <f>YEAR(B5)</f>
        <v>2009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94"/>
      <c r="N4" s="39">
        <f>YEAR(N5)</f>
        <v>2010</v>
      </c>
      <c r="O4" s="40"/>
      <c r="P4" s="40"/>
      <c r="Q4" s="40"/>
      <c r="R4" s="40"/>
      <c r="S4" s="40"/>
      <c r="T4" s="40"/>
      <c r="U4" s="40"/>
      <c r="V4" s="40"/>
      <c r="W4" s="40"/>
      <c r="X4" s="40"/>
      <c r="Y4" s="94"/>
      <c r="Z4" s="39">
        <f>YEAR(Z5)</f>
        <v>2011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94"/>
      <c r="AL4" s="39">
        <f>YEAR(AL5)</f>
        <v>2012</v>
      </c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94"/>
      <c r="AX4" s="39">
        <f>YEAR(AX5)</f>
        <v>2013</v>
      </c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94"/>
      <c r="BJ4" s="39">
        <f>YEAR(BJ5)</f>
        <v>2014</v>
      </c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94"/>
      <c r="BV4" s="39">
        <f>YEAR(BV5)</f>
        <v>2015</v>
      </c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94"/>
      <c r="CH4" s="39">
        <f>YEAR(CH5)</f>
        <v>2016</v>
      </c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94"/>
      <c r="CT4" s="39">
        <f>YEAR(CT5)</f>
        <v>2017</v>
      </c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94"/>
      <c r="DF4" s="39">
        <f>YEAR(DF5)</f>
        <v>2018</v>
      </c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94"/>
      <c r="DR4" s="39">
        <f>YEAR(DR5)</f>
        <v>2019</v>
      </c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94"/>
      <c r="ED4" s="39">
        <f>YEAR(ED5)</f>
        <v>2020</v>
      </c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94"/>
      <c r="EP4" s="820" t="s">
        <v>77</v>
      </c>
      <c r="EQ4" s="821"/>
    </row>
    <row r="5" spans="1:147" ht="13.9" customHeight="1" x14ac:dyDescent="0.2">
      <c r="A5" s="205"/>
      <c r="B5" s="68">
        <v>39814</v>
      </c>
      <c r="C5" s="69">
        <v>39845</v>
      </c>
      <c r="D5" s="69">
        <v>39873</v>
      </c>
      <c r="E5" s="69">
        <v>39904</v>
      </c>
      <c r="F5" s="69">
        <v>39934</v>
      </c>
      <c r="G5" s="69">
        <v>39965</v>
      </c>
      <c r="H5" s="69">
        <v>39995</v>
      </c>
      <c r="I5" s="69">
        <v>40026</v>
      </c>
      <c r="J5" s="69">
        <v>40057</v>
      </c>
      <c r="K5" s="69">
        <v>40087</v>
      </c>
      <c r="L5" s="69">
        <v>40118</v>
      </c>
      <c r="M5" s="138">
        <v>40148</v>
      </c>
      <c r="N5" s="68">
        <v>40179</v>
      </c>
      <c r="O5" s="69">
        <v>40210</v>
      </c>
      <c r="P5" s="69">
        <v>40238</v>
      </c>
      <c r="Q5" s="69">
        <v>40269</v>
      </c>
      <c r="R5" s="69">
        <v>40299</v>
      </c>
      <c r="S5" s="69">
        <v>40330</v>
      </c>
      <c r="T5" s="69">
        <v>40360</v>
      </c>
      <c r="U5" s="69">
        <v>40391</v>
      </c>
      <c r="V5" s="69">
        <v>40422</v>
      </c>
      <c r="W5" s="69">
        <v>40452</v>
      </c>
      <c r="X5" s="69">
        <v>40483</v>
      </c>
      <c r="Y5" s="138">
        <v>40513</v>
      </c>
      <c r="Z5" s="68">
        <v>40544</v>
      </c>
      <c r="AA5" s="69">
        <v>40575</v>
      </c>
      <c r="AB5" s="69">
        <v>40603</v>
      </c>
      <c r="AC5" s="69">
        <v>40634</v>
      </c>
      <c r="AD5" s="69">
        <v>40664</v>
      </c>
      <c r="AE5" s="69">
        <v>40695</v>
      </c>
      <c r="AF5" s="69">
        <v>40725</v>
      </c>
      <c r="AG5" s="69">
        <v>40756</v>
      </c>
      <c r="AH5" s="69">
        <v>40787</v>
      </c>
      <c r="AI5" s="69">
        <v>40817</v>
      </c>
      <c r="AJ5" s="69">
        <v>40848</v>
      </c>
      <c r="AK5" s="138">
        <v>40878</v>
      </c>
      <c r="AL5" s="68">
        <v>40909</v>
      </c>
      <c r="AM5" s="69">
        <v>40940</v>
      </c>
      <c r="AN5" s="69">
        <v>40969</v>
      </c>
      <c r="AO5" s="69">
        <v>41000</v>
      </c>
      <c r="AP5" s="69">
        <v>41030</v>
      </c>
      <c r="AQ5" s="69">
        <v>41061</v>
      </c>
      <c r="AR5" s="69">
        <v>41091</v>
      </c>
      <c r="AS5" s="69">
        <v>41122</v>
      </c>
      <c r="AT5" s="69">
        <v>41153</v>
      </c>
      <c r="AU5" s="69">
        <v>41183</v>
      </c>
      <c r="AV5" s="69">
        <v>41214</v>
      </c>
      <c r="AW5" s="138">
        <v>41244</v>
      </c>
      <c r="AX5" s="68">
        <v>41275</v>
      </c>
      <c r="AY5" s="69">
        <v>41306</v>
      </c>
      <c r="AZ5" s="69">
        <v>41334</v>
      </c>
      <c r="BA5" s="69">
        <v>41365</v>
      </c>
      <c r="BB5" s="69">
        <v>41395</v>
      </c>
      <c r="BC5" s="69">
        <v>41426</v>
      </c>
      <c r="BD5" s="69">
        <v>41456</v>
      </c>
      <c r="BE5" s="69">
        <v>41487</v>
      </c>
      <c r="BF5" s="69">
        <v>41518</v>
      </c>
      <c r="BG5" s="69">
        <v>41548</v>
      </c>
      <c r="BH5" s="69">
        <v>41579</v>
      </c>
      <c r="BI5" s="138">
        <v>41609</v>
      </c>
      <c r="BJ5" s="68">
        <v>41640</v>
      </c>
      <c r="BK5" s="69">
        <v>41671</v>
      </c>
      <c r="BL5" s="69">
        <v>41699</v>
      </c>
      <c r="BM5" s="69">
        <v>41730</v>
      </c>
      <c r="BN5" s="69">
        <v>41760</v>
      </c>
      <c r="BO5" s="69">
        <v>41791</v>
      </c>
      <c r="BP5" s="69">
        <v>41821</v>
      </c>
      <c r="BQ5" s="69">
        <v>41852</v>
      </c>
      <c r="BR5" s="69">
        <v>41883</v>
      </c>
      <c r="BS5" s="69">
        <v>41913</v>
      </c>
      <c r="BT5" s="69">
        <v>41944</v>
      </c>
      <c r="BU5" s="138">
        <v>41974</v>
      </c>
      <c r="BV5" s="68">
        <v>42005</v>
      </c>
      <c r="BW5" s="69">
        <v>42036</v>
      </c>
      <c r="BX5" s="69">
        <v>42064</v>
      </c>
      <c r="BY5" s="69">
        <v>42095</v>
      </c>
      <c r="BZ5" s="69">
        <v>42125</v>
      </c>
      <c r="CA5" s="69">
        <v>42156</v>
      </c>
      <c r="CB5" s="69">
        <v>42186</v>
      </c>
      <c r="CC5" s="69">
        <v>42217</v>
      </c>
      <c r="CD5" s="69">
        <v>42248</v>
      </c>
      <c r="CE5" s="69">
        <v>42278</v>
      </c>
      <c r="CF5" s="69">
        <v>42309</v>
      </c>
      <c r="CG5" s="138">
        <v>42339</v>
      </c>
      <c r="CH5" s="68">
        <v>42370</v>
      </c>
      <c r="CI5" s="69">
        <v>42401</v>
      </c>
      <c r="CJ5" s="69">
        <v>42430</v>
      </c>
      <c r="CK5" s="69">
        <v>42461</v>
      </c>
      <c r="CL5" s="69">
        <v>42491</v>
      </c>
      <c r="CM5" s="69">
        <v>42522</v>
      </c>
      <c r="CN5" s="69">
        <v>42552</v>
      </c>
      <c r="CO5" s="69">
        <v>42583</v>
      </c>
      <c r="CP5" s="69">
        <v>42614</v>
      </c>
      <c r="CQ5" s="69">
        <v>42644</v>
      </c>
      <c r="CR5" s="69">
        <v>42675</v>
      </c>
      <c r="CS5" s="138">
        <v>42705</v>
      </c>
      <c r="CT5" s="68">
        <v>42736</v>
      </c>
      <c r="CU5" s="69">
        <v>42767</v>
      </c>
      <c r="CV5" s="69">
        <v>42795</v>
      </c>
      <c r="CW5" s="69">
        <v>42826</v>
      </c>
      <c r="CX5" s="69">
        <v>42856</v>
      </c>
      <c r="CY5" s="69">
        <v>42887</v>
      </c>
      <c r="CZ5" s="69">
        <v>42917</v>
      </c>
      <c r="DA5" s="69">
        <v>42948</v>
      </c>
      <c r="DB5" s="69">
        <v>42979</v>
      </c>
      <c r="DC5" s="69">
        <v>43009</v>
      </c>
      <c r="DD5" s="69">
        <v>43040</v>
      </c>
      <c r="DE5" s="138">
        <v>43070</v>
      </c>
      <c r="DF5" s="68">
        <v>43101</v>
      </c>
      <c r="DG5" s="69">
        <v>43132</v>
      </c>
      <c r="DH5" s="69">
        <v>43160</v>
      </c>
      <c r="DI5" s="69">
        <v>43191</v>
      </c>
      <c r="DJ5" s="69">
        <v>43221</v>
      </c>
      <c r="DK5" s="69">
        <v>43252</v>
      </c>
      <c r="DL5" s="69">
        <v>43282</v>
      </c>
      <c r="DM5" s="69">
        <v>43313</v>
      </c>
      <c r="DN5" s="69">
        <v>43344</v>
      </c>
      <c r="DO5" s="69">
        <v>43374</v>
      </c>
      <c r="DP5" s="69">
        <v>43405</v>
      </c>
      <c r="DQ5" s="138">
        <v>43435</v>
      </c>
      <c r="DR5" s="68">
        <v>43466</v>
      </c>
      <c r="DS5" s="69">
        <v>43497</v>
      </c>
      <c r="DT5" s="69">
        <v>43525</v>
      </c>
      <c r="DU5" s="69">
        <v>43556</v>
      </c>
      <c r="DV5" s="69">
        <v>43586</v>
      </c>
      <c r="DW5" s="69">
        <v>43617</v>
      </c>
      <c r="DX5" s="69">
        <v>43647</v>
      </c>
      <c r="DY5" s="69">
        <v>43678</v>
      </c>
      <c r="DZ5" s="69">
        <v>43709</v>
      </c>
      <c r="EA5" s="69">
        <v>43739</v>
      </c>
      <c r="EB5" s="69">
        <v>43770</v>
      </c>
      <c r="EC5" s="138">
        <v>43800</v>
      </c>
      <c r="ED5" s="68">
        <v>43831</v>
      </c>
      <c r="EE5" s="69">
        <v>43862</v>
      </c>
      <c r="EF5" s="69">
        <v>43891</v>
      </c>
      <c r="EG5" s="69">
        <v>43922</v>
      </c>
      <c r="EH5" s="69">
        <v>43952</v>
      </c>
      <c r="EI5" s="69">
        <v>43983</v>
      </c>
      <c r="EJ5" s="69">
        <v>44013</v>
      </c>
      <c r="EK5" s="69">
        <v>44044</v>
      </c>
      <c r="EL5" s="69">
        <v>44075</v>
      </c>
      <c r="EM5" s="69">
        <v>44105</v>
      </c>
      <c r="EN5" s="69">
        <v>44136</v>
      </c>
      <c r="EO5" s="138">
        <v>44166</v>
      </c>
      <c r="EP5" s="822" t="s">
        <v>287</v>
      </c>
      <c r="EQ5" s="823" t="s">
        <v>12</v>
      </c>
    </row>
    <row r="6" spans="1:147" ht="13.9" customHeight="1" x14ac:dyDescent="0.2">
      <c r="A6" s="308" t="s">
        <v>352</v>
      </c>
      <c r="B6" s="753"/>
      <c r="F6" s="36"/>
      <c r="G6" s="36"/>
      <c r="H6" s="36"/>
      <c r="I6" s="36"/>
      <c r="J6" s="36"/>
      <c r="K6" s="36"/>
      <c r="L6" s="36"/>
      <c r="M6" s="754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754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753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753"/>
      <c r="AY6" s="36"/>
      <c r="AZ6" s="36"/>
      <c r="BA6" s="36"/>
      <c r="BB6" s="36"/>
      <c r="BJ6" s="753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754"/>
      <c r="BV6" s="753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754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755"/>
      <c r="DF6" s="753"/>
      <c r="DG6" s="36"/>
      <c r="DH6" s="36"/>
      <c r="DI6" s="36"/>
      <c r="DQ6" s="752"/>
      <c r="DR6" s="755"/>
      <c r="EC6" s="752"/>
      <c r="ED6" s="755"/>
      <c r="EO6" s="752"/>
      <c r="EP6" s="775"/>
      <c r="EQ6" s="756"/>
    </row>
    <row r="7" spans="1:147" s="211" customFormat="1" ht="13.9" customHeight="1" x14ac:dyDescent="0.2">
      <c r="A7" s="312" t="s">
        <v>87</v>
      </c>
      <c r="B7" s="51">
        <f t="shared" ref="B7:AK7" si="0">SUM(B8+B13+B18)</f>
        <v>210649</v>
      </c>
      <c r="C7" s="29">
        <f t="shared" si="0"/>
        <v>208524</v>
      </c>
      <c r="D7" s="29">
        <f t="shared" si="0"/>
        <v>213543</v>
      </c>
      <c r="E7" s="29">
        <f t="shared" si="0"/>
        <v>207779</v>
      </c>
      <c r="F7" s="29">
        <f t="shared" si="0"/>
        <v>214670</v>
      </c>
      <c r="G7" s="29">
        <f t="shared" si="0"/>
        <v>216203</v>
      </c>
      <c r="H7" s="29">
        <f t="shared" si="0"/>
        <v>220043</v>
      </c>
      <c r="I7" s="29">
        <f t="shared" si="0"/>
        <v>216505</v>
      </c>
      <c r="J7" s="29">
        <f t="shared" si="0"/>
        <v>221768</v>
      </c>
      <c r="K7" s="29">
        <f t="shared" si="0"/>
        <v>221081</v>
      </c>
      <c r="L7" s="29">
        <f t="shared" si="0"/>
        <v>230087</v>
      </c>
      <c r="M7" s="15">
        <f t="shared" si="0"/>
        <v>235548.66246000002</v>
      </c>
      <c r="N7" s="29">
        <f t="shared" si="0"/>
        <v>216234.75622000001</v>
      </c>
      <c r="O7" s="29">
        <f t="shared" si="0"/>
        <v>216597</v>
      </c>
      <c r="P7" s="29">
        <f t="shared" si="0"/>
        <v>220322</v>
      </c>
      <c r="Q7" s="29">
        <f t="shared" si="0"/>
        <v>214083</v>
      </c>
      <c r="R7" s="29">
        <f t="shared" si="0"/>
        <v>228134</v>
      </c>
      <c r="S7" s="29">
        <f t="shared" si="0"/>
        <v>240816</v>
      </c>
      <c r="T7" s="29">
        <f t="shared" si="0"/>
        <v>246973</v>
      </c>
      <c r="U7" s="29">
        <f t="shared" si="0"/>
        <v>260394</v>
      </c>
      <c r="V7" s="29">
        <f t="shared" si="0"/>
        <v>262386</v>
      </c>
      <c r="W7" s="29">
        <f t="shared" si="0"/>
        <v>267146</v>
      </c>
      <c r="X7" s="29">
        <f t="shared" si="0"/>
        <v>275204.20871000004</v>
      </c>
      <c r="Y7" s="15">
        <f t="shared" si="0"/>
        <v>291405</v>
      </c>
      <c r="Z7" s="29">
        <f t="shared" si="0"/>
        <v>371831.4</v>
      </c>
      <c r="AA7" s="29">
        <f t="shared" si="0"/>
        <v>359869.4</v>
      </c>
      <c r="AB7" s="29">
        <f t="shared" si="0"/>
        <v>390568.4</v>
      </c>
      <c r="AC7" s="29">
        <f t="shared" si="0"/>
        <v>386013.8</v>
      </c>
      <c r="AD7" s="29">
        <f t="shared" si="0"/>
        <v>417048</v>
      </c>
      <c r="AE7" s="29">
        <f t="shared" si="0"/>
        <v>438162.58540000004</v>
      </c>
      <c r="AF7" s="29">
        <f t="shared" si="0"/>
        <v>456654.50893000001</v>
      </c>
      <c r="AG7" s="29">
        <f t="shared" si="0"/>
        <v>486614</v>
      </c>
      <c r="AH7" s="29">
        <f t="shared" si="0"/>
        <v>482469.2671</v>
      </c>
      <c r="AI7" s="29">
        <f t="shared" si="0"/>
        <v>466710.58235000004</v>
      </c>
      <c r="AJ7" s="29">
        <f t="shared" si="0"/>
        <v>459317.52168000001</v>
      </c>
      <c r="AK7" s="29">
        <f t="shared" si="0"/>
        <v>486118.10368000006</v>
      </c>
      <c r="AL7" s="51">
        <f t="shared" ref="AL7:BQ7" si="1">SUM(AL8,AL13,AL18)</f>
        <v>458294.00945999997</v>
      </c>
      <c r="AM7" s="29">
        <f t="shared" si="1"/>
        <v>445618.85941000003</v>
      </c>
      <c r="AN7" s="29">
        <f t="shared" si="1"/>
        <v>437254.30436999997</v>
      </c>
      <c r="AO7" s="29">
        <f t="shared" si="1"/>
        <v>430320.20272999996</v>
      </c>
      <c r="AP7" s="29">
        <f t="shared" si="1"/>
        <v>448974.99456000002</v>
      </c>
      <c r="AQ7" s="29">
        <f t="shared" si="1"/>
        <v>461444.55211000005</v>
      </c>
      <c r="AR7" s="29">
        <f t="shared" si="1"/>
        <v>465988.80835000001</v>
      </c>
      <c r="AS7" s="29">
        <f t="shared" si="1"/>
        <v>461779.19997999998</v>
      </c>
      <c r="AT7" s="29">
        <f t="shared" si="1"/>
        <v>491859.72458000004</v>
      </c>
      <c r="AU7" s="29">
        <f t="shared" si="1"/>
        <v>484848.42430999997</v>
      </c>
      <c r="AV7" s="29">
        <f t="shared" si="1"/>
        <v>485799.33563000005</v>
      </c>
      <c r="AW7" s="29">
        <f t="shared" si="1"/>
        <v>501776.89591000008</v>
      </c>
      <c r="AX7" s="51">
        <f t="shared" si="1"/>
        <v>477307.9781399999</v>
      </c>
      <c r="AY7" s="29">
        <f t="shared" si="1"/>
        <v>476197.24909000006</v>
      </c>
      <c r="AZ7" s="29">
        <f t="shared" si="1"/>
        <v>522052.99437000009</v>
      </c>
      <c r="BA7" s="29">
        <f t="shared" si="1"/>
        <v>495866.87492999999</v>
      </c>
      <c r="BB7" s="29">
        <f t="shared" si="1"/>
        <v>513707.47265999997</v>
      </c>
      <c r="BC7" s="29">
        <f t="shared" si="1"/>
        <v>521913.88204000005</v>
      </c>
      <c r="BD7" s="29">
        <f t="shared" si="1"/>
        <v>543103.14667000005</v>
      </c>
      <c r="BE7" s="29">
        <f t="shared" si="1"/>
        <v>533598.52341999998</v>
      </c>
      <c r="BF7" s="29">
        <f t="shared" si="1"/>
        <v>518359.26136999996</v>
      </c>
      <c r="BG7" s="29">
        <f t="shared" si="1"/>
        <v>545003.71869999997</v>
      </c>
      <c r="BH7" s="29">
        <f t="shared" si="1"/>
        <v>546537.28194999998</v>
      </c>
      <c r="BI7" s="29">
        <f t="shared" si="1"/>
        <v>546586.23226999992</v>
      </c>
      <c r="BJ7" s="51">
        <f t="shared" si="1"/>
        <v>558973.06287000002</v>
      </c>
      <c r="BK7" s="29">
        <f t="shared" si="1"/>
        <v>581431.18794999993</v>
      </c>
      <c r="BL7" s="29">
        <f t="shared" si="1"/>
        <v>576745.66275000002</v>
      </c>
      <c r="BM7" s="29">
        <f t="shared" si="1"/>
        <v>601918.49659999995</v>
      </c>
      <c r="BN7" s="29">
        <f t="shared" si="1"/>
        <v>619482.94204999995</v>
      </c>
      <c r="BO7" s="29">
        <f t="shared" si="1"/>
        <v>626102.25933999999</v>
      </c>
      <c r="BP7" s="29">
        <f t="shared" si="1"/>
        <v>646716.34722</v>
      </c>
      <c r="BQ7" s="29">
        <f t="shared" si="1"/>
        <v>657138.83972000005</v>
      </c>
      <c r="BR7" s="29">
        <f t="shared" ref="BR7:CW7" si="2">SUM(BR8,BR13,BR18)</f>
        <v>658277.75814000005</v>
      </c>
      <c r="BS7" s="29">
        <f t="shared" si="2"/>
        <v>643795.2456599999</v>
      </c>
      <c r="BT7" s="29">
        <f t="shared" si="2"/>
        <v>645538.44252000004</v>
      </c>
      <c r="BU7" s="15">
        <f t="shared" si="2"/>
        <v>695063.96376000007</v>
      </c>
      <c r="BV7" s="51">
        <f t="shared" si="2"/>
        <v>680267.59765000001</v>
      </c>
      <c r="BW7" s="29">
        <f t="shared" si="2"/>
        <v>661445.3918199999</v>
      </c>
      <c r="BX7" s="29">
        <f t="shared" si="2"/>
        <v>739432.2684099999</v>
      </c>
      <c r="BY7" s="29">
        <f t="shared" si="2"/>
        <v>751261.68161999993</v>
      </c>
      <c r="BZ7" s="29">
        <f t="shared" si="2"/>
        <v>770331.32212000003</v>
      </c>
      <c r="CA7" s="29">
        <f t="shared" si="2"/>
        <v>771836.80394999997</v>
      </c>
      <c r="CB7" s="29">
        <f t="shared" si="2"/>
        <v>808707.26291999989</v>
      </c>
      <c r="CC7" s="29">
        <f t="shared" si="2"/>
        <v>760397.50507999992</v>
      </c>
      <c r="CD7" s="29">
        <f t="shared" si="2"/>
        <v>768580.46185000008</v>
      </c>
      <c r="CE7" s="29">
        <f t="shared" si="2"/>
        <v>761768.64191000001</v>
      </c>
      <c r="CF7" s="29">
        <f t="shared" si="2"/>
        <v>758665.15534000006</v>
      </c>
      <c r="CG7" s="15">
        <f t="shared" si="2"/>
        <v>822530.77385999996</v>
      </c>
      <c r="CH7" s="29">
        <f t="shared" si="2"/>
        <v>843955.86566999997</v>
      </c>
      <c r="CI7" s="29">
        <f t="shared" si="2"/>
        <v>821215.39061000012</v>
      </c>
      <c r="CJ7" s="29">
        <f t="shared" si="2"/>
        <v>813246.19944999996</v>
      </c>
      <c r="CK7" s="29">
        <f t="shared" si="2"/>
        <v>798062.98013000004</v>
      </c>
      <c r="CL7" s="29">
        <f t="shared" si="2"/>
        <v>819213.18693000008</v>
      </c>
      <c r="CM7" s="29">
        <f t="shared" si="2"/>
        <v>841790.74234000011</v>
      </c>
      <c r="CN7" s="29">
        <f t="shared" si="2"/>
        <v>867690.19169000001</v>
      </c>
      <c r="CO7" s="29">
        <f t="shared" si="2"/>
        <v>871197.6823499999</v>
      </c>
      <c r="CP7" s="29">
        <f t="shared" si="2"/>
        <v>875495.1439299999</v>
      </c>
      <c r="CQ7" s="29">
        <f t="shared" si="2"/>
        <v>880222.41333000013</v>
      </c>
      <c r="CR7" s="29">
        <f t="shared" si="2"/>
        <v>895924.58623999998</v>
      </c>
      <c r="CS7" s="29">
        <f t="shared" si="2"/>
        <v>923476.82238999999</v>
      </c>
      <c r="CT7" s="51">
        <f t="shared" si="2"/>
        <v>876046.02891000011</v>
      </c>
      <c r="CU7" s="29">
        <f t="shared" si="2"/>
        <v>846735.25720999995</v>
      </c>
      <c r="CV7" s="29">
        <f t="shared" si="2"/>
        <v>845510.85493999999</v>
      </c>
      <c r="CW7" s="29">
        <f t="shared" si="2"/>
        <v>847765.12141000014</v>
      </c>
      <c r="CX7" s="29">
        <f t="shared" ref="CX7:EC7" si="3">SUM(CX8,CX13,CX18)</f>
        <v>873926.36422999995</v>
      </c>
      <c r="CY7" s="29">
        <f t="shared" si="3"/>
        <v>902607.38372000004</v>
      </c>
      <c r="CZ7" s="29">
        <f t="shared" si="3"/>
        <v>939245.12916000001</v>
      </c>
      <c r="DA7" s="29">
        <f t="shared" si="3"/>
        <v>962384.23000999994</v>
      </c>
      <c r="DB7" s="29">
        <f t="shared" si="3"/>
        <v>984010.25897000008</v>
      </c>
      <c r="DC7" s="29">
        <f t="shared" si="3"/>
        <v>965049.64728999999</v>
      </c>
      <c r="DD7" s="29">
        <f t="shared" si="3"/>
        <v>997879.24233000004</v>
      </c>
      <c r="DE7" s="29">
        <f t="shared" si="3"/>
        <v>1042809.0277400002</v>
      </c>
      <c r="DF7" s="51">
        <f t="shared" si="3"/>
        <v>1011326.3912599999</v>
      </c>
      <c r="DG7" s="29">
        <f t="shared" si="3"/>
        <v>989678.64677999995</v>
      </c>
      <c r="DH7" s="29">
        <f t="shared" si="3"/>
        <v>963567.71114999999</v>
      </c>
      <c r="DI7" s="29">
        <f t="shared" si="3"/>
        <v>965769.7799000002</v>
      </c>
      <c r="DJ7" s="29">
        <f t="shared" si="3"/>
        <v>1001676.60858</v>
      </c>
      <c r="DK7" s="29">
        <f t="shared" si="3"/>
        <v>1020428.4936400001</v>
      </c>
      <c r="DL7" s="29">
        <f t="shared" si="3"/>
        <v>1071070.1782200001</v>
      </c>
      <c r="DM7" s="29">
        <f t="shared" si="3"/>
        <v>1062157.0361899999</v>
      </c>
      <c r="DN7" s="29">
        <f t="shared" si="3"/>
        <v>1054488.8905099998</v>
      </c>
      <c r="DO7" s="29">
        <f t="shared" si="3"/>
        <v>1067037.6059000001</v>
      </c>
      <c r="DP7" s="29">
        <f t="shared" si="3"/>
        <v>1083990.5095300002</v>
      </c>
      <c r="DQ7" s="15">
        <f t="shared" si="3"/>
        <v>1148994.3344999999</v>
      </c>
      <c r="DR7" s="51">
        <f t="shared" si="3"/>
        <v>1112963.7438699999</v>
      </c>
      <c r="DS7" s="29">
        <f t="shared" si="3"/>
        <v>1080835.5348400001</v>
      </c>
      <c r="DT7" s="29">
        <f t="shared" si="3"/>
        <v>1036677.66182</v>
      </c>
      <c r="DU7" s="29">
        <f t="shared" si="3"/>
        <v>1029289.9457100001</v>
      </c>
      <c r="DV7" s="29">
        <f t="shared" si="3"/>
        <v>1071635.1689699998</v>
      </c>
      <c r="DW7" s="29">
        <f t="shared" si="3"/>
        <v>1106577.6982799999</v>
      </c>
      <c r="DX7" s="29">
        <f t="shared" si="3"/>
        <v>1143646.25116</v>
      </c>
      <c r="DY7" s="29">
        <f t="shared" si="3"/>
        <v>1175713.7472700002</v>
      </c>
      <c r="DZ7" s="29">
        <f t="shared" si="3"/>
        <v>1191136.6181099999</v>
      </c>
      <c r="EA7" s="29">
        <f t="shared" si="3"/>
        <v>1207501.2180599999</v>
      </c>
      <c r="EB7" s="29">
        <f t="shared" si="3"/>
        <v>1223887.0242699999</v>
      </c>
      <c r="EC7" s="15">
        <f t="shared" si="3"/>
        <v>1257898.2957900001</v>
      </c>
      <c r="ED7" s="51">
        <f t="shared" ref="ED7:EO7" si="4">SUM(ED8,ED13,ED18)</f>
        <v>1193642.1017399998</v>
      </c>
      <c r="EE7" s="29">
        <f t="shared" si="4"/>
        <v>1177693.5</v>
      </c>
      <c r="EF7" s="29">
        <f t="shared" si="4"/>
        <v>1219625.6000000001</v>
      </c>
      <c r="EG7" s="29">
        <f t="shared" si="4"/>
        <v>1292488</v>
      </c>
      <c r="EH7" s="29">
        <f t="shared" si="4"/>
        <v>1474133.8</v>
      </c>
      <c r="EI7" s="29">
        <f t="shared" si="4"/>
        <v>1585687.7999999998</v>
      </c>
      <c r="EJ7" s="29">
        <f t="shared" si="4"/>
        <v>1681585.8</v>
      </c>
      <c r="EK7" s="29">
        <f t="shared" si="4"/>
        <v>1710697.6</v>
      </c>
      <c r="EL7" s="29">
        <f t="shared" si="4"/>
        <v>1730837.8</v>
      </c>
      <c r="EM7" s="29">
        <f t="shared" si="4"/>
        <v>1787785.5</v>
      </c>
      <c r="EN7" s="29">
        <f t="shared" si="4"/>
        <v>1822289.7000000002</v>
      </c>
      <c r="EO7" s="15">
        <f t="shared" si="4"/>
        <v>1923152.5</v>
      </c>
      <c r="EP7" s="766">
        <f>IFERROR(((EO7/EN7)-1)*100,"-")</f>
        <v>5.5349486966863592</v>
      </c>
      <c r="EQ7" s="757">
        <f>IFERROR(((EO7/EC7)-1)*100,"-")</f>
        <v>52.886167859238498</v>
      </c>
    </row>
    <row r="8" spans="1:147" s="203" customFormat="1" ht="13.9" customHeight="1" x14ac:dyDescent="0.2">
      <c r="A8" s="778" t="s">
        <v>88</v>
      </c>
      <c r="B8" s="220">
        <f t="shared" ref="B8:Y8" si="5">SUM(B9:B11)</f>
        <v>46049</v>
      </c>
      <c r="C8" s="221">
        <f t="shared" si="5"/>
        <v>46429</v>
      </c>
      <c r="D8" s="221">
        <f t="shared" si="5"/>
        <v>53228</v>
      </c>
      <c r="E8" s="221">
        <f t="shared" si="5"/>
        <v>53003</v>
      </c>
      <c r="F8" s="221">
        <f t="shared" si="5"/>
        <v>58648</v>
      </c>
      <c r="G8" s="221">
        <f t="shared" si="5"/>
        <v>60732</v>
      </c>
      <c r="H8" s="221">
        <f t="shared" si="5"/>
        <v>57345</v>
      </c>
      <c r="I8" s="221">
        <f t="shared" si="5"/>
        <v>57646</v>
      </c>
      <c r="J8" s="221">
        <f t="shared" si="5"/>
        <v>56177</v>
      </c>
      <c r="K8" s="221">
        <f t="shared" si="5"/>
        <v>55607</v>
      </c>
      <c r="L8" s="221">
        <f t="shared" si="5"/>
        <v>56738</v>
      </c>
      <c r="M8" s="28">
        <f t="shared" si="5"/>
        <v>63872.99727</v>
      </c>
      <c r="N8" s="221">
        <f t="shared" si="5"/>
        <v>52097.104920000005</v>
      </c>
      <c r="O8" s="221">
        <f t="shared" si="5"/>
        <v>55119</v>
      </c>
      <c r="P8" s="221">
        <f t="shared" si="5"/>
        <v>58933</v>
      </c>
      <c r="Q8" s="221">
        <f t="shared" si="5"/>
        <v>53184</v>
      </c>
      <c r="R8" s="221">
        <f t="shared" si="5"/>
        <v>63968</v>
      </c>
      <c r="S8" s="221">
        <f t="shared" si="5"/>
        <v>70341</v>
      </c>
      <c r="T8" s="221">
        <f t="shared" si="5"/>
        <v>65467</v>
      </c>
      <c r="U8" s="221">
        <f t="shared" si="5"/>
        <v>76262</v>
      </c>
      <c r="V8" s="221">
        <f t="shared" si="5"/>
        <v>74638</v>
      </c>
      <c r="W8" s="221">
        <f t="shared" si="5"/>
        <v>77045</v>
      </c>
      <c r="X8" s="221">
        <f t="shared" si="5"/>
        <v>73802.63268000001</v>
      </c>
      <c r="Y8" s="28">
        <f t="shared" si="5"/>
        <v>80943</v>
      </c>
      <c r="Z8" s="221">
        <f t="shared" ref="Z8:CV8" si="6">SUM(Z9:Z12)</f>
        <v>120143</v>
      </c>
      <c r="AA8" s="221">
        <f t="shared" si="6"/>
        <v>116304</v>
      </c>
      <c r="AB8" s="221">
        <f t="shared" si="6"/>
        <v>137348</v>
      </c>
      <c r="AC8" s="221">
        <f t="shared" si="6"/>
        <v>132568</v>
      </c>
      <c r="AD8" s="221">
        <f t="shared" si="6"/>
        <v>146822</v>
      </c>
      <c r="AE8" s="221">
        <f t="shared" si="6"/>
        <v>156302.24489</v>
      </c>
      <c r="AF8" s="221">
        <f t="shared" si="6"/>
        <v>163512.40411</v>
      </c>
      <c r="AG8" s="221">
        <f t="shared" si="6"/>
        <v>174648</v>
      </c>
      <c r="AH8" s="221">
        <f t="shared" si="6"/>
        <v>160056.64669000002</v>
      </c>
      <c r="AI8" s="221">
        <f t="shared" si="6"/>
        <v>152741.04014</v>
      </c>
      <c r="AJ8" s="221">
        <f t="shared" si="6"/>
        <v>143126.88104000001</v>
      </c>
      <c r="AK8" s="221">
        <f t="shared" si="6"/>
        <v>159848.58960000001</v>
      </c>
      <c r="AL8" s="220">
        <f t="shared" si="6"/>
        <v>141728.29034000001</v>
      </c>
      <c r="AM8" s="221">
        <f t="shared" si="6"/>
        <v>144738.82487000001</v>
      </c>
      <c r="AN8" s="221">
        <f t="shared" si="6"/>
        <v>149087.07350999999</v>
      </c>
      <c r="AO8" s="221">
        <f t="shared" si="6"/>
        <v>148089.88860999999</v>
      </c>
      <c r="AP8" s="221">
        <f t="shared" si="6"/>
        <v>154281.15322000001</v>
      </c>
      <c r="AQ8" s="221">
        <f t="shared" si="6"/>
        <v>163550.7868</v>
      </c>
      <c r="AR8" s="221">
        <f t="shared" si="6"/>
        <v>157296.09600000002</v>
      </c>
      <c r="AS8" s="221">
        <f t="shared" si="6"/>
        <v>148701.88824999999</v>
      </c>
      <c r="AT8" s="221">
        <f t="shared" si="6"/>
        <v>169625.20088000002</v>
      </c>
      <c r="AU8" s="221">
        <f t="shared" si="6"/>
        <v>163550.19643000001</v>
      </c>
      <c r="AV8" s="221">
        <f t="shared" si="6"/>
        <v>153511.86092000001</v>
      </c>
      <c r="AW8" s="221">
        <f t="shared" si="6"/>
        <v>166278.89091000002</v>
      </c>
      <c r="AX8" s="220">
        <f t="shared" si="6"/>
        <v>152540.59517999997</v>
      </c>
      <c r="AY8" s="221">
        <f t="shared" si="6"/>
        <v>162879.38180999999</v>
      </c>
      <c r="AZ8" s="221">
        <f t="shared" si="6"/>
        <v>179357.93943000003</v>
      </c>
      <c r="BA8" s="221">
        <f t="shared" si="6"/>
        <v>192020.18572000001</v>
      </c>
      <c r="BB8" s="221">
        <f t="shared" si="6"/>
        <v>195549.23701000001</v>
      </c>
      <c r="BC8" s="221">
        <f t="shared" si="6"/>
        <v>190190.67340000003</v>
      </c>
      <c r="BD8" s="221">
        <f t="shared" si="6"/>
        <v>206114.90059999999</v>
      </c>
      <c r="BE8" s="221">
        <f t="shared" si="6"/>
        <v>196790.01452</v>
      </c>
      <c r="BF8" s="221">
        <f t="shared" si="6"/>
        <v>182138.58905999997</v>
      </c>
      <c r="BG8" s="221">
        <f t="shared" si="6"/>
        <v>209030.80776</v>
      </c>
      <c r="BH8" s="221">
        <f t="shared" si="6"/>
        <v>185482.84172999999</v>
      </c>
      <c r="BI8" s="221">
        <f t="shared" si="6"/>
        <v>179047.87774999999</v>
      </c>
      <c r="BJ8" s="220">
        <f t="shared" si="6"/>
        <v>182455.44406000001</v>
      </c>
      <c r="BK8" s="221">
        <f t="shared" si="6"/>
        <v>209528.94176999998</v>
      </c>
      <c r="BL8" s="221">
        <f t="shared" si="6"/>
        <v>205967.25066999998</v>
      </c>
      <c r="BM8" s="221">
        <f t="shared" si="6"/>
        <v>229000.11372999998</v>
      </c>
      <c r="BN8" s="221">
        <f t="shared" si="6"/>
        <v>230396.88567999998</v>
      </c>
      <c r="BO8" s="221">
        <f t="shared" si="6"/>
        <v>228865.94591999997</v>
      </c>
      <c r="BP8" s="221">
        <f t="shared" si="6"/>
        <v>231826.78340999997</v>
      </c>
      <c r="BQ8" s="221">
        <f t="shared" si="6"/>
        <v>233988.17766000002</v>
      </c>
      <c r="BR8" s="221">
        <f t="shared" si="6"/>
        <v>235744.93449000001</v>
      </c>
      <c r="BS8" s="221">
        <f t="shared" si="6"/>
        <v>209626.50516</v>
      </c>
      <c r="BT8" s="221">
        <f t="shared" si="6"/>
        <v>208801.70452999996</v>
      </c>
      <c r="BU8" s="28">
        <f t="shared" si="6"/>
        <v>232323.82971000002</v>
      </c>
      <c r="BV8" s="220">
        <f t="shared" si="6"/>
        <v>217931.79083000001</v>
      </c>
      <c r="BW8" s="221">
        <f t="shared" si="6"/>
        <v>200794.13628999999</v>
      </c>
      <c r="BX8" s="221">
        <f t="shared" si="6"/>
        <v>248118.30293999999</v>
      </c>
      <c r="BY8" s="221">
        <f t="shared" si="6"/>
        <v>252911.1012</v>
      </c>
      <c r="BZ8" s="221">
        <f t="shared" si="6"/>
        <v>275304.15617000003</v>
      </c>
      <c r="CA8" s="221">
        <f t="shared" si="6"/>
        <v>269109.26844000001</v>
      </c>
      <c r="CB8" s="221">
        <f t="shared" si="6"/>
        <v>276558.63984999998</v>
      </c>
      <c r="CC8" s="221">
        <f t="shared" si="6"/>
        <v>263868.72927999997</v>
      </c>
      <c r="CD8" s="221">
        <f t="shared" si="6"/>
        <v>270822.07870999997</v>
      </c>
      <c r="CE8" s="221">
        <f t="shared" si="6"/>
        <v>258022.50471000001</v>
      </c>
      <c r="CF8" s="221">
        <f t="shared" si="6"/>
        <v>249209.84499000001</v>
      </c>
      <c r="CG8" s="28">
        <f t="shared" si="6"/>
        <v>263082.24676000001</v>
      </c>
      <c r="CH8" s="221">
        <f t="shared" si="6"/>
        <v>268934.67714999994</v>
      </c>
      <c r="CI8" s="221">
        <f t="shared" si="6"/>
        <v>259628.51611000006</v>
      </c>
      <c r="CJ8" s="221">
        <f t="shared" si="6"/>
        <v>262254.44398000004</v>
      </c>
      <c r="CK8" s="221">
        <f t="shared" si="6"/>
        <v>243984.86921</v>
      </c>
      <c r="CL8" s="221">
        <f t="shared" si="6"/>
        <v>263626.29759000003</v>
      </c>
      <c r="CM8" s="221">
        <f t="shared" si="6"/>
        <v>267892.09161</v>
      </c>
      <c r="CN8" s="221">
        <f t="shared" si="6"/>
        <v>279532.92292000004</v>
      </c>
      <c r="CO8" s="221">
        <f t="shared" si="6"/>
        <v>267982.03879999998</v>
      </c>
      <c r="CP8" s="221">
        <f t="shared" si="6"/>
        <v>261382.11621000001</v>
      </c>
      <c r="CQ8" s="221">
        <f t="shared" si="6"/>
        <v>263529.82399000006</v>
      </c>
      <c r="CR8" s="221">
        <f t="shared" si="6"/>
        <v>272030.42714999994</v>
      </c>
      <c r="CS8" s="221">
        <f t="shared" si="6"/>
        <v>277690.16337000002</v>
      </c>
      <c r="CT8" s="220">
        <f t="shared" si="6"/>
        <v>249846.95723</v>
      </c>
      <c r="CU8" s="221">
        <f t="shared" si="6"/>
        <v>241905.44676000002</v>
      </c>
      <c r="CV8" s="221">
        <f t="shared" si="6"/>
        <v>244658.28601000001</v>
      </c>
      <c r="CW8" s="221">
        <f t="shared" ref="CW8:EJ8" si="7">SUM(CW9:CW12)</f>
        <v>234754.51053000003</v>
      </c>
      <c r="CX8" s="221">
        <f t="shared" si="7"/>
        <v>259089.14275999996</v>
      </c>
      <c r="CY8" s="221">
        <f t="shared" si="7"/>
        <v>265153.08088000002</v>
      </c>
      <c r="CZ8" s="221">
        <f t="shared" si="7"/>
        <v>276628.46093</v>
      </c>
      <c r="DA8" s="221">
        <f t="shared" si="7"/>
        <v>280192.56716999999</v>
      </c>
      <c r="DB8" s="221">
        <f t="shared" si="7"/>
        <v>301737.63115000003</v>
      </c>
      <c r="DC8" s="221">
        <f t="shared" si="7"/>
        <v>276408.33299000002</v>
      </c>
      <c r="DD8" s="221">
        <f t="shared" si="7"/>
        <v>296903.04408999998</v>
      </c>
      <c r="DE8" s="221">
        <f t="shared" si="7"/>
        <v>317866.22633000003</v>
      </c>
      <c r="DF8" s="220">
        <f t="shared" si="7"/>
        <v>302145.77291</v>
      </c>
      <c r="DG8" s="221">
        <f t="shared" si="7"/>
        <v>293640.31932000001</v>
      </c>
      <c r="DH8" s="221">
        <f t="shared" si="7"/>
        <v>288981.05306999997</v>
      </c>
      <c r="DI8" s="221">
        <f t="shared" si="7"/>
        <v>296297.51438999997</v>
      </c>
      <c r="DJ8" s="221">
        <f t="shared" si="7"/>
        <v>314687.70865000004</v>
      </c>
      <c r="DK8" s="221">
        <f t="shared" si="7"/>
        <v>321251.43660000002</v>
      </c>
      <c r="DL8" s="221">
        <f t="shared" si="7"/>
        <v>322724.62806999998</v>
      </c>
      <c r="DM8" s="221">
        <f t="shared" si="7"/>
        <v>319023.84404999996</v>
      </c>
      <c r="DN8" s="221">
        <f t="shared" si="7"/>
        <v>323336.81689000002</v>
      </c>
      <c r="DO8" s="221">
        <f t="shared" si="7"/>
        <v>318980.35564999998</v>
      </c>
      <c r="DP8" s="221">
        <f t="shared" si="7"/>
        <v>308984.63245000003</v>
      </c>
      <c r="DQ8" s="28">
        <f t="shared" si="7"/>
        <v>342518.67501999997</v>
      </c>
      <c r="DR8" s="220">
        <f t="shared" si="7"/>
        <v>325092.33476999996</v>
      </c>
      <c r="DS8" s="221">
        <f t="shared" si="7"/>
        <v>320663.34366000001</v>
      </c>
      <c r="DT8" s="221">
        <f t="shared" si="7"/>
        <v>296346.18478000001</v>
      </c>
      <c r="DU8" s="221">
        <f t="shared" si="7"/>
        <v>291836.98174000002</v>
      </c>
      <c r="DV8" s="221">
        <f t="shared" si="7"/>
        <v>298073.45037000004</v>
      </c>
      <c r="DW8" s="221">
        <f t="shared" si="7"/>
        <v>308796.22051999997</v>
      </c>
      <c r="DX8" s="221">
        <f t="shared" si="7"/>
        <v>312680.78237000003</v>
      </c>
      <c r="DY8" s="221">
        <f t="shared" si="7"/>
        <v>342801.18502999999</v>
      </c>
      <c r="DZ8" s="221">
        <f t="shared" si="7"/>
        <v>354648.85060000001</v>
      </c>
      <c r="EA8" s="221">
        <f t="shared" si="7"/>
        <v>374491.41160999995</v>
      </c>
      <c r="EB8" s="221">
        <f t="shared" si="7"/>
        <v>370486.57117999997</v>
      </c>
      <c r="EC8" s="28">
        <f t="shared" si="7"/>
        <v>385096.43968999997</v>
      </c>
      <c r="ED8" s="220">
        <f t="shared" si="7"/>
        <v>327723.72399999999</v>
      </c>
      <c r="EE8" s="221">
        <f t="shared" si="7"/>
        <v>329497.5</v>
      </c>
      <c r="EF8" s="221">
        <f t="shared" si="7"/>
        <v>333528</v>
      </c>
      <c r="EG8" s="221">
        <f t="shared" si="7"/>
        <v>332186.5</v>
      </c>
      <c r="EH8" s="221">
        <f t="shared" si="7"/>
        <v>468756.60000000003</v>
      </c>
      <c r="EI8" s="221">
        <f t="shared" si="7"/>
        <v>514100</v>
      </c>
      <c r="EJ8" s="221">
        <f t="shared" si="7"/>
        <v>524424.4</v>
      </c>
      <c r="EK8" s="221">
        <f>SUM(EK9:EK12)</f>
        <v>545149</v>
      </c>
      <c r="EL8" s="221">
        <f>SUM(EL9:EL12)</f>
        <v>540756</v>
      </c>
      <c r="EM8" s="221">
        <f>SUM(EM9:EM12)</f>
        <v>546030</v>
      </c>
      <c r="EN8" s="221">
        <f>SUM(EN9:EN12)</f>
        <v>567120.4</v>
      </c>
      <c r="EO8" s="28">
        <f>SUM(EO9:EO12)</f>
        <v>593410.5</v>
      </c>
      <c r="EP8" s="767">
        <f t="shared" ref="EP8:EP22" si="8">IFERROR(((EO8/EN8)-1)*100,"-")</f>
        <v>4.635717565441122</v>
      </c>
      <c r="EQ8" s="768">
        <f t="shared" ref="EQ8:EQ22" si="9">IFERROR(((EO8/EC8)-1)*100,"-")</f>
        <v>54.09399798078929</v>
      </c>
    </row>
    <row r="9" spans="1:147" ht="13.9" customHeight="1" x14ac:dyDescent="0.2">
      <c r="A9" s="309" t="s">
        <v>483</v>
      </c>
      <c r="B9" s="52">
        <v>46049</v>
      </c>
      <c r="C9" s="24">
        <v>46404</v>
      </c>
      <c r="D9" s="24">
        <v>53155</v>
      </c>
      <c r="E9" s="24">
        <v>52972</v>
      </c>
      <c r="F9" s="24">
        <v>58617</v>
      </c>
      <c r="G9" s="24">
        <v>60731</v>
      </c>
      <c r="H9" s="24">
        <v>57251</v>
      </c>
      <c r="I9" s="24">
        <v>57573</v>
      </c>
      <c r="J9" s="24">
        <v>56169</v>
      </c>
      <c r="K9" s="24">
        <v>55521</v>
      </c>
      <c r="L9" s="24">
        <v>56700</v>
      </c>
      <c r="M9" s="23">
        <v>63851.99727</v>
      </c>
      <c r="N9" s="24">
        <v>52048.081530000003</v>
      </c>
      <c r="O9" s="24">
        <v>55080</v>
      </c>
      <c r="P9" s="24">
        <v>58932</v>
      </c>
      <c r="Q9" s="24">
        <v>53123</v>
      </c>
      <c r="R9" s="24">
        <v>63957</v>
      </c>
      <c r="S9" s="24">
        <v>70292</v>
      </c>
      <c r="T9" s="24">
        <v>65426</v>
      </c>
      <c r="U9" s="24">
        <v>76221</v>
      </c>
      <c r="V9" s="24">
        <v>74592</v>
      </c>
      <c r="W9" s="24">
        <v>77029</v>
      </c>
      <c r="X9" s="24">
        <v>73766.533040000009</v>
      </c>
      <c r="Y9" s="23">
        <v>80877</v>
      </c>
      <c r="Z9" s="24">
        <v>72596</v>
      </c>
      <c r="AA9" s="24">
        <v>68621</v>
      </c>
      <c r="AB9" s="24">
        <v>85492</v>
      </c>
      <c r="AC9" s="24">
        <v>81675</v>
      </c>
      <c r="AD9" s="24">
        <v>90089</v>
      </c>
      <c r="AE9" s="24">
        <v>98023</v>
      </c>
      <c r="AF9" s="24">
        <v>103047</v>
      </c>
      <c r="AG9" s="24">
        <v>101434</v>
      </c>
      <c r="AH9" s="24">
        <v>99203</v>
      </c>
      <c r="AI9" s="24">
        <v>96249</v>
      </c>
      <c r="AJ9" s="24">
        <v>90597</v>
      </c>
      <c r="AK9" s="24">
        <v>90048</v>
      </c>
      <c r="AL9" s="52">
        <v>79180</v>
      </c>
      <c r="AM9" s="24">
        <v>84319</v>
      </c>
      <c r="AN9" s="24">
        <v>84214</v>
      </c>
      <c r="AO9" s="24">
        <v>90861</v>
      </c>
      <c r="AP9" s="24">
        <v>92799</v>
      </c>
      <c r="AQ9" s="24">
        <v>94136</v>
      </c>
      <c r="AR9" s="24">
        <v>86361</v>
      </c>
      <c r="AS9" s="24">
        <v>83784</v>
      </c>
      <c r="AT9" s="24">
        <v>94596</v>
      </c>
      <c r="AU9" s="24">
        <v>96927</v>
      </c>
      <c r="AV9" s="24">
        <v>91066</v>
      </c>
      <c r="AW9" s="24">
        <v>103195</v>
      </c>
      <c r="AX9" s="52">
        <v>89678</v>
      </c>
      <c r="AY9" s="24">
        <v>84963</v>
      </c>
      <c r="AZ9" s="24">
        <v>92614</v>
      </c>
      <c r="BA9" s="24">
        <v>103636</v>
      </c>
      <c r="BB9" s="24">
        <v>106999</v>
      </c>
      <c r="BC9" s="24">
        <v>104352</v>
      </c>
      <c r="BD9" s="24">
        <v>113299.66809000001</v>
      </c>
      <c r="BE9" s="24">
        <v>111055.88813000001</v>
      </c>
      <c r="BF9" s="24">
        <v>97904.844439999986</v>
      </c>
      <c r="BG9" s="24">
        <v>102609.37566000001</v>
      </c>
      <c r="BH9" s="24">
        <v>93495.71299</v>
      </c>
      <c r="BI9" s="24">
        <v>96618.173790000001</v>
      </c>
      <c r="BJ9" s="52">
        <v>103874.61725</v>
      </c>
      <c r="BK9" s="24">
        <v>120651.55768</v>
      </c>
      <c r="BL9" s="24">
        <v>113657.76890999998</v>
      </c>
      <c r="BM9" s="24">
        <v>139675.06263999999</v>
      </c>
      <c r="BN9" s="24">
        <v>143229.01400999998</v>
      </c>
      <c r="BO9" s="24">
        <v>142761.13944999999</v>
      </c>
      <c r="BP9" s="24">
        <v>145296.17395</v>
      </c>
      <c r="BQ9" s="24">
        <v>138916.17626000001</v>
      </c>
      <c r="BR9" s="24">
        <v>145835.03706</v>
      </c>
      <c r="BS9" s="24">
        <v>126026.38787999999</v>
      </c>
      <c r="BT9" s="24">
        <v>136158.44918999998</v>
      </c>
      <c r="BU9" s="23">
        <v>156435.56014000002</v>
      </c>
      <c r="BV9" s="52">
        <v>142866.65916000001</v>
      </c>
      <c r="BW9" s="24">
        <v>132649.04885000002</v>
      </c>
      <c r="BX9" s="24">
        <v>137080.23619</v>
      </c>
      <c r="BY9" s="24">
        <v>149194.14274000001</v>
      </c>
      <c r="BZ9" s="24">
        <v>170546.53808</v>
      </c>
      <c r="CA9" s="24">
        <v>167705.23820000002</v>
      </c>
      <c r="CB9" s="24">
        <v>172663.43779</v>
      </c>
      <c r="CC9" s="24">
        <v>163186.09312999999</v>
      </c>
      <c r="CD9" s="24">
        <v>173421.07483</v>
      </c>
      <c r="CE9" s="24">
        <v>162040.80977000002</v>
      </c>
      <c r="CF9" s="24">
        <v>158384.33241</v>
      </c>
      <c r="CG9" s="23">
        <v>184467.30931000001</v>
      </c>
      <c r="CH9" s="24">
        <v>164371.15171999997</v>
      </c>
      <c r="CI9" s="24">
        <v>158489.43585000004</v>
      </c>
      <c r="CJ9" s="24">
        <v>159100.77065000002</v>
      </c>
      <c r="CK9" s="24">
        <v>151641.32614999998</v>
      </c>
      <c r="CL9" s="24">
        <v>169355.46789</v>
      </c>
      <c r="CM9" s="24">
        <v>170224.19690000001</v>
      </c>
      <c r="CN9" s="24">
        <v>177510.65871000002</v>
      </c>
      <c r="CO9" s="24">
        <v>164854.40015</v>
      </c>
      <c r="CP9" s="24">
        <v>168122.26670000001</v>
      </c>
      <c r="CQ9" s="24">
        <v>173465.29108000002</v>
      </c>
      <c r="CR9" s="24">
        <v>175440.02770999999</v>
      </c>
      <c r="CS9" s="24">
        <v>192664.84124000001</v>
      </c>
      <c r="CT9" s="52">
        <v>171099.97915</v>
      </c>
      <c r="CU9" s="24">
        <v>160379.29744000002</v>
      </c>
      <c r="CV9" s="24">
        <v>164238.79663</v>
      </c>
      <c r="CW9" s="24">
        <v>153285.09594000003</v>
      </c>
      <c r="CX9" s="24">
        <v>173986.54502999998</v>
      </c>
      <c r="CY9" s="24">
        <v>186637.49207000001</v>
      </c>
      <c r="CZ9" s="24">
        <v>194211.03141999998</v>
      </c>
      <c r="DA9" s="24">
        <v>201624.77286</v>
      </c>
      <c r="DB9" s="24">
        <v>226424.77943</v>
      </c>
      <c r="DC9" s="24">
        <v>203282.77866000004</v>
      </c>
      <c r="DD9" s="24">
        <v>217898.55145</v>
      </c>
      <c r="DE9" s="24">
        <v>242586.57377000002</v>
      </c>
      <c r="DF9" s="52">
        <v>227115.21876000002</v>
      </c>
      <c r="DG9" s="24">
        <v>223392.16869999998</v>
      </c>
      <c r="DH9" s="24">
        <v>214838.72307999997</v>
      </c>
      <c r="DI9" s="24">
        <v>211928.70293999996</v>
      </c>
      <c r="DJ9" s="24">
        <v>229563.10552000001</v>
      </c>
      <c r="DK9" s="24">
        <v>230369.97684000002</v>
      </c>
      <c r="DL9" s="24">
        <v>240083.22640999997</v>
      </c>
      <c r="DM9" s="24">
        <v>237884.34144999998</v>
      </c>
      <c r="DN9" s="24">
        <v>243892.58851000003</v>
      </c>
      <c r="DO9" s="24">
        <v>238763.40141999998</v>
      </c>
      <c r="DP9" s="24">
        <v>232555.67382999999</v>
      </c>
      <c r="DQ9" s="23">
        <v>262990.73456999997</v>
      </c>
      <c r="DR9" s="52">
        <v>252337.50162999998</v>
      </c>
      <c r="DS9" s="24">
        <v>247275.73902000001</v>
      </c>
      <c r="DT9" s="24">
        <v>220289.20580999998</v>
      </c>
      <c r="DU9" s="24">
        <v>213878.70923000001</v>
      </c>
      <c r="DV9" s="24">
        <v>225111.94392000002</v>
      </c>
      <c r="DW9" s="24">
        <v>232789.28519999995</v>
      </c>
      <c r="DX9" s="24">
        <v>233658.64901000002</v>
      </c>
      <c r="DY9" s="24">
        <v>257153.37359999999</v>
      </c>
      <c r="DZ9" s="24">
        <v>267900.44043000002</v>
      </c>
      <c r="EA9" s="24">
        <v>288316.56933999999</v>
      </c>
      <c r="EB9" s="24">
        <v>278575.72064999997</v>
      </c>
      <c r="EC9" s="23">
        <v>272758.79327999998</v>
      </c>
      <c r="ED9" s="52">
        <v>210709.80578999998</v>
      </c>
      <c r="EE9" s="24">
        <v>210878.5</v>
      </c>
      <c r="EF9" s="24">
        <v>221333.5</v>
      </c>
      <c r="EG9" s="24">
        <v>217355.5</v>
      </c>
      <c r="EH9" s="24">
        <v>347537.4</v>
      </c>
      <c r="EI9" s="24">
        <v>399081</v>
      </c>
      <c r="EJ9" s="24">
        <v>407294.4</v>
      </c>
      <c r="EK9" s="24">
        <v>427700</v>
      </c>
      <c r="EL9" s="24">
        <v>421384.5</v>
      </c>
      <c r="EM9" s="24">
        <v>412729</v>
      </c>
      <c r="EN9" s="24">
        <v>427538.4</v>
      </c>
      <c r="EO9" s="23">
        <v>445577.4</v>
      </c>
      <c r="EP9" s="761">
        <f t="shared" si="8"/>
        <v>4.2192701287182555</v>
      </c>
      <c r="EQ9" s="759">
        <f t="shared" si="9"/>
        <v>63.359499667016571</v>
      </c>
    </row>
    <row r="10" spans="1:147" ht="13.9" customHeight="1" x14ac:dyDescent="0.2">
      <c r="A10" s="309" t="s">
        <v>484</v>
      </c>
      <c r="B10" s="52"/>
      <c r="C10" s="24">
        <v>25</v>
      </c>
      <c r="D10" s="24">
        <v>73</v>
      </c>
      <c r="E10" s="24">
        <v>31</v>
      </c>
      <c r="F10" s="24">
        <v>31</v>
      </c>
      <c r="G10" s="24">
        <v>1</v>
      </c>
      <c r="H10" s="24">
        <v>94</v>
      </c>
      <c r="I10" s="24">
        <v>73</v>
      </c>
      <c r="J10" s="24">
        <v>8</v>
      </c>
      <c r="K10" s="24">
        <v>86</v>
      </c>
      <c r="L10" s="24">
        <v>38</v>
      </c>
      <c r="M10" s="21">
        <v>21</v>
      </c>
      <c r="N10" s="16">
        <v>49.023389999999999</v>
      </c>
      <c r="O10" s="16">
        <v>39</v>
      </c>
      <c r="P10" s="16">
        <v>1</v>
      </c>
      <c r="Q10" s="16">
        <v>61</v>
      </c>
      <c r="R10" s="16">
        <v>11</v>
      </c>
      <c r="S10" s="16">
        <v>49</v>
      </c>
      <c r="T10" s="16">
        <v>41</v>
      </c>
      <c r="U10" s="16">
        <v>41</v>
      </c>
      <c r="V10" s="16">
        <v>46</v>
      </c>
      <c r="W10" s="16">
        <v>16</v>
      </c>
      <c r="X10" s="16">
        <v>36.099640000000001</v>
      </c>
      <c r="Y10" s="21">
        <v>66</v>
      </c>
      <c r="Z10" s="16">
        <v>88</v>
      </c>
      <c r="AA10" s="16">
        <v>7</v>
      </c>
      <c r="AB10" s="16">
        <v>195</v>
      </c>
      <c r="AC10" s="16">
        <v>152</v>
      </c>
      <c r="AD10" s="16">
        <v>78</v>
      </c>
      <c r="AE10" s="16">
        <v>100</v>
      </c>
      <c r="AF10" s="16">
        <v>51</v>
      </c>
      <c r="AG10" s="16">
        <v>51</v>
      </c>
      <c r="AH10" s="16">
        <v>164</v>
      </c>
      <c r="AI10" s="24">
        <v>282</v>
      </c>
      <c r="AJ10" s="24">
        <v>39</v>
      </c>
      <c r="AK10" s="24">
        <v>16</v>
      </c>
      <c r="AL10" s="52">
        <v>146</v>
      </c>
      <c r="AM10" s="24">
        <v>121</v>
      </c>
      <c r="AN10" s="24">
        <v>126</v>
      </c>
      <c r="AO10" s="24">
        <v>69</v>
      </c>
      <c r="AP10" s="24">
        <v>185</v>
      </c>
      <c r="AQ10" s="24">
        <v>250</v>
      </c>
      <c r="AR10" s="24">
        <v>271</v>
      </c>
      <c r="AS10" s="24">
        <v>93</v>
      </c>
      <c r="AT10" s="24">
        <v>116</v>
      </c>
      <c r="AU10" s="24">
        <v>196</v>
      </c>
      <c r="AV10" s="24">
        <v>449</v>
      </c>
      <c r="AW10" s="24">
        <v>129</v>
      </c>
      <c r="AX10" s="52">
        <v>7</v>
      </c>
      <c r="AY10" s="24">
        <v>25</v>
      </c>
      <c r="AZ10" s="24">
        <v>4</v>
      </c>
      <c r="BA10" s="24">
        <v>7</v>
      </c>
      <c r="BB10" s="24">
        <v>70</v>
      </c>
      <c r="BC10" s="24">
        <v>50.795679999999997</v>
      </c>
      <c r="BD10" s="24">
        <v>60.200589999999998</v>
      </c>
      <c r="BE10" s="24">
        <v>107.69797</v>
      </c>
      <c r="BF10" s="24">
        <v>81.697649999999996</v>
      </c>
      <c r="BG10" s="24">
        <v>75.197580000000002</v>
      </c>
      <c r="BH10" s="24">
        <v>161.15052</v>
      </c>
      <c r="BI10" s="24">
        <v>120.19654999999999</v>
      </c>
      <c r="BJ10" s="52">
        <v>129.45068999999998</v>
      </c>
      <c r="BK10" s="24">
        <v>175.44920999999999</v>
      </c>
      <c r="BL10" s="24">
        <v>71.996960000000001</v>
      </c>
      <c r="BM10" s="24">
        <v>72.330929999999995</v>
      </c>
      <c r="BN10" s="24">
        <v>126.93871000000001</v>
      </c>
      <c r="BO10" s="24">
        <v>74.830910000000017</v>
      </c>
      <c r="BP10" s="24">
        <v>113.2376</v>
      </c>
      <c r="BQ10" s="24">
        <v>126.55501000000001</v>
      </c>
      <c r="BR10" s="24">
        <v>94.041390000000007</v>
      </c>
      <c r="BS10" s="24">
        <v>52.55894</v>
      </c>
      <c r="BT10" s="24">
        <v>1.5617000000000001</v>
      </c>
      <c r="BU10" s="23">
        <v>61.55856</v>
      </c>
      <c r="BV10" s="52">
        <v>48.559299999999993</v>
      </c>
      <c r="BW10" s="24">
        <v>257.00936000000002</v>
      </c>
      <c r="BX10" s="24">
        <v>34.059579999999997</v>
      </c>
      <c r="BY10" s="24">
        <v>133.3246</v>
      </c>
      <c r="BZ10" s="24">
        <v>57.952509999999997</v>
      </c>
      <c r="CA10" s="24">
        <v>165.76239000000001</v>
      </c>
      <c r="CB10" s="24">
        <v>166.33250000000001</v>
      </c>
      <c r="CC10" s="24">
        <v>270.82727</v>
      </c>
      <c r="CD10" s="24">
        <v>34.942589999999996</v>
      </c>
      <c r="CE10" s="24">
        <v>60.405259999999998</v>
      </c>
      <c r="CF10" s="24">
        <v>239.96849</v>
      </c>
      <c r="CG10" s="23">
        <v>82.735019999999992</v>
      </c>
      <c r="CH10" s="24">
        <v>138.03229999999999</v>
      </c>
      <c r="CI10" s="24">
        <v>72.424620000000004</v>
      </c>
      <c r="CJ10" s="16">
        <v>124.15966</v>
      </c>
      <c r="CK10" s="16">
        <v>241.08157</v>
      </c>
      <c r="CL10" s="16">
        <v>183.52015</v>
      </c>
      <c r="CM10" s="16">
        <v>75.358800000000002</v>
      </c>
      <c r="CN10" s="16">
        <v>37.82591</v>
      </c>
      <c r="CO10" s="16">
        <v>3.5530899999999996</v>
      </c>
      <c r="CP10" s="16">
        <v>78.480900000000005</v>
      </c>
      <c r="CQ10" s="16">
        <v>131.30569</v>
      </c>
      <c r="CR10" s="16">
        <v>18.543979999999998</v>
      </c>
      <c r="CS10" s="16">
        <v>15.964269999999999</v>
      </c>
      <c r="CT10" s="19">
        <v>145.12864000000002</v>
      </c>
      <c r="CU10" s="16">
        <v>24.803879999999996</v>
      </c>
      <c r="CV10" s="16">
        <v>32.73319</v>
      </c>
      <c r="CW10" s="16">
        <v>6.9144400000000008</v>
      </c>
      <c r="CX10" s="16">
        <v>13.412240000000001</v>
      </c>
      <c r="CY10" s="16">
        <v>1.9477900000000001</v>
      </c>
      <c r="CZ10" s="16">
        <v>7.2176200000000001</v>
      </c>
      <c r="DA10" s="16">
        <v>42.782110000000003</v>
      </c>
      <c r="DB10" s="16">
        <v>15.193019999999999</v>
      </c>
      <c r="DC10" s="16">
        <v>74.539770000000004</v>
      </c>
      <c r="DD10" s="16">
        <v>92.814139999999995</v>
      </c>
      <c r="DE10" s="16">
        <v>38.37724</v>
      </c>
      <c r="DF10" s="19">
        <v>2.2136999999999998</v>
      </c>
      <c r="DG10" s="16">
        <v>105.18428999999999</v>
      </c>
      <c r="DH10" s="16">
        <v>26.212769999999999</v>
      </c>
      <c r="DI10" s="16">
        <v>65.219969999999989</v>
      </c>
      <c r="DJ10" s="16">
        <v>13.22315</v>
      </c>
      <c r="DK10" s="16">
        <v>70.025850000000005</v>
      </c>
      <c r="DL10" s="16">
        <v>73.706680000000006</v>
      </c>
      <c r="DM10" s="16">
        <v>3.7734000000000001</v>
      </c>
      <c r="DN10" s="16">
        <v>60.27055</v>
      </c>
      <c r="DO10" s="16">
        <v>47.271100000000004</v>
      </c>
      <c r="DP10" s="16">
        <v>3.7733300000000005</v>
      </c>
      <c r="DQ10" s="21">
        <v>12.27378</v>
      </c>
      <c r="DR10" s="19">
        <v>54.771630000000009</v>
      </c>
      <c r="DS10" s="16">
        <v>94.750659999999996</v>
      </c>
      <c r="DT10" s="16">
        <v>42.23574</v>
      </c>
      <c r="DU10" s="16">
        <v>22.62228</v>
      </c>
      <c r="DV10" s="16">
        <v>4.70207</v>
      </c>
      <c r="DW10" s="16">
        <v>2.1662500000000002</v>
      </c>
      <c r="DX10" s="16">
        <v>31.148970000000002</v>
      </c>
      <c r="DY10" s="16">
        <v>138.62951000000001</v>
      </c>
      <c r="DZ10" s="16">
        <v>13.620219999999998</v>
      </c>
      <c r="EA10" s="16">
        <v>25.605070000000001</v>
      </c>
      <c r="EB10" s="16">
        <v>53.588530000000006</v>
      </c>
      <c r="EC10" s="21">
        <v>9.0833499999999994</v>
      </c>
      <c r="ED10" s="19">
        <v>42.082149999999999</v>
      </c>
      <c r="EE10" s="16">
        <v>9</v>
      </c>
      <c r="EF10" s="16">
        <v>2</v>
      </c>
      <c r="EG10" s="16">
        <v>2</v>
      </c>
      <c r="EH10" s="16">
        <v>2</v>
      </c>
      <c r="EI10" s="16">
        <v>59</v>
      </c>
      <c r="EJ10" s="16">
        <v>2</v>
      </c>
      <c r="EK10" s="16">
        <v>2</v>
      </c>
      <c r="EL10" s="16">
        <v>2</v>
      </c>
      <c r="EM10" s="16">
        <v>18</v>
      </c>
      <c r="EN10" s="16">
        <v>1</v>
      </c>
      <c r="EO10" s="21">
        <v>14</v>
      </c>
      <c r="EP10" s="761">
        <f t="shared" si="8"/>
        <v>1300</v>
      </c>
      <c r="EQ10" s="759">
        <f t="shared" si="9"/>
        <v>54.128157563013659</v>
      </c>
    </row>
    <row r="11" spans="1:147" ht="13.9" customHeight="1" x14ac:dyDescent="0.2">
      <c r="A11" s="309" t="s">
        <v>485</v>
      </c>
      <c r="B11" s="52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1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21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9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9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21"/>
      <c r="BV11" s="19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21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9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9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21"/>
      <c r="DR11" s="19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21"/>
      <c r="ED11" s="19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21"/>
      <c r="EP11" s="761" t="str">
        <f t="shared" si="8"/>
        <v>-</v>
      </c>
      <c r="EQ11" s="759" t="str">
        <f t="shared" si="9"/>
        <v>-</v>
      </c>
    </row>
    <row r="12" spans="1:147" ht="13.9" customHeight="1" x14ac:dyDescent="0.2">
      <c r="A12" s="309" t="s">
        <v>266</v>
      </c>
      <c r="B12" s="52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3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3"/>
      <c r="Z12" s="24">
        <v>47459</v>
      </c>
      <c r="AA12" s="24">
        <v>47676</v>
      </c>
      <c r="AB12" s="24">
        <v>51661</v>
      </c>
      <c r="AC12" s="24">
        <v>50741</v>
      </c>
      <c r="AD12" s="24">
        <v>56655</v>
      </c>
      <c r="AE12" s="24">
        <v>58179.244889999994</v>
      </c>
      <c r="AF12" s="24">
        <v>60414.404109999996</v>
      </c>
      <c r="AG12" s="24">
        <v>73163</v>
      </c>
      <c r="AH12" s="24">
        <v>60689.646690000009</v>
      </c>
      <c r="AI12" s="24">
        <v>56210.040139999997</v>
      </c>
      <c r="AJ12" s="24">
        <v>52490.881039999993</v>
      </c>
      <c r="AK12" s="24">
        <v>69784.589599999992</v>
      </c>
      <c r="AL12" s="52">
        <v>62402.29034</v>
      </c>
      <c r="AM12" s="24">
        <v>60298.824870000004</v>
      </c>
      <c r="AN12" s="24">
        <v>64747.073509999995</v>
      </c>
      <c r="AO12" s="24">
        <v>57159.888609999995</v>
      </c>
      <c r="AP12" s="24">
        <v>61297.153220000015</v>
      </c>
      <c r="AQ12" s="24">
        <v>69164.786800000002</v>
      </c>
      <c r="AR12" s="24">
        <v>70664.09600000002</v>
      </c>
      <c r="AS12" s="24">
        <v>64824.888249999996</v>
      </c>
      <c r="AT12" s="24">
        <v>74913.200880000019</v>
      </c>
      <c r="AU12" s="24">
        <v>66427.196429999996</v>
      </c>
      <c r="AV12" s="24">
        <v>61996.860919999992</v>
      </c>
      <c r="AW12" s="24">
        <v>62954.890910000002</v>
      </c>
      <c r="AX12" s="52">
        <v>62855.595179999982</v>
      </c>
      <c r="AY12" s="24">
        <v>77891.381810000006</v>
      </c>
      <c r="AZ12" s="24">
        <v>86739.939430000013</v>
      </c>
      <c r="BA12" s="24">
        <v>88377.185720000009</v>
      </c>
      <c r="BB12" s="24">
        <v>88480.237010000012</v>
      </c>
      <c r="BC12" s="24">
        <v>85787.877720000019</v>
      </c>
      <c r="BD12" s="24">
        <v>92755.031920000009</v>
      </c>
      <c r="BE12" s="24">
        <v>85626.428419999997</v>
      </c>
      <c r="BF12" s="24">
        <v>84152.046969999996</v>
      </c>
      <c r="BG12" s="24">
        <v>106346.23452</v>
      </c>
      <c r="BH12" s="24">
        <v>91825.978220000005</v>
      </c>
      <c r="BI12" s="24">
        <f>77432.50741+4877</f>
        <v>82309.507410000006</v>
      </c>
      <c r="BJ12" s="52">
        <v>78451.376120000001</v>
      </c>
      <c r="BK12" s="24">
        <v>88701.934879999986</v>
      </c>
      <c r="BL12" s="24">
        <v>92237.484799999991</v>
      </c>
      <c r="BM12" s="24">
        <v>89252.720159999997</v>
      </c>
      <c r="BN12" s="24">
        <v>87040.932960000006</v>
      </c>
      <c r="BO12" s="24">
        <v>86029.975560000006</v>
      </c>
      <c r="BP12" s="24">
        <v>86417.371859999999</v>
      </c>
      <c r="BQ12" s="24">
        <v>94945.446389999997</v>
      </c>
      <c r="BR12" s="24">
        <v>89815.856039999999</v>
      </c>
      <c r="BS12" s="24">
        <v>83547.558340000003</v>
      </c>
      <c r="BT12" s="24">
        <v>72641.693639999983</v>
      </c>
      <c r="BU12" s="23">
        <v>75826.711009999999</v>
      </c>
      <c r="BV12" s="52">
        <v>75016.572370000009</v>
      </c>
      <c r="BW12" s="24">
        <v>67888.078079999992</v>
      </c>
      <c r="BX12" s="24">
        <v>111004.00717</v>
      </c>
      <c r="BY12" s="24">
        <v>103583.63386</v>
      </c>
      <c r="BZ12" s="24">
        <v>104699.66558000002</v>
      </c>
      <c r="CA12" s="24">
        <v>101238.26784999999</v>
      </c>
      <c r="CB12" s="24">
        <v>103728.86956000001</v>
      </c>
      <c r="CC12" s="24">
        <v>100411.80888</v>
      </c>
      <c r="CD12" s="24">
        <v>97366.061289999998</v>
      </c>
      <c r="CE12" s="24">
        <v>95921.289680000002</v>
      </c>
      <c r="CF12" s="24">
        <v>90585.54409000001</v>
      </c>
      <c r="CG12" s="23">
        <v>78532.202430000005</v>
      </c>
      <c r="CH12" s="24">
        <v>104425.49312999999</v>
      </c>
      <c r="CI12" s="24">
        <v>101066.65564000001</v>
      </c>
      <c r="CJ12" s="24">
        <v>103029.51367</v>
      </c>
      <c r="CK12" s="24">
        <v>92102.461490000016</v>
      </c>
      <c r="CL12" s="24">
        <v>94087.30955000002</v>
      </c>
      <c r="CM12" s="24">
        <v>97592.535910000021</v>
      </c>
      <c r="CN12" s="24">
        <v>101984.43829999999</v>
      </c>
      <c r="CO12" s="24">
        <v>103124.08555999999</v>
      </c>
      <c r="CP12" s="24">
        <v>93181.36860999999</v>
      </c>
      <c r="CQ12" s="24">
        <v>89933.227220000015</v>
      </c>
      <c r="CR12" s="24">
        <v>96571.855459999977</v>
      </c>
      <c r="CS12" s="24">
        <v>85009.357860000004</v>
      </c>
      <c r="CT12" s="52">
        <v>78601.849440000005</v>
      </c>
      <c r="CU12" s="24">
        <v>81501.34543999999</v>
      </c>
      <c r="CV12" s="24">
        <v>80386.756190000015</v>
      </c>
      <c r="CW12" s="24">
        <v>81462.500149999993</v>
      </c>
      <c r="CX12" s="24">
        <v>85089.185489999989</v>
      </c>
      <c r="CY12" s="24">
        <v>78513.641019999995</v>
      </c>
      <c r="CZ12" s="24">
        <v>82410.211889999991</v>
      </c>
      <c r="DA12" s="24">
        <v>78525.012200000012</v>
      </c>
      <c r="DB12" s="24">
        <v>75297.6587</v>
      </c>
      <c r="DC12" s="24">
        <v>73051.014559999996</v>
      </c>
      <c r="DD12" s="24">
        <v>78911.678500000009</v>
      </c>
      <c r="DE12" s="24">
        <v>75241.275320000001</v>
      </c>
      <c r="DF12" s="52">
        <v>75028.340449999989</v>
      </c>
      <c r="DG12" s="24">
        <v>70142.96633000001</v>
      </c>
      <c r="DH12" s="24">
        <v>74116.11722</v>
      </c>
      <c r="DI12" s="24">
        <v>84303.591480000003</v>
      </c>
      <c r="DJ12" s="24">
        <v>85111.379979999998</v>
      </c>
      <c r="DK12" s="24">
        <v>90811.433910000007</v>
      </c>
      <c r="DL12" s="24">
        <v>82567.694979999986</v>
      </c>
      <c r="DM12" s="24">
        <v>81135.729199999987</v>
      </c>
      <c r="DN12" s="24">
        <v>79383.957829999999</v>
      </c>
      <c r="DO12" s="24">
        <v>80169.683130000005</v>
      </c>
      <c r="DP12" s="24">
        <v>76425.185290000023</v>
      </c>
      <c r="DQ12" s="23">
        <v>79515.666670000006</v>
      </c>
      <c r="DR12" s="52">
        <v>72700.06151</v>
      </c>
      <c r="DS12" s="24">
        <v>73292.853979999985</v>
      </c>
      <c r="DT12" s="24">
        <v>76014.743229999993</v>
      </c>
      <c r="DU12" s="24">
        <v>77935.650229999999</v>
      </c>
      <c r="DV12" s="24">
        <v>72956.804380000001</v>
      </c>
      <c r="DW12" s="24">
        <v>76004.769069999995</v>
      </c>
      <c r="DX12" s="24">
        <v>78990.984389999998</v>
      </c>
      <c r="DY12" s="24">
        <v>85509.181920000003</v>
      </c>
      <c r="DZ12" s="24">
        <v>86734.789950000006</v>
      </c>
      <c r="EA12" s="24">
        <v>86149.237199999989</v>
      </c>
      <c r="EB12" s="24">
        <v>91857.262000000002</v>
      </c>
      <c r="EC12" s="23">
        <v>112328.56306</v>
      </c>
      <c r="ED12" s="52">
        <v>116971.83605999999</v>
      </c>
      <c r="EE12" s="24">
        <v>118610</v>
      </c>
      <c r="EF12" s="24">
        <v>112192.5</v>
      </c>
      <c r="EG12" s="24">
        <v>114829</v>
      </c>
      <c r="EH12" s="24">
        <v>121217.2</v>
      </c>
      <c r="EI12" s="24">
        <v>114960</v>
      </c>
      <c r="EJ12" s="24">
        <v>117128</v>
      </c>
      <c r="EK12" s="24">
        <v>117447</v>
      </c>
      <c r="EL12" s="24">
        <v>119369.5</v>
      </c>
      <c r="EM12" s="24">
        <v>133283</v>
      </c>
      <c r="EN12" s="24">
        <v>139581</v>
      </c>
      <c r="EO12" s="23">
        <v>147819.1</v>
      </c>
      <c r="EP12" s="761">
        <f t="shared" si="8"/>
        <v>5.902021048710071</v>
      </c>
      <c r="EQ12" s="759">
        <f t="shared" si="9"/>
        <v>31.595291503055044</v>
      </c>
    </row>
    <row r="13" spans="1:147" s="203" customFormat="1" ht="13.9" customHeight="1" x14ac:dyDescent="0.2">
      <c r="A13" s="778" t="s">
        <v>89</v>
      </c>
      <c r="B13" s="220">
        <f t="shared" ref="B13:Y13" si="10">SUM(B14:B16)</f>
        <v>96911</v>
      </c>
      <c r="C13" s="221">
        <f t="shared" si="10"/>
        <v>93355</v>
      </c>
      <c r="D13" s="221">
        <f t="shared" si="10"/>
        <v>91973</v>
      </c>
      <c r="E13" s="221">
        <f t="shared" si="10"/>
        <v>88140</v>
      </c>
      <c r="F13" s="221">
        <f t="shared" si="10"/>
        <v>86776</v>
      </c>
      <c r="G13" s="221">
        <f t="shared" si="10"/>
        <v>86370</v>
      </c>
      <c r="H13" s="221">
        <f t="shared" si="10"/>
        <v>94322</v>
      </c>
      <c r="I13" s="221">
        <f t="shared" si="10"/>
        <v>92704</v>
      </c>
      <c r="J13" s="221">
        <f t="shared" si="10"/>
        <v>100478</v>
      </c>
      <c r="K13" s="221">
        <f t="shared" si="10"/>
        <v>99443</v>
      </c>
      <c r="L13" s="221">
        <f t="shared" si="10"/>
        <v>106128</v>
      </c>
      <c r="M13" s="28">
        <f t="shared" si="10"/>
        <v>105780.69606</v>
      </c>
      <c r="N13" s="221">
        <f t="shared" si="10"/>
        <v>99536.589030000003</v>
      </c>
      <c r="O13" s="221">
        <f t="shared" si="10"/>
        <v>99005</v>
      </c>
      <c r="P13" s="221">
        <f t="shared" si="10"/>
        <v>98972</v>
      </c>
      <c r="Q13" s="221">
        <f t="shared" si="10"/>
        <v>99306</v>
      </c>
      <c r="R13" s="221">
        <f t="shared" si="10"/>
        <v>100160</v>
      </c>
      <c r="S13" s="221">
        <f t="shared" si="10"/>
        <v>106379</v>
      </c>
      <c r="T13" s="221">
        <f t="shared" si="10"/>
        <v>114760</v>
      </c>
      <c r="U13" s="221">
        <f t="shared" si="10"/>
        <v>115055</v>
      </c>
      <c r="V13" s="221">
        <f t="shared" si="10"/>
        <v>118530</v>
      </c>
      <c r="W13" s="221">
        <f t="shared" si="10"/>
        <v>120504</v>
      </c>
      <c r="X13" s="221">
        <f t="shared" si="10"/>
        <v>126985.0791</v>
      </c>
      <c r="Y13" s="28">
        <f t="shared" si="10"/>
        <v>137283</v>
      </c>
      <c r="Z13" s="221">
        <f t="shared" ref="Z13:CV13" si="11">SUM(Z14:Z17)</f>
        <v>176521</v>
      </c>
      <c r="AA13" s="221">
        <f t="shared" si="11"/>
        <v>170648</v>
      </c>
      <c r="AB13" s="221">
        <f t="shared" si="11"/>
        <v>180514</v>
      </c>
      <c r="AC13" s="221">
        <f t="shared" si="11"/>
        <v>179409</v>
      </c>
      <c r="AD13" s="221">
        <f t="shared" si="11"/>
        <v>191522</v>
      </c>
      <c r="AE13" s="221">
        <f t="shared" si="11"/>
        <v>201564.99301999999</v>
      </c>
      <c r="AF13" s="221">
        <f t="shared" si="11"/>
        <v>211765.03256999998</v>
      </c>
      <c r="AG13" s="221">
        <f t="shared" si="11"/>
        <v>227099</v>
      </c>
      <c r="AH13" s="221">
        <f t="shared" si="11"/>
        <v>232260.85710999998</v>
      </c>
      <c r="AI13" s="221">
        <f t="shared" si="11"/>
        <v>225671.11593</v>
      </c>
      <c r="AJ13" s="221">
        <f t="shared" si="11"/>
        <v>223836.82534000001</v>
      </c>
      <c r="AK13" s="221">
        <f t="shared" si="11"/>
        <v>235029.37046999999</v>
      </c>
      <c r="AL13" s="220">
        <f t="shared" si="11"/>
        <v>225966.48931999999</v>
      </c>
      <c r="AM13" s="221">
        <f t="shared" si="11"/>
        <v>215402.70043999999</v>
      </c>
      <c r="AN13" s="221">
        <f t="shared" si="11"/>
        <v>203280.69394</v>
      </c>
      <c r="AO13" s="221">
        <f t="shared" si="11"/>
        <v>199202.47633999999</v>
      </c>
      <c r="AP13" s="221">
        <f t="shared" si="11"/>
        <v>205512.06747000001</v>
      </c>
      <c r="AQ13" s="221">
        <f t="shared" si="11"/>
        <v>204600.52357000002</v>
      </c>
      <c r="AR13" s="221">
        <f t="shared" si="11"/>
        <v>215687.77582000001</v>
      </c>
      <c r="AS13" s="221">
        <f t="shared" si="11"/>
        <v>220800.62294</v>
      </c>
      <c r="AT13" s="221">
        <f t="shared" si="11"/>
        <v>229895.95350999999</v>
      </c>
      <c r="AU13" s="221">
        <f t="shared" si="11"/>
        <v>228039.10584</v>
      </c>
      <c r="AV13" s="221">
        <f t="shared" si="11"/>
        <v>234695.8033</v>
      </c>
      <c r="AW13" s="221">
        <f t="shared" si="11"/>
        <v>238225.34367</v>
      </c>
      <c r="AX13" s="220">
        <f t="shared" si="11"/>
        <v>227621.29665999999</v>
      </c>
      <c r="AY13" s="221">
        <f t="shared" si="11"/>
        <v>216438.43499000001</v>
      </c>
      <c r="AZ13" s="221">
        <f t="shared" si="11"/>
        <v>211076.59929000001</v>
      </c>
      <c r="BA13" s="221">
        <f t="shared" si="11"/>
        <v>207798.65273999999</v>
      </c>
      <c r="BB13" s="221">
        <f t="shared" si="11"/>
        <v>213619.72674000001</v>
      </c>
      <c r="BC13" s="221">
        <f t="shared" si="11"/>
        <v>225274.59735</v>
      </c>
      <c r="BD13" s="221">
        <f t="shared" si="11"/>
        <v>229802.26941000001</v>
      </c>
      <c r="BE13" s="221">
        <f t="shared" si="11"/>
        <v>228921.80324000004</v>
      </c>
      <c r="BF13" s="221">
        <f t="shared" si="11"/>
        <v>227702.28649</v>
      </c>
      <c r="BG13" s="221">
        <f t="shared" si="11"/>
        <v>233166.18958000001</v>
      </c>
      <c r="BH13" s="221">
        <f t="shared" si="11"/>
        <v>248397.27763000003</v>
      </c>
      <c r="BI13" s="221">
        <f t="shared" si="11"/>
        <v>254676.87703999996</v>
      </c>
      <c r="BJ13" s="220">
        <f t="shared" si="11"/>
        <v>264385.57727000001</v>
      </c>
      <c r="BK13" s="221">
        <f t="shared" si="11"/>
        <v>257113.79887</v>
      </c>
      <c r="BL13" s="221">
        <f t="shared" si="11"/>
        <v>255699.96692000001</v>
      </c>
      <c r="BM13" s="221">
        <f t="shared" si="11"/>
        <v>257659.05478000001</v>
      </c>
      <c r="BN13" s="221">
        <f t="shared" si="11"/>
        <v>267886.76708000002</v>
      </c>
      <c r="BO13" s="221">
        <f t="shared" si="11"/>
        <v>275989.68426999997</v>
      </c>
      <c r="BP13" s="221">
        <f t="shared" si="11"/>
        <v>295904.2794</v>
      </c>
      <c r="BQ13" s="221">
        <f t="shared" si="11"/>
        <v>305256.55004</v>
      </c>
      <c r="BR13" s="221">
        <f t="shared" si="11"/>
        <v>303303.12112999998</v>
      </c>
      <c r="BS13" s="221">
        <f t="shared" si="11"/>
        <v>311940.58567999996</v>
      </c>
      <c r="BT13" s="221">
        <f t="shared" si="11"/>
        <v>309518.97597999999</v>
      </c>
      <c r="BU13" s="28">
        <f t="shared" si="11"/>
        <v>336009.99459999998</v>
      </c>
      <c r="BV13" s="220">
        <f t="shared" si="11"/>
        <v>334449.45504000003</v>
      </c>
      <c r="BW13" s="221">
        <f t="shared" si="11"/>
        <v>334377.17452</v>
      </c>
      <c r="BX13" s="221">
        <f t="shared" si="11"/>
        <v>339386.61404999997</v>
      </c>
      <c r="BY13" s="221">
        <f t="shared" si="11"/>
        <v>347053.23027999996</v>
      </c>
      <c r="BZ13" s="221">
        <f t="shared" si="11"/>
        <v>334793.42862000002</v>
      </c>
      <c r="CA13" s="221">
        <f t="shared" si="11"/>
        <v>343008.4621</v>
      </c>
      <c r="CB13" s="221">
        <f t="shared" si="11"/>
        <v>370974.15564000001</v>
      </c>
      <c r="CC13" s="221">
        <f t="shared" si="11"/>
        <v>360436.27908999997</v>
      </c>
      <c r="CD13" s="221">
        <f t="shared" si="11"/>
        <v>361336.5784</v>
      </c>
      <c r="CE13" s="221">
        <f t="shared" si="11"/>
        <v>369146.73125000001</v>
      </c>
      <c r="CF13" s="221">
        <f t="shared" si="11"/>
        <v>369500.11619000003</v>
      </c>
      <c r="CG13" s="28">
        <f t="shared" si="11"/>
        <v>403852.62407999998</v>
      </c>
      <c r="CH13" s="221">
        <f t="shared" si="11"/>
        <v>426869.26126999996</v>
      </c>
      <c r="CI13" s="221">
        <f t="shared" si="11"/>
        <v>415283.83259000001</v>
      </c>
      <c r="CJ13" s="221">
        <f t="shared" si="11"/>
        <v>409563.7034</v>
      </c>
      <c r="CK13" s="221">
        <f t="shared" si="11"/>
        <v>412108.76286000002</v>
      </c>
      <c r="CL13" s="221">
        <f t="shared" si="11"/>
        <v>408161.45701000001</v>
      </c>
      <c r="CM13" s="221">
        <f t="shared" si="11"/>
        <v>428054.37380000006</v>
      </c>
      <c r="CN13" s="221">
        <f t="shared" si="11"/>
        <v>441206.37228000001</v>
      </c>
      <c r="CO13" s="221">
        <f t="shared" si="11"/>
        <v>453189.33682999993</v>
      </c>
      <c r="CP13" s="221">
        <f t="shared" si="11"/>
        <v>459092.48292999994</v>
      </c>
      <c r="CQ13" s="221">
        <f t="shared" si="11"/>
        <v>462281.75594999996</v>
      </c>
      <c r="CR13" s="221">
        <f t="shared" si="11"/>
        <v>460695.23814999999</v>
      </c>
      <c r="CS13" s="221">
        <f t="shared" si="11"/>
        <v>477652.69549999997</v>
      </c>
      <c r="CT13" s="220">
        <f t="shared" si="11"/>
        <v>458336.72563000006</v>
      </c>
      <c r="CU13" s="221">
        <f t="shared" si="11"/>
        <v>442103.30549</v>
      </c>
      <c r="CV13" s="221">
        <f t="shared" si="11"/>
        <v>441746.66704999999</v>
      </c>
      <c r="CW13" s="221">
        <f t="shared" ref="CW13:EO13" si="12">SUM(CW14:CW17)</f>
        <v>452256.90265000006</v>
      </c>
      <c r="CX13" s="221">
        <f t="shared" si="12"/>
        <v>448301.39202000003</v>
      </c>
      <c r="CY13" s="221">
        <f t="shared" si="12"/>
        <v>468077.36973000003</v>
      </c>
      <c r="CZ13" s="221">
        <f t="shared" si="12"/>
        <v>486069.82393000001</v>
      </c>
      <c r="DA13" s="221">
        <f t="shared" si="12"/>
        <v>501996.36109999992</v>
      </c>
      <c r="DB13" s="221">
        <f t="shared" si="12"/>
        <v>492766.85878000001</v>
      </c>
      <c r="DC13" s="221">
        <f t="shared" si="12"/>
        <v>499051.23571000004</v>
      </c>
      <c r="DD13" s="221">
        <f t="shared" si="12"/>
        <v>505376.67828000011</v>
      </c>
      <c r="DE13" s="221">
        <f t="shared" si="12"/>
        <v>528872.21853000007</v>
      </c>
      <c r="DF13" s="220">
        <f t="shared" si="12"/>
        <v>518952.19464999996</v>
      </c>
      <c r="DG13" s="221">
        <f t="shared" si="12"/>
        <v>508382.53128999996</v>
      </c>
      <c r="DH13" s="221">
        <f t="shared" si="12"/>
        <v>492217.20231000002</v>
      </c>
      <c r="DI13" s="221">
        <f t="shared" si="12"/>
        <v>490777.2405500001</v>
      </c>
      <c r="DJ13" s="221">
        <f t="shared" si="12"/>
        <v>500509.83668999991</v>
      </c>
      <c r="DK13" s="221">
        <f t="shared" si="12"/>
        <v>514986.58194000006</v>
      </c>
      <c r="DL13" s="221">
        <f t="shared" si="12"/>
        <v>540715.24166000006</v>
      </c>
      <c r="DM13" s="221">
        <f t="shared" si="12"/>
        <v>555408.26936999999</v>
      </c>
      <c r="DN13" s="221">
        <f t="shared" si="12"/>
        <v>542049.56711999991</v>
      </c>
      <c r="DO13" s="221">
        <f t="shared" si="12"/>
        <v>551609.78746000002</v>
      </c>
      <c r="DP13" s="221">
        <f t="shared" si="12"/>
        <v>553070.12146000005</v>
      </c>
      <c r="DQ13" s="28">
        <f t="shared" si="12"/>
        <v>583966.11440999992</v>
      </c>
      <c r="DR13" s="220">
        <f t="shared" si="12"/>
        <v>567724.73834999988</v>
      </c>
      <c r="DS13" s="221">
        <f t="shared" si="12"/>
        <v>541479.62236000004</v>
      </c>
      <c r="DT13" s="221">
        <f t="shared" si="12"/>
        <v>522968.66278000001</v>
      </c>
      <c r="DU13" s="221">
        <f t="shared" si="12"/>
        <v>522370.07179000007</v>
      </c>
      <c r="DV13" s="221">
        <f t="shared" si="12"/>
        <v>541632.83905999991</v>
      </c>
      <c r="DW13" s="221">
        <f t="shared" si="12"/>
        <v>560799.62673000002</v>
      </c>
      <c r="DX13" s="221">
        <f t="shared" si="12"/>
        <v>589716.23983999994</v>
      </c>
      <c r="DY13" s="221">
        <f t="shared" si="12"/>
        <v>594205.23894000007</v>
      </c>
      <c r="DZ13" s="221">
        <f t="shared" si="12"/>
        <v>598856.70855999994</v>
      </c>
      <c r="EA13" s="221">
        <f t="shared" si="12"/>
        <v>602779.14032000001</v>
      </c>
      <c r="EB13" s="221">
        <f t="shared" si="12"/>
        <v>608459.77220000012</v>
      </c>
      <c r="EC13" s="28">
        <f t="shared" si="12"/>
        <v>635868.16600000008</v>
      </c>
      <c r="ED13" s="220">
        <f t="shared" si="12"/>
        <v>656443.9153799999</v>
      </c>
      <c r="EE13" s="221">
        <f t="shared" si="12"/>
        <v>643228</v>
      </c>
      <c r="EF13" s="221">
        <f t="shared" si="12"/>
        <v>691365.5</v>
      </c>
      <c r="EG13" s="221">
        <f t="shared" si="12"/>
        <v>759507.5</v>
      </c>
      <c r="EH13" s="221">
        <f t="shared" si="12"/>
        <v>787819.4</v>
      </c>
      <c r="EI13" s="221">
        <f t="shared" si="12"/>
        <v>853606.40000000002</v>
      </c>
      <c r="EJ13" s="221">
        <f t="shared" si="12"/>
        <v>937513.4</v>
      </c>
      <c r="EK13" s="221">
        <f t="shared" si="12"/>
        <v>958975</v>
      </c>
      <c r="EL13" s="221">
        <f t="shared" si="12"/>
        <v>982268</v>
      </c>
      <c r="EM13" s="221">
        <f t="shared" si="12"/>
        <v>1037091.5</v>
      </c>
      <c r="EN13" s="221">
        <f t="shared" si="12"/>
        <v>1046535.3</v>
      </c>
      <c r="EO13" s="28">
        <f t="shared" si="12"/>
        <v>1119222</v>
      </c>
      <c r="EP13" s="767">
        <f t="shared" si="8"/>
        <v>6.9454608936745821</v>
      </c>
      <c r="EQ13" s="768">
        <f t="shared" si="9"/>
        <v>76.014787316778467</v>
      </c>
    </row>
    <row r="14" spans="1:147" ht="13.9" customHeight="1" x14ac:dyDescent="0.2">
      <c r="A14" s="309" t="s">
        <v>483</v>
      </c>
      <c r="B14" s="52">
        <v>74156</v>
      </c>
      <c r="C14" s="24">
        <v>73146</v>
      </c>
      <c r="D14" s="24">
        <v>71388</v>
      </c>
      <c r="E14" s="24">
        <v>68626</v>
      </c>
      <c r="F14" s="24">
        <v>67917</v>
      </c>
      <c r="G14" s="24">
        <v>67180</v>
      </c>
      <c r="H14" s="24">
        <v>74007</v>
      </c>
      <c r="I14" s="24">
        <v>71776</v>
      </c>
      <c r="J14" s="24">
        <v>77955</v>
      </c>
      <c r="K14" s="24">
        <v>78837</v>
      </c>
      <c r="L14" s="24">
        <v>86691</v>
      </c>
      <c r="M14" s="23">
        <v>86016.696060000002</v>
      </c>
      <c r="N14" s="24">
        <v>80650.721369999999</v>
      </c>
      <c r="O14" s="24">
        <v>80508</v>
      </c>
      <c r="P14" s="24">
        <v>79353</v>
      </c>
      <c r="Q14" s="24">
        <v>78274</v>
      </c>
      <c r="R14" s="24">
        <v>76929</v>
      </c>
      <c r="S14" s="24">
        <v>78306</v>
      </c>
      <c r="T14" s="24">
        <v>85436</v>
      </c>
      <c r="U14" s="24">
        <v>85586</v>
      </c>
      <c r="V14" s="24">
        <v>88108</v>
      </c>
      <c r="W14" s="24">
        <v>87978</v>
      </c>
      <c r="X14" s="24">
        <v>92968.885569999999</v>
      </c>
      <c r="Y14" s="23">
        <v>101902</v>
      </c>
      <c r="Z14" s="24">
        <v>97476</v>
      </c>
      <c r="AA14" s="24">
        <v>95204</v>
      </c>
      <c r="AB14" s="24">
        <v>101751</v>
      </c>
      <c r="AC14" s="24">
        <v>98975</v>
      </c>
      <c r="AD14" s="24">
        <v>102226</v>
      </c>
      <c r="AE14" s="24">
        <v>105513</v>
      </c>
      <c r="AF14" s="24">
        <v>109758</v>
      </c>
      <c r="AG14" s="24">
        <v>120936</v>
      </c>
      <c r="AH14" s="24">
        <v>123480</v>
      </c>
      <c r="AI14" s="24">
        <v>117928</v>
      </c>
      <c r="AJ14" s="24">
        <v>117577</v>
      </c>
      <c r="AK14" s="24">
        <v>127665</v>
      </c>
      <c r="AL14" s="52">
        <v>120780</v>
      </c>
      <c r="AM14" s="24">
        <v>117005</v>
      </c>
      <c r="AN14" s="24">
        <v>110669</v>
      </c>
      <c r="AO14" s="24">
        <v>106411</v>
      </c>
      <c r="AP14" s="24">
        <v>108311</v>
      </c>
      <c r="AQ14" s="24">
        <v>107579</v>
      </c>
      <c r="AR14" s="24">
        <v>110156</v>
      </c>
      <c r="AS14" s="24">
        <v>119688</v>
      </c>
      <c r="AT14" s="24">
        <v>125402</v>
      </c>
      <c r="AU14" s="24">
        <v>121593</v>
      </c>
      <c r="AV14" s="24">
        <v>128721</v>
      </c>
      <c r="AW14" s="24">
        <v>131110</v>
      </c>
      <c r="AX14" s="52">
        <v>123909</v>
      </c>
      <c r="AY14" s="24">
        <v>116765</v>
      </c>
      <c r="AZ14" s="24">
        <v>115680</v>
      </c>
      <c r="BA14" s="24">
        <v>112793</v>
      </c>
      <c r="BB14" s="24">
        <v>116725</v>
      </c>
      <c r="BC14" s="24">
        <v>120977</v>
      </c>
      <c r="BD14" s="24">
        <v>123433.36212999998</v>
      </c>
      <c r="BE14" s="24">
        <v>121988.06062</v>
      </c>
      <c r="BF14" s="24">
        <v>121031.98196999999</v>
      </c>
      <c r="BG14" s="24">
        <v>125916.00148000001</v>
      </c>
      <c r="BH14" s="24">
        <v>139660.58296</v>
      </c>
      <c r="BI14" s="24">
        <v>142934.27327999999</v>
      </c>
      <c r="BJ14" s="52">
        <v>144400.58864</v>
      </c>
      <c r="BK14" s="24">
        <v>139377.19268999997</v>
      </c>
      <c r="BL14" s="24">
        <v>138926.77142</v>
      </c>
      <c r="BM14" s="24">
        <v>137014.76317999998</v>
      </c>
      <c r="BN14" s="24">
        <v>142389.85766000001</v>
      </c>
      <c r="BO14" s="24">
        <v>145738.16545</v>
      </c>
      <c r="BP14" s="24">
        <v>156297.22094000003</v>
      </c>
      <c r="BQ14" s="24">
        <v>155808.42137000003</v>
      </c>
      <c r="BR14" s="24">
        <v>156069.96995</v>
      </c>
      <c r="BS14" s="24">
        <v>156127.52107999998</v>
      </c>
      <c r="BT14" s="24">
        <v>155766.51915999997</v>
      </c>
      <c r="BU14" s="23">
        <v>166676.36623000001</v>
      </c>
      <c r="BV14" s="52">
        <v>169759.12867999999</v>
      </c>
      <c r="BW14" s="24">
        <v>167931.85720999999</v>
      </c>
      <c r="BX14" s="24">
        <v>188175.32097999996</v>
      </c>
      <c r="BY14" s="24">
        <v>187120.91456999996</v>
      </c>
      <c r="BZ14" s="24">
        <v>181178.37927000003</v>
      </c>
      <c r="CA14" s="24">
        <v>177228.77575</v>
      </c>
      <c r="CB14" s="24">
        <v>203858.04677000002</v>
      </c>
      <c r="CC14" s="24">
        <v>186818.90018999999</v>
      </c>
      <c r="CD14" s="24">
        <v>189538.23572999999</v>
      </c>
      <c r="CE14" s="24">
        <v>189659.68786999999</v>
      </c>
      <c r="CF14" s="24">
        <v>196027.43811000005</v>
      </c>
      <c r="CG14" s="23">
        <v>224163.62256999998</v>
      </c>
      <c r="CH14" s="24">
        <v>246640.20060999997</v>
      </c>
      <c r="CI14" s="24">
        <v>242223.52164000002</v>
      </c>
      <c r="CJ14" s="24">
        <v>244699.58784999998</v>
      </c>
      <c r="CK14" s="24">
        <v>239677.25897000002</v>
      </c>
      <c r="CL14" s="24">
        <v>239013.82994</v>
      </c>
      <c r="CM14" s="24">
        <v>240450.94740999999</v>
      </c>
      <c r="CN14" s="24">
        <v>249378.60864000002</v>
      </c>
      <c r="CO14" s="24">
        <v>258004.74740999998</v>
      </c>
      <c r="CP14" s="24">
        <v>261367.09161999996</v>
      </c>
      <c r="CQ14" s="24">
        <v>256439.82671999998</v>
      </c>
      <c r="CR14" s="24">
        <v>253521.69568</v>
      </c>
      <c r="CS14" s="24">
        <v>258178.78542999999</v>
      </c>
      <c r="CT14" s="52">
        <v>240807.51822000003</v>
      </c>
      <c r="CU14" s="24">
        <v>233938.88814</v>
      </c>
      <c r="CV14" s="24">
        <v>241877.44104999999</v>
      </c>
      <c r="CW14" s="24">
        <v>244098.93619000001</v>
      </c>
      <c r="CX14" s="24">
        <v>240733.04262000005</v>
      </c>
      <c r="CY14" s="24">
        <v>246849.34133</v>
      </c>
      <c r="CZ14" s="24">
        <v>260263.52557</v>
      </c>
      <c r="DA14" s="24">
        <v>265611.74958</v>
      </c>
      <c r="DB14" s="24">
        <v>264541.99919</v>
      </c>
      <c r="DC14" s="24">
        <v>263512.53286000004</v>
      </c>
      <c r="DD14" s="24">
        <v>263331.70705000003</v>
      </c>
      <c r="DE14" s="24">
        <v>279599.70400000003</v>
      </c>
      <c r="DF14" s="52">
        <v>273307.87403999997</v>
      </c>
      <c r="DG14" s="24">
        <v>268810.40577000001</v>
      </c>
      <c r="DH14" s="24">
        <v>271618.71142000001</v>
      </c>
      <c r="DI14" s="24">
        <v>263503.57630000007</v>
      </c>
      <c r="DJ14" s="24">
        <v>269517.50763999997</v>
      </c>
      <c r="DK14" s="24">
        <v>275265.75041000004</v>
      </c>
      <c r="DL14" s="24">
        <v>293379.12478000007</v>
      </c>
      <c r="DM14" s="24">
        <v>292847.76325000002</v>
      </c>
      <c r="DN14" s="24">
        <v>292769.50769</v>
      </c>
      <c r="DO14" s="24">
        <v>291864.75406999997</v>
      </c>
      <c r="DP14" s="24">
        <v>299260.47330999997</v>
      </c>
      <c r="DQ14" s="23">
        <v>310095.73222000001</v>
      </c>
      <c r="DR14" s="52">
        <v>302701.64623999997</v>
      </c>
      <c r="DS14" s="24">
        <v>287023.05548000004</v>
      </c>
      <c r="DT14" s="24">
        <v>285965.51835000003</v>
      </c>
      <c r="DU14" s="24">
        <v>282036.72507000004</v>
      </c>
      <c r="DV14" s="24">
        <v>297205.34133999993</v>
      </c>
      <c r="DW14" s="24">
        <v>299925.97510999994</v>
      </c>
      <c r="DX14" s="24">
        <v>316389.02802999993</v>
      </c>
      <c r="DY14" s="24">
        <v>320045.03520000004</v>
      </c>
      <c r="DZ14" s="24">
        <v>329057.82146999997</v>
      </c>
      <c r="EA14" s="24">
        <v>326145.37409000006</v>
      </c>
      <c r="EB14" s="24">
        <v>333352.33432000002</v>
      </c>
      <c r="EC14" s="23">
        <v>342753.60909000004</v>
      </c>
      <c r="ED14" s="52">
        <v>349583.56650999998</v>
      </c>
      <c r="EE14" s="24">
        <v>342410</v>
      </c>
      <c r="EF14" s="24">
        <v>359996.4</v>
      </c>
      <c r="EG14" s="24">
        <v>379697.5</v>
      </c>
      <c r="EH14" s="24">
        <v>401887</v>
      </c>
      <c r="EI14" s="24">
        <v>437150.4</v>
      </c>
      <c r="EJ14" s="24">
        <v>488343.4</v>
      </c>
      <c r="EK14" s="24">
        <v>490886</v>
      </c>
      <c r="EL14" s="24">
        <v>514290.5</v>
      </c>
      <c r="EM14" s="24">
        <v>533831.4</v>
      </c>
      <c r="EN14" s="24">
        <v>550464.5</v>
      </c>
      <c r="EO14" s="23">
        <v>590099</v>
      </c>
      <c r="EP14" s="761">
        <f t="shared" si="8"/>
        <v>7.2001918379841046</v>
      </c>
      <c r="EQ14" s="759">
        <f t="shared" si="9"/>
        <v>72.164197356431671</v>
      </c>
    </row>
    <row r="15" spans="1:147" ht="13.9" customHeight="1" x14ac:dyDescent="0.2">
      <c r="A15" s="309" t="s">
        <v>484</v>
      </c>
      <c r="B15" s="52">
        <v>514</v>
      </c>
      <c r="C15" s="24">
        <v>498</v>
      </c>
      <c r="D15" s="24">
        <v>408</v>
      </c>
      <c r="E15" s="24">
        <v>296</v>
      </c>
      <c r="F15" s="24">
        <v>290</v>
      </c>
      <c r="G15" s="24">
        <v>316</v>
      </c>
      <c r="H15" s="24">
        <v>353</v>
      </c>
      <c r="I15" s="24">
        <v>333</v>
      </c>
      <c r="J15" s="24">
        <v>302</v>
      </c>
      <c r="K15" s="24">
        <v>280</v>
      </c>
      <c r="L15" s="24">
        <v>275</v>
      </c>
      <c r="M15" s="23">
        <v>298</v>
      </c>
      <c r="N15" s="24">
        <v>244</v>
      </c>
      <c r="O15" s="24">
        <v>289</v>
      </c>
      <c r="P15" s="24">
        <v>278</v>
      </c>
      <c r="Q15" s="24">
        <v>300</v>
      </c>
      <c r="R15" s="24">
        <v>292</v>
      </c>
      <c r="S15" s="24">
        <v>396</v>
      </c>
      <c r="T15" s="24">
        <v>474</v>
      </c>
      <c r="U15" s="24">
        <v>289</v>
      </c>
      <c r="V15" s="24">
        <v>401</v>
      </c>
      <c r="W15" s="24">
        <v>484</v>
      </c>
      <c r="X15" s="24">
        <v>403</v>
      </c>
      <c r="Y15" s="23">
        <v>508</v>
      </c>
      <c r="Z15" s="24">
        <v>438</v>
      </c>
      <c r="AA15" s="24">
        <v>413</v>
      </c>
      <c r="AB15" s="24">
        <v>330</v>
      </c>
      <c r="AC15" s="24">
        <v>389</v>
      </c>
      <c r="AD15" s="24">
        <v>630</v>
      </c>
      <c r="AE15" s="24">
        <v>479</v>
      </c>
      <c r="AF15" s="24">
        <v>567</v>
      </c>
      <c r="AG15" s="24">
        <v>567</v>
      </c>
      <c r="AH15" s="24">
        <v>486</v>
      </c>
      <c r="AI15" s="24">
        <v>446</v>
      </c>
      <c r="AJ15" s="24">
        <v>639</v>
      </c>
      <c r="AK15" s="24">
        <v>718</v>
      </c>
      <c r="AL15" s="52">
        <v>749</v>
      </c>
      <c r="AM15" s="24">
        <v>585</v>
      </c>
      <c r="AN15" s="24">
        <v>576</v>
      </c>
      <c r="AO15" s="24">
        <v>508</v>
      </c>
      <c r="AP15" s="24">
        <v>450</v>
      </c>
      <c r="AQ15" s="24">
        <v>543</v>
      </c>
      <c r="AR15" s="24">
        <v>467</v>
      </c>
      <c r="AS15" s="24">
        <v>434</v>
      </c>
      <c r="AT15" s="24">
        <v>375</v>
      </c>
      <c r="AU15" s="24">
        <v>369</v>
      </c>
      <c r="AV15" s="24">
        <v>359</v>
      </c>
      <c r="AW15" s="24">
        <v>455</v>
      </c>
      <c r="AX15" s="52">
        <v>377</v>
      </c>
      <c r="AY15" s="24">
        <v>524</v>
      </c>
      <c r="AZ15" s="24">
        <v>347</v>
      </c>
      <c r="BA15" s="24">
        <v>332</v>
      </c>
      <c r="BB15" s="24">
        <v>869</v>
      </c>
      <c r="BC15" s="24">
        <v>852.25912000000005</v>
      </c>
      <c r="BD15" s="24">
        <v>1068.53782</v>
      </c>
      <c r="BE15" s="24">
        <v>1385.12357</v>
      </c>
      <c r="BF15" s="24">
        <v>1333.5125400000002</v>
      </c>
      <c r="BG15" s="24">
        <v>1341.62734</v>
      </c>
      <c r="BH15" s="24">
        <v>1254.2238299999999</v>
      </c>
      <c r="BI15" s="24">
        <v>1144.9103399999999</v>
      </c>
      <c r="BJ15" s="52">
        <v>1371.7836199999999</v>
      </c>
      <c r="BK15" s="24">
        <v>1269.5505600000001</v>
      </c>
      <c r="BL15" s="24">
        <v>1286.4403299999999</v>
      </c>
      <c r="BM15" s="24">
        <v>1408.7023599999998</v>
      </c>
      <c r="BN15" s="24">
        <v>1639.5677799999999</v>
      </c>
      <c r="BO15" s="24">
        <v>1522.34411</v>
      </c>
      <c r="BP15" s="24">
        <v>1923.8692299999998</v>
      </c>
      <c r="BQ15" s="24">
        <v>1864.4342100000001</v>
      </c>
      <c r="BR15" s="24">
        <v>1595.8400200000001</v>
      </c>
      <c r="BS15" s="24">
        <v>1647.47471</v>
      </c>
      <c r="BT15" s="24">
        <v>1654.0056300000001</v>
      </c>
      <c r="BU15" s="23">
        <v>2059.6203999999998</v>
      </c>
      <c r="BV15" s="52">
        <v>1581.3951999999999</v>
      </c>
      <c r="BW15" s="24">
        <v>1641.68658</v>
      </c>
      <c r="BX15" s="24">
        <v>1675.1306</v>
      </c>
      <c r="BY15" s="24">
        <v>1589.2727600000001</v>
      </c>
      <c r="BZ15" s="24">
        <v>1600.8995299999997</v>
      </c>
      <c r="CA15" s="24">
        <v>1517.70676</v>
      </c>
      <c r="CB15" s="24">
        <v>1976.3803799999998</v>
      </c>
      <c r="CC15" s="24">
        <v>1716.5158200000001</v>
      </c>
      <c r="CD15" s="24">
        <v>1789.2851000000001</v>
      </c>
      <c r="CE15" s="24">
        <v>1822.4810500000001</v>
      </c>
      <c r="CF15" s="24">
        <v>1801.9611500000001</v>
      </c>
      <c r="CG15" s="23">
        <v>1467.5545200000001</v>
      </c>
      <c r="CH15" s="24">
        <v>1700.76251</v>
      </c>
      <c r="CI15" s="24">
        <v>1778.7712999999999</v>
      </c>
      <c r="CJ15" s="24">
        <v>1561.0463500000001</v>
      </c>
      <c r="CK15" s="24">
        <v>1577.7639799999997</v>
      </c>
      <c r="CL15" s="24">
        <v>1734.35077</v>
      </c>
      <c r="CM15" s="24">
        <v>1903.7607800000001</v>
      </c>
      <c r="CN15" s="24">
        <v>1821.0484499999998</v>
      </c>
      <c r="CO15" s="24">
        <v>1953.5853099999999</v>
      </c>
      <c r="CP15" s="24">
        <v>1710.74944</v>
      </c>
      <c r="CQ15" s="24">
        <v>1764.7177999999999</v>
      </c>
      <c r="CR15" s="24">
        <v>1900.0517399999999</v>
      </c>
      <c r="CS15" s="24">
        <v>2085.3240500000002</v>
      </c>
      <c r="CT15" s="52">
        <v>2066.0433900000003</v>
      </c>
      <c r="CU15" s="24">
        <v>2208.5525299999999</v>
      </c>
      <c r="CV15" s="24">
        <v>2270.82818</v>
      </c>
      <c r="CW15" s="24">
        <v>2259.3251999999998</v>
      </c>
      <c r="CX15" s="24">
        <v>2536.97264</v>
      </c>
      <c r="CY15" s="24">
        <v>2718.4256</v>
      </c>
      <c r="CZ15" s="24">
        <v>2725.4957400000003</v>
      </c>
      <c r="DA15" s="24">
        <v>2292.89345</v>
      </c>
      <c r="DB15" s="24">
        <v>2193.0799299999999</v>
      </c>
      <c r="DC15" s="24">
        <v>2392.5356700000002</v>
      </c>
      <c r="DD15" s="24">
        <v>2261.1724899999999</v>
      </c>
      <c r="DE15" s="24">
        <v>2368.73317</v>
      </c>
      <c r="DF15" s="52">
        <v>2206.4929400000001</v>
      </c>
      <c r="DG15" s="24">
        <v>1939.5669700000001</v>
      </c>
      <c r="DH15" s="24">
        <v>2081.5091899999998</v>
      </c>
      <c r="DI15" s="24">
        <v>2034.2784399999998</v>
      </c>
      <c r="DJ15" s="24">
        <v>2124.32809</v>
      </c>
      <c r="DK15" s="24">
        <v>2267.2302199999999</v>
      </c>
      <c r="DL15" s="24">
        <v>2349.4112399999999</v>
      </c>
      <c r="DM15" s="24">
        <v>2047.30583</v>
      </c>
      <c r="DN15" s="24">
        <v>2132.2972</v>
      </c>
      <c r="DO15" s="24">
        <v>2455.7370900000001</v>
      </c>
      <c r="DP15" s="24">
        <v>2575.1338299999998</v>
      </c>
      <c r="DQ15" s="23">
        <v>2466.4589799999999</v>
      </c>
      <c r="DR15" s="52">
        <v>3183.6735399999998</v>
      </c>
      <c r="DS15" s="24">
        <v>2831.2139399999996</v>
      </c>
      <c r="DT15" s="24">
        <v>3237.5198</v>
      </c>
      <c r="DU15" s="24">
        <v>3500.9377899999999</v>
      </c>
      <c r="DV15" s="24">
        <v>2961.75369</v>
      </c>
      <c r="DW15" s="24">
        <v>3249.3916300000001</v>
      </c>
      <c r="DX15" s="24">
        <v>3338.0452000000005</v>
      </c>
      <c r="DY15" s="24">
        <v>3420.47048</v>
      </c>
      <c r="DZ15" s="24">
        <v>4247.8575900000005</v>
      </c>
      <c r="EA15" s="24">
        <v>5183.52819</v>
      </c>
      <c r="EB15" s="24">
        <v>5363.0342499999997</v>
      </c>
      <c r="EC15" s="23">
        <v>5689.4694099999997</v>
      </c>
      <c r="ED15" s="52">
        <v>6074.9417199999998</v>
      </c>
      <c r="EE15" s="24">
        <v>5743</v>
      </c>
      <c r="EF15" s="24">
        <v>5075</v>
      </c>
      <c r="EG15" s="24">
        <v>4853</v>
      </c>
      <c r="EH15" s="24">
        <v>4819</v>
      </c>
      <c r="EI15" s="24">
        <v>4885</v>
      </c>
      <c r="EJ15" s="24">
        <v>5554</v>
      </c>
      <c r="EK15" s="24">
        <v>5860</v>
      </c>
      <c r="EL15" s="24">
        <v>5727</v>
      </c>
      <c r="EM15" s="24">
        <v>5685</v>
      </c>
      <c r="EN15" s="24">
        <v>6164</v>
      </c>
      <c r="EO15" s="23">
        <v>6103</v>
      </c>
      <c r="EP15" s="761">
        <f t="shared" si="8"/>
        <v>-0.98961713173264521</v>
      </c>
      <c r="EQ15" s="759">
        <f t="shared" si="9"/>
        <v>7.2683507054834617</v>
      </c>
    </row>
    <row r="16" spans="1:147" ht="13.9" customHeight="1" x14ac:dyDescent="0.2">
      <c r="A16" s="309" t="s">
        <v>485</v>
      </c>
      <c r="B16" s="52">
        <v>22241</v>
      </c>
      <c r="C16" s="24">
        <v>19711</v>
      </c>
      <c r="D16" s="24">
        <v>20177</v>
      </c>
      <c r="E16" s="24">
        <v>19218</v>
      </c>
      <c r="F16" s="24">
        <v>18569</v>
      </c>
      <c r="G16" s="24">
        <v>18874</v>
      </c>
      <c r="H16" s="24">
        <v>19962</v>
      </c>
      <c r="I16" s="24">
        <v>20595</v>
      </c>
      <c r="J16" s="24">
        <v>22221</v>
      </c>
      <c r="K16" s="24">
        <v>20326</v>
      </c>
      <c r="L16" s="24">
        <v>19162</v>
      </c>
      <c r="M16" s="23">
        <v>19466</v>
      </c>
      <c r="N16" s="24">
        <v>18641.86766</v>
      </c>
      <c r="O16" s="24">
        <v>18208</v>
      </c>
      <c r="P16" s="24">
        <v>19341</v>
      </c>
      <c r="Q16" s="24">
        <v>20732</v>
      </c>
      <c r="R16" s="24">
        <v>22939</v>
      </c>
      <c r="S16" s="24">
        <v>27677</v>
      </c>
      <c r="T16" s="24">
        <v>28850</v>
      </c>
      <c r="U16" s="24">
        <v>29180</v>
      </c>
      <c r="V16" s="24">
        <v>30021</v>
      </c>
      <c r="W16" s="24">
        <v>32042</v>
      </c>
      <c r="X16" s="24">
        <v>33613.193530000004</v>
      </c>
      <c r="Y16" s="23">
        <v>34873</v>
      </c>
      <c r="Z16" s="24">
        <v>35207</v>
      </c>
      <c r="AA16" s="24">
        <v>34801</v>
      </c>
      <c r="AB16" s="24">
        <v>36371</v>
      </c>
      <c r="AC16" s="24">
        <v>37634</v>
      </c>
      <c r="AD16" s="24">
        <v>44598</v>
      </c>
      <c r="AE16" s="24">
        <v>49415</v>
      </c>
      <c r="AF16" s="24">
        <v>53910</v>
      </c>
      <c r="AG16" s="24">
        <v>56480</v>
      </c>
      <c r="AH16" s="24">
        <v>56739</v>
      </c>
      <c r="AI16" s="24">
        <f>56863+856</f>
        <v>57719</v>
      </c>
      <c r="AJ16" s="24">
        <f>772+54543</f>
        <v>55315</v>
      </c>
      <c r="AK16" s="24">
        <f>53045+790</f>
        <v>53835</v>
      </c>
      <c r="AL16" s="52">
        <f>49196+852</f>
        <v>50048</v>
      </c>
      <c r="AM16" s="24">
        <v>48147</v>
      </c>
      <c r="AN16" s="24">
        <v>45409</v>
      </c>
      <c r="AO16" s="24">
        <v>45033</v>
      </c>
      <c r="AP16" s="24">
        <v>48513</v>
      </c>
      <c r="AQ16" s="24">
        <v>49625</v>
      </c>
      <c r="AR16" s="24">
        <v>54753</v>
      </c>
      <c r="AS16" s="24">
        <v>52186</v>
      </c>
      <c r="AT16" s="24">
        <v>55512</v>
      </c>
      <c r="AU16" s="24">
        <v>55989</v>
      </c>
      <c r="AV16" s="24">
        <v>54002</v>
      </c>
      <c r="AW16" s="24">
        <v>49693</v>
      </c>
      <c r="AX16" s="52">
        <v>48428</v>
      </c>
      <c r="AY16" s="24">
        <v>45243</v>
      </c>
      <c r="AZ16" s="24">
        <v>43326</v>
      </c>
      <c r="BA16" s="24">
        <v>44226</v>
      </c>
      <c r="BB16" s="24">
        <v>46501</v>
      </c>
      <c r="BC16" s="24">
        <v>50680.68735</v>
      </c>
      <c r="BD16" s="24">
        <v>50620.521680000005</v>
      </c>
      <c r="BE16" s="24">
        <v>53137.148600000008</v>
      </c>
      <c r="BF16" s="24">
        <v>52314.550080000001</v>
      </c>
      <c r="BG16" s="24">
        <v>49802.247889999991</v>
      </c>
      <c r="BH16" s="24">
        <v>52434.112280000001</v>
      </c>
      <c r="BI16" s="24">
        <v>53498.418489999996</v>
      </c>
      <c r="BJ16" s="52">
        <v>56021</v>
      </c>
      <c r="BK16" s="24">
        <v>55974.308570000008</v>
      </c>
      <c r="BL16" s="24">
        <v>55694.868129999981</v>
      </c>
      <c r="BM16" s="24">
        <v>57287.082350000004</v>
      </c>
      <c r="BN16" s="24">
        <v>64508.303450000014</v>
      </c>
      <c r="BO16" s="24">
        <v>65424.418559999998</v>
      </c>
      <c r="BP16" s="24">
        <v>69939.738199999993</v>
      </c>
      <c r="BQ16" s="24">
        <v>74043.775670000017</v>
      </c>
      <c r="BR16" s="24">
        <v>74714.344739999986</v>
      </c>
      <c r="BS16" s="24">
        <v>76988.645319999981</v>
      </c>
      <c r="BT16" s="24">
        <v>79444.59106999998</v>
      </c>
      <c r="BU16" s="23">
        <v>79861.504859999986</v>
      </c>
      <c r="BV16" s="52">
        <v>84766.766089999976</v>
      </c>
      <c r="BW16" s="24">
        <v>80698.161589999989</v>
      </c>
      <c r="BX16" s="24">
        <v>76258.482730000003</v>
      </c>
      <c r="BY16" s="24">
        <v>77759.946250000008</v>
      </c>
      <c r="BZ16" s="24">
        <v>79215.489839999995</v>
      </c>
      <c r="CA16" s="24">
        <v>82166.645120000016</v>
      </c>
      <c r="CB16" s="24">
        <v>86072.679639999988</v>
      </c>
      <c r="CC16" s="24">
        <v>92055.824980000005</v>
      </c>
      <c r="CD16" s="24">
        <v>92432.721429999991</v>
      </c>
      <c r="CE16" s="24">
        <v>92301.547570000024</v>
      </c>
      <c r="CF16" s="24">
        <v>91826.619479999979</v>
      </c>
      <c r="CG16" s="23">
        <v>88892.922590000002</v>
      </c>
      <c r="CH16" s="24">
        <v>89810.550359999994</v>
      </c>
      <c r="CI16" s="24">
        <v>84055.726549999992</v>
      </c>
      <c r="CJ16" s="24">
        <v>79901.687579999998</v>
      </c>
      <c r="CK16" s="24">
        <v>81439.285559999989</v>
      </c>
      <c r="CL16" s="24">
        <v>84814.673769999994</v>
      </c>
      <c r="CM16" s="24">
        <v>95303.564469999998</v>
      </c>
      <c r="CN16" s="24">
        <v>102029.20152</v>
      </c>
      <c r="CO16" s="24">
        <v>103309.38954</v>
      </c>
      <c r="CP16" s="24">
        <v>107458.77417</v>
      </c>
      <c r="CQ16" s="24">
        <v>108736.38842</v>
      </c>
      <c r="CR16" s="24">
        <v>114740.03361000001</v>
      </c>
      <c r="CS16" s="24">
        <v>118559.47873</v>
      </c>
      <c r="CT16" s="52">
        <v>117513.23603000001</v>
      </c>
      <c r="CU16" s="24">
        <v>110293.00894</v>
      </c>
      <c r="CV16" s="24">
        <v>108044.38165000001</v>
      </c>
      <c r="CW16" s="24">
        <v>110511.91939000002</v>
      </c>
      <c r="CX16" s="24">
        <v>117972.86158000001</v>
      </c>
      <c r="CY16" s="24">
        <v>120773.03545000001</v>
      </c>
      <c r="CZ16" s="24">
        <v>125852.45841000001</v>
      </c>
      <c r="DA16" s="24">
        <v>130578.07259999997</v>
      </c>
      <c r="DB16" s="24">
        <v>131358.52389000001</v>
      </c>
      <c r="DC16" s="24">
        <v>131772.98838</v>
      </c>
      <c r="DD16" s="24">
        <v>134865.31143000003</v>
      </c>
      <c r="DE16" s="24">
        <v>135984.05627999999</v>
      </c>
      <c r="DF16" s="52">
        <v>130664.37010999999</v>
      </c>
      <c r="DG16" s="24">
        <v>124034.71837999998</v>
      </c>
      <c r="DH16" s="24">
        <v>117391.99169</v>
      </c>
      <c r="DI16" s="24">
        <v>119148.78762</v>
      </c>
      <c r="DJ16" s="24">
        <v>125629.98614999998</v>
      </c>
      <c r="DK16" s="24">
        <v>129365.00373</v>
      </c>
      <c r="DL16" s="24">
        <v>134838.36942</v>
      </c>
      <c r="DM16" s="24">
        <v>143518.88791999995</v>
      </c>
      <c r="DN16" s="24">
        <v>135815.54609999998</v>
      </c>
      <c r="DO16" s="24">
        <v>142121.51098999998</v>
      </c>
      <c r="DP16" s="24">
        <v>139491.87363000002</v>
      </c>
      <c r="DQ16" s="23">
        <v>145252.74113999997</v>
      </c>
      <c r="DR16" s="52">
        <v>139768.95313999994</v>
      </c>
      <c r="DS16" s="24">
        <v>133642.38080000001</v>
      </c>
      <c r="DT16" s="24">
        <v>126642.52004999998</v>
      </c>
      <c r="DU16" s="24">
        <v>125097.80992</v>
      </c>
      <c r="DV16" s="24">
        <v>133781.92282000001</v>
      </c>
      <c r="DW16" s="24">
        <v>135311.41980999999</v>
      </c>
      <c r="DX16" s="24">
        <v>149313.27565</v>
      </c>
      <c r="DY16" s="24">
        <v>150929.49106999999</v>
      </c>
      <c r="DZ16" s="24">
        <v>146691.31332999998</v>
      </c>
      <c r="EA16" s="24">
        <v>149205.16485</v>
      </c>
      <c r="EB16" s="24">
        <v>149843.71417000002</v>
      </c>
      <c r="EC16" s="23">
        <v>155904.82664000001</v>
      </c>
      <c r="ED16" s="52">
        <v>158719.41844999997</v>
      </c>
      <c r="EE16" s="24">
        <v>160377</v>
      </c>
      <c r="EF16" s="24">
        <v>174467</v>
      </c>
      <c r="EG16" s="24">
        <v>196973</v>
      </c>
      <c r="EH16" s="24">
        <v>194800</v>
      </c>
      <c r="EI16" s="24">
        <v>219639</v>
      </c>
      <c r="EJ16" s="24">
        <v>245853</v>
      </c>
      <c r="EK16" s="24">
        <v>257079</v>
      </c>
      <c r="EL16" s="24">
        <v>270423.5</v>
      </c>
      <c r="EM16" s="24">
        <v>280870.09999999998</v>
      </c>
      <c r="EN16" s="24">
        <v>289856</v>
      </c>
      <c r="EO16" s="23">
        <v>286317</v>
      </c>
      <c r="EP16" s="761">
        <f t="shared" si="8"/>
        <v>-1.2209510929565015</v>
      </c>
      <c r="EQ16" s="759">
        <f t="shared" si="9"/>
        <v>83.648579823083267</v>
      </c>
    </row>
    <row r="17" spans="1:147" ht="13.9" customHeight="1" x14ac:dyDescent="0.2">
      <c r="A17" s="309" t="s">
        <v>266</v>
      </c>
      <c r="B17" s="52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3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3"/>
      <c r="Z17" s="24">
        <v>43400</v>
      </c>
      <c r="AA17" s="24">
        <v>40230</v>
      </c>
      <c r="AB17" s="24">
        <v>42062</v>
      </c>
      <c r="AC17" s="24">
        <v>42411</v>
      </c>
      <c r="AD17" s="24">
        <v>44068</v>
      </c>
      <c r="AE17" s="24">
        <v>46157.993019999994</v>
      </c>
      <c r="AF17" s="24">
        <v>47530.032569999996</v>
      </c>
      <c r="AG17" s="24">
        <f>49057+59</f>
        <v>49116</v>
      </c>
      <c r="AH17" s="24">
        <v>51555.857109999983</v>
      </c>
      <c r="AI17" s="24">
        <v>49578.11593</v>
      </c>
      <c r="AJ17" s="24">
        <v>50305.825340000003</v>
      </c>
      <c r="AK17" s="24">
        <v>52811.370469999994</v>
      </c>
      <c r="AL17" s="52">
        <v>54389.489320000001</v>
      </c>
      <c r="AM17" s="24">
        <v>49665.700439999993</v>
      </c>
      <c r="AN17" s="24">
        <v>46626.693939999997</v>
      </c>
      <c r="AO17" s="24">
        <v>47250.476340000001</v>
      </c>
      <c r="AP17" s="24">
        <v>48238.067470000002</v>
      </c>
      <c r="AQ17" s="24">
        <v>46853.523570000005</v>
      </c>
      <c r="AR17" s="24">
        <v>50311.77582000001</v>
      </c>
      <c r="AS17" s="24">
        <v>48492.622939999994</v>
      </c>
      <c r="AT17" s="24">
        <v>48606.953509999999</v>
      </c>
      <c r="AU17" s="24">
        <v>50088.105839999997</v>
      </c>
      <c r="AV17" s="24">
        <v>51613.8033</v>
      </c>
      <c r="AW17" s="24">
        <v>56967.343670000002</v>
      </c>
      <c r="AX17" s="52">
        <v>54907.29666</v>
      </c>
      <c r="AY17" s="24">
        <v>53906.434990000002</v>
      </c>
      <c r="AZ17" s="24">
        <v>51723.599290000006</v>
      </c>
      <c r="BA17" s="24">
        <v>50447.652739999998</v>
      </c>
      <c r="BB17" s="24">
        <v>49524.726739999998</v>
      </c>
      <c r="BC17" s="24">
        <v>52764.650879999994</v>
      </c>
      <c r="BD17" s="24">
        <v>54679.847779999996</v>
      </c>
      <c r="BE17" s="24">
        <v>52411.470450000008</v>
      </c>
      <c r="BF17" s="24">
        <v>53022.241900000001</v>
      </c>
      <c r="BG17" s="24">
        <v>56106.312870000002</v>
      </c>
      <c r="BH17" s="24">
        <v>55048.358560000008</v>
      </c>
      <c r="BI17" s="24">
        <v>57099.274929999992</v>
      </c>
      <c r="BJ17" s="52">
        <v>62592.205009999998</v>
      </c>
      <c r="BK17" s="24">
        <v>60492.747049999998</v>
      </c>
      <c r="BL17" s="24">
        <v>59791.887040000009</v>
      </c>
      <c r="BM17" s="24">
        <v>61948.506890000011</v>
      </c>
      <c r="BN17" s="24">
        <v>59349.038190000007</v>
      </c>
      <c r="BO17" s="24">
        <v>63304.756150000001</v>
      </c>
      <c r="BP17" s="24">
        <v>67743.451029999997</v>
      </c>
      <c r="BQ17" s="24">
        <v>73539.918789999996</v>
      </c>
      <c r="BR17" s="24">
        <v>70922.966419999997</v>
      </c>
      <c r="BS17" s="24">
        <v>77176.944570000007</v>
      </c>
      <c r="BT17" s="24">
        <v>72653.860119999998</v>
      </c>
      <c r="BU17" s="23">
        <v>87412.503109999991</v>
      </c>
      <c r="BV17" s="52">
        <v>78342.165070000017</v>
      </c>
      <c r="BW17" s="24">
        <v>84105.469140000016</v>
      </c>
      <c r="BX17" s="24">
        <v>73277.679740000007</v>
      </c>
      <c r="BY17" s="24">
        <v>80583.096700000009</v>
      </c>
      <c r="BZ17" s="24">
        <v>72798.659980000011</v>
      </c>
      <c r="CA17" s="24">
        <v>82095.334470000002</v>
      </c>
      <c r="CB17" s="24">
        <v>79067.048850000006</v>
      </c>
      <c r="CC17" s="24">
        <v>79845.038099999991</v>
      </c>
      <c r="CD17" s="24">
        <v>77576.336139999999</v>
      </c>
      <c r="CE17" s="24">
        <v>85363.014759999991</v>
      </c>
      <c r="CF17" s="24">
        <v>79844.097449999987</v>
      </c>
      <c r="CG17" s="23">
        <v>89328.524400000009</v>
      </c>
      <c r="CH17" s="24">
        <v>88717.747789999979</v>
      </c>
      <c r="CI17" s="24">
        <v>87225.813099999999</v>
      </c>
      <c r="CJ17" s="24">
        <v>83401.38162</v>
      </c>
      <c r="CK17" s="24">
        <v>89414.45435</v>
      </c>
      <c r="CL17" s="24">
        <v>82598.602530000004</v>
      </c>
      <c r="CM17" s="24">
        <v>90396.101140000028</v>
      </c>
      <c r="CN17" s="24">
        <v>87977.51367</v>
      </c>
      <c r="CO17" s="24">
        <v>89921.614570000005</v>
      </c>
      <c r="CP17" s="24">
        <v>88555.867699999988</v>
      </c>
      <c r="CQ17" s="24">
        <v>95340.823009999993</v>
      </c>
      <c r="CR17" s="24">
        <v>90533.457119999992</v>
      </c>
      <c r="CS17" s="24">
        <v>98829.107290000014</v>
      </c>
      <c r="CT17" s="52">
        <v>97949.927989999996</v>
      </c>
      <c r="CU17" s="24">
        <v>95662.855879999988</v>
      </c>
      <c r="CV17" s="24">
        <v>89554.016169999973</v>
      </c>
      <c r="CW17" s="24">
        <v>95386.721869999994</v>
      </c>
      <c r="CX17" s="24">
        <v>87058.515179999988</v>
      </c>
      <c r="CY17" s="24">
        <v>97736.567350000012</v>
      </c>
      <c r="CZ17" s="24">
        <v>97228.344209999996</v>
      </c>
      <c r="DA17" s="24">
        <v>103513.64547</v>
      </c>
      <c r="DB17" s="24">
        <v>94673.255770000018</v>
      </c>
      <c r="DC17" s="24">
        <v>101373.17880000001</v>
      </c>
      <c r="DD17" s="24">
        <v>104918.48731</v>
      </c>
      <c r="DE17" s="24">
        <v>110919.72508</v>
      </c>
      <c r="DF17" s="52">
        <v>112773.45756</v>
      </c>
      <c r="DG17" s="24">
        <v>113597.84017</v>
      </c>
      <c r="DH17" s="24">
        <v>101124.99000999999</v>
      </c>
      <c r="DI17" s="24">
        <v>106090.59818999999</v>
      </c>
      <c r="DJ17" s="24">
        <v>103238.01480999999</v>
      </c>
      <c r="DK17" s="24">
        <v>108088.59758</v>
      </c>
      <c r="DL17" s="24">
        <v>110148.33622</v>
      </c>
      <c r="DM17" s="24">
        <v>116994.31236999999</v>
      </c>
      <c r="DN17" s="24">
        <v>111332.21613</v>
      </c>
      <c r="DO17" s="24">
        <v>115167.78531000002</v>
      </c>
      <c r="DP17" s="24">
        <v>111742.64068999999</v>
      </c>
      <c r="DQ17" s="23">
        <v>126151.18207000002</v>
      </c>
      <c r="DR17" s="52">
        <v>122070.46543000001</v>
      </c>
      <c r="DS17" s="24">
        <v>117982.97214</v>
      </c>
      <c r="DT17" s="24">
        <v>107123.10457999998</v>
      </c>
      <c r="DU17" s="24">
        <v>111734.59900999999</v>
      </c>
      <c r="DV17" s="24">
        <v>107683.82121000001</v>
      </c>
      <c r="DW17" s="24">
        <v>122312.84018000001</v>
      </c>
      <c r="DX17" s="24">
        <v>120675.89096</v>
      </c>
      <c r="DY17" s="24">
        <v>119810.24218999999</v>
      </c>
      <c r="DZ17" s="24">
        <v>118859.71617000001</v>
      </c>
      <c r="EA17" s="24">
        <v>122245.07319000001</v>
      </c>
      <c r="EB17" s="24">
        <v>119900.68946000001</v>
      </c>
      <c r="EC17" s="23">
        <v>131520.26086000001</v>
      </c>
      <c r="ED17" s="52">
        <v>142065.98869999996</v>
      </c>
      <c r="EE17" s="24">
        <v>134698</v>
      </c>
      <c r="EF17" s="24">
        <v>151827.1</v>
      </c>
      <c r="EG17" s="24">
        <v>177984</v>
      </c>
      <c r="EH17" s="24">
        <v>186313.4</v>
      </c>
      <c r="EI17" s="24">
        <v>191932</v>
      </c>
      <c r="EJ17" s="24">
        <v>197763</v>
      </c>
      <c r="EK17" s="24">
        <v>205150</v>
      </c>
      <c r="EL17" s="24">
        <v>191827</v>
      </c>
      <c r="EM17" s="24">
        <v>216705</v>
      </c>
      <c r="EN17" s="24">
        <v>200050.8</v>
      </c>
      <c r="EO17" s="23">
        <v>236703</v>
      </c>
      <c r="EP17" s="761">
        <f t="shared" si="8"/>
        <v>18.321446352626445</v>
      </c>
      <c r="EQ17" s="759">
        <f t="shared" si="9"/>
        <v>79.974551793175323</v>
      </c>
    </row>
    <row r="18" spans="1:147" s="203" customFormat="1" ht="13.9" customHeight="1" x14ac:dyDescent="0.2">
      <c r="A18" s="778" t="s">
        <v>90</v>
      </c>
      <c r="B18" s="220">
        <f t="shared" ref="B18:Y18" si="13">SUM(B19:B21)</f>
        <v>67689</v>
      </c>
      <c r="C18" s="221">
        <f t="shared" si="13"/>
        <v>68740</v>
      </c>
      <c r="D18" s="221">
        <f t="shared" si="13"/>
        <v>68342</v>
      </c>
      <c r="E18" s="221">
        <f t="shared" si="13"/>
        <v>66636</v>
      </c>
      <c r="F18" s="221">
        <f t="shared" si="13"/>
        <v>69246</v>
      </c>
      <c r="G18" s="221">
        <f t="shared" si="13"/>
        <v>69101</v>
      </c>
      <c r="H18" s="221">
        <f t="shared" si="13"/>
        <v>68376</v>
      </c>
      <c r="I18" s="221">
        <f t="shared" si="13"/>
        <v>66155</v>
      </c>
      <c r="J18" s="221">
        <f t="shared" si="13"/>
        <v>65113</v>
      </c>
      <c r="K18" s="221">
        <f t="shared" si="13"/>
        <v>66031</v>
      </c>
      <c r="L18" s="221">
        <f t="shared" si="13"/>
        <v>67221</v>
      </c>
      <c r="M18" s="28">
        <f t="shared" si="13"/>
        <v>65894.969130000012</v>
      </c>
      <c r="N18" s="221">
        <f t="shared" si="13"/>
        <v>64601.062269999995</v>
      </c>
      <c r="O18" s="221">
        <f t="shared" si="13"/>
        <v>62473</v>
      </c>
      <c r="P18" s="221">
        <f t="shared" si="13"/>
        <v>62417</v>
      </c>
      <c r="Q18" s="221">
        <f t="shared" si="13"/>
        <v>61593</v>
      </c>
      <c r="R18" s="221">
        <f t="shared" si="13"/>
        <v>64006</v>
      </c>
      <c r="S18" s="221">
        <f t="shared" si="13"/>
        <v>64096</v>
      </c>
      <c r="T18" s="221">
        <f t="shared" si="13"/>
        <v>66746</v>
      </c>
      <c r="U18" s="221">
        <f t="shared" si="13"/>
        <v>69077</v>
      </c>
      <c r="V18" s="221">
        <f t="shared" si="13"/>
        <v>69218</v>
      </c>
      <c r="W18" s="221">
        <f t="shared" si="13"/>
        <v>69597</v>
      </c>
      <c r="X18" s="221">
        <f t="shared" si="13"/>
        <v>74416.496929999994</v>
      </c>
      <c r="Y18" s="28">
        <f t="shared" si="13"/>
        <v>73179</v>
      </c>
      <c r="Z18" s="221">
        <f t="shared" ref="Z18:CK18" si="14">SUM(Z19:Z22)</f>
        <v>75167.399999999994</v>
      </c>
      <c r="AA18" s="221">
        <f t="shared" si="14"/>
        <v>72917.399999999994</v>
      </c>
      <c r="AB18" s="221">
        <f t="shared" si="14"/>
        <v>72706.399999999994</v>
      </c>
      <c r="AC18" s="221">
        <f t="shared" si="14"/>
        <v>74036.799999999988</v>
      </c>
      <c r="AD18" s="221">
        <f t="shared" si="14"/>
        <v>78704</v>
      </c>
      <c r="AE18" s="221">
        <f t="shared" si="14"/>
        <v>80295.34749</v>
      </c>
      <c r="AF18" s="221">
        <f t="shared" si="14"/>
        <v>81377.072249999997</v>
      </c>
      <c r="AG18" s="221">
        <f t="shared" si="14"/>
        <v>84867</v>
      </c>
      <c r="AH18" s="221">
        <f t="shared" si="14"/>
        <v>90151.763300000006</v>
      </c>
      <c r="AI18" s="221">
        <f t="shared" si="14"/>
        <v>88298.42628</v>
      </c>
      <c r="AJ18" s="221">
        <f t="shared" si="14"/>
        <v>92353.815300000002</v>
      </c>
      <c r="AK18" s="221">
        <f t="shared" si="14"/>
        <v>91240.143609999999</v>
      </c>
      <c r="AL18" s="220">
        <f t="shared" si="14"/>
        <v>90599.229800000001</v>
      </c>
      <c r="AM18" s="221">
        <f t="shared" si="14"/>
        <v>85477.334100000007</v>
      </c>
      <c r="AN18" s="221">
        <f t="shared" si="14"/>
        <v>84886.536919999999</v>
      </c>
      <c r="AO18" s="221">
        <f t="shared" si="14"/>
        <v>83027.837780000002</v>
      </c>
      <c r="AP18" s="221">
        <f t="shared" si="14"/>
        <v>89181.773870000005</v>
      </c>
      <c r="AQ18" s="221">
        <f t="shared" si="14"/>
        <v>93293.241739999998</v>
      </c>
      <c r="AR18" s="221">
        <f t="shared" si="14"/>
        <v>93004.936530000006</v>
      </c>
      <c r="AS18" s="221">
        <f t="shared" si="14"/>
        <v>92276.68879</v>
      </c>
      <c r="AT18" s="221">
        <f t="shared" si="14"/>
        <v>92338.570189999999</v>
      </c>
      <c r="AU18" s="221">
        <f t="shared" si="14"/>
        <v>93259.122040000002</v>
      </c>
      <c r="AV18" s="221">
        <f t="shared" si="14"/>
        <v>97591.671409999995</v>
      </c>
      <c r="AW18" s="221">
        <f t="shared" si="14"/>
        <v>97272.661330000003</v>
      </c>
      <c r="AX18" s="220">
        <f t="shared" si="14"/>
        <v>97146.086299999995</v>
      </c>
      <c r="AY18" s="221">
        <f t="shared" si="14"/>
        <v>96879.432289999997</v>
      </c>
      <c r="AZ18" s="221">
        <f t="shared" si="14"/>
        <v>131618.45564999999</v>
      </c>
      <c r="BA18" s="221">
        <f t="shared" si="14"/>
        <v>96048.036469999992</v>
      </c>
      <c r="BB18" s="221">
        <f t="shared" si="14"/>
        <v>104538.50891</v>
      </c>
      <c r="BC18" s="221">
        <f t="shared" si="14"/>
        <v>106448.61129</v>
      </c>
      <c r="BD18" s="221">
        <f t="shared" si="14"/>
        <v>107185.97666</v>
      </c>
      <c r="BE18" s="221">
        <f t="shared" si="14"/>
        <v>107886.70566000001</v>
      </c>
      <c r="BF18" s="221">
        <f t="shared" si="14"/>
        <v>108518.38582</v>
      </c>
      <c r="BG18" s="221">
        <f t="shared" si="14"/>
        <v>102806.72136</v>
      </c>
      <c r="BH18" s="221">
        <f t="shared" si="14"/>
        <v>112657.16259000001</v>
      </c>
      <c r="BI18" s="221">
        <f t="shared" si="14"/>
        <v>112861.47748</v>
      </c>
      <c r="BJ18" s="220">
        <f t="shared" si="14"/>
        <v>112132.04153999999</v>
      </c>
      <c r="BK18" s="221">
        <f t="shared" si="14"/>
        <v>114788.44731</v>
      </c>
      <c r="BL18" s="221">
        <f t="shared" si="14"/>
        <v>115078.44516</v>
      </c>
      <c r="BM18" s="221">
        <f t="shared" si="14"/>
        <v>115259.32809000001</v>
      </c>
      <c r="BN18" s="221">
        <f t="shared" si="14"/>
        <v>121199.28929000002</v>
      </c>
      <c r="BO18" s="221">
        <f t="shared" si="14"/>
        <v>121246.62915000001</v>
      </c>
      <c r="BP18" s="221">
        <f t="shared" si="14"/>
        <v>118985.28440999999</v>
      </c>
      <c r="BQ18" s="221">
        <f t="shared" si="14"/>
        <v>117894.11201999999</v>
      </c>
      <c r="BR18" s="221">
        <f t="shared" si="14"/>
        <v>119229.70252000001</v>
      </c>
      <c r="BS18" s="221">
        <f t="shared" si="14"/>
        <v>122228.15481999998</v>
      </c>
      <c r="BT18" s="221">
        <f t="shared" si="14"/>
        <v>127217.76201000001</v>
      </c>
      <c r="BU18" s="28">
        <f t="shared" si="14"/>
        <v>126730.13945000002</v>
      </c>
      <c r="BV18" s="220">
        <f t="shared" si="14"/>
        <v>127886.35178</v>
      </c>
      <c r="BW18" s="221">
        <f t="shared" si="14"/>
        <v>126274.08100999999</v>
      </c>
      <c r="BX18" s="221">
        <f t="shared" si="14"/>
        <v>151927.35141999999</v>
      </c>
      <c r="BY18" s="221">
        <f t="shared" si="14"/>
        <v>151297.35014000002</v>
      </c>
      <c r="BZ18" s="221">
        <f t="shared" si="14"/>
        <v>160233.73733</v>
      </c>
      <c r="CA18" s="221">
        <f t="shared" si="14"/>
        <v>159719.07340999998</v>
      </c>
      <c r="CB18" s="221">
        <f t="shared" si="14"/>
        <v>161174.46742999996</v>
      </c>
      <c r="CC18" s="221">
        <f t="shared" si="14"/>
        <v>136092.49671000001</v>
      </c>
      <c r="CD18" s="221">
        <f t="shared" si="14"/>
        <v>136421.80473999999</v>
      </c>
      <c r="CE18" s="221">
        <f t="shared" si="14"/>
        <v>134599.40594999999</v>
      </c>
      <c r="CF18" s="221">
        <f t="shared" si="14"/>
        <v>139955.19415999998</v>
      </c>
      <c r="CG18" s="28">
        <f t="shared" si="14"/>
        <v>155595.90302</v>
      </c>
      <c r="CH18" s="221">
        <f t="shared" si="14"/>
        <v>148151.92725000001</v>
      </c>
      <c r="CI18" s="221">
        <f t="shared" si="14"/>
        <v>146303.04191</v>
      </c>
      <c r="CJ18" s="221">
        <f t="shared" si="14"/>
        <v>141428.05207000003</v>
      </c>
      <c r="CK18" s="221">
        <f t="shared" si="14"/>
        <v>141969.34805999999</v>
      </c>
      <c r="CL18" s="221">
        <f t="shared" ref="CL18:EO18" si="15">SUM(CL19:CL22)</f>
        <v>147425.43233000001</v>
      </c>
      <c r="CM18" s="221">
        <f t="shared" si="15"/>
        <v>145844.27693000002</v>
      </c>
      <c r="CN18" s="221">
        <f t="shared" si="15"/>
        <v>146950.89648999998</v>
      </c>
      <c r="CO18" s="221">
        <f t="shared" si="15"/>
        <v>150026.30671999996</v>
      </c>
      <c r="CP18" s="221">
        <f t="shared" si="15"/>
        <v>155020.54478999999</v>
      </c>
      <c r="CQ18" s="221">
        <f t="shared" si="15"/>
        <v>154410.83338999999</v>
      </c>
      <c r="CR18" s="221">
        <f t="shared" si="15"/>
        <v>163198.92094000001</v>
      </c>
      <c r="CS18" s="221">
        <f t="shared" si="15"/>
        <v>168133.96351999999</v>
      </c>
      <c r="CT18" s="220">
        <f t="shared" si="15"/>
        <v>167862.34604999999</v>
      </c>
      <c r="CU18" s="221">
        <f t="shared" si="15"/>
        <v>162726.50495999999</v>
      </c>
      <c r="CV18" s="221">
        <f t="shared" si="15"/>
        <v>159105.90187999996</v>
      </c>
      <c r="CW18" s="221">
        <f t="shared" si="15"/>
        <v>160753.70822999999</v>
      </c>
      <c r="CX18" s="221">
        <f t="shared" si="15"/>
        <v>166535.82945000002</v>
      </c>
      <c r="CY18" s="221">
        <f t="shared" si="15"/>
        <v>169376.93310999998</v>
      </c>
      <c r="CZ18" s="221">
        <f t="shared" si="15"/>
        <v>176546.8443</v>
      </c>
      <c r="DA18" s="221">
        <f t="shared" si="15"/>
        <v>180195.30174</v>
      </c>
      <c r="DB18" s="221">
        <f t="shared" si="15"/>
        <v>189505.76904000001</v>
      </c>
      <c r="DC18" s="221">
        <f t="shared" si="15"/>
        <v>189590.07858999999</v>
      </c>
      <c r="DD18" s="221">
        <f t="shared" si="15"/>
        <v>195599.51996000001</v>
      </c>
      <c r="DE18" s="221">
        <f t="shared" si="15"/>
        <v>196070.58288</v>
      </c>
      <c r="DF18" s="220">
        <f t="shared" si="15"/>
        <v>190228.42369999996</v>
      </c>
      <c r="DG18" s="221">
        <f t="shared" si="15"/>
        <v>187655.79616999999</v>
      </c>
      <c r="DH18" s="221">
        <f t="shared" si="15"/>
        <v>182369.45577000003</v>
      </c>
      <c r="DI18" s="221">
        <f t="shared" si="15"/>
        <v>178695.02496000001</v>
      </c>
      <c r="DJ18" s="221">
        <f t="shared" si="15"/>
        <v>186479.06324000002</v>
      </c>
      <c r="DK18" s="221">
        <f t="shared" si="15"/>
        <v>184190.47510000004</v>
      </c>
      <c r="DL18" s="221">
        <f t="shared" si="15"/>
        <v>207630.30849000002</v>
      </c>
      <c r="DM18" s="221">
        <f t="shared" si="15"/>
        <v>187724.92277</v>
      </c>
      <c r="DN18" s="221">
        <f t="shared" si="15"/>
        <v>189102.50650000002</v>
      </c>
      <c r="DO18" s="221">
        <f t="shared" si="15"/>
        <v>196447.46278999996</v>
      </c>
      <c r="DP18" s="221">
        <f t="shared" si="15"/>
        <v>221935.75561999998</v>
      </c>
      <c r="DQ18" s="28">
        <f t="shared" si="15"/>
        <v>222509.54506999996</v>
      </c>
      <c r="DR18" s="220">
        <f t="shared" si="15"/>
        <v>220146.67074999999</v>
      </c>
      <c r="DS18" s="221">
        <f t="shared" si="15"/>
        <v>218692.56881999999</v>
      </c>
      <c r="DT18" s="221">
        <f t="shared" si="15"/>
        <v>217362.81426000001</v>
      </c>
      <c r="DU18" s="221">
        <f t="shared" si="15"/>
        <v>215082.89218</v>
      </c>
      <c r="DV18" s="221">
        <f t="shared" si="15"/>
        <v>231928.87953999997</v>
      </c>
      <c r="DW18" s="221">
        <f t="shared" si="15"/>
        <v>236981.85102999999</v>
      </c>
      <c r="DX18" s="221">
        <f t="shared" si="15"/>
        <v>241249.22894999999</v>
      </c>
      <c r="DY18" s="221">
        <f t="shared" si="15"/>
        <v>238707.32330000002</v>
      </c>
      <c r="DZ18" s="221">
        <f t="shared" si="15"/>
        <v>237631.05894999995</v>
      </c>
      <c r="EA18" s="221">
        <f t="shared" si="15"/>
        <v>230230.66613</v>
      </c>
      <c r="EB18" s="221">
        <f t="shared" si="15"/>
        <v>244940.68088999996</v>
      </c>
      <c r="EC18" s="28">
        <f t="shared" si="15"/>
        <v>236933.69010000001</v>
      </c>
      <c r="ED18" s="220">
        <f t="shared" si="15"/>
        <v>209474.46236</v>
      </c>
      <c r="EE18" s="221">
        <f t="shared" si="15"/>
        <v>204968</v>
      </c>
      <c r="EF18" s="221">
        <f t="shared" si="15"/>
        <v>194732.09999999998</v>
      </c>
      <c r="EG18" s="221">
        <f t="shared" si="15"/>
        <v>200794</v>
      </c>
      <c r="EH18" s="221">
        <f t="shared" si="15"/>
        <v>217557.8</v>
      </c>
      <c r="EI18" s="221">
        <f t="shared" si="15"/>
        <v>217981.4</v>
      </c>
      <c r="EJ18" s="221">
        <f t="shared" si="15"/>
        <v>219648</v>
      </c>
      <c r="EK18" s="221">
        <f t="shared" si="15"/>
        <v>206573.59999999998</v>
      </c>
      <c r="EL18" s="221">
        <f t="shared" si="15"/>
        <v>207813.8</v>
      </c>
      <c r="EM18" s="221">
        <f t="shared" si="15"/>
        <v>204664</v>
      </c>
      <c r="EN18" s="221">
        <f t="shared" si="15"/>
        <v>208634</v>
      </c>
      <c r="EO18" s="28">
        <f t="shared" si="15"/>
        <v>210520</v>
      </c>
      <c r="EP18" s="767">
        <f t="shared" si="8"/>
        <v>0.90397538272763978</v>
      </c>
      <c r="EQ18" s="768">
        <f t="shared" si="9"/>
        <v>-11.148136041291501</v>
      </c>
    </row>
    <row r="19" spans="1:147" ht="13.9" customHeight="1" x14ac:dyDescent="0.2">
      <c r="A19" s="309" t="s">
        <v>483</v>
      </c>
      <c r="B19" s="52">
        <v>42264</v>
      </c>
      <c r="C19" s="24">
        <v>42879</v>
      </c>
      <c r="D19" s="24">
        <v>42958</v>
      </c>
      <c r="E19" s="24">
        <v>41313</v>
      </c>
      <c r="F19" s="24">
        <v>43893</v>
      </c>
      <c r="G19" s="24">
        <v>43444</v>
      </c>
      <c r="H19" s="24">
        <v>42538</v>
      </c>
      <c r="I19" s="24">
        <v>40218</v>
      </c>
      <c r="J19" s="24">
        <v>38830</v>
      </c>
      <c r="K19" s="24">
        <v>38412</v>
      </c>
      <c r="L19" s="24">
        <v>39210</v>
      </c>
      <c r="M19" s="23">
        <v>38639.969130000005</v>
      </c>
      <c r="N19" s="24">
        <v>37768.181069999999</v>
      </c>
      <c r="O19" s="24">
        <v>36268</v>
      </c>
      <c r="P19" s="24">
        <v>36450</v>
      </c>
      <c r="Q19" s="24">
        <v>35296</v>
      </c>
      <c r="R19" s="24">
        <v>36574</v>
      </c>
      <c r="S19" s="24">
        <v>36509</v>
      </c>
      <c r="T19" s="24">
        <v>37062</v>
      </c>
      <c r="U19" s="24">
        <v>38433</v>
      </c>
      <c r="V19" s="24">
        <v>38625</v>
      </c>
      <c r="W19" s="24">
        <v>38844</v>
      </c>
      <c r="X19" s="24">
        <v>42727.977169999991</v>
      </c>
      <c r="Y19" s="23">
        <v>41413</v>
      </c>
      <c r="Z19" s="24">
        <v>39610</v>
      </c>
      <c r="AA19" s="24">
        <v>38513</v>
      </c>
      <c r="AB19" s="24">
        <v>37993</v>
      </c>
      <c r="AC19" s="24">
        <v>38462</v>
      </c>
      <c r="AD19" s="24">
        <v>41705</v>
      </c>
      <c r="AE19" s="24">
        <v>41850</v>
      </c>
      <c r="AF19" s="24">
        <v>42443</v>
      </c>
      <c r="AG19" s="24">
        <v>45659</v>
      </c>
      <c r="AH19" s="24">
        <v>45756</v>
      </c>
      <c r="AI19" s="24">
        <v>47073</v>
      </c>
      <c r="AJ19" s="24">
        <v>50682</v>
      </c>
      <c r="AK19" s="24">
        <v>48543</v>
      </c>
      <c r="AL19" s="52">
        <v>48468</v>
      </c>
      <c r="AM19" s="24">
        <v>43408</v>
      </c>
      <c r="AN19" s="24">
        <v>43116</v>
      </c>
      <c r="AO19" s="24">
        <v>41820</v>
      </c>
      <c r="AP19" s="24">
        <v>46308</v>
      </c>
      <c r="AQ19" s="24">
        <v>50972</v>
      </c>
      <c r="AR19" s="24">
        <v>49411</v>
      </c>
      <c r="AS19" s="24">
        <v>48652</v>
      </c>
      <c r="AT19" s="24">
        <v>48651</v>
      </c>
      <c r="AU19" s="24">
        <v>47449</v>
      </c>
      <c r="AV19" s="24">
        <v>50516</v>
      </c>
      <c r="AW19" s="24">
        <v>50391</v>
      </c>
      <c r="AX19" s="52">
        <v>50752</v>
      </c>
      <c r="AY19" s="24">
        <v>50257</v>
      </c>
      <c r="AZ19" s="24">
        <v>85061</v>
      </c>
      <c r="BA19" s="24">
        <v>49454</v>
      </c>
      <c r="BB19" s="24">
        <v>55204</v>
      </c>
      <c r="BC19" s="24">
        <v>58530</v>
      </c>
      <c r="BD19" s="24">
        <v>59254.851000000002</v>
      </c>
      <c r="BE19" s="24">
        <v>59283.665800000002</v>
      </c>
      <c r="BF19" s="24">
        <v>59424.84902999999</v>
      </c>
      <c r="BG19" s="24">
        <v>53331.853589999999</v>
      </c>
      <c r="BH19" s="24">
        <v>59778.206170000005</v>
      </c>
      <c r="BI19" s="24">
        <v>60643.750899999992</v>
      </c>
      <c r="BJ19" s="52">
        <v>60220.263719999995</v>
      </c>
      <c r="BK19" s="24">
        <v>59412.918239999999</v>
      </c>
      <c r="BL19" s="24">
        <v>59948.005469999996</v>
      </c>
      <c r="BM19" s="24">
        <v>59525.414409999998</v>
      </c>
      <c r="BN19" s="24">
        <v>64810.133849999998</v>
      </c>
      <c r="BO19" s="24">
        <v>63994.95152000001</v>
      </c>
      <c r="BP19" s="24">
        <v>61781.952430000005</v>
      </c>
      <c r="BQ19" s="24">
        <v>60380.820399999997</v>
      </c>
      <c r="BR19" s="24">
        <v>60501.10018999999</v>
      </c>
      <c r="BS19" s="24">
        <v>61814.481899999992</v>
      </c>
      <c r="BT19" s="24">
        <v>66386.846010000008</v>
      </c>
      <c r="BU19" s="23">
        <v>66482.068560000014</v>
      </c>
      <c r="BV19" s="52">
        <v>67391.975510000004</v>
      </c>
      <c r="BW19" s="24">
        <v>66701.922199999986</v>
      </c>
      <c r="BX19" s="24">
        <v>91365.224499999982</v>
      </c>
      <c r="BY19" s="24">
        <v>91278.406199999998</v>
      </c>
      <c r="BZ19" s="24">
        <v>96722.172480000008</v>
      </c>
      <c r="CA19" s="24">
        <v>99000.771919999985</v>
      </c>
      <c r="CB19" s="24">
        <v>98107.418519999992</v>
      </c>
      <c r="CC19" s="24">
        <v>72932.322050000002</v>
      </c>
      <c r="CD19" s="24">
        <v>72862.189189999975</v>
      </c>
      <c r="CE19" s="24">
        <v>72010.731769999999</v>
      </c>
      <c r="CF19" s="24">
        <v>76992.270109999998</v>
      </c>
      <c r="CG19" s="23">
        <v>79382.427590000007</v>
      </c>
      <c r="CH19" s="24">
        <v>82490.867670000007</v>
      </c>
      <c r="CI19" s="24">
        <v>80591.877769999992</v>
      </c>
      <c r="CJ19" s="24">
        <v>78237.62503000001</v>
      </c>
      <c r="CK19" s="24">
        <v>77238.658279999989</v>
      </c>
      <c r="CL19" s="24">
        <v>81972.411819999994</v>
      </c>
      <c r="CM19" s="24">
        <v>80168.312790000011</v>
      </c>
      <c r="CN19" s="24">
        <v>79594.388789999997</v>
      </c>
      <c r="CO19" s="24">
        <v>81019.670949999985</v>
      </c>
      <c r="CP19" s="24">
        <v>82522.425019999995</v>
      </c>
      <c r="CQ19" s="24">
        <v>81940.326880000008</v>
      </c>
      <c r="CR19" s="24">
        <v>88992.667119999998</v>
      </c>
      <c r="CS19" s="24">
        <v>94833.936759999997</v>
      </c>
      <c r="CT19" s="52">
        <v>91289.609899999996</v>
      </c>
      <c r="CU19" s="24">
        <v>87111.225019999998</v>
      </c>
      <c r="CV19" s="24">
        <v>84624.317649999983</v>
      </c>
      <c r="CW19" s="24">
        <v>86621.427159999992</v>
      </c>
      <c r="CX19" s="24">
        <v>89857.606850000011</v>
      </c>
      <c r="CY19" s="24">
        <v>90400.223670000007</v>
      </c>
      <c r="CZ19" s="24">
        <v>94349.65605000002</v>
      </c>
      <c r="DA19" s="24">
        <v>95928.050190000009</v>
      </c>
      <c r="DB19" s="24">
        <v>105426.05902000002</v>
      </c>
      <c r="DC19" s="24">
        <v>105352.82248999999</v>
      </c>
      <c r="DD19" s="24">
        <v>107789.95765</v>
      </c>
      <c r="DE19" s="24">
        <v>108249.17195999999</v>
      </c>
      <c r="DF19" s="52">
        <v>107927.91635999997</v>
      </c>
      <c r="DG19" s="24">
        <v>102724.17767</v>
      </c>
      <c r="DH19" s="24">
        <v>99519.19051</v>
      </c>
      <c r="DI19" s="24">
        <v>95823.967839999998</v>
      </c>
      <c r="DJ19" s="24">
        <v>101621.14977000002</v>
      </c>
      <c r="DK19" s="24">
        <v>98548.992480000015</v>
      </c>
      <c r="DL19" s="24">
        <v>100751.93191999999</v>
      </c>
      <c r="DM19" s="24">
        <v>99614.920059999989</v>
      </c>
      <c r="DN19" s="24">
        <v>100740.47356</v>
      </c>
      <c r="DO19" s="24">
        <v>107435.21864999998</v>
      </c>
      <c r="DP19" s="24">
        <v>129856.80621000001</v>
      </c>
      <c r="DQ19" s="23">
        <v>132034.91466999997</v>
      </c>
      <c r="DR19" s="52">
        <v>129954.3247</v>
      </c>
      <c r="DS19" s="24">
        <v>129092.95995</v>
      </c>
      <c r="DT19" s="24">
        <v>128248.99027000001</v>
      </c>
      <c r="DU19" s="24">
        <v>125320.80247000001</v>
      </c>
      <c r="DV19" s="24">
        <v>138243.07413999998</v>
      </c>
      <c r="DW19" s="24">
        <v>140963.52588</v>
      </c>
      <c r="DX19" s="24">
        <v>143935.63519999999</v>
      </c>
      <c r="DY19" s="24">
        <v>143804.40867</v>
      </c>
      <c r="DZ19" s="24">
        <v>142077.83758999995</v>
      </c>
      <c r="EA19" s="24">
        <v>135975.21816000002</v>
      </c>
      <c r="EB19" s="24">
        <v>148372.82639999999</v>
      </c>
      <c r="EC19" s="23">
        <v>141095.18299999999</v>
      </c>
      <c r="ED19" s="52">
        <v>112779.23164999999</v>
      </c>
      <c r="EE19" s="24">
        <v>108190</v>
      </c>
      <c r="EF19" s="24">
        <v>99853.4</v>
      </c>
      <c r="EG19" s="24">
        <v>102673</v>
      </c>
      <c r="EH19" s="24">
        <v>116009.4</v>
      </c>
      <c r="EI19" s="24">
        <v>116826.4</v>
      </c>
      <c r="EJ19" s="24">
        <v>117957</v>
      </c>
      <c r="EK19" s="24">
        <v>104218.4</v>
      </c>
      <c r="EL19" s="24">
        <v>101597.4</v>
      </c>
      <c r="EM19" s="24">
        <v>93533</v>
      </c>
      <c r="EN19" s="24">
        <v>92896.5</v>
      </c>
      <c r="EO19" s="23">
        <v>92670.5</v>
      </c>
      <c r="EP19" s="761">
        <f t="shared" si="8"/>
        <v>-0.24328150145591643</v>
      </c>
      <c r="EQ19" s="759">
        <f t="shared" si="9"/>
        <v>-34.320578470775999</v>
      </c>
    </row>
    <row r="20" spans="1:147" ht="13.9" customHeight="1" x14ac:dyDescent="0.2">
      <c r="A20" s="309" t="s">
        <v>484</v>
      </c>
      <c r="B20" s="52">
        <v>1094</v>
      </c>
      <c r="C20" s="24">
        <v>1048</v>
      </c>
      <c r="D20" s="24">
        <v>914</v>
      </c>
      <c r="E20" s="24">
        <v>1063</v>
      </c>
      <c r="F20" s="24">
        <v>1098</v>
      </c>
      <c r="G20" s="24">
        <v>1188</v>
      </c>
      <c r="H20" s="24">
        <v>1163</v>
      </c>
      <c r="I20" s="24">
        <v>1034</v>
      </c>
      <c r="J20" s="24">
        <v>1063</v>
      </c>
      <c r="K20" s="24">
        <v>1025</v>
      </c>
      <c r="L20" s="24">
        <v>1032</v>
      </c>
      <c r="M20" s="23">
        <v>1017</v>
      </c>
      <c r="N20" s="24">
        <v>954</v>
      </c>
      <c r="O20" s="24">
        <v>901</v>
      </c>
      <c r="P20" s="24">
        <v>892</v>
      </c>
      <c r="Q20" s="24">
        <v>975</v>
      </c>
      <c r="R20" s="24">
        <v>933</v>
      </c>
      <c r="S20" s="24">
        <v>862</v>
      </c>
      <c r="T20" s="24">
        <v>833</v>
      </c>
      <c r="U20" s="24">
        <v>823</v>
      </c>
      <c r="V20" s="24">
        <v>812</v>
      </c>
      <c r="W20" s="24">
        <v>755</v>
      </c>
      <c r="X20" s="24">
        <v>794</v>
      </c>
      <c r="Y20" s="23">
        <v>774</v>
      </c>
      <c r="Z20" s="24">
        <v>586</v>
      </c>
      <c r="AA20" s="24">
        <v>548</v>
      </c>
      <c r="AB20" s="24">
        <v>567</v>
      </c>
      <c r="AC20" s="24">
        <v>569</v>
      </c>
      <c r="AD20" s="24">
        <v>637</v>
      </c>
      <c r="AE20" s="24">
        <v>637</v>
      </c>
      <c r="AF20" s="24">
        <v>629</v>
      </c>
      <c r="AG20" s="24">
        <v>629</v>
      </c>
      <c r="AH20" s="24">
        <v>833</v>
      </c>
      <c r="AI20" s="24">
        <v>1116</v>
      </c>
      <c r="AJ20" s="24">
        <v>1190</v>
      </c>
      <c r="AK20" s="24">
        <v>1416</v>
      </c>
      <c r="AL20" s="52">
        <v>1593</v>
      </c>
      <c r="AM20" s="24">
        <v>1612</v>
      </c>
      <c r="AN20" s="24">
        <v>1627</v>
      </c>
      <c r="AO20" s="24">
        <v>1440</v>
      </c>
      <c r="AP20" s="24">
        <v>1530</v>
      </c>
      <c r="AQ20" s="24">
        <v>1526</v>
      </c>
      <c r="AR20" s="24">
        <v>1533</v>
      </c>
      <c r="AS20" s="24">
        <v>1530</v>
      </c>
      <c r="AT20" s="24">
        <v>1638</v>
      </c>
      <c r="AU20" s="24">
        <v>1598</v>
      </c>
      <c r="AV20" s="24">
        <v>1670</v>
      </c>
      <c r="AW20" s="24">
        <v>1623</v>
      </c>
      <c r="AX20" s="52">
        <v>1510</v>
      </c>
      <c r="AY20" s="24">
        <v>1448</v>
      </c>
      <c r="AZ20" s="24">
        <v>1483</v>
      </c>
      <c r="BA20" s="24">
        <v>1369</v>
      </c>
      <c r="BB20" s="24">
        <v>1931</v>
      </c>
      <c r="BC20" s="24">
        <v>2023.1033600000001</v>
      </c>
      <c r="BD20" s="24">
        <v>1968.2706900000001</v>
      </c>
      <c r="BE20" s="24">
        <v>1929.7303899999999</v>
      </c>
      <c r="BF20" s="24">
        <v>1873.6422499999999</v>
      </c>
      <c r="BG20" s="24">
        <v>1841.88582</v>
      </c>
      <c r="BH20" s="24">
        <v>2466.8893200000002</v>
      </c>
      <c r="BI20" s="24">
        <v>2648.7491</v>
      </c>
      <c r="BJ20" s="52">
        <v>2454.3175000000001</v>
      </c>
      <c r="BK20" s="24">
        <v>2456.7051700000002</v>
      </c>
      <c r="BL20" s="24">
        <v>2466.5549499999997</v>
      </c>
      <c r="BM20" s="24">
        <v>2438.9576900000002</v>
      </c>
      <c r="BN20" s="24">
        <v>2562.7524100000001</v>
      </c>
      <c r="BO20" s="24">
        <v>2396.7819500000005</v>
      </c>
      <c r="BP20" s="24">
        <v>2354.9102899999998</v>
      </c>
      <c r="BQ20" s="24">
        <v>2192.2924400000002</v>
      </c>
      <c r="BR20" s="24">
        <v>2133.4038600000003</v>
      </c>
      <c r="BS20" s="24">
        <v>2104.96884</v>
      </c>
      <c r="BT20" s="24">
        <v>2381.5429899999999</v>
      </c>
      <c r="BU20" s="23">
        <v>2313.4527399999997</v>
      </c>
      <c r="BV20" s="52">
        <v>2267.3698100000001</v>
      </c>
      <c r="BW20" s="24">
        <v>2191.8993399999999</v>
      </c>
      <c r="BX20" s="24">
        <v>2159.6124500000001</v>
      </c>
      <c r="BY20" s="24">
        <v>2139.09753</v>
      </c>
      <c r="BZ20" s="24">
        <v>2415.80168</v>
      </c>
      <c r="CA20" s="24">
        <v>2398.2528899999998</v>
      </c>
      <c r="CB20" s="24">
        <v>2183.88483</v>
      </c>
      <c r="CC20" s="24">
        <v>2184.0240599999997</v>
      </c>
      <c r="CD20" s="24">
        <v>2282.5196899999996</v>
      </c>
      <c r="CE20" s="24">
        <v>2585.6130699999999</v>
      </c>
      <c r="CF20" s="24">
        <v>2676.8300199999999</v>
      </c>
      <c r="CG20" s="23">
        <v>2593.41977</v>
      </c>
      <c r="CH20" s="24">
        <v>2772.5024600000002</v>
      </c>
      <c r="CI20" s="24">
        <v>2722.3789099999995</v>
      </c>
      <c r="CJ20" s="24">
        <v>2686.4781699999999</v>
      </c>
      <c r="CK20" s="24">
        <v>2854.8442800000003</v>
      </c>
      <c r="CL20" s="24">
        <v>2688.7277300000001</v>
      </c>
      <c r="CM20" s="24">
        <v>2368.2062900000001</v>
      </c>
      <c r="CN20" s="24">
        <v>2457.1898099999999</v>
      </c>
      <c r="CO20" s="24">
        <v>2493.3344999999999</v>
      </c>
      <c r="CP20" s="24">
        <v>2492.2811600000005</v>
      </c>
      <c r="CQ20" s="24">
        <v>2394.3705799999998</v>
      </c>
      <c r="CR20" s="24">
        <v>2561.4547400000001</v>
      </c>
      <c r="CS20" s="24">
        <v>2489.7868100000001</v>
      </c>
      <c r="CT20" s="52">
        <v>2504.1997899999997</v>
      </c>
      <c r="CU20" s="24">
        <v>2599.27027</v>
      </c>
      <c r="CV20" s="24">
        <v>2573.8274000000001</v>
      </c>
      <c r="CW20" s="24">
        <v>2478.2913100000001</v>
      </c>
      <c r="CX20" s="24">
        <v>2464.8658099999998</v>
      </c>
      <c r="CY20" s="24">
        <v>2379.6768000000002</v>
      </c>
      <c r="CZ20" s="24">
        <v>2379.3985400000001</v>
      </c>
      <c r="DA20" s="24">
        <v>2381.0465800000002</v>
      </c>
      <c r="DB20" s="24">
        <v>2469.2485500000003</v>
      </c>
      <c r="DC20" s="24">
        <v>2415.6437100000003</v>
      </c>
      <c r="DD20" s="24">
        <v>2596.4181500000004</v>
      </c>
      <c r="DE20" s="24">
        <v>2535.6382100000001</v>
      </c>
      <c r="DF20" s="52">
        <v>2480.9262200000003</v>
      </c>
      <c r="DG20" s="24">
        <v>1958.02136</v>
      </c>
      <c r="DH20" s="24">
        <v>1927.8901799999999</v>
      </c>
      <c r="DI20" s="24">
        <v>1961.8765200000003</v>
      </c>
      <c r="DJ20" s="24">
        <v>2132.8206200000004</v>
      </c>
      <c r="DK20" s="24">
        <v>2186.1643800000002</v>
      </c>
      <c r="DL20" s="24">
        <v>2160.4126200000001</v>
      </c>
      <c r="DM20" s="24">
        <v>2232.0632599999999</v>
      </c>
      <c r="DN20" s="24">
        <v>2171.8797700000005</v>
      </c>
      <c r="DO20" s="24">
        <v>2190.3452200000002</v>
      </c>
      <c r="DP20" s="24">
        <v>2322.40443</v>
      </c>
      <c r="DQ20" s="23">
        <v>2281.8303299999998</v>
      </c>
      <c r="DR20" s="52">
        <v>2191.20559</v>
      </c>
      <c r="DS20" s="24">
        <v>2155.3608800000002</v>
      </c>
      <c r="DT20" s="24">
        <v>2188.14599</v>
      </c>
      <c r="DU20" s="24">
        <v>2144.1095599999999</v>
      </c>
      <c r="DV20" s="24">
        <v>2397.9539300000001</v>
      </c>
      <c r="DW20" s="24">
        <v>2394.6539400000001</v>
      </c>
      <c r="DX20" s="24">
        <v>2347.1992300000002</v>
      </c>
      <c r="DY20" s="24">
        <v>2428.5959200000002</v>
      </c>
      <c r="DZ20" s="24">
        <v>2434.87995</v>
      </c>
      <c r="EA20" s="24">
        <v>2465.0375899999999</v>
      </c>
      <c r="EB20" s="24">
        <v>2693.5615400000002</v>
      </c>
      <c r="EC20" s="23">
        <v>2957.58365</v>
      </c>
      <c r="ED20" s="52">
        <v>3154.2957200000001</v>
      </c>
      <c r="EE20" s="24">
        <v>3467</v>
      </c>
      <c r="EF20" s="24">
        <v>3663</v>
      </c>
      <c r="EG20" s="24">
        <v>3660</v>
      </c>
      <c r="EH20" s="24">
        <v>4227</v>
      </c>
      <c r="EI20" s="24">
        <v>4287</v>
      </c>
      <c r="EJ20" s="24">
        <v>4528</v>
      </c>
      <c r="EK20" s="24">
        <v>4703.2</v>
      </c>
      <c r="EL20" s="24">
        <v>5060</v>
      </c>
      <c r="EM20" s="24">
        <v>5812</v>
      </c>
      <c r="EN20" s="24">
        <v>6916</v>
      </c>
      <c r="EO20" s="23">
        <v>8054</v>
      </c>
      <c r="EP20" s="761">
        <f t="shared" si="8"/>
        <v>16.454598033545409</v>
      </c>
      <c r="EQ20" s="759">
        <f t="shared" si="9"/>
        <v>172.31689626090539</v>
      </c>
    </row>
    <row r="21" spans="1:147" ht="13.9" customHeight="1" x14ac:dyDescent="0.2">
      <c r="A21" s="309" t="s">
        <v>485</v>
      </c>
      <c r="B21" s="52">
        <v>24331</v>
      </c>
      <c r="C21" s="24">
        <v>24813</v>
      </c>
      <c r="D21" s="24">
        <v>24470</v>
      </c>
      <c r="E21" s="24">
        <v>24260</v>
      </c>
      <c r="F21" s="24">
        <v>24255</v>
      </c>
      <c r="G21" s="24">
        <v>24469</v>
      </c>
      <c r="H21" s="24">
        <v>24675</v>
      </c>
      <c r="I21" s="24">
        <v>24903</v>
      </c>
      <c r="J21" s="24">
        <v>25220</v>
      </c>
      <c r="K21" s="24">
        <v>26594</v>
      </c>
      <c r="L21" s="24">
        <v>26979</v>
      </c>
      <c r="M21" s="23">
        <v>26238</v>
      </c>
      <c r="N21" s="24">
        <v>25878.8812</v>
      </c>
      <c r="O21" s="24">
        <v>25304</v>
      </c>
      <c r="P21" s="24">
        <v>25075</v>
      </c>
      <c r="Q21" s="24">
        <v>25322</v>
      </c>
      <c r="R21" s="24">
        <v>26499</v>
      </c>
      <c r="S21" s="24">
        <v>26725</v>
      </c>
      <c r="T21" s="24">
        <v>28851</v>
      </c>
      <c r="U21" s="24">
        <v>29821</v>
      </c>
      <c r="V21" s="24">
        <v>29781</v>
      </c>
      <c r="W21" s="24">
        <v>29998</v>
      </c>
      <c r="X21" s="24">
        <v>30894.519759999996</v>
      </c>
      <c r="Y21" s="23">
        <v>30992</v>
      </c>
      <c r="Z21" s="24">
        <v>30131</v>
      </c>
      <c r="AA21" s="24">
        <v>29370</v>
      </c>
      <c r="AB21" s="24">
        <v>29672</v>
      </c>
      <c r="AC21" s="24">
        <v>30297.4</v>
      </c>
      <c r="AD21" s="24">
        <v>31554</v>
      </c>
      <c r="AE21" s="24">
        <v>32419</v>
      </c>
      <c r="AF21" s="24">
        <v>33439</v>
      </c>
      <c r="AG21" s="24">
        <v>33397</v>
      </c>
      <c r="AH21" s="24">
        <v>35400</v>
      </c>
      <c r="AI21" s="24">
        <f>33169+1660</f>
        <v>34829</v>
      </c>
      <c r="AJ21" s="24">
        <f>1754+33492</f>
        <v>35246</v>
      </c>
      <c r="AK21" s="24">
        <f>34030+1766</f>
        <v>35796</v>
      </c>
      <c r="AL21" s="52">
        <f>1750+33090</f>
        <v>34840</v>
      </c>
      <c r="AM21" s="24">
        <v>34685</v>
      </c>
      <c r="AN21" s="24">
        <v>34565</v>
      </c>
      <c r="AO21" s="24">
        <v>33926</v>
      </c>
      <c r="AP21" s="24">
        <v>35376</v>
      </c>
      <c r="AQ21" s="24">
        <v>35132</v>
      </c>
      <c r="AR21" s="24">
        <v>35859</v>
      </c>
      <c r="AS21" s="24">
        <v>36183</v>
      </c>
      <c r="AT21" s="24">
        <v>36067</v>
      </c>
      <c r="AU21" s="24">
        <v>36206</v>
      </c>
      <c r="AV21" s="24">
        <v>37325</v>
      </c>
      <c r="AW21" s="24">
        <v>36978</v>
      </c>
      <c r="AX21" s="52">
        <v>36284</v>
      </c>
      <c r="AY21" s="24">
        <v>36467</v>
      </c>
      <c r="AZ21" s="24">
        <v>36220</v>
      </c>
      <c r="BA21" s="24">
        <v>36188</v>
      </c>
      <c r="BB21" s="24">
        <v>37146</v>
      </c>
      <c r="BC21" s="24">
        <v>37124.804329999992</v>
      </c>
      <c r="BD21" s="24">
        <v>37472.675799999997</v>
      </c>
      <c r="BE21" s="24">
        <v>37801.541960000002</v>
      </c>
      <c r="BF21" s="24">
        <v>38236.223530000003</v>
      </c>
      <c r="BG21" s="24">
        <v>38599.946359999994</v>
      </c>
      <c r="BH21" s="24">
        <v>40596.979720000003</v>
      </c>
      <c r="BI21" s="24">
        <v>39957.591330000003</v>
      </c>
      <c r="BJ21" s="52">
        <v>39696</v>
      </c>
      <c r="BK21" s="24">
        <v>43478.950160000008</v>
      </c>
      <c r="BL21" s="24">
        <v>43440.71817</v>
      </c>
      <c r="BM21" s="24">
        <v>44036.422829999996</v>
      </c>
      <c r="BN21" s="24">
        <v>44606.556940000002</v>
      </c>
      <c r="BO21" s="24">
        <v>45426.670919999997</v>
      </c>
      <c r="BP21" s="24">
        <v>45435.3773</v>
      </c>
      <c r="BQ21" s="24">
        <v>46444.244449999998</v>
      </c>
      <c r="BR21" s="24">
        <v>47254.732630000006</v>
      </c>
      <c r="BS21" s="24">
        <v>48344.283299999996</v>
      </c>
      <c r="BT21" s="24">
        <v>49174.110740000004</v>
      </c>
      <c r="BU21" s="23">
        <v>48627.515229999997</v>
      </c>
      <c r="BV21" s="52">
        <v>48442.963419999993</v>
      </c>
      <c r="BW21" s="24">
        <v>47929.95564</v>
      </c>
      <c r="BX21" s="24">
        <v>49126.54890999999</v>
      </c>
      <c r="BY21" s="24">
        <v>48978.020230000009</v>
      </c>
      <c r="BZ21" s="24">
        <v>50321.223619999997</v>
      </c>
      <c r="CA21" s="24">
        <v>48496.350960000003</v>
      </c>
      <c r="CB21" s="24">
        <v>48254.674529999989</v>
      </c>
      <c r="CC21" s="24">
        <v>49406.715000000004</v>
      </c>
      <c r="CD21" s="24">
        <v>49527.829280000005</v>
      </c>
      <c r="CE21" s="24">
        <v>49150.62154</v>
      </c>
      <c r="CF21" s="24">
        <v>49482.299270000003</v>
      </c>
      <c r="CG21" s="23">
        <v>49292.588870000007</v>
      </c>
      <c r="CH21" s="24">
        <v>48572.34691</v>
      </c>
      <c r="CI21" s="24">
        <v>48224.084759999998</v>
      </c>
      <c r="CJ21" s="24">
        <v>48441.488500000007</v>
      </c>
      <c r="CK21" s="24">
        <v>48959.819710000011</v>
      </c>
      <c r="CL21" s="24">
        <v>50883.620360000008</v>
      </c>
      <c r="CM21" s="24">
        <v>51150.861669999998</v>
      </c>
      <c r="CN21" s="24">
        <v>52406.218659999999</v>
      </c>
      <c r="CO21" s="24">
        <v>53924.440749999994</v>
      </c>
      <c r="CP21" s="24">
        <v>55770.722410000009</v>
      </c>
      <c r="CQ21" s="24">
        <v>56537.845049999996</v>
      </c>
      <c r="CR21" s="24">
        <v>58211.212939999998</v>
      </c>
      <c r="CS21" s="24">
        <v>56228.500589999996</v>
      </c>
      <c r="CT21" s="52">
        <v>56519.856540000001</v>
      </c>
      <c r="CU21" s="24">
        <v>56693.245120000007</v>
      </c>
      <c r="CV21" s="24">
        <v>56851.459279999995</v>
      </c>
      <c r="CW21" s="24">
        <v>56720.864270000005</v>
      </c>
      <c r="CX21" s="24">
        <v>59568.236669999991</v>
      </c>
      <c r="CY21" s="24">
        <v>59553.123849999996</v>
      </c>
      <c r="CZ21" s="24">
        <v>59917.136699999988</v>
      </c>
      <c r="DA21" s="24">
        <v>60988.049299999991</v>
      </c>
      <c r="DB21" s="24">
        <v>61508.711029999991</v>
      </c>
      <c r="DC21" s="24">
        <v>61963.975519999993</v>
      </c>
      <c r="DD21" s="24">
        <v>64214.639610000006</v>
      </c>
      <c r="DE21" s="24">
        <v>64679.643620000003</v>
      </c>
      <c r="DF21" s="52">
        <v>64802.005660000003</v>
      </c>
      <c r="DG21" s="24">
        <v>63877.912530000001</v>
      </c>
      <c r="DH21" s="24">
        <v>63773.977360000019</v>
      </c>
      <c r="DI21" s="24">
        <v>65081.081259999999</v>
      </c>
      <c r="DJ21" s="24">
        <v>67419.23302</v>
      </c>
      <c r="DK21" s="24">
        <v>67494.355480000027</v>
      </c>
      <c r="DL21" s="24">
        <v>67859.805780000024</v>
      </c>
      <c r="DM21" s="24">
        <v>68158.924970000022</v>
      </c>
      <c r="DN21" s="24">
        <v>68361.915440000012</v>
      </c>
      <c r="DO21" s="24">
        <v>68158.40015999999</v>
      </c>
      <c r="DP21" s="24">
        <v>70650.253559999997</v>
      </c>
      <c r="DQ21" s="23">
        <v>70262.673339999994</v>
      </c>
      <c r="DR21" s="52">
        <v>69681.419699999984</v>
      </c>
      <c r="DS21" s="24">
        <v>69086.739939999985</v>
      </c>
      <c r="DT21" s="24">
        <v>68924.753450000004</v>
      </c>
      <c r="DU21" s="24">
        <v>69586.195800000001</v>
      </c>
      <c r="DV21" s="24">
        <v>73027.027570000006</v>
      </c>
      <c r="DW21" s="24">
        <v>72864.02240999999</v>
      </c>
      <c r="DX21" s="24">
        <v>73365.298129999996</v>
      </c>
      <c r="DY21" s="24">
        <v>72758.847610000012</v>
      </c>
      <c r="DZ21" s="24">
        <v>73381.522270000001</v>
      </c>
      <c r="EA21" s="24">
        <v>72858.160279999982</v>
      </c>
      <c r="EB21" s="24">
        <v>75560.292949999988</v>
      </c>
      <c r="EC21" s="23">
        <v>74769.551619999998</v>
      </c>
      <c r="ED21" s="52">
        <v>74021.02393000001</v>
      </c>
      <c r="EE21" s="24">
        <v>73899</v>
      </c>
      <c r="EF21" s="24">
        <v>72502.399999999994</v>
      </c>
      <c r="EG21" s="24">
        <v>76043</v>
      </c>
      <c r="EH21" s="24">
        <v>78843.399999999994</v>
      </c>
      <c r="EI21" s="24">
        <v>78290</v>
      </c>
      <c r="EJ21" s="24">
        <v>78582</v>
      </c>
      <c r="EK21" s="24">
        <v>78869</v>
      </c>
      <c r="EL21" s="24">
        <v>82497.399999999994</v>
      </c>
      <c r="EM21" s="24">
        <v>84654</v>
      </c>
      <c r="EN21" s="24">
        <v>87783.5</v>
      </c>
      <c r="EO21" s="23">
        <v>88529</v>
      </c>
      <c r="EP21" s="761">
        <f t="shared" si="8"/>
        <v>0.84924843507037107</v>
      </c>
      <c r="EQ21" s="759">
        <f t="shared" si="9"/>
        <v>18.402475448735345</v>
      </c>
    </row>
    <row r="22" spans="1:147" ht="13.9" customHeight="1" x14ac:dyDescent="0.2">
      <c r="A22" s="309" t="s">
        <v>266</v>
      </c>
      <c r="B22" s="52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3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3"/>
      <c r="Z22" s="24">
        <v>4840.3999999999996</v>
      </c>
      <c r="AA22" s="24">
        <v>4486.3999999999996</v>
      </c>
      <c r="AB22" s="24">
        <v>4474.3999999999996</v>
      </c>
      <c r="AC22" s="24">
        <v>4708.3999999999996</v>
      </c>
      <c r="AD22" s="24">
        <v>4808</v>
      </c>
      <c r="AE22" s="24">
        <v>5389.347490000001</v>
      </c>
      <c r="AF22" s="24">
        <v>4866.0722500000002</v>
      </c>
      <c r="AG22" s="24">
        <v>5182</v>
      </c>
      <c r="AH22" s="24">
        <f>8698.7633-536</f>
        <v>8162.7633000000005</v>
      </c>
      <c r="AI22" s="24">
        <v>5280.4262800000015</v>
      </c>
      <c r="AJ22" s="24">
        <v>5235.8153000000002</v>
      </c>
      <c r="AK22" s="24">
        <v>5485.1436099999992</v>
      </c>
      <c r="AL22" s="52">
        <v>5698.2298000000001</v>
      </c>
      <c r="AM22" s="24">
        <v>5772.3341</v>
      </c>
      <c r="AN22" s="24">
        <v>5578.5369200000005</v>
      </c>
      <c r="AO22" s="24">
        <v>5841.8377799999998</v>
      </c>
      <c r="AP22" s="24">
        <v>5967.7738700000009</v>
      </c>
      <c r="AQ22" s="24">
        <v>5663.2417400000013</v>
      </c>
      <c r="AR22" s="24">
        <v>6201.9365300000009</v>
      </c>
      <c r="AS22" s="24">
        <v>5911.6887900000002</v>
      </c>
      <c r="AT22" s="24">
        <v>5982.5701899999995</v>
      </c>
      <c r="AU22" s="24">
        <v>8006.1220399999993</v>
      </c>
      <c r="AV22" s="24">
        <v>8080.671409999999</v>
      </c>
      <c r="AW22" s="24">
        <v>8280.6613300000008</v>
      </c>
      <c r="AX22" s="52">
        <v>8600.0863000000008</v>
      </c>
      <c r="AY22" s="24">
        <v>8707.4322899999988</v>
      </c>
      <c r="AZ22" s="24">
        <v>8854.4556499999999</v>
      </c>
      <c r="BA22" s="24">
        <v>9037.0364699999991</v>
      </c>
      <c r="BB22" s="24">
        <v>10257.50891</v>
      </c>
      <c r="BC22" s="24">
        <v>8770.7036000000007</v>
      </c>
      <c r="BD22" s="24">
        <v>8490.1791699999994</v>
      </c>
      <c r="BE22" s="24">
        <v>8871.7675099999997</v>
      </c>
      <c r="BF22" s="24">
        <v>8983.67101</v>
      </c>
      <c r="BG22" s="24">
        <v>9033.0355899999995</v>
      </c>
      <c r="BH22" s="24">
        <v>9815.0873800000008</v>
      </c>
      <c r="BI22" s="24">
        <v>9611.3861500000003</v>
      </c>
      <c r="BJ22" s="52">
        <v>9761.460320000002</v>
      </c>
      <c r="BK22" s="24">
        <v>9439.8737400000009</v>
      </c>
      <c r="BL22" s="24">
        <v>9223.1665699999994</v>
      </c>
      <c r="BM22" s="24">
        <v>9258.5331600000009</v>
      </c>
      <c r="BN22" s="24">
        <v>9219.8460900000009</v>
      </c>
      <c r="BO22" s="24">
        <v>9428.2247599999992</v>
      </c>
      <c r="BP22" s="24">
        <v>9413.0443899999991</v>
      </c>
      <c r="BQ22" s="24">
        <v>8876.7547300000006</v>
      </c>
      <c r="BR22" s="24">
        <v>9340.4658399999989</v>
      </c>
      <c r="BS22" s="24">
        <v>9964.4207799999986</v>
      </c>
      <c r="BT22" s="24">
        <v>9275.2622699999993</v>
      </c>
      <c r="BU22" s="23">
        <v>9307.1029199999994</v>
      </c>
      <c r="BV22" s="52">
        <v>9784.0430399999968</v>
      </c>
      <c r="BW22" s="24">
        <v>9450.3038300000007</v>
      </c>
      <c r="BX22" s="24">
        <v>9275.9655599999987</v>
      </c>
      <c r="BY22" s="24">
        <v>8901.8261799999964</v>
      </c>
      <c r="BZ22" s="24">
        <v>10774.53955</v>
      </c>
      <c r="CA22" s="24">
        <v>9823.6976400000003</v>
      </c>
      <c r="CB22" s="24">
        <v>12628.48955</v>
      </c>
      <c r="CC22" s="24">
        <v>11569.435600000001</v>
      </c>
      <c r="CD22" s="24">
        <v>11749.266579999998</v>
      </c>
      <c r="CE22" s="24">
        <v>10852.43957</v>
      </c>
      <c r="CF22" s="24">
        <v>10803.794759999999</v>
      </c>
      <c r="CG22" s="23">
        <v>24327.466789999999</v>
      </c>
      <c r="CH22" s="24">
        <v>14316.210209999999</v>
      </c>
      <c r="CI22" s="24">
        <v>14764.70047</v>
      </c>
      <c r="CJ22" s="24">
        <v>12062.460370000001</v>
      </c>
      <c r="CK22" s="24">
        <v>12916.02579</v>
      </c>
      <c r="CL22" s="24">
        <v>11880.672420000004</v>
      </c>
      <c r="CM22" s="24">
        <v>12156.89618</v>
      </c>
      <c r="CN22" s="24">
        <v>12493.099230000002</v>
      </c>
      <c r="CO22" s="24">
        <v>12588.86052</v>
      </c>
      <c r="CP22" s="24">
        <v>14235.116200000002</v>
      </c>
      <c r="CQ22" s="24">
        <v>13538.29088</v>
      </c>
      <c r="CR22" s="24">
        <v>13433.586139999998</v>
      </c>
      <c r="CS22" s="24">
        <v>14581.73936</v>
      </c>
      <c r="CT22" s="52">
        <v>17548.679820000001</v>
      </c>
      <c r="CU22" s="24">
        <v>16322.764550000002</v>
      </c>
      <c r="CV22" s="24">
        <v>15056.297550000001</v>
      </c>
      <c r="CW22" s="24">
        <v>14933.12549</v>
      </c>
      <c r="CX22" s="24">
        <v>14645.120119999998</v>
      </c>
      <c r="CY22" s="24">
        <v>17043.908790000001</v>
      </c>
      <c r="CZ22" s="24">
        <v>19900.653010000005</v>
      </c>
      <c r="DA22" s="24">
        <v>20898.155669999996</v>
      </c>
      <c r="DB22" s="24">
        <v>20101.75044</v>
      </c>
      <c r="DC22" s="24">
        <v>19857.636870000002</v>
      </c>
      <c r="DD22" s="24">
        <v>20998.504550000001</v>
      </c>
      <c r="DE22" s="24">
        <v>20606.129089999999</v>
      </c>
      <c r="DF22" s="52">
        <v>15017.575460000002</v>
      </c>
      <c r="DG22" s="24">
        <v>19095.68461</v>
      </c>
      <c r="DH22" s="24">
        <v>17148.397719999997</v>
      </c>
      <c r="DI22" s="24">
        <v>15828.099340000001</v>
      </c>
      <c r="DJ22" s="24">
        <v>15305.859829999999</v>
      </c>
      <c r="DK22" s="24">
        <v>15960.962759999999</v>
      </c>
      <c r="DL22" s="24">
        <v>36858.158169999995</v>
      </c>
      <c r="DM22" s="24">
        <v>17719.014480000002</v>
      </c>
      <c r="DN22" s="24">
        <v>17828.237730000004</v>
      </c>
      <c r="DO22" s="24">
        <v>18663.498760000002</v>
      </c>
      <c r="DP22" s="24">
        <v>19106.291419999998</v>
      </c>
      <c r="DQ22" s="23">
        <v>17930.12673</v>
      </c>
      <c r="DR22" s="52">
        <v>18319.72076</v>
      </c>
      <c r="DS22" s="24">
        <v>18357.50805</v>
      </c>
      <c r="DT22" s="24">
        <v>18000.924550000003</v>
      </c>
      <c r="DU22" s="24">
        <v>18031.784350000002</v>
      </c>
      <c r="DV22" s="24">
        <v>18260.823899999999</v>
      </c>
      <c r="DW22" s="24">
        <v>20759.648799999999</v>
      </c>
      <c r="DX22" s="24">
        <v>21601.096389999995</v>
      </c>
      <c r="DY22" s="24">
        <v>19715.471099999999</v>
      </c>
      <c r="DZ22" s="24">
        <v>19736.81914</v>
      </c>
      <c r="EA22" s="24">
        <v>18932.250099999997</v>
      </c>
      <c r="EB22" s="24">
        <v>18314</v>
      </c>
      <c r="EC22" s="23">
        <v>18111.371830000007</v>
      </c>
      <c r="ED22" s="52">
        <v>19519.911059999999</v>
      </c>
      <c r="EE22" s="24">
        <v>19412</v>
      </c>
      <c r="EF22" s="24">
        <v>18713.3</v>
      </c>
      <c r="EG22" s="24">
        <v>18418</v>
      </c>
      <c r="EH22" s="24">
        <v>18478</v>
      </c>
      <c r="EI22" s="24">
        <v>18578</v>
      </c>
      <c r="EJ22" s="24">
        <v>18581</v>
      </c>
      <c r="EK22" s="24">
        <v>18783</v>
      </c>
      <c r="EL22" s="24">
        <v>18659</v>
      </c>
      <c r="EM22" s="24">
        <v>20665</v>
      </c>
      <c r="EN22" s="24">
        <v>21038</v>
      </c>
      <c r="EO22" s="23">
        <v>21266.5</v>
      </c>
      <c r="EP22" s="761">
        <f t="shared" si="8"/>
        <v>1.0861298602528713</v>
      </c>
      <c r="EQ22" s="759">
        <f t="shared" si="9"/>
        <v>17.420702305795423</v>
      </c>
    </row>
    <row r="23" spans="1:147" ht="13.9" customHeight="1" x14ac:dyDescent="0.2">
      <c r="A23" s="205" t="s">
        <v>352</v>
      </c>
      <c r="B23" s="776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310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310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776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776"/>
      <c r="AY23" s="108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776"/>
      <c r="BK23" s="108"/>
      <c r="BL23" s="108"/>
      <c r="BM23" s="108"/>
      <c r="BN23" s="108"/>
      <c r="BO23" s="108"/>
      <c r="BP23" s="108"/>
      <c r="BQ23" s="108"/>
      <c r="BR23" s="108"/>
      <c r="BS23" s="108"/>
      <c r="BT23" s="108"/>
      <c r="BU23" s="310"/>
      <c r="BV23" s="776"/>
      <c r="BW23" s="108"/>
      <c r="BX23" s="108"/>
      <c r="BY23" s="108"/>
      <c r="BZ23" s="108"/>
      <c r="CA23" s="108"/>
      <c r="CB23" s="108"/>
      <c r="CC23" s="108"/>
      <c r="CD23" s="108"/>
      <c r="CE23" s="108"/>
      <c r="CF23" s="108"/>
      <c r="CG23" s="310"/>
      <c r="CH23" s="108"/>
      <c r="CI23" s="108"/>
      <c r="CJ23" s="108"/>
      <c r="CK23" s="108"/>
      <c r="CL23" s="108"/>
      <c r="CM23" s="108"/>
      <c r="CN23" s="108"/>
      <c r="CO23" s="108"/>
      <c r="CP23" s="108"/>
      <c r="CQ23" s="108"/>
      <c r="CR23" s="108"/>
      <c r="CS23" s="108"/>
      <c r="CT23" s="776"/>
      <c r="CU23" s="108"/>
      <c r="CV23" s="108"/>
      <c r="CW23" s="108"/>
      <c r="CX23" s="108"/>
      <c r="CY23" s="108"/>
      <c r="CZ23" s="108"/>
      <c r="DA23" s="108"/>
      <c r="DB23" s="108"/>
      <c r="DC23" s="108"/>
      <c r="DD23" s="108"/>
      <c r="DE23" s="108"/>
      <c r="DF23" s="776"/>
      <c r="DG23" s="108"/>
      <c r="DH23" s="108"/>
      <c r="DI23" s="108"/>
      <c r="DJ23" s="108"/>
      <c r="DK23" s="108"/>
      <c r="DL23" s="108"/>
      <c r="DM23" s="108"/>
      <c r="DN23" s="108"/>
      <c r="DO23" s="108"/>
      <c r="DP23" s="108"/>
      <c r="DQ23" s="310"/>
      <c r="DR23" s="776"/>
      <c r="DS23" s="108"/>
      <c r="DT23" s="108"/>
      <c r="DU23" s="108"/>
      <c r="DV23" s="108"/>
      <c r="DW23" s="108"/>
      <c r="DX23" s="108"/>
      <c r="DY23" s="108"/>
      <c r="DZ23" s="108"/>
      <c r="EA23" s="108"/>
      <c r="EB23" s="108"/>
      <c r="EC23" s="310"/>
      <c r="ED23" s="776"/>
      <c r="EE23" s="108"/>
      <c r="EF23" s="108"/>
      <c r="EG23" s="108"/>
      <c r="EH23" s="108"/>
      <c r="EI23" s="108"/>
      <c r="EJ23" s="108"/>
      <c r="EK23" s="108"/>
      <c r="EL23" s="108"/>
      <c r="EM23" s="108"/>
      <c r="EN23" s="108"/>
      <c r="EO23" s="310"/>
      <c r="EP23" s="777"/>
      <c r="EQ23" s="769"/>
    </row>
    <row r="24" spans="1:147" ht="13.9" customHeight="1" x14ac:dyDescent="0.2">
      <c r="A24" s="772" t="s">
        <v>113</v>
      </c>
    </row>
    <row r="26" spans="1:147" ht="13.9" customHeight="1" x14ac:dyDescent="0.2">
      <c r="Z26" s="208">
        <v>0.24864000000525266</v>
      </c>
      <c r="AA26" s="208">
        <v>0.29899999999906868</v>
      </c>
      <c r="AB26" s="208">
        <v>0.28700000001117587</v>
      </c>
      <c r="AC26" s="208">
        <v>0.39104999997653067</v>
      </c>
      <c r="AD26" s="208">
        <v>0.34937000001082197</v>
      </c>
      <c r="AE26" s="208"/>
      <c r="AF26" s="208"/>
      <c r="AG26" s="208">
        <v>8.8499999837949872E-3</v>
      </c>
      <c r="AH26" s="208">
        <v>1.0000000474974513E-4</v>
      </c>
      <c r="AI26" s="208">
        <v>3.5000004572793841E-4</v>
      </c>
      <c r="AJ26" s="208">
        <v>-3.1999999191612005E-4</v>
      </c>
      <c r="AK26" s="208">
        <v>-3.1999993370845914E-4</v>
      </c>
      <c r="AL26" s="208">
        <v>4.599999519996345E-4</v>
      </c>
      <c r="AM26" s="208">
        <v>4.1000003693625331E-4</v>
      </c>
      <c r="AN26" s="208">
        <v>3.6999996518716216E-4</v>
      </c>
      <c r="AO26" s="208">
        <v>-2.7000001864507794E-4</v>
      </c>
      <c r="AP26" s="208">
        <v>-4.3999997433274984E-4</v>
      </c>
      <c r="AQ26" s="208">
        <v>1.1000002268701792E-4</v>
      </c>
      <c r="AR26" s="208">
        <v>3.499999875202775E-4</v>
      </c>
      <c r="AS26" s="208">
        <v>-2.0000035874545574E-5</v>
      </c>
      <c r="AT26" s="208">
        <v>-4.1999993845820427E-4</v>
      </c>
      <c r="AU26" s="208">
        <v>3.0999997397884727E-4</v>
      </c>
      <c r="AV26" s="208">
        <v>-3.6999996518716216E-4</v>
      </c>
      <c r="AW26" s="208"/>
      <c r="AX26" s="208"/>
      <c r="AY26" s="208"/>
      <c r="AZ26" s="208"/>
      <c r="BA26" s="208"/>
      <c r="BB26" s="208"/>
      <c r="BC26" s="208">
        <v>-0.13057999999728054</v>
      </c>
      <c r="BD26" s="208"/>
      <c r="BE26" s="208"/>
      <c r="BF26" s="208"/>
      <c r="BG26" s="208"/>
      <c r="BH26" s="208"/>
      <c r="BI26" s="208">
        <v>-5.5509999976493418E-2</v>
      </c>
      <c r="BJ26" s="208">
        <v>0.28119000000879169</v>
      </c>
      <c r="BK26" s="208"/>
      <c r="BL26" s="208"/>
      <c r="BM26" s="208"/>
      <c r="BN26" s="208"/>
      <c r="BO26" s="208"/>
      <c r="BP26" s="208">
        <v>1.7120000091381371E-2</v>
      </c>
      <c r="BQ26" s="208"/>
      <c r="BR26" s="208"/>
      <c r="BS26" s="208"/>
      <c r="BT26" s="208"/>
      <c r="BU26" s="208"/>
      <c r="BV26" s="208"/>
      <c r="BW26" s="208"/>
      <c r="BX26" s="208"/>
      <c r="BY26" s="208"/>
      <c r="BZ26" s="208"/>
      <c r="CA26" s="208"/>
      <c r="CB26" s="208"/>
      <c r="CC26" s="208"/>
      <c r="CD26" s="208"/>
      <c r="CE26" s="208">
        <v>0.11590000009164214</v>
      </c>
      <c r="CF26" s="208"/>
      <c r="CG26" s="208"/>
      <c r="CH26" s="208"/>
      <c r="CI26" s="208"/>
      <c r="CJ26" s="208"/>
      <c r="CK26" s="208"/>
      <c r="CL26" s="208"/>
      <c r="CM26" s="208"/>
      <c r="CN26" s="208"/>
      <c r="CO26" s="208"/>
      <c r="CP26" s="208"/>
      <c r="CQ26" s="208"/>
      <c r="CR26" s="208"/>
      <c r="CS26" s="208"/>
      <c r="CT26" s="208"/>
      <c r="CU26" s="208"/>
      <c r="CV26" s="208"/>
      <c r="CW26" s="208"/>
      <c r="CX26" s="208"/>
      <c r="CY26" s="208"/>
      <c r="CZ26" s="208"/>
      <c r="DA26" s="208"/>
      <c r="DB26" s="208"/>
      <c r="DC26" s="208"/>
      <c r="DD26" s="208"/>
      <c r="DE26" s="208"/>
      <c r="DF26" s="208"/>
      <c r="DG26" s="208"/>
      <c r="DH26" s="208"/>
      <c r="DI26" s="208"/>
      <c r="DJ26" s="208"/>
      <c r="DK26" s="208"/>
      <c r="DL26" s="208"/>
      <c r="DM26" s="208"/>
      <c r="DN26" s="208"/>
      <c r="DO26" s="208"/>
      <c r="DP26" s="208"/>
      <c r="DQ26" s="208"/>
      <c r="DR26" s="208"/>
      <c r="DS26" s="208"/>
      <c r="DT26" s="208"/>
      <c r="DU26" s="208"/>
      <c r="DV26" s="208"/>
      <c r="DW26" s="208"/>
      <c r="DX26" s="208"/>
      <c r="DY26" s="208"/>
      <c r="DZ26" s="208"/>
      <c r="EA26" s="208"/>
      <c r="EB26" s="208">
        <v>1.6730000032112002E-2</v>
      </c>
      <c r="EC26" s="208"/>
      <c r="ED26" s="208"/>
      <c r="EE26" s="208"/>
      <c r="EF26" s="208">
        <v>0.10000000009313226</v>
      </c>
      <c r="EG26" s="208">
        <v>0.22439000010490417</v>
      </c>
      <c r="EH26" s="208">
        <v>-0.19999999995343387</v>
      </c>
      <c r="EI26" s="208">
        <v>-0.20000000018626451</v>
      </c>
      <c r="EJ26" s="208"/>
      <c r="EK26" s="208">
        <v>-0.39999999990686774</v>
      </c>
      <c r="EL26" s="208">
        <v>-0.19999999995343387</v>
      </c>
      <c r="EM26" s="208">
        <v>-0.5</v>
      </c>
      <c r="EN26" s="208">
        <v>0.10000000009313226</v>
      </c>
      <c r="EO26" s="208">
        <v>-0.5</v>
      </c>
      <c r="EP26" s="208"/>
    </row>
    <row r="28" spans="1:147" ht="13.9" customHeight="1" x14ac:dyDescent="0.2">
      <c r="AX28" s="208"/>
      <c r="AY28" s="208"/>
      <c r="AZ28" s="208"/>
      <c r="BA28" s="208"/>
      <c r="BB28" s="208"/>
      <c r="BC28" s="208"/>
      <c r="BD28" s="208"/>
      <c r="BE28" s="208"/>
      <c r="BF28" s="208"/>
      <c r="BG28" s="208"/>
      <c r="BH28" s="208"/>
      <c r="BI28" s="208"/>
      <c r="BJ28" s="208"/>
      <c r="BK28" s="208"/>
      <c r="BL28" s="208"/>
      <c r="BM28" s="208"/>
      <c r="BN28" s="208"/>
      <c r="BO28" s="208"/>
      <c r="BP28" s="208"/>
      <c r="BQ28" s="208"/>
      <c r="BR28" s="208"/>
      <c r="BS28" s="208"/>
      <c r="BT28" s="208"/>
      <c r="BU28" s="208"/>
      <c r="BV28" s="208"/>
      <c r="BW28" s="208"/>
      <c r="BX28" s="208"/>
      <c r="BY28" s="208"/>
      <c r="BZ28" s="208"/>
      <c r="CA28" s="208"/>
      <c r="CB28" s="208"/>
      <c r="CC28" s="208"/>
      <c r="CD28" s="208"/>
      <c r="CE28" s="208"/>
      <c r="CF28" s="208"/>
      <c r="CG28" s="208"/>
      <c r="CH28" s="208"/>
      <c r="CI28" s="208"/>
      <c r="CJ28" s="208"/>
      <c r="CK28" s="208"/>
      <c r="CL28" s="208"/>
      <c r="CM28" s="208"/>
      <c r="CN28" s="208"/>
      <c r="CO28" s="208"/>
      <c r="CP28" s="208"/>
      <c r="CQ28" s="208"/>
      <c r="CR28" s="208"/>
      <c r="CS28" s="208"/>
      <c r="CT28" s="208"/>
      <c r="CU28" s="208"/>
      <c r="CV28" s="208"/>
      <c r="CW28" s="208"/>
      <c r="CX28" s="208"/>
      <c r="CY28" s="208"/>
      <c r="CZ28" s="208"/>
      <c r="DA28" s="208"/>
      <c r="DB28" s="208"/>
      <c r="DC28" s="208"/>
      <c r="DD28" s="208"/>
      <c r="DE28" s="208"/>
      <c r="DF28" s="208"/>
      <c r="DG28" s="208"/>
      <c r="DH28" s="208"/>
      <c r="DI28" s="208"/>
      <c r="DJ28" s="208"/>
      <c r="DK28" s="208"/>
      <c r="DL28" s="208"/>
      <c r="DM28" s="208"/>
      <c r="DN28" s="208"/>
      <c r="DO28" s="208"/>
      <c r="DP28" s="208"/>
      <c r="DQ28" s="208"/>
      <c r="DR28" s="208"/>
      <c r="DS28" s="208"/>
      <c r="DT28" s="208"/>
      <c r="DU28" s="208"/>
      <c r="DV28" s="208"/>
      <c r="DW28" s="208"/>
      <c r="DX28" s="208"/>
      <c r="DY28" s="208"/>
      <c r="DZ28" s="208"/>
      <c r="EA28" s="208"/>
      <c r="EB28" s="208"/>
      <c r="EC28" s="208"/>
      <c r="ED28" s="208"/>
      <c r="EE28" s="208"/>
      <c r="EF28" s="208"/>
      <c r="EG28" s="208"/>
      <c r="EH28" s="208"/>
      <c r="EI28" s="208"/>
      <c r="EJ28" s="208"/>
      <c r="EK28" s="208"/>
      <c r="EL28" s="208"/>
      <c r="EM28" s="208"/>
      <c r="EN28" s="208"/>
      <c r="EO28" s="208"/>
    </row>
  </sheetData>
  <printOptions horizontalCentered="1" verticalCentered="1"/>
  <pageMargins left="0.74803149606299213" right="0.74803149606299213" top="0.98425196850393704" bottom="0.98425196850393704" header="0" footer="0"/>
  <pageSetup paperSize="9" scale="10" orientation="landscape" horizontalDpi="4294967292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Z51"/>
  <sheetViews>
    <sheetView showGridLines="0" view="pageBreakPreview" zoomScale="98" zoomScaleNormal="75" zoomScaleSheetLayoutView="90" workbookViewId="0">
      <pane xSplit="1" topLeftCell="GT1" activePane="topRight" state="frozen"/>
      <selection activeCell="IB59" sqref="IB59:JB59"/>
      <selection pane="topRight" activeCell="IB59" sqref="IB59:JB59"/>
    </sheetView>
  </sheetViews>
  <sheetFormatPr baseColWidth="10" defaultColWidth="8.7109375" defaultRowHeight="13.9" customHeight="1" x14ac:dyDescent="0.2"/>
  <cols>
    <col min="1" max="1" width="20.7109375" style="316" customWidth="1"/>
    <col min="2" max="192" width="8.85546875" style="316" customWidth="1"/>
    <col min="193" max="194" width="9.140625" style="316" customWidth="1"/>
    <col min="195" max="197" width="8.85546875" style="316" customWidth="1"/>
    <col min="198" max="229" width="9.140625" style="316" customWidth="1"/>
    <col min="230" max="231" width="8.85546875" style="316" customWidth="1"/>
    <col min="232" max="16384" width="8.7109375" style="316"/>
  </cols>
  <sheetData>
    <row r="1" spans="1:231" ht="13.9" customHeight="1" x14ac:dyDescent="0.2">
      <c r="A1" s="869" t="s">
        <v>260</v>
      </c>
      <c r="BP1" s="870"/>
      <c r="BQ1" s="870"/>
      <c r="BR1" s="870"/>
      <c r="BS1" s="870"/>
      <c r="BT1" s="870"/>
    </row>
    <row r="2" spans="1:231" ht="13.9" customHeight="1" x14ac:dyDescent="0.2">
      <c r="A2" s="318" t="s">
        <v>155</v>
      </c>
      <c r="CD2" s="871"/>
      <c r="CE2" s="871"/>
      <c r="CF2" s="871"/>
      <c r="CG2" s="871"/>
      <c r="CH2" s="871"/>
      <c r="CI2" s="871"/>
      <c r="CJ2" s="871"/>
      <c r="CK2" s="871"/>
      <c r="CL2" s="871"/>
      <c r="CM2" s="871"/>
      <c r="CN2" s="871"/>
      <c r="CO2" s="871"/>
      <c r="CP2" s="871"/>
      <c r="CQ2" s="871"/>
      <c r="CR2" s="871"/>
      <c r="CS2" s="871"/>
      <c r="CT2" s="871"/>
      <c r="CU2" s="871"/>
      <c r="CV2" s="871"/>
      <c r="CW2" s="871"/>
      <c r="CX2" s="871"/>
      <c r="CY2" s="871"/>
      <c r="CZ2" s="871"/>
      <c r="DA2" s="871"/>
      <c r="DB2" s="871"/>
      <c r="DC2" s="871"/>
      <c r="DD2" s="871"/>
      <c r="DE2" s="871"/>
      <c r="DF2" s="871"/>
      <c r="DG2" s="871"/>
      <c r="DH2" s="871"/>
      <c r="DI2" s="871"/>
      <c r="DJ2" s="871"/>
      <c r="DK2" s="871"/>
      <c r="DL2" s="871"/>
      <c r="DM2" s="871"/>
      <c r="DN2" s="871"/>
      <c r="DO2" s="871"/>
      <c r="DP2" s="871"/>
      <c r="DQ2" s="871"/>
      <c r="DR2" s="871"/>
      <c r="DS2" s="871"/>
      <c r="DT2" s="871"/>
      <c r="DU2" s="871"/>
      <c r="DV2" s="871"/>
      <c r="DW2" s="871"/>
      <c r="DX2" s="871"/>
      <c r="DY2" s="871"/>
      <c r="DZ2" s="871"/>
      <c r="EA2" s="871"/>
      <c r="EB2" s="871"/>
      <c r="EC2" s="871"/>
      <c r="ED2" s="871"/>
      <c r="EE2" s="871"/>
      <c r="EF2" s="871"/>
      <c r="EG2" s="871"/>
      <c r="EH2" s="871"/>
      <c r="EI2" s="871"/>
      <c r="EJ2" s="871"/>
      <c r="EK2" s="871"/>
      <c r="EL2" s="871"/>
      <c r="EM2" s="871"/>
      <c r="EN2" s="871"/>
      <c r="EO2" s="871"/>
      <c r="EP2" s="871"/>
      <c r="EQ2" s="871"/>
      <c r="ER2" s="871"/>
      <c r="ES2" s="871"/>
      <c r="ET2" s="871"/>
      <c r="EU2" s="871"/>
      <c r="EV2" s="871"/>
      <c r="EW2" s="871"/>
      <c r="EX2" s="871"/>
      <c r="EY2" s="871"/>
      <c r="EZ2" s="871"/>
      <c r="FA2" s="871"/>
      <c r="FB2" s="871"/>
      <c r="FC2" s="871"/>
      <c r="FD2" s="871"/>
      <c r="FE2" s="871"/>
      <c r="FF2" s="871"/>
      <c r="FG2" s="871"/>
      <c r="FH2" s="871"/>
      <c r="FI2" s="871"/>
      <c r="FJ2" s="871"/>
      <c r="FK2" s="871"/>
      <c r="FL2" s="871"/>
      <c r="FM2" s="871"/>
      <c r="FN2" s="871"/>
      <c r="FO2" s="871"/>
      <c r="FP2" s="871"/>
      <c r="FQ2" s="871"/>
      <c r="FR2" s="871"/>
      <c r="FS2" s="871"/>
      <c r="FT2" s="871"/>
      <c r="FU2" s="871"/>
      <c r="FV2" s="871"/>
      <c r="FW2" s="871"/>
      <c r="FX2" s="871"/>
      <c r="FY2" s="871"/>
      <c r="FZ2" s="871"/>
      <c r="GA2" s="871"/>
      <c r="GB2" s="871"/>
      <c r="GC2" s="871"/>
      <c r="GD2" s="871"/>
      <c r="GE2" s="871"/>
      <c r="GF2" s="871"/>
      <c r="GG2" s="871"/>
      <c r="GH2" s="871"/>
      <c r="GI2" s="871"/>
      <c r="GJ2" s="871"/>
      <c r="GK2" s="871"/>
      <c r="GL2" s="871"/>
      <c r="GM2" s="871"/>
      <c r="GN2" s="871"/>
      <c r="GO2" s="871"/>
      <c r="GP2" s="871"/>
      <c r="GQ2" s="871"/>
      <c r="GR2" s="871"/>
      <c r="GS2" s="871"/>
      <c r="GT2" s="871"/>
      <c r="GU2" s="871"/>
      <c r="GV2" s="871"/>
      <c r="GW2" s="871"/>
      <c r="GX2" s="871"/>
      <c r="GY2" s="871"/>
      <c r="GZ2" s="871"/>
      <c r="HA2" s="871"/>
      <c r="HB2" s="871"/>
      <c r="HC2" s="871"/>
      <c r="HD2" s="871"/>
      <c r="HE2" s="871"/>
      <c r="HF2" s="871"/>
      <c r="HG2" s="871"/>
      <c r="HH2" s="871"/>
      <c r="HI2" s="871"/>
      <c r="HJ2" s="871"/>
      <c r="HK2" s="871"/>
      <c r="HL2" s="871"/>
      <c r="HM2" s="871"/>
      <c r="HN2" s="871"/>
      <c r="HO2" s="871"/>
      <c r="HP2" s="871"/>
      <c r="HQ2" s="871"/>
      <c r="HR2" s="871"/>
      <c r="HS2" s="871"/>
      <c r="HT2" s="871"/>
      <c r="HU2" s="871"/>
      <c r="HV2" s="871"/>
      <c r="HW2" s="871"/>
    </row>
    <row r="3" spans="1:231" ht="13.9" customHeight="1" x14ac:dyDescent="0.2">
      <c r="A3" s="402" t="s">
        <v>383</v>
      </c>
      <c r="CD3" s="871"/>
      <c r="CE3" s="871"/>
      <c r="CF3" s="871"/>
      <c r="CG3" s="871"/>
      <c r="CH3" s="871"/>
      <c r="CI3" s="872"/>
      <c r="CJ3" s="872"/>
      <c r="CK3" s="872"/>
      <c r="CL3" s="871"/>
      <c r="CM3" s="871"/>
      <c r="CN3" s="871"/>
      <c r="CO3" s="871"/>
      <c r="CP3" s="871"/>
      <c r="CQ3" s="871"/>
      <c r="CR3" s="871"/>
      <c r="CS3" s="871"/>
      <c r="CT3" s="871"/>
      <c r="CU3" s="871"/>
      <c r="CV3" s="871"/>
      <c r="CW3" s="871"/>
      <c r="CX3" s="871"/>
      <c r="CY3" s="871"/>
      <c r="CZ3" s="871"/>
      <c r="DA3" s="871"/>
      <c r="DB3" s="871"/>
      <c r="DC3" s="871"/>
      <c r="DD3" s="871"/>
      <c r="DE3" s="871"/>
      <c r="DF3" s="871"/>
      <c r="DG3" s="871"/>
      <c r="DH3" s="871"/>
      <c r="DI3" s="871"/>
      <c r="DJ3" s="871"/>
      <c r="DK3" s="873"/>
      <c r="DL3" s="873"/>
      <c r="DM3" s="873"/>
      <c r="DN3" s="873"/>
      <c r="DO3" s="873"/>
      <c r="DP3" s="873"/>
      <c r="DQ3" s="871"/>
      <c r="DR3" s="871"/>
      <c r="DS3" s="871"/>
      <c r="DT3" s="871"/>
      <c r="DU3" s="871"/>
      <c r="DV3" s="871"/>
      <c r="DW3" s="871"/>
      <c r="DX3" s="871"/>
      <c r="DY3" s="871"/>
      <c r="DZ3" s="871"/>
      <c r="EA3" s="871"/>
      <c r="EB3" s="871"/>
      <c r="EC3" s="871"/>
      <c r="ED3" s="871"/>
      <c r="EE3" s="871"/>
      <c r="EF3" s="871"/>
      <c r="EG3" s="871"/>
      <c r="EH3" s="871"/>
      <c r="EI3" s="871"/>
      <c r="EJ3" s="871"/>
      <c r="EK3" s="871"/>
      <c r="EL3" s="871"/>
      <c r="EM3" s="871"/>
      <c r="EN3" s="871"/>
      <c r="EO3" s="871"/>
      <c r="EP3" s="871"/>
      <c r="EQ3" s="871"/>
      <c r="ER3" s="871"/>
      <c r="ES3" s="871"/>
      <c r="ET3" s="871"/>
      <c r="EU3" s="871"/>
      <c r="EV3" s="871"/>
      <c r="EW3" s="871"/>
      <c r="EX3" s="871"/>
      <c r="EY3" s="871"/>
      <c r="EZ3" s="871"/>
      <c r="FA3" s="871"/>
      <c r="FB3" s="871"/>
      <c r="FC3" s="871"/>
      <c r="FD3" s="871"/>
      <c r="FE3" s="871"/>
      <c r="FF3" s="871"/>
      <c r="FG3" s="871"/>
      <c r="FH3" s="871"/>
      <c r="FI3" s="871"/>
      <c r="FJ3" s="871"/>
      <c r="FK3" s="871"/>
      <c r="FL3" s="871"/>
      <c r="FM3" s="871"/>
      <c r="FN3" s="871"/>
      <c r="FO3" s="871"/>
      <c r="FP3" s="871"/>
      <c r="FQ3" s="871"/>
      <c r="FR3" s="871"/>
      <c r="FS3" s="871"/>
      <c r="FT3" s="871"/>
      <c r="FU3" s="871"/>
      <c r="FV3" s="871"/>
      <c r="FW3" s="871"/>
      <c r="FX3" s="871"/>
      <c r="FY3" s="871"/>
      <c r="FZ3" s="871"/>
      <c r="GA3" s="871"/>
      <c r="GB3" s="871"/>
      <c r="GC3" s="871"/>
      <c r="GD3" s="871"/>
      <c r="GE3" s="871"/>
      <c r="GF3" s="871"/>
      <c r="GG3" s="871"/>
      <c r="GH3" s="871"/>
      <c r="GI3" s="871"/>
      <c r="GJ3" s="871"/>
      <c r="GK3" s="871"/>
      <c r="GL3" s="871"/>
      <c r="GM3" s="871"/>
      <c r="GN3" s="871"/>
      <c r="GO3" s="871"/>
      <c r="GP3" s="871"/>
      <c r="GQ3" s="871"/>
      <c r="GR3" s="871"/>
      <c r="GS3" s="871"/>
      <c r="GT3" s="871"/>
      <c r="GU3" s="871"/>
      <c r="GV3" s="871"/>
      <c r="GW3" s="871"/>
      <c r="GX3" s="871"/>
      <c r="GY3" s="871"/>
      <c r="GZ3" s="871"/>
      <c r="HA3" s="871"/>
      <c r="HB3" s="871"/>
      <c r="HC3" s="871"/>
      <c r="HD3" s="871"/>
      <c r="HE3" s="871"/>
      <c r="HF3" s="871"/>
      <c r="HG3" s="871"/>
      <c r="HH3" s="871"/>
      <c r="HI3" s="871"/>
      <c r="HJ3" s="871"/>
      <c r="HK3" s="871"/>
      <c r="HL3" s="871"/>
      <c r="HM3" s="871"/>
      <c r="HN3" s="871"/>
      <c r="HO3" s="871"/>
      <c r="HP3" s="871"/>
      <c r="HQ3" s="871"/>
      <c r="HR3" s="871"/>
      <c r="HS3" s="871"/>
      <c r="HT3" s="871"/>
      <c r="HU3" s="871"/>
      <c r="HV3" s="871"/>
      <c r="HW3" s="871"/>
    </row>
    <row r="4" spans="1:231" ht="13.9" customHeight="1" x14ac:dyDescent="0.2">
      <c r="A4" s="874"/>
      <c r="B4" s="39">
        <f>YEAR(B5)</f>
        <v>2002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94"/>
      <c r="N4" s="39">
        <f>YEAR(N5)</f>
        <v>2003</v>
      </c>
      <c r="O4" s="40"/>
      <c r="P4" s="40"/>
      <c r="Q4" s="40"/>
      <c r="R4" s="40"/>
      <c r="S4" s="40"/>
      <c r="T4" s="40"/>
      <c r="U4" s="40"/>
      <c r="V4" s="40"/>
      <c r="W4" s="40"/>
      <c r="X4" s="40"/>
      <c r="Y4" s="94"/>
      <c r="Z4" s="39">
        <f>YEAR(Z5)</f>
        <v>2004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94"/>
      <c r="AL4" s="39">
        <f>YEAR(AL5)</f>
        <v>2005</v>
      </c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94"/>
      <c r="AX4" s="39">
        <f>YEAR(AX5)</f>
        <v>2006</v>
      </c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94"/>
      <c r="BJ4" s="39">
        <f>YEAR(BJ5)</f>
        <v>2007</v>
      </c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94"/>
      <c r="BV4" s="39">
        <f>YEAR(BV5)</f>
        <v>2008</v>
      </c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94"/>
      <c r="CH4" s="39">
        <f>YEAR(CH5)</f>
        <v>2009</v>
      </c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94"/>
      <c r="CT4" s="39">
        <f>YEAR(CT5)</f>
        <v>2010</v>
      </c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94"/>
      <c r="DF4" s="39">
        <f>YEAR(DF5)</f>
        <v>2011</v>
      </c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94"/>
      <c r="DR4" s="39">
        <f>YEAR(DR5)</f>
        <v>2012</v>
      </c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94"/>
      <c r="ED4" s="39">
        <f>YEAR(ED5)</f>
        <v>2013</v>
      </c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94"/>
      <c r="EP4" s="39">
        <f>YEAR(EP5)</f>
        <v>2014</v>
      </c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94"/>
      <c r="FB4" s="39">
        <f>YEAR(FB5)</f>
        <v>2015</v>
      </c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94"/>
      <c r="FN4" s="39">
        <f>YEAR(FN5)</f>
        <v>2016</v>
      </c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94"/>
      <c r="FZ4" s="39">
        <f>YEAR(FZ5)</f>
        <v>2017</v>
      </c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94"/>
      <c r="GL4" s="39">
        <f>YEAR(GL5)</f>
        <v>2018</v>
      </c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94"/>
      <c r="GX4" s="39">
        <f>YEAR(GX5)</f>
        <v>2019</v>
      </c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94"/>
      <c r="HJ4" s="39">
        <f>YEAR(HJ5)</f>
        <v>2020</v>
      </c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94"/>
      <c r="HV4" s="820" t="s">
        <v>77</v>
      </c>
      <c r="HW4" s="821"/>
    </row>
    <row r="5" spans="1:231" ht="13.9" customHeight="1" x14ac:dyDescent="0.2">
      <c r="A5" s="875"/>
      <c r="B5" s="68">
        <v>37257</v>
      </c>
      <c r="C5" s="69">
        <v>37288</v>
      </c>
      <c r="D5" s="69">
        <v>37316</v>
      </c>
      <c r="E5" s="69">
        <v>37347</v>
      </c>
      <c r="F5" s="69">
        <v>37377</v>
      </c>
      <c r="G5" s="69">
        <v>37408</v>
      </c>
      <c r="H5" s="69">
        <v>37438</v>
      </c>
      <c r="I5" s="69">
        <v>37469</v>
      </c>
      <c r="J5" s="69">
        <v>37500</v>
      </c>
      <c r="K5" s="69">
        <v>37530</v>
      </c>
      <c r="L5" s="69">
        <v>37561</v>
      </c>
      <c r="M5" s="138">
        <v>37591</v>
      </c>
      <c r="N5" s="68">
        <v>37622</v>
      </c>
      <c r="O5" s="69">
        <v>37653</v>
      </c>
      <c r="P5" s="69">
        <v>37681</v>
      </c>
      <c r="Q5" s="69">
        <v>37712</v>
      </c>
      <c r="R5" s="69">
        <v>37742</v>
      </c>
      <c r="S5" s="69">
        <v>37773</v>
      </c>
      <c r="T5" s="69">
        <v>37803</v>
      </c>
      <c r="U5" s="69">
        <v>37834</v>
      </c>
      <c r="V5" s="69">
        <v>37865</v>
      </c>
      <c r="W5" s="69">
        <v>37895</v>
      </c>
      <c r="X5" s="69">
        <v>37926</v>
      </c>
      <c r="Y5" s="138">
        <v>37956</v>
      </c>
      <c r="Z5" s="68">
        <v>37987</v>
      </c>
      <c r="AA5" s="69">
        <v>38018</v>
      </c>
      <c r="AB5" s="69">
        <v>38047</v>
      </c>
      <c r="AC5" s="69">
        <v>38078</v>
      </c>
      <c r="AD5" s="69">
        <v>38108</v>
      </c>
      <c r="AE5" s="69">
        <v>38139</v>
      </c>
      <c r="AF5" s="69">
        <v>38169</v>
      </c>
      <c r="AG5" s="69">
        <v>38200</v>
      </c>
      <c r="AH5" s="69">
        <v>38231</v>
      </c>
      <c r="AI5" s="69">
        <v>38261</v>
      </c>
      <c r="AJ5" s="69">
        <v>38292</v>
      </c>
      <c r="AK5" s="138">
        <v>38322</v>
      </c>
      <c r="AL5" s="68">
        <v>38353</v>
      </c>
      <c r="AM5" s="69">
        <v>38384</v>
      </c>
      <c r="AN5" s="69">
        <v>38412</v>
      </c>
      <c r="AO5" s="69">
        <v>38443</v>
      </c>
      <c r="AP5" s="69">
        <v>38473</v>
      </c>
      <c r="AQ5" s="69">
        <v>38504</v>
      </c>
      <c r="AR5" s="69">
        <v>38534</v>
      </c>
      <c r="AS5" s="69">
        <v>38565</v>
      </c>
      <c r="AT5" s="69">
        <v>38596</v>
      </c>
      <c r="AU5" s="69">
        <v>38626</v>
      </c>
      <c r="AV5" s="69">
        <v>38657</v>
      </c>
      <c r="AW5" s="138">
        <v>38687</v>
      </c>
      <c r="AX5" s="68">
        <v>38718</v>
      </c>
      <c r="AY5" s="69">
        <v>38749</v>
      </c>
      <c r="AZ5" s="69">
        <v>38777</v>
      </c>
      <c r="BA5" s="69">
        <v>38808</v>
      </c>
      <c r="BB5" s="69">
        <v>38838</v>
      </c>
      <c r="BC5" s="69">
        <v>38869</v>
      </c>
      <c r="BD5" s="69">
        <v>38899</v>
      </c>
      <c r="BE5" s="69">
        <v>38930</v>
      </c>
      <c r="BF5" s="69">
        <v>38961</v>
      </c>
      <c r="BG5" s="69">
        <v>38991</v>
      </c>
      <c r="BH5" s="69">
        <v>39022</v>
      </c>
      <c r="BI5" s="138">
        <v>39052</v>
      </c>
      <c r="BJ5" s="68">
        <v>39083</v>
      </c>
      <c r="BK5" s="69">
        <v>39114</v>
      </c>
      <c r="BL5" s="69">
        <v>39142</v>
      </c>
      <c r="BM5" s="69">
        <v>39173</v>
      </c>
      <c r="BN5" s="69">
        <v>39203</v>
      </c>
      <c r="BO5" s="69">
        <v>39234</v>
      </c>
      <c r="BP5" s="69">
        <v>39264</v>
      </c>
      <c r="BQ5" s="69">
        <v>39295</v>
      </c>
      <c r="BR5" s="69">
        <v>39326</v>
      </c>
      <c r="BS5" s="69">
        <v>39356</v>
      </c>
      <c r="BT5" s="69">
        <v>39387</v>
      </c>
      <c r="BU5" s="138">
        <v>39417</v>
      </c>
      <c r="BV5" s="68">
        <v>39448</v>
      </c>
      <c r="BW5" s="69">
        <v>39479</v>
      </c>
      <c r="BX5" s="69">
        <v>39508</v>
      </c>
      <c r="BY5" s="69">
        <v>39539</v>
      </c>
      <c r="BZ5" s="69">
        <v>39569</v>
      </c>
      <c r="CA5" s="69">
        <v>39600</v>
      </c>
      <c r="CB5" s="69">
        <v>39630</v>
      </c>
      <c r="CC5" s="69">
        <v>39661</v>
      </c>
      <c r="CD5" s="69">
        <v>39692</v>
      </c>
      <c r="CE5" s="69">
        <v>39722</v>
      </c>
      <c r="CF5" s="69">
        <v>39753</v>
      </c>
      <c r="CG5" s="138">
        <v>39783</v>
      </c>
      <c r="CH5" s="68">
        <v>39814</v>
      </c>
      <c r="CI5" s="69">
        <v>39845</v>
      </c>
      <c r="CJ5" s="69">
        <v>39873</v>
      </c>
      <c r="CK5" s="69">
        <v>39904</v>
      </c>
      <c r="CL5" s="69">
        <v>39934</v>
      </c>
      <c r="CM5" s="69">
        <v>39965</v>
      </c>
      <c r="CN5" s="69">
        <v>39995</v>
      </c>
      <c r="CO5" s="69">
        <v>40026</v>
      </c>
      <c r="CP5" s="69">
        <v>40057</v>
      </c>
      <c r="CQ5" s="69">
        <v>40087</v>
      </c>
      <c r="CR5" s="69">
        <v>40118</v>
      </c>
      <c r="CS5" s="138">
        <v>40148</v>
      </c>
      <c r="CT5" s="68">
        <v>40179</v>
      </c>
      <c r="CU5" s="69">
        <v>40210</v>
      </c>
      <c r="CV5" s="69">
        <v>40238</v>
      </c>
      <c r="CW5" s="69">
        <v>40269</v>
      </c>
      <c r="CX5" s="69">
        <v>40299</v>
      </c>
      <c r="CY5" s="69">
        <v>40330</v>
      </c>
      <c r="CZ5" s="69">
        <v>40360</v>
      </c>
      <c r="DA5" s="69">
        <v>40391</v>
      </c>
      <c r="DB5" s="69">
        <v>40422</v>
      </c>
      <c r="DC5" s="69">
        <v>40452</v>
      </c>
      <c r="DD5" s="69">
        <v>40483</v>
      </c>
      <c r="DE5" s="138">
        <v>40513</v>
      </c>
      <c r="DF5" s="68">
        <v>40544</v>
      </c>
      <c r="DG5" s="69">
        <v>40575</v>
      </c>
      <c r="DH5" s="69">
        <v>40603</v>
      </c>
      <c r="DI5" s="69">
        <v>40634</v>
      </c>
      <c r="DJ5" s="69">
        <v>40664</v>
      </c>
      <c r="DK5" s="69">
        <v>40695</v>
      </c>
      <c r="DL5" s="69">
        <v>40725</v>
      </c>
      <c r="DM5" s="69">
        <v>40756</v>
      </c>
      <c r="DN5" s="69">
        <v>40787</v>
      </c>
      <c r="DO5" s="69">
        <v>40817</v>
      </c>
      <c r="DP5" s="69">
        <v>40848</v>
      </c>
      <c r="DQ5" s="138">
        <v>40878</v>
      </c>
      <c r="DR5" s="68">
        <v>40909</v>
      </c>
      <c r="DS5" s="69">
        <v>40940</v>
      </c>
      <c r="DT5" s="69">
        <v>40969</v>
      </c>
      <c r="DU5" s="69">
        <v>41000</v>
      </c>
      <c r="DV5" s="69">
        <v>41030</v>
      </c>
      <c r="DW5" s="69">
        <v>41061</v>
      </c>
      <c r="DX5" s="69">
        <v>41091</v>
      </c>
      <c r="DY5" s="69">
        <v>41122</v>
      </c>
      <c r="DZ5" s="69">
        <v>41153</v>
      </c>
      <c r="EA5" s="69">
        <v>41183</v>
      </c>
      <c r="EB5" s="69">
        <v>41214</v>
      </c>
      <c r="EC5" s="138">
        <v>41244</v>
      </c>
      <c r="ED5" s="68">
        <v>41275</v>
      </c>
      <c r="EE5" s="69">
        <v>41306</v>
      </c>
      <c r="EF5" s="69">
        <v>41334</v>
      </c>
      <c r="EG5" s="69">
        <v>41365</v>
      </c>
      <c r="EH5" s="69">
        <v>41395</v>
      </c>
      <c r="EI5" s="69">
        <v>41426</v>
      </c>
      <c r="EJ5" s="69">
        <v>41456</v>
      </c>
      <c r="EK5" s="69">
        <v>41487</v>
      </c>
      <c r="EL5" s="69">
        <v>41518</v>
      </c>
      <c r="EM5" s="69">
        <v>41548</v>
      </c>
      <c r="EN5" s="69">
        <v>41579</v>
      </c>
      <c r="EO5" s="138">
        <v>41609</v>
      </c>
      <c r="EP5" s="68">
        <v>41640</v>
      </c>
      <c r="EQ5" s="69">
        <v>41671</v>
      </c>
      <c r="ER5" s="69">
        <v>41699</v>
      </c>
      <c r="ES5" s="69">
        <v>41730</v>
      </c>
      <c r="ET5" s="69">
        <v>41760</v>
      </c>
      <c r="EU5" s="69">
        <v>41791</v>
      </c>
      <c r="EV5" s="69">
        <v>41821</v>
      </c>
      <c r="EW5" s="69">
        <v>41852</v>
      </c>
      <c r="EX5" s="69">
        <v>41883</v>
      </c>
      <c r="EY5" s="69">
        <v>41913</v>
      </c>
      <c r="EZ5" s="69">
        <v>41944</v>
      </c>
      <c r="FA5" s="138">
        <v>41974</v>
      </c>
      <c r="FB5" s="68">
        <v>42005</v>
      </c>
      <c r="FC5" s="69">
        <v>42036</v>
      </c>
      <c r="FD5" s="69">
        <v>42064</v>
      </c>
      <c r="FE5" s="69">
        <v>42095</v>
      </c>
      <c r="FF5" s="69">
        <v>42125</v>
      </c>
      <c r="FG5" s="69">
        <v>42156</v>
      </c>
      <c r="FH5" s="69">
        <v>42186</v>
      </c>
      <c r="FI5" s="69">
        <v>42217</v>
      </c>
      <c r="FJ5" s="69">
        <v>42248</v>
      </c>
      <c r="FK5" s="69">
        <v>42278</v>
      </c>
      <c r="FL5" s="69">
        <v>42309</v>
      </c>
      <c r="FM5" s="138">
        <v>42339</v>
      </c>
      <c r="FN5" s="68">
        <v>42370</v>
      </c>
      <c r="FO5" s="69">
        <v>42401</v>
      </c>
      <c r="FP5" s="69">
        <v>42430</v>
      </c>
      <c r="FQ5" s="69">
        <v>42461</v>
      </c>
      <c r="FR5" s="69">
        <v>42491</v>
      </c>
      <c r="FS5" s="69">
        <v>42522</v>
      </c>
      <c r="FT5" s="69">
        <v>42552</v>
      </c>
      <c r="FU5" s="69">
        <v>42583</v>
      </c>
      <c r="FV5" s="69">
        <v>42614</v>
      </c>
      <c r="FW5" s="69">
        <v>42644</v>
      </c>
      <c r="FX5" s="69">
        <v>42675</v>
      </c>
      <c r="FY5" s="138">
        <v>42705</v>
      </c>
      <c r="FZ5" s="68">
        <v>42736</v>
      </c>
      <c r="GA5" s="69">
        <v>42767</v>
      </c>
      <c r="GB5" s="69">
        <v>42795</v>
      </c>
      <c r="GC5" s="69">
        <v>42826</v>
      </c>
      <c r="GD5" s="69">
        <v>42856</v>
      </c>
      <c r="GE5" s="69">
        <v>42887</v>
      </c>
      <c r="GF5" s="69">
        <v>42917</v>
      </c>
      <c r="GG5" s="69">
        <v>42948</v>
      </c>
      <c r="GH5" s="69">
        <v>42979</v>
      </c>
      <c r="GI5" s="69">
        <v>43009</v>
      </c>
      <c r="GJ5" s="69">
        <v>43040</v>
      </c>
      <c r="GK5" s="138">
        <v>43070</v>
      </c>
      <c r="GL5" s="68">
        <v>43101</v>
      </c>
      <c r="GM5" s="69">
        <v>43132</v>
      </c>
      <c r="GN5" s="69">
        <v>43160</v>
      </c>
      <c r="GO5" s="69">
        <v>43191</v>
      </c>
      <c r="GP5" s="69">
        <v>43221</v>
      </c>
      <c r="GQ5" s="69">
        <v>43252</v>
      </c>
      <c r="GR5" s="69">
        <v>43282</v>
      </c>
      <c r="GS5" s="69">
        <v>43313</v>
      </c>
      <c r="GT5" s="69">
        <v>43344</v>
      </c>
      <c r="GU5" s="69">
        <v>43374</v>
      </c>
      <c r="GV5" s="69">
        <v>43405</v>
      </c>
      <c r="GW5" s="138">
        <v>43435</v>
      </c>
      <c r="GX5" s="68">
        <v>43466</v>
      </c>
      <c r="GY5" s="69">
        <v>43497</v>
      </c>
      <c r="GZ5" s="69">
        <v>43525</v>
      </c>
      <c r="HA5" s="69">
        <v>43556</v>
      </c>
      <c r="HB5" s="69">
        <v>43586</v>
      </c>
      <c r="HC5" s="69">
        <v>43617</v>
      </c>
      <c r="HD5" s="69">
        <v>43647</v>
      </c>
      <c r="HE5" s="69">
        <v>43678</v>
      </c>
      <c r="HF5" s="69">
        <v>43709</v>
      </c>
      <c r="HG5" s="69">
        <v>43739</v>
      </c>
      <c r="HH5" s="69">
        <v>43770</v>
      </c>
      <c r="HI5" s="138">
        <v>43800</v>
      </c>
      <c r="HJ5" s="68">
        <v>43831</v>
      </c>
      <c r="HK5" s="69">
        <v>43862</v>
      </c>
      <c r="HL5" s="69">
        <v>43891</v>
      </c>
      <c r="HM5" s="69">
        <v>43922</v>
      </c>
      <c r="HN5" s="69">
        <v>43952</v>
      </c>
      <c r="HO5" s="69">
        <v>43983</v>
      </c>
      <c r="HP5" s="69">
        <v>44013</v>
      </c>
      <c r="HQ5" s="69">
        <v>44044</v>
      </c>
      <c r="HR5" s="69">
        <v>44075</v>
      </c>
      <c r="HS5" s="69">
        <v>44105</v>
      </c>
      <c r="HT5" s="69">
        <v>44136</v>
      </c>
      <c r="HU5" s="138">
        <v>44166</v>
      </c>
      <c r="HV5" s="822" t="s">
        <v>287</v>
      </c>
      <c r="HW5" s="823" t="s">
        <v>12</v>
      </c>
    </row>
    <row r="6" spans="1:231" ht="13.9" customHeight="1" x14ac:dyDescent="0.2">
      <c r="A6" s="876"/>
      <c r="B6" s="877"/>
      <c r="C6" s="878"/>
      <c r="D6" s="878"/>
      <c r="E6" s="878"/>
      <c r="F6" s="878"/>
      <c r="G6" s="878"/>
      <c r="H6" s="878"/>
      <c r="I6" s="878"/>
      <c r="J6" s="878"/>
      <c r="K6" s="878"/>
      <c r="L6" s="878"/>
      <c r="M6" s="878"/>
      <c r="N6" s="877"/>
      <c r="O6" s="878"/>
      <c r="P6" s="878"/>
      <c r="Q6" s="878"/>
      <c r="R6" s="878"/>
      <c r="S6" s="878"/>
      <c r="T6" s="878"/>
      <c r="U6" s="878"/>
      <c r="V6" s="878"/>
      <c r="W6" s="878"/>
      <c r="X6" s="878"/>
      <c r="Y6" s="879"/>
      <c r="Z6" s="877"/>
      <c r="AA6" s="878"/>
      <c r="AB6" s="878"/>
      <c r="AC6" s="878"/>
      <c r="AD6" s="878"/>
      <c r="AE6" s="878"/>
      <c r="AF6" s="878"/>
      <c r="AG6" s="878"/>
      <c r="AH6" s="878"/>
      <c r="AI6" s="878"/>
      <c r="AJ6" s="878"/>
      <c r="AK6" s="878"/>
      <c r="AL6" s="877"/>
      <c r="AM6" s="878"/>
      <c r="AN6" s="878"/>
      <c r="AO6" s="878"/>
      <c r="AP6" s="878"/>
      <c r="AQ6" s="878"/>
      <c r="AR6" s="878"/>
      <c r="AS6" s="878"/>
      <c r="AT6" s="878"/>
      <c r="AU6" s="878"/>
      <c r="AV6" s="878"/>
      <c r="AW6" s="880"/>
      <c r="AX6" s="881"/>
      <c r="BI6" s="882"/>
      <c r="BR6" s="878"/>
      <c r="BS6" s="878"/>
      <c r="BT6" s="878"/>
      <c r="BU6" s="878"/>
      <c r="BV6" s="877"/>
      <c r="BW6" s="878"/>
      <c r="CE6" s="878"/>
      <c r="CF6" s="878"/>
      <c r="CG6" s="882"/>
      <c r="CL6" s="878"/>
      <c r="CM6" s="878"/>
      <c r="CN6" s="878"/>
      <c r="CO6" s="878"/>
      <c r="CP6" s="878"/>
      <c r="CQ6" s="878"/>
      <c r="CR6" s="878"/>
      <c r="CS6" s="880"/>
      <c r="CT6" s="878"/>
      <c r="CU6" s="878"/>
      <c r="CV6" s="878"/>
      <c r="CW6" s="878"/>
      <c r="CX6" s="878"/>
      <c r="CY6" s="878"/>
      <c r="CZ6" s="878"/>
      <c r="DA6" s="878"/>
      <c r="DB6" s="878"/>
      <c r="DC6" s="878"/>
      <c r="DD6" s="878"/>
      <c r="DE6" s="880"/>
      <c r="DF6" s="878"/>
      <c r="DG6" s="878"/>
      <c r="DH6" s="878"/>
      <c r="DI6" s="878"/>
      <c r="DJ6" s="878"/>
      <c r="DK6" s="878"/>
      <c r="DL6" s="878"/>
      <c r="DM6" s="878"/>
      <c r="DN6" s="878"/>
      <c r="DO6" s="878"/>
      <c r="DP6" s="878"/>
      <c r="DQ6" s="878"/>
      <c r="DR6" s="877"/>
      <c r="DS6" s="878"/>
      <c r="DT6" s="878"/>
      <c r="DU6" s="878"/>
      <c r="DV6" s="878"/>
      <c r="DW6" s="878"/>
      <c r="DX6" s="878"/>
      <c r="DY6" s="878"/>
      <c r="DZ6" s="878"/>
      <c r="EA6" s="878"/>
      <c r="EB6" s="878"/>
      <c r="EC6" s="878"/>
      <c r="ED6" s="881"/>
      <c r="EH6" s="878"/>
      <c r="EI6" s="878"/>
      <c r="EP6" s="877"/>
      <c r="EQ6" s="878"/>
      <c r="ER6" s="878"/>
      <c r="ES6" s="878"/>
      <c r="ET6" s="878"/>
      <c r="EU6" s="878"/>
      <c r="EV6" s="878"/>
      <c r="EW6" s="878"/>
      <c r="EX6" s="878"/>
      <c r="EY6" s="878"/>
      <c r="EZ6" s="878"/>
      <c r="FA6" s="880"/>
      <c r="FB6" s="877"/>
      <c r="FC6" s="878"/>
      <c r="FD6" s="878"/>
      <c r="FE6" s="878"/>
      <c r="FF6" s="878"/>
      <c r="FG6" s="878"/>
      <c r="FH6" s="878"/>
      <c r="FI6" s="878"/>
      <c r="FJ6" s="878"/>
      <c r="FK6" s="878"/>
      <c r="FL6" s="878"/>
      <c r="FM6" s="880"/>
      <c r="FN6" s="878"/>
      <c r="FO6" s="878"/>
      <c r="FP6" s="878"/>
      <c r="FQ6" s="878"/>
      <c r="FR6" s="878"/>
      <c r="FS6" s="878"/>
      <c r="FT6" s="878"/>
      <c r="FU6" s="878"/>
      <c r="FV6" s="878"/>
      <c r="FW6" s="878"/>
      <c r="FX6" s="878"/>
      <c r="FY6" s="878"/>
      <c r="FZ6" s="881"/>
      <c r="GL6" s="877"/>
      <c r="GM6" s="878"/>
      <c r="GN6" s="878"/>
      <c r="GO6" s="878"/>
      <c r="GW6" s="882"/>
      <c r="GX6" s="881"/>
      <c r="HI6" s="882"/>
      <c r="HJ6" s="881"/>
      <c r="HO6" s="878"/>
      <c r="HU6" s="878"/>
      <c r="HV6" s="883"/>
      <c r="HW6" s="883"/>
    </row>
    <row r="7" spans="1:231" s="889" customFormat="1" ht="13.9" customHeight="1" x14ac:dyDescent="0.2">
      <c r="A7" s="884" t="s">
        <v>87</v>
      </c>
      <c r="B7" s="885">
        <f t="shared" ref="B7:AG7" si="0">SUM(B8+B12)</f>
        <v>131377.74</v>
      </c>
      <c r="C7" s="886">
        <f t="shared" si="0"/>
        <v>133233.90000000002</v>
      </c>
      <c r="D7" s="886">
        <f t="shared" si="0"/>
        <v>130393.28</v>
      </c>
      <c r="E7" s="886">
        <f t="shared" si="0"/>
        <v>140998.55000000002</v>
      </c>
      <c r="F7" s="886">
        <f t="shared" si="0"/>
        <v>144461.44999999998</v>
      </c>
      <c r="G7" s="886">
        <f t="shared" si="0"/>
        <v>142422.96999999997</v>
      </c>
      <c r="H7" s="886">
        <f t="shared" si="0"/>
        <v>143612.43</v>
      </c>
      <c r="I7" s="886">
        <f t="shared" si="0"/>
        <v>144883.9</v>
      </c>
      <c r="J7" s="886">
        <f t="shared" si="0"/>
        <v>151703.29999999999</v>
      </c>
      <c r="K7" s="886">
        <f t="shared" si="0"/>
        <v>150171.6</v>
      </c>
      <c r="L7" s="886">
        <f t="shared" si="0"/>
        <v>148996</v>
      </c>
      <c r="M7" s="886">
        <f t="shared" si="0"/>
        <v>145165.90000000002</v>
      </c>
      <c r="N7" s="885">
        <f t="shared" si="0"/>
        <v>138566.9</v>
      </c>
      <c r="O7" s="886">
        <f t="shared" si="0"/>
        <v>135181</v>
      </c>
      <c r="P7" s="886">
        <f t="shared" si="0"/>
        <v>135357.70000000001</v>
      </c>
      <c r="Q7" s="886">
        <f t="shared" si="0"/>
        <v>131786.20000000001</v>
      </c>
      <c r="R7" s="886">
        <f t="shared" si="0"/>
        <v>140387.5</v>
      </c>
      <c r="S7" s="886">
        <f t="shared" si="0"/>
        <v>139057.79999999999</v>
      </c>
      <c r="T7" s="886">
        <f t="shared" si="0"/>
        <v>146117.79999999999</v>
      </c>
      <c r="U7" s="886">
        <f t="shared" si="0"/>
        <v>142451.6</v>
      </c>
      <c r="V7" s="886">
        <f t="shared" si="0"/>
        <v>141826.20000000001</v>
      </c>
      <c r="W7" s="886">
        <f t="shared" si="0"/>
        <v>144187.30000000002</v>
      </c>
      <c r="X7" s="886">
        <f t="shared" si="0"/>
        <v>145784.5</v>
      </c>
      <c r="Y7" s="887">
        <f t="shared" si="0"/>
        <v>158029.79999999999</v>
      </c>
      <c r="Z7" s="885">
        <f t="shared" si="0"/>
        <v>155633.68700000001</v>
      </c>
      <c r="AA7" s="886">
        <f t="shared" si="0"/>
        <v>153506.90000000002</v>
      </c>
      <c r="AB7" s="886">
        <f t="shared" si="0"/>
        <v>148060.79999999999</v>
      </c>
      <c r="AC7" s="886">
        <f t="shared" si="0"/>
        <v>143729.38</v>
      </c>
      <c r="AD7" s="886">
        <f t="shared" si="0"/>
        <v>142318.06</v>
      </c>
      <c r="AE7" s="886">
        <f t="shared" si="0"/>
        <v>152021.29999999999</v>
      </c>
      <c r="AF7" s="886">
        <f t="shared" si="0"/>
        <v>151891.15</v>
      </c>
      <c r="AG7" s="886">
        <f t="shared" si="0"/>
        <v>157839.02300000002</v>
      </c>
      <c r="AH7" s="886">
        <f t="shared" ref="AH7:BM7" si="1">SUM(AH8+AH12)</f>
        <v>170663.24300000002</v>
      </c>
      <c r="AI7" s="886">
        <f t="shared" si="1"/>
        <v>165358.84</v>
      </c>
      <c r="AJ7" s="886">
        <f t="shared" si="1"/>
        <v>167393.0754</v>
      </c>
      <c r="AK7" s="886">
        <f t="shared" si="1"/>
        <v>162408</v>
      </c>
      <c r="AL7" s="885">
        <f t="shared" si="1"/>
        <v>168152</v>
      </c>
      <c r="AM7" s="886">
        <f t="shared" si="1"/>
        <v>165855</v>
      </c>
      <c r="AN7" s="886">
        <f t="shared" si="1"/>
        <v>162969</v>
      </c>
      <c r="AO7" s="886">
        <f t="shared" si="1"/>
        <v>162637</v>
      </c>
      <c r="AP7" s="886">
        <f t="shared" si="1"/>
        <v>163793</v>
      </c>
      <c r="AQ7" s="886">
        <f t="shared" si="1"/>
        <v>166190</v>
      </c>
      <c r="AR7" s="886">
        <f t="shared" si="1"/>
        <v>175949</v>
      </c>
      <c r="AS7" s="886">
        <f t="shared" si="1"/>
        <v>177945</v>
      </c>
      <c r="AT7" s="886">
        <f t="shared" si="1"/>
        <v>177684</v>
      </c>
      <c r="AU7" s="886">
        <f t="shared" si="1"/>
        <v>175759</v>
      </c>
      <c r="AV7" s="886">
        <f t="shared" si="1"/>
        <v>175474</v>
      </c>
      <c r="AW7" s="887">
        <f t="shared" si="1"/>
        <v>180501</v>
      </c>
      <c r="AX7" s="885">
        <f t="shared" si="1"/>
        <v>178317.64</v>
      </c>
      <c r="AY7" s="886">
        <f t="shared" si="1"/>
        <v>169608</v>
      </c>
      <c r="AZ7" s="886">
        <f t="shared" si="1"/>
        <v>164529</v>
      </c>
      <c r="BA7" s="886">
        <f t="shared" si="1"/>
        <v>162149</v>
      </c>
      <c r="BB7" s="886">
        <f t="shared" si="1"/>
        <v>172747</v>
      </c>
      <c r="BC7" s="886">
        <f t="shared" si="1"/>
        <v>174672</v>
      </c>
      <c r="BD7" s="886">
        <f t="shared" si="1"/>
        <v>176717</v>
      </c>
      <c r="BE7" s="886">
        <f t="shared" si="1"/>
        <v>185595</v>
      </c>
      <c r="BF7" s="886">
        <f t="shared" si="1"/>
        <v>186486</v>
      </c>
      <c r="BG7" s="886">
        <f t="shared" si="1"/>
        <v>181813</v>
      </c>
      <c r="BH7" s="886">
        <f t="shared" si="1"/>
        <v>177975</v>
      </c>
      <c r="BI7" s="887">
        <f t="shared" si="1"/>
        <v>184839</v>
      </c>
      <c r="BJ7" s="886">
        <f t="shared" si="1"/>
        <v>175015</v>
      </c>
      <c r="BK7" s="886">
        <f t="shared" si="1"/>
        <v>173431</v>
      </c>
      <c r="BL7" s="886">
        <f t="shared" si="1"/>
        <v>181814</v>
      </c>
      <c r="BM7" s="886">
        <f t="shared" si="1"/>
        <v>180509</v>
      </c>
      <c r="BN7" s="886">
        <f t="shared" ref="BN7:CS7" si="2">SUM(BN8+BN12)</f>
        <v>188375</v>
      </c>
      <c r="BO7" s="886">
        <f t="shared" si="2"/>
        <v>193642</v>
      </c>
      <c r="BP7" s="886">
        <f t="shared" si="2"/>
        <v>190953</v>
      </c>
      <c r="BQ7" s="886">
        <f t="shared" si="2"/>
        <v>196690</v>
      </c>
      <c r="BR7" s="886">
        <f t="shared" si="2"/>
        <v>195017</v>
      </c>
      <c r="BS7" s="886">
        <f t="shared" si="2"/>
        <v>190596</v>
      </c>
      <c r="BT7" s="886">
        <f t="shared" si="2"/>
        <v>203061</v>
      </c>
      <c r="BU7" s="886">
        <f t="shared" si="2"/>
        <v>210925</v>
      </c>
      <c r="BV7" s="885">
        <f t="shared" si="2"/>
        <v>329150.36426999996</v>
      </c>
      <c r="BW7" s="886">
        <f t="shared" si="2"/>
        <v>217025</v>
      </c>
      <c r="BX7" s="886">
        <f t="shared" si="2"/>
        <v>189116</v>
      </c>
      <c r="BY7" s="886">
        <f t="shared" si="2"/>
        <v>198457</v>
      </c>
      <c r="BZ7" s="886">
        <f t="shared" si="2"/>
        <v>193162</v>
      </c>
      <c r="CA7" s="886">
        <f t="shared" si="2"/>
        <v>200486</v>
      </c>
      <c r="CB7" s="886">
        <f t="shared" si="2"/>
        <v>209621</v>
      </c>
      <c r="CC7" s="886">
        <f t="shared" si="2"/>
        <v>216158</v>
      </c>
      <c r="CD7" s="886">
        <f t="shared" si="2"/>
        <v>215396</v>
      </c>
      <c r="CE7" s="886">
        <f t="shared" si="2"/>
        <v>217588</v>
      </c>
      <c r="CF7" s="886">
        <f t="shared" si="2"/>
        <v>210336</v>
      </c>
      <c r="CG7" s="887">
        <f t="shared" si="2"/>
        <v>211511</v>
      </c>
      <c r="CH7" s="886">
        <f t="shared" si="2"/>
        <v>210649</v>
      </c>
      <c r="CI7" s="886">
        <f t="shared" si="2"/>
        <v>208524</v>
      </c>
      <c r="CJ7" s="886">
        <f t="shared" si="2"/>
        <v>213543</v>
      </c>
      <c r="CK7" s="886">
        <f t="shared" si="2"/>
        <v>207779</v>
      </c>
      <c r="CL7" s="886">
        <f t="shared" si="2"/>
        <v>214670</v>
      </c>
      <c r="CM7" s="886">
        <f t="shared" si="2"/>
        <v>216203</v>
      </c>
      <c r="CN7" s="886">
        <f t="shared" si="2"/>
        <v>220043</v>
      </c>
      <c r="CO7" s="886">
        <f t="shared" si="2"/>
        <v>216505</v>
      </c>
      <c r="CP7" s="886">
        <f t="shared" si="2"/>
        <v>221768</v>
      </c>
      <c r="CQ7" s="886">
        <f t="shared" si="2"/>
        <v>221081</v>
      </c>
      <c r="CR7" s="886">
        <f t="shared" si="2"/>
        <v>230087</v>
      </c>
      <c r="CS7" s="887">
        <f t="shared" si="2"/>
        <v>235548.80499999999</v>
      </c>
      <c r="CT7" s="886">
        <f t="shared" ref="CT7:DQ7" si="3">SUM(CT8+CT12)</f>
        <v>216234.75621999998</v>
      </c>
      <c r="CU7" s="886">
        <f t="shared" si="3"/>
        <v>216596</v>
      </c>
      <c r="CV7" s="886">
        <f t="shared" si="3"/>
        <v>220322</v>
      </c>
      <c r="CW7" s="886">
        <f t="shared" si="3"/>
        <v>214083</v>
      </c>
      <c r="CX7" s="886">
        <f t="shared" si="3"/>
        <v>228134</v>
      </c>
      <c r="CY7" s="886">
        <f t="shared" si="3"/>
        <v>240816</v>
      </c>
      <c r="CZ7" s="886">
        <f t="shared" si="3"/>
        <v>246973</v>
      </c>
      <c r="DA7" s="886">
        <f t="shared" si="3"/>
        <v>260394</v>
      </c>
      <c r="DB7" s="886">
        <f t="shared" si="3"/>
        <v>262386</v>
      </c>
      <c r="DC7" s="886">
        <f t="shared" si="3"/>
        <v>267146</v>
      </c>
      <c r="DD7" s="886">
        <f t="shared" si="3"/>
        <v>275204</v>
      </c>
      <c r="DE7" s="887">
        <f t="shared" si="3"/>
        <v>291405</v>
      </c>
      <c r="DF7" s="886">
        <f t="shared" si="3"/>
        <v>371831.4</v>
      </c>
      <c r="DG7" s="886">
        <f t="shared" si="3"/>
        <v>359869.4</v>
      </c>
      <c r="DH7" s="886">
        <f t="shared" si="3"/>
        <v>390568.4</v>
      </c>
      <c r="DI7" s="886">
        <f t="shared" si="3"/>
        <v>386013.5</v>
      </c>
      <c r="DJ7" s="886">
        <f t="shared" si="3"/>
        <v>417048</v>
      </c>
      <c r="DK7" s="886">
        <f t="shared" si="3"/>
        <v>438162.58540000004</v>
      </c>
      <c r="DL7" s="886">
        <f t="shared" si="3"/>
        <v>456654.50893000001</v>
      </c>
      <c r="DM7" s="886">
        <f t="shared" si="3"/>
        <v>486614.18874000001</v>
      </c>
      <c r="DN7" s="886">
        <f t="shared" si="3"/>
        <v>482469.26709999994</v>
      </c>
      <c r="DO7" s="886">
        <f t="shared" si="3"/>
        <v>466710.58234999998</v>
      </c>
      <c r="DP7" s="886">
        <f t="shared" si="3"/>
        <v>459317.52168000001</v>
      </c>
      <c r="DQ7" s="886">
        <f t="shared" si="3"/>
        <v>486118.10368000006</v>
      </c>
      <c r="DR7" s="885">
        <f t="shared" ref="DR7:EW7" si="4">SUM(DR8,DR12)</f>
        <v>458294.00945999997</v>
      </c>
      <c r="DS7" s="886">
        <f t="shared" si="4"/>
        <v>445618.85941000003</v>
      </c>
      <c r="DT7" s="886">
        <f t="shared" si="4"/>
        <v>437254.30436999997</v>
      </c>
      <c r="DU7" s="886">
        <f t="shared" si="4"/>
        <v>430320.20273000002</v>
      </c>
      <c r="DV7" s="886">
        <f t="shared" si="4"/>
        <v>448974.99456000002</v>
      </c>
      <c r="DW7" s="886">
        <f t="shared" si="4"/>
        <v>461444.55211000005</v>
      </c>
      <c r="DX7" s="886">
        <f t="shared" si="4"/>
        <v>465988.80835000006</v>
      </c>
      <c r="DY7" s="886">
        <f t="shared" si="4"/>
        <v>461779.19997999998</v>
      </c>
      <c r="DZ7" s="886">
        <f t="shared" si="4"/>
        <v>491859.72458000004</v>
      </c>
      <c r="EA7" s="886">
        <f t="shared" si="4"/>
        <v>484848.42431000003</v>
      </c>
      <c r="EB7" s="886">
        <f t="shared" si="4"/>
        <v>485799.33562999999</v>
      </c>
      <c r="EC7" s="886">
        <f t="shared" si="4"/>
        <v>501776.89591000002</v>
      </c>
      <c r="ED7" s="885">
        <f t="shared" si="4"/>
        <v>477307.97814000002</v>
      </c>
      <c r="EE7" s="886">
        <f t="shared" si="4"/>
        <v>476197.24908999994</v>
      </c>
      <c r="EF7" s="886">
        <f t="shared" si="4"/>
        <v>522052.99436999997</v>
      </c>
      <c r="EG7" s="886">
        <f t="shared" si="4"/>
        <v>495866.87492999999</v>
      </c>
      <c r="EH7" s="886">
        <f t="shared" si="4"/>
        <v>513707.47266000003</v>
      </c>
      <c r="EI7" s="886">
        <f t="shared" si="4"/>
        <v>521914.23219999997</v>
      </c>
      <c r="EJ7" s="886">
        <f t="shared" si="4"/>
        <v>543103.14666999993</v>
      </c>
      <c r="EK7" s="886">
        <f t="shared" si="4"/>
        <v>533598.5234200001</v>
      </c>
      <c r="EL7" s="886">
        <f t="shared" si="4"/>
        <v>518359.26137000008</v>
      </c>
      <c r="EM7" s="886">
        <f t="shared" si="4"/>
        <v>545003.71870000008</v>
      </c>
      <c r="EN7" s="886">
        <f t="shared" si="4"/>
        <v>546537.28194999998</v>
      </c>
      <c r="EO7" s="886">
        <f t="shared" si="4"/>
        <v>546586.23227000004</v>
      </c>
      <c r="EP7" s="885">
        <f t="shared" si="4"/>
        <v>558973</v>
      </c>
      <c r="EQ7" s="886">
        <f t="shared" si="4"/>
        <v>581431.18794999993</v>
      </c>
      <c r="ER7" s="886">
        <f t="shared" si="4"/>
        <v>576745.66275000002</v>
      </c>
      <c r="ES7" s="886">
        <f t="shared" si="4"/>
        <v>601918.49660000007</v>
      </c>
      <c r="ET7" s="886">
        <f t="shared" si="4"/>
        <v>619482.94205000007</v>
      </c>
      <c r="EU7" s="886">
        <f t="shared" si="4"/>
        <v>626102.25934000011</v>
      </c>
      <c r="EV7" s="886">
        <f t="shared" si="4"/>
        <v>646716.34721999988</v>
      </c>
      <c r="EW7" s="886">
        <f t="shared" si="4"/>
        <v>657138.83972000005</v>
      </c>
      <c r="EX7" s="886">
        <f t="shared" ref="EX7:GC7" si="5">SUM(EX8,EX12)</f>
        <v>658277.75814000005</v>
      </c>
      <c r="EY7" s="886">
        <f t="shared" si="5"/>
        <v>643795.24566000002</v>
      </c>
      <c r="EZ7" s="886">
        <f t="shared" si="5"/>
        <v>645538.44252000004</v>
      </c>
      <c r="FA7" s="887">
        <f t="shared" si="5"/>
        <v>695063.96376000007</v>
      </c>
      <c r="FB7" s="885">
        <f t="shared" si="5"/>
        <v>680267.59765000001</v>
      </c>
      <c r="FC7" s="886">
        <f t="shared" si="5"/>
        <v>661445.3918199999</v>
      </c>
      <c r="FD7" s="886">
        <f t="shared" si="5"/>
        <v>739432.26841000002</v>
      </c>
      <c r="FE7" s="886">
        <f t="shared" si="5"/>
        <v>751261.68162000005</v>
      </c>
      <c r="FF7" s="886">
        <f t="shared" si="5"/>
        <v>770331.32211999991</v>
      </c>
      <c r="FG7" s="886">
        <f t="shared" si="5"/>
        <v>771836.80395000009</v>
      </c>
      <c r="FH7" s="886">
        <f t="shared" si="5"/>
        <v>808707.26292000001</v>
      </c>
      <c r="FI7" s="886">
        <f t="shared" si="5"/>
        <v>760397.50508000003</v>
      </c>
      <c r="FJ7" s="886">
        <f t="shared" si="5"/>
        <v>768580.46184999996</v>
      </c>
      <c r="FK7" s="886">
        <f t="shared" si="5"/>
        <v>761768.64191000012</v>
      </c>
      <c r="FL7" s="886">
        <f t="shared" si="5"/>
        <v>758665.15534000006</v>
      </c>
      <c r="FM7" s="887">
        <f t="shared" si="5"/>
        <v>822530.77386000007</v>
      </c>
      <c r="FN7" s="886">
        <f t="shared" si="5"/>
        <v>843955.86566999997</v>
      </c>
      <c r="FO7" s="886">
        <f t="shared" si="5"/>
        <v>821215.39060999989</v>
      </c>
      <c r="FP7" s="886">
        <f t="shared" si="5"/>
        <v>813246.19945000007</v>
      </c>
      <c r="FQ7" s="886">
        <f t="shared" si="5"/>
        <v>798062.98013000004</v>
      </c>
      <c r="FR7" s="886">
        <f t="shared" si="5"/>
        <v>819213.18693000008</v>
      </c>
      <c r="FS7" s="886">
        <f t="shared" si="5"/>
        <v>841790.74233999988</v>
      </c>
      <c r="FT7" s="886">
        <f t="shared" si="5"/>
        <v>867690.19169000001</v>
      </c>
      <c r="FU7" s="886">
        <f t="shared" si="5"/>
        <v>871197.68235000013</v>
      </c>
      <c r="FV7" s="886">
        <f t="shared" si="5"/>
        <v>875495.1439299999</v>
      </c>
      <c r="FW7" s="886">
        <f t="shared" si="5"/>
        <v>880222.41333000001</v>
      </c>
      <c r="FX7" s="886">
        <f t="shared" si="5"/>
        <v>895924.58623999998</v>
      </c>
      <c r="FY7" s="886">
        <f t="shared" si="5"/>
        <v>923476.8223900001</v>
      </c>
      <c r="FZ7" s="885">
        <f t="shared" si="5"/>
        <v>876046.02891000011</v>
      </c>
      <c r="GA7" s="886">
        <f t="shared" si="5"/>
        <v>846735.25720999995</v>
      </c>
      <c r="GB7" s="886">
        <f t="shared" si="5"/>
        <v>845510.85493999999</v>
      </c>
      <c r="GC7" s="886">
        <f t="shared" si="5"/>
        <v>847765.12141000014</v>
      </c>
      <c r="GD7" s="886">
        <f t="shared" ref="GD7:HI7" si="6">SUM(GD8,GD12)</f>
        <v>873926.36422999995</v>
      </c>
      <c r="GE7" s="886">
        <f t="shared" si="6"/>
        <v>902607.38372000004</v>
      </c>
      <c r="GF7" s="886">
        <f t="shared" si="6"/>
        <v>939245.12916000001</v>
      </c>
      <c r="GG7" s="886">
        <f t="shared" si="6"/>
        <v>962384.23000999994</v>
      </c>
      <c r="GH7" s="886">
        <f t="shared" si="6"/>
        <v>984010.25896999997</v>
      </c>
      <c r="GI7" s="886">
        <f t="shared" si="6"/>
        <v>965049.64728999999</v>
      </c>
      <c r="GJ7" s="886">
        <f t="shared" si="6"/>
        <v>997879.24232999992</v>
      </c>
      <c r="GK7" s="886">
        <f t="shared" si="6"/>
        <v>1042809.02774</v>
      </c>
      <c r="GL7" s="885">
        <f t="shared" si="6"/>
        <v>1011326.3912599999</v>
      </c>
      <c r="GM7" s="886">
        <f t="shared" si="6"/>
        <v>989678.64678000007</v>
      </c>
      <c r="GN7" s="886">
        <f t="shared" si="6"/>
        <v>963567.7111500001</v>
      </c>
      <c r="GO7" s="886">
        <f t="shared" si="6"/>
        <v>965769.77989999996</v>
      </c>
      <c r="GP7" s="886">
        <f t="shared" si="6"/>
        <v>1001676.60858</v>
      </c>
      <c r="GQ7" s="886">
        <f t="shared" si="6"/>
        <v>1020428.4936400002</v>
      </c>
      <c r="GR7" s="886">
        <f t="shared" si="6"/>
        <v>1071070.1782200001</v>
      </c>
      <c r="GS7" s="886">
        <f t="shared" si="6"/>
        <v>1062157.0361899997</v>
      </c>
      <c r="GT7" s="886">
        <f t="shared" si="6"/>
        <v>1054488.8905099998</v>
      </c>
      <c r="GU7" s="886">
        <f t="shared" si="6"/>
        <v>1067037.6059000001</v>
      </c>
      <c r="GV7" s="886">
        <f t="shared" si="6"/>
        <v>1083990.5095299999</v>
      </c>
      <c r="GW7" s="887">
        <f t="shared" si="6"/>
        <v>1148994.3345000001</v>
      </c>
      <c r="GX7" s="885">
        <f t="shared" si="6"/>
        <v>1112963.7438699999</v>
      </c>
      <c r="GY7" s="886">
        <f t="shared" si="6"/>
        <v>1080835.5348400001</v>
      </c>
      <c r="GZ7" s="886">
        <f t="shared" si="6"/>
        <v>1036677.6618199999</v>
      </c>
      <c r="HA7" s="886">
        <f t="shared" si="6"/>
        <v>1029289.9457100001</v>
      </c>
      <c r="HB7" s="886">
        <f t="shared" si="6"/>
        <v>1071635.16897</v>
      </c>
      <c r="HC7" s="886">
        <f t="shared" si="6"/>
        <v>1106577.6982800001</v>
      </c>
      <c r="HD7" s="886">
        <f t="shared" si="6"/>
        <v>1143646.25116</v>
      </c>
      <c r="HE7" s="886">
        <f t="shared" si="6"/>
        <v>1175713.7472699999</v>
      </c>
      <c r="HF7" s="886">
        <f t="shared" si="6"/>
        <v>1191136.6181099999</v>
      </c>
      <c r="HG7" s="886">
        <f t="shared" si="6"/>
        <v>1207501.2180600001</v>
      </c>
      <c r="HH7" s="886">
        <f t="shared" si="6"/>
        <v>1223887</v>
      </c>
      <c r="HI7" s="887">
        <f t="shared" si="6"/>
        <v>1257898.2957900001</v>
      </c>
      <c r="HJ7" s="885">
        <f t="shared" ref="HJ7:HU7" si="7">SUM(HJ8,HJ12)</f>
        <v>1193642.1017400001</v>
      </c>
      <c r="HK7" s="886">
        <f t="shared" si="7"/>
        <v>1177693.6000000001</v>
      </c>
      <c r="HL7" s="886">
        <f t="shared" si="7"/>
        <v>1219626</v>
      </c>
      <c r="HM7" s="886">
        <f t="shared" si="7"/>
        <v>1292488</v>
      </c>
      <c r="HN7" s="886">
        <f t="shared" si="7"/>
        <v>1474133.7999999998</v>
      </c>
      <c r="HO7" s="886">
        <f t="shared" si="7"/>
        <v>1585687.5</v>
      </c>
      <c r="HP7" s="886">
        <f t="shared" si="7"/>
        <v>1681586</v>
      </c>
      <c r="HQ7" s="886">
        <f t="shared" si="7"/>
        <v>1710697.6</v>
      </c>
      <c r="HR7" s="886">
        <f t="shared" si="7"/>
        <v>1730838</v>
      </c>
      <c r="HS7" s="886">
        <f t="shared" si="7"/>
        <v>1787785.5</v>
      </c>
      <c r="HT7" s="886">
        <f t="shared" si="7"/>
        <v>1822290</v>
      </c>
      <c r="HU7" s="886">
        <f t="shared" si="7"/>
        <v>1923152.5</v>
      </c>
      <c r="HV7" s="888">
        <f>IFERROR(((HU7/HT7)-1)*100,"-")</f>
        <v>5.5349313226764174</v>
      </c>
      <c r="HW7" s="888">
        <f>IFERROR(((HU7/HI7)-1)*100,"-")</f>
        <v>52.886167859238498</v>
      </c>
    </row>
    <row r="8" spans="1:231" s="869" customFormat="1" ht="13.9" customHeight="1" x14ac:dyDescent="0.2">
      <c r="A8" s="890" t="s">
        <v>15</v>
      </c>
      <c r="B8" s="891">
        <f t="shared" ref="B8:AG8" si="8">SUM(B9:B11)</f>
        <v>54240.17</v>
      </c>
      <c r="C8" s="646">
        <f t="shared" si="8"/>
        <v>59519.490000000005</v>
      </c>
      <c r="D8" s="646">
        <f t="shared" si="8"/>
        <v>56920.89</v>
      </c>
      <c r="E8" s="646">
        <f t="shared" si="8"/>
        <v>65892.950000000012</v>
      </c>
      <c r="F8" s="646">
        <f t="shared" si="8"/>
        <v>67309.84</v>
      </c>
      <c r="G8" s="646">
        <f t="shared" si="8"/>
        <v>66152.73</v>
      </c>
      <c r="H8" s="646">
        <f t="shared" si="8"/>
        <v>61945.08</v>
      </c>
      <c r="I8" s="646">
        <f t="shared" si="8"/>
        <v>63108.5</v>
      </c>
      <c r="J8" s="646">
        <f t="shared" si="8"/>
        <v>67501.400000000009</v>
      </c>
      <c r="K8" s="646">
        <f t="shared" si="8"/>
        <v>66768.899999999994</v>
      </c>
      <c r="L8" s="646">
        <f t="shared" si="8"/>
        <v>72525</v>
      </c>
      <c r="M8" s="646">
        <f t="shared" si="8"/>
        <v>74114.600000000006</v>
      </c>
      <c r="N8" s="891">
        <f t="shared" si="8"/>
        <v>69181.5</v>
      </c>
      <c r="O8" s="646">
        <f t="shared" si="8"/>
        <v>64308.9</v>
      </c>
      <c r="P8" s="646">
        <f t="shared" si="8"/>
        <v>67489.2</v>
      </c>
      <c r="Q8" s="646">
        <f t="shared" si="8"/>
        <v>64400.2</v>
      </c>
      <c r="R8" s="646">
        <f t="shared" si="8"/>
        <v>67770</v>
      </c>
      <c r="S8" s="646">
        <f t="shared" si="8"/>
        <v>67786</v>
      </c>
      <c r="T8" s="646">
        <f t="shared" si="8"/>
        <v>74063.100000000006</v>
      </c>
      <c r="U8" s="646">
        <f t="shared" si="8"/>
        <v>70707.200000000012</v>
      </c>
      <c r="V8" s="646">
        <f t="shared" si="8"/>
        <v>72737.600000000006</v>
      </c>
      <c r="W8" s="646">
        <f t="shared" si="8"/>
        <v>74490.100000000006</v>
      </c>
      <c r="X8" s="646">
        <f t="shared" si="8"/>
        <v>77184.89</v>
      </c>
      <c r="Y8" s="647">
        <f t="shared" si="8"/>
        <v>86173.5</v>
      </c>
      <c r="Z8" s="891">
        <f t="shared" si="8"/>
        <v>85697.649000000005</v>
      </c>
      <c r="AA8" s="646">
        <f t="shared" si="8"/>
        <v>89897.200000000012</v>
      </c>
      <c r="AB8" s="646">
        <f t="shared" si="8"/>
        <v>82934.5</v>
      </c>
      <c r="AC8" s="646">
        <f t="shared" si="8"/>
        <v>82678.080000000002</v>
      </c>
      <c r="AD8" s="646">
        <f t="shared" si="8"/>
        <v>83911.08</v>
      </c>
      <c r="AE8" s="646">
        <f t="shared" si="8"/>
        <v>90025.600000000006</v>
      </c>
      <c r="AF8" s="646">
        <f t="shared" si="8"/>
        <v>88772.19</v>
      </c>
      <c r="AG8" s="646">
        <f t="shared" si="8"/>
        <v>93801.706000000006</v>
      </c>
      <c r="AH8" s="646">
        <f t="shared" ref="AH8:CS8" si="9">SUM(AH9:AH11)</f>
        <v>105054.78600000002</v>
      </c>
      <c r="AI8" s="646">
        <f t="shared" si="9"/>
        <v>103860.65</v>
      </c>
      <c r="AJ8" s="646">
        <f t="shared" si="9"/>
        <v>106852.9584</v>
      </c>
      <c r="AK8" s="646">
        <f t="shared" si="9"/>
        <v>101794</v>
      </c>
      <c r="AL8" s="891">
        <f t="shared" si="9"/>
        <v>104430</v>
      </c>
      <c r="AM8" s="646">
        <f t="shared" si="9"/>
        <v>102541</v>
      </c>
      <c r="AN8" s="646">
        <f t="shared" si="9"/>
        <v>102728</v>
      </c>
      <c r="AO8" s="646">
        <f t="shared" si="9"/>
        <v>101212</v>
      </c>
      <c r="AP8" s="646">
        <f t="shared" si="9"/>
        <v>103040</v>
      </c>
      <c r="AQ8" s="646">
        <f t="shared" si="9"/>
        <v>105715</v>
      </c>
      <c r="AR8" s="646">
        <f t="shared" si="9"/>
        <v>114396</v>
      </c>
      <c r="AS8" s="646">
        <f t="shared" si="9"/>
        <v>117640</v>
      </c>
      <c r="AT8" s="646">
        <f t="shared" si="9"/>
        <v>116148</v>
      </c>
      <c r="AU8" s="646">
        <f t="shared" si="9"/>
        <v>113192</v>
      </c>
      <c r="AV8" s="646">
        <f t="shared" si="9"/>
        <v>114179</v>
      </c>
      <c r="AW8" s="647">
        <f t="shared" si="9"/>
        <v>115528</v>
      </c>
      <c r="AX8" s="891">
        <f t="shared" si="9"/>
        <v>115166.49</v>
      </c>
      <c r="AY8" s="646">
        <f t="shared" si="9"/>
        <v>108413</v>
      </c>
      <c r="AZ8" s="646">
        <f t="shared" si="9"/>
        <v>104702</v>
      </c>
      <c r="BA8" s="646">
        <f t="shared" si="9"/>
        <v>102810</v>
      </c>
      <c r="BB8" s="646">
        <f t="shared" si="9"/>
        <v>112742</v>
      </c>
      <c r="BC8" s="646">
        <f t="shared" si="9"/>
        <v>114530</v>
      </c>
      <c r="BD8" s="646">
        <f t="shared" si="9"/>
        <v>116783</v>
      </c>
      <c r="BE8" s="646">
        <f t="shared" si="9"/>
        <v>124981</v>
      </c>
      <c r="BF8" s="646">
        <f t="shared" si="9"/>
        <v>125217</v>
      </c>
      <c r="BG8" s="646">
        <f t="shared" si="9"/>
        <v>121845</v>
      </c>
      <c r="BH8" s="646">
        <f t="shared" si="9"/>
        <v>116625</v>
      </c>
      <c r="BI8" s="647">
        <f t="shared" si="9"/>
        <v>120866</v>
      </c>
      <c r="BJ8" s="646">
        <f t="shared" si="9"/>
        <v>116451</v>
      </c>
      <c r="BK8" s="646">
        <f t="shared" si="9"/>
        <v>115390</v>
      </c>
      <c r="BL8" s="646">
        <f t="shared" si="9"/>
        <v>123477</v>
      </c>
      <c r="BM8" s="646">
        <f t="shared" si="9"/>
        <v>124439</v>
      </c>
      <c r="BN8" s="646">
        <f t="shared" si="9"/>
        <v>131429</v>
      </c>
      <c r="BO8" s="646">
        <f t="shared" si="9"/>
        <v>135473</v>
      </c>
      <c r="BP8" s="646">
        <f t="shared" si="9"/>
        <v>131708</v>
      </c>
      <c r="BQ8" s="646">
        <f t="shared" si="9"/>
        <v>138420</v>
      </c>
      <c r="BR8" s="646">
        <f t="shared" si="9"/>
        <v>138237</v>
      </c>
      <c r="BS8" s="646">
        <f t="shared" si="9"/>
        <v>136875</v>
      </c>
      <c r="BT8" s="646">
        <f t="shared" si="9"/>
        <v>148439</v>
      </c>
      <c r="BU8" s="646">
        <f t="shared" si="9"/>
        <v>156470</v>
      </c>
      <c r="BV8" s="891">
        <f t="shared" si="9"/>
        <v>320006.67278999998</v>
      </c>
      <c r="BW8" s="646">
        <f t="shared" si="9"/>
        <v>164537</v>
      </c>
      <c r="BX8" s="646">
        <f t="shared" si="9"/>
        <v>145093</v>
      </c>
      <c r="BY8" s="646">
        <f t="shared" si="9"/>
        <v>152615</v>
      </c>
      <c r="BZ8" s="646">
        <f t="shared" si="9"/>
        <v>146197</v>
      </c>
      <c r="CA8" s="646">
        <f t="shared" si="9"/>
        <v>150213</v>
      </c>
      <c r="CB8" s="646">
        <f t="shared" si="9"/>
        <v>153939</v>
      </c>
      <c r="CC8" s="646">
        <f t="shared" si="9"/>
        <v>160160</v>
      </c>
      <c r="CD8" s="646">
        <f t="shared" si="9"/>
        <v>157257</v>
      </c>
      <c r="CE8" s="646">
        <f t="shared" si="9"/>
        <v>155597</v>
      </c>
      <c r="CF8" s="646">
        <f t="shared" si="9"/>
        <v>146974</v>
      </c>
      <c r="CG8" s="647">
        <f t="shared" si="9"/>
        <v>150743</v>
      </c>
      <c r="CH8" s="646">
        <f t="shared" si="9"/>
        <v>150622</v>
      </c>
      <c r="CI8" s="646">
        <f t="shared" si="9"/>
        <v>146117</v>
      </c>
      <c r="CJ8" s="646">
        <f t="shared" si="9"/>
        <v>150154</v>
      </c>
      <c r="CK8" s="646">
        <f t="shared" si="9"/>
        <v>149806</v>
      </c>
      <c r="CL8" s="646">
        <f t="shared" si="9"/>
        <v>155503</v>
      </c>
      <c r="CM8" s="646">
        <f t="shared" si="9"/>
        <v>156753</v>
      </c>
      <c r="CN8" s="646">
        <f t="shared" si="9"/>
        <v>162401</v>
      </c>
      <c r="CO8" s="646">
        <f t="shared" si="9"/>
        <v>157561</v>
      </c>
      <c r="CP8" s="646">
        <f t="shared" si="9"/>
        <v>162547</v>
      </c>
      <c r="CQ8" s="646">
        <f t="shared" si="9"/>
        <v>161823</v>
      </c>
      <c r="CR8" s="646">
        <f t="shared" si="9"/>
        <v>172309</v>
      </c>
      <c r="CS8" s="647">
        <f t="shared" si="9"/>
        <v>175719.90835000001</v>
      </c>
      <c r="CT8" s="646">
        <f t="shared" ref="CT8:FE8" si="10">SUM(CT9:CT11)</f>
        <v>158983.89481999999</v>
      </c>
      <c r="CU8" s="646">
        <f t="shared" si="10"/>
        <v>158906</v>
      </c>
      <c r="CV8" s="646">
        <f t="shared" si="10"/>
        <v>164559</v>
      </c>
      <c r="CW8" s="646">
        <f t="shared" si="10"/>
        <v>158297</v>
      </c>
      <c r="CX8" s="646">
        <f t="shared" si="10"/>
        <v>172398</v>
      </c>
      <c r="CY8" s="646">
        <f t="shared" si="10"/>
        <v>184356</v>
      </c>
      <c r="CZ8" s="646">
        <f t="shared" si="10"/>
        <v>188969</v>
      </c>
      <c r="DA8" s="646">
        <f t="shared" si="10"/>
        <v>202023</v>
      </c>
      <c r="DB8" s="646">
        <f t="shared" si="10"/>
        <v>202506</v>
      </c>
      <c r="DC8" s="646">
        <f t="shared" si="10"/>
        <v>209148</v>
      </c>
      <c r="DD8" s="646">
        <f t="shared" si="10"/>
        <v>213374</v>
      </c>
      <c r="DE8" s="647">
        <f t="shared" si="10"/>
        <v>230062</v>
      </c>
      <c r="DF8" s="646">
        <f t="shared" si="10"/>
        <v>306864</v>
      </c>
      <c r="DG8" s="646">
        <f t="shared" si="10"/>
        <v>297312</v>
      </c>
      <c r="DH8" s="646">
        <f t="shared" si="10"/>
        <v>327955</v>
      </c>
      <c r="DI8" s="646">
        <f t="shared" si="10"/>
        <v>320540</v>
      </c>
      <c r="DJ8" s="646">
        <f t="shared" si="10"/>
        <v>351320</v>
      </c>
      <c r="DK8" s="646">
        <f t="shared" si="10"/>
        <v>371453.05217000004</v>
      </c>
      <c r="DL8" s="646">
        <f t="shared" si="10"/>
        <v>387301.20419000002</v>
      </c>
      <c r="DM8" s="646">
        <f t="shared" si="10"/>
        <v>412458.07044000004</v>
      </c>
      <c r="DN8" s="646">
        <f t="shared" si="10"/>
        <v>408728.14382999996</v>
      </c>
      <c r="DO8" s="646">
        <f t="shared" si="10"/>
        <v>395945.89734999998</v>
      </c>
      <c r="DP8" s="646">
        <f t="shared" si="10"/>
        <v>387383.11423000001</v>
      </c>
      <c r="DQ8" s="646">
        <f t="shared" si="10"/>
        <v>412027.64997000003</v>
      </c>
      <c r="DR8" s="891">
        <f t="shared" si="10"/>
        <v>385138.50260999997</v>
      </c>
      <c r="DS8" s="646">
        <f t="shared" si="10"/>
        <v>373417.22261000006</v>
      </c>
      <c r="DT8" s="646">
        <f t="shared" si="10"/>
        <v>373248.72106999997</v>
      </c>
      <c r="DU8" s="646">
        <f t="shared" si="10"/>
        <v>367311.71892000001</v>
      </c>
      <c r="DV8" s="646">
        <f t="shared" si="10"/>
        <v>385506.24161999999</v>
      </c>
      <c r="DW8" s="646">
        <f t="shared" si="10"/>
        <v>384319.42996000004</v>
      </c>
      <c r="DX8" s="646">
        <f t="shared" si="10"/>
        <v>391559.85711000004</v>
      </c>
      <c r="DY8" s="646">
        <f t="shared" si="10"/>
        <v>389609.94332999998</v>
      </c>
      <c r="DZ8" s="646">
        <f t="shared" si="10"/>
        <v>420758.13949000003</v>
      </c>
      <c r="EA8" s="646">
        <f t="shared" si="10"/>
        <v>414588.99456000002</v>
      </c>
      <c r="EB8" s="646">
        <f t="shared" si="10"/>
        <v>413447.50144999998</v>
      </c>
      <c r="EC8" s="646">
        <f t="shared" si="10"/>
        <v>430290.27045000001</v>
      </c>
      <c r="ED8" s="891">
        <f t="shared" si="10"/>
        <v>407779.71445999999</v>
      </c>
      <c r="EE8" s="646">
        <f t="shared" si="10"/>
        <v>413085.38205999997</v>
      </c>
      <c r="EF8" s="646">
        <f t="shared" si="10"/>
        <v>436211.2697</v>
      </c>
      <c r="EG8" s="646">
        <f t="shared" si="10"/>
        <v>431276.65168999997</v>
      </c>
      <c r="EH8" s="646">
        <f t="shared" si="10"/>
        <v>446066.95140000002</v>
      </c>
      <c r="EI8" s="646">
        <f t="shared" si="10"/>
        <v>442620.19159</v>
      </c>
      <c r="EJ8" s="646">
        <f t="shared" si="10"/>
        <v>465618.77437999996</v>
      </c>
      <c r="EK8" s="646">
        <f t="shared" si="10"/>
        <v>456302.6469600001</v>
      </c>
      <c r="EL8" s="646">
        <f t="shared" si="10"/>
        <v>440852.99876000005</v>
      </c>
      <c r="EM8" s="646">
        <f t="shared" si="10"/>
        <v>468272.04030000005</v>
      </c>
      <c r="EN8" s="646">
        <f t="shared" si="10"/>
        <v>469831.96629000001</v>
      </c>
      <c r="EO8" s="646">
        <f t="shared" si="10"/>
        <v>470041.26738000003</v>
      </c>
      <c r="EP8" s="891">
        <f t="shared" si="10"/>
        <v>483215</v>
      </c>
      <c r="EQ8" s="646">
        <f t="shared" si="10"/>
        <v>504658.10979999998</v>
      </c>
      <c r="ER8" s="646">
        <f t="shared" si="10"/>
        <v>499856.85579000006</v>
      </c>
      <c r="ES8" s="646">
        <f t="shared" si="10"/>
        <v>515857.92535000003</v>
      </c>
      <c r="ET8" s="646">
        <f t="shared" si="10"/>
        <v>534074.76441000006</v>
      </c>
      <c r="EU8" s="646">
        <f t="shared" si="10"/>
        <v>540300.84611000004</v>
      </c>
      <c r="EV8" s="646">
        <f t="shared" si="10"/>
        <v>557289.98122999992</v>
      </c>
      <c r="EW8" s="646">
        <f t="shared" si="10"/>
        <v>571044.65633999999</v>
      </c>
      <c r="EX8" s="646">
        <f t="shared" si="10"/>
        <v>569393.09287000005</v>
      </c>
      <c r="EY8" s="646">
        <f t="shared" si="10"/>
        <v>559314.81279999996</v>
      </c>
      <c r="EZ8" s="646">
        <f t="shared" si="10"/>
        <v>561150.59357999999</v>
      </c>
      <c r="FA8" s="647">
        <f t="shared" si="10"/>
        <v>613463.95108000003</v>
      </c>
      <c r="FB8" s="891">
        <f t="shared" si="10"/>
        <v>589154.65659000003</v>
      </c>
      <c r="FC8" s="646">
        <f t="shared" si="10"/>
        <v>566968.44335999992</v>
      </c>
      <c r="FD8" s="646">
        <f t="shared" si="10"/>
        <v>638877.43969999999</v>
      </c>
      <c r="FE8" s="646">
        <f t="shared" si="10"/>
        <v>643604.13283000002</v>
      </c>
      <c r="FF8" s="646">
        <f t="shared" ref="FF8:HQ8" si="11">SUM(FF9:FF11)</f>
        <v>654904.62546999997</v>
      </c>
      <c r="FG8" s="646">
        <f t="shared" si="11"/>
        <v>656471.08357000002</v>
      </c>
      <c r="FH8" s="646">
        <f t="shared" si="11"/>
        <v>702508.14393999998</v>
      </c>
      <c r="FI8" s="646">
        <f t="shared" si="11"/>
        <v>656583.71960000007</v>
      </c>
      <c r="FJ8" s="646">
        <f t="shared" si="11"/>
        <v>659053.47080999997</v>
      </c>
      <c r="FK8" s="646">
        <f t="shared" si="11"/>
        <v>654480.19515000016</v>
      </c>
      <c r="FL8" s="646">
        <f t="shared" si="11"/>
        <v>646563.93706999999</v>
      </c>
      <c r="FM8" s="647">
        <f t="shared" si="11"/>
        <v>711246.37822000007</v>
      </c>
      <c r="FN8" s="646">
        <f t="shared" si="11"/>
        <v>728546.08355999994</v>
      </c>
      <c r="FO8" s="646">
        <f t="shared" si="11"/>
        <v>700884.37873999996</v>
      </c>
      <c r="FP8" s="646">
        <f t="shared" si="11"/>
        <v>701622.23021000007</v>
      </c>
      <c r="FQ8" s="646">
        <f t="shared" si="11"/>
        <v>690840.46576000005</v>
      </c>
      <c r="FR8" s="646">
        <f t="shared" si="11"/>
        <v>715631.18150000006</v>
      </c>
      <c r="FS8" s="646">
        <f t="shared" si="11"/>
        <v>738711.1179699999</v>
      </c>
      <c r="FT8" s="646">
        <f t="shared" si="11"/>
        <v>760169.36473999999</v>
      </c>
      <c r="FU8" s="646">
        <f t="shared" si="11"/>
        <v>768705.52756000008</v>
      </c>
      <c r="FV8" s="646">
        <f t="shared" si="11"/>
        <v>773414.11681999988</v>
      </c>
      <c r="FW8" s="646">
        <f t="shared" si="11"/>
        <v>771322.56503000006</v>
      </c>
      <c r="FX8" s="646">
        <f t="shared" si="11"/>
        <v>785849.29917999997</v>
      </c>
      <c r="FY8" s="646">
        <f t="shared" si="11"/>
        <v>808828.81908000004</v>
      </c>
      <c r="FZ8" s="891">
        <f t="shared" si="11"/>
        <v>762563.60803000012</v>
      </c>
      <c r="GA8" s="646">
        <f t="shared" si="11"/>
        <v>740531.70898999996</v>
      </c>
      <c r="GB8" s="646">
        <f t="shared" si="11"/>
        <v>741749.92692</v>
      </c>
      <c r="GC8" s="646">
        <f t="shared" si="11"/>
        <v>741528.08147000009</v>
      </c>
      <c r="GD8" s="646">
        <f t="shared" si="11"/>
        <v>764198.74359999993</v>
      </c>
      <c r="GE8" s="646">
        <f t="shared" si="11"/>
        <v>785373.49414000008</v>
      </c>
      <c r="GF8" s="646">
        <f t="shared" si="11"/>
        <v>821380.74991000001</v>
      </c>
      <c r="GG8" s="646">
        <f t="shared" si="11"/>
        <v>847626.56994999992</v>
      </c>
      <c r="GH8" s="646">
        <f t="shared" si="11"/>
        <v>875462.11699000001</v>
      </c>
      <c r="GI8" s="646">
        <f t="shared" si="11"/>
        <v>855835.96440000006</v>
      </c>
      <c r="GJ8" s="646">
        <f t="shared" si="11"/>
        <v>889680.92738999997</v>
      </c>
      <c r="GK8" s="646">
        <f t="shared" si="11"/>
        <v>931072.60158000002</v>
      </c>
      <c r="GL8" s="891">
        <f t="shared" si="11"/>
        <v>894348.89174999995</v>
      </c>
      <c r="GM8" s="646">
        <f t="shared" si="11"/>
        <v>870872.03303000005</v>
      </c>
      <c r="GN8" s="646">
        <f t="shared" si="11"/>
        <v>845983.71950000012</v>
      </c>
      <c r="GO8" s="646">
        <f t="shared" si="11"/>
        <v>850223.17579000001</v>
      </c>
      <c r="GP8" s="646">
        <f t="shared" si="11"/>
        <v>886504.25165999995</v>
      </c>
      <c r="GQ8" s="646">
        <f t="shared" si="11"/>
        <v>897704.86977000022</v>
      </c>
      <c r="GR8" s="646">
        <f t="shared" si="11"/>
        <v>953535.79799000011</v>
      </c>
      <c r="GS8" s="646">
        <f t="shared" si="11"/>
        <v>943599.94758999976</v>
      </c>
      <c r="GT8" s="646">
        <f t="shared" si="11"/>
        <v>929896.73517999984</v>
      </c>
      <c r="GU8" s="646">
        <f t="shared" si="11"/>
        <v>945034.49383000005</v>
      </c>
      <c r="GV8" s="646">
        <f t="shared" si="11"/>
        <v>958566.89230999991</v>
      </c>
      <c r="GW8" s="647">
        <f t="shared" si="11"/>
        <v>1021824.3195400001</v>
      </c>
      <c r="GX8" s="891">
        <f t="shared" si="11"/>
        <v>981720.63309999998</v>
      </c>
      <c r="GY8" s="646">
        <f t="shared" si="11"/>
        <v>953546.24241000006</v>
      </c>
      <c r="GZ8" s="646">
        <f t="shared" si="11"/>
        <v>914538.5141899999</v>
      </c>
      <c r="HA8" s="646">
        <f t="shared" si="11"/>
        <v>911907.78005000006</v>
      </c>
      <c r="HB8" s="646">
        <f t="shared" si="11"/>
        <v>949239.43443000002</v>
      </c>
      <c r="HC8" s="646">
        <f t="shared" si="11"/>
        <v>976927.1979400001</v>
      </c>
      <c r="HD8" s="646">
        <f t="shared" si="11"/>
        <v>1018793.5957600001</v>
      </c>
      <c r="HE8" s="646">
        <f t="shared" si="11"/>
        <v>1051084.0805799998</v>
      </c>
      <c r="HF8" s="646">
        <f t="shared" si="11"/>
        <v>1055812.28177</v>
      </c>
      <c r="HG8" s="646">
        <f t="shared" si="11"/>
        <v>1068062.1260200001</v>
      </c>
      <c r="HH8" s="646">
        <f t="shared" si="11"/>
        <v>1084601</v>
      </c>
      <c r="HI8" s="647">
        <f t="shared" si="11"/>
        <v>1121960.6944800001</v>
      </c>
      <c r="HJ8" s="891">
        <f t="shared" si="11"/>
        <v>1065329.74187</v>
      </c>
      <c r="HK8" s="646">
        <f t="shared" si="11"/>
        <v>1047522.2000000001</v>
      </c>
      <c r="HL8" s="646">
        <f t="shared" si="11"/>
        <v>1092359</v>
      </c>
      <c r="HM8" s="646">
        <f t="shared" si="11"/>
        <v>1166520</v>
      </c>
      <c r="HN8" s="646">
        <f t="shared" si="11"/>
        <v>1351315.4</v>
      </c>
      <c r="HO8" s="646">
        <f t="shared" si="11"/>
        <v>1458013.4</v>
      </c>
      <c r="HP8" s="646">
        <f t="shared" si="11"/>
        <v>1551536.5</v>
      </c>
      <c r="HQ8" s="646">
        <f t="shared" si="11"/>
        <v>1574489.8</v>
      </c>
      <c r="HR8" s="646">
        <f>SUM(HR9:HR11)</f>
        <v>1598086</v>
      </c>
      <c r="HS8" s="646">
        <f>SUM(HS9:HS11)</f>
        <v>1650007.5</v>
      </c>
      <c r="HT8" s="646">
        <f>SUM(HT9:HT11)</f>
        <v>1678498</v>
      </c>
      <c r="HU8" s="646">
        <f>SUM(HU9:HU11)</f>
        <v>1779219.4</v>
      </c>
      <c r="HV8" s="892">
        <f t="shared" ref="HV8:HV15" si="12">IFERROR(((HU8/HT8)-1)*100,"-")</f>
        <v>6.0006863278955214</v>
      </c>
      <c r="HW8" s="892">
        <f t="shared" ref="HW8:HW15" si="13">IFERROR(((HU8/HI8)-1)*100,"-")</f>
        <v>58.581259464229475</v>
      </c>
    </row>
    <row r="9" spans="1:231" ht="13.9" customHeight="1" x14ac:dyDescent="0.2">
      <c r="A9" s="893" t="s">
        <v>16</v>
      </c>
      <c r="B9" s="894">
        <v>10498.1</v>
      </c>
      <c r="C9" s="319">
        <v>16599.3</v>
      </c>
      <c r="D9" s="319">
        <v>14029.2</v>
      </c>
      <c r="E9" s="319">
        <v>19501.099999999999</v>
      </c>
      <c r="F9" s="319">
        <v>20550.7</v>
      </c>
      <c r="G9" s="319">
        <v>17495.099999999999</v>
      </c>
      <c r="H9" s="319">
        <v>13500</v>
      </c>
      <c r="I9" s="319">
        <v>17099.400000000001</v>
      </c>
      <c r="J9" s="319">
        <v>20982.7</v>
      </c>
      <c r="K9" s="319">
        <v>18904.2</v>
      </c>
      <c r="L9" s="319">
        <v>27412</v>
      </c>
      <c r="M9" s="319">
        <v>25001.7</v>
      </c>
      <c r="N9" s="894">
        <v>22381.599999999999</v>
      </c>
      <c r="O9" s="319">
        <v>18902.5</v>
      </c>
      <c r="P9" s="319">
        <v>21976.1</v>
      </c>
      <c r="Q9" s="319">
        <v>21270.3</v>
      </c>
      <c r="R9" s="319">
        <v>23303.8</v>
      </c>
      <c r="S9" s="319">
        <v>22811.1</v>
      </c>
      <c r="T9" s="319">
        <v>25013</v>
      </c>
      <c r="U9" s="319">
        <v>23332.7</v>
      </c>
      <c r="V9" s="319">
        <v>21938</v>
      </c>
      <c r="W9" s="319">
        <v>23351.3</v>
      </c>
      <c r="X9" s="319">
        <v>23321.45</v>
      </c>
      <c r="Y9" s="346">
        <v>26413.9</v>
      </c>
      <c r="Z9" s="894">
        <v>27958.639999999999</v>
      </c>
      <c r="AA9" s="319">
        <v>31448.6</v>
      </c>
      <c r="AB9" s="319">
        <v>26675.3</v>
      </c>
      <c r="AC9" s="319">
        <v>26629.040000000001</v>
      </c>
      <c r="AD9" s="319">
        <v>27704.9</v>
      </c>
      <c r="AE9" s="319">
        <v>30301.200000000001</v>
      </c>
      <c r="AF9" s="319">
        <v>29561.57</v>
      </c>
      <c r="AG9" s="319">
        <v>30853.239000000009</v>
      </c>
      <c r="AH9" s="319">
        <v>33632.877999999997</v>
      </c>
      <c r="AI9" s="319">
        <v>32640.13</v>
      </c>
      <c r="AJ9" s="319">
        <v>33060.273999999998</v>
      </c>
      <c r="AK9" s="319">
        <v>25754</v>
      </c>
      <c r="AL9" s="319">
        <v>24345</v>
      </c>
      <c r="AM9" s="319">
        <v>25788</v>
      </c>
      <c r="AN9" s="319">
        <v>26654</v>
      </c>
      <c r="AO9" s="319">
        <v>25443</v>
      </c>
      <c r="AP9" s="319">
        <v>24558</v>
      </c>
      <c r="AQ9" s="319">
        <v>26041</v>
      </c>
      <c r="AR9" s="319">
        <v>29153</v>
      </c>
      <c r="AS9" s="319">
        <v>28108</v>
      </c>
      <c r="AT9" s="319">
        <v>28151</v>
      </c>
      <c r="AU9" s="319">
        <v>26817</v>
      </c>
      <c r="AV9" s="319">
        <v>25947</v>
      </c>
      <c r="AW9" s="346">
        <v>24784</v>
      </c>
      <c r="AX9" s="894">
        <v>27323.94</v>
      </c>
      <c r="AY9" s="319">
        <v>23085</v>
      </c>
      <c r="AZ9" s="319">
        <v>22838</v>
      </c>
      <c r="BA9" s="319">
        <v>21805</v>
      </c>
      <c r="BB9" s="319">
        <v>29302</v>
      </c>
      <c r="BC9" s="319">
        <v>29244</v>
      </c>
      <c r="BD9" s="319">
        <v>28592</v>
      </c>
      <c r="BE9" s="319">
        <v>29161</v>
      </c>
      <c r="BF9" s="319">
        <v>28517</v>
      </c>
      <c r="BG9" s="319">
        <v>29662</v>
      </c>
      <c r="BH9" s="319">
        <v>27849</v>
      </c>
      <c r="BI9" s="346">
        <v>28495</v>
      </c>
      <c r="BJ9" s="319">
        <v>26770</v>
      </c>
      <c r="BK9" s="319">
        <v>28686</v>
      </c>
      <c r="BL9" s="319">
        <v>36075</v>
      </c>
      <c r="BM9" s="319">
        <v>35686</v>
      </c>
      <c r="BN9" s="319">
        <v>39495</v>
      </c>
      <c r="BO9" s="319">
        <v>38871</v>
      </c>
      <c r="BP9" s="319">
        <v>33353</v>
      </c>
      <c r="BQ9" s="319">
        <v>41346</v>
      </c>
      <c r="BR9" s="319">
        <v>38198</v>
      </c>
      <c r="BS9" s="319">
        <v>36704</v>
      </c>
      <c r="BT9" s="319">
        <v>41966</v>
      </c>
      <c r="BU9" s="319">
        <v>45178</v>
      </c>
      <c r="BV9" s="894">
        <v>162438.69929999998</v>
      </c>
      <c r="BW9" s="319">
        <v>41844</v>
      </c>
      <c r="BX9" s="319">
        <v>45590</v>
      </c>
      <c r="BY9" s="319">
        <v>45175</v>
      </c>
      <c r="BZ9" s="319">
        <v>46389</v>
      </c>
      <c r="CA9" s="319">
        <v>49187</v>
      </c>
      <c r="CB9" s="319">
        <v>50180</v>
      </c>
      <c r="CC9" s="319">
        <v>51575</v>
      </c>
      <c r="CD9" s="319">
        <v>49392</v>
      </c>
      <c r="CE9" s="319">
        <v>49038</v>
      </c>
      <c r="CF9" s="319">
        <v>43744</v>
      </c>
      <c r="CG9" s="346">
        <v>43770</v>
      </c>
      <c r="CH9" s="319">
        <v>39477</v>
      </c>
      <c r="CI9" s="319">
        <v>38614</v>
      </c>
      <c r="CJ9" s="319">
        <v>44164</v>
      </c>
      <c r="CK9" s="319">
        <v>44899</v>
      </c>
      <c r="CL9" s="319">
        <v>50063</v>
      </c>
      <c r="CM9" s="319">
        <v>50420</v>
      </c>
      <c r="CN9" s="319">
        <v>48434</v>
      </c>
      <c r="CO9" s="319">
        <v>46963</v>
      </c>
      <c r="CP9" s="319">
        <v>46542</v>
      </c>
      <c r="CQ9" s="319">
        <v>46570</v>
      </c>
      <c r="CR9" s="319">
        <v>47924</v>
      </c>
      <c r="CS9" s="346">
        <v>53080.354389999993</v>
      </c>
      <c r="CT9" s="319">
        <v>43662.645949999991</v>
      </c>
      <c r="CU9" s="319">
        <v>45283</v>
      </c>
      <c r="CV9" s="319">
        <v>50720</v>
      </c>
      <c r="CW9" s="319">
        <v>44605</v>
      </c>
      <c r="CX9" s="319">
        <v>54694</v>
      </c>
      <c r="CY9" s="319">
        <v>60160</v>
      </c>
      <c r="CZ9" s="319">
        <v>54696</v>
      </c>
      <c r="DA9" s="319">
        <v>64215</v>
      </c>
      <c r="DB9" s="319">
        <v>60954</v>
      </c>
      <c r="DC9" s="319">
        <v>65638</v>
      </c>
      <c r="DD9" s="319">
        <v>63610</v>
      </c>
      <c r="DE9" s="346">
        <v>69308</v>
      </c>
      <c r="DF9" s="319">
        <f>60875+47020</f>
        <v>107895</v>
      </c>
      <c r="DG9" s="319">
        <f>58891+47210</f>
        <v>106101</v>
      </c>
      <c r="DH9" s="319">
        <f>76517+51189</f>
        <v>127706</v>
      </c>
      <c r="DI9" s="319">
        <f>70927+50267</f>
        <v>121194</v>
      </c>
      <c r="DJ9" s="319">
        <f>80202+56185</f>
        <v>136387</v>
      </c>
      <c r="DK9" s="319">
        <v>144766.31750999999</v>
      </c>
      <c r="DL9" s="319">
        <v>150615.29625000001</v>
      </c>
      <c r="DM9" s="319">
        <f>136754.43577+16000</f>
        <v>152754.43577000001</v>
      </c>
      <c r="DN9" s="319">
        <v>146877.59380999999</v>
      </c>
      <c r="DO9" s="319">
        <v>140199.14403999998</v>
      </c>
      <c r="DP9" s="319">
        <v>129307.53822999999</v>
      </c>
      <c r="DQ9" s="319">
        <v>146834.39376000001</v>
      </c>
      <c r="DR9" s="894">
        <v>131027.97474999999</v>
      </c>
      <c r="DS9" s="319">
        <v>130977.46117</v>
      </c>
      <c r="DT9" s="319">
        <v>136545.15701999998</v>
      </c>
      <c r="DU9" s="319">
        <v>135757.37705000001</v>
      </c>
      <c r="DV9" s="319">
        <v>144480.59018</v>
      </c>
      <c r="DW9" s="319">
        <v>148244.93578</v>
      </c>
      <c r="DX9" s="319">
        <v>142660.89904000002</v>
      </c>
      <c r="DY9" s="319">
        <v>135186.91256999999</v>
      </c>
      <c r="DZ9" s="319">
        <v>156765.08184</v>
      </c>
      <c r="EA9" s="319">
        <v>153750.78353000002</v>
      </c>
      <c r="EB9" s="319">
        <v>142165.82871</v>
      </c>
      <c r="EC9" s="319">
        <v>152127.31466</v>
      </c>
      <c r="ED9" s="894">
        <v>139753.61552999998</v>
      </c>
      <c r="EE9" s="319">
        <v>152981.78185999999</v>
      </c>
      <c r="EF9" s="319">
        <v>168621.35608</v>
      </c>
      <c r="EG9" s="319">
        <v>181523.81917</v>
      </c>
      <c r="EH9" s="319">
        <v>184343.35355</v>
      </c>
      <c r="EI9" s="319">
        <v>178408.35721000002</v>
      </c>
      <c r="EJ9" s="319">
        <v>194132.17745000002</v>
      </c>
      <c r="EK9" s="319">
        <v>185453.29482000001</v>
      </c>
      <c r="EL9" s="319">
        <v>170973.65044999999</v>
      </c>
      <c r="EM9" s="319">
        <v>199030.16836000001</v>
      </c>
      <c r="EN9" s="319">
        <v>173528.43738999998</v>
      </c>
      <c r="EO9" s="319">
        <f>159429.46165+4877</f>
        <v>164306.46165000001</v>
      </c>
      <c r="EP9" s="894">
        <v>169442</v>
      </c>
      <c r="EQ9" s="319">
        <v>194726.23166999995</v>
      </c>
      <c r="ER9" s="319">
        <v>192134.43497999999</v>
      </c>
      <c r="ES9" s="319">
        <v>209529.20361000003</v>
      </c>
      <c r="ET9" s="319">
        <v>211299.12110000002</v>
      </c>
      <c r="EU9" s="319">
        <v>213454.67256000004</v>
      </c>
      <c r="EV9" s="319">
        <v>214222.99738999997</v>
      </c>
      <c r="EW9" s="319">
        <v>219259.2095</v>
      </c>
      <c r="EX9" s="319">
        <v>217322.01486000002</v>
      </c>
      <c r="EY9" s="319">
        <v>193927.19149999999</v>
      </c>
      <c r="EZ9" s="319">
        <v>193177.02687999996</v>
      </c>
      <c r="FA9" s="346">
        <v>217217.81052999999</v>
      </c>
      <c r="FB9" s="894">
        <v>199378.90432999999</v>
      </c>
      <c r="FC9" s="319">
        <v>182583.09107999998</v>
      </c>
      <c r="FD9" s="319">
        <v>230939.93867</v>
      </c>
      <c r="FE9" s="319">
        <v>229847.3677</v>
      </c>
      <c r="FF9" s="319">
        <v>248132.76259000003</v>
      </c>
      <c r="FG9" s="319">
        <v>239743.32327999998</v>
      </c>
      <c r="FH9" s="319">
        <v>255294.51336999994</v>
      </c>
      <c r="FI9" s="319">
        <v>239650.59924000001</v>
      </c>
      <c r="FJ9" s="319">
        <v>241617.32045</v>
      </c>
      <c r="FK9" s="319">
        <v>228857.05436000001</v>
      </c>
      <c r="FL9" s="319">
        <v>219561.85728</v>
      </c>
      <c r="FM9" s="346">
        <v>233802.32558999999</v>
      </c>
      <c r="FN9" s="319">
        <v>238642.74288999999</v>
      </c>
      <c r="FO9" s="319">
        <v>226002.20239000002</v>
      </c>
      <c r="FP9" s="319">
        <v>232180.85059000002</v>
      </c>
      <c r="FQ9" s="319">
        <v>216602.89286999998</v>
      </c>
      <c r="FR9" s="319">
        <v>238754.11567</v>
      </c>
      <c r="FS9" s="319">
        <v>243141.52049999998</v>
      </c>
      <c r="FT9" s="319">
        <v>251456.70022</v>
      </c>
      <c r="FU9" s="319">
        <v>246577.27856999997</v>
      </c>
      <c r="FV9" s="319">
        <v>240275.25669000001</v>
      </c>
      <c r="FW9" s="319">
        <v>235642.91886999999</v>
      </c>
      <c r="FX9" s="319">
        <v>245000.08637</v>
      </c>
      <c r="FY9" s="319">
        <v>245424.39926000001</v>
      </c>
      <c r="FZ9" s="894">
        <v>215756.34097000008</v>
      </c>
      <c r="GA9" s="319">
        <v>212472.63629999995</v>
      </c>
      <c r="GB9" s="319">
        <v>217535.52268999998</v>
      </c>
      <c r="GC9" s="319">
        <v>207592.06578999996</v>
      </c>
      <c r="GD9" s="319">
        <v>227237.42946999997</v>
      </c>
      <c r="GE9" s="319">
        <v>226621.10204000003</v>
      </c>
      <c r="GF9" s="319">
        <v>236481.46205000003</v>
      </c>
      <c r="GG9" s="319">
        <v>245327.00420999998</v>
      </c>
      <c r="GH9" s="319">
        <v>272689.59125</v>
      </c>
      <c r="GI9" s="319">
        <v>248061.47085000001</v>
      </c>
      <c r="GJ9" s="319">
        <v>268003.55228</v>
      </c>
      <c r="GK9" s="319">
        <v>289172.94532</v>
      </c>
      <c r="GL9" s="894">
        <v>267941.75159</v>
      </c>
      <c r="GM9" s="319">
        <v>257287.88114000001</v>
      </c>
      <c r="GN9" s="319">
        <v>254506.39062999998</v>
      </c>
      <c r="GO9" s="319">
        <v>262862.64387999999</v>
      </c>
      <c r="GP9" s="319">
        <v>281939.13072000002</v>
      </c>
      <c r="GQ9" s="319">
        <v>282435.25224</v>
      </c>
      <c r="GR9" s="319">
        <v>289438.59437999997</v>
      </c>
      <c r="GS9" s="319">
        <v>284675.69276999997</v>
      </c>
      <c r="GT9" s="319">
        <v>287491.11840999994</v>
      </c>
      <c r="GU9" s="319">
        <v>286351.25812000001</v>
      </c>
      <c r="GV9" s="319">
        <v>279916.00902</v>
      </c>
      <c r="GW9" s="346">
        <v>310098.35357000004</v>
      </c>
      <c r="GX9" s="894">
        <v>291738.92862000002</v>
      </c>
      <c r="GY9" s="319">
        <v>286251.4289</v>
      </c>
      <c r="GZ9" s="319">
        <v>263941.56764999998</v>
      </c>
      <c r="HA9" s="319">
        <v>264616.88428</v>
      </c>
      <c r="HB9" s="319">
        <v>267401.08345999999</v>
      </c>
      <c r="HC9" s="319">
        <v>270102.99992999999</v>
      </c>
      <c r="HD9" s="319">
        <v>277284.35408999998</v>
      </c>
      <c r="HE9" s="319">
        <v>308045.60842</v>
      </c>
      <c r="HF9" s="319">
        <v>312014.68024999998</v>
      </c>
      <c r="HG9" s="319">
        <v>325818.69186999998</v>
      </c>
      <c r="HH9" s="319">
        <v>323558</v>
      </c>
      <c r="HI9" s="346">
        <v>335948.48389999999</v>
      </c>
      <c r="HJ9" s="894">
        <v>285954.43245999998</v>
      </c>
      <c r="HK9" s="319">
        <v>289580.40000000002</v>
      </c>
      <c r="HL9" s="319">
        <v>297473</v>
      </c>
      <c r="HM9" s="319">
        <v>296114.5</v>
      </c>
      <c r="HN9" s="319">
        <v>434453.4</v>
      </c>
      <c r="HO9" s="319">
        <v>480156.4</v>
      </c>
      <c r="HP9" s="319">
        <v>485638.5</v>
      </c>
      <c r="HQ9" s="319">
        <v>501745.4</v>
      </c>
      <c r="HR9" s="319">
        <v>499749</v>
      </c>
      <c r="HS9" s="319">
        <v>501815</v>
      </c>
      <c r="HT9" s="319">
        <v>516929</v>
      </c>
      <c r="HU9" s="319">
        <v>548385</v>
      </c>
      <c r="HV9" s="895">
        <f t="shared" si="12"/>
        <v>6.0851683693505354</v>
      </c>
      <c r="HW9" s="895">
        <f t="shared" si="13"/>
        <v>63.234848877375761</v>
      </c>
    </row>
    <row r="10" spans="1:231" ht="13.9" customHeight="1" x14ac:dyDescent="0.2">
      <c r="A10" s="893" t="s">
        <v>17</v>
      </c>
      <c r="B10" s="894">
        <f>28328.44+12.07</f>
        <v>28340.51</v>
      </c>
      <c r="C10" s="319">
        <f>27047.9+7.79</f>
        <v>27055.690000000002</v>
      </c>
      <c r="D10" s="319">
        <f>26170.3+11.39</f>
        <v>26181.69</v>
      </c>
      <c r="E10" s="319">
        <f>28193.87+54.08</f>
        <v>28247.95</v>
      </c>
      <c r="F10" s="319">
        <f>27730.2+90.08</f>
        <v>27820.280000000002</v>
      </c>
      <c r="G10" s="319">
        <f>28489.1+72.62</f>
        <v>28561.719999999998</v>
      </c>
      <c r="H10" s="319">
        <f>28410.1+55.95</f>
        <v>28466.05</v>
      </c>
      <c r="I10" s="319">
        <v>26110.9</v>
      </c>
      <c r="J10" s="319">
        <v>26564.400000000001</v>
      </c>
      <c r="K10" s="319">
        <v>27141.200000000001</v>
      </c>
      <c r="L10" s="319">
        <v>24082</v>
      </c>
      <c r="M10" s="319">
        <v>23654.2</v>
      </c>
      <c r="N10" s="894">
        <v>22735.4</v>
      </c>
      <c r="O10" s="319">
        <v>21847</v>
      </c>
      <c r="P10" s="319">
        <v>20911.099999999999</v>
      </c>
      <c r="Q10" s="319">
        <v>22022.1</v>
      </c>
      <c r="R10" s="319">
        <v>22693.200000000001</v>
      </c>
      <c r="S10" s="319">
        <v>22636.6</v>
      </c>
      <c r="T10" s="319">
        <v>25064.7</v>
      </c>
      <c r="U10" s="319">
        <v>22992.9</v>
      </c>
      <c r="V10" s="319">
        <v>23891.8</v>
      </c>
      <c r="W10" s="319">
        <v>23635.4</v>
      </c>
      <c r="X10" s="319">
        <v>24898.48</v>
      </c>
      <c r="Y10" s="346">
        <v>28556.3</v>
      </c>
      <c r="Z10" s="894">
        <v>27904.401000000002</v>
      </c>
      <c r="AA10" s="319">
        <v>27959.7</v>
      </c>
      <c r="AB10" s="319">
        <v>26281.3</v>
      </c>
      <c r="AC10" s="319">
        <v>25229.14</v>
      </c>
      <c r="AD10" s="319">
        <v>25530.69</v>
      </c>
      <c r="AE10" s="319">
        <v>27000.400000000001</v>
      </c>
      <c r="AF10" s="319">
        <v>27836.71</v>
      </c>
      <c r="AG10" s="319">
        <v>30684.399000000001</v>
      </c>
      <c r="AH10" s="319">
        <v>35138.009000000005</v>
      </c>
      <c r="AI10" s="319">
        <v>33599.519999999997</v>
      </c>
      <c r="AJ10" s="319">
        <v>35518.882400000002</v>
      </c>
      <c r="AK10" s="319">
        <v>36315</v>
      </c>
      <c r="AL10" s="894">
        <v>38264</v>
      </c>
      <c r="AM10" s="319">
        <v>35385</v>
      </c>
      <c r="AN10" s="319">
        <v>34691</v>
      </c>
      <c r="AO10" s="319">
        <v>34639</v>
      </c>
      <c r="AP10" s="319">
        <v>35442</v>
      </c>
      <c r="AQ10" s="319">
        <v>35733</v>
      </c>
      <c r="AR10" s="319">
        <v>40139</v>
      </c>
      <c r="AS10" s="319">
        <v>43441</v>
      </c>
      <c r="AT10" s="319">
        <v>41553</v>
      </c>
      <c r="AU10" s="319">
        <v>40567</v>
      </c>
      <c r="AV10" s="319">
        <v>42022</v>
      </c>
      <c r="AW10" s="346">
        <v>43485</v>
      </c>
      <c r="AX10" s="894">
        <v>42478.25</v>
      </c>
      <c r="AY10" s="319">
        <v>40135</v>
      </c>
      <c r="AZ10" s="319">
        <v>38437</v>
      </c>
      <c r="BA10" s="319">
        <v>38295</v>
      </c>
      <c r="BB10" s="319">
        <v>49730</v>
      </c>
      <c r="BC10" s="319">
        <v>51261</v>
      </c>
      <c r="BD10" s="319">
        <v>52426</v>
      </c>
      <c r="BE10" s="319">
        <v>59444</v>
      </c>
      <c r="BF10" s="319">
        <v>60295</v>
      </c>
      <c r="BG10" s="319">
        <v>51153</v>
      </c>
      <c r="BH10" s="319">
        <v>48140</v>
      </c>
      <c r="BI10" s="346">
        <v>52239</v>
      </c>
      <c r="BJ10" s="319">
        <v>50262</v>
      </c>
      <c r="BK10" s="319">
        <v>48359</v>
      </c>
      <c r="BL10" s="319">
        <v>50478</v>
      </c>
      <c r="BM10" s="319">
        <v>52731</v>
      </c>
      <c r="BN10" s="319">
        <v>52680</v>
      </c>
      <c r="BO10" s="319">
        <v>56511</v>
      </c>
      <c r="BP10" s="319">
        <v>54343</v>
      </c>
      <c r="BQ10" s="319">
        <v>54294</v>
      </c>
      <c r="BR10" s="319">
        <v>57142</v>
      </c>
      <c r="BS10" s="319">
        <v>57384</v>
      </c>
      <c r="BT10" s="319">
        <v>63081</v>
      </c>
      <c r="BU10" s="319">
        <v>62922</v>
      </c>
      <c r="BV10" s="894">
        <v>118324.31633000002</v>
      </c>
      <c r="BW10" s="319">
        <v>66268</v>
      </c>
      <c r="BX10" s="319">
        <v>65178</v>
      </c>
      <c r="BY10" s="319">
        <v>66154</v>
      </c>
      <c r="BZ10" s="319">
        <v>63986</v>
      </c>
      <c r="CA10" s="319">
        <v>63967</v>
      </c>
      <c r="CB10" s="319">
        <v>67423</v>
      </c>
      <c r="CC10" s="319">
        <v>71110</v>
      </c>
      <c r="CD10" s="319">
        <v>71530</v>
      </c>
      <c r="CE10" s="319">
        <v>69314</v>
      </c>
      <c r="CF10" s="319">
        <v>65175</v>
      </c>
      <c r="CG10" s="346">
        <v>68661</v>
      </c>
      <c r="CH10" s="319">
        <v>72505</v>
      </c>
      <c r="CI10" s="319">
        <v>67642</v>
      </c>
      <c r="CJ10" s="319">
        <v>66100</v>
      </c>
      <c r="CK10" s="319">
        <v>65398</v>
      </c>
      <c r="CL10" s="319">
        <v>64740</v>
      </c>
      <c r="CM10" s="319">
        <v>65728</v>
      </c>
      <c r="CN10" s="319">
        <v>73223</v>
      </c>
      <c r="CO10" s="319">
        <v>70993</v>
      </c>
      <c r="CP10" s="319">
        <v>76905</v>
      </c>
      <c r="CQ10" s="319">
        <v>75909</v>
      </c>
      <c r="CR10" s="319">
        <v>83750</v>
      </c>
      <c r="CS10" s="346">
        <v>82642.260520000011</v>
      </c>
      <c r="CT10" s="319">
        <v>75870.509089999992</v>
      </c>
      <c r="CU10" s="319">
        <v>75862</v>
      </c>
      <c r="CV10" s="319">
        <v>76323</v>
      </c>
      <c r="CW10" s="319">
        <v>76784</v>
      </c>
      <c r="CX10" s="319">
        <v>78778</v>
      </c>
      <c r="CY10" s="319">
        <v>84854</v>
      </c>
      <c r="CZ10" s="319">
        <v>91885</v>
      </c>
      <c r="DA10" s="319">
        <v>92713</v>
      </c>
      <c r="DB10" s="319">
        <v>96061</v>
      </c>
      <c r="DC10" s="319">
        <v>97565</v>
      </c>
      <c r="DD10" s="319">
        <v>100264</v>
      </c>
      <c r="DE10" s="346">
        <v>112772</v>
      </c>
      <c r="DF10" s="319">
        <f>106152+43094</f>
        <v>149246</v>
      </c>
      <c r="DG10" s="319">
        <f>103726+39960</f>
        <v>143686</v>
      </c>
      <c r="DH10" s="319">
        <f>111284+41803</f>
        <v>153087</v>
      </c>
      <c r="DI10" s="319">
        <f>109266+42126</f>
        <v>151392</v>
      </c>
      <c r="DJ10" s="319">
        <f>119524+43709</f>
        <v>163233</v>
      </c>
      <c r="DK10" s="319">
        <v>172582.65499000001</v>
      </c>
      <c r="DL10" s="319">
        <v>181882.95517999999</v>
      </c>
      <c r="DM10" s="319">
        <f>170354.20104+22000</f>
        <v>192354.20104000001</v>
      </c>
      <c r="DN10" s="319">
        <f>197326.78209-536</f>
        <v>196790.78208999999</v>
      </c>
      <c r="DO10" s="319">
        <v>192755.04443000001</v>
      </c>
      <c r="DP10" s="319">
        <v>192440.64821000001</v>
      </c>
      <c r="DQ10" s="319">
        <v>200035.29076</v>
      </c>
      <c r="DR10" s="894">
        <v>189568.49337000001</v>
      </c>
      <c r="DS10" s="319">
        <v>181898.23910000001</v>
      </c>
      <c r="DT10" s="319">
        <v>176451.06407999998</v>
      </c>
      <c r="DU10" s="319">
        <v>172515.70861999999</v>
      </c>
      <c r="DV10" s="319">
        <v>178389.69394999999</v>
      </c>
      <c r="DW10" s="319">
        <v>174263.11532000001</v>
      </c>
      <c r="DX10" s="319">
        <v>185751.37150000001</v>
      </c>
      <c r="DY10" s="319">
        <v>191187.42079</v>
      </c>
      <c r="DZ10" s="319">
        <v>199935.29029</v>
      </c>
      <c r="EA10" s="319">
        <v>195527.05429</v>
      </c>
      <c r="EB10" s="319">
        <v>202576.30572</v>
      </c>
      <c r="EC10" s="319">
        <v>209069.81412</v>
      </c>
      <c r="ED10" s="894">
        <v>199068.48139</v>
      </c>
      <c r="EE10" s="319">
        <v>190796.90672</v>
      </c>
      <c r="EF10" s="319">
        <v>185785.52568000002</v>
      </c>
      <c r="EG10" s="319">
        <v>181201.78869000002</v>
      </c>
      <c r="EH10" s="319">
        <v>187099.42616</v>
      </c>
      <c r="EI10" s="319">
        <v>191014.08835999999</v>
      </c>
      <c r="EJ10" s="319">
        <v>197652.44567999998</v>
      </c>
      <c r="EK10" s="319">
        <v>196845.27870000005</v>
      </c>
      <c r="EL10" s="319">
        <v>195765.69011000003</v>
      </c>
      <c r="EM10" s="319">
        <v>196024.59724</v>
      </c>
      <c r="EN10" s="319">
        <v>215209.79182000004</v>
      </c>
      <c r="EO10" s="319">
        <v>224847.11723</v>
      </c>
      <c r="EP10" s="894">
        <v>233540</v>
      </c>
      <c r="EQ10" s="319">
        <v>225577.76147000003</v>
      </c>
      <c r="ER10" s="319">
        <v>223743.03713000004</v>
      </c>
      <c r="ES10" s="319">
        <v>222497.24758</v>
      </c>
      <c r="ET10" s="319">
        <v>234127.09782</v>
      </c>
      <c r="EU10" s="319">
        <v>237870.46857</v>
      </c>
      <c r="EV10" s="319">
        <v>254726.04230999999</v>
      </c>
      <c r="EW10" s="319">
        <v>264275.85962</v>
      </c>
      <c r="EX10" s="319">
        <v>263318.63568000001</v>
      </c>
      <c r="EY10" s="319">
        <v>273128.17157000001</v>
      </c>
      <c r="EZ10" s="319">
        <v>271900.87164000003</v>
      </c>
      <c r="FA10" s="346">
        <v>300165.41470000002</v>
      </c>
      <c r="FB10" s="894">
        <v>293139.19402</v>
      </c>
      <c r="FC10" s="319">
        <v>289673.66590999998</v>
      </c>
      <c r="FD10" s="319">
        <v>290681.51502000005</v>
      </c>
      <c r="FE10" s="319">
        <v>297418.70596000005</v>
      </c>
      <c r="FF10" s="319">
        <v>283638.46225999994</v>
      </c>
      <c r="FG10" s="319">
        <v>292653.86337000004</v>
      </c>
      <c r="FH10" s="319">
        <v>320759.85573000001</v>
      </c>
      <c r="FI10" s="319">
        <v>313505.34165999998</v>
      </c>
      <c r="FJ10" s="319">
        <v>312891.73015000002</v>
      </c>
      <c r="FK10" s="319">
        <v>323202.75690000004</v>
      </c>
      <c r="FL10" s="319">
        <v>319533.62572999997</v>
      </c>
      <c r="FM10" s="346">
        <v>353625.80371000001</v>
      </c>
      <c r="FN10" s="319">
        <v>373270.88731000002</v>
      </c>
      <c r="FO10" s="319">
        <v>360287.18753</v>
      </c>
      <c r="FP10" s="319">
        <v>358173.30830000003</v>
      </c>
      <c r="FQ10" s="319">
        <v>361990.82832999999</v>
      </c>
      <c r="FR10" s="319">
        <v>359381.44427000004</v>
      </c>
      <c r="FS10" s="319">
        <v>379675.16667999997</v>
      </c>
      <c r="FT10" s="319">
        <v>391921.20649000001</v>
      </c>
      <c r="FU10" s="319">
        <v>403382.52013999998</v>
      </c>
      <c r="FV10" s="319">
        <v>409109.48717999994</v>
      </c>
      <c r="FW10" s="319">
        <v>412287.82307000004</v>
      </c>
      <c r="FX10" s="319">
        <v>409498.30274999997</v>
      </c>
      <c r="FY10" s="319">
        <v>427798.81863000005</v>
      </c>
      <c r="FZ10" s="894">
        <v>409533.85222999996</v>
      </c>
      <c r="GA10" s="319">
        <v>394161.4203</v>
      </c>
      <c r="GB10" s="319">
        <v>393935.44079999998</v>
      </c>
      <c r="GC10" s="319">
        <v>404016.69232000003</v>
      </c>
      <c r="GD10" s="319">
        <v>402079.97161999997</v>
      </c>
      <c r="GE10" s="319">
        <v>420399.88189000002</v>
      </c>
      <c r="GF10" s="319">
        <v>439551.02337000001</v>
      </c>
      <c r="GG10" s="319">
        <v>453841.74582999997</v>
      </c>
      <c r="GH10" s="319">
        <v>445694.31164999999</v>
      </c>
      <c r="GI10" s="319">
        <v>450144.08953999996</v>
      </c>
      <c r="GJ10" s="319">
        <v>457536.69652</v>
      </c>
      <c r="GK10" s="319">
        <v>479061.39499</v>
      </c>
      <c r="GL10" s="894">
        <v>468835.96626999998</v>
      </c>
      <c r="GM10" s="319">
        <v>458031.79877000005</v>
      </c>
      <c r="GN10" s="319">
        <v>440777.83409000002</v>
      </c>
      <c r="GO10" s="319">
        <v>439342.03119999997</v>
      </c>
      <c r="GP10" s="319">
        <v>448247.64994999999</v>
      </c>
      <c r="GQ10" s="319">
        <v>461014.21518000006</v>
      </c>
      <c r="GR10" s="319">
        <v>486563.78882000002</v>
      </c>
      <c r="GS10" s="319">
        <v>501153.3493099999</v>
      </c>
      <c r="GT10" s="319">
        <v>485887.60939999996</v>
      </c>
      <c r="GU10" s="319">
        <v>495645.53129999997</v>
      </c>
      <c r="GV10" s="319">
        <v>497605.85836999991</v>
      </c>
      <c r="GW10" s="346">
        <v>528258.98739000002</v>
      </c>
      <c r="GX10" s="894">
        <v>507006.24025000003</v>
      </c>
      <c r="GY10" s="319">
        <v>485300.29810999997</v>
      </c>
      <c r="GZ10" s="319">
        <v>470251.02372999996</v>
      </c>
      <c r="HA10" s="319">
        <v>468440.89007000002</v>
      </c>
      <c r="HB10" s="319">
        <v>487728.21791999997</v>
      </c>
      <c r="HC10" s="319">
        <v>505786.29748000007</v>
      </c>
      <c r="HD10" s="319">
        <v>536245.75693999999</v>
      </c>
      <c r="HE10" s="319">
        <v>541469.72580999997</v>
      </c>
      <c r="HF10" s="319">
        <v>544419.72500000009</v>
      </c>
      <c r="HG10" s="319">
        <v>549980.39887999999</v>
      </c>
      <c r="HH10" s="319">
        <v>554286</v>
      </c>
      <c r="HI10" s="346">
        <v>582647.02344999998</v>
      </c>
      <c r="HJ10" s="894">
        <v>600675.16727000009</v>
      </c>
      <c r="HK10" s="319">
        <v>585139.4</v>
      </c>
      <c r="HL10" s="319">
        <v>630981</v>
      </c>
      <c r="HM10" s="319">
        <v>699667.5</v>
      </c>
      <c r="HN10" s="319">
        <v>727559</v>
      </c>
      <c r="HO10" s="319">
        <v>791437</v>
      </c>
      <c r="HP10" s="319">
        <v>876565</v>
      </c>
      <c r="HQ10" s="319">
        <v>896243.4</v>
      </c>
      <c r="HR10" s="319">
        <v>916093</v>
      </c>
      <c r="HS10" s="319">
        <v>968199.5</v>
      </c>
      <c r="HT10" s="319">
        <v>976855</v>
      </c>
      <c r="HU10" s="319">
        <v>1045344.4</v>
      </c>
      <c r="HV10" s="895">
        <f t="shared" si="12"/>
        <v>7.0112145610146781</v>
      </c>
      <c r="HW10" s="895">
        <f t="shared" si="13"/>
        <v>79.412982119131442</v>
      </c>
    </row>
    <row r="11" spans="1:231" ht="13.9" customHeight="1" x14ac:dyDescent="0.2">
      <c r="A11" s="893" t="s">
        <v>18</v>
      </c>
      <c r="B11" s="894">
        <v>15401.56</v>
      </c>
      <c r="C11" s="319">
        <v>15864.5</v>
      </c>
      <c r="D11" s="319">
        <f>16709.5+0.5</f>
        <v>16710</v>
      </c>
      <c r="E11" s="319">
        <f>18142.9+1</f>
        <v>18143.900000000001</v>
      </c>
      <c r="F11" s="319">
        <f>18936.4+2.46</f>
        <v>18938.86</v>
      </c>
      <c r="G11" s="319">
        <f>20089.4+6.51</f>
        <v>20095.91</v>
      </c>
      <c r="H11" s="319">
        <f>19967.02+12.01</f>
        <v>19979.03</v>
      </c>
      <c r="I11" s="319">
        <v>19898.2</v>
      </c>
      <c r="J11" s="319">
        <v>19954.3</v>
      </c>
      <c r="K11" s="319">
        <v>20723.5</v>
      </c>
      <c r="L11" s="319">
        <v>21031</v>
      </c>
      <c r="M11" s="319">
        <v>25458.7</v>
      </c>
      <c r="N11" s="894">
        <v>24064.5</v>
      </c>
      <c r="O11" s="319">
        <v>23559.4</v>
      </c>
      <c r="P11" s="319">
        <v>24602</v>
      </c>
      <c r="Q11" s="319">
        <v>21107.8</v>
      </c>
      <c r="R11" s="319">
        <v>21773</v>
      </c>
      <c r="S11" s="319">
        <v>22338.3</v>
      </c>
      <c r="T11" s="319">
        <v>23985.4</v>
      </c>
      <c r="U11" s="319">
        <v>24381.599999999999</v>
      </c>
      <c r="V11" s="319">
        <v>26907.8</v>
      </c>
      <c r="W11" s="319">
        <v>27503.4</v>
      </c>
      <c r="X11" s="319">
        <v>28964.959999999999</v>
      </c>
      <c r="Y11" s="346">
        <v>31203.3</v>
      </c>
      <c r="Z11" s="894">
        <v>29834.608</v>
      </c>
      <c r="AA11" s="319">
        <v>30488.9</v>
      </c>
      <c r="AB11" s="319">
        <v>29977.9</v>
      </c>
      <c r="AC11" s="319">
        <v>30819.9</v>
      </c>
      <c r="AD11" s="319">
        <v>30675.49</v>
      </c>
      <c r="AE11" s="319">
        <v>32724</v>
      </c>
      <c r="AF11" s="319">
        <v>31373.91</v>
      </c>
      <c r="AG11" s="319">
        <v>32264.067999999999</v>
      </c>
      <c r="AH11" s="319">
        <v>36283.899000000012</v>
      </c>
      <c r="AI11" s="319">
        <v>37621</v>
      </c>
      <c r="AJ11" s="319">
        <v>38273.802000000003</v>
      </c>
      <c r="AK11" s="319">
        <v>39725</v>
      </c>
      <c r="AL11" s="894">
        <v>41821</v>
      </c>
      <c r="AM11" s="319">
        <v>41368</v>
      </c>
      <c r="AN11" s="319">
        <v>41383</v>
      </c>
      <c r="AO11" s="319">
        <v>41130</v>
      </c>
      <c r="AP11" s="319">
        <v>43040</v>
      </c>
      <c r="AQ11" s="319">
        <v>43941</v>
      </c>
      <c r="AR11" s="319">
        <v>45104</v>
      </c>
      <c r="AS11" s="319">
        <v>46091</v>
      </c>
      <c r="AT11" s="319">
        <v>46444</v>
      </c>
      <c r="AU11" s="319">
        <v>45808</v>
      </c>
      <c r="AV11" s="319">
        <v>46210</v>
      </c>
      <c r="AW11" s="346">
        <v>47259</v>
      </c>
      <c r="AX11" s="894">
        <v>45364.3</v>
      </c>
      <c r="AY11" s="319">
        <v>45193</v>
      </c>
      <c r="AZ11" s="319">
        <v>43427</v>
      </c>
      <c r="BA11" s="319">
        <v>42710</v>
      </c>
      <c r="BB11" s="319">
        <v>33710</v>
      </c>
      <c r="BC11" s="319">
        <v>34025</v>
      </c>
      <c r="BD11" s="319">
        <v>35765</v>
      </c>
      <c r="BE11" s="319">
        <v>36376</v>
      </c>
      <c r="BF11" s="319">
        <v>36405</v>
      </c>
      <c r="BG11" s="319">
        <v>41030</v>
      </c>
      <c r="BH11" s="319">
        <v>40636</v>
      </c>
      <c r="BI11" s="346">
        <v>40132</v>
      </c>
      <c r="BJ11" s="319">
        <v>39419</v>
      </c>
      <c r="BK11" s="319">
        <v>38345</v>
      </c>
      <c r="BL11" s="319">
        <v>36924</v>
      </c>
      <c r="BM11" s="319">
        <v>36022</v>
      </c>
      <c r="BN11" s="319">
        <v>39254</v>
      </c>
      <c r="BO11" s="319">
        <v>40091</v>
      </c>
      <c r="BP11" s="319">
        <v>44012</v>
      </c>
      <c r="BQ11" s="319">
        <v>42780</v>
      </c>
      <c r="BR11" s="319">
        <v>42897</v>
      </c>
      <c r="BS11" s="319">
        <v>42787</v>
      </c>
      <c r="BT11" s="319">
        <v>43392</v>
      </c>
      <c r="BU11" s="319">
        <v>48370</v>
      </c>
      <c r="BV11" s="894">
        <v>39243.657160000002</v>
      </c>
      <c r="BW11" s="319">
        <v>56425</v>
      </c>
      <c r="BX11" s="319">
        <v>34325</v>
      </c>
      <c r="BY11" s="319">
        <v>41286</v>
      </c>
      <c r="BZ11" s="319">
        <v>35822</v>
      </c>
      <c r="CA11" s="319">
        <v>37059</v>
      </c>
      <c r="CB11" s="319">
        <v>36336</v>
      </c>
      <c r="CC11" s="319">
        <v>37475</v>
      </c>
      <c r="CD11" s="319">
        <v>36335</v>
      </c>
      <c r="CE11" s="319">
        <v>37245</v>
      </c>
      <c r="CF11" s="319">
        <v>38055</v>
      </c>
      <c r="CG11" s="346">
        <v>38312</v>
      </c>
      <c r="CH11" s="319">
        <v>38640</v>
      </c>
      <c r="CI11" s="319">
        <v>39861</v>
      </c>
      <c r="CJ11" s="319">
        <v>39890</v>
      </c>
      <c r="CK11" s="319">
        <v>39509</v>
      </c>
      <c r="CL11" s="319">
        <v>40700</v>
      </c>
      <c r="CM11" s="319">
        <v>40605</v>
      </c>
      <c r="CN11" s="319">
        <v>40744</v>
      </c>
      <c r="CO11" s="319">
        <v>39605</v>
      </c>
      <c r="CP11" s="319">
        <v>39100</v>
      </c>
      <c r="CQ11" s="319">
        <v>39344</v>
      </c>
      <c r="CR11" s="319">
        <v>40635</v>
      </c>
      <c r="CS11" s="346">
        <v>39997.293440000001</v>
      </c>
      <c r="CT11" s="319">
        <v>39450.739779999996</v>
      </c>
      <c r="CU11" s="319">
        <v>37761</v>
      </c>
      <c r="CV11" s="319">
        <v>37516</v>
      </c>
      <c r="CW11" s="319">
        <v>36908</v>
      </c>
      <c r="CX11" s="319">
        <v>38926</v>
      </c>
      <c r="CY11" s="319">
        <v>39342</v>
      </c>
      <c r="CZ11" s="319">
        <v>42388</v>
      </c>
      <c r="DA11" s="319">
        <v>45095</v>
      </c>
      <c r="DB11" s="319">
        <v>45491</v>
      </c>
      <c r="DC11" s="319">
        <v>45945</v>
      </c>
      <c r="DD11" s="319">
        <v>49500</v>
      </c>
      <c r="DE11" s="346">
        <v>47982</v>
      </c>
      <c r="DF11" s="319">
        <f>45714+4009</f>
        <v>49723</v>
      </c>
      <c r="DG11" s="319">
        <f>43773+3752</f>
        <v>47525</v>
      </c>
      <c r="DH11" s="319">
        <f>43458+3704</f>
        <v>47162</v>
      </c>
      <c r="DI11" s="319">
        <f>43982+3972</f>
        <v>47954</v>
      </c>
      <c r="DJ11" s="319">
        <f>47616+4084</f>
        <v>51700</v>
      </c>
      <c r="DK11" s="319">
        <v>54104.079669999999</v>
      </c>
      <c r="DL11" s="319">
        <v>54802.95276</v>
      </c>
      <c r="DM11" s="319">
        <f>62721.43363+4628</f>
        <v>67349.43363</v>
      </c>
      <c r="DN11" s="319">
        <v>65059.767930000002</v>
      </c>
      <c r="DO11" s="319">
        <v>62991.708879999998</v>
      </c>
      <c r="DP11" s="319">
        <v>65634.927790000002</v>
      </c>
      <c r="DQ11" s="319">
        <v>65157.965450000003</v>
      </c>
      <c r="DR11" s="894">
        <v>64542.034489999998</v>
      </c>
      <c r="DS11" s="319">
        <v>60541.522339999996</v>
      </c>
      <c r="DT11" s="319">
        <v>60252.499970000004</v>
      </c>
      <c r="DU11" s="319">
        <v>59038.633249999999</v>
      </c>
      <c r="DV11" s="319">
        <v>62635.957490000001</v>
      </c>
      <c r="DW11" s="319">
        <v>61811.378859999997</v>
      </c>
      <c r="DX11" s="319">
        <v>63147.586569999999</v>
      </c>
      <c r="DY11" s="319">
        <v>63235.609969999998</v>
      </c>
      <c r="DZ11" s="319">
        <v>64057.767359999998</v>
      </c>
      <c r="EA11" s="319">
        <v>65311.156739999999</v>
      </c>
      <c r="EB11" s="319">
        <v>68705.367020000005</v>
      </c>
      <c r="EC11" s="319">
        <v>69093.141669999997</v>
      </c>
      <c r="ED11" s="894">
        <v>68957.617540000007</v>
      </c>
      <c r="EE11" s="319">
        <v>69306.693480000002</v>
      </c>
      <c r="EF11" s="319">
        <v>81804.387940000001</v>
      </c>
      <c r="EG11" s="319">
        <v>68551.043829999995</v>
      </c>
      <c r="EH11" s="319">
        <v>74624.171690000003</v>
      </c>
      <c r="EI11" s="319">
        <v>73197.746020000006</v>
      </c>
      <c r="EJ11" s="319">
        <v>73834.151249999981</v>
      </c>
      <c r="EK11" s="319">
        <v>74004.073440000007</v>
      </c>
      <c r="EL11" s="319">
        <v>74113.658199999991</v>
      </c>
      <c r="EM11" s="319">
        <v>73217.274699999994</v>
      </c>
      <c r="EN11" s="319">
        <v>81093.737079999992</v>
      </c>
      <c r="EO11" s="319">
        <v>80887.688499999989</v>
      </c>
      <c r="EP11" s="894">
        <v>80233</v>
      </c>
      <c r="EQ11" s="319">
        <v>84354.11666</v>
      </c>
      <c r="ER11" s="319">
        <v>83979.383679999999</v>
      </c>
      <c r="ES11" s="319">
        <v>83831.474159999983</v>
      </c>
      <c r="ET11" s="319">
        <v>88648.54548999999</v>
      </c>
      <c r="EU11" s="319">
        <v>88975.70498000001</v>
      </c>
      <c r="EV11" s="319">
        <v>88340.941529999982</v>
      </c>
      <c r="EW11" s="319">
        <v>87509.587219999987</v>
      </c>
      <c r="EX11" s="319">
        <v>88752.44233000002</v>
      </c>
      <c r="EY11" s="319">
        <v>92259.449730000008</v>
      </c>
      <c r="EZ11" s="319">
        <v>96072.695059999998</v>
      </c>
      <c r="FA11" s="346">
        <v>96080.725849999988</v>
      </c>
      <c r="FB11" s="894">
        <v>96636.558239999998</v>
      </c>
      <c r="FC11" s="319">
        <v>94711.686369999981</v>
      </c>
      <c r="FD11" s="319">
        <v>117255.98600999998</v>
      </c>
      <c r="FE11" s="319">
        <v>116338.05916999999</v>
      </c>
      <c r="FF11" s="319">
        <v>123133.40062</v>
      </c>
      <c r="FG11" s="319">
        <v>124073.89691999998</v>
      </c>
      <c r="FH11" s="319">
        <v>126453.77484000001</v>
      </c>
      <c r="FI11" s="319">
        <v>103427.7787</v>
      </c>
      <c r="FJ11" s="319">
        <v>104544.42021</v>
      </c>
      <c r="FK11" s="319">
        <v>102420.38389000001</v>
      </c>
      <c r="FL11" s="319">
        <v>107468.45406000002</v>
      </c>
      <c r="FM11" s="346">
        <v>123818.24892000001</v>
      </c>
      <c r="FN11" s="319">
        <v>116632.45335999998</v>
      </c>
      <c r="FO11" s="319">
        <v>114594.98882</v>
      </c>
      <c r="FP11" s="319">
        <v>111268.07132</v>
      </c>
      <c r="FQ11" s="319">
        <v>112246.74456000001</v>
      </c>
      <c r="FR11" s="319">
        <v>117495.62156</v>
      </c>
      <c r="FS11" s="319">
        <v>115894.43079</v>
      </c>
      <c r="FT11" s="319">
        <v>116791.45802999998</v>
      </c>
      <c r="FU11" s="319">
        <v>118745.72885000001</v>
      </c>
      <c r="FV11" s="319">
        <v>124029.37295000003</v>
      </c>
      <c r="FW11" s="319">
        <v>123391.82309000001</v>
      </c>
      <c r="FX11" s="319">
        <v>131350.91005999999</v>
      </c>
      <c r="FY11" s="319">
        <v>135605.60118999999</v>
      </c>
      <c r="FZ11" s="894">
        <v>137273.41482999999</v>
      </c>
      <c r="GA11" s="319">
        <v>133897.65239</v>
      </c>
      <c r="GB11" s="319">
        <v>130278.96342999999</v>
      </c>
      <c r="GC11" s="319">
        <v>129919.32336000001</v>
      </c>
      <c r="GD11" s="319">
        <v>134881.34250999999</v>
      </c>
      <c r="GE11" s="319">
        <v>138352.51021000001</v>
      </c>
      <c r="GF11" s="319">
        <v>145348.26449</v>
      </c>
      <c r="GG11" s="319">
        <v>148457.81990999999</v>
      </c>
      <c r="GH11" s="319">
        <v>157078.21409000002</v>
      </c>
      <c r="GI11" s="319">
        <v>157630.40401000003</v>
      </c>
      <c r="GJ11" s="319">
        <v>164140.67859</v>
      </c>
      <c r="GK11" s="319">
        <v>162838.26126999999</v>
      </c>
      <c r="GL11" s="894">
        <v>157571.17389000001</v>
      </c>
      <c r="GM11" s="319">
        <v>155552.35311999999</v>
      </c>
      <c r="GN11" s="319">
        <v>150699.49478000001</v>
      </c>
      <c r="GO11" s="319">
        <v>148018.50070999999</v>
      </c>
      <c r="GP11" s="319">
        <v>156317.47098999994</v>
      </c>
      <c r="GQ11" s="319">
        <v>154255.40235000005</v>
      </c>
      <c r="GR11" s="319">
        <v>177533.41479000001</v>
      </c>
      <c r="GS11" s="319">
        <v>157770.90551000001</v>
      </c>
      <c r="GT11" s="319">
        <v>156518.00737000001</v>
      </c>
      <c r="GU11" s="319">
        <v>163037.70441000001</v>
      </c>
      <c r="GV11" s="319">
        <v>181045.02492</v>
      </c>
      <c r="GW11" s="346">
        <v>183466.97858</v>
      </c>
      <c r="GX11" s="894">
        <v>182975.46422999995</v>
      </c>
      <c r="GY11" s="319">
        <v>181994.5154</v>
      </c>
      <c r="GZ11" s="319">
        <v>180345.92280999999</v>
      </c>
      <c r="HA11" s="319">
        <v>178850.00569999998</v>
      </c>
      <c r="HB11" s="319">
        <v>194110.13305000003</v>
      </c>
      <c r="HC11" s="319">
        <v>201037.90052999998</v>
      </c>
      <c r="HD11" s="319">
        <v>205263.48473</v>
      </c>
      <c r="HE11" s="319">
        <v>201568.74635000003</v>
      </c>
      <c r="HF11" s="319">
        <v>199377.87651999996</v>
      </c>
      <c r="HG11" s="319">
        <v>192263.03527000002</v>
      </c>
      <c r="HH11" s="319">
        <v>206757</v>
      </c>
      <c r="HI11" s="346">
        <v>203365.18713000001</v>
      </c>
      <c r="HJ11" s="894">
        <v>178700.14214000001</v>
      </c>
      <c r="HK11" s="319">
        <v>172802.4</v>
      </c>
      <c r="HL11" s="319">
        <v>163905</v>
      </c>
      <c r="HM11" s="319">
        <v>170738</v>
      </c>
      <c r="HN11" s="319">
        <v>189303</v>
      </c>
      <c r="HO11" s="319">
        <v>186420</v>
      </c>
      <c r="HP11" s="319">
        <v>189333</v>
      </c>
      <c r="HQ11" s="319">
        <v>176501</v>
      </c>
      <c r="HR11" s="319">
        <v>182244</v>
      </c>
      <c r="HS11" s="319">
        <v>179993</v>
      </c>
      <c r="HT11" s="319">
        <v>184714</v>
      </c>
      <c r="HU11" s="319">
        <v>185490</v>
      </c>
      <c r="HV11" s="895">
        <f t="shared" si="12"/>
        <v>0.420108925149143</v>
      </c>
      <c r="HW11" s="895">
        <f t="shared" si="13"/>
        <v>-8.7896986609479981</v>
      </c>
    </row>
    <row r="12" spans="1:231" s="869" customFormat="1" ht="13.9" customHeight="1" x14ac:dyDescent="0.2">
      <c r="A12" s="890" t="s">
        <v>19</v>
      </c>
      <c r="B12" s="891">
        <f t="shared" ref="B12:AG12" si="14">SUM(B13:B15)</f>
        <v>77137.570000000007</v>
      </c>
      <c r="C12" s="646">
        <f t="shared" si="14"/>
        <v>73714.41</v>
      </c>
      <c r="D12" s="646">
        <f t="shared" si="14"/>
        <v>73472.39</v>
      </c>
      <c r="E12" s="646">
        <f t="shared" si="14"/>
        <v>75105.600000000006</v>
      </c>
      <c r="F12" s="646">
        <f t="shared" si="14"/>
        <v>77151.609999999986</v>
      </c>
      <c r="G12" s="646">
        <f t="shared" si="14"/>
        <v>76270.239999999991</v>
      </c>
      <c r="H12" s="646">
        <f t="shared" si="14"/>
        <v>81667.350000000006</v>
      </c>
      <c r="I12" s="646">
        <f t="shared" si="14"/>
        <v>81775.399999999994</v>
      </c>
      <c r="J12" s="646">
        <f t="shared" si="14"/>
        <v>84201.9</v>
      </c>
      <c r="K12" s="646">
        <f t="shared" si="14"/>
        <v>83402.700000000012</v>
      </c>
      <c r="L12" s="646">
        <f t="shared" si="14"/>
        <v>76471</v>
      </c>
      <c r="M12" s="646">
        <f t="shared" si="14"/>
        <v>71051.3</v>
      </c>
      <c r="N12" s="891">
        <f t="shared" si="14"/>
        <v>69385.399999999994</v>
      </c>
      <c r="O12" s="646">
        <f t="shared" si="14"/>
        <v>70872.100000000006</v>
      </c>
      <c r="P12" s="646">
        <f t="shared" si="14"/>
        <v>67868.5</v>
      </c>
      <c r="Q12" s="646">
        <f t="shared" si="14"/>
        <v>67386</v>
      </c>
      <c r="R12" s="646">
        <f t="shared" si="14"/>
        <v>72617.5</v>
      </c>
      <c r="S12" s="646">
        <f t="shared" si="14"/>
        <v>71271.8</v>
      </c>
      <c r="T12" s="646">
        <f t="shared" si="14"/>
        <v>72054.7</v>
      </c>
      <c r="U12" s="646">
        <f t="shared" si="14"/>
        <v>71744.399999999994</v>
      </c>
      <c r="V12" s="646">
        <f t="shared" si="14"/>
        <v>69088.600000000006</v>
      </c>
      <c r="W12" s="646">
        <f t="shared" si="14"/>
        <v>69697.200000000012</v>
      </c>
      <c r="X12" s="646">
        <f t="shared" si="14"/>
        <v>68599.61</v>
      </c>
      <c r="Y12" s="647">
        <f t="shared" si="14"/>
        <v>71856.299999999988</v>
      </c>
      <c r="Z12" s="891">
        <f t="shared" si="14"/>
        <v>69936.038</v>
      </c>
      <c r="AA12" s="646">
        <f t="shared" si="14"/>
        <v>63609.700000000004</v>
      </c>
      <c r="AB12" s="646">
        <f t="shared" si="14"/>
        <v>65126.299999999996</v>
      </c>
      <c r="AC12" s="646">
        <f t="shared" si="14"/>
        <v>61051.3</v>
      </c>
      <c r="AD12" s="646">
        <f t="shared" si="14"/>
        <v>58406.979999999996</v>
      </c>
      <c r="AE12" s="646">
        <f t="shared" si="14"/>
        <v>61995.7</v>
      </c>
      <c r="AF12" s="646">
        <f t="shared" si="14"/>
        <v>63118.96</v>
      </c>
      <c r="AG12" s="646">
        <f t="shared" si="14"/>
        <v>64037.317000000003</v>
      </c>
      <c r="AH12" s="646">
        <f t="shared" ref="AH12:BU12" si="15">SUM(AH13:AH15)</f>
        <v>65608.456999999995</v>
      </c>
      <c r="AI12" s="646">
        <f t="shared" si="15"/>
        <v>61498.19</v>
      </c>
      <c r="AJ12" s="646">
        <f t="shared" si="15"/>
        <v>60540.116999999998</v>
      </c>
      <c r="AK12" s="646">
        <f t="shared" si="15"/>
        <v>60614</v>
      </c>
      <c r="AL12" s="891">
        <f t="shared" si="15"/>
        <v>63722</v>
      </c>
      <c r="AM12" s="646">
        <f t="shared" si="15"/>
        <v>63314</v>
      </c>
      <c r="AN12" s="646">
        <f t="shared" si="15"/>
        <v>60241</v>
      </c>
      <c r="AO12" s="646">
        <f t="shared" si="15"/>
        <v>61425</v>
      </c>
      <c r="AP12" s="646">
        <f t="shared" si="15"/>
        <v>60753</v>
      </c>
      <c r="AQ12" s="646">
        <f t="shared" si="15"/>
        <v>60475</v>
      </c>
      <c r="AR12" s="646">
        <f t="shared" si="15"/>
        <v>61553</v>
      </c>
      <c r="AS12" s="646">
        <f t="shared" si="15"/>
        <v>60305</v>
      </c>
      <c r="AT12" s="646">
        <f t="shared" si="15"/>
        <v>61536</v>
      </c>
      <c r="AU12" s="646">
        <f t="shared" si="15"/>
        <v>62567</v>
      </c>
      <c r="AV12" s="646">
        <f t="shared" si="15"/>
        <v>61295</v>
      </c>
      <c r="AW12" s="647">
        <f t="shared" si="15"/>
        <v>64973</v>
      </c>
      <c r="AX12" s="891">
        <f t="shared" si="15"/>
        <v>63151.15</v>
      </c>
      <c r="AY12" s="646">
        <f t="shared" si="15"/>
        <v>61195</v>
      </c>
      <c r="AZ12" s="646">
        <f t="shared" si="15"/>
        <v>59827</v>
      </c>
      <c r="BA12" s="646">
        <f t="shared" si="15"/>
        <v>59339</v>
      </c>
      <c r="BB12" s="646">
        <f t="shared" si="15"/>
        <v>60005</v>
      </c>
      <c r="BC12" s="646">
        <f t="shared" si="15"/>
        <v>60142</v>
      </c>
      <c r="BD12" s="646">
        <f t="shared" si="15"/>
        <v>59934</v>
      </c>
      <c r="BE12" s="646">
        <f t="shared" si="15"/>
        <v>60614</v>
      </c>
      <c r="BF12" s="646">
        <f t="shared" si="15"/>
        <v>61269</v>
      </c>
      <c r="BG12" s="646">
        <f t="shared" si="15"/>
        <v>59968</v>
      </c>
      <c r="BH12" s="646">
        <f t="shared" si="15"/>
        <v>61350</v>
      </c>
      <c r="BI12" s="647">
        <f t="shared" si="15"/>
        <v>63973</v>
      </c>
      <c r="BJ12" s="646">
        <f t="shared" si="15"/>
        <v>58564</v>
      </c>
      <c r="BK12" s="646">
        <f t="shared" si="15"/>
        <v>58041</v>
      </c>
      <c r="BL12" s="646">
        <f t="shared" si="15"/>
        <v>58337</v>
      </c>
      <c r="BM12" s="646">
        <f t="shared" si="15"/>
        <v>56070</v>
      </c>
      <c r="BN12" s="646">
        <f t="shared" si="15"/>
        <v>56946</v>
      </c>
      <c r="BO12" s="646">
        <f t="shared" si="15"/>
        <v>58169</v>
      </c>
      <c r="BP12" s="646">
        <f t="shared" si="15"/>
        <v>59245</v>
      </c>
      <c r="BQ12" s="646">
        <f t="shared" si="15"/>
        <v>58270</v>
      </c>
      <c r="BR12" s="646">
        <f t="shared" si="15"/>
        <v>56780</v>
      </c>
      <c r="BS12" s="646">
        <f t="shared" si="15"/>
        <v>53721</v>
      </c>
      <c r="BT12" s="646">
        <f t="shared" si="15"/>
        <v>54622</v>
      </c>
      <c r="BU12" s="646">
        <f t="shared" si="15"/>
        <v>54455</v>
      </c>
      <c r="BV12" s="891">
        <v>9143.6914800000013</v>
      </c>
      <c r="BW12" s="646">
        <f t="shared" ref="BW12:EH12" si="16">SUM(BW13:BW15)</f>
        <v>52488</v>
      </c>
      <c r="BX12" s="646">
        <f t="shared" si="16"/>
        <v>44023</v>
      </c>
      <c r="BY12" s="646">
        <f t="shared" si="16"/>
        <v>45842</v>
      </c>
      <c r="BZ12" s="646">
        <f t="shared" si="16"/>
        <v>46965</v>
      </c>
      <c r="CA12" s="646">
        <f t="shared" si="16"/>
        <v>50273</v>
      </c>
      <c r="CB12" s="646">
        <f t="shared" si="16"/>
        <v>55682</v>
      </c>
      <c r="CC12" s="646">
        <f t="shared" si="16"/>
        <v>55998</v>
      </c>
      <c r="CD12" s="646">
        <f t="shared" si="16"/>
        <v>58139</v>
      </c>
      <c r="CE12" s="646">
        <f t="shared" si="16"/>
        <v>61991</v>
      </c>
      <c r="CF12" s="646">
        <f t="shared" si="16"/>
        <v>63362</v>
      </c>
      <c r="CG12" s="647">
        <f t="shared" si="16"/>
        <v>60768</v>
      </c>
      <c r="CH12" s="646">
        <f t="shared" si="16"/>
        <v>60027</v>
      </c>
      <c r="CI12" s="646">
        <f t="shared" si="16"/>
        <v>62407</v>
      </c>
      <c r="CJ12" s="646">
        <f t="shared" si="16"/>
        <v>63389</v>
      </c>
      <c r="CK12" s="646">
        <f t="shared" si="16"/>
        <v>57973</v>
      </c>
      <c r="CL12" s="646">
        <f t="shared" si="16"/>
        <v>59167</v>
      </c>
      <c r="CM12" s="646">
        <f t="shared" si="16"/>
        <v>59450</v>
      </c>
      <c r="CN12" s="646">
        <f t="shared" si="16"/>
        <v>57642</v>
      </c>
      <c r="CO12" s="646">
        <f t="shared" si="16"/>
        <v>58944</v>
      </c>
      <c r="CP12" s="646">
        <f t="shared" si="16"/>
        <v>59221</v>
      </c>
      <c r="CQ12" s="646">
        <f t="shared" si="16"/>
        <v>59258</v>
      </c>
      <c r="CR12" s="646">
        <f t="shared" si="16"/>
        <v>57778</v>
      </c>
      <c r="CS12" s="647">
        <f t="shared" si="16"/>
        <v>59828.896649999995</v>
      </c>
      <c r="CT12" s="646">
        <f t="shared" si="16"/>
        <v>57250.861399999994</v>
      </c>
      <c r="CU12" s="646">
        <f t="shared" si="16"/>
        <v>57690</v>
      </c>
      <c r="CV12" s="646">
        <f t="shared" si="16"/>
        <v>55763</v>
      </c>
      <c r="CW12" s="646">
        <f t="shared" si="16"/>
        <v>55786</v>
      </c>
      <c r="CX12" s="646">
        <f t="shared" si="16"/>
        <v>55736</v>
      </c>
      <c r="CY12" s="646">
        <f t="shared" si="16"/>
        <v>56460</v>
      </c>
      <c r="CZ12" s="646">
        <f t="shared" si="16"/>
        <v>58004</v>
      </c>
      <c r="DA12" s="646">
        <f t="shared" si="16"/>
        <v>58371</v>
      </c>
      <c r="DB12" s="646">
        <f t="shared" si="16"/>
        <v>59880</v>
      </c>
      <c r="DC12" s="646">
        <f t="shared" si="16"/>
        <v>57998</v>
      </c>
      <c r="DD12" s="646">
        <f t="shared" si="16"/>
        <v>61830</v>
      </c>
      <c r="DE12" s="647">
        <f t="shared" si="16"/>
        <v>61343</v>
      </c>
      <c r="DF12" s="646">
        <f t="shared" si="16"/>
        <v>64967.4</v>
      </c>
      <c r="DG12" s="646">
        <f t="shared" si="16"/>
        <v>62557.4</v>
      </c>
      <c r="DH12" s="646">
        <f t="shared" si="16"/>
        <v>62613.4</v>
      </c>
      <c r="DI12" s="646">
        <f t="shared" si="16"/>
        <v>65473.5</v>
      </c>
      <c r="DJ12" s="646">
        <f t="shared" si="16"/>
        <v>65728</v>
      </c>
      <c r="DK12" s="646">
        <f t="shared" si="16"/>
        <v>66709.533230000001</v>
      </c>
      <c r="DL12" s="646">
        <f t="shared" si="16"/>
        <v>69353.304739999992</v>
      </c>
      <c r="DM12" s="646">
        <f t="shared" si="16"/>
        <v>74156.118300000002</v>
      </c>
      <c r="DN12" s="646">
        <f t="shared" si="16"/>
        <v>73741.123269999996</v>
      </c>
      <c r="DO12" s="646">
        <f t="shared" si="16"/>
        <v>70764.684999999998</v>
      </c>
      <c r="DP12" s="646">
        <f t="shared" si="16"/>
        <v>71934.407449999999</v>
      </c>
      <c r="DQ12" s="646">
        <f t="shared" si="16"/>
        <v>74090.453710000002</v>
      </c>
      <c r="DR12" s="891">
        <f t="shared" si="16"/>
        <v>73155.506849999991</v>
      </c>
      <c r="DS12" s="646">
        <f t="shared" si="16"/>
        <v>72201.636800000007</v>
      </c>
      <c r="DT12" s="646">
        <f t="shared" si="16"/>
        <v>64005.583300000006</v>
      </c>
      <c r="DU12" s="646">
        <f t="shared" si="16"/>
        <v>63008.483810000005</v>
      </c>
      <c r="DV12" s="646">
        <f t="shared" si="16"/>
        <v>63468.752940000006</v>
      </c>
      <c r="DW12" s="646">
        <f t="shared" si="16"/>
        <v>77125.12215000001</v>
      </c>
      <c r="DX12" s="646">
        <f t="shared" si="16"/>
        <v>74428.951239999995</v>
      </c>
      <c r="DY12" s="646">
        <f t="shared" si="16"/>
        <v>72169.256649999996</v>
      </c>
      <c r="DZ12" s="646">
        <f t="shared" si="16"/>
        <v>71101.585090000008</v>
      </c>
      <c r="EA12" s="646">
        <f t="shared" si="16"/>
        <v>70259.429749999996</v>
      </c>
      <c r="EB12" s="646">
        <f t="shared" si="16"/>
        <v>72351.834180000005</v>
      </c>
      <c r="EC12" s="646">
        <f t="shared" si="16"/>
        <v>71486.625459999996</v>
      </c>
      <c r="ED12" s="891">
        <f t="shared" si="16"/>
        <v>69528.263680000004</v>
      </c>
      <c r="EE12" s="646">
        <f t="shared" si="16"/>
        <v>63111.867029999994</v>
      </c>
      <c r="EF12" s="646">
        <f t="shared" si="16"/>
        <v>85841.724669999996</v>
      </c>
      <c r="EG12" s="646">
        <f t="shared" si="16"/>
        <v>64590.223240000007</v>
      </c>
      <c r="EH12" s="646">
        <f t="shared" si="16"/>
        <v>67640.521260000009</v>
      </c>
      <c r="EI12" s="646">
        <f t="shared" ref="EI12:GT12" si="17">SUM(EI13:EI15)</f>
        <v>79294.040609999996</v>
      </c>
      <c r="EJ12" s="646">
        <f t="shared" si="17"/>
        <v>77484.372289999999</v>
      </c>
      <c r="EK12" s="646">
        <f t="shared" si="17"/>
        <v>77295.876459999999</v>
      </c>
      <c r="EL12" s="646">
        <f t="shared" si="17"/>
        <v>77506.262610000005</v>
      </c>
      <c r="EM12" s="646">
        <f t="shared" si="17"/>
        <v>76731.678400000004</v>
      </c>
      <c r="EN12" s="646">
        <f t="shared" si="17"/>
        <v>76705.315660000007</v>
      </c>
      <c r="EO12" s="646">
        <f t="shared" si="17"/>
        <v>76544.964889999988</v>
      </c>
      <c r="EP12" s="891">
        <f t="shared" si="17"/>
        <v>75758</v>
      </c>
      <c r="EQ12" s="646">
        <f t="shared" si="17"/>
        <v>76773.078150000001</v>
      </c>
      <c r="ER12" s="646">
        <f t="shared" si="17"/>
        <v>76888.806960000002</v>
      </c>
      <c r="ES12" s="646">
        <f t="shared" si="17"/>
        <v>86060.571250000008</v>
      </c>
      <c r="ET12" s="646">
        <f t="shared" si="17"/>
        <v>85408.177640000009</v>
      </c>
      <c r="EU12" s="646">
        <f t="shared" si="17"/>
        <v>85801.413230000006</v>
      </c>
      <c r="EV12" s="646">
        <f t="shared" si="17"/>
        <v>89426.365990000006</v>
      </c>
      <c r="EW12" s="646">
        <f t="shared" si="17"/>
        <v>86094.183380000017</v>
      </c>
      <c r="EX12" s="646">
        <f t="shared" si="17"/>
        <v>88884.665270000012</v>
      </c>
      <c r="EY12" s="646">
        <f t="shared" si="17"/>
        <v>84480.432860000001</v>
      </c>
      <c r="EZ12" s="646">
        <f t="shared" si="17"/>
        <v>84387.848939999996</v>
      </c>
      <c r="FA12" s="647">
        <f t="shared" si="17"/>
        <v>81600.01268</v>
      </c>
      <c r="FB12" s="891">
        <f t="shared" si="17"/>
        <v>91112.941059999997</v>
      </c>
      <c r="FC12" s="646">
        <f t="shared" si="17"/>
        <v>94476.948460000014</v>
      </c>
      <c r="FD12" s="646">
        <f t="shared" si="17"/>
        <v>100554.82871</v>
      </c>
      <c r="FE12" s="646">
        <f t="shared" si="17"/>
        <v>107657.54879000002</v>
      </c>
      <c r="FF12" s="646">
        <f t="shared" si="17"/>
        <v>115426.69665</v>
      </c>
      <c r="FG12" s="646">
        <f t="shared" si="17"/>
        <v>115365.72038000001</v>
      </c>
      <c r="FH12" s="646">
        <f t="shared" si="17"/>
        <v>106199.11898</v>
      </c>
      <c r="FI12" s="646">
        <f t="shared" si="17"/>
        <v>103813.78547999999</v>
      </c>
      <c r="FJ12" s="646">
        <f t="shared" si="17"/>
        <v>109526.99103999999</v>
      </c>
      <c r="FK12" s="646">
        <f t="shared" si="17"/>
        <v>107288.44675999998</v>
      </c>
      <c r="FL12" s="646">
        <f t="shared" si="17"/>
        <v>112101.21827000001</v>
      </c>
      <c r="FM12" s="647">
        <f t="shared" si="17"/>
        <v>111284.39563999999</v>
      </c>
      <c r="FN12" s="646">
        <f t="shared" si="17"/>
        <v>115409.78211</v>
      </c>
      <c r="FO12" s="646">
        <f t="shared" si="17"/>
        <v>120331.01186999999</v>
      </c>
      <c r="FP12" s="646">
        <f t="shared" si="17"/>
        <v>111623.96924000001</v>
      </c>
      <c r="FQ12" s="646">
        <f t="shared" si="17"/>
        <v>107222.51436999999</v>
      </c>
      <c r="FR12" s="646">
        <f t="shared" si="17"/>
        <v>103582.00543</v>
      </c>
      <c r="FS12" s="646">
        <f t="shared" si="17"/>
        <v>103079.62437000001</v>
      </c>
      <c r="FT12" s="646">
        <f t="shared" si="17"/>
        <v>107520.82694999999</v>
      </c>
      <c r="FU12" s="646">
        <f t="shared" si="17"/>
        <v>102492.15479</v>
      </c>
      <c r="FV12" s="646">
        <f t="shared" si="17"/>
        <v>102081.02711000001</v>
      </c>
      <c r="FW12" s="646">
        <f t="shared" si="17"/>
        <v>108899.8483</v>
      </c>
      <c r="FX12" s="646">
        <f t="shared" si="17"/>
        <v>110075.28706</v>
      </c>
      <c r="FY12" s="646">
        <f t="shared" si="17"/>
        <v>114648.00331</v>
      </c>
      <c r="FZ12" s="891">
        <f t="shared" si="17"/>
        <v>113482.42087999999</v>
      </c>
      <c r="GA12" s="646">
        <f t="shared" si="17"/>
        <v>106203.54822000001</v>
      </c>
      <c r="GB12" s="646">
        <f t="shared" si="17"/>
        <v>103760.92802000002</v>
      </c>
      <c r="GC12" s="646">
        <f t="shared" si="17"/>
        <v>106237.03994000002</v>
      </c>
      <c r="GD12" s="646">
        <f t="shared" si="17"/>
        <v>109727.62062999999</v>
      </c>
      <c r="GE12" s="646">
        <f t="shared" si="17"/>
        <v>117233.88958000002</v>
      </c>
      <c r="GF12" s="646">
        <f t="shared" si="17"/>
        <v>117864.37925</v>
      </c>
      <c r="GG12" s="646">
        <f t="shared" si="17"/>
        <v>114757.66006000002</v>
      </c>
      <c r="GH12" s="646">
        <f t="shared" si="17"/>
        <v>108548.14197999999</v>
      </c>
      <c r="GI12" s="646">
        <f t="shared" si="17"/>
        <v>109213.68289</v>
      </c>
      <c r="GJ12" s="646">
        <f t="shared" si="17"/>
        <v>108198.31493999998</v>
      </c>
      <c r="GK12" s="646">
        <f t="shared" si="17"/>
        <v>111736.42616</v>
      </c>
      <c r="GL12" s="891">
        <f t="shared" si="17"/>
        <v>116977.49951000001</v>
      </c>
      <c r="GM12" s="646">
        <f t="shared" si="17"/>
        <v>118806.61375000002</v>
      </c>
      <c r="GN12" s="646">
        <f t="shared" si="17"/>
        <v>117583.99165000001</v>
      </c>
      <c r="GO12" s="646">
        <f t="shared" si="17"/>
        <v>115546.60411</v>
      </c>
      <c r="GP12" s="646">
        <f t="shared" si="17"/>
        <v>115172.35692000001</v>
      </c>
      <c r="GQ12" s="646">
        <f t="shared" si="17"/>
        <v>122723.62386999998</v>
      </c>
      <c r="GR12" s="646">
        <f t="shared" si="17"/>
        <v>117534.38023</v>
      </c>
      <c r="GS12" s="646">
        <f t="shared" si="17"/>
        <v>118557.0886</v>
      </c>
      <c r="GT12" s="646">
        <f t="shared" si="17"/>
        <v>124592.15533000002</v>
      </c>
      <c r="GU12" s="646">
        <f t="shared" ref="GU12:HU12" si="18">SUM(GU13:GU15)</f>
        <v>122003.11207</v>
      </c>
      <c r="GV12" s="646">
        <f t="shared" si="18"/>
        <v>125423.61722000001</v>
      </c>
      <c r="GW12" s="647">
        <f t="shared" si="18"/>
        <v>127170.01496</v>
      </c>
      <c r="GX12" s="891">
        <f t="shared" si="18"/>
        <v>131243.11077</v>
      </c>
      <c r="GY12" s="646">
        <f t="shared" si="18"/>
        <v>127289.29243</v>
      </c>
      <c r="GZ12" s="646">
        <f t="shared" si="18"/>
        <v>122139.14763000002</v>
      </c>
      <c r="HA12" s="646">
        <f t="shared" si="18"/>
        <v>117382.16566</v>
      </c>
      <c r="HB12" s="646">
        <f t="shared" si="18"/>
        <v>122395.73454</v>
      </c>
      <c r="HC12" s="646">
        <f t="shared" si="18"/>
        <v>129650.50034</v>
      </c>
      <c r="HD12" s="646">
        <f t="shared" si="18"/>
        <v>124852.65539999999</v>
      </c>
      <c r="HE12" s="646">
        <f t="shared" si="18"/>
        <v>124629.66669</v>
      </c>
      <c r="HF12" s="646">
        <f t="shared" si="18"/>
        <v>135324.33633999998</v>
      </c>
      <c r="HG12" s="646">
        <f t="shared" si="18"/>
        <v>139439.09204000002</v>
      </c>
      <c r="HH12" s="646">
        <f t="shared" si="18"/>
        <v>139286</v>
      </c>
      <c r="HI12" s="647">
        <f t="shared" si="18"/>
        <v>135937.60131</v>
      </c>
      <c r="HJ12" s="891">
        <f t="shared" si="18"/>
        <v>128312.35986999999</v>
      </c>
      <c r="HK12" s="646">
        <f t="shared" si="18"/>
        <v>130171.4</v>
      </c>
      <c r="HL12" s="646">
        <f t="shared" si="18"/>
        <v>127267</v>
      </c>
      <c r="HM12" s="646">
        <f t="shared" si="18"/>
        <v>125968</v>
      </c>
      <c r="HN12" s="646">
        <f t="shared" si="18"/>
        <v>122818.4</v>
      </c>
      <c r="HO12" s="646">
        <f t="shared" si="18"/>
        <v>127674.1</v>
      </c>
      <c r="HP12" s="646">
        <f t="shared" si="18"/>
        <v>130049.5</v>
      </c>
      <c r="HQ12" s="646">
        <f t="shared" si="18"/>
        <v>136207.79999999999</v>
      </c>
      <c r="HR12" s="646">
        <f t="shared" si="18"/>
        <v>132752</v>
      </c>
      <c r="HS12" s="646">
        <f t="shared" si="18"/>
        <v>137778</v>
      </c>
      <c r="HT12" s="646">
        <f t="shared" si="18"/>
        <v>143792</v>
      </c>
      <c r="HU12" s="646">
        <f t="shared" si="18"/>
        <v>143933.1</v>
      </c>
      <c r="HV12" s="892">
        <f t="shared" si="12"/>
        <v>9.8127851340823469E-2</v>
      </c>
      <c r="HW12" s="892">
        <f t="shared" si="13"/>
        <v>5.8817417792790261</v>
      </c>
    </row>
    <row r="13" spans="1:231" ht="13.9" customHeight="1" x14ac:dyDescent="0.2">
      <c r="A13" s="893" t="s">
        <v>16</v>
      </c>
      <c r="B13" s="894">
        <v>5269.48</v>
      </c>
      <c r="C13" s="319">
        <v>4355.7</v>
      </c>
      <c r="D13" s="319">
        <v>4020.6</v>
      </c>
      <c r="E13" s="319">
        <v>5343.71</v>
      </c>
      <c r="F13" s="319">
        <v>6014.9</v>
      </c>
      <c r="G13" s="319">
        <v>5566.6</v>
      </c>
      <c r="H13" s="319">
        <v>7234.54</v>
      </c>
      <c r="I13" s="319">
        <v>7461.4</v>
      </c>
      <c r="J13" s="319">
        <v>8063.8</v>
      </c>
      <c r="K13" s="319">
        <v>9780</v>
      </c>
      <c r="L13" s="319">
        <v>9740</v>
      </c>
      <c r="M13" s="319">
        <v>6707.2</v>
      </c>
      <c r="N13" s="894">
        <v>5729.7</v>
      </c>
      <c r="O13" s="319">
        <v>5509.6</v>
      </c>
      <c r="P13" s="319">
        <v>5026.8</v>
      </c>
      <c r="Q13" s="319">
        <v>4933.1000000000004</v>
      </c>
      <c r="R13" s="319">
        <v>6058.3</v>
      </c>
      <c r="S13" s="319">
        <v>6224</v>
      </c>
      <c r="T13" s="319">
        <v>6487.8</v>
      </c>
      <c r="U13" s="319">
        <v>6834.3</v>
      </c>
      <c r="V13" s="319">
        <v>5776.8</v>
      </c>
      <c r="W13" s="319">
        <v>6691.6</v>
      </c>
      <c r="X13" s="319">
        <v>6741.39</v>
      </c>
      <c r="Y13" s="346">
        <v>9347.2999999999993</v>
      </c>
      <c r="Z13" s="894">
        <v>6643.56</v>
      </c>
      <c r="AA13" s="319">
        <v>6621.6</v>
      </c>
      <c r="AB13" s="319">
        <v>7397.4</v>
      </c>
      <c r="AC13" s="319">
        <v>7754.46</v>
      </c>
      <c r="AD13" s="319">
        <v>5377.5</v>
      </c>
      <c r="AE13" s="319">
        <v>8767.2000000000007</v>
      </c>
      <c r="AF13" s="319">
        <v>8211.7800000000007</v>
      </c>
      <c r="AG13" s="319">
        <v>9164.2019999999993</v>
      </c>
      <c r="AH13" s="319">
        <v>8257.3950000000004</v>
      </c>
      <c r="AI13" s="319">
        <v>7906</v>
      </c>
      <c r="AJ13" s="319">
        <v>8075.8670000000011</v>
      </c>
      <c r="AK13" s="319">
        <v>8333</v>
      </c>
      <c r="AL13" s="894">
        <v>6246</v>
      </c>
      <c r="AM13" s="319">
        <v>6528</v>
      </c>
      <c r="AN13" s="319">
        <v>4852</v>
      </c>
      <c r="AO13" s="319">
        <v>5200</v>
      </c>
      <c r="AP13" s="319">
        <v>4972</v>
      </c>
      <c r="AQ13" s="319">
        <v>4105</v>
      </c>
      <c r="AR13" s="319">
        <v>6169</v>
      </c>
      <c r="AS13" s="319">
        <v>4482</v>
      </c>
      <c r="AT13" s="319">
        <v>4827</v>
      </c>
      <c r="AU13" s="319">
        <v>5420</v>
      </c>
      <c r="AV13" s="319">
        <v>5296</v>
      </c>
      <c r="AW13" s="346">
        <v>6719</v>
      </c>
      <c r="AX13" s="894">
        <v>6967</v>
      </c>
      <c r="AY13" s="319">
        <v>5067</v>
      </c>
      <c r="AZ13" s="319">
        <v>5217</v>
      </c>
      <c r="BA13" s="319">
        <v>5324</v>
      </c>
      <c r="BB13" s="319">
        <v>4386</v>
      </c>
      <c r="BC13" s="319">
        <v>4131</v>
      </c>
      <c r="BD13" s="319">
        <v>5238</v>
      </c>
      <c r="BE13" s="319">
        <v>5185</v>
      </c>
      <c r="BF13" s="319">
        <v>6603</v>
      </c>
      <c r="BG13" s="319">
        <v>6371</v>
      </c>
      <c r="BH13" s="319">
        <v>7659</v>
      </c>
      <c r="BI13" s="346">
        <v>11859</v>
      </c>
      <c r="BJ13" s="319">
        <v>6973</v>
      </c>
      <c r="BK13" s="319">
        <v>7625</v>
      </c>
      <c r="BL13" s="319">
        <v>7102</v>
      </c>
      <c r="BM13" s="319">
        <v>6093</v>
      </c>
      <c r="BN13" s="319">
        <v>7709</v>
      </c>
      <c r="BO13" s="319">
        <v>8023</v>
      </c>
      <c r="BP13" s="319">
        <v>8823</v>
      </c>
      <c r="BQ13" s="319">
        <v>10537</v>
      </c>
      <c r="BR13" s="319">
        <v>9618</v>
      </c>
      <c r="BS13" s="319">
        <v>7767</v>
      </c>
      <c r="BT13" s="319">
        <v>6430</v>
      </c>
      <c r="BU13" s="319">
        <v>6595</v>
      </c>
      <c r="BV13" s="894">
        <v>887.25094999999999</v>
      </c>
      <c r="BW13" s="319">
        <v>7456</v>
      </c>
      <c r="BX13" s="319">
        <v>5582</v>
      </c>
      <c r="BY13" s="319">
        <v>6101</v>
      </c>
      <c r="BZ13" s="319">
        <v>6869</v>
      </c>
      <c r="CA13" s="319">
        <v>6968</v>
      </c>
      <c r="CB13" s="319">
        <v>11692</v>
      </c>
      <c r="CC13" s="319">
        <v>9842</v>
      </c>
      <c r="CD13" s="319">
        <v>8434</v>
      </c>
      <c r="CE13" s="319">
        <v>10277</v>
      </c>
      <c r="CF13" s="319">
        <v>10106</v>
      </c>
      <c r="CG13" s="346">
        <v>6949</v>
      </c>
      <c r="CH13" s="319">
        <v>6572</v>
      </c>
      <c r="CI13" s="319">
        <v>7816</v>
      </c>
      <c r="CJ13" s="319">
        <v>9064</v>
      </c>
      <c r="CK13" s="319">
        <v>8104</v>
      </c>
      <c r="CL13" s="319">
        <v>8585</v>
      </c>
      <c r="CM13" s="319">
        <v>10312</v>
      </c>
      <c r="CN13" s="319">
        <v>8912</v>
      </c>
      <c r="CO13" s="319">
        <v>10683</v>
      </c>
      <c r="CP13" s="319">
        <v>9636</v>
      </c>
      <c r="CQ13" s="319">
        <v>9036</v>
      </c>
      <c r="CR13" s="319">
        <v>8815</v>
      </c>
      <c r="CS13" s="346">
        <v>10792.668339999998</v>
      </c>
      <c r="CT13" s="319">
        <v>8434.4589699999997</v>
      </c>
      <c r="CU13" s="319">
        <v>9836</v>
      </c>
      <c r="CV13" s="319">
        <v>8213</v>
      </c>
      <c r="CW13" s="319">
        <v>8579</v>
      </c>
      <c r="CX13" s="319">
        <v>9274</v>
      </c>
      <c r="CY13" s="319">
        <v>10181</v>
      </c>
      <c r="CZ13" s="319">
        <v>10771</v>
      </c>
      <c r="DA13" s="319">
        <v>12048</v>
      </c>
      <c r="DB13" s="319">
        <v>13684</v>
      </c>
      <c r="DC13" s="319">
        <v>11406</v>
      </c>
      <c r="DD13" s="319">
        <v>10192</v>
      </c>
      <c r="DE13" s="346">
        <v>11635</v>
      </c>
      <c r="DF13" s="319">
        <f>11809+439</f>
        <v>12248</v>
      </c>
      <c r="DG13" s="319">
        <f>9737+465</f>
        <v>10202</v>
      </c>
      <c r="DH13" s="319">
        <f>9170+472</f>
        <v>9642</v>
      </c>
      <c r="DI13" s="319">
        <f>10899+475</f>
        <v>11374</v>
      </c>
      <c r="DJ13" s="319">
        <f>9966+470</f>
        <v>10436</v>
      </c>
      <c r="DK13" s="319">
        <v>11536.927379999999</v>
      </c>
      <c r="DL13" s="319">
        <v>12897.10786</v>
      </c>
      <c r="DM13" s="319">
        <v>13199.680630000001</v>
      </c>
      <c r="DN13" s="319">
        <v>13179.052879999999</v>
      </c>
      <c r="DO13" s="319">
        <v>12541.8961</v>
      </c>
      <c r="DP13" s="319">
        <v>13819.34281</v>
      </c>
      <c r="DQ13" s="319">
        <v>13014.19584</v>
      </c>
      <c r="DR13" s="894">
        <v>10701.31559</v>
      </c>
      <c r="DS13" s="319">
        <v>13761.3637</v>
      </c>
      <c r="DT13" s="319">
        <v>12541.91649</v>
      </c>
      <c r="DU13" s="319">
        <v>12332.511560000001</v>
      </c>
      <c r="DV13" s="319">
        <v>9800.5630400000009</v>
      </c>
      <c r="DW13" s="319">
        <v>15306.85102</v>
      </c>
      <c r="DX13" s="319">
        <v>14635.196959999999</v>
      </c>
      <c r="DY13" s="319">
        <v>13514.97568</v>
      </c>
      <c r="DZ13" s="319">
        <v>12860.11904</v>
      </c>
      <c r="EA13" s="319">
        <v>9798.4128999999994</v>
      </c>
      <c r="EB13" s="319">
        <v>11346.032209999999</v>
      </c>
      <c r="EC13" s="319">
        <v>14151.57625</v>
      </c>
      <c r="ED13" s="894">
        <v>12786.979649999999</v>
      </c>
      <c r="EE13" s="319">
        <v>9898.5999499999998</v>
      </c>
      <c r="EF13" s="319">
        <v>10736.583350000001</v>
      </c>
      <c r="EG13" s="319">
        <v>10496.366550000001</v>
      </c>
      <c r="EH13" s="319">
        <v>11205.883459999999</v>
      </c>
      <c r="EI13" s="319">
        <v>11781.52051</v>
      </c>
      <c r="EJ13" s="319">
        <v>11982.723150000003</v>
      </c>
      <c r="EK13" s="319">
        <v>11336.719699999998</v>
      </c>
      <c r="EL13" s="319">
        <v>11164.938609999999</v>
      </c>
      <c r="EM13" s="319">
        <v>10000.6394</v>
      </c>
      <c r="EN13" s="319">
        <v>11954.404340000001</v>
      </c>
      <c r="EO13" s="319">
        <v>14741.416099999999</v>
      </c>
      <c r="EP13" s="894">
        <v>13013</v>
      </c>
      <c r="EQ13" s="319">
        <v>14802.7101</v>
      </c>
      <c r="ER13" s="319">
        <v>13832.815689999999</v>
      </c>
      <c r="ES13" s="319">
        <v>19470.91012</v>
      </c>
      <c r="ET13" s="319">
        <v>19097.764580000003</v>
      </c>
      <c r="EU13" s="319">
        <v>15411.273359999999</v>
      </c>
      <c r="EV13" s="319">
        <v>17603.78602</v>
      </c>
      <c r="EW13" s="319">
        <v>14728.968159999999</v>
      </c>
      <c r="EX13" s="319">
        <v>18422.919630000004</v>
      </c>
      <c r="EY13" s="319">
        <v>15699.313660000002</v>
      </c>
      <c r="EZ13" s="319">
        <v>15624.677649999998</v>
      </c>
      <c r="FA13" s="346">
        <v>15106.019179999999</v>
      </c>
      <c r="FB13" s="894">
        <v>18552.886500000001</v>
      </c>
      <c r="FC13" s="319">
        <v>18211.045209999997</v>
      </c>
      <c r="FD13" s="319">
        <v>17178.364269999998</v>
      </c>
      <c r="FE13" s="319">
        <v>23063.733500000006</v>
      </c>
      <c r="FF13" s="319">
        <v>27171.39358</v>
      </c>
      <c r="FG13" s="319">
        <v>29365.945159999999</v>
      </c>
      <c r="FH13" s="319">
        <v>21264.126479999999</v>
      </c>
      <c r="FI13" s="319">
        <v>24218.13004</v>
      </c>
      <c r="FJ13" s="319">
        <v>29204.758260000002</v>
      </c>
      <c r="FK13" s="319">
        <v>29165.450349999999</v>
      </c>
      <c r="FL13" s="319">
        <v>29647.987710000005</v>
      </c>
      <c r="FM13" s="346">
        <v>29279.921170000005</v>
      </c>
      <c r="FN13" s="319">
        <v>30291.934260000005</v>
      </c>
      <c r="FO13" s="319">
        <v>33626.313719999998</v>
      </c>
      <c r="FP13" s="319">
        <v>30073.593390000002</v>
      </c>
      <c r="FQ13" s="319">
        <v>27381.976339999994</v>
      </c>
      <c r="FR13" s="319">
        <v>24872.181919999995</v>
      </c>
      <c r="FS13" s="319">
        <v>24750.571110000004</v>
      </c>
      <c r="FT13" s="319">
        <v>28076.222699999998</v>
      </c>
      <c r="FU13" s="319">
        <v>21404.76023</v>
      </c>
      <c r="FV13" s="319">
        <v>21106.859519999998</v>
      </c>
      <c r="FW13" s="319">
        <v>27886.905119999996</v>
      </c>
      <c r="FX13" s="319">
        <v>27030.340780000002</v>
      </c>
      <c r="FY13" s="319">
        <v>32265.764110000004</v>
      </c>
      <c r="FZ13" s="894">
        <v>34090.616260000003</v>
      </c>
      <c r="GA13" s="319">
        <v>29432.810460000001</v>
      </c>
      <c r="GB13" s="319">
        <v>27122.763320000005</v>
      </c>
      <c r="GC13" s="319">
        <v>27162.444739999995</v>
      </c>
      <c r="GD13" s="319">
        <v>31851.713290000003</v>
      </c>
      <c r="GE13" s="319">
        <v>38531.978840000011</v>
      </c>
      <c r="GF13" s="319">
        <v>40146.998879999999</v>
      </c>
      <c r="GG13" s="319">
        <v>34865.56296000001</v>
      </c>
      <c r="GH13" s="319">
        <v>29048.0399</v>
      </c>
      <c r="GI13" s="319">
        <v>28346.862139999997</v>
      </c>
      <c r="GJ13" s="319">
        <v>28899.491809999996</v>
      </c>
      <c r="GK13" s="319">
        <v>28693.281009999999</v>
      </c>
      <c r="GL13" s="894">
        <v>34204.02132</v>
      </c>
      <c r="GM13" s="319">
        <v>36352.438180000005</v>
      </c>
      <c r="GN13" s="319">
        <v>34474.662440000007</v>
      </c>
      <c r="GO13" s="319">
        <v>33434.870510000001</v>
      </c>
      <c r="GP13" s="319">
        <v>32748.577930000003</v>
      </c>
      <c r="GQ13" s="319">
        <v>38816.184359999992</v>
      </c>
      <c r="GR13" s="319">
        <v>33286.033689999997</v>
      </c>
      <c r="GS13" s="319">
        <v>34348.151280000005</v>
      </c>
      <c r="GT13" s="319">
        <v>35845.698480000006</v>
      </c>
      <c r="GU13" s="319">
        <v>32629.097529999999</v>
      </c>
      <c r="GV13" s="319">
        <v>29068.623429999996</v>
      </c>
      <c r="GW13" s="346">
        <v>32420.321449999996</v>
      </c>
      <c r="GX13" s="894">
        <v>33353.406150000003</v>
      </c>
      <c r="GY13" s="319">
        <v>34411.91476</v>
      </c>
      <c r="GZ13" s="319">
        <v>32404.617130000006</v>
      </c>
      <c r="HA13" s="319">
        <v>27220.097460000001</v>
      </c>
      <c r="HB13" s="319">
        <v>30672.366910000004</v>
      </c>
      <c r="HC13" s="319">
        <v>38693.220590000004</v>
      </c>
      <c r="HD13" s="319">
        <v>35396.42828</v>
      </c>
      <c r="HE13" s="319">
        <v>34755.576610000004</v>
      </c>
      <c r="HF13" s="319">
        <v>42634.17035</v>
      </c>
      <c r="HG13" s="319">
        <v>48672.71974</v>
      </c>
      <c r="HH13" s="319">
        <v>46929</v>
      </c>
      <c r="HI13" s="346">
        <v>49147.95579</v>
      </c>
      <c r="HJ13" s="894">
        <v>41769.291539999991</v>
      </c>
      <c r="HK13" s="319">
        <v>39917.4</v>
      </c>
      <c r="HL13" s="319">
        <v>36056</v>
      </c>
      <c r="HM13" s="319">
        <v>36072</v>
      </c>
      <c r="HN13" s="319">
        <v>34303.4</v>
      </c>
      <c r="HO13" s="319">
        <v>33943.1</v>
      </c>
      <c r="HP13" s="319">
        <v>38785.5</v>
      </c>
      <c r="HQ13" s="319">
        <v>43403.4</v>
      </c>
      <c r="HR13" s="319">
        <v>41008</v>
      </c>
      <c r="HS13" s="319">
        <v>44215</v>
      </c>
      <c r="HT13" s="319">
        <v>50191</v>
      </c>
      <c r="HU13" s="319">
        <v>45025.1</v>
      </c>
      <c r="HV13" s="895">
        <f t="shared" si="12"/>
        <v>-10.292482716024786</v>
      </c>
      <c r="HW13" s="895">
        <f t="shared" si="13"/>
        <v>-8.3886617942284136</v>
      </c>
    </row>
    <row r="14" spans="1:231" ht="13.9" customHeight="1" x14ac:dyDescent="0.2">
      <c r="A14" s="893" t="s">
        <v>17</v>
      </c>
      <c r="B14" s="894">
        <v>25223.95</v>
      </c>
      <c r="C14" s="319">
        <f>23517.3+0.01</f>
        <v>23517.309999999998</v>
      </c>
      <c r="D14" s="319">
        <f>22509.1+0.01</f>
        <v>22509.109999999997</v>
      </c>
      <c r="E14" s="319">
        <f>21392.13+8.97</f>
        <v>21401.100000000002</v>
      </c>
      <c r="F14" s="319">
        <f>22122.3+79.96</f>
        <v>22202.26</v>
      </c>
      <c r="G14" s="319">
        <f>21468.5+99.25</f>
        <v>21567.75</v>
      </c>
      <c r="H14" s="319">
        <f>23311.72+209.49</f>
        <v>23521.210000000003</v>
      </c>
      <c r="I14" s="319">
        <v>22233.200000000001</v>
      </c>
      <c r="J14" s="319">
        <v>22341.7</v>
      </c>
      <c r="K14" s="319">
        <v>23959.9</v>
      </c>
      <c r="L14" s="319">
        <v>23303</v>
      </c>
      <c r="M14" s="319">
        <v>22285.4</v>
      </c>
      <c r="N14" s="894">
        <v>21519.200000000001</v>
      </c>
      <c r="O14" s="319">
        <v>21264.3</v>
      </c>
      <c r="P14" s="319">
        <v>21109</v>
      </c>
      <c r="Q14" s="319">
        <v>20221.3</v>
      </c>
      <c r="R14" s="319">
        <v>20174.3</v>
      </c>
      <c r="S14" s="319">
        <v>20203.8</v>
      </c>
      <c r="T14" s="319">
        <v>20395.7</v>
      </c>
      <c r="U14" s="319">
        <v>20303.3</v>
      </c>
      <c r="V14" s="319">
        <v>19644</v>
      </c>
      <c r="W14" s="319">
        <v>19199.7</v>
      </c>
      <c r="X14" s="319">
        <v>18063.990000000002</v>
      </c>
      <c r="Y14" s="346">
        <v>18227.3</v>
      </c>
      <c r="Z14" s="894">
        <v>20568.757000000001</v>
      </c>
      <c r="AA14" s="319">
        <v>19447.2</v>
      </c>
      <c r="AB14" s="319">
        <v>20144.2</v>
      </c>
      <c r="AC14" s="319">
        <v>18708.04</v>
      </c>
      <c r="AD14" s="319">
        <v>19424.099999999999</v>
      </c>
      <c r="AE14" s="319">
        <v>18993.099999999999</v>
      </c>
      <c r="AF14" s="319">
        <v>19918.650000000001</v>
      </c>
      <c r="AG14" s="319">
        <v>20067.005000000001</v>
      </c>
      <c r="AH14" s="319">
        <v>20821.274000000001</v>
      </c>
      <c r="AI14" s="319">
        <v>18793.080000000002</v>
      </c>
      <c r="AJ14" s="319">
        <v>17936.96</v>
      </c>
      <c r="AK14" s="319">
        <v>18964</v>
      </c>
      <c r="AL14" s="894">
        <v>21756</v>
      </c>
      <c r="AM14" s="319">
        <v>21662</v>
      </c>
      <c r="AN14" s="319">
        <v>21017</v>
      </c>
      <c r="AO14" s="319">
        <v>21101</v>
      </c>
      <c r="AP14" s="319">
        <v>20717</v>
      </c>
      <c r="AQ14" s="319">
        <v>21619</v>
      </c>
      <c r="AR14" s="319">
        <v>20615</v>
      </c>
      <c r="AS14" s="319">
        <v>20838</v>
      </c>
      <c r="AT14" s="319">
        <v>21732</v>
      </c>
      <c r="AU14" s="319">
        <v>22393</v>
      </c>
      <c r="AV14" s="319">
        <v>20530</v>
      </c>
      <c r="AW14" s="346">
        <v>22794</v>
      </c>
      <c r="AX14" s="894">
        <v>22228.9</v>
      </c>
      <c r="AY14" s="319">
        <v>22335</v>
      </c>
      <c r="AZ14" s="319">
        <v>20790</v>
      </c>
      <c r="BA14" s="319">
        <v>21560</v>
      </c>
      <c r="BB14" s="319">
        <v>27100</v>
      </c>
      <c r="BC14" s="319">
        <v>27563</v>
      </c>
      <c r="BD14" s="319">
        <v>27176</v>
      </c>
      <c r="BE14" s="319">
        <v>27425</v>
      </c>
      <c r="BF14" s="319">
        <v>27159</v>
      </c>
      <c r="BG14" s="319">
        <v>26542</v>
      </c>
      <c r="BH14" s="319">
        <v>26031</v>
      </c>
      <c r="BI14" s="346">
        <v>24003</v>
      </c>
      <c r="BJ14" s="319">
        <v>23963</v>
      </c>
      <c r="BK14" s="319">
        <v>23536</v>
      </c>
      <c r="BL14" s="319">
        <v>24746</v>
      </c>
      <c r="BM14" s="319">
        <v>22661</v>
      </c>
      <c r="BN14" s="319">
        <v>22703</v>
      </c>
      <c r="BO14" s="319">
        <v>23770</v>
      </c>
      <c r="BP14" s="319">
        <v>24121</v>
      </c>
      <c r="BQ14" s="319">
        <v>21270</v>
      </c>
      <c r="BR14" s="319">
        <v>21494</v>
      </c>
      <c r="BS14" s="319">
        <v>21649</v>
      </c>
      <c r="BT14" s="319">
        <v>20164</v>
      </c>
      <c r="BU14" s="319">
        <v>20559</v>
      </c>
      <c r="BV14" s="894">
        <v>565.54816000000005</v>
      </c>
      <c r="BW14" s="319">
        <v>19582</v>
      </c>
      <c r="BX14" s="319">
        <v>17551</v>
      </c>
      <c r="BY14" s="319">
        <v>16759</v>
      </c>
      <c r="BZ14" s="319">
        <v>17163</v>
      </c>
      <c r="CA14" s="319">
        <v>19654</v>
      </c>
      <c r="CB14" s="319">
        <v>21194</v>
      </c>
      <c r="CC14" s="319">
        <v>22333</v>
      </c>
      <c r="CD14" s="319">
        <v>24897</v>
      </c>
      <c r="CE14" s="319">
        <v>26060</v>
      </c>
      <c r="CF14" s="319">
        <v>25735</v>
      </c>
      <c r="CG14" s="346">
        <v>24811</v>
      </c>
      <c r="CH14" s="319">
        <v>24406</v>
      </c>
      <c r="CI14" s="319">
        <v>25712</v>
      </c>
      <c r="CJ14" s="319">
        <v>25873</v>
      </c>
      <c r="CK14" s="319">
        <v>22742</v>
      </c>
      <c r="CL14" s="319">
        <v>22036</v>
      </c>
      <c r="CM14" s="319">
        <v>20642</v>
      </c>
      <c r="CN14" s="319">
        <v>21099</v>
      </c>
      <c r="CO14" s="319">
        <v>21711</v>
      </c>
      <c r="CP14" s="319">
        <v>23572</v>
      </c>
      <c r="CQ14" s="319">
        <v>23534</v>
      </c>
      <c r="CR14" s="319">
        <v>22377</v>
      </c>
      <c r="CS14" s="346">
        <v>23138.180930000002</v>
      </c>
      <c r="CT14" s="319">
        <v>23666.079939999996</v>
      </c>
      <c r="CU14" s="319">
        <v>23141</v>
      </c>
      <c r="CV14" s="319">
        <v>22649</v>
      </c>
      <c r="CW14" s="319">
        <v>22522</v>
      </c>
      <c r="CX14" s="319">
        <v>21382</v>
      </c>
      <c r="CY14" s="319">
        <v>21525</v>
      </c>
      <c r="CZ14" s="319">
        <v>22875</v>
      </c>
      <c r="DA14" s="319">
        <v>22341</v>
      </c>
      <c r="DB14" s="319">
        <v>22469</v>
      </c>
      <c r="DC14" s="319">
        <v>22940</v>
      </c>
      <c r="DD14" s="319">
        <v>26721</v>
      </c>
      <c r="DE14" s="346">
        <v>24511</v>
      </c>
      <c r="DF14" s="319">
        <f>26968+306</f>
        <v>27274</v>
      </c>
      <c r="DG14" s="319">
        <f>26692+270</f>
        <v>26962</v>
      </c>
      <c r="DH14" s="319">
        <f>27168+259</f>
        <v>27427</v>
      </c>
      <c r="DI14" s="319">
        <f>27732+285</f>
        <v>28017</v>
      </c>
      <c r="DJ14" s="319">
        <f>27929+360</f>
        <v>28289</v>
      </c>
      <c r="DK14" s="319">
        <v>28981.338029999999</v>
      </c>
      <c r="DL14" s="319">
        <v>29882.077389999999</v>
      </c>
      <c r="DM14" s="319">
        <v>35711.929219999998</v>
      </c>
      <c r="DN14" s="319">
        <v>34934.075019999997</v>
      </c>
      <c r="DO14" s="319">
        <v>32916.071499999998</v>
      </c>
      <c r="DP14" s="319">
        <v>31396.17713</v>
      </c>
      <c r="DQ14" s="319">
        <v>34994.079709999998</v>
      </c>
      <c r="DR14" s="894">
        <v>36397.995949999997</v>
      </c>
      <c r="DS14" s="319">
        <v>33503.461340000002</v>
      </c>
      <c r="DT14" s="319">
        <v>26829.629860000001</v>
      </c>
      <c r="DU14" s="319">
        <v>26685.76772</v>
      </c>
      <c r="DV14" s="319">
        <v>27122.373520000001</v>
      </c>
      <c r="DW14" s="319">
        <v>30337.40825</v>
      </c>
      <c r="DX14" s="319">
        <v>29936.404320000001</v>
      </c>
      <c r="DY14" s="319">
        <v>29613.202150000001</v>
      </c>
      <c r="DZ14" s="319">
        <v>29960.663219999999</v>
      </c>
      <c r="EA14" s="319">
        <v>32513.05155</v>
      </c>
      <c r="EB14" s="319">
        <v>32119.497579999999</v>
      </c>
      <c r="EC14" s="319">
        <v>29155.529549999999</v>
      </c>
      <c r="ED14" s="894">
        <v>28552.815269999999</v>
      </c>
      <c r="EE14" s="319">
        <v>25641.528269999999</v>
      </c>
      <c r="EF14" s="319">
        <v>25291.073609999999</v>
      </c>
      <c r="EG14" s="319">
        <v>26597.86405</v>
      </c>
      <c r="EH14" s="319">
        <v>26520.300579999999</v>
      </c>
      <c r="EI14" s="319">
        <v>34261.562519999999</v>
      </c>
      <c r="EJ14" s="319">
        <v>32149.823729999996</v>
      </c>
      <c r="EK14" s="319">
        <v>32076.524539999999</v>
      </c>
      <c r="EL14" s="319">
        <v>31936.596380000006</v>
      </c>
      <c r="EM14" s="319">
        <v>37141.592340000003</v>
      </c>
      <c r="EN14" s="319">
        <v>33187.485809999998</v>
      </c>
      <c r="EO14" s="319">
        <v>29829.759809999996</v>
      </c>
      <c r="EP14" s="894">
        <v>30846</v>
      </c>
      <c r="EQ14" s="319">
        <v>31536.037400000001</v>
      </c>
      <c r="ER14" s="319">
        <v>31956.929789999998</v>
      </c>
      <c r="ES14" s="319">
        <v>35161.807200000003</v>
      </c>
      <c r="ET14" s="319">
        <v>33759.669260000002</v>
      </c>
      <c r="EU14" s="319">
        <v>38119.215700000001</v>
      </c>
      <c r="EV14" s="319">
        <v>41178.23709000001</v>
      </c>
      <c r="EW14" s="319">
        <v>40980.690420000014</v>
      </c>
      <c r="EX14" s="319">
        <v>39984.485450000007</v>
      </c>
      <c r="EY14" s="319">
        <v>38812.414110000005</v>
      </c>
      <c r="EZ14" s="319">
        <v>37618.104339999998</v>
      </c>
      <c r="FA14" s="346">
        <v>35844.579900000004</v>
      </c>
      <c r="FB14" s="894">
        <v>41310.261019999998</v>
      </c>
      <c r="FC14" s="319">
        <v>44703.508610000004</v>
      </c>
      <c r="FD14" s="319">
        <v>48705.099030000005</v>
      </c>
      <c r="FE14" s="319">
        <v>49634.524320000004</v>
      </c>
      <c r="FF14" s="319">
        <v>51154.966359999999</v>
      </c>
      <c r="FG14" s="319">
        <v>50354.598729999998</v>
      </c>
      <c r="FH14" s="319">
        <v>50214.299910000002</v>
      </c>
      <c r="FI14" s="319">
        <v>46930.937429999998</v>
      </c>
      <c r="FJ14" s="319">
        <v>48444.848249999988</v>
      </c>
      <c r="FK14" s="319">
        <v>45943.974349999982</v>
      </c>
      <c r="FL14" s="319">
        <v>49966.490460000008</v>
      </c>
      <c r="FM14" s="346">
        <v>50226.820369999987</v>
      </c>
      <c r="FN14" s="319">
        <v>53598.373960000004</v>
      </c>
      <c r="FO14" s="319">
        <v>54996.645059999995</v>
      </c>
      <c r="FP14" s="319">
        <v>51390.395100000002</v>
      </c>
      <c r="FQ14" s="319">
        <v>50117.934529999999</v>
      </c>
      <c r="FR14" s="319">
        <v>48780.012740000013</v>
      </c>
      <c r="FS14" s="319">
        <v>48379.207119999999</v>
      </c>
      <c r="FT14" s="319">
        <v>49285.165789999992</v>
      </c>
      <c r="FU14" s="319">
        <v>49806.816689999992</v>
      </c>
      <c r="FV14" s="319">
        <v>49982.995750000016</v>
      </c>
      <c r="FW14" s="319">
        <v>49993.932880000008</v>
      </c>
      <c r="FX14" s="319">
        <v>51196.935399999995</v>
      </c>
      <c r="FY14" s="319">
        <v>49853.87687</v>
      </c>
      <c r="FZ14" s="894">
        <v>48802.873400000004</v>
      </c>
      <c r="GA14" s="319">
        <v>47941.885190000008</v>
      </c>
      <c r="GB14" s="319">
        <v>47811.226250000014</v>
      </c>
      <c r="GC14" s="319">
        <v>48240.210330000009</v>
      </c>
      <c r="GD14" s="319">
        <v>46221.420399999988</v>
      </c>
      <c r="GE14" s="319">
        <v>47677.487840000002</v>
      </c>
      <c r="GF14" s="319">
        <v>46518.800560000011</v>
      </c>
      <c r="GG14" s="319">
        <v>48154.615270000002</v>
      </c>
      <c r="GH14" s="319">
        <v>47072.547129999999</v>
      </c>
      <c r="GI14" s="319">
        <v>48907.146169999993</v>
      </c>
      <c r="GJ14" s="319">
        <v>47839.981759999995</v>
      </c>
      <c r="GK14" s="319">
        <v>49810.823540000005</v>
      </c>
      <c r="GL14" s="894">
        <v>50116.22838</v>
      </c>
      <c r="GM14" s="319">
        <v>50350.732520000005</v>
      </c>
      <c r="GN14" s="319">
        <v>51439.368219999997</v>
      </c>
      <c r="GO14" s="319">
        <v>51435.209350000005</v>
      </c>
      <c r="GP14" s="319">
        <v>52262.186739999997</v>
      </c>
      <c r="GQ14" s="319">
        <v>53972.366759999997</v>
      </c>
      <c r="GR14" s="319">
        <v>54151.452840000005</v>
      </c>
      <c r="GS14" s="319">
        <v>54254.920059999997</v>
      </c>
      <c r="GT14" s="319">
        <v>56161.957720000013</v>
      </c>
      <c r="GU14" s="319">
        <v>55964.256160000004</v>
      </c>
      <c r="GV14" s="319">
        <v>55464.263090000008</v>
      </c>
      <c r="GW14" s="346">
        <v>55707.127020000007</v>
      </c>
      <c r="GX14" s="894">
        <v>60718.49809999999</v>
      </c>
      <c r="GY14" s="319">
        <v>56179.324250000005</v>
      </c>
      <c r="GZ14" s="319">
        <v>52717.639050000005</v>
      </c>
      <c r="HA14" s="319">
        <v>53929.181719999993</v>
      </c>
      <c r="HB14" s="319">
        <v>53904.621139999996</v>
      </c>
      <c r="HC14" s="319">
        <v>55013.329250000003</v>
      </c>
      <c r="HD14" s="319">
        <v>53470.482900000003</v>
      </c>
      <c r="HE14" s="319">
        <v>52735.513129999999</v>
      </c>
      <c r="HF14" s="319">
        <v>54436.983560000001</v>
      </c>
      <c r="HG14" s="319">
        <v>52798.741440000005</v>
      </c>
      <c r="HH14" s="319">
        <v>54174</v>
      </c>
      <c r="HI14" s="346">
        <v>53221.142550000004</v>
      </c>
      <c r="HJ14" s="894">
        <v>55768.74811</v>
      </c>
      <c r="HK14" s="319">
        <v>58089</v>
      </c>
      <c r="HL14" s="319">
        <v>60384</v>
      </c>
      <c r="HM14" s="319">
        <v>59840</v>
      </c>
      <c r="HN14" s="319">
        <v>60260</v>
      </c>
      <c r="HO14" s="319">
        <v>62170</v>
      </c>
      <c r="HP14" s="319">
        <v>60948</v>
      </c>
      <c r="HQ14" s="319">
        <v>62732.4</v>
      </c>
      <c r="HR14" s="319">
        <v>66175</v>
      </c>
      <c r="HS14" s="319">
        <v>68892</v>
      </c>
      <c r="HT14" s="319">
        <v>69680</v>
      </c>
      <c r="HU14" s="319">
        <v>73878</v>
      </c>
      <c r="HV14" s="895">
        <f t="shared" si="12"/>
        <v>6.0246842709529291</v>
      </c>
      <c r="HW14" s="895">
        <f t="shared" si="13"/>
        <v>38.813254395268501</v>
      </c>
    </row>
    <row r="15" spans="1:231" ht="13.9" customHeight="1" x14ac:dyDescent="0.2">
      <c r="A15" s="896" t="s">
        <v>18</v>
      </c>
      <c r="B15" s="897">
        <v>46644.14</v>
      </c>
      <c r="C15" s="898">
        <v>45841.4</v>
      </c>
      <c r="D15" s="898">
        <f>46930.9+11.78</f>
        <v>46942.68</v>
      </c>
      <c r="E15" s="898">
        <f>48345.01+15.78</f>
        <v>48360.79</v>
      </c>
      <c r="F15" s="898">
        <f>48907.1+27.35</f>
        <v>48934.45</v>
      </c>
      <c r="G15" s="898">
        <f>49104.9+30.99</f>
        <v>49135.89</v>
      </c>
      <c r="H15" s="898">
        <f>50883.72+27.88</f>
        <v>50911.6</v>
      </c>
      <c r="I15" s="898">
        <v>52080.800000000003</v>
      </c>
      <c r="J15" s="898">
        <v>53796.4</v>
      </c>
      <c r="K15" s="898">
        <v>49662.8</v>
      </c>
      <c r="L15" s="898">
        <v>43428</v>
      </c>
      <c r="M15" s="898">
        <v>42058.7</v>
      </c>
      <c r="N15" s="897">
        <v>42136.5</v>
      </c>
      <c r="O15" s="898">
        <v>44098.2</v>
      </c>
      <c r="P15" s="898">
        <v>41732.699999999997</v>
      </c>
      <c r="Q15" s="898">
        <v>42231.6</v>
      </c>
      <c r="R15" s="898">
        <v>46384.9</v>
      </c>
      <c r="S15" s="898">
        <v>44844</v>
      </c>
      <c r="T15" s="898">
        <v>45171.199999999997</v>
      </c>
      <c r="U15" s="898">
        <v>44606.8</v>
      </c>
      <c r="V15" s="898">
        <v>43667.8</v>
      </c>
      <c r="W15" s="898">
        <v>43805.9</v>
      </c>
      <c r="X15" s="898">
        <v>43794.23</v>
      </c>
      <c r="Y15" s="899">
        <v>44281.7</v>
      </c>
      <c r="Z15" s="897">
        <v>42723.720999999998</v>
      </c>
      <c r="AA15" s="898">
        <v>37540.9</v>
      </c>
      <c r="AB15" s="898">
        <v>37584.699999999997</v>
      </c>
      <c r="AC15" s="898">
        <v>34588.800000000003</v>
      </c>
      <c r="AD15" s="898">
        <v>33605.379999999997</v>
      </c>
      <c r="AE15" s="898">
        <v>34235.4</v>
      </c>
      <c r="AF15" s="898">
        <v>34988.53</v>
      </c>
      <c r="AG15" s="898">
        <v>34806.11</v>
      </c>
      <c r="AH15" s="898">
        <v>36529.788</v>
      </c>
      <c r="AI15" s="898">
        <v>34799.11</v>
      </c>
      <c r="AJ15" s="898">
        <v>34527.29</v>
      </c>
      <c r="AK15" s="898">
        <v>33317</v>
      </c>
      <c r="AL15" s="898">
        <v>35720</v>
      </c>
      <c r="AM15" s="898">
        <v>35124</v>
      </c>
      <c r="AN15" s="898">
        <v>34372</v>
      </c>
      <c r="AO15" s="898">
        <v>35124</v>
      </c>
      <c r="AP15" s="898">
        <v>35064</v>
      </c>
      <c r="AQ15" s="898">
        <v>34751</v>
      </c>
      <c r="AR15" s="898">
        <v>34769</v>
      </c>
      <c r="AS15" s="898">
        <v>34985</v>
      </c>
      <c r="AT15" s="898">
        <v>34977</v>
      </c>
      <c r="AU15" s="898">
        <v>34754</v>
      </c>
      <c r="AV15" s="898">
        <v>35469</v>
      </c>
      <c r="AW15" s="899">
        <v>35460</v>
      </c>
      <c r="AX15" s="897">
        <v>33955.25</v>
      </c>
      <c r="AY15" s="898">
        <v>33793</v>
      </c>
      <c r="AZ15" s="898">
        <v>33820</v>
      </c>
      <c r="BA15" s="898">
        <v>32455</v>
      </c>
      <c r="BB15" s="898">
        <v>28519</v>
      </c>
      <c r="BC15" s="898">
        <v>28448</v>
      </c>
      <c r="BD15" s="898">
        <v>27520</v>
      </c>
      <c r="BE15" s="898">
        <v>28004</v>
      </c>
      <c r="BF15" s="898">
        <v>27507</v>
      </c>
      <c r="BG15" s="898">
        <v>27055</v>
      </c>
      <c r="BH15" s="898">
        <v>27660</v>
      </c>
      <c r="BI15" s="899">
        <v>28111</v>
      </c>
      <c r="BJ15" s="898">
        <v>27628</v>
      </c>
      <c r="BK15" s="898">
        <v>26880</v>
      </c>
      <c r="BL15" s="898">
        <v>26489</v>
      </c>
      <c r="BM15" s="898">
        <v>27316</v>
      </c>
      <c r="BN15" s="898">
        <v>26534</v>
      </c>
      <c r="BO15" s="898">
        <v>26376</v>
      </c>
      <c r="BP15" s="898">
        <v>26301</v>
      </c>
      <c r="BQ15" s="898">
        <v>26463</v>
      </c>
      <c r="BR15" s="898">
        <v>25668</v>
      </c>
      <c r="BS15" s="898">
        <v>24305</v>
      </c>
      <c r="BT15" s="898">
        <v>28028</v>
      </c>
      <c r="BU15" s="898">
        <v>27301</v>
      </c>
      <c r="BV15" s="897">
        <v>2605.88762</v>
      </c>
      <c r="BW15" s="898">
        <v>25450</v>
      </c>
      <c r="BX15" s="898">
        <v>20890</v>
      </c>
      <c r="BY15" s="898">
        <v>22982</v>
      </c>
      <c r="BZ15" s="898">
        <v>22933</v>
      </c>
      <c r="CA15" s="898">
        <v>23651</v>
      </c>
      <c r="CB15" s="898">
        <v>22796</v>
      </c>
      <c r="CC15" s="898">
        <v>23823</v>
      </c>
      <c r="CD15" s="898">
        <v>24808</v>
      </c>
      <c r="CE15" s="898">
        <v>25654</v>
      </c>
      <c r="CF15" s="898">
        <v>27521</v>
      </c>
      <c r="CG15" s="899">
        <v>29008</v>
      </c>
      <c r="CH15" s="898">
        <v>29049</v>
      </c>
      <c r="CI15" s="898">
        <v>28879</v>
      </c>
      <c r="CJ15" s="898">
        <v>28452</v>
      </c>
      <c r="CK15" s="898">
        <v>27127</v>
      </c>
      <c r="CL15" s="898">
        <v>28546</v>
      </c>
      <c r="CM15" s="898">
        <v>28496</v>
      </c>
      <c r="CN15" s="898">
        <v>27631</v>
      </c>
      <c r="CO15" s="898">
        <v>26550</v>
      </c>
      <c r="CP15" s="898">
        <v>26013</v>
      </c>
      <c r="CQ15" s="898">
        <v>26688</v>
      </c>
      <c r="CR15" s="898">
        <v>26586</v>
      </c>
      <c r="CS15" s="899">
        <v>25898.04738</v>
      </c>
      <c r="CT15" s="898">
        <v>25150.322489999999</v>
      </c>
      <c r="CU15" s="898">
        <v>24713</v>
      </c>
      <c r="CV15" s="898">
        <v>24901</v>
      </c>
      <c r="CW15" s="898">
        <v>24685</v>
      </c>
      <c r="CX15" s="898">
        <v>25080</v>
      </c>
      <c r="CY15" s="898">
        <v>24754</v>
      </c>
      <c r="CZ15" s="898">
        <v>24358</v>
      </c>
      <c r="DA15" s="898">
        <v>23982</v>
      </c>
      <c r="DB15" s="898">
        <v>23727</v>
      </c>
      <c r="DC15" s="898">
        <v>23652</v>
      </c>
      <c r="DD15" s="898">
        <v>24917</v>
      </c>
      <c r="DE15" s="899">
        <v>25197</v>
      </c>
      <c r="DF15" s="898">
        <f>24614+831.4</f>
        <v>25445.4</v>
      </c>
      <c r="DG15" s="898">
        <f>24658+735.4</f>
        <v>25393.4</v>
      </c>
      <c r="DH15" s="898">
        <f>24774+770.4</f>
        <v>25544.400000000001</v>
      </c>
      <c r="DI15" s="898">
        <f>25347+735.5</f>
        <v>26082.5</v>
      </c>
      <c r="DJ15" s="898">
        <f>26280+723</f>
        <v>27003</v>
      </c>
      <c r="DK15" s="898">
        <v>26191.267820000001</v>
      </c>
      <c r="DL15" s="898">
        <v>26574.119490000001</v>
      </c>
      <c r="DM15" s="898">
        <v>25244.508450000001</v>
      </c>
      <c r="DN15" s="898">
        <v>25627.995370000001</v>
      </c>
      <c r="DO15" s="898">
        <v>25306.717400000001</v>
      </c>
      <c r="DP15" s="898">
        <v>26718.88751</v>
      </c>
      <c r="DQ15" s="898">
        <v>26082.178159999999</v>
      </c>
      <c r="DR15" s="897">
        <v>26056.195309999999</v>
      </c>
      <c r="DS15" s="898">
        <v>24936.811760000001</v>
      </c>
      <c r="DT15" s="898">
        <v>24634.036950000002</v>
      </c>
      <c r="DU15" s="898">
        <v>23990.204529999999</v>
      </c>
      <c r="DV15" s="898">
        <v>26545.81638</v>
      </c>
      <c r="DW15" s="898">
        <v>31480.862880000001</v>
      </c>
      <c r="DX15" s="898">
        <v>29857.34996</v>
      </c>
      <c r="DY15" s="898">
        <v>29041.078819999999</v>
      </c>
      <c r="DZ15" s="898">
        <v>28280.802830000001</v>
      </c>
      <c r="EA15" s="898">
        <v>27947.9653</v>
      </c>
      <c r="EB15" s="898">
        <v>28886.304390000001</v>
      </c>
      <c r="EC15" s="898">
        <v>28179.519660000002</v>
      </c>
      <c r="ED15" s="897">
        <v>28188.46876</v>
      </c>
      <c r="EE15" s="898">
        <v>27571.738809999999</v>
      </c>
      <c r="EF15" s="898">
        <v>49814.067710000003</v>
      </c>
      <c r="EG15" s="898">
        <v>27495.99264</v>
      </c>
      <c r="EH15" s="898">
        <v>29914.337220000001</v>
      </c>
      <c r="EI15" s="898">
        <v>33250.957580000002</v>
      </c>
      <c r="EJ15" s="898">
        <v>33351.825409999998</v>
      </c>
      <c r="EK15" s="898">
        <v>33882.63222</v>
      </c>
      <c r="EL15" s="898">
        <v>34404.727620000005</v>
      </c>
      <c r="EM15" s="898">
        <v>29589.446659999998</v>
      </c>
      <c r="EN15" s="898">
        <v>31563.425510000005</v>
      </c>
      <c r="EO15" s="898">
        <v>31973.788980000001</v>
      </c>
      <c r="EP15" s="897">
        <v>31899</v>
      </c>
      <c r="EQ15" s="898">
        <v>30434.33065</v>
      </c>
      <c r="ER15" s="898">
        <v>31099.061480000004</v>
      </c>
      <c r="ES15" s="898">
        <v>31427.853929999997</v>
      </c>
      <c r="ET15" s="898">
        <v>32550.743800000004</v>
      </c>
      <c r="EU15" s="898">
        <v>32270.924170000002</v>
      </c>
      <c r="EV15" s="898">
        <v>30644.34288</v>
      </c>
      <c r="EW15" s="898">
        <v>30384.524800000007</v>
      </c>
      <c r="EX15" s="898">
        <v>30477.260190000001</v>
      </c>
      <c r="EY15" s="898">
        <v>29968.705089999996</v>
      </c>
      <c r="EZ15" s="898">
        <v>31145.06695</v>
      </c>
      <c r="FA15" s="899">
        <v>30649.413599999996</v>
      </c>
      <c r="FB15" s="897">
        <v>31249.793539999999</v>
      </c>
      <c r="FC15" s="898">
        <v>31562.394640000006</v>
      </c>
      <c r="FD15" s="898">
        <v>34671.365409999999</v>
      </c>
      <c r="FE15" s="898">
        <v>34959.290970000002</v>
      </c>
      <c r="FF15" s="898">
        <v>37100.336710000003</v>
      </c>
      <c r="FG15" s="898">
        <v>35645.176490000005</v>
      </c>
      <c r="FH15" s="898">
        <v>34720.692589999999</v>
      </c>
      <c r="FI15" s="898">
        <v>32664.718009999997</v>
      </c>
      <c r="FJ15" s="898">
        <v>31877.384530000003</v>
      </c>
      <c r="FK15" s="898">
        <v>32179.022060000003</v>
      </c>
      <c r="FL15" s="898">
        <v>32486.740099999999</v>
      </c>
      <c r="FM15" s="899">
        <v>31777.6541</v>
      </c>
      <c r="FN15" s="898">
        <v>31519.473889999997</v>
      </c>
      <c r="FO15" s="898">
        <v>31708.053090000001</v>
      </c>
      <c r="FP15" s="898">
        <v>30159.980749999999</v>
      </c>
      <c r="FQ15" s="898">
        <v>29722.603500000001</v>
      </c>
      <c r="FR15" s="898">
        <v>29929.81077</v>
      </c>
      <c r="FS15" s="898">
        <v>29949.846140000001</v>
      </c>
      <c r="FT15" s="898">
        <v>30159.438460000001</v>
      </c>
      <c r="FU15" s="898">
        <v>31280.577870000001</v>
      </c>
      <c r="FV15" s="898">
        <v>30991.171839999999</v>
      </c>
      <c r="FW15" s="898">
        <v>31019.010299999998</v>
      </c>
      <c r="FX15" s="898">
        <v>31848.010880000005</v>
      </c>
      <c r="FY15" s="898">
        <v>32528.36233</v>
      </c>
      <c r="FZ15" s="897">
        <v>30588.931219999991</v>
      </c>
      <c r="GA15" s="898">
        <v>28828.852569999999</v>
      </c>
      <c r="GB15" s="898">
        <v>28826.938449999998</v>
      </c>
      <c r="GC15" s="898">
        <v>30834.384870000002</v>
      </c>
      <c r="GD15" s="898">
        <v>31654.486939999995</v>
      </c>
      <c r="GE15" s="898">
        <v>31024.422899999998</v>
      </c>
      <c r="GF15" s="898">
        <v>31198.579809999999</v>
      </c>
      <c r="GG15" s="898">
        <v>31737.481829999997</v>
      </c>
      <c r="GH15" s="898">
        <v>32427.554949999994</v>
      </c>
      <c r="GI15" s="898">
        <v>31959.674579999999</v>
      </c>
      <c r="GJ15" s="898">
        <v>31458.841369999998</v>
      </c>
      <c r="GK15" s="898">
        <v>33232.321610000006</v>
      </c>
      <c r="GL15" s="897">
        <v>32657.249810000005</v>
      </c>
      <c r="GM15" s="898">
        <v>32103.443049999998</v>
      </c>
      <c r="GN15" s="898">
        <v>31669.96099</v>
      </c>
      <c r="GO15" s="898">
        <v>30676.524249999999</v>
      </c>
      <c r="GP15" s="898">
        <v>30161.592249999998</v>
      </c>
      <c r="GQ15" s="898">
        <v>29935.072749999999</v>
      </c>
      <c r="GR15" s="898">
        <v>30096.893700000001</v>
      </c>
      <c r="GS15" s="898">
        <v>29954.017260000004</v>
      </c>
      <c r="GT15" s="898">
        <v>32584.499129999997</v>
      </c>
      <c r="GU15" s="898">
        <v>33409.758379999999</v>
      </c>
      <c r="GV15" s="898">
        <v>40890.730700000007</v>
      </c>
      <c r="GW15" s="899">
        <v>39042.566490000005</v>
      </c>
      <c r="GX15" s="897">
        <v>37171.20652</v>
      </c>
      <c r="GY15" s="898">
        <v>36698.053420000004</v>
      </c>
      <c r="GZ15" s="898">
        <v>37016.891450000003</v>
      </c>
      <c r="HA15" s="898">
        <v>36232.886480000001</v>
      </c>
      <c r="HB15" s="898">
        <v>37818.746490000005</v>
      </c>
      <c r="HC15" s="898">
        <v>35943.950499999999</v>
      </c>
      <c r="HD15" s="898">
        <v>35985.74422</v>
      </c>
      <c r="HE15" s="898">
        <v>37138.576950000002</v>
      </c>
      <c r="HF15" s="898">
        <v>38253.182429999993</v>
      </c>
      <c r="HG15" s="898">
        <v>37967.630859999997</v>
      </c>
      <c r="HH15" s="898">
        <v>38183</v>
      </c>
      <c r="HI15" s="899">
        <v>33568.502969999994</v>
      </c>
      <c r="HJ15" s="897">
        <v>30774.320219999998</v>
      </c>
      <c r="HK15" s="898">
        <v>32165</v>
      </c>
      <c r="HL15" s="898">
        <v>30827</v>
      </c>
      <c r="HM15" s="898">
        <v>30056</v>
      </c>
      <c r="HN15" s="898">
        <v>28255</v>
      </c>
      <c r="HO15" s="898">
        <v>31561</v>
      </c>
      <c r="HP15" s="898">
        <v>30316</v>
      </c>
      <c r="HQ15" s="898">
        <v>30072</v>
      </c>
      <c r="HR15" s="898">
        <v>25569</v>
      </c>
      <c r="HS15" s="898">
        <v>24671</v>
      </c>
      <c r="HT15" s="898">
        <v>23921</v>
      </c>
      <c r="HU15" s="898">
        <v>25030</v>
      </c>
      <c r="HV15" s="900">
        <f t="shared" si="12"/>
        <v>4.6360938087872672</v>
      </c>
      <c r="HW15" s="900">
        <f t="shared" si="13"/>
        <v>-25.436055273691572</v>
      </c>
    </row>
    <row r="16" spans="1:231" ht="13.9" customHeight="1" x14ac:dyDescent="0.2">
      <c r="A16" s="901" t="s">
        <v>113</v>
      </c>
      <c r="DQ16" s="873"/>
      <c r="DR16" s="873"/>
      <c r="DS16" s="873"/>
      <c r="DT16" s="873"/>
      <c r="DU16" s="873"/>
      <c r="DV16" s="873"/>
      <c r="DW16" s="873"/>
      <c r="DX16" s="873"/>
      <c r="DY16" s="873"/>
      <c r="DZ16" s="873"/>
      <c r="EA16" s="873"/>
      <c r="EB16" s="873"/>
      <c r="EC16" s="873"/>
      <c r="ED16" s="873"/>
      <c r="EE16" s="873"/>
      <c r="EF16" s="873"/>
      <c r="EG16" s="873"/>
      <c r="EH16" s="873"/>
      <c r="EI16" s="873"/>
      <c r="EJ16" s="873"/>
      <c r="EK16" s="873"/>
      <c r="EL16" s="873"/>
      <c r="EM16" s="873"/>
      <c r="EN16" s="873"/>
      <c r="EO16" s="873"/>
      <c r="EP16" s="873"/>
      <c r="EQ16" s="873"/>
      <c r="ER16" s="873"/>
      <c r="ES16" s="873"/>
      <c r="ET16" s="873"/>
      <c r="EU16" s="873"/>
      <c r="EV16" s="873"/>
      <c r="EW16" s="873"/>
      <c r="EX16" s="873"/>
      <c r="EY16" s="873"/>
      <c r="EZ16" s="873"/>
      <c r="FA16" s="873"/>
      <c r="FB16" s="873"/>
      <c r="FC16" s="873"/>
      <c r="FD16" s="873"/>
      <c r="FE16" s="873"/>
      <c r="FF16" s="873"/>
      <c r="FG16" s="873"/>
      <c r="FH16" s="873"/>
      <c r="FI16" s="873"/>
      <c r="FJ16" s="873"/>
      <c r="FK16" s="873"/>
      <c r="FL16" s="873"/>
      <c r="FM16" s="873"/>
      <c r="FN16" s="873"/>
      <c r="FO16" s="873"/>
      <c r="FP16" s="873"/>
      <c r="FQ16" s="873"/>
      <c r="FR16" s="873"/>
      <c r="FS16" s="873"/>
      <c r="FT16" s="873"/>
      <c r="FU16" s="873"/>
      <c r="FV16" s="873"/>
      <c r="FW16" s="873"/>
      <c r="FX16" s="873"/>
      <c r="FY16" s="873"/>
      <c r="FZ16" s="873"/>
      <c r="GA16" s="873"/>
      <c r="GB16" s="873"/>
      <c r="GC16" s="873"/>
      <c r="GD16" s="873"/>
      <c r="GE16" s="873"/>
      <c r="GF16" s="873"/>
      <c r="GG16" s="873"/>
      <c r="GH16" s="873"/>
      <c r="GI16" s="873"/>
      <c r="GJ16" s="873"/>
      <c r="GK16" s="873"/>
      <c r="GL16" s="873"/>
      <c r="GM16" s="873"/>
      <c r="GN16" s="873"/>
      <c r="GO16" s="873"/>
      <c r="GP16" s="873"/>
      <c r="GQ16" s="873"/>
      <c r="GR16" s="873"/>
      <c r="GS16" s="873"/>
      <c r="GT16" s="873"/>
      <c r="GU16" s="873"/>
      <c r="GV16" s="873"/>
      <c r="GW16" s="873"/>
      <c r="GX16" s="873"/>
      <c r="GY16" s="873"/>
      <c r="GZ16" s="873"/>
      <c r="HA16" s="873"/>
      <c r="HB16" s="873"/>
      <c r="HC16" s="873"/>
      <c r="HD16" s="873"/>
      <c r="HE16" s="873"/>
      <c r="HF16" s="873"/>
      <c r="HG16" s="873"/>
      <c r="HH16" s="873"/>
      <c r="HI16" s="873"/>
      <c r="HJ16" s="873"/>
      <c r="HK16" s="873"/>
      <c r="HL16" s="873"/>
      <c r="HM16" s="873"/>
      <c r="HN16" s="873"/>
      <c r="HO16" s="873"/>
      <c r="HP16" s="873"/>
      <c r="HQ16" s="873"/>
      <c r="HR16" s="873"/>
      <c r="HS16" s="873"/>
      <c r="HT16" s="873"/>
      <c r="HU16" s="873"/>
    </row>
    <row r="17" spans="1:234" ht="13.9" customHeight="1" x14ac:dyDescent="0.2">
      <c r="AM17" s="902"/>
      <c r="DF17" s="871"/>
      <c r="DG17" s="871"/>
      <c r="DH17" s="871"/>
      <c r="DI17" s="871"/>
      <c r="DJ17" s="871"/>
      <c r="DK17" s="871"/>
      <c r="DL17" s="871"/>
      <c r="DM17" s="871"/>
      <c r="DN17" s="871"/>
      <c r="DO17" s="871"/>
      <c r="DP17" s="871"/>
      <c r="DQ17" s="871"/>
      <c r="DR17" s="871"/>
      <c r="DS17" s="871"/>
      <c r="DT17" s="871"/>
      <c r="DU17" s="871"/>
      <c r="DV17" s="871"/>
      <c r="DW17" s="871"/>
      <c r="DX17" s="871"/>
      <c r="DY17" s="871"/>
      <c r="DZ17" s="871"/>
      <c r="EA17" s="871"/>
      <c r="EB17" s="871"/>
      <c r="EC17" s="871"/>
      <c r="ED17" s="871"/>
      <c r="EE17" s="871"/>
      <c r="EF17" s="871"/>
      <c r="EG17" s="871"/>
      <c r="EH17" s="871"/>
      <c r="EI17" s="871"/>
      <c r="EJ17" s="871"/>
      <c r="EK17" s="871"/>
      <c r="EL17" s="871"/>
      <c r="EM17" s="871"/>
      <c r="EN17" s="871"/>
      <c r="EO17" s="871"/>
      <c r="EP17" s="871"/>
      <c r="EQ17" s="871"/>
      <c r="ER17" s="871"/>
      <c r="ES17" s="871"/>
      <c r="ET17" s="871"/>
      <c r="EU17" s="871"/>
      <c r="EV17" s="871"/>
      <c r="EW17" s="871"/>
      <c r="EX17" s="871"/>
      <c r="EY17" s="871"/>
      <c r="EZ17" s="871"/>
      <c r="FA17" s="871"/>
      <c r="FB17" s="871"/>
      <c r="FC17" s="871"/>
      <c r="FD17" s="871"/>
      <c r="FE17" s="871"/>
      <c r="FF17" s="871"/>
      <c r="FG17" s="871"/>
      <c r="FH17" s="871"/>
      <c r="FI17" s="871"/>
      <c r="FJ17" s="871"/>
      <c r="FK17" s="871"/>
      <c r="FL17" s="871"/>
      <c r="FM17" s="871"/>
      <c r="FN17" s="871"/>
      <c r="FO17" s="871"/>
      <c r="FP17" s="871"/>
      <c r="FQ17" s="871"/>
      <c r="FR17" s="871"/>
      <c r="FS17" s="871"/>
      <c r="FT17" s="871"/>
      <c r="FU17" s="871"/>
      <c r="FV17" s="871"/>
      <c r="FW17" s="871"/>
      <c r="FX17" s="871"/>
      <c r="FY17" s="871"/>
      <c r="FZ17" s="871"/>
      <c r="GA17" s="871"/>
      <c r="GB17" s="871"/>
      <c r="GC17" s="871"/>
      <c r="GD17" s="871"/>
      <c r="GE17" s="871"/>
      <c r="GF17" s="871"/>
      <c r="GG17" s="871"/>
      <c r="GH17" s="871"/>
      <c r="GI17" s="871"/>
      <c r="GJ17" s="871"/>
      <c r="GK17" s="871"/>
      <c r="GL17" s="871"/>
      <c r="GM17" s="871"/>
      <c r="GN17" s="871"/>
      <c r="GO17" s="871"/>
      <c r="GP17" s="871"/>
      <c r="GQ17" s="871"/>
      <c r="GR17" s="871"/>
      <c r="GS17" s="871"/>
      <c r="GT17" s="871"/>
      <c r="GU17" s="871"/>
      <c r="GV17" s="871"/>
      <c r="GW17" s="871"/>
      <c r="GX17" s="871"/>
      <c r="GY17" s="871"/>
      <c r="GZ17" s="871"/>
      <c r="HA17" s="871"/>
      <c r="HB17" s="871"/>
      <c r="HC17" s="871"/>
      <c r="HD17" s="871"/>
      <c r="HE17" s="871"/>
      <c r="HF17" s="871"/>
      <c r="HG17" s="871"/>
      <c r="HH17" s="871"/>
      <c r="HI17" s="871"/>
      <c r="HJ17" s="871"/>
      <c r="HK17" s="871"/>
      <c r="HL17" s="871"/>
      <c r="HM17" s="871"/>
      <c r="HN17" s="871"/>
      <c r="HO17" s="871"/>
      <c r="HP17" s="871"/>
      <c r="HQ17" s="871"/>
      <c r="HR17" s="871"/>
      <c r="HS17" s="871"/>
      <c r="HT17" s="871"/>
      <c r="HU17" s="871"/>
      <c r="HV17" s="871"/>
    </row>
    <row r="18" spans="1:234" ht="13.9" customHeight="1" x14ac:dyDescent="0.2">
      <c r="A18" s="318" t="str">
        <f>A2</f>
        <v>SAN MARTÍN: SALDO DE DEPÓSITOS DEL SISTEMA FINANCIERO SEGÚN MONEDA</v>
      </c>
      <c r="AL18" s="902"/>
      <c r="CK18" s="873"/>
      <c r="CL18" s="873"/>
      <c r="CM18" s="873"/>
      <c r="CN18" s="873"/>
      <c r="CO18" s="873"/>
      <c r="CP18" s="873"/>
      <c r="CQ18" s="873"/>
      <c r="CR18" s="873"/>
      <c r="CS18" s="873"/>
      <c r="CT18" s="873"/>
      <c r="CU18" s="873"/>
      <c r="CV18" s="873"/>
      <c r="CW18" s="873"/>
      <c r="CX18" s="873"/>
      <c r="CY18" s="873"/>
      <c r="CZ18" s="873"/>
      <c r="DA18" s="873"/>
      <c r="DB18" s="873"/>
      <c r="DC18" s="873"/>
      <c r="DD18" s="873"/>
      <c r="DE18" s="873"/>
      <c r="DF18" s="873"/>
      <c r="DG18" s="873"/>
      <c r="DH18" s="873"/>
      <c r="DI18" s="873"/>
      <c r="DJ18" s="873"/>
      <c r="DK18" s="873"/>
      <c r="DL18" s="873"/>
      <c r="DM18" s="873"/>
      <c r="DN18" s="873"/>
      <c r="DO18" s="873"/>
      <c r="DP18" s="873"/>
      <c r="DQ18" s="873"/>
      <c r="DR18" s="873"/>
      <c r="DS18" s="873"/>
      <c r="DT18" s="873"/>
      <c r="DU18" s="873"/>
      <c r="DV18" s="873"/>
      <c r="DW18" s="873"/>
      <c r="DX18" s="873"/>
      <c r="DY18" s="873"/>
      <c r="DZ18" s="873"/>
      <c r="EA18" s="873"/>
      <c r="EB18" s="873"/>
      <c r="HV18" s="873"/>
      <c r="HW18" s="873"/>
      <c r="HX18" s="873"/>
      <c r="HY18" s="873"/>
      <c r="HZ18" s="873"/>
    </row>
    <row r="19" spans="1:234" ht="13.9" customHeight="1" x14ac:dyDescent="0.2">
      <c r="A19" s="903" t="s">
        <v>199</v>
      </c>
      <c r="AL19" s="319"/>
      <c r="BV19" s="873">
        <v>1.8093559346922601</v>
      </c>
      <c r="BW19" s="873">
        <v>1.8258210736979594</v>
      </c>
      <c r="BX19" s="873">
        <v>1.8448096128644185</v>
      </c>
      <c r="BY19" s="873">
        <v>1.8475768272837152</v>
      </c>
      <c r="BZ19" s="873">
        <v>1.8544128615446649</v>
      </c>
      <c r="CA19" s="873">
        <v>1.8686918405785591</v>
      </c>
      <c r="CB19" s="873">
        <v>1.8791565148857989</v>
      </c>
      <c r="CC19" s="873">
        <v>1.8902435383236256</v>
      </c>
      <c r="CD19" s="873">
        <v>1.9010179264920704</v>
      </c>
      <c r="CE19" s="873">
        <v>1.9126141358436717</v>
      </c>
      <c r="CF19" s="873">
        <v>1.9185432396647875</v>
      </c>
      <c r="CG19" s="904">
        <v>1.9254499953275808</v>
      </c>
      <c r="CH19" s="363">
        <v>1.9275679903224412</v>
      </c>
      <c r="CI19" s="363">
        <v>1.9262186927292158</v>
      </c>
      <c r="CJ19" s="363">
        <v>1.9331530800230408</v>
      </c>
      <c r="CK19" s="363">
        <v>1.9335397106390453</v>
      </c>
      <c r="CL19" s="363">
        <v>1.9327662947547894</v>
      </c>
      <c r="CM19" s="363">
        <v>1.9261948893526231</v>
      </c>
      <c r="CN19" s="363">
        <v>1.9298500000000001</v>
      </c>
      <c r="CO19" s="363">
        <v>1.9258</v>
      </c>
      <c r="CP19" s="363">
        <v>1.9240687430887724</v>
      </c>
      <c r="CQ19" s="363">
        <v>1.9263776255804792</v>
      </c>
      <c r="CR19" s="363">
        <v>1.9242586101923407</v>
      </c>
      <c r="CS19" s="363">
        <v>1.9304162377449561</v>
      </c>
      <c r="CT19" s="363">
        <v>1.9362074864581909</v>
      </c>
      <c r="CU19" s="363">
        <v>1.9424033504148568</v>
      </c>
      <c r="CV19" s="363">
        <v>1.9478420797960185</v>
      </c>
      <c r="CW19" s="363">
        <v>1.9484264324199574</v>
      </c>
      <c r="CX19" s="363">
        <v>1.95310265585777</v>
      </c>
      <c r="CY19" s="363">
        <v>1.9579854124974101</v>
      </c>
      <c r="CZ19" s="363">
        <v>1.9650341599823999</v>
      </c>
      <c r="DA19" s="363">
        <v>1.9703397522143531</v>
      </c>
      <c r="DB19" s="363">
        <v>1.969748650288689</v>
      </c>
      <c r="DC19" s="363">
        <v>1.9669910021782848</v>
      </c>
      <c r="DD19" s="363">
        <v>1.9671877012785028</v>
      </c>
      <c r="DE19" s="363">
        <v>1.9707286391408045</v>
      </c>
      <c r="DF19" s="363">
        <v>1.9784144808334547</v>
      </c>
      <c r="DG19" s="363">
        <v>1.9859324558606217</v>
      </c>
      <c r="DH19" s="363">
        <v>1.9998339830516463</v>
      </c>
      <c r="DI19" s="363">
        <v>2.0134328541363975</v>
      </c>
      <c r="DJ19" s="363">
        <v>2.0130301675655704</v>
      </c>
      <c r="DK19" s="363">
        <v>2.0150431977331356</v>
      </c>
      <c r="DL19" s="363">
        <v>2.0309620389952276</v>
      </c>
      <c r="DM19" s="363">
        <v>2.036445636500515</v>
      </c>
      <c r="DN19" s="363">
        <v>2.04316590710097</v>
      </c>
      <c r="DO19" s="363">
        <v>2.0494997214129778</v>
      </c>
      <c r="DP19" s="363">
        <v>2.0583125702150538</v>
      </c>
      <c r="DQ19" s="363">
        <v>2.0638700141546344</v>
      </c>
      <c r="DR19" s="363">
        <v>2.0618061441404798</v>
      </c>
      <c r="DS19" s="363">
        <v>2.0684039238017293</v>
      </c>
      <c r="DT19" s="363">
        <v>2.0843306340150023</v>
      </c>
      <c r="DU19" s="363">
        <v>2.0953775863752817</v>
      </c>
      <c r="DV19" s="363">
        <v>2.0962157374098318</v>
      </c>
      <c r="DW19" s="363">
        <v>2.0953772511148681</v>
      </c>
      <c r="DX19" s="363">
        <v>2.0972630906408711</v>
      </c>
      <c r="DY19" s="363">
        <v>2.1079591324031401</v>
      </c>
      <c r="DZ19" s="363">
        <v>2.1193421117181175</v>
      </c>
      <c r="EA19" s="363">
        <v>2.1159511643393687</v>
      </c>
      <c r="EB19" s="363">
        <v>2.1129888327092932</v>
      </c>
      <c r="EC19" s="363">
        <v>2.1184826036743378</v>
      </c>
      <c r="ED19" s="363">
        <v>2.121024782798747</v>
      </c>
      <c r="EE19" s="363">
        <v>2.1191158604942277</v>
      </c>
      <c r="EF19" s="363">
        <v>2.1383998148247256</v>
      </c>
      <c r="EG19" s="363">
        <v>2.1437458143617873</v>
      </c>
      <c r="EH19" s="363">
        <v>2.1478189314090752</v>
      </c>
      <c r="EI19" s="363">
        <v>2.1534032606307387</v>
      </c>
      <c r="EJ19" s="363">
        <v>2.1652469785642081</v>
      </c>
      <c r="EK19" s="363">
        <v>2.1769393122484546</v>
      </c>
      <c r="EL19" s="363">
        <v>2.179333945491928</v>
      </c>
      <c r="EM19" s="363">
        <v>2.1802056790701254</v>
      </c>
      <c r="EN19" s="363">
        <v>2.1754092265761709</v>
      </c>
      <c r="EO19" s="363">
        <v>2.1791074222613505</v>
      </c>
      <c r="EP19" s="363">
        <v>1.2345506860700497</v>
      </c>
      <c r="EQ19" s="363">
        <v>1.2419579901864699</v>
      </c>
      <c r="ER19" s="363">
        <v>1.2484161717354396</v>
      </c>
      <c r="ES19" s="363">
        <v>1.2532849948052076</v>
      </c>
      <c r="ET19" s="363">
        <v>1.2561675502932597</v>
      </c>
      <c r="EU19" s="363">
        <v>1.2581774183737287</v>
      </c>
      <c r="EV19" s="363">
        <v>1.2635875812727357</v>
      </c>
      <c r="EW19" s="363">
        <v>1.26245035244959</v>
      </c>
      <c r="EX19" s="363">
        <v>1.2644702730135093</v>
      </c>
      <c r="EY19" s="363">
        <v>1.2692752600509609</v>
      </c>
      <c r="EZ19" s="363">
        <v>1.2673713471608843</v>
      </c>
      <c r="FA19" s="363">
        <v>1.2702863012593546</v>
      </c>
      <c r="FB19" s="363">
        <v>1.2724457879714952</v>
      </c>
      <c r="FC19" s="363">
        <v>1.2762631253354098</v>
      </c>
      <c r="FD19" s="363">
        <v>1.2859627250879588</v>
      </c>
      <c r="FE19" s="363">
        <v>1.2909779797158021</v>
      </c>
      <c r="FF19" s="363">
        <v>1.2982074564022108</v>
      </c>
      <c r="FG19" s="363">
        <v>1.302491541008338</v>
      </c>
      <c r="FH19" s="363">
        <v>1.3083527529428765</v>
      </c>
      <c r="FI19" s="363">
        <v>1.3133244934040593</v>
      </c>
      <c r="FJ19" s="363">
        <v>1.3137184907520796</v>
      </c>
      <c r="FK19" s="363">
        <v>1.3155576966391334</v>
      </c>
      <c r="FL19" s="363">
        <v>1.3200305928077065</v>
      </c>
      <c r="FM19" s="363">
        <v>1.3259707304753412</v>
      </c>
      <c r="FN19" s="363">
        <v>1.3308768221781</v>
      </c>
      <c r="FO19" s="363">
        <v>1.3331393127758029</v>
      </c>
      <c r="FP19" s="363">
        <v>1.3411381486524576</v>
      </c>
      <c r="FQ19" s="363">
        <v>1.3412722624673228</v>
      </c>
      <c r="FR19" s="363">
        <v>1.3440889342185038</v>
      </c>
      <c r="FS19" s="363">
        <v>1.3459706587264098</v>
      </c>
      <c r="FT19" s="363">
        <v>1.3470474352533908</v>
      </c>
      <c r="FU19" s="363">
        <v>1.3518968060203032</v>
      </c>
      <c r="FV19" s="363">
        <v>1.3547357893129455</v>
      </c>
      <c r="FW19" s="363">
        <v>1.3602902060491286</v>
      </c>
      <c r="FX19" s="363">
        <v>1.3642350476466711</v>
      </c>
      <c r="FY19" s="363">
        <v>1.3687370233039053</v>
      </c>
      <c r="FZ19" s="363">
        <v>1.3720219921598344</v>
      </c>
      <c r="GA19" s="363">
        <v>1.376412462534746</v>
      </c>
      <c r="GB19" s="363">
        <v>1.3943058245476976</v>
      </c>
      <c r="GC19" s="363">
        <v>1.3906806294038736</v>
      </c>
      <c r="GD19" s="363">
        <v>1.3848397707603775</v>
      </c>
      <c r="GE19" s="363">
        <v>1.382624027127161</v>
      </c>
      <c r="GF19" s="363">
        <v>1.3853892751814154</v>
      </c>
      <c r="GG19" s="363">
        <v>1.394671383325131</v>
      </c>
      <c r="GH19" s="363">
        <v>1.3943924490484658</v>
      </c>
      <c r="GI19" s="363">
        <v>1.3878388045379382</v>
      </c>
      <c r="GJ19" s="363">
        <v>1.385063126928862</v>
      </c>
      <c r="GK19" s="363">
        <v>1.3872792279319484</v>
      </c>
      <c r="GL19" s="363">
        <v>1.3890826909282596</v>
      </c>
      <c r="GM19" s="363">
        <v>1.3925553976555805</v>
      </c>
      <c r="GN19" s="363">
        <v>1.3993789191040926</v>
      </c>
      <c r="GO19" s="363">
        <v>1.3974197886173472</v>
      </c>
      <c r="GP19" s="363">
        <v>1.3976992725750705</v>
      </c>
      <c r="GQ19" s="363">
        <v>1.4023116801745681</v>
      </c>
      <c r="GR19" s="363">
        <v>1.4076404645592313</v>
      </c>
      <c r="GS19" s="363">
        <v>1.4094703971631584</v>
      </c>
      <c r="GT19" s="363">
        <v>1.4121483909177683</v>
      </c>
      <c r="GU19" s="363">
        <v>1.4132781096305025</v>
      </c>
      <c r="GV19" s="363">
        <v>1.414974043362059</v>
      </c>
      <c r="GW19" s="363">
        <v>1.4175209966401108</v>
      </c>
      <c r="GX19" s="363">
        <v>1.4185132613377587</v>
      </c>
      <c r="GY19" s="363">
        <v>1.4203573285774977</v>
      </c>
      <c r="GZ19" s="363">
        <v>1.4307259370761134</v>
      </c>
      <c r="HA19" s="363">
        <v>1.4335873889502657</v>
      </c>
      <c r="HB19" s="363">
        <v>1.4357377700336911</v>
      </c>
      <c r="HC19" s="363">
        <v>1.4344456060406607</v>
      </c>
      <c r="HD19" s="363">
        <v>1.4373144972527421</v>
      </c>
      <c r="HE19" s="363">
        <v>1.4381768859510939</v>
      </c>
      <c r="HF19" s="363">
        <v>1.438320703639689</v>
      </c>
      <c r="HG19" s="363">
        <v>1.4399028564136926</v>
      </c>
      <c r="HH19" s="363">
        <v>1.4414867495557475</v>
      </c>
      <c r="HI19" s="363">
        <v>1.4445138717298147</v>
      </c>
      <c r="HJ19" s="363">
        <v>1.4452361286656796</v>
      </c>
      <c r="HK19" s="363"/>
      <c r="HL19" s="363"/>
      <c r="HM19" s="363"/>
      <c r="HN19" s="363"/>
      <c r="HO19" s="363"/>
      <c r="HP19" s="363"/>
      <c r="HQ19" s="363"/>
      <c r="HR19" s="363"/>
      <c r="HS19" s="363"/>
      <c r="HT19" s="363"/>
      <c r="HU19" s="363"/>
      <c r="HY19" s="873"/>
      <c r="HZ19" s="873"/>
    </row>
    <row r="20" spans="1:234" ht="13.9" customHeight="1" x14ac:dyDescent="0.2">
      <c r="A20" s="905"/>
      <c r="B20" s="878"/>
      <c r="C20" s="878"/>
      <c r="D20" s="878"/>
      <c r="E20" s="878"/>
      <c r="F20" s="878"/>
      <c r="G20" s="878"/>
      <c r="H20" s="878"/>
      <c r="I20" s="878"/>
      <c r="J20" s="878"/>
      <c r="K20" s="878"/>
      <c r="L20" s="878"/>
      <c r="M20" s="878"/>
      <c r="N20" s="878"/>
      <c r="O20" s="878"/>
      <c r="P20" s="878"/>
      <c r="Q20" s="878"/>
      <c r="R20" s="878"/>
      <c r="S20" s="878"/>
      <c r="T20" s="878"/>
      <c r="U20" s="878"/>
      <c r="V20" s="878"/>
      <c r="W20" s="878"/>
      <c r="X20" s="878"/>
      <c r="Y20" s="878"/>
      <c r="Z20" s="878"/>
      <c r="AA20" s="878"/>
      <c r="AB20" s="878"/>
      <c r="AC20" s="878"/>
      <c r="AD20" s="878"/>
      <c r="AE20" s="878"/>
      <c r="AF20" s="878"/>
      <c r="AG20" s="878"/>
      <c r="AH20" s="878"/>
      <c r="AI20" s="878"/>
      <c r="AJ20" s="878"/>
      <c r="AK20" s="878"/>
      <c r="AL20" s="934"/>
      <c r="AM20" s="934"/>
      <c r="AN20" s="878"/>
      <c r="AO20" s="934"/>
      <c r="AP20" s="878"/>
      <c r="AQ20" s="878"/>
      <c r="AR20" s="878"/>
      <c r="AS20" s="878"/>
      <c r="AT20" s="878"/>
      <c r="AU20" s="878"/>
      <c r="AV20" s="878"/>
      <c r="AW20" s="878"/>
      <c r="AX20" s="878"/>
      <c r="AY20" s="878"/>
      <c r="AZ20" s="878"/>
      <c r="BA20" s="878"/>
      <c r="BB20" s="878"/>
      <c r="BC20" s="878"/>
      <c r="BD20" s="878"/>
      <c r="BE20" s="878"/>
      <c r="BF20" s="878"/>
      <c r="BG20" s="878"/>
      <c r="BH20" s="878"/>
      <c r="BI20" s="878"/>
      <c r="BJ20" s="878"/>
      <c r="BK20" s="878"/>
      <c r="BL20" s="878"/>
      <c r="BM20" s="878"/>
      <c r="BN20" s="878"/>
      <c r="BO20" s="878"/>
      <c r="BP20" s="878"/>
      <c r="BQ20" s="878"/>
      <c r="BR20" s="878"/>
      <c r="BS20" s="878"/>
      <c r="BT20" s="878"/>
      <c r="BU20" s="878"/>
      <c r="BV20" s="39">
        <f>YEAR(BV21)</f>
        <v>2008</v>
      </c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94"/>
      <c r="CH20" s="39">
        <f>YEAR(CH21)</f>
        <v>2009</v>
      </c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94"/>
      <c r="CT20" s="39">
        <f>YEAR(CT21)</f>
        <v>2010</v>
      </c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94"/>
      <c r="DF20" s="39">
        <f>YEAR(DF21)</f>
        <v>2011</v>
      </c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94"/>
      <c r="DR20" s="39">
        <f>YEAR(DR21)</f>
        <v>2012</v>
      </c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94"/>
      <c r="ED20" s="39">
        <f>YEAR(ED21)</f>
        <v>2013</v>
      </c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94"/>
      <c r="EP20" s="39">
        <f>YEAR(EP21)</f>
        <v>2014</v>
      </c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94"/>
      <c r="FB20" s="39">
        <f>YEAR(FB21)</f>
        <v>2015</v>
      </c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94"/>
      <c r="FN20" s="39">
        <f>YEAR(FN21)</f>
        <v>2016</v>
      </c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94"/>
      <c r="FZ20" s="39">
        <f>YEAR(FZ21)</f>
        <v>2017</v>
      </c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94"/>
      <c r="GL20" s="39">
        <f>YEAR(GL21)</f>
        <v>2018</v>
      </c>
      <c r="GM20" s="40"/>
      <c r="GN20" s="40"/>
      <c r="GO20" s="40"/>
      <c r="GP20" s="40"/>
      <c r="GQ20" s="40"/>
      <c r="GR20" s="40"/>
      <c r="GS20" s="40"/>
      <c r="GT20" s="40"/>
      <c r="GU20" s="40"/>
      <c r="GV20" s="40"/>
      <c r="GW20" s="94"/>
      <c r="GX20" s="39">
        <f>YEAR(GX21)</f>
        <v>2019</v>
      </c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94"/>
      <c r="HJ20" s="39">
        <f>YEAR(HJ21)</f>
        <v>2020</v>
      </c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942" t="s">
        <v>77</v>
      </c>
      <c r="HW20" s="821"/>
      <c r="HY20" s="871"/>
      <c r="HZ20" s="871"/>
    </row>
    <row r="21" spans="1:234" ht="13.9" customHeight="1" x14ac:dyDescent="0.2">
      <c r="A21" s="906"/>
      <c r="BV21" s="68">
        <v>39448</v>
      </c>
      <c r="BW21" s="69">
        <v>39479</v>
      </c>
      <c r="BX21" s="69">
        <v>39508</v>
      </c>
      <c r="BY21" s="69">
        <v>39539</v>
      </c>
      <c r="BZ21" s="69">
        <v>39569</v>
      </c>
      <c r="CA21" s="69">
        <v>39600</v>
      </c>
      <c r="CB21" s="69">
        <v>39630</v>
      </c>
      <c r="CC21" s="69">
        <v>39661</v>
      </c>
      <c r="CD21" s="69">
        <v>39692</v>
      </c>
      <c r="CE21" s="69">
        <v>39722</v>
      </c>
      <c r="CF21" s="69">
        <v>39753</v>
      </c>
      <c r="CG21" s="138">
        <v>39783</v>
      </c>
      <c r="CH21" s="68">
        <v>39814</v>
      </c>
      <c r="CI21" s="69">
        <v>39845</v>
      </c>
      <c r="CJ21" s="69">
        <v>39873</v>
      </c>
      <c r="CK21" s="69">
        <v>39904</v>
      </c>
      <c r="CL21" s="69">
        <v>39934</v>
      </c>
      <c r="CM21" s="69">
        <v>39965</v>
      </c>
      <c r="CN21" s="69">
        <v>39995</v>
      </c>
      <c r="CO21" s="69">
        <v>40026</v>
      </c>
      <c r="CP21" s="69">
        <v>40057</v>
      </c>
      <c r="CQ21" s="69">
        <v>40087</v>
      </c>
      <c r="CR21" s="69">
        <v>40118</v>
      </c>
      <c r="CS21" s="138">
        <v>40148</v>
      </c>
      <c r="CT21" s="68">
        <v>40179</v>
      </c>
      <c r="CU21" s="69">
        <v>40210</v>
      </c>
      <c r="CV21" s="69">
        <v>40238</v>
      </c>
      <c r="CW21" s="69">
        <v>40269</v>
      </c>
      <c r="CX21" s="69">
        <v>40299</v>
      </c>
      <c r="CY21" s="69">
        <v>40330</v>
      </c>
      <c r="CZ21" s="69">
        <v>40360</v>
      </c>
      <c r="DA21" s="69">
        <v>40391</v>
      </c>
      <c r="DB21" s="69">
        <v>40422</v>
      </c>
      <c r="DC21" s="69">
        <v>40452</v>
      </c>
      <c r="DD21" s="69">
        <v>40483</v>
      </c>
      <c r="DE21" s="138">
        <v>40513</v>
      </c>
      <c r="DF21" s="68">
        <v>40544</v>
      </c>
      <c r="DG21" s="69">
        <v>40575</v>
      </c>
      <c r="DH21" s="69">
        <v>40603</v>
      </c>
      <c r="DI21" s="69">
        <v>40634</v>
      </c>
      <c r="DJ21" s="69">
        <v>40664</v>
      </c>
      <c r="DK21" s="69">
        <v>40695</v>
      </c>
      <c r="DL21" s="69">
        <v>40725</v>
      </c>
      <c r="DM21" s="69">
        <v>40756</v>
      </c>
      <c r="DN21" s="69">
        <v>40787</v>
      </c>
      <c r="DO21" s="69">
        <v>40817</v>
      </c>
      <c r="DP21" s="69">
        <v>40848</v>
      </c>
      <c r="DQ21" s="138">
        <v>40878</v>
      </c>
      <c r="DR21" s="68">
        <v>40909</v>
      </c>
      <c r="DS21" s="69">
        <v>40940</v>
      </c>
      <c r="DT21" s="69">
        <v>40969</v>
      </c>
      <c r="DU21" s="69">
        <v>41000</v>
      </c>
      <c r="DV21" s="69">
        <v>41030</v>
      </c>
      <c r="DW21" s="69">
        <v>41061</v>
      </c>
      <c r="DX21" s="69">
        <v>41091</v>
      </c>
      <c r="DY21" s="69">
        <v>41122</v>
      </c>
      <c r="DZ21" s="69">
        <v>41153</v>
      </c>
      <c r="EA21" s="69">
        <v>41183</v>
      </c>
      <c r="EB21" s="69">
        <v>41214</v>
      </c>
      <c r="EC21" s="138">
        <v>41244</v>
      </c>
      <c r="ED21" s="68">
        <v>41275</v>
      </c>
      <c r="EE21" s="69">
        <v>41306</v>
      </c>
      <c r="EF21" s="69">
        <v>41334</v>
      </c>
      <c r="EG21" s="69">
        <v>41365</v>
      </c>
      <c r="EH21" s="69">
        <v>41395</v>
      </c>
      <c r="EI21" s="69">
        <v>41426</v>
      </c>
      <c r="EJ21" s="69">
        <v>41456</v>
      </c>
      <c r="EK21" s="69">
        <v>41487</v>
      </c>
      <c r="EL21" s="69">
        <v>41518</v>
      </c>
      <c r="EM21" s="69">
        <v>41548</v>
      </c>
      <c r="EN21" s="69">
        <v>41579</v>
      </c>
      <c r="EO21" s="138">
        <v>41609</v>
      </c>
      <c r="EP21" s="68">
        <v>41640</v>
      </c>
      <c r="EQ21" s="69">
        <v>41671</v>
      </c>
      <c r="ER21" s="69">
        <v>41699</v>
      </c>
      <c r="ES21" s="69">
        <v>41730</v>
      </c>
      <c r="ET21" s="69">
        <v>41760</v>
      </c>
      <c r="EU21" s="69">
        <v>41791</v>
      </c>
      <c r="EV21" s="69">
        <v>41821</v>
      </c>
      <c r="EW21" s="69">
        <v>41852</v>
      </c>
      <c r="EX21" s="69">
        <v>41883</v>
      </c>
      <c r="EY21" s="69">
        <v>41913</v>
      </c>
      <c r="EZ21" s="69">
        <v>41944</v>
      </c>
      <c r="FA21" s="138">
        <v>41974</v>
      </c>
      <c r="FB21" s="68">
        <v>42005</v>
      </c>
      <c r="FC21" s="69">
        <v>42036</v>
      </c>
      <c r="FD21" s="69">
        <v>42064</v>
      </c>
      <c r="FE21" s="69">
        <v>42095</v>
      </c>
      <c r="FF21" s="69">
        <v>42125</v>
      </c>
      <c r="FG21" s="69">
        <v>42156</v>
      </c>
      <c r="FH21" s="69">
        <v>42186</v>
      </c>
      <c r="FI21" s="69">
        <v>42217</v>
      </c>
      <c r="FJ21" s="69">
        <v>42248</v>
      </c>
      <c r="FK21" s="69">
        <v>42278</v>
      </c>
      <c r="FL21" s="69">
        <v>42309</v>
      </c>
      <c r="FM21" s="138">
        <v>42339</v>
      </c>
      <c r="FN21" s="68">
        <v>42370</v>
      </c>
      <c r="FO21" s="69">
        <v>42401</v>
      </c>
      <c r="FP21" s="69">
        <v>42430</v>
      </c>
      <c r="FQ21" s="69">
        <v>42461</v>
      </c>
      <c r="FR21" s="69">
        <v>42491</v>
      </c>
      <c r="FS21" s="69">
        <v>42522</v>
      </c>
      <c r="FT21" s="69">
        <v>42552</v>
      </c>
      <c r="FU21" s="69">
        <v>42583</v>
      </c>
      <c r="FV21" s="69">
        <v>42614</v>
      </c>
      <c r="FW21" s="69">
        <v>42644</v>
      </c>
      <c r="FX21" s="69">
        <v>42675</v>
      </c>
      <c r="FY21" s="138">
        <v>42705</v>
      </c>
      <c r="FZ21" s="68">
        <v>42736</v>
      </c>
      <c r="GA21" s="69">
        <v>42767</v>
      </c>
      <c r="GB21" s="69">
        <v>42795</v>
      </c>
      <c r="GC21" s="69">
        <v>42826</v>
      </c>
      <c r="GD21" s="69">
        <v>42856</v>
      </c>
      <c r="GE21" s="69">
        <v>42887</v>
      </c>
      <c r="GF21" s="69">
        <v>42917</v>
      </c>
      <c r="GG21" s="69">
        <v>42948</v>
      </c>
      <c r="GH21" s="69">
        <v>42979</v>
      </c>
      <c r="GI21" s="69">
        <v>43009</v>
      </c>
      <c r="GJ21" s="69">
        <v>43040</v>
      </c>
      <c r="GK21" s="138">
        <v>43070</v>
      </c>
      <c r="GL21" s="68">
        <v>43101</v>
      </c>
      <c r="GM21" s="69">
        <v>43132</v>
      </c>
      <c r="GN21" s="69">
        <v>43160</v>
      </c>
      <c r="GO21" s="69">
        <v>43191</v>
      </c>
      <c r="GP21" s="69">
        <v>43221</v>
      </c>
      <c r="GQ21" s="69">
        <v>43252</v>
      </c>
      <c r="GR21" s="69">
        <v>43282</v>
      </c>
      <c r="GS21" s="69">
        <v>43313</v>
      </c>
      <c r="GT21" s="69">
        <v>43344</v>
      </c>
      <c r="GU21" s="69">
        <v>43374</v>
      </c>
      <c r="GV21" s="69">
        <v>43405</v>
      </c>
      <c r="GW21" s="138">
        <v>43435</v>
      </c>
      <c r="GX21" s="68">
        <v>43466</v>
      </c>
      <c r="GY21" s="69">
        <v>43497</v>
      </c>
      <c r="GZ21" s="69">
        <v>43525</v>
      </c>
      <c r="HA21" s="69">
        <v>43556</v>
      </c>
      <c r="HB21" s="69">
        <v>43586</v>
      </c>
      <c r="HC21" s="69">
        <v>43617</v>
      </c>
      <c r="HD21" s="69">
        <v>43647</v>
      </c>
      <c r="HE21" s="69">
        <v>43678</v>
      </c>
      <c r="HF21" s="69">
        <v>43709</v>
      </c>
      <c r="HG21" s="69">
        <v>43739</v>
      </c>
      <c r="HH21" s="69">
        <v>43770</v>
      </c>
      <c r="HI21" s="138">
        <v>43800</v>
      </c>
      <c r="HJ21" s="68">
        <v>43831</v>
      </c>
      <c r="HK21" s="69">
        <v>43862</v>
      </c>
      <c r="HL21" s="69">
        <v>43891</v>
      </c>
      <c r="HM21" s="69">
        <v>43922</v>
      </c>
      <c r="HN21" s="69">
        <v>43952</v>
      </c>
      <c r="HO21" s="69">
        <v>43983</v>
      </c>
      <c r="HP21" s="69">
        <v>44013</v>
      </c>
      <c r="HQ21" s="69">
        <v>44044</v>
      </c>
      <c r="HR21" s="69">
        <v>44075</v>
      </c>
      <c r="HS21" s="69">
        <v>44105</v>
      </c>
      <c r="HT21" s="69">
        <v>44136</v>
      </c>
      <c r="HU21" s="69">
        <v>44166</v>
      </c>
      <c r="HV21" s="823" t="s">
        <v>287</v>
      </c>
      <c r="HW21" s="823" t="s">
        <v>12</v>
      </c>
      <c r="HY21" s="746"/>
      <c r="HZ21" s="746"/>
    </row>
    <row r="22" spans="1:234" ht="13.9" customHeight="1" x14ac:dyDescent="0.2">
      <c r="A22" s="907" t="s">
        <v>87</v>
      </c>
      <c r="BV22" s="935">
        <f t="shared" ref="BV22:DA22" si="19">BV7/BV19</f>
        <v>181915.76237650705</v>
      </c>
      <c r="BW22" s="935">
        <f t="shared" si="19"/>
        <v>118864.3307530921</v>
      </c>
      <c r="BX22" s="935">
        <f t="shared" si="19"/>
        <v>102512.47536940215</v>
      </c>
      <c r="BY22" s="935">
        <f t="shared" si="19"/>
        <v>107414.74837166531</v>
      </c>
      <c r="BZ22" s="935">
        <f t="shared" si="19"/>
        <v>104163.42768411475</v>
      </c>
      <c r="CA22" s="935">
        <f t="shared" si="19"/>
        <v>107286.81725175631</v>
      </c>
      <c r="CB22" s="935">
        <f t="shared" si="19"/>
        <v>111550.58045430516</v>
      </c>
      <c r="CC22" s="935">
        <f t="shared" si="19"/>
        <v>114354.57686669363</v>
      </c>
      <c r="CD22" s="935">
        <f t="shared" si="19"/>
        <v>113305.61221874857</v>
      </c>
      <c r="CE22" s="935">
        <f t="shared" si="19"/>
        <v>113764.71391811602</v>
      </c>
      <c r="CF22" s="935">
        <f t="shared" si="19"/>
        <v>109633.18191189186</v>
      </c>
      <c r="CG22" s="908">
        <f t="shared" si="19"/>
        <v>109850.16516308708</v>
      </c>
      <c r="CH22" s="935">
        <f t="shared" si="19"/>
        <v>109282.26711461571</v>
      </c>
      <c r="CI22" s="935">
        <f t="shared" si="19"/>
        <v>108255.62060377841</v>
      </c>
      <c r="CJ22" s="935">
        <f t="shared" si="19"/>
        <v>110463.57487501964</v>
      </c>
      <c r="CK22" s="935">
        <f t="shared" si="19"/>
        <v>107460.42548633662</v>
      </c>
      <c r="CL22" s="935">
        <f t="shared" si="19"/>
        <v>111068.78290592047</v>
      </c>
      <c r="CM22" s="935">
        <f t="shared" si="19"/>
        <v>112243.57472605688</v>
      </c>
      <c r="CN22" s="935">
        <f t="shared" si="19"/>
        <v>114020.7788170065</v>
      </c>
      <c r="CO22" s="935">
        <f t="shared" si="19"/>
        <v>112423.40845362966</v>
      </c>
      <c r="CP22" s="935">
        <f t="shared" si="19"/>
        <v>115259.91511300598</v>
      </c>
      <c r="CQ22" s="935">
        <f t="shared" si="19"/>
        <v>114765.1410939645</v>
      </c>
      <c r="CR22" s="935">
        <f t="shared" si="19"/>
        <v>119571.76586415351</v>
      </c>
      <c r="CS22" s="908">
        <f t="shared" si="19"/>
        <v>122019.69730381038</v>
      </c>
      <c r="CT22" s="909">
        <f t="shared" si="19"/>
        <v>111679.53730803283</v>
      </c>
      <c r="CU22" s="935">
        <f t="shared" si="19"/>
        <v>111509.28047654964</v>
      </c>
      <c r="CV22" s="935">
        <f t="shared" si="19"/>
        <v>113110.8123627109</v>
      </c>
      <c r="CW22" s="935">
        <f t="shared" si="19"/>
        <v>109874.8181803855</v>
      </c>
      <c r="CX22" s="935">
        <f t="shared" si="19"/>
        <v>116805.94428345977</v>
      </c>
      <c r="CY22" s="935">
        <f t="shared" si="19"/>
        <v>122991.72325949009</v>
      </c>
      <c r="CZ22" s="935">
        <f t="shared" si="19"/>
        <v>125683.82017451139</v>
      </c>
      <c r="DA22" s="935">
        <f t="shared" si="19"/>
        <v>132156.90324846664</v>
      </c>
      <c r="DB22" s="935">
        <f t="shared" ref="DB22:EG22" si="20">DB7/DB19</f>
        <v>133207.85875981912</v>
      </c>
      <c r="DC22" s="935">
        <f t="shared" si="20"/>
        <v>135814.55111088828</v>
      </c>
      <c r="DD22" s="935">
        <f t="shared" si="20"/>
        <v>139897.17393065291</v>
      </c>
      <c r="DE22" s="908">
        <f t="shared" si="20"/>
        <v>147866.6287242095</v>
      </c>
      <c r="DF22" s="909">
        <f t="shared" si="20"/>
        <v>187944.13587356938</v>
      </c>
      <c r="DG22" s="935">
        <f t="shared" si="20"/>
        <v>181209.28480623849</v>
      </c>
      <c r="DH22" s="935">
        <f t="shared" si="20"/>
        <v>195300.41158917214</v>
      </c>
      <c r="DI22" s="935">
        <f t="shared" si="20"/>
        <v>191719.08276304009</v>
      </c>
      <c r="DJ22" s="935">
        <f t="shared" si="20"/>
        <v>207174.24245278505</v>
      </c>
      <c r="DK22" s="935">
        <f t="shared" si="20"/>
        <v>217445.75297091401</v>
      </c>
      <c r="DL22" s="935">
        <f t="shared" si="20"/>
        <v>224846.40291746639</v>
      </c>
      <c r="DM22" s="935">
        <f t="shared" si="20"/>
        <v>238952.7026983207</v>
      </c>
      <c r="DN22" s="935">
        <f t="shared" si="20"/>
        <v>236138.07641522921</v>
      </c>
      <c r="DO22" s="935">
        <f t="shared" si="20"/>
        <v>227719.27093907469</v>
      </c>
      <c r="DP22" s="935">
        <f t="shared" si="20"/>
        <v>223152.4639778157</v>
      </c>
      <c r="DQ22" s="908">
        <f t="shared" si="20"/>
        <v>235537.17062899191</v>
      </c>
      <c r="DR22" s="909">
        <f t="shared" si="20"/>
        <v>222277.93372448813</v>
      </c>
      <c r="DS22" s="935">
        <f t="shared" si="20"/>
        <v>215440.92731701647</v>
      </c>
      <c r="DT22" s="935">
        <f t="shared" si="20"/>
        <v>209781.64271746378</v>
      </c>
      <c r="DU22" s="935">
        <f t="shared" si="20"/>
        <v>205366.42442300601</v>
      </c>
      <c r="DV22" s="935">
        <f t="shared" si="20"/>
        <v>214183.58165499297</v>
      </c>
      <c r="DW22" s="935">
        <f t="shared" si="20"/>
        <v>220220.27387406421</v>
      </c>
      <c r="DX22" s="935">
        <f t="shared" si="20"/>
        <v>222189.00929954645</v>
      </c>
      <c r="DY22" s="935">
        <f t="shared" si="20"/>
        <v>219064.58853097263</v>
      </c>
      <c r="DZ22" s="935">
        <f t="shared" si="20"/>
        <v>232081.32460561406</v>
      </c>
      <c r="EA22" s="935">
        <f t="shared" si="20"/>
        <v>229139.70439453734</v>
      </c>
      <c r="EB22" s="935">
        <f t="shared" si="20"/>
        <v>229910.98112293557</v>
      </c>
      <c r="EC22" s="935">
        <f t="shared" si="20"/>
        <v>236856.74597455194</v>
      </c>
      <c r="ED22" s="909">
        <f t="shared" si="20"/>
        <v>225036.49274205076</v>
      </c>
      <c r="EE22" s="935">
        <f t="shared" si="20"/>
        <v>224715.06063804342</v>
      </c>
      <c r="EF22" s="935">
        <f t="shared" si="20"/>
        <v>244132.54750154857</v>
      </c>
      <c r="EG22" s="935">
        <f t="shared" si="20"/>
        <v>231308.61485909144</v>
      </c>
      <c r="EH22" s="935">
        <f t="shared" ref="EH22:FM22" si="21">EH7/EH19</f>
        <v>239176.34077421163</v>
      </c>
      <c r="EI22" s="935">
        <f t="shared" si="21"/>
        <v>242367.15980783349</v>
      </c>
      <c r="EJ22" s="935">
        <f t="shared" si="21"/>
        <v>250827.34304524271</v>
      </c>
      <c r="EK22" s="935">
        <f t="shared" si="21"/>
        <v>245114.1014440463</v>
      </c>
      <c r="EL22" s="935">
        <f t="shared" si="21"/>
        <v>237852.14856229568</v>
      </c>
      <c r="EM22" s="935">
        <f t="shared" si="21"/>
        <v>249978.12084062104</v>
      </c>
      <c r="EN22" s="935">
        <f t="shared" si="21"/>
        <v>251234.23918275049</v>
      </c>
      <c r="EO22" s="908">
        <f t="shared" si="21"/>
        <v>250830.32928353056</v>
      </c>
      <c r="EP22" s="909">
        <f t="shared" si="21"/>
        <v>452774.44361509453</v>
      </c>
      <c r="EQ22" s="935">
        <f t="shared" si="21"/>
        <v>468156.88819128479</v>
      </c>
      <c r="ER22" s="935">
        <f t="shared" si="21"/>
        <v>461981.8901803061</v>
      </c>
      <c r="ES22" s="935">
        <f t="shared" si="21"/>
        <v>480272.64277073194</v>
      </c>
      <c r="ET22" s="935">
        <f t="shared" si="21"/>
        <v>493153.11632224394</v>
      </c>
      <c r="EU22" s="935">
        <f t="shared" si="21"/>
        <v>497626.36826630984</v>
      </c>
      <c r="EV22" s="935">
        <f t="shared" si="21"/>
        <v>511809.67334975023</v>
      </c>
      <c r="EW22" s="935">
        <f t="shared" si="21"/>
        <v>520526.48125522211</v>
      </c>
      <c r="EX22" s="935">
        <f t="shared" si="21"/>
        <v>520595.67724844976</v>
      </c>
      <c r="EY22" s="935">
        <f t="shared" si="21"/>
        <v>507214.83820156701</v>
      </c>
      <c r="EZ22" s="935">
        <f t="shared" si="21"/>
        <v>509352.24625845457</v>
      </c>
      <c r="FA22" s="908">
        <f t="shared" si="21"/>
        <v>547171.10864764708</v>
      </c>
      <c r="FB22" s="909">
        <f t="shared" si="21"/>
        <v>534614.20838562201</v>
      </c>
      <c r="FC22" s="935">
        <f t="shared" si="21"/>
        <v>518267.25907023915</v>
      </c>
      <c r="FD22" s="935">
        <f t="shared" si="21"/>
        <v>575002.8783761391</v>
      </c>
      <c r="FE22" s="935">
        <f t="shared" si="21"/>
        <v>581932.21993250726</v>
      </c>
      <c r="FF22" s="935">
        <f t="shared" si="21"/>
        <v>593380.75615037582</v>
      </c>
      <c r="FG22" s="935">
        <f t="shared" si="21"/>
        <v>592584.88800048118</v>
      </c>
      <c r="FH22" s="935">
        <f t="shared" si="21"/>
        <v>618111.02632755239</v>
      </c>
      <c r="FI22" s="935">
        <f t="shared" si="21"/>
        <v>578986.76899651415</v>
      </c>
      <c r="FJ22" s="935">
        <f t="shared" si="21"/>
        <v>585041.97608576086</v>
      </c>
      <c r="FK22" s="935">
        <f t="shared" si="21"/>
        <v>579046.16715488583</v>
      </c>
      <c r="FL22" s="935">
        <f t="shared" si="21"/>
        <v>574733.00957845105</v>
      </c>
      <c r="FM22" s="908">
        <f t="shared" si="21"/>
        <v>620323.47694819386</v>
      </c>
      <c r="FN22" s="909">
        <f t="shared" ref="FN22:GS22" si="22">FN7/FN19</f>
        <v>634135.21943284734</v>
      </c>
      <c r="FO22" s="935">
        <f t="shared" si="22"/>
        <v>616001.1806268784</v>
      </c>
      <c r="FP22" s="935">
        <f t="shared" si="22"/>
        <v>606385.10675960546</v>
      </c>
      <c r="FQ22" s="935">
        <f t="shared" si="22"/>
        <v>595004.46140735957</v>
      </c>
      <c r="FR22" s="935">
        <f t="shared" si="22"/>
        <v>609493.2902682639</v>
      </c>
      <c r="FS22" s="935">
        <f t="shared" si="22"/>
        <v>625415.37356878398</v>
      </c>
      <c r="FT22" s="935">
        <f t="shared" si="22"/>
        <v>644142.26921918325</v>
      </c>
      <c r="FU22" s="935">
        <f t="shared" si="22"/>
        <v>644426.17104379507</v>
      </c>
      <c r="FV22" s="935">
        <f t="shared" si="22"/>
        <v>646247.88895110495</v>
      </c>
      <c r="FW22" s="935">
        <f t="shared" si="22"/>
        <v>647084.28349752421</v>
      </c>
      <c r="FX22" s="935">
        <f t="shared" si="22"/>
        <v>656723.03888210852</v>
      </c>
      <c r="FY22" s="935">
        <f t="shared" si="22"/>
        <v>674692.65948610008</v>
      </c>
      <c r="FZ22" s="909">
        <f t="shared" si="22"/>
        <v>638507.27897657827</v>
      </c>
      <c r="GA22" s="935">
        <f t="shared" si="22"/>
        <v>615175.52351326891</v>
      </c>
      <c r="GB22" s="935">
        <f t="shared" si="22"/>
        <v>606402.7274749981</v>
      </c>
      <c r="GC22" s="935">
        <f t="shared" si="22"/>
        <v>609604.46524188772</v>
      </c>
      <c r="GD22" s="935">
        <f t="shared" si="22"/>
        <v>631066.77225925634</v>
      </c>
      <c r="GE22" s="935">
        <f t="shared" si="22"/>
        <v>652822.0007831431</v>
      </c>
      <c r="GF22" s="935">
        <f t="shared" si="22"/>
        <v>677964.77566711837</v>
      </c>
      <c r="GG22" s="935">
        <f t="shared" si="22"/>
        <v>690043.72034616082</v>
      </c>
      <c r="GH22" s="935">
        <f t="shared" si="22"/>
        <v>705691.04102757375</v>
      </c>
      <c r="GI22" s="935">
        <f t="shared" si="22"/>
        <v>695361.48156002886</v>
      </c>
      <c r="GJ22" s="935">
        <f t="shared" si="22"/>
        <v>720457.58993138792</v>
      </c>
      <c r="GK22" s="935">
        <f t="shared" si="22"/>
        <v>751693.67978971428</v>
      </c>
      <c r="GL22" s="909">
        <f t="shared" si="22"/>
        <v>728053.41097741085</v>
      </c>
      <c r="GM22" s="935">
        <f t="shared" si="22"/>
        <v>710692.47833598673</v>
      </c>
      <c r="GN22" s="935">
        <f t="shared" si="22"/>
        <v>688568.11975336412</v>
      </c>
      <c r="GO22" s="935">
        <f t="shared" si="22"/>
        <v>691109.2770881427</v>
      </c>
      <c r="GP22" s="935">
        <f t="shared" si="22"/>
        <v>716661.03591407568</v>
      </c>
      <c r="GQ22" s="935">
        <f t="shared" si="22"/>
        <v>727675.95682649617</v>
      </c>
      <c r="GR22" s="935">
        <f t="shared" si="22"/>
        <v>760897.5481927339</v>
      </c>
      <c r="GS22" s="935">
        <f t="shared" si="22"/>
        <v>753585.91306905309</v>
      </c>
      <c r="GT22" s="935">
        <f t="shared" ref="GT22:HJ22" si="23">GT7/GT19</f>
        <v>746726.68771351839</v>
      </c>
      <c r="GU22" s="935">
        <f t="shared" si="23"/>
        <v>755008.93888392148</v>
      </c>
      <c r="GV22" s="935">
        <f t="shared" si="23"/>
        <v>766085.084468671</v>
      </c>
      <c r="GW22" s="935">
        <f t="shared" si="23"/>
        <v>810566.00729259895</v>
      </c>
      <c r="GX22" s="909">
        <f t="shared" si="23"/>
        <v>784598.75857656496</v>
      </c>
      <c r="GY22" s="935">
        <f t="shared" si="23"/>
        <v>760960.29716864834</v>
      </c>
      <c r="GZ22" s="935">
        <f t="shared" si="23"/>
        <v>724581.5812486033</v>
      </c>
      <c r="HA22" s="935">
        <f t="shared" si="23"/>
        <v>717982.00349941023</v>
      </c>
      <c r="HB22" s="935">
        <f t="shared" si="23"/>
        <v>746400.34645383258</v>
      </c>
      <c r="HC22" s="935">
        <f t="shared" si="23"/>
        <v>771432.31755881105</v>
      </c>
      <c r="HD22" s="935">
        <f t="shared" si="23"/>
        <v>795682.67998823186</v>
      </c>
      <c r="HE22" s="935">
        <f t="shared" si="23"/>
        <v>817502.88073394948</v>
      </c>
      <c r="HF22" s="935">
        <f t="shared" si="23"/>
        <v>828143.97032303957</v>
      </c>
      <c r="HG22" s="935">
        <f t="shared" si="23"/>
        <v>838599.08512680791</v>
      </c>
      <c r="HH22" s="935">
        <f t="shared" si="23"/>
        <v>849044.91864194407</v>
      </c>
      <c r="HI22" s="908">
        <f t="shared" si="23"/>
        <v>870810.81075646495</v>
      </c>
      <c r="HJ22" s="910">
        <f t="shared" si="23"/>
        <v>825914.93394372531</v>
      </c>
      <c r="HK22" s="935"/>
      <c r="HL22" s="935"/>
      <c r="HM22" s="935"/>
      <c r="HN22" s="935"/>
      <c r="HO22" s="935"/>
      <c r="HP22" s="935"/>
      <c r="HQ22" s="935"/>
      <c r="HR22" s="935"/>
      <c r="HS22" s="935"/>
      <c r="HT22" s="935"/>
      <c r="HU22" s="935"/>
      <c r="HV22" s="881"/>
      <c r="HW22" s="882"/>
      <c r="HY22" s="911"/>
      <c r="HZ22" s="911"/>
    </row>
    <row r="23" spans="1:234" ht="13.9" customHeight="1" x14ac:dyDescent="0.2">
      <c r="A23" s="932" t="s">
        <v>15</v>
      </c>
      <c r="BV23" s="936">
        <f t="shared" ref="BV23:DA23" si="24">BV8/BV19</f>
        <v>176862.20088278403</v>
      </c>
      <c r="BW23" s="936">
        <f t="shared" si="24"/>
        <v>90116.716457189337</v>
      </c>
      <c r="BX23" s="936">
        <f t="shared" si="24"/>
        <v>78649.308301638492</v>
      </c>
      <c r="BY23" s="936">
        <f t="shared" si="24"/>
        <v>82602.789635748297</v>
      </c>
      <c r="BZ23" s="936">
        <f t="shared" si="24"/>
        <v>78837.352259422274</v>
      </c>
      <c r="CA23" s="936">
        <f t="shared" si="24"/>
        <v>80384.040181549193</v>
      </c>
      <c r="CB23" s="936">
        <f t="shared" si="24"/>
        <v>81919.200865157982</v>
      </c>
      <c r="CC23" s="936">
        <f t="shared" si="24"/>
        <v>84729.822773016276</v>
      </c>
      <c r="CD23" s="936">
        <f t="shared" si="24"/>
        <v>82722.523448363689</v>
      </c>
      <c r="CE23" s="936">
        <f t="shared" si="24"/>
        <v>81353.05343822774</v>
      </c>
      <c r="CF23" s="936">
        <f t="shared" si="24"/>
        <v>76607.082374478909</v>
      </c>
      <c r="CG23" s="930">
        <f t="shared" si="24"/>
        <v>78289.750637930119</v>
      </c>
      <c r="CH23" s="936">
        <f t="shared" si="24"/>
        <v>78140.953136913289</v>
      </c>
      <c r="CI23" s="936">
        <f t="shared" si="24"/>
        <v>75856.91103068371</v>
      </c>
      <c r="CJ23" s="936">
        <f t="shared" si="24"/>
        <v>77673.103879704315</v>
      </c>
      <c r="CK23" s="936">
        <f t="shared" si="24"/>
        <v>77477.591577619227</v>
      </c>
      <c r="CL23" s="936">
        <f t="shared" si="24"/>
        <v>80456.183668977275</v>
      </c>
      <c r="CM23" s="936">
        <f t="shared" si="24"/>
        <v>81379.615773294514</v>
      </c>
      <c r="CN23" s="936">
        <f t="shared" si="24"/>
        <v>84152.136176386761</v>
      </c>
      <c r="CO23" s="936">
        <f t="shared" si="24"/>
        <v>81815.868729878493</v>
      </c>
      <c r="CP23" s="936">
        <f t="shared" si="24"/>
        <v>84480.86929527155</v>
      </c>
      <c r="CQ23" s="936">
        <f t="shared" si="24"/>
        <v>84003.778828794049</v>
      </c>
      <c r="CR23" s="936">
        <f t="shared" si="24"/>
        <v>89545.65622693341</v>
      </c>
      <c r="CS23" s="930">
        <f t="shared" si="24"/>
        <v>91026.953106895642</v>
      </c>
      <c r="CT23" s="931">
        <f t="shared" si="24"/>
        <v>82110.980322063217</v>
      </c>
      <c r="CU23" s="936">
        <f t="shared" si="24"/>
        <v>81808.961030705075</v>
      </c>
      <c r="CV23" s="936">
        <f t="shared" si="24"/>
        <v>84482.721523930173</v>
      </c>
      <c r="CW23" s="936">
        <f t="shared" si="24"/>
        <v>81243.508795656278</v>
      </c>
      <c r="CX23" s="936">
        <f t="shared" si="24"/>
        <v>88268.785812635993</v>
      </c>
      <c r="CY23" s="936">
        <f t="shared" si="24"/>
        <v>94155.961951143414</v>
      </c>
      <c r="CZ23" s="936">
        <f t="shared" si="24"/>
        <v>96165.758259231749</v>
      </c>
      <c r="DA23" s="936">
        <f t="shared" si="24"/>
        <v>102532.06320024646</v>
      </c>
      <c r="DB23" s="936">
        <f t="shared" ref="DB23:EG23" si="25">DB8/DB19</f>
        <v>102808.04100072385</v>
      </c>
      <c r="DC23" s="936">
        <f t="shared" si="25"/>
        <v>106328.90530174534</v>
      </c>
      <c r="DD23" s="936">
        <f t="shared" si="25"/>
        <v>108466.51789319608</v>
      </c>
      <c r="DE23" s="930">
        <f t="shared" si="25"/>
        <v>116739.56293663145</v>
      </c>
      <c r="DF23" s="931">
        <f t="shared" si="25"/>
        <v>155106.02200542233</v>
      </c>
      <c r="DG23" s="936">
        <f t="shared" si="25"/>
        <v>149709.01911724746</v>
      </c>
      <c r="DH23" s="936">
        <f t="shared" si="25"/>
        <v>163991.11265203982</v>
      </c>
      <c r="DI23" s="936">
        <f t="shared" si="25"/>
        <v>159200.73984165027</v>
      </c>
      <c r="DJ23" s="936">
        <f t="shared" si="25"/>
        <v>174522.9682398967</v>
      </c>
      <c r="DK23" s="936">
        <f t="shared" si="25"/>
        <v>184339.99459062406</v>
      </c>
      <c r="DL23" s="936">
        <f t="shared" si="25"/>
        <v>190698.39650061037</v>
      </c>
      <c r="DM23" s="936">
        <f t="shared" si="25"/>
        <v>202538.21808313995</v>
      </c>
      <c r="DN23" s="936">
        <f t="shared" si="25"/>
        <v>200046.47807085852</v>
      </c>
      <c r="DO23" s="936">
        <f t="shared" si="25"/>
        <v>193191.48629941003</v>
      </c>
      <c r="DP23" s="936">
        <f t="shared" si="25"/>
        <v>188204.2211837272</v>
      </c>
      <c r="DQ23" s="930">
        <f t="shared" si="25"/>
        <v>199638.37215725402</v>
      </c>
      <c r="DR23" s="931">
        <f t="shared" si="25"/>
        <v>186796.66063879902</v>
      </c>
      <c r="DS23" s="936">
        <f t="shared" si="25"/>
        <v>180533.99450319097</v>
      </c>
      <c r="DT23" s="936">
        <f t="shared" si="25"/>
        <v>179073.6627763412</v>
      </c>
      <c r="DU23" s="936">
        <f t="shared" si="25"/>
        <v>175296.19544866821</v>
      </c>
      <c r="DV23" s="936">
        <f t="shared" si="25"/>
        <v>183905.80451244343</v>
      </c>
      <c r="DW23" s="936">
        <f t="shared" si="25"/>
        <v>183413.00105053576</v>
      </c>
      <c r="DX23" s="936">
        <f t="shared" si="25"/>
        <v>186700.39961002182</v>
      </c>
      <c r="DY23" s="936">
        <f t="shared" si="25"/>
        <v>184828.03453871154</v>
      </c>
      <c r="DZ23" s="936">
        <f t="shared" si="25"/>
        <v>198532.4300232481</v>
      </c>
      <c r="EA23" s="936">
        <f t="shared" si="25"/>
        <v>195935.04876065551</v>
      </c>
      <c r="EB23" s="936">
        <f t="shared" si="25"/>
        <v>195669.51564049389</v>
      </c>
      <c r="EC23" s="936">
        <f t="shared" si="25"/>
        <v>203112.48707149926</v>
      </c>
      <c r="ED23" s="931">
        <f t="shared" si="25"/>
        <v>192255.98765608206</v>
      </c>
      <c r="EE23" s="936">
        <f t="shared" si="25"/>
        <v>194932.89147657019</v>
      </c>
      <c r="EF23" s="936">
        <f t="shared" si="25"/>
        <v>203989.5751374044</v>
      </c>
      <c r="EG23" s="936">
        <f t="shared" si="25"/>
        <v>201179.005832086</v>
      </c>
      <c r="EH23" s="936">
        <f t="shared" ref="EH23:FM23" si="26">EH8/EH19</f>
        <v>207683.68547126927</v>
      </c>
      <c r="EI23" s="936">
        <f t="shared" si="26"/>
        <v>205544.49771769877</v>
      </c>
      <c r="EJ23" s="936">
        <f t="shared" si="26"/>
        <v>215041.87697273932</v>
      </c>
      <c r="EK23" s="936">
        <f t="shared" si="26"/>
        <v>209607.42653349732</v>
      </c>
      <c r="EL23" s="936">
        <f t="shared" si="26"/>
        <v>202287.9511751417</v>
      </c>
      <c r="EM23" s="936">
        <f t="shared" si="26"/>
        <v>214783.42378216432</v>
      </c>
      <c r="EN23" s="936">
        <f t="shared" si="26"/>
        <v>215974.06159275066</v>
      </c>
      <c r="EO23" s="930">
        <f t="shared" si="26"/>
        <v>215703.57779435153</v>
      </c>
      <c r="EP23" s="931">
        <f t="shared" si="26"/>
        <v>391409.60792644351</v>
      </c>
      <c r="EQ23" s="936">
        <f t="shared" si="26"/>
        <v>406340.72471664654</v>
      </c>
      <c r="ER23" s="936">
        <f t="shared" si="26"/>
        <v>400392.80738821457</v>
      </c>
      <c r="ES23" s="936">
        <f t="shared" si="26"/>
        <v>411604.64498354384</v>
      </c>
      <c r="ET23" s="936">
        <f t="shared" si="26"/>
        <v>425162.04489227349</v>
      </c>
      <c r="EU23" s="936">
        <f t="shared" si="26"/>
        <v>429431.36494086182</v>
      </c>
      <c r="EV23" s="936">
        <f t="shared" si="26"/>
        <v>441037.87461148936</v>
      </c>
      <c r="EW23" s="936">
        <f t="shared" si="26"/>
        <v>452330.38687975012</v>
      </c>
      <c r="EX23" s="936">
        <f t="shared" si="26"/>
        <v>450301.68365525251</v>
      </c>
      <c r="EY23" s="936">
        <f t="shared" si="26"/>
        <v>440656.83024306619</v>
      </c>
      <c r="EZ23" s="936">
        <f t="shared" si="26"/>
        <v>442767.30323521013</v>
      </c>
      <c r="FA23" s="930">
        <f t="shared" si="26"/>
        <v>482933.61147940852</v>
      </c>
      <c r="FB23" s="931">
        <f t="shared" si="26"/>
        <v>463009.63244117243</v>
      </c>
      <c r="FC23" s="936">
        <f t="shared" si="26"/>
        <v>444241.02844074345</v>
      </c>
      <c r="FD23" s="936">
        <f t="shared" si="26"/>
        <v>496808.67667163623</v>
      </c>
      <c r="FE23" s="936">
        <f t="shared" si="26"/>
        <v>498539.97739890503</v>
      </c>
      <c r="FF23" s="936">
        <f t="shared" si="26"/>
        <v>504468.39004065719</v>
      </c>
      <c r="FG23" s="936">
        <f t="shared" si="26"/>
        <v>504011.78272665467</v>
      </c>
      <c r="FH23" s="936">
        <f t="shared" si="26"/>
        <v>536940.93000519101</v>
      </c>
      <c r="FI23" s="936">
        <f t="shared" si="26"/>
        <v>499940.20738787408</v>
      </c>
      <c r="FJ23" s="936">
        <f t="shared" si="26"/>
        <v>501670.24019940832</v>
      </c>
      <c r="FK23" s="936">
        <f t="shared" si="26"/>
        <v>497492.58190804278</v>
      </c>
      <c r="FL23" s="936">
        <f t="shared" si="26"/>
        <v>489809.81243378442</v>
      </c>
      <c r="FM23" s="930">
        <f t="shared" si="26"/>
        <v>536396.74079761072</v>
      </c>
      <c r="FN23" s="931">
        <f t="shared" ref="FN23:GS23" si="27">FN8/FN19</f>
        <v>547418.1167026927</v>
      </c>
      <c r="FO23" s="936">
        <f t="shared" si="27"/>
        <v>525739.78729998588</v>
      </c>
      <c r="FP23" s="936">
        <f t="shared" si="27"/>
        <v>523154.33045803127</v>
      </c>
      <c r="FQ23" s="936">
        <f t="shared" si="27"/>
        <v>515063.55949624424</v>
      </c>
      <c r="FR23" s="936">
        <f t="shared" si="27"/>
        <v>532428.44523237657</v>
      </c>
      <c r="FS23" s="936">
        <f t="shared" si="27"/>
        <v>548831.51663126622</v>
      </c>
      <c r="FT23" s="936">
        <f t="shared" si="27"/>
        <v>564322.63990540605</v>
      </c>
      <c r="FU23" s="936">
        <f t="shared" si="27"/>
        <v>568612.57762928354</v>
      </c>
      <c r="FV23" s="936">
        <f t="shared" si="27"/>
        <v>570896.64488175733</v>
      </c>
      <c r="FW23" s="936">
        <f t="shared" si="27"/>
        <v>567027.94859506818</v>
      </c>
      <c r="FX23" s="936">
        <f t="shared" si="27"/>
        <v>576036.58587690117</v>
      </c>
      <c r="FY23" s="936">
        <f t="shared" si="27"/>
        <v>590930.76705678692</v>
      </c>
      <c r="FZ23" s="931">
        <f t="shared" si="27"/>
        <v>555795.47003439348</v>
      </c>
      <c r="GA23" s="936">
        <f t="shared" si="27"/>
        <v>538015.84128805867</v>
      </c>
      <c r="GB23" s="936">
        <f t="shared" si="27"/>
        <v>531985.10245097638</v>
      </c>
      <c r="GC23" s="936">
        <f t="shared" si="27"/>
        <v>533212.34638024843</v>
      </c>
      <c r="GD23" s="936">
        <f t="shared" si="27"/>
        <v>551831.88678961713</v>
      </c>
      <c r="GE23" s="936">
        <f t="shared" si="27"/>
        <v>568031.13408340083</v>
      </c>
      <c r="GF23" s="936">
        <f t="shared" si="27"/>
        <v>592888.05292825797</v>
      </c>
      <c r="GG23" s="936">
        <f t="shared" si="27"/>
        <v>607760.78156068258</v>
      </c>
      <c r="GH23" s="936">
        <f t="shared" si="27"/>
        <v>627844.84926565387</v>
      </c>
      <c r="GI23" s="936">
        <f t="shared" si="27"/>
        <v>616668.13292840507</v>
      </c>
      <c r="GJ23" s="936">
        <f t="shared" si="27"/>
        <v>642339.62343847356</v>
      </c>
      <c r="GK23" s="936">
        <f t="shared" si="27"/>
        <v>671150.10650593613</v>
      </c>
      <c r="GL23" s="931">
        <f t="shared" si="27"/>
        <v>643841.36206632014</v>
      </c>
      <c r="GM23" s="936">
        <f t="shared" si="27"/>
        <v>625376.93975847994</v>
      </c>
      <c r="GN23" s="936">
        <f t="shared" si="27"/>
        <v>604542.27797115454</v>
      </c>
      <c r="GO23" s="936">
        <f t="shared" si="27"/>
        <v>608423.59805941966</v>
      </c>
      <c r="GP23" s="936">
        <f t="shared" si="27"/>
        <v>634259.65016547276</v>
      </c>
      <c r="GQ23" s="936">
        <f t="shared" si="27"/>
        <v>640160.73064316809</v>
      </c>
      <c r="GR23" s="936">
        <f t="shared" si="27"/>
        <v>677400.10464147665</v>
      </c>
      <c r="GS23" s="936">
        <f t="shared" si="27"/>
        <v>669471.27764384681</v>
      </c>
      <c r="GT23" s="936">
        <f t="shared" ref="GT23:HJ23" si="28">GT8/GT19</f>
        <v>658497.88957069255</v>
      </c>
      <c r="GU23" s="936">
        <f t="shared" si="28"/>
        <v>668682.60916959692</v>
      </c>
      <c r="GV23" s="936">
        <f t="shared" si="28"/>
        <v>677444.85971798492</v>
      </c>
      <c r="GW23" s="936">
        <f t="shared" si="28"/>
        <v>720853.03989287384</v>
      </c>
      <c r="GX23" s="931">
        <f t="shared" si="28"/>
        <v>692077.16265843564</v>
      </c>
      <c r="GY23" s="936">
        <f t="shared" si="28"/>
        <v>671342.50179494359</v>
      </c>
      <c r="GZ23" s="936">
        <f t="shared" si="28"/>
        <v>639212.92715150327</v>
      </c>
      <c r="HA23" s="936">
        <f t="shared" si="28"/>
        <v>636101.98239657935</v>
      </c>
      <c r="HB23" s="936">
        <f t="shared" si="28"/>
        <v>661150.98052182968</v>
      </c>
      <c r="HC23" s="936">
        <f t="shared" si="28"/>
        <v>681048.61824388208</v>
      </c>
      <c r="HD23" s="936">
        <f t="shared" si="28"/>
        <v>708817.44928288448</v>
      </c>
      <c r="HE23" s="936">
        <f t="shared" si="28"/>
        <v>730844.78748585773</v>
      </c>
      <c r="HF23" s="936">
        <f t="shared" si="28"/>
        <v>734059.0169482046</v>
      </c>
      <c r="HG23" s="936">
        <f t="shared" si="28"/>
        <v>741759.84946663619</v>
      </c>
      <c r="HH23" s="936">
        <f t="shared" si="28"/>
        <v>752418.29335875867</v>
      </c>
      <c r="HI23" s="930">
        <f t="shared" si="28"/>
        <v>776704.68691065244</v>
      </c>
      <c r="HJ23" s="933">
        <f t="shared" si="28"/>
        <v>737131.96116510744</v>
      </c>
      <c r="HK23" s="936"/>
      <c r="HL23" s="936"/>
      <c r="HM23" s="936"/>
      <c r="HN23" s="936"/>
      <c r="HO23" s="936"/>
      <c r="HP23" s="936"/>
      <c r="HQ23" s="936"/>
      <c r="HR23" s="936"/>
      <c r="HS23" s="936"/>
      <c r="HT23" s="936"/>
      <c r="HU23" s="936"/>
      <c r="HV23" s="881"/>
      <c r="HW23" s="882"/>
      <c r="HY23" s="913"/>
      <c r="HZ23" s="913"/>
    </row>
    <row r="24" spans="1:234" ht="13.9" customHeight="1" x14ac:dyDescent="0.2">
      <c r="A24" s="912" t="s">
        <v>19</v>
      </c>
      <c r="B24" s="641"/>
      <c r="C24" s="641"/>
      <c r="D24" s="641"/>
      <c r="E24" s="641"/>
      <c r="F24" s="641"/>
      <c r="G24" s="641"/>
      <c r="H24" s="641"/>
      <c r="I24" s="641"/>
      <c r="J24" s="641"/>
      <c r="K24" s="641"/>
      <c r="L24" s="641"/>
      <c r="M24" s="641"/>
      <c r="N24" s="641"/>
      <c r="O24" s="641"/>
      <c r="P24" s="641"/>
      <c r="Q24" s="641"/>
      <c r="R24" s="641"/>
      <c r="S24" s="641"/>
      <c r="T24" s="641"/>
      <c r="U24" s="641"/>
      <c r="V24" s="641"/>
      <c r="W24" s="641"/>
      <c r="X24" s="641"/>
      <c r="Y24" s="641"/>
      <c r="Z24" s="641"/>
      <c r="AA24" s="641"/>
      <c r="AB24" s="641"/>
      <c r="AC24" s="641"/>
      <c r="AD24" s="641"/>
      <c r="AE24" s="641"/>
      <c r="AF24" s="641"/>
      <c r="AG24" s="641"/>
      <c r="AH24" s="641"/>
      <c r="AI24" s="641"/>
      <c r="AJ24" s="641"/>
      <c r="AK24" s="641"/>
      <c r="AL24" s="641"/>
      <c r="AM24" s="641"/>
      <c r="AN24" s="641"/>
      <c r="AO24" s="641"/>
      <c r="AP24" s="641"/>
      <c r="AQ24" s="641"/>
      <c r="AR24" s="641"/>
      <c r="AS24" s="641"/>
      <c r="AT24" s="641"/>
      <c r="AU24" s="641"/>
      <c r="AV24" s="641"/>
      <c r="AW24" s="641"/>
      <c r="AX24" s="641"/>
      <c r="AY24" s="641"/>
      <c r="AZ24" s="641"/>
      <c r="BA24" s="641"/>
      <c r="BB24" s="641"/>
      <c r="BC24" s="641"/>
      <c r="BD24" s="641"/>
      <c r="BE24" s="641"/>
      <c r="BF24" s="641"/>
      <c r="BG24" s="641"/>
      <c r="BH24" s="641"/>
      <c r="BI24" s="641"/>
      <c r="BJ24" s="641"/>
      <c r="BK24" s="641"/>
      <c r="BL24" s="641"/>
      <c r="BM24" s="641"/>
      <c r="BN24" s="641"/>
      <c r="BO24" s="641"/>
      <c r="BP24" s="641"/>
      <c r="BQ24" s="641"/>
      <c r="BR24" s="641"/>
      <c r="BS24" s="641"/>
      <c r="BT24" s="641"/>
      <c r="BU24" s="641"/>
      <c r="BV24" s="937">
        <f t="shared" ref="BV24:DA24" si="29">BV12/BV19</f>
        <v>5053.5614937230048</v>
      </c>
      <c r="BW24" s="937">
        <f t="shared" si="29"/>
        <v>28747.614295902767</v>
      </c>
      <c r="BX24" s="937">
        <f t="shared" si="29"/>
        <v>23863.16706776365</v>
      </c>
      <c r="BY24" s="937">
        <f t="shared" si="29"/>
        <v>24811.958735917004</v>
      </c>
      <c r="BZ24" s="937">
        <f t="shared" si="29"/>
        <v>25326.075424692481</v>
      </c>
      <c r="CA24" s="937">
        <f t="shared" si="29"/>
        <v>26902.777070207121</v>
      </c>
      <c r="CB24" s="937">
        <f t="shared" si="29"/>
        <v>29631.379589147175</v>
      </c>
      <c r="CC24" s="937">
        <f t="shared" si="29"/>
        <v>29624.754093677358</v>
      </c>
      <c r="CD24" s="937">
        <f t="shared" si="29"/>
        <v>30583.088770384886</v>
      </c>
      <c r="CE24" s="937">
        <f t="shared" si="29"/>
        <v>32411.660479888276</v>
      </c>
      <c r="CF24" s="937">
        <f t="shared" si="29"/>
        <v>33026.099537412963</v>
      </c>
      <c r="CG24" s="938">
        <f t="shared" si="29"/>
        <v>31560.414525156972</v>
      </c>
      <c r="CH24" s="937">
        <f t="shared" si="29"/>
        <v>31141.313977702419</v>
      </c>
      <c r="CI24" s="937">
        <f t="shared" si="29"/>
        <v>32398.7095730947</v>
      </c>
      <c r="CJ24" s="937">
        <f t="shared" si="29"/>
        <v>32790.470995315321</v>
      </c>
      <c r="CK24" s="937">
        <f t="shared" si="29"/>
        <v>29982.833908717403</v>
      </c>
      <c r="CL24" s="937">
        <f t="shared" si="29"/>
        <v>30612.599236943199</v>
      </c>
      <c r="CM24" s="937">
        <f t="shared" si="29"/>
        <v>30863.958952762365</v>
      </c>
      <c r="CN24" s="937">
        <f t="shared" si="29"/>
        <v>29868.642640619735</v>
      </c>
      <c r="CO24" s="937">
        <f t="shared" si="29"/>
        <v>30607.539723751168</v>
      </c>
      <c r="CP24" s="937">
        <f t="shared" si="29"/>
        <v>30779.045817734419</v>
      </c>
      <c r="CQ24" s="937">
        <f t="shared" si="29"/>
        <v>30761.36226517045</v>
      </c>
      <c r="CR24" s="937">
        <f t="shared" si="29"/>
        <v>30026.109637220103</v>
      </c>
      <c r="CS24" s="938">
        <f t="shared" si="29"/>
        <v>30992.744196914751</v>
      </c>
      <c r="CT24" s="939">
        <f t="shared" si="29"/>
        <v>29568.556985969608</v>
      </c>
      <c r="CU24" s="937">
        <f t="shared" si="29"/>
        <v>29700.319445844561</v>
      </c>
      <c r="CV24" s="937">
        <f t="shared" si="29"/>
        <v>28628.090838780729</v>
      </c>
      <c r="CW24" s="937">
        <f t="shared" si="29"/>
        <v>28631.309384729222</v>
      </c>
      <c r="CX24" s="937">
        <f t="shared" si="29"/>
        <v>28537.15847082379</v>
      </c>
      <c r="CY24" s="937">
        <f t="shared" si="29"/>
        <v>28835.761308346664</v>
      </c>
      <c r="CZ24" s="937">
        <f t="shared" si="29"/>
        <v>29518.061915279639</v>
      </c>
      <c r="DA24" s="937">
        <f t="shared" si="29"/>
        <v>29624.840048220183</v>
      </c>
      <c r="DB24" s="937">
        <f t="shared" ref="DB24:EG24" si="30">DB12/DB19</f>
        <v>30399.817759095258</v>
      </c>
      <c r="DC24" s="937">
        <f t="shared" si="30"/>
        <v>29485.64580914293</v>
      </c>
      <c r="DD24" s="937">
        <f t="shared" si="30"/>
        <v>31430.656037456833</v>
      </c>
      <c r="DE24" s="938">
        <f t="shared" si="30"/>
        <v>31127.065787578056</v>
      </c>
      <c r="DF24" s="939">
        <f t="shared" si="30"/>
        <v>32838.11386814704</v>
      </c>
      <c r="DG24" s="937">
        <f t="shared" si="30"/>
        <v>31500.265688991014</v>
      </c>
      <c r="DH24" s="937">
        <f t="shared" si="30"/>
        <v>31309.29893713232</v>
      </c>
      <c r="DI24" s="937">
        <f t="shared" si="30"/>
        <v>32518.342921389809</v>
      </c>
      <c r="DJ24" s="937">
        <f t="shared" si="30"/>
        <v>32651.27421288834</v>
      </c>
      <c r="DK24" s="937">
        <f t="shared" si="30"/>
        <v>33105.758380289946</v>
      </c>
      <c r="DL24" s="937">
        <f t="shared" si="30"/>
        <v>34148.006416856006</v>
      </c>
      <c r="DM24" s="937">
        <f t="shared" si="30"/>
        <v>36414.484615180765</v>
      </c>
      <c r="DN24" s="937">
        <f t="shared" si="30"/>
        <v>36091.598344370686</v>
      </c>
      <c r="DO24" s="937">
        <f t="shared" si="30"/>
        <v>34527.784639664649</v>
      </c>
      <c r="DP24" s="937">
        <f t="shared" si="30"/>
        <v>34948.242794088481</v>
      </c>
      <c r="DQ24" s="938">
        <f t="shared" si="30"/>
        <v>35898.798471737864</v>
      </c>
      <c r="DR24" s="939">
        <f t="shared" si="30"/>
        <v>35481.273085689085</v>
      </c>
      <c r="DS24" s="937">
        <f t="shared" si="30"/>
        <v>34906.9328138255</v>
      </c>
      <c r="DT24" s="937">
        <f t="shared" si="30"/>
        <v>30707.979941122583</v>
      </c>
      <c r="DU24" s="937">
        <f t="shared" si="30"/>
        <v>30070.228974337802</v>
      </c>
      <c r="DV24" s="937">
        <f t="shared" si="30"/>
        <v>30277.777142549527</v>
      </c>
      <c r="DW24" s="937">
        <f t="shared" si="30"/>
        <v>36807.272823528438</v>
      </c>
      <c r="DX24" s="937">
        <f t="shared" si="30"/>
        <v>35488.60968952463</v>
      </c>
      <c r="DY24" s="937">
        <f t="shared" si="30"/>
        <v>34236.553992261113</v>
      </c>
      <c r="DZ24" s="937">
        <f t="shared" si="30"/>
        <v>33548.894582365974</v>
      </c>
      <c r="EA24" s="937">
        <f t="shared" si="30"/>
        <v>33204.655633881812</v>
      </c>
      <c r="EB24" s="937">
        <f t="shared" si="30"/>
        <v>34241.465482441679</v>
      </c>
      <c r="EC24" s="937">
        <f t="shared" si="30"/>
        <v>33744.25890305268</v>
      </c>
      <c r="ED24" s="939">
        <f t="shared" si="30"/>
        <v>32780.505085968711</v>
      </c>
      <c r="EE24" s="937">
        <f t="shared" si="30"/>
        <v>29782.16916147323</v>
      </c>
      <c r="EF24" s="937">
        <f t="shared" si="30"/>
        <v>40142.972364144181</v>
      </c>
      <c r="EG24" s="937">
        <f t="shared" si="30"/>
        <v>30129.609027005426</v>
      </c>
      <c r="EH24" s="937">
        <f t="shared" ref="EH24:FM24" si="31">EH12/EH19</f>
        <v>31492.655302942363</v>
      </c>
      <c r="EI24" s="937">
        <f t="shared" si="31"/>
        <v>36822.66209013472</v>
      </c>
      <c r="EJ24" s="937">
        <f t="shared" si="31"/>
        <v>35785.466072503412</v>
      </c>
      <c r="EK24" s="937">
        <f t="shared" si="31"/>
        <v>35506.674910549002</v>
      </c>
      <c r="EL24" s="937">
        <f t="shared" si="31"/>
        <v>35564.197387153981</v>
      </c>
      <c r="EM24" s="937">
        <f t="shared" si="31"/>
        <v>35194.697058456732</v>
      </c>
      <c r="EN24" s="937">
        <f t="shared" si="31"/>
        <v>35260.177589999854</v>
      </c>
      <c r="EO24" s="938">
        <f t="shared" si="31"/>
        <v>35126.751489179042</v>
      </c>
      <c r="EP24" s="939">
        <f t="shared" si="31"/>
        <v>61364.83568865103</v>
      </c>
      <c r="EQ24" s="937">
        <f t="shared" si="31"/>
        <v>61816.163474638255</v>
      </c>
      <c r="ER24" s="937">
        <f t="shared" si="31"/>
        <v>61589.082792091576</v>
      </c>
      <c r="ES24" s="937">
        <f t="shared" si="31"/>
        <v>68667.997787188069</v>
      </c>
      <c r="ET24" s="937">
        <f t="shared" si="31"/>
        <v>67991.071429970441</v>
      </c>
      <c r="EU24" s="937">
        <f t="shared" si="31"/>
        <v>68195.003325448008</v>
      </c>
      <c r="EV24" s="937">
        <f t="shared" si="31"/>
        <v>70771.798738260957</v>
      </c>
      <c r="EW24" s="937">
        <f t="shared" si="31"/>
        <v>68196.094375471905</v>
      </c>
      <c r="EX24" s="937">
        <f t="shared" si="31"/>
        <v>70293.993593197258</v>
      </c>
      <c r="EY24" s="937">
        <f t="shared" si="31"/>
        <v>66558.007958500777</v>
      </c>
      <c r="EZ24" s="937">
        <f t="shared" si="31"/>
        <v>66584.943023244414</v>
      </c>
      <c r="FA24" s="938">
        <f t="shared" si="31"/>
        <v>64237.497168238537</v>
      </c>
      <c r="FB24" s="939">
        <f t="shared" si="31"/>
        <v>71604.575944449636</v>
      </c>
      <c r="FC24" s="937">
        <f t="shared" si="31"/>
        <v>74026.230629495694</v>
      </c>
      <c r="FD24" s="937">
        <f t="shared" si="31"/>
        <v>78194.201704502848</v>
      </c>
      <c r="FE24" s="937">
        <f t="shared" si="31"/>
        <v>83392.242533602257</v>
      </c>
      <c r="FF24" s="937">
        <f t="shared" si="31"/>
        <v>88912.36610971867</v>
      </c>
      <c r="FG24" s="937">
        <f t="shared" si="31"/>
        <v>88573.105273826484</v>
      </c>
      <c r="FH24" s="937">
        <f t="shared" si="31"/>
        <v>81170.096322361409</v>
      </c>
      <c r="FI24" s="937">
        <f t="shared" si="31"/>
        <v>79046.56160864007</v>
      </c>
      <c r="FJ24" s="937">
        <f t="shared" si="31"/>
        <v>83371.735886352501</v>
      </c>
      <c r="FK24" s="937">
        <f t="shared" si="31"/>
        <v>81553.585246842995</v>
      </c>
      <c r="FL24" s="937">
        <f t="shared" si="31"/>
        <v>84923.197144666628</v>
      </c>
      <c r="FM24" s="938">
        <f t="shared" si="31"/>
        <v>83926.736150583165</v>
      </c>
      <c r="FN24" s="939">
        <f t="shared" ref="FN24:GS24" si="32">FN12/FN19</f>
        <v>86717.102730154598</v>
      </c>
      <c r="FO24" s="937">
        <f t="shared" si="32"/>
        <v>90261.393326892561</v>
      </c>
      <c r="FP24" s="937">
        <f t="shared" si="32"/>
        <v>83230.776301574151</v>
      </c>
      <c r="FQ24" s="937">
        <f t="shared" si="32"/>
        <v>79940.901911115332</v>
      </c>
      <c r="FR24" s="937">
        <f t="shared" si="32"/>
        <v>77064.845035887367</v>
      </c>
      <c r="FS24" s="937">
        <f t="shared" si="32"/>
        <v>76583.856937517834</v>
      </c>
      <c r="FT24" s="937">
        <f t="shared" si="32"/>
        <v>79819.62931377723</v>
      </c>
      <c r="FU24" s="937">
        <f t="shared" si="32"/>
        <v>75813.593414511517</v>
      </c>
      <c r="FV24" s="937">
        <f t="shared" si="32"/>
        <v>75351.244069347595</v>
      </c>
      <c r="FW24" s="937">
        <f t="shared" si="32"/>
        <v>80056.334902456059</v>
      </c>
      <c r="FX24" s="937">
        <f t="shared" si="32"/>
        <v>80686.453005207397</v>
      </c>
      <c r="FY24" s="937">
        <f t="shared" si="32"/>
        <v>83761.892429313142</v>
      </c>
      <c r="FZ24" s="939">
        <f t="shared" si="32"/>
        <v>82711.808942184798</v>
      </c>
      <c r="GA24" s="937">
        <f t="shared" si="32"/>
        <v>77159.68222521017</v>
      </c>
      <c r="GB24" s="937">
        <f t="shared" si="32"/>
        <v>74417.625024021749</v>
      </c>
      <c r="GC24" s="937">
        <f t="shared" si="32"/>
        <v>76392.118861639261</v>
      </c>
      <c r="GD24" s="937">
        <f t="shared" si="32"/>
        <v>79234.885469639252</v>
      </c>
      <c r="GE24" s="937">
        <f t="shared" si="32"/>
        <v>84790.866699742313</v>
      </c>
      <c r="GF24" s="937">
        <f t="shared" si="32"/>
        <v>85076.722738860364</v>
      </c>
      <c r="GG24" s="937">
        <f t="shared" si="32"/>
        <v>82282.938785478254</v>
      </c>
      <c r="GH24" s="937">
        <f t="shared" si="32"/>
        <v>77846.191761919894</v>
      </c>
      <c r="GI24" s="937">
        <f t="shared" si="32"/>
        <v>78693.348631623827</v>
      </c>
      <c r="GJ24" s="937">
        <f t="shared" si="32"/>
        <v>78117.966492914318</v>
      </c>
      <c r="GK24" s="937">
        <f t="shared" si="32"/>
        <v>80543.573283778111</v>
      </c>
      <c r="GL24" s="939">
        <f t="shared" si="32"/>
        <v>84212.048911090649</v>
      </c>
      <c r="GM24" s="937">
        <f t="shared" si="32"/>
        <v>85315.538577506813</v>
      </c>
      <c r="GN24" s="937">
        <f t="shared" si="32"/>
        <v>84025.841782209623</v>
      </c>
      <c r="GO24" s="937">
        <f t="shared" si="32"/>
        <v>82685.679028723069</v>
      </c>
      <c r="GP24" s="937">
        <f t="shared" si="32"/>
        <v>82401.385748602857</v>
      </c>
      <c r="GQ24" s="937">
        <f t="shared" si="32"/>
        <v>87515.226183327963</v>
      </c>
      <c r="GR24" s="937">
        <f t="shared" si="32"/>
        <v>83497.443551257282</v>
      </c>
      <c r="GS24" s="937">
        <f t="shared" si="32"/>
        <v>84114.635425206448</v>
      </c>
      <c r="GT24" s="937">
        <f t="shared" ref="GT24:HJ24" si="33">GT12/GT19</f>
        <v>88228.798142825792</v>
      </c>
      <c r="GU24" s="937">
        <f t="shared" si="33"/>
        <v>86326.3297143245</v>
      </c>
      <c r="GV24" s="937">
        <f t="shared" si="33"/>
        <v>88640.224750686131</v>
      </c>
      <c r="GW24" s="937">
        <f t="shared" si="33"/>
        <v>89712.967399725036</v>
      </c>
      <c r="GX24" s="939">
        <f t="shared" si="33"/>
        <v>92521.595918129402</v>
      </c>
      <c r="GY24" s="937">
        <f t="shared" si="33"/>
        <v>89617.795373704663</v>
      </c>
      <c r="GZ24" s="937">
        <f t="shared" si="33"/>
        <v>85368.654097100021</v>
      </c>
      <c r="HA24" s="937">
        <f t="shared" si="33"/>
        <v>81880.021102830899</v>
      </c>
      <c r="HB24" s="937">
        <f t="shared" si="33"/>
        <v>85249.365932002926</v>
      </c>
      <c r="HC24" s="937">
        <f t="shared" si="33"/>
        <v>90383.699314928876</v>
      </c>
      <c r="HD24" s="937">
        <f t="shared" si="33"/>
        <v>86865.230705347494</v>
      </c>
      <c r="HE24" s="937">
        <f t="shared" si="33"/>
        <v>86658.093248091667</v>
      </c>
      <c r="HF24" s="937">
        <f t="shared" si="33"/>
        <v>94084.953374834979</v>
      </c>
      <c r="HG24" s="937">
        <f t="shared" si="33"/>
        <v>96839.235660171747</v>
      </c>
      <c r="HH24" s="937">
        <f t="shared" si="33"/>
        <v>96626.625283185305</v>
      </c>
      <c r="HI24" s="938">
        <f t="shared" si="33"/>
        <v>94106.123845812457</v>
      </c>
      <c r="HJ24" s="940">
        <f t="shared" si="33"/>
        <v>88782.972778617783</v>
      </c>
      <c r="HK24" s="937"/>
      <c r="HL24" s="937"/>
      <c r="HM24" s="937"/>
      <c r="HN24" s="937"/>
      <c r="HO24" s="937"/>
      <c r="HP24" s="937"/>
      <c r="HQ24" s="937"/>
      <c r="HR24" s="937"/>
      <c r="HS24" s="937"/>
      <c r="HT24" s="937"/>
      <c r="HU24" s="937"/>
      <c r="HV24" s="943"/>
      <c r="HW24" s="941"/>
      <c r="HY24" s="913"/>
      <c r="HZ24" s="913"/>
    </row>
    <row r="25" spans="1:234" ht="13.9" customHeight="1" x14ac:dyDescent="0.2">
      <c r="A25" s="914" t="s">
        <v>200</v>
      </c>
      <c r="CK25" s="873"/>
      <c r="CL25" s="873"/>
      <c r="CM25" s="873"/>
      <c r="CN25" s="873"/>
      <c r="CO25" s="873"/>
      <c r="CP25" s="873"/>
      <c r="CQ25" s="873"/>
      <c r="CR25" s="873"/>
      <c r="CS25" s="873"/>
      <c r="CT25" s="873"/>
      <c r="CU25" s="873"/>
      <c r="CV25" s="873"/>
      <c r="CW25" s="873"/>
      <c r="CX25" s="873"/>
      <c r="CY25" s="873"/>
      <c r="CZ25" s="873"/>
      <c r="DA25" s="873"/>
      <c r="DB25" s="873"/>
      <c r="DC25" s="873"/>
      <c r="DD25" s="873"/>
      <c r="DE25" s="873"/>
      <c r="DF25" s="873"/>
      <c r="DG25" s="873"/>
      <c r="DH25" s="873"/>
      <c r="DI25" s="873"/>
      <c r="DJ25" s="873"/>
      <c r="DK25" s="873"/>
      <c r="DL25" s="873"/>
      <c r="DM25" s="873"/>
      <c r="DN25" s="873"/>
      <c r="DO25" s="873"/>
      <c r="DP25" s="873"/>
      <c r="DQ25" s="873"/>
      <c r="DR25" s="873"/>
      <c r="DS25" s="873"/>
      <c r="DT25" s="873"/>
      <c r="DU25" s="873"/>
      <c r="DV25" s="873"/>
      <c r="DW25" s="873"/>
      <c r="DX25" s="873"/>
      <c r="DY25" s="873"/>
      <c r="DZ25" s="873"/>
      <c r="EA25" s="873"/>
      <c r="EB25" s="873"/>
      <c r="EC25" s="873"/>
      <c r="ED25" s="873"/>
      <c r="EE25" s="873"/>
      <c r="EF25" s="873"/>
      <c r="EG25" s="873"/>
      <c r="EH25" s="873"/>
      <c r="EI25" s="873"/>
      <c r="EJ25" s="873"/>
      <c r="EK25" s="873"/>
      <c r="EL25" s="873"/>
      <c r="EM25" s="873"/>
      <c r="EN25" s="873"/>
      <c r="EO25" s="873"/>
      <c r="EP25" s="873"/>
      <c r="EQ25" s="873"/>
      <c r="ER25" s="873"/>
      <c r="ES25" s="873"/>
      <c r="ET25" s="873"/>
      <c r="EU25" s="873"/>
      <c r="EV25" s="873"/>
      <c r="EW25" s="873"/>
      <c r="EX25" s="873"/>
      <c r="EY25" s="873"/>
      <c r="EZ25" s="873"/>
      <c r="FA25" s="873"/>
      <c r="FB25" s="873"/>
      <c r="FC25" s="873"/>
      <c r="FD25" s="873"/>
      <c r="FE25" s="873"/>
      <c r="FF25" s="873"/>
      <c r="FG25" s="873"/>
      <c r="FH25" s="873"/>
      <c r="FI25" s="873"/>
      <c r="FJ25" s="873"/>
      <c r="FK25" s="873"/>
      <c r="FL25" s="873"/>
      <c r="FM25" s="873"/>
      <c r="FN25" s="873"/>
      <c r="FO25" s="873"/>
      <c r="FP25" s="873"/>
      <c r="FQ25" s="873"/>
      <c r="FR25" s="873"/>
      <c r="FS25" s="873"/>
      <c r="FT25" s="873"/>
      <c r="FU25" s="873"/>
      <c r="FV25" s="873"/>
      <c r="FW25" s="873"/>
      <c r="FX25" s="873"/>
      <c r="FY25" s="873"/>
      <c r="FZ25" s="873"/>
      <c r="GA25" s="873"/>
      <c r="GB25" s="873"/>
      <c r="GC25" s="873"/>
      <c r="GD25" s="873"/>
      <c r="GE25" s="873"/>
      <c r="GF25" s="873"/>
      <c r="GG25" s="873"/>
      <c r="GH25" s="873"/>
      <c r="GI25" s="873"/>
      <c r="GJ25" s="873"/>
      <c r="GK25" s="873"/>
      <c r="GL25" s="873"/>
      <c r="GM25" s="873"/>
      <c r="GN25" s="873"/>
      <c r="GO25" s="873"/>
      <c r="GP25" s="873"/>
      <c r="GQ25" s="873"/>
      <c r="GR25" s="873"/>
      <c r="GS25" s="873"/>
      <c r="GT25" s="873"/>
      <c r="GU25" s="873"/>
      <c r="GV25" s="873"/>
      <c r="GW25" s="873"/>
      <c r="GX25" s="873"/>
      <c r="GY25" s="873"/>
      <c r="GZ25" s="873"/>
      <c r="HA25" s="873"/>
      <c r="HB25" s="873"/>
      <c r="HC25" s="873"/>
      <c r="HD25" s="873"/>
      <c r="HE25" s="873"/>
      <c r="HF25" s="873"/>
      <c r="HG25" s="873"/>
      <c r="HH25" s="873"/>
      <c r="HI25" s="873"/>
      <c r="HJ25" s="873"/>
      <c r="HK25" s="873"/>
      <c r="HL25" s="873"/>
      <c r="HM25" s="873"/>
      <c r="HN25" s="873"/>
      <c r="HO25" s="873"/>
      <c r="HP25" s="873"/>
      <c r="HQ25" s="873"/>
      <c r="HR25" s="873"/>
      <c r="HS25" s="873"/>
      <c r="HT25" s="873"/>
      <c r="HU25" s="873"/>
      <c r="HV25" s="873"/>
      <c r="HW25" s="873"/>
      <c r="HX25" s="873"/>
      <c r="HY25" s="873"/>
      <c r="HZ25" s="873"/>
    </row>
    <row r="26" spans="1:234" ht="13.9" customHeight="1" x14ac:dyDescent="0.2">
      <c r="A26" s="873"/>
      <c r="CK26" s="873"/>
      <c r="CL26" s="873"/>
      <c r="CM26" s="873"/>
      <c r="CN26" s="873"/>
      <c r="CO26" s="873"/>
      <c r="CP26" s="873"/>
      <c r="CQ26" s="873"/>
      <c r="CR26" s="873"/>
      <c r="CS26" s="873"/>
      <c r="CT26" s="873"/>
      <c r="CU26" s="873"/>
      <c r="CV26" s="873"/>
      <c r="CW26" s="873"/>
      <c r="CX26" s="873"/>
      <c r="CY26" s="873"/>
      <c r="CZ26" s="873"/>
      <c r="DA26" s="873"/>
      <c r="DB26" s="873"/>
      <c r="DC26" s="873"/>
      <c r="DD26" s="873"/>
      <c r="DE26" s="873"/>
      <c r="DF26" s="873"/>
      <c r="DG26" s="873"/>
      <c r="DH26" s="873"/>
      <c r="DI26" s="873"/>
      <c r="DJ26" s="873"/>
      <c r="DK26" s="873"/>
      <c r="DL26" s="873"/>
      <c r="DM26" s="873"/>
      <c r="DN26" s="873"/>
      <c r="DO26" s="873"/>
      <c r="DP26" s="873"/>
      <c r="DQ26" s="873"/>
      <c r="DR26" s="873"/>
      <c r="DS26" s="873"/>
      <c r="DT26" s="873"/>
      <c r="DU26" s="873"/>
      <c r="DV26" s="873"/>
      <c r="DW26" s="873"/>
      <c r="DX26" s="873"/>
      <c r="DY26" s="873"/>
      <c r="DZ26" s="873"/>
      <c r="EA26" s="873"/>
      <c r="EB26" s="873"/>
      <c r="EC26" s="873"/>
      <c r="ED26" s="873"/>
      <c r="EE26" s="873"/>
      <c r="EF26" s="873"/>
      <c r="EG26" s="873"/>
      <c r="EH26" s="873"/>
      <c r="EI26" s="873"/>
      <c r="EJ26" s="873"/>
      <c r="EK26" s="873"/>
      <c r="EL26" s="873"/>
      <c r="EM26" s="873"/>
      <c r="EN26" s="873"/>
      <c r="EO26" s="873"/>
      <c r="EP26" s="873"/>
      <c r="EQ26" s="873"/>
      <c r="ER26" s="873"/>
      <c r="ES26" s="873"/>
      <c r="ET26" s="873"/>
      <c r="EU26" s="873"/>
      <c r="EV26" s="873"/>
      <c r="EW26" s="873"/>
      <c r="EX26" s="873"/>
      <c r="EY26" s="873"/>
      <c r="EZ26" s="873"/>
      <c r="FA26" s="873"/>
      <c r="FB26" s="873"/>
      <c r="FC26" s="873"/>
      <c r="FD26" s="873"/>
      <c r="FE26" s="873"/>
      <c r="FF26" s="873"/>
      <c r="FG26" s="873"/>
      <c r="FH26" s="873"/>
      <c r="FI26" s="873"/>
      <c r="FJ26" s="873"/>
      <c r="FK26" s="873"/>
      <c r="FL26" s="873"/>
      <c r="FM26" s="873"/>
      <c r="FN26" s="873"/>
      <c r="FO26" s="873"/>
      <c r="FP26" s="873"/>
      <c r="FQ26" s="873"/>
      <c r="FR26" s="873"/>
      <c r="FS26" s="873"/>
      <c r="FT26" s="873"/>
      <c r="FU26" s="873"/>
      <c r="FV26" s="873"/>
      <c r="FW26" s="873"/>
      <c r="FX26" s="873"/>
      <c r="FY26" s="873"/>
      <c r="FZ26" s="873"/>
      <c r="GA26" s="873"/>
      <c r="GB26" s="873"/>
      <c r="GC26" s="873"/>
      <c r="GD26" s="873"/>
      <c r="GE26" s="873"/>
      <c r="GF26" s="873"/>
      <c r="GG26" s="873"/>
      <c r="GH26" s="873"/>
      <c r="GI26" s="873"/>
      <c r="GJ26" s="873"/>
      <c r="GK26" s="873"/>
      <c r="GL26" s="873"/>
      <c r="GM26" s="873"/>
      <c r="GN26" s="873"/>
      <c r="GO26" s="873"/>
      <c r="GP26" s="873"/>
      <c r="GQ26" s="873"/>
      <c r="GR26" s="873"/>
      <c r="GS26" s="873"/>
      <c r="GT26" s="873"/>
      <c r="GU26" s="873"/>
      <c r="GV26" s="873"/>
      <c r="GW26" s="873"/>
      <c r="GX26" s="873"/>
      <c r="GY26" s="873"/>
      <c r="GZ26" s="873"/>
      <c r="HA26" s="873"/>
      <c r="HB26" s="873"/>
      <c r="HC26" s="873"/>
      <c r="HD26" s="873"/>
      <c r="HE26" s="873"/>
      <c r="HF26" s="873"/>
      <c r="HG26" s="873"/>
      <c r="HH26" s="873"/>
      <c r="HI26" s="873"/>
      <c r="HJ26" s="873"/>
      <c r="HK26" s="873"/>
      <c r="HL26" s="873"/>
      <c r="HM26" s="873"/>
      <c r="HN26" s="873"/>
      <c r="HO26" s="873"/>
      <c r="HP26" s="873"/>
      <c r="HQ26" s="873"/>
      <c r="HR26" s="873"/>
      <c r="HS26" s="873"/>
      <c r="HT26" s="873"/>
      <c r="HU26" s="873"/>
      <c r="HV26" s="873"/>
      <c r="HW26" s="873"/>
      <c r="HX26" s="873"/>
      <c r="HY26" s="873"/>
      <c r="HZ26" s="873"/>
    </row>
    <row r="27" spans="1:234" ht="13.9" customHeight="1" x14ac:dyDescent="0.2">
      <c r="A27" s="873"/>
      <c r="CK27" s="873"/>
      <c r="CL27" s="873"/>
      <c r="CM27" s="873"/>
      <c r="CN27" s="873"/>
      <c r="CO27" s="873"/>
      <c r="CP27" s="873"/>
      <c r="CQ27" s="873"/>
      <c r="CR27" s="873"/>
      <c r="CS27" s="873"/>
      <c r="CT27" s="873"/>
      <c r="CU27" s="873"/>
      <c r="CV27" s="873"/>
      <c r="CW27" s="873"/>
      <c r="CX27" s="873"/>
      <c r="CY27" s="873"/>
      <c r="CZ27" s="873"/>
      <c r="DA27" s="873"/>
      <c r="DB27" s="873"/>
      <c r="DC27" s="873"/>
      <c r="DD27" s="873"/>
      <c r="DE27" s="873"/>
      <c r="DF27" s="873"/>
      <c r="DG27" s="873"/>
      <c r="DH27" s="873"/>
      <c r="DI27" s="873"/>
      <c r="DJ27" s="873"/>
      <c r="DK27" s="873"/>
      <c r="DL27" s="873"/>
      <c r="DM27" s="873"/>
      <c r="DN27" s="873"/>
      <c r="DO27" s="873"/>
      <c r="DP27" s="873"/>
      <c r="DQ27" s="873"/>
      <c r="DR27" s="873"/>
      <c r="DS27" s="873"/>
      <c r="DT27" s="873"/>
      <c r="DU27" s="873"/>
      <c r="DV27" s="873"/>
      <c r="DW27" s="873"/>
      <c r="DX27" s="873"/>
      <c r="DY27" s="873"/>
      <c r="DZ27" s="873"/>
      <c r="EA27" s="873"/>
      <c r="EB27" s="873"/>
      <c r="EC27" s="873"/>
      <c r="ED27" s="873"/>
      <c r="EE27" s="873"/>
      <c r="EF27" s="873"/>
      <c r="EG27" s="873"/>
      <c r="EH27" s="873"/>
      <c r="EI27" s="873"/>
      <c r="EJ27" s="873"/>
      <c r="EK27" s="873"/>
      <c r="EL27" s="873"/>
      <c r="EM27" s="873"/>
      <c r="EN27" s="873"/>
      <c r="EO27" s="873"/>
      <c r="EP27" s="873"/>
      <c r="EQ27" s="873"/>
      <c r="ER27" s="873"/>
      <c r="ES27" s="873"/>
      <c r="ET27" s="873"/>
      <c r="EU27" s="873"/>
      <c r="EV27" s="873"/>
      <c r="EW27" s="873"/>
      <c r="EX27" s="873"/>
      <c r="EY27" s="873"/>
      <c r="EZ27" s="873"/>
      <c r="FA27" s="873"/>
      <c r="FB27" s="873"/>
      <c r="FC27" s="873"/>
      <c r="FD27" s="873"/>
      <c r="FE27" s="873"/>
      <c r="FF27" s="873"/>
      <c r="FG27" s="873"/>
      <c r="FH27" s="873"/>
      <c r="FI27" s="873"/>
      <c r="FJ27" s="873"/>
      <c r="FK27" s="873"/>
      <c r="FL27" s="873"/>
      <c r="FM27" s="873"/>
      <c r="FN27" s="873"/>
      <c r="FO27" s="873"/>
      <c r="FP27" s="873"/>
      <c r="FQ27" s="873"/>
      <c r="FR27" s="873"/>
      <c r="FS27" s="873"/>
      <c r="FT27" s="873"/>
      <c r="FU27" s="873"/>
      <c r="FV27" s="873"/>
      <c r="FW27" s="873"/>
      <c r="FX27" s="873"/>
      <c r="FY27" s="873"/>
      <c r="FZ27" s="873"/>
      <c r="GA27" s="873"/>
      <c r="GB27" s="873"/>
      <c r="GC27" s="873"/>
      <c r="GD27" s="873"/>
      <c r="GE27" s="873"/>
      <c r="GF27" s="873"/>
      <c r="GG27" s="873"/>
      <c r="GH27" s="873"/>
      <c r="GI27" s="873"/>
      <c r="GJ27" s="873"/>
      <c r="GK27" s="873"/>
      <c r="GL27" s="873"/>
      <c r="GM27" s="873"/>
      <c r="GN27" s="873"/>
      <c r="GO27" s="873"/>
      <c r="GP27" s="873"/>
      <c r="GQ27" s="873"/>
      <c r="GR27" s="873"/>
      <c r="GS27" s="873"/>
      <c r="GT27" s="873"/>
      <c r="GU27" s="873"/>
      <c r="GV27" s="873"/>
      <c r="GW27" s="873"/>
      <c r="GX27" s="873"/>
      <c r="GY27" s="873"/>
      <c r="GZ27" s="873"/>
      <c r="HA27" s="873"/>
      <c r="HB27" s="873"/>
      <c r="HC27" s="873"/>
      <c r="HD27" s="873"/>
      <c r="HE27" s="873"/>
      <c r="HF27" s="873"/>
      <c r="HG27" s="873"/>
      <c r="HH27" s="873"/>
      <c r="HI27" s="873"/>
      <c r="HJ27" s="873"/>
      <c r="HK27" s="873"/>
      <c r="HL27" s="873"/>
      <c r="HM27" s="873"/>
      <c r="HN27" s="873"/>
      <c r="HO27" s="873"/>
      <c r="HP27" s="873"/>
      <c r="HQ27" s="873"/>
      <c r="HR27" s="873"/>
      <c r="HS27" s="873"/>
      <c r="HT27" s="873"/>
      <c r="HU27" s="873"/>
      <c r="HV27" s="873"/>
      <c r="HW27" s="873"/>
      <c r="HX27" s="873"/>
      <c r="HY27" s="873"/>
      <c r="HZ27" s="873"/>
    </row>
    <row r="28" spans="1:234" ht="13.9" customHeight="1" x14ac:dyDescent="0.2">
      <c r="A28" s="903"/>
      <c r="CK28" s="873"/>
      <c r="CL28" s="873"/>
      <c r="CM28" s="873"/>
      <c r="CN28" s="873"/>
      <c r="CO28" s="873"/>
      <c r="CP28" s="873"/>
      <c r="CQ28" s="873"/>
      <c r="CR28" s="873"/>
      <c r="CS28" s="873"/>
      <c r="CT28" s="873"/>
      <c r="CU28" s="873"/>
      <c r="CV28" s="873"/>
      <c r="CW28" s="873"/>
      <c r="CX28" s="873"/>
      <c r="CY28" s="873"/>
      <c r="CZ28" s="873"/>
      <c r="DA28" s="873"/>
      <c r="DB28" s="873"/>
      <c r="DC28" s="873"/>
      <c r="DD28" s="873"/>
      <c r="DE28" s="873"/>
      <c r="DF28" s="873"/>
      <c r="DG28" s="873"/>
      <c r="DH28" s="873"/>
      <c r="DI28" s="873"/>
      <c r="DJ28" s="873"/>
      <c r="DK28" s="873"/>
      <c r="DL28" s="873"/>
      <c r="DM28" s="873"/>
      <c r="DN28" s="873"/>
      <c r="DO28" s="873"/>
      <c r="DP28" s="873"/>
      <c r="DQ28" s="873"/>
      <c r="DR28" s="873"/>
      <c r="DS28" s="873"/>
      <c r="DT28" s="873"/>
      <c r="DU28" s="873"/>
      <c r="DV28" s="873"/>
      <c r="DW28" s="873"/>
      <c r="DX28" s="873"/>
      <c r="DY28" s="873"/>
      <c r="DZ28" s="873"/>
      <c r="EA28" s="873"/>
      <c r="EB28" s="873"/>
      <c r="EC28" s="873"/>
      <c r="ED28" s="873"/>
      <c r="EE28" s="873"/>
      <c r="EF28" s="873"/>
      <c r="EG28" s="873"/>
      <c r="EH28" s="873"/>
      <c r="EI28" s="873"/>
      <c r="EJ28" s="873"/>
      <c r="EK28" s="873"/>
      <c r="EL28" s="873"/>
      <c r="EM28" s="873"/>
      <c r="EN28" s="873"/>
      <c r="EO28" s="873"/>
      <c r="EP28" s="873"/>
      <c r="EQ28" s="873"/>
      <c r="ER28" s="873"/>
      <c r="ES28" s="873"/>
      <c r="ET28" s="873"/>
      <c r="EU28" s="873"/>
      <c r="EV28" s="873"/>
      <c r="EW28" s="873"/>
      <c r="EX28" s="873"/>
      <c r="EY28" s="873"/>
      <c r="EZ28" s="873"/>
      <c r="FA28" s="873"/>
      <c r="FB28" s="873"/>
      <c r="FC28" s="873"/>
      <c r="FD28" s="873"/>
      <c r="FE28" s="873"/>
      <c r="FF28" s="873"/>
      <c r="FG28" s="873"/>
      <c r="FH28" s="873"/>
      <c r="FI28" s="873"/>
      <c r="FJ28" s="873"/>
      <c r="FK28" s="873"/>
      <c r="FL28" s="873"/>
      <c r="FM28" s="873"/>
      <c r="FN28" s="873"/>
      <c r="FO28" s="873"/>
      <c r="FP28" s="873"/>
      <c r="FQ28" s="873"/>
      <c r="FR28" s="873"/>
      <c r="FS28" s="873"/>
      <c r="FT28" s="873"/>
      <c r="FU28" s="873"/>
      <c r="FV28" s="873"/>
      <c r="FW28" s="873"/>
      <c r="FX28" s="873"/>
      <c r="FY28" s="873"/>
      <c r="FZ28" s="873"/>
      <c r="GA28" s="873"/>
      <c r="GB28" s="873"/>
      <c r="GC28" s="873"/>
      <c r="GD28" s="873"/>
      <c r="GE28" s="873"/>
      <c r="GF28" s="873"/>
      <c r="GG28" s="873"/>
      <c r="GH28" s="873"/>
      <c r="GI28" s="873"/>
      <c r="GJ28" s="873"/>
      <c r="GK28" s="873"/>
      <c r="GL28" s="873"/>
      <c r="GM28" s="873"/>
      <c r="GN28" s="873"/>
      <c r="GO28" s="873"/>
      <c r="GP28" s="873"/>
      <c r="GQ28" s="873"/>
      <c r="GR28" s="873"/>
      <c r="GS28" s="873"/>
      <c r="GT28" s="873"/>
      <c r="GU28" s="873"/>
      <c r="GV28" s="873"/>
      <c r="GW28" s="873"/>
      <c r="GX28" s="873"/>
      <c r="GY28" s="873"/>
      <c r="GZ28" s="873"/>
      <c r="HA28" s="873"/>
      <c r="HB28" s="873"/>
      <c r="HC28" s="873"/>
      <c r="HD28" s="873"/>
      <c r="HE28" s="873"/>
      <c r="HF28" s="873"/>
      <c r="HG28" s="873"/>
      <c r="HH28" s="873"/>
      <c r="HI28" s="873"/>
      <c r="HJ28" s="873"/>
      <c r="HK28" s="873"/>
      <c r="HL28" s="873"/>
      <c r="HM28" s="873"/>
      <c r="HN28" s="873"/>
      <c r="HO28" s="873"/>
      <c r="HP28" s="873"/>
      <c r="HQ28" s="873"/>
      <c r="HR28" s="873"/>
      <c r="HS28" s="873"/>
      <c r="HT28" s="873"/>
      <c r="HU28" s="873"/>
      <c r="HV28" s="873"/>
      <c r="HW28" s="873"/>
      <c r="HX28" s="873"/>
      <c r="HY28" s="873"/>
      <c r="HZ28" s="873"/>
    </row>
    <row r="29" spans="1:234" ht="13.9" customHeight="1" x14ac:dyDescent="0.2">
      <c r="A29" s="318" t="str">
        <f>A18</f>
        <v>SAN MARTÍN: SALDO DE DEPÓSITOS DEL SISTEMA FINANCIERO SEGÚN MONEDA</v>
      </c>
      <c r="CK29" s="873"/>
      <c r="CL29" s="873"/>
      <c r="CM29" s="873"/>
      <c r="CN29" s="873"/>
      <c r="CO29" s="873"/>
      <c r="CP29" s="873"/>
      <c r="CQ29" s="873"/>
      <c r="CR29" s="873"/>
      <c r="CS29" s="873"/>
      <c r="CT29" s="873"/>
      <c r="CU29" s="873"/>
      <c r="CV29" s="873"/>
      <c r="CW29" s="873"/>
      <c r="CX29" s="873"/>
      <c r="CY29" s="873"/>
      <c r="CZ29" s="873"/>
      <c r="DA29" s="873"/>
      <c r="DB29" s="873"/>
      <c r="DC29" s="873"/>
      <c r="DD29" s="873"/>
      <c r="DE29" s="873"/>
      <c r="DF29" s="873"/>
      <c r="DG29" s="873"/>
      <c r="DH29" s="873"/>
      <c r="DI29" s="873"/>
      <c r="DJ29" s="873"/>
      <c r="DK29" s="873"/>
      <c r="DL29" s="873"/>
      <c r="DM29" s="873"/>
      <c r="DN29" s="873"/>
      <c r="DO29" s="873"/>
      <c r="DP29" s="873"/>
      <c r="DQ29" s="873"/>
      <c r="DR29" s="873"/>
      <c r="DS29" s="873"/>
      <c r="DT29" s="873"/>
      <c r="DU29" s="873"/>
      <c r="DV29" s="873"/>
      <c r="DW29" s="873"/>
      <c r="DX29" s="873"/>
      <c r="DY29" s="873"/>
      <c r="DZ29" s="873"/>
      <c r="EA29" s="873"/>
      <c r="EB29" s="873"/>
      <c r="EC29" s="873"/>
      <c r="ED29" s="873"/>
      <c r="EE29" s="873"/>
      <c r="EF29" s="873"/>
      <c r="EG29" s="873"/>
      <c r="EH29" s="873"/>
      <c r="EI29" s="873"/>
      <c r="EJ29" s="873"/>
      <c r="EK29" s="873"/>
      <c r="EL29" s="873"/>
      <c r="EM29" s="873"/>
      <c r="EN29" s="873"/>
      <c r="EO29" s="873"/>
      <c r="EP29" s="873"/>
      <c r="EQ29" s="873"/>
      <c r="ER29" s="873"/>
      <c r="ES29" s="873"/>
      <c r="ET29" s="873"/>
      <c r="EU29" s="873"/>
      <c r="EV29" s="873"/>
      <c r="EW29" s="873"/>
      <c r="EX29" s="873"/>
      <c r="EY29" s="873"/>
      <c r="EZ29" s="873"/>
      <c r="FA29" s="873"/>
      <c r="FB29" s="873"/>
      <c r="FC29" s="873"/>
      <c r="FD29" s="873"/>
      <c r="FE29" s="873"/>
      <c r="FF29" s="873"/>
      <c r="FG29" s="873"/>
      <c r="FH29" s="873"/>
      <c r="FI29" s="873"/>
      <c r="FJ29" s="873"/>
      <c r="FK29" s="873"/>
      <c r="FL29" s="873"/>
      <c r="FM29" s="873"/>
      <c r="FN29" s="873"/>
      <c r="FO29" s="873"/>
      <c r="FP29" s="873"/>
      <c r="FQ29" s="873"/>
      <c r="FR29" s="873"/>
      <c r="FS29" s="873"/>
      <c r="FT29" s="873"/>
      <c r="FU29" s="873"/>
      <c r="FV29" s="873"/>
      <c r="FW29" s="873"/>
      <c r="FX29" s="873"/>
      <c r="FY29" s="873"/>
      <c r="FZ29" s="873"/>
      <c r="GA29" s="873"/>
      <c r="GB29" s="873"/>
      <c r="GC29" s="873"/>
      <c r="GD29" s="873"/>
      <c r="GE29" s="873"/>
      <c r="GF29" s="873"/>
      <c r="GG29" s="873"/>
      <c r="GH29" s="873"/>
      <c r="GI29" s="873"/>
      <c r="GJ29" s="873"/>
      <c r="GK29" s="873"/>
      <c r="GL29" s="873"/>
      <c r="GM29" s="873"/>
      <c r="GN29" s="873"/>
      <c r="GO29" s="873"/>
      <c r="GP29" s="873"/>
      <c r="GQ29" s="873"/>
      <c r="GR29" s="873"/>
      <c r="GS29" s="873"/>
      <c r="GT29" s="873"/>
      <c r="GU29" s="873"/>
      <c r="GV29" s="873"/>
      <c r="GW29" s="873"/>
      <c r="GX29" s="873"/>
      <c r="GY29" s="873"/>
      <c r="GZ29" s="873"/>
      <c r="HA29" s="873"/>
      <c r="HB29" s="873"/>
      <c r="HC29" s="873"/>
      <c r="HD29" s="873"/>
      <c r="HE29" s="873"/>
      <c r="HF29" s="873"/>
      <c r="HG29" s="873"/>
      <c r="HH29" s="873"/>
      <c r="HI29" s="873"/>
      <c r="HJ29" s="873"/>
      <c r="HK29" s="873"/>
      <c r="HL29" s="873"/>
      <c r="HM29" s="873"/>
      <c r="HN29" s="873"/>
      <c r="HO29" s="873"/>
      <c r="HP29" s="873"/>
      <c r="HQ29" s="873"/>
      <c r="HR29" s="873"/>
      <c r="HS29" s="873"/>
      <c r="HT29" s="873"/>
      <c r="HU29" s="873"/>
      <c r="HV29" s="873"/>
      <c r="HW29" s="873"/>
      <c r="HX29" s="873"/>
      <c r="HY29" s="873"/>
      <c r="HZ29" s="873"/>
    </row>
    <row r="30" spans="1:234" ht="13.9" customHeight="1" x14ac:dyDescent="0.2">
      <c r="A30" s="903" t="s">
        <v>201</v>
      </c>
      <c r="CK30" s="873"/>
      <c r="CL30" s="873"/>
      <c r="CM30" s="873"/>
      <c r="CN30" s="873"/>
      <c r="CO30" s="873"/>
      <c r="CP30" s="873"/>
      <c r="CQ30" s="873"/>
      <c r="CR30" s="873"/>
      <c r="CS30" s="873"/>
      <c r="CT30" s="873"/>
      <c r="CU30" s="873"/>
      <c r="CV30" s="873"/>
      <c r="CW30" s="873"/>
      <c r="CX30" s="873"/>
      <c r="CY30" s="873"/>
      <c r="CZ30" s="873"/>
      <c r="DA30" s="873"/>
      <c r="DB30" s="873"/>
      <c r="DC30" s="873"/>
      <c r="DD30" s="873"/>
      <c r="DE30" s="873"/>
      <c r="DF30" s="873"/>
      <c r="DG30" s="873"/>
      <c r="DH30" s="873"/>
      <c r="DI30" s="873"/>
      <c r="DJ30" s="873"/>
      <c r="DK30" s="873"/>
      <c r="DL30" s="873"/>
      <c r="DM30" s="873"/>
      <c r="DN30" s="873"/>
      <c r="DO30" s="873"/>
      <c r="DP30" s="873"/>
      <c r="DQ30" s="873"/>
      <c r="DR30" s="873"/>
      <c r="DS30" s="873"/>
      <c r="DT30" s="873"/>
      <c r="DU30" s="873"/>
      <c r="DV30" s="873"/>
      <c r="DW30" s="873"/>
      <c r="DX30" s="873"/>
      <c r="DY30" s="873"/>
      <c r="DZ30" s="873"/>
      <c r="EA30" s="873"/>
      <c r="EB30" s="873"/>
      <c r="EC30" s="873"/>
      <c r="ED30" s="873"/>
      <c r="EE30" s="873"/>
      <c r="EF30" s="873"/>
      <c r="EG30" s="873"/>
      <c r="EH30" s="873"/>
      <c r="EI30" s="873"/>
      <c r="EJ30" s="873"/>
      <c r="EK30" s="873"/>
      <c r="EL30" s="873"/>
      <c r="EM30" s="873"/>
      <c r="EN30" s="873"/>
      <c r="EO30" s="873"/>
      <c r="EP30" s="873"/>
      <c r="EQ30" s="873"/>
      <c r="ER30" s="873"/>
      <c r="ES30" s="873"/>
      <c r="ET30" s="873"/>
      <c r="EU30" s="873"/>
      <c r="EV30" s="873"/>
      <c r="EW30" s="873"/>
      <c r="EX30" s="873"/>
      <c r="EY30" s="873"/>
      <c r="EZ30" s="873"/>
      <c r="FA30" s="873"/>
      <c r="FB30" s="873"/>
      <c r="FC30" s="873"/>
      <c r="FD30" s="873"/>
      <c r="FE30" s="873"/>
      <c r="FF30" s="873"/>
      <c r="FG30" s="873"/>
      <c r="FH30" s="873"/>
      <c r="FI30" s="873"/>
      <c r="FJ30" s="873"/>
      <c r="FK30" s="873"/>
      <c r="FL30" s="873"/>
      <c r="FM30" s="873"/>
      <c r="FN30" s="873"/>
      <c r="FO30" s="873"/>
      <c r="FP30" s="873"/>
      <c r="FQ30" s="873"/>
      <c r="FR30" s="873"/>
      <c r="FS30" s="873"/>
      <c r="FT30" s="873"/>
      <c r="FU30" s="873"/>
      <c r="FV30" s="873"/>
      <c r="FW30" s="873"/>
      <c r="FX30" s="873"/>
      <c r="FY30" s="873"/>
      <c r="FZ30" s="873"/>
      <c r="GA30" s="873"/>
      <c r="GB30" s="873"/>
      <c r="GC30" s="873"/>
      <c r="GD30" s="873"/>
      <c r="GE30" s="873"/>
      <c r="GF30" s="873"/>
      <c r="GG30" s="873"/>
      <c r="GH30" s="873"/>
      <c r="GI30" s="873"/>
      <c r="GJ30" s="873"/>
      <c r="GK30" s="873"/>
      <c r="GL30" s="873"/>
      <c r="GM30" s="873"/>
      <c r="GN30" s="873"/>
      <c r="GO30" s="873"/>
      <c r="GP30" s="873"/>
      <c r="GQ30" s="873"/>
      <c r="GR30" s="873"/>
      <c r="GS30" s="873"/>
      <c r="GT30" s="873"/>
      <c r="GU30" s="873"/>
      <c r="GV30" s="873"/>
      <c r="GW30" s="873"/>
      <c r="GX30" s="873"/>
      <c r="GY30" s="873"/>
      <c r="GZ30" s="873"/>
      <c r="HA30" s="873"/>
      <c r="HB30" s="873"/>
      <c r="HC30" s="873"/>
      <c r="HD30" s="873"/>
      <c r="HE30" s="873"/>
      <c r="HF30" s="873"/>
      <c r="HG30" s="873"/>
      <c r="HH30" s="873"/>
      <c r="HI30" s="873"/>
      <c r="HJ30" s="873"/>
      <c r="HK30" s="873"/>
      <c r="HL30" s="873"/>
      <c r="HM30" s="873"/>
      <c r="HN30" s="873"/>
      <c r="HO30" s="873"/>
      <c r="HP30" s="873"/>
      <c r="HQ30" s="873"/>
      <c r="HR30" s="873"/>
      <c r="HS30" s="873"/>
      <c r="HT30" s="873"/>
      <c r="HU30" s="873"/>
      <c r="HV30" s="873"/>
      <c r="HW30" s="873"/>
      <c r="HX30" s="873"/>
      <c r="HY30" s="873"/>
      <c r="HZ30" s="873"/>
    </row>
    <row r="31" spans="1:234" ht="13.9" customHeight="1" x14ac:dyDescent="0.2">
      <c r="A31" s="925" t="s">
        <v>202</v>
      </c>
      <c r="B31" s="878"/>
      <c r="C31" s="878"/>
      <c r="D31" s="878"/>
      <c r="E31" s="878"/>
      <c r="F31" s="878"/>
      <c r="G31" s="878"/>
      <c r="H31" s="878"/>
      <c r="I31" s="878"/>
      <c r="J31" s="878"/>
      <c r="K31" s="878"/>
      <c r="L31" s="878"/>
      <c r="M31" s="878"/>
      <c r="N31" s="878"/>
      <c r="O31" s="878"/>
      <c r="P31" s="878"/>
      <c r="Q31" s="878"/>
      <c r="R31" s="878"/>
      <c r="S31" s="878"/>
      <c r="T31" s="878"/>
      <c r="U31" s="878"/>
      <c r="V31" s="878"/>
      <c r="W31" s="878"/>
      <c r="X31" s="878"/>
      <c r="Y31" s="878"/>
      <c r="Z31" s="878"/>
      <c r="AA31" s="878"/>
      <c r="AB31" s="878"/>
      <c r="AC31" s="878"/>
      <c r="AD31" s="878"/>
      <c r="AE31" s="878"/>
      <c r="AF31" s="878"/>
      <c r="AG31" s="878"/>
      <c r="AH31" s="878"/>
      <c r="AI31" s="878"/>
      <c r="AJ31" s="878"/>
      <c r="AK31" s="878"/>
      <c r="AL31" s="878"/>
      <c r="AM31" s="878"/>
      <c r="AN31" s="878"/>
      <c r="AO31" s="878"/>
      <c r="AP31" s="878"/>
      <c r="AQ31" s="878"/>
      <c r="AR31" s="878"/>
      <c r="AS31" s="878"/>
      <c r="AT31" s="878"/>
      <c r="AU31" s="878"/>
      <c r="AV31" s="878"/>
      <c r="AW31" s="878"/>
      <c r="AX31" s="878"/>
      <c r="AY31" s="878"/>
      <c r="AZ31" s="878"/>
      <c r="BA31" s="878"/>
      <c r="BB31" s="878"/>
      <c r="BC31" s="878"/>
      <c r="BD31" s="878"/>
      <c r="BE31" s="878"/>
      <c r="BF31" s="878"/>
      <c r="BG31" s="878"/>
      <c r="BH31" s="878"/>
      <c r="BI31" s="878"/>
      <c r="BJ31" s="878"/>
      <c r="BK31" s="878"/>
      <c r="BL31" s="878"/>
      <c r="BM31" s="878"/>
      <c r="BN31" s="878"/>
      <c r="BO31" s="878"/>
      <c r="BP31" s="878"/>
      <c r="BQ31" s="878"/>
      <c r="BR31" s="878"/>
      <c r="BS31" s="878"/>
      <c r="BT31" s="878"/>
      <c r="BU31" s="878"/>
      <c r="BV31" s="878"/>
      <c r="BW31" s="878"/>
      <c r="BX31" s="878"/>
      <c r="BY31" s="878"/>
      <c r="BZ31" s="878"/>
      <c r="CA31" s="878"/>
      <c r="CB31" s="878"/>
      <c r="CC31" s="878"/>
      <c r="CD31" s="878"/>
      <c r="CE31" s="878"/>
      <c r="CF31" s="878"/>
      <c r="CG31" s="878"/>
      <c r="CH31" s="878"/>
      <c r="CI31" s="878"/>
      <c r="CJ31" s="878"/>
      <c r="CK31" s="926">
        <f t="shared" ref="CK31:DP31" si="34">((CK23/BY23)-1)*100</f>
        <v>-6.2046307161411125</v>
      </c>
      <c r="CL31" s="926">
        <f t="shared" si="34"/>
        <v>2.0533812503343185</v>
      </c>
      <c r="CM31" s="926">
        <f t="shared" si="34"/>
        <v>1.2385239526363501</v>
      </c>
      <c r="CN31" s="926">
        <f t="shared" si="34"/>
        <v>2.725777702475729</v>
      </c>
      <c r="CO31" s="926">
        <f t="shared" si="34"/>
        <v>-3.4391126379952563</v>
      </c>
      <c r="CP31" s="926">
        <f t="shared" si="34"/>
        <v>2.1255950297568438</v>
      </c>
      <c r="CQ31" s="926">
        <f t="shared" si="34"/>
        <v>3.2582985868859105</v>
      </c>
      <c r="CR31" s="926">
        <f t="shared" si="34"/>
        <v>16.889526988127269</v>
      </c>
      <c r="CS31" s="927">
        <f t="shared" si="34"/>
        <v>16.269310305855743</v>
      </c>
      <c r="CT31" s="926">
        <f t="shared" si="34"/>
        <v>5.0805973382406888</v>
      </c>
      <c r="CU31" s="926">
        <f t="shared" si="34"/>
        <v>7.8464175763943267</v>
      </c>
      <c r="CV31" s="926">
        <f t="shared" si="34"/>
        <v>8.7670214064989658</v>
      </c>
      <c r="CW31" s="926">
        <f t="shared" si="34"/>
        <v>4.8606534371480103</v>
      </c>
      <c r="CX31" s="926">
        <f t="shared" si="34"/>
        <v>9.7103812129621936</v>
      </c>
      <c r="CY31" s="926">
        <f t="shared" si="34"/>
        <v>15.699688498703356</v>
      </c>
      <c r="CZ31" s="926">
        <f t="shared" si="34"/>
        <v>14.276075009746503</v>
      </c>
      <c r="DA31" s="926">
        <f t="shared" si="34"/>
        <v>25.320509079680022</v>
      </c>
      <c r="DB31" s="926">
        <f t="shared" si="34"/>
        <v>21.693872066344944</v>
      </c>
      <c r="DC31" s="926">
        <f t="shared" si="34"/>
        <v>26.576335950852361</v>
      </c>
      <c r="DD31" s="926">
        <f t="shared" si="34"/>
        <v>21.129848686698981</v>
      </c>
      <c r="DE31" s="927">
        <f t="shared" si="34"/>
        <v>28.247248701756213</v>
      </c>
      <c r="DF31" s="928">
        <f t="shared" si="34"/>
        <v>88.89802727607352</v>
      </c>
      <c r="DG31" s="926">
        <f t="shared" si="34"/>
        <v>82.998313670134124</v>
      </c>
      <c r="DH31" s="926">
        <f t="shared" si="34"/>
        <v>94.112014497057217</v>
      </c>
      <c r="DI31" s="926">
        <f t="shared" si="34"/>
        <v>95.95502730202368</v>
      </c>
      <c r="DJ31" s="926">
        <f t="shared" si="34"/>
        <v>97.717649147625536</v>
      </c>
      <c r="DK31" s="926">
        <f t="shared" si="34"/>
        <v>95.781542422429112</v>
      </c>
      <c r="DL31" s="926">
        <f t="shared" si="34"/>
        <v>98.301765568726893</v>
      </c>
      <c r="DM31" s="926">
        <f t="shared" si="34"/>
        <v>97.536469823668881</v>
      </c>
      <c r="DN31" s="926">
        <f t="shared" si="34"/>
        <v>94.582521098179484</v>
      </c>
      <c r="DO31" s="926">
        <f t="shared" si="34"/>
        <v>81.692349555524729</v>
      </c>
      <c r="DP31" s="926">
        <f t="shared" si="34"/>
        <v>73.513656416117826</v>
      </c>
      <c r="DQ31" s="927">
        <f t="shared" ref="DQ31:EV31" si="35">((DQ23/DE23)-1)*100</f>
        <v>71.01175225884792</v>
      </c>
      <c r="DR31" s="928">
        <f t="shared" si="35"/>
        <v>20.431597834588789</v>
      </c>
      <c r="DS31" s="926">
        <f t="shared" si="35"/>
        <v>20.589925421795961</v>
      </c>
      <c r="DT31" s="926">
        <f t="shared" si="35"/>
        <v>9.1971753105327672</v>
      </c>
      <c r="DU31" s="926">
        <f t="shared" si="35"/>
        <v>10.110163824004426</v>
      </c>
      <c r="DV31" s="926">
        <f t="shared" si="35"/>
        <v>5.3762758949006839</v>
      </c>
      <c r="DW31" s="926">
        <f t="shared" si="35"/>
        <v>-0.50287163246746092</v>
      </c>
      <c r="DX31" s="926">
        <f t="shared" si="35"/>
        <v>-2.0965026261118846</v>
      </c>
      <c r="DY31" s="926">
        <f t="shared" si="35"/>
        <v>-8.7441193627755496</v>
      </c>
      <c r="DZ31" s="926">
        <f t="shared" si="35"/>
        <v>-0.75684813959789876</v>
      </c>
      <c r="EA31" s="926">
        <f t="shared" si="35"/>
        <v>1.4201259661067445</v>
      </c>
      <c r="EB31" s="926">
        <f t="shared" si="35"/>
        <v>3.9665924652555917</v>
      </c>
      <c r="EC31" s="926">
        <f t="shared" si="35"/>
        <v>1.7402039881935671</v>
      </c>
      <c r="ED31" s="928">
        <f t="shared" si="35"/>
        <v>2.9226041828657179</v>
      </c>
      <c r="EE31" s="926">
        <f t="shared" si="35"/>
        <v>7.9757261301415028</v>
      </c>
      <c r="EF31" s="926">
        <f t="shared" si="35"/>
        <v>13.913778260169174</v>
      </c>
      <c r="EG31" s="926">
        <f t="shared" si="35"/>
        <v>14.765186612961623</v>
      </c>
      <c r="EH31" s="926">
        <f t="shared" si="35"/>
        <v>12.929380354178544</v>
      </c>
      <c r="EI31" s="926">
        <f t="shared" si="35"/>
        <v>12.066481950788832</v>
      </c>
      <c r="EJ31" s="926">
        <f t="shared" si="35"/>
        <v>15.180191055786141</v>
      </c>
      <c r="EK31" s="926">
        <f t="shared" si="35"/>
        <v>13.406728073817087</v>
      </c>
      <c r="EL31" s="926">
        <f t="shared" si="35"/>
        <v>1.8916411547744705</v>
      </c>
      <c r="EM31" s="926">
        <f t="shared" si="35"/>
        <v>9.6197056834548498</v>
      </c>
      <c r="EN31" s="926">
        <f t="shared" si="35"/>
        <v>10.376959275333707</v>
      </c>
      <c r="EO31" s="927">
        <f t="shared" si="35"/>
        <v>6.1990726933593088</v>
      </c>
      <c r="EP31" s="928">
        <f t="shared" si="35"/>
        <v>103.58773357250035</v>
      </c>
      <c r="EQ31" s="926">
        <f t="shared" si="35"/>
        <v>108.4515966693524</v>
      </c>
      <c r="ER31" s="926">
        <f t="shared" si="35"/>
        <v>96.281014418759298</v>
      </c>
      <c r="ES31" s="926">
        <f t="shared" si="35"/>
        <v>104.59622179815797</v>
      </c>
      <c r="ET31" s="926">
        <f t="shared" si="35"/>
        <v>104.71614991206901</v>
      </c>
      <c r="EU31" s="926">
        <f t="shared" si="35"/>
        <v>108.92379494908995</v>
      </c>
      <c r="EV31" s="926">
        <f t="shared" si="35"/>
        <v>105.09394766276121</v>
      </c>
      <c r="EW31" s="926">
        <f t="shared" ref="EW31:GB31" si="36">((EW23/EK23)-1)*100</f>
        <v>115.79883611970368</v>
      </c>
      <c r="EX31" s="926">
        <f t="shared" si="36"/>
        <v>122.60430294505258</v>
      </c>
      <c r="EY31" s="926">
        <f t="shared" si="36"/>
        <v>105.16333266480804</v>
      </c>
      <c r="EZ31" s="926">
        <f t="shared" si="36"/>
        <v>105.00948121729077</v>
      </c>
      <c r="FA31" s="927">
        <f t="shared" si="36"/>
        <v>123.8876222720005</v>
      </c>
      <c r="FB31" s="928">
        <f t="shared" si="36"/>
        <v>18.292863298384976</v>
      </c>
      <c r="FC31" s="926">
        <f t="shared" si="36"/>
        <v>9.3272225545509624</v>
      </c>
      <c r="FD31" s="926">
        <f t="shared" si="36"/>
        <v>24.080320001837173</v>
      </c>
      <c r="FE31" s="926">
        <f t="shared" si="36"/>
        <v>21.121076614389732</v>
      </c>
      <c r="FF31" s="926">
        <f t="shared" si="36"/>
        <v>18.653204372577093</v>
      </c>
      <c r="FG31" s="926">
        <f t="shared" si="36"/>
        <v>17.367249780663663</v>
      </c>
      <c r="FH31" s="926">
        <f t="shared" si="36"/>
        <v>21.744857055231993</v>
      </c>
      <c r="FI31" s="926">
        <f t="shared" si="36"/>
        <v>10.525452609218755</v>
      </c>
      <c r="FJ31" s="926">
        <f t="shared" si="36"/>
        <v>11.407587048571454</v>
      </c>
      <c r="FK31" s="926">
        <f t="shared" si="36"/>
        <v>12.897962260933515</v>
      </c>
      <c r="FL31" s="926">
        <f t="shared" si="36"/>
        <v>10.624657434016527</v>
      </c>
      <c r="FM31" s="927">
        <f t="shared" si="36"/>
        <v>11.07049251644019</v>
      </c>
      <c r="FN31" s="928">
        <f t="shared" si="36"/>
        <v>18.230394865973931</v>
      </c>
      <c r="FO31" s="926">
        <f t="shared" si="36"/>
        <v>18.345617275670744</v>
      </c>
      <c r="FP31" s="926">
        <f t="shared" si="36"/>
        <v>5.302977790745822</v>
      </c>
      <c r="FQ31" s="926">
        <f t="shared" si="36"/>
        <v>3.3143946015221859</v>
      </c>
      <c r="FR31" s="926">
        <f t="shared" si="36"/>
        <v>5.5424791213312563</v>
      </c>
      <c r="FS31" s="926">
        <f t="shared" si="36"/>
        <v>8.8925964512458719</v>
      </c>
      <c r="FT31" s="926">
        <f t="shared" si="36"/>
        <v>5.0995758322894602</v>
      </c>
      <c r="FU31" s="926">
        <f t="shared" si="36"/>
        <v>13.736116684875999</v>
      </c>
      <c r="FV31" s="926">
        <f t="shared" si="36"/>
        <v>13.799185029359574</v>
      </c>
      <c r="FW31" s="926">
        <f t="shared" si="36"/>
        <v>13.977166537907969</v>
      </c>
      <c r="FX31" s="926">
        <f t="shared" si="36"/>
        <v>17.604133533926181</v>
      </c>
      <c r="FY31" s="926">
        <f t="shared" si="36"/>
        <v>10.166733335867262</v>
      </c>
      <c r="FZ31" s="928">
        <f t="shared" si="36"/>
        <v>1.5303390728390154</v>
      </c>
      <c r="GA31" s="926">
        <f t="shared" si="36"/>
        <v>2.3350056976129352</v>
      </c>
      <c r="GB31" s="926">
        <f t="shared" si="36"/>
        <v>1.6879860260764046</v>
      </c>
      <c r="GC31" s="926">
        <f t="shared" ref="GC31:HH31" si="37">((GC23/FQ23)-1)*100</f>
        <v>3.5236014176103891</v>
      </c>
      <c r="GD31" s="926">
        <f t="shared" si="37"/>
        <v>3.6443284972822898</v>
      </c>
      <c r="GE31" s="926">
        <f t="shared" si="37"/>
        <v>3.498271668139985</v>
      </c>
      <c r="GF31" s="926">
        <f t="shared" si="37"/>
        <v>5.0618938534240154</v>
      </c>
      <c r="GG31" s="926">
        <f t="shared" si="37"/>
        <v>6.8848642241822411</v>
      </c>
      <c r="GH31" s="926">
        <f t="shared" si="37"/>
        <v>9.975221416074632</v>
      </c>
      <c r="GI31" s="926">
        <f t="shared" si="37"/>
        <v>8.7544510735900971</v>
      </c>
      <c r="GJ31" s="926">
        <f t="shared" si="37"/>
        <v>11.510212925215368</v>
      </c>
      <c r="GK31" s="926">
        <f t="shared" si="37"/>
        <v>13.575082551327089</v>
      </c>
      <c r="GL31" s="928">
        <f t="shared" si="37"/>
        <v>15.841419511115884</v>
      </c>
      <c r="GM31" s="926">
        <f t="shared" si="37"/>
        <v>16.237644278516193</v>
      </c>
      <c r="GN31" s="926">
        <f t="shared" si="37"/>
        <v>13.638948757378877</v>
      </c>
      <c r="GO31" s="926">
        <f t="shared" si="37"/>
        <v>14.105309486876738</v>
      </c>
      <c r="GP31" s="926">
        <f t="shared" si="37"/>
        <v>14.937114970900689</v>
      </c>
      <c r="GQ31" s="926">
        <f t="shared" si="37"/>
        <v>12.698176601914369</v>
      </c>
      <c r="GR31" s="926">
        <f t="shared" si="37"/>
        <v>14.254301684072734</v>
      </c>
      <c r="GS31" s="926">
        <f t="shared" si="37"/>
        <v>10.153747651287471</v>
      </c>
      <c r="GT31" s="926">
        <f t="shared" si="37"/>
        <v>4.8822635625491495</v>
      </c>
      <c r="GU31" s="926">
        <f t="shared" si="37"/>
        <v>8.4347598754921815</v>
      </c>
      <c r="GV31" s="926">
        <f t="shared" si="37"/>
        <v>5.4652141948820399</v>
      </c>
      <c r="GW31" s="926">
        <f t="shared" si="37"/>
        <v>7.4056359233399149</v>
      </c>
      <c r="GX31" s="928">
        <f t="shared" si="37"/>
        <v>7.4918766382621627</v>
      </c>
      <c r="GY31" s="926">
        <f t="shared" si="37"/>
        <v>7.3500570798493925</v>
      </c>
      <c r="GZ31" s="926">
        <f t="shared" si="37"/>
        <v>5.7350247358552764</v>
      </c>
      <c r="HA31" s="926">
        <f t="shared" si="37"/>
        <v>4.5491963864387364</v>
      </c>
      <c r="HB31" s="926">
        <f t="shared" si="37"/>
        <v>4.2397983774218106</v>
      </c>
      <c r="HC31" s="926">
        <f t="shared" si="37"/>
        <v>6.3871283637835896</v>
      </c>
      <c r="HD31" s="926">
        <f t="shared" si="37"/>
        <v>4.6379302905534603</v>
      </c>
      <c r="HE31" s="926">
        <f t="shared" si="37"/>
        <v>9.1674597389764578</v>
      </c>
      <c r="HF31" s="926">
        <f t="shared" si="37"/>
        <v>11.474771381085835</v>
      </c>
      <c r="HG31" s="926">
        <f t="shared" si="37"/>
        <v>10.928539084901612</v>
      </c>
      <c r="HH31" s="926">
        <f t="shared" si="37"/>
        <v>11.067090194172359</v>
      </c>
      <c r="HI31" s="927">
        <f>((HI23/GW23)-1)*100</f>
        <v>7.7479935474890516</v>
      </c>
      <c r="HJ31" s="929">
        <f>((HJ23/GX23)-1)*100</f>
        <v>6.5100831146639004</v>
      </c>
      <c r="HK31" s="916"/>
      <c r="HL31" s="916"/>
      <c r="HM31" s="916"/>
      <c r="HN31" s="916"/>
      <c r="HO31" s="916"/>
      <c r="HP31" s="916"/>
      <c r="HQ31" s="916"/>
      <c r="HR31" s="916"/>
      <c r="HS31" s="916"/>
      <c r="HT31" s="916"/>
      <c r="HU31" s="916"/>
      <c r="HY31" s="873"/>
      <c r="HZ31" s="873"/>
    </row>
    <row r="32" spans="1:234" ht="13.9" customHeight="1" x14ac:dyDescent="0.2">
      <c r="A32" s="915" t="s">
        <v>203</v>
      </c>
      <c r="CK32" s="916">
        <f t="shared" ref="CK32:EV32" si="38">((CK24/BY24)-1)*100</f>
        <v>20.84025379792045</v>
      </c>
      <c r="CL32" s="916">
        <f t="shared" si="38"/>
        <v>20.873837432768806</v>
      </c>
      <c r="CM32" s="916">
        <f t="shared" si="38"/>
        <v>14.724063141206223</v>
      </c>
      <c r="CN32" s="916">
        <f t="shared" si="38"/>
        <v>0.80071550755422827</v>
      </c>
      <c r="CO32" s="916">
        <f t="shared" si="38"/>
        <v>3.3174473852714881</v>
      </c>
      <c r="CP32" s="916">
        <f t="shared" si="38"/>
        <v>0.64073661369119517</v>
      </c>
      <c r="CQ32" s="916">
        <f t="shared" si="38"/>
        <v>-5.0916805565757723</v>
      </c>
      <c r="CR32" s="916">
        <f t="shared" si="38"/>
        <v>-9.0836942364155959</v>
      </c>
      <c r="CS32" s="917">
        <f t="shared" si="38"/>
        <v>-1.7986783024973474</v>
      </c>
      <c r="CT32" s="916">
        <f t="shared" si="38"/>
        <v>-5.0503873820447183</v>
      </c>
      <c r="CU32" s="916">
        <f t="shared" si="38"/>
        <v>-8.3286963055189123</v>
      </c>
      <c r="CV32" s="916">
        <f t="shared" si="38"/>
        <v>-12.693871207672681</v>
      </c>
      <c r="CW32" s="916">
        <f t="shared" si="38"/>
        <v>-4.5076610439923392</v>
      </c>
      <c r="CX32" s="916">
        <f t="shared" si="38"/>
        <v>-6.7796946938591613</v>
      </c>
      <c r="CY32" s="916">
        <f t="shared" si="38"/>
        <v>-6.5714111644584516</v>
      </c>
      <c r="CZ32" s="916">
        <f t="shared" si="38"/>
        <v>-1.1737417383116178</v>
      </c>
      <c r="DA32" s="916">
        <f t="shared" si="38"/>
        <v>-3.210645757223074</v>
      </c>
      <c r="DB32" s="916">
        <f t="shared" si="38"/>
        <v>-1.2320981647217177</v>
      </c>
      <c r="DC32" s="916">
        <f t="shared" si="38"/>
        <v>-4.147139014945223</v>
      </c>
      <c r="DD32" s="916">
        <f t="shared" si="38"/>
        <v>4.6777501887745876</v>
      </c>
      <c r="DE32" s="917">
        <f t="shared" si="38"/>
        <v>0.43339689383385949</v>
      </c>
      <c r="DF32" s="918">
        <f t="shared" si="38"/>
        <v>11.057546310862755</v>
      </c>
      <c r="DG32" s="916">
        <f t="shared" si="38"/>
        <v>6.0603598773692147</v>
      </c>
      <c r="DH32" s="916">
        <f t="shared" si="38"/>
        <v>9.3656545714166928</v>
      </c>
      <c r="DI32" s="916">
        <f t="shared" si="38"/>
        <v>13.576164067207387</v>
      </c>
      <c r="DJ32" s="916">
        <f t="shared" si="38"/>
        <v>14.416697255512645</v>
      </c>
      <c r="DK32" s="916">
        <f t="shared" si="38"/>
        <v>14.807991459921354</v>
      </c>
      <c r="DL32" s="916">
        <f t="shared" si="38"/>
        <v>15.685123619785269</v>
      </c>
      <c r="DM32" s="916">
        <f t="shared" si="38"/>
        <v>22.91875519297022</v>
      </c>
      <c r="DN32" s="916">
        <f t="shared" si="38"/>
        <v>18.723074692026785</v>
      </c>
      <c r="DO32" s="916">
        <f t="shared" si="38"/>
        <v>17.100316754663879</v>
      </c>
      <c r="DP32" s="916">
        <f t="shared" si="38"/>
        <v>11.191579178110821</v>
      </c>
      <c r="DQ32" s="917">
        <f t="shared" si="38"/>
        <v>15.329850608868089</v>
      </c>
      <c r="DR32" s="918">
        <f t="shared" si="38"/>
        <v>8.0490591760384422</v>
      </c>
      <c r="DS32" s="916">
        <f t="shared" si="38"/>
        <v>10.814725051747986</v>
      </c>
      <c r="DT32" s="916">
        <f t="shared" si="38"/>
        <v>-1.9205763668396325</v>
      </c>
      <c r="DU32" s="916">
        <f t="shared" si="38"/>
        <v>-7.5284092826319648</v>
      </c>
      <c r="DV32" s="916">
        <f t="shared" si="38"/>
        <v>-7.2692326028793381</v>
      </c>
      <c r="DW32" s="916">
        <f t="shared" si="38"/>
        <v>11.180877963038149</v>
      </c>
      <c r="DX32" s="916">
        <f t="shared" si="38"/>
        <v>3.925861018952137</v>
      </c>
      <c r="DY32" s="916">
        <f t="shared" si="38"/>
        <v>-5.9809458953915762</v>
      </c>
      <c r="DZ32" s="916">
        <f t="shared" si="38"/>
        <v>-7.0451403613198682</v>
      </c>
      <c r="EA32" s="916">
        <f t="shared" si="38"/>
        <v>-3.8320703734431305</v>
      </c>
      <c r="EB32" s="916">
        <f t="shared" si="38"/>
        <v>-2.0223543593051674</v>
      </c>
      <c r="EC32" s="916">
        <f t="shared" si="38"/>
        <v>-6.0017038463874854</v>
      </c>
      <c r="ED32" s="918">
        <f t="shared" si="38"/>
        <v>-7.6118125558738647</v>
      </c>
      <c r="EE32" s="916">
        <f t="shared" si="38"/>
        <v>-14.681220145250107</v>
      </c>
      <c r="EF32" s="916">
        <f t="shared" si="38"/>
        <v>30.724887931774148</v>
      </c>
      <c r="EG32" s="916">
        <f t="shared" si="38"/>
        <v>0.1974712354811059</v>
      </c>
      <c r="EH32" s="916">
        <f t="shared" si="38"/>
        <v>4.0124417148363234</v>
      </c>
      <c r="EI32" s="916">
        <f t="shared" si="38"/>
        <v>4.1810396222685675E-2</v>
      </c>
      <c r="EJ32" s="916">
        <f t="shared" si="38"/>
        <v>0.83648355226044746</v>
      </c>
      <c r="EK32" s="916">
        <f t="shared" si="38"/>
        <v>3.7098386671012173</v>
      </c>
      <c r="EL32" s="916">
        <f t="shared" si="38"/>
        <v>6.0070617225262968</v>
      </c>
      <c r="EM32" s="916">
        <f t="shared" si="38"/>
        <v>5.9932602419291214</v>
      </c>
      <c r="EN32" s="916">
        <f t="shared" si="38"/>
        <v>2.9750832600332178</v>
      </c>
      <c r="EO32" s="917">
        <f t="shared" si="38"/>
        <v>4.0969712510156686</v>
      </c>
      <c r="EP32" s="918">
        <f t="shared" si="38"/>
        <v>87.199176851358189</v>
      </c>
      <c r="EQ32" s="916">
        <f t="shared" si="38"/>
        <v>107.5609843577304</v>
      </c>
      <c r="ER32" s="916">
        <f t="shared" si="38"/>
        <v>53.42432103284689</v>
      </c>
      <c r="ES32" s="916">
        <f t="shared" si="38"/>
        <v>127.90869183081783</v>
      </c>
      <c r="ET32" s="916">
        <f t="shared" si="38"/>
        <v>115.89501036331487</v>
      </c>
      <c r="EU32" s="916">
        <f t="shared" si="38"/>
        <v>85.198460552688715</v>
      </c>
      <c r="EV32" s="916">
        <f t="shared" si="38"/>
        <v>97.766877186602017</v>
      </c>
      <c r="EW32" s="916">
        <f t="shared" ref="EW32:HH32" si="39">((EW24/EK24)-1)*100</f>
        <v>92.065561045286472</v>
      </c>
      <c r="EX32" s="916">
        <f t="shared" si="39"/>
        <v>97.653816921474814</v>
      </c>
      <c r="EY32" s="916">
        <f t="shared" si="39"/>
        <v>89.113740197709518</v>
      </c>
      <c r="EZ32" s="916">
        <f t="shared" si="39"/>
        <v>88.838932683449045</v>
      </c>
      <c r="FA32" s="917">
        <f t="shared" si="39"/>
        <v>82.873435330412477</v>
      </c>
      <c r="FB32" s="918">
        <f t="shared" si="39"/>
        <v>16.686657987242626</v>
      </c>
      <c r="FC32" s="916">
        <f t="shared" si="39"/>
        <v>19.752224124790519</v>
      </c>
      <c r="FD32" s="916">
        <f t="shared" si="39"/>
        <v>26.961140123592607</v>
      </c>
      <c r="FE32" s="916">
        <f t="shared" si="39"/>
        <v>21.442659202102732</v>
      </c>
      <c r="FF32" s="916">
        <f t="shared" si="39"/>
        <v>30.770650086455518</v>
      </c>
      <c r="FG32" s="916">
        <f t="shared" si="39"/>
        <v>29.882104193364079</v>
      </c>
      <c r="FH32" s="916">
        <f t="shared" si="39"/>
        <v>14.692713438804939</v>
      </c>
      <c r="FI32" s="916">
        <f t="shared" si="39"/>
        <v>15.910687162563896</v>
      </c>
      <c r="FJ32" s="916">
        <f t="shared" si="39"/>
        <v>18.604352412865111</v>
      </c>
      <c r="FK32" s="916">
        <f t="shared" si="39"/>
        <v>22.530087285202448</v>
      </c>
      <c r="FL32" s="916">
        <f t="shared" si="39"/>
        <v>27.541142619917004</v>
      </c>
      <c r="FM32" s="917">
        <f t="shared" si="39"/>
        <v>30.650694454639705</v>
      </c>
      <c r="FN32" s="918">
        <f t="shared" si="39"/>
        <v>21.105532134467442</v>
      </c>
      <c r="FO32" s="916">
        <f t="shared" si="39"/>
        <v>21.931634988487424</v>
      </c>
      <c r="FP32" s="916">
        <f t="shared" si="39"/>
        <v>6.4411100660693554</v>
      </c>
      <c r="FQ32" s="916">
        <f t="shared" si="39"/>
        <v>-4.138683068867266</v>
      </c>
      <c r="FR32" s="916">
        <f t="shared" si="39"/>
        <v>-13.324941841286009</v>
      </c>
      <c r="FS32" s="916">
        <f t="shared" si="39"/>
        <v>-13.535991878396402</v>
      </c>
      <c r="FT32" s="916">
        <f t="shared" si="39"/>
        <v>-1.6637494222267457</v>
      </c>
      <c r="FU32" s="916">
        <f t="shared" si="39"/>
        <v>-4.0899542349925326</v>
      </c>
      <c r="FV32" s="916">
        <f t="shared" si="39"/>
        <v>-9.6201569173730235</v>
      </c>
      <c r="FW32" s="916">
        <f t="shared" si="39"/>
        <v>-1.8359098988169786</v>
      </c>
      <c r="FX32" s="916">
        <f t="shared" si="39"/>
        <v>-4.988912666867618</v>
      </c>
      <c r="FY32" s="916">
        <f t="shared" si="39"/>
        <v>-0.19641383524584555</v>
      </c>
      <c r="FZ32" s="918">
        <f t="shared" si="39"/>
        <v>-4.6188048976145257</v>
      </c>
      <c r="GA32" s="916">
        <f t="shared" si="39"/>
        <v>-14.515298976421686</v>
      </c>
      <c r="GB32" s="916">
        <f t="shared" si="39"/>
        <v>-10.588813019860922</v>
      </c>
      <c r="GC32" s="916">
        <f t="shared" si="39"/>
        <v>-4.4392582077969145</v>
      </c>
      <c r="GD32" s="916">
        <f t="shared" si="39"/>
        <v>2.8158629693491921</v>
      </c>
      <c r="GE32" s="916">
        <f t="shared" si="39"/>
        <v>10.716370381972663</v>
      </c>
      <c r="GF32" s="916">
        <f t="shared" si="39"/>
        <v>6.5862162857422968</v>
      </c>
      <c r="GG32" s="916">
        <f t="shared" si="39"/>
        <v>8.5332261400610889</v>
      </c>
      <c r="GH32" s="916">
        <f t="shared" si="39"/>
        <v>3.3110902459369429</v>
      </c>
      <c r="GI32" s="916">
        <f t="shared" si="39"/>
        <v>-1.7025339374990733</v>
      </c>
      <c r="GJ32" s="916">
        <f t="shared" si="39"/>
        <v>-3.1832933740776892</v>
      </c>
      <c r="GK32" s="916">
        <f t="shared" si="39"/>
        <v>-3.8422235364977908</v>
      </c>
      <c r="GL32" s="918">
        <f t="shared" si="39"/>
        <v>1.8138159328065395</v>
      </c>
      <c r="GM32" s="916">
        <f t="shared" si="39"/>
        <v>10.570101012717625</v>
      </c>
      <c r="GN32" s="916">
        <f t="shared" si="39"/>
        <v>12.911211228638875</v>
      </c>
      <c r="GO32" s="916">
        <f t="shared" si="39"/>
        <v>8.2384940499983461</v>
      </c>
      <c r="GP32" s="916">
        <f t="shared" si="39"/>
        <v>3.9963461298583303</v>
      </c>
      <c r="GQ32" s="916">
        <f t="shared" si="39"/>
        <v>3.2130341269337892</v>
      </c>
      <c r="GR32" s="916">
        <f t="shared" si="39"/>
        <v>-1.8562999804901059</v>
      </c>
      <c r="GS32" s="916">
        <f t="shared" si="39"/>
        <v>2.2260953081703283</v>
      </c>
      <c r="GT32" s="916">
        <f t="shared" si="39"/>
        <v>13.337333716541245</v>
      </c>
      <c r="GU32" s="916">
        <f t="shared" si="39"/>
        <v>9.6996521503130761</v>
      </c>
      <c r="GV32" s="916">
        <f t="shared" si="39"/>
        <v>13.469703232387943</v>
      </c>
      <c r="GW32" s="916">
        <f t="shared" si="39"/>
        <v>11.384389519993764</v>
      </c>
      <c r="GX32" s="918">
        <f t="shared" si="39"/>
        <v>9.8674086600265554</v>
      </c>
      <c r="GY32" s="916">
        <f t="shared" si="39"/>
        <v>5.0427587611011404</v>
      </c>
      <c r="GZ32" s="916">
        <f t="shared" si="39"/>
        <v>1.5980944509558004</v>
      </c>
      <c r="HA32" s="916">
        <f t="shared" si="39"/>
        <v>-0.97436210883906638</v>
      </c>
      <c r="HB32" s="916">
        <f t="shared" si="39"/>
        <v>3.4562285057789355</v>
      </c>
      <c r="HC32" s="916">
        <f t="shared" si="39"/>
        <v>3.2776846460889075</v>
      </c>
      <c r="HD32" s="916">
        <f t="shared" si="39"/>
        <v>4.0334015160868875</v>
      </c>
      <c r="HE32" s="916">
        <f t="shared" si="39"/>
        <v>3.0237993781080164</v>
      </c>
      <c r="HF32" s="916">
        <f t="shared" si="39"/>
        <v>6.6374645867091742</v>
      </c>
      <c r="HG32" s="916">
        <f t="shared" si="39"/>
        <v>12.17809905811713</v>
      </c>
      <c r="HH32" s="916">
        <f t="shared" si="39"/>
        <v>9.0099055535589159</v>
      </c>
      <c r="HI32" s="917">
        <f>((HI24/GW24)-1)*100</f>
        <v>4.8969023915051979</v>
      </c>
      <c r="HJ32" s="919">
        <f>((HJ24/GX24)-1)*100</f>
        <v>-4.0408113396788519</v>
      </c>
      <c r="HK32" s="916"/>
      <c r="HL32" s="916"/>
      <c r="HM32" s="916"/>
      <c r="HN32" s="916"/>
      <c r="HO32" s="916"/>
      <c r="HP32" s="916"/>
      <c r="HQ32" s="916"/>
      <c r="HR32" s="916"/>
      <c r="HS32" s="916"/>
      <c r="HT32" s="916"/>
      <c r="HU32" s="916"/>
      <c r="HY32" s="873"/>
      <c r="HZ32" s="873"/>
    </row>
    <row r="33" spans="1:234" ht="13.9" customHeight="1" x14ac:dyDescent="0.2">
      <c r="A33" s="920" t="s">
        <v>87</v>
      </c>
      <c r="B33" s="641"/>
      <c r="C33" s="641"/>
      <c r="D33" s="641"/>
      <c r="E33" s="641"/>
      <c r="F33" s="641"/>
      <c r="G33" s="641"/>
      <c r="H33" s="641"/>
      <c r="I33" s="641"/>
      <c r="J33" s="641"/>
      <c r="K33" s="641"/>
      <c r="L33" s="641"/>
      <c r="M33" s="641"/>
      <c r="N33" s="641"/>
      <c r="O33" s="641"/>
      <c r="P33" s="641"/>
      <c r="Q33" s="641"/>
      <c r="R33" s="641"/>
      <c r="S33" s="641"/>
      <c r="T33" s="641"/>
      <c r="U33" s="641"/>
      <c r="V33" s="641"/>
      <c r="W33" s="641"/>
      <c r="X33" s="641"/>
      <c r="Y33" s="641"/>
      <c r="Z33" s="641"/>
      <c r="AA33" s="641"/>
      <c r="AB33" s="641"/>
      <c r="AC33" s="641"/>
      <c r="AD33" s="641"/>
      <c r="AE33" s="641"/>
      <c r="AF33" s="641"/>
      <c r="AG33" s="641"/>
      <c r="AH33" s="641"/>
      <c r="AI33" s="641"/>
      <c r="AJ33" s="641"/>
      <c r="AK33" s="641"/>
      <c r="AL33" s="641"/>
      <c r="AM33" s="641"/>
      <c r="AN33" s="641"/>
      <c r="AO33" s="641"/>
      <c r="AP33" s="641"/>
      <c r="AQ33" s="641"/>
      <c r="AR33" s="641"/>
      <c r="AS33" s="641"/>
      <c r="AT33" s="641"/>
      <c r="AU33" s="641"/>
      <c r="AV33" s="641"/>
      <c r="AW33" s="641"/>
      <c r="AX33" s="641"/>
      <c r="AY33" s="641"/>
      <c r="AZ33" s="641"/>
      <c r="BA33" s="641"/>
      <c r="BB33" s="641"/>
      <c r="BC33" s="641"/>
      <c r="BD33" s="641"/>
      <c r="BE33" s="641"/>
      <c r="BF33" s="641"/>
      <c r="BG33" s="641"/>
      <c r="BH33" s="641"/>
      <c r="BI33" s="641"/>
      <c r="BJ33" s="641"/>
      <c r="BK33" s="641"/>
      <c r="BL33" s="641"/>
      <c r="BM33" s="641"/>
      <c r="BN33" s="641"/>
      <c r="BO33" s="641"/>
      <c r="BP33" s="641"/>
      <c r="BQ33" s="641"/>
      <c r="BR33" s="641"/>
      <c r="BS33" s="641"/>
      <c r="BT33" s="641"/>
      <c r="BU33" s="641"/>
      <c r="BV33" s="641"/>
      <c r="BW33" s="641"/>
      <c r="BX33" s="641"/>
      <c r="BY33" s="641"/>
      <c r="BZ33" s="641"/>
      <c r="CA33" s="641"/>
      <c r="CB33" s="641"/>
      <c r="CC33" s="641"/>
      <c r="CD33" s="641"/>
      <c r="CE33" s="641"/>
      <c r="CF33" s="641"/>
      <c r="CG33" s="641"/>
      <c r="CH33" s="641"/>
      <c r="CI33" s="641"/>
      <c r="CJ33" s="641"/>
      <c r="CK33" s="921">
        <f t="shared" ref="CK33:EV33" si="40">((CK22/BY22)-1)*100</f>
        <v>4.2524062443694E-2</v>
      </c>
      <c r="CL33" s="921">
        <f t="shared" si="40"/>
        <v>6.6293471473950039</v>
      </c>
      <c r="CM33" s="921">
        <f t="shared" si="40"/>
        <v>4.6200992827191145</v>
      </c>
      <c r="CN33" s="921">
        <f t="shared" si="40"/>
        <v>2.2144199991081415</v>
      </c>
      <c r="CO33" s="921">
        <f t="shared" si="40"/>
        <v>-1.6887548063032054</v>
      </c>
      <c r="CP33" s="921">
        <f t="shared" si="40"/>
        <v>1.724806791109712</v>
      </c>
      <c r="CQ33" s="921">
        <f t="shared" si="40"/>
        <v>0.8793826674311056</v>
      </c>
      <c r="CR33" s="921">
        <f t="shared" si="40"/>
        <v>9.0653064874546061</v>
      </c>
      <c r="CS33" s="922">
        <f t="shared" si="40"/>
        <v>11.078301177477545</v>
      </c>
      <c r="CT33" s="921">
        <f t="shared" si="40"/>
        <v>2.1936497628685325</v>
      </c>
      <c r="CU33" s="921">
        <f t="shared" si="40"/>
        <v>3.0055343589778127</v>
      </c>
      <c r="CV33" s="921">
        <f t="shared" si="40"/>
        <v>2.3964800077187487</v>
      </c>
      <c r="CW33" s="921">
        <f t="shared" si="40"/>
        <v>2.2467738082387001</v>
      </c>
      <c r="CX33" s="921">
        <f t="shared" si="40"/>
        <v>5.1654130237466456</v>
      </c>
      <c r="CY33" s="921">
        <f t="shared" si="40"/>
        <v>9.5757361253553164</v>
      </c>
      <c r="CZ33" s="921">
        <f t="shared" si="40"/>
        <v>10.228873612785151</v>
      </c>
      <c r="DA33" s="921">
        <f t="shared" si="40"/>
        <v>17.55283447305931</v>
      </c>
      <c r="DB33" s="921">
        <f t="shared" si="40"/>
        <v>15.571713400288534</v>
      </c>
      <c r="DC33" s="921">
        <f t="shared" si="40"/>
        <v>18.341292326464774</v>
      </c>
      <c r="DD33" s="921">
        <f t="shared" si="40"/>
        <v>16.998501209383555</v>
      </c>
      <c r="DE33" s="922">
        <f t="shared" si="40"/>
        <v>21.182589361817715</v>
      </c>
      <c r="DF33" s="923">
        <f t="shared" si="40"/>
        <v>68.288784502379059</v>
      </c>
      <c r="DG33" s="921">
        <f t="shared" si="40"/>
        <v>62.50601208421098</v>
      </c>
      <c r="DH33" s="921">
        <f t="shared" si="40"/>
        <v>72.662902431382932</v>
      </c>
      <c r="DI33" s="921">
        <f t="shared" si="40"/>
        <v>74.488646204890998</v>
      </c>
      <c r="DJ33" s="921">
        <f t="shared" si="40"/>
        <v>77.366180911155752</v>
      </c>
      <c r="DK33" s="921">
        <f t="shared" si="40"/>
        <v>76.797061792640434</v>
      </c>
      <c r="DL33" s="921">
        <f t="shared" si="40"/>
        <v>78.898447393839731</v>
      </c>
      <c r="DM33" s="921">
        <f t="shared" si="40"/>
        <v>80.809853155433387</v>
      </c>
      <c r="DN33" s="921">
        <f t="shared" si="40"/>
        <v>77.270379250670757</v>
      </c>
      <c r="DO33" s="921">
        <f t="shared" si="40"/>
        <v>67.669273341078977</v>
      </c>
      <c r="DP33" s="921">
        <f t="shared" si="40"/>
        <v>59.511774046581145</v>
      </c>
      <c r="DQ33" s="922">
        <f t="shared" si="40"/>
        <v>59.2902825074205</v>
      </c>
      <c r="DR33" s="923">
        <f t="shared" si="40"/>
        <v>18.268086786179481</v>
      </c>
      <c r="DS33" s="921">
        <f t="shared" si="40"/>
        <v>18.890666969620696</v>
      </c>
      <c r="DT33" s="921">
        <f t="shared" si="40"/>
        <v>7.4148492624551698</v>
      </c>
      <c r="DU33" s="921">
        <f t="shared" si="40"/>
        <v>7.1184054624513715</v>
      </c>
      <c r="DV33" s="921">
        <f t="shared" si="40"/>
        <v>3.3833063025705767</v>
      </c>
      <c r="DW33" s="921">
        <f t="shared" si="40"/>
        <v>1.2759600338210886</v>
      </c>
      <c r="DX33" s="921">
        <f t="shared" si="40"/>
        <v>-1.1818706385511413</v>
      </c>
      <c r="DY33" s="921">
        <f t="shared" si="40"/>
        <v>-8.3230337814830797</v>
      </c>
      <c r="DZ33" s="921">
        <f t="shared" si="40"/>
        <v>-1.7179575065571773</v>
      </c>
      <c r="EA33" s="921">
        <f t="shared" si="40"/>
        <v>0.62376515154165535</v>
      </c>
      <c r="EB33" s="921">
        <f t="shared" si="40"/>
        <v>3.0286545013420652</v>
      </c>
      <c r="EC33" s="921">
        <f t="shared" si="40"/>
        <v>0.56024080701835288</v>
      </c>
      <c r="ED33" s="923">
        <f t="shared" si="40"/>
        <v>1.2410404268836883</v>
      </c>
      <c r="EE33" s="921">
        <f t="shared" si="40"/>
        <v>4.3047221512281464</v>
      </c>
      <c r="EF33" s="921">
        <f t="shared" si="40"/>
        <v>16.374599959801529</v>
      </c>
      <c r="EG33" s="921">
        <f t="shared" si="40"/>
        <v>12.632147883458632</v>
      </c>
      <c r="EH33" s="921">
        <f t="shared" si="40"/>
        <v>11.668849183536857</v>
      </c>
      <c r="EI33" s="921">
        <f t="shared" si="40"/>
        <v>10.05669711701216</v>
      </c>
      <c r="EJ33" s="921">
        <f t="shared" si="40"/>
        <v>12.889176578076</v>
      </c>
      <c r="EK33" s="921">
        <f t="shared" si="40"/>
        <v>11.891247730981691</v>
      </c>
      <c r="EL33" s="921">
        <f t="shared" si="40"/>
        <v>2.4865524903773473</v>
      </c>
      <c r="EM33" s="921">
        <f t="shared" si="40"/>
        <v>9.0941971410610112</v>
      </c>
      <c r="EN33" s="921">
        <f t="shared" si="40"/>
        <v>9.2745713822225628</v>
      </c>
      <c r="EO33" s="922">
        <f t="shared" si="40"/>
        <v>5.8995927059134479</v>
      </c>
      <c r="EP33" s="923">
        <f t="shared" si="40"/>
        <v>101.20045335673157</v>
      </c>
      <c r="EQ33" s="921">
        <f t="shared" si="40"/>
        <v>108.33356111603121</v>
      </c>
      <c r="ER33" s="921">
        <f t="shared" si="40"/>
        <v>89.234043108232285</v>
      </c>
      <c r="ES33" s="921">
        <f t="shared" si="40"/>
        <v>107.63283851892176</v>
      </c>
      <c r="ET33" s="921">
        <f t="shared" si="40"/>
        <v>106.18808479380183</v>
      </c>
      <c r="EU33" s="921">
        <f t="shared" si="40"/>
        <v>105.31922256334751</v>
      </c>
      <c r="EV33" s="921">
        <f t="shared" si="40"/>
        <v>104.04859659077643</v>
      </c>
      <c r="EW33" s="921">
        <f t="shared" ref="EW33:HH33" si="41">((EW22/EK22)-1)*100</f>
        <v>112.36088751672489</v>
      </c>
      <c r="EX33" s="921">
        <f t="shared" si="41"/>
        <v>118.87364919560564</v>
      </c>
      <c r="EY33" s="921">
        <f t="shared" si="41"/>
        <v>102.90369272955404</v>
      </c>
      <c r="EZ33" s="921">
        <f t="shared" si="41"/>
        <v>102.73997999450475</v>
      </c>
      <c r="FA33" s="922">
        <f t="shared" si="41"/>
        <v>118.14391832542003</v>
      </c>
      <c r="FB33" s="923">
        <f t="shared" si="41"/>
        <v>18.075173173886071</v>
      </c>
      <c r="FC33" s="921">
        <f t="shared" si="41"/>
        <v>10.703755972181629</v>
      </c>
      <c r="FD33" s="921">
        <f t="shared" si="41"/>
        <v>24.464376331228532</v>
      </c>
      <c r="FE33" s="921">
        <f t="shared" si="41"/>
        <v>21.16705556562475</v>
      </c>
      <c r="FF33" s="921">
        <f t="shared" si="41"/>
        <v>20.323837873233575</v>
      </c>
      <c r="FG33" s="921">
        <f t="shared" si="41"/>
        <v>19.082292617450957</v>
      </c>
      <c r="FH33" s="921">
        <f t="shared" si="41"/>
        <v>20.769703761569993</v>
      </c>
      <c r="FI33" s="921">
        <f t="shared" si="41"/>
        <v>11.230992052569189</v>
      </c>
      <c r="FJ33" s="921">
        <f t="shared" si="41"/>
        <v>12.379338064798162</v>
      </c>
      <c r="FK33" s="921">
        <f t="shared" si="41"/>
        <v>14.16191395504347</v>
      </c>
      <c r="FL33" s="921">
        <f t="shared" si="41"/>
        <v>12.836060663374615</v>
      </c>
      <c r="FM33" s="922">
        <f t="shared" si="41"/>
        <v>13.3691942327411</v>
      </c>
      <c r="FN33" s="923">
        <f t="shared" si="41"/>
        <v>18.615481872011898</v>
      </c>
      <c r="FO33" s="921">
        <f t="shared" si="41"/>
        <v>18.857822840665616</v>
      </c>
      <c r="FP33" s="921">
        <f t="shared" si="41"/>
        <v>5.4577515284954137</v>
      </c>
      <c r="FQ33" s="921">
        <f t="shared" si="41"/>
        <v>2.2463512118934492</v>
      </c>
      <c r="FR33" s="921">
        <f t="shared" si="41"/>
        <v>2.7153786082346087</v>
      </c>
      <c r="FS33" s="921">
        <f t="shared" si="41"/>
        <v>5.5402164707710533</v>
      </c>
      <c r="FT33" s="921">
        <f t="shared" si="41"/>
        <v>4.2114186259211372</v>
      </c>
      <c r="FU33" s="921">
        <f t="shared" si="41"/>
        <v>11.302400253584199</v>
      </c>
      <c r="FV33" s="921">
        <f t="shared" si="41"/>
        <v>10.461798531935074</v>
      </c>
      <c r="FW33" s="921">
        <f t="shared" si="41"/>
        <v>11.750033106503444</v>
      </c>
      <c r="FX33" s="921">
        <f t="shared" si="41"/>
        <v>14.265759567872148</v>
      </c>
      <c r="FY33" s="921">
        <f t="shared" si="41"/>
        <v>8.7646501475949776</v>
      </c>
      <c r="FZ33" s="923">
        <f t="shared" si="41"/>
        <v>0.68945225083716366</v>
      </c>
      <c r="GA33" s="921">
        <f t="shared" si="41"/>
        <v>-0.13403498882408327</v>
      </c>
      <c r="GB33" s="921">
        <f t="shared" si="41"/>
        <v>2.9058621651811833E-3</v>
      </c>
      <c r="GC33" s="921">
        <f t="shared" si="41"/>
        <v>2.4537637583413874</v>
      </c>
      <c r="GD33" s="921">
        <f t="shared" si="41"/>
        <v>3.5395766180620347</v>
      </c>
      <c r="GE33" s="921">
        <f t="shared" si="41"/>
        <v>4.382147988779006</v>
      </c>
      <c r="GF33" s="921">
        <f t="shared" si="41"/>
        <v>5.2507820188440801</v>
      </c>
      <c r="GG33" s="921">
        <f t="shared" si="41"/>
        <v>7.0787859575097256</v>
      </c>
      <c r="GH33" s="921">
        <f t="shared" si="41"/>
        <v>9.1981967125568822</v>
      </c>
      <c r="GI33" s="921">
        <f t="shared" si="41"/>
        <v>7.4607279598206011</v>
      </c>
      <c r="GJ33" s="921">
        <f t="shared" si="41"/>
        <v>9.7049360652505801</v>
      </c>
      <c r="GK33" s="921">
        <f t="shared" si="41"/>
        <v>11.412755010891074</v>
      </c>
      <c r="GL33" s="923">
        <f t="shared" si="41"/>
        <v>14.024293058077619</v>
      </c>
      <c r="GM33" s="921">
        <f t="shared" si="41"/>
        <v>15.5267807596148</v>
      </c>
      <c r="GN33" s="921">
        <f t="shared" si="41"/>
        <v>13.549640949092478</v>
      </c>
      <c r="GO33" s="921">
        <f t="shared" si="41"/>
        <v>13.370113982664854</v>
      </c>
      <c r="GP33" s="921">
        <f t="shared" si="41"/>
        <v>13.563424255152402</v>
      </c>
      <c r="GQ33" s="921">
        <f t="shared" si="41"/>
        <v>11.46621222225297</v>
      </c>
      <c r="GR33" s="921">
        <f t="shared" si="41"/>
        <v>12.232607873175949</v>
      </c>
      <c r="GS33" s="921">
        <f t="shared" si="41"/>
        <v>9.2084299660051059</v>
      </c>
      <c r="GT33" s="921">
        <f t="shared" si="41"/>
        <v>5.8149592810745609</v>
      </c>
      <c r="GU33" s="921">
        <f t="shared" si="41"/>
        <v>8.5779064422830675</v>
      </c>
      <c r="GV33" s="921">
        <f t="shared" si="41"/>
        <v>6.3331270535477824</v>
      </c>
      <c r="GW33" s="921">
        <f t="shared" si="41"/>
        <v>7.8319572301517981</v>
      </c>
      <c r="GX33" s="923">
        <f t="shared" si="41"/>
        <v>7.7666482632424039</v>
      </c>
      <c r="GY33" s="921">
        <f t="shared" si="41"/>
        <v>7.0730759597116499</v>
      </c>
      <c r="GZ33" s="921">
        <f t="shared" si="41"/>
        <v>5.2301958894261258</v>
      </c>
      <c r="HA33" s="921">
        <f t="shared" si="41"/>
        <v>3.8883469376204349</v>
      </c>
      <c r="HB33" s="921">
        <f t="shared" si="41"/>
        <v>4.1497038417646737</v>
      </c>
      <c r="HC33" s="921">
        <f t="shared" si="41"/>
        <v>6.0131656572992798</v>
      </c>
      <c r="HD33" s="921">
        <f t="shared" si="41"/>
        <v>4.5715920465401405</v>
      </c>
      <c r="HE33" s="921">
        <f t="shared" si="41"/>
        <v>8.4817094582604788</v>
      </c>
      <c r="HF33" s="921">
        <f t="shared" si="41"/>
        <v>10.903223890232372</v>
      </c>
      <c r="HG33" s="921">
        <f t="shared" si="41"/>
        <v>11.071411467849913</v>
      </c>
      <c r="HH33" s="921">
        <f t="shared" si="41"/>
        <v>10.829062705327441</v>
      </c>
      <c r="HI33" s="922">
        <f>((HI22/GW22)-1)*100</f>
        <v>7.4324364606766391</v>
      </c>
      <c r="HJ33" s="924">
        <f>((HJ22/GX22)-1)*100</f>
        <v>5.2658986412516207</v>
      </c>
      <c r="HK33" s="916"/>
      <c r="HL33" s="916"/>
      <c r="HM33" s="916"/>
      <c r="HN33" s="916"/>
      <c r="HO33" s="916"/>
      <c r="HP33" s="916"/>
      <c r="HQ33" s="916"/>
      <c r="HR33" s="916"/>
      <c r="HS33" s="916"/>
      <c r="HT33" s="916"/>
      <c r="HU33" s="916"/>
      <c r="HY33" s="873"/>
      <c r="HZ33" s="873"/>
    </row>
    <row r="34" spans="1:234" ht="13.9" customHeight="1" x14ac:dyDescent="0.2">
      <c r="A34" s="914" t="s">
        <v>200</v>
      </c>
      <c r="CK34" s="873"/>
      <c r="CL34" s="873"/>
      <c r="CM34" s="873"/>
      <c r="CN34" s="873"/>
      <c r="CO34" s="873"/>
      <c r="CP34" s="873"/>
      <c r="CQ34" s="873"/>
      <c r="CR34" s="873"/>
      <c r="CS34" s="873"/>
      <c r="CT34" s="873"/>
      <c r="CU34" s="873"/>
      <c r="CV34" s="873"/>
      <c r="CW34" s="873"/>
      <c r="CX34" s="873"/>
      <c r="CY34" s="873"/>
      <c r="CZ34" s="873"/>
      <c r="DA34" s="873"/>
      <c r="DB34" s="873"/>
      <c r="DC34" s="873"/>
      <c r="DD34" s="873"/>
      <c r="DE34" s="873"/>
      <c r="DF34" s="873"/>
      <c r="DG34" s="873"/>
      <c r="DH34" s="873"/>
      <c r="DI34" s="873"/>
      <c r="DJ34" s="873"/>
      <c r="DK34" s="873"/>
      <c r="DL34" s="873"/>
      <c r="DM34" s="873"/>
      <c r="DN34" s="873"/>
      <c r="DO34" s="873"/>
      <c r="DP34" s="873"/>
      <c r="DQ34" s="873"/>
      <c r="DR34" s="873"/>
      <c r="DS34" s="873"/>
      <c r="DT34" s="873"/>
      <c r="DU34" s="873"/>
      <c r="DV34" s="873"/>
      <c r="DW34" s="873"/>
      <c r="DX34" s="873"/>
      <c r="DY34" s="873"/>
      <c r="DZ34" s="873"/>
      <c r="EA34" s="873"/>
      <c r="EB34" s="873"/>
      <c r="EC34" s="873"/>
      <c r="ED34" s="873"/>
      <c r="EE34" s="873"/>
      <c r="EF34" s="873"/>
      <c r="EG34" s="873"/>
      <c r="EH34" s="873"/>
      <c r="EI34" s="873"/>
      <c r="EJ34" s="873"/>
      <c r="EK34" s="873"/>
      <c r="EL34" s="873"/>
      <c r="EM34" s="873"/>
      <c r="EN34" s="873"/>
      <c r="EO34" s="873"/>
      <c r="EP34" s="873"/>
      <c r="EQ34" s="873"/>
      <c r="ER34" s="873"/>
      <c r="ES34" s="873"/>
      <c r="ET34" s="873"/>
      <c r="EU34" s="873"/>
      <c r="EV34" s="873"/>
      <c r="EW34" s="873"/>
      <c r="EX34" s="873"/>
      <c r="EY34" s="873"/>
      <c r="EZ34" s="873"/>
      <c r="FA34" s="873"/>
      <c r="FB34" s="873"/>
      <c r="FC34" s="873"/>
      <c r="FD34" s="873"/>
      <c r="FE34" s="873"/>
      <c r="FF34" s="873"/>
      <c r="FG34" s="873"/>
      <c r="FH34" s="873"/>
      <c r="FI34" s="873"/>
      <c r="FJ34" s="873"/>
      <c r="FK34" s="873"/>
      <c r="FL34" s="873"/>
      <c r="FM34" s="873"/>
      <c r="FN34" s="873"/>
      <c r="FO34" s="873"/>
      <c r="FP34" s="873"/>
      <c r="FQ34" s="873"/>
      <c r="FR34" s="873"/>
      <c r="FS34" s="873"/>
      <c r="FT34" s="873"/>
      <c r="FU34" s="873"/>
      <c r="FV34" s="873"/>
      <c r="FW34" s="873"/>
      <c r="FX34" s="873"/>
      <c r="FY34" s="873"/>
      <c r="FZ34" s="873"/>
      <c r="GA34" s="873"/>
      <c r="GB34" s="873"/>
      <c r="GC34" s="873"/>
      <c r="GD34" s="873"/>
      <c r="GE34" s="873"/>
      <c r="GF34" s="873"/>
      <c r="GG34" s="873"/>
      <c r="GH34" s="873"/>
      <c r="GI34" s="873"/>
      <c r="GJ34" s="873"/>
      <c r="GK34" s="873"/>
      <c r="GL34" s="873"/>
      <c r="GM34" s="873"/>
      <c r="GN34" s="873"/>
      <c r="GO34" s="873"/>
      <c r="GP34" s="873"/>
      <c r="GQ34" s="873"/>
      <c r="GR34" s="873"/>
      <c r="GS34" s="873"/>
      <c r="GT34" s="873"/>
      <c r="GU34" s="873"/>
      <c r="GV34" s="873"/>
      <c r="GW34" s="873"/>
      <c r="GX34" s="873"/>
      <c r="GY34" s="873"/>
      <c r="GZ34" s="873"/>
      <c r="HA34" s="873"/>
      <c r="HB34" s="873"/>
      <c r="HC34" s="873"/>
      <c r="HD34" s="873"/>
      <c r="HE34" s="873"/>
      <c r="HF34" s="873"/>
      <c r="HG34" s="873"/>
      <c r="HH34" s="873"/>
      <c r="HI34" s="873"/>
      <c r="HJ34" s="873"/>
      <c r="HK34" s="873"/>
      <c r="HL34" s="873"/>
      <c r="HM34" s="873"/>
      <c r="HN34" s="873"/>
      <c r="HO34" s="873"/>
      <c r="HP34" s="873"/>
      <c r="HQ34" s="873"/>
      <c r="HR34" s="873"/>
      <c r="HS34" s="873"/>
      <c r="HT34" s="873"/>
      <c r="HU34" s="873"/>
      <c r="HV34" s="873"/>
      <c r="HW34" s="873"/>
      <c r="HX34" s="873"/>
      <c r="HY34" s="873"/>
      <c r="HZ34" s="873"/>
    </row>
    <row r="35" spans="1:234" ht="13.9" customHeight="1" x14ac:dyDescent="0.2">
      <c r="A35" s="914"/>
      <c r="CK35" s="873"/>
      <c r="CL35" s="873"/>
      <c r="CM35" s="873"/>
      <c r="CN35" s="873"/>
      <c r="CO35" s="873"/>
      <c r="CP35" s="873"/>
      <c r="CQ35" s="873"/>
      <c r="CR35" s="873"/>
      <c r="CS35" s="873"/>
      <c r="CT35" s="873"/>
      <c r="CU35" s="873"/>
      <c r="CV35" s="873"/>
      <c r="CW35" s="873"/>
      <c r="CX35" s="873"/>
      <c r="CY35" s="873"/>
      <c r="CZ35" s="873"/>
      <c r="DA35" s="873"/>
      <c r="DB35" s="873"/>
      <c r="DC35" s="873"/>
      <c r="DD35" s="873"/>
      <c r="DE35" s="873"/>
      <c r="DF35" s="873"/>
      <c r="DG35" s="873"/>
      <c r="DH35" s="873"/>
      <c r="DI35" s="873"/>
      <c r="DJ35" s="873"/>
      <c r="DK35" s="873"/>
      <c r="DL35" s="873"/>
      <c r="DM35" s="873"/>
      <c r="DN35" s="873"/>
      <c r="DO35" s="873"/>
      <c r="DP35" s="873"/>
      <c r="DQ35" s="873"/>
      <c r="DR35" s="873"/>
      <c r="DS35" s="873"/>
      <c r="DT35" s="873"/>
      <c r="DU35" s="873"/>
      <c r="DV35" s="873"/>
      <c r="DW35" s="873"/>
      <c r="DX35" s="873"/>
      <c r="DY35" s="873"/>
      <c r="DZ35" s="873"/>
      <c r="EA35" s="873"/>
      <c r="EB35" s="873"/>
      <c r="EC35" s="873"/>
      <c r="ED35" s="873"/>
      <c r="EE35" s="873"/>
      <c r="EF35" s="873"/>
      <c r="EG35" s="873"/>
      <c r="EH35" s="873"/>
      <c r="EI35" s="873"/>
      <c r="EJ35" s="873"/>
      <c r="EK35" s="873"/>
      <c r="EL35" s="873"/>
      <c r="EM35" s="873"/>
      <c r="EN35" s="873"/>
      <c r="EO35" s="873"/>
      <c r="EP35" s="873"/>
      <c r="EQ35" s="873"/>
      <c r="ER35" s="873"/>
      <c r="ES35" s="873"/>
      <c r="ET35" s="873"/>
      <c r="EU35" s="873"/>
      <c r="EV35" s="873"/>
      <c r="EW35" s="873"/>
      <c r="EX35" s="873"/>
      <c r="EY35" s="873"/>
      <c r="EZ35" s="873"/>
      <c r="FA35" s="873"/>
      <c r="FB35" s="873"/>
      <c r="FC35" s="873"/>
      <c r="FD35" s="873"/>
      <c r="FE35" s="873"/>
      <c r="FF35" s="873"/>
      <c r="FG35" s="873"/>
      <c r="FH35" s="873"/>
      <c r="FI35" s="873"/>
      <c r="FJ35" s="873"/>
      <c r="FK35" s="873"/>
      <c r="FL35" s="873"/>
      <c r="FM35" s="873"/>
      <c r="FN35" s="873"/>
      <c r="FO35" s="873"/>
      <c r="FP35" s="873"/>
      <c r="FQ35" s="873"/>
      <c r="FR35" s="873"/>
      <c r="FS35" s="873"/>
      <c r="FT35" s="873"/>
      <c r="FU35" s="873"/>
      <c r="FV35" s="873"/>
      <c r="FW35" s="873"/>
      <c r="FX35" s="873"/>
      <c r="FY35" s="873"/>
      <c r="FZ35" s="873"/>
      <c r="GA35" s="873"/>
      <c r="GB35" s="873"/>
      <c r="GC35" s="873"/>
      <c r="GD35" s="873"/>
      <c r="GE35" s="873"/>
      <c r="GF35" s="873"/>
      <c r="GG35" s="873"/>
      <c r="GH35" s="873"/>
      <c r="GI35" s="873"/>
      <c r="GJ35" s="873"/>
      <c r="GK35" s="873"/>
      <c r="GL35" s="873"/>
      <c r="GM35" s="873"/>
      <c r="GN35" s="873"/>
      <c r="GO35" s="873"/>
      <c r="GP35" s="873"/>
      <c r="GQ35" s="873"/>
      <c r="GR35" s="873"/>
      <c r="GS35" s="873"/>
      <c r="GT35" s="873"/>
      <c r="GU35" s="873"/>
      <c r="GV35" s="873"/>
      <c r="GW35" s="873"/>
      <c r="GX35" s="873"/>
      <c r="GY35" s="873"/>
      <c r="GZ35" s="873"/>
      <c r="HA35" s="873"/>
      <c r="HB35" s="873"/>
      <c r="HC35" s="873"/>
      <c r="HD35" s="873"/>
      <c r="HE35" s="873"/>
      <c r="HF35" s="873"/>
      <c r="HG35" s="873"/>
      <c r="HH35" s="873"/>
      <c r="HI35" s="873"/>
      <c r="HJ35" s="873"/>
      <c r="HK35" s="873"/>
      <c r="HL35" s="873"/>
      <c r="HM35" s="873"/>
      <c r="HN35" s="873"/>
      <c r="HO35" s="873"/>
      <c r="HP35" s="873"/>
      <c r="HQ35" s="873"/>
      <c r="HR35" s="873"/>
      <c r="HS35" s="873"/>
      <c r="HT35" s="873"/>
      <c r="HU35" s="873"/>
      <c r="HV35" s="873"/>
      <c r="HW35" s="873"/>
      <c r="HX35" s="873"/>
      <c r="HY35" s="873"/>
      <c r="HZ35" s="873"/>
    </row>
    <row r="36" spans="1:234" ht="13.9" customHeight="1" x14ac:dyDescent="0.2">
      <c r="A36" s="873"/>
      <c r="CK36" s="873"/>
      <c r="CL36" s="873"/>
      <c r="CM36" s="873"/>
      <c r="CN36" s="873"/>
      <c r="CO36" s="873"/>
      <c r="CP36" s="873"/>
      <c r="CQ36" s="873"/>
      <c r="CR36" s="873"/>
      <c r="CS36" s="873"/>
      <c r="CT36" s="873"/>
      <c r="CU36" s="873"/>
      <c r="CV36" s="873"/>
      <c r="CW36" s="873"/>
      <c r="CX36" s="873"/>
      <c r="CY36" s="873"/>
      <c r="CZ36" s="873"/>
      <c r="DA36" s="873"/>
      <c r="DB36" s="873"/>
      <c r="DC36" s="873"/>
      <c r="DD36" s="873"/>
      <c r="DE36" s="873"/>
      <c r="DF36" s="873"/>
      <c r="DG36" s="873"/>
      <c r="DH36" s="873"/>
      <c r="DI36" s="873"/>
      <c r="DJ36" s="873"/>
      <c r="DK36" s="873"/>
      <c r="DL36" s="873"/>
      <c r="DM36" s="873"/>
      <c r="DN36" s="873"/>
      <c r="DO36" s="873"/>
      <c r="DP36" s="873"/>
      <c r="DQ36" s="873"/>
      <c r="DR36" s="873"/>
      <c r="DS36" s="873"/>
      <c r="DT36" s="873"/>
      <c r="DU36" s="873"/>
      <c r="DV36" s="873"/>
      <c r="DW36" s="873"/>
      <c r="DX36" s="873"/>
      <c r="DY36" s="873"/>
      <c r="DZ36" s="873"/>
      <c r="EA36" s="873"/>
      <c r="EB36" s="873"/>
      <c r="EC36" s="873"/>
      <c r="ED36" s="873"/>
      <c r="EE36" s="873"/>
      <c r="EF36" s="873"/>
      <c r="EG36" s="873"/>
      <c r="EH36" s="873"/>
      <c r="EI36" s="873"/>
      <c r="EJ36" s="873"/>
      <c r="EK36" s="873"/>
      <c r="EL36" s="873"/>
      <c r="EM36" s="873"/>
      <c r="EN36" s="873"/>
      <c r="EO36" s="873"/>
      <c r="EP36" s="873"/>
      <c r="EQ36" s="873"/>
      <c r="ER36" s="873"/>
      <c r="ES36" s="873"/>
      <c r="ET36" s="873"/>
      <c r="EU36" s="873"/>
      <c r="EV36" s="873"/>
      <c r="EW36" s="873"/>
      <c r="EX36" s="873"/>
      <c r="EY36" s="873"/>
      <c r="EZ36" s="873"/>
      <c r="FA36" s="873"/>
      <c r="FB36" s="873"/>
      <c r="FC36" s="873"/>
      <c r="FD36" s="873"/>
      <c r="FE36" s="873"/>
      <c r="FF36" s="873"/>
      <c r="FG36" s="873"/>
      <c r="FH36" s="873"/>
      <c r="FI36" s="873"/>
      <c r="FJ36" s="873"/>
      <c r="FK36" s="873"/>
      <c r="FL36" s="873"/>
      <c r="FM36" s="873"/>
      <c r="FN36" s="873"/>
      <c r="FO36" s="873"/>
      <c r="FP36" s="873"/>
      <c r="FQ36" s="873"/>
      <c r="FR36" s="873"/>
      <c r="FS36" s="873"/>
      <c r="FT36" s="873"/>
      <c r="FU36" s="873"/>
      <c r="FV36" s="873"/>
      <c r="FW36" s="873"/>
      <c r="FX36" s="873"/>
      <c r="FY36" s="873"/>
      <c r="FZ36" s="873"/>
      <c r="GA36" s="873"/>
      <c r="GB36" s="873"/>
      <c r="GC36" s="873"/>
      <c r="GD36" s="873"/>
      <c r="GE36" s="873"/>
      <c r="GF36" s="873"/>
      <c r="GG36" s="873"/>
      <c r="GH36" s="873"/>
      <c r="GI36" s="873"/>
      <c r="GJ36" s="873"/>
      <c r="GK36" s="873"/>
      <c r="GL36" s="873"/>
      <c r="GM36" s="873"/>
      <c r="GN36" s="873"/>
      <c r="GO36" s="873"/>
      <c r="GP36" s="873"/>
      <c r="GQ36" s="873"/>
      <c r="GR36" s="873"/>
      <c r="GS36" s="873"/>
      <c r="GT36" s="873"/>
      <c r="GU36" s="873"/>
      <c r="GV36" s="873"/>
      <c r="GW36" s="873"/>
      <c r="GX36" s="873"/>
      <c r="GY36" s="873"/>
      <c r="GZ36" s="873"/>
      <c r="HA36" s="873"/>
      <c r="HB36" s="873"/>
      <c r="HC36" s="873"/>
      <c r="HD36" s="873"/>
      <c r="HE36" s="873"/>
      <c r="HF36" s="873"/>
      <c r="HG36" s="873"/>
      <c r="HH36" s="873"/>
      <c r="HI36" s="873"/>
      <c r="HJ36" s="873"/>
      <c r="HK36" s="873"/>
      <c r="HL36" s="873"/>
      <c r="HM36" s="873"/>
      <c r="HN36" s="873"/>
      <c r="HO36" s="873"/>
      <c r="HP36" s="873"/>
      <c r="HQ36" s="873"/>
      <c r="HR36" s="873"/>
      <c r="HS36" s="873"/>
      <c r="HT36" s="873"/>
      <c r="HU36" s="873"/>
      <c r="HV36" s="873"/>
      <c r="HW36" s="873"/>
      <c r="HX36" s="873"/>
      <c r="HY36" s="873"/>
      <c r="HZ36" s="873"/>
    </row>
    <row r="37" spans="1:234" ht="13.9" customHeight="1" x14ac:dyDescent="0.2">
      <c r="A37" s="873"/>
      <c r="CK37" s="873"/>
      <c r="CL37" s="873"/>
      <c r="CM37" s="873"/>
      <c r="CN37" s="873"/>
      <c r="CO37" s="873"/>
      <c r="CP37" s="873"/>
      <c r="CQ37" s="873"/>
      <c r="CR37" s="873"/>
      <c r="CS37" s="873"/>
      <c r="CT37" s="873"/>
      <c r="CU37" s="873"/>
      <c r="CV37" s="873"/>
      <c r="CW37" s="873"/>
      <c r="CX37" s="873"/>
      <c r="CY37" s="873"/>
      <c r="CZ37" s="873"/>
      <c r="DA37" s="873"/>
      <c r="DB37" s="873"/>
      <c r="DC37" s="873"/>
      <c r="DD37" s="873"/>
      <c r="DE37" s="873"/>
      <c r="DF37" s="873"/>
      <c r="DG37" s="873"/>
      <c r="DH37" s="873"/>
      <c r="DI37" s="873"/>
      <c r="DJ37" s="873"/>
      <c r="DK37" s="873"/>
      <c r="DL37" s="873"/>
      <c r="DM37" s="873"/>
      <c r="DN37" s="873"/>
      <c r="DO37" s="873"/>
      <c r="DP37" s="873"/>
      <c r="DQ37" s="873"/>
      <c r="DR37" s="873"/>
      <c r="DS37" s="873"/>
      <c r="DT37" s="873"/>
      <c r="DU37" s="873"/>
      <c r="DV37" s="873"/>
      <c r="DW37" s="873"/>
      <c r="DX37" s="873"/>
      <c r="DY37" s="873"/>
      <c r="DZ37" s="873"/>
      <c r="EA37" s="873"/>
      <c r="EB37" s="873"/>
      <c r="EC37" s="873"/>
      <c r="ED37" s="873"/>
      <c r="EE37" s="873"/>
      <c r="EF37" s="873"/>
      <c r="EG37" s="873"/>
      <c r="EH37" s="873"/>
      <c r="EI37" s="873"/>
      <c r="EJ37" s="873"/>
      <c r="EK37" s="873"/>
      <c r="EL37" s="873"/>
      <c r="EM37" s="873"/>
      <c r="EN37" s="873"/>
      <c r="EO37" s="873"/>
      <c r="EP37" s="873"/>
      <c r="EQ37" s="873"/>
      <c r="ER37" s="873"/>
      <c r="ES37" s="873"/>
      <c r="ET37" s="873"/>
      <c r="EU37" s="873"/>
      <c r="EV37" s="873"/>
      <c r="EW37" s="873"/>
      <c r="EX37" s="873"/>
      <c r="EY37" s="873"/>
      <c r="EZ37" s="873"/>
      <c r="FA37" s="873"/>
      <c r="FB37" s="873"/>
      <c r="FC37" s="873"/>
      <c r="FD37" s="873"/>
      <c r="FE37" s="873"/>
      <c r="FF37" s="873"/>
      <c r="FG37" s="873"/>
      <c r="FH37" s="873"/>
      <c r="FI37" s="873"/>
      <c r="FJ37" s="873"/>
      <c r="FK37" s="873"/>
      <c r="FL37" s="873"/>
      <c r="FM37" s="873"/>
      <c r="FN37" s="873"/>
      <c r="FO37" s="873"/>
      <c r="FP37" s="873"/>
      <c r="FQ37" s="873"/>
      <c r="FR37" s="873"/>
      <c r="FS37" s="873"/>
      <c r="FT37" s="873"/>
      <c r="FU37" s="873"/>
      <c r="FV37" s="873"/>
      <c r="FW37" s="873"/>
      <c r="FX37" s="873"/>
      <c r="FY37" s="873"/>
      <c r="FZ37" s="873"/>
      <c r="GA37" s="873"/>
      <c r="GB37" s="873"/>
      <c r="GC37" s="873"/>
      <c r="GD37" s="873"/>
      <c r="GE37" s="873"/>
      <c r="GF37" s="873"/>
      <c r="GG37" s="873"/>
      <c r="GH37" s="873"/>
      <c r="GI37" s="873"/>
      <c r="GJ37" s="873"/>
      <c r="GK37" s="873"/>
      <c r="GL37" s="873"/>
      <c r="GM37" s="873"/>
      <c r="GN37" s="873"/>
      <c r="GO37" s="873"/>
      <c r="GP37" s="873"/>
      <c r="GQ37" s="873"/>
      <c r="GR37" s="873"/>
      <c r="GS37" s="873"/>
      <c r="GT37" s="873"/>
      <c r="GU37" s="873"/>
      <c r="GV37" s="873"/>
      <c r="GW37" s="873"/>
      <c r="GX37" s="873"/>
      <c r="GY37" s="873"/>
      <c r="GZ37" s="873"/>
      <c r="HA37" s="873"/>
      <c r="HB37" s="873"/>
      <c r="HC37" s="873"/>
      <c r="HD37" s="873"/>
      <c r="HE37" s="873"/>
      <c r="HF37" s="873"/>
      <c r="HG37" s="873"/>
      <c r="HH37" s="873"/>
      <c r="HI37" s="873"/>
      <c r="HJ37" s="873"/>
      <c r="HK37" s="873"/>
      <c r="HL37" s="873"/>
      <c r="HM37" s="873"/>
      <c r="HN37" s="873"/>
      <c r="HO37" s="873"/>
      <c r="HP37" s="873"/>
      <c r="HQ37" s="873"/>
      <c r="HR37" s="873"/>
      <c r="HS37" s="873"/>
      <c r="HT37" s="873"/>
      <c r="HU37" s="873"/>
      <c r="HV37" s="873"/>
      <c r="HW37" s="873"/>
      <c r="HX37" s="873"/>
      <c r="HY37" s="873"/>
      <c r="HZ37" s="873"/>
    </row>
    <row r="38" spans="1:234" ht="13.9" customHeight="1" x14ac:dyDescent="0.2">
      <c r="A38" s="873"/>
      <c r="CK38" s="873"/>
      <c r="CL38" s="873"/>
      <c r="CM38" s="873"/>
      <c r="CN38" s="873"/>
      <c r="CO38" s="873"/>
      <c r="CP38" s="873"/>
      <c r="CQ38" s="873"/>
      <c r="CR38" s="873"/>
      <c r="CS38" s="873"/>
      <c r="CT38" s="873"/>
      <c r="CU38" s="873"/>
      <c r="CV38" s="873"/>
      <c r="CW38" s="873"/>
      <c r="CX38" s="873"/>
      <c r="CY38" s="873"/>
      <c r="CZ38" s="873"/>
      <c r="DA38" s="873"/>
      <c r="DB38" s="873"/>
      <c r="DC38" s="873"/>
      <c r="DD38" s="873"/>
      <c r="DE38" s="873"/>
      <c r="DF38" s="873"/>
      <c r="DG38" s="873"/>
      <c r="DH38" s="873"/>
      <c r="DI38" s="873"/>
      <c r="DJ38" s="873"/>
      <c r="DK38" s="873"/>
      <c r="DL38" s="873"/>
      <c r="DM38" s="873"/>
      <c r="DN38" s="873"/>
      <c r="DO38" s="873"/>
      <c r="DP38" s="873"/>
      <c r="DQ38" s="873"/>
      <c r="DR38" s="873"/>
      <c r="DS38" s="873"/>
      <c r="DT38" s="873"/>
      <c r="DU38" s="873"/>
      <c r="DV38" s="873"/>
      <c r="DW38" s="873"/>
      <c r="DX38" s="873"/>
      <c r="DY38" s="873"/>
      <c r="DZ38" s="873"/>
      <c r="EA38" s="873"/>
      <c r="EB38" s="873"/>
      <c r="EC38" s="873"/>
      <c r="ED38" s="873"/>
      <c r="EE38" s="873"/>
      <c r="EF38" s="873"/>
      <c r="EG38" s="873"/>
      <c r="EH38" s="873"/>
      <c r="EI38" s="873"/>
      <c r="EJ38" s="873"/>
      <c r="EK38" s="873"/>
      <c r="EL38" s="873"/>
      <c r="EM38" s="873"/>
      <c r="EN38" s="873"/>
      <c r="EO38" s="873"/>
      <c r="EP38" s="873"/>
      <c r="EQ38" s="873"/>
      <c r="ER38" s="873"/>
      <c r="ES38" s="873"/>
      <c r="ET38" s="873"/>
      <c r="EU38" s="873"/>
      <c r="EV38" s="873"/>
      <c r="EW38" s="873"/>
      <c r="EX38" s="873"/>
      <c r="EY38" s="873"/>
      <c r="EZ38" s="873"/>
      <c r="FA38" s="873"/>
      <c r="FB38" s="873"/>
      <c r="FC38" s="873"/>
      <c r="FD38" s="873"/>
      <c r="FE38" s="873"/>
      <c r="FF38" s="873"/>
      <c r="FG38" s="873"/>
      <c r="FH38" s="873"/>
      <c r="FI38" s="873"/>
      <c r="FJ38" s="873"/>
      <c r="FK38" s="873"/>
      <c r="FL38" s="873"/>
      <c r="FM38" s="873"/>
      <c r="FN38" s="873"/>
      <c r="FO38" s="873"/>
      <c r="FP38" s="873"/>
      <c r="FQ38" s="873"/>
      <c r="FR38" s="873"/>
      <c r="FS38" s="873"/>
      <c r="FT38" s="873"/>
      <c r="FU38" s="873"/>
      <c r="FV38" s="873"/>
      <c r="FW38" s="873"/>
      <c r="FX38" s="873"/>
      <c r="FY38" s="873"/>
      <c r="FZ38" s="873"/>
      <c r="GA38" s="873"/>
      <c r="GB38" s="873"/>
      <c r="GC38" s="873"/>
      <c r="GD38" s="873"/>
      <c r="GE38" s="873"/>
      <c r="GF38" s="873"/>
      <c r="GG38" s="873"/>
      <c r="GH38" s="873"/>
      <c r="GI38" s="873"/>
      <c r="GJ38" s="873"/>
      <c r="GK38" s="873"/>
      <c r="GL38" s="873"/>
      <c r="GM38" s="873"/>
      <c r="GN38" s="873"/>
      <c r="GO38" s="873"/>
      <c r="GP38" s="873"/>
      <c r="GQ38" s="873"/>
      <c r="GR38" s="873"/>
      <c r="GS38" s="873"/>
      <c r="GT38" s="873"/>
      <c r="GU38" s="873"/>
      <c r="GV38" s="873"/>
      <c r="GW38" s="873"/>
      <c r="GX38" s="873"/>
      <c r="GY38" s="873"/>
      <c r="GZ38" s="873"/>
      <c r="HA38" s="873"/>
      <c r="HB38" s="873"/>
      <c r="HC38" s="873"/>
      <c r="HD38" s="873"/>
      <c r="HE38" s="873"/>
      <c r="HF38" s="873"/>
      <c r="HG38" s="873"/>
      <c r="HH38" s="873"/>
      <c r="HI38" s="873"/>
      <c r="HJ38" s="873"/>
      <c r="HK38" s="873"/>
      <c r="HL38" s="873"/>
      <c r="HM38" s="873"/>
      <c r="HN38" s="873"/>
      <c r="HO38" s="873"/>
      <c r="HP38" s="873"/>
      <c r="HQ38" s="873"/>
      <c r="HR38" s="873"/>
      <c r="HS38" s="873"/>
      <c r="HT38" s="873"/>
      <c r="HU38" s="873"/>
      <c r="HV38" s="873"/>
      <c r="HW38" s="873"/>
      <c r="HX38" s="873"/>
      <c r="HY38" s="873"/>
      <c r="HZ38" s="873"/>
    </row>
    <row r="39" spans="1:234" ht="13.9" customHeight="1" x14ac:dyDescent="0.2">
      <c r="A39" s="873"/>
      <c r="CK39" s="873"/>
      <c r="CL39" s="873"/>
      <c r="CM39" s="873"/>
      <c r="CN39" s="873"/>
      <c r="CO39" s="873"/>
      <c r="CP39" s="873"/>
      <c r="CQ39" s="873"/>
      <c r="CR39" s="873"/>
      <c r="CS39" s="873"/>
      <c r="CT39" s="873"/>
      <c r="CU39" s="873"/>
      <c r="CV39" s="873"/>
      <c r="CW39" s="873"/>
      <c r="CX39" s="873"/>
      <c r="CY39" s="873"/>
      <c r="CZ39" s="873"/>
      <c r="DA39" s="873"/>
      <c r="DB39" s="873"/>
      <c r="DC39" s="873"/>
      <c r="DD39" s="873"/>
      <c r="DE39" s="873"/>
      <c r="DF39" s="873"/>
      <c r="DG39" s="873"/>
      <c r="DH39" s="873"/>
      <c r="DI39" s="873"/>
      <c r="DJ39" s="873"/>
      <c r="DK39" s="873"/>
      <c r="DL39" s="873"/>
      <c r="DM39" s="873"/>
      <c r="DN39" s="873"/>
      <c r="DO39" s="873"/>
      <c r="DP39" s="873"/>
      <c r="DQ39" s="873"/>
      <c r="DR39" s="873"/>
      <c r="DS39" s="873"/>
      <c r="DT39" s="873"/>
      <c r="DU39" s="873"/>
      <c r="DV39" s="873"/>
      <c r="DW39" s="873"/>
      <c r="DX39" s="873"/>
      <c r="DY39" s="873"/>
      <c r="DZ39" s="873"/>
      <c r="EA39" s="873"/>
      <c r="EB39" s="873"/>
      <c r="EC39" s="873"/>
      <c r="ED39" s="873"/>
      <c r="EE39" s="873"/>
      <c r="EF39" s="873"/>
      <c r="EG39" s="873"/>
      <c r="EH39" s="873"/>
      <c r="EI39" s="873"/>
      <c r="EJ39" s="873"/>
      <c r="EK39" s="873"/>
      <c r="EL39" s="873"/>
      <c r="EM39" s="873"/>
      <c r="EN39" s="873"/>
      <c r="EO39" s="873"/>
      <c r="EP39" s="873"/>
      <c r="EQ39" s="873"/>
      <c r="ER39" s="873"/>
      <c r="ES39" s="873"/>
      <c r="ET39" s="873"/>
      <c r="EU39" s="873"/>
      <c r="EV39" s="873"/>
      <c r="EW39" s="873"/>
      <c r="EX39" s="873"/>
      <c r="EY39" s="873"/>
      <c r="EZ39" s="873"/>
      <c r="FA39" s="873"/>
      <c r="FB39" s="873"/>
      <c r="FC39" s="873"/>
      <c r="FD39" s="873"/>
      <c r="FE39" s="873"/>
      <c r="FF39" s="873"/>
      <c r="FG39" s="873"/>
      <c r="FH39" s="873"/>
      <c r="FI39" s="873"/>
      <c r="FJ39" s="873"/>
      <c r="FK39" s="873"/>
      <c r="FL39" s="873"/>
      <c r="FM39" s="873"/>
      <c r="FN39" s="873"/>
      <c r="FO39" s="873"/>
      <c r="FP39" s="873"/>
      <c r="FQ39" s="873"/>
      <c r="FR39" s="873"/>
      <c r="FS39" s="873"/>
      <c r="FT39" s="873"/>
      <c r="FU39" s="873"/>
      <c r="FV39" s="873"/>
      <c r="FW39" s="873"/>
      <c r="FX39" s="873"/>
      <c r="FY39" s="873"/>
      <c r="FZ39" s="873"/>
      <c r="GA39" s="873"/>
      <c r="GB39" s="873"/>
      <c r="GC39" s="873"/>
      <c r="GD39" s="873"/>
      <c r="GE39" s="873"/>
      <c r="GF39" s="873"/>
      <c r="GG39" s="873"/>
      <c r="GH39" s="873"/>
      <c r="GI39" s="873"/>
      <c r="GJ39" s="873"/>
      <c r="GK39" s="873"/>
      <c r="GL39" s="873"/>
      <c r="GM39" s="873"/>
      <c r="GN39" s="873"/>
      <c r="GO39" s="873"/>
      <c r="GP39" s="873"/>
      <c r="GQ39" s="873"/>
      <c r="GR39" s="873"/>
      <c r="GS39" s="873"/>
      <c r="GT39" s="873"/>
      <c r="GU39" s="873"/>
      <c r="GV39" s="873"/>
      <c r="GW39" s="873"/>
      <c r="GX39" s="873"/>
      <c r="GY39" s="873"/>
      <c r="GZ39" s="873"/>
      <c r="HA39" s="873"/>
      <c r="HB39" s="873"/>
      <c r="HC39" s="873"/>
      <c r="HD39" s="873"/>
      <c r="HE39" s="873"/>
      <c r="HF39" s="873"/>
      <c r="HG39" s="873"/>
      <c r="HH39" s="873"/>
      <c r="HI39" s="873"/>
      <c r="HJ39" s="873"/>
      <c r="HK39" s="873"/>
      <c r="HL39" s="873"/>
      <c r="HM39" s="873"/>
      <c r="HN39" s="873"/>
      <c r="HO39" s="873"/>
      <c r="HP39" s="873"/>
      <c r="HQ39" s="873"/>
      <c r="HR39" s="873"/>
      <c r="HS39" s="873"/>
      <c r="HT39" s="873"/>
      <c r="HU39" s="873"/>
      <c r="HV39" s="873"/>
      <c r="HW39" s="873"/>
      <c r="HX39" s="873"/>
      <c r="HY39" s="873"/>
      <c r="HZ39" s="873"/>
    </row>
    <row r="40" spans="1:234" ht="13.9" customHeight="1" x14ac:dyDescent="0.2">
      <c r="A40" s="873"/>
      <c r="CK40" s="873"/>
      <c r="CL40" s="873"/>
      <c r="CM40" s="873"/>
      <c r="CN40" s="873"/>
      <c r="CO40" s="873"/>
      <c r="CP40" s="873"/>
      <c r="CQ40" s="873"/>
      <c r="CR40" s="873"/>
      <c r="CS40" s="873"/>
      <c r="CT40" s="873"/>
      <c r="CU40" s="873"/>
      <c r="CV40" s="873"/>
      <c r="CW40" s="873"/>
      <c r="CX40" s="873"/>
      <c r="CY40" s="873"/>
      <c r="CZ40" s="873"/>
      <c r="DA40" s="873"/>
      <c r="DB40" s="873"/>
      <c r="DC40" s="873"/>
      <c r="DD40" s="873"/>
      <c r="DE40" s="873"/>
      <c r="DF40" s="873"/>
      <c r="DG40" s="873"/>
      <c r="DH40" s="873"/>
      <c r="DI40" s="873"/>
      <c r="DJ40" s="873"/>
      <c r="DK40" s="873"/>
      <c r="DL40" s="873"/>
      <c r="DM40" s="873"/>
      <c r="DN40" s="873"/>
      <c r="DO40" s="873"/>
      <c r="DP40" s="873"/>
      <c r="DQ40" s="873"/>
      <c r="DR40" s="873"/>
      <c r="DS40" s="873"/>
      <c r="DT40" s="873"/>
      <c r="DU40" s="873"/>
      <c r="DV40" s="873"/>
      <c r="DW40" s="873"/>
      <c r="DX40" s="873"/>
      <c r="DY40" s="873"/>
      <c r="DZ40" s="873"/>
      <c r="EA40" s="873"/>
      <c r="EB40" s="873"/>
      <c r="EC40" s="873"/>
      <c r="ED40" s="873"/>
      <c r="EE40" s="873"/>
      <c r="EF40" s="873"/>
      <c r="EG40" s="873"/>
      <c r="EH40" s="873"/>
      <c r="EI40" s="873"/>
      <c r="EJ40" s="873"/>
      <c r="EK40" s="873"/>
      <c r="EL40" s="873"/>
      <c r="EM40" s="873"/>
      <c r="EN40" s="873"/>
      <c r="EO40" s="873"/>
      <c r="EP40" s="873"/>
      <c r="EQ40" s="873"/>
      <c r="ER40" s="873"/>
      <c r="ES40" s="873"/>
      <c r="ET40" s="873"/>
      <c r="EU40" s="873"/>
      <c r="EV40" s="873"/>
      <c r="EW40" s="873"/>
      <c r="EX40" s="873"/>
      <c r="EY40" s="873"/>
      <c r="EZ40" s="873"/>
      <c r="FA40" s="873"/>
      <c r="FB40" s="873"/>
      <c r="FC40" s="873"/>
      <c r="FD40" s="873"/>
      <c r="FE40" s="873"/>
      <c r="FF40" s="873"/>
      <c r="FG40" s="873"/>
      <c r="FH40" s="873"/>
      <c r="FI40" s="873"/>
      <c r="FJ40" s="873"/>
      <c r="FK40" s="873"/>
      <c r="FL40" s="873"/>
      <c r="FM40" s="873"/>
      <c r="FN40" s="873"/>
      <c r="FO40" s="873"/>
      <c r="FP40" s="873"/>
      <c r="FQ40" s="873"/>
      <c r="FR40" s="873"/>
      <c r="FS40" s="873"/>
      <c r="FT40" s="873"/>
      <c r="FU40" s="873"/>
      <c r="FV40" s="873"/>
      <c r="FW40" s="873"/>
      <c r="FX40" s="873"/>
      <c r="FY40" s="873"/>
      <c r="FZ40" s="873"/>
      <c r="GA40" s="873"/>
      <c r="GB40" s="873"/>
      <c r="GC40" s="873"/>
      <c r="GD40" s="873"/>
      <c r="GE40" s="873"/>
      <c r="GF40" s="873"/>
      <c r="GG40" s="873"/>
      <c r="GH40" s="873"/>
      <c r="GI40" s="873"/>
      <c r="GJ40" s="873"/>
      <c r="GK40" s="873"/>
      <c r="GL40" s="873"/>
      <c r="GM40" s="873"/>
      <c r="GN40" s="873"/>
      <c r="GO40" s="873"/>
      <c r="GP40" s="873"/>
      <c r="GQ40" s="873"/>
      <c r="GR40" s="873"/>
      <c r="GS40" s="873"/>
      <c r="GT40" s="873"/>
      <c r="GU40" s="873"/>
      <c r="GV40" s="873"/>
      <c r="GW40" s="873"/>
      <c r="GX40" s="873"/>
      <c r="GY40" s="873"/>
      <c r="GZ40" s="873"/>
      <c r="HA40" s="873"/>
      <c r="HB40" s="873"/>
      <c r="HC40" s="873"/>
      <c r="HD40" s="873"/>
      <c r="HE40" s="873"/>
      <c r="HF40" s="873"/>
      <c r="HG40" s="873"/>
      <c r="HH40" s="873"/>
      <c r="HI40" s="873"/>
      <c r="HJ40" s="873"/>
      <c r="HK40" s="873"/>
      <c r="HL40" s="873"/>
      <c r="HM40" s="873"/>
      <c r="HN40" s="873"/>
      <c r="HO40" s="873"/>
      <c r="HP40" s="873"/>
      <c r="HQ40" s="873"/>
      <c r="HR40" s="873"/>
      <c r="HS40" s="873"/>
      <c r="HT40" s="873"/>
      <c r="HU40" s="873"/>
      <c r="HV40" s="873"/>
      <c r="HW40" s="873"/>
      <c r="HX40" s="873"/>
      <c r="HY40" s="873"/>
      <c r="HZ40" s="873"/>
    </row>
    <row r="41" spans="1:234" ht="13.9" customHeight="1" x14ac:dyDescent="0.2">
      <c r="A41" s="873"/>
      <c r="CK41" s="873"/>
      <c r="CL41" s="873"/>
      <c r="CM41" s="873"/>
      <c r="CN41" s="873"/>
      <c r="CO41" s="873"/>
      <c r="CP41" s="873"/>
      <c r="CQ41" s="873"/>
      <c r="CR41" s="873"/>
      <c r="CS41" s="873"/>
      <c r="CT41" s="873"/>
      <c r="CU41" s="873"/>
      <c r="CV41" s="873"/>
      <c r="CW41" s="873"/>
      <c r="CX41" s="873"/>
      <c r="CY41" s="873"/>
      <c r="CZ41" s="873"/>
      <c r="DA41" s="873"/>
      <c r="DB41" s="873"/>
      <c r="DC41" s="873"/>
      <c r="DD41" s="873"/>
      <c r="DE41" s="873"/>
      <c r="DF41" s="873"/>
      <c r="DG41" s="873"/>
      <c r="DH41" s="873"/>
      <c r="DI41" s="873"/>
      <c r="DJ41" s="873"/>
      <c r="DK41" s="873"/>
      <c r="DL41" s="873"/>
      <c r="DM41" s="873"/>
      <c r="DN41" s="873"/>
      <c r="DO41" s="873"/>
      <c r="DP41" s="873"/>
      <c r="DQ41" s="873"/>
      <c r="DR41" s="873"/>
      <c r="DS41" s="873"/>
      <c r="DT41" s="873"/>
      <c r="DU41" s="873"/>
      <c r="DV41" s="873"/>
      <c r="DW41" s="873"/>
      <c r="DX41" s="873"/>
      <c r="DY41" s="873"/>
      <c r="DZ41" s="873"/>
      <c r="EA41" s="873"/>
      <c r="EB41" s="873"/>
      <c r="EC41" s="873"/>
      <c r="ED41" s="873"/>
      <c r="EE41" s="873"/>
      <c r="EF41" s="873"/>
      <c r="EG41" s="873"/>
      <c r="EH41" s="873"/>
      <c r="EI41" s="873"/>
      <c r="EJ41" s="873"/>
      <c r="EK41" s="873"/>
      <c r="EL41" s="873"/>
      <c r="EM41" s="873"/>
      <c r="EN41" s="873"/>
      <c r="EO41" s="873"/>
      <c r="EP41" s="873"/>
      <c r="EQ41" s="873"/>
      <c r="ER41" s="873"/>
      <c r="ES41" s="873"/>
      <c r="ET41" s="873"/>
      <c r="EU41" s="873"/>
      <c r="EV41" s="873"/>
      <c r="EW41" s="873"/>
      <c r="EX41" s="873"/>
      <c r="EY41" s="873"/>
      <c r="EZ41" s="873"/>
      <c r="FA41" s="873"/>
      <c r="FB41" s="873"/>
      <c r="FC41" s="873"/>
      <c r="FD41" s="873"/>
      <c r="FE41" s="873"/>
      <c r="FF41" s="873"/>
      <c r="FG41" s="873"/>
      <c r="FH41" s="873"/>
      <c r="FI41" s="873"/>
      <c r="FJ41" s="873"/>
      <c r="FK41" s="873"/>
      <c r="FL41" s="873"/>
      <c r="FM41" s="873"/>
      <c r="FN41" s="873"/>
      <c r="FO41" s="873"/>
      <c r="FP41" s="873"/>
      <c r="FQ41" s="873"/>
      <c r="FR41" s="873"/>
      <c r="FS41" s="873"/>
      <c r="FT41" s="873"/>
      <c r="FU41" s="873"/>
      <c r="FV41" s="873"/>
      <c r="FW41" s="873"/>
      <c r="FX41" s="873"/>
      <c r="FY41" s="873"/>
      <c r="FZ41" s="873"/>
      <c r="GA41" s="873"/>
      <c r="GB41" s="873"/>
      <c r="GC41" s="873"/>
      <c r="GD41" s="873"/>
      <c r="GE41" s="873"/>
      <c r="GF41" s="873"/>
      <c r="GG41" s="873"/>
      <c r="GH41" s="873"/>
      <c r="GI41" s="873"/>
      <c r="GJ41" s="873"/>
      <c r="GK41" s="873"/>
      <c r="GL41" s="873"/>
      <c r="GM41" s="873"/>
      <c r="GN41" s="873"/>
      <c r="GO41" s="873"/>
      <c r="GP41" s="873"/>
      <c r="GQ41" s="873"/>
      <c r="GR41" s="873"/>
      <c r="GS41" s="873"/>
      <c r="GT41" s="873"/>
      <c r="GU41" s="873"/>
      <c r="GV41" s="873"/>
      <c r="GW41" s="873"/>
      <c r="GX41" s="873"/>
      <c r="GY41" s="873"/>
      <c r="GZ41" s="873"/>
      <c r="HA41" s="873"/>
      <c r="HB41" s="873"/>
      <c r="HC41" s="873"/>
      <c r="HD41" s="873"/>
      <c r="HE41" s="873"/>
      <c r="HF41" s="873"/>
      <c r="HG41" s="873"/>
      <c r="HH41" s="873"/>
      <c r="HI41" s="873"/>
      <c r="HJ41" s="873"/>
      <c r="HK41" s="873"/>
      <c r="HL41" s="873"/>
      <c r="HM41" s="873"/>
      <c r="HN41" s="873"/>
      <c r="HO41" s="873"/>
      <c r="HP41" s="873"/>
      <c r="HQ41" s="873"/>
      <c r="HR41" s="873"/>
      <c r="HS41" s="873"/>
      <c r="HT41" s="873"/>
      <c r="HU41" s="873"/>
      <c r="HV41" s="873"/>
      <c r="HW41" s="873"/>
      <c r="HX41" s="873"/>
      <c r="HY41" s="873"/>
      <c r="HZ41" s="873"/>
    </row>
    <row r="42" spans="1:234" ht="13.9" customHeight="1" x14ac:dyDescent="0.2">
      <c r="A42" s="873"/>
      <c r="CK42" s="873"/>
      <c r="CL42" s="873"/>
      <c r="CM42" s="873"/>
      <c r="CN42" s="873"/>
      <c r="CO42" s="873"/>
      <c r="CP42" s="873"/>
      <c r="CQ42" s="873"/>
      <c r="CR42" s="873"/>
      <c r="CS42" s="873"/>
      <c r="CT42" s="873"/>
      <c r="CU42" s="873"/>
      <c r="CV42" s="873"/>
      <c r="CW42" s="873"/>
      <c r="CX42" s="873"/>
      <c r="CY42" s="873"/>
      <c r="CZ42" s="873"/>
      <c r="DA42" s="873"/>
      <c r="DB42" s="873"/>
      <c r="DC42" s="873"/>
      <c r="DD42" s="873"/>
      <c r="DE42" s="873"/>
      <c r="DF42" s="873"/>
      <c r="DG42" s="873"/>
      <c r="DH42" s="873"/>
      <c r="DI42" s="873"/>
      <c r="DJ42" s="873"/>
      <c r="DK42" s="873"/>
      <c r="DL42" s="873"/>
      <c r="DM42" s="873"/>
      <c r="DN42" s="873"/>
      <c r="DO42" s="873"/>
      <c r="DP42" s="873"/>
      <c r="DQ42" s="873"/>
      <c r="DR42" s="873"/>
      <c r="DS42" s="873"/>
      <c r="DT42" s="873"/>
      <c r="DU42" s="873"/>
      <c r="DV42" s="873"/>
      <c r="DW42" s="873"/>
      <c r="DX42" s="873"/>
      <c r="DY42" s="873"/>
      <c r="DZ42" s="873"/>
      <c r="EA42" s="873"/>
      <c r="EB42" s="873"/>
      <c r="EC42" s="873"/>
      <c r="ED42" s="873"/>
      <c r="EE42" s="873"/>
      <c r="EF42" s="873"/>
      <c r="EG42" s="873"/>
      <c r="EH42" s="873"/>
      <c r="EI42" s="873"/>
      <c r="EJ42" s="873"/>
      <c r="EK42" s="873"/>
      <c r="EL42" s="873"/>
      <c r="EM42" s="873"/>
      <c r="EN42" s="873"/>
      <c r="EO42" s="873"/>
      <c r="EP42" s="873"/>
      <c r="EQ42" s="873"/>
      <c r="ER42" s="873"/>
      <c r="ES42" s="873"/>
      <c r="ET42" s="873"/>
      <c r="EU42" s="873"/>
      <c r="EV42" s="873"/>
      <c r="EW42" s="873"/>
      <c r="EX42" s="873"/>
      <c r="EY42" s="873"/>
      <c r="EZ42" s="873"/>
      <c r="FA42" s="873"/>
      <c r="FB42" s="873"/>
      <c r="FC42" s="873"/>
      <c r="FD42" s="873"/>
      <c r="FE42" s="873"/>
      <c r="FF42" s="873"/>
      <c r="FG42" s="873"/>
      <c r="FH42" s="873"/>
      <c r="FI42" s="873"/>
      <c r="FJ42" s="873"/>
      <c r="FK42" s="873"/>
      <c r="FL42" s="873"/>
      <c r="FM42" s="873"/>
      <c r="FN42" s="873"/>
      <c r="FO42" s="873"/>
      <c r="FP42" s="873"/>
      <c r="FQ42" s="873"/>
      <c r="FR42" s="873"/>
      <c r="FS42" s="873"/>
      <c r="FT42" s="873"/>
      <c r="FU42" s="873"/>
      <c r="FV42" s="873"/>
      <c r="FW42" s="873"/>
      <c r="FX42" s="873"/>
      <c r="FY42" s="873"/>
      <c r="FZ42" s="873"/>
      <c r="GA42" s="873"/>
      <c r="GB42" s="873"/>
      <c r="GC42" s="873"/>
      <c r="GD42" s="873"/>
      <c r="GE42" s="873"/>
      <c r="GF42" s="873"/>
      <c r="GG42" s="873"/>
      <c r="GH42" s="873"/>
      <c r="GI42" s="873"/>
      <c r="GJ42" s="873"/>
      <c r="GK42" s="873"/>
      <c r="GL42" s="873"/>
      <c r="GM42" s="873"/>
      <c r="GN42" s="873"/>
      <c r="GO42" s="873"/>
      <c r="GP42" s="873"/>
      <c r="GQ42" s="873"/>
      <c r="GR42" s="873"/>
      <c r="GS42" s="873"/>
      <c r="GT42" s="873"/>
      <c r="GU42" s="873"/>
      <c r="GV42" s="873"/>
      <c r="GW42" s="873"/>
      <c r="GX42" s="873"/>
      <c r="GY42" s="873"/>
      <c r="GZ42" s="873"/>
      <c r="HA42" s="873"/>
      <c r="HB42" s="873"/>
      <c r="HC42" s="873"/>
      <c r="HD42" s="873"/>
      <c r="HE42" s="873"/>
      <c r="HF42" s="873"/>
      <c r="HG42" s="873"/>
      <c r="HH42" s="873"/>
      <c r="HI42" s="873"/>
      <c r="HJ42" s="873"/>
      <c r="HK42" s="873"/>
      <c r="HL42" s="873"/>
      <c r="HM42" s="873"/>
      <c r="HN42" s="873"/>
      <c r="HO42" s="873"/>
      <c r="HP42" s="873"/>
      <c r="HQ42" s="873"/>
      <c r="HR42" s="873"/>
      <c r="HS42" s="873"/>
      <c r="HT42" s="873"/>
      <c r="HU42" s="873"/>
      <c r="HV42" s="873"/>
      <c r="HW42" s="873"/>
      <c r="HX42" s="873"/>
      <c r="HY42" s="873"/>
      <c r="HZ42" s="873"/>
    </row>
    <row r="43" spans="1:234" ht="13.9" customHeight="1" x14ac:dyDescent="0.2">
      <c r="A43" s="873"/>
      <c r="CK43" s="873"/>
      <c r="CL43" s="873"/>
      <c r="CM43" s="873"/>
      <c r="CN43" s="873"/>
      <c r="CO43" s="873"/>
      <c r="CP43" s="873"/>
      <c r="CQ43" s="873"/>
      <c r="CR43" s="873"/>
      <c r="CS43" s="873"/>
      <c r="CT43" s="873"/>
      <c r="CU43" s="873"/>
      <c r="CV43" s="873"/>
      <c r="CW43" s="873"/>
      <c r="CX43" s="873"/>
      <c r="CY43" s="873"/>
      <c r="CZ43" s="873"/>
      <c r="DA43" s="873"/>
      <c r="DB43" s="873"/>
      <c r="DC43" s="873"/>
      <c r="DD43" s="873"/>
      <c r="DE43" s="873"/>
      <c r="DF43" s="873"/>
      <c r="DG43" s="873"/>
      <c r="DH43" s="873"/>
      <c r="DI43" s="873"/>
      <c r="DJ43" s="873"/>
      <c r="DK43" s="873"/>
      <c r="DL43" s="873"/>
      <c r="DM43" s="873"/>
      <c r="DN43" s="873"/>
      <c r="DO43" s="873"/>
      <c r="DP43" s="873"/>
      <c r="DQ43" s="873"/>
      <c r="DR43" s="873"/>
      <c r="DS43" s="873"/>
      <c r="DT43" s="873"/>
      <c r="DU43" s="873"/>
      <c r="DV43" s="873"/>
      <c r="DW43" s="873"/>
      <c r="DX43" s="873"/>
      <c r="DY43" s="873"/>
      <c r="DZ43" s="873"/>
      <c r="EA43" s="873"/>
      <c r="EB43" s="873"/>
      <c r="EC43" s="873"/>
      <c r="ED43" s="873"/>
      <c r="EE43" s="873"/>
      <c r="EF43" s="873"/>
      <c r="EG43" s="873"/>
      <c r="EH43" s="873"/>
      <c r="EI43" s="873"/>
      <c r="EJ43" s="873"/>
      <c r="EK43" s="873"/>
      <c r="EL43" s="873"/>
      <c r="EM43" s="873"/>
      <c r="EN43" s="873"/>
      <c r="EO43" s="873"/>
      <c r="EP43" s="873"/>
      <c r="EQ43" s="873"/>
      <c r="ER43" s="873"/>
      <c r="ES43" s="873"/>
      <c r="ET43" s="873"/>
      <c r="EU43" s="873"/>
      <c r="EV43" s="873"/>
      <c r="EW43" s="873"/>
      <c r="EX43" s="873"/>
      <c r="EY43" s="873"/>
      <c r="EZ43" s="873"/>
      <c r="FA43" s="873"/>
      <c r="FB43" s="873"/>
      <c r="FC43" s="873"/>
      <c r="FD43" s="873"/>
      <c r="FE43" s="873"/>
      <c r="FF43" s="873"/>
      <c r="FG43" s="873"/>
      <c r="FH43" s="873"/>
      <c r="FI43" s="873"/>
      <c r="FJ43" s="873"/>
      <c r="FK43" s="873"/>
      <c r="FL43" s="873"/>
      <c r="FM43" s="873"/>
      <c r="FN43" s="873"/>
      <c r="FO43" s="873"/>
      <c r="FP43" s="873"/>
      <c r="FQ43" s="873"/>
      <c r="FR43" s="873"/>
      <c r="FS43" s="873"/>
      <c r="FT43" s="873"/>
      <c r="FU43" s="873"/>
      <c r="FV43" s="873"/>
      <c r="FW43" s="873"/>
      <c r="FX43" s="873"/>
      <c r="FY43" s="873"/>
      <c r="FZ43" s="873"/>
      <c r="GA43" s="873"/>
      <c r="GB43" s="873"/>
      <c r="GC43" s="873"/>
      <c r="GD43" s="873"/>
      <c r="GE43" s="873"/>
      <c r="GF43" s="873"/>
      <c r="GG43" s="873"/>
      <c r="GH43" s="873"/>
      <c r="GI43" s="873"/>
      <c r="GJ43" s="873"/>
      <c r="GK43" s="873"/>
      <c r="GL43" s="873"/>
      <c r="GM43" s="873"/>
      <c r="GN43" s="873"/>
      <c r="GO43" s="873"/>
      <c r="GP43" s="873"/>
      <c r="GQ43" s="873"/>
      <c r="GR43" s="873"/>
      <c r="GS43" s="873"/>
      <c r="GT43" s="873"/>
      <c r="GU43" s="873"/>
      <c r="GV43" s="873"/>
      <c r="GW43" s="873"/>
      <c r="GX43" s="873"/>
      <c r="GY43" s="873"/>
      <c r="GZ43" s="873"/>
      <c r="HA43" s="873"/>
      <c r="HB43" s="873"/>
      <c r="HC43" s="873"/>
      <c r="HD43" s="873"/>
      <c r="HE43" s="873"/>
      <c r="HF43" s="873"/>
      <c r="HG43" s="873"/>
      <c r="HH43" s="873"/>
      <c r="HI43" s="873"/>
      <c r="HJ43" s="873"/>
      <c r="HK43" s="873"/>
      <c r="HL43" s="873"/>
      <c r="HM43" s="873"/>
      <c r="HN43" s="873"/>
      <c r="HO43" s="873"/>
      <c r="HP43" s="873"/>
      <c r="HQ43" s="873"/>
      <c r="HR43" s="873"/>
      <c r="HS43" s="873"/>
      <c r="HT43" s="873"/>
      <c r="HU43" s="873"/>
      <c r="HV43" s="873"/>
      <c r="HW43" s="873"/>
      <c r="HX43" s="873"/>
      <c r="HY43" s="873"/>
      <c r="HZ43" s="873"/>
    </row>
    <row r="44" spans="1:234" ht="13.9" customHeight="1" x14ac:dyDescent="0.2">
      <c r="A44" s="873"/>
      <c r="CK44" s="873"/>
      <c r="CL44" s="873"/>
      <c r="CM44" s="873"/>
      <c r="CN44" s="873"/>
      <c r="CO44" s="873"/>
      <c r="CP44" s="873"/>
      <c r="CQ44" s="873"/>
      <c r="CR44" s="873"/>
      <c r="CS44" s="873"/>
      <c r="CT44" s="873"/>
      <c r="CU44" s="873"/>
      <c r="CV44" s="873"/>
      <c r="CW44" s="873"/>
      <c r="CX44" s="873"/>
      <c r="CY44" s="873"/>
      <c r="CZ44" s="873"/>
      <c r="DA44" s="873"/>
      <c r="DB44" s="873"/>
      <c r="DC44" s="873"/>
      <c r="DD44" s="873"/>
      <c r="DE44" s="873"/>
      <c r="DF44" s="873"/>
      <c r="DG44" s="873"/>
      <c r="DH44" s="873"/>
      <c r="DI44" s="873"/>
      <c r="DJ44" s="873"/>
      <c r="DK44" s="873"/>
      <c r="DL44" s="873"/>
      <c r="DM44" s="873"/>
      <c r="DN44" s="873"/>
      <c r="DO44" s="873"/>
      <c r="DP44" s="873"/>
      <c r="DQ44" s="873"/>
      <c r="DR44" s="873"/>
      <c r="DS44" s="873"/>
      <c r="DT44" s="873"/>
      <c r="DU44" s="873"/>
      <c r="DV44" s="873"/>
      <c r="DW44" s="873"/>
      <c r="DX44" s="873"/>
      <c r="DY44" s="873"/>
      <c r="DZ44" s="873"/>
      <c r="EA44" s="873"/>
      <c r="EB44" s="873"/>
      <c r="EC44" s="873"/>
      <c r="ED44" s="873"/>
      <c r="EE44" s="873"/>
      <c r="EF44" s="873"/>
      <c r="EG44" s="873"/>
      <c r="EH44" s="873"/>
      <c r="EI44" s="873"/>
      <c r="EJ44" s="873"/>
      <c r="EK44" s="873"/>
      <c r="EL44" s="873"/>
      <c r="EM44" s="873"/>
      <c r="EN44" s="873"/>
      <c r="EO44" s="873"/>
      <c r="EP44" s="873"/>
      <c r="EQ44" s="873"/>
      <c r="ER44" s="873"/>
      <c r="ES44" s="873"/>
      <c r="ET44" s="873"/>
      <c r="EU44" s="873"/>
      <c r="EV44" s="873"/>
      <c r="EW44" s="873"/>
      <c r="EX44" s="873"/>
      <c r="EY44" s="873"/>
      <c r="EZ44" s="873"/>
      <c r="FA44" s="873"/>
      <c r="FB44" s="873"/>
      <c r="FC44" s="873"/>
      <c r="FD44" s="873"/>
      <c r="FE44" s="873"/>
      <c r="FF44" s="873"/>
      <c r="FG44" s="873"/>
      <c r="FH44" s="873"/>
      <c r="FI44" s="873"/>
      <c r="FJ44" s="873"/>
      <c r="FK44" s="873"/>
      <c r="FL44" s="873"/>
      <c r="FM44" s="873"/>
      <c r="FN44" s="873"/>
      <c r="FO44" s="873"/>
      <c r="FP44" s="873"/>
      <c r="FQ44" s="873"/>
      <c r="FR44" s="873"/>
      <c r="FS44" s="873"/>
      <c r="FT44" s="873"/>
      <c r="FU44" s="873"/>
      <c r="FV44" s="873"/>
      <c r="FW44" s="873"/>
      <c r="FX44" s="873"/>
      <c r="FY44" s="873"/>
      <c r="FZ44" s="873"/>
      <c r="GA44" s="873"/>
      <c r="GB44" s="873"/>
      <c r="GC44" s="873"/>
      <c r="GD44" s="873"/>
      <c r="GE44" s="873"/>
      <c r="GF44" s="873"/>
      <c r="GG44" s="873"/>
      <c r="GH44" s="873"/>
      <c r="GI44" s="873"/>
      <c r="GJ44" s="873"/>
      <c r="GK44" s="873"/>
      <c r="GL44" s="873"/>
      <c r="GM44" s="873"/>
      <c r="GN44" s="873"/>
      <c r="GO44" s="873"/>
      <c r="GP44" s="873"/>
      <c r="GQ44" s="873"/>
      <c r="GR44" s="873"/>
      <c r="GS44" s="873"/>
      <c r="GT44" s="873"/>
      <c r="GU44" s="873"/>
      <c r="GV44" s="873"/>
      <c r="GW44" s="873"/>
      <c r="GX44" s="873"/>
      <c r="GY44" s="873"/>
      <c r="GZ44" s="873"/>
      <c r="HA44" s="873"/>
      <c r="HB44" s="873"/>
      <c r="HC44" s="873"/>
      <c r="HD44" s="873"/>
      <c r="HE44" s="873"/>
      <c r="HF44" s="873"/>
      <c r="HG44" s="873"/>
      <c r="HH44" s="873"/>
      <c r="HI44" s="873"/>
      <c r="HJ44" s="873"/>
      <c r="HK44" s="873"/>
      <c r="HL44" s="873"/>
      <c r="HM44" s="873"/>
      <c r="HN44" s="873"/>
      <c r="HO44" s="873"/>
      <c r="HP44" s="873"/>
      <c r="HQ44" s="873"/>
      <c r="HR44" s="873"/>
      <c r="HS44" s="873"/>
      <c r="HT44" s="873"/>
      <c r="HU44" s="873"/>
      <c r="HV44" s="873"/>
      <c r="HW44" s="873"/>
      <c r="HX44" s="873"/>
      <c r="HY44" s="873"/>
      <c r="HZ44" s="873"/>
    </row>
    <row r="45" spans="1:234" ht="13.9" customHeight="1" x14ac:dyDescent="0.2">
      <c r="A45" s="873"/>
      <c r="CK45" s="873"/>
      <c r="CL45" s="873"/>
      <c r="CM45" s="873"/>
      <c r="CN45" s="873"/>
      <c r="CO45" s="873"/>
      <c r="CP45" s="873"/>
      <c r="CQ45" s="873"/>
      <c r="CR45" s="873"/>
      <c r="CS45" s="873"/>
      <c r="CT45" s="873"/>
      <c r="CU45" s="873"/>
      <c r="CV45" s="873"/>
      <c r="CW45" s="873"/>
      <c r="CX45" s="873"/>
      <c r="CY45" s="873"/>
      <c r="CZ45" s="873"/>
      <c r="DA45" s="873"/>
      <c r="DB45" s="873"/>
      <c r="DC45" s="873"/>
      <c r="DD45" s="873"/>
      <c r="DE45" s="873"/>
      <c r="DF45" s="873"/>
      <c r="DG45" s="873"/>
      <c r="DH45" s="873"/>
      <c r="DI45" s="873"/>
      <c r="DJ45" s="873"/>
      <c r="DK45" s="873"/>
      <c r="DL45" s="873"/>
      <c r="DM45" s="873"/>
      <c r="DN45" s="873"/>
      <c r="DO45" s="873"/>
      <c r="DP45" s="873"/>
      <c r="DQ45" s="873"/>
      <c r="DR45" s="873"/>
      <c r="DS45" s="873"/>
      <c r="DT45" s="873"/>
      <c r="DU45" s="873"/>
      <c r="DV45" s="873"/>
      <c r="DW45" s="873"/>
      <c r="DX45" s="873"/>
      <c r="DY45" s="873"/>
      <c r="DZ45" s="873"/>
      <c r="EA45" s="873"/>
      <c r="EB45" s="873"/>
      <c r="EC45" s="873"/>
      <c r="ED45" s="873"/>
      <c r="EE45" s="873"/>
      <c r="EF45" s="873"/>
      <c r="EG45" s="873"/>
      <c r="EH45" s="873"/>
      <c r="EI45" s="873"/>
      <c r="EJ45" s="873"/>
      <c r="EK45" s="873"/>
      <c r="EL45" s="873"/>
      <c r="EM45" s="873"/>
      <c r="EN45" s="873"/>
      <c r="EO45" s="873"/>
      <c r="EP45" s="873"/>
      <c r="EQ45" s="873"/>
      <c r="ER45" s="873"/>
      <c r="ES45" s="873"/>
      <c r="ET45" s="873"/>
      <c r="EU45" s="873"/>
      <c r="EV45" s="873"/>
      <c r="EW45" s="873"/>
      <c r="EX45" s="873"/>
      <c r="EY45" s="873"/>
      <c r="EZ45" s="873"/>
      <c r="FA45" s="873"/>
      <c r="FB45" s="873"/>
      <c r="FC45" s="873"/>
      <c r="FD45" s="873"/>
      <c r="FE45" s="873"/>
      <c r="FF45" s="873"/>
      <c r="FG45" s="873"/>
      <c r="FH45" s="873"/>
      <c r="FI45" s="873"/>
      <c r="FJ45" s="873"/>
      <c r="FK45" s="873"/>
      <c r="FL45" s="873"/>
      <c r="FM45" s="873"/>
      <c r="FN45" s="873"/>
      <c r="FO45" s="873"/>
      <c r="FP45" s="873"/>
      <c r="FQ45" s="873"/>
      <c r="FR45" s="873"/>
      <c r="FS45" s="873"/>
      <c r="FT45" s="873"/>
      <c r="FU45" s="873"/>
      <c r="FV45" s="873"/>
      <c r="FW45" s="873"/>
      <c r="FX45" s="873"/>
      <c r="FY45" s="873"/>
      <c r="FZ45" s="873"/>
      <c r="GA45" s="873"/>
      <c r="GB45" s="873"/>
      <c r="GC45" s="873"/>
      <c r="GD45" s="873"/>
      <c r="GE45" s="873"/>
      <c r="GF45" s="873"/>
      <c r="GG45" s="873"/>
      <c r="GH45" s="873"/>
      <c r="GI45" s="873"/>
      <c r="GJ45" s="873"/>
      <c r="GK45" s="873"/>
      <c r="GL45" s="873"/>
      <c r="GM45" s="873"/>
      <c r="GN45" s="873"/>
      <c r="GO45" s="873"/>
      <c r="GP45" s="873"/>
      <c r="GQ45" s="873"/>
      <c r="GR45" s="873"/>
      <c r="GS45" s="873"/>
      <c r="GT45" s="873"/>
      <c r="GU45" s="873"/>
      <c r="GV45" s="873"/>
      <c r="GW45" s="873"/>
      <c r="GX45" s="873"/>
      <c r="GY45" s="873"/>
      <c r="GZ45" s="873"/>
      <c r="HA45" s="873"/>
      <c r="HB45" s="873"/>
      <c r="HC45" s="873"/>
      <c r="HD45" s="873"/>
      <c r="HE45" s="873"/>
      <c r="HF45" s="873"/>
      <c r="HG45" s="873"/>
      <c r="HH45" s="873"/>
      <c r="HI45" s="873"/>
      <c r="HJ45" s="873"/>
      <c r="HK45" s="873"/>
      <c r="HL45" s="873"/>
      <c r="HM45" s="873"/>
      <c r="HN45" s="873"/>
      <c r="HO45" s="873"/>
      <c r="HP45" s="873"/>
      <c r="HQ45" s="873"/>
      <c r="HR45" s="873"/>
      <c r="HS45" s="873"/>
      <c r="HT45" s="873"/>
      <c r="HU45" s="873"/>
      <c r="HV45" s="873"/>
      <c r="HW45" s="873"/>
      <c r="HX45" s="873"/>
      <c r="HY45" s="873"/>
      <c r="HZ45" s="873"/>
    </row>
    <row r="46" spans="1:234" ht="13.9" customHeight="1" x14ac:dyDescent="0.2">
      <c r="A46" s="873"/>
      <c r="CK46" s="873"/>
      <c r="CL46" s="873"/>
      <c r="CM46" s="873"/>
      <c r="CN46" s="873"/>
      <c r="CO46" s="873"/>
      <c r="CP46" s="873"/>
      <c r="CQ46" s="873"/>
      <c r="CR46" s="873"/>
      <c r="CS46" s="873"/>
      <c r="CT46" s="873"/>
      <c r="CU46" s="873"/>
      <c r="CV46" s="873"/>
      <c r="CW46" s="873"/>
      <c r="CX46" s="873"/>
      <c r="CY46" s="873"/>
      <c r="CZ46" s="873"/>
      <c r="DA46" s="873"/>
      <c r="DB46" s="873"/>
      <c r="DC46" s="873"/>
      <c r="DD46" s="873"/>
      <c r="DE46" s="873"/>
      <c r="DF46" s="873"/>
      <c r="DG46" s="873"/>
      <c r="DH46" s="873"/>
      <c r="DI46" s="873"/>
      <c r="DJ46" s="873"/>
      <c r="DK46" s="873"/>
      <c r="DL46" s="873"/>
      <c r="DM46" s="873"/>
      <c r="DN46" s="873"/>
      <c r="DO46" s="873"/>
      <c r="DP46" s="873"/>
      <c r="DQ46" s="873"/>
      <c r="DR46" s="873"/>
      <c r="DS46" s="873"/>
      <c r="DT46" s="873"/>
      <c r="DU46" s="873"/>
      <c r="DV46" s="873"/>
      <c r="DW46" s="873"/>
      <c r="DX46" s="873"/>
      <c r="DY46" s="873"/>
      <c r="DZ46" s="873"/>
      <c r="EA46" s="873"/>
      <c r="EB46" s="873"/>
      <c r="EC46" s="873"/>
      <c r="ED46" s="873"/>
      <c r="EE46" s="873"/>
      <c r="EF46" s="873"/>
      <c r="EG46" s="873"/>
      <c r="EH46" s="873"/>
      <c r="EI46" s="873"/>
      <c r="EJ46" s="873"/>
      <c r="EK46" s="873"/>
      <c r="EL46" s="873"/>
      <c r="EM46" s="873"/>
      <c r="EN46" s="873"/>
      <c r="EO46" s="873"/>
      <c r="EP46" s="873"/>
      <c r="EQ46" s="873"/>
      <c r="ER46" s="873"/>
      <c r="ES46" s="873"/>
      <c r="ET46" s="873"/>
      <c r="EU46" s="873"/>
      <c r="EV46" s="873"/>
      <c r="EW46" s="873"/>
      <c r="EX46" s="873"/>
      <c r="EY46" s="873"/>
      <c r="EZ46" s="873"/>
      <c r="FA46" s="873"/>
      <c r="FB46" s="873"/>
      <c r="FC46" s="873"/>
      <c r="FD46" s="873"/>
      <c r="FE46" s="873"/>
      <c r="FF46" s="873"/>
      <c r="FG46" s="873"/>
      <c r="FH46" s="873"/>
      <c r="FI46" s="873"/>
      <c r="FJ46" s="873"/>
      <c r="FK46" s="873"/>
      <c r="FL46" s="873"/>
      <c r="FM46" s="873"/>
      <c r="FN46" s="873"/>
      <c r="FO46" s="873"/>
      <c r="FP46" s="873"/>
      <c r="FQ46" s="873"/>
      <c r="FR46" s="873"/>
      <c r="FS46" s="873"/>
      <c r="FT46" s="873"/>
      <c r="FU46" s="873"/>
      <c r="FV46" s="873"/>
      <c r="FW46" s="873"/>
      <c r="FX46" s="873"/>
      <c r="FY46" s="873"/>
      <c r="FZ46" s="873"/>
      <c r="GA46" s="873"/>
      <c r="GB46" s="873"/>
      <c r="GC46" s="873"/>
      <c r="GD46" s="873"/>
      <c r="GE46" s="873"/>
      <c r="GF46" s="873"/>
      <c r="GG46" s="873"/>
      <c r="GH46" s="873"/>
      <c r="GI46" s="873"/>
      <c r="GJ46" s="873"/>
      <c r="GK46" s="873"/>
      <c r="GL46" s="873"/>
      <c r="GM46" s="873"/>
      <c r="GN46" s="873"/>
      <c r="GO46" s="873"/>
      <c r="GP46" s="873"/>
      <c r="GQ46" s="873"/>
      <c r="GR46" s="873"/>
      <c r="GS46" s="873"/>
      <c r="GT46" s="873"/>
      <c r="GU46" s="873"/>
      <c r="GV46" s="873"/>
      <c r="GW46" s="873"/>
      <c r="GX46" s="873"/>
      <c r="GY46" s="873"/>
      <c r="GZ46" s="873"/>
      <c r="HA46" s="873"/>
      <c r="HB46" s="873"/>
      <c r="HC46" s="873"/>
      <c r="HD46" s="873"/>
      <c r="HE46" s="873"/>
      <c r="HF46" s="873"/>
      <c r="HG46" s="873"/>
      <c r="HH46" s="873"/>
      <c r="HI46" s="873"/>
      <c r="HJ46" s="873"/>
      <c r="HK46" s="873"/>
      <c r="HL46" s="873"/>
      <c r="HM46" s="873"/>
      <c r="HN46" s="873"/>
      <c r="HO46" s="873"/>
      <c r="HP46" s="873"/>
      <c r="HQ46" s="873"/>
      <c r="HR46" s="873"/>
      <c r="HS46" s="873"/>
      <c r="HT46" s="873"/>
      <c r="HU46" s="873"/>
      <c r="HV46" s="873"/>
      <c r="HW46" s="873"/>
      <c r="HX46" s="873"/>
      <c r="HY46" s="873"/>
      <c r="HZ46" s="873"/>
    </row>
    <row r="47" spans="1:234" ht="13.9" customHeight="1" x14ac:dyDescent="0.2">
      <c r="A47" s="873"/>
      <c r="CK47" s="873"/>
      <c r="CL47" s="873"/>
      <c r="CM47" s="873"/>
      <c r="CN47" s="873"/>
      <c r="CO47" s="873"/>
      <c r="CP47" s="873"/>
      <c r="CQ47" s="873"/>
      <c r="CR47" s="873"/>
      <c r="CS47" s="873"/>
      <c r="CT47" s="873"/>
      <c r="CU47" s="873"/>
      <c r="CV47" s="873"/>
      <c r="CW47" s="873"/>
      <c r="CX47" s="873"/>
      <c r="CY47" s="873"/>
      <c r="CZ47" s="873"/>
      <c r="DA47" s="873"/>
      <c r="DB47" s="873"/>
      <c r="DC47" s="873"/>
      <c r="DD47" s="873"/>
      <c r="DE47" s="873"/>
      <c r="DF47" s="873"/>
      <c r="DG47" s="873"/>
      <c r="DH47" s="873"/>
      <c r="DI47" s="873"/>
      <c r="DJ47" s="873"/>
      <c r="DK47" s="873"/>
      <c r="DL47" s="873"/>
      <c r="DM47" s="873"/>
      <c r="DN47" s="873"/>
      <c r="DO47" s="873"/>
      <c r="DP47" s="873"/>
      <c r="DQ47" s="873"/>
      <c r="DR47" s="873"/>
      <c r="DS47" s="873"/>
      <c r="DT47" s="873"/>
      <c r="DU47" s="873"/>
      <c r="DV47" s="873"/>
      <c r="DW47" s="873"/>
      <c r="DX47" s="873"/>
      <c r="DY47" s="873"/>
      <c r="DZ47" s="873"/>
      <c r="EA47" s="873"/>
      <c r="EB47" s="873"/>
      <c r="EC47" s="873"/>
      <c r="ED47" s="873"/>
      <c r="EE47" s="873"/>
      <c r="EF47" s="873"/>
      <c r="EG47" s="873"/>
      <c r="EH47" s="873"/>
      <c r="EI47" s="873"/>
      <c r="EJ47" s="873"/>
      <c r="EK47" s="873"/>
      <c r="EL47" s="873"/>
      <c r="EM47" s="873"/>
      <c r="EN47" s="873"/>
      <c r="EO47" s="873"/>
      <c r="EP47" s="873"/>
      <c r="EQ47" s="873"/>
      <c r="ER47" s="873"/>
      <c r="ES47" s="873"/>
      <c r="ET47" s="873"/>
      <c r="EU47" s="873"/>
      <c r="EV47" s="873"/>
      <c r="EW47" s="873"/>
      <c r="EX47" s="873"/>
      <c r="EY47" s="873"/>
      <c r="EZ47" s="873"/>
      <c r="FA47" s="873"/>
      <c r="FB47" s="873"/>
      <c r="FC47" s="873"/>
      <c r="FD47" s="873"/>
      <c r="FE47" s="873"/>
      <c r="FF47" s="873"/>
      <c r="FG47" s="873"/>
      <c r="FH47" s="873"/>
      <c r="FI47" s="873"/>
      <c r="FJ47" s="873"/>
      <c r="FK47" s="873"/>
      <c r="FL47" s="873"/>
      <c r="FM47" s="873"/>
      <c r="FN47" s="873"/>
      <c r="FO47" s="873"/>
      <c r="FP47" s="873"/>
      <c r="FQ47" s="873"/>
      <c r="FR47" s="873"/>
      <c r="FS47" s="873"/>
      <c r="FT47" s="873"/>
      <c r="FU47" s="873"/>
      <c r="FV47" s="873"/>
      <c r="FW47" s="873"/>
      <c r="FX47" s="873"/>
      <c r="FY47" s="873"/>
      <c r="FZ47" s="873"/>
      <c r="GA47" s="873"/>
      <c r="GB47" s="873"/>
      <c r="GC47" s="873"/>
      <c r="GD47" s="873"/>
      <c r="GE47" s="873"/>
      <c r="GF47" s="873"/>
      <c r="GG47" s="873"/>
      <c r="GH47" s="873"/>
      <c r="GI47" s="873"/>
      <c r="GJ47" s="873"/>
      <c r="GK47" s="873"/>
      <c r="GL47" s="873"/>
      <c r="GM47" s="873"/>
      <c r="GN47" s="873"/>
      <c r="GO47" s="873"/>
      <c r="GP47" s="873"/>
      <c r="GQ47" s="873"/>
      <c r="GR47" s="873"/>
      <c r="GS47" s="873"/>
      <c r="GT47" s="873"/>
      <c r="GU47" s="873"/>
      <c r="GV47" s="873"/>
      <c r="GW47" s="873"/>
      <c r="GX47" s="873"/>
      <c r="GY47" s="873"/>
      <c r="GZ47" s="873"/>
      <c r="HA47" s="873"/>
      <c r="HB47" s="873"/>
      <c r="HC47" s="873"/>
      <c r="HD47" s="873"/>
      <c r="HE47" s="873"/>
      <c r="HF47" s="873"/>
      <c r="HG47" s="873"/>
      <c r="HH47" s="873"/>
      <c r="HI47" s="873"/>
      <c r="HJ47" s="873"/>
      <c r="HK47" s="873"/>
      <c r="HL47" s="873"/>
      <c r="HM47" s="873"/>
      <c r="HN47" s="873"/>
      <c r="HO47" s="873"/>
      <c r="HP47" s="873"/>
      <c r="HQ47" s="873"/>
      <c r="HR47" s="873"/>
      <c r="HS47" s="873"/>
      <c r="HT47" s="873"/>
      <c r="HU47" s="873"/>
      <c r="HV47" s="873"/>
      <c r="HW47" s="873"/>
      <c r="HX47" s="873"/>
      <c r="HY47" s="873"/>
      <c r="HZ47" s="873"/>
    </row>
    <row r="48" spans="1:234" ht="13.9" customHeight="1" x14ac:dyDescent="0.2">
      <c r="CK48" s="873"/>
      <c r="CL48" s="873"/>
      <c r="CM48" s="873"/>
      <c r="CN48" s="873"/>
      <c r="CO48" s="873"/>
      <c r="CP48" s="873"/>
      <c r="CQ48" s="873"/>
      <c r="CR48" s="873"/>
      <c r="CS48" s="873"/>
      <c r="CT48" s="873"/>
      <c r="CU48" s="873"/>
      <c r="CV48" s="873"/>
      <c r="CW48" s="873"/>
      <c r="CX48" s="873"/>
      <c r="CY48" s="873"/>
      <c r="CZ48" s="873"/>
      <c r="DA48" s="873"/>
      <c r="DB48" s="873"/>
      <c r="DC48" s="873"/>
      <c r="DD48" s="873"/>
      <c r="DE48" s="873"/>
      <c r="DF48" s="873"/>
      <c r="DG48" s="873"/>
      <c r="DH48" s="873"/>
      <c r="DI48" s="873"/>
      <c r="DJ48" s="873"/>
      <c r="DK48" s="873"/>
      <c r="DL48" s="873"/>
      <c r="DM48" s="873"/>
      <c r="DN48" s="873"/>
      <c r="DO48" s="873"/>
      <c r="DP48" s="873"/>
      <c r="DQ48" s="873"/>
      <c r="DR48" s="873"/>
      <c r="DS48" s="873"/>
      <c r="DT48" s="873"/>
      <c r="DU48" s="873"/>
      <c r="DV48" s="873"/>
      <c r="DW48" s="873"/>
      <c r="DX48" s="873"/>
      <c r="DY48" s="873"/>
      <c r="DZ48" s="873"/>
      <c r="EA48" s="873"/>
      <c r="EB48" s="873"/>
      <c r="EC48" s="873"/>
      <c r="ED48" s="873"/>
      <c r="EE48" s="873"/>
      <c r="EF48" s="873"/>
      <c r="EG48" s="873"/>
      <c r="EH48" s="873"/>
      <c r="EI48" s="873"/>
      <c r="EJ48" s="873"/>
      <c r="EK48" s="873"/>
      <c r="EL48" s="873"/>
      <c r="EM48" s="873"/>
      <c r="EN48" s="873"/>
      <c r="EO48" s="873"/>
      <c r="EP48" s="873"/>
      <c r="EQ48" s="873"/>
      <c r="ER48" s="873"/>
      <c r="ES48" s="873"/>
      <c r="ET48" s="873"/>
      <c r="EU48" s="873"/>
      <c r="EV48" s="873"/>
      <c r="EW48" s="873"/>
      <c r="EX48" s="873"/>
      <c r="EY48" s="873"/>
      <c r="EZ48" s="873"/>
      <c r="FA48" s="873"/>
      <c r="FB48" s="873"/>
      <c r="FC48" s="873"/>
      <c r="FD48" s="873"/>
      <c r="FE48" s="873"/>
      <c r="FF48" s="873"/>
      <c r="FG48" s="873"/>
      <c r="FH48" s="873"/>
      <c r="FI48" s="873"/>
      <c r="FJ48" s="873"/>
      <c r="FK48" s="873"/>
      <c r="FL48" s="873"/>
      <c r="FM48" s="873"/>
      <c r="FN48" s="873"/>
      <c r="FO48" s="873"/>
      <c r="FP48" s="873"/>
      <c r="FQ48" s="873"/>
      <c r="FR48" s="873"/>
      <c r="FS48" s="873"/>
      <c r="FT48" s="873"/>
      <c r="FU48" s="873"/>
      <c r="FV48" s="873"/>
      <c r="FW48" s="873"/>
      <c r="FX48" s="873"/>
      <c r="FY48" s="873"/>
      <c r="FZ48" s="873"/>
      <c r="GA48" s="873"/>
      <c r="GB48" s="873"/>
      <c r="GC48" s="873"/>
      <c r="GD48" s="873"/>
      <c r="GE48" s="873"/>
      <c r="GF48" s="873"/>
      <c r="GG48" s="873"/>
      <c r="GH48" s="873"/>
      <c r="GI48" s="873"/>
      <c r="GJ48" s="873"/>
      <c r="GK48" s="873"/>
      <c r="GL48" s="873"/>
      <c r="GM48" s="873"/>
      <c r="GN48" s="873"/>
      <c r="GO48" s="873"/>
      <c r="GP48" s="873"/>
      <c r="GQ48" s="873"/>
      <c r="GR48" s="873"/>
      <c r="GS48" s="873"/>
      <c r="GT48" s="873"/>
      <c r="GU48" s="873"/>
      <c r="GV48" s="873"/>
      <c r="GW48" s="873"/>
      <c r="GX48" s="873"/>
      <c r="GY48" s="873"/>
      <c r="GZ48" s="873"/>
      <c r="HA48" s="873"/>
      <c r="HB48" s="873"/>
      <c r="HC48" s="873"/>
      <c r="HD48" s="873"/>
      <c r="HE48" s="873"/>
      <c r="HF48" s="873"/>
      <c r="HG48" s="873"/>
      <c r="HH48" s="873"/>
      <c r="HI48" s="873"/>
      <c r="HJ48" s="873"/>
      <c r="HK48" s="873"/>
      <c r="HL48" s="873"/>
      <c r="HM48" s="873"/>
      <c r="HN48" s="873"/>
      <c r="HO48" s="873"/>
      <c r="HP48" s="873"/>
      <c r="HQ48" s="873"/>
      <c r="HR48" s="873"/>
      <c r="HS48" s="873"/>
      <c r="HT48" s="873"/>
      <c r="HU48" s="873"/>
      <c r="HV48" s="873"/>
      <c r="HW48" s="873"/>
      <c r="HX48" s="873"/>
      <c r="HY48" s="873"/>
      <c r="HZ48" s="873"/>
    </row>
    <row r="49" spans="89:234" ht="13.9" customHeight="1" x14ac:dyDescent="0.2">
      <c r="CK49" s="873"/>
      <c r="CL49" s="873"/>
      <c r="CM49" s="873"/>
      <c r="CN49" s="873"/>
      <c r="CO49" s="873"/>
      <c r="CP49" s="873"/>
      <c r="CQ49" s="873"/>
      <c r="CR49" s="873"/>
      <c r="CS49" s="873"/>
      <c r="CT49" s="873"/>
      <c r="CU49" s="873"/>
      <c r="CV49" s="873"/>
      <c r="CW49" s="873"/>
      <c r="CX49" s="873"/>
      <c r="CY49" s="873"/>
      <c r="CZ49" s="873"/>
      <c r="DA49" s="873"/>
      <c r="DB49" s="873"/>
      <c r="DC49" s="873"/>
      <c r="DD49" s="873"/>
      <c r="DE49" s="873"/>
      <c r="DF49" s="873"/>
      <c r="DG49" s="873"/>
      <c r="DH49" s="873"/>
      <c r="DI49" s="873"/>
      <c r="DJ49" s="873"/>
      <c r="DK49" s="873"/>
      <c r="DL49" s="873"/>
      <c r="DM49" s="873"/>
      <c r="DN49" s="873"/>
      <c r="DO49" s="873"/>
      <c r="DP49" s="873"/>
      <c r="DQ49" s="873"/>
      <c r="DR49" s="873"/>
      <c r="DS49" s="873"/>
      <c r="DT49" s="873"/>
      <c r="DU49" s="873"/>
      <c r="DV49" s="873"/>
      <c r="DW49" s="873"/>
      <c r="DX49" s="873"/>
      <c r="DY49" s="873"/>
      <c r="DZ49" s="873"/>
      <c r="EA49" s="873"/>
      <c r="EB49" s="873"/>
      <c r="EC49" s="873"/>
      <c r="ED49" s="873"/>
      <c r="EE49" s="873"/>
      <c r="EF49" s="873"/>
      <c r="EG49" s="873"/>
      <c r="EH49" s="873"/>
      <c r="EI49" s="873"/>
      <c r="EJ49" s="873"/>
      <c r="EK49" s="873"/>
      <c r="EL49" s="873"/>
      <c r="EM49" s="873"/>
      <c r="EN49" s="873"/>
      <c r="EO49" s="873"/>
      <c r="EP49" s="873"/>
      <c r="EQ49" s="873"/>
      <c r="ER49" s="873"/>
      <c r="ES49" s="873"/>
      <c r="ET49" s="873"/>
      <c r="EU49" s="873"/>
      <c r="EV49" s="873"/>
      <c r="EW49" s="873"/>
      <c r="EX49" s="873"/>
      <c r="EY49" s="873"/>
      <c r="EZ49" s="873"/>
      <c r="FA49" s="873"/>
      <c r="FB49" s="873"/>
      <c r="FC49" s="873"/>
      <c r="FD49" s="873"/>
      <c r="FE49" s="873"/>
      <c r="FF49" s="873"/>
      <c r="FG49" s="873"/>
      <c r="FH49" s="873"/>
      <c r="FI49" s="873"/>
      <c r="FJ49" s="873"/>
      <c r="FK49" s="873"/>
      <c r="FL49" s="873"/>
      <c r="FM49" s="873"/>
      <c r="FN49" s="873"/>
      <c r="FO49" s="873"/>
      <c r="FP49" s="873"/>
      <c r="FQ49" s="873"/>
      <c r="FR49" s="873"/>
      <c r="FS49" s="873"/>
      <c r="FT49" s="873"/>
      <c r="FU49" s="873"/>
      <c r="FV49" s="873"/>
      <c r="FW49" s="873"/>
      <c r="FX49" s="873"/>
      <c r="FY49" s="873"/>
      <c r="FZ49" s="873"/>
      <c r="GA49" s="873"/>
      <c r="GB49" s="873"/>
      <c r="GC49" s="873"/>
      <c r="GD49" s="873"/>
      <c r="GE49" s="873"/>
      <c r="GF49" s="873"/>
      <c r="GG49" s="873"/>
      <c r="GH49" s="873"/>
      <c r="GI49" s="873"/>
      <c r="GJ49" s="873"/>
      <c r="GK49" s="873"/>
      <c r="GL49" s="873"/>
      <c r="GM49" s="873"/>
      <c r="GN49" s="873"/>
      <c r="GO49" s="873"/>
      <c r="GP49" s="873"/>
      <c r="GQ49" s="873"/>
      <c r="GR49" s="873"/>
      <c r="GS49" s="873"/>
      <c r="GT49" s="873"/>
      <c r="GU49" s="873"/>
      <c r="GV49" s="873"/>
      <c r="GW49" s="873"/>
      <c r="GX49" s="873"/>
      <c r="GY49" s="873"/>
      <c r="GZ49" s="873"/>
      <c r="HA49" s="873"/>
      <c r="HB49" s="873"/>
      <c r="HC49" s="873"/>
      <c r="HD49" s="873"/>
      <c r="HE49" s="873"/>
      <c r="HF49" s="873"/>
      <c r="HG49" s="873"/>
      <c r="HH49" s="873"/>
      <c r="HI49" s="873"/>
      <c r="HJ49" s="873"/>
      <c r="HK49" s="873"/>
      <c r="HL49" s="873"/>
      <c r="HM49" s="873"/>
      <c r="HN49" s="873"/>
      <c r="HO49" s="873"/>
      <c r="HP49" s="873"/>
      <c r="HQ49" s="873"/>
      <c r="HR49" s="873"/>
      <c r="HS49" s="873"/>
      <c r="HT49" s="873"/>
      <c r="HU49" s="873"/>
      <c r="HV49" s="873"/>
      <c r="HW49" s="873"/>
      <c r="HX49" s="873"/>
      <c r="HY49" s="873"/>
      <c r="HZ49" s="873"/>
    </row>
    <row r="50" spans="89:234" ht="13.9" customHeight="1" x14ac:dyDescent="0.2">
      <c r="CK50" s="873"/>
      <c r="CL50" s="873"/>
      <c r="CM50" s="873"/>
      <c r="CN50" s="873"/>
      <c r="CO50" s="873"/>
      <c r="CP50" s="873"/>
      <c r="CQ50" s="873"/>
      <c r="CR50" s="873"/>
      <c r="CS50" s="873"/>
      <c r="CT50" s="873"/>
      <c r="CU50" s="873"/>
      <c r="CV50" s="873"/>
      <c r="CW50" s="873"/>
      <c r="CX50" s="873"/>
      <c r="CY50" s="873"/>
      <c r="CZ50" s="873"/>
      <c r="DA50" s="873"/>
      <c r="DB50" s="873"/>
      <c r="DC50" s="873"/>
      <c r="DD50" s="873"/>
      <c r="DE50" s="873"/>
      <c r="DF50" s="873"/>
      <c r="DG50" s="873"/>
      <c r="DH50" s="873"/>
      <c r="DI50" s="873"/>
      <c r="DJ50" s="873"/>
      <c r="DK50" s="873"/>
      <c r="DL50" s="873"/>
      <c r="DM50" s="873"/>
      <c r="DN50" s="873"/>
      <c r="DO50" s="873"/>
      <c r="DP50" s="873"/>
      <c r="DQ50" s="873"/>
      <c r="DR50" s="873"/>
      <c r="DS50" s="873"/>
      <c r="DT50" s="873"/>
      <c r="DU50" s="873"/>
      <c r="DV50" s="873"/>
      <c r="DW50" s="873"/>
      <c r="DX50" s="873"/>
      <c r="DY50" s="873"/>
      <c r="DZ50" s="873"/>
      <c r="EA50" s="873"/>
      <c r="EB50" s="873"/>
      <c r="EC50" s="873"/>
      <c r="ED50" s="873"/>
      <c r="EE50" s="873"/>
      <c r="EF50" s="873"/>
      <c r="EG50" s="873"/>
      <c r="EH50" s="873"/>
      <c r="EI50" s="873"/>
      <c r="EJ50" s="873"/>
      <c r="EK50" s="873"/>
      <c r="EL50" s="873"/>
      <c r="EM50" s="873"/>
      <c r="EN50" s="873"/>
      <c r="EO50" s="873"/>
      <c r="EP50" s="873"/>
      <c r="EQ50" s="873"/>
      <c r="ER50" s="873"/>
      <c r="ES50" s="873"/>
      <c r="ET50" s="873"/>
      <c r="EU50" s="873"/>
      <c r="EV50" s="873"/>
      <c r="EW50" s="873"/>
      <c r="EX50" s="873"/>
      <c r="EY50" s="873"/>
      <c r="EZ50" s="873"/>
      <c r="FA50" s="873"/>
      <c r="FB50" s="873"/>
      <c r="FC50" s="873"/>
      <c r="FD50" s="873"/>
      <c r="FE50" s="873"/>
      <c r="FF50" s="873"/>
      <c r="FG50" s="873"/>
      <c r="FH50" s="873"/>
      <c r="FI50" s="873"/>
      <c r="FJ50" s="873"/>
      <c r="FK50" s="873"/>
      <c r="FL50" s="873"/>
      <c r="FM50" s="873"/>
      <c r="FN50" s="873"/>
      <c r="FO50" s="873"/>
      <c r="FP50" s="873"/>
      <c r="FQ50" s="873"/>
      <c r="FR50" s="873"/>
      <c r="FS50" s="873"/>
      <c r="FT50" s="873"/>
      <c r="FU50" s="873"/>
      <c r="FV50" s="873"/>
      <c r="FW50" s="873"/>
      <c r="FX50" s="873"/>
      <c r="FY50" s="873"/>
      <c r="FZ50" s="873"/>
      <c r="GA50" s="873"/>
      <c r="GB50" s="873"/>
      <c r="GC50" s="873"/>
      <c r="GD50" s="873"/>
      <c r="GE50" s="873"/>
      <c r="GF50" s="873"/>
      <c r="GG50" s="873"/>
      <c r="GH50" s="873"/>
      <c r="GI50" s="873"/>
      <c r="GJ50" s="873"/>
      <c r="GK50" s="873"/>
      <c r="GL50" s="873"/>
      <c r="GM50" s="873"/>
      <c r="GN50" s="873"/>
      <c r="GO50" s="873"/>
      <c r="GP50" s="873"/>
      <c r="GQ50" s="873"/>
      <c r="GR50" s="873"/>
      <c r="GS50" s="873"/>
      <c r="GT50" s="873"/>
      <c r="GU50" s="873"/>
      <c r="GV50" s="873"/>
      <c r="GW50" s="873"/>
      <c r="GX50" s="873"/>
      <c r="GY50" s="873"/>
      <c r="GZ50" s="873"/>
      <c r="HA50" s="873"/>
      <c r="HB50" s="873"/>
      <c r="HC50" s="873"/>
      <c r="HD50" s="873"/>
      <c r="HE50" s="873"/>
      <c r="HF50" s="873"/>
      <c r="HG50" s="873"/>
      <c r="HH50" s="873"/>
      <c r="HI50" s="873"/>
      <c r="HJ50" s="873"/>
      <c r="HK50" s="873"/>
      <c r="HL50" s="873"/>
      <c r="HM50" s="873"/>
      <c r="HN50" s="873"/>
      <c r="HO50" s="873"/>
      <c r="HP50" s="873"/>
      <c r="HQ50" s="873"/>
      <c r="HR50" s="873"/>
      <c r="HS50" s="873"/>
      <c r="HT50" s="873"/>
      <c r="HU50" s="873"/>
      <c r="HV50" s="873"/>
      <c r="HW50" s="873"/>
      <c r="HX50" s="873"/>
      <c r="HY50" s="873"/>
      <c r="HZ50" s="873"/>
    </row>
    <row r="51" spans="89:234" ht="13.9" customHeight="1" x14ac:dyDescent="0.2">
      <c r="CK51" s="873"/>
      <c r="CL51" s="873"/>
      <c r="CM51" s="873"/>
      <c r="CN51" s="873"/>
      <c r="CO51" s="873"/>
      <c r="CP51" s="873"/>
      <c r="CQ51" s="873"/>
      <c r="CR51" s="873"/>
      <c r="CS51" s="873"/>
      <c r="CT51" s="873"/>
      <c r="CU51" s="873"/>
      <c r="CV51" s="873"/>
      <c r="CW51" s="873"/>
      <c r="CX51" s="873"/>
      <c r="CY51" s="873"/>
      <c r="CZ51" s="873"/>
      <c r="DA51" s="873"/>
      <c r="DB51" s="873"/>
      <c r="DC51" s="873"/>
      <c r="DD51" s="873"/>
      <c r="DE51" s="873"/>
      <c r="DF51" s="873"/>
      <c r="DG51" s="873"/>
      <c r="DH51" s="873"/>
      <c r="DI51" s="873"/>
      <c r="DJ51" s="873"/>
      <c r="DK51" s="873"/>
      <c r="DL51" s="873"/>
      <c r="DM51" s="873"/>
      <c r="DN51" s="873"/>
      <c r="DO51" s="873"/>
      <c r="DP51" s="873"/>
      <c r="DQ51" s="873"/>
      <c r="DR51" s="873"/>
      <c r="DS51" s="873"/>
      <c r="DT51" s="873"/>
      <c r="DU51" s="873"/>
      <c r="DV51" s="873"/>
      <c r="DW51" s="873"/>
      <c r="DX51" s="873"/>
      <c r="DY51" s="873"/>
      <c r="DZ51" s="873"/>
      <c r="EA51" s="873"/>
      <c r="EB51" s="873"/>
      <c r="EC51" s="873"/>
      <c r="ED51" s="873"/>
      <c r="EE51" s="873"/>
      <c r="EF51" s="873"/>
      <c r="EG51" s="873"/>
      <c r="EH51" s="873"/>
      <c r="EI51" s="873"/>
      <c r="EJ51" s="873"/>
      <c r="EK51" s="873"/>
      <c r="EL51" s="873"/>
      <c r="EM51" s="873"/>
      <c r="EN51" s="873"/>
      <c r="EO51" s="873"/>
      <c r="EP51" s="873"/>
      <c r="EQ51" s="873"/>
      <c r="ER51" s="873"/>
      <c r="ES51" s="873"/>
      <c r="ET51" s="873"/>
      <c r="EU51" s="873"/>
      <c r="EV51" s="873"/>
      <c r="EW51" s="873"/>
      <c r="EX51" s="873"/>
      <c r="EY51" s="873"/>
      <c r="EZ51" s="873"/>
      <c r="FA51" s="873"/>
      <c r="FB51" s="873"/>
      <c r="FC51" s="873"/>
      <c r="FD51" s="873"/>
      <c r="FE51" s="873"/>
      <c r="FF51" s="873"/>
      <c r="FG51" s="873"/>
      <c r="FH51" s="873"/>
      <c r="FI51" s="873"/>
      <c r="FJ51" s="873"/>
      <c r="FK51" s="873"/>
      <c r="FL51" s="873"/>
      <c r="FM51" s="873"/>
      <c r="FN51" s="873"/>
      <c r="FO51" s="873"/>
      <c r="FP51" s="873"/>
      <c r="FQ51" s="873"/>
      <c r="FR51" s="873"/>
      <c r="FS51" s="873"/>
      <c r="FT51" s="873"/>
      <c r="FU51" s="873"/>
      <c r="FV51" s="873"/>
      <c r="FW51" s="873"/>
      <c r="FX51" s="873"/>
      <c r="FY51" s="873"/>
      <c r="FZ51" s="873"/>
      <c r="GA51" s="873"/>
      <c r="GB51" s="873"/>
      <c r="GC51" s="873"/>
      <c r="GD51" s="873"/>
      <c r="GE51" s="873"/>
      <c r="GF51" s="873"/>
      <c r="GG51" s="873"/>
      <c r="GH51" s="873"/>
      <c r="GI51" s="873"/>
      <c r="GJ51" s="873"/>
      <c r="GK51" s="873"/>
      <c r="GL51" s="873"/>
      <c r="GM51" s="873"/>
      <c r="GN51" s="873"/>
      <c r="GO51" s="873"/>
      <c r="GP51" s="873"/>
      <c r="GQ51" s="873"/>
      <c r="GR51" s="873"/>
      <c r="GS51" s="873"/>
      <c r="GT51" s="873"/>
      <c r="GU51" s="873"/>
      <c r="GV51" s="873"/>
      <c r="GW51" s="873"/>
      <c r="GX51" s="873"/>
      <c r="GY51" s="873"/>
      <c r="GZ51" s="873"/>
      <c r="HA51" s="873"/>
      <c r="HB51" s="873"/>
      <c r="HC51" s="873"/>
      <c r="HD51" s="873"/>
      <c r="HE51" s="873"/>
      <c r="HF51" s="873"/>
      <c r="HG51" s="873"/>
      <c r="HH51" s="873"/>
      <c r="HI51" s="873"/>
      <c r="HJ51" s="873"/>
      <c r="HK51" s="873"/>
      <c r="HL51" s="873"/>
      <c r="HM51" s="873"/>
      <c r="HN51" s="873"/>
      <c r="HO51" s="873"/>
      <c r="HP51" s="873"/>
      <c r="HQ51" s="873"/>
      <c r="HR51" s="873"/>
      <c r="HS51" s="873"/>
      <c r="HT51" s="873"/>
      <c r="HU51" s="873"/>
      <c r="HV51" s="873"/>
      <c r="HW51" s="873"/>
      <c r="HX51" s="873"/>
      <c r="HY51" s="873"/>
      <c r="HZ51" s="873"/>
    </row>
  </sheetData>
  <printOptions horizontalCentered="1" verticalCentered="1"/>
  <pageMargins left="0.74803149606299213" right="0.74803149606299213" top="0.98425196850393704" bottom="0.98425196850393704" header="0" footer="0"/>
  <pageSetup paperSize="9" scale="10" orientation="landscape" horizontalDpi="300" verticalDpi="300" r:id="rId1"/>
  <headerFooter alignWithMargins="0"/>
  <colBreaks count="1" manualBreakCount="1">
    <brk id="169" max="63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F269"/>
  <sheetViews>
    <sheetView showGridLines="0" view="pageBreakPreview" zoomScaleNormal="75" zoomScaleSheetLayoutView="90" workbookViewId="0">
      <pane xSplit="1" topLeftCell="DX1" activePane="topRight" state="frozen"/>
      <selection activeCell="IB59" sqref="IB59:JB59"/>
      <selection pane="topRight" activeCell="IB59" sqref="IB59:JB59"/>
    </sheetView>
  </sheetViews>
  <sheetFormatPr baseColWidth="10" defaultColWidth="8.7109375" defaultRowHeight="13.9" customHeight="1" x14ac:dyDescent="0.2"/>
  <cols>
    <col min="1" max="1" width="26.7109375" style="105" customWidth="1"/>
    <col min="2" max="22" width="10.140625" style="105" customWidth="1"/>
    <col min="23" max="102" width="9.140625" style="105" customWidth="1"/>
    <col min="103" max="121" width="9.28515625" style="105" customWidth="1"/>
    <col min="122" max="145" width="9.140625" style="105" customWidth="1"/>
    <col min="146" max="146" width="9.140625" customWidth="1"/>
    <col min="147" max="148" width="9" style="105" customWidth="1"/>
    <col min="149" max="149" width="8.7109375" style="105"/>
    <col min="150" max="150" width="9" style="105" customWidth="1"/>
    <col min="151" max="151" width="9.140625" style="105" customWidth="1"/>
    <col min="152" max="156" width="8.7109375" style="105"/>
    <col min="157" max="157" width="9" style="105" customWidth="1"/>
    <col min="158" max="16384" width="8.7109375" style="105"/>
  </cols>
  <sheetData>
    <row r="1" spans="1:162" ht="13.9" customHeight="1" x14ac:dyDescent="0.2">
      <c r="A1" s="184" t="s">
        <v>225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  <c r="CF1" s="208"/>
      <c r="CG1" s="208"/>
      <c r="CH1" s="208"/>
      <c r="CI1" s="208"/>
      <c r="CJ1" s="208"/>
      <c r="CK1" s="208"/>
      <c r="CL1" s="208"/>
      <c r="CM1" s="208"/>
      <c r="CN1" s="208"/>
      <c r="CO1" s="208"/>
      <c r="CP1" s="208"/>
      <c r="CQ1" s="208"/>
      <c r="CR1" s="208"/>
      <c r="CS1" s="208"/>
      <c r="CT1" s="208"/>
      <c r="CU1" s="208"/>
      <c r="CV1" s="208"/>
      <c r="CW1" s="208"/>
      <c r="CX1" s="208"/>
      <c r="CY1" s="208"/>
      <c r="CZ1" s="208"/>
      <c r="DA1" s="208"/>
      <c r="DB1" s="208"/>
      <c r="DC1" s="208"/>
      <c r="DD1" s="208"/>
      <c r="DE1" s="208"/>
      <c r="DF1" s="208"/>
      <c r="DG1" s="208"/>
      <c r="DH1" s="208"/>
      <c r="DI1" s="208"/>
      <c r="DJ1" s="208"/>
      <c r="DK1" s="208"/>
      <c r="DL1" s="208"/>
      <c r="DM1" s="208"/>
      <c r="DN1" s="208"/>
      <c r="DO1" s="208"/>
      <c r="DP1" s="208"/>
      <c r="DQ1" s="208"/>
      <c r="DR1" s="208"/>
      <c r="DS1" s="208"/>
      <c r="DT1" s="208"/>
      <c r="DU1" s="208"/>
      <c r="DV1" s="208"/>
      <c r="DW1" s="208"/>
      <c r="DX1" s="208"/>
      <c r="DY1" s="208"/>
      <c r="DZ1" s="208"/>
      <c r="EA1" s="208"/>
      <c r="EB1" s="208"/>
      <c r="EC1" s="208"/>
      <c r="ED1" s="208"/>
      <c r="EE1" s="208"/>
      <c r="EF1" s="208"/>
      <c r="EG1" s="208"/>
      <c r="EH1" s="208"/>
      <c r="EI1" s="208"/>
      <c r="EJ1" s="208"/>
      <c r="EK1" s="208"/>
      <c r="EL1" s="208"/>
      <c r="EM1" s="208"/>
      <c r="EN1" s="208"/>
      <c r="EO1" s="208"/>
      <c r="EQ1" s="208"/>
      <c r="ER1" s="208"/>
    </row>
    <row r="2" spans="1:162" ht="13.9" customHeight="1" x14ac:dyDescent="0.2">
      <c r="A2" s="184" t="s">
        <v>171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8"/>
      <c r="BH2" s="208"/>
      <c r="BI2" s="208"/>
      <c r="BJ2" s="208"/>
      <c r="BK2" s="208"/>
      <c r="BL2" s="208"/>
      <c r="BM2" s="208"/>
      <c r="BN2" s="208"/>
      <c r="BO2" s="208"/>
      <c r="BP2" s="208"/>
      <c r="BQ2" s="208"/>
      <c r="BR2" s="208"/>
      <c r="BS2" s="208"/>
      <c r="BT2" s="208"/>
      <c r="BU2" s="208"/>
      <c r="BV2" s="208"/>
      <c r="BW2" s="208"/>
      <c r="BX2" s="208"/>
      <c r="BY2" s="208"/>
      <c r="BZ2" s="208"/>
      <c r="CA2" s="208"/>
      <c r="CB2" s="208"/>
      <c r="CC2" s="208"/>
      <c r="CD2" s="208"/>
      <c r="CE2" s="208"/>
      <c r="CF2" s="208"/>
      <c r="CG2" s="208"/>
      <c r="CH2" s="208"/>
      <c r="CI2" s="208"/>
      <c r="CJ2" s="208"/>
      <c r="CK2" s="208"/>
      <c r="CL2" s="208"/>
      <c r="CM2" s="208"/>
      <c r="CN2" s="208"/>
      <c r="CO2" s="208"/>
      <c r="CP2" s="208"/>
      <c r="CQ2" s="208"/>
      <c r="CR2" s="208"/>
      <c r="CS2" s="208"/>
      <c r="CT2" s="208"/>
      <c r="CU2" s="208"/>
      <c r="CV2" s="208"/>
      <c r="CW2" s="208"/>
      <c r="CX2" s="208"/>
      <c r="CY2" s="208"/>
      <c r="CZ2" s="208"/>
      <c r="DA2" s="208"/>
      <c r="DB2" s="208"/>
      <c r="DC2" s="208"/>
      <c r="DD2" s="208"/>
      <c r="DE2" s="208"/>
      <c r="DF2" s="208"/>
      <c r="DG2" s="208"/>
      <c r="DH2" s="208"/>
      <c r="DI2" s="208"/>
      <c r="DJ2" s="208"/>
      <c r="DK2" s="208"/>
      <c r="DL2" s="208"/>
      <c r="DM2" s="208"/>
      <c r="DN2" s="208"/>
      <c r="DO2" s="208"/>
      <c r="DP2" s="208"/>
      <c r="DQ2" s="208"/>
      <c r="DR2" s="208"/>
      <c r="DS2" s="208"/>
      <c r="DT2" s="208"/>
      <c r="DU2" s="208"/>
      <c r="DV2" s="208"/>
      <c r="DW2" s="208"/>
      <c r="DX2" s="208"/>
      <c r="DY2" s="208"/>
      <c r="DZ2" s="208"/>
      <c r="EA2" s="208"/>
      <c r="EB2" s="208"/>
      <c r="EC2" s="208"/>
      <c r="ED2" s="208"/>
      <c r="EE2" s="208"/>
      <c r="EF2" s="208"/>
      <c r="EG2" s="208"/>
      <c r="EH2" s="208"/>
      <c r="EI2" s="208"/>
      <c r="EJ2" s="208"/>
      <c r="EK2" s="208"/>
      <c r="EL2" s="208"/>
      <c r="EM2" s="208"/>
      <c r="EN2" s="208"/>
      <c r="EO2" s="208"/>
      <c r="EQ2" s="208"/>
      <c r="ER2" s="208"/>
    </row>
    <row r="3" spans="1:162" ht="13.9" customHeight="1" x14ac:dyDescent="0.2">
      <c r="A3" s="213" t="s">
        <v>384</v>
      </c>
      <c r="B3" s="208"/>
      <c r="C3" s="751"/>
      <c r="D3" s="751"/>
      <c r="E3" s="751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8"/>
      <c r="BO3" s="208"/>
      <c r="BP3" s="208"/>
      <c r="BQ3" s="208"/>
      <c r="BR3" s="208"/>
      <c r="BS3" s="208"/>
      <c r="BT3" s="208"/>
      <c r="BU3" s="208"/>
      <c r="BV3" s="208"/>
      <c r="BW3" s="208"/>
      <c r="BX3" s="208"/>
      <c r="BY3" s="208"/>
      <c r="BZ3" s="208"/>
      <c r="CA3" s="208"/>
      <c r="CB3" s="208"/>
      <c r="CC3" s="208"/>
      <c r="CD3" s="208"/>
      <c r="CE3" s="208"/>
      <c r="CF3" s="208"/>
      <c r="CG3" s="208"/>
      <c r="CH3" s="208"/>
      <c r="CI3" s="208"/>
      <c r="CJ3" s="208"/>
      <c r="CK3" s="208"/>
      <c r="CL3" s="208"/>
      <c r="CM3" s="208"/>
      <c r="CN3" s="208"/>
      <c r="CO3" s="208"/>
      <c r="CP3" s="208"/>
      <c r="CQ3" s="208"/>
      <c r="CR3" s="208"/>
      <c r="CS3" s="208"/>
      <c r="CT3" s="208"/>
      <c r="CU3" s="208"/>
      <c r="CV3" s="208"/>
      <c r="CW3" s="208"/>
      <c r="CX3" s="208"/>
      <c r="CY3" s="208"/>
      <c r="CZ3" s="208"/>
      <c r="DA3" s="208"/>
      <c r="DB3" s="208"/>
      <c r="DC3" s="208"/>
      <c r="DD3" s="208"/>
      <c r="DE3" s="208"/>
      <c r="DF3" s="208"/>
      <c r="DG3" s="208"/>
      <c r="DH3" s="208"/>
      <c r="DI3" s="208"/>
      <c r="DJ3" s="208"/>
      <c r="DK3" s="208"/>
      <c r="DL3" s="208"/>
      <c r="DM3" s="208"/>
      <c r="DN3" s="208"/>
      <c r="DO3" s="208"/>
      <c r="DP3" s="208"/>
      <c r="DQ3" s="208"/>
      <c r="DR3" s="208"/>
      <c r="DS3" s="208"/>
      <c r="DT3" s="208"/>
      <c r="DU3" s="208"/>
      <c r="DV3" s="208"/>
      <c r="DW3" s="208"/>
      <c r="DX3" s="208"/>
      <c r="DY3" s="208"/>
      <c r="DZ3" s="208"/>
      <c r="EA3" s="208"/>
      <c r="EB3" s="208"/>
      <c r="EC3" s="208"/>
      <c r="ED3" s="208"/>
      <c r="EE3" s="208"/>
      <c r="EF3" s="208"/>
      <c r="EG3" s="208"/>
      <c r="EH3" s="208"/>
      <c r="EI3" s="208"/>
      <c r="EJ3" s="208"/>
      <c r="EK3" s="208"/>
      <c r="EL3" s="208"/>
      <c r="EM3" s="208"/>
      <c r="EN3" s="208"/>
      <c r="EO3" s="208"/>
      <c r="EQ3" s="208"/>
      <c r="ER3" s="208"/>
    </row>
    <row r="4" spans="1:162" ht="13.9" customHeight="1" x14ac:dyDescent="0.2">
      <c r="A4" s="944"/>
      <c r="B4" s="39">
        <f>YEAR(B5)</f>
        <v>2009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94"/>
      <c r="N4" s="39">
        <f>YEAR(N5)</f>
        <v>2010</v>
      </c>
      <c r="O4" s="40"/>
      <c r="P4" s="40"/>
      <c r="Q4" s="40"/>
      <c r="R4" s="40"/>
      <c r="S4" s="40"/>
      <c r="T4" s="40"/>
      <c r="U4" s="40"/>
      <c r="V4" s="40"/>
      <c r="W4" s="40"/>
      <c r="X4" s="40"/>
      <c r="Y4" s="94"/>
      <c r="Z4" s="39">
        <f>YEAR(Z5)</f>
        <v>2011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94"/>
      <c r="AL4" s="39">
        <f>YEAR(AL5)</f>
        <v>2012</v>
      </c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94"/>
      <c r="AX4" s="39">
        <f>YEAR(AX5)</f>
        <v>2013</v>
      </c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94"/>
      <c r="BJ4" s="39">
        <f>YEAR(BJ5)</f>
        <v>2014</v>
      </c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94"/>
      <c r="BV4" s="39">
        <f>YEAR(BV5)</f>
        <v>2015</v>
      </c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94"/>
      <c r="CH4" s="39">
        <f>YEAR(CH5)</f>
        <v>2016</v>
      </c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94"/>
      <c r="CT4" s="39">
        <f>YEAR(CT5)</f>
        <v>2017</v>
      </c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94"/>
      <c r="DF4" s="39">
        <f>YEAR(DF5)</f>
        <v>2018</v>
      </c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94"/>
      <c r="DR4" s="39">
        <f>YEAR(DR5)</f>
        <v>2019</v>
      </c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94"/>
      <c r="ED4" s="39">
        <f>YEAR(ED5)</f>
        <v>2020</v>
      </c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94"/>
      <c r="EQ4" s="942" t="s">
        <v>77</v>
      </c>
      <c r="ER4" s="821"/>
      <c r="FF4" s="1035" t="s">
        <v>538</v>
      </c>
    </row>
    <row r="5" spans="1:162" ht="13.9" customHeight="1" x14ac:dyDescent="0.2">
      <c r="A5" s="205"/>
      <c r="B5" s="68">
        <v>39814</v>
      </c>
      <c r="C5" s="69">
        <v>39845</v>
      </c>
      <c r="D5" s="69">
        <v>39873</v>
      </c>
      <c r="E5" s="69">
        <v>39904</v>
      </c>
      <c r="F5" s="69">
        <v>39934</v>
      </c>
      <c r="G5" s="69">
        <v>39965</v>
      </c>
      <c r="H5" s="69">
        <v>39995</v>
      </c>
      <c r="I5" s="69">
        <v>40026</v>
      </c>
      <c r="J5" s="69">
        <v>40057</v>
      </c>
      <c r="K5" s="69">
        <v>40087</v>
      </c>
      <c r="L5" s="69">
        <v>40118</v>
      </c>
      <c r="M5" s="138">
        <v>40148</v>
      </c>
      <c r="N5" s="68">
        <v>40179</v>
      </c>
      <c r="O5" s="69">
        <v>40210</v>
      </c>
      <c r="P5" s="69">
        <v>40238</v>
      </c>
      <c r="Q5" s="69">
        <v>40269</v>
      </c>
      <c r="R5" s="69">
        <v>40299</v>
      </c>
      <c r="S5" s="69">
        <v>40330</v>
      </c>
      <c r="T5" s="69">
        <v>40360</v>
      </c>
      <c r="U5" s="69">
        <v>40391</v>
      </c>
      <c r="V5" s="69">
        <v>40422</v>
      </c>
      <c r="W5" s="69">
        <v>40452</v>
      </c>
      <c r="X5" s="69">
        <v>40483</v>
      </c>
      <c r="Y5" s="138">
        <v>40513</v>
      </c>
      <c r="Z5" s="68">
        <v>40544</v>
      </c>
      <c r="AA5" s="69">
        <v>40575</v>
      </c>
      <c r="AB5" s="69">
        <v>40603</v>
      </c>
      <c r="AC5" s="69">
        <v>40634</v>
      </c>
      <c r="AD5" s="69">
        <v>40664</v>
      </c>
      <c r="AE5" s="69">
        <v>40695</v>
      </c>
      <c r="AF5" s="69">
        <v>40725</v>
      </c>
      <c r="AG5" s="69">
        <v>40756</v>
      </c>
      <c r="AH5" s="69">
        <v>40787</v>
      </c>
      <c r="AI5" s="69">
        <v>40817</v>
      </c>
      <c r="AJ5" s="69">
        <v>40848</v>
      </c>
      <c r="AK5" s="138">
        <v>40878</v>
      </c>
      <c r="AL5" s="68">
        <v>40909</v>
      </c>
      <c r="AM5" s="69">
        <v>40940</v>
      </c>
      <c r="AN5" s="69">
        <v>40969</v>
      </c>
      <c r="AO5" s="69">
        <v>41000</v>
      </c>
      <c r="AP5" s="69">
        <v>41030</v>
      </c>
      <c r="AQ5" s="69">
        <v>41061</v>
      </c>
      <c r="AR5" s="69">
        <v>41091</v>
      </c>
      <c r="AS5" s="69">
        <v>41122</v>
      </c>
      <c r="AT5" s="69">
        <v>41153</v>
      </c>
      <c r="AU5" s="69">
        <v>41183</v>
      </c>
      <c r="AV5" s="69">
        <v>41214</v>
      </c>
      <c r="AW5" s="138">
        <v>41244</v>
      </c>
      <c r="AX5" s="68">
        <v>41275</v>
      </c>
      <c r="AY5" s="69">
        <v>41306</v>
      </c>
      <c r="AZ5" s="69">
        <v>41334</v>
      </c>
      <c r="BA5" s="69">
        <v>41365</v>
      </c>
      <c r="BB5" s="69">
        <v>41395</v>
      </c>
      <c r="BC5" s="69">
        <v>41426</v>
      </c>
      <c r="BD5" s="69">
        <v>41456</v>
      </c>
      <c r="BE5" s="69">
        <v>41487</v>
      </c>
      <c r="BF5" s="69">
        <v>41518</v>
      </c>
      <c r="BG5" s="69">
        <v>41548</v>
      </c>
      <c r="BH5" s="69">
        <v>41579</v>
      </c>
      <c r="BI5" s="138">
        <v>41609</v>
      </c>
      <c r="BJ5" s="68">
        <v>41640</v>
      </c>
      <c r="BK5" s="69">
        <v>41671</v>
      </c>
      <c r="BL5" s="69">
        <v>41699</v>
      </c>
      <c r="BM5" s="69">
        <v>41730</v>
      </c>
      <c r="BN5" s="69">
        <v>41760</v>
      </c>
      <c r="BO5" s="69">
        <v>41791</v>
      </c>
      <c r="BP5" s="69">
        <v>41821</v>
      </c>
      <c r="BQ5" s="69">
        <v>41852</v>
      </c>
      <c r="BR5" s="69">
        <v>41883</v>
      </c>
      <c r="BS5" s="69">
        <v>41913</v>
      </c>
      <c r="BT5" s="69">
        <v>41944</v>
      </c>
      <c r="BU5" s="138">
        <v>41974</v>
      </c>
      <c r="BV5" s="68">
        <v>42005</v>
      </c>
      <c r="BW5" s="69">
        <v>42036</v>
      </c>
      <c r="BX5" s="69">
        <v>42064</v>
      </c>
      <c r="BY5" s="69">
        <v>42095</v>
      </c>
      <c r="BZ5" s="69">
        <v>42125</v>
      </c>
      <c r="CA5" s="69">
        <v>42156</v>
      </c>
      <c r="CB5" s="69">
        <v>42186</v>
      </c>
      <c r="CC5" s="69">
        <v>42217</v>
      </c>
      <c r="CD5" s="69">
        <v>42248</v>
      </c>
      <c r="CE5" s="69">
        <v>42278</v>
      </c>
      <c r="CF5" s="69">
        <v>42309</v>
      </c>
      <c r="CG5" s="138">
        <v>42339</v>
      </c>
      <c r="CH5" s="68">
        <v>42370</v>
      </c>
      <c r="CI5" s="69">
        <v>42401</v>
      </c>
      <c r="CJ5" s="69">
        <v>42430</v>
      </c>
      <c r="CK5" s="69">
        <v>42461</v>
      </c>
      <c r="CL5" s="69">
        <v>42491</v>
      </c>
      <c r="CM5" s="69">
        <v>42522</v>
      </c>
      <c r="CN5" s="69">
        <v>42552</v>
      </c>
      <c r="CO5" s="69">
        <v>42583</v>
      </c>
      <c r="CP5" s="69">
        <v>42614</v>
      </c>
      <c r="CQ5" s="69">
        <v>42644</v>
      </c>
      <c r="CR5" s="69">
        <v>42675</v>
      </c>
      <c r="CS5" s="138">
        <v>42705</v>
      </c>
      <c r="CT5" s="68">
        <v>42736</v>
      </c>
      <c r="CU5" s="69">
        <v>42767</v>
      </c>
      <c r="CV5" s="69">
        <v>42795</v>
      </c>
      <c r="CW5" s="69">
        <v>42826</v>
      </c>
      <c r="CX5" s="69">
        <v>42856</v>
      </c>
      <c r="CY5" s="69">
        <v>42887</v>
      </c>
      <c r="CZ5" s="69">
        <v>42917</v>
      </c>
      <c r="DA5" s="69">
        <v>42948</v>
      </c>
      <c r="DB5" s="69">
        <v>42979</v>
      </c>
      <c r="DC5" s="69">
        <v>43009</v>
      </c>
      <c r="DD5" s="69">
        <v>43040</v>
      </c>
      <c r="DE5" s="138">
        <v>43070</v>
      </c>
      <c r="DF5" s="68">
        <v>43101</v>
      </c>
      <c r="DG5" s="69">
        <v>43132</v>
      </c>
      <c r="DH5" s="69">
        <v>43160</v>
      </c>
      <c r="DI5" s="69">
        <v>43191</v>
      </c>
      <c r="DJ5" s="69">
        <v>43221</v>
      </c>
      <c r="DK5" s="69">
        <v>43252</v>
      </c>
      <c r="DL5" s="69">
        <v>43282</v>
      </c>
      <c r="DM5" s="69">
        <v>43313</v>
      </c>
      <c r="DN5" s="69">
        <v>43344</v>
      </c>
      <c r="DO5" s="69">
        <v>43374</v>
      </c>
      <c r="DP5" s="69">
        <v>43405</v>
      </c>
      <c r="DQ5" s="138">
        <v>43435</v>
      </c>
      <c r="DR5" s="68">
        <v>43466</v>
      </c>
      <c r="DS5" s="69">
        <v>43497</v>
      </c>
      <c r="DT5" s="69">
        <v>43525</v>
      </c>
      <c r="DU5" s="69">
        <v>43556</v>
      </c>
      <c r="DV5" s="69">
        <v>43586</v>
      </c>
      <c r="DW5" s="69">
        <v>43617</v>
      </c>
      <c r="DX5" s="69">
        <v>43647</v>
      </c>
      <c r="DY5" s="69">
        <v>43678</v>
      </c>
      <c r="DZ5" s="69">
        <v>43709</v>
      </c>
      <c r="EA5" s="69">
        <v>43739</v>
      </c>
      <c r="EB5" s="69">
        <v>43770</v>
      </c>
      <c r="EC5" s="138">
        <v>43800</v>
      </c>
      <c r="ED5" s="68">
        <v>43831</v>
      </c>
      <c r="EE5" s="69">
        <v>43862</v>
      </c>
      <c r="EF5" s="69">
        <v>43891</v>
      </c>
      <c r="EG5" s="69">
        <v>43922</v>
      </c>
      <c r="EH5" s="69">
        <v>43952</v>
      </c>
      <c r="EI5" s="69">
        <v>43983</v>
      </c>
      <c r="EJ5" s="69">
        <v>44013</v>
      </c>
      <c r="EK5" s="69">
        <v>44044</v>
      </c>
      <c r="EL5" s="69">
        <v>44075</v>
      </c>
      <c r="EM5" s="69">
        <v>44105</v>
      </c>
      <c r="EN5" s="69">
        <v>44136</v>
      </c>
      <c r="EO5" s="138">
        <v>44166</v>
      </c>
      <c r="EQ5" s="823" t="s">
        <v>287</v>
      </c>
      <c r="ER5" s="823" t="s">
        <v>12</v>
      </c>
      <c r="FF5" s="190"/>
    </row>
    <row r="6" spans="1:162" ht="13.9" customHeight="1" x14ac:dyDescent="0.2">
      <c r="A6" s="944"/>
      <c r="B6" s="36"/>
      <c r="M6" s="752"/>
      <c r="Y6" s="752"/>
      <c r="AF6" s="36"/>
      <c r="AG6" s="36"/>
      <c r="AH6" s="36"/>
      <c r="AI6" s="36"/>
      <c r="AJ6" s="36"/>
      <c r="AK6" s="36"/>
      <c r="AL6" s="753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753"/>
      <c r="AY6" s="36"/>
      <c r="AZ6" s="36"/>
      <c r="BA6" s="36"/>
      <c r="BB6" s="36"/>
      <c r="BJ6" s="753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754"/>
      <c r="BV6" s="753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754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755"/>
      <c r="DF6" s="753"/>
      <c r="DG6" s="36"/>
      <c r="DH6" s="36"/>
      <c r="DI6" s="36"/>
      <c r="DQ6" s="752"/>
      <c r="EC6" s="752"/>
      <c r="ED6" s="755"/>
      <c r="EE6" s="36"/>
      <c r="EF6" s="36"/>
      <c r="EG6" s="36"/>
      <c r="EH6" s="36"/>
      <c r="EM6" s="36"/>
      <c r="EN6" s="36"/>
      <c r="EO6" s="752"/>
      <c r="EQ6" s="756"/>
      <c r="ER6" s="756"/>
      <c r="FF6" s="190"/>
    </row>
    <row r="7" spans="1:162" ht="13.9" customHeight="1" x14ac:dyDescent="0.2">
      <c r="A7" s="312" t="s">
        <v>13</v>
      </c>
      <c r="B7" s="29">
        <f t="shared" ref="B7:Y7" si="0">SUM(B9+B29+B20)</f>
        <v>842170</v>
      </c>
      <c r="C7" s="29">
        <f t="shared" si="0"/>
        <v>869401</v>
      </c>
      <c r="D7" s="29">
        <f t="shared" si="0"/>
        <v>871448</v>
      </c>
      <c r="E7" s="29">
        <f t="shared" si="0"/>
        <v>872916</v>
      </c>
      <c r="F7" s="29">
        <f t="shared" si="0"/>
        <v>890085</v>
      </c>
      <c r="G7" s="29">
        <f t="shared" si="0"/>
        <v>879765</v>
      </c>
      <c r="H7" s="29">
        <f t="shared" si="0"/>
        <v>889045</v>
      </c>
      <c r="I7" s="29">
        <f t="shared" si="0"/>
        <v>888404</v>
      </c>
      <c r="J7" s="29">
        <f t="shared" si="0"/>
        <v>899273</v>
      </c>
      <c r="K7" s="29">
        <f t="shared" si="0"/>
        <v>911971</v>
      </c>
      <c r="L7" s="29">
        <f t="shared" si="0"/>
        <v>925811</v>
      </c>
      <c r="M7" s="15">
        <f t="shared" si="0"/>
        <v>928312</v>
      </c>
      <c r="N7" s="29">
        <f t="shared" si="0"/>
        <v>934718.64188000001</v>
      </c>
      <c r="O7" s="29">
        <f t="shared" si="0"/>
        <v>951550</v>
      </c>
      <c r="P7" s="29">
        <f t="shared" si="0"/>
        <v>958048</v>
      </c>
      <c r="Q7" s="29">
        <f t="shared" si="0"/>
        <v>962906</v>
      </c>
      <c r="R7" s="29">
        <f t="shared" si="0"/>
        <v>963981</v>
      </c>
      <c r="S7" s="29">
        <f t="shared" si="0"/>
        <v>970257</v>
      </c>
      <c r="T7" s="29">
        <f t="shared" si="0"/>
        <v>983575</v>
      </c>
      <c r="U7" s="29">
        <f t="shared" si="0"/>
        <v>1004181</v>
      </c>
      <c r="V7" s="29">
        <f t="shared" si="0"/>
        <v>1022124</v>
      </c>
      <c r="W7" s="29">
        <f t="shared" si="0"/>
        <v>1053178</v>
      </c>
      <c r="X7" s="29">
        <f t="shared" si="0"/>
        <v>1088525.5710500001</v>
      </c>
      <c r="Y7" s="15">
        <f t="shared" si="0"/>
        <v>1104004</v>
      </c>
      <c r="Z7" s="29">
        <f t="shared" ref="Z7:BE7" si="1">Z9+Z19+Z52+Z53</f>
        <v>1227774.4477900001</v>
      </c>
      <c r="AA7" s="29">
        <f t="shared" si="1"/>
        <v>1267760.7233200001</v>
      </c>
      <c r="AB7" s="29">
        <f t="shared" si="1"/>
        <v>1301157.7922100001</v>
      </c>
      <c r="AC7" s="29">
        <f t="shared" si="1"/>
        <v>1319791.3847399999</v>
      </c>
      <c r="AD7" s="29">
        <f t="shared" si="1"/>
        <v>1342485.4885499999</v>
      </c>
      <c r="AE7" s="29">
        <f t="shared" si="1"/>
        <v>1354924.6767300002</v>
      </c>
      <c r="AF7" s="29">
        <f t="shared" si="1"/>
        <v>1364183.1382299999</v>
      </c>
      <c r="AG7" s="29">
        <f t="shared" si="1"/>
        <v>1395358.5975200001</v>
      </c>
      <c r="AH7" s="29">
        <f t="shared" si="1"/>
        <v>1431653.4308200001</v>
      </c>
      <c r="AI7" s="29">
        <f t="shared" si="1"/>
        <v>1463032.6421300001</v>
      </c>
      <c r="AJ7" s="29">
        <f t="shared" si="1"/>
        <v>1505913.09342</v>
      </c>
      <c r="AK7" s="29">
        <f t="shared" si="1"/>
        <v>1534078.02235</v>
      </c>
      <c r="AL7" s="51">
        <f t="shared" si="1"/>
        <v>1565762.83565</v>
      </c>
      <c r="AM7" s="29">
        <f t="shared" si="1"/>
        <v>1614111.24657</v>
      </c>
      <c r="AN7" s="29">
        <f t="shared" si="1"/>
        <v>1662310.1786499999</v>
      </c>
      <c r="AO7" s="29">
        <f t="shared" si="1"/>
        <v>1688672.5739999998</v>
      </c>
      <c r="AP7" s="29">
        <f t="shared" si="1"/>
        <v>1705882.6871499999</v>
      </c>
      <c r="AQ7" s="29">
        <f t="shared" si="1"/>
        <v>1711507.91463</v>
      </c>
      <c r="AR7" s="29">
        <f t="shared" si="1"/>
        <v>1713993.15451</v>
      </c>
      <c r="AS7" s="29">
        <f t="shared" si="1"/>
        <v>1745115.42542</v>
      </c>
      <c r="AT7" s="29">
        <f t="shared" si="1"/>
        <v>1767796.3895999999</v>
      </c>
      <c r="AU7" s="29">
        <f t="shared" si="1"/>
        <v>1797076.1386600002</v>
      </c>
      <c r="AV7" s="29">
        <f t="shared" si="1"/>
        <v>1829947.24</v>
      </c>
      <c r="AW7" s="29">
        <f t="shared" si="1"/>
        <v>1844832.0766799999</v>
      </c>
      <c r="AX7" s="51">
        <f t="shared" si="1"/>
        <v>1865446.22529</v>
      </c>
      <c r="AY7" s="29">
        <f t="shared" si="1"/>
        <v>1876488.95682</v>
      </c>
      <c r="AZ7" s="29">
        <f t="shared" si="1"/>
        <v>1908470.6957400001</v>
      </c>
      <c r="BA7" s="29">
        <f t="shared" si="1"/>
        <v>1926901.8834199999</v>
      </c>
      <c r="BB7" s="29">
        <f t="shared" si="1"/>
        <v>1936753.1277199998</v>
      </c>
      <c r="BC7" s="29">
        <f t="shared" si="1"/>
        <v>1935737.8973900001</v>
      </c>
      <c r="BD7" s="29">
        <f t="shared" si="1"/>
        <v>1926778.7020599998</v>
      </c>
      <c r="BE7" s="29">
        <f t="shared" si="1"/>
        <v>1946638.5975600001</v>
      </c>
      <c r="BF7" s="29">
        <f t="shared" ref="BF7:CK7" si="2">BF9+BF19+BF52+BF53</f>
        <v>1944876.8928699999</v>
      </c>
      <c r="BG7" s="29">
        <f t="shared" si="2"/>
        <v>1955538.9282900004</v>
      </c>
      <c r="BH7" s="29">
        <f t="shared" si="2"/>
        <v>1977435.32278</v>
      </c>
      <c r="BI7" s="29">
        <f t="shared" si="2"/>
        <v>1976327.9384499998</v>
      </c>
      <c r="BJ7" s="51">
        <f t="shared" si="2"/>
        <v>1986611.18089</v>
      </c>
      <c r="BK7" s="29">
        <f t="shared" si="2"/>
        <v>1999433.9173799998</v>
      </c>
      <c r="BL7" s="29">
        <f t="shared" si="2"/>
        <v>2004375.8858700003</v>
      </c>
      <c r="BM7" s="29">
        <f t="shared" si="2"/>
        <v>2017720.6917299998</v>
      </c>
      <c r="BN7" s="29">
        <f t="shared" si="2"/>
        <v>2026368.97801</v>
      </c>
      <c r="BO7" s="29">
        <f t="shared" si="2"/>
        <v>2022067.3390500001</v>
      </c>
      <c r="BP7" s="29">
        <f t="shared" si="2"/>
        <v>2035690.7138999996</v>
      </c>
      <c r="BQ7" s="29">
        <f t="shared" si="2"/>
        <v>2055502.2504300002</v>
      </c>
      <c r="BR7" s="29">
        <f t="shared" si="2"/>
        <v>2070456.4199300003</v>
      </c>
      <c r="BS7" s="29">
        <f t="shared" si="2"/>
        <v>2074115.7096199999</v>
      </c>
      <c r="BT7" s="29">
        <f t="shared" si="2"/>
        <v>2090940.8935200002</v>
      </c>
      <c r="BU7" s="15">
        <f t="shared" si="2"/>
        <v>2094458.20129</v>
      </c>
      <c r="BV7" s="51">
        <f t="shared" si="2"/>
        <v>2107325.8607900003</v>
      </c>
      <c r="BW7" s="29">
        <f t="shared" si="2"/>
        <v>2129284.8600700004</v>
      </c>
      <c r="BX7" s="29">
        <f t="shared" si="2"/>
        <v>2181334.9576900001</v>
      </c>
      <c r="BY7" s="29">
        <f t="shared" si="2"/>
        <v>2203208.6490199999</v>
      </c>
      <c r="BZ7" s="29">
        <f t="shared" si="2"/>
        <v>2219456.1096099997</v>
      </c>
      <c r="CA7" s="29">
        <f t="shared" si="2"/>
        <v>2216078.7285199999</v>
      </c>
      <c r="CB7" s="29">
        <f t="shared" si="2"/>
        <v>2241179.3744999999</v>
      </c>
      <c r="CC7" s="29">
        <f t="shared" si="2"/>
        <v>2196393.2172300001</v>
      </c>
      <c r="CD7" s="29">
        <f t="shared" si="2"/>
        <v>2216572.1639700006</v>
      </c>
      <c r="CE7" s="29">
        <f t="shared" si="2"/>
        <v>2228740.8383399998</v>
      </c>
      <c r="CF7" s="29">
        <f t="shared" si="2"/>
        <v>2244311.74609</v>
      </c>
      <c r="CG7" s="15">
        <f t="shared" si="2"/>
        <v>2244915.0764300004</v>
      </c>
      <c r="CH7" s="29">
        <f t="shared" si="2"/>
        <v>2242215.2100400003</v>
      </c>
      <c r="CI7" s="29">
        <f t="shared" si="2"/>
        <v>2263012.9348600004</v>
      </c>
      <c r="CJ7" s="29">
        <f t="shared" si="2"/>
        <v>2234634.91628</v>
      </c>
      <c r="CK7" s="29">
        <f t="shared" si="2"/>
        <v>2242135.36204</v>
      </c>
      <c r="CL7" s="29">
        <f t="shared" ref="CL7:DQ7" si="3">CL9+CL19+CL52+CL53</f>
        <v>2258974.3769899998</v>
      </c>
      <c r="CM7" s="29">
        <f t="shared" si="3"/>
        <v>2257088.0394100002</v>
      </c>
      <c r="CN7" s="29">
        <f t="shared" si="3"/>
        <v>2273249.0241399999</v>
      </c>
      <c r="CO7" s="29">
        <f t="shared" si="3"/>
        <v>2293109.5985600003</v>
      </c>
      <c r="CP7" s="29">
        <f t="shared" si="3"/>
        <v>2329105.1461999994</v>
      </c>
      <c r="CQ7" s="29">
        <f t="shared" si="3"/>
        <v>2343240.0536599997</v>
      </c>
      <c r="CR7" s="29">
        <f t="shared" si="3"/>
        <v>2371915.74034</v>
      </c>
      <c r="CS7" s="29">
        <f t="shared" si="3"/>
        <v>2387774.7724699997</v>
      </c>
      <c r="CT7" s="51">
        <f t="shared" si="3"/>
        <v>2368614.44833</v>
      </c>
      <c r="CU7" s="29">
        <f t="shared" si="3"/>
        <v>2396517.0353399999</v>
      </c>
      <c r="CV7" s="29">
        <f t="shared" si="3"/>
        <v>2412301.9104299997</v>
      </c>
      <c r="CW7" s="29">
        <f t="shared" si="3"/>
        <v>2414403.7951600002</v>
      </c>
      <c r="CX7" s="29">
        <f t="shared" si="3"/>
        <v>2488821.4444200001</v>
      </c>
      <c r="CY7" s="29">
        <f t="shared" si="3"/>
        <v>2486546.7054900001</v>
      </c>
      <c r="CZ7" s="29">
        <f t="shared" si="3"/>
        <v>2488678.7096299999</v>
      </c>
      <c r="DA7" s="29">
        <f t="shared" si="3"/>
        <v>2502500.5400800002</v>
      </c>
      <c r="DB7" s="29">
        <f t="shared" si="3"/>
        <v>2545366.1508599999</v>
      </c>
      <c r="DC7" s="29">
        <f t="shared" si="3"/>
        <v>2541386.54006</v>
      </c>
      <c r="DD7" s="29">
        <f t="shared" si="3"/>
        <v>2555147.3652299996</v>
      </c>
      <c r="DE7" s="29">
        <f t="shared" si="3"/>
        <v>2580658.69881</v>
      </c>
      <c r="DF7" s="51">
        <f t="shared" si="3"/>
        <v>2586307.4954599994</v>
      </c>
      <c r="DG7" s="29">
        <f t="shared" si="3"/>
        <v>2615398.9511499996</v>
      </c>
      <c r="DH7" s="29">
        <f t="shared" si="3"/>
        <v>2622551.4534999998</v>
      </c>
      <c r="DI7" s="29">
        <f t="shared" si="3"/>
        <v>2646939.0262200003</v>
      </c>
      <c r="DJ7" s="29">
        <f t="shared" si="3"/>
        <v>2677427.8202</v>
      </c>
      <c r="DK7" s="29">
        <f t="shared" si="3"/>
        <v>2700066.3026199997</v>
      </c>
      <c r="DL7" s="29">
        <f t="shared" si="3"/>
        <v>2723268.4399099997</v>
      </c>
      <c r="DM7" s="29">
        <f t="shared" si="3"/>
        <v>2734289.3848999999</v>
      </c>
      <c r="DN7" s="29">
        <f t="shared" si="3"/>
        <v>2767551.8687399998</v>
      </c>
      <c r="DO7" s="29">
        <f t="shared" si="3"/>
        <v>2790264.0865199999</v>
      </c>
      <c r="DP7" s="29">
        <f t="shared" si="3"/>
        <v>2814638.7900299998</v>
      </c>
      <c r="DQ7" s="15">
        <f t="shared" si="3"/>
        <v>2809616.5914500002</v>
      </c>
      <c r="DR7" s="29">
        <f t="shared" ref="DR7:EO7" si="4">DR9+DR19+DR52+DR53</f>
        <v>2815822.3791799997</v>
      </c>
      <c r="DS7" s="29">
        <f t="shared" si="4"/>
        <v>2831785.9301300002</v>
      </c>
      <c r="DT7" s="29">
        <f t="shared" si="4"/>
        <v>2849756.73459</v>
      </c>
      <c r="DU7" s="29">
        <f t="shared" si="4"/>
        <v>2810784.3946799999</v>
      </c>
      <c r="DV7" s="29">
        <f t="shared" si="4"/>
        <v>2822780.2135100001</v>
      </c>
      <c r="DW7" s="29">
        <f t="shared" si="4"/>
        <v>2832325.4616100001</v>
      </c>
      <c r="DX7" s="29">
        <f t="shared" si="4"/>
        <v>2822167.2419500002</v>
      </c>
      <c r="DY7" s="29">
        <f t="shared" si="4"/>
        <v>2839016.2368600005</v>
      </c>
      <c r="DZ7" s="29">
        <f t="shared" si="4"/>
        <v>2851743.2341799997</v>
      </c>
      <c r="EA7" s="29">
        <f t="shared" si="4"/>
        <v>2871571.8911199998</v>
      </c>
      <c r="EB7" s="29">
        <f t="shared" si="4"/>
        <v>2898622.1621799995</v>
      </c>
      <c r="EC7" s="15">
        <f t="shared" si="4"/>
        <v>2893410.3197499998</v>
      </c>
      <c r="ED7" s="51">
        <f t="shared" si="4"/>
        <v>2848949.7409899998</v>
      </c>
      <c r="EE7" s="29">
        <f t="shared" si="4"/>
        <v>2878364.25</v>
      </c>
      <c r="EF7" s="29">
        <f t="shared" si="4"/>
        <v>2839880.7039200002</v>
      </c>
      <c r="EG7" s="29">
        <f t="shared" si="4"/>
        <v>2802406.56629</v>
      </c>
      <c r="EH7" s="29">
        <f t="shared" si="4"/>
        <v>2889758.2</v>
      </c>
      <c r="EI7" s="29">
        <f t="shared" si="4"/>
        <v>2936498.5999999996</v>
      </c>
      <c r="EJ7" s="29">
        <f t="shared" si="4"/>
        <v>2998693.8582199998</v>
      </c>
      <c r="EK7" s="29">
        <f t="shared" si="4"/>
        <v>3030093.0930900001</v>
      </c>
      <c r="EL7" s="29">
        <f t="shared" si="4"/>
        <v>3073467.5</v>
      </c>
      <c r="EM7" s="29">
        <f t="shared" si="4"/>
        <v>3092633.9030499998</v>
      </c>
      <c r="EN7" s="29">
        <f t="shared" si="4"/>
        <v>3108512.8254</v>
      </c>
      <c r="EO7" s="15">
        <f t="shared" si="4"/>
        <v>3114852.5</v>
      </c>
      <c r="EQ7" s="757">
        <f>IFERROR(((EL7/EK7)-1)*100,"-")</f>
        <v>1.431454598174331</v>
      </c>
      <c r="ER7" s="757">
        <f>IFERROR(((EL7/DZ7)-1)*100,"-")</f>
        <v>7.7750431091583083</v>
      </c>
      <c r="ET7" s="945">
        <f>IFERROR(+ED7/$ED$7,"-")</f>
        <v>1</v>
      </c>
      <c r="FF7" s="190"/>
    </row>
    <row r="8" spans="1:162" ht="13.9" customHeight="1" x14ac:dyDescent="0.2">
      <c r="A8" s="199"/>
      <c r="B8" s="946"/>
      <c r="C8" s="946"/>
      <c r="D8" s="946"/>
      <c r="E8" s="946"/>
      <c r="F8" s="946"/>
      <c r="G8" s="946"/>
      <c r="H8" s="946"/>
      <c r="I8" s="946"/>
      <c r="J8" s="946"/>
      <c r="K8" s="946"/>
      <c r="L8" s="946"/>
      <c r="M8" s="947"/>
      <c r="N8" s="946"/>
      <c r="O8" s="946"/>
      <c r="P8" s="946"/>
      <c r="Q8" s="946"/>
      <c r="R8" s="946"/>
      <c r="S8" s="946"/>
      <c r="T8" s="946"/>
      <c r="U8" s="946"/>
      <c r="V8" s="946"/>
      <c r="W8" s="946"/>
      <c r="X8" s="946"/>
      <c r="Y8" s="947"/>
      <c r="Z8" s="946"/>
      <c r="AA8" s="946"/>
      <c r="AB8" s="946"/>
      <c r="AC8" s="946"/>
      <c r="AD8" s="946"/>
      <c r="AE8" s="946"/>
      <c r="AF8" s="946"/>
      <c r="AG8" s="946"/>
      <c r="AH8" s="946"/>
      <c r="AI8" s="946"/>
      <c r="AJ8" s="946"/>
      <c r="AK8" s="946"/>
      <c r="AL8" s="948"/>
      <c r="AM8" s="946"/>
      <c r="AN8" s="946"/>
      <c r="AO8" s="946"/>
      <c r="AP8" s="946"/>
      <c r="AQ8" s="946"/>
      <c r="AR8" s="946"/>
      <c r="AS8" s="946"/>
      <c r="AT8" s="946"/>
      <c r="AU8" s="946"/>
      <c r="AV8" s="946"/>
      <c r="AW8" s="946"/>
      <c r="AX8" s="948"/>
      <c r="AY8" s="946"/>
      <c r="AZ8" s="946"/>
      <c r="BA8" s="946"/>
      <c r="BB8" s="946"/>
      <c r="BC8" s="946"/>
      <c r="BD8" s="946"/>
      <c r="BE8" s="946"/>
      <c r="BF8" s="946"/>
      <c r="BG8" s="946"/>
      <c r="BH8" s="946"/>
      <c r="BI8" s="946"/>
      <c r="BJ8" s="948"/>
      <c r="BK8" s="946"/>
      <c r="BL8" s="946"/>
      <c r="BM8" s="946"/>
      <c r="BN8" s="946"/>
      <c r="BO8" s="946"/>
      <c r="BP8" s="946"/>
      <c r="BQ8" s="946"/>
      <c r="BR8" s="946"/>
      <c r="BS8" s="946"/>
      <c r="BT8" s="946"/>
      <c r="BU8" s="947"/>
      <c r="BV8" s="948"/>
      <c r="BW8" s="946"/>
      <c r="BX8" s="946"/>
      <c r="BY8" s="946"/>
      <c r="BZ8" s="946"/>
      <c r="CA8" s="946"/>
      <c r="CB8" s="946"/>
      <c r="CC8" s="946"/>
      <c r="CD8" s="946"/>
      <c r="CE8" s="946"/>
      <c r="CF8" s="946"/>
      <c r="CG8" s="947"/>
      <c r="CH8" s="946"/>
      <c r="CI8" s="946"/>
      <c r="CJ8" s="946"/>
      <c r="CK8" s="946"/>
      <c r="CL8" s="946"/>
      <c r="CM8" s="946"/>
      <c r="CN8" s="946"/>
      <c r="CO8" s="946"/>
      <c r="CP8" s="946"/>
      <c r="CQ8" s="946"/>
      <c r="CR8" s="946"/>
      <c r="CS8" s="946"/>
      <c r="CT8" s="948"/>
      <c r="CU8" s="946"/>
      <c r="CV8" s="946"/>
      <c r="CW8" s="946"/>
      <c r="CX8" s="946"/>
      <c r="CY8" s="946"/>
      <c r="CZ8" s="946"/>
      <c r="DA8" s="946"/>
      <c r="DB8" s="946"/>
      <c r="DC8" s="946"/>
      <c r="DD8" s="946"/>
      <c r="DE8" s="946"/>
      <c r="DF8" s="948"/>
      <c r="DG8" s="946"/>
      <c r="DH8" s="946"/>
      <c r="DI8" s="946"/>
      <c r="DJ8" s="946"/>
      <c r="DK8" s="946"/>
      <c r="DL8" s="946"/>
      <c r="DM8" s="946"/>
      <c r="DN8" s="946"/>
      <c r="DO8" s="946"/>
      <c r="DP8" s="946"/>
      <c r="DQ8" s="947"/>
      <c r="DR8" s="946"/>
      <c r="DS8" s="946"/>
      <c r="DT8" s="946"/>
      <c r="DU8" s="946"/>
      <c r="DV8" s="946"/>
      <c r="DW8" s="946"/>
      <c r="DX8" s="946"/>
      <c r="DY8" s="946"/>
      <c r="DZ8" s="946"/>
      <c r="EA8" s="946"/>
      <c r="EB8" s="946"/>
      <c r="EC8" s="947"/>
      <c r="ED8" s="948"/>
      <c r="EE8" s="946"/>
      <c r="EF8" s="946"/>
      <c r="EG8" s="946"/>
      <c r="EH8" s="946"/>
      <c r="EI8" s="946"/>
      <c r="EJ8" s="946"/>
      <c r="EK8" s="946"/>
      <c r="EL8" s="946"/>
      <c r="EM8" s="946"/>
      <c r="EN8" s="946"/>
      <c r="EO8" s="947"/>
      <c r="EQ8" s="757"/>
      <c r="ER8" s="757"/>
      <c r="ET8" s="945"/>
      <c r="FF8" s="190"/>
    </row>
    <row r="9" spans="1:162" s="211" customFormat="1" ht="13.9" customHeight="1" x14ac:dyDescent="0.2">
      <c r="A9" s="312" t="s">
        <v>222</v>
      </c>
      <c r="B9" s="29">
        <f t="shared" ref="B9:AG9" si="5">SUM(B10:B18)</f>
        <v>597011</v>
      </c>
      <c r="C9" s="29">
        <f t="shared" si="5"/>
        <v>618045</v>
      </c>
      <c r="D9" s="29">
        <f t="shared" si="5"/>
        <v>620912</v>
      </c>
      <c r="E9" s="29">
        <f t="shared" si="5"/>
        <v>611039</v>
      </c>
      <c r="F9" s="29">
        <f t="shared" si="5"/>
        <v>627828</v>
      </c>
      <c r="G9" s="29">
        <f t="shared" si="5"/>
        <v>620046</v>
      </c>
      <c r="H9" s="29">
        <f t="shared" si="5"/>
        <v>625908</v>
      </c>
      <c r="I9" s="29">
        <f t="shared" si="5"/>
        <v>622931</v>
      </c>
      <c r="J9" s="29">
        <f t="shared" si="5"/>
        <v>630036</v>
      </c>
      <c r="K9" s="29">
        <f t="shared" si="5"/>
        <v>642348</v>
      </c>
      <c r="L9" s="29">
        <f t="shared" si="5"/>
        <v>651985</v>
      </c>
      <c r="M9" s="15">
        <f t="shared" si="5"/>
        <v>653071</v>
      </c>
      <c r="N9" s="29">
        <f t="shared" si="5"/>
        <v>652628.64081000001</v>
      </c>
      <c r="O9" s="29">
        <f t="shared" si="5"/>
        <v>665309</v>
      </c>
      <c r="P9" s="29">
        <f t="shared" si="5"/>
        <v>672638</v>
      </c>
      <c r="Q9" s="29">
        <f t="shared" si="5"/>
        <v>678039</v>
      </c>
      <c r="R9" s="29">
        <f t="shared" si="5"/>
        <v>679378</v>
      </c>
      <c r="S9" s="29">
        <f t="shared" si="5"/>
        <v>682820</v>
      </c>
      <c r="T9" s="29">
        <f t="shared" si="5"/>
        <v>695294</v>
      </c>
      <c r="U9" s="29">
        <f t="shared" si="5"/>
        <v>710186</v>
      </c>
      <c r="V9" s="29">
        <f t="shared" si="5"/>
        <v>721817</v>
      </c>
      <c r="W9" s="29">
        <f t="shared" si="5"/>
        <v>745315</v>
      </c>
      <c r="X9" s="29">
        <f t="shared" si="5"/>
        <v>769033.78819000011</v>
      </c>
      <c r="Y9" s="15">
        <f t="shared" si="5"/>
        <v>774817</v>
      </c>
      <c r="Z9" s="29">
        <f t="shared" si="5"/>
        <v>789624</v>
      </c>
      <c r="AA9" s="29">
        <f t="shared" si="5"/>
        <v>814360</v>
      </c>
      <c r="AB9" s="29">
        <f t="shared" si="5"/>
        <v>837430</v>
      </c>
      <c r="AC9" s="29">
        <f t="shared" si="5"/>
        <v>853935</v>
      </c>
      <c r="AD9" s="29">
        <f t="shared" si="5"/>
        <v>874135</v>
      </c>
      <c r="AE9" s="29">
        <f t="shared" si="5"/>
        <v>885662</v>
      </c>
      <c r="AF9" s="29">
        <f t="shared" si="5"/>
        <v>897041</v>
      </c>
      <c r="AG9" s="29">
        <f t="shared" si="5"/>
        <v>920897</v>
      </c>
      <c r="AH9" s="29">
        <f t="shared" ref="AH9:DB9" si="6">SUM(AH10:AH18)</f>
        <v>941509</v>
      </c>
      <c r="AI9" s="29">
        <f t="shared" si="6"/>
        <v>960872</v>
      </c>
      <c r="AJ9" s="29">
        <f t="shared" si="6"/>
        <v>987716</v>
      </c>
      <c r="AK9" s="29">
        <f t="shared" si="6"/>
        <v>1005141</v>
      </c>
      <c r="AL9" s="51">
        <f t="shared" si="6"/>
        <v>1025165</v>
      </c>
      <c r="AM9" s="29">
        <f t="shared" si="6"/>
        <v>1059037</v>
      </c>
      <c r="AN9" s="29">
        <f t="shared" si="6"/>
        <v>1095641</v>
      </c>
      <c r="AO9" s="29">
        <f t="shared" si="6"/>
        <v>1119813</v>
      </c>
      <c r="AP9" s="29">
        <f t="shared" si="6"/>
        <v>1135829</v>
      </c>
      <c r="AQ9" s="29">
        <f t="shared" si="6"/>
        <v>1150492</v>
      </c>
      <c r="AR9" s="29">
        <f t="shared" si="6"/>
        <v>1154513</v>
      </c>
      <c r="AS9" s="29">
        <f t="shared" si="6"/>
        <v>1182366</v>
      </c>
      <c r="AT9" s="29">
        <f t="shared" si="6"/>
        <v>1197337</v>
      </c>
      <c r="AU9" s="29">
        <f t="shared" si="6"/>
        <v>1213811</v>
      </c>
      <c r="AV9" s="29">
        <f t="shared" si="6"/>
        <v>1233604</v>
      </c>
      <c r="AW9" s="29">
        <f t="shared" si="6"/>
        <v>1248562</v>
      </c>
      <c r="AX9" s="51">
        <f t="shared" si="6"/>
        <v>1261499</v>
      </c>
      <c r="AY9" s="29">
        <f t="shared" si="6"/>
        <v>1263858</v>
      </c>
      <c r="AZ9" s="29">
        <f t="shared" si="6"/>
        <v>1303101</v>
      </c>
      <c r="BA9" s="29">
        <f t="shared" si="6"/>
        <v>1316672</v>
      </c>
      <c r="BB9" s="29">
        <f t="shared" si="6"/>
        <v>1326261.5276599999</v>
      </c>
      <c r="BC9" s="29">
        <f t="shared" si="6"/>
        <v>1327898.0652600001</v>
      </c>
      <c r="BD9" s="29">
        <f t="shared" si="6"/>
        <v>1322707.1095499999</v>
      </c>
      <c r="BE9" s="29">
        <f t="shared" si="6"/>
        <v>1330130.0512300001</v>
      </c>
      <c r="BF9" s="29">
        <f t="shared" si="6"/>
        <v>1326068.74321</v>
      </c>
      <c r="BG9" s="29">
        <f t="shared" si="6"/>
        <v>1329833.8474500002</v>
      </c>
      <c r="BH9" s="29">
        <f t="shared" si="6"/>
        <v>1340265.8496999999</v>
      </c>
      <c r="BI9" s="29">
        <f t="shared" si="6"/>
        <v>1338769.1330999997</v>
      </c>
      <c r="BJ9" s="51">
        <f t="shared" si="6"/>
        <v>1342425.33962</v>
      </c>
      <c r="BK9" s="29">
        <f t="shared" si="6"/>
        <v>1344991.9853099999</v>
      </c>
      <c r="BL9" s="29">
        <f t="shared" si="6"/>
        <v>1349590.2549600003</v>
      </c>
      <c r="BM9" s="29">
        <f t="shared" si="6"/>
        <v>1359439.1410999999</v>
      </c>
      <c r="BN9" s="29">
        <f t="shared" si="6"/>
        <v>1364611.75181</v>
      </c>
      <c r="BO9" s="29">
        <f t="shared" si="6"/>
        <v>1367283.0000499999</v>
      </c>
      <c r="BP9" s="29">
        <f t="shared" si="6"/>
        <v>1373676.0333099996</v>
      </c>
      <c r="BQ9" s="29">
        <f t="shared" si="6"/>
        <v>1382884.1553300002</v>
      </c>
      <c r="BR9" s="29">
        <f t="shared" si="6"/>
        <v>1392881.0830100002</v>
      </c>
      <c r="BS9" s="29">
        <f t="shared" si="6"/>
        <v>1390664.22257</v>
      </c>
      <c r="BT9" s="29">
        <f t="shared" si="6"/>
        <v>1397513.41286</v>
      </c>
      <c r="BU9" s="15">
        <f t="shared" si="6"/>
        <v>1401667.2942100002</v>
      </c>
      <c r="BV9" s="51">
        <f t="shared" si="6"/>
        <v>1404500.36941</v>
      </c>
      <c r="BW9" s="29">
        <f t="shared" si="6"/>
        <v>1413187.1767500001</v>
      </c>
      <c r="BX9" s="29">
        <f t="shared" si="6"/>
        <v>1513743.1533800003</v>
      </c>
      <c r="BY9" s="29">
        <f t="shared" si="6"/>
        <v>1524601.0714699998</v>
      </c>
      <c r="BZ9" s="29">
        <f t="shared" si="6"/>
        <v>1529828.3530399997</v>
      </c>
      <c r="CA9" s="29">
        <f t="shared" si="6"/>
        <v>1528857.6093299999</v>
      </c>
      <c r="CB9" s="29">
        <f t="shared" si="6"/>
        <v>1551334.2298999999</v>
      </c>
      <c r="CC9" s="29">
        <f t="shared" si="6"/>
        <v>1501858.8613600002</v>
      </c>
      <c r="CD9" s="29">
        <f t="shared" si="6"/>
        <v>1515324.7964200003</v>
      </c>
      <c r="CE9" s="29">
        <f t="shared" si="6"/>
        <v>1522288.35836</v>
      </c>
      <c r="CF9" s="29">
        <f t="shared" si="6"/>
        <v>1530560.04623</v>
      </c>
      <c r="CG9" s="15">
        <f t="shared" si="6"/>
        <v>1533987.4071500001</v>
      </c>
      <c r="CH9" s="29">
        <f t="shared" si="6"/>
        <v>1527540.6596900003</v>
      </c>
      <c r="CI9" s="29">
        <f t="shared" si="6"/>
        <v>1540047.07354</v>
      </c>
      <c r="CJ9" s="29">
        <f t="shared" si="6"/>
        <v>1504930.77905</v>
      </c>
      <c r="CK9" s="29">
        <f t="shared" si="6"/>
        <v>1504998.32177</v>
      </c>
      <c r="CL9" s="29">
        <f t="shared" si="6"/>
        <v>1516395.0587099998</v>
      </c>
      <c r="CM9" s="29">
        <f t="shared" si="6"/>
        <v>1520758.89808</v>
      </c>
      <c r="CN9" s="29">
        <f t="shared" si="6"/>
        <v>1536422.57739</v>
      </c>
      <c r="CO9" s="29">
        <f t="shared" si="6"/>
        <v>1550910.9458600003</v>
      </c>
      <c r="CP9" s="29">
        <f t="shared" si="6"/>
        <v>1570606.2196400003</v>
      </c>
      <c r="CQ9" s="29">
        <f t="shared" si="6"/>
        <v>1571497.1613099996</v>
      </c>
      <c r="CR9" s="29">
        <f t="shared" si="6"/>
        <v>1577792.97273</v>
      </c>
      <c r="CS9" s="29">
        <f t="shared" si="6"/>
        <v>1578747.2773499999</v>
      </c>
      <c r="CT9" s="51">
        <f t="shared" si="6"/>
        <v>1553873.6980999999</v>
      </c>
      <c r="CU9" s="29">
        <f t="shared" si="6"/>
        <v>1563065.8546899999</v>
      </c>
      <c r="CV9" s="29">
        <f t="shared" si="6"/>
        <v>1567968.84846</v>
      </c>
      <c r="CW9" s="29">
        <f t="shared" si="6"/>
        <v>1567097.1678600002</v>
      </c>
      <c r="CX9" s="29">
        <f t="shared" si="6"/>
        <v>1599455.0880199997</v>
      </c>
      <c r="CY9" s="29">
        <f t="shared" si="6"/>
        <v>1605288.60962</v>
      </c>
      <c r="CZ9" s="29">
        <f t="shared" si="6"/>
        <v>1597432.5778999999</v>
      </c>
      <c r="DA9" s="29">
        <f t="shared" si="6"/>
        <v>1607715.3703299998</v>
      </c>
      <c r="DB9" s="29">
        <f t="shared" si="6"/>
        <v>1649217.4807499999</v>
      </c>
      <c r="DC9" s="29">
        <f t="shared" ref="DC9:EO9" si="7">SUM(DC10:DC18)</f>
        <v>1634141.0345400001</v>
      </c>
      <c r="DD9" s="29">
        <f t="shared" si="7"/>
        <v>1632188.41105</v>
      </c>
      <c r="DE9" s="29">
        <f t="shared" si="7"/>
        <v>1656055.1535700001</v>
      </c>
      <c r="DF9" s="51">
        <f t="shared" si="7"/>
        <v>1652389.6060099998</v>
      </c>
      <c r="DG9" s="29">
        <f t="shared" si="7"/>
        <v>1668129.5197199997</v>
      </c>
      <c r="DH9" s="29">
        <f t="shared" si="7"/>
        <v>1660972.27189</v>
      </c>
      <c r="DI9" s="29">
        <f t="shared" si="7"/>
        <v>1679699.76406</v>
      </c>
      <c r="DJ9" s="29">
        <f t="shared" si="7"/>
        <v>1700636.7504200002</v>
      </c>
      <c r="DK9" s="29">
        <f t="shared" si="7"/>
        <v>1721202.6285699999</v>
      </c>
      <c r="DL9" s="29">
        <f t="shared" si="7"/>
        <v>1741060.9415</v>
      </c>
      <c r="DM9" s="29">
        <f t="shared" si="7"/>
        <v>1734052.94129</v>
      </c>
      <c r="DN9" s="29">
        <f t="shared" si="7"/>
        <v>1762109.8077799999</v>
      </c>
      <c r="DO9" s="29">
        <f t="shared" si="7"/>
        <v>1777329.98016</v>
      </c>
      <c r="DP9" s="29">
        <f t="shared" si="7"/>
        <v>1792286.3277199999</v>
      </c>
      <c r="DQ9" s="15">
        <f t="shared" si="7"/>
        <v>1787306.74312</v>
      </c>
      <c r="DR9" s="29">
        <f t="shared" si="7"/>
        <v>1777945.4287699999</v>
      </c>
      <c r="DS9" s="29">
        <f t="shared" si="7"/>
        <v>1779326.2302699999</v>
      </c>
      <c r="DT9" s="29">
        <f t="shared" si="7"/>
        <v>1787708.79639</v>
      </c>
      <c r="DU9" s="29">
        <f t="shared" si="7"/>
        <v>1756938.77513</v>
      </c>
      <c r="DV9" s="29">
        <f t="shared" si="7"/>
        <v>1766788.49019</v>
      </c>
      <c r="DW9" s="29">
        <f t="shared" si="7"/>
        <v>1782362.3899599998</v>
      </c>
      <c r="DX9" s="29">
        <f t="shared" si="7"/>
        <v>1774852.8454800001</v>
      </c>
      <c r="DY9" s="29">
        <f t="shared" si="7"/>
        <v>1778484.8752600003</v>
      </c>
      <c r="DZ9" s="29">
        <f t="shared" si="7"/>
        <v>1779308.3696699997</v>
      </c>
      <c r="EA9" s="29">
        <f t="shared" si="7"/>
        <v>1786112.54688</v>
      </c>
      <c r="EB9" s="29">
        <f t="shared" si="7"/>
        <v>1799489.9045499999</v>
      </c>
      <c r="EC9" s="15">
        <f t="shared" si="7"/>
        <v>1793911.7202499998</v>
      </c>
      <c r="ED9" s="51">
        <f t="shared" si="7"/>
        <v>1744933.7941699997</v>
      </c>
      <c r="EE9" s="29">
        <f t="shared" si="7"/>
        <v>1761810</v>
      </c>
      <c r="EF9" s="29">
        <f t="shared" si="7"/>
        <v>1739637.8</v>
      </c>
      <c r="EG9" s="29">
        <f t="shared" si="7"/>
        <v>1723477</v>
      </c>
      <c r="EH9" s="29">
        <f t="shared" si="7"/>
        <v>1822292.6</v>
      </c>
      <c r="EI9" s="29">
        <f t="shared" si="7"/>
        <v>1871103.5</v>
      </c>
      <c r="EJ9" s="29">
        <f t="shared" si="7"/>
        <v>1926514.5</v>
      </c>
      <c r="EK9" s="29">
        <f t="shared" si="7"/>
        <v>1950418.7</v>
      </c>
      <c r="EL9" s="29">
        <f t="shared" si="7"/>
        <v>1980851.5</v>
      </c>
      <c r="EM9" s="29">
        <f t="shared" si="7"/>
        <v>1986624.5</v>
      </c>
      <c r="EN9" s="29">
        <f t="shared" si="7"/>
        <v>1995769</v>
      </c>
      <c r="EO9" s="15">
        <f t="shared" si="7"/>
        <v>1993417</v>
      </c>
      <c r="EP9" s="130"/>
      <c r="EQ9" s="757">
        <f t="shared" ref="EQ9:EQ57" si="8">IFERROR(((EL9/EK9)-1)*100,"-")</f>
        <v>1.5603213812500849</v>
      </c>
      <c r="ER9" s="757">
        <f t="shared" ref="ER9:ER57" si="9">IFERROR(((EL9/DZ9)-1)*100,"-")</f>
        <v>11.327048968323549</v>
      </c>
      <c r="ET9" s="1040">
        <f t="shared" ref="ET9:ET57" si="10">IFERROR(+ED9/$ED$7,"-")</f>
        <v>0.61248317899902349</v>
      </c>
      <c r="FF9" s="191" t="s">
        <v>237</v>
      </c>
    </row>
    <row r="10" spans="1:162" ht="13.9" customHeight="1" x14ac:dyDescent="0.2">
      <c r="A10" s="758" t="s">
        <v>276</v>
      </c>
      <c r="B10" s="24">
        <v>216932</v>
      </c>
      <c r="C10" s="24">
        <v>226134</v>
      </c>
      <c r="D10" s="24">
        <v>225344</v>
      </c>
      <c r="E10" s="24">
        <v>225236</v>
      </c>
      <c r="F10" s="24">
        <v>228509</v>
      </c>
      <c r="G10" s="24">
        <v>224408</v>
      </c>
      <c r="H10" s="24">
        <v>223567</v>
      </c>
      <c r="I10" s="24">
        <v>223572</v>
      </c>
      <c r="J10" s="24">
        <v>220793</v>
      </c>
      <c r="K10" s="24">
        <v>220562</v>
      </c>
      <c r="L10" s="24">
        <v>226804</v>
      </c>
      <c r="M10" s="23">
        <v>227631</v>
      </c>
      <c r="N10" s="24">
        <v>226192.45818000002</v>
      </c>
      <c r="O10" s="24">
        <v>231647</v>
      </c>
      <c r="P10" s="24">
        <v>235809</v>
      </c>
      <c r="Q10" s="24">
        <v>236797</v>
      </c>
      <c r="R10" s="24">
        <v>235354</v>
      </c>
      <c r="S10" s="24">
        <v>240471</v>
      </c>
      <c r="T10" s="24">
        <v>247867</v>
      </c>
      <c r="U10" s="24">
        <v>254500</v>
      </c>
      <c r="V10" s="24">
        <v>255176</v>
      </c>
      <c r="W10" s="24">
        <v>274057</v>
      </c>
      <c r="X10" s="24">
        <v>286795.86865999998</v>
      </c>
      <c r="Y10" s="23">
        <v>289752</v>
      </c>
      <c r="Z10" s="24">
        <v>295253</v>
      </c>
      <c r="AA10" s="24">
        <v>308020</v>
      </c>
      <c r="AB10" s="24">
        <v>321384</v>
      </c>
      <c r="AC10" s="24">
        <v>327940</v>
      </c>
      <c r="AD10" s="24">
        <v>341380</v>
      </c>
      <c r="AE10" s="24">
        <v>353165</v>
      </c>
      <c r="AF10" s="24">
        <v>362273</v>
      </c>
      <c r="AG10" s="24">
        <v>373241</v>
      </c>
      <c r="AH10" s="24">
        <v>382743</v>
      </c>
      <c r="AI10" s="24">
        <v>391227</v>
      </c>
      <c r="AJ10" s="24">
        <v>405259</v>
      </c>
      <c r="AK10" s="24">
        <v>411726</v>
      </c>
      <c r="AL10" s="52">
        <v>418589</v>
      </c>
      <c r="AM10" s="24">
        <v>431381</v>
      </c>
      <c r="AN10" s="24">
        <v>447634</v>
      </c>
      <c r="AO10" s="24">
        <v>453021</v>
      </c>
      <c r="AP10" s="24">
        <v>457782</v>
      </c>
      <c r="AQ10" s="24">
        <v>463590</v>
      </c>
      <c r="AR10" s="24">
        <v>460344</v>
      </c>
      <c r="AS10" s="24">
        <v>470536</v>
      </c>
      <c r="AT10" s="24">
        <v>475817</v>
      </c>
      <c r="AU10" s="24">
        <v>479127</v>
      </c>
      <c r="AV10" s="24">
        <v>482080</v>
      </c>
      <c r="AW10" s="24">
        <v>480268</v>
      </c>
      <c r="AX10" s="52">
        <v>479644</v>
      </c>
      <c r="AY10" s="24">
        <v>478191</v>
      </c>
      <c r="AZ10" s="24">
        <v>498181</v>
      </c>
      <c r="BA10" s="24">
        <v>492230</v>
      </c>
      <c r="BB10" s="24">
        <v>493496.14844000002</v>
      </c>
      <c r="BC10" s="24">
        <v>496041</v>
      </c>
      <c r="BD10" s="24">
        <v>485669.57430999994</v>
      </c>
      <c r="BE10" s="24">
        <v>488510.96603000001</v>
      </c>
      <c r="BF10" s="24">
        <v>482395.04466000001</v>
      </c>
      <c r="BG10" s="24">
        <v>479717.98866999999</v>
      </c>
      <c r="BH10" s="24">
        <v>481080.26442999998</v>
      </c>
      <c r="BI10" s="24">
        <v>482261.37247999996</v>
      </c>
      <c r="BJ10" s="52">
        <v>483269.13688000001</v>
      </c>
      <c r="BK10" s="24">
        <v>488141.48784999998</v>
      </c>
      <c r="BL10" s="24">
        <v>490208.39246000006</v>
      </c>
      <c r="BM10" s="24">
        <v>495773.04619000002</v>
      </c>
      <c r="BN10" s="24">
        <v>498613.22222</v>
      </c>
      <c r="BO10" s="24">
        <v>500073.29884</v>
      </c>
      <c r="BP10" s="24">
        <v>498465.11262999999</v>
      </c>
      <c r="BQ10" s="24">
        <v>502997.59010999999</v>
      </c>
      <c r="BR10" s="24">
        <v>505569.45973</v>
      </c>
      <c r="BS10" s="24">
        <v>497874.70594999997</v>
      </c>
      <c r="BT10" s="24">
        <v>501108.07463999995</v>
      </c>
      <c r="BU10" s="23">
        <v>498979.97522000002</v>
      </c>
      <c r="BV10" s="52">
        <v>497226.70354000002</v>
      </c>
      <c r="BW10" s="24">
        <v>497673.36037000001</v>
      </c>
      <c r="BX10" s="24">
        <v>497338.50284999999</v>
      </c>
      <c r="BY10" s="24">
        <v>502106.43637000001</v>
      </c>
      <c r="BZ10" s="24">
        <v>509443.47568999999</v>
      </c>
      <c r="CA10" s="24">
        <v>494258.18208</v>
      </c>
      <c r="CB10" s="24">
        <v>491117.79474000004</v>
      </c>
      <c r="CC10" s="24">
        <v>485627.05994000001</v>
      </c>
      <c r="CD10" s="24">
        <v>487405.45105000003</v>
      </c>
      <c r="CE10" s="24">
        <v>489167.61427000008</v>
      </c>
      <c r="CF10" s="24">
        <v>484453.14689000003</v>
      </c>
      <c r="CG10" s="23">
        <v>485632.66649999999</v>
      </c>
      <c r="CH10" s="24">
        <v>477426.20183999999</v>
      </c>
      <c r="CI10" s="24">
        <v>479436.36717000004</v>
      </c>
      <c r="CJ10" s="24">
        <v>456316.67521000002</v>
      </c>
      <c r="CK10" s="24">
        <v>448459.65440999996</v>
      </c>
      <c r="CL10" s="24">
        <v>452106.16805999994</v>
      </c>
      <c r="CM10" s="24">
        <v>452179.61846999999</v>
      </c>
      <c r="CN10" s="24">
        <v>458460.51627000002</v>
      </c>
      <c r="CO10" s="24">
        <v>461115.32236999995</v>
      </c>
      <c r="CP10" s="24">
        <v>463692.69199000002</v>
      </c>
      <c r="CQ10" s="24">
        <v>457245.64283999999</v>
      </c>
      <c r="CR10" s="24">
        <v>458854.55011999997</v>
      </c>
      <c r="CS10" s="24">
        <v>459607.72090000001</v>
      </c>
      <c r="CT10" s="52">
        <v>448754.57506999996</v>
      </c>
      <c r="CU10" s="24">
        <v>452012.38105000003</v>
      </c>
      <c r="CV10" s="24">
        <v>455229.64854999998</v>
      </c>
      <c r="CW10" s="24">
        <v>454007.27539000002</v>
      </c>
      <c r="CX10" s="24">
        <v>445777.10354999994</v>
      </c>
      <c r="CY10" s="24">
        <v>446357.96081000002</v>
      </c>
      <c r="CZ10" s="24">
        <v>443249.98211000004</v>
      </c>
      <c r="DA10" s="24">
        <v>445064.89982000005</v>
      </c>
      <c r="DB10" s="24">
        <v>478778.92644000001</v>
      </c>
      <c r="DC10" s="24">
        <v>477986.40982999996</v>
      </c>
      <c r="DD10" s="24">
        <v>481680.38179000001</v>
      </c>
      <c r="DE10" s="24">
        <v>492134.38762000005</v>
      </c>
      <c r="DF10" s="52">
        <v>490840.04948999995</v>
      </c>
      <c r="DG10" s="24">
        <v>497405.43639000005</v>
      </c>
      <c r="DH10" s="24">
        <v>502020.02875</v>
      </c>
      <c r="DI10" s="24">
        <v>508402.49290000001</v>
      </c>
      <c r="DJ10" s="24">
        <v>512895.47029999999</v>
      </c>
      <c r="DK10" s="24">
        <v>519053.61819000001</v>
      </c>
      <c r="DL10" s="24">
        <v>523238.79274999996</v>
      </c>
      <c r="DM10" s="24">
        <v>525207.88116999995</v>
      </c>
      <c r="DN10" s="24">
        <v>528092.65058999998</v>
      </c>
      <c r="DO10" s="24">
        <v>528013.19375999994</v>
      </c>
      <c r="DP10" s="24">
        <v>527502.80050999997</v>
      </c>
      <c r="DQ10" s="23">
        <v>528497.86710000003</v>
      </c>
      <c r="DR10" s="24">
        <v>517478.41902999999</v>
      </c>
      <c r="DS10" s="24">
        <v>519863.65785999992</v>
      </c>
      <c r="DT10" s="24">
        <v>523642.94154999999</v>
      </c>
      <c r="DU10" s="24">
        <v>524028.04916</v>
      </c>
      <c r="DV10" s="24">
        <v>526683.10563000001</v>
      </c>
      <c r="DW10" s="24">
        <v>524411.79807000002</v>
      </c>
      <c r="DX10" s="24">
        <v>522163.08759000001</v>
      </c>
      <c r="DY10" s="24">
        <v>523745.00204000005</v>
      </c>
      <c r="DZ10" s="24">
        <v>521575.84560999996</v>
      </c>
      <c r="EA10" s="24">
        <v>518833.35623000003</v>
      </c>
      <c r="EB10" s="24">
        <v>526875.83039000002</v>
      </c>
      <c r="EC10" s="23">
        <v>522088.58685000002</v>
      </c>
      <c r="ED10" s="52">
        <v>445373.59935999999</v>
      </c>
      <c r="EE10" s="24">
        <v>452677</v>
      </c>
      <c r="EF10" s="24">
        <v>447865.4</v>
      </c>
      <c r="EG10" s="24">
        <v>445421</v>
      </c>
      <c r="EH10" s="24">
        <v>468171.5</v>
      </c>
      <c r="EI10" s="24">
        <v>501620.4</v>
      </c>
      <c r="EJ10" s="24">
        <v>524757.5</v>
      </c>
      <c r="EK10" s="24">
        <v>541134.69999999995</v>
      </c>
      <c r="EL10" s="24">
        <v>552160.4</v>
      </c>
      <c r="EM10" s="24">
        <v>561428.4</v>
      </c>
      <c r="EN10" s="24">
        <v>565107</v>
      </c>
      <c r="EO10" s="23">
        <v>563114.9</v>
      </c>
      <c r="EQ10" s="759">
        <f t="shared" si="8"/>
        <v>2.0375148738382753</v>
      </c>
      <c r="ER10" s="759">
        <f t="shared" si="9"/>
        <v>5.8638747647967504</v>
      </c>
      <c r="ET10" s="945">
        <f t="shared" si="10"/>
        <v>0.15632904749145707</v>
      </c>
      <c r="EZ10" s="758" t="s">
        <v>106</v>
      </c>
      <c r="FA10" s="760">
        <f>ET11</f>
        <v>0.16063462374768733</v>
      </c>
      <c r="FF10" s="190" t="s">
        <v>352</v>
      </c>
    </row>
    <row r="11" spans="1:162" ht="13.9" customHeight="1" x14ac:dyDescent="0.2">
      <c r="A11" s="758" t="s">
        <v>106</v>
      </c>
      <c r="B11" s="24">
        <v>158339</v>
      </c>
      <c r="C11" s="24">
        <v>162785</v>
      </c>
      <c r="D11" s="24">
        <v>165230</v>
      </c>
      <c r="E11" s="24">
        <v>165511</v>
      </c>
      <c r="F11" s="24">
        <v>168077</v>
      </c>
      <c r="G11" s="24">
        <v>170186</v>
      </c>
      <c r="H11" s="24">
        <v>173575</v>
      </c>
      <c r="I11" s="24">
        <v>174424</v>
      </c>
      <c r="J11" s="24">
        <v>174425</v>
      </c>
      <c r="K11" s="24">
        <v>183171</v>
      </c>
      <c r="L11" s="24">
        <v>186783</v>
      </c>
      <c r="M11" s="23">
        <v>188469</v>
      </c>
      <c r="N11" s="24">
        <v>187720.67521999998</v>
      </c>
      <c r="O11" s="24">
        <v>193129</v>
      </c>
      <c r="P11" s="24">
        <v>193908</v>
      </c>
      <c r="Q11" s="24">
        <v>198640</v>
      </c>
      <c r="R11" s="24">
        <v>197786</v>
      </c>
      <c r="S11" s="24">
        <v>195561</v>
      </c>
      <c r="T11" s="24">
        <v>194669</v>
      </c>
      <c r="U11" s="24">
        <v>199810</v>
      </c>
      <c r="V11" s="24">
        <v>204461</v>
      </c>
      <c r="W11" s="24">
        <v>205883</v>
      </c>
      <c r="X11" s="24">
        <v>210616.57730999999</v>
      </c>
      <c r="Y11" s="23">
        <v>210692</v>
      </c>
      <c r="Z11" s="24">
        <v>214704</v>
      </c>
      <c r="AA11" s="24">
        <v>220911</v>
      </c>
      <c r="AB11" s="24">
        <v>224805</v>
      </c>
      <c r="AC11" s="24">
        <v>229889</v>
      </c>
      <c r="AD11" s="24">
        <v>235112</v>
      </c>
      <c r="AE11" s="24">
        <v>234519</v>
      </c>
      <c r="AF11" s="24">
        <v>235957</v>
      </c>
      <c r="AG11" s="24">
        <v>244737</v>
      </c>
      <c r="AH11" s="24">
        <v>249714</v>
      </c>
      <c r="AI11" s="24">
        <v>256845</v>
      </c>
      <c r="AJ11" s="24">
        <v>264717</v>
      </c>
      <c r="AK11" s="24">
        <v>270790</v>
      </c>
      <c r="AL11" s="52">
        <v>278722</v>
      </c>
      <c r="AM11" s="24">
        <v>289935</v>
      </c>
      <c r="AN11" s="24">
        <v>302105</v>
      </c>
      <c r="AO11" s="24">
        <v>313002</v>
      </c>
      <c r="AP11" s="24">
        <v>319240</v>
      </c>
      <c r="AQ11" s="24">
        <v>323710</v>
      </c>
      <c r="AR11" s="24">
        <v>329676</v>
      </c>
      <c r="AS11" s="24">
        <v>338595</v>
      </c>
      <c r="AT11" s="24">
        <v>342148</v>
      </c>
      <c r="AU11" s="24">
        <v>347095</v>
      </c>
      <c r="AV11" s="24">
        <v>356167</v>
      </c>
      <c r="AW11" s="24">
        <v>366861</v>
      </c>
      <c r="AX11" s="52">
        <v>374717</v>
      </c>
      <c r="AY11" s="24">
        <v>374252</v>
      </c>
      <c r="AZ11" s="24">
        <v>391043</v>
      </c>
      <c r="BA11" s="24">
        <v>396955</v>
      </c>
      <c r="BB11" s="24">
        <v>404876.32501999999</v>
      </c>
      <c r="BC11" s="24">
        <v>411357.21692000004</v>
      </c>
      <c r="BD11" s="24">
        <v>412499.31676000007</v>
      </c>
      <c r="BE11" s="24">
        <v>412792.50353999995</v>
      </c>
      <c r="BF11" s="24">
        <v>412667.16680000001</v>
      </c>
      <c r="BG11" s="24">
        <v>418992.48067000008</v>
      </c>
      <c r="BH11" s="24">
        <v>423733.5</v>
      </c>
      <c r="BI11" s="24">
        <v>424574.13721000002</v>
      </c>
      <c r="BJ11" s="52">
        <v>424838.72841999994</v>
      </c>
      <c r="BK11" s="24">
        <v>421907.94719999994</v>
      </c>
      <c r="BL11" s="24">
        <v>421507.17100000003</v>
      </c>
      <c r="BM11" s="24">
        <v>419542.19778999995</v>
      </c>
      <c r="BN11" s="24">
        <v>418083.93724</v>
      </c>
      <c r="BO11" s="24">
        <v>419352.63063999999</v>
      </c>
      <c r="BP11" s="24">
        <v>422365.65373999992</v>
      </c>
      <c r="BQ11" s="24">
        <v>425208.31688</v>
      </c>
      <c r="BR11" s="24">
        <v>424998.08317</v>
      </c>
      <c r="BS11" s="24">
        <v>431134.45352000004</v>
      </c>
      <c r="BT11" s="24">
        <v>430572.66692000005</v>
      </c>
      <c r="BU11" s="23">
        <v>435767.11651000002</v>
      </c>
      <c r="BV11" s="52">
        <v>431809.47805000003</v>
      </c>
      <c r="BW11" s="24">
        <v>433223.30762999994</v>
      </c>
      <c r="BX11" s="24">
        <v>436141.04402999999</v>
      </c>
      <c r="BY11" s="24">
        <v>434088.33187999995</v>
      </c>
      <c r="BZ11" s="24">
        <v>433307.85440999997</v>
      </c>
      <c r="CA11" s="24">
        <v>434873.25779</v>
      </c>
      <c r="CB11" s="24">
        <v>438935.60993999999</v>
      </c>
      <c r="CC11" s="24">
        <v>450277.33704999997</v>
      </c>
      <c r="CD11" s="24">
        <v>457522.19523000007</v>
      </c>
      <c r="CE11" s="24">
        <v>460655.1200099999</v>
      </c>
      <c r="CF11" s="24">
        <v>467497.74535999994</v>
      </c>
      <c r="CG11" s="23">
        <v>466325.05474999995</v>
      </c>
      <c r="CH11" s="24">
        <v>460669.05818000011</v>
      </c>
      <c r="CI11" s="24">
        <v>468163.24734</v>
      </c>
      <c r="CJ11" s="24">
        <v>463316.91728000005</v>
      </c>
      <c r="CK11" s="24">
        <v>468221.51942999999</v>
      </c>
      <c r="CL11" s="24">
        <v>472948.29731999995</v>
      </c>
      <c r="CM11" s="24">
        <v>471844.69560000004</v>
      </c>
      <c r="CN11" s="24">
        <v>474208.51620000001</v>
      </c>
      <c r="CO11" s="24">
        <v>478687.37820000004</v>
      </c>
      <c r="CP11" s="24">
        <v>481664.14504000003</v>
      </c>
      <c r="CQ11" s="24">
        <v>483831.75810000004</v>
      </c>
      <c r="CR11" s="24">
        <v>487551.17421000003</v>
      </c>
      <c r="CS11" s="24">
        <v>489199.79337999999</v>
      </c>
      <c r="CT11" s="52">
        <v>478336.06271000003</v>
      </c>
      <c r="CU11" s="24">
        <v>478420.97708000004</v>
      </c>
      <c r="CV11" s="24">
        <v>475891.28882999998</v>
      </c>
      <c r="CW11" s="24">
        <v>475612.57818000001</v>
      </c>
      <c r="CX11" s="24">
        <v>476836.1422</v>
      </c>
      <c r="CY11" s="24">
        <v>482984.31984999997</v>
      </c>
      <c r="CZ11" s="24">
        <v>481315.31600999995</v>
      </c>
      <c r="DA11" s="24">
        <v>486448.77659999998</v>
      </c>
      <c r="DB11" s="24">
        <v>494601.74197000003</v>
      </c>
      <c r="DC11" s="24">
        <v>496270.20180000004</v>
      </c>
      <c r="DD11" s="24">
        <v>498327.11155999993</v>
      </c>
      <c r="DE11" s="24">
        <v>494411.22778000007</v>
      </c>
      <c r="DF11" s="52">
        <v>490023.24628999998</v>
      </c>
      <c r="DG11" s="24">
        <v>493125.46181999997</v>
      </c>
      <c r="DH11" s="24">
        <v>473399.58906000003</v>
      </c>
      <c r="DI11" s="24">
        <v>476967.11445000005</v>
      </c>
      <c r="DJ11" s="24">
        <v>480933.54173000006</v>
      </c>
      <c r="DK11" s="24">
        <v>485136.80920999992</v>
      </c>
      <c r="DL11" s="24">
        <v>487300.21227000008</v>
      </c>
      <c r="DM11" s="24">
        <v>487300.21227000008</v>
      </c>
      <c r="DN11" s="24">
        <v>498234.04439</v>
      </c>
      <c r="DO11" s="24">
        <v>503595.78470999998</v>
      </c>
      <c r="DP11" s="24">
        <v>504735.11634999997</v>
      </c>
      <c r="DQ11" s="23">
        <v>502188.6996600001</v>
      </c>
      <c r="DR11" s="24">
        <v>498404.50057999999</v>
      </c>
      <c r="DS11" s="24">
        <v>489942.25183999998</v>
      </c>
      <c r="DT11" s="24">
        <v>488207.17783999996</v>
      </c>
      <c r="DU11" s="24">
        <v>454211.86395999993</v>
      </c>
      <c r="DV11" s="24">
        <v>457273.80448999995</v>
      </c>
      <c r="DW11" s="24">
        <v>455055.20945000002</v>
      </c>
      <c r="DX11" s="24">
        <v>449639.67461999995</v>
      </c>
      <c r="DY11" s="24">
        <v>447418.01237000001</v>
      </c>
      <c r="DZ11" s="24">
        <v>447641.66331000003</v>
      </c>
      <c r="EA11" s="24">
        <v>452430.02196000004</v>
      </c>
      <c r="EB11" s="24">
        <v>451182.26214000001</v>
      </c>
      <c r="EC11" s="23">
        <v>448864.08415999997</v>
      </c>
      <c r="ED11" s="52">
        <v>457639.96971999994</v>
      </c>
      <c r="EE11" s="24">
        <v>455157</v>
      </c>
      <c r="EF11" s="24">
        <v>443769.4</v>
      </c>
      <c r="EG11" s="24">
        <v>436205</v>
      </c>
      <c r="EH11" s="24">
        <v>480512.1</v>
      </c>
      <c r="EI11" s="24">
        <v>486471.1</v>
      </c>
      <c r="EJ11" s="24">
        <v>505677</v>
      </c>
      <c r="EK11" s="24">
        <v>503035</v>
      </c>
      <c r="EL11" s="24">
        <v>515020.1</v>
      </c>
      <c r="EM11" s="24">
        <v>511993.1</v>
      </c>
      <c r="EN11" s="24">
        <v>517861</v>
      </c>
      <c r="EO11" s="23">
        <v>511501</v>
      </c>
      <c r="EQ11" s="759">
        <f t="shared" si="8"/>
        <v>2.3825578737066033</v>
      </c>
      <c r="ER11" s="759">
        <f t="shared" si="9"/>
        <v>15.051868986408245</v>
      </c>
      <c r="ET11" s="945">
        <f t="shared" si="10"/>
        <v>0.16063462374768733</v>
      </c>
      <c r="EZ11" s="758" t="s">
        <v>280</v>
      </c>
      <c r="FA11" s="760">
        <f>ET10</f>
        <v>0.15632904749145707</v>
      </c>
      <c r="FF11" s="190"/>
    </row>
    <row r="12" spans="1:162" ht="13.9" customHeight="1" x14ac:dyDescent="0.2">
      <c r="A12" s="758" t="s">
        <v>107</v>
      </c>
      <c r="B12" s="24">
        <v>63799</v>
      </c>
      <c r="C12" s="24">
        <v>66263</v>
      </c>
      <c r="D12" s="24">
        <v>67512</v>
      </c>
      <c r="E12" s="24">
        <v>70311</v>
      </c>
      <c r="F12" s="24">
        <v>80343</v>
      </c>
      <c r="G12" s="24">
        <v>74226</v>
      </c>
      <c r="H12" s="24">
        <v>76648</v>
      </c>
      <c r="I12" s="24">
        <v>74804</v>
      </c>
      <c r="J12" s="24">
        <v>82656</v>
      </c>
      <c r="K12" s="24">
        <v>82707</v>
      </c>
      <c r="L12" s="24">
        <v>83706</v>
      </c>
      <c r="M12" s="23">
        <v>83592</v>
      </c>
      <c r="N12" s="24">
        <v>84353.599470000001</v>
      </c>
      <c r="O12" s="24">
        <v>85257</v>
      </c>
      <c r="P12" s="24">
        <v>87317</v>
      </c>
      <c r="Q12" s="24">
        <v>87706</v>
      </c>
      <c r="R12" s="24">
        <v>90620</v>
      </c>
      <c r="S12" s="24">
        <v>91712</v>
      </c>
      <c r="T12" s="24">
        <v>96051</v>
      </c>
      <c r="U12" s="24">
        <v>97170</v>
      </c>
      <c r="V12" s="24">
        <v>99407</v>
      </c>
      <c r="W12" s="24">
        <v>100028</v>
      </c>
      <c r="X12" s="24">
        <v>103651.3266</v>
      </c>
      <c r="Y12" s="23">
        <v>105240</v>
      </c>
      <c r="Z12" s="24">
        <v>105855</v>
      </c>
      <c r="AA12" s="24">
        <v>106902</v>
      </c>
      <c r="AB12" s="24">
        <v>107010</v>
      </c>
      <c r="AC12" s="24">
        <v>106874</v>
      </c>
      <c r="AD12" s="24">
        <v>106871</v>
      </c>
      <c r="AE12" s="24">
        <v>107117</v>
      </c>
      <c r="AF12" s="24">
        <v>107338</v>
      </c>
      <c r="AG12" s="24">
        <v>107315</v>
      </c>
      <c r="AH12" s="24">
        <v>108416</v>
      </c>
      <c r="AI12" s="24">
        <v>109062</v>
      </c>
      <c r="AJ12" s="24">
        <v>110138</v>
      </c>
      <c r="AK12" s="24">
        <v>110231</v>
      </c>
      <c r="AL12" s="52">
        <v>111212</v>
      </c>
      <c r="AM12" s="24">
        <v>113462</v>
      </c>
      <c r="AN12" s="24">
        <v>116470</v>
      </c>
      <c r="AO12" s="24">
        <v>118574</v>
      </c>
      <c r="AP12" s="24">
        <v>121638</v>
      </c>
      <c r="AQ12" s="24">
        <v>123780</v>
      </c>
      <c r="AR12" s="24">
        <v>124985</v>
      </c>
      <c r="AS12" s="24">
        <v>126567</v>
      </c>
      <c r="AT12" s="24">
        <v>130497</v>
      </c>
      <c r="AU12" s="24">
        <v>133299</v>
      </c>
      <c r="AV12" s="24">
        <v>134574</v>
      </c>
      <c r="AW12" s="24">
        <v>135177</v>
      </c>
      <c r="AX12" s="52">
        <v>135167</v>
      </c>
      <c r="AY12" s="24">
        <v>137244</v>
      </c>
      <c r="AZ12" s="24">
        <v>139704</v>
      </c>
      <c r="BA12" s="24">
        <v>142885</v>
      </c>
      <c r="BB12" s="24">
        <v>145744.5</v>
      </c>
      <c r="BC12" s="24">
        <v>146185.50557000001</v>
      </c>
      <c r="BD12" s="24">
        <v>147929.04678</v>
      </c>
      <c r="BE12" s="24">
        <v>150814.30981000001</v>
      </c>
      <c r="BF12" s="24">
        <v>153500.97450000001</v>
      </c>
      <c r="BG12" s="24">
        <v>153696.04876000001</v>
      </c>
      <c r="BH12" s="24">
        <v>153929.46801000001</v>
      </c>
      <c r="BI12" s="24">
        <v>154896.89368999997</v>
      </c>
      <c r="BJ12" s="52">
        <v>155363.63288999998</v>
      </c>
      <c r="BK12" s="24">
        <v>155592.24487999998</v>
      </c>
      <c r="BL12" s="24">
        <v>156724.85725</v>
      </c>
      <c r="BM12" s="24">
        <v>158378.83000000002</v>
      </c>
      <c r="BN12" s="24">
        <v>158243.49084000001</v>
      </c>
      <c r="BO12" s="24">
        <v>158977.24932</v>
      </c>
      <c r="BP12" s="24">
        <v>159503.51588999998</v>
      </c>
      <c r="BQ12" s="24">
        <v>160151.46612000003</v>
      </c>
      <c r="BR12" s="24">
        <v>160785.18791000001</v>
      </c>
      <c r="BS12" s="24">
        <v>160846.77372</v>
      </c>
      <c r="BT12" s="24">
        <v>161753.63314000002</v>
      </c>
      <c r="BU12" s="23">
        <v>163527.75631</v>
      </c>
      <c r="BV12" s="52">
        <v>164135.32746999999</v>
      </c>
      <c r="BW12" s="24">
        <v>165834.96031000002</v>
      </c>
      <c r="BX12" s="24">
        <v>168361.34905000002</v>
      </c>
      <c r="BY12" s="24">
        <v>169826.13665</v>
      </c>
      <c r="BZ12" s="24">
        <v>170972.05839999998</v>
      </c>
      <c r="CA12" s="24">
        <v>170926.63136999999</v>
      </c>
      <c r="CB12" s="24">
        <v>174351.07218999998</v>
      </c>
      <c r="CC12" s="24">
        <v>175823.12675</v>
      </c>
      <c r="CD12" s="24">
        <v>177403.05686000001</v>
      </c>
      <c r="CE12" s="24">
        <v>176880.92334000001</v>
      </c>
      <c r="CF12" s="24">
        <v>176996.93787999998</v>
      </c>
      <c r="CG12" s="23">
        <v>176356.06216999999</v>
      </c>
      <c r="CH12" s="24">
        <v>178177.47778000004</v>
      </c>
      <c r="CI12" s="24">
        <v>177008.19756999999</v>
      </c>
      <c r="CJ12" s="24">
        <v>176270.06737999999</v>
      </c>
      <c r="CK12" s="24">
        <v>175813.64916</v>
      </c>
      <c r="CL12" s="24">
        <v>177019.05739</v>
      </c>
      <c r="CM12" s="24">
        <v>177822.75305</v>
      </c>
      <c r="CN12" s="24">
        <v>178502.85786000002</v>
      </c>
      <c r="CO12" s="24">
        <v>181839.6666</v>
      </c>
      <c r="CP12" s="24">
        <v>188179.86972000002</v>
      </c>
      <c r="CQ12" s="24">
        <v>192630.57935999997</v>
      </c>
      <c r="CR12" s="24">
        <v>191828.10068999999</v>
      </c>
      <c r="CS12" s="24">
        <v>191931.92439999999</v>
      </c>
      <c r="CT12" s="52">
        <v>191466.47825000001</v>
      </c>
      <c r="CU12" s="24">
        <v>190385.27895000001</v>
      </c>
      <c r="CV12" s="24">
        <v>192913.86021000001</v>
      </c>
      <c r="CW12" s="24">
        <v>193032.93698999999</v>
      </c>
      <c r="CX12" s="24">
        <v>210569.62306000001</v>
      </c>
      <c r="CY12" s="24">
        <v>207228.80664</v>
      </c>
      <c r="CZ12" s="24">
        <v>205359.01915000001</v>
      </c>
      <c r="DA12" s="24">
        <v>208534.99408</v>
      </c>
      <c r="DB12" s="24">
        <v>198866.92996000001</v>
      </c>
      <c r="DC12" s="24">
        <v>207271.58283999999</v>
      </c>
      <c r="DD12" s="24">
        <v>208368.27828</v>
      </c>
      <c r="DE12" s="24">
        <v>206601.71337000004</v>
      </c>
      <c r="DF12" s="52">
        <v>206393.66292000003</v>
      </c>
      <c r="DG12" s="24">
        <v>208703.87431999997</v>
      </c>
      <c r="DH12" s="24">
        <v>213285.13307999997</v>
      </c>
      <c r="DI12" s="24">
        <v>217347.22755000001</v>
      </c>
      <c r="DJ12" s="24">
        <v>224466.31208999999</v>
      </c>
      <c r="DK12" s="24">
        <v>230673.58696000002</v>
      </c>
      <c r="DL12" s="24">
        <v>245003.85793</v>
      </c>
      <c r="DM12" s="24">
        <v>239231.73864000003</v>
      </c>
      <c r="DN12" s="24">
        <v>245958.21119999996</v>
      </c>
      <c r="DO12" s="24">
        <v>253853.91359999997</v>
      </c>
      <c r="DP12" s="24">
        <v>266615.29378999997</v>
      </c>
      <c r="DQ12" s="23">
        <v>267064.73657000001</v>
      </c>
      <c r="DR12" s="24">
        <v>267012.18018000002</v>
      </c>
      <c r="DS12" s="24">
        <v>271484.71853999997</v>
      </c>
      <c r="DT12" s="24">
        <v>277066.20257999998</v>
      </c>
      <c r="DU12" s="24">
        <v>278281.37832000002</v>
      </c>
      <c r="DV12" s="24">
        <v>281895.80765000003</v>
      </c>
      <c r="DW12" s="24">
        <v>288306.66749999998</v>
      </c>
      <c r="DX12" s="24">
        <v>289068.74268999998</v>
      </c>
      <c r="DY12" s="24">
        <v>291660.74595000001</v>
      </c>
      <c r="DZ12" s="24">
        <v>294096.81793000002</v>
      </c>
      <c r="EA12" s="24">
        <v>296318.08426000003</v>
      </c>
      <c r="EB12" s="24">
        <v>298459.36417999998</v>
      </c>
      <c r="EC12" s="23">
        <v>298731.48404000001</v>
      </c>
      <c r="ED12" s="52">
        <v>300071.83354000002</v>
      </c>
      <c r="EE12" s="24">
        <v>305143</v>
      </c>
      <c r="EF12" s="24">
        <v>303260</v>
      </c>
      <c r="EG12" s="24">
        <v>298915</v>
      </c>
      <c r="EH12" s="24">
        <v>307194</v>
      </c>
      <c r="EI12" s="24">
        <v>306106</v>
      </c>
      <c r="EJ12" s="24">
        <v>303071</v>
      </c>
      <c r="EK12" s="24">
        <v>301694</v>
      </c>
      <c r="EL12" s="24">
        <v>301663</v>
      </c>
      <c r="EM12" s="24">
        <v>300305</v>
      </c>
      <c r="EN12" s="24">
        <v>299981</v>
      </c>
      <c r="EO12" s="23">
        <v>303152</v>
      </c>
      <c r="EQ12" s="759">
        <f t="shared" si="8"/>
        <v>-1.0275312071172937E-2</v>
      </c>
      <c r="ER12" s="759">
        <f t="shared" si="9"/>
        <v>2.5726840988129496</v>
      </c>
      <c r="ET12" s="945">
        <f>IFERROR(+ED12/$ED$7,"-")</f>
        <v>0.10532717696723079</v>
      </c>
      <c r="EZ12" s="309" t="s">
        <v>84</v>
      </c>
      <c r="FA12" s="760">
        <f>ET31</f>
        <v>0.12545907405716308</v>
      </c>
      <c r="FF12" s="190"/>
    </row>
    <row r="13" spans="1:162" ht="13.9" customHeight="1" x14ac:dyDescent="0.2">
      <c r="A13" s="758" t="s">
        <v>109</v>
      </c>
      <c r="B13" s="24">
        <v>82371</v>
      </c>
      <c r="C13" s="24">
        <v>85253</v>
      </c>
      <c r="D13" s="24">
        <v>84637</v>
      </c>
      <c r="E13" s="24">
        <v>72786</v>
      </c>
      <c r="F13" s="24">
        <v>73610</v>
      </c>
      <c r="G13" s="24">
        <v>74155</v>
      </c>
      <c r="H13" s="24">
        <v>75115</v>
      </c>
      <c r="I13" s="24">
        <v>74883</v>
      </c>
      <c r="J13" s="24">
        <v>76784</v>
      </c>
      <c r="K13" s="24">
        <v>76372</v>
      </c>
      <c r="L13" s="24">
        <v>75195</v>
      </c>
      <c r="M13" s="23">
        <v>74938</v>
      </c>
      <c r="N13" s="24">
        <v>75356.899380000003</v>
      </c>
      <c r="O13" s="24">
        <v>75440</v>
      </c>
      <c r="P13" s="24">
        <v>73762</v>
      </c>
      <c r="Q13" s="24">
        <v>72505</v>
      </c>
      <c r="R13" s="24">
        <v>73223</v>
      </c>
      <c r="S13" s="24">
        <v>73008</v>
      </c>
      <c r="T13" s="24">
        <v>74079</v>
      </c>
      <c r="U13" s="24">
        <v>75195</v>
      </c>
      <c r="V13" s="24">
        <v>78024</v>
      </c>
      <c r="W13" s="24">
        <v>79598</v>
      </c>
      <c r="X13" s="24">
        <v>80859.176500000001</v>
      </c>
      <c r="Y13" s="23">
        <v>82827</v>
      </c>
      <c r="Z13" s="24">
        <v>85859</v>
      </c>
      <c r="AA13" s="24">
        <v>89487</v>
      </c>
      <c r="AB13" s="24">
        <v>92892</v>
      </c>
      <c r="AC13" s="24">
        <v>96538</v>
      </c>
      <c r="AD13" s="24">
        <v>96414</v>
      </c>
      <c r="AE13" s="24">
        <v>96581</v>
      </c>
      <c r="AF13" s="24">
        <v>96719</v>
      </c>
      <c r="AG13" s="24">
        <v>99274</v>
      </c>
      <c r="AH13" s="24">
        <v>102779</v>
      </c>
      <c r="AI13" s="24">
        <v>104270</v>
      </c>
      <c r="AJ13" s="24">
        <v>106587</v>
      </c>
      <c r="AK13" s="24">
        <v>110133</v>
      </c>
      <c r="AL13" s="52">
        <v>113226</v>
      </c>
      <c r="AM13" s="24">
        <v>118685</v>
      </c>
      <c r="AN13" s="24">
        <v>121453</v>
      </c>
      <c r="AO13" s="24">
        <v>126166</v>
      </c>
      <c r="AP13" s="24">
        <v>128738</v>
      </c>
      <c r="AQ13" s="24">
        <v>129764</v>
      </c>
      <c r="AR13" s="24">
        <v>129911</v>
      </c>
      <c r="AS13" s="24">
        <v>135166</v>
      </c>
      <c r="AT13" s="24">
        <v>136633</v>
      </c>
      <c r="AU13" s="24">
        <v>140373</v>
      </c>
      <c r="AV13" s="24">
        <v>143203</v>
      </c>
      <c r="AW13" s="24">
        <v>148117</v>
      </c>
      <c r="AX13" s="52">
        <v>152499</v>
      </c>
      <c r="AY13" s="24">
        <v>154760</v>
      </c>
      <c r="AZ13" s="24">
        <v>156303</v>
      </c>
      <c r="BA13" s="24">
        <v>167094</v>
      </c>
      <c r="BB13" s="24">
        <v>167443.41558999999</v>
      </c>
      <c r="BC13" s="24">
        <v>162592.16872000002</v>
      </c>
      <c r="BD13" s="24">
        <v>165850.16018000001</v>
      </c>
      <c r="BE13" s="24">
        <v>167100.16590000002</v>
      </c>
      <c r="BF13" s="24">
        <v>167806.17567999999</v>
      </c>
      <c r="BG13" s="24">
        <v>169252.11435000002</v>
      </c>
      <c r="BH13" s="24">
        <v>173823.53680999999</v>
      </c>
      <c r="BI13" s="24">
        <v>173461.62747000001</v>
      </c>
      <c r="BJ13" s="52">
        <v>175653.69021</v>
      </c>
      <c r="BK13" s="24">
        <v>177769.69607000001</v>
      </c>
      <c r="BL13" s="24">
        <v>179464.38754999998</v>
      </c>
      <c r="BM13" s="24">
        <v>182800.60417000001</v>
      </c>
      <c r="BN13" s="24">
        <v>185332.65280000001</v>
      </c>
      <c r="BO13" s="24">
        <v>184233.88556000002</v>
      </c>
      <c r="BP13" s="24">
        <v>188186.19734000001</v>
      </c>
      <c r="BQ13" s="24">
        <v>189129.79102999999</v>
      </c>
      <c r="BR13" s="24">
        <v>194545.55634000001</v>
      </c>
      <c r="BS13" s="24">
        <v>193428.23872999998</v>
      </c>
      <c r="BT13" s="24">
        <v>195231.00643000001</v>
      </c>
      <c r="BU13" s="23">
        <v>193617.81985</v>
      </c>
      <c r="BV13" s="52">
        <v>201474.68179</v>
      </c>
      <c r="BW13" s="24">
        <v>204878.22545</v>
      </c>
      <c r="BX13" s="24">
        <v>206060.73744</v>
      </c>
      <c r="BY13" s="24">
        <v>207705.14997999999</v>
      </c>
      <c r="BZ13" s="24">
        <v>213108.21580999999</v>
      </c>
      <c r="CA13" s="24">
        <v>216572.77863000002</v>
      </c>
      <c r="CB13" s="24">
        <v>215945.29911999998</v>
      </c>
      <c r="CC13" s="24">
        <v>217072.18279000002</v>
      </c>
      <c r="CD13" s="24">
        <v>217468.47457000002</v>
      </c>
      <c r="CE13" s="24">
        <v>218185.99776</v>
      </c>
      <c r="CF13" s="24">
        <v>220360.8512</v>
      </c>
      <c r="CG13" s="23">
        <v>223225.61254999996</v>
      </c>
      <c r="CH13" s="24">
        <v>226806.52750000003</v>
      </c>
      <c r="CI13" s="24">
        <v>229137.72261999999</v>
      </c>
      <c r="CJ13" s="24">
        <v>221630.98751000001</v>
      </c>
      <c r="CK13" s="24">
        <v>223148.25722000003</v>
      </c>
      <c r="CL13" s="24">
        <v>223559.83084000001</v>
      </c>
      <c r="CM13" s="24">
        <v>229127.77381000001</v>
      </c>
      <c r="CN13" s="24">
        <v>230561.45090999999</v>
      </c>
      <c r="CO13" s="24">
        <v>232678.52362000002</v>
      </c>
      <c r="CP13" s="24">
        <v>238522.38854999997</v>
      </c>
      <c r="CQ13" s="24">
        <v>236089.05336000002</v>
      </c>
      <c r="CR13" s="24">
        <v>235311.08146999998</v>
      </c>
      <c r="CS13" s="24">
        <v>232446.64974000002</v>
      </c>
      <c r="CT13" s="52">
        <v>227314.03905000002</v>
      </c>
      <c r="CU13" s="24">
        <v>231691.61322</v>
      </c>
      <c r="CV13" s="24">
        <v>233467.49452999997</v>
      </c>
      <c r="CW13" s="24">
        <v>234301.15035000001</v>
      </c>
      <c r="CX13" s="24">
        <v>254278.75151999999</v>
      </c>
      <c r="CY13" s="24">
        <v>255363.79599999997</v>
      </c>
      <c r="CZ13" s="24">
        <v>254167.85615999997</v>
      </c>
      <c r="DA13" s="24">
        <v>253417.98436999999</v>
      </c>
      <c r="DB13" s="24">
        <v>260176.28845999998</v>
      </c>
      <c r="DC13" s="24">
        <v>232304.16531999997</v>
      </c>
      <c r="DD13" s="24">
        <v>235789.31682000001</v>
      </c>
      <c r="DE13" s="24">
        <v>235585.21210999999</v>
      </c>
      <c r="DF13" s="52">
        <v>235435.81822000002</v>
      </c>
      <c r="DG13" s="24">
        <v>236610.15749000001</v>
      </c>
      <c r="DH13" s="24">
        <v>235359.40119</v>
      </c>
      <c r="DI13" s="24">
        <v>237695.75122999999</v>
      </c>
      <c r="DJ13" s="24">
        <v>241200.98037</v>
      </c>
      <c r="DK13" s="24">
        <v>244850.26725999999</v>
      </c>
      <c r="DL13" s="24">
        <v>244761.08389000001</v>
      </c>
      <c r="DM13" s="24">
        <v>239944.42116999999</v>
      </c>
      <c r="DN13" s="24">
        <v>246129.57990000001</v>
      </c>
      <c r="DO13" s="24">
        <v>245213.11423000001</v>
      </c>
      <c r="DP13" s="24">
        <v>244252.20902000001</v>
      </c>
      <c r="DQ13" s="23">
        <v>161133.09266999998</v>
      </c>
      <c r="DR13" s="24">
        <v>241348.55271000002</v>
      </c>
      <c r="DS13" s="24">
        <v>241249.3</v>
      </c>
      <c r="DT13" s="24">
        <v>240709.62348000001</v>
      </c>
      <c r="DU13" s="24">
        <v>240520.20442999998</v>
      </c>
      <c r="DV13" s="24">
        <v>242407.43560999999</v>
      </c>
      <c r="DW13" s="24">
        <v>256995.22271999999</v>
      </c>
      <c r="DX13" s="24">
        <v>257694.45632999999</v>
      </c>
      <c r="DY13" s="24">
        <v>257263.06526</v>
      </c>
      <c r="DZ13" s="24">
        <v>257973.13978999999</v>
      </c>
      <c r="EA13" s="24">
        <v>257957.47568</v>
      </c>
      <c r="EB13" s="24">
        <v>258002.78607999999</v>
      </c>
      <c r="EC13" s="23">
        <v>256216.70277000003</v>
      </c>
      <c r="ED13" s="52">
        <v>270923.88274000003</v>
      </c>
      <c r="EE13" s="24">
        <v>273853</v>
      </c>
      <c r="EF13" s="24">
        <v>271161</v>
      </c>
      <c r="EG13" s="24">
        <v>268104</v>
      </c>
      <c r="EH13" s="24">
        <v>286978</v>
      </c>
      <c r="EI13" s="24">
        <v>300067</v>
      </c>
      <c r="EJ13" s="24">
        <v>302023</v>
      </c>
      <c r="EK13" s="24">
        <v>303306</v>
      </c>
      <c r="EL13" s="24">
        <v>306380</v>
      </c>
      <c r="EM13" s="24">
        <v>301985</v>
      </c>
      <c r="EN13" s="24">
        <v>299363</v>
      </c>
      <c r="EO13" s="23">
        <v>300505.09999999998</v>
      </c>
      <c r="EQ13" s="759">
        <f t="shared" si="8"/>
        <v>1.013497919592754</v>
      </c>
      <c r="ER13" s="759">
        <f t="shared" si="9"/>
        <v>18.764302457769453</v>
      </c>
      <c r="ET13" s="945">
        <f t="shared" si="10"/>
        <v>9.5096055518990988E-2</v>
      </c>
      <c r="EZ13" s="758" t="s">
        <v>109</v>
      </c>
      <c r="FA13" s="760">
        <f>ET13</f>
        <v>9.5096055518990988E-2</v>
      </c>
      <c r="FF13" s="190"/>
    </row>
    <row r="14" spans="1:162" ht="13.9" customHeight="1" x14ac:dyDescent="0.2">
      <c r="A14" s="758" t="s">
        <v>112</v>
      </c>
      <c r="B14" s="24">
        <v>74938</v>
      </c>
      <c r="C14" s="24">
        <v>76637</v>
      </c>
      <c r="D14" s="24">
        <v>76792</v>
      </c>
      <c r="E14" s="24">
        <v>75511</v>
      </c>
      <c r="F14" s="24">
        <v>75389</v>
      </c>
      <c r="G14" s="24">
        <v>74957</v>
      </c>
      <c r="H14" s="24">
        <v>74753</v>
      </c>
      <c r="I14" s="24">
        <v>72909</v>
      </c>
      <c r="J14" s="24">
        <v>72963</v>
      </c>
      <c r="K14" s="24">
        <v>77010</v>
      </c>
      <c r="L14" s="24">
        <v>76963</v>
      </c>
      <c r="M14" s="23">
        <v>75767</v>
      </c>
      <c r="N14" s="24">
        <v>76325.585219999994</v>
      </c>
      <c r="O14" s="24">
        <v>77158</v>
      </c>
      <c r="P14" s="24">
        <v>79055</v>
      </c>
      <c r="Q14" s="24">
        <v>79599</v>
      </c>
      <c r="R14" s="24">
        <v>79552</v>
      </c>
      <c r="S14" s="24">
        <v>79491</v>
      </c>
      <c r="T14" s="24">
        <v>80125</v>
      </c>
      <c r="U14" s="24">
        <v>81005</v>
      </c>
      <c r="V14" s="24">
        <v>82310</v>
      </c>
      <c r="W14" s="24">
        <v>83292</v>
      </c>
      <c r="X14" s="24">
        <v>84497.970879999993</v>
      </c>
      <c r="Y14" s="23">
        <v>83410</v>
      </c>
      <c r="Z14" s="24">
        <v>84818</v>
      </c>
      <c r="AA14" s="24">
        <v>85756</v>
      </c>
      <c r="AB14" s="24">
        <v>87963</v>
      </c>
      <c r="AC14" s="24">
        <v>89248</v>
      </c>
      <c r="AD14" s="24">
        <v>90825</v>
      </c>
      <c r="AE14" s="24">
        <v>90760</v>
      </c>
      <c r="AF14" s="24">
        <v>91275</v>
      </c>
      <c r="AG14" s="24">
        <v>92825</v>
      </c>
      <c r="AH14" s="24">
        <v>94392</v>
      </c>
      <c r="AI14" s="24">
        <v>95814</v>
      </c>
      <c r="AJ14" s="24">
        <v>97312</v>
      </c>
      <c r="AK14" s="24">
        <v>98385</v>
      </c>
      <c r="AL14" s="52">
        <v>99479</v>
      </c>
      <c r="AM14" s="24">
        <v>101828</v>
      </c>
      <c r="AN14" s="24">
        <v>104115</v>
      </c>
      <c r="AO14" s="24">
        <v>104804</v>
      </c>
      <c r="AP14" s="24">
        <v>103585</v>
      </c>
      <c r="AQ14" s="24">
        <v>104144</v>
      </c>
      <c r="AR14" s="24">
        <v>103431</v>
      </c>
      <c r="AS14" s="24">
        <v>104853</v>
      </c>
      <c r="AT14" s="24">
        <v>104839</v>
      </c>
      <c r="AU14" s="24">
        <v>105928</v>
      </c>
      <c r="AV14" s="24">
        <v>108887</v>
      </c>
      <c r="AW14" s="24">
        <v>108820</v>
      </c>
      <c r="AX14" s="52">
        <v>109727</v>
      </c>
      <c r="AY14" s="24">
        <v>108920</v>
      </c>
      <c r="AZ14" s="24">
        <v>106176</v>
      </c>
      <c r="BA14" s="24">
        <v>105121</v>
      </c>
      <c r="BB14" s="24">
        <v>101543.39660000001</v>
      </c>
      <c r="BC14" s="24">
        <v>97847.835550000003</v>
      </c>
      <c r="BD14" s="24">
        <v>96178.912710000004</v>
      </c>
      <c r="BE14" s="24">
        <v>96007.726080000008</v>
      </c>
      <c r="BF14" s="24">
        <v>94753.025750000001</v>
      </c>
      <c r="BG14" s="24">
        <v>92912.783100000001</v>
      </c>
      <c r="BH14" s="24">
        <v>91834.451980000013</v>
      </c>
      <c r="BI14" s="24">
        <v>86645.900089999996</v>
      </c>
      <c r="BJ14" s="52">
        <v>86205.593079999991</v>
      </c>
      <c r="BK14" s="24">
        <v>84248.333169999998</v>
      </c>
      <c r="BL14" s="24">
        <v>83759.934699999998</v>
      </c>
      <c r="BM14" s="24">
        <v>84537.186049999989</v>
      </c>
      <c r="BN14" s="24">
        <v>84874.244609999994</v>
      </c>
      <c r="BO14" s="24">
        <v>84892.167909999989</v>
      </c>
      <c r="BP14" s="24">
        <v>84997.390320000006</v>
      </c>
      <c r="BQ14" s="24">
        <v>84905.36636</v>
      </c>
      <c r="BR14" s="24">
        <v>86057.551819999993</v>
      </c>
      <c r="BS14" s="24">
        <v>86358.660029999999</v>
      </c>
      <c r="BT14" s="24">
        <v>87453.208240000007</v>
      </c>
      <c r="BU14" s="23">
        <v>88142.837610000002</v>
      </c>
      <c r="BV14" s="52">
        <v>88234.770759999999</v>
      </c>
      <c r="BW14" s="24">
        <v>89771.633740000005</v>
      </c>
      <c r="BX14" s="24">
        <v>183757.29144</v>
      </c>
      <c r="BY14" s="24">
        <v>188224.11781000003</v>
      </c>
      <c r="BZ14" s="24">
        <v>180192.61236</v>
      </c>
      <c r="CA14" s="24">
        <v>189031.09013</v>
      </c>
      <c r="CB14" s="24">
        <v>207188.12151</v>
      </c>
      <c r="CC14" s="24">
        <v>148805.65740999999</v>
      </c>
      <c r="CD14" s="24">
        <v>150541.92569</v>
      </c>
      <c r="CE14" s="24">
        <v>152003.34761000003</v>
      </c>
      <c r="CF14" s="24">
        <v>154740.66225999998</v>
      </c>
      <c r="CG14" s="23">
        <v>155403.11051</v>
      </c>
      <c r="CH14" s="24">
        <v>157285.88316999999</v>
      </c>
      <c r="CI14" s="24">
        <v>158635.38572000002</v>
      </c>
      <c r="CJ14" s="24">
        <v>159097.87258</v>
      </c>
      <c r="CK14" s="24">
        <v>161043.61900999997</v>
      </c>
      <c r="CL14" s="24">
        <v>162277.59487</v>
      </c>
      <c r="CM14" s="24">
        <v>160983.63335000002</v>
      </c>
      <c r="CN14" s="24">
        <v>165422.75711000001</v>
      </c>
      <c r="CO14" s="24">
        <v>167062.77990999998</v>
      </c>
      <c r="CP14" s="24">
        <v>168594.19572000002</v>
      </c>
      <c r="CQ14" s="24">
        <v>171266.51512</v>
      </c>
      <c r="CR14" s="24">
        <v>173493.69450000001</v>
      </c>
      <c r="CS14" s="24">
        <v>174267.24784</v>
      </c>
      <c r="CT14" s="52">
        <v>176153.15428000002</v>
      </c>
      <c r="CU14" s="24">
        <v>178531.69077000002</v>
      </c>
      <c r="CV14" s="24">
        <v>178363.69998999999</v>
      </c>
      <c r="CW14" s="24">
        <v>178391.03996999998</v>
      </c>
      <c r="CX14" s="24">
        <v>180167.87189999997</v>
      </c>
      <c r="CY14" s="24">
        <v>181108.1973</v>
      </c>
      <c r="CZ14" s="24">
        <v>180784.7151</v>
      </c>
      <c r="DA14" s="24">
        <v>181961.24015999999</v>
      </c>
      <c r="DB14" s="24">
        <v>184461.66104000004</v>
      </c>
      <c r="DC14" s="24">
        <v>187676.39101999998</v>
      </c>
      <c r="DD14" s="24">
        <v>174983.80826000002</v>
      </c>
      <c r="DE14" s="24">
        <v>193316.33709999998</v>
      </c>
      <c r="DF14" s="52">
        <v>195269.76936999999</v>
      </c>
      <c r="DG14" s="24">
        <v>197576.41847</v>
      </c>
      <c r="DH14" s="24">
        <v>201667.33210000003</v>
      </c>
      <c r="DI14" s="24">
        <v>203597.21657000002</v>
      </c>
      <c r="DJ14" s="24">
        <v>204978.01963999998</v>
      </c>
      <c r="DK14" s="24">
        <v>205035.52293000001</v>
      </c>
      <c r="DL14" s="24">
        <v>203771.83403</v>
      </c>
      <c r="DM14" s="24">
        <v>204248.87857999999</v>
      </c>
      <c r="DN14" s="24">
        <v>204736.17385999998</v>
      </c>
      <c r="DO14" s="24">
        <v>207789.75030000001</v>
      </c>
      <c r="DP14" s="24">
        <v>209133.39556000003</v>
      </c>
      <c r="DQ14" s="23">
        <v>287588.08807</v>
      </c>
      <c r="DR14" s="24">
        <v>212317.81382000001</v>
      </c>
      <c r="DS14" s="24">
        <v>214590.87999000002</v>
      </c>
      <c r="DT14" s="24">
        <v>214352.37605999998</v>
      </c>
      <c r="DU14" s="24">
        <v>213957.83154000004</v>
      </c>
      <c r="DV14" s="24">
        <v>211985.36216999998</v>
      </c>
      <c r="DW14" s="24">
        <v>209999.61061</v>
      </c>
      <c r="DX14" s="24">
        <v>207422.05103999999</v>
      </c>
      <c r="DY14" s="24">
        <v>207979.51982000002</v>
      </c>
      <c r="DZ14" s="24">
        <v>206800.93818999999</v>
      </c>
      <c r="EA14" s="24">
        <v>207958.74157000001</v>
      </c>
      <c r="EB14" s="24">
        <v>210070.87778000001</v>
      </c>
      <c r="EC14" s="23">
        <v>212397.74806999997</v>
      </c>
      <c r="ED14" s="52">
        <v>213838.09013</v>
      </c>
      <c r="EE14" s="24">
        <v>216776</v>
      </c>
      <c r="EF14" s="24">
        <v>215913</v>
      </c>
      <c r="EG14" s="24">
        <v>217821</v>
      </c>
      <c r="EH14" s="24">
        <v>222351</v>
      </c>
      <c r="EI14" s="24">
        <v>220552</v>
      </c>
      <c r="EJ14" s="24">
        <v>235184</v>
      </c>
      <c r="EK14" s="24">
        <v>246250</v>
      </c>
      <c r="EL14" s="24">
        <v>251050</v>
      </c>
      <c r="EM14" s="24">
        <v>257496</v>
      </c>
      <c r="EN14" s="24">
        <v>262009</v>
      </c>
      <c r="EO14" s="23">
        <v>264155</v>
      </c>
      <c r="EQ14" s="759">
        <f t="shared" si="8"/>
        <v>1.9492385786802124</v>
      </c>
      <c r="ER14" s="759">
        <f t="shared" si="9"/>
        <v>21.396934751497998</v>
      </c>
      <c r="ET14" s="945">
        <f t="shared" si="10"/>
        <v>7.505856879584405E-2</v>
      </c>
      <c r="EZ14" s="758" t="s">
        <v>107</v>
      </c>
      <c r="FA14" s="760">
        <f>ET12</f>
        <v>0.10532717696723079</v>
      </c>
      <c r="FF14" s="190"/>
    </row>
    <row r="15" spans="1:162" ht="13.9" customHeight="1" x14ac:dyDescent="0.2">
      <c r="A15" s="758" t="s">
        <v>186</v>
      </c>
      <c r="B15" s="949">
        <v>632</v>
      </c>
      <c r="C15" s="949">
        <v>965</v>
      </c>
      <c r="D15" s="949">
        <v>1349</v>
      </c>
      <c r="E15" s="949">
        <v>1577</v>
      </c>
      <c r="F15" s="949">
        <v>1763</v>
      </c>
      <c r="G15" s="949">
        <v>1928</v>
      </c>
      <c r="H15" s="949">
        <v>1985</v>
      </c>
      <c r="I15" s="949">
        <v>1973</v>
      </c>
      <c r="J15" s="949">
        <v>1983</v>
      </c>
      <c r="K15" s="949">
        <v>2027</v>
      </c>
      <c r="L15" s="949">
        <v>1971</v>
      </c>
      <c r="M15" s="950">
        <v>2039</v>
      </c>
      <c r="N15" s="949">
        <v>2008.06043</v>
      </c>
      <c r="O15" s="24">
        <v>1986</v>
      </c>
      <c r="P15" s="24">
        <v>2062</v>
      </c>
      <c r="Q15" s="24">
        <v>2100</v>
      </c>
      <c r="R15" s="24">
        <v>2138</v>
      </c>
      <c r="S15" s="24">
        <v>1916</v>
      </c>
      <c r="T15" s="24">
        <v>1882</v>
      </c>
      <c r="U15" s="24">
        <v>1887</v>
      </c>
      <c r="V15" s="24">
        <v>1871</v>
      </c>
      <c r="W15" s="24">
        <v>1917</v>
      </c>
      <c r="X15" s="24">
        <v>2065.7013700000002</v>
      </c>
      <c r="Y15" s="23">
        <v>2342</v>
      </c>
      <c r="Z15" s="24">
        <v>2575</v>
      </c>
      <c r="AA15" s="24">
        <v>2766</v>
      </c>
      <c r="AB15" s="24">
        <v>2875</v>
      </c>
      <c r="AC15" s="24">
        <v>2942</v>
      </c>
      <c r="AD15" s="24">
        <v>3037</v>
      </c>
      <c r="AE15" s="24">
        <v>3073</v>
      </c>
      <c r="AF15" s="24">
        <v>3055</v>
      </c>
      <c r="AG15" s="24">
        <v>3087</v>
      </c>
      <c r="AH15" s="24">
        <v>3044</v>
      </c>
      <c r="AI15" s="24">
        <v>3207</v>
      </c>
      <c r="AJ15" s="24">
        <v>3228</v>
      </c>
      <c r="AK15" s="24">
        <v>3346</v>
      </c>
      <c r="AL15" s="52">
        <v>3327</v>
      </c>
      <c r="AM15" s="24">
        <v>3088</v>
      </c>
      <c r="AN15" s="24">
        <v>3190</v>
      </c>
      <c r="AO15" s="24">
        <v>3178</v>
      </c>
      <c r="AP15" s="24">
        <v>3195</v>
      </c>
      <c r="AQ15" s="24">
        <v>3296</v>
      </c>
      <c r="AR15" s="24">
        <v>3366</v>
      </c>
      <c r="AS15" s="24">
        <v>3455</v>
      </c>
      <c r="AT15" s="24">
        <v>3654</v>
      </c>
      <c r="AU15" s="24">
        <v>3819</v>
      </c>
      <c r="AV15" s="24">
        <v>4001</v>
      </c>
      <c r="AW15" s="24">
        <v>4347</v>
      </c>
      <c r="AX15" s="52">
        <v>4545</v>
      </c>
      <c r="AY15" s="24">
        <v>4776</v>
      </c>
      <c r="AZ15" s="24">
        <v>5007</v>
      </c>
      <c r="BA15" s="24">
        <v>5190</v>
      </c>
      <c r="BB15" s="24">
        <v>5461.8355000000001</v>
      </c>
      <c r="BC15" s="24">
        <v>5648.0046900000007</v>
      </c>
      <c r="BD15" s="24">
        <v>5712.7018600000001</v>
      </c>
      <c r="BE15" s="24">
        <v>5803.1682499999997</v>
      </c>
      <c r="BF15" s="24">
        <v>5957.9336499999999</v>
      </c>
      <c r="BG15" s="24">
        <v>6101.3434900000002</v>
      </c>
      <c r="BH15" s="24">
        <v>6069.1284699999997</v>
      </c>
      <c r="BI15" s="24">
        <v>6168.3257599999997</v>
      </c>
      <c r="BJ15" s="52">
        <v>6161.0999400000001</v>
      </c>
      <c r="BK15" s="24">
        <v>5899.1194599999999</v>
      </c>
      <c r="BL15" s="24">
        <v>5808.67425</v>
      </c>
      <c r="BM15" s="24">
        <v>5646.1841899999999</v>
      </c>
      <c r="BN15" s="24">
        <v>5605.11553</v>
      </c>
      <c r="BO15" s="24">
        <v>5476.6833100000003</v>
      </c>
      <c r="BP15" s="24">
        <v>5382.34699</v>
      </c>
      <c r="BQ15" s="24">
        <v>5280.9877800000004</v>
      </c>
      <c r="BR15" s="24">
        <v>5224.8912899999996</v>
      </c>
      <c r="BS15" s="24">
        <v>5205.94625</v>
      </c>
      <c r="BT15" s="24">
        <v>5160.9155200000005</v>
      </c>
      <c r="BU15" s="23">
        <v>5184.6972999999998</v>
      </c>
      <c r="BV15" s="52">
        <v>5021.1154499999993</v>
      </c>
      <c r="BW15" s="24">
        <v>4905.6270400000003</v>
      </c>
      <c r="BX15" s="24">
        <v>4869.4361699999999</v>
      </c>
      <c r="BY15" s="24">
        <v>4795.0992099999994</v>
      </c>
      <c r="BZ15" s="24">
        <v>4706.6879200000003</v>
      </c>
      <c r="CA15" s="24">
        <v>4609.1930499999999</v>
      </c>
      <c r="CB15" s="24">
        <v>4520.07125</v>
      </c>
      <c r="CC15" s="24">
        <v>4482.72469</v>
      </c>
      <c r="CD15" s="24">
        <v>4477.3152</v>
      </c>
      <c r="CE15" s="24">
        <v>4452.2129800000002</v>
      </c>
      <c r="CF15" s="24">
        <v>4431.4745599999997</v>
      </c>
      <c r="CG15" s="23">
        <v>4549.6455099999994</v>
      </c>
      <c r="CH15" s="24">
        <v>4454.7212900000004</v>
      </c>
      <c r="CI15" s="24">
        <v>4407.7944100000004</v>
      </c>
      <c r="CJ15" s="24">
        <v>4390.7125400000004</v>
      </c>
      <c r="CK15" s="24">
        <v>4299.6689500000002</v>
      </c>
      <c r="CL15" s="24">
        <v>4242.6943300000003</v>
      </c>
      <c r="CM15" s="24">
        <v>4215.9527199999993</v>
      </c>
      <c r="CN15" s="24">
        <v>4357.0557000000008</v>
      </c>
      <c r="CO15" s="24">
        <v>4637.3919800000003</v>
      </c>
      <c r="CP15" s="24">
        <v>5094.4410600000001</v>
      </c>
      <c r="CQ15" s="24">
        <v>5385.2792900000004</v>
      </c>
      <c r="CR15" s="24">
        <v>5712.4192599999997</v>
      </c>
      <c r="CS15" s="24">
        <v>6063.9821000000002</v>
      </c>
      <c r="CT15" s="52">
        <v>6492.60743</v>
      </c>
      <c r="CU15" s="24">
        <v>6695.0066900000002</v>
      </c>
      <c r="CV15" s="24">
        <v>6925.4895200000001</v>
      </c>
      <c r="CW15" s="24">
        <v>6722.3325199999999</v>
      </c>
      <c r="CX15" s="24">
        <v>6479.0858799999996</v>
      </c>
      <c r="CY15" s="24">
        <v>6381.13454</v>
      </c>
      <c r="CZ15" s="24">
        <v>6281.9648500000003</v>
      </c>
      <c r="DA15" s="24">
        <v>6377.228250000001</v>
      </c>
      <c r="DB15" s="24">
        <v>6380.4614200000005</v>
      </c>
      <c r="DC15" s="24">
        <v>6273.8907300000001</v>
      </c>
      <c r="DD15" s="24">
        <v>6432.3200999999999</v>
      </c>
      <c r="DE15" s="24">
        <v>6570.31826</v>
      </c>
      <c r="DF15" s="52">
        <v>6745.24917</v>
      </c>
      <c r="DG15" s="24">
        <v>6703.0552600000001</v>
      </c>
      <c r="DH15" s="24">
        <v>6605.5603899999996</v>
      </c>
      <c r="DI15" s="24">
        <v>6429.6696099999999</v>
      </c>
      <c r="DJ15" s="24">
        <v>6295.5901199999998</v>
      </c>
      <c r="DK15" s="24">
        <v>6110.5245599999998</v>
      </c>
      <c r="DL15" s="24">
        <v>6035.2857699999995</v>
      </c>
      <c r="DM15" s="24">
        <v>6072.3297400000001</v>
      </c>
      <c r="DN15" s="24">
        <v>6139.1671699999997</v>
      </c>
      <c r="DO15" s="24">
        <v>6361.5389599999999</v>
      </c>
      <c r="DP15" s="24">
        <v>6831.3678300000001</v>
      </c>
      <c r="DQ15" s="23">
        <v>7153.9047499999997</v>
      </c>
      <c r="DR15" s="24">
        <v>7343.1668899999995</v>
      </c>
      <c r="DS15" s="24">
        <v>7573.1824400000005</v>
      </c>
      <c r="DT15" s="24">
        <v>7889.5616799999998</v>
      </c>
      <c r="DU15" s="24">
        <v>8106.6470300000001</v>
      </c>
      <c r="DV15" s="24">
        <v>8395.5378900000014</v>
      </c>
      <c r="DW15" s="24">
        <v>8739.0367999999999</v>
      </c>
      <c r="DX15" s="24">
        <v>9077.5956900000001</v>
      </c>
      <c r="DY15" s="24">
        <v>9606.9294700000009</v>
      </c>
      <c r="DZ15" s="24">
        <v>9838.4608599999992</v>
      </c>
      <c r="EA15" s="24">
        <v>10325.062470000001</v>
      </c>
      <c r="EB15" s="24">
        <v>10685.814109999999</v>
      </c>
      <c r="EC15" s="23">
        <v>10685.814109999999</v>
      </c>
      <c r="ED15" s="52">
        <v>10978.812980000001</v>
      </c>
      <c r="EE15" s="24">
        <v>10586</v>
      </c>
      <c r="EF15" s="24">
        <v>10544</v>
      </c>
      <c r="EG15" s="24">
        <v>10435</v>
      </c>
      <c r="EH15" s="24">
        <v>10226</v>
      </c>
      <c r="EI15" s="24">
        <v>9740</v>
      </c>
      <c r="EJ15" s="24">
        <v>9637</v>
      </c>
      <c r="EK15" s="24">
        <v>9107</v>
      </c>
      <c r="EL15" s="24">
        <v>8971</v>
      </c>
      <c r="EM15" s="24">
        <v>8641</v>
      </c>
      <c r="EN15" s="24">
        <v>7734</v>
      </c>
      <c r="EO15" s="23">
        <v>6924</v>
      </c>
      <c r="EQ15" s="759">
        <f t="shared" si="8"/>
        <v>-1.4933567585373897</v>
      </c>
      <c r="ER15" s="759">
        <f t="shared" si="9"/>
        <v>-8.8170382780787815</v>
      </c>
      <c r="ET15" s="945">
        <f t="shared" si="10"/>
        <v>3.8536351912564462E-3</v>
      </c>
      <c r="FA15" s="762">
        <f>SUM(FA10:FA14)</f>
        <v>0.64284597778252928</v>
      </c>
      <c r="FF15" s="190"/>
    </row>
    <row r="16" spans="1:162" ht="13.9" customHeight="1" x14ac:dyDescent="0.2">
      <c r="A16" s="758" t="s">
        <v>272</v>
      </c>
      <c r="B16" s="951"/>
      <c r="C16" s="949">
        <v>8</v>
      </c>
      <c r="D16" s="949">
        <v>48</v>
      </c>
      <c r="E16" s="949">
        <v>107</v>
      </c>
      <c r="F16" s="949">
        <v>137</v>
      </c>
      <c r="G16" s="949">
        <v>186</v>
      </c>
      <c r="H16" s="949">
        <v>265</v>
      </c>
      <c r="I16" s="949">
        <v>366</v>
      </c>
      <c r="J16" s="949">
        <v>432</v>
      </c>
      <c r="K16" s="949">
        <v>499</v>
      </c>
      <c r="L16" s="949">
        <v>563</v>
      </c>
      <c r="M16" s="950">
        <v>635</v>
      </c>
      <c r="N16" s="949">
        <v>671.36290999999994</v>
      </c>
      <c r="O16" s="949">
        <v>692</v>
      </c>
      <c r="P16" s="949">
        <v>725</v>
      </c>
      <c r="Q16" s="949">
        <v>692</v>
      </c>
      <c r="R16" s="949">
        <v>705</v>
      </c>
      <c r="S16" s="949">
        <v>661</v>
      </c>
      <c r="T16" s="949">
        <v>621</v>
      </c>
      <c r="U16" s="949">
        <v>619</v>
      </c>
      <c r="V16" s="949">
        <v>568</v>
      </c>
      <c r="W16" s="949">
        <v>540</v>
      </c>
      <c r="X16" s="949">
        <v>547.16687000000002</v>
      </c>
      <c r="Y16" s="950">
        <v>554</v>
      </c>
      <c r="Z16" s="949">
        <v>560</v>
      </c>
      <c r="AA16" s="949">
        <v>518</v>
      </c>
      <c r="AB16" s="949">
        <v>501</v>
      </c>
      <c r="AC16" s="949">
        <v>504</v>
      </c>
      <c r="AD16" s="949">
        <v>496</v>
      </c>
      <c r="AE16" s="949">
        <v>447</v>
      </c>
      <c r="AF16" s="949">
        <v>424</v>
      </c>
      <c r="AG16" s="949">
        <v>418</v>
      </c>
      <c r="AH16" s="949">
        <v>421</v>
      </c>
      <c r="AI16" s="949">
        <v>447</v>
      </c>
      <c r="AJ16" s="949">
        <v>475</v>
      </c>
      <c r="AK16" s="949">
        <v>530</v>
      </c>
      <c r="AL16" s="952">
        <v>610</v>
      </c>
      <c r="AM16" s="949">
        <v>658</v>
      </c>
      <c r="AN16" s="949">
        <v>674</v>
      </c>
      <c r="AO16" s="949">
        <v>1068</v>
      </c>
      <c r="AP16" s="24">
        <v>1651</v>
      </c>
      <c r="AQ16" s="24">
        <v>2208</v>
      </c>
      <c r="AR16" s="24">
        <v>2800</v>
      </c>
      <c r="AS16" s="24">
        <v>3194</v>
      </c>
      <c r="AT16" s="24">
        <v>3749</v>
      </c>
      <c r="AU16" s="24">
        <v>4170</v>
      </c>
      <c r="AV16" s="24">
        <v>4692</v>
      </c>
      <c r="AW16" s="24">
        <v>4972</v>
      </c>
      <c r="AX16" s="52">
        <v>5200</v>
      </c>
      <c r="AY16" s="24">
        <v>5715</v>
      </c>
      <c r="AZ16" s="24">
        <v>6687</v>
      </c>
      <c r="BA16" s="24">
        <v>7197</v>
      </c>
      <c r="BB16" s="24">
        <v>7695.9065099999998</v>
      </c>
      <c r="BC16" s="24">
        <v>8226.3338100000001</v>
      </c>
      <c r="BD16" s="24">
        <v>8867.3969499999985</v>
      </c>
      <c r="BE16" s="24">
        <v>9101.21162</v>
      </c>
      <c r="BF16" s="24">
        <v>8988.4221699999998</v>
      </c>
      <c r="BG16" s="24">
        <v>9161.0884100000003</v>
      </c>
      <c r="BH16" s="24">
        <v>9795.5</v>
      </c>
      <c r="BI16" s="24">
        <v>10760.876400000001</v>
      </c>
      <c r="BJ16" s="52">
        <v>10933.458199999999</v>
      </c>
      <c r="BK16" s="24">
        <v>11433.15668</v>
      </c>
      <c r="BL16" s="24">
        <v>12116.837750000001</v>
      </c>
      <c r="BM16" s="24">
        <v>12761.092710000001</v>
      </c>
      <c r="BN16" s="24">
        <v>13859.08857</v>
      </c>
      <c r="BO16" s="24">
        <v>14277.08447</v>
      </c>
      <c r="BP16" s="24">
        <v>14775.8164</v>
      </c>
      <c r="BQ16" s="24">
        <v>15210.637050000001</v>
      </c>
      <c r="BR16" s="24">
        <v>15699.842349999999</v>
      </c>
      <c r="BS16" s="24">
        <v>15814.34519</v>
      </c>
      <c r="BT16" s="24">
        <v>16233.43009</v>
      </c>
      <c r="BU16" s="23">
        <v>16446.811289999998</v>
      </c>
      <c r="BV16" s="52">
        <v>16598.150970000002</v>
      </c>
      <c r="BW16" s="24">
        <v>16899.837760000002</v>
      </c>
      <c r="BX16" s="24">
        <v>17214.297620000001</v>
      </c>
      <c r="BY16" s="24">
        <v>17855.184229999999</v>
      </c>
      <c r="BZ16" s="24">
        <v>18096.806579999997</v>
      </c>
      <c r="CA16" s="24">
        <v>18504.23804</v>
      </c>
      <c r="CB16" s="24">
        <v>19104.717619999999</v>
      </c>
      <c r="CC16" s="24">
        <v>19497.16157</v>
      </c>
      <c r="CD16" s="24">
        <v>20252.547329999998</v>
      </c>
      <c r="CE16" s="24">
        <v>20693.25719</v>
      </c>
      <c r="CF16" s="24">
        <v>21835.550030000002</v>
      </c>
      <c r="CG16" s="23">
        <v>22257.487229999999</v>
      </c>
      <c r="CH16" s="24">
        <v>22477.191940000001</v>
      </c>
      <c r="CI16" s="24">
        <v>23021.5399</v>
      </c>
      <c r="CJ16" s="24">
        <v>23668.153409999999</v>
      </c>
      <c r="CK16" s="24">
        <v>23778.937239999999</v>
      </c>
      <c r="CL16" s="24">
        <v>24010.94053</v>
      </c>
      <c r="CM16" s="24">
        <v>24363.660390000001</v>
      </c>
      <c r="CN16" s="24">
        <v>24695.069629999998</v>
      </c>
      <c r="CO16" s="24">
        <v>24677.056120000001</v>
      </c>
      <c r="CP16" s="24">
        <v>24647.072559999997</v>
      </c>
      <c r="CQ16" s="24">
        <v>24841.972710000002</v>
      </c>
      <c r="CR16" s="24">
        <v>24835.983469999999</v>
      </c>
      <c r="CS16" s="24">
        <v>25028.829659999999</v>
      </c>
      <c r="CT16" s="52">
        <v>25165.089309999999</v>
      </c>
      <c r="CU16" s="24">
        <v>25277.827789999999</v>
      </c>
      <c r="CV16" s="24">
        <v>25074.381020000001</v>
      </c>
      <c r="CW16" s="24">
        <v>24981.599850000002</v>
      </c>
      <c r="CX16" s="24">
        <v>25283.27072</v>
      </c>
      <c r="CY16" s="24">
        <v>25819.519359999998</v>
      </c>
      <c r="CZ16" s="24">
        <v>26238.089459999999</v>
      </c>
      <c r="DA16" s="24">
        <v>25876.130129999998</v>
      </c>
      <c r="DB16" s="24">
        <v>25917.289840000001</v>
      </c>
      <c r="DC16" s="24">
        <v>26328.125899999999</v>
      </c>
      <c r="DD16" s="24">
        <v>26578.601760000001</v>
      </c>
      <c r="DE16" s="24">
        <v>27407.874500000002</v>
      </c>
      <c r="DF16" s="52">
        <v>27655.893519999998</v>
      </c>
      <c r="DG16" s="24">
        <v>27981.322809999998</v>
      </c>
      <c r="DH16" s="24">
        <v>28613.23503</v>
      </c>
      <c r="DI16" s="24">
        <v>29238.543839999998</v>
      </c>
      <c r="DJ16" s="24">
        <v>29845.024940000003</v>
      </c>
      <c r="DK16" s="24">
        <v>30320.656210000001</v>
      </c>
      <c r="DL16" s="24">
        <v>30925.58137</v>
      </c>
      <c r="DM16" s="24">
        <v>32027.268749999999</v>
      </c>
      <c r="DN16" s="24">
        <v>32809.108890000003</v>
      </c>
      <c r="DO16" s="24">
        <v>32495.3927</v>
      </c>
      <c r="DP16" s="24">
        <v>33199.431969999998</v>
      </c>
      <c r="DQ16" s="23">
        <v>33673.600429999999</v>
      </c>
      <c r="DR16" s="24">
        <v>34034.981520000001</v>
      </c>
      <c r="DS16" s="24">
        <v>34615.871439999995</v>
      </c>
      <c r="DT16" s="24">
        <v>35836.008689999995</v>
      </c>
      <c r="DU16" s="24">
        <v>37827.736720000001</v>
      </c>
      <c r="DV16" s="24">
        <v>38141.532490000005</v>
      </c>
      <c r="DW16" s="24">
        <v>38848.081939999996</v>
      </c>
      <c r="DX16" s="24">
        <v>39780.394690000001</v>
      </c>
      <c r="DY16" s="24">
        <v>40804.330869999998</v>
      </c>
      <c r="DZ16" s="24">
        <v>41372.46387</v>
      </c>
      <c r="EA16" s="24">
        <v>42279.767610000003</v>
      </c>
      <c r="EB16" s="24">
        <v>44202.970159999997</v>
      </c>
      <c r="EC16" s="23">
        <v>44917.318180000002</v>
      </c>
      <c r="ED16" s="52">
        <v>46096.81222</v>
      </c>
      <c r="EE16" s="24">
        <v>47606</v>
      </c>
      <c r="EF16" s="24">
        <v>47108</v>
      </c>
      <c r="EG16" s="24">
        <v>46562</v>
      </c>
      <c r="EH16" s="24">
        <v>46841</v>
      </c>
      <c r="EI16" s="24">
        <v>46528</v>
      </c>
      <c r="EJ16" s="24">
        <v>46140</v>
      </c>
      <c r="EK16" s="24">
        <v>45871</v>
      </c>
      <c r="EL16" s="24">
        <v>45580</v>
      </c>
      <c r="EM16" s="24">
        <v>44744</v>
      </c>
      <c r="EN16" s="24">
        <v>43684</v>
      </c>
      <c r="EO16" s="23">
        <v>44037</v>
      </c>
      <c r="EQ16" s="759">
        <f t="shared" si="8"/>
        <v>-0.6343877395304176</v>
      </c>
      <c r="ER16" s="759">
        <f t="shared" si="9"/>
        <v>10.169894989142691</v>
      </c>
      <c r="ET16" s="945">
        <f t="shared" si="10"/>
        <v>1.618028270445428E-2</v>
      </c>
      <c r="FF16" s="190"/>
    </row>
    <row r="17" spans="1:162" ht="13.9" customHeight="1" x14ac:dyDescent="0.2">
      <c r="A17" s="758" t="s">
        <v>246</v>
      </c>
      <c r="B17" s="951"/>
      <c r="C17" s="949"/>
      <c r="D17" s="949"/>
      <c r="E17" s="949"/>
      <c r="F17" s="949"/>
      <c r="G17" s="949"/>
      <c r="H17" s="949"/>
      <c r="I17" s="949"/>
      <c r="J17" s="949"/>
      <c r="K17" s="949"/>
      <c r="L17" s="949"/>
      <c r="M17" s="950"/>
      <c r="N17" s="949"/>
      <c r="O17" s="949"/>
      <c r="P17" s="949"/>
      <c r="Q17" s="949"/>
      <c r="R17" s="949"/>
      <c r="S17" s="949"/>
      <c r="T17" s="949"/>
      <c r="U17" s="949"/>
      <c r="V17" s="949"/>
      <c r="W17" s="949"/>
      <c r="X17" s="949"/>
      <c r="Y17" s="950"/>
      <c r="Z17" s="949"/>
      <c r="AA17" s="949"/>
      <c r="AB17" s="949"/>
      <c r="AC17" s="949"/>
      <c r="AD17" s="949"/>
      <c r="AE17" s="949"/>
      <c r="AF17" s="949"/>
      <c r="AG17" s="949"/>
      <c r="AH17" s="949"/>
      <c r="AI17" s="949"/>
      <c r="AJ17" s="949"/>
      <c r="AK17" s="949"/>
      <c r="AL17" s="952"/>
      <c r="AM17" s="949"/>
      <c r="AN17" s="949"/>
      <c r="AO17" s="949"/>
      <c r="AP17" s="24"/>
      <c r="AQ17" s="24"/>
      <c r="AR17" s="24"/>
      <c r="AS17" s="24"/>
      <c r="AT17" s="24"/>
      <c r="AU17" s="24"/>
      <c r="AV17" s="24"/>
      <c r="AW17" s="24"/>
      <c r="AX17" s="764"/>
      <c r="AY17" s="763"/>
      <c r="AZ17" s="763"/>
      <c r="BA17" s="763"/>
      <c r="BB17" s="763"/>
      <c r="BC17" s="763"/>
      <c r="BD17" s="763"/>
      <c r="BE17" s="763"/>
      <c r="BF17" s="763"/>
      <c r="BG17" s="763"/>
      <c r="BH17" s="763"/>
      <c r="BI17" s="765"/>
      <c r="BJ17" s="763"/>
      <c r="BK17" s="763"/>
      <c r="BL17" s="763"/>
      <c r="BM17" s="763"/>
      <c r="BN17" s="763"/>
      <c r="BO17" s="763"/>
      <c r="BP17" s="763"/>
      <c r="BQ17" s="763"/>
      <c r="BR17" s="953">
        <v>0.51039999999999996</v>
      </c>
      <c r="BS17" s="953">
        <v>1.09918</v>
      </c>
      <c r="BT17" s="953">
        <v>0.47787999999999997</v>
      </c>
      <c r="BU17" s="954">
        <v>0.28011999999999998</v>
      </c>
      <c r="BV17" s="955">
        <v>0.14138000000000001</v>
      </c>
      <c r="BW17" s="953">
        <v>0.22444999999999998</v>
      </c>
      <c r="BX17" s="953">
        <v>0.49478</v>
      </c>
      <c r="BY17" s="953">
        <v>0.61534</v>
      </c>
      <c r="BZ17" s="953">
        <v>0.64187000000000005</v>
      </c>
      <c r="CA17" s="953">
        <v>82.238240000000005</v>
      </c>
      <c r="CB17" s="953">
        <v>171.54353</v>
      </c>
      <c r="CC17" s="953">
        <v>273.61115999999998</v>
      </c>
      <c r="CD17" s="953">
        <v>253.83049</v>
      </c>
      <c r="CE17" s="953">
        <v>249.8852</v>
      </c>
      <c r="CF17" s="953">
        <v>243.67804999999998</v>
      </c>
      <c r="CG17" s="954">
        <v>237.76793000000001</v>
      </c>
      <c r="CH17" s="953">
        <v>243.59798999999998</v>
      </c>
      <c r="CI17" s="953">
        <v>236.81880999999998</v>
      </c>
      <c r="CJ17" s="953">
        <v>239.39314000000002</v>
      </c>
      <c r="CK17" s="953">
        <v>233.01635000000002</v>
      </c>
      <c r="CL17" s="953">
        <v>230.47537</v>
      </c>
      <c r="CM17" s="953">
        <v>220.81068999999999</v>
      </c>
      <c r="CN17" s="953">
        <v>214.35370999999998</v>
      </c>
      <c r="CO17" s="953">
        <v>212.82705999999999</v>
      </c>
      <c r="CP17" s="953">
        <v>211.41499999999999</v>
      </c>
      <c r="CQ17" s="953">
        <v>206.36053000000001</v>
      </c>
      <c r="CR17" s="953">
        <v>205.96901</v>
      </c>
      <c r="CS17" s="953">
        <v>201.12932999999998</v>
      </c>
      <c r="CT17" s="955">
        <v>191.69200000000001</v>
      </c>
      <c r="CU17" s="953">
        <v>51.079140000000002</v>
      </c>
      <c r="CV17" s="953">
        <v>102.98581</v>
      </c>
      <c r="CW17" s="953">
        <v>48.25461</v>
      </c>
      <c r="CX17" s="953">
        <v>63.239190000000001</v>
      </c>
      <c r="CY17" s="953">
        <v>44.875120000000003</v>
      </c>
      <c r="CZ17" s="953">
        <v>35.635059999999996</v>
      </c>
      <c r="DA17" s="953">
        <v>34.11692</v>
      </c>
      <c r="DB17" s="953">
        <v>34.181620000000002</v>
      </c>
      <c r="DC17" s="953">
        <v>30.267099999999999</v>
      </c>
      <c r="DD17" s="953">
        <v>28.592479999999998</v>
      </c>
      <c r="DE17" s="953">
        <v>28.082830000000001</v>
      </c>
      <c r="DF17" s="955">
        <v>25.91703</v>
      </c>
      <c r="DG17" s="953">
        <v>23.79316</v>
      </c>
      <c r="DH17" s="953">
        <v>21.992290000000001</v>
      </c>
      <c r="DI17" s="953">
        <v>21.747910000000001</v>
      </c>
      <c r="DJ17" s="953">
        <v>21.811229999999998</v>
      </c>
      <c r="DK17" s="953">
        <v>21.643249999999998</v>
      </c>
      <c r="DL17" s="953">
        <v>24.293490000000002</v>
      </c>
      <c r="DM17" s="953">
        <v>20.21097</v>
      </c>
      <c r="DN17" s="953">
        <v>10.871780000000001</v>
      </c>
      <c r="DO17" s="953">
        <v>7.2919</v>
      </c>
      <c r="DP17" s="953">
        <v>16.712689999999998</v>
      </c>
      <c r="DQ17" s="954">
        <v>6.75387</v>
      </c>
      <c r="DR17" s="953">
        <v>5.8140400000000003</v>
      </c>
      <c r="DS17" s="953">
        <v>6.3681599999999996</v>
      </c>
      <c r="DT17" s="953">
        <v>4.9045100000000001</v>
      </c>
      <c r="DU17" s="953">
        <v>5.0639700000000003</v>
      </c>
      <c r="DV17" s="953">
        <v>5.9042599999999998</v>
      </c>
      <c r="DW17" s="953">
        <v>6.7628699999999995</v>
      </c>
      <c r="DX17" s="953">
        <v>6.8428300000000002</v>
      </c>
      <c r="DY17" s="953">
        <v>7.2694799999999997</v>
      </c>
      <c r="DZ17" s="953">
        <v>9.0401100000000003</v>
      </c>
      <c r="EA17" s="953">
        <v>10.037100000000001</v>
      </c>
      <c r="EB17" s="953">
        <v>9.9997099999999985</v>
      </c>
      <c r="EC17" s="954">
        <v>9.9820700000000002</v>
      </c>
      <c r="ED17" s="955">
        <v>10.793479999999999</v>
      </c>
      <c r="EE17" s="953">
        <v>12</v>
      </c>
      <c r="EF17" s="953">
        <v>17</v>
      </c>
      <c r="EG17" s="953">
        <v>14</v>
      </c>
      <c r="EH17" s="953">
        <v>19</v>
      </c>
      <c r="EI17" s="953">
        <v>19</v>
      </c>
      <c r="EJ17" s="953">
        <v>25</v>
      </c>
      <c r="EK17" s="953">
        <v>21</v>
      </c>
      <c r="EL17" s="953">
        <v>27</v>
      </c>
      <c r="EM17" s="953">
        <v>32</v>
      </c>
      <c r="EN17" s="953">
        <v>30</v>
      </c>
      <c r="EO17" s="954">
        <v>28</v>
      </c>
      <c r="EQ17" s="759">
        <f t="shared" si="8"/>
        <v>28.57142857142858</v>
      </c>
      <c r="ER17" s="759">
        <f t="shared" si="9"/>
        <v>198.66893212582588</v>
      </c>
      <c r="ET17" s="945">
        <f t="shared" si="10"/>
        <v>3.7885821026275118E-6</v>
      </c>
      <c r="FF17" s="190"/>
    </row>
    <row r="18" spans="1:162" ht="13.9" customHeight="1" x14ac:dyDescent="0.2">
      <c r="A18" s="758" t="s">
        <v>219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21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21"/>
      <c r="Z18" s="763"/>
      <c r="AA18" s="763"/>
      <c r="AB18" s="763"/>
      <c r="AC18" s="763"/>
      <c r="AD18" s="763"/>
      <c r="AE18" s="763"/>
      <c r="AF18" s="763"/>
      <c r="AG18" s="763"/>
      <c r="AH18" s="763"/>
      <c r="AI18" s="763"/>
      <c r="AJ18" s="763"/>
      <c r="AK18" s="763"/>
      <c r="AL18" s="764"/>
      <c r="AM18" s="763"/>
      <c r="AN18" s="763"/>
      <c r="AO18" s="763"/>
      <c r="AP18" s="763"/>
      <c r="AQ18" s="763"/>
      <c r="AR18" s="763"/>
      <c r="AS18" s="763"/>
      <c r="AT18" s="763"/>
      <c r="AU18" s="763"/>
      <c r="AV18" s="763"/>
      <c r="AW18" s="763"/>
      <c r="AX18" s="764"/>
      <c r="AY18" s="763"/>
      <c r="AZ18" s="763"/>
      <c r="BA18" s="763"/>
      <c r="BB18" s="763"/>
      <c r="BC18" s="763"/>
      <c r="BD18" s="763"/>
      <c r="BE18" s="763"/>
      <c r="BF18" s="763"/>
      <c r="BG18" s="763"/>
      <c r="BH18" s="763"/>
      <c r="BI18" s="763"/>
      <c r="BJ18" s="764"/>
      <c r="BK18" s="763"/>
      <c r="BL18" s="763"/>
      <c r="BM18" s="763"/>
      <c r="BN18" s="763"/>
      <c r="BO18" s="763"/>
      <c r="BP18" s="763"/>
      <c r="BQ18" s="763"/>
      <c r="BR18" s="763"/>
      <c r="BS18" s="763"/>
      <c r="BT18" s="763"/>
      <c r="BU18" s="765"/>
      <c r="BV18" s="764"/>
      <c r="BW18" s="763"/>
      <c r="BX18" s="763"/>
      <c r="BY18" s="763"/>
      <c r="BZ18" s="763"/>
      <c r="CA18" s="763"/>
      <c r="CB18" s="763"/>
      <c r="CC18" s="763"/>
      <c r="CD18" s="763"/>
      <c r="CE18" s="763"/>
      <c r="CF18" s="763"/>
      <c r="CG18" s="765"/>
      <c r="CH18" s="763"/>
      <c r="CI18" s="763"/>
      <c r="CJ18" s="763"/>
      <c r="CK18" s="763"/>
      <c r="CL18" s="763"/>
      <c r="CM18" s="763"/>
      <c r="CN18" s="763"/>
      <c r="CO18" s="763"/>
      <c r="CP18" s="763"/>
      <c r="CQ18" s="763"/>
      <c r="CR18" s="763"/>
      <c r="CS18" s="763"/>
      <c r="CT18" s="764"/>
      <c r="CU18" s="763"/>
      <c r="CV18" s="763"/>
      <c r="CW18" s="763"/>
      <c r="CX18" s="763"/>
      <c r="CY18" s="763"/>
      <c r="CZ18" s="763"/>
      <c r="DA18" s="763"/>
      <c r="DB18" s="763"/>
      <c r="DC18" s="763"/>
      <c r="DD18" s="763"/>
      <c r="DE18" s="763"/>
      <c r="DF18" s="764"/>
      <c r="DG18" s="763"/>
      <c r="DH18" s="763"/>
      <c r="DI18" s="763"/>
      <c r="DJ18" s="763"/>
      <c r="DK18" s="763"/>
      <c r="DL18" s="763"/>
      <c r="DM18" s="763"/>
      <c r="DN18" s="763"/>
      <c r="DO18" s="763"/>
      <c r="DP18" s="763"/>
      <c r="DQ18" s="765"/>
      <c r="DR18" s="763"/>
      <c r="DS18" s="763"/>
      <c r="DT18" s="763"/>
      <c r="DU18" s="763"/>
      <c r="DV18" s="763"/>
      <c r="DW18" s="763"/>
      <c r="DX18" s="763"/>
      <c r="DY18" s="763"/>
      <c r="DZ18" s="763"/>
      <c r="EA18" s="763"/>
      <c r="EB18" s="763"/>
      <c r="EC18" s="765"/>
      <c r="ED18" s="764"/>
      <c r="EE18" s="763"/>
      <c r="EF18" s="763"/>
      <c r="EG18" s="763"/>
      <c r="EH18" s="763"/>
      <c r="EI18" s="763"/>
      <c r="EJ18" s="763"/>
      <c r="EK18" s="763"/>
      <c r="EL18" s="763"/>
      <c r="EM18" s="763"/>
      <c r="EN18" s="763"/>
      <c r="EO18" s="765"/>
      <c r="EQ18" s="759" t="str">
        <f t="shared" si="8"/>
        <v>-</v>
      </c>
      <c r="ER18" s="759" t="str">
        <f t="shared" si="9"/>
        <v>-</v>
      </c>
      <c r="ET18" s="945">
        <f t="shared" si="10"/>
        <v>0</v>
      </c>
      <c r="FF18" s="190" t="s">
        <v>352</v>
      </c>
    </row>
    <row r="19" spans="1:162" ht="13.9" customHeight="1" x14ac:dyDescent="0.2">
      <c r="A19" s="312" t="s">
        <v>235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21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21"/>
      <c r="Z19" s="51">
        <f t="shared" ref="Z19:BE19" si="11">Z20+Z29</f>
        <v>338178</v>
      </c>
      <c r="AA19" s="29">
        <f t="shared" si="11"/>
        <v>350314</v>
      </c>
      <c r="AB19" s="29">
        <f t="shared" si="11"/>
        <v>359126</v>
      </c>
      <c r="AC19" s="29">
        <f t="shared" si="11"/>
        <v>361625</v>
      </c>
      <c r="AD19" s="29">
        <f t="shared" si="11"/>
        <v>366383</v>
      </c>
      <c r="AE19" s="29">
        <f t="shared" si="11"/>
        <v>369972</v>
      </c>
      <c r="AF19" s="29">
        <f t="shared" si="11"/>
        <v>370488</v>
      </c>
      <c r="AG19" s="29">
        <f t="shared" si="11"/>
        <v>376792</v>
      </c>
      <c r="AH19" s="29">
        <f t="shared" si="11"/>
        <v>392065</v>
      </c>
      <c r="AI19" s="29">
        <f t="shared" si="11"/>
        <v>402360</v>
      </c>
      <c r="AJ19" s="29">
        <f t="shared" si="11"/>
        <v>416771</v>
      </c>
      <c r="AK19" s="15">
        <f t="shared" si="11"/>
        <v>425631</v>
      </c>
      <c r="AL19" s="29">
        <f t="shared" si="11"/>
        <v>435158</v>
      </c>
      <c r="AM19" s="29">
        <f t="shared" si="11"/>
        <v>448001</v>
      </c>
      <c r="AN19" s="29">
        <f t="shared" si="11"/>
        <v>457956</v>
      </c>
      <c r="AO19" s="29">
        <f t="shared" si="11"/>
        <v>460441</v>
      </c>
      <c r="AP19" s="29">
        <f t="shared" si="11"/>
        <v>462861</v>
      </c>
      <c r="AQ19" s="29">
        <f t="shared" si="11"/>
        <v>456150</v>
      </c>
      <c r="AR19" s="29">
        <f t="shared" si="11"/>
        <v>457421</v>
      </c>
      <c r="AS19" s="29">
        <f t="shared" si="11"/>
        <v>461440</v>
      </c>
      <c r="AT19" s="29">
        <f t="shared" si="11"/>
        <v>468481</v>
      </c>
      <c r="AU19" s="29">
        <f t="shared" si="11"/>
        <v>478984</v>
      </c>
      <c r="AV19" s="29">
        <f t="shared" si="11"/>
        <v>489920</v>
      </c>
      <c r="AW19" s="29">
        <f t="shared" si="11"/>
        <v>486561</v>
      </c>
      <c r="AX19" s="51">
        <f t="shared" si="11"/>
        <v>491657</v>
      </c>
      <c r="AY19" s="29">
        <f t="shared" si="11"/>
        <v>497666</v>
      </c>
      <c r="AZ19" s="29">
        <f t="shared" si="11"/>
        <v>488757</v>
      </c>
      <c r="BA19" s="29">
        <f t="shared" si="11"/>
        <v>490001</v>
      </c>
      <c r="BB19" s="29">
        <f t="shared" si="11"/>
        <v>488075</v>
      </c>
      <c r="BC19" s="29">
        <f t="shared" si="11"/>
        <v>482221.33763000002</v>
      </c>
      <c r="BD19" s="29">
        <f t="shared" si="11"/>
        <v>477948.6153</v>
      </c>
      <c r="BE19" s="29">
        <f t="shared" si="11"/>
        <v>488132.39613999997</v>
      </c>
      <c r="BF19" s="29">
        <f t="shared" ref="BF19:CK19" si="12">BF20+BF29</f>
        <v>489409.16442999989</v>
      </c>
      <c r="BG19" s="29">
        <f t="shared" si="12"/>
        <v>492796.06342000002</v>
      </c>
      <c r="BH19" s="29">
        <f t="shared" si="12"/>
        <v>500005.47308000003</v>
      </c>
      <c r="BI19" s="29">
        <f t="shared" si="12"/>
        <v>496833.48511000001</v>
      </c>
      <c r="BJ19" s="51">
        <f t="shared" si="12"/>
        <v>499143.84126999998</v>
      </c>
      <c r="BK19" s="29">
        <f t="shared" si="12"/>
        <v>502605.94206999999</v>
      </c>
      <c r="BL19" s="29">
        <f t="shared" si="12"/>
        <v>497449.13090999995</v>
      </c>
      <c r="BM19" s="29">
        <f t="shared" si="12"/>
        <v>496147.51363</v>
      </c>
      <c r="BN19" s="29">
        <f t="shared" si="12"/>
        <v>499959.23619999998</v>
      </c>
      <c r="BO19" s="29">
        <f t="shared" si="12"/>
        <v>491859.69899999996</v>
      </c>
      <c r="BP19" s="29">
        <f t="shared" si="12"/>
        <v>493069.18059</v>
      </c>
      <c r="BQ19" s="29">
        <f t="shared" si="12"/>
        <v>498766.05610000005</v>
      </c>
      <c r="BR19" s="29">
        <f t="shared" si="12"/>
        <v>502242.86941000004</v>
      </c>
      <c r="BS19" s="29">
        <f t="shared" si="12"/>
        <v>506500.48705</v>
      </c>
      <c r="BT19" s="29">
        <f t="shared" si="12"/>
        <v>515788.88966000004</v>
      </c>
      <c r="BU19" s="15">
        <f t="shared" si="12"/>
        <v>515171.55444999994</v>
      </c>
      <c r="BV19" s="51">
        <f t="shared" si="12"/>
        <v>523923.94947000011</v>
      </c>
      <c r="BW19" s="29">
        <f t="shared" si="12"/>
        <v>534715.0713200001</v>
      </c>
      <c r="BX19" s="29">
        <f t="shared" si="12"/>
        <v>481588.53940000001</v>
      </c>
      <c r="BY19" s="29">
        <f t="shared" si="12"/>
        <v>487782.72754999995</v>
      </c>
      <c r="BZ19" s="29">
        <f t="shared" si="12"/>
        <v>492892.88657000003</v>
      </c>
      <c r="CA19" s="29">
        <f t="shared" si="12"/>
        <v>488844.37595000007</v>
      </c>
      <c r="CB19" s="29">
        <f t="shared" si="12"/>
        <v>488702.53288999991</v>
      </c>
      <c r="CC19" s="29">
        <f t="shared" si="12"/>
        <v>489452.10887</v>
      </c>
      <c r="CD19" s="29">
        <f t="shared" si="12"/>
        <v>492967.24755000009</v>
      </c>
      <c r="CE19" s="29">
        <f t="shared" si="12"/>
        <v>494142.06298000005</v>
      </c>
      <c r="CF19" s="29">
        <f t="shared" si="12"/>
        <v>498531.15085999999</v>
      </c>
      <c r="CG19" s="15">
        <f t="shared" si="12"/>
        <v>493453.96027999994</v>
      </c>
      <c r="CH19" s="29">
        <f t="shared" si="12"/>
        <v>494824.67134999996</v>
      </c>
      <c r="CI19" s="29">
        <f t="shared" si="12"/>
        <v>500168.00531999994</v>
      </c>
      <c r="CJ19" s="29">
        <f t="shared" si="12"/>
        <v>504235.99423000001</v>
      </c>
      <c r="CK19" s="29">
        <f t="shared" si="12"/>
        <v>508568.85779000004</v>
      </c>
      <c r="CL19" s="29">
        <f t="shared" ref="CL19:DQ19" si="13">CL20+CL29</f>
        <v>511218.77727999992</v>
      </c>
      <c r="CM19" s="29">
        <f t="shared" si="13"/>
        <v>504481.30533</v>
      </c>
      <c r="CN19" s="29">
        <f t="shared" si="13"/>
        <v>501889.10375000007</v>
      </c>
      <c r="CO19" s="29">
        <f t="shared" si="13"/>
        <v>506331.92570000002</v>
      </c>
      <c r="CP19" s="29">
        <f t="shared" si="13"/>
        <v>520562.36436000001</v>
      </c>
      <c r="CQ19" s="29">
        <f t="shared" si="13"/>
        <v>532608.13338000001</v>
      </c>
      <c r="CR19" s="29">
        <f t="shared" si="13"/>
        <v>553532.10044999991</v>
      </c>
      <c r="CS19" s="29">
        <f t="shared" si="13"/>
        <v>566374.82897000003</v>
      </c>
      <c r="CT19" s="51">
        <f t="shared" si="13"/>
        <v>573436.74027000007</v>
      </c>
      <c r="CU19" s="29">
        <f t="shared" si="13"/>
        <v>590076.02053999994</v>
      </c>
      <c r="CV19" s="29">
        <f t="shared" si="13"/>
        <v>598926.77312999987</v>
      </c>
      <c r="CW19" s="29">
        <f t="shared" si="13"/>
        <v>599966.76358999987</v>
      </c>
      <c r="CX19" s="29">
        <f t="shared" si="13"/>
        <v>614073.44736000011</v>
      </c>
      <c r="CY19" s="29">
        <f t="shared" si="13"/>
        <v>620419.23106999998</v>
      </c>
      <c r="CZ19" s="29">
        <f t="shared" si="13"/>
        <v>630259.55389999994</v>
      </c>
      <c r="DA19" s="29">
        <f t="shared" si="13"/>
        <v>635086.13162999996</v>
      </c>
      <c r="DB19" s="29">
        <f t="shared" si="13"/>
        <v>643798.64833</v>
      </c>
      <c r="DC19" s="29">
        <f t="shared" si="13"/>
        <v>653903.79519000009</v>
      </c>
      <c r="DD19" s="29">
        <f t="shared" si="13"/>
        <v>670925.38816000009</v>
      </c>
      <c r="DE19" s="29">
        <f t="shared" si="13"/>
        <v>677135.67058000003</v>
      </c>
      <c r="DF19" s="51">
        <f t="shared" si="13"/>
        <v>684477.66197999986</v>
      </c>
      <c r="DG19" s="29">
        <f t="shared" si="13"/>
        <v>695891.29645000002</v>
      </c>
      <c r="DH19" s="29">
        <f t="shared" si="13"/>
        <v>707109.02763999999</v>
      </c>
      <c r="DI19" s="29">
        <f t="shared" si="13"/>
        <v>714063.05125999998</v>
      </c>
      <c r="DJ19" s="29">
        <f t="shared" si="13"/>
        <v>721361.45579999988</v>
      </c>
      <c r="DK19" s="29">
        <f t="shared" si="13"/>
        <v>722990.34521999978</v>
      </c>
      <c r="DL19" s="29">
        <f t="shared" si="13"/>
        <v>725916.6693500001</v>
      </c>
      <c r="DM19" s="29">
        <f t="shared" si="13"/>
        <v>743552.4354399998</v>
      </c>
      <c r="DN19" s="29">
        <f t="shared" si="13"/>
        <v>748717.08883000002</v>
      </c>
      <c r="DO19" s="29">
        <f t="shared" si="13"/>
        <v>756319.10991999996</v>
      </c>
      <c r="DP19" s="29">
        <f t="shared" si="13"/>
        <v>766306.10388000007</v>
      </c>
      <c r="DQ19" s="15">
        <f t="shared" si="13"/>
        <v>773555.58522999985</v>
      </c>
      <c r="DR19" s="29">
        <f t="shared" ref="DR19:EO19" si="14">DR20+DR29</f>
        <v>779854.31100999983</v>
      </c>
      <c r="DS19" s="29">
        <f t="shared" si="14"/>
        <v>794293.03905999998</v>
      </c>
      <c r="DT19" s="29">
        <f t="shared" si="14"/>
        <v>803872.38010000007</v>
      </c>
      <c r="DU19" s="29">
        <f t="shared" si="14"/>
        <v>806277.04704999982</v>
      </c>
      <c r="DV19" s="29">
        <f t="shared" si="14"/>
        <v>810442.08232000005</v>
      </c>
      <c r="DW19" s="29">
        <f t="shared" si="14"/>
        <v>804496.63344999985</v>
      </c>
      <c r="DX19" s="29">
        <f t="shared" si="14"/>
        <v>802929.57767000003</v>
      </c>
      <c r="DY19" s="29">
        <f t="shared" si="14"/>
        <v>815453.39870000002</v>
      </c>
      <c r="DZ19" s="29">
        <f t="shared" si="14"/>
        <v>820802.63058</v>
      </c>
      <c r="EA19" s="29">
        <f t="shared" si="14"/>
        <v>834041.71814000001</v>
      </c>
      <c r="EB19" s="29">
        <f t="shared" si="14"/>
        <v>847009.96253000002</v>
      </c>
      <c r="EC19" s="15">
        <f t="shared" si="14"/>
        <v>852157.72927000001</v>
      </c>
      <c r="ED19" s="51">
        <f t="shared" si="14"/>
        <v>855107.82966000005</v>
      </c>
      <c r="EE19" s="29">
        <f t="shared" si="14"/>
        <v>867109</v>
      </c>
      <c r="EF19" s="29">
        <f t="shared" si="14"/>
        <v>851726</v>
      </c>
      <c r="EG19" s="29">
        <f t="shared" si="14"/>
        <v>834351.6</v>
      </c>
      <c r="EH19" s="29">
        <f t="shared" si="14"/>
        <v>826094.6</v>
      </c>
      <c r="EI19" s="29">
        <f t="shared" si="14"/>
        <v>827810.3</v>
      </c>
      <c r="EJ19" s="29">
        <f t="shared" si="14"/>
        <v>840789.5</v>
      </c>
      <c r="EK19" s="29">
        <f t="shared" si="14"/>
        <v>853344</v>
      </c>
      <c r="EL19" s="29">
        <f t="shared" si="14"/>
        <v>865122</v>
      </c>
      <c r="EM19" s="29">
        <f t="shared" si="14"/>
        <v>879043</v>
      </c>
      <c r="EN19" s="29">
        <f t="shared" si="14"/>
        <v>880639.5</v>
      </c>
      <c r="EO19" s="15">
        <f t="shared" si="14"/>
        <v>889093.70000000007</v>
      </c>
      <c r="EQ19" s="757">
        <f t="shared" si="8"/>
        <v>1.380217122285976</v>
      </c>
      <c r="ER19" s="757">
        <f t="shared" si="9"/>
        <v>5.3995160065072989</v>
      </c>
      <c r="ET19" s="945">
        <f t="shared" si="10"/>
        <v>0.30014844325153067</v>
      </c>
      <c r="FF19" s="190"/>
    </row>
    <row r="20" spans="1:162" s="211" customFormat="1" ht="13.9" customHeight="1" x14ac:dyDescent="0.2">
      <c r="A20" s="312" t="s">
        <v>515</v>
      </c>
      <c r="B20" s="10">
        <f t="shared" ref="B20:BA20" si="15">SUM(B21:B24)</f>
        <v>26790</v>
      </c>
      <c r="C20" s="10">
        <f t="shared" si="15"/>
        <v>27294</v>
      </c>
      <c r="D20" s="10">
        <f t="shared" si="15"/>
        <v>26093</v>
      </c>
      <c r="E20" s="10">
        <f t="shared" si="15"/>
        <v>36443</v>
      </c>
      <c r="F20" s="10">
        <f t="shared" si="15"/>
        <v>35250</v>
      </c>
      <c r="G20" s="10">
        <f t="shared" si="15"/>
        <v>33793</v>
      </c>
      <c r="H20" s="10">
        <f t="shared" si="15"/>
        <v>33569</v>
      </c>
      <c r="I20" s="10">
        <f t="shared" si="15"/>
        <v>32807</v>
      </c>
      <c r="J20" s="10">
        <f t="shared" si="15"/>
        <v>33065</v>
      </c>
      <c r="K20" s="10">
        <f t="shared" si="15"/>
        <v>32969</v>
      </c>
      <c r="L20" s="10">
        <f t="shared" si="15"/>
        <v>33354</v>
      </c>
      <c r="M20" s="12">
        <f t="shared" si="15"/>
        <v>33884</v>
      </c>
      <c r="N20" s="10">
        <f t="shared" si="15"/>
        <v>35028.313580000002</v>
      </c>
      <c r="O20" s="10">
        <f t="shared" si="15"/>
        <v>36637</v>
      </c>
      <c r="P20" s="10">
        <f t="shared" si="15"/>
        <v>38205</v>
      </c>
      <c r="Q20" s="10">
        <f t="shared" si="15"/>
        <v>42144</v>
      </c>
      <c r="R20" s="10">
        <f t="shared" si="15"/>
        <v>43719</v>
      </c>
      <c r="S20" s="10">
        <f t="shared" si="15"/>
        <v>45243</v>
      </c>
      <c r="T20" s="10">
        <f t="shared" si="15"/>
        <v>46991</v>
      </c>
      <c r="U20" s="10">
        <f t="shared" si="15"/>
        <v>48453</v>
      </c>
      <c r="V20" s="10">
        <f t="shared" si="15"/>
        <v>50229</v>
      </c>
      <c r="W20" s="10">
        <f t="shared" si="15"/>
        <v>52524</v>
      </c>
      <c r="X20" s="10">
        <f t="shared" si="15"/>
        <v>57040.311000000002</v>
      </c>
      <c r="Y20" s="12">
        <f t="shared" si="15"/>
        <v>63299</v>
      </c>
      <c r="Z20" s="11">
        <f t="shared" si="15"/>
        <v>68438</v>
      </c>
      <c r="AA20" s="10">
        <f t="shared" si="15"/>
        <v>73827</v>
      </c>
      <c r="AB20" s="10">
        <f t="shared" si="15"/>
        <v>78754</v>
      </c>
      <c r="AC20" s="10">
        <f t="shared" si="15"/>
        <v>80906</v>
      </c>
      <c r="AD20" s="10">
        <f t="shared" si="15"/>
        <v>85209</v>
      </c>
      <c r="AE20" s="10">
        <f t="shared" si="15"/>
        <v>88091</v>
      </c>
      <c r="AF20" s="10">
        <f t="shared" si="15"/>
        <v>89935</v>
      </c>
      <c r="AG20" s="10">
        <f t="shared" si="15"/>
        <v>91596</v>
      </c>
      <c r="AH20" s="10">
        <f t="shared" si="15"/>
        <v>93693</v>
      </c>
      <c r="AI20" s="10">
        <f t="shared" si="15"/>
        <v>97116</v>
      </c>
      <c r="AJ20" s="10">
        <f t="shared" si="15"/>
        <v>102798</v>
      </c>
      <c r="AK20" s="10">
        <f t="shared" si="15"/>
        <v>107391</v>
      </c>
      <c r="AL20" s="11">
        <f t="shared" si="15"/>
        <v>111348</v>
      </c>
      <c r="AM20" s="10">
        <f t="shared" si="15"/>
        <v>115602</v>
      </c>
      <c r="AN20" s="10">
        <f t="shared" si="15"/>
        <v>118845</v>
      </c>
      <c r="AO20" s="10">
        <f t="shared" si="15"/>
        <v>120632</v>
      </c>
      <c r="AP20" s="10">
        <f t="shared" si="15"/>
        <v>122442</v>
      </c>
      <c r="AQ20" s="10">
        <f t="shared" si="15"/>
        <v>122202</v>
      </c>
      <c r="AR20" s="10">
        <f t="shared" si="15"/>
        <v>123592</v>
      </c>
      <c r="AS20" s="10">
        <f t="shared" si="15"/>
        <v>125057</v>
      </c>
      <c r="AT20" s="10">
        <f t="shared" si="15"/>
        <v>126738</v>
      </c>
      <c r="AU20" s="10">
        <f t="shared" si="15"/>
        <v>129799</v>
      </c>
      <c r="AV20" s="10">
        <f t="shared" si="15"/>
        <v>133776</v>
      </c>
      <c r="AW20" s="10">
        <f t="shared" si="15"/>
        <v>137065</v>
      </c>
      <c r="AX20" s="11">
        <f t="shared" si="15"/>
        <v>137430</v>
      </c>
      <c r="AY20" s="10">
        <f t="shared" si="15"/>
        <v>136799</v>
      </c>
      <c r="AZ20" s="10">
        <f t="shared" si="15"/>
        <v>132786</v>
      </c>
      <c r="BA20" s="10">
        <f t="shared" si="15"/>
        <v>131573</v>
      </c>
      <c r="BB20" s="10">
        <f t="shared" ref="BB20:CC20" si="16">SUM(BB21:BB25)</f>
        <v>157605</v>
      </c>
      <c r="BC20" s="10">
        <f t="shared" si="16"/>
        <v>154052.88641000004</v>
      </c>
      <c r="BD20" s="10">
        <f t="shared" si="16"/>
        <v>150616.14418</v>
      </c>
      <c r="BE20" s="10">
        <f t="shared" si="16"/>
        <v>150435.03504000002</v>
      </c>
      <c r="BF20" s="10">
        <f t="shared" si="16"/>
        <v>149694.12610999998</v>
      </c>
      <c r="BG20" s="10">
        <f t="shared" si="16"/>
        <v>149971.23285</v>
      </c>
      <c r="BH20" s="10">
        <f t="shared" si="16"/>
        <v>151241.64775999999</v>
      </c>
      <c r="BI20" s="10">
        <f t="shared" si="16"/>
        <v>148740.23693000001</v>
      </c>
      <c r="BJ20" s="11">
        <f t="shared" si="16"/>
        <v>148459.67337</v>
      </c>
      <c r="BK20" s="10">
        <f t="shared" si="16"/>
        <v>148437.22558</v>
      </c>
      <c r="BL20" s="10">
        <f t="shared" si="16"/>
        <v>148724.34113000002</v>
      </c>
      <c r="BM20" s="10">
        <f t="shared" si="16"/>
        <v>151098.26994999999</v>
      </c>
      <c r="BN20" s="10">
        <f t="shared" si="16"/>
        <v>153956.14973</v>
      </c>
      <c r="BO20" s="10">
        <f t="shared" si="16"/>
        <v>154593.90784</v>
      </c>
      <c r="BP20" s="10">
        <f t="shared" si="16"/>
        <v>156638.90552999999</v>
      </c>
      <c r="BQ20" s="10">
        <f t="shared" si="16"/>
        <v>159458.15863000002</v>
      </c>
      <c r="BR20" s="10">
        <f t="shared" si="16"/>
        <v>162255.40617</v>
      </c>
      <c r="BS20" s="10">
        <f t="shared" si="16"/>
        <v>165533.61848999999</v>
      </c>
      <c r="BT20" s="10">
        <f t="shared" si="16"/>
        <v>168782.20686999999</v>
      </c>
      <c r="BU20" s="12">
        <f t="shared" si="16"/>
        <v>171627.34493000002</v>
      </c>
      <c r="BV20" s="11">
        <f t="shared" si="16"/>
        <v>175211.83018000002</v>
      </c>
      <c r="BW20" s="10">
        <f t="shared" si="16"/>
        <v>179032.82139</v>
      </c>
      <c r="BX20" s="10">
        <f t="shared" si="16"/>
        <v>122865.49605000002</v>
      </c>
      <c r="BY20" s="10">
        <f t="shared" si="16"/>
        <v>124695.61396999999</v>
      </c>
      <c r="BZ20" s="10">
        <f t="shared" si="16"/>
        <v>127410.42057999999</v>
      </c>
      <c r="CA20" s="10">
        <f t="shared" si="16"/>
        <v>128167.42708000001</v>
      </c>
      <c r="CB20" s="10">
        <f t="shared" si="16"/>
        <v>130008.95451000001</v>
      </c>
      <c r="CC20" s="10">
        <f t="shared" si="16"/>
        <v>131038.46343</v>
      </c>
      <c r="CD20" s="10">
        <f>SUM(CD21:CD26)</f>
        <v>132421.71349999998</v>
      </c>
      <c r="CE20" s="10">
        <f>SUM(CE21:CE26)</f>
        <v>134985.24252</v>
      </c>
      <c r="CF20" s="10">
        <f>SUM(CF21:CF26)</f>
        <v>137669.81792</v>
      </c>
      <c r="CG20" s="12">
        <f>SUM(CG21:CG26)</f>
        <v>138894.75543999998</v>
      </c>
      <c r="CH20" s="10">
        <f>SUM(CH21:CH26)</f>
        <v>140192.18862</v>
      </c>
      <c r="CI20" s="10">
        <f t="shared" ref="CI20:DO20" si="17">SUM(CI21:CI26)</f>
        <v>142460.17006999999</v>
      </c>
      <c r="CJ20" s="10">
        <f t="shared" si="17"/>
        <v>144477.53415000002</v>
      </c>
      <c r="CK20" s="10">
        <f t="shared" si="17"/>
        <v>145205.36214000001</v>
      </c>
      <c r="CL20" s="10">
        <f t="shared" si="17"/>
        <v>145725.89309999999</v>
      </c>
      <c r="CM20" s="10">
        <f t="shared" si="17"/>
        <v>145277.59763</v>
      </c>
      <c r="CN20" s="10">
        <f t="shared" si="17"/>
        <v>143575.37766</v>
      </c>
      <c r="CO20" s="10">
        <f t="shared" si="17"/>
        <v>144464.65790000002</v>
      </c>
      <c r="CP20" s="10">
        <f t="shared" si="17"/>
        <v>144089.43491999997</v>
      </c>
      <c r="CQ20" s="10">
        <f t="shared" si="17"/>
        <v>144292.54970999999</v>
      </c>
      <c r="CR20" s="10">
        <f t="shared" si="17"/>
        <v>146366.24932</v>
      </c>
      <c r="CS20" s="10">
        <f t="shared" si="17"/>
        <v>148072.30296</v>
      </c>
      <c r="CT20" s="11">
        <f t="shared" si="17"/>
        <v>146182.17106000002</v>
      </c>
      <c r="CU20" s="10">
        <f t="shared" si="17"/>
        <v>148987.35106000002</v>
      </c>
      <c r="CV20" s="10">
        <f t="shared" si="17"/>
        <v>151089.78581</v>
      </c>
      <c r="CW20" s="10">
        <f t="shared" si="17"/>
        <v>152555.63652</v>
      </c>
      <c r="CX20" s="10">
        <f t="shared" si="17"/>
        <v>155770.90070999999</v>
      </c>
      <c r="CY20" s="10">
        <f t="shared" si="17"/>
        <v>157920.88126000002</v>
      </c>
      <c r="CZ20" s="10">
        <f t="shared" si="17"/>
        <v>159655.81849999999</v>
      </c>
      <c r="DA20" s="10">
        <f t="shared" si="17"/>
        <v>159636.89642</v>
      </c>
      <c r="DB20" s="10">
        <f t="shared" si="17"/>
        <v>160365.64294000002</v>
      </c>
      <c r="DC20" s="10">
        <f t="shared" si="17"/>
        <v>162279.72538000002</v>
      </c>
      <c r="DD20" s="10">
        <f t="shared" si="17"/>
        <v>164526.46280000001</v>
      </c>
      <c r="DE20" s="10">
        <f t="shared" si="17"/>
        <v>169562.44343000001</v>
      </c>
      <c r="DF20" s="11">
        <f t="shared" si="17"/>
        <v>170861.15119999999</v>
      </c>
      <c r="DG20" s="10">
        <f t="shared" si="17"/>
        <v>173296.23968</v>
      </c>
      <c r="DH20" s="10">
        <f t="shared" si="17"/>
        <v>175514.32312000002</v>
      </c>
      <c r="DI20" s="10">
        <f t="shared" si="17"/>
        <v>178711.16422000001</v>
      </c>
      <c r="DJ20" s="10">
        <f t="shared" si="17"/>
        <v>181515.82458000001</v>
      </c>
      <c r="DK20" s="10">
        <f t="shared" si="17"/>
        <v>182766.31237999996</v>
      </c>
      <c r="DL20" s="10">
        <f t="shared" si="17"/>
        <v>184394.85941</v>
      </c>
      <c r="DM20" s="10">
        <f t="shared" si="17"/>
        <v>186862.34953000001</v>
      </c>
      <c r="DN20" s="10">
        <f t="shared" si="17"/>
        <v>187684.43593000004</v>
      </c>
      <c r="DO20" s="10">
        <f t="shared" si="17"/>
        <v>189103.75818</v>
      </c>
      <c r="DP20" s="10">
        <f t="shared" ref="DP20:DW20" si="18">SUM(DP21:DP27)</f>
        <v>192456.8787</v>
      </c>
      <c r="DQ20" s="12">
        <f t="shared" si="18"/>
        <v>195486.07583999998</v>
      </c>
      <c r="DR20" s="10">
        <f t="shared" si="18"/>
        <v>196083.47998</v>
      </c>
      <c r="DS20" s="10">
        <f t="shared" si="18"/>
        <v>200062.36283</v>
      </c>
      <c r="DT20" s="10">
        <f t="shared" si="18"/>
        <v>203819.6453</v>
      </c>
      <c r="DU20" s="10">
        <f t="shared" si="18"/>
        <v>205914.52715999997</v>
      </c>
      <c r="DV20" s="10">
        <f t="shared" si="18"/>
        <v>206448.12177999999</v>
      </c>
      <c r="DW20" s="10">
        <f t="shared" si="18"/>
        <v>208071.18156</v>
      </c>
      <c r="DX20" s="10">
        <f t="shared" ref="DX20:EO20" si="19">SUM(DX21:DX28)</f>
        <v>211296.17138999997</v>
      </c>
      <c r="DY20" s="10">
        <f t="shared" si="19"/>
        <v>214679.07259000003</v>
      </c>
      <c r="DZ20" s="10">
        <f t="shared" si="19"/>
        <v>218499.03027000002</v>
      </c>
      <c r="EA20" s="10">
        <f t="shared" si="19"/>
        <v>225740.06520999997</v>
      </c>
      <c r="EB20" s="10">
        <f t="shared" si="19"/>
        <v>233215.78226000001</v>
      </c>
      <c r="EC20" s="12">
        <f t="shared" si="19"/>
        <v>235938.49276999998</v>
      </c>
      <c r="ED20" s="11">
        <f t="shared" si="19"/>
        <v>239764.65265</v>
      </c>
      <c r="EE20" s="10">
        <f t="shared" si="19"/>
        <v>245124</v>
      </c>
      <c r="EF20" s="10">
        <f t="shared" si="19"/>
        <v>244534</v>
      </c>
      <c r="EG20" s="10">
        <f t="shared" si="19"/>
        <v>240310</v>
      </c>
      <c r="EH20" s="10">
        <f t="shared" si="19"/>
        <v>235629.59999999998</v>
      </c>
      <c r="EI20" s="10">
        <f t="shared" si="19"/>
        <v>235982.5</v>
      </c>
      <c r="EJ20" s="10">
        <f t="shared" si="19"/>
        <v>236341</v>
      </c>
      <c r="EK20" s="10">
        <f t="shared" si="19"/>
        <v>237435</v>
      </c>
      <c r="EL20" s="10">
        <f t="shared" si="19"/>
        <v>237069</v>
      </c>
      <c r="EM20" s="10">
        <f t="shared" si="19"/>
        <v>233964</v>
      </c>
      <c r="EN20" s="10">
        <f t="shared" si="19"/>
        <v>229789</v>
      </c>
      <c r="EO20" s="12">
        <f t="shared" si="19"/>
        <v>229262.4</v>
      </c>
      <c r="EP20"/>
      <c r="EQ20" s="757">
        <f t="shared" si="8"/>
        <v>-0.15414745088129234</v>
      </c>
      <c r="ER20" s="757">
        <f t="shared" si="9"/>
        <v>8.4988797007716776</v>
      </c>
      <c r="ET20" s="945">
        <f t="shared" si="10"/>
        <v>8.4158961879995345E-2</v>
      </c>
      <c r="FF20" s="191" t="s">
        <v>545</v>
      </c>
    </row>
    <row r="21" spans="1:162" ht="13.9" customHeight="1" x14ac:dyDescent="0.2">
      <c r="A21" s="758" t="s">
        <v>185</v>
      </c>
      <c r="B21" s="24">
        <v>24814</v>
      </c>
      <c r="C21" s="24">
        <v>25339</v>
      </c>
      <c r="D21" s="24">
        <v>24105</v>
      </c>
      <c r="E21" s="24">
        <v>34380</v>
      </c>
      <c r="F21" s="24">
        <v>33119</v>
      </c>
      <c r="G21" s="24">
        <v>31673</v>
      </c>
      <c r="H21" s="24">
        <v>31414</v>
      </c>
      <c r="I21" s="24">
        <v>30651</v>
      </c>
      <c r="J21" s="24">
        <v>30909</v>
      </c>
      <c r="K21" s="24">
        <v>30776</v>
      </c>
      <c r="L21" s="24">
        <v>31134</v>
      </c>
      <c r="M21" s="23">
        <v>31615</v>
      </c>
      <c r="N21" s="24">
        <v>32411.517889999999</v>
      </c>
      <c r="O21" s="24">
        <v>33104</v>
      </c>
      <c r="P21" s="24">
        <v>33895</v>
      </c>
      <c r="Q21" s="24">
        <v>34677</v>
      </c>
      <c r="R21" s="24">
        <v>35270</v>
      </c>
      <c r="S21" s="24">
        <v>36079</v>
      </c>
      <c r="T21" s="24">
        <v>37133</v>
      </c>
      <c r="U21" s="24">
        <v>38062</v>
      </c>
      <c r="V21" s="24">
        <v>38900</v>
      </c>
      <c r="W21" s="24">
        <v>40208</v>
      </c>
      <c r="X21" s="24">
        <v>43008.312669999999</v>
      </c>
      <c r="Y21" s="23">
        <v>46402</v>
      </c>
      <c r="Z21" s="24">
        <v>49479</v>
      </c>
      <c r="AA21" s="24">
        <v>53013</v>
      </c>
      <c r="AB21" s="24">
        <v>56408</v>
      </c>
      <c r="AC21" s="24">
        <v>58424</v>
      </c>
      <c r="AD21" s="24">
        <v>60941</v>
      </c>
      <c r="AE21" s="24">
        <v>62863</v>
      </c>
      <c r="AF21" s="24">
        <v>63787</v>
      </c>
      <c r="AG21" s="24">
        <f>63786+1662</f>
        <v>65448</v>
      </c>
      <c r="AH21" s="24">
        <v>65163</v>
      </c>
      <c r="AI21" s="24">
        <v>66835</v>
      </c>
      <c r="AJ21" s="24">
        <v>70624</v>
      </c>
      <c r="AK21" s="24">
        <v>72535</v>
      </c>
      <c r="AL21" s="52">
        <v>74913</v>
      </c>
      <c r="AM21" s="24">
        <v>77247</v>
      </c>
      <c r="AN21" s="24">
        <v>78447</v>
      </c>
      <c r="AO21" s="24">
        <v>79091</v>
      </c>
      <c r="AP21" s="24">
        <v>79069</v>
      </c>
      <c r="AQ21" s="24">
        <v>78613</v>
      </c>
      <c r="AR21" s="24">
        <v>78614</v>
      </c>
      <c r="AS21" s="24">
        <v>77713</v>
      </c>
      <c r="AT21" s="24">
        <v>77661</v>
      </c>
      <c r="AU21" s="24">
        <v>77834</v>
      </c>
      <c r="AV21" s="24">
        <v>78434</v>
      </c>
      <c r="AW21" s="24">
        <v>78800</v>
      </c>
      <c r="AX21" s="52">
        <v>76425</v>
      </c>
      <c r="AY21" s="24">
        <v>74565</v>
      </c>
      <c r="AZ21" s="24">
        <v>71976</v>
      </c>
      <c r="BA21" s="24">
        <v>69355</v>
      </c>
      <c r="BB21" s="24">
        <v>67431</v>
      </c>
      <c r="BC21" s="24">
        <v>65462.146720000004</v>
      </c>
      <c r="BD21" s="24">
        <v>63333.294959999999</v>
      </c>
      <c r="BE21" s="24">
        <v>61948.774300000005</v>
      </c>
      <c r="BF21" s="24">
        <v>61087.765100000004</v>
      </c>
      <c r="BG21" s="24">
        <v>60423.042310000004</v>
      </c>
      <c r="BH21" s="24">
        <v>61400.317320000002</v>
      </c>
      <c r="BI21" s="24">
        <v>61945.318980000004</v>
      </c>
      <c r="BJ21" s="52">
        <v>61673.168270000002</v>
      </c>
      <c r="BK21" s="24">
        <v>62382.483090000002</v>
      </c>
      <c r="BL21" s="24">
        <v>63332.25864</v>
      </c>
      <c r="BM21" s="24">
        <v>64997.628859999997</v>
      </c>
      <c r="BN21" s="24">
        <v>66423.425610000006</v>
      </c>
      <c r="BO21" s="24">
        <v>66769.026910000015</v>
      </c>
      <c r="BP21" s="24">
        <v>68154.821939999994</v>
      </c>
      <c r="BQ21" s="24">
        <v>69959.022270000001</v>
      </c>
      <c r="BR21" s="24">
        <v>71185.870710000003</v>
      </c>
      <c r="BS21" s="24">
        <v>72559.740569999994</v>
      </c>
      <c r="BT21" s="24">
        <v>74044.081559999991</v>
      </c>
      <c r="BU21" s="23">
        <v>75205.541330000007</v>
      </c>
      <c r="BV21" s="52">
        <v>77359.466650000002</v>
      </c>
      <c r="BW21" s="24">
        <v>79092.517079999991</v>
      </c>
      <c r="BX21" s="24">
        <v>79911.956990000006</v>
      </c>
      <c r="BY21" s="24">
        <v>81275.42254</v>
      </c>
      <c r="BZ21" s="24">
        <v>82392.383109999995</v>
      </c>
      <c r="CA21" s="24">
        <v>83394.561840000009</v>
      </c>
      <c r="CB21" s="24">
        <v>84233.451540000009</v>
      </c>
      <c r="CC21" s="24">
        <v>85646.467260000005</v>
      </c>
      <c r="CD21" s="24">
        <v>85231.683810000002</v>
      </c>
      <c r="CE21" s="24">
        <v>87321.772719999994</v>
      </c>
      <c r="CF21" s="24">
        <v>89783.607270000008</v>
      </c>
      <c r="CG21" s="23">
        <v>90336.562869999994</v>
      </c>
      <c r="CH21" s="24">
        <v>91721.545899999997</v>
      </c>
      <c r="CI21" s="24">
        <v>93439.873930000002</v>
      </c>
      <c r="CJ21" s="24">
        <v>95398.334880000009</v>
      </c>
      <c r="CK21" s="24">
        <v>96326.338560000004</v>
      </c>
      <c r="CL21" s="24">
        <v>97235.577629999985</v>
      </c>
      <c r="CM21" s="24">
        <v>97422.597739999997</v>
      </c>
      <c r="CN21" s="24">
        <v>96157.018429999996</v>
      </c>
      <c r="CO21" s="24">
        <v>96456.072780000002</v>
      </c>
      <c r="CP21" s="24">
        <v>95712.351519999997</v>
      </c>
      <c r="CQ21" s="24">
        <v>95689.812999999995</v>
      </c>
      <c r="CR21" s="24">
        <v>97066.372459999999</v>
      </c>
      <c r="CS21" s="24">
        <v>96747.834969999996</v>
      </c>
      <c r="CT21" s="52">
        <v>95594.856350000002</v>
      </c>
      <c r="CU21" s="24">
        <v>97971.955619999993</v>
      </c>
      <c r="CV21" s="24">
        <v>100521.70148</v>
      </c>
      <c r="CW21" s="24">
        <v>101699.89919000001</v>
      </c>
      <c r="CX21" s="24">
        <v>103265.51503</v>
      </c>
      <c r="CY21" s="24">
        <v>104631.68360000002</v>
      </c>
      <c r="CZ21" s="24">
        <v>105645.27249</v>
      </c>
      <c r="DA21" s="24">
        <v>105711.35573</v>
      </c>
      <c r="DB21" s="24">
        <v>105253.59510000001</v>
      </c>
      <c r="DC21" s="24">
        <v>106318.48694000002</v>
      </c>
      <c r="DD21" s="24">
        <v>107556.98661000001</v>
      </c>
      <c r="DE21" s="24">
        <v>110230.07552000001</v>
      </c>
      <c r="DF21" s="52">
        <v>111693.25467000001</v>
      </c>
      <c r="DG21" s="24">
        <v>113679.22621000001</v>
      </c>
      <c r="DH21" s="24">
        <v>115126.81464</v>
      </c>
      <c r="DI21" s="24">
        <v>117129.68906000002</v>
      </c>
      <c r="DJ21" s="24">
        <v>117676.06716000001</v>
      </c>
      <c r="DK21" s="24">
        <v>118106.45336999999</v>
      </c>
      <c r="DL21" s="24">
        <v>118187.27505</v>
      </c>
      <c r="DM21" s="24">
        <v>119679.31771</v>
      </c>
      <c r="DN21" s="24">
        <v>120197.47492000002</v>
      </c>
      <c r="DO21" s="24">
        <v>120718.40053</v>
      </c>
      <c r="DP21" s="24">
        <v>123522.37216</v>
      </c>
      <c r="DQ21" s="23">
        <v>124576.60163999999</v>
      </c>
      <c r="DR21" s="24">
        <v>125228.97214</v>
      </c>
      <c r="DS21" s="24">
        <v>128172.43240999999</v>
      </c>
      <c r="DT21" s="24">
        <v>130879.72019000001</v>
      </c>
      <c r="DU21" s="24">
        <v>132226.77305999998</v>
      </c>
      <c r="DV21" s="24">
        <v>131910.24148</v>
      </c>
      <c r="DW21" s="24">
        <v>133717.52220000001</v>
      </c>
      <c r="DX21" s="24">
        <v>135006.69516999999</v>
      </c>
      <c r="DY21" s="24">
        <v>135704.15496000001</v>
      </c>
      <c r="DZ21" s="24">
        <v>135358.47240999999</v>
      </c>
      <c r="EA21" s="24">
        <v>136547.66237999999</v>
      </c>
      <c r="EB21" s="24">
        <v>137478.61902000001</v>
      </c>
      <c r="EC21" s="23">
        <v>135480.82981</v>
      </c>
      <c r="ED21" s="52">
        <v>135792.26504999999</v>
      </c>
      <c r="EE21" s="24">
        <v>137941</v>
      </c>
      <c r="EF21" s="24">
        <v>136760</v>
      </c>
      <c r="EG21" s="24">
        <v>134634</v>
      </c>
      <c r="EH21" s="24">
        <v>132342.39999999999</v>
      </c>
      <c r="EI21" s="24">
        <v>131163.4</v>
      </c>
      <c r="EJ21" s="24">
        <v>128182</v>
      </c>
      <c r="EK21" s="24">
        <v>125925</v>
      </c>
      <c r="EL21" s="24">
        <v>122164</v>
      </c>
      <c r="EM21" s="24">
        <v>117926</v>
      </c>
      <c r="EN21" s="24">
        <v>112918</v>
      </c>
      <c r="EO21" s="23">
        <v>107837.4</v>
      </c>
      <c r="EQ21" s="759">
        <f t="shared" si="8"/>
        <v>-2.9866984316061163</v>
      </c>
      <c r="ER21" s="759">
        <f t="shared" si="9"/>
        <v>-9.7477994358816424</v>
      </c>
      <c r="ET21" s="945">
        <f t="shared" si="10"/>
        <v>4.7663973532510499E-2</v>
      </c>
      <c r="FF21" s="190"/>
    </row>
    <row r="22" spans="1:162" ht="13.9" customHeight="1" x14ac:dyDescent="0.2">
      <c r="A22" s="758" t="s">
        <v>196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21"/>
      <c r="N22" s="24">
        <v>407.4273</v>
      </c>
      <c r="O22" s="24">
        <v>1340</v>
      </c>
      <c r="P22" s="24">
        <v>2158</v>
      </c>
      <c r="Q22" s="24">
        <v>2688</v>
      </c>
      <c r="R22" s="24">
        <v>3513</v>
      </c>
      <c r="S22" s="24">
        <v>4153</v>
      </c>
      <c r="T22" s="24">
        <v>4692</v>
      </c>
      <c r="U22" s="24">
        <v>5056</v>
      </c>
      <c r="V22" s="24">
        <v>5851</v>
      </c>
      <c r="W22" s="24">
        <v>6821</v>
      </c>
      <c r="X22" s="24">
        <v>8524.9768399999994</v>
      </c>
      <c r="Y22" s="23">
        <v>10862</v>
      </c>
      <c r="Z22" s="24">
        <v>12748</v>
      </c>
      <c r="AA22" s="24">
        <v>14525</v>
      </c>
      <c r="AB22" s="24">
        <v>15906</v>
      </c>
      <c r="AC22" s="24">
        <v>16698</v>
      </c>
      <c r="AD22" s="24">
        <v>17448</v>
      </c>
      <c r="AE22" s="24">
        <v>18173</v>
      </c>
      <c r="AF22" s="24">
        <v>18935</v>
      </c>
      <c r="AG22" s="24">
        <v>18935</v>
      </c>
      <c r="AH22" s="24">
        <v>17991</v>
      </c>
      <c r="AI22" s="24">
        <v>19394</v>
      </c>
      <c r="AJ22" s="24">
        <v>20924</v>
      </c>
      <c r="AK22" s="24">
        <v>26266</v>
      </c>
      <c r="AL22" s="52">
        <v>27733</v>
      </c>
      <c r="AM22" s="24">
        <v>29578</v>
      </c>
      <c r="AN22" s="24">
        <v>31548</v>
      </c>
      <c r="AO22" s="24">
        <v>32749</v>
      </c>
      <c r="AP22" s="24">
        <v>34313</v>
      </c>
      <c r="AQ22" s="24">
        <v>34604</v>
      </c>
      <c r="AR22" s="24">
        <v>35879</v>
      </c>
      <c r="AS22" s="24">
        <v>38240</v>
      </c>
      <c r="AT22" s="24">
        <v>39856</v>
      </c>
      <c r="AU22" s="24">
        <v>42395</v>
      </c>
      <c r="AV22" s="24">
        <v>45287</v>
      </c>
      <c r="AW22" s="24">
        <v>47199</v>
      </c>
      <c r="AX22" s="52">
        <v>49422</v>
      </c>
      <c r="AY22" s="24">
        <v>50655</v>
      </c>
      <c r="AZ22" s="24">
        <v>51084</v>
      </c>
      <c r="BA22" s="24">
        <v>51599</v>
      </c>
      <c r="BB22" s="24">
        <v>51147</v>
      </c>
      <c r="BC22" s="24">
        <v>49736.791730000004</v>
      </c>
      <c r="BD22" s="24">
        <v>48413.367019999998</v>
      </c>
      <c r="BE22" s="24">
        <v>48728.68409000001</v>
      </c>
      <c r="BF22" s="24">
        <v>48704.411069999995</v>
      </c>
      <c r="BG22" s="24">
        <v>49348.603000000003</v>
      </c>
      <c r="BH22" s="24">
        <v>50102.344069999999</v>
      </c>
      <c r="BI22" s="24">
        <v>48068.664420000008</v>
      </c>
      <c r="BJ22" s="52">
        <v>48330.999259999997</v>
      </c>
      <c r="BK22" s="24">
        <v>48622.483659999998</v>
      </c>
      <c r="BL22" s="24">
        <v>48609.528699999995</v>
      </c>
      <c r="BM22" s="24">
        <v>49154.778760000001</v>
      </c>
      <c r="BN22" s="24">
        <v>49897.662379999994</v>
      </c>
      <c r="BO22" s="24">
        <v>50246.170599999998</v>
      </c>
      <c r="BP22" s="24">
        <v>50492.317160000006</v>
      </c>
      <c r="BQ22" s="24">
        <v>51435.912539999998</v>
      </c>
      <c r="BR22" s="24">
        <v>52530.66072</v>
      </c>
      <c r="BS22" s="24">
        <v>53659.10183</v>
      </c>
      <c r="BT22" s="24">
        <v>54716.172080000004</v>
      </c>
      <c r="BU22" s="23">
        <v>55429.676819999993</v>
      </c>
      <c r="BV22" s="52">
        <v>56529.68432</v>
      </c>
      <c r="BW22" s="24">
        <v>57581.527279999995</v>
      </c>
      <c r="BX22" s="24"/>
      <c r="BY22" s="24"/>
      <c r="BZ22" s="24"/>
      <c r="CA22" s="24"/>
      <c r="CB22" s="24"/>
      <c r="CC22" s="24"/>
      <c r="CD22" s="24"/>
      <c r="CE22" s="24"/>
      <c r="CF22" s="24"/>
      <c r="CG22" s="23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9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9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21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21"/>
      <c r="ED22" s="19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21"/>
      <c r="EQ22" s="759" t="str">
        <f t="shared" si="8"/>
        <v>-</v>
      </c>
      <c r="ER22" s="759" t="str">
        <f t="shared" si="9"/>
        <v>-</v>
      </c>
      <c r="ET22" s="945">
        <f t="shared" si="10"/>
        <v>0</v>
      </c>
      <c r="FF22" s="190"/>
    </row>
    <row r="23" spans="1:162" ht="13.9" customHeight="1" x14ac:dyDescent="0.2">
      <c r="A23" s="758" t="s">
        <v>198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21"/>
      <c r="N23" s="16"/>
      <c r="O23" s="16"/>
      <c r="P23" s="16"/>
      <c r="Q23" s="16">
        <v>2594</v>
      </c>
      <c r="R23" s="16">
        <v>2760</v>
      </c>
      <c r="S23" s="16">
        <v>2861</v>
      </c>
      <c r="T23" s="16">
        <v>3003</v>
      </c>
      <c r="U23" s="16">
        <v>3153</v>
      </c>
      <c r="V23" s="16">
        <v>3255</v>
      </c>
      <c r="W23" s="16">
        <v>3322</v>
      </c>
      <c r="X23" s="16">
        <v>3350.3925400000003</v>
      </c>
      <c r="Y23" s="21">
        <v>3733</v>
      </c>
      <c r="Z23" s="16">
        <v>3789</v>
      </c>
      <c r="AA23" s="16">
        <v>3763</v>
      </c>
      <c r="AB23" s="16">
        <v>3887</v>
      </c>
      <c r="AC23" s="16">
        <v>3945</v>
      </c>
      <c r="AD23" s="16">
        <v>4209</v>
      </c>
      <c r="AE23" s="16">
        <v>4310</v>
      </c>
      <c r="AF23" s="16">
        <v>4468</v>
      </c>
      <c r="AG23" s="16">
        <v>4468</v>
      </c>
      <c r="AH23" s="16">
        <v>7568</v>
      </c>
      <c r="AI23" s="16">
        <v>7855</v>
      </c>
      <c r="AJ23" s="16">
        <v>8218</v>
      </c>
      <c r="AK23" s="16">
        <v>5070</v>
      </c>
      <c r="AL23" s="19">
        <v>5128</v>
      </c>
      <c r="AM23" s="16">
        <v>5216</v>
      </c>
      <c r="AN23" s="16">
        <v>5226</v>
      </c>
      <c r="AO23" s="16">
        <v>5186</v>
      </c>
      <c r="AP23" s="16">
        <v>5541</v>
      </c>
      <c r="AQ23" s="16">
        <v>5596</v>
      </c>
      <c r="AR23" s="16">
        <v>5900</v>
      </c>
      <c r="AS23" s="16">
        <v>6070</v>
      </c>
      <c r="AT23" s="16">
        <v>6315</v>
      </c>
      <c r="AU23" s="16">
        <v>6808</v>
      </c>
      <c r="AV23" s="16">
        <v>7453</v>
      </c>
      <c r="AW23" s="16">
        <v>8489</v>
      </c>
      <c r="AX23" s="19">
        <v>9006</v>
      </c>
      <c r="AY23" s="16">
        <v>9081</v>
      </c>
      <c r="AZ23" s="16">
        <v>9726</v>
      </c>
      <c r="BA23" s="16">
        <v>10619</v>
      </c>
      <c r="BB23" s="16">
        <v>11504</v>
      </c>
      <c r="BC23" s="16">
        <v>12007.65115</v>
      </c>
      <c r="BD23" s="16">
        <v>12952.79213</v>
      </c>
      <c r="BE23" s="16">
        <v>13560.380369999999</v>
      </c>
      <c r="BF23" s="16">
        <v>13891.09468</v>
      </c>
      <c r="BG23" s="16">
        <v>14440.41732</v>
      </c>
      <c r="BH23" s="16">
        <v>14909.732680000001</v>
      </c>
      <c r="BI23" s="16">
        <v>15759.150560000002</v>
      </c>
      <c r="BJ23" s="19">
        <v>15762.678640000002</v>
      </c>
      <c r="BK23" s="16">
        <v>15613.19392</v>
      </c>
      <c r="BL23" s="16">
        <v>15695.791450000001</v>
      </c>
      <c r="BM23" s="16">
        <v>15670.830160000001</v>
      </c>
      <c r="BN23" s="16">
        <v>16124.67686</v>
      </c>
      <c r="BO23" s="16">
        <v>16154.7075</v>
      </c>
      <c r="BP23" s="16">
        <v>16284.194220000001</v>
      </c>
      <c r="BQ23" s="16">
        <v>16316.430849999997</v>
      </c>
      <c r="BR23" s="16">
        <v>16284.401869999998</v>
      </c>
      <c r="BS23" s="16">
        <v>16448.704180000001</v>
      </c>
      <c r="BT23" s="16">
        <v>16809.511849999999</v>
      </c>
      <c r="BU23" s="21">
        <v>17793.443069999998</v>
      </c>
      <c r="BV23" s="19">
        <v>17910.23676</v>
      </c>
      <c r="BW23" s="16">
        <v>18097.392549999997</v>
      </c>
      <c r="BX23" s="16">
        <v>18554.71171</v>
      </c>
      <c r="BY23" s="16">
        <v>19005.178369999998</v>
      </c>
      <c r="BZ23" s="16">
        <v>20471.842669999998</v>
      </c>
      <c r="CA23" s="16">
        <v>20429.288950000002</v>
      </c>
      <c r="CB23" s="16">
        <v>21058.044969999999</v>
      </c>
      <c r="CC23" s="16">
        <v>21228.197909999999</v>
      </c>
      <c r="CD23" s="16">
        <v>21520.277819999999</v>
      </c>
      <c r="CE23" s="16">
        <v>21564.180230000002</v>
      </c>
      <c r="CF23" s="16">
        <v>21452.479059999998</v>
      </c>
      <c r="CG23" s="21">
        <v>21808.68363</v>
      </c>
      <c r="CH23" s="16">
        <v>21432.859129999997</v>
      </c>
      <c r="CI23" s="16">
        <v>21321.623599999999</v>
      </c>
      <c r="CJ23" s="16">
        <v>21297.096000000001</v>
      </c>
      <c r="CK23" s="16">
        <v>21183.591760000003</v>
      </c>
      <c r="CL23" s="16">
        <v>21222.92945</v>
      </c>
      <c r="CM23" s="16">
        <v>20875.614440000001</v>
      </c>
      <c r="CN23" s="16">
        <v>20905.361860000005</v>
      </c>
      <c r="CO23" s="16">
        <v>20690.341280000001</v>
      </c>
      <c r="CP23" s="16">
        <v>20336.406179999998</v>
      </c>
      <c r="CQ23" s="16">
        <v>20157.323629999999</v>
      </c>
      <c r="CR23" s="16">
        <v>20382.631590000001</v>
      </c>
      <c r="CS23" s="16">
        <v>21886.09591</v>
      </c>
      <c r="CT23" s="19">
        <v>21699.761680000003</v>
      </c>
      <c r="CU23" s="16">
        <v>21572.857530000001</v>
      </c>
      <c r="CV23" s="16">
        <v>21332.306810000002</v>
      </c>
      <c r="CW23" s="16">
        <v>21099.432000000001</v>
      </c>
      <c r="CX23" s="16">
        <v>22052.722109999999</v>
      </c>
      <c r="CY23" s="16">
        <v>22269.838739999999</v>
      </c>
      <c r="CZ23" s="16">
        <v>22682.628910000003</v>
      </c>
      <c r="DA23" s="16">
        <v>22987.708550000003</v>
      </c>
      <c r="DB23" s="16">
        <v>23611.604639999998</v>
      </c>
      <c r="DC23" s="16">
        <v>24101.367620000001</v>
      </c>
      <c r="DD23" s="16">
        <v>24735.61377</v>
      </c>
      <c r="DE23" s="16">
        <v>26381.19083</v>
      </c>
      <c r="DF23" s="19">
        <v>26588.641179999999</v>
      </c>
      <c r="DG23" s="16">
        <v>26826.253069999999</v>
      </c>
      <c r="DH23" s="16">
        <v>27282.885209999997</v>
      </c>
      <c r="DI23" s="16">
        <v>27657.836159999999</v>
      </c>
      <c r="DJ23" s="16">
        <v>29071.827700000002</v>
      </c>
      <c r="DK23" s="16">
        <v>29625.454259999999</v>
      </c>
      <c r="DL23" s="16">
        <v>30409.240110000002</v>
      </c>
      <c r="DM23" s="16">
        <v>31264.842859999997</v>
      </c>
      <c r="DN23" s="16">
        <v>31828.548220000004</v>
      </c>
      <c r="DO23" s="16">
        <v>31957.409080000005</v>
      </c>
      <c r="DP23" s="16">
        <v>32206.16131</v>
      </c>
      <c r="DQ23" s="21">
        <v>33691.810849999994</v>
      </c>
      <c r="DR23" s="16">
        <v>34101.03991</v>
      </c>
      <c r="DS23" s="16">
        <v>34668.238879999997</v>
      </c>
      <c r="DT23" s="16">
        <v>35006.333460000002</v>
      </c>
      <c r="DU23" s="16">
        <v>34882.501599999996</v>
      </c>
      <c r="DV23" s="16">
        <v>34801.138509999997</v>
      </c>
      <c r="DW23" s="16">
        <v>34720.823949999998</v>
      </c>
      <c r="DX23" s="16">
        <v>34712.353309999999</v>
      </c>
      <c r="DY23" s="16">
        <v>34080.906840000003</v>
      </c>
      <c r="DZ23" s="16">
        <v>34020.729749999999</v>
      </c>
      <c r="EA23" s="16">
        <v>34094.116569999998</v>
      </c>
      <c r="EB23" s="16">
        <v>34144.352330000002</v>
      </c>
      <c r="EC23" s="21">
        <v>35095.599799999996</v>
      </c>
      <c r="ED23" s="19">
        <v>35466.444069999998</v>
      </c>
      <c r="EE23" s="16">
        <v>35589</v>
      </c>
      <c r="EF23" s="16">
        <v>35828</v>
      </c>
      <c r="EG23" s="16">
        <v>35109</v>
      </c>
      <c r="EH23" s="16">
        <v>34626</v>
      </c>
      <c r="EI23" s="16">
        <v>34426</v>
      </c>
      <c r="EJ23" s="16">
        <v>33871</v>
      </c>
      <c r="EK23" s="16">
        <v>34449</v>
      </c>
      <c r="EL23" s="16">
        <v>35020</v>
      </c>
      <c r="EM23" s="16">
        <v>34559</v>
      </c>
      <c r="EN23" s="16">
        <v>33894</v>
      </c>
      <c r="EO23" s="21">
        <v>37147</v>
      </c>
      <c r="EQ23" s="759">
        <f t="shared" si="8"/>
        <v>1.6575227147377358</v>
      </c>
      <c r="ER23" s="759">
        <f t="shared" si="9"/>
        <v>2.9372393165669974</v>
      </c>
      <c r="ET23" s="945">
        <f t="shared" si="10"/>
        <v>1.244895392843102E-2</v>
      </c>
      <c r="FF23" s="190"/>
    </row>
    <row r="24" spans="1:162" ht="13.9" customHeight="1" x14ac:dyDescent="0.2">
      <c r="A24" s="758" t="s">
        <v>174</v>
      </c>
      <c r="B24" s="24">
        <v>1976</v>
      </c>
      <c r="C24" s="24">
        <v>1955</v>
      </c>
      <c r="D24" s="24">
        <v>1988</v>
      </c>
      <c r="E24" s="24">
        <v>2063</v>
      </c>
      <c r="F24" s="24">
        <v>2131</v>
      </c>
      <c r="G24" s="24">
        <v>2120</v>
      </c>
      <c r="H24" s="24">
        <v>2155</v>
      </c>
      <c r="I24" s="24">
        <v>2156</v>
      </c>
      <c r="J24" s="24">
        <v>2156</v>
      </c>
      <c r="K24" s="24">
        <v>2193</v>
      </c>
      <c r="L24" s="24">
        <v>2220</v>
      </c>
      <c r="M24" s="23">
        <v>2269</v>
      </c>
      <c r="N24" s="24">
        <v>2209.3683900000001</v>
      </c>
      <c r="O24" s="24">
        <v>2193</v>
      </c>
      <c r="P24" s="24">
        <v>2152</v>
      </c>
      <c r="Q24" s="24">
        <v>2185</v>
      </c>
      <c r="R24" s="24">
        <v>2176</v>
      </c>
      <c r="S24" s="24">
        <v>2150</v>
      </c>
      <c r="T24" s="24">
        <v>2163</v>
      </c>
      <c r="U24" s="24">
        <v>2182</v>
      </c>
      <c r="V24" s="24">
        <v>2223</v>
      </c>
      <c r="W24" s="24">
        <v>2173</v>
      </c>
      <c r="X24" s="24">
        <v>2156.6289499999998</v>
      </c>
      <c r="Y24" s="23">
        <v>2302</v>
      </c>
      <c r="Z24" s="24">
        <v>2422</v>
      </c>
      <c r="AA24" s="24">
        <v>2526</v>
      </c>
      <c r="AB24" s="24">
        <v>2553</v>
      </c>
      <c r="AC24" s="24">
        <v>1839</v>
      </c>
      <c r="AD24" s="24">
        <v>2611</v>
      </c>
      <c r="AE24" s="24">
        <v>2745</v>
      </c>
      <c r="AF24" s="24">
        <v>2745</v>
      </c>
      <c r="AG24" s="24">
        <v>2745</v>
      </c>
      <c r="AH24" s="24">
        <v>2971</v>
      </c>
      <c r="AI24" s="24">
        <v>3032</v>
      </c>
      <c r="AJ24" s="24">
        <v>3032</v>
      </c>
      <c r="AK24" s="24">
        <v>3520</v>
      </c>
      <c r="AL24" s="52">
        <v>3574</v>
      </c>
      <c r="AM24" s="24">
        <v>3561</v>
      </c>
      <c r="AN24" s="24">
        <v>3624</v>
      </c>
      <c r="AO24" s="24">
        <v>3606</v>
      </c>
      <c r="AP24" s="24">
        <v>3519</v>
      </c>
      <c r="AQ24" s="24">
        <v>3389</v>
      </c>
      <c r="AR24" s="24">
        <v>3199</v>
      </c>
      <c r="AS24" s="24">
        <v>3034</v>
      </c>
      <c r="AT24" s="24">
        <v>2906</v>
      </c>
      <c r="AU24" s="24">
        <v>2762</v>
      </c>
      <c r="AV24" s="24">
        <v>2602</v>
      </c>
      <c r="AW24" s="24">
        <v>2577</v>
      </c>
      <c r="AX24" s="52">
        <v>2577</v>
      </c>
      <c r="AY24" s="24">
        <v>2498</v>
      </c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9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21"/>
      <c r="BV24" s="19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21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9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9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21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21"/>
      <c r="ED24" s="19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21"/>
      <c r="EQ24" s="759" t="str">
        <f t="shared" si="8"/>
        <v>-</v>
      </c>
      <c r="ER24" s="759" t="str">
        <f t="shared" si="9"/>
        <v>-</v>
      </c>
      <c r="ET24" s="945">
        <f t="shared" si="10"/>
        <v>0</v>
      </c>
      <c r="FF24" s="190"/>
    </row>
    <row r="25" spans="1:162" ht="13.9" customHeight="1" x14ac:dyDescent="0.2">
      <c r="A25" s="758" t="s">
        <v>229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3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52"/>
      <c r="AM25" s="24"/>
      <c r="AN25" s="24"/>
      <c r="AO25" s="24"/>
      <c r="AP25" s="16"/>
      <c r="AQ25" s="16"/>
      <c r="AR25" s="16"/>
      <c r="AS25" s="16"/>
      <c r="AT25" s="16"/>
      <c r="AU25" s="16"/>
      <c r="AV25" s="16"/>
      <c r="AW25" s="21"/>
      <c r="AX25" s="16"/>
      <c r="AY25" s="16"/>
      <c r="AZ25" s="16"/>
      <c r="BA25" s="16"/>
      <c r="BB25" s="24">
        <v>27523</v>
      </c>
      <c r="BC25" s="24">
        <v>26846.29681</v>
      </c>
      <c r="BD25" s="24">
        <v>25916.690069999997</v>
      </c>
      <c r="BE25" s="24">
        <v>26197.19628</v>
      </c>
      <c r="BF25" s="24">
        <v>26010.85526</v>
      </c>
      <c r="BG25" s="24">
        <v>25759.17022</v>
      </c>
      <c r="BH25" s="24">
        <v>24829.253690000001</v>
      </c>
      <c r="BI25" s="24">
        <v>22967.10297</v>
      </c>
      <c r="BJ25" s="52">
        <v>22692.8272</v>
      </c>
      <c r="BK25" s="24">
        <v>21819.064910000001</v>
      </c>
      <c r="BL25" s="24">
        <v>21086.762340000001</v>
      </c>
      <c r="BM25" s="24">
        <v>21275.032169999999</v>
      </c>
      <c r="BN25" s="24">
        <v>21510.384880000001</v>
      </c>
      <c r="BO25" s="24">
        <v>21424.002829999998</v>
      </c>
      <c r="BP25" s="24">
        <v>21707.572209999998</v>
      </c>
      <c r="BQ25" s="24">
        <v>21746.792970000002</v>
      </c>
      <c r="BR25" s="24">
        <v>22254.472870000001</v>
      </c>
      <c r="BS25" s="24">
        <v>22866.071909999999</v>
      </c>
      <c r="BT25" s="24">
        <v>23212.44138</v>
      </c>
      <c r="BU25" s="23">
        <v>23198.683710000001</v>
      </c>
      <c r="BV25" s="52">
        <v>23412.442450000002</v>
      </c>
      <c r="BW25" s="24">
        <v>24261.384480000004</v>
      </c>
      <c r="BX25" s="24">
        <v>24398.82735</v>
      </c>
      <c r="BY25" s="24">
        <v>24415.013060000001</v>
      </c>
      <c r="BZ25" s="24">
        <v>24546.194799999997</v>
      </c>
      <c r="CA25" s="24">
        <v>24343.576290000001</v>
      </c>
      <c r="CB25" s="24">
        <v>24717.457999999999</v>
      </c>
      <c r="CC25" s="24">
        <v>24163.79826</v>
      </c>
      <c r="CD25" s="24">
        <v>25153.627049999996</v>
      </c>
      <c r="CE25" s="24">
        <v>25676.791780000003</v>
      </c>
      <c r="CF25" s="24">
        <v>26433.731589999999</v>
      </c>
      <c r="CG25" s="23">
        <v>26749.50894</v>
      </c>
      <c r="CH25" s="24">
        <v>27037.783590000003</v>
      </c>
      <c r="CI25" s="24">
        <v>27698.67254</v>
      </c>
      <c r="CJ25" s="24">
        <v>27782.10327</v>
      </c>
      <c r="CK25" s="24">
        <v>27695.431820000002</v>
      </c>
      <c r="CL25" s="24">
        <v>27267.386019999998</v>
      </c>
      <c r="CM25" s="24">
        <v>26979.385450000002</v>
      </c>
      <c r="CN25" s="24">
        <v>26512.997369999997</v>
      </c>
      <c r="CO25" s="24">
        <v>27318.243839999999</v>
      </c>
      <c r="CP25" s="24">
        <v>28040.677219999998</v>
      </c>
      <c r="CQ25" s="24">
        <v>28445.413079999998</v>
      </c>
      <c r="CR25" s="24">
        <v>28917.245269999999</v>
      </c>
      <c r="CS25" s="24">
        <v>29438.372080000001</v>
      </c>
      <c r="CT25" s="52">
        <v>28887.553029999999</v>
      </c>
      <c r="CU25" s="24">
        <v>29442.537909999999</v>
      </c>
      <c r="CV25" s="24">
        <v>29235.77752</v>
      </c>
      <c r="CW25" s="24">
        <v>29756.305330000003</v>
      </c>
      <c r="CX25" s="24">
        <v>30452.663570000001</v>
      </c>
      <c r="CY25" s="24">
        <v>31019.358919999999</v>
      </c>
      <c r="CZ25" s="24">
        <v>31327.917099999999</v>
      </c>
      <c r="DA25" s="24">
        <v>30937.832139999999</v>
      </c>
      <c r="DB25" s="24">
        <v>31500.443200000002</v>
      </c>
      <c r="DC25" s="24">
        <v>31859.870820000004</v>
      </c>
      <c r="DD25" s="24">
        <v>32233.862419999998</v>
      </c>
      <c r="DE25" s="24">
        <v>32951.177080000001</v>
      </c>
      <c r="DF25" s="52">
        <v>32579.255349999999</v>
      </c>
      <c r="DG25" s="24">
        <v>32790.760399999999</v>
      </c>
      <c r="DH25" s="24">
        <v>33104.623269999996</v>
      </c>
      <c r="DI25" s="24">
        <v>33923.639000000003</v>
      </c>
      <c r="DJ25" s="24">
        <v>34767.92972</v>
      </c>
      <c r="DK25" s="24">
        <v>35034.404750000002</v>
      </c>
      <c r="DL25" s="24">
        <v>35798.344249999995</v>
      </c>
      <c r="DM25" s="24">
        <v>35918.188959999999</v>
      </c>
      <c r="DN25" s="24">
        <v>35658.412790000002</v>
      </c>
      <c r="DO25" s="24">
        <v>36427.94857</v>
      </c>
      <c r="DP25" s="24">
        <v>36726.587729999999</v>
      </c>
      <c r="DQ25" s="23">
        <v>36989.918059999996</v>
      </c>
      <c r="DR25" s="24">
        <v>36212.046490000001</v>
      </c>
      <c r="DS25" s="24">
        <v>36348.212159999995</v>
      </c>
      <c r="DT25" s="24">
        <v>36673.437270000002</v>
      </c>
      <c r="DU25" s="24">
        <v>37030.241300000002</v>
      </c>
      <c r="DV25" s="24">
        <v>37557.355499999998</v>
      </c>
      <c r="DW25" s="24">
        <v>37260.264820000004</v>
      </c>
      <c r="DX25" s="24">
        <v>37602.946680000001</v>
      </c>
      <c r="DY25" s="24">
        <v>37401.34302</v>
      </c>
      <c r="DZ25" s="24">
        <v>38124.591130000001</v>
      </c>
      <c r="EA25" s="24">
        <v>40200.615189999997</v>
      </c>
      <c r="EB25" s="24">
        <v>41481.898160000004</v>
      </c>
      <c r="EC25" s="23">
        <v>42299.22597</v>
      </c>
      <c r="ED25" s="52">
        <v>43194.790939999992</v>
      </c>
      <c r="EE25" s="24">
        <v>43162</v>
      </c>
      <c r="EF25" s="24">
        <v>42248</v>
      </c>
      <c r="EG25" s="24">
        <v>41459</v>
      </c>
      <c r="EH25" s="24">
        <v>40189.199999999997</v>
      </c>
      <c r="EI25" s="24">
        <v>41306.1</v>
      </c>
      <c r="EJ25" s="24">
        <v>43706</v>
      </c>
      <c r="EK25" s="24">
        <v>45127</v>
      </c>
      <c r="EL25" s="24">
        <v>46565</v>
      </c>
      <c r="EM25" s="24">
        <v>46712</v>
      </c>
      <c r="EN25" s="24">
        <v>47154</v>
      </c>
      <c r="EO25" s="23">
        <v>47398</v>
      </c>
      <c r="EQ25" s="759">
        <f t="shared" si="8"/>
        <v>3.1865623684268929</v>
      </c>
      <c r="ER25" s="759">
        <f t="shared" si="9"/>
        <v>22.139014792891242</v>
      </c>
      <c r="ET25" s="945">
        <f t="shared" si="10"/>
        <v>1.5161654247010324E-2</v>
      </c>
      <c r="FF25" s="190"/>
    </row>
    <row r="26" spans="1:162" ht="13.9" customHeight="1" x14ac:dyDescent="0.2">
      <c r="A26" s="758" t="s">
        <v>262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3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52"/>
      <c r="AM26" s="24"/>
      <c r="AN26" s="24"/>
      <c r="AO26" s="24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24"/>
      <c r="BC26" s="24"/>
      <c r="BD26" s="24"/>
      <c r="BE26" s="24"/>
      <c r="BF26" s="24"/>
      <c r="BG26" s="24"/>
      <c r="BH26" s="24"/>
      <c r="BI26" s="24"/>
      <c r="BJ26" s="52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3"/>
      <c r="BV26" s="19"/>
      <c r="BW26" s="16"/>
      <c r="BX26" s="16"/>
      <c r="BY26" s="16"/>
      <c r="BZ26" s="16"/>
      <c r="CA26" s="16"/>
      <c r="CB26" s="16"/>
      <c r="CC26" s="16"/>
      <c r="CD26" s="24">
        <v>516.12482</v>
      </c>
      <c r="CE26" s="24">
        <v>422.49778999999995</v>
      </c>
      <c r="CF26" s="24"/>
      <c r="CG26" s="23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9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9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21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21"/>
      <c r="ED26" s="19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21"/>
      <c r="EQ26" s="759" t="str">
        <f t="shared" si="8"/>
        <v>-</v>
      </c>
      <c r="ER26" s="759" t="str">
        <f t="shared" si="9"/>
        <v>-</v>
      </c>
      <c r="ET26" s="945">
        <f t="shared" si="10"/>
        <v>0</v>
      </c>
      <c r="FF26" s="190"/>
    </row>
    <row r="27" spans="1:162" ht="13.9" customHeight="1" x14ac:dyDescent="0.2">
      <c r="A27" s="758" t="s">
        <v>274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3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52"/>
      <c r="AM27" s="24"/>
      <c r="AN27" s="24"/>
      <c r="AO27" s="24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24"/>
      <c r="BC27" s="24"/>
      <c r="BD27" s="24"/>
      <c r="BE27" s="24"/>
      <c r="BF27" s="24"/>
      <c r="BG27" s="24"/>
      <c r="BH27" s="24"/>
      <c r="BI27" s="24"/>
      <c r="BJ27" s="52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3"/>
      <c r="BV27" s="19"/>
      <c r="BW27" s="16"/>
      <c r="BX27" s="16"/>
      <c r="BY27" s="16"/>
      <c r="BZ27" s="16"/>
      <c r="CA27" s="16"/>
      <c r="CB27" s="16"/>
      <c r="CC27" s="16"/>
      <c r="CD27" s="24"/>
      <c r="CE27" s="24"/>
      <c r="CF27" s="24"/>
      <c r="CG27" s="23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9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21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>
        <v>1.7575000000000001</v>
      </c>
      <c r="DQ27" s="21">
        <v>227.74529000000001</v>
      </c>
      <c r="DR27" s="16">
        <v>541.42144000000008</v>
      </c>
      <c r="DS27" s="16">
        <v>873.47937999999999</v>
      </c>
      <c r="DT27" s="16">
        <v>1260.1543799999999</v>
      </c>
      <c r="DU27" s="16">
        <v>1775.0112000000001</v>
      </c>
      <c r="DV27" s="16">
        <v>2179.3862899999999</v>
      </c>
      <c r="DW27" s="16">
        <v>2372.5705900000003</v>
      </c>
      <c r="DX27" s="16">
        <v>2759.6042300000004</v>
      </c>
      <c r="DY27" s="16">
        <v>2944.3719199999996</v>
      </c>
      <c r="DZ27" s="16">
        <v>3262.8261499999999</v>
      </c>
      <c r="EA27" s="16">
        <v>3526.4076399999999</v>
      </c>
      <c r="EB27" s="16">
        <v>3708.8864200000003</v>
      </c>
      <c r="EC27" s="21">
        <v>4091.9749499999998</v>
      </c>
      <c r="ED27" s="19">
        <v>4251.8586599999999</v>
      </c>
      <c r="EE27" s="16">
        <v>4414</v>
      </c>
      <c r="EF27" s="16">
        <v>4393</v>
      </c>
      <c r="EG27" s="16">
        <v>3902</v>
      </c>
      <c r="EH27" s="16">
        <v>3654</v>
      </c>
      <c r="EI27" s="16">
        <v>3646</v>
      </c>
      <c r="EJ27" s="16">
        <v>3733</v>
      </c>
      <c r="EK27" s="16">
        <v>3889</v>
      </c>
      <c r="EL27" s="16">
        <v>4227</v>
      </c>
      <c r="EM27" s="16">
        <v>4263</v>
      </c>
      <c r="EN27" s="16">
        <v>4311</v>
      </c>
      <c r="EO27" s="21">
        <v>4470</v>
      </c>
      <c r="EQ27" s="1039">
        <f t="shared" si="8"/>
        <v>8.6911802519928028</v>
      </c>
      <c r="ER27" s="759">
        <f t="shared" si="9"/>
        <v>29.550267334960534</v>
      </c>
      <c r="ET27" s="945">
        <f t="shared" si="10"/>
        <v>1.4924302099209705E-3</v>
      </c>
      <c r="FF27" s="190"/>
    </row>
    <row r="28" spans="1:162" ht="13.9" customHeight="1" x14ac:dyDescent="0.2">
      <c r="A28" s="758" t="s">
        <v>282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3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52"/>
      <c r="AM28" s="24"/>
      <c r="AN28" s="24"/>
      <c r="AO28" s="24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24"/>
      <c r="BC28" s="24"/>
      <c r="BD28" s="24"/>
      <c r="BE28" s="24"/>
      <c r="BF28" s="24"/>
      <c r="BG28" s="24"/>
      <c r="BH28" s="24"/>
      <c r="BI28" s="24"/>
      <c r="BJ28" s="52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3"/>
      <c r="BV28" s="19"/>
      <c r="BW28" s="16"/>
      <c r="BX28" s="16"/>
      <c r="BY28" s="16"/>
      <c r="BZ28" s="16"/>
      <c r="CA28" s="16"/>
      <c r="CB28" s="16"/>
      <c r="CC28" s="16"/>
      <c r="CD28" s="24"/>
      <c r="CE28" s="24"/>
      <c r="CF28" s="24"/>
      <c r="CG28" s="23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9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21"/>
      <c r="DR28" s="16"/>
      <c r="DS28" s="16"/>
      <c r="DT28" s="16"/>
      <c r="DU28" s="16"/>
      <c r="DV28" s="16"/>
      <c r="DW28" s="16"/>
      <c r="DX28" s="16">
        <v>1214.5720000000001</v>
      </c>
      <c r="DY28" s="16">
        <v>4548.2958500000004</v>
      </c>
      <c r="DZ28" s="16">
        <v>7732.4108300000007</v>
      </c>
      <c r="EA28" s="16">
        <v>11371.263429999999</v>
      </c>
      <c r="EB28" s="16">
        <v>16402.026330000001</v>
      </c>
      <c r="EC28" s="21">
        <v>18970.862239999999</v>
      </c>
      <c r="ED28" s="19">
        <v>21059.29393</v>
      </c>
      <c r="EE28" s="16">
        <v>24018</v>
      </c>
      <c r="EF28" s="16">
        <v>25305</v>
      </c>
      <c r="EG28" s="16">
        <v>25206</v>
      </c>
      <c r="EH28" s="16">
        <v>24818</v>
      </c>
      <c r="EI28" s="16">
        <v>25441</v>
      </c>
      <c r="EJ28" s="16">
        <v>26849</v>
      </c>
      <c r="EK28" s="16">
        <v>28045</v>
      </c>
      <c r="EL28" s="16">
        <v>29093</v>
      </c>
      <c r="EM28" s="16">
        <v>30504</v>
      </c>
      <c r="EN28" s="16">
        <v>31512</v>
      </c>
      <c r="EO28" s="21">
        <v>32410</v>
      </c>
      <c r="EQ28" s="1039">
        <f t="shared" si="8"/>
        <v>3.736851488678905</v>
      </c>
      <c r="ER28" s="759">
        <f t="shared" si="9"/>
        <v>276.24746847549483</v>
      </c>
      <c r="ET28" s="945">
        <f t="shared" si="10"/>
        <v>7.3919499621225224E-3</v>
      </c>
      <c r="FF28" s="190" t="s">
        <v>352</v>
      </c>
    </row>
    <row r="29" spans="1:162" ht="13.9" customHeight="1" x14ac:dyDescent="0.2">
      <c r="A29" s="312" t="s">
        <v>516</v>
      </c>
      <c r="B29" s="29">
        <f t="shared" ref="B29:Y29" si="20">SUM(B31:B45)</f>
        <v>218369</v>
      </c>
      <c r="C29" s="29">
        <f t="shared" si="20"/>
        <v>224062</v>
      </c>
      <c r="D29" s="29">
        <f t="shared" si="20"/>
        <v>224443</v>
      </c>
      <c r="E29" s="29">
        <f t="shared" si="20"/>
        <v>225434</v>
      </c>
      <c r="F29" s="29">
        <f t="shared" si="20"/>
        <v>227007</v>
      </c>
      <c r="G29" s="29">
        <f t="shared" si="20"/>
        <v>225926</v>
      </c>
      <c r="H29" s="29">
        <f t="shared" si="20"/>
        <v>229568</v>
      </c>
      <c r="I29" s="29">
        <f t="shared" si="20"/>
        <v>232666</v>
      </c>
      <c r="J29" s="29">
        <f t="shared" si="20"/>
        <v>236172</v>
      </c>
      <c r="K29" s="29">
        <f t="shared" si="20"/>
        <v>236654</v>
      </c>
      <c r="L29" s="29">
        <f t="shared" si="20"/>
        <v>240472</v>
      </c>
      <c r="M29" s="15">
        <f t="shared" si="20"/>
        <v>241357</v>
      </c>
      <c r="N29" s="29">
        <f t="shared" si="20"/>
        <v>247061.68749000004</v>
      </c>
      <c r="O29" s="29">
        <f t="shared" si="20"/>
        <v>249604</v>
      </c>
      <c r="P29" s="29">
        <f t="shared" si="20"/>
        <v>247205</v>
      </c>
      <c r="Q29" s="29">
        <f t="shared" si="20"/>
        <v>242723</v>
      </c>
      <c r="R29" s="29">
        <f t="shared" si="20"/>
        <v>240884</v>
      </c>
      <c r="S29" s="29">
        <f t="shared" si="20"/>
        <v>242194</v>
      </c>
      <c r="T29" s="29">
        <f t="shared" si="20"/>
        <v>241290</v>
      </c>
      <c r="U29" s="29">
        <f t="shared" si="20"/>
        <v>245542</v>
      </c>
      <c r="V29" s="29">
        <f t="shared" si="20"/>
        <v>250078</v>
      </c>
      <c r="W29" s="29">
        <f t="shared" si="20"/>
        <v>255339</v>
      </c>
      <c r="X29" s="29">
        <f t="shared" si="20"/>
        <v>262451.47186000005</v>
      </c>
      <c r="Y29" s="15">
        <f t="shared" si="20"/>
        <v>265888</v>
      </c>
      <c r="Z29" s="29">
        <f t="shared" ref="Z29:BE29" si="21">Z30+Z38+Z44</f>
        <v>269740</v>
      </c>
      <c r="AA29" s="29">
        <f t="shared" si="21"/>
        <v>276487</v>
      </c>
      <c r="AB29" s="29">
        <f t="shared" si="21"/>
        <v>280372</v>
      </c>
      <c r="AC29" s="29">
        <f t="shared" si="21"/>
        <v>280719</v>
      </c>
      <c r="AD29" s="29">
        <f t="shared" si="21"/>
        <v>281174</v>
      </c>
      <c r="AE29" s="29">
        <f t="shared" si="21"/>
        <v>281881</v>
      </c>
      <c r="AF29" s="29">
        <f t="shared" si="21"/>
        <v>280553</v>
      </c>
      <c r="AG29" s="29">
        <f t="shared" si="21"/>
        <v>285196</v>
      </c>
      <c r="AH29" s="29">
        <f t="shared" si="21"/>
        <v>298372</v>
      </c>
      <c r="AI29" s="29">
        <f t="shared" si="21"/>
        <v>305244</v>
      </c>
      <c r="AJ29" s="29">
        <f t="shared" si="21"/>
        <v>313973</v>
      </c>
      <c r="AK29" s="29">
        <f t="shared" si="21"/>
        <v>318240</v>
      </c>
      <c r="AL29" s="51">
        <f t="shared" si="21"/>
        <v>323810</v>
      </c>
      <c r="AM29" s="29">
        <f t="shared" si="21"/>
        <v>332399</v>
      </c>
      <c r="AN29" s="29">
        <f t="shared" si="21"/>
        <v>339111</v>
      </c>
      <c r="AO29" s="29">
        <f t="shared" si="21"/>
        <v>339809</v>
      </c>
      <c r="AP29" s="29">
        <f t="shared" si="21"/>
        <v>340419</v>
      </c>
      <c r="AQ29" s="29">
        <f t="shared" si="21"/>
        <v>333948</v>
      </c>
      <c r="AR29" s="29">
        <f t="shared" si="21"/>
        <v>333829</v>
      </c>
      <c r="AS29" s="29">
        <f t="shared" si="21"/>
        <v>336383</v>
      </c>
      <c r="AT29" s="29">
        <f t="shared" si="21"/>
        <v>341743</v>
      </c>
      <c r="AU29" s="29">
        <f t="shared" si="21"/>
        <v>349185</v>
      </c>
      <c r="AV29" s="29">
        <f t="shared" si="21"/>
        <v>356144</v>
      </c>
      <c r="AW29" s="29">
        <f t="shared" si="21"/>
        <v>349496</v>
      </c>
      <c r="AX29" s="51">
        <f t="shared" si="21"/>
        <v>354227</v>
      </c>
      <c r="AY29" s="29">
        <f t="shared" si="21"/>
        <v>360867</v>
      </c>
      <c r="AZ29" s="29">
        <f t="shared" si="21"/>
        <v>355971</v>
      </c>
      <c r="BA29" s="29">
        <f t="shared" si="21"/>
        <v>358428</v>
      </c>
      <c r="BB29" s="29">
        <f t="shared" si="21"/>
        <v>330470</v>
      </c>
      <c r="BC29" s="29">
        <f t="shared" si="21"/>
        <v>328168.45121999999</v>
      </c>
      <c r="BD29" s="29">
        <f t="shared" si="21"/>
        <v>327332.47112</v>
      </c>
      <c r="BE29" s="29">
        <f t="shared" si="21"/>
        <v>337697.36109999998</v>
      </c>
      <c r="BF29" s="29">
        <f t="shared" ref="BF29:CK29" si="22">BF30+BF38+BF44</f>
        <v>339715.03831999993</v>
      </c>
      <c r="BG29" s="29">
        <f t="shared" si="22"/>
        <v>342824.83056999999</v>
      </c>
      <c r="BH29" s="29">
        <f t="shared" si="22"/>
        <v>348763.82532000006</v>
      </c>
      <c r="BI29" s="29">
        <f t="shared" si="22"/>
        <v>348093.24818</v>
      </c>
      <c r="BJ29" s="51">
        <f t="shared" si="22"/>
        <v>350684.16789999994</v>
      </c>
      <c r="BK29" s="29">
        <f t="shared" si="22"/>
        <v>354168.71649000002</v>
      </c>
      <c r="BL29" s="29">
        <f t="shared" si="22"/>
        <v>348724.78977999993</v>
      </c>
      <c r="BM29" s="29">
        <f t="shared" si="22"/>
        <v>345049.24368000001</v>
      </c>
      <c r="BN29" s="29">
        <f t="shared" si="22"/>
        <v>346003.08646999998</v>
      </c>
      <c r="BO29" s="29">
        <f t="shared" si="22"/>
        <v>337265.79115999996</v>
      </c>
      <c r="BP29" s="29">
        <f t="shared" si="22"/>
        <v>336430.27506000001</v>
      </c>
      <c r="BQ29" s="29">
        <f t="shared" si="22"/>
        <v>339307.89747000003</v>
      </c>
      <c r="BR29" s="29">
        <f t="shared" si="22"/>
        <v>339987.46324000001</v>
      </c>
      <c r="BS29" s="29">
        <f t="shared" si="22"/>
        <v>340966.86856000003</v>
      </c>
      <c r="BT29" s="29">
        <f t="shared" si="22"/>
        <v>347006.68279000005</v>
      </c>
      <c r="BU29" s="15">
        <f t="shared" si="22"/>
        <v>343544.20951999992</v>
      </c>
      <c r="BV29" s="51">
        <f t="shared" si="22"/>
        <v>348712.11929000006</v>
      </c>
      <c r="BW29" s="29">
        <f t="shared" si="22"/>
        <v>355682.24993000005</v>
      </c>
      <c r="BX29" s="29">
        <f t="shared" si="22"/>
        <v>358723.04334999999</v>
      </c>
      <c r="BY29" s="29">
        <f t="shared" si="22"/>
        <v>363087.11357999995</v>
      </c>
      <c r="BZ29" s="29">
        <f t="shared" si="22"/>
        <v>365482.46599000006</v>
      </c>
      <c r="CA29" s="29">
        <f t="shared" si="22"/>
        <v>360676.94887000008</v>
      </c>
      <c r="CB29" s="29">
        <f t="shared" si="22"/>
        <v>358693.5783799999</v>
      </c>
      <c r="CC29" s="29">
        <f t="shared" si="22"/>
        <v>358413.64543999999</v>
      </c>
      <c r="CD29" s="29">
        <f t="shared" si="22"/>
        <v>360545.53405000007</v>
      </c>
      <c r="CE29" s="29">
        <f t="shared" si="22"/>
        <v>359156.82046000002</v>
      </c>
      <c r="CF29" s="29">
        <f t="shared" si="22"/>
        <v>360861.33293999999</v>
      </c>
      <c r="CG29" s="15">
        <f t="shared" si="22"/>
        <v>354559.20483999996</v>
      </c>
      <c r="CH29" s="29">
        <f t="shared" si="22"/>
        <v>354632.48272999999</v>
      </c>
      <c r="CI29" s="29">
        <f t="shared" si="22"/>
        <v>357707.83524999995</v>
      </c>
      <c r="CJ29" s="29">
        <f t="shared" si="22"/>
        <v>359758.46007999999</v>
      </c>
      <c r="CK29" s="29">
        <f t="shared" si="22"/>
        <v>363363.49565</v>
      </c>
      <c r="CL29" s="29">
        <f t="shared" ref="CL29:DQ29" si="23">CL30+CL38+CL44</f>
        <v>365492.88417999994</v>
      </c>
      <c r="CM29" s="29">
        <f t="shared" si="23"/>
        <v>359203.70770000003</v>
      </c>
      <c r="CN29" s="29">
        <f t="shared" si="23"/>
        <v>358313.72609000007</v>
      </c>
      <c r="CO29" s="29">
        <f t="shared" si="23"/>
        <v>361867.26779999997</v>
      </c>
      <c r="CP29" s="29">
        <f t="shared" si="23"/>
        <v>376472.92944000004</v>
      </c>
      <c r="CQ29" s="29">
        <f t="shared" si="23"/>
        <v>388315.58367000008</v>
      </c>
      <c r="CR29" s="29">
        <f t="shared" si="23"/>
        <v>407165.85112999991</v>
      </c>
      <c r="CS29" s="29">
        <f t="shared" si="23"/>
        <v>418302.52601000003</v>
      </c>
      <c r="CT29" s="51">
        <f t="shared" si="23"/>
        <v>427254.56921000005</v>
      </c>
      <c r="CU29" s="29">
        <f t="shared" si="23"/>
        <v>441088.66947999992</v>
      </c>
      <c r="CV29" s="29">
        <f t="shared" si="23"/>
        <v>447836.9873199999</v>
      </c>
      <c r="CW29" s="29">
        <f t="shared" si="23"/>
        <v>447411.12706999993</v>
      </c>
      <c r="CX29" s="29">
        <f t="shared" si="23"/>
        <v>458302.54665000009</v>
      </c>
      <c r="CY29" s="29">
        <f t="shared" si="23"/>
        <v>462498.34980999993</v>
      </c>
      <c r="CZ29" s="29">
        <f t="shared" si="23"/>
        <v>470603.73539999995</v>
      </c>
      <c r="DA29" s="29">
        <f t="shared" si="23"/>
        <v>475449.23520999996</v>
      </c>
      <c r="DB29" s="29">
        <f t="shared" si="23"/>
        <v>483433.00538999995</v>
      </c>
      <c r="DC29" s="29">
        <f t="shared" si="23"/>
        <v>491624.06981000007</v>
      </c>
      <c r="DD29" s="29">
        <f t="shared" si="23"/>
        <v>506398.92536000005</v>
      </c>
      <c r="DE29" s="29">
        <f t="shared" si="23"/>
        <v>507573.22714999999</v>
      </c>
      <c r="DF29" s="51">
        <f t="shared" si="23"/>
        <v>513616.5107799999</v>
      </c>
      <c r="DG29" s="29">
        <f t="shared" si="23"/>
        <v>522595.05677000002</v>
      </c>
      <c r="DH29" s="29">
        <f t="shared" si="23"/>
        <v>531594.70451999991</v>
      </c>
      <c r="DI29" s="29">
        <f t="shared" si="23"/>
        <v>535351.88703999994</v>
      </c>
      <c r="DJ29" s="29">
        <f t="shared" si="23"/>
        <v>539845.63121999986</v>
      </c>
      <c r="DK29" s="29">
        <f t="shared" si="23"/>
        <v>540224.03283999988</v>
      </c>
      <c r="DL29" s="29">
        <f t="shared" si="23"/>
        <v>541521.80994000006</v>
      </c>
      <c r="DM29" s="29">
        <f t="shared" si="23"/>
        <v>556690.08590999979</v>
      </c>
      <c r="DN29" s="29">
        <f t="shared" si="23"/>
        <v>561032.65289999999</v>
      </c>
      <c r="DO29" s="29">
        <f t="shared" si="23"/>
        <v>567215.35173999995</v>
      </c>
      <c r="DP29" s="29">
        <f t="shared" si="23"/>
        <v>573849.22518000007</v>
      </c>
      <c r="DQ29" s="15">
        <f t="shared" si="23"/>
        <v>578069.5093899999</v>
      </c>
      <c r="DR29" s="29">
        <f t="shared" ref="DR29:EO29" si="24">DR30+DR38+DR44</f>
        <v>583770.83102999988</v>
      </c>
      <c r="DS29" s="29">
        <f t="shared" si="24"/>
        <v>594230.67622999998</v>
      </c>
      <c r="DT29" s="29">
        <f t="shared" si="24"/>
        <v>600052.73480000009</v>
      </c>
      <c r="DU29" s="29">
        <f t="shared" si="24"/>
        <v>600362.51988999988</v>
      </c>
      <c r="DV29" s="29">
        <f t="shared" si="24"/>
        <v>603993.96054</v>
      </c>
      <c r="DW29" s="29">
        <f t="shared" si="24"/>
        <v>596425.45188999991</v>
      </c>
      <c r="DX29" s="29">
        <f t="shared" si="24"/>
        <v>591633.40628000011</v>
      </c>
      <c r="DY29" s="29">
        <f t="shared" si="24"/>
        <v>600774.32611000002</v>
      </c>
      <c r="DZ29" s="29">
        <f t="shared" si="24"/>
        <v>602303.60031000001</v>
      </c>
      <c r="EA29" s="29">
        <f t="shared" si="24"/>
        <v>608301.65292999998</v>
      </c>
      <c r="EB29" s="29">
        <f t="shared" si="24"/>
        <v>613794.18027000001</v>
      </c>
      <c r="EC29" s="15">
        <f t="shared" si="24"/>
        <v>616219.2365</v>
      </c>
      <c r="ED29" s="51">
        <f t="shared" si="24"/>
        <v>615343.17700999998</v>
      </c>
      <c r="EE29" s="29">
        <f t="shared" si="24"/>
        <v>621985</v>
      </c>
      <c r="EF29" s="29">
        <f t="shared" si="24"/>
        <v>607192</v>
      </c>
      <c r="EG29" s="29">
        <f t="shared" si="24"/>
        <v>594041.59999999998</v>
      </c>
      <c r="EH29" s="29">
        <f t="shared" si="24"/>
        <v>590465</v>
      </c>
      <c r="EI29" s="29">
        <f t="shared" si="24"/>
        <v>591827.80000000005</v>
      </c>
      <c r="EJ29" s="29">
        <f t="shared" si="24"/>
        <v>604448.5</v>
      </c>
      <c r="EK29" s="29">
        <f t="shared" si="24"/>
        <v>615909</v>
      </c>
      <c r="EL29" s="29">
        <f t="shared" si="24"/>
        <v>628053</v>
      </c>
      <c r="EM29" s="29">
        <f t="shared" si="24"/>
        <v>645079</v>
      </c>
      <c r="EN29" s="29">
        <f t="shared" si="24"/>
        <v>650850.5</v>
      </c>
      <c r="EO29" s="15">
        <f t="shared" si="24"/>
        <v>659831.30000000005</v>
      </c>
      <c r="EQ29" s="757">
        <f t="shared" si="8"/>
        <v>1.9717198482243292</v>
      </c>
      <c r="ER29" s="757">
        <f t="shared" si="9"/>
        <v>4.2751528758498303</v>
      </c>
      <c r="ET29" s="945">
        <f t="shared" si="10"/>
        <v>0.21598948137153534</v>
      </c>
      <c r="FF29" s="190"/>
    </row>
    <row r="30" spans="1:162" s="203" customFormat="1" ht="13.9" customHeight="1" x14ac:dyDescent="0.2">
      <c r="A30" s="778" t="s">
        <v>241</v>
      </c>
      <c r="B30" s="221"/>
      <c r="C30" s="221"/>
      <c r="D30" s="221"/>
      <c r="E30" s="221"/>
      <c r="F30" s="221"/>
      <c r="G30" s="221"/>
      <c r="H30" s="221"/>
      <c r="I30" s="221"/>
      <c r="J30" s="221"/>
      <c r="K30" s="221"/>
      <c r="L30" s="221"/>
      <c r="M30" s="28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8"/>
      <c r="Z30" s="221">
        <f t="shared" ref="Z30:AW30" si="25">SUM(Z31:Z35)</f>
        <v>247140</v>
      </c>
      <c r="AA30" s="221">
        <f t="shared" si="25"/>
        <v>253177</v>
      </c>
      <c r="AB30" s="221">
        <f t="shared" si="25"/>
        <v>256795</v>
      </c>
      <c r="AC30" s="221">
        <f t="shared" si="25"/>
        <v>257055</v>
      </c>
      <c r="AD30" s="221">
        <f t="shared" si="25"/>
        <v>257185</v>
      </c>
      <c r="AE30" s="221">
        <f t="shared" si="25"/>
        <v>257449</v>
      </c>
      <c r="AF30" s="221">
        <f t="shared" si="25"/>
        <v>255565</v>
      </c>
      <c r="AG30" s="221">
        <f t="shared" si="25"/>
        <v>259623</v>
      </c>
      <c r="AH30" s="221">
        <f t="shared" si="25"/>
        <v>268896</v>
      </c>
      <c r="AI30" s="221">
        <f t="shared" si="25"/>
        <v>274118</v>
      </c>
      <c r="AJ30" s="221">
        <f t="shared" si="25"/>
        <v>281417</v>
      </c>
      <c r="AK30" s="221">
        <f t="shared" si="25"/>
        <v>285597</v>
      </c>
      <c r="AL30" s="220">
        <f t="shared" si="25"/>
        <v>289960</v>
      </c>
      <c r="AM30" s="221">
        <f t="shared" si="25"/>
        <v>297486</v>
      </c>
      <c r="AN30" s="221">
        <f t="shared" si="25"/>
        <v>302443</v>
      </c>
      <c r="AO30" s="221">
        <f t="shared" si="25"/>
        <v>302464</v>
      </c>
      <c r="AP30" s="221">
        <f t="shared" si="25"/>
        <v>301976</v>
      </c>
      <c r="AQ30" s="221">
        <f t="shared" si="25"/>
        <v>294628</v>
      </c>
      <c r="AR30" s="221">
        <f t="shared" si="25"/>
        <v>294746</v>
      </c>
      <c r="AS30" s="221">
        <f t="shared" si="25"/>
        <v>297602</v>
      </c>
      <c r="AT30" s="221">
        <f t="shared" si="25"/>
        <v>303629</v>
      </c>
      <c r="AU30" s="221">
        <f t="shared" si="25"/>
        <v>310622</v>
      </c>
      <c r="AV30" s="221">
        <f t="shared" si="25"/>
        <v>316696</v>
      </c>
      <c r="AW30" s="221">
        <f t="shared" si="25"/>
        <v>309678</v>
      </c>
      <c r="AX30" s="220">
        <f t="shared" ref="AX30:CO30" si="26">SUM(AX31:AX36)</f>
        <v>313300</v>
      </c>
      <c r="AY30" s="221">
        <f t="shared" si="26"/>
        <v>318864</v>
      </c>
      <c r="AZ30" s="221">
        <f t="shared" si="26"/>
        <v>314701</v>
      </c>
      <c r="BA30" s="221">
        <f t="shared" si="26"/>
        <v>318019</v>
      </c>
      <c r="BB30" s="221">
        <f t="shared" si="26"/>
        <v>318933</v>
      </c>
      <c r="BC30" s="221">
        <f t="shared" si="26"/>
        <v>317132.18933000002</v>
      </c>
      <c r="BD30" s="221">
        <f t="shared" si="26"/>
        <v>316596.81947000005</v>
      </c>
      <c r="BE30" s="221">
        <f t="shared" si="26"/>
        <v>320938.39906999998</v>
      </c>
      <c r="BF30" s="221">
        <f t="shared" si="26"/>
        <v>323475.30235999997</v>
      </c>
      <c r="BG30" s="221">
        <f t="shared" si="26"/>
        <v>326372.97891999997</v>
      </c>
      <c r="BH30" s="221">
        <f t="shared" si="26"/>
        <v>331874.57377000008</v>
      </c>
      <c r="BI30" s="221">
        <f t="shared" si="26"/>
        <v>332688.56059000001</v>
      </c>
      <c r="BJ30" s="220">
        <f t="shared" si="26"/>
        <v>333376.84999999998</v>
      </c>
      <c r="BK30" s="221">
        <f t="shared" si="26"/>
        <v>337084.37183999998</v>
      </c>
      <c r="BL30" s="221">
        <f t="shared" si="26"/>
        <v>332254.20213999995</v>
      </c>
      <c r="BM30" s="221">
        <f t="shared" si="26"/>
        <v>332579.32269</v>
      </c>
      <c r="BN30" s="221">
        <f t="shared" si="26"/>
        <v>333575.97785999998</v>
      </c>
      <c r="BO30" s="221">
        <f t="shared" si="26"/>
        <v>325277.30095999996</v>
      </c>
      <c r="BP30" s="221">
        <f t="shared" si="26"/>
        <v>324647.44875000004</v>
      </c>
      <c r="BQ30" s="221">
        <f t="shared" si="26"/>
        <v>327621.06634000002</v>
      </c>
      <c r="BR30" s="221">
        <f t="shared" si="26"/>
        <v>328409.57655</v>
      </c>
      <c r="BS30" s="221">
        <f t="shared" si="26"/>
        <v>330358.49775000004</v>
      </c>
      <c r="BT30" s="221">
        <f t="shared" si="26"/>
        <v>335844.68044000003</v>
      </c>
      <c r="BU30" s="28">
        <f t="shared" si="26"/>
        <v>332488.24269999994</v>
      </c>
      <c r="BV30" s="220">
        <f t="shared" si="26"/>
        <v>337549.09177000006</v>
      </c>
      <c r="BW30" s="221">
        <f t="shared" si="26"/>
        <v>344124.11906</v>
      </c>
      <c r="BX30" s="221">
        <f t="shared" si="26"/>
        <v>346836.07636000001</v>
      </c>
      <c r="BY30" s="221">
        <f t="shared" si="26"/>
        <v>351795.25537999993</v>
      </c>
      <c r="BZ30" s="221">
        <f t="shared" si="26"/>
        <v>353862.85625000001</v>
      </c>
      <c r="CA30" s="221">
        <f>SUM(CA31:CA36)</f>
        <v>349006.17588000005</v>
      </c>
      <c r="CB30" s="221">
        <f t="shared" si="26"/>
        <v>347562.28150999994</v>
      </c>
      <c r="CC30" s="221">
        <f t="shared" si="26"/>
        <v>347147.79628999997</v>
      </c>
      <c r="CD30" s="221">
        <f t="shared" si="26"/>
        <v>349573.17244000005</v>
      </c>
      <c r="CE30" s="221">
        <f t="shared" si="26"/>
        <v>347518.66472</v>
      </c>
      <c r="CF30" s="221">
        <f t="shared" si="26"/>
        <v>348836.11627</v>
      </c>
      <c r="CG30" s="28">
        <f t="shared" si="26"/>
        <v>341829.64616999996</v>
      </c>
      <c r="CH30" s="221">
        <f t="shared" si="26"/>
        <v>341606.82899999997</v>
      </c>
      <c r="CI30" s="221">
        <f t="shared" si="26"/>
        <v>344736.68567999994</v>
      </c>
      <c r="CJ30" s="221">
        <f t="shared" si="26"/>
        <v>346486.22044</v>
      </c>
      <c r="CK30" s="221">
        <f t="shared" si="26"/>
        <v>349846.55372999999</v>
      </c>
      <c r="CL30" s="221">
        <f t="shared" si="26"/>
        <v>351718.01163999992</v>
      </c>
      <c r="CM30" s="221">
        <f t="shared" si="26"/>
        <v>345007.25169</v>
      </c>
      <c r="CN30" s="221">
        <f t="shared" si="26"/>
        <v>344133.28169000003</v>
      </c>
      <c r="CO30" s="221">
        <f t="shared" si="26"/>
        <v>347349.59445999999</v>
      </c>
      <c r="CP30" s="221">
        <f t="shared" ref="CP30:EO30" si="27">SUM(CP31:CP37)</f>
        <v>361531.04581000004</v>
      </c>
      <c r="CQ30" s="221">
        <f t="shared" si="27"/>
        <v>373087.90871000005</v>
      </c>
      <c r="CR30" s="221">
        <f t="shared" si="27"/>
        <v>391407.50287999993</v>
      </c>
      <c r="CS30" s="221">
        <f t="shared" si="27"/>
        <v>401934.24742000003</v>
      </c>
      <c r="CT30" s="220">
        <f t="shared" si="27"/>
        <v>410522.16006000002</v>
      </c>
      <c r="CU30" s="221">
        <f t="shared" si="27"/>
        <v>423244.21462999994</v>
      </c>
      <c r="CV30" s="221">
        <f t="shared" si="27"/>
        <v>429429.81231999991</v>
      </c>
      <c r="CW30" s="221">
        <f t="shared" si="27"/>
        <v>428546.88328999991</v>
      </c>
      <c r="CX30" s="221">
        <f t="shared" si="27"/>
        <v>437955.56442000007</v>
      </c>
      <c r="CY30" s="221">
        <f t="shared" si="27"/>
        <v>441777.26521999994</v>
      </c>
      <c r="CZ30" s="221">
        <f t="shared" si="27"/>
        <v>449421.50918999995</v>
      </c>
      <c r="DA30" s="221">
        <f t="shared" si="27"/>
        <v>454097.35831999994</v>
      </c>
      <c r="DB30" s="221">
        <f t="shared" si="27"/>
        <v>461569.00438999996</v>
      </c>
      <c r="DC30" s="221">
        <f t="shared" si="27"/>
        <v>469094.39864000009</v>
      </c>
      <c r="DD30" s="221">
        <f t="shared" si="27"/>
        <v>482466.62728000002</v>
      </c>
      <c r="DE30" s="221">
        <f t="shared" si="27"/>
        <v>482438.46411</v>
      </c>
      <c r="DF30" s="220">
        <f t="shared" si="27"/>
        <v>487952.07052999991</v>
      </c>
      <c r="DG30" s="221">
        <f t="shared" si="27"/>
        <v>496867.45078000007</v>
      </c>
      <c r="DH30" s="221">
        <f t="shared" si="27"/>
        <v>505563.3739399999</v>
      </c>
      <c r="DI30" s="221">
        <f t="shared" si="27"/>
        <v>509420.38408999995</v>
      </c>
      <c r="DJ30" s="221">
        <f t="shared" si="27"/>
        <v>513205.30499999993</v>
      </c>
      <c r="DK30" s="221">
        <f t="shared" si="27"/>
        <v>513478.08561999997</v>
      </c>
      <c r="DL30" s="221">
        <f t="shared" si="27"/>
        <v>514552.76025000005</v>
      </c>
      <c r="DM30" s="221">
        <f t="shared" si="27"/>
        <v>529636.10559999989</v>
      </c>
      <c r="DN30" s="221">
        <f t="shared" si="27"/>
        <v>535112.10782999999</v>
      </c>
      <c r="DO30" s="221">
        <f t="shared" si="27"/>
        <v>541311.17524999997</v>
      </c>
      <c r="DP30" s="221">
        <f t="shared" si="27"/>
        <v>547379.95916000009</v>
      </c>
      <c r="DQ30" s="28">
        <f t="shared" si="27"/>
        <v>551526.16155999992</v>
      </c>
      <c r="DR30" s="221">
        <f t="shared" si="27"/>
        <v>557415.4749899999</v>
      </c>
      <c r="DS30" s="221">
        <f t="shared" si="27"/>
        <v>568206.99101</v>
      </c>
      <c r="DT30" s="221">
        <f t="shared" si="27"/>
        <v>574113.20444</v>
      </c>
      <c r="DU30" s="221">
        <f t="shared" si="27"/>
        <v>574970.74988999998</v>
      </c>
      <c r="DV30" s="221">
        <f t="shared" si="27"/>
        <v>579203.47103999997</v>
      </c>
      <c r="DW30" s="221">
        <f t="shared" si="27"/>
        <v>572458.28251999989</v>
      </c>
      <c r="DX30" s="221">
        <f t="shared" si="27"/>
        <v>568406.48161000013</v>
      </c>
      <c r="DY30" s="221">
        <f t="shared" si="27"/>
        <v>577668.12372000003</v>
      </c>
      <c r="DZ30" s="221">
        <f t="shared" si="27"/>
        <v>579015.86962000001</v>
      </c>
      <c r="EA30" s="221">
        <f t="shared" si="27"/>
        <v>584601.93539</v>
      </c>
      <c r="EB30" s="221">
        <f t="shared" si="27"/>
        <v>590009.60751999996</v>
      </c>
      <c r="EC30" s="28">
        <f t="shared" si="27"/>
        <v>592077.13876</v>
      </c>
      <c r="ED30" s="220">
        <f t="shared" si="27"/>
        <v>590772.22507000004</v>
      </c>
      <c r="EE30" s="221">
        <f t="shared" si="27"/>
        <v>596878</v>
      </c>
      <c r="EF30" s="221">
        <f t="shared" si="27"/>
        <v>582297</v>
      </c>
      <c r="EG30" s="221">
        <f t="shared" si="27"/>
        <v>569816</v>
      </c>
      <c r="EH30" s="221">
        <f t="shared" si="27"/>
        <v>566661</v>
      </c>
      <c r="EI30" s="221">
        <f t="shared" si="27"/>
        <v>568410.4</v>
      </c>
      <c r="EJ30" s="221">
        <f t="shared" si="27"/>
        <v>580736.5</v>
      </c>
      <c r="EK30" s="221">
        <f t="shared" si="27"/>
        <v>591887</v>
      </c>
      <c r="EL30" s="221">
        <f t="shared" si="27"/>
        <v>603701</v>
      </c>
      <c r="EM30" s="221">
        <f t="shared" si="27"/>
        <v>620139</v>
      </c>
      <c r="EN30" s="221">
        <f t="shared" si="27"/>
        <v>627557.5</v>
      </c>
      <c r="EO30" s="28">
        <f t="shared" si="27"/>
        <v>636435</v>
      </c>
      <c r="EP30"/>
      <c r="EQ30" s="768">
        <f t="shared" si="8"/>
        <v>1.9959890992706342</v>
      </c>
      <c r="ER30" s="768">
        <f t="shared" si="9"/>
        <v>4.2632908138080072</v>
      </c>
      <c r="ET30" s="945">
        <f t="shared" si="10"/>
        <v>0.2073649164708356</v>
      </c>
      <c r="EU30" s="203">
        <f t="shared" ref="EU30:EU38" si="28">CQ30-CE30</f>
        <v>25569.243990000046</v>
      </c>
      <c r="FF30" s="199" t="s">
        <v>546</v>
      </c>
    </row>
    <row r="31" spans="1:162" ht="13.9" customHeight="1" x14ac:dyDescent="0.2">
      <c r="A31" s="309" t="s">
        <v>84</v>
      </c>
      <c r="B31" s="24">
        <v>125351</v>
      </c>
      <c r="C31" s="24">
        <v>127858</v>
      </c>
      <c r="D31" s="24">
        <v>127515</v>
      </c>
      <c r="E31" s="24">
        <v>128259</v>
      </c>
      <c r="F31" s="24">
        <v>127387</v>
      </c>
      <c r="G31" s="24">
        <v>125001</v>
      </c>
      <c r="H31" s="24">
        <v>125784</v>
      </c>
      <c r="I31" s="24">
        <v>125882</v>
      </c>
      <c r="J31" s="24">
        <v>126830</v>
      </c>
      <c r="K31" s="24">
        <v>125938</v>
      </c>
      <c r="L31" s="24">
        <v>126597</v>
      </c>
      <c r="M31" s="23">
        <v>124882</v>
      </c>
      <c r="N31" s="24">
        <v>124741.79807000002</v>
      </c>
      <c r="O31" s="24">
        <v>125265</v>
      </c>
      <c r="P31" s="24">
        <v>122609</v>
      </c>
      <c r="Q31" s="24">
        <v>120725</v>
      </c>
      <c r="R31" s="24">
        <v>116786</v>
      </c>
      <c r="S31" s="24">
        <v>114735</v>
      </c>
      <c r="T31" s="24">
        <v>111988</v>
      </c>
      <c r="U31" s="24">
        <v>114201</v>
      </c>
      <c r="V31" s="24">
        <v>116303</v>
      </c>
      <c r="W31" s="24">
        <v>119174</v>
      </c>
      <c r="X31" s="24">
        <v>124146.79939999999</v>
      </c>
      <c r="Y31" s="23">
        <v>126343</v>
      </c>
      <c r="Z31" s="24">
        <v>129176</v>
      </c>
      <c r="AA31" s="24">
        <v>133866</v>
      </c>
      <c r="AB31" s="24">
        <v>137057</v>
      </c>
      <c r="AC31" s="24">
        <v>138878</v>
      </c>
      <c r="AD31" s="24">
        <v>140956</v>
      </c>
      <c r="AE31" s="24">
        <v>142181</v>
      </c>
      <c r="AF31" s="24">
        <v>139144</v>
      </c>
      <c r="AG31" s="24">
        <v>141379</v>
      </c>
      <c r="AH31" s="24">
        <v>147191</v>
      </c>
      <c r="AI31" s="24">
        <v>150359</v>
      </c>
      <c r="AJ31" s="24">
        <v>155350</v>
      </c>
      <c r="AK31" s="24">
        <v>157992</v>
      </c>
      <c r="AL31" s="52">
        <v>162648</v>
      </c>
      <c r="AM31" s="24">
        <v>169236</v>
      </c>
      <c r="AN31" s="24">
        <v>172569</v>
      </c>
      <c r="AO31" s="24">
        <v>171563</v>
      </c>
      <c r="AP31" s="24">
        <v>170774</v>
      </c>
      <c r="AQ31" s="24">
        <v>163958</v>
      </c>
      <c r="AR31" s="24">
        <v>163774</v>
      </c>
      <c r="AS31" s="24">
        <v>166773</v>
      </c>
      <c r="AT31" s="24">
        <v>172600</v>
      </c>
      <c r="AU31" s="24">
        <v>179896</v>
      </c>
      <c r="AV31" s="24">
        <v>182385</v>
      </c>
      <c r="AW31" s="24">
        <v>176095</v>
      </c>
      <c r="AX31" s="52">
        <v>179551</v>
      </c>
      <c r="AY31" s="24">
        <v>184354</v>
      </c>
      <c r="AZ31" s="24">
        <v>185640</v>
      </c>
      <c r="BA31" s="24">
        <v>188123</v>
      </c>
      <c r="BB31" s="24">
        <v>191257</v>
      </c>
      <c r="BC31" s="24">
        <v>193416.80222000001</v>
      </c>
      <c r="BD31" s="24">
        <v>194076.36770000003</v>
      </c>
      <c r="BE31" s="24">
        <v>197025.29231000002</v>
      </c>
      <c r="BF31" s="24">
        <v>197580.87452999997</v>
      </c>
      <c r="BG31" s="24">
        <v>200121.98432999998</v>
      </c>
      <c r="BH31" s="24">
        <v>202091.84463000001</v>
      </c>
      <c r="BI31" s="24">
        <v>202982.97142999995</v>
      </c>
      <c r="BJ31" s="52">
        <v>203466</v>
      </c>
      <c r="BK31" s="24">
        <v>205800.99495000002</v>
      </c>
      <c r="BL31" s="24">
        <v>202942.16876</v>
      </c>
      <c r="BM31" s="24">
        <v>205588.66165999998</v>
      </c>
      <c r="BN31" s="24">
        <v>207382.81091</v>
      </c>
      <c r="BO31" s="24">
        <v>204738.31535000002</v>
      </c>
      <c r="BP31" s="24">
        <v>203900.41140000001</v>
      </c>
      <c r="BQ31" s="24">
        <v>205207.54949999999</v>
      </c>
      <c r="BR31" s="24">
        <v>206313.82920000001</v>
      </c>
      <c r="BS31" s="24">
        <v>207886.96452000004</v>
      </c>
      <c r="BT31" s="24">
        <v>210750.91517999998</v>
      </c>
      <c r="BU31" s="23">
        <v>209126.17138999997</v>
      </c>
      <c r="BV31" s="52">
        <v>217025.49403000003</v>
      </c>
      <c r="BW31" s="24">
        <v>222943.67601</v>
      </c>
      <c r="BX31" s="24">
        <v>224315.62896999999</v>
      </c>
      <c r="BY31" s="24">
        <v>228185.70084999999</v>
      </c>
      <c r="BZ31" s="24">
        <v>230793.13289000001</v>
      </c>
      <c r="CA31" s="24">
        <v>227192.05228999999</v>
      </c>
      <c r="CB31" s="24">
        <v>226061.97607</v>
      </c>
      <c r="CC31" s="24">
        <v>225119.14568999998</v>
      </c>
      <c r="CD31" s="24">
        <v>227426.12383000003</v>
      </c>
      <c r="CE31" s="24">
        <v>224237.50455000001</v>
      </c>
      <c r="CF31" s="24">
        <v>223469.74781</v>
      </c>
      <c r="CG31" s="23">
        <v>217570.17298</v>
      </c>
      <c r="CH31" s="24">
        <v>216340.15523999999</v>
      </c>
      <c r="CI31" s="24">
        <v>218567.02935</v>
      </c>
      <c r="CJ31" s="24">
        <v>220018.76564</v>
      </c>
      <c r="CK31" s="24">
        <v>221333.24724</v>
      </c>
      <c r="CL31" s="24">
        <v>222069.42956999998</v>
      </c>
      <c r="CM31" s="24">
        <v>217557.00566999998</v>
      </c>
      <c r="CN31" s="24">
        <v>217342.67066999999</v>
      </c>
      <c r="CO31" s="24">
        <v>222376.33440000002</v>
      </c>
      <c r="CP31" s="24">
        <v>229888.31939999998</v>
      </c>
      <c r="CQ31" s="24">
        <v>239562.27485000002</v>
      </c>
      <c r="CR31" s="24">
        <v>247184.38313999996</v>
      </c>
      <c r="CS31" s="24">
        <v>253403.51338000005</v>
      </c>
      <c r="CT31" s="52">
        <v>259398.20003000001</v>
      </c>
      <c r="CU31" s="24">
        <v>267957.62624999997</v>
      </c>
      <c r="CV31" s="24">
        <v>271139.20875999995</v>
      </c>
      <c r="CW31" s="24">
        <v>267844.69131999998</v>
      </c>
      <c r="CX31" s="24">
        <v>273528.55973000004</v>
      </c>
      <c r="CY31" s="24">
        <v>276813.05596999999</v>
      </c>
      <c r="CZ31" s="24">
        <v>278509.84500999999</v>
      </c>
      <c r="DA31" s="24">
        <v>279719.37747000001</v>
      </c>
      <c r="DB31" s="24">
        <v>284786.75975999999</v>
      </c>
      <c r="DC31" s="24">
        <v>289225.19439000002</v>
      </c>
      <c r="DD31" s="24">
        <v>303495.31958000001</v>
      </c>
      <c r="DE31" s="24">
        <v>302411.03481000004</v>
      </c>
      <c r="DF31" s="52">
        <v>305837.11111999996</v>
      </c>
      <c r="DG31" s="24">
        <v>311647.79626000003</v>
      </c>
      <c r="DH31" s="24">
        <v>319039.73255999997</v>
      </c>
      <c r="DI31" s="24">
        <v>319665.78917</v>
      </c>
      <c r="DJ31" s="24">
        <v>320574.45422999997</v>
      </c>
      <c r="DK31" s="24">
        <v>319897.60409999994</v>
      </c>
      <c r="DL31" s="24">
        <v>318499.68364000006</v>
      </c>
      <c r="DM31" s="24">
        <v>332179.71462999994</v>
      </c>
      <c r="DN31" s="24">
        <v>336486.16842</v>
      </c>
      <c r="DO31" s="24">
        <v>341252.38568999997</v>
      </c>
      <c r="DP31" s="24">
        <v>344703.36647999997</v>
      </c>
      <c r="DQ31" s="23">
        <v>345606.13286000001</v>
      </c>
      <c r="DR31" s="24">
        <v>348745.68055999995</v>
      </c>
      <c r="DS31" s="24">
        <v>356288.37876000005</v>
      </c>
      <c r="DT31" s="24">
        <v>359801.71311999997</v>
      </c>
      <c r="DU31" s="24">
        <v>360720.59806999995</v>
      </c>
      <c r="DV31" s="24">
        <v>364328.82484999998</v>
      </c>
      <c r="DW31" s="24">
        <v>358860.29471999989</v>
      </c>
      <c r="DX31" s="24">
        <v>354574.74745000002</v>
      </c>
      <c r="DY31" s="24">
        <v>359700.11485000001</v>
      </c>
      <c r="DZ31" s="24">
        <v>358618.54300000001</v>
      </c>
      <c r="EA31" s="24">
        <v>360526.66825000005</v>
      </c>
      <c r="EB31" s="24">
        <v>361090.91774999996</v>
      </c>
      <c r="EC31" s="23">
        <v>360904.63478999998</v>
      </c>
      <c r="ED31" s="52">
        <v>357426.59654</v>
      </c>
      <c r="EE31" s="24">
        <v>362138</v>
      </c>
      <c r="EF31" s="24">
        <v>352159</v>
      </c>
      <c r="EG31" s="24">
        <v>343759</v>
      </c>
      <c r="EH31" s="24">
        <v>343233.5</v>
      </c>
      <c r="EI31" s="24">
        <v>343144.4</v>
      </c>
      <c r="EJ31" s="24">
        <v>350848.5</v>
      </c>
      <c r="EK31" s="24">
        <v>357689</v>
      </c>
      <c r="EL31" s="24">
        <v>363523</v>
      </c>
      <c r="EM31" s="24">
        <v>374607</v>
      </c>
      <c r="EN31" s="24">
        <v>379586.5</v>
      </c>
      <c r="EO31" s="23">
        <v>383833.4</v>
      </c>
      <c r="EQ31" s="759">
        <f t="shared" si="8"/>
        <v>1.6310258352926654</v>
      </c>
      <c r="ER31" s="759">
        <f t="shared" si="9"/>
        <v>1.3675971574063306</v>
      </c>
      <c r="ET31" s="945">
        <f t="shared" si="10"/>
        <v>0.12545907405716308</v>
      </c>
      <c r="EU31" s="105">
        <f t="shared" si="28"/>
        <v>15324.770300000004</v>
      </c>
      <c r="FF31" s="190" t="s">
        <v>352</v>
      </c>
    </row>
    <row r="32" spans="1:162" ht="13.9" customHeight="1" x14ac:dyDescent="0.2">
      <c r="A32" s="309" t="s">
        <v>14</v>
      </c>
      <c r="B32" s="24">
        <v>61866</v>
      </c>
      <c r="C32" s="24">
        <v>62622</v>
      </c>
      <c r="D32" s="24">
        <v>61334</v>
      </c>
      <c r="E32" s="24">
        <v>60098</v>
      </c>
      <c r="F32" s="24">
        <v>60614</v>
      </c>
      <c r="G32" s="24">
        <v>60826</v>
      </c>
      <c r="H32" s="24">
        <v>61137</v>
      </c>
      <c r="I32" s="24">
        <v>61892</v>
      </c>
      <c r="J32" s="24">
        <v>62303</v>
      </c>
      <c r="K32" s="24">
        <v>62104</v>
      </c>
      <c r="L32" s="24">
        <v>62836</v>
      </c>
      <c r="M32" s="23">
        <v>63258</v>
      </c>
      <c r="N32" s="24">
        <v>63169.151880000005</v>
      </c>
      <c r="O32" s="24">
        <v>63462</v>
      </c>
      <c r="P32" s="24">
        <v>62578</v>
      </c>
      <c r="Q32" s="24">
        <v>60903</v>
      </c>
      <c r="R32" s="24">
        <v>59193</v>
      </c>
      <c r="S32" s="24">
        <v>59938</v>
      </c>
      <c r="T32" s="24">
        <v>60377</v>
      </c>
      <c r="U32" s="24">
        <v>60946</v>
      </c>
      <c r="V32" s="24">
        <v>60785</v>
      </c>
      <c r="W32" s="24">
        <v>61193</v>
      </c>
      <c r="X32" s="24">
        <v>61861.403980000003</v>
      </c>
      <c r="Y32" s="23">
        <v>62437</v>
      </c>
      <c r="Z32" s="24">
        <v>62147</v>
      </c>
      <c r="AA32" s="24">
        <v>62697</v>
      </c>
      <c r="AB32" s="24">
        <v>63143</v>
      </c>
      <c r="AC32" s="24">
        <v>61096</v>
      </c>
      <c r="AD32" s="24">
        <v>58176</v>
      </c>
      <c r="AE32" s="24">
        <v>56356</v>
      </c>
      <c r="AF32" s="24">
        <v>56347</v>
      </c>
      <c r="AG32" s="24">
        <v>56826</v>
      </c>
      <c r="AH32" s="24">
        <v>59022</v>
      </c>
      <c r="AI32" s="24">
        <v>59793</v>
      </c>
      <c r="AJ32" s="24">
        <v>60912</v>
      </c>
      <c r="AK32" s="24">
        <v>61776</v>
      </c>
      <c r="AL32" s="52">
        <v>61035</v>
      </c>
      <c r="AM32" s="24">
        <v>60964</v>
      </c>
      <c r="AN32" s="24">
        <v>62136</v>
      </c>
      <c r="AO32" s="24">
        <v>62929</v>
      </c>
      <c r="AP32" s="24">
        <v>63753</v>
      </c>
      <c r="AQ32" s="24">
        <v>63140</v>
      </c>
      <c r="AR32" s="24">
        <v>63092</v>
      </c>
      <c r="AS32" s="24">
        <v>62304</v>
      </c>
      <c r="AT32" s="24">
        <v>62406</v>
      </c>
      <c r="AU32" s="24">
        <v>62237</v>
      </c>
      <c r="AV32" s="24">
        <v>63102</v>
      </c>
      <c r="AW32" s="24">
        <v>62624</v>
      </c>
      <c r="AX32" s="52">
        <v>61995</v>
      </c>
      <c r="AY32" s="24">
        <v>61514</v>
      </c>
      <c r="AZ32" s="24">
        <v>61889</v>
      </c>
      <c r="BA32" s="24">
        <v>61338</v>
      </c>
      <c r="BB32" s="24">
        <v>60015</v>
      </c>
      <c r="BC32" s="24">
        <v>57304.879679999998</v>
      </c>
      <c r="BD32" s="24">
        <v>56178.560490000003</v>
      </c>
      <c r="BE32" s="24">
        <v>57415.233309999996</v>
      </c>
      <c r="BF32" s="24">
        <v>59182.624830000001</v>
      </c>
      <c r="BG32" s="24">
        <v>58547.10282</v>
      </c>
      <c r="BH32" s="24">
        <v>58928.911390000008</v>
      </c>
      <c r="BI32" s="24">
        <v>57866.57978</v>
      </c>
      <c r="BJ32" s="52">
        <v>57809</v>
      </c>
      <c r="BK32" s="24">
        <v>57935.193589999995</v>
      </c>
      <c r="BL32" s="24">
        <v>55986.866379999999</v>
      </c>
      <c r="BM32" s="24">
        <v>52996.765670000001</v>
      </c>
      <c r="BN32" s="24">
        <v>52409.934139999998</v>
      </c>
      <c r="BO32" s="24">
        <v>49213.926559999993</v>
      </c>
      <c r="BP32" s="24">
        <v>48826.229769999998</v>
      </c>
      <c r="BQ32" s="24">
        <v>49118.582200000004</v>
      </c>
      <c r="BR32" s="24">
        <v>49339.382660000003</v>
      </c>
      <c r="BS32" s="24">
        <v>49147.86808</v>
      </c>
      <c r="BT32" s="24">
        <v>49586.583679999996</v>
      </c>
      <c r="BU32" s="23">
        <v>47539.449849999997</v>
      </c>
      <c r="BV32" s="52">
        <v>45858.609070000006</v>
      </c>
      <c r="BW32" s="24">
        <v>45851.8943</v>
      </c>
      <c r="BX32" s="24">
        <v>46007.057659999999</v>
      </c>
      <c r="BY32" s="24">
        <v>45949.258529999992</v>
      </c>
      <c r="BZ32" s="24">
        <v>44972.488060000003</v>
      </c>
      <c r="CA32" s="24">
        <v>44105.930679999998</v>
      </c>
      <c r="CB32" s="24">
        <v>43306.002440000004</v>
      </c>
      <c r="CC32" s="24">
        <v>42936.994700000003</v>
      </c>
      <c r="CD32" s="24">
        <v>42649.402900000001</v>
      </c>
      <c r="CE32" s="24">
        <v>42109.693950000001</v>
      </c>
      <c r="CF32" s="24">
        <v>41884.683360000003</v>
      </c>
      <c r="CG32" s="23">
        <v>39906.161160000003</v>
      </c>
      <c r="CH32" s="24">
        <v>39656.40999</v>
      </c>
      <c r="CI32" s="24">
        <v>39478.635050000004</v>
      </c>
      <c r="CJ32" s="24">
        <v>40054.064060000004</v>
      </c>
      <c r="CK32" s="24">
        <v>40437.520300000004</v>
      </c>
      <c r="CL32" s="24">
        <v>39808.043089999999</v>
      </c>
      <c r="CM32" s="24">
        <v>38612.540300000001</v>
      </c>
      <c r="CN32" s="24">
        <v>38314.71931</v>
      </c>
      <c r="CO32" s="24">
        <v>34299.422359999997</v>
      </c>
      <c r="CP32" s="24">
        <v>33991.125009999996</v>
      </c>
      <c r="CQ32" s="24">
        <v>33558.938589999998</v>
      </c>
      <c r="CR32" s="24">
        <v>31630.014309999999</v>
      </c>
      <c r="CS32" s="24">
        <v>30913.170940000004</v>
      </c>
      <c r="CT32" s="52">
        <v>31061.432519999998</v>
      </c>
      <c r="CU32" s="24">
        <v>31287.648509999999</v>
      </c>
      <c r="CV32" s="24">
        <v>31263.615259999999</v>
      </c>
      <c r="CW32" s="24">
        <v>31659.085149999999</v>
      </c>
      <c r="CX32" s="24">
        <v>31482.916639999996</v>
      </c>
      <c r="CY32" s="24">
        <v>30897.788339999999</v>
      </c>
      <c r="CZ32" s="24">
        <v>29951.425180000006</v>
      </c>
      <c r="DA32" s="24">
        <v>29691.326699999998</v>
      </c>
      <c r="DB32" s="24">
        <v>29180.389329999998</v>
      </c>
      <c r="DC32" s="24">
        <v>28535.583250000003</v>
      </c>
      <c r="DD32" s="24">
        <v>25023.019</v>
      </c>
      <c r="DE32" s="24">
        <v>24880.92308</v>
      </c>
      <c r="DF32" s="52">
        <v>24652.206729999998</v>
      </c>
      <c r="DG32" s="24">
        <v>24120.979940000001</v>
      </c>
      <c r="DH32" s="24">
        <v>23784.202000000001</v>
      </c>
      <c r="DI32" s="24">
        <v>23289.166559999998</v>
      </c>
      <c r="DJ32" s="24">
        <v>22494.630740000001</v>
      </c>
      <c r="DK32" s="24">
        <v>21345.469280000001</v>
      </c>
      <c r="DL32" s="24">
        <v>21179.403350000001</v>
      </c>
      <c r="DM32" s="24">
        <v>20756.84088</v>
      </c>
      <c r="DN32" s="24">
        <v>19698.55314</v>
      </c>
      <c r="DO32" s="24">
        <v>19385.67438</v>
      </c>
      <c r="DP32" s="24">
        <v>17361.8802</v>
      </c>
      <c r="DQ32" s="23">
        <v>17078.861840000001</v>
      </c>
      <c r="DR32" s="24">
        <v>16863.451560000001</v>
      </c>
      <c r="DS32" s="24">
        <v>16994.54506</v>
      </c>
      <c r="DT32" s="24">
        <v>17023.700080000002</v>
      </c>
      <c r="DU32" s="24">
        <v>17065.90281</v>
      </c>
      <c r="DV32" s="24">
        <v>16838.366049999997</v>
      </c>
      <c r="DW32" s="24">
        <v>16460.42052</v>
      </c>
      <c r="DX32" s="24">
        <v>15914.359700000001</v>
      </c>
      <c r="DY32" s="24">
        <v>15531.112229999999</v>
      </c>
      <c r="DZ32" s="24">
        <v>15446.74741</v>
      </c>
      <c r="EA32" s="24">
        <v>15632.495630000001</v>
      </c>
      <c r="EB32" s="24">
        <v>15537.115560000002</v>
      </c>
      <c r="EC32" s="23">
        <v>15556.226580000002</v>
      </c>
      <c r="ED32" s="52">
        <v>15696.35975</v>
      </c>
      <c r="EE32" s="24">
        <v>14963</v>
      </c>
      <c r="EF32" s="24">
        <v>14462</v>
      </c>
      <c r="EG32" s="24">
        <v>14075</v>
      </c>
      <c r="EH32" s="24">
        <v>13961</v>
      </c>
      <c r="EI32" s="24">
        <v>13938</v>
      </c>
      <c r="EJ32" s="24">
        <v>14237</v>
      </c>
      <c r="EK32" s="24">
        <v>14962</v>
      </c>
      <c r="EL32" s="24">
        <v>14853</v>
      </c>
      <c r="EM32" s="24">
        <v>15084</v>
      </c>
      <c r="EN32" s="24">
        <v>15213</v>
      </c>
      <c r="EO32" s="23">
        <v>15434</v>
      </c>
      <c r="EQ32" s="759">
        <f t="shared" si="8"/>
        <v>-0.72851223098516771</v>
      </c>
      <c r="ER32" s="759">
        <f t="shared" si="9"/>
        <v>-3.8438345254199979</v>
      </c>
      <c r="ET32" s="945">
        <f t="shared" si="10"/>
        <v>5.5095249748230279E-3</v>
      </c>
      <c r="EU32" s="105">
        <f t="shared" si="28"/>
        <v>-8550.7553600000028</v>
      </c>
      <c r="FF32" s="190"/>
    </row>
    <row r="33" spans="1:162" ht="13.9" customHeight="1" x14ac:dyDescent="0.2">
      <c r="A33" s="309" t="s">
        <v>173</v>
      </c>
      <c r="B33" s="24">
        <v>17795</v>
      </c>
      <c r="C33" s="24">
        <v>19157</v>
      </c>
      <c r="D33" s="24">
        <v>20361</v>
      </c>
      <c r="E33" s="24">
        <v>21467</v>
      </c>
      <c r="F33" s="24">
        <v>23202</v>
      </c>
      <c r="G33" s="24">
        <v>24384</v>
      </c>
      <c r="H33" s="24">
        <v>25877</v>
      </c>
      <c r="I33" s="24">
        <v>27226</v>
      </c>
      <c r="J33" s="24">
        <v>28452</v>
      </c>
      <c r="K33" s="24">
        <v>29202</v>
      </c>
      <c r="L33" s="24">
        <v>29929</v>
      </c>
      <c r="M33" s="23">
        <v>30618</v>
      </c>
      <c r="N33" s="24">
        <v>31471.372940000001</v>
      </c>
      <c r="O33" s="24">
        <v>31993</v>
      </c>
      <c r="P33" s="24">
        <v>31980</v>
      </c>
      <c r="Q33" s="24">
        <v>32155</v>
      </c>
      <c r="R33" s="24">
        <v>32995</v>
      </c>
      <c r="S33" s="24">
        <v>33908</v>
      </c>
      <c r="T33" s="24">
        <v>34392</v>
      </c>
      <c r="U33" s="24">
        <v>34998</v>
      </c>
      <c r="V33" s="24">
        <v>36066</v>
      </c>
      <c r="W33" s="24">
        <v>36617</v>
      </c>
      <c r="X33" s="24">
        <v>37284.368869999998</v>
      </c>
      <c r="Y33" s="23">
        <v>36601</v>
      </c>
      <c r="Z33" s="24">
        <v>37031</v>
      </c>
      <c r="AA33" s="24">
        <v>37212</v>
      </c>
      <c r="AB33" s="24">
        <v>36731</v>
      </c>
      <c r="AC33" s="24">
        <v>36446</v>
      </c>
      <c r="AD33" s="24">
        <v>36786</v>
      </c>
      <c r="AE33" s="24">
        <v>37463</v>
      </c>
      <c r="AF33" s="24">
        <v>38338</v>
      </c>
      <c r="AG33" s="24">
        <v>39142</v>
      </c>
      <c r="AH33" s="24">
        <v>40129</v>
      </c>
      <c r="AI33" s="24">
        <v>41268</v>
      </c>
      <c r="AJ33" s="24">
        <v>41989</v>
      </c>
      <c r="AK33" s="24">
        <v>43351</v>
      </c>
      <c r="AL33" s="52">
        <v>43609</v>
      </c>
      <c r="AM33" s="24">
        <v>44070</v>
      </c>
      <c r="AN33" s="24">
        <v>44227</v>
      </c>
      <c r="AO33" s="24">
        <v>44760</v>
      </c>
      <c r="AP33" s="24">
        <v>44550</v>
      </c>
      <c r="AQ33" s="667">
        <v>44820</v>
      </c>
      <c r="AR33" s="667">
        <v>45298</v>
      </c>
      <c r="AS33" s="667">
        <v>45754</v>
      </c>
      <c r="AT33" s="667">
        <v>45714</v>
      </c>
      <c r="AU33" s="667">
        <v>46079</v>
      </c>
      <c r="AV33" s="667">
        <v>47525</v>
      </c>
      <c r="AW33" s="667">
        <v>47485</v>
      </c>
      <c r="AX33" s="956">
        <v>49119</v>
      </c>
      <c r="AY33" s="667">
        <v>50196</v>
      </c>
      <c r="AZ33" s="667">
        <v>44611</v>
      </c>
      <c r="BA33" s="667">
        <v>45513</v>
      </c>
      <c r="BB33" s="667">
        <v>44555</v>
      </c>
      <c r="BC33" s="667">
        <v>44019.402419999999</v>
      </c>
      <c r="BD33" s="667">
        <v>43662.3655</v>
      </c>
      <c r="BE33" s="667">
        <v>44026.445569999996</v>
      </c>
      <c r="BF33" s="667">
        <v>44656.580829999999</v>
      </c>
      <c r="BG33" s="667">
        <v>45165.924400000004</v>
      </c>
      <c r="BH33" s="667">
        <v>44588.71142</v>
      </c>
      <c r="BI33" s="667">
        <v>45546.850480000001</v>
      </c>
      <c r="BJ33" s="956">
        <v>45364</v>
      </c>
      <c r="BK33" s="667">
        <v>46120.068849999996</v>
      </c>
      <c r="BL33" s="667">
        <v>45464.229939999997</v>
      </c>
      <c r="BM33" s="667">
        <v>45466.95334</v>
      </c>
      <c r="BN33" s="667">
        <v>44962.64647</v>
      </c>
      <c r="BO33" s="667">
        <v>42523.09721</v>
      </c>
      <c r="BP33" s="667">
        <v>42553.006819999995</v>
      </c>
      <c r="BQ33" s="667">
        <v>42990.595509999999</v>
      </c>
      <c r="BR33" s="667">
        <v>41664.129589999997</v>
      </c>
      <c r="BS33" s="667">
        <v>41260.039230000002</v>
      </c>
      <c r="BT33" s="667">
        <v>42272.340779999999</v>
      </c>
      <c r="BU33" s="957">
        <v>42718.499389999997</v>
      </c>
      <c r="BV33" s="956">
        <v>41194.042280000001</v>
      </c>
      <c r="BW33" s="667">
        <v>42582.075819999998</v>
      </c>
      <c r="BX33" s="667">
        <v>43421.496429999999</v>
      </c>
      <c r="BY33" s="667">
        <v>43762.17613</v>
      </c>
      <c r="BZ33" s="667">
        <v>43764.18593</v>
      </c>
      <c r="CA33" s="667">
        <v>42940.977189999998</v>
      </c>
      <c r="CB33" s="667">
        <v>42553.955959999999</v>
      </c>
      <c r="CC33" s="667">
        <v>42588.363809999995</v>
      </c>
      <c r="CD33" s="667">
        <v>42290.261129999999</v>
      </c>
      <c r="CE33" s="667">
        <v>42523.871249999997</v>
      </c>
      <c r="CF33" s="667">
        <v>43770.259210000004</v>
      </c>
      <c r="CG33" s="957">
        <v>44251.031619999994</v>
      </c>
      <c r="CH33" s="667">
        <v>45148.769650000002</v>
      </c>
      <c r="CI33" s="667">
        <v>45694.178169999999</v>
      </c>
      <c r="CJ33" s="667">
        <v>45449.902249999999</v>
      </c>
      <c r="CK33" s="667">
        <v>45994.246660000004</v>
      </c>
      <c r="CL33" s="667">
        <v>46905.075689999998</v>
      </c>
      <c r="CM33" s="667">
        <v>45114.955009999998</v>
      </c>
      <c r="CN33" s="667">
        <v>44548.801870000003</v>
      </c>
      <c r="CO33" s="667">
        <v>45403.759149999998</v>
      </c>
      <c r="CP33" s="667">
        <v>46237.397369999991</v>
      </c>
      <c r="CQ33" s="667">
        <v>47082.289100000002</v>
      </c>
      <c r="CR33" s="667">
        <v>48503.151510000003</v>
      </c>
      <c r="CS33" s="667">
        <v>49376.669799999996</v>
      </c>
      <c r="CT33" s="956">
        <v>50277.224940000007</v>
      </c>
      <c r="CU33" s="667">
        <v>50277.243239999996</v>
      </c>
      <c r="CV33" s="667">
        <v>50795.993589999998</v>
      </c>
      <c r="CW33" s="667">
        <v>50917.927239999997</v>
      </c>
      <c r="CX33" s="667">
        <v>51033.931069999999</v>
      </c>
      <c r="CY33" s="667">
        <v>50380.142689999993</v>
      </c>
      <c r="CZ33" s="667">
        <v>50724.137390000004</v>
      </c>
      <c r="DA33" s="667">
        <v>51453.56482</v>
      </c>
      <c r="DB33" s="667">
        <v>51980.406220000004</v>
      </c>
      <c r="DC33" s="667">
        <v>53017.733410000001</v>
      </c>
      <c r="DD33" s="667">
        <v>52705.514179999998</v>
      </c>
      <c r="DE33" s="667">
        <v>51627.954599999997</v>
      </c>
      <c r="DF33" s="956">
        <v>51580.361270000001</v>
      </c>
      <c r="DG33" s="667">
        <v>51263.032780000001</v>
      </c>
      <c r="DH33" s="667">
        <v>51160.369889999994</v>
      </c>
      <c r="DI33" s="667">
        <v>51477.932520000002</v>
      </c>
      <c r="DJ33" s="667">
        <v>51579.439350000001</v>
      </c>
      <c r="DK33" s="667">
        <v>50710.222739999997</v>
      </c>
      <c r="DL33" s="667">
        <v>50298.416139999994</v>
      </c>
      <c r="DM33" s="667">
        <v>49907.638479999994</v>
      </c>
      <c r="DN33" s="667">
        <v>49426.644320000007</v>
      </c>
      <c r="DO33" s="667">
        <v>48747.149600000004</v>
      </c>
      <c r="DP33" s="667">
        <v>49054.800610000006</v>
      </c>
      <c r="DQ33" s="957">
        <v>48719.734510000002</v>
      </c>
      <c r="DR33" s="667">
        <v>49227.877089999994</v>
      </c>
      <c r="DS33" s="667">
        <v>49759.899069999999</v>
      </c>
      <c r="DT33" s="667">
        <v>50184.290919999992</v>
      </c>
      <c r="DU33" s="667">
        <v>49151.124590000007</v>
      </c>
      <c r="DV33" s="667">
        <v>48665.648630000011</v>
      </c>
      <c r="DW33" s="667">
        <v>47887.698609999999</v>
      </c>
      <c r="DX33" s="667">
        <v>47774.98573</v>
      </c>
      <c r="DY33" s="667">
        <v>48247.84547</v>
      </c>
      <c r="DZ33" s="667">
        <v>49220.088629999998</v>
      </c>
      <c r="EA33" s="667">
        <v>49469.950779999999</v>
      </c>
      <c r="EB33" s="667">
        <v>51064.736799999999</v>
      </c>
      <c r="EC33" s="957">
        <v>51988.952109999998</v>
      </c>
      <c r="ED33" s="956">
        <v>53012.570489999998</v>
      </c>
      <c r="EE33" s="667">
        <v>53300</v>
      </c>
      <c r="EF33" s="667">
        <v>52477</v>
      </c>
      <c r="EG33" s="667">
        <v>51309</v>
      </c>
      <c r="EH33" s="667">
        <v>50447</v>
      </c>
      <c r="EI33" s="667">
        <v>49732</v>
      </c>
      <c r="EJ33" s="667">
        <v>49871</v>
      </c>
      <c r="EK33" s="667">
        <v>49709</v>
      </c>
      <c r="EL33" s="667">
        <v>48926</v>
      </c>
      <c r="EM33" s="667">
        <v>49439</v>
      </c>
      <c r="EN33" s="667">
        <v>48362</v>
      </c>
      <c r="EO33" s="957">
        <v>48478</v>
      </c>
      <c r="EQ33" s="759">
        <f t="shared" si="8"/>
        <v>-1.5751674747027655</v>
      </c>
      <c r="ER33" s="759">
        <f t="shared" si="9"/>
        <v>-0.59749715651822299</v>
      </c>
      <c r="ET33" s="945">
        <f t="shared" si="10"/>
        <v>1.8607759107599531E-2</v>
      </c>
      <c r="EU33" s="105">
        <f t="shared" si="28"/>
        <v>4558.4178500000053</v>
      </c>
      <c r="FF33" s="190"/>
    </row>
    <row r="34" spans="1:162" ht="13.9" customHeight="1" x14ac:dyDescent="0.2">
      <c r="A34" s="309" t="s">
        <v>131</v>
      </c>
      <c r="B34" s="24">
        <v>10003</v>
      </c>
      <c r="C34" s="24">
        <v>10682</v>
      </c>
      <c r="D34" s="24">
        <v>10956</v>
      </c>
      <c r="E34" s="24">
        <v>10958</v>
      </c>
      <c r="F34" s="24">
        <v>10990</v>
      </c>
      <c r="G34" s="24">
        <v>10911</v>
      </c>
      <c r="H34" s="24">
        <v>11244</v>
      </c>
      <c r="I34" s="24">
        <v>11580</v>
      </c>
      <c r="J34" s="24">
        <v>12011</v>
      </c>
      <c r="K34" s="24">
        <v>12485</v>
      </c>
      <c r="L34" s="24">
        <v>13313</v>
      </c>
      <c r="M34" s="23">
        <v>13762</v>
      </c>
      <c r="N34" s="24">
        <v>14284.16886</v>
      </c>
      <c r="O34" s="24">
        <v>15042</v>
      </c>
      <c r="P34" s="24">
        <v>15578</v>
      </c>
      <c r="Q34" s="24">
        <v>15953</v>
      </c>
      <c r="R34" s="24">
        <v>16908</v>
      </c>
      <c r="S34" s="24">
        <v>17161</v>
      </c>
      <c r="T34" s="24">
        <v>17089</v>
      </c>
      <c r="U34" s="24">
        <v>16999</v>
      </c>
      <c r="V34" s="24">
        <v>17455</v>
      </c>
      <c r="W34" s="24">
        <v>17984</v>
      </c>
      <c r="X34" s="24">
        <v>17840.992140000002</v>
      </c>
      <c r="Y34" s="23">
        <v>18593</v>
      </c>
      <c r="Z34" s="24">
        <v>18786</v>
      </c>
      <c r="AA34" s="24">
        <v>19402</v>
      </c>
      <c r="AB34" s="24">
        <v>19864</v>
      </c>
      <c r="AC34" s="24">
        <v>20635</v>
      </c>
      <c r="AD34" s="24">
        <v>21267</v>
      </c>
      <c r="AE34" s="24">
        <v>21449</v>
      </c>
      <c r="AF34" s="24">
        <v>21736</v>
      </c>
      <c r="AG34" s="24">
        <v>22276</v>
      </c>
      <c r="AH34" s="24">
        <v>22554</v>
      </c>
      <c r="AI34" s="24">
        <v>22698</v>
      </c>
      <c r="AJ34" s="24">
        <v>23166</v>
      </c>
      <c r="AK34" s="24">
        <v>22478</v>
      </c>
      <c r="AL34" s="52">
        <v>22668</v>
      </c>
      <c r="AM34" s="24">
        <v>23216</v>
      </c>
      <c r="AN34" s="24">
        <v>23511</v>
      </c>
      <c r="AO34" s="24">
        <v>23212</v>
      </c>
      <c r="AP34" s="24">
        <v>22899</v>
      </c>
      <c r="AQ34" s="24">
        <v>22710</v>
      </c>
      <c r="AR34" s="24">
        <v>22582</v>
      </c>
      <c r="AS34" s="24">
        <v>22771</v>
      </c>
      <c r="AT34" s="24">
        <v>22909</v>
      </c>
      <c r="AU34" s="24">
        <v>22410</v>
      </c>
      <c r="AV34" s="24">
        <v>23684</v>
      </c>
      <c r="AW34" s="24">
        <v>23474</v>
      </c>
      <c r="AX34" s="52">
        <v>22635</v>
      </c>
      <c r="AY34" s="24">
        <v>22800</v>
      </c>
      <c r="AZ34" s="24">
        <v>22561</v>
      </c>
      <c r="BA34" s="24">
        <v>23045</v>
      </c>
      <c r="BB34" s="24">
        <v>23106</v>
      </c>
      <c r="BC34" s="24">
        <v>22391.105010000003</v>
      </c>
      <c r="BD34" s="24">
        <v>22679.52578</v>
      </c>
      <c r="BE34" s="24">
        <v>22471.427879999999</v>
      </c>
      <c r="BF34" s="24">
        <v>22055.222170000001</v>
      </c>
      <c r="BG34" s="24">
        <v>22414.36737</v>
      </c>
      <c r="BH34" s="24">
        <v>22501.50244</v>
      </c>
      <c r="BI34" s="24">
        <v>22128.604530000001</v>
      </c>
      <c r="BJ34" s="52">
        <v>22370</v>
      </c>
      <c r="BK34" s="24">
        <v>22480.722389999999</v>
      </c>
      <c r="BL34" s="24">
        <v>22549.529979999999</v>
      </c>
      <c r="BM34" s="24">
        <v>22962.490239999999</v>
      </c>
      <c r="BN34" s="24">
        <v>22839.255079999999</v>
      </c>
      <c r="BO34" s="24">
        <v>22490.643680000001</v>
      </c>
      <c r="BP34" s="24">
        <v>22781.530350000001</v>
      </c>
      <c r="BQ34" s="24">
        <v>23274.900379999999</v>
      </c>
      <c r="BR34" s="24">
        <v>23809.732550000001</v>
      </c>
      <c r="BS34" s="24">
        <v>24425.240899999997</v>
      </c>
      <c r="BT34" s="24">
        <v>25177.84014</v>
      </c>
      <c r="BU34" s="23">
        <v>24678.167530000002</v>
      </c>
      <c r="BV34" s="52">
        <v>24865.531629999998</v>
      </c>
      <c r="BW34" s="24">
        <v>23692.818620000002</v>
      </c>
      <c r="BX34" s="24">
        <v>23807.789980000001</v>
      </c>
      <c r="BY34" s="24">
        <v>24238.245640000001</v>
      </c>
      <c r="BZ34" s="24">
        <v>24210.629539999998</v>
      </c>
      <c r="CA34" s="24">
        <v>24343.346679999999</v>
      </c>
      <c r="CB34" s="24">
        <v>25266.068480000002</v>
      </c>
      <c r="CC34" s="24">
        <v>25643.43708</v>
      </c>
      <c r="CD34" s="24">
        <v>25774.513059999997</v>
      </c>
      <c r="CE34" s="24">
        <v>26351.211420000003</v>
      </c>
      <c r="CF34" s="24">
        <v>26760.099300000002</v>
      </c>
      <c r="CG34" s="23">
        <v>26585.281260000003</v>
      </c>
      <c r="CH34" s="24">
        <v>26530.14227</v>
      </c>
      <c r="CI34" s="24">
        <v>26555.87239</v>
      </c>
      <c r="CJ34" s="24">
        <v>25952.538</v>
      </c>
      <c r="CK34" s="24">
        <v>26302.015149999999</v>
      </c>
      <c r="CL34" s="24">
        <v>26669.903539999999</v>
      </c>
      <c r="CM34" s="24">
        <v>26975.111510000002</v>
      </c>
      <c r="CN34" s="24">
        <v>27202.652549999999</v>
      </c>
      <c r="CO34" s="24">
        <v>27801.347529999999</v>
      </c>
      <c r="CP34" s="24">
        <v>27720.922389999996</v>
      </c>
      <c r="CQ34" s="24">
        <v>28233.594799999999</v>
      </c>
      <c r="CR34" s="24">
        <v>28807.289919999999</v>
      </c>
      <c r="CS34" s="24">
        <v>31243.82402</v>
      </c>
      <c r="CT34" s="52">
        <v>31894.812669999999</v>
      </c>
      <c r="CU34" s="24">
        <v>33015.632689999999</v>
      </c>
      <c r="CV34" s="24">
        <v>32959.636879999998</v>
      </c>
      <c r="CW34" s="24">
        <v>33465.429550000001</v>
      </c>
      <c r="CX34" s="24">
        <v>33539.297010000002</v>
      </c>
      <c r="CY34" s="24">
        <v>33923.12934</v>
      </c>
      <c r="CZ34" s="24">
        <v>34472.185800000007</v>
      </c>
      <c r="DA34" s="24">
        <v>35882.174759999994</v>
      </c>
      <c r="DB34" s="24">
        <v>36544.66502</v>
      </c>
      <c r="DC34" s="24">
        <v>37497.581200000001</v>
      </c>
      <c r="DD34" s="24">
        <v>38252.775679999999</v>
      </c>
      <c r="DE34" s="24">
        <v>38471.784189999998</v>
      </c>
      <c r="DF34" s="52">
        <v>39000.201509999999</v>
      </c>
      <c r="DG34" s="24">
        <v>40715.759420000002</v>
      </c>
      <c r="DH34" s="24">
        <v>40955.630539999998</v>
      </c>
      <c r="DI34" s="24">
        <v>42132.832009999998</v>
      </c>
      <c r="DJ34" s="24">
        <v>43387.310359999996</v>
      </c>
      <c r="DK34" s="24">
        <v>44548.012930000004</v>
      </c>
      <c r="DL34" s="24">
        <v>45739.336770000009</v>
      </c>
      <c r="DM34" s="24">
        <v>46996.957249999999</v>
      </c>
      <c r="DN34" s="24">
        <v>47886.222050000004</v>
      </c>
      <c r="DO34" s="24">
        <v>48780.098000000005</v>
      </c>
      <c r="DP34" s="24">
        <v>50915.545890000001</v>
      </c>
      <c r="DQ34" s="23">
        <v>52094.912109999997</v>
      </c>
      <c r="DR34" s="24">
        <v>53517.696799999998</v>
      </c>
      <c r="DS34" s="24">
        <v>54828.683619999996</v>
      </c>
      <c r="DT34" s="24">
        <v>55462.959900000002</v>
      </c>
      <c r="DU34" s="24">
        <v>55434.471969999999</v>
      </c>
      <c r="DV34" s="24">
        <v>56435.392140000004</v>
      </c>
      <c r="DW34" s="24">
        <v>56360.464819999994</v>
      </c>
      <c r="DX34" s="24">
        <v>56875.889540000004</v>
      </c>
      <c r="DY34" s="24">
        <v>57660.964370000002</v>
      </c>
      <c r="DZ34" s="24">
        <v>57228.620540000004</v>
      </c>
      <c r="EA34" s="24">
        <v>57594.929149999996</v>
      </c>
      <c r="EB34" s="24">
        <v>57856.647120000001</v>
      </c>
      <c r="EC34" s="23">
        <v>57246.571280000004</v>
      </c>
      <c r="ED34" s="52">
        <v>57626.842190000003</v>
      </c>
      <c r="EE34" s="24">
        <v>57708</v>
      </c>
      <c r="EF34" s="24">
        <v>56278</v>
      </c>
      <c r="EG34" s="24">
        <v>55274</v>
      </c>
      <c r="EH34" s="24">
        <v>54746</v>
      </c>
      <c r="EI34" s="24">
        <v>56708</v>
      </c>
      <c r="EJ34" s="24">
        <v>58570</v>
      </c>
      <c r="EK34" s="24">
        <v>59430</v>
      </c>
      <c r="EL34" s="24">
        <v>59725</v>
      </c>
      <c r="EM34" s="24">
        <v>61289</v>
      </c>
      <c r="EN34" s="24">
        <v>62479</v>
      </c>
      <c r="EO34" s="23">
        <v>63358.400000000001</v>
      </c>
      <c r="EQ34" s="759">
        <f t="shared" si="8"/>
        <v>0.4963822985024402</v>
      </c>
      <c r="ER34" s="759">
        <f t="shared" si="9"/>
        <v>4.3621171302830053</v>
      </c>
      <c r="ET34" s="945">
        <f t="shared" si="10"/>
        <v>2.0227398665858837E-2</v>
      </c>
      <c r="EU34" s="105">
        <f t="shared" si="28"/>
        <v>1882.3833799999957</v>
      </c>
      <c r="FF34" s="190"/>
    </row>
    <row r="35" spans="1:162" ht="13.9" customHeight="1" x14ac:dyDescent="0.2">
      <c r="A35" s="309" t="s">
        <v>233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3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3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52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52"/>
      <c r="AY35" s="24"/>
      <c r="AZ35" s="24"/>
      <c r="BA35" s="24"/>
      <c r="BB35" s="24"/>
      <c r="BC35" s="24"/>
      <c r="BD35" s="24"/>
      <c r="BE35" s="16"/>
      <c r="BF35" s="16"/>
      <c r="BG35" s="24">
        <v>123.6</v>
      </c>
      <c r="BH35" s="24">
        <v>3763.6038900000003</v>
      </c>
      <c r="BI35" s="24">
        <v>4163.5543699999998</v>
      </c>
      <c r="BJ35" s="52">
        <v>4364</v>
      </c>
      <c r="BK35" s="24">
        <v>4716.52621</v>
      </c>
      <c r="BL35" s="24">
        <v>5078.9924900000005</v>
      </c>
      <c r="BM35" s="24">
        <v>5230.6268099999998</v>
      </c>
      <c r="BN35" s="24">
        <v>5569.5770499999999</v>
      </c>
      <c r="BO35" s="24">
        <v>5814.8624</v>
      </c>
      <c r="BP35" s="24">
        <v>6050.0037400000001</v>
      </c>
      <c r="BQ35" s="24">
        <v>6451.8931199999997</v>
      </c>
      <c r="BR35" s="24">
        <v>6687.2122300000001</v>
      </c>
      <c r="BS35" s="24">
        <v>7021.2521200000001</v>
      </c>
      <c r="BT35" s="24">
        <v>7510.4163099999996</v>
      </c>
      <c r="BU35" s="23">
        <v>7916.5338899999997</v>
      </c>
      <c r="BV35" s="52">
        <v>8029.7105499999998</v>
      </c>
      <c r="BW35" s="24">
        <v>8446.5408200000002</v>
      </c>
      <c r="BX35" s="24">
        <v>8706.7961999999989</v>
      </c>
      <c r="BY35" s="24">
        <v>9063.6068200000009</v>
      </c>
      <c r="BZ35" s="24">
        <v>9473.8803900000003</v>
      </c>
      <c r="CA35" s="24">
        <v>9718.66849</v>
      </c>
      <c r="CB35" s="24">
        <v>9735.8378599999996</v>
      </c>
      <c r="CC35" s="24">
        <v>10210.02209</v>
      </c>
      <c r="CD35" s="24">
        <v>10697.519630000001</v>
      </c>
      <c r="CE35" s="24">
        <v>11512.204369999999</v>
      </c>
      <c r="CF35" s="24">
        <v>12166.816849999999</v>
      </c>
      <c r="CG35" s="23">
        <v>12806.765079999999</v>
      </c>
      <c r="CH35" s="24">
        <v>13152.2608</v>
      </c>
      <c r="CI35" s="24">
        <v>13638.885539999999</v>
      </c>
      <c r="CJ35" s="24">
        <v>14168.17669</v>
      </c>
      <c r="CK35" s="24">
        <v>14904.79765</v>
      </c>
      <c r="CL35" s="24">
        <v>15379.91937</v>
      </c>
      <c r="CM35" s="24">
        <v>15719.054039999999</v>
      </c>
      <c r="CN35" s="24">
        <v>15624.545249999999</v>
      </c>
      <c r="CO35" s="24">
        <v>16185.294320000001</v>
      </c>
      <c r="CP35" s="24">
        <v>16494.570879999999</v>
      </c>
      <c r="CQ35" s="24">
        <v>16562.328109999999</v>
      </c>
      <c r="CR35" s="24">
        <v>17345.90814</v>
      </c>
      <c r="CS35" s="24">
        <v>17752.49656</v>
      </c>
      <c r="CT35" s="52">
        <v>17382.108190000003</v>
      </c>
      <c r="CU35" s="24">
        <v>17878.76584</v>
      </c>
      <c r="CV35" s="24">
        <v>18373.787479999999</v>
      </c>
      <c r="CW35" s="24">
        <v>18591.010180000001</v>
      </c>
      <c r="CX35" s="24">
        <v>18708.65857</v>
      </c>
      <c r="CY35" s="24">
        <v>19166.096160000001</v>
      </c>
      <c r="CZ35" s="24">
        <v>19128.335010000003</v>
      </c>
      <c r="DA35" s="24">
        <v>19674.544489999997</v>
      </c>
      <c r="DB35" s="24">
        <v>20188.820210000002</v>
      </c>
      <c r="DC35" s="24">
        <v>20403.788239999998</v>
      </c>
      <c r="DD35" s="24">
        <v>21337.969079999999</v>
      </c>
      <c r="DE35" s="24">
        <v>22441.033029999999</v>
      </c>
      <c r="DF35" s="52">
        <v>22868.107220000002</v>
      </c>
      <c r="DG35" s="24">
        <v>23665.79392</v>
      </c>
      <c r="DH35" s="24">
        <v>24197.110860000001</v>
      </c>
      <c r="DI35" s="24">
        <v>24720.648420000001</v>
      </c>
      <c r="DJ35" s="24">
        <v>25744.979909999998</v>
      </c>
      <c r="DK35" s="24">
        <v>26478.250690000001</v>
      </c>
      <c r="DL35" s="24">
        <v>26968.153630000001</v>
      </c>
      <c r="DM35" s="24">
        <v>26976.11146</v>
      </c>
      <c r="DN35" s="24">
        <v>27907.330620000001</v>
      </c>
      <c r="DO35" s="24">
        <v>28695.860579999997</v>
      </c>
      <c r="DP35" s="24">
        <v>29479.01325</v>
      </c>
      <c r="DQ35" s="23">
        <v>30592.684239999999</v>
      </c>
      <c r="DR35" s="24">
        <v>30821.34519</v>
      </c>
      <c r="DS35" s="24">
        <v>31530.690759999998</v>
      </c>
      <c r="DT35" s="24">
        <v>31977.859130000004</v>
      </c>
      <c r="DU35" s="24">
        <v>32240.098989999999</v>
      </c>
      <c r="DV35" s="24">
        <v>32853.837899999999</v>
      </c>
      <c r="DW35" s="24">
        <v>32913.867259999999</v>
      </c>
      <c r="DX35" s="24">
        <v>32767.843719999997</v>
      </c>
      <c r="DY35" s="24">
        <v>33732.281649999997</v>
      </c>
      <c r="DZ35" s="24">
        <v>34029.146259999994</v>
      </c>
      <c r="EA35" s="24">
        <v>35314.181759999999</v>
      </c>
      <c r="EB35" s="24">
        <v>36967.756959999999</v>
      </c>
      <c r="EC35" s="23">
        <v>37863.08481</v>
      </c>
      <c r="ED35" s="52">
        <v>37828.698259999997</v>
      </c>
      <c r="EE35" s="24">
        <v>38463</v>
      </c>
      <c r="EF35" s="24">
        <v>37392</v>
      </c>
      <c r="EG35" s="24">
        <v>36691</v>
      </c>
      <c r="EH35" s="24">
        <v>36483</v>
      </c>
      <c r="EI35" s="24">
        <v>37266</v>
      </c>
      <c r="EJ35" s="24">
        <v>38326</v>
      </c>
      <c r="EK35" s="24">
        <v>39794</v>
      </c>
      <c r="EL35" s="24">
        <v>41759</v>
      </c>
      <c r="EM35" s="24">
        <v>43101</v>
      </c>
      <c r="EN35" s="24">
        <v>44514</v>
      </c>
      <c r="EO35" s="23">
        <v>46227.199999999997</v>
      </c>
      <c r="EQ35" s="759">
        <f t="shared" si="8"/>
        <v>4.9379303412574682</v>
      </c>
      <c r="ER35" s="759">
        <f t="shared" si="9"/>
        <v>22.715391332300804</v>
      </c>
      <c r="ET35" s="945">
        <f t="shared" si="10"/>
        <v>1.3278120605544504E-2</v>
      </c>
      <c r="EU35" s="105">
        <f t="shared" si="28"/>
        <v>5050.1237399999991</v>
      </c>
      <c r="FF35" s="190"/>
    </row>
    <row r="36" spans="1:162" ht="13.9" customHeight="1" x14ac:dyDescent="0.2">
      <c r="A36" s="309" t="s">
        <v>251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3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3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52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19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52">
        <v>3.85</v>
      </c>
      <c r="BK36" s="24">
        <v>30.865849999999998</v>
      </c>
      <c r="BL36" s="24">
        <v>232.41459</v>
      </c>
      <c r="BM36" s="24">
        <v>333.82496999999995</v>
      </c>
      <c r="BN36" s="24">
        <v>411.75421</v>
      </c>
      <c r="BO36" s="24">
        <v>496.45576</v>
      </c>
      <c r="BP36" s="24">
        <v>536.26667000000009</v>
      </c>
      <c r="BQ36" s="24">
        <v>577.54562999999996</v>
      </c>
      <c r="BR36" s="24">
        <v>595.29031999999995</v>
      </c>
      <c r="BS36" s="24">
        <v>617.13290000000006</v>
      </c>
      <c r="BT36" s="24">
        <v>546.58434999999997</v>
      </c>
      <c r="BU36" s="23">
        <v>509.42065000000002</v>
      </c>
      <c r="BV36" s="52">
        <v>575.70420999999999</v>
      </c>
      <c r="BW36" s="24">
        <v>607.11348999999996</v>
      </c>
      <c r="BX36" s="24">
        <v>577.30711999999994</v>
      </c>
      <c r="BY36" s="24">
        <v>596.26741000000004</v>
      </c>
      <c r="BZ36" s="24">
        <v>648.5394399999999</v>
      </c>
      <c r="CA36" s="24">
        <v>705.20055000000002</v>
      </c>
      <c r="CB36" s="24">
        <v>638.44069999999999</v>
      </c>
      <c r="CC36" s="24">
        <v>649.83292000000006</v>
      </c>
      <c r="CD36" s="24">
        <v>735.35189000000003</v>
      </c>
      <c r="CE36" s="24">
        <v>784.17918000000009</v>
      </c>
      <c r="CF36" s="24">
        <v>784.50973999999997</v>
      </c>
      <c r="CG36" s="23">
        <v>710.23406999999997</v>
      </c>
      <c r="CH36" s="24">
        <v>779.09105</v>
      </c>
      <c r="CI36" s="24">
        <v>802.08518000000004</v>
      </c>
      <c r="CJ36" s="24">
        <v>842.77380000000005</v>
      </c>
      <c r="CK36" s="24">
        <v>874.72672999999998</v>
      </c>
      <c r="CL36" s="24">
        <v>885.64038000000005</v>
      </c>
      <c r="CM36" s="24">
        <v>1028.5851600000001</v>
      </c>
      <c r="CN36" s="24">
        <v>1099.89204</v>
      </c>
      <c r="CO36" s="24">
        <v>1283.4367</v>
      </c>
      <c r="CP36" s="24">
        <v>1326.1982700000001</v>
      </c>
      <c r="CQ36" s="24">
        <v>1497.9039499999999</v>
      </c>
      <c r="CR36" s="24">
        <v>1454.2730100000001</v>
      </c>
      <c r="CS36" s="24">
        <v>1504.6112700000001</v>
      </c>
      <c r="CT36" s="52">
        <v>1420.7492999999999</v>
      </c>
      <c r="CU36" s="24">
        <v>1549.3240800000001</v>
      </c>
      <c r="CV36" s="24">
        <v>1659.5728300000001</v>
      </c>
      <c r="CW36" s="24">
        <v>1666.4972299999999</v>
      </c>
      <c r="CX36" s="24">
        <v>1521.9754499999999</v>
      </c>
      <c r="CY36" s="24">
        <v>1389.90049</v>
      </c>
      <c r="CZ36" s="24">
        <v>1384.85547</v>
      </c>
      <c r="DA36" s="24">
        <v>1442.0352</v>
      </c>
      <c r="DB36" s="24">
        <v>1455.55045</v>
      </c>
      <c r="DC36" s="24">
        <v>1554.46127</v>
      </c>
      <c r="DD36" s="24">
        <v>1493.78891</v>
      </c>
      <c r="DE36" s="24">
        <v>1499.3068999999998</v>
      </c>
      <c r="DF36" s="52">
        <v>1587.7858899999999</v>
      </c>
      <c r="DG36" s="24">
        <v>1570.80069</v>
      </c>
      <c r="DH36" s="24">
        <v>1481.5288400000002</v>
      </c>
      <c r="DI36" s="24">
        <v>1512.8230700000001</v>
      </c>
      <c r="DJ36" s="24">
        <v>1619.8121299999998</v>
      </c>
      <c r="DK36" s="24">
        <v>1619.8004900000001</v>
      </c>
      <c r="DL36" s="24">
        <v>1679.4682299999999</v>
      </c>
      <c r="DM36" s="24">
        <v>1613.3610000000001</v>
      </c>
      <c r="DN36" s="24">
        <v>1482.7875100000001</v>
      </c>
      <c r="DO36" s="24">
        <v>1494.6154299999998</v>
      </c>
      <c r="DP36" s="24">
        <v>1441.9280000000001</v>
      </c>
      <c r="DQ36" s="23">
        <v>1375.2444399999999</v>
      </c>
      <c r="DR36" s="24">
        <v>1479.61753</v>
      </c>
      <c r="DS36" s="24">
        <v>1427.6954900000001</v>
      </c>
      <c r="DT36" s="24">
        <v>1382.40229</v>
      </c>
      <c r="DU36" s="24">
        <v>1406.8824199999999</v>
      </c>
      <c r="DV36" s="24">
        <v>1355.7874999999999</v>
      </c>
      <c r="DW36" s="24">
        <v>1326.65679</v>
      </c>
      <c r="DX36" s="24">
        <v>1296.10924</v>
      </c>
      <c r="DY36" s="24">
        <v>1272.2191699999998</v>
      </c>
      <c r="DZ36" s="24">
        <v>1332.7738100000001</v>
      </c>
      <c r="EA36" s="24">
        <v>1327.4219399999999</v>
      </c>
      <c r="EB36" s="24">
        <v>1248.55738</v>
      </c>
      <c r="EC36" s="23">
        <v>1234.6112499999999</v>
      </c>
      <c r="ED36" s="52">
        <v>1209.4416299999998</v>
      </c>
      <c r="EE36" s="24">
        <v>1195</v>
      </c>
      <c r="EF36" s="24">
        <v>1236</v>
      </c>
      <c r="EG36" s="24">
        <v>1176</v>
      </c>
      <c r="EH36" s="24">
        <v>1056</v>
      </c>
      <c r="EI36" s="24">
        <v>1010</v>
      </c>
      <c r="EJ36" s="24">
        <v>962</v>
      </c>
      <c r="EK36" s="24">
        <v>906</v>
      </c>
      <c r="EL36" s="24">
        <v>913</v>
      </c>
      <c r="EM36" s="24">
        <v>962</v>
      </c>
      <c r="EN36" s="24">
        <v>938</v>
      </c>
      <c r="EO36" s="23">
        <v>888</v>
      </c>
      <c r="EQ36" s="759">
        <f t="shared" si="8"/>
        <v>0.77262693156732176</v>
      </c>
      <c r="ER36" s="759">
        <f t="shared" si="9"/>
        <v>-31.49625291631444</v>
      </c>
      <c r="ET36" s="945">
        <f t="shared" si="10"/>
        <v>4.2452192560607374E-4</v>
      </c>
      <c r="EU36" s="105">
        <f t="shared" si="28"/>
        <v>713.72476999999981</v>
      </c>
      <c r="FF36" s="190"/>
    </row>
    <row r="37" spans="1:162" ht="13.9" customHeight="1" x14ac:dyDescent="0.2">
      <c r="A37" s="309" t="s">
        <v>263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3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3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52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19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52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3"/>
      <c r="BV37" s="52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3"/>
      <c r="CH37" s="24"/>
      <c r="CI37" s="24"/>
      <c r="CJ37" s="24"/>
      <c r="CK37" s="24"/>
      <c r="CL37" s="24"/>
      <c r="CM37" s="24"/>
      <c r="CN37" s="24"/>
      <c r="CO37" s="24"/>
      <c r="CP37" s="24">
        <v>5872.5124900000001</v>
      </c>
      <c r="CQ37" s="24">
        <v>6590.5793099999992</v>
      </c>
      <c r="CR37" s="24">
        <v>16482.48285</v>
      </c>
      <c r="CS37" s="24">
        <v>17739.961450000003</v>
      </c>
      <c r="CT37" s="52">
        <v>19087.632409999998</v>
      </c>
      <c r="CU37" s="24">
        <v>21277.974020000001</v>
      </c>
      <c r="CV37" s="24">
        <v>23237.997519999997</v>
      </c>
      <c r="CW37" s="24">
        <v>24402.242620000001</v>
      </c>
      <c r="CX37" s="24">
        <v>28140.22595</v>
      </c>
      <c r="CY37" s="24">
        <v>29207.15223</v>
      </c>
      <c r="CZ37" s="24">
        <v>35250.725330000001</v>
      </c>
      <c r="DA37" s="24">
        <v>36234.334879999995</v>
      </c>
      <c r="DB37" s="24">
        <v>37432.413400000005</v>
      </c>
      <c r="DC37" s="24">
        <v>38860.056880000004</v>
      </c>
      <c r="DD37" s="24">
        <v>40158.240850000002</v>
      </c>
      <c r="DE37" s="24">
        <v>41106.427500000005</v>
      </c>
      <c r="DF37" s="52">
        <v>42426.29679</v>
      </c>
      <c r="DG37" s="24">
        <v>43883.287769999995</v>
      </c>
      <c r="DH37" s="24">
        <v>44944.799249999996</v>
      </c>
      <c r="DI37" s="24">
        <v>46621.192340000001</v>
      </c>
      <c r="DJ37" s="24">
        <v>47804.67828</v>
      </c>
      <c r="DK37" s="24">
        <v>48878.72539</v>
      </c>
      <c r="DL37" s="24">
        <v>50188.298490000001</v>
      </c>
      <c r="DM37" s="24">
        <v>51205.481899999999</v>
      </c>
      <c r="DN37" s="24">
        <v>52224.401769999997</v>
      </c>
      <c r="DO37" s="24">
        <v>52955.39157</v>
      </c>
      <c r="DP37" s="24">
        <v>54423.424729999999</v>
      </c>
      <c r="DQ37" s="23">
        <v>56058.591560000001</v>
      </c>
      <c r="DR37" s="24">
        <v>56759.806259999998</v>
      </c>
      <c r="DS37" s="24">
        <v>57377.098249999995</v>
      </c>
      <c r="DT37" s="24">
        <v>58280.279000000002</v>
      </c>
      <c r="DU37" s="24">
        <v>58951.671040000001</v>
      </c>
      <c r="DV37" s="24">
        <v>58725.613970000006</v>
      </c>
      <c r="DW37" s="24">
        <v>58648.879799999995</v>
      </c>
      <c r="DX37" s="24">
        <v>59202.54623</v>
      </c>
      <c r="DY37" s="24">
        <v>61523.585980000003</v>
      </c>
      <c r="DZ37" s="24">
        <v>63139.949970000001</v>
      </c>
      <c r="EA37" s="24">
        <v>64736.287879999989</v>
      </c>
      <c r="EB37" s="24">
        <v>66243.875950000001</v>
      </c>
      <c r="EC37" s="23">
        <v>67283.057939999999</v>
      </c>
      <c r="ED37" s="52">
        <v>67971.716209999999</v>
      </c>
      <c r="EE37" s="24">
        <v>69111</v>
      </c>
      <c r="EF37" s="24">
        <v>68293</v>
      </c>
      <c r="EG37" s="24">
        <v>67532</v>
      </c>
      <c r="EH37" s="24">
        <v>66734.5</v>
      </c>
      <c r="EI37" s="24">
        <v>66612</v>
      </c>
      <c r="EJ37" s="24">
        <v>67922</v>
      </c>
      <c r="EK37" s="24">
        <v>69397</v>
      </c>
      <c r="EL37" s="24">
        <v>74002</v>
      </c>
      <c r="EM37" s="24">
        <v>75657</v>
      </c>
      <c r="EN37" s="24">
        <v>76465</v>
      </c>
      <c r="EO37" s="23">
        <v>78216</v>
      </c>
      <c r="EQ37" s="759">
        <f t="shared" si="8"/>
        <v>6.6357335331498568</v>
      </c>
      <c r="ER37" s="759">
        <f t="shared" si="9"/>
        <v>17.203133729375676</v>
      </c>
      <c r="ET37" s="945">
        <f t="shared" si="10"/>
        <v>2.3858517134240517E-2</v>
      </c>
      <c r="EU37" s="105">
        <f t="shared" si="28"/>
        <v>6590.5793099999992</v>
      </c>
      <c r="FF37" s="190"/>
    </row>
    <row r="38" spans="1:162" s="203" customFormat="1" ht="13.9" customHeight="1" x14ac:dyDescent="0.2">
      <c r="A38" s="778" t="s">
        <v>239</v>
      </c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8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8"/>
      <c r="Z38" s="221">
        <f t="shared" ref="Z38:CK38" si="29">SUM(Z39:Z42)</f>
        <v>22600</v>
      </c>
      <c r="AA38" s="221">
        <f t="shared" si="29"/>
        <v>23310</v>
      </c>
      <c r="AB38" s="221">
        <f t="shared" si="29"/>
        <v>23577</v>
      </c>
      <c r="AC38" s="221">
        <f t="shared" si="29"/>
        <v>23664</v>
      </c>
      <c r="AD38" s="221">
        <f t="shared" si="29"/>
        <v>23989</v>
      </c>
      <c r="AE38" s="221">
        <f t="shared" si="29"/>
        <v>24432</v>
      </c>
      <c r="AF38" s="221">
        <f t="shared" si="29"/>
        <v>24988</v>
      </c>
      <c r="AG38" s="221">
        <f t="shared" si="29"/>
        <v>25573</v>
      </c>
      <c r="AH38" s="221">
        <f t="shared" si="29"/>
        <v>26803</v>
      </c>
      <c r="AI38" s="221">
        <f t="shared" si="29"/>
        <v>28036</v>
      </c>
      <c r="AJ38" s="221">
        <f t="shared" si="29"/>
        <v>29144</v>
      </c>
      <c r="AK38" s="221">
        <f t="shared" si="29"/>
        <v>28801</v>
      </c>
      <c r="AL38" s="220">
        <f t="shared" si="29"/>
        <v>29829</v>
      </c>
      <c r="AM38" s="221">
        <f t="shared" si="29"/>
        <v>30599</v>
      </c>
      <c r="AN38" s="221">
        <f t="shared" si="29"/>
        <v>31438</v>
      </c>
      <c r="AO38" s="221">
        <f t="shared" si="29"/>
        <v>31579</v>
      </c>
      <c r="AP38" s="221">
        <f t="shared" si="29"/>
        <v>31893</v>
      </c>
      <c r="AQ38" s="221">
        <f t="shared" si="29"/>
        <v>31323</v>
      </c>
      <c r="AR38" s="221">
        <f t="shared" si="29"/>
        <v>30799</v>
      </c>
      <c r="AS38" s="221">
        <f t="shared" si="29"/>
        <v>30201</v>
      </c>
      <c r="AT38" s="221">
        <f t="shared" si="29"/>
        <v>30118</v>
      </c>
      <c r="AU38" s="221">
        <f t="shared" si="29"/>
        <v>30702</v>
      </c>
      <c r="AV38" s="221">
        <f t="shared" si="29"/>
        <v>31157</v>
      </c>
      <c r="AW38" s="221">
        <f t="shared" si="29"/>
        <v>31031</v>
      </c>
      <c r="AX38" s="220">
        <f t="shared" si="29"/>
        <v>32084</v>
      </c>
      <c r="AY38" s="221">
        <f t="shared" si="29"/>
        <v>33276</v>
      </c>
      <c r="AZ38" s="221">
        <f t="shared" si="29"/>
        <v>33739</v>
      </c>
      <c r="BA38" s="221">
        <f t="shared" si="29"/>
        <v>33750</v>
      </c>
      <c r="BB38" s="221">
        <f t="shared" si="29"/>
        <v>5126</v>
      </c>
      <c r="BC38" s="221">
        <f t="shared" si="29"/>
        <v>5060.8242399999999</v>
      </c>
      <c r="BD38" s="221">
        <f t="shared" si="29"/>
        <v>4886.7463900000002</v>
      </c>
      <c r="BE38" s="221">
        <f t="shared" si="29"/>
        <v>4780.5487300000004</v>
      </c>
      <c r="BF38" s="221">
        <f t="shared" si="29"/>
        <v>4460.6163899999992</v>
      </c>
      <c r="BG38" s="221">
        <f t="shared" si="29"/>
        <v>4246.7000399999997</v>
      </c>
      <c r="BH38" s="221">
        <f t="shared" si="29"/>
        <v>4098.3192399999998</v>
      </c>
      <c r="BI38" s="221">
        <f t="shared" si="29"/>
        <v>3732.5879299999997</v>
      </c>
      <c r="BJ38" s="220">
        <f t="shared" si="29"/>
        <v>3584.3071</v>
      </c>
      <c r="BK38" s="221">
        <f t="shared" si="29"/>
        <v>3467.11807</v>
      </c>
      <c r="BL38" s="221">
        <f t="shared" si="29"/>
        <v>3374.9456499999997</v>
      </c>
      <c r="BM38" s="221">
        <f t="shared" si="29"/>
        <v>3342.52297</v>
      </c>
      <c r="BN38" s="221">
        <f t="shared" si="29"/>
        <v>3303.6521400000001</v>
      </c>
      <c r="BO38" s="221">
        <f t="shared" si="29"/>
        <v>3261.4720699999998</v>
      </c>
      <c r="BP38" s="221">
        <f t="shared" si="29"/>
        <v>3222.74325</v>
      </c>
      <c r="BQ38" s="221">
        <f t="shared" si="29"/>
        <v>3073.7092499999999</v>
      </c>
      <c r="BR38" s="221">
        <f t="shared" si="29"/>
        <v>3218</v>
      </c>
      <c r="BS38" s="221">
        <f t="shared" si="29"/>
        <v>3435.25666</v>
      </c>
      <c r="BT38" s="221">
        <f t="shared" si="29"/>
        <v>3639.8005700000003</v>
      </c>
      <c r="BU38" s="28">
        <f t="shared" si="29"/>
        <v>3680.6948600000001</v>
      </c>
      <c r="BV38" s="220">
        <f t="shared" si="29"/>
        <v>3759.01674</v>
      </c>
      <c r="BW38" s="221">
        <f t="shared" si="29"/>
        <v>3851.3683300000002</v>
      </c>
      <c r="BX38" s="221">
        <f t="shared" si="29"/>
        <v>3971.9495000000002</v>
      </c>
      <c r="BY38" s="221">
        <f t="shared" si="29"/>
        <v>3958.63634</v>
      </c>
      <c r="BZ38" s="221">
        <f t="shared" si="29"/>
        <v>3915.33367</v>
      </c>
      <c r="CA38" s="221">
        <f>SUM(CA39:CA42)</f>
        <v>4118.6633899999997</v>
      </c>
      <c r="CB38" s="221">
        <f t="shared" si="29"/>
        <v>4127.5462600000001</v>
      </c>
      <c r="CC38" s="221">
        <f t="shared" si="29"/>
        <v>3991.2303099999999</v>
      </c>
      <c r="CD38" s="221">
        <f t="shared" si="29"/>
        <v>3284.2983599999998</v>
      </c>
      <c r="CE38" s="221">
        <f t="shared" si="29"/>
        <v>3480.4955299999997</v>
      </c>
      <c r="CF38" s="221">
        <f t="shared" si="29"/>
        <v>3688.4509800000001</v>
      </c>
      <c r="CG38" s="28">
        <f t="shared" si="29"/>
        <v>3839.9102799999996</v>
      </c>
      <c r="CH38" s="221">
        <f t="shared" si="29"/>
        <v>3991.2497100000001</v>
      </c>
      <c r="CI38" s="221">
        <f t="shared" si="29"/>
        <v>4008.7232899999999</v>
      </c>
      <c r="CJ38" s="221">
        <f t="shared" si="29"/>
        <v>4100.0075900000002</v>
      </c>
      <c r="CK38" s="221">
        <f t="shared" si="29"/>
        <v>4006.0757200000003</v>
      </c>
      <c r="CL38" s="221">
        <f t="shared" ref="CL38:CS38" si="30">SUM(CL39:CL42)</f>
        <v>3695.2217799999999</v>
      </c>
      <c r="CM38" s="221">
        <f t="shared" si="30"/>
        <v>4129.9452899999997</v>
      </c>
      <c r="CN38" s="221">
        <f t="shared" si="30"/>
        <v>4273.9709999999995</v>
      </c>
      <c r="CO38" s="221">
        <f t="shared" si="30"/>
        <v>4535.3652000000002</v>
      </c>
      <c r="CP38" s="221">
        <f t="shared" si="30"/>
        <v>4704.1218499999995</v>
      </c>
      <c r="CQ38" s="221">
        <f t="shared" si="30"/>
        <v>4848.1795300000003</v>
      </c>
      <c r="CR38" s="221">
        <f t="shared" si="30"/>
        <v>5078.7814400000007</v>
      </c>
      <c r="CS38" s="221">
        <f t="shared" si="30"/>
        <v>5245.9065199999995</v>
      </c>
      <c r="CT38" s="220">
        <f t="shared" ref="CT38:DB38" si="31">SUM(CT39:CT43)</f>
        <v>5423.0840799999996</v>
      </c>
      <c r="CU38" s="221">
        <f t="shared" si="31"/>
        <v>5736.8587099999995</v>
      </c>
      <c r="CV38" s="221">
        <f t="shared" si="31"/>
        <v>5808.9762000000001</v>
      </c>
      <c r="CW38" s="221">
        <f t="shared" si="31"/>
        <v>5910.1355599999997</v>
      </c>
      <c r="CX38" s="221">
        <f t="shared" si="31"/>
        <v>5951.3240300000007</v>
      </c>
      <c r="CY38" s="221">
        <f t="shared" si="31"/>
        <v>11352.98495</v>
      </c>
      <c r="CZ38" s="221">
        <f t="shared" si="31"/>
        <v>11709.75778</v>
      </c>
      <c r="DA38" s="221">
        <f t="shared" si="31"/>
        <v>11904.872219999999</v>
      </c>
      <c r="DB38" s="221">
        <f t="shared" si="31"/>
        <v>12216.02334</v>
      </c>
      <c r="DC38" s="221">
        <f t="shared" ref="DC38:EO38" si="32">SUM(DC39:DC43)</f>
        <v>12753.825280000001</v>
      </c>
      <c r="DD38" s="221">
        <f t="shared" si="32"/>
        <v>13370.05359</v>
      </c>
      <c r="DE38" s="221">
        <f t="shared" si="32"/>
        <v>13961.566999999999</v>
      </c>
      <c r="DF38" s="220">
        <f t="shared" si="32"/>
        <v>14183.404269999999</v>
      </c>
      <c r="DG38" s="221">
        <f t="shared" si="32"/>
        <v>14217.13206</v>
      </c>
      <c r="DH38" s="221">
        <f t="shared" si="32"/>
        <v>14395.26339</v>
      </c>
      <c r="DI38" s="221">
        <f t="shared" si="32"/>
        <v>14416.39659</v>
      </c>
      <c r="DJ38" s="221">
        <f t="shared" si="32"/>
        <v>14665.68794</v>
      </c>
      <c r="DK38" s="221">
        <f t="shared" si="32"/>
        <v>14613.173419999999</v>
      </c>
      <c r="DL38" s="221">
        <f t="shared" si="32"/>
        <v>14771.7963</v>
      </c>
      <c r="DM38" s="221">
        <f t="shared" si="32"/>
        <v>14962.20321</v>
      </c>
      <c r="DN38" s="221">
        <f t="shared" si="32"/>
        <v>15139.8426</v>
      </c>
      <c r="DO38" s="221">
        <f t="shared" si="32"/>
        <v>14913.820019999999</v>
      </c>
      <c r="DP38" s="221">
        <f t="shared" si="32"/>
        <v>15125.295529999999</v>
      </c>
      <c r="DQ38" s="28">
        <f t="shared" si="32"/>
        <v>15024.709419999999</v>
      </c>
      <c r="DR38" s="221">
        <f t="shared" si="32"/>
        <v>14881.323670000002</v>
      </c>
      <c r="DS38" s="221">
        <f t="shared" si="32"/>
        <v>14464.804599999999</v>
      </c>
      <c r="DT38" s="221">
        <f t="shared" si="32"/>
        <v>14230.320180000001</v>
      </c>
      <c r="DU38" s="221">
        <f t="shared" si="32"/>
        <v>13721.071329999999</v>
      </c>
      <c r="DV38" s="221">
        <f t="shared" si="32"/>
        <v>13173.15328</v>
      </c>
      <c r="DW38" s="221">
        <f t="shared" si="32"/>
        <v>12406.255369999999</v>
      </c>
      <c r="DX38" s="221">
        <f t="shared" si="32"/>
        <v>11637.59722</v>
      </c>
      <c r="DY38" s="221">
        <f t="shared" si="32"/>
        <v>11335.995639999999</v>
      </c>
      <c r="DZ38" s="221">
        <f t="shared" si="32"/>
        <v>11413.736050000001</v>
      </c>
      <c r="EA38" s="221">
        <f t="shared" si="32"/>
        <v>11541.23956</v>
      </c>
      <c r="EB38" s="221">
        <f t="shared" si="32"/>
        <v>11426.885030000001</v>
      </c>
      <c r="EC38" s="28">
        <f t="shared" si="32"/>
        <v>11346.12312</v>
      </c>
      <c r="ED38" s="220">
        <f t="shared" si="32"/>
        <v>11293.31647</v>
      </c>
      <c r="EE38" s="221">
        <f t="shared" si="32"/>
        <v>11340</v>
      </c>
      <c r="EF38" s="221">
        <f t="shared" si="32"/>
        <v>11194</v>
      </c>
      <c r="EG38" s="221">
        <f t="shared" si="32"/>
        <v>10884.599999999999</v>
      </c>
      <c r="EH38" s="221">
        <f t="shared" si="32"/>
        <v>10985</v>
      </c>
      <c r="EI38" s="221">
        <f t="shared" si="32"/>
        <v>10932.4</v>
      </c>
      <c r="EJ38" s="221">
        <f t="shared" si="32"/>
        <v>10973</v>
      </c>
      <c r="EK38" s="221">
        <f t="shared" si="32"/>
        <v>11290</v>
      </c>
      <c r="EL38" s="221">
        <f t="shared" si="32"/>
        <v>11531</v>
      </c>
      <c r="EM38" s="221">
        <f t="shared" si="32"/>
        <v>11932</v>
      </c>
      <c r="EN38" s="221">
        <f t="shared" si="32"/>
        <v>10264</v>
      </c>
      <c r="EO38" s="28">
        <f t="shared" si="32"/>
        <v>10432.4</v>
      </c>
      <c r="EP38"/>
      <c r="EQ38" s="768">
        <f t="shared" si="8"/>
        <v>2.1346324180690823</v>
      </c>
      <c r="ER38" s="768">
        <f t="shared" si="9"/>
        <v>1.0273932171403155</v>
      </c>
      <c r="ET38" s="945">
        <f t="shared" si="10"/>
        <v>3.9640279740686523E-3</v>
      </c>
      <c r="EU38" s="203">
        <f t="shared" si="28"/>
        <v>1367.6840000000007</v>
      </c>
      <c r="FF38" s="199" t="s">
        <v>547</v>
      </c>
    </row>
    <row r="39" spans="1:162" ht="13.9" customHeight="1" x14ac:dyDescent="0.2">
      <c r="A39" s="309" t="s">
        <v>230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21"/>
      <c r="N39" s="16">
        <v>63.8</v>
      </c>
      <c r="O39" s="16">
        <v>494</v>
      </c>
      <c r="P39" s="16">
        <v>1039</v>
      </c>
      <c r="Q39" s="16">
        <v>2007</v>
      </c>
      <c r="R39" s="16">
        <v>3056</v>
      </c>
      <c r="S39" s="16">
        <v>4003</v>
      </c>
      <c r="T39" s="16">
        <v>4996</v>
      </c>
      <c r="U39" s="16">
        <v>6012</v>
      </c>
      <c r="V39" s="16">
        <v>7146</v>
      </c>
      <c r="W39" s="16">
        <v>8296</v>
      </c>
      <c r="X39" s="16">
        <v>9360.9527100000014</v>
      </c>
      <c r="Y39" s="21">
        <v>10451</v>
      </c>
      <c r="Z39" s="16">
        <v>11498</v>
      </c>
      <c r="AA39" s="16">
        <v>12345</v>
      </c>
      <c r="AB39" s="16">
        <v>12912</v>
      </c>
      <c r="AC39" s="16">
        <v>13432</v>
      </c>
      <c r="AD39" s="16">
        <v>14191</v>
      </c>
      <c r="AE39" s="16">
        <v>15112</v>
      </c>
      <c r="AF39" s="16">
        <v>15738</v>
      </c>
      <c r="AG39" s="16">
        <v>16493.5</v>
      </c>
      <c r="AH39" s="16">
        <f>17530+334</f>
        <v>17864</v>
      </c>
      <c r="AI39" s="16">
        <v>19303</v>
      </c>
      <c r="AJ39" s="16">
        <v>20812</v>
      </c>
      <c r="AK39" s="16">
        <v>20690</v>
      </c>
      <c r="AL39" s="19">
        <v>21781</v>
      </c>
      <c r="AM39" s="16">
        <v>22719</v>
      </c>
      <c r="AN39" s="16">
        <v>24056</v>
      </c>
      <c r="AO39" s="16">
        <v>24507</v>
      </c>
      <c r="AP39" s="16">
        <v>24970</v>
      </c>
      <c r="AQ39" s="16">
        <v>24565</v>
      </c>
      <c r="AR39" s="16">
        <v>24303</v>
      </c>
      <c r="AS39" s="16">
        <v>23964</v>
      </c>
      <c r="AT39" s="16">
        <v>24085</v>
      </c>
      <c r="AU39" s="16">
        <v>24749</v>
      </c>
      <c r="AV39" s="16">
        <v>25179</v>
      </c>
      <c r="AW39" s="16">
        <v>25218</v>
      </c>
      <c r="AX39" s="19">
        <v>26320</v>
      </c>
      <c r="AY39" s="16">
        <v>27579</v>
      </c>
      <c r="AZ39" s="16">
        <v>28286</v>
      </c>
      <c r="BA39" s="16">
        <v>28439</v>
      </c>
      <c r="BB39" s="16"/>
      <c r="BC39" s="16"/>
      <c r="BD39" s="16"/>
      <c r="BE39" s="16"/>
      <c r="BF39" s="16"/>
      <c r="BG39" s="16"/>
      <c r="BH39" s="16"/>
      <c r="BI39" s="16"/>
      <c r="BJ39" s="19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21"/>
      <c r="BV39" s="19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21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9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9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21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21"/>
      <c r="ED39" s="19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21"/>
      <c r="EQ39" s="768" t="str">
        <f t="shared" si="8"/>
        <v>-</v>
      </c>
      <c r="ER39" s="768" t="str">
        <f t="shared" si="9"/>
        <v>-</v>
      </c>
      <c r="ET39" s="945">
        <f t="shared" si="10"/>
        <v>0</v>
      </c>
      <c r="FF39" s="190" t="s">
        <v>352</v>
      </c>
    </row>
    <row r="40" spans="1:162" ht="13.9" customHeight="1" x14ac:dyDescent="0.2">
      <c r="A40" s="309" t="s">
        <v>197</v>
      </c>
      <c r="B40" s="16">
        <v>341</v>
      </c>
      <c r="C40" s="16">
        <v>773</v>
      </c>
      <c r="D40" s="16">
        <v>1364</v>
      </c>
      <c r="E40" s="16">
        <v>1783</v>
      </c>
      <c r="F40" s="16">
        <v>1917</v>
      </c>
      <c r="G40" s="16">
        <v>2010</v>
      </c>
      <c r="H40" s="16">
        <v>2662</v>
      </c>
      <c r="I40" s="16">
        <v>3142</v>
      </c>
      <c r="J40" s="16">
        <v>3525</v>
      </c>
      <c r="K40" s="16">
        <v>3707</v>
      </c>
      <c r="L40" s="16">
        <v>4488</v>
      </c>
      <c r="M40" s="21">
        <v>5144</v>
      </c>
      <c r="N40" s="16">
        <v>9591.9664100000009</v>
      </c>
      <c r="O40" s="16">
        <v>9631</v>
      </c>
      <c r="P40" s="16">
        <v>9670</v>
      </c>
      <c r="Q40" s="16">
        <v>9740</v>
      </c>
      <c r="R40" s="16">
        <v>10696</v>
      </c>
      <c r="S40" s="16">
        <v>11165</v>
      </c>
      <c r="T40" s="16">
        <v>11152</v>
      </c>
      <c r="U40" s="16">
        <v>11120</v>
      </c>
      <c r="V40" s="16">
        <v>11072</v>
      </c>
      <c r="W40" s="16">
        <v>10786</v>
      </c>
      <c r="X40" s="16">
        <v>10614.98525</v>
      </c>
      <c r="Y40" s="21">
        <v>10158</v>
      </c>
      <c r="Z40" s="16">
        <v>9787</v>
      </c>
      <c r="AA40" s="16">
        <v>9620</v>
      </c>
      <c r="AB40" s="16">
        <v>9261</v>
      </c>
      <c r="AC40" s="16">
        <v>8913</v>
      </c>
      <c r="AD40" s="16">
        <v>8547</v>
      </c>
      <c r="AE40" s="16">
        <v>8195</v>
      </c>
      <c r="AF40" s="16">
        <v>8057</v>
      </c>
      <c r="AG40" s="16">
        <v>7843.5</v>
      </c>
      <c r="AH40" s="16">
        <v>7613</v>
      </c>
      <c r="AI40" s="16">
        <v>7328</v>
      </c>
      <c r="AJ40" s="16">
        <v>6864</v>
      </c>
      <c r="AK40" s="16">
        <v>6524</v>
      </c>
      <c r="AL40" s="19">
        <v>6360</v>
      </c>
      <c r="AM40" s="16">
        <v>6083</v>
      </c>
      <c r="AN40" s="16">
        <v>5607</v>
      </c>
      <c r="AO40" s="16">
        <v>5271</v>
      </c>
      <c r="AP40" s="16">
        <v>5114</v>
      </c>
      <c r="AQ40" s="16">
        <v>4867</v>
      </c>
      <c r="AR40" s="16">
        <v>4486</v>
      </c>
      <c r="AS40" s="16">
        <v>4183</v>
      </c>
      <c r="AT40" s="16">
        <v>3823</v>
      </c>
      <c r="AU40" s="16">
        <v>3557</v>
      </c>
      <c r="AV40" s="16">
        <v>3393</v>
      </c>
      <c r="AW40" s="16">
        <v>3163</v>
      </c>
      <c r="AX40" s="19">
        <v>3008</v>
      </c>
      <c r="AY40" s="16">
        <v>2888</v>
      </c>
      <c r="AZ40" s="16">
        <v>2662</v>
      </c>
      <c r="BA40" s="16">
        <v>2577</v>
      </c>
      <c r="BB40" s="16">
        <v>2409</v>
      </c>
      <c r="BC40" s="16">
        <v>2326.6830399999999</v>
      </c>
      <c r="BD40" s="16">
        <v>2224.41698</v>
      </c>
      <c r="BE40" s="16">
        <v>2158.15292</v>
      </c>
      <c r="BF40" s="16">
        <v>2048.3020099999999</v>
      </c>
      <c r="BG40" s="16">
        <v>1905.0336500000001</v>
      </c>
      <c r="BH40" s="16">
        <v>1770.3813299999999</v>
      </c>
      <c r="BI40" s="16">
        <v>1681.5502300000001</v>
      </c>
      <c r="BJ40" s="19">
        <v>1603.2999400000001</v>
      </c>
      <c r="BK40" s="16">
        <v>1522.3418799999999</v>
      </c>
      <c r="BL40" s="16">
        <v>1451.50164</v>
      </c>
      <c r="BM40" s="16">
        <v>1301.9221500000001</v>
      </c>
      <c r="BN40" s="16">
        <v>1220.8021800000001</v>
      </c>
      <c r="BO40" s="16">
        <v>1167.3806500000001</v>
      </c>
      <c r="BP40" s="16">
        <v>1105.0713000000001</v>
      </c>
      <c r="BQ40" s="16">
        <v>1062.2950699999999</v>
      </c>
      <c r="BR40" s="16">
        <v>1013</v>
      </c>
      <c r="BS40" s="16">
        <v>951.42838000000006</v>
      </c>
      <c r="BT40" s="16">
        <v>876.92809999999997</v>
      </c>
      <c r="BU40" s="21">
        <v>798.40445</v>
      </c>
      <c r="BV40" s="19">
        <v>779.33703000000003</v>
      </c>
      <c r="BW40" s="16">
        <v>748.51801999999998</v>
      </c>
      <c r="BX40" s="16">
        <v>709.53111000000001</v>
      </c>
      <c r="BY40" s="16">
        <v>677.13436999999999</v>
      </c>
      <c r="BZ40" s="16">
        <v>633.74630000000002</v>
      </c>
      <c r="CA40" s="16">
        <v>612.96755000000007</v>
      </c>
      <c r="CB40" s="16">
        <v>585.93454000000008</v>
      </c>
      <c r="CC40" s="16">
        <v>549.63397999999995</v>
      </c>
      <c r="CD40" s="16"/>
      <c r="CE40" s="16"/>
      <c r="CF40" s="16"/>
      <c r="CG40" s="21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9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9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21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21"/>
      <c r="ED40" s="19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21"/>
      <c r="EQ40" s="768" t="str">
        <f t="shared" si="8"/>
        <v>-</v>
      </c>
      <c r="ER40" s="759" t="str">
        <f t="shared" si="9"/>
        <v>-</v>
      </c>
      <c r="ET40" s="945">
        <f t="shared" si="10"/>
        <v>0</v>
      </c>
      <c r="FF40" s="190"/>
    </row>
    <row r="41" spans="1:162" ht="13.9" customHeight="1" x14ac:dyDescent="0.2">
      <c r="A41" s="758" t="s">
        <v>172</v>
      </c>
      <c r="B41" s="24">
        <v>503</v>
      </c>
      <c r="C41" s="24">
        <v>526</v>
      </c>
      <c r="D41" s="24">
        <v>510</v>
      </c>
      <c r="E41" s="24">
        <v>484</v>
      </c>
      <c r="F41" s="16">
        <v>520</v>
      </c>
      <c r="G41" s="16">
        <v>519</v>
      </c>
      <c r="H41" s="16">
        <v>556</v>
      </c>
      <c r="I41" s="16">
        <v>616</v>
      </c>
      <c r="J41" s="16">
        <v>725</v>
      </c>
      <c r="K41" s="16">
        <v>826</v>
      </c>
      <c r="L41" s="16">
        <v>901</v>
      </c>
      <c r="M41" s="21">
        <v>1027</v>
      </c>
      <c r="N41" s="16">
        <v>1135.04133</v>
      </c>
      <c r="O41" s="16">
        <v>1169</v>
      </c>
      <c r="P41" s="16">
        <v>1206</v>
      </c>
      <c r="Q41" s="16">
        <v>1240</v>
      </c>
      <c r="R41" s="16">
        <v>1250</v>
      </c>
      <c r="S41" s="16">
        <v>1284</v>
      </c>
      <c r="T41" s="16">
        <v>1296</v>
      </c>
      <c r="U41" s="16">
        <v>1266</v>
      </c>
      <c r="V41" s="16">
        <v>1251</v>
      </c>
      <c r="W41" s="16">
        <v>1289</v>
      </c>
      <c r="X41" s="16">
        <v>1341.9695099999999</v>
      </c>
      <c r="Y41" s="21">
        <v>1305</v>
      </c>
      <c r="Z41" s="16">
        <v>1315</v>
      </c>
      <c r="AA41" s="16">
        <v>1345</v>
      </c>
      <c r="AB41" s="16">
        <v>1404</v>
      </c>
      <c r="AC41" s="16">
        <v>1319</v>
      </c>
      <c r="AD41" s="16">
        <v>1251</v>
      </c>
      <c r="AE41" s="16">
        <v>1125</v>
      </c>
      <c r="AF41" s="16">
        <v>1193</v>
      </c>
      <c r="AG41" s="16">
        <v>1236</v>
      </c>
      <c r="AH41" s="16">
        <v>1326</v>
      </c>
      <c r="AI41" s="16">
        <v>1405</v>
      </c>
      <c r="AJ41" s="16">
        <v>1468</v>
      </c>
      <c r="AK41" s="16">
        <v>1587</v>
      </c>
      <c r="AL41" s="19">
        <v>1688</v>
      </c>
      <c r="AM41" s="16">
        <v>1797</v>
      </c>
      <c r="AN41" s="16">
        <v>1775</v>
      </c>
      <c r="AO41" s="16">
        <v>1801</v>
      </c>
      <c r="AP41" s="16">
        <v>1809</v>
      </c>
      <c r="AQ41" s="16">
        <v>1891</v>
      </c>
      <c r="AR41" s="16">
        <v>2010</v>
      </c>
      <c r="AS41" s="16">
        <v>2054</v>
      </c>
      <c r="AT41" s="16">
        <v>2210</v>
      </c>
      <c r="AU41" s="16">
        <v>2396</v>
      </c>
      <c r="AV41" s="16">
        <v>2585</v>
      </c>
      <c r="AW41" s="16">
        <v>2650</v>
      </c>
      <c r="AX41" s="19">
        <v>2756</v>
      </c>
      <c r="AY41" s="16">
        <v>2809</v>
      </c>
      <c r="AZ41" s="16">
        <v>2791</v>
      </c>
      <c r="BA41" s="16">
        <v>2734</v>
      </c>
      <c r="BB41" s="16">
        <v>2717</v>
      </c>
      <c r="BC41" s="16">
        <v>2734.1412</v>
      </c>
      <c r="BD41" s="16">
        <v>2662.3294099999998</v>
      </c>
      <c r="BE41" s="16">
        <v>2622.39581</v>
      </c>
      <c r="BF41" s="16">
        <v>2412.3143799999998</v>
      </c>
      <c r="BG41" s="16">
        <v>2341.6663899999999</v>
      </c>
      <c r="BH41" s="16">
        <v>2327.9379100000001</v>
      </c>
      <c r="BI41" s="16">
        <v>2051.0376999999999</v>
      </c>
      <c r="BJ41" s="19">
        <v>1981.0071600000001</v>
      </c>
      <c r="BK41" s="16">
        <v>1944.77619</v>
      </c>
      <c r="BL41" s="16">
        <v>1923.4440099999999</v>
      </c>
      <c r="BM41" s="16">
        <v>2040.6008200000001</v>
      </c>
      <c r="BN41" s="16">
        <v>2082.84996</v>
      </c>
      <c r="BO41" s="16">
        <v>2094.0914199999997</v>
      </c>
      <c r="BP41" s="16">
        <v>2117.6719499999999</v>
      </c>
      <c r="BQ41" s="16">
        <v>2011.41418</v>
      </c>
      <c r="BR41" s="16">
        <v>2205</v>
      </c>
      <c r="BS41" s="16">
        <v>2483.8282799999997</v>
      </c>
      <c r="BT41" s="16">
        <v>2762.8724700000002</v>
      </c>
      <c r="BU41" s="21">
        <v>2882.2904100000001</v>
      </c>
      <c r="BV41" s="19">
        <v>2979.6797099999999</v>
      </c>
      <c r="BW41" s="16">
        <v>3102.8503100000003</v>
      </c>
      <c r="BX41" s="16">
        <v>3262.4183900000003</v>
      </c>
      <c r="BY41" s="16">
        <v>3281.5019700000003</v>
      </c>
      <c r="BZ41" s="16">
        <v>3281.5873700000002</v>
      </c>
      <c r="CA41" s="16">
        <v>3505.6958399999999</v>
      </c>
      <c r="CB41" s="16">
        <v>3541.6117200000003</v>
      </c>
      <c r="CC41" s="16">
        <v>3441.5963299999999</v>
      </c>
      <c r="CD41" s="16">
        <v>3284.2983599999998</v>
      </c>
      <c r="CE41" s="16">
        <v>3480.4955299999997</v>
      </c>
      <c r="CF41" s="16">
        <v>3688.4509800000001</v>
      </c>
      <c r="CG41" s="21">
        <v>3839.9102799999996</v>
      </c>
      <c r="CH41" s="16">
        <v>3991.2497100000001</v>
      </c>
      <c r="CI41" s="16">
        <v>4008.7232899999999</v>
      </c>
      <c r="CJ41" s="16">
        <v>4100.0075900000002</v>
      </c>
      <c r="CK41" s="16">
        <v>4006.0757200000003</v>
      </c>
      <c r="CL41" s="16">
        <v>3695.2217799999999</v>
      </c>
      <c r="CM41" s="16">
        <v>4129.9452899999997</v>
      </c>
      <c r="CN41" s="16">
        <v>4273.9709999999995</v>
      </c>
      <c r="CO41" s="16">
        <v>4535.3652000000002</v>
      </c>
      <c r="CP41" s="16">
        <v>4704.1218499999995</v>
      </c>
      <c r="CQ41" s="16">
        <v>4848.1795300000003</v>
      </c>
      <c r="CR41" s="16">
        <v>5078.7814400000007</v>
      </c>
      <c r="CS41" s="16">
        <v>5245.9065199999995</v>
      </c>
      <c r="CT41" s="19">
        <v>5423.0840799999996</v>
      </c>
      <c r="CU41" s="16">
        <v>5736.8587099999995</v>
      </c>
      <c r="CV41" s="16">
        <v>5808.9762000000001</v>
      </c>
      <c r="CW41" s="16">
        <v>5910.1355599999997</v>
      </c>
      <c r="CX41" s="16">
        <v>5951.3240300000007</v>
      </c>
      <c r="CY41" s="16">
        <v>6020.4487300000001</v>
      </c>
      <c r="CZ41" s="16">
        <v>6269.5117099999998</v>
      </c>
      <c r="DA41" s="16">
        <v>6417.6843699999999</v>
      </c>
      <c r="DB41" s="16">
        <v>6570.7052300000005</v>
      </c>
      <c r="DC41" s="16">
        <v>6886.7405899999994</v>
      </c>
      <c r="DD41" s="16">
        <v>7196.1200599999993</v>
      </c>
      <c r="DE41" s="16">
        <v>7522.8496599999999</v>
      </c>
      <c r="DF41" s="19">
        <v>7491.2773899999993</v>
      </c>
      <c r="DG41" s="16">
        <v>7290.9140599999992</v>
      </c>
      <c r="DH41" s="16">
        <v>7253.7423600000002</v>
      </c>
      <c r="DI41" s="16">
        <v>7195.64959</v>
      </c>
      <c r="DJ41" s="16">
        <v>7296.5668299999998</v>
      </c>
      <c r="DK41" s="16">
        <v>7241.5548499999995</v>
      </c>
      <c r="DL41" s="16">
        <v>7247.6369199999999</v>
      </c>
      <c r="DM41" s="16">
        <v>7294.5257799999999</v>
      </c>
      <c r="DN41" s="16">
        <v>7288.0671299999995</v>
      </c>
      <c r="DO41" s="16">
        <v>7000.5976700000001</v>
      </c>
      <c r="DP41" s="16">
        <v>7000.8295099999996</v>
      </c>
      <c r="DQ41" s="21">
        <v>6781.2561999999998</v>
      </c>
      <c r="DR41" s="16">
        <v>6593.4335199999996</v>
      </c>
      <c r="DS41" s="16">
        <v>6388.8031799999999</v>
      </c>
      <c r="DT41" s="16">
        <v>6123.2087799999999</v>
      </c>
      <c r="DU41" s="16">
        <v>5617.1310800000001</v>
      </c>
      <c r="DV41" s="16">
        <v>5183.6085800000001</v>
      </c>
      <c r="DW41" s="16">
        <v>4801.7499600000001</v>
      </c>
      <c r="DX41" s="16">
        <v>4371.78161</v>
      </c>
      <c r="DY41" s="16">
        <v>4231.2821699999995</v>
      </c>
      <c r="DZ41" s="16">
        <v>4250.3249000000005</v>
      </c>
      <c r="EA41" s="16">
        <v>4133.7160199999998</v>
      </c>
      <c r="EB41" s="16">
        <v>3900.2990399999999</v>
      </c>
      <c r="EC41" s="21">
        <v>3794.3733299999999</v>
      </c>
      <c r="ED41" s="19">
        <v>3572.8953900000001</v>
      </c>
      <c r="EE41" s="16">
        <v>3304</v>
      </c>
      <c r="EF41" s="16">
        <v>3129</v>
      </c>
      <c r="EG41" s="16">
        <v>3061.2</v>
      </c>
      <c r="EH41" s="16">
        <v>2988</v>
      </c>
      <c r="EI41" s="16">
        <v>2888</v>
      </c>
      <c r="EJ41" s="16">
        <v>2768</v>
      </c>
      <c r="EK41" s="16">
        <v>2675</v>
      </c>
      <c r="EL41" s="16">
        <v>2550</v>
      </c>
      <c r="EM41" s="16">
        <v>2452</v>
      </c>
      <c r="EN41" s="16">
        <v>2361</v>
      </c>
      <c r="EO41" s="21">
        <v>2268</v>
      </c>
      <c r="EQ41" s="759">
        <f t="shared" si="8"/>
        <v>-4.6728971962616832</v>
      </c>
      <c r="ER41" s="759">
        <f t="shared" si="9"/>
        <v>-40.004586472907057</v>
      </c>
      <c r="ET41" s="945">
        <f t="shared" si="10"/>
        <v>1.2541096596384435E-3</v>
      </c>
      <c r="FF41" s="190" t="s">
        <v>352</v>
      </c>
    </row>
    <row r="42" spans="1:162" ht="13.9" customHeight="1" x14ac:dyDescent="0.2">
      <c r="A42" s="309" t="s">
        <v>189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21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21"/>
      <c r="Z42" s="763"/>
      <c r="AA42" s="763"/>
      <c r="AB42" s="763"/>
      <c r="AC42" s="763"/>
      <c r="AD42" s="763"/>
      <c r="AE42" s="763"/>
      <c r="AF42" s="763"/>
      <c r="AG42" s="763"/>
      <c r="AH42" s="763"/>
      <c r="AI42" s="763"/>
      <c r="AJ42" s="763"/>
      <c r="AK42" s="763"/>
      <c r="AL42" s="764"/>
      <c r="AM42" s="763"/>
      <c r="AN42" s="763"/>
      <c r="AO42" s="763"/>
      <c r="AP42" s="763"/>
      <c r="AQ42" s="763"/>
      <c r="AR42" s="763"/>
      <c r="AS42" s="763"/>
      <c r="AT42" s="763"/>
      <c r="AU42" s="763"/>
      <c r="AV42" s="763"/>
      <c r="AW42" s="763"/>
      <c r="AX42" s="764"/>
      <c r="AY42" s="763"/>
      <c r="AZ42" s="763"/>
      <c r="BA42" s="763"/>
      <c r="BB42" s="763"/>
      <c r="BC42" s="763"/>
      <c r="BD42" s="763"/>
      <c r="BE42" s="763"/>
      <c r="BF42" s="763"/>
      <c r="BG42" s="763"/>
      <c r="BH42" s="763"/>
      <c r="BI42" s="763"/>
      <c r="BJ42" s="764"/>
      <c r="BK42" s="763"/>
      <c r="BL42" s="763"/>
      <c r="BM42" s="763"/>
      <c r="BN42" s="763"/>
      <c r="BO42" s="763"/>
      <c r="BP42" s="763"/>
      <c r="BQ42" s="763"/>
      <c r="BR42" s="763"/>
      <c r="BS42" s="763"/>
      <c r="BT42" s="763"/>
      <c r="BU42" s="765"/>
      <c r="BV42" s="764"/>
      <c r="BW42" s="763"/>
      <c r="BX42" s="763"/>
      <c r="BY42" s="763"/>
      <c r="BZ42" s="763"/>
      <c r="CA42" s="763"/>
      <c r="CB42" s="763"/>
      <c r="CC42" s="763"/>
      <c r="CD42" s="763"/>
      <c r="CE42" s="763"/>
      <c r="CF42" s="763"/>
      <c r="CG42" s="765"/>
      <c r="CH42" s="763"/>
      <c r="CI42" s="763"/>
      <c r="CJ42" s="763"/>
      <c r="CK42" s="763"/>
      <c r="CL42" s="763"/>
      <c r="CM42" s="763"/>
      <c r="CN42" s="763"/>
      <c r="CO42" s="763"/>
      <c r="CP42" s="763"/>
      <c r="CQ42" s="763"/>
      <c r="CR42" s="763"/>
      <c r="CS42" s="763"/>
      <c r="CT42" s="764"/>
      <c r="CU42" s="763"/>
      <c r="CV42" s="763"/>
      <c r="CW42" s="763"/>
      <c r="CX42" s="763"/>
      <c r="CY42" s="763"/>
      <c r="CZ42" s="763"/>
      <c r="DA42" s="763"/>
      <c r="DB42" s="763"/>
      <c r="DC42" s="763"/>
      <c r="DD42" s="763"/>
      <c r="DE42" s="763"/>
      <c r="DF42" s="764"/>
      <c r="DG42" s="763"/>
      <c r="DH42" s="763"/>
      <c r="DI42" s="763"/>
      <c r="DJ42" s="763"/>
      <c r="DK42" s="763"/>
      <c r="DL42" s="763"/>
      <c r="DM42" s="763"/>
      <c r="DN42" s="763"/>
      <c r="DO42" s="763"/>
      <c r="DP42" s="763"/>
      <c r="DQ42" s="765"/>
      <c r="DR42" s="763"/>
      <c r="DS42" s="763"/>
      <c r="DT42" s="763"/>
      <c r="DU42" s="763"/>
      <c r="DV42" s="763"/>
      <c r="DW42" s="763"/>
      <c r="DX42" s="763"/>
      <c r="DY42" s="763"/>
      <c r="DZ42" s="763"/>
      <c r="EA42" s="763"/>
      <c r="EB42" s="763"/>
      <c r="EC42" s="765"/>
      <c r="ED42" s="764"/>
      <c r="EE42" s="763"/>
      <c r="EF42" s="763"/>
      <c r="EG42" s="763"/>
      <c r="EH42" s="763"/>
      <c r="EI42" s="763"/>
      <c r="EJ42" s="763"/>
      <c r="EK42" s="763"/>
      <c r="EL42" s="763"/>
      <c r="EM42" s="763"/>
      <c r="EN42" s="763"/>
      <c r="EO42" s="765"/>
      <c r="EQ42" s="759" t="str">
        <f t="shared" si="8"/>
        <v>-</v>
      </c>
      <c r="ER42" s="759" t="str">
        <f t="shared" si="9"/>
        <v>-</v>
      </c>
      <c r="ET42" s="945">
        <f t="shared" si="10"/>
        <v>0</v>
      </c>
      <c r="FF42" s="190"/>
    </row>
    <row r="43" spans="1:162" ht="13.9" customHeight="1" x14ac:dyDescent="0.2">
      <c r="A43" s="309" t="s">
        <v>265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21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21"/>
      <c r="Z43" s="763"/>
      <c r="AA43" s="763"/>
      <c r="AB43" s="763"/>
      <c r="AC43" s="763"/>
      <c r="AD43" s="763"/>
      <c r="AE43" s="763"/>
      <c r="AF43" s="763"/>
      <c r="AG43" s="763"/>
      <c r="AH43" s="763"/>
      <c r="AI43" s="763"/>
      <c r="AJ43" s="763"/>
      <c r="AK43" s="763"/>
      <c r="AL43" s="764"/>
      <c r="AM43" s="763"/>
      <c r="AN43" s="763"/>
      <c r="AO43" s="763"/>
      <c r="AP43" s="763"/>
      <c r="AQ43" s="763"/>
      <c r="AR43" s="763"/>
      <c r="AS43" s="763"/>
      <c r="AT43" s="763"/>
      <c r="AU43" s="763"/>
      <c r="AV43" s="763"/>
      <c r="AW43" s="763"/>
      <c r="AX43" s="764"/>
      <c r="AY43" s="763"/>
      <c r="AZ43" s="763"/>
      <c r="BA43" s="763"/>
      <c r="BB43" s="763"/>
      <c r="BC43" s="763"/>
      <c r="BD43" s="763"/>
      <c r="BE43" s="763"/>
      <c r="BF43" s="763"/>
      <c r="BG43" s="763"/>
      <c r="BH43" s="763"/>
      <c r="BI43" s="763"/>
      <c r="BJ43" s="764"/>
      <c r="BK43" s="763"/>
      <c r="BL43" s="763"/>
      <c r="BM43" s="763"/>
      <c r="BN43" s="763"/>
      <c r="BO43" s="763"/>
      <c r="BP43" s="763"/>
      <c r="BQ43" s="763"/>
      <c r="BR43" s="763"/>
      <c r="BS43" s="763"/>
      <c r="BT43" s="763"/>
      <c r="BU43" s="765"/>
      <c r="BV43" s="764"/>
      <c r="BW43" s="763"/>
      <c r="BX43" s="763"/>
      <c r="BY43" s="763"/>
      <c r="BZ43" s="763"/>
      <c r="CA43" s="763"/>
      <c r="CB43" s="763"/>
      <c r="CC43" s="763"/>
      <c r="CD43" s="763"/>
      <c r="CE43" s="763"/>
      <c r="CF43" s="763"/>
      <c r="CG43" s="765"/>
      <c r="CH43" s="763"/>
      <c r="CI43" s="763"/>
      <c r="CJ43" s="763"/>
      <c r="CK43" s="763"/>
      <c r="CL43" s="763"/>
      <c r="CM43" s="763"/>
      <c r="CN43" s="763"/>
      <c r="CO43" s="763"/>
      <c r="CP43" s="763"/>
      <c r="CQ43" s="763"/>
      <c r="CR43" s="763"/>
      <c r="CS43" s="763"/>
      <c r="CT43" s="764"/>
      <c r="CU43" s="763"/>
      <c r="CV43" s="763"/>
      <c r="CW43" s="763"/>
      <c r="CX43" s="763"/>
      <c r="CY43" s="763">
        <v>5332.53622</v>
      </c>
      <c r="CZ43" s="763">
        <v>5440.2460700000001</v>
      </c>
      <c r="DA43" s="763">
        <v>5487.1878499999993</v>
      </c>
      <c r="DB43" s="763">
        <v>5645.3181100000002</v>
      </c>
      <c r="DC43" s="763">
        <v>5867.0846900000006</v>
      </c>
      <c r="DD43" s="763">
        <v>6173.9335300000002</v>
      </c>
      <c r="DE43" s="763">
        <v>6438.7173400000001</v>
      </c>
      <c r="DF43" s="764">
        <v>6692.1268799999998</v>
      </c>
      <c r="DG43" s="763">
        <v>6926.2179999999998</v>
      </c>
      <c r="DH43" s="763">
        <v>7141.5210299999999</v>
      </c>
      <c r="DI43" s="763">
        <v>7220.7470000000003</v>
      </c>
      <c r="DJ43" s="763">
        <v>7369.12111</v>
      </c>
      <c r="DK43" s="763">
        <v>7371.6185700000005</v>
      </c>
      <c r="DL43" s="763">
        <v>7524.1593800000001</v>
      </c>
      <c r="DM43" s="763">
        <v>7667.6774299999997</v>
      </c>
      <c r="DN43" s="763">
        <v>7851.7754699999996</v>
      </c>
      <c r="DO43" s="763">
        <v>7913.22235</v>
      </c>
      <c r="DP43" s="763">
        <v>8124.4660199999998</v>
      </c>
      <c r="DQ43" s="765">
        <v>8243.4532199999994</v>
      </c>
      <c r="DR43" s="953">
        <v>8287.8901500000011</v>
      </c>
      <c r="DS43" s="953">
        <v>8076.0014199999996</v>
      </c>
      <c r="DT43" s="953">
        <v>8107.1114000000007</v>
      </c>
      <c r="DU43" s="953">
        <v>8103.9402499999997</v>
      </c>
      <c r="DV43" s="953">
        <v>7989.5447000000004</v>
      </c>
      <c r="DW43" s="953">
        <v>7604.5054099999998</v>
      </c>
      <c r="DX43" s="953">
        <v>7265.8156100000006</v>
      </c>
      <c r="DY43" s="953">
        <v>7104.7134699999997</v>
      </c>
      <c r="DZ43" s="953">
        <v>7163.4111500000008</v>
      </c>
      <c r="EA43" s="953">
        <v>7407.5235400000001</v>
      </c>
      <c r="EB43" s="953">
        <v>7526.5859900000005</v>
      </c>
      <c r="EC43" s="954">
        <v>7551.7497899999998</v>
      </c>
      <c r="ED43" s="19">
        <v>7720.4210800000001</v>
      </c>
      <c r="EE43" s="16">
        <v>8036</v>
      </c>
      <c r="EF43" s="16">
        <v>8065</v>
      </c>
      <c r="EG43" s="16">
        <v>7823.4</v>
      </c>
      <c r="EH43" s="16">
        <v>7997</v>
      </c>
      <c r="EI43" s="16">
        <v>8044.4</v>
      </c>
      <c r="EJ43" s="16">
        <v>8205</v>
      </c>
      <c r="EK43" s="16">
        <v>8615</v>
      </c>
      <c r="EL43" s="16">
        <v>8981</v>
      </c>
      <c r="EM43" s="16">
        <v>9480</v>
      </c>
      <c r="EN43" s="16">
        <v>7903</v>
      </c>
      <c r="EO43" s="21">
        <v>8164.4</v>
      </c>
      <c r="EQ43" s="759">
        <f t="shared" si="8"/>
        <v>4.2484039466047507</v>
      </c>
      <c r="ER43" s="759">
        <f t="shared" si="9"/>
        <v>25.373230880374621</v>
      </c>
      <c r="ET43" s="945">
        <f t="shared" si="10"/>
        <v>2.7099183144302088E-3</v>
      </c>
      <c r="FF43" s="190" t="s">
        <v>352</v>
      </c>
    </row>
    <row r="44" spans="1:162" s="203" customFormat="1" ht="13.9" customHeight="1" x14ac:dyDescent="0.2">
      <c r="A44" s="778" t="s">
        <v>240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202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202"/>
      <c r="Z44" s="773">
        <f t="shared" ref="Z44:BI44" si="33">SUM(Z45:Z47)</f>
        <v>0</v>
      </c>
      <c r="AA44" s="773">
        <f t="shared" si="33"/>
        <v>0</v>
      </c>
      <c r="AB44" s="773">
        <f t="shared" si="33"/>
        <v>0</v>
      </c>
      <c r="AC44" s="773">
        <f t="shared" si="33"/>
        <v>0</v>
      </c>
      <c r="AD44" s="773">
        <f t="shared" si="33"/>
        <v>0</v>
      </c>
      <c r="AE44" s="773">
        <f t="shared" si="33"/>
        <v>0</v>
      </c>
      <c r="AF44" s="773">
        <f t="shared" si="33"/>
        <v>0</v>
      </c>
      <c r="AG44" s="773">
        <f t="shared" si="33"/>
        <v>0</v>
      </c>
      <c r="AH44" s="221">
        <f t="shared" si="33"/>
        <v>2673</v>
      </c>
      <c r="AI44" s="221">
        <f t="shared" si="33"/>
        <v>3090</v>
      </c>
      <c r="AJ44" s="221">
        <f t="shared" si="33"/>
        <v>3412</v>
      </c>
      <c r="AK44" s="221">
        <f t="shared" si="33"/>
        <v>3842</v>
      </c>
      <c r="AL44" s="220">
        <f t="shared" si="33"/>
        <v>4021</v>
      </c>
      <c r="AM44" s="221">
        <f t="shared" si="33"/>
        <v>4314</v>
      </c>
      <c r="AN44" s="221">
        <f t="shared" si="33"/>
        <v>5230</v>
      </c>
      <c r="AO44" s="221">
        <f t="shared" si="33"/>
        <v>5766</v>
      </c>
      <c r="AP44" s="221">
        <f t="shared" si="33"/>
        <v>6550</v>
      </c>
      <c r="AQ44" s="221">
        <f t="shared" si="33"/>
        <v>7997</v>
      </c>
      <c r="AR44" s="221">
        <f t="shared" si="33"/>
        <v>8284</v>
      </c>
      <c r="AS44" s="221">
        <f t="shared" si="33"/>
        <v>8580</v>
      </c>
      <c r="AT44" s="221">
        <f t="shared" si="33"/>
        <v>7996</v>
      </c>
      <c r="AU44" s="221">
        <f t="shared" si="33"/>
        <v>7861</v>
      </c>
      <c r="AV44" s="221">
        <f t="shared" si="33"/>
        <v>8291</v>
      </c>
      <c r="AW44" s="221">
        <f t="shared" si="33"/>
        <v>8787</v>
      </c>
      <c r="AX44" s="220">
        <f t="shared" si="33"/>
        <v>8843</v>
      </c>
      <c r="AY44" s="221">
        <f t="shared" si="33"/>
        <v>8727</v>
      </c>
      <c r="AZ44" s="221">
        <f t="shared" si="33"/>
        <v>7531</v>
      </c>
      <c r="BA44" s="221">
        <f t="shared" si="33"/>
        <v>6659</v>
      </c>
      <c r="BB44" s="221">
        <f t="shared" si="33"/>
        <v>6411</v>
      </c>
      <c r="BC44" s="221">
        <f t="shared" si="33"/>
        <v>5975.4376499999998</v>
      </c>
      <c r="BD44" s="221">
        <f t="shared" si="33"/>
        <v>5848.9052599999995</v>
      </c>
      <c r="BE44" s="221">
        <f t="shared" si="33"/>
        <v>11978.4133</v>
      </c>
      <c r="BF44" s="221">
        <f t="shared" si="33"/>
        <v>11779.119569999999</v>
      </c>
      <c r="BG44" s="221">
        <f t="shared" si="33"/>
        <v>12205.151609999999</v>
      </c>
      <c r="BH44" s="221">
        <f t="shared" si="33"/>
        <v>12790.93231</v>
      </c>
      <c r="BI44" s="221">
        <f t="shared" si="33"/>
        <v>11672.09966</v>
      </c>
      <c r="BJ44" s="220">
        <f t="shared" ref="BJ44:CT44" si="34">SUM(BJ45:BJ49)</f>
        <v>13723.0108</v>
      </c>
      <c r="BK44" s="221">
        <f t="shared" si="34"/>
        <v>13617.22658</v>
      </c>
      <c r="BL44" s="221">
        <f t="shared" si="34"/>
        <v>13095.64199</v>
      </c>
      <c r="BM44" s="221">
        <f t="shared" si="34"/>
        <v>9127.3980200000005</v>
      </c>
      <c r="BN44" s="221">
        <f t="shared" si="34"/>
        <v>9123.456470000001</v>
      </c>
      <c r="BO44" s="221">
        <f t="shared" si="34"/>
        <v>8727.0181300000004</v>
      </c>
      <c r="BP44" s="221">
        <f t="shared" si="34"/>
        <v>8560.0830600000008</v>
      </c>
      <c r="BQ44" s="221">
        <f t="shared" si="34"/>
        <v>8613.1218799999988</v>
      </c>
      <c r="BR44" s="221">
        <f t="shared" si="34"/>
        <v>8359.8866899999994</v>
      </c>
      <c r="BS44" s="221">
        <f t="shared" si="34"/>
        <v>7173.1141499999994</v>
      </c>
      <c r="BT44" s="221">
        <f t="shared" si="34"/>
        <v>7522.2017800000003</v>
      </c>
      <c r="BU44" s="28">
        <f t="shared" si="34"/>
        <v>7375.27196</v>
      </c>
      <c r="BV44" s="220">
        <f t="shared" si="34"/>
        <v>7404.0107800000005</v>
      </c>
      <c r="BW44" s="221">
        <f t="shared" si="34"/>
        <v>7706.7625399999997</v>
      </c>
      <c r="BX44" s="221">
        <f t="shared" si="34"/>
        <v>7915.0174899999993</v>
      </c>
      <c r="BY44" s="221">
        <f t="shared" si="34"/>
        <v>7333.2218599999987</v>
      </c>
      <c r="BZ44" s="221">
        <f t="shared" si="34"/>
        <v>7704.2760699999999</v>
      </c>
      <c r="CA44" s="221">
        <f t="shared" si="34"/>
        <v>7552.1096000000007</v>
      </c>
      <c r="CB44" s="221">
        <f t="shared" si="34"/>
        <v>7003.7506099999991</v>
      </c>
      <c r="CC44" s="221">
        <f t="shared" si="34"/>
        <v>7274.6188400000001</v>
      </c>
      <c r="CD44" s="221">
        <f t="shared" si="34"/>
        <v>7688.0632500000002</v>
      </c>
      <c r="CE44" s="221">
        <f t="shared" si="34"/>
        <v>8157.66021</v>
      </c>
      <c r="CF44" s="221">
        <f t="shared" si="34"/>
        <v>8336.7656900000002</v>
      </c>
      <c r="CG44" s="28">
        <f t="shared" si="34"/>
        <v>8889.6483899999985</v>
      </c>
      <c r="CH44" s="221">
        <f t="shared" si="34"/>
        <v>9034.4040199999999</v>
      </c>
      <c r="CI44" s="221">
        <f t="shared" si="34"/>
        <v>8962.4262799999997</v>
      </c>
      <c r="CJ44" s="221">
        <f t="shared" si="34"/>
        <v>9172.2320499999987</v>
      </c>
      <c r="CK44" s="221">
        <f t="shared" si="34"/>
        <v>9510.8662000000004</v>
      </c>
      <c r="CL44" s="221">
        <f t="shared" si="34"/>
        <v>10079.650759999999</v>
      </c>
      <c r="CM44" s="221">
        <f t="shared" si="34"/>
        <v>10066.510720000002</v>
      </c>
      <c r="CN44" s="221">
        <f t="shared" si="34"/>
        <v>9906.4733999999989</v>
      </c>
      <c r="CO44" s="221">
        <f t="shared" si="34"/>
        <v>9982.308140000001</v>
      </c>
      <c r="CP44" s="221">
        <f t="shared" si="34"/>
        <v>10237.761780000001</v>
      </c>
      <c r="CQ44" s="221">
        <f t="shared" si="34"/>
        <v>10379.495430000001</v>
      </c>
      <c r="CR44" s="221">
        <f t="shared" si="34"/>
        <v>10679.56681</v>
      </c>
      <c r="CS44" s="221">
        <f t="shared" si="34"/>
        <v>11122.372069999998</v>
      </c>
      <c r="CT44" s="220">
        <f t="shared" si="34"/>
        <v>11309.325070000001</v>
      </c>
      <c r="CU44" s="221">
        <f t="shared" ref="CU44:DA44" si="35">SUM(CU45:CU50)</f>
        <v>12107.59614</v>
      </c>
      <c r="CV44" s="221">
        <f t="shared" si="35"/>
        <v>12598.1988</v>
      </c>
      <c r="CW44" s="221">
        <f t="shared" si="35"/>
        <v>12954.10822</v>
      </c>
      <c r="CX44" s="221">
        <f t="shared" si="35"/>
        <v>14395.658200000002</v>
      </c>
      <c r="CY44" s="221">
        <f t="shared" si="35"/>
        <v>9368.0996400000004</v>
      </c>
      <c r="CZ44" s="221">
        <f t="shared" si="35"/>
        <v>9472.4684300000008</v>
      </c>
      <c r="DA44" s="221">
        <f t="shared" si="35"/>
        <v>9447.0046700000003</v>
      </c>
      <c r="DB44" s="221">
        <f t="shared" ref="DB44:EO44" si="36">SUM(DB45:DB51)</f>
        <v>9647.9776599999987</v>
      </c>
      <c r="DC44" s="221">
        <f t="shared" si="36"/>
        <v>9775.8458900000005</v>
      </c>
      <c r="DD44" s="221">
        <f t="shared" si="36"/>
        <v>10562.244490000001</v>
      </c>
      <c r="DE44" s="221">
        <f t="shared" si="36"/>
        <v>11173.196039999999</v>
      </c>
      <c r="DF44" s="220">
        <f t="shared" si="36"/>
        <v>11481.035980000001</v>
      </c>
      <c r="DG44" s="221">
        <f t="shared" si="36"/>
        <v>11510.47393</v>
      </c>
      <c r="DH44" s="221">
        <f t="shared" si="36"/>
        <v>11636.06719</v>
      </c>
      <c r="DI44" s="221">
        <f t="shared" si="36"/>
        <v>11515.106360000002</v>
      </c>
      <c r="DJ44" s="221">
        <f t="shared" si="36"/>
        <v>11974.638279999999</v>
      </c>
      <c r="DK44" s="221">
        <f t="shared" si="36"/>
        <v>12132.773799999999</v>
      </c>
      <c r="DL44" s="221">
        <f t="shared" si="36"/>
        <v>12197.25339</v>
      </c>
      <c r="DM44" s="221">
        <f t="shared" si="36"/>
        <v>12091.777099999999</v>
      </c>
      <c r="DN44" s="221">
        <f t="shared" si="36"/>
        <v>10780.70247</v>
      </c>
      <c r="DO44" s="221">
        <f t="shared" si="36"/>
        <v>10990.356469999999</v>
      </c>
      <c r="DP44" s="221">
        <f t="shared" si="36"/>
        <v>11343.970490000002</v>
      </c>
      <c r="DQ44" s="28">
        <f t="shared" si="36"/>
        <v>11518.63841</v>
      </c>
      <c r="DR44" s="221">
        <f t="shared" si="36"/>
        <v>11474.032369999999</v>
      </c>
      <c r="DS44" s="221">
        <f t="shared" si="36"/>
        <v>11558.88062</v>
      </c>
      <c r="DT44" s="221">
        <f t="shared" si="36"/>
        <v>11709.21018</v>
      </c>
      <c r="DU44" s="221">
        <f t="shared" si="36"/>
        <v>11670.69867</v>
      </c>
      <c r="DV44" s="221">
        <f t="shared" si="36"/>
        <v>11617.336219999999</v>
      </c>
      <c r="DW44" s="221">
        <f t="shared" si="36"/>
        <v>11560.914000000001</v>
      </c>
      <c r="DX44" s="221">
        <f t="shared" si="36"/>
        <v>11589.327449999999</v>
      </c>
      <c r="DY44" s="221">
        <f t="shared" si="36"/>
        <v>11770.206750000001</v>
      </c>
      <c r="DZ44" s="221">
        <f t="shared" si="36"/>
        <v>11873.994640000001</v>
      </c>
      <c r="EA44" s="221">
        <f t="shared" si="36"/>
        <v>12158.47798</v>
      </c>
      <c r="EB44" s="221">
        <f t="shared" si="36"/>
        <v>12357.68772</v>
      </c>
      <c r="EC44" s="28">
        <f t="shared" si="36"/>
        <v>12795.974620000001</v>
      </c>
      <c r="ED44" s="220">
        <f t="shared" si="36"/>
        <v>13277.635469999999</v>
      </c>
      <c r="EE44" s="221">
        <f t="shared" si="36"/>
        <v>13767</v>
      </c>
      <c r="EF44" s="221">
        <f t="shared" si="36"/>
        <v>13701</v>
      </c>
      <c r="EG44" s="221">
        <f t="shared" si="36"/>
        <v>13341</v>
      </c>
      <c r="EH44" s="221">
        <f t="shared" si="36"/>
        <v>12819</v>
      </c>
      <c r="EI44" s="221">
        <f t="shared" si="36"/>
        <v>12485</v>
      </c>
      <c r="EJ44" s="221">
        <f t="shared" si="36"/>
        <v>12739</v>
      </c>
      <c r="EK44" s="221">
        <f t="shared" si="36"/>
        <v>12732</v>
      </c>
      <c r="EL44" s="221">
        <f t="shared" si="36"/>
        <v>12821</v>
      </c>
      <c r="EM44" s="221">
        <f t="shared" si="36"/>
        <v>13008</v>
      </c>
      <c r="EN44" s="221">
        <f t="shared" si="36"/>
        <v>13029</v>
      </c>
      <c r="EO44" s="28">
        <f t="shared" si="36"/>
        <v>12963.9</v>
      </c>
      <c r="EP44"/>
      <c r="EQ44" s="768">
        <f t="shared" si="8"/>
        <v>0.69902607602889688</v>
      </c>
      <c r="ER44" s="768">
        <f t="shared" si="9"/>
        <v>7.975457196264979</v>
      </c>
      <c r="ET44" s="945">
        <f t="shared" si="10"/>
        <v>4.660536926631099E-3</v>
      </c>
      <c r="FF44" s="199" t="s">
        <v>549</v>
      </c>
    </row>
    <row r="45" spans="1:162" ht="13.9" customHeight="1" x14ac:dyDescent="0.2">
      <c r="A45" s="758" t="s">
        <v>216</v>
      </c>
      <c r="B45" s="24">
        <v>2510</v>
      </c>
      <c r="C45" s="24">
        <v>2444</v>
      </c>
      <c r="D45" s="24">
        <v>2403</v>
      </c>
      <c r="E45" s="24">
        <v>2385</v>
      </c>
      <c r="F45" s="24">
        <v>2377</v>
      </c>
      <c r="G45" s="24">
        <v>2275</v>
      </c>
      <c r="H45" s="24">
        <v>2308</v>
      </c>
      <c r="I45" s="24">
        <v>2328</v>
      </c>
      <c r="J45" s="24">
        <v>2326</v>
      </c>
      <c r="K45" s="24">
        <v>2392</v>
      </c>
      <c r="L45" s="24">
        <v>2408</v>
      </c>
      <c r="M45" s="23">
        <v>2666</v>
      </c>
      <c r="N45" s="24">
        <v>2604.3879999999999</v>
      </c>
      <c r="O45" s="24">
        <v>2548</v>
      </c>
      <c r="P45" s="24">
        <v>2545</v>
      </c>
      <c r="Q45" s="16"/>
      <c r="R45" s="16"/>
      <c r="S45" s="16"/>
      <c r="T45" s="16"/>
      <c r="U45" s="16"/>
      <c r="V45" s="16"/>
      <c r="W45" s="16"/>
      <c r="X45" s="16"/>
      <c r="Y45" s="21"/>
      <c r="Z45" s="763"/>
      <c r="AA45" s="763"/>
      <c r="AB45" s="763"/>
      <c r="AC45" s="763"/>
      <c r="AD45" s="763"/>
      <c r="AE45" s="763"/>
      <c r="AF45" s="763"/>
      <c r="AG45" s="763"/>
      <c r="AH45" s="24">
        <v>2673</v>
      </c>
      <c r="AI45" s="24">
        <v>3090</v>
      </c>
      <c r="AJ45" s="24">
        <v>3412</v>
      </c>
      <c r="AK45" s="24">
        <v>3842</v>
      </c>
      <c r="AL45" s="52">
        <v>4021</v>
      </c>
      <c r="AM45" s="24">
        <v>4314</v>
      </c>
      <c r="AN45" s="24">
        <v>4854</v>
      </c>
      <c r="AO45" s="24">
        <v>5298</v>
      </c>
      <c r="AP45" s="24">
        <v>5908</v>
      </c>
      <c r="AQ45" s="24">
        <v>6258</v>
      </c>
      <c r="AR45" s="24">
        <v>6277</v>
      </c>
      <c r="AS45" s="24">
        <v>6357</v>
      </c>
      <c r="AT45" s="24">
        <v>6262</v>
      </c>
      <c r="AU45" s="24">
        <v>5916</v>
      </c>
      <c r="AV45" s="24">
        <v>5732</v>
      </c>
      <c r="AW45" s="24">
        <v>5555</v>
      </c>
      <c r="AX45" s="52">
        <v>5358</v>
      </c>
      <c r="AY45" s="24">
        <v>5022</v>
      </c>
      <c r="AZ45" s="24">
        <v>4714</v>
      </c>
      <c r="BA45" s="24">
        <v>4183</v>
      </c>
      <c r="BB45" s="24">
        <v>3996</v>
      </c>
      <c r="BC45" s="24">
        <v>3732.3482200000003</v>
      </c>
      <c r="BD45" s="24">
        <v>3567.6968900000002</v>
      </c>
      <c r="BE45" s="24">
        <v>3419.0704799999999</v>
      </c>
      <c r="BF45" s="24">
        <v>3296.6292699999999</v>
      </c>
      <c r="BG45" s="24">
        <v>3248.1270299999996</v>
      </c>
      <c r="BH45" s="24">
        <v>3345.2369600000002</v>
      </c>
      <c r="BI45" s="24">
        <v>3408.0887000000002</v>
      </c>
      <c r="BJ45" s="52">
        <v>3545.2585800000002</v>
      </c>
      <c r="BK45" s="24">
        <v>3606.6849099999999</v>
      </c>
      <c r="BL45" s="24">
        <v>3304.15173</v>
      </c>
      <c r="BM45" s="16"/>
      <c r="BN45" s="16"/>
      <c r="BO45" s="16"/>
      <c r="BP45" s="16"/>
      <c r="BQ45" s="16"/>
      <c r="BR45" s="16"/>
      <c r="BS45" s="16"/>
      <c r="BT45" s="16"/>
      <c r="BU45" s="21"/>
      <c r="BV45" s="19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21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9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9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21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21"/>
      <c r="ED45" s="19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21"/>
      <c r="EQ45" s="768" t="str">
        <f t="shared" si="8"/>
        <v>-</v>
      </c>
      <c r="ER45" s="768" t="str">
        <f t="shared" si="9"/>
        <v>-</v>
      </c>
      <c r="ET45" s="945">
        <f t="shared" si="10"/>
        <v>0</v>
      </c>
      <c r="FF45" s="190"/>
    </row>
    <row r="46" spans="1:162" ht="13.9" customHeight="1" x14ac:dyDescent="0.2">
      <c r="A46" s="758" t="s">
        <v>277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3"/>
      <c r="N46" s="24"/>
      <c r="O46" s="24"/>
      <c r="P46" s="24"/>
      <c r="Q46" s="16"/>
      <c r="R46" s="16"/>
      <c r="S46" s="16"/>
      <c r="T46" s="16"/>
      <c r="U46" s="16"/>
      <c r="V46" s="16"/>
      <c r="W46" s="16"/>
      <c r="X46" s="16"/>
      <c r="Y46" s="21"/>
      <c r="Z46" s="763"/>
      <c r="AA46" s="958"/>
      <c r="AB46" s="958"/>
      <c r="AC46" s="958"/>
      <c r="AD46" s="763"/>
      <c r="AE46" s="763"/>
      <c r="AF46" s="763"/>
      <c r="AG46" s="763"/>
      <c r="AH46" s="16"/>
      <c r="AI46" s="16"/>
      <c r="AJ46" s="16"/>
      <c r="AK46" s="16"/>
      <c r="AL46" s="19"/>
      <c r="AM46" s="16"/>
      <c r="AN46" s="24">
        <v>376</v>
      </c>
      <c r="AO46" s="24">
        <v>468</v>
      </c>
      <c r="AP46" s="24">
        <v>642</v>
      </c>
      <c r="AQ46" s="24">
        <v>1739</v>
      </c>
      <c r="AR46" s="24">
        <v>2007</v>
      </c>
      <c r="AS46" s="24">
        <v>2223</v>
      </c>
      <c r="AT46" s="24">
        <v>1734</v>
      </c>
      <c r="AU46" s="24">
        <v>1945</v>
      </c>
      <c r="AV46" s="24">
        <v>2559</v>
      </c>
      <c r="AW46" s="24">
        <v>3232</v>
      </c>
      <c r="AX46" s="52">
        <v>3485</v>
      </c>
      <c r="AY46" s="24">
        <v>3705</v>
      </c>
      <c r="AZ46" s="24">
        <v>2817</v>
      </c>
      <c r="BA46" s="24">
        <v>2476</v>
      </c>
      <c r="BB46" s="24">
        <v>2415</v>
      </c>
      <c r="BC46" s="24">
        <v>2243.08943</v>
      </c>
      <c r="BD46" s="24">
        <v>2281.2083699999998</v>
      </c>
      <c r="BE46" s="24">
        <v>2371.1756700000001</v>
      </c>
      <c r="BF46" s="24">
        <v>2507.8329400000002</v>
      </c>
      <c r="BG46" s="24">
        <v>3214.1695799999998</v>
      </c>
      <c r="BH46" s="24">
        <v>3843.8579399999999</v>
      </c>
      <c r="BI46" s="24">
        <v>2851.54567</v>
      </c>
      <c r="BJ46" s="52">
        <v>2991.0421800000004</v>
      </c>
      <c r="BK46" s="24">
        <v>2883.2224300000003</v>
      </c>
      <c r="BL46" s="24">
        <v>2829.0302300000003</v>
      </c>
      <c r="BM46" s="24">
        <v>2683.77828</v>
      </c>
      <c r="BN46" s="24">
        <v>2702.7712000000001</v>
      </c>
      <c r="BO46" s="24">
        <v>2378.6368699999998</v>
      </c>
      <c r="BP46" s="24">
        <v>2202.0553799999998</v>
      </c>
      <c r="BQ46" s="24">
        <v>2152.4627799999998</v>
      </c>
      <c r="BR46" s="24">
        <v>1872.2699500000003</v>
      </c>
      <c r="BS46" s="24">
        <v>1863.0985700000001</v>
      </c>
      <c r="BT46" s="24">
        <v>2054.21794</v>
      </c>
      <c r="BU46" s="23">
        <v>1912.8225499999999</v>
      </c>
      <c r="BV46" s="52">
        <v>1859.01982</v>
      </c>
      <c r="BW46" s="24">
        <v>1958.3391300000001</v>
      </c>
      <c r="BX46" s="24">
        <v>1726.27026</v>
      </c>
      <c r="BY46" s="24">
        <v>1204.9882699999998</v>
      </c>
      <c r="BZ46" s="24">
        <v>1406.1035599999998</v>
      </c>
      <c r="CA46" s="24">
        <v>1317.84106</v>
      </c>
      <c r="CB46" s="24">
        <v>1386.6927799999999</v>
      </c>
      <c r="CC46" s="24">
        <v>1516.85357</v>
      </c>
      <c r="CD46" s="24">
        <v>1708.2579300000002</v>
      </c>
      <c r="CE46" s="24">
        <v>1699.3449300000002</v>
      </c>
      <c r="CF46" s="24">
        <v>1523.9864400000001</v>
      </c>
      <c r="CG46" s="23">
        <v>1754.06306</v>
      </c>
      <c r="CH46" s="24">
        <v>1654.6366500000001</v>
      </c>
      <c r="CI46" s="24">
        <v>1453.6788200000001</v>
      </c>
      <c r="CJ46" s="24">
        <v>1347.1572099999998</v>
      </c>
      <c r="CK46" s="24">
        <v>1404.3439100000001</v>
      </c>
      <c r="CL46" s="24">
        <v>1688.2261799999999</v>
      </c>
      <c r="CM46" s="24">
        <v>1664.7868200000003</v>
      </c>
      <c r="CN46" s="24">
        <v>1506.7643600000001</v>
      </c>
      <c r="CO46" s="24">
        <v>1496.63555</v>
      </c>
      <c r="CP46" s="24">
        <v>1535.0717099999999</v>
      </c>
      <c r="CQ46" s="24">
        <v>1695.1377500000001</v>
      </c>
      <c r="CR46" s="24">
        <v>1805.34926</v>
      </c>
      <c r="CS46" s="24">
        <v>2047.0374000000002</v>
      </c>
      <c r="CT46" s="52">
        <v>2228.73585</v>
      </c>
      <c r="CU46" s="24">
        <v>2291.3183199999999</v>
      </c>
      <c r="CV46" s="24">
        <v>2551.36652</v>
      </c>
      <c r="CW46" s="24">
        <v>2531.2154399999999</v>
      </c>
      <c r="CX46" s="24">
        <v>2771.4685399999998</v>
      </c>
      <c r="CY46" s="24">
        <v>2659.1522500000001</v>
      </c>
      <c r="CZ46" s="24">
        <v>2653.8216200000002</v>
      </c>
      <c r="DA46" s="24">
        <v>2533.8948299999997</v>
      </c>
      <c r="DB46" s="24">
        <v>2603.3559999999998</v>
      </c>
      <c r="DC46" s="24">
        <v>2639.1508899999999</v>
      </c>
      <c r="DD46" s="24">
        <v>2735.2628299999997</v>
      </c>
      <c r="DE46" s="24">
        <v>3009.49334</v>
      </c>
      <c r="DF46" s="52">
        <v>3063.62842</v>
      </c>
      <c r="DG46" s="24">
        <v>2963.8200399999996</v>
      </c>
      <c r="DH46" s="24">
        <v>2961.16572</v>
      </c>
      <c r="DI46" s="24">
        <v>3013.5695400000004</v>
      </c>
      <c r="DJ46" s="24">
        <v>3254.0905499999999</v>
      </c>
      <c r="DK46" s="24">
        <v>3363.56351</v>
      </c>
      <c r="DL46" s="24">
        <v>3378.8373699999997</v>
      </c>
      <c r="DM46" s="24">
        <v>3505.3078999999998</v>
      </c>
      <c r="DN46" s="24">
        <v>3555.4164799999999</v>
      </c>
      <c r="DO46" s="24">
        <v>3696.1518599999999</v>
      </c>
      <c r="DP46" s="24">
        <v>3850.2999399999999</v>
      </c>
      <c r="DQ46" s="23">
        <v>4228.8321500000002</v>
      </c>
      <c r="DR46" s="24">
        <v>4151.5893599999999</v>
      </c>
      <c r="DS46" s="24">
        <v>4090.0807</v>
      </c>
      <c r="DT46" s="24">
        <v>4060.4175300000002</v>
      </c>
      <c r="DU46" s="24">
        <v>4122.7634799999996</v>
      </c>
      <c r="DV46" s="24">
        <v>4360.43444</v>
      </c>
      <c r="DW46" s="24">
        <v>4355.8741399999999</v>
      </c>
      <c r="DX46" s="24">
        <v>4274.7840999999999</v>
      </c>
      <c r="DY46" s="24">
        <v>4305.6938799999998</v>
      </c>
      <c r="DZ46" s="24">
        <v>4369.1531500000001</v>
      </c>
      <c r="EA46" s="24">
        <v>4441.9055799999996</v>
      </c>
      <c r="EB46" s="24">
        <v>4594.3748799999994</v>
      </c>
      <c r="EC46" s="23">
        <v>4833.6658100000004</v>
      </c>
      <c r="ED46" s="52">
        <v>4748.4025700000002</v>
      </c>
      <c r="EE46" s="24">
        <v>4638</v>
      </c>
      <c r="EF46" s="24">
        <v>4513</v>
      </c>
      <c r="EG46" s="24">
        <v>4429</v>
      </c>
      <c r="EH46" s="24">
        <v>4315</v>
      </c>
      <c r="EI46" s="24">
        <v>4182</v>
      </c>
      <c r="EJ46" s="24">
        <v>4012</v>
      </c>
      <c r="EK46" s="24">
        <v>3813</v>
      </c>
      <c r="EL46" s="24">
        <v>3585</v>
      </c>
      <c r="EM46" s="24">
        <v>3354.5</v>
      </c>
      <c r="EN46" s="24">
        <v>3045</v>
      </c>
      <c r="EO46" s="23">
        <v>2778.4</v>
      </c>
      <c r="EQ46" s="759">
        <f t="shared" si="8"/>
        <v>-5.9795436664044077</v>
      </c>
      <c r="ER46" s="759">
        <f t="shared" si="9"/>
        <v>-17.94748600194983</v>
      </c>
      <c r="ET46" s="945">
        <f t="shared" si="10"/>
        <v>1.6667203712586193E-3</v>
      </c>
      <c r="FF46" s="190"/>
    </row>
    <row r="47" spans="1:162" ht="13.9" customHeight="1" x14ac:dyDescent="0.2">
      <c r="A47" s="758" t="s">
        <v>232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3"/>
      <c r="N47" s="24"/>
      <c r="O47" s="24"/>
      <c r="P47" s="24"/>
      <c r="Q47" s="16"/>
      <c r="R47" s="16"/>
      <c r="S47" s="16"/>
      <c r="T47" s="16"/>
      <c r="U47" s="16"/>
      <c r="V47" s="16"/>
      <c r="W47" s="16"/>
      <c r="X47" s="16"/>
      <c r="Y47" s="21"/>
      <c r="Z47" s="763"/>
      <c r="AA47" s="958"/>
      <c r="AB47" s="958"/>
      <c r="AC47" s="958"/>
      <c r="AD47" s="763"/>
      <c r="AE47" s="763"/>
      <c r="AF47" s="763"/>
      <c r="AG47" s="763"/>
      <c r="AH47" s="16"/>
      <c r="AI47" s="16"/>
      <c r="AJ47" s="16"/>
      <c r="AK47" s="16"/>
      <c r="AL47" s="19"/>
      <c r="AM47" s="16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52"/>
      <c r="AY47" s="24"/>
      <c r="AZ47" s="24"/>
      <c r="BA47" s="24"/>
      <c r="BB47" s="24"/>
      <c r="BC47" s="24"/>
      <c r="BD47" s="24"/>
      <c r="BE47" s="24">
        <v>6188.1671500000002</v>
      </c>
      <c r="BF47" s="24">
        <v>5974.6573600000002</v>
      </c>
      <c r="BG47" s="24">
        <v>5742.8549999999996</v>
      </c>
      <c r="BH47" s="24">
        <v>5601.8374100000001</v>
      </c>
      <c r="BI47" s="24">
        <v>5412.4652900000001</v>
      </c>
      <c r="BJ47" s="52">
        <v>5231.3970799999997</v>
      </c>
      <c r="BK47" s="24">
        <v>5020.5846500000007</v>
      </c>
      <c r="BL47" s="24">
        <v>4674.6715999999997</v>
      </c>
      <c r="BM47" s="24">
        <v>3983.6473300000002</v>
      </c>
      <c r="BN47" s="24">
        <v>3827.2575200000001</v>
      </c>
      <c r="BO47" s="24">
        <v>3683.3867700000001</v>
      </c>
      <c r="BP47" s="24">
        <v>3528.3765600000002</v>
      </c>
      <c r="BQ47" s="24">
        <v>3429.9281099999998</v>
      </c>
      <c r="BR47" s="24">
        <v>3302.7910999999999</v>
      </c>
      <c r="BS47" s="24">
        <v>1988.7018799999998</v>
      </c>
      <c r="BT47" s="24">
        <v>1937.68496</v>
      </c>
      <c r="BU47" s="23">
        <v>1879.82106</v>
      </c>
      <c r="BV47" s="52">
        <v>1906.0622800000001</v>
      </c>
      <c r="BW47" s="24">
        <v>1934.40057</v>
      </c>
      <c r="BX47" s="24">
        <v>2165.26118</v>
      </c>
      <c r="BY47" s="24">
        <v>1980.42876</v>
      </c>
      <c r="BZ47" s="24">
        <v>2144.9372899999998</v>
      </c>
      <c r="CA47" s="24">
        <v>2273.6726800000001</v>
      </c>
      <c r="CB47" s="24">
        <v>1646.7306299999998</v>
      </c>
      <c r="CC47" s="24">
        <v>1836.1386399999999</v>
      </c>
      <c r="CD47" s="24">
        <v>1952.0694599999999</v>
      </c>
      <c r="CE47" s="24">
        <v>2236.3615399999999</v>
      </c>
      <c r="CF47" s="24">
        <v>2379.4679900000001</v>
      </c>
      <c r="CG47" s="23">
        <v>2583.3602999999998</v>
      </c>
      <c r="CH47" s="24">
        <v>2730.7735200000002</v>
      </c>
      <c r="CI47" s="24">
        <v>2780.3735299999998</v>
      </c>
      <c r="CJ47" s="24">
        <v>3007.6618699999999</v>
      </c>
      <c r="CK47" s="24">
        <v>3127.67524</v>
      </c>
      <c r="CL47" s="24">
        <v>3163.2371899999998</v>
      </c>
      <c r="CM47" s="24">
        <v>3260.4079500000003</v>
      </c>
      <c r="CN47" s="24">
        <v>3239.30125</v>
      </c>
      <c r="CO47" s="24">
        <v>3306.9894900000004</v>
      </c>
      <c r="CP47" s="24">
        <v>3349.2379700000001</v>
      </c>
      <c r="CQ47" s="24">
        <v>3308.7356800000002</v>
      </c>
      <c r="CR47" s="24">
        <v>3415.6066700000001</v>
      </c>
      <c r="CS47" s="24">
        <v>3496.9461299999998</v>
      </c>
      <c r="CT47" s="52">
        <v>3462.1768999999999</v>
      </c>
      <c r="CU47" s="24">
        <v>3426.4653599999997</v>
      </c>
      <c r="CV47" s="24">
        <v>3379.32593</v>
      </c>
      <c r="CW47" s="24">
        <v>3268.41057</v>
      </c>
      <c r="CX47" s="24">
        <v>3123.1484700000001</v>
      </c>
      <c r="CY47" s="24">
        <v>2972.1723700000002</v>
      </c>
      <c r="CZ47" s="24">
        <v>2726.6411200000002</v>
      </c>
      <c r="DA47" s="24">
        <v>2574.2286099999997</v>
      </c>
      <c r="DB47" s="24">
        <v>2445.7030600000003</v>
      </c>
      <c r="DC47" s="24">
        <v>2305.0597299999999</v>
      </c>
      <c r="DD47" s="24">
        <v>2464.2322799999997</v>
      </c>
      <c r="DE47" s="24">
        <v>2288.6870299999996</v>
      </c>
      <c r="DF47" s="52">
        <v>2115.23821</v>
      </c>
      <c r="DG47" s="24">
        <v>1962.14366</v>
      </c>
      <c r="DH47" s="24">
        <v>1807.3685</v>
      </c>
      <c r="DI47" s="24">
        <v>1672.6126200000001</v>
      </c>
      <c r="DJ47" s="24">
        <v>1563.00524</v>
      </c>
      <c r="DK47" s="24">
        <v>1459.1741000000002</v>
      </c>
      <c r="DL47" s="24">
        <v>1358.32466</v>
      </c>
      <c r="DM47" s="24">
        <v>1287.0461499999999</v>
      </c>
      <c r="DN47" s="16"/>
      <c r="DO47" s="16"/>
      <c r="DP47" s="16"/>
      <c r="DQ47" s="21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21"/>
      <c r="ED47" s="19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21"/>
      <c r="EQ47" s="759" t="str">
        <f t="shared" si="8"/>
        <v>-</v>
      </c>
      <c r="ER47" s="759" t="str">
        <f t="shared" si="9"/>
        <v>-</v>
      </c>
      <c r="ET47" s="945">
        <f t="shared" si="10"/>
        <v>0</v>
      </c>
      <c r="FF47" s="190"/>
    </row>
    <row r="48" spans="1:162" ht="13.9" customHeight="1" x14ac:dyDescent="0.2">
      <c r="A48" s="758" t="s">
        <v>247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3"/>
      <c r="N48" s="24"/>
      <c r="O48" s="24"/>
      <c r="P48" s="24"/>
      <c r="Q48" s="16"/>
      <c r="R48" s="16"/>
      <c r="S48" s="16"/>
      <c r="T48" s="16"/>
      <c r="U48" s="16"/>
      <c r="V48" s="16"/>
      <c r="W48" s="16"/>
      <c r="X48" s="16"/>
      <c r="Y48" s="21"/>
      <c r="Z48" s="763"/>
      <c r="AA48" s="958"/>
      <c r="AB48" s="958"/>
      <c r="AC48" s="958"/>
      <c r="AD48" s="763"/>
      <c r="AE48" s="763"/>
      <c r="AF48" s="763"/>
      <c r="AG48" s="763"/>
      <c r="AH48" s="16"/>
      <c r="AI48" s="16"/>
      <c r="AJ48" s="16"/>
      <c r="AK48" s="16"/>
      <c r="AL48" s="19"/>
      <c r="AM48" s="16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19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52">
        <v>1955.31296</v>
      </c>
      <c r="BK48" s="24">
        <v>2106.73459</v>
      </c>
      <c r="BL48" s="24">
        <v>2287.7884300000001</v>
      </c>
      <c r="BM48" s="24">
        <v>2459.9724100000003</v>
      </c>
      <c r="BN48" s="24">
        <v>2593.4277499999998</v>
      </c>
      <c r="BO48" s="24">
        <v>2664.1147400000004</v>
      </c>
      <c r="BP48" s="24">
        <v>2812.9123599999998</v>
      </c>
      <c r="BQ48" s="24">
        <v>2978.0590400000001</v>
      </c>
      <c r="BR48" s="24">
        <v>3080.7938100000001</v>
      </c>
      <c r="BS48" s="24">
        <v>3162.7892999999999</v>
      </c>
      <c r="BT48" s="24">
        <v>3353.7695899999999</v>
      </c>
      <c r="BU48" s="23">
        <v>3384.45021</v>
      </c>
      <c r="BV48" s="52">
        <v>3426.9119799999999</v>
      </c>
      <c r="BW48" s="24">
        <v>3545.46342</v>
      </c>
      <c r="BX48" s="24">
        <v>3729.4243099999999</v>
      </c>
      <c r="BY48" s="24">
        <v>3815.9604599999998</v>
      </c>
      <c r="BZ48" s="24">
        <v>3805.4167400000001</v>
      </c>
      <c r="CA48" s="24">
        <v>3625.1167400000004</v>
      </c>
      <c r="CB48" s="24">
        <v>3642.9387499999998</v>
      </c>
      <c r="CC48" s="24">
        <v>3592.6144300000001</v>
      </c>
      <c r="CD48" s="24">
        <v>3674.2750699999997</v>
      </c>
      <c r="CE48" s="24">
        <v>3843.47588</v>
      </c>
      <c r="CF48" s="24">
        <v>3992.1165099999998</v>
      </c>
      <c r="CG48" s="23">
        <v>4120.0092700000005</v>
      </c>
      <c r="CH48" s="24">
        <v>4182.0248799999999</v>
      </c>
      <c r="CI48" s="24">
        <v>4250.3857699999999</v>
      </c>
      <c r="CJ48" s="24">
        <v>4302.7364200000002</v>
      </c>
      <c r="CK48" s="24">
        <v>4456.5459800000008</v>
      </c>
      <c r="CL48" s="24">
        <v>4686.81999</v>
      </c>
      <c r="CM48" s="24">
        <v>4614.1651900000006</v>
      </c>
      <c r="CN48" s="24">
        <v>4655.0286599999999</v>
      </c>
      <c r="CO48" s="24">
        <v>4655.0286599999999</v>
      </c>
      <c r="CP48" s="24">
        <v>4869.41579</v>
      </c>
      <c r="CQ48" s="24">
        <v>4879.5918000000001</v>
      </c>
      <c r="CR48" s="24">
        <v>4963.1516099999999</v>
      </c>
      <c r="CS48" s="24">
        <v>5057.4772199999998</v>
      </c>
      <c r="CT48" s="52">
        <v>5008.8787199999997</v>
      </c>
      <c r="CU48" s="24">
        <v>5080.0804000000007</v>
      </c>
      <c r="CV48" s="24">
        <v>5132.6624000000002</v>
      </c>
      <c r="CW48" s="24">
        <v>5212.2981399999999</v>
      </c>
      <c r="CX48" s="24">
        <v>5278.4434099999999</v>
      </c>
      <c r="CY48" s="24"/>
      <c r="CZ48" s="24"/>
      <c r="DA48" s="24"/>
      <c r="DB48" s="24"/>
      <c r="DC48" s="24"/>
      <c r="DD48" s="24"/>
      <c r="DE48" s="24"/>
      <c r="DF48" s="52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3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3"/>
      <c r="ED48" s="52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3"/>
      <c r="EQ48" s="759" t="str">
        <f t="shared" si="8"/>
        <v>-</v>
      </c>
      <c r="ER48" s="759" t="str">
        <f t="shared" si="9"/>
        <v>-</v>
      </c>
      <c r="ET48" s="945">
        <f t="shared" si="10"/>
        <v>0</v>
      </c>
      <c r="FF48" s="190"/>
    </row>
    <row r="49" spans="1:162" ht="13.9" customHeight="1" x14ac:dyDescent="0.2">
      <c r="A49" s="758" t="s">
        <v>259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3"/>
      <c r="N49" s="24"/>
      <c r="O49" s="24"/>
      <c r="P49" s="24"/>
      <c r="Q49" s="16"/>
      <c r="R49" s="16"/>
      <c r="S49" s="16"/>
      <c r="T49" s="16"/>
      <c r="U49" s="16"/>
      <c r="V49" s="16"/>
      <c r="W49" s="16"/>
      <c r="X49" s="16"/>
      <c r="Y49" s="21"/>
      <c r="Z49" s="763"/>
      <c r="AA49" s="958"/>
      <c r="AB49" s="958"/>
      <c r="AC49" s="958"/>
      <c r="AD49" s="763"/>
      <c r="AE49" s="763"/>
      <c r="AF49" s="763"/>
      <c r="AG49" s="763"/>
      <c r="AH49" s="16"/>
      <c r="AI49" s="16"/>
      <c r="AJ49" s="16"/>
      <c r="AK49" s="16"/>
      <c r="AL49" s="19"/>
      <c r="AM49" s="16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52"/>
      <c r="AY49" s="24"/>
      <c r="AZ49" s="24"/>
      <c r="BA49" s="24"/>
      <c r="BB49" s="24"/>
      <c r="BC49" s="24"/>
      <c r="BD49" s="24"/>
      <c r="BE49" s="16"/>
      <c r="BF49" s="16"/>
      <c r="BG49" s="16"/>
      <c r="BH49" s="16"/>
      <c r="BI49" s="16"/>
      <c r="BJ49" s="19"/>
      <c r="BK49" s="16"/>
      <c r="BL49" s="16"/>
      <c r="BM49" s="16"/>
      <c r="BN49" s="16"/>
      <c r="BO49" s="24">
        <v>0.87975000000000003</v>
      </c>
      <c r="BP49" s="24">
        <v>16.738759999999999</v>
      </c>
      <c r="BQ49" s="24">
        <v>52.671949999999995</v>
      </c>
      <c r="BR49" s="24">
        <v>104.03183</v>
      </c>
      <c r="BS49" s="24">
        <v>158.52439999999999</v>
      </c>
      <c r="BT49" s="24">
        <v>176.52929</v>
      </c>
      <c r="BU49" s="23">
        <v>198.17814000000001</v>
      </c>
      <c r="BV49" s="52">
        <v>212.01670000000001</v>
      </c>
      <c r="BW49" s="24">
        <v>268.55941999999999</v>
      </c>
      <c r="BX49" s="24">
        <v>294.06173999999999</v>
      </c>
      <c r="BY49" s="24">
        <v>331.84436999999997</v>
      </c>
      <c r="BZ49" s="24">
        <v>347.81847999999997</v>
      </c>
      <c r="CA49" s="24">
        <v>335.47912000000002</v>
      </c>
      <c r="CB49" s="24">
        <v>327.38845000000003</v>
      </c>
      <c r="CC49" s="24">
        <v>329.01220000000001</v>
      </c>
      <c r="CD49" s="24">
        <v>353.46078999999997</v>
      </c>
      <c r="CE49" s="24">
        <v>378.47785999999996</v>
      </c>
      <c r="CF49" s="24">
        <v>441.19475</v>
      </c>
      <c r="CG49" s="23">
        <v>432.21575999999999</v>
      </c>
      <c r="CH49" s="24">
        <v>466.96896999999996</v>
      </c>
      <c r="CI49" s="24">
        <v>477.98815999999999</v>
      </c>
      <c r="CJ49" s="24">
        <v>514.67655000000002</v>
      </c>
      <c r="CK49" s="24">
        <v>522.30106999999998</v>
      </c>
      <c r="CL49" s="24">
        <v>541.36739999999998</v>
      </c>
      <c r="CM49" s="24">
        <v>527.15075999999999</v>
      </c>
      <c r="CN49" s="24">
        <v>505.37913000000003</v>
      </c>
      <c r="CO49" s="24">
        <v>523.65444000000002</v>
      </c>
      <c r="CP49" s="24">
        <v>484.03631000000001</v>
      </c>
      <c r="CQ49" s="24">
        <v>496.03020000000004</v>
      </c>
      <c r="CR49" s="24">
        <v>495.45927</v>
      </c>
      <c r="CS49" s="24">
        <v>520.91132000000005</v>
      </c>
      <c r="CT49" s="52">
        <v>609.53359999999998</v>
      </c>
      <c r="CU49" s="24">
        <v>693.04170999999997</v>
      </c>
      <c r="CV49" s="24">
        <v>751.02253000000007</v>
      </c>
      <c r="CW49" s="24">
        <v>938.36403000000007</v>
      </c>
      <c r="CX49" s="24">
        <v>969.93401000000006</v>
      </c>
      <c r="CY49" s="24">
        <v>1015.1121400000001</v>
      </c>
      <c r="CZ49" s="24">
        <v>1079.6701599999999</v>
      </c>
      <c r="DA49" s="24">
        <v>1055.1193400000002</v>
      </c>
      <c r="DB49" s="24">
        <v>998.98156000000006</v>
      </c>
      <c r="DC49" s="24">
        <v>963.38698999999997</v>
      </c>
      <c r="DD49" s="24">
        <v>1031.6260600000001</v>
      </c>
      <c r="DE49" s="24">
        <v>1038.2203999999999</v>
      </c>
      <c r="DF49" s="52">
        <v>1024.5362399999999</v>
      </c>
      <c r="DG49" s="24">
        <v>1033.9227700000001</v>
      </c>
      <c r="DH49" s="24">
        <v>1095.9518700000001</v>
      </c>
      <c r="DI49" s="24">
        <v>1011.8892099999999</v>
      </c>
      <c r="DJ49" s="24">
        <v>952.19272000000001</v>
      </c>
      <c r="DK49" s="24">
        <v>1079.0292099999999</v>
      </c>
      <c r="DL49" s="24">
        <v>1068.5643799999998</v>
      </c>
      <c r="DM49" s="24">
        <v>1174.7169899999999</v>
      </c>
      <c r="DN49" s="24">
        <v>1140.9616100000001</v>
      </c>
      <c r="DO49" s="24">
        <v>1153.6741399999999</v>
      </c>
      <c r="DP49" s="24">
        <v>1201.9596399999998</v>
      </c>
      <c r="DQ49" s="23">
        <v>1191.6262099999999</v>
      </c>
      <c r="DR49" s="24">
        <v>1278.9747</v>
      </c>
      <c r="DS49" s="24">
        <v>1406.34762</v>
      </c>
      <c r="DT49" s="24">
        <v>1580.51584</v>
      </c>
      <c r="DU49" s="24">
        <v>1628.58026</v>
      </c>
      <c r="DV49" s="24">
        <v>1542.70588</v>
      </c>
      <c r="DW49" s="24">
        <v>1592.7569699999999</v>
      </c>
      <c r="DX49" s="24">
        <v>1632.7576399999998</v>
      </c>
      <c r="DY49" s="24">
        <v>1698.2197200000001</v>
      </c>
      <c r="DZ49" s="24">
        <v>1616.2186799999999</v>
      </c>
      <c r="EA49" s="24">
        <v>1596.42506</v>
      </c>
      <c r="EB49" s="24">
        <v>1549.0577499999999</v>
      </c>
      <c r="EC49" s="23">
        <v>1465.6295700000001</v>
      </c>
      <c r="ED49" s="52">
        <v>1514.9019499999999</v>
      </c>
      <c r="EE49" s="24">
        <v>1562</v>
      </c>
      <c r="EF49" s="24">
        <v>1604</v>
      </c>
      <c r="EG49" s="24">
        <f>13341-11822</f>
        <v>1519</v>
      </c>
      <c r="EH49" s="24">
        <v>1312</v>
      </c>
      <c r="EI49" s="24">
        <v>1124</v>
      </c>
      <c r="EJ49" s="24">
        <v>1125</v>
      </c>
      <c r="EK49" s="24">
        <v>1064</v>
      </c>
      <c r="EL49" s="24">
        <v>991</v>
      </c>
      <c r="EM49" s="24">
        <v>1048</v>
      </c>
      <c r="EN49" s="24">
        <v>1041</v>
      </c>
      <c r="EO49" s="23">
        <v>955.1</v>
      </c>
      <c r="EQ49" s="759">
        <f t="shared" si="8"/>
        <v>-6.8609022556391004</v>
      </c>
      <c r="ER49" s="759">
        <f t="shared" si="9"/>
        <v>-38.684039959246107</v>
      </c>
      <c r="ET49" s="945">
        <f t="shared" si="10"/>
        <v>5.3174049657807472E-4</v>
      </c>
      <c r="FF49" s="190"/>
    </row>
    <row r="50" spans="1:162" ht="13.9" customHeight="1" x14ac:dyDescent="0.2">
      <c r="A50" s="758" t="s">
        <v>264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3"/>
      <c r="N50" s="24"/>
      <c r="O50" s="24"/>
      <c r="P50" s="24"/>
      <c r="Q50" s="16"/>
      <c r="R50" s="16"/>
      <c r="S50" s="16"/>
      <c r="T50" s="16"/>
      <c r="U50" s="16"/>
      <c r="V50" s="16"/>
      <c r="W50" s="16"/>
      <c r="X50" s="16"/>
      <c r="Y50" s="21"/>
      <c r="Z50" s="763"/>
      <c r="AA50" s="958"/>
      <c r="AB50" s="958"/>
      <c r="AC50" s="958"/>
      <c r="AD50" s="763"/>
      <c r="AE50" s="763"/>
      <c r="AF50" s="763"/>
      <c r="AG50" s="763"/>
      <c r="AH50" s="16"/>
      <c r="AI50" s="16"/>
      <c r="AJ50" s="16"/>
      <c r="AK50" s="16"/>
      <c r="AL50" s="19"/>
      <c r="AM50" s="16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52"/>
      <c r="AY50" s="24"/>
      <c r="AZ50" s="24"/>
      <c r="BA50" s="24"/>
      <c r="BB50" s="24"/>
      <c r="BC50" s="24"/>
      <c r="BD50" s="24"/>
      <c r="BE50" s="16"/>
      <c r="BF50" s="16"/>
      <c r="BG50" s="16"/>
      <c r="BH50" s="16"/>
      <c r="BI50" s="16"/>
      <c r="BJ50" s="19"/>
      <c r="BK50" s="16"/>
      <c r="BL50" s="16"/>
      <c r="BM50" s="16"/>
      <c r="BN50" s="16"/>
      <c r="BO50" s="24"/>
      <c r="BP50" s="24"/>
      <c r="BQ50" s="24"/>
      <c r="BR50" s="24"/>
      <c r="BS50" s="24"/>
      <c r="BT50" s="24"/>
      <c r="BU50" s="23"/>
      <c r="BV50" s="52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3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52"/>
      <c r="CU50" s="24">
        <v>616.69034999999997</v>
      </c>
      <c r="CV50" s="24">
        <v>783.82141999999999</v>
      </c>
      <c r="CW50" s="24">
        <v>1003.8200400000001</v>
      </c>
      <c r="CX50" s="24">
        <v>2252.6637700000001</v>
      </c>
      <c r="CY50" s="24">
        <v>2721.6628799999999</v>
      </c>
      <c r="CZ50" s="24">
        <v>3012.3355299999998</v>
      </c>
      <c r="DA50" s="24">
        <v>3283.7618900000002</v>
      </c>
      <c r="DB50" s="24">
        <v>3509.4445000000001</v>
      </c>
      <c r="DC50" s="24">
        <v>3657.5995499999999</v>
      </c>
      <c r="DD50" s="24">
        <v>3871.0522799999999</v>
      </c>
      <c r="DE50" s="24">
        <v>4074.6379999999999</v>
      </c>
      <c r="DF50" s="52">
        <v>4335.2743399999999</v>
      </c>
      <c r="DG50" s="24">
        <v>4517.9653600000001</v>
      </c>
      <c r="DH50" s="24">
        <v>4573.3411999999998</v>
      </c>
      <c r="DI50" s="24">
        <v>4487.3581100000001</v>
      </c>
      <c r="DJ50" s="24">
        <v>4678.9858099999992</v>
      </c>
      <c r="DK50" s="24">
        <v>4737.4540900000002</v>
      </c>
      <c r="DL50" s="24">
        <v>4928.2118200000004</v>
      </c>
      <c r="DM50" s="24">
        <v>4701.5897500000001</v>
      </c>
      <c r="DN50" s="24">
        <v>4697.6552599999995</v>
      </c>
      <c r="DO50" s="24">
        <v>4764.6960799999997</v>
      </c>
      <c r="DP50" s="24">
        <v>4866.7229600000001</v>
      </c>
      <c r="DQ50" s="23">
        <v>4821.6838299999999</v>
      </c>
      <c r="DR50" s="24">
        <v>4831.9638499999992</v>
      </c>
      <c r="DS50" s="24">
        <v>4880.9111800000001</v>
      </c>
      <c r="DT50" s="24">
        <v>4869.8515599999992</v>
      </c>
      <c r="DU50" s="24">
        <v>4757.19427</v>
      </c>
      <c r="DV50" s="24">
        <v>4636.4965000000002</v>
      </c>
      <c r="DW50" s="24">
        <v>4589.6419000000005</v>
      </c>
      <c r="DX50" s="24">
        <v>4679.7602900000002</v>
      </c>
      <c r="DY50" s="24">
        <v>904.85961999999995</v>
      </c>
      <c r="DZ50" s="24">
        <v>5017.4779699999999</v>
      </c>
      <c r="EA50" s="24">
        <v>5227.8231500000002</v>
      </c>
      <c r="EB50" s="24">
        <v>5483.4200500000006</v>
      </c>
      <c r="EC50" s="23">
        <v>5800.4704000000002</v>
      </c>
      <c r="ED50" s="52">
        <v>6277.9839499999998</v>
      </c>
      <c r="EE50" s="24">
        <v>6836</v>
      </c>
      <c r="EF50" s="24">
        <v>6850</v>
      </c>
      <c r="EG50" s="24">
        <v>6664</v>
      </c>
      <c r="EH50" s="24">
        <v>6467</v>
      </c>
      <c r="EI50" s="24">
        <v>6458</v>
      </c>
      <c r="EJ50" s="24">
        <v>6891</v>
      </c>
      <c r="EK50" s="24">
        <v>7151</v>
      </c>
      <c r="EL50" s="24">
        <v>7555</v>
      </c>
      <c r="EM50" s="24">
        <v>7922.5</v>
      </c>
      <c r="EN50" s="24">
        <v>8278</v>
      </c>
      <c r="EO50" s="23">
        <v>8575.4</v>
      </c>
      <c r="EQ50" s="759">
        <f t="shared" si="8"/>
        <v>5.6495595021675227</v>
      </c>
      <c r="ER50" s="759">
        <f t="shared" si="9"/>
        <v>50.573655632811885</v>
      </c>
      <c r="ET50" s="945">
        <f t="shared" si="10"/>
        <v>2.203613443815412E-3</v>
      </c>
      <c r="FF50" s="190"/>
    </row>
    <row r="51" spans="1:162" ht="13.9" customHeight="1" x14ac:dyDescent="0.2">
      <c r="A51" s="758" t="s">
        <v>270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3"/>
      <c r="N51" s="24"/>
      <c r="O51" s="24"/>
      <c r="P51" s="24"/>
      <c r="Q51" s="16"/>
      <c r="R51" s="16"/>
      <c r="S51" s="16"/>
      <c r="T51" s="16"/>
      <c r="U51" s="16"/>
      <c r="V51" s="16"/>
      <c r="W51" s="16"/>
      <c r="X51" s="16"/>
      <c r="Y51" s="21"/>
      <c r="Z51" s="763"/>
      <c r="AA51" s="958"/>
      <c r="AB51" s="958"/>
      <c r="AC51" s="958"/>
      <c r="AD51" s="763"/>
      <c r="AE51" s="763"/>
      <c r="AF51" s="763"/>
      <c r="AG51" s="763"/>
      <c r="AH51" s="16"/>
      <c r="AI51" s="16"/>
      <c r="AJ51" s="16"/>
      <c r="AK51" s="16"/>
      <c r="AL51" s="19"/>
      <c r="AM51" s="16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52"/>
      <c r="AY51" s="24"/>
      <c r="AZ51" s="24"/>
      <c r="BA51" s="24"/>
      <c r="BB51" s="24"/>
      <c r="BC51" s="24"/>
      <c r="BD51" s="24"/>
      <c r="BE51" s="16"/>
      <c r="BF51" s="16"/>
      <c r="BG51" s="16"/>
      <c r="BH51" s="16"/>
      <c r="BI51" s="16"/>
      <c r="BJ51" s="19"/>
      <c r="BK51" s="16"/>
      <c r="BL51" s="16"/>
      <c r="BM51" s="16"/>
      <c r="BN51" s="16"/>
      <c r="BO51" s="24"/>
      <c r="BP51" s="24"/>
      <c r="BQ51" s="24"/>
      <c r="BR51" s="24"/>
      <c r="BS51" s="24"/>
      <c r="BT51" s="24"/>
      <c r="BU51" s="23"/>
      <c r="BV51" s="52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3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52"/>
      <c r="CU51" s="24"/>
      <c r="CV51" s="24"/>
      <c r="CW51" s="24"/>
      <c r="CX51" s="24"/>
      <c r="CY51" s="24"/>
      <c r="CZ51" s="24"/>
      <c r="DA51" s="24"/>
      <c r="DB51" s="24">
        <v>90.492539999999991</v>
      </c>
      <c r="DC51" s="24">
        <v>210.64873</v>
      </c>
      <c r="DD51" s="24">
        <v>460.07103999999998</v>
      </c>
      <c r="DE51" s="24">
        <v>762.15727000000004</v>
      </c>
      <c r="DF51" s="52">
        <v>942.35877000000005</v>
      </c>
      <c r="DG51" s="24">
        <v>1032.6221</v>
      </c>
      <c r="DH51" s="24">
        <v>1198.2398999999998</v>
      </c>
      <c r="DI51" s="24">
        <v>1329.67688</v>
      </c>
      <c r="DJ51" s="24">
        <v>1526.3639599999999</v>
      </c>
      <c r="DK51" s="24">
        <v>1493.5528899999999</v>
      </c>
      <c r="DL51" s="24">
        <v>1463.3151599999999</v>
      </c>
      <c r="DM51" s="24">
        <v>1423.1163100000001</v>
      </c>
      <c r="DN51" s="24">
        <v>1386.66912</v>
      </c>
      <c r="DO51" s="24">
        <v>1375.83439</v>
      </c>
      <c r="DP51" s="24">
        <v>1424.98795</v>
      </c>
      <c r="DQ51" s="23">
        <v>1276.49622</v>
      </c>
      <c r="DR51" s="24">
        <v>1211.5044599999999</v>
      </c>
      <c r="DS51" s="24">
        <v>1181.5411200000001</v>
      </c>
      <c r="DT51" s="24">
        <v>1198.42525</v>
      </c>
      <c r="DU51" s="24">
        <v>1162.16066</v>
      </c>
      <c r="DV51" s="24">
        <v>1077.6994</v>
      </c>
      <c r="DW51" s="24">
        <v>1022.64099</v>
      </c>
      <c r="DX51" s="24">
        <v>1002.0254200000001</v>
      </c>
      <c r="DY51" s="24">
        <v>4861.4335300000002</v>
      </c>
      <c r="DZ51" s="24">
        <v>871.14483999999993</v>
      </c>
      <c r="EA51" s="24">
        <v>892.32418999999993</v>
      </c>
      <c r="EB51" s="24">
        <v>730.83504000000005</v>
      </c>
      <c r="EC51" s="23">
        <v>696.20884000000001</v>
      </c>
      <c r="ED51" s="52">
        <v>736.34699999999998</v>
      </c>
      <c r="EE51" s="24">
        <v>731</v>
      </c>
      <c r="EF51" s="24">
        <v>734</v>
      </c>
      <c r="EG51" s="24">
        <v>729</v>
      </c>
      <c r="EH51" s="24">
        <v>725</v>
      </c>
      <c r="EI51" s="24">
        <v>721</v>
      </c>
      <c r="EJ51" s="24">
        <v>711</v>
      </c>
      <c r="EK51" s="24">
        <v>704</v>
      </c>
      <c r="EL51" s="24">
        <v>690</v>
      </c>
      <c r="EM51" s="24">
        <v>683</v>
      </c>
      <c r="EN51" s="24">
        <v>665</v>
      </c>
      <c r="EO51" s="23">
        <v>655</v>
      </c>
      <c r="EQ51" s="759">
        <f t="shared" si="8"/>
        <v>-1.9886363636363646</v>
      </c>
      <c r="ER51" s="759">
        <f t="shared" si="9"/>
        <v>-20.793883138881931</v>
      </c>
      <c r="ET51" s="945">
        <f t="shared" si="10"/>
        <v>2.5846261497899296E-4</v>
      </c>
      <c r="FF51" s="190"/>
    </row>
    <row r="52" spans="1:162" s="211" customFormat="1" ht="13.9" customHeight="1" x14ac:dyDescent="0.2">
      <c r="A52" s="312" t="s">
        <v>245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15"/>
      <c r="N52" s="29"/>
      <c r="O52" s="29"/>
      <c r="P52" s="29"/>
      <c r="Q52" s="10"/>
      <c r="R52" s="10"/>
      <c r="S52" s="10"/>
      <c r="T52" s="10"/>
      <c r="U52" s="10"/>
      <c r="V52" s="10"/>
      <c r="W52" s="10"/>
      <c r="X52" s="10"/>
      <c r="Y52" s="12"/>
      <c r="Z52" s="29">
        <v>77361.39873999999</v>
      </c>
      <c r="AA52" s="29">
        <v>78387.802450000003</v>
      </c>
      <c r="AB52" s="29">
        <v>79029.759390000007</v>
      </c>
      <c r="AC52" s="29">
        <v>79330.286260000008</v>
      </c>
      <c r="AD52" s="29">
        <v>79679.274639999989</v>
      </c>
      <c r="AE52" s="29">
        <v>80406.038719999997</v>
      </c>
      <c r="AF52" s="29">
        <v>80280.621910000002</v>
      </c>
      <c r="AG52" s="29">
        <v>80843.475839999999</v>
      </c>
      <c r="AH52" s="29">
        <v>81145.185819999999</v>
      </c>
      <c r="AI52" s="29">
        <v>81490.310130000013</v>
      </c>
      <c r="AJ52" s="29">
        <v>81534.314419999995</v>
      </c>
      <c r="AK52" s="29">
        <v>81629.172349999993</v>
      </c>
      <c r="AL52" s="51">
        <v>82471.635649999997</v>
      </c>
      <c r="AM52" s="29">
        <v>83396.463570000007</v>
      </c>
      <c r="AN52" s="29">
        <v>84198.498650000009</v>
      </c>
      <c r="AO52" s="29">
        <v>84262.694000000003</v>
      </c>
      <c r="AP52" s="29">
        <v>84248.967149999997</v>
      </c>
      <c r="AQ52" s="29">
        <v>83968.654629999975</v>
      </c>
      <c r="AR52" s="29">
        <v>84524.09451000001</v>
      </c>
      <c r="AS52" s="29">
        <v>85035.015419999996</v>
      </c>
      <c r="AT52" s="29">
        <v>84707.25959999999</v>
      </c>
      <c r="AU52" s="29">
        <v>84878.538659999991</v>
      </c>
      <c r="AV52" s="29">
        <v>84497</v>
      </c>
      <c r="AW52" s="29">
        <v>84458.91667999998</v>
      </c>
      <c r="AX52" s="51">
        <v>84946.65529000001</v>
      </c>
      <c r="AY52" s="29">
        <v>86056.506819999995</v>
      </c>
      <c r="AZ52" s="29">
        <v>87013.010739999998</v>
      </c>
      <c r="BA52" s="29">
        <v>89673.767420000004</v>
      </c>
      <c r="BB52" s="29">
        <v>90915.325060000003</v>
      </c>
      <c r="BC52" s="29">
        <v>91532.304499999998</v>
      </c>
      <c r="BD52" s="29">
        <v>91563.027210000015</v>
      </c>
      <c r="BE52" s="29">
        <v>92366.211190000002</v>
      </c>
      <c r="BF52" s="29">
        <v>93630.781230000008</v>
      </c>
      <c r="BG52" s="29">
        <v>94806.897420000008</v>
      </c>
      <c r="BH52" s="29">
        <v>95850</v>
      </c>
      <c r="BI52" s="29">
        <v>95655.769239999994</v>
      </c>
      <c r="BJ52" s="51">
        <v>97235</v>
      </c>
      <c r="BK52" s="29">
        <v>98366.99</v>
      </c>
      <c r="BL52" s="29">
        <v>99555</v>
      </c>
      <c r="BM52" s="29">
        <v>102604.28</v>
      </c>
      <c r="BN52" s="29">
        <v>103929.85</v>
      </c>
      <c r="BO52" s="29">
        <v>104437.64000000003</v>
      </c>
      <c r="BP52" s="29">
        <v>105036.5</v>
      </c>
      <c r="BQ52" s="29">
        <v>105639</v>
      </c>
      <c r="BR52" s="29">
        <v>106394.46750999999</v>
      </c>
      <c r="BS52" s="29">
        <v>107006</v>
      </c>
      <c r="BT52" s="29">
        <v>107552.44000000002</v>
      </c>
      <c r="BU52" s="15">
        <v>106501.92963</v>
      </c>
      <c r="BV52" s="51">
        <v>107841.78290999999</v>
      </c>
      <c r="BW52" s="29">
        <v>108701.12</v>
      </c>
      <c r="BX52" s="29">
        <v>110485.65391000001</v>
      </c>
      <c r="BY52" s="29">
        <v>111289.48</v>
      </c>
      <c r="BZ52" s="29">
        <v>113367.83</v>
      </c>
      <c r="CA52" s="29">
        <v>113635.42723999999</v>
      </c>
      <c r="CB52" s="29">
        <v>114439.80770999999</v>
      </c>
      <c r="CC52" s="29">
        <v>116002.92000000004</v>
      </c>
      <c r="CD52" s="29">
        <v>118128.63999999994</v>
      </c>
      <c r="CE52" s="29">
        <v>119604.01</v>
      </c>
      <c r="CF52" s="29">
        <v>120597.18000000004</v>
      </c>
      <c r="CG52" s="15">
        <v>121180.85000000003</v>
      </c>
      <c r="CH52" s="29">
        <v>122668.93000000001</v>
      </c>
      <c r="CI52" s="29">
        <v>124194.00000000003</v>
      </c>
      <c r="CJ52" s="29">
        <v>125386.63999999998</v>
      </c>
      <c r="CK52" s="29">
        <v>127331.41347999997</v>
      </c>
      <c r="CL52" s="29">
        <v>128745.93000000004</v>
      </c>
      <c r="CM52" s="29">
        <v>130282.37000000008</v>
      </c>
      <c r="CN52" s="29">
        <v>130848.54999999999</v>
      </c>
      <c r="CO52" s="29">
        <v>132252.48000000004</v>
      </c>
      <c r="CP52" s="29">
        <v>133038.11719999934</v>
      </c>
      <c r="CQ52" s="29">
        <v>134259.79096999997</v>
      </c>
      <c r="CR52" s="29">
        <v>135377.52416</v>
      </c>
      <c r="CS52" s="29">
        <v>136486.29615000001</v>
      </c>
      <c r="CT52" s="51">
        <v>137542.86596</v>
      </c>
      <c r="CU52" s="29">
        <v>138712.33311000007</v>
      </c>
      <c r="CV52" s="29">
        <v>140953.12683999995</v>
      </c>
      <c r="CW52" s="29">
        <v>143741.78370999999</v>
      </c>
      <c r="CX52" s="29">
        <v>146884.32603999996</v>
      </c>
      <c r="CY52" s="29">
        <v>149425.79180000012</v>
      </c>
      <c r="CZ52" s="29">
        <v>151629.42683000001</v>
      </c>
      <c r="DA52" s="29">
        <v>158804.22011999998</v>
      </c>
      <c r="DB52" s="29">
        <v>162936.36277999997</v>
      </c>
      <c r="DC52" s="29">
        <v>164777.56332999995</v>
      </c>
      <c r="DD52" s="29">
        <v>166737.72601999997</v>
      </c>
      <c r="DE52" s="29">
        <v>170330.16266</v>
      </c>
      <c r="DF52" s="51">
        <v>174538.74546999997</v>
      </c>
      <c r="DG52" s="29">
        <v>177622.32497999992</v>
      </c>
      <c r="DH52" s="29">
        <v>182344.08697000003</v>
      </c>
      <c r="DI52" s="29">
        <v>187899.19889999999</v>
      </c>
      <c r="DJ52" s="29">
        <v>192663.13997999998</v>
      </c>
      <c r="DK52" s="29">
        <v>194971.71182999999</v>
      </c>
      <c r="DL52" s="29">
        <v>196534.25205999997</v>
      </c>
      <c r="DM52" s="29">
        <v>198800.26017000002</v>
      </c>
      <c r="DN52" s="29">
        <v>200040.47913000005</v>
      </c>
      <c r="DO52" s="29">
        <v>201162.32944000003</v>
      </c>
      <c r="DP52" s="29">
        <v>202126.02042999992</v>
      </c>
      <c r="DQ52" s="15">
        <v>201569.53909999999</v>
      </c>
      <c r="DR52" s="29">
        <v>203306.2064</v>
      </c>
      <c r="DS52" s="29">
        <v>203651.94680000001</v>
      </c>
      <c r="DT52" s="29">
        <v>203713.3241</v>
      </c>
      <c r="DU52" s="29">
        <v>202150.64550000001</v>
      </c>
      <c r="DV52" s="29">
        <v>200589.86900000001</v>
      </c>
      <c r="DW52" s="29">
        <v>200851.57919999998</v>
      </c>
      <c r="DX52" s="29">
        <v>200200.9388</v>
      </c>
      <c r="DY52" s="29">
        <v>201338.96790000002</v>
      </c>
      <c r="DZ52" s="29">
        <v>201782.90493000002</v>
      </c>
      <c r="EA52" s="29">
        <v>201722.8971</v>
      </c>
      <c r="EB52" s="29">
        <v>202383.07709999999</v>
      </c>
      <c r="EC52" s="15">
        <v>201927.29323000001</v>
      </c>
      <c r="ED52" s="51">
        <v>203441.86715999999</v>
      </c>
      <c r="EE52" s="29">
        <v>203979</v>
      </c>
      <c r="EF52" s="29">
        <v>202784.37991999998</v>
      </c>
      <c r="EG52" s="29">
        <v>198947.69928999999</v>
      </c>
      <c r="EH52" s="29">
        <v>195778</v>
      </c>
      <c r="EI52" s="29">
        <v>192059.4</v>
      </c>
      <c r="EJ52" s="29">
        <v>186138.27122</v>
      </c>
      <c r="EK52" s="29">
        <v>181814.06208999999</v>
      </c>
      <c r="EL52" s="29">
        <v>183511</v>
      </c>
      <c r="EM52" s="29">
        <v>183341.89704999997</v>
      </c>
      <c r="EN52" s="29">
        <v>188975.74040000001</v>
      </c>
      <c r="EO52" s="15">
        <v>191029.4</v>
      </c>
      <c r="EP52" s="130"/>
      <c r="EQ52" s="757">
        <f t="shared" si="8"/>
        <v>0.93333699852105045</v>
      </c>
      <c r="ER52" s="757">
        <f t="shared" si="9"/>
        <v>-9.0552293993084731</v>
      </c>
      <c r="ET52" s="1040">
        <f t="shared" si="10"/>
        <v>7.1409426510031959E-2</v>
      </c>
      <c r="FF52" s="191" t="s">
        <v>550</v>
      </c>
    </row>
    <row r="53" spans="1:162" s="211" customFormat="1" ht="13.9" customHeight="1" x14ac:dyDescent="0.2">
      <c r="A53" s="312" t="s">
        <v>244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15"/>
      <c r="N53" s="29"/>
      <c r="O53" s="29"/>
      <c r="P53" s="29"/>
      <c r="Q53" s="10"/>
      <c r="R53" s="10"/>
      <c r="S53" s="10"/>
      <c r="T53" s="10"/>
      <c r="U53" s="10"/>
      <c r="V53" s="10"/>
      <c r="W53" s="10"/>
      <c r="X53" s="10"/>
      <c r="Y53" s="12"/>
      <c r="Z53" s="29">
        <v>22611.049050000001</v>
      </c>
      <c r="AA53" s="29">
        <v>24698.920870000002</v>
      </c>
      <c r="AB53" s="29">
        <v>25572.03282</v>
      </c>
      <c r="AC53" s="29">
        <v>24901.098480000001</v>
      </c>
      <c r="AD53" s="29">
        <v>22288.213909999999</v>
      </c>
      <c r="AE53" s="29">
        <v>18884.638010000002</v>
      </c>
      <c r="AF53" s="29">
        <v>16373.516320000001</v>
      </c>
      <c r="AG53" s="29">
        <v>16826.12168</v>
      </c>
      <c r="AH53" s="29">
        <v>16934.244999999999</v>
      </c>
      <c r="AI53" s="29">
        <v>18310.331999999999</v>
      </c>
      <c r="AJ53" s="29">
        <v>19891.778999999999</v>
      </c>
      <c r="AK53" s="29">
        <v>21676.85</v>
      </c>
      <c r="AL53" s="51">
        <v>22968.2</v>
      </c>
      <c r="AM53" s="29">
        <v>23676.782999999999</v>
      </c>
      <c r="AN53" s="29">
        <v>24514.68</v>
      </c>
      <c r="AO53" s="29">
        <v>24155.88</v>
      </c>
      <c r="AP53" s="29">
        <v>22943.72</v>
      </c>
      <c r="AQ53" s="29">
        <v>20897.259999999998</v>
      </c>
      <c r="AR53" s="29">
        <v>17535.060000000001</v>
      </c>
      <c r="AS53" s="29">
        <v>16274.41</v>
      </c>
      <c r="AT53" s="29">
        <v>17271.13</v>
      </c>
      <c r="AU53" s="29">
        <v>19402.599999999999</v>
      </c>
      <c r="AV53" s="29">
        <v>21926.240000000002</v>
      </c>
      <c r="AW53" s="29">
        <v>25250.16</v>
      </c>
      <c r="AX53" s="51">
        <v>27343.57</v>
      </c>
      <c r="AY53" s="29">
        <v>28908.45</v>
      </c>
      <c r="AZ53" s="29">
        <v>29599.685000000001</v>
      </c>
      <c r="BA53" s="29">
        <v>30555.116000000002</v>
      </c>
      <c r="BB53" s="29">
        <v>31501.275000000001</v>
      </c>
      <c r="BC53" s="29">
        <v>34086.19</v>
      </c>
      <c r="BD53" s="29">
        <v>34559.949999999997</v>
      </c>
      <c r="BE53" s="29">
        <v>36009.938999999998</v>
      </c>
      <c r="BF53" s="29">
        <v>35768.203999999998</v>
      </c>
      <c r="BG53" s="29">
        <v>38102.120000000003</v>
      </c>
      <c r="BH53" s="29">
        <v>41314</v>
      </c>
      <c r="BI53" s="29">
        <v>45069.550999999999</v>
      </c>
      <c r="BJ53" s="51">
        <v>47807</v>
      </c>
      <c r="BK53" s="29">
        <v>53469</v>
      </c>
      <c r="BL53" s="29">
        <v>57781.5</v>
      </c>
      <c r="BM53" s="29">
        <v>59529.756999999998</v>
      </c>
      <c r="BN53" s="29">
        <v>57868.14</v>
      </c>
      <c r="BO53" s="29">
        <v>58487</v>
      </c>
      <c r="BP53" s="29">
        <v>63909</v>
      </c>
      <c r="BQ53" s="29">
        <v>68213.039000000004</v>
      </c>
      <c r="BR53" s="29">
        <v>68938</v>
      </c>
      <c r="BS53" s="29">
        <v>69945</v>
      </c>
      <c r="BT53" s="29">
        <v>70086.150999999998</v>
      </c>
      <c r="BU53" s="15">
        <v>71117.422999999995</v>
      </c>
      <c r="BV53" s="51">
        <v>71059.759000000005</v>
      </c>
      <c r="BW53" s="29">
        <v>72681.491999999998</v>
      </c>
      <c r="BX53" s="29">
        <v>75517.611000000004</v>
      </c>
      <c r="BY53" s="29">
        <v>79535.37</v>
      </c>
      <c r="BZ53" s="29">
        <v>83367.039999999994</v>
      </c>
      <c r="CA53" s="29">
        <v>84741.316000000006</v>
      </c>
      <c r="CB53" s="29">
        <v>86702.804000000004</v>
      </c>
      <c r="CC53" s="29">
        <v>89079.327000000005</v>
      </c>
      <c r="CD53" s="29">
        <v>90151.48</v>
      </c>
      <c r="CE53" s="29">
        <v>92706.407000000007</v>
      </c>
      <c r="CF53" s="29">
        <v>94623.369000000006</v>
      </c>
      <c r="CG53" s="15">
        <v>96292.858999999997</v>
      </c>
      <c r="CH53" s="29">
        <v>97180.948999999993</v>
      </c>
      <c r="CI53" s="29">
        <v>98603.856</v>
      </c>
      <c r="CJ53" s="29">
        <v>100081.503</v>
      </c>
      <c r="CK53" s="29">
        <v>101236.769</v>
      </c>
      <c r="CL53" s="29">
        <v>102614.611</v>
      </c>
      <c r="CM53" s="29">
        <v>101565.466</v>
      </c>
      <c r="CN53" s="29">
        <v>104088.79300000001</v>
      </c>
      <c r="CO53" s="29">
        <v>103614.247</v>
      </c>
      <c r="CP53" s="29">
        <v>104898.44500000001</v>
      </c>
      <c r="CQ53" s="29">
        <v>104874.96799999999</v>
      </c>
      <c r="CR53" s="29">
        <v>105213.143</v>
      </c>
      <c r="CS53" s="29">
        <v>106166.37</v>
      </c>
      <c r="CT53" s="51">
        <v>103761.144</v>
      </c>
      <c r="CU53" s="29">
        <v>104662.827</v>
      </c>
      <c r="CV53" s="29">
        <v>104453.162</v>
      </c>
      <c r="CW53" s="29">
        <v>103598.08</v>
      </c>
      <c r="CX53" s="29">
        <v>128408.583</v>
      </c>
      <c r="CY53" s="29">
        <v>111413.073</v>
      </c>
      <c r="CZ53" s="29">
        <v>109357.151</v>
      </c>
      <c r="DA53" s="29">
        <v>100894.818</v>
      </c>
      <c r="DB53" s="29">
        <v>89413.659</v>
      </c>
      <c r="DC53" s="29">
        <v>88564.146999999997</v>
      </c>
      <c r="DD53" s="29">
        <v>85295.84</v>
      </c>
      <c r="DE53" s="29">
        <v>77137.712</v>
      </c>
      <c r="DF53" s="51">
        <v>74901.482000000004</v>
      </c>
      <c r="DG53" s="29">
        <v>73755.81</v>
      </c>
      <c r="DH53" s="29">
        <v>72126.066999999995</v>
      </c>
      <c r="DI53" s="29">
        <v>65277.012000000002</v>
      </c>
      <c r="DJ53" s="29">
        <v>62766.474000000002</v>
      </c>
      <c r="DK53" s="29">
        <v>60901.616999999998</v>
      </c>
      <c r="DL53" s="29">
        <v>59756.576999999997</v>
      </c>
      <c r="DM53" s="29">
        <v>57883.748</v>
      </c>
      <c r="DN53" s="29">
        <v>56684.493000000002</v>
      </c>
      <c r="DO53" s="29">
        <v>55452.667000000001</v>
      </c>
      <c r="DP53" s="29">
        <v>53920.338000000003</v>
      </c>
      <c r="DQ53" s="15">
        <v>47184.724000000002</v>
      </c>
      <c r="DR53" s="29">
        <v>54716.432999999997</v>
      </c>
      <c r="DS53" s="29">
        <v>54514.714</v>
      </c>
      <c r="DT53" s="29">
        <v>54462.233999999997</v>
      </c>
      <c r="DU53" s="29">
        <v>45417.927000000003</v>
      </c>
      <c r="DV53" s="29">
        <v>44959.771999999997</v>
      </c>
      <c r="DW53" s="29">
        <v>44614.858999999997</v>
      </c>
      <c r="DX53" s="29">
        <v>44183.88</v>
      </c>
      <c r="DY53" s="29">
        <v>43738.995000000003</v>
      </c>
      <c r="DZ53" s="29">
        <v>49849.328999999998</v>
      </c>
      <c r="EA53" s="29">
        <v>49694.728999999999</v>
      </c>
      <c r="EB53" s="29">
        <v>49739.218000000001</v>
      </c>
      <c r="EC53" s="15">
        <v>45413.576999999997</v>
      </c>
      <c r="ED53" s="51">
        <v>45466.25</v>
      </c>
      <c r="EE53" s="29">
        <v>45466.25</v>
      </c>
      <c r="EF53" s="29">
        <v>45732.523999999998</v>
      </c>
      <c r="EG53" s="29">
        <v>45630.267</v>
      </c>
      <c r="EH53" s="29">
        <v>45593</v>
      </c>
      <c r="EI53" s="29">
        <v>45525.4</v>
      </c>
      <c r="EJ53" s="29">
        <v>45251.587</v>
      </c>
      <c r="EK53" s="29">
        <v>44516.330999999998</v>
      </c>
      <c r="EL53" s="29">
        <v>43983</v>
      </c>
      <c r="EM53" s="29">
        <v>43624.506000000001</v>
      </c>
      <c r="EN53" s="29">
        <v>43128.584999999999</v>
      </c>
      <c r="EO53" s="15">
        <v>41312.400000000001</v>
      </c>
      <c r="EP53" s="130"/>
      <c r="EQ53" s="757">
        <f t="shared" si="8"/>
        <v>-1.19805695577202</v>
      </c>
      <c r="ER53" s="757">
        <f t="shared" si="9"/>
        <v>-11.768120289041395</v>
      </c>
      <c r="ET53" s="1040">
        <f t="shared" si="10"/>
        <v>1.5958951239413807E-2</v>
      </c>
      <c r="FF53" s="191" t="s">
        <v>551</v>
      </c>
    </row>
    <row r="54" spans="1:162" ht="13.9" customHeight="1" x14ac:dyDescent="0.2">
      <c r="A54" s="190"/>
      <c r="B54" s="946"/>
      <c r="C54" s="946"/>
      <c r="D54" s="946"/>
      <c r="E54" s="946"/>
      <c r="F54" s="946"/>
      <c r="G54" s="946"/>
      <c r="H54" s="946"/>
      <c r="I54" s="946"/>
      <c r="J54" s="946"/>
      <c r="K54" s="946"/>
      <c r="L54" s="946"/>
      <c r="M54" s="947"/>
      <c r="N54" s="946"/>
      <c r="O54" s="946"/>
      <c r="P54" s="946"/>
      <c r="Q54" s="946"/>
      <c r="R54" s="946"/>
      <c r="S54" s="946"/>
      <c r="T54" s="946"/>
      <c r="U54" s="946"/>
      <c r="V54" s="946"/>
      <c r="W54" s="946"/>
      <c r="X54" s="946"/>
      <c r="Y54" s="947"/>
      <c r="Z54" s="946"/>
      <c r="AA54" s="946"/>
      <c r="AB54" s="946"/>
      <c r="AC54" s="946"/>
      <c r="AD54" s="946"/>
      <c r="AE54" s="946"/>
      <c r="AF54" s="946"/>
      <c r="AG54" s="946"/>
      <c r="AH54" s="946"/>
      <c r="AI54" s="946"/>
      <c r="AJ54" s="946"/>
      <c r="AK54" s="946"/>
      <c r="AL54" s="948"/>
      <c r="AM54" s="946"/>
      <c r="AN54" s="946"/>
      <c r="AO54" s="946"/>
      <c r="AP54" s="946"/>
      <c r="AQ54" s="946"/>
      <c r="AR54" s="946"/>
      <c r="AS54" s="946"/>
      <c r="AT54" s="946"/>
      <c r="AU54" s="946"/>
      <c r="AV54" s="946"/>
      <c r="AW54" s="946"/>
      <c r="AX54" s="948"/>
      <c r="AY54" s="946"/>
      <c r="AZ54" s="946"/>
      <c r="BA54" s="946"/>
      <c r="BB54" s="946"/>
      <c r="BC54" s="946"/>
      <c r="BD54" s="946"/>
      <c r="BE54" s="946"/>
      <c r="BF54" s="946"/>
      <c r="BG54" s="946"/>
      <c r="BH54" s="946"/>
      <c r="BI54" s="946"/>
      <c r="BJ54" s="948"/>
      <c r="BK54" s="946"/>
      <c r="BL54" s="946"/>
      <c r="BM54" s="946"/>
      <c r="BN54" s="946"/>
      <c r="BO54" s="946"/>
      <c r="BP54" s="946"/>
      <c r="BQ54" s="946"/>
      <c r="BR54" s="946"/>
      <c r="BS54" s="946"/>
      <c r="BT54" s="946"/>
      <c r="BU54" s="947"/>
      <c r="BV54" s="948"/>
      <c r="BW54" s="946"/>
      <c r="BX54" s="946"/>
      <c r="BY54" s="946"/>
      <c r="BZ54" s="946"/>
      <c r="CA54" s="946"/>
      <c r="CB54" s="946"/>
      <c r="CC54" s="946"/>
      <c r="CD54" s="946"/>
      <c r="CE54" s="946"/>
      <c r="CF54" s="946"/>
      <c r="CG54" s="947"/>
      <c r="CH54" s="946"/>
      <c r="CI54" s="946"/>
      <c r="CJ54" s="946"/>
      <c r="CK54" s="946"/>
      <c r="CL54" s="946"/>
      <c r="CM54" s="946"/>
      <c r="CN54" s="946"/>
      <c r="CO54" s="946"/>
      <c r="CP54" s="946"/>
      <c r="CQ54" s="946"/>
      <c r="CR54" s="946"/>
      <c r="CS54" s="946"/>
      <c r="CT54" s="948"/>
      <c r="CU54" s="946"/>
      <c r="CV54" s="946"/>
      <c r="CW54" s="946"/>
      <c r="CX54" s="946"/>
      <c r="CY54" s="946"/>
      <c r="CZ54" s="946"/>
      <c r="DA54" s="946"/>
      <c r="DB54" s="946"/>
      <c r="DC54" s="946"/>
      <c r="DD54" s="946"/>
      <c r="DE54" s="946"/>
      <c r="DF54" s="948"/>
      <c r="DG54" s="946"/>
      <c r="DH54" s="946"/>
      <c r="DI54" s="946"/>
      <c r="DJ54" s="946"/>
      <c r="DK54" s="946"/>
      <c r="DL54" s="946"/>
      <c r="DM54" s="946"/>
      <c r="DN54" s="946"/>
      <c r="DO54" s="946"/>
      <c r="DP54" s="946"/>
      <c r="DQ54" s="947"/>
      <c r="DR54" s="946"/>
      <c r="DS54" s="946"/>
      <c r="DT54" s="946"/>
      <c r="DU54" s="946"/>
      <c r="DV54" s="946"/>
      <c r="DW54" s="946"/>
      <c r="DX54" s="946"/>
      <c r="DY54" s="946"/>
      <c r="DZ54" s="946"/>
      <c r="EA54" s="946"/>
      <c r="EB54" s="946"/>
      <c r="EC54" s="947"/>
      <c r="ED54" s="948"/>
      <c r="EE54" s="946"/>
      <c r="EF54" s="946"/>
      <c r="EG54" s="946"/>
      <c r="EH54" s="946"/>
      <c r="EI54" s="946"/>
      <c r="EJ54" s="946"/>
      <c r="EK54" s="946"/>
      <c r="EL54" s="946"/>
      <c r="EM54" s="946"/>
      <c r="EN54" s="946"/>
      <c r="EO54" s="947"/>
      <c r="EQ54" s="757" t="str">
        <f t="shared" si="8"/>
        <v>-</v>
      </c>
      <c r="ER54" s="757" t="str">
        <f t="shared" si="9"/>
        <v>-</v>
      </c>
      <c r="ET54" s="945"/>
      <c r="FF54" s="190"/>
    </row>
    <row r="55" spans="1:162" s="211" customFormat="1" ht="13.9" customHeight="1" x14ac:dyDescent="0.2">
      <c r="A55" s="312" t="s">
        <v>13</v>
      </c>
      <c r="B55" s="29">
        <f t="shared" ref="B55:BM55" si="37">SUM(B56:B57)</f>
        <v>842170</v>
      </c>
      <c r="C55" s="29">
        <f t="shared" si="37"/>
        <v>869401</v>
      </c>
      <c r="D55" s="29">
        <f t="shared" si="37"/>
        <v>871448</v>
      </c>
      <c r="E55" s="29">
        <f t="shared" si="37"/>
        <v>872916</v>
      </c>
      <c r="F55" s="29">
        <f t="shared" si="37"/>
        <v>890085</v>
      </c>
      <c r="G55" s="29">
        <f t="shared" si="37"/>
        <v>879765</v>
      </c>
      <c r="H55" s="29">
        <f t="shared" si="37"/>
        <v>889045</v>
      </c>
      <c r="I55" s="29">
        <f t="shared" si="37"/>
        <v>888404</v>
      </c>
      <c r="J55" s="29">
        <f t="shared" si="37"/>
        <v>899273</v>
      </c>
      <c r="K55" s="29">
        <f t="shared" si="37"/>
        <v>911971</v>
      </c>
      <c r="L55" s="29">
        <f t="shared" si="37"/>
        <v>925811</v>
      </c>
      <c r="M55" s="15">
        <f t="shared" si="37"/>
        <v>928312</v>
      </c>
      <c r="N55" s="29">
        <f t="shared" si="37"/>
        <v>934718.64187999989</v>
      </c>
      <c r="O55" s="29">
        <f t="shared" si="37"/>
        <v>951550</v>
      </c>
      <c r="P55" s="29">
        <f t="shared" si="37"/>
        <v>958048</v>
      </c>
      <c r="Q55" s="29">
        <f t="shared" si="37"/>
        <v>962906</v>
      </c>
      <c r="R55" s="29">
        <f t="shared" si="37"/>
        <v>963981</v>
      </c>
      <c r="S55" s="29">
        <f t="shared" si="37"/>
        <v>970257</v>
      </c>
      <c r="T55" s="29">
        <f t="shared" si="37"/>
        <v>983575</v>
      </c>
      <c r="U55" s="29">
        <f t="shared" si="37"/>
        <v>1004181</v>
      </c>
      <c r="V55" s="29">
        <f t="shared" si="37"/>
        <v>1022124</v>
      </c>
      <c r="W55" s="29">
        <f t="shared" si="37"/>
        <v>1053178</v>
      </c>
      <c r="X55" s="29">
        <f t="shared" si="37"/>
        <v>1088526</v>
      </c>
      <c r="Y55" s="15">
        <f t="shared" si="37"/>
        <v>1104004</v>
      </c>
      <c r="Z55" s="29">
        <f t="shared" si="37"/>
        <v>1227774.4477900001</v>
      </c>
      <c r="AA55" s="29">
        <f t="shared" si="37"/>
        <v>1267760.7233200001</v>
      </c>
      <c r="AB55" s="29">
        <f t="shared" si="37"/>
        <v>1301157.7922100001</v>
      </c>
      <c r="AC55" s="29">
        <f t="shared" si="37"/>
        <v>1319791.3847399999</v>
      </c>
      <c r="AD55" s="29">
        <f t="shared" si="37"/>
        <v>1342485.4885499999</v>
      </c>
      <c r="AE55" s="29">
        <f t="shared" si="37"/>
        <v>1354924.6767300002</v>
      </c>
      <c r="AF55" s="29">
        <f t="shared" si="37"/>
        <v>1364183.1382299999</v>
      </c>
      <c r="AG55" s="29">
        <f t="shared" si="37"/>
        <v>1395358.5975200001</v>
      </c>
      <c r="AH55" s="29">
        <f t="shared" si="37"/>
        <v>1431653.4308200001</v>
      </c>
      <c r="AI55" s="29">
        <f t="shared" si="37"/>
        <v>1463032.6421300001</v>
      </c>
      <c r="AJ55" s="29">
        <f t="shared" si="37"/>
        <v>1505913.09342</v>
      </c>
      <c r="AK55" s="29">
        <f t="shared" si="37"/>
        <v>1534078.02235</v>
      </c>
      <c r="AL55" s="51">
        <f t="shared" si="37"/>
        <v>1565762.83565</v>
      </c>
      <c r="AM55" s="29">
        <f t="shared" si="37"/>
        <v>1614111.24657</v>
      </c>
      <c r="AN55" s="29">
        <f t="shared" si="37"/>
        <v>1662310.1786499999</v>
      </c>
      <c r="AO55" s="29">
        <f t="shared" si="37"/>
        <v>1688672.5739999998</v>
      </c>
      <c r="AP55" s="29">
        <f t="shared" si="37"/>
        <v>1705882.6871499999</v>
      </c>
      <c r="AQ55" s="29">
        <f t="shared" si="37"/>
        <v>1711507.91463</v>
      </c>
      <c r="AR55" s="29">
        <f t="shared" si="37"/>
        <v>1713993.15451</v>
      </c>
      <c r="AS55" s="29">
        <f t="shared" si="37"/>
        <v>1745115.42542</v>
      </c>
      <c r="AT55" s="29">
        <f t="shared" si="37"/>
        <v>1767796.3895999999</v>
      </c>
      <c r="AU55" s="29">
        <f t="shared" si="37"/>
        <v>1797076.1386600002</v>
      </c>
      <c r="AV55" s="29">
        <f t="shared" si="37"/>
        <v>1829947.24</v>
      </c>
      <c r="AW55" s="29">
        <f t="shared" si="37"/>
        <v>1844831.9989100001</v>
      </c>
      <c r="AX55" s="51">
        <f t="shared" si="37"/>
        <v>1865446.0266899995</v>
      </c>
      <c r="AY55" s="29">
        <f t="shared" si="37"/>
        <v>1876488.9980299997</v>
      </c>
      <c r="AZ55" s="29">
        <f t="shared" si="37"/>
        <v>1908470.2423900003</v>
      </c>
      <c r="BA55" s="29">
        <f t="shared" si="37"/>
        <v>1926901.4995000004</v>
      </c>
      <c r="BB55" s="29">
        <f t="shared" si="37"/>
        <v>1936752.7357699994</v>
      </c>
      <c r="BC55" s="29">
        <f t="shared" si="37"/>
        <v>1935737.7605399999</v>
      </c>
      <c r="BD55" s="29">
        <f t="shared" si="37"/>
        <v>1926778.70206</v>
      </c>
      <c r="BE55" s="29">
        <f t="shared" si="37"/>
        <v>1946638.5975599999</v>
      </c>
      <c r="BF55" s="29">
        <f t="shared" si="37"/>
        <v>1944876.8928700003</v>
      </c>
      <c r="BG55" s="29">
        <f t="shared" si="37"/>
        <v>1955538.9312900004</v>
      </c>
      <c r="BH55" s="29">
        <f t="shared" si="37"/>
        <v>1977435.4687300001</v>
      </c>
      <c r="BI55" s="29">
        <f t="shared" si="37"/>
        <v>1976327.9384499996</v>
      </c>
      <c r="BJ55" s="51">
        <f t="shared" si="37"/>
        <v>1986611.2096900004</v>
      </c>
      <c r="BK55" s="29">
        <f t="shared" si="37"/>
        <v>1999433.8088700001</v>
      </c>
      <c r="BL55" s="29">
        <f t="shared" si="37"/>
        <v>2004375.8545899999</v>
      </c>
      <c r="BM55" s="29">
        <f t="shared" si="37"/>
        <v>2017721.0242800002</v>
      </c>
      <c r="BN55" s="29">
        <f t="shared" ref="BN55:DY55" si="38">SUM(BN56:BN57)</f>
        <v>2026369.4720200002</v>
      </c>
      <c r="BO55" s="29">
        <f t="shared" si="38"/>
        <v>2022067.3836400001</v>
      </c>
      <c r="BP55" s="29">
        <f t="shared" si="38"/>
        <v>2035690.6786300002</v>
      </c>
      <c r="BQ55" s="29">
        <f t="shared" si="38"/>
        <v>2055502.0289599998</v>
      </c>
      <c r="BR55" s="29">
        <f t="shared" si="38"/>
        <v>2070456.3127300006</v>
      </c>
      <c r="BS55" s="29">
        <f t="shared" si="38"/>
        <v>2074115.9156900002</v>
      </c>
      <c r="BT55" s="29">
        <f t="shared" si="38"/>
        <v>2090940.8935199999</v>
      </c>
      <c r="BU55" s="15">
        <f t="shared" si="38"/>
        <v>2094458</v>
      </c>
      <c r="BV55" s="51">
        <f t="shared" si="38"/>
        <v>2107325.8607899998</v>
      </c>
      <c r="BW55" s="29">
        <f t="shared" si="38"/>
        <v>2129284.8600699999</v>
      </c>
      <c r="BX55" s="29">
        <f t="shared" si="38"/>
        <v>2181334.9576900001</v>
      </c>
      <c r="BY55" s="29">
        <f t="shared" si="38"/>
        <v>2203208.6490199994</v>
      </c>
      <c r="BZ55" s="29">
        <f t="shared" si="38"/>
        <v>2219456.1096100002</v>
      </c>
      <c r="CA55" s="29">
        <f t="shared" si="38"/>
        <v>2216078.7285199999</v>
      </c>
      <c r="CB55" s="29">
        <f t="shared" si="38"/>
        <v>2241179.3745000004</v>
      </c>
      <c r="CC55" s="29">
        <f t="shared" si="38"/>
        <v>2196393.2172299996</v>
      </c>
      <c r="CD55" s="29">
        <f t="shared" si="38"/>
        <v>2216572.1639700001</v>
      </c>
      <c r="CE55" s="29">
        <f t="shared" si="38"/>
        <v>2228740.8383399998</v>
      </c>
      <c r="CF55" s="29">
        <f t="shared" si="38"/>
        <v>2244311.74609</v>
      </c>
      <c r="CG55" s="15">
        <f t="shared" si="38"/>
        <v>2244915.0764299999</v>
      </c>
      <c r="CH55" s="29">
        <f t="shared" si="38"/>
        <v>2242215.2100400003</v>
      </c>
      <c r="CI55" s="29">
        <f t="shared" si="38"/>
        <v>2263012.9348599995</v>
      </c>
      <c r="CJ55" s="29">
        <f t="shared" si="38"/>
        <v>2234634.9162799995</v>
      </c>
      <c r="CK55" s="29">
        <f t="shared" si="38"/>
        <v>2242135.36204</v>
      </c>
      <c r="CL55" s="29">
        <f t="shared" si="38"/>
        <v>2258974.3769899998</v>
      </c>
      <c r="CM55" s="29">
        <f t="shared" si="38"/>
        <v>2257088.0394100002</v>
      </c>
      <c r="CN55" s="29">
        <f t="shared" si="38"/>
        <v>2273249.0241399994</v>
      </c>
      <c r="CO55" s="29">
        <f t="shared" si="38"/>
        <v>2293109.5985599998</v>
      </c>
      <c r="CP55" s="29">
        <f t="shared" si="38"/>
        <v>2329105.1461999989</v>
      </c>
      <c r="CQ55" s="29">
        <f t="shared" si="38"/>
        <v>2343240.0536599997</v>
      </c>
      <c r="CR55" s="29">
        <f t="shared" si="38"/>
        <v>2371915.7403400005</v>
      </c>
      <c r="CS55" s="29">
        <f t="shared" si="38"/>
        <v>2387774.7724699997</v>
      </c>
      <c r="CT55" s="51">
        <f t="shared" si="38"/>
        <v>2368614.44833</v>
      </c>
      <c r="CU55" s="29">
        <f t="shared" si="38"/>
        <v>2396517.0353399999</v>
      </c>
      <c r="CV55" s="29">
        <f t="shared" si="38"/>
        <v>2412301.9104300002</v>
      </c>
      <c r="CW55" s="29">
        <f t="shared" si="38"/>
        <v>2414403.7951599997</v>
      </c>
      <c r="CX55" s="29">
        <f t="shared" si="38"/>
        <v>2488821.4444200001</v>
      </c>
      <c r="CY55" s="29">
        <f t="shared" si="38"/>
        <v>2486546.7054900001</v>
      </c>
      <c r="CZ55" s="29">
        <f t="shared" si="38"/>
        <v>2488678.7096299995</v>
      </c>
      <c r="DA55" s="29">
        <f t="shared" si="38"/>
        <v>2502500.5400800002</v>
      </c>
      <c r="DB55" s="29">
        <f t="shared" si="38"/>
        <v>2545366.1508599999</v>
      </c>
      <c r="DC55" s="29">
        <f t="shared" si="38"/>
        <v>2541386.54006</v>
      </c>
      <c r="DD55" s="29">
        <f t="shared" si="38"/>
        <v>2555147.3652299996</v>
      </c>
      <c r="DE55" s="29">
        <f t="shared" si="38"/>
        <v>2580658.69881</v>
      </c>
      <c r="DF55" s="51">
        <f t="shared" si="38"/>
        <v>2586307.4954599994</v>
      </c>
      <c r="DG55" s="29">
        <f t="shared" si="38"/>
        <v>2615398.9511499996</v>
      </c>
      <c r="DH55" s="29">
        <f t="shared" si="38"/>
        <v>2622551.4534999998</v>
      </c>
      <c r="DI55" s="29">
        <f t="shared" si="38"/>
        <v>2646939.0262200008</v>
      </c>
      <c r="DJ55" s="29">
        <f t="shared" si="38"/>
        <v>2677427.8202</v>
      </c>
      <c r="DK55" s="29">
        <f t="shared" si="38"/>
        <v>2700066.3026200002</v>
      </c>
      <c r="DL55" s="29">
        <f t="shared" si="38"/>
        <v>2723268.4399100002</v>
      </c>
      <c r="DM55" s="29">
        <f t="shared" si="38"/>
        <v>2734289.3848999999</v>
      </c>
      <c r="DN55" s="29">
        <f t="shared" si="38"/>
        <v>2767551.8687399998</v>
      </c>
      <c r="DO55" s="29">
        <f t="shared" si="38"/>
        <v>2790264.0865200004</v>
      </c>
      <c r="DP55" s="29">
        <f t="shared" si="38"/>
        <v>2814638.7900300003</v>
      </c>
      <c r="DQ55" s="15">
        <f t="shared" si="38"/>
        <v>2809616.5914499997</v>
      </c>
      <c r="DR55" s="29">
        <f t="shared" si="38"/>
        <v>2815822.3791800002</v>
      </c>
      <c r="DS55" s="29">
        <f t="shared" si="38"/>
        <v>2831785.9301300002</v>
      </c>
      <c r="DT55" s="29">
        <f t="shared" si="38"/>
        <v>2849756.73459</v>
      </c>
      <c r="DU55" s="29">
        <f t="shared" si="38"/>
        <v>2810784.3946799999</v>
      </c>
      <c r="DV55" s="29">
        <f t="shared" si="38"/>
        <v>2822780.2135099992</v>
      </c>
      <c r="DW55" s="29">
        <f>SUM(DW56:DW57)</f>
        <v>2832325.4616100001</v>
      </c>
      <c r="DX55" s="29">
        <f t="shared" si="38"/>
        <v>2822167.2419500002</v>
      </c>
      <c r="DY55" s="29">
        <f t="shared" si="38"/>
        <v>2839016.2368600001</v>
      </c>
      <c r="DZ55" s="29">
        <f t="shared" ref="DZ55:EO55" si="39">SUM(DZ56:DZ57)</f>
        <v>2851743.2341800001</v>
      </c>
      <c r="EA55" s="29">
        <f t="shared" si="39"/>
        <v>2871571.8911200003</v>
      </c>
      <c r="EB55" s="29">
        <f t="shared" si="39"/>
        <v>2898622.1621799995</v>
      </c>
      <c r="EC55" s="15">
        <f t="shared" si="39"/>
        <v>2893410.3197500003</v>
      </c>
      <c r="ED55" s="51">
        <f t="shared" si="39"/>
        <v>2848949.7409900003</v>
      </c>
      <c r="EE55" s="29">
        <f t="shared" si="39"/>
        <v>2878364.4</v>
      </c>
      <c r="EF55" s="29">
        <f t="shared" si="39"/>
        <v>2839881.023109999</v>
      </c>
      <c r="EG55" s="29">
        <f t="shared" si="39"/>
        <v>2802406.6987199998</v>
      </c>
      <c r="EH55" s="29">
        <f t="shared" si="39"/>
        <v>2889758</v>
      </c>
      <c r="EI55" s="29">
        <f t="shared" si="39"/>
        <v>2936499</v>
      </c>
      <c r="EJ55" s="29">
        <f t="shared" si="39"/>
        <v>2998693.5104200006</v>
      </c>
      <c r="EK55" s="29">
        <f t="shared" si="39"/>
        <v>3030092.85304</v>
      </c>
      <c r="EL55" s="29">
        <f t="shared" si="39"/>
        <v>3073467.5</v>
      </c>
      <c r="EM55" s="29">
        <f t="shared" si="39"/>
        <v>3092634.0936499997</v>
      </c>
      <c r="EN55" s="29">
        <f t="shared" si="39"/>
        <v>3108512.7542700004</v>
      </c>
      <c r="EO55" s="15">
        <f t="shared" si="39"/>
        <v>3114852.8</v>
      </c>
      <c r="EP55" s="130"/>
      <c r="EQ55" s="757">
        <f t="shared" si="8"/>
        <v>1.4314626337765146</v>
      </c>
      <c r="ER55" s="757">
        <f t="shared" si="9"/>
        <v>7.7750431091582861</v>
      </c>
      <c r="ET55" s="1040">
        <f t="shared" si="10"/>
        <v>1.0000000000000002</v>
      </c>
      <c r="FF55" s="191" t="s">
        <v>22</v>
      </c>
    </row>
    <row r="56" spans="1:162" ht="13.9" customHeight="1" x14ac:dyDescent="0.2">
      <c r="A56" s="309" t="s">
        <v>20</v>
      </c>
      <c r="B56" s="24">
        <v>720200</v>
      </c>
      <c r="C56" s="24">
        <v>747792</v>
      </c>
      <c r="D56" s="24">
        <v>758224</v>
      </c>
      <c r="E56" s="24">
        <v>766847</v>
      </c>
      <c r="F56" s="24">
        <v>776009</v>
      </c>
      <c r="G56" s="24">
        <v>775828</v>
      </c>
      <c r="H56" s="24">
        <v>784763</v>
      </c>
      <c r="I56" s="24">
        <v>788862</v>
      </c>
      <c r="J56" s="24">
        <v>798594</v>
      </c>
      <c r="K56" s="24">
        <v>813602</v>
      </c>
      <c r="L56" s="24">
        <v>829557</v>
      </c>
      <c r="M56" s="23">
        <v>834321</v>
      </c>
      <c r="N56" s="24">
        <v>844639.63330999995</v>
      </c>
      <c r="O56" s="24">
        <v>862845</v>
      </c>
      <c r="P56" s="24">
        <v>871367</v>
      </c>
      <c r="Q56" s="24">
        <v>875789</v>
      </c>
      <c r="R56" s="24">
        <v>876285</v>
      </c>
      <c r="S56" s="24">
        <v>885684</v>
      </c>
      <c r="T56" s="24">
        <v>898082</v>
      </c>
      <c r="U56" s="24">
        <v>919974</v>
      </c>
      <c r="V56" s="24">
        <v>937146</v>
      </c>
      <c r="W56" s="24">
        <v>958815</v>
      </c>
      <c r="X56" s="24">
        <v>985414</v>
      </c>
      <c r="Y56" s="23">
        <v>1001395</v>
      </c>
      <c r="Z56" s="24">
        <v>1124257.4477900001</v>
      </c>
      <c r="AA56" s="24">
        <v>1162532.7233200001</v>
      </c>
      <c r="AB56" s="24">
        <v>1196204.7922100001</v>
      </c>
      <c r="AC56" s="24">
        <v>1214275.3847399999</v>
      </c>
      <c r="AD56" s="24">
        <v>1241885.4885499999</v>
      </c>
      <c r="AE56" s="24">
        <v>1256132.6767300002</v>
      </c>
      <c r="AF56" s="24">
        <v>1264901.1382299999</v>
      </c>
      <c r="AG56" s="24">
        <v>1287697.5975200001</v>
      </c>
      <c r="AH56" s="24">
        <v>1321193.4308200001</v>
      </c>
      <c r="AI56" s="24">
        <v>1355512.6421300001</v>
      </c>
      <c r="AJ56" s="24">
        <v>1396141.09342</v>
      </c>
      <c r="AK56" s="24">
        <v>1422750.02235</v>
      </c>
      <c r="AL56" s="52">
        <v>1451162.83565</v>
      </c>
      <c r="AM56" s="24">
        <v>1497013.24657</v>
      </c>
      <c r="AN56" s="24">
        <v>1545202.1786499999</v>
      </c>
      <c r="AO56" s="24">
        <v>1568876.5739999998</v>
      </c>
      <c r="AP56" s="24">
        <v>1581285.6871499999</v>
      </c>
      <c r="AQ56" s="24">
        <v>1589462.91463</v>
      </c>
      <c r="AR56" s="24">
        <v>1592276.15451</v>
      </c>
      <c r="AS56" s="24">
        <v>1628042.42542</v>
      </c>
      <c r="AT56" s="24">
        <v>1655639.3895999999</v>
      </c>
      <c r="AU56" s="24">
        <v>1680858.1386600002</v>
      </c>
      <c r="AV56" s="24">
        <v>1712305.24</v>
      </c>
      <c r="AW56" s="24">
        <f>1740088.99891-12985</f>
        <v>1727103.9989100001</v>
      </c>
      <c r="AX56" s="52">
        <v>1740133.6660699996</v>
      </c>
      <c r="AY56" s="24">
        <v>1750810.2839499996</v>
      </c>
      <c r="AZ56" s="24">
        <v>1785305.3774900003</v>
      </c>
      <c r="BA56" s="24">
        <v>1800949.7825500004</v>
      </c>
      <c r="BB56" s="24">
        <v>1807797.7463999994</v>
      </c>
      <c r="BC56" s="24">
        <v>1804336.51767</v>
      </c>
      <c r="BD56" s="24">
        <v>1797043.91875</v>
      </c>
      <c r="BE56" s="24">
        <v>1816775.1774799998</v>
      </c>
      <c r="BF56" s="24">
        <v>1818583.5130500004</v>
      </c>
      <c r="BG56" s="24">
        <v>1833689.6776500004</v>
      </c>
      <c r="BH56" s="24">
        <v>1856913.3819200001</v>
      </c>
      <c r="BI56" s="24">
        <v>1856531.3324299997</v>
      </c>
      <c r="BJ56" s="52">
        <v>1870028.9901200004</v>
      </c>
      <c r="BK56" s="24">
        <v>1885836.4811500001</v>
      </c>
      <c r="BL56" s="24">
        <v>1890543.9879799997</v>
      </c>
      <c r="BM56" s="24">
        <v>1899504.5495600002</v>
      </c>
      <c r="BN56" s="24">
        <v>1908723.4006400001</v>
      </c>
      <c r="BO56" s="24">
        <v>1900950.7215100001</v>
      </c>
      <c r="BP56" s="24">
        <v>1910870.4137800003</v>
      </c>
      <c r="BQ56" s="24">
        <v>1927799.8311699999</v>
      </c>
      <c r="BR56" s="24">
        <v>1939229.9542000005</v>
      </c>
      <c r="BS56" s="24">
        <v>1939606.0162400003</v>
      </c>
      <c r="BT56" s="24">
        <v>1954419.4570799998</v>
      </c>
      <c r="BU56" s="23">
        <v>1958626</v>
      </c>
      <c r="BV56" s="52">
        <v>1969984.1393899999</v>
      </c>
      <c r="BW56" s="24">
        <v>1994957.7827199998</v>
      </c>
      <c r="BX56" s="24">
        <v>2036201.24352</v>
      </c>
      <c r="BY56" s="24">
        <v>2059453.2382399996</v>
      </c>
      <c r="BZ56" s="24">
        <v>2077602.47389</v>
      </c>
      <c r="CA56" s="24">
        <v>2071219.2347199998</v>
      </c>
      <c r="CB56" s="24">
        <v>2096159.6945400003</v>
      </c>
      <c r="CC56" s="24">
        <v>2067290.6094999998</v>
      </c>
      <c r="CD56" s="24">
        <v>2094106.99159</v>
      </c>
      <c r="CE56" s="24">
        <v>2106526.7593399999</v>
      </c>
      <c r="CF56" s="24">
        <v>2122764.6198399998</v>
      </c>
      <c r="CG56" s="23">
        <v>2127422.8487</v>
      </c>
      <c r="CH56" s="24">
        <v>2132626.0602000002</v>
      </c>
      <c r="CI56" s="24">
        <v>2154703.4926699996</v>
      </c>
      <c r="CJ56" s="24">
        <v>2147415.2802299997</v>
      </c>
      <c r="CK56" s="24">
        <v>2159904.6227000002</v>
      </c>
      <c r="CL56" s="24">
        <v>2177080.43126</v>
      </c>
      <c r="CM56" s="24">
        <v>2174683.2838900001</v>
      </c>
      <c r="CN56" s="24">
        <v>2190585.4087099996</v>
      </c>
      <c r="CO56" s="24">
        <v>2210195.2579999999</v>
      </c>
      <c r="CP56" s="24">
        <v>2245865.5632099989</v>
      </c>
      <c r="CQ56" s="24">
        <v>2260607.4542799997</v>
      </c>
      <c r="CR56" s="24">
        <v>2285815.4351000004</v>
      </c>
      <c r="CS56" s="24">
        <v>2304909.1298599998</v>
      </c>
      <c r="CT56" s="52">
        <v>2292380.34607</v>
      </c>
      <c r="CU56" s="24">
        <v>2326421.6041799998</v>
      </c>
      <c r="CV56" s="24">
        <v>2343032.25373</v>
      </c>
      <c r="CW56" s="24">
        <v>2347765.1028899997</v>
      </c>
      <c r="CX56" s="24">
        <v>2429305.1909500002</v>
      </c>
      <c r="CY56" s="24">
        <v>2426684.4689700003</v>
      </c>
      <c r="CZ56" s="24">
        <v>2429114.1584099997</v>
      </c>
      <c r="DA56" s="24">
        <v>2450354.1263600001</v>
      </c>
      <c r="DB56" s="24">
        <v>2490867.6736599999</v>
      </c>
      <c r="DC56" s="24">
        <v>2485682.3026399999</v>
      </c>
      <c r="DD56" s="24">
        <v>2498025.0877099996</v>
      </c>
      <c r="DE56" s="24">
        <v>2528626.4992499999</v>
      </c>
      <c r="DF56" s="52">
        <v>2534007.6196899996</v>
      </c>
      <c r="DG56" s="24">
        <v>2558375.0016099997</v>
      </c>
      <c r="DH56" s="24">
        <v>2569041.2340699998</v>
      </c>
      <c r="DI56" s="24">
        <v>2589608.0174600007</v>
      </c>
      <c r="DJ56" s="24">
        <v>2615975.6570799998</v>
      </c>
      <c r="DK56" s="24">
        <v>2633638.3507300001</v>
      </c>
      <c r="DL56" s="24">
        <v>2655503.1593800001</v>
      </c>
      <c r="DM56" s="24">
        <v>2673730.66194</v>
      </c>
      <c r="DN56" s="24">
        <v>2708389.6777899996</v>
      </c>
      <c r="DO56" s="24">
        <v>2727561.9983200002</v>
      </c>
      <c r="DP56" s="24">
        <v>2746984.8059700001</v>
      </c>
      <c r="DQ56" s="23">
        <v>2745292.0671399999</v>
      </c>
      <c r="DR56" s="24">
        <v>2758731.3806600003</v>
      </c>
      <c r="DS56" s="24">
        <v>2774446.6937100003</v>
      </c>
      <c r="DT56" s="24">
        <v>2792806.6313200002</v>
      </c>
      <c r="DU56" s="24">
        <v>2754069.3204000001</v>
      </c>
      <c r="DV56" s="24">
        <v>2765926.8829999994</v>
      </c>
      <c r="DW56" s="24">
        <v>2779366.9294400001</v>
      </c>
      <c r="DX56" s="24">
        <v>2774738.4869900001</v>
      </c>
      <c r="DY56" s="24">
        <v>2791506.7426100001</v>
      </c>
      <c r="DZ56" s="24">
        <v>2803995.7095400002</v>
      </c>
      <c r="EA56" s="24">
        <v>2824892.7549100001</v>
      </c>
      <c r="EB56" s="24">
        <v>2851759.3983499995</v>
      </c>
      <c r="EC56" s="23">
        <v>2850824.6246100003</v>
      </c>
      <c r="ED56" s="52">
        <v>2811113.7951800004</v>
      </c>
      <c r="EE56" s="24">
        <v>2836065.4</v>
      </c>
      <c r="EF56" s="24">
        <v>2800592.588479999</v>
      </c>
      <c r="EG56" s="24">
        <v>2765130.1346199997</v>
      </c>
      <c r="EH56" s="24">
        <v>2853187</v>
      </c>
      <c r="EI56" s="24">
        <v>2900381.5</v>
      </c>
      <c r="EJ56" s="24">
        <v>2964464.9016100005</v>
      </c>
      <c r="EK56" s="24">
        <v>2996144.4071999998</v>
      </c>
      <c r="EL56" s="24">
        <v>3039254.5</v>
      </c>
      <c r="EM56" s="24">
        <v>3060020.4960499997</v>
      </c>
      <c r="EN56" s="24">
        <v>3075796.3725200002</v>
      </c>
      <c r="EO56" s="23">
        <v>3084747.4</v>
      </c>
      <c r="EQ56" s="759">
        <f t="shared" si="8"/>
        <v>1.4388523028597389</v>
      </c>
      <c r="ER56" s="759">
        <f t="shared" si="9"/>
        <v>8.3901266203647129</v>
      </c>
      <c r="ET56" s="945">
        <f t="shared" si="10"/>
        <v>0.98671933545698431</v>
      </c>
      <c r="EU56" s="774"/>
      <c r="FF56" s="190" t="s">
        <v>552</v>
      </c>
    </row>
    <row r="57" spans="1:162" ht="13.9" customHeight="1" x14ac:dyDescent="0.2">
      <c r="A57" s="750" t="s">
        <v>21</v>
      </c>
      <c r="B57" s="56">
        <v>121970</v>
      </c>
      <c r="C57" s="56">
        <v>121609</v>
      </c>
      <c r="D57" s="56">
        <v>113224</v>
      </c>
      <c r="E57" s="56">
        <v>106069</v>
      </c>
      <c r="F57" s="56">
        <v>114076</v>
      </c>
      <c r="G57" s="56">
        <v>103937</v>
      </c>
      <c r="H57" s="56">
        <v>104282</v>
      </c>
      <c r="I57" s="56">
        <v>99542</v>
      </c>
      <c r="J57" s="56">
        <v>100679</v>
      </c>
      <c r="K57" s="56">
        <v>98369</v>
      </c>
      <c r="L57" s="56">
        <v>96254</v>
      </c>
      <c r="M57" s="57">
        <v>93991</v>
      </c>
      <c r="N57" s="56">
        <v>90079.008569999991</v>
      </c>
      <c r="O57" s="56">
        <v>88705</v>
      </c>
      <c r="P57" s="56">
        <v>86681</v>
      </c>
      <c r="Q57" s="56">
        <v>87117</v>
      </c>
      <c r="R57" s="56">
        <v>87696</v>
      </c>
      <c r="S57" s="56">
        <v>84573</v>
      </c>
      <c r="T57" s="56">
        <v>85493</v>
      </c>
      <c r="U57" s="56">
        <v>84207</v>
      </c>
      <c r="V57" s="56">
        <v>84978</v>
      </c>
      <c r="W57" s="56">
        <v>94363</v>
      </c>
      <c r="X57" s="56">
        <v>103112</v>
      </c>
      <c r="Y57" s="57">
        <v>102609</v>
      </c>
      <c r="Z57" s="56">
        <v>103517</v>
      </c>
      <c r="AA57" s="56">
        <v>105228</v>
      </c>
      <c r="AB57" s="56">
        <v>104953</v>
      </c>
      <c r="AC57" s="56">
        <v>105516</v>
      </c>
      <c r="AD57" s="56">
        <v>100600</v>
      </c>
      <c r="AE57" s="56">
        <v>98792</v>
      </c>
      <c r="AF57" s="56">
        <v>99282</v>
      </c>
      <c r="AG57" s="56">
        <v>107661</v>
      </c>
      <c r="AH57" s="56">
        <v>110460</v>
      </c>
      <c r="AI57" s="56">
        <v>107520</v>
      </c>
      <c r="AJ57" s="56">
        <v>109772</v>
      </c>
      <c r="AK57" s="56">
        <v>111328</v>
      </c>
      <c r="AL57" s="55">
        <v>114600</v>
      </c>
      <c r="AM57" s="56">
        <v>117098</v>
      </c>
      <c r="AN57" s="56">
        <v>117108</v>
      </c>
      <c r="AO57" s="56">
        <v>119796</v>
      </c>
      <c r="AP57" s="56">
        <v>124597</v>
      </c>
      <c r="AQ57" s="56">
        <v>122045</v>
      </c>
      <c r="AR57" s="56">
        <v>121717</v>
      </c>
      <c r="AS57" s="56">
        <v>117073</v>
      </c>
      <c r="AT57" s="56">
        <v>112157</v>
      </c>
      <c r="AU57" s="56">
        <v>116218</v>
      </c>
      <c r="AV57" s="56">
        <v>117642</v>
      </c>
      <c r="AW57" s="56">
        <v>117728</v>
      </c>
      <c r="AX57" s="55">
        <v>125312.36061999999</v>
      </c>
      <c r="AY57" s="56">
        <v>125678.71408000006</v>
      </c>
      <c r="AZ57" s="56">
        <v>123164.86489999994</v>
      </c>
      <c r="BA57" s="56">
        <v>125951.71695000003</v>
      </c>
      <c r="BB57" s="56">
        <v>128954.98937</v>
      </c>
      <c r="BC57" s="56">
        <v>131401.24287000005</v>
      </c>
      <c r="BD57" s="56">
        <v>129734.78330999998</v>
      </c>
      <c r="BE57" s="56">
        <v>129863.42007999998</v>
      </c>
      <c r="BF57" s="56">
        <v>126293.37981999997</v>
      </c>
      <c r="BG57" s="56">
        <v>121849.25364000007</v>
      </c>
      <c r="BH57" s="56">
        <v>120522.08681000001</v>
      </c>
      <c r="BI57" s="56">
        <v>119796.60601999992</v>
      </c>
      <c r="BJ57" s="55">
        <v>116582.21957</v>
      </c>
      <c r="BK57" s="56">
        <v>113597.32771999997</v>
      </c>
      <c r="BL57" s="56">
        <v>113831.86661000006</v>
      </c>
      <c r="BM57" s="56">
        <v>118216.47472</v>
      </c>
      <c r="BN57" s="56">
        <v>117646.07137999999</v>
      </c>
      <c r="BO57" s="56">
        <v>121116.66213</v>
      </c>
      <c r="BP57" s="56">
        <v>124820.26485000001</v>
      </c>
      <c r="BQ57" s="56">
        <v>127702.19778999999</v>
      </c>
      <c r="BR57" s="56">
        <v>131226.35853</v>
      </c>
      <c r="BS57" s="56">
        <v>134509.89945</v>
      </c>
      <c r="BT57" s="56">
        <v>136521.43643999999</v>
      </c>
      <c r="BU57" s="57">
        <v>135832</v>
      </c>
      <c r="BV57" s="55">
        <v>137341.72140000001</v>
      </c>
      <c r="BW57" s="56">
        <v>134327.07735000004</v>
      </c>
      <c r="BX57" s="56">
        <v>145133.71416999999</v>
      </c>
      <c r="BY57" s="56">
        <v>143755.41078000001</v>
      </c>
      <c r="BZ57" s="56">
        <v>141853.63571999999</v>
      </c>
      <c r="CA57" s="56">
        <v>144859.4938</v>
      </c>
      <c r="CB57" s="56">
        <v>145019.67995999998</v>
      </c>
      <c r="CC57" s="56">
        <v>129102.60773</v>
      </c>
      <c r="CD57" s="56">
        <v>122465.17237999999</v>
      </c>
      <c r="CE57" s="56">
        <v>122214.07900000001</v>
      </c>
      <c r="CF57" s="56">
        <v>121547.12625</v>
      </c>
      <c r="CG57" s="57">
        <v>117492.22773</v>
      </c>
      <c r="CH57" s="56">
        <v>109589.14984</v>
      </c>
      <c r="CI57" s="56">
        <v>108309.44219</v>
      </c>
      <c r="CJ57" s="56">
        <v>87219.636050000016</v>
      </c>
      <c r="CK57" s="56">
        <v>82230.73934</v>
      </c>
      <c r="CL57" s="56">
        <v>81893.945729999992</v>
      </c>
      <c r="CM57" s="56">
        <v>82404.755519999992</v>
      </c>
      <c r="CN57" s="56">
        <v>82663.615430000005</v>
      </c>
      <c r="CO57" s="56">
        <v>82914.340559999982</v>
      </c>
      <c r="CP57" s="56">
        <v>83239.582989999995</v>
      </c>
      <c r="CQ57" s="56">
        <v>82632.599380000014</v>
      </c>
      <c r="CR57" s="56">
        <v>86100.305239999987</v>
      </c>
      <c r="CS57" s="56">
        <v>82865.64261000001</v>
      </c>
      <c r="CT57" s="55">
        <v>76234.102260000014</v>
      </c>
      <c r="CU57" s="56">
        <v>70095.431160000007</v>
      </c>
      <c r="CV57" s="56">
        <v>69269.656699999992</v>
      </c>
      <c r="CW57" s="56">
        <v>66638.69227</v>
      </c>
      <c r="CX57" s="56">
        <v>59516.253470000011</v>
      </c>
      <c r="CY57" s="56">
        <v>59862.236519999999</v>
      </c>
      <c r="CZ57" s="56">
        <v>59564.551220000001</v>
      </c>
      <c r="DA57" s="56">
        <v>52146.413720000011</v>
      </c>
      <c r="DB57" s="56">
        <v>54498.477200000016</v>
      </c>
      <c r="DC57" s="56">
        <v>55704.237419999998</v>
      </c>
      <c r="DD57" s="56">
        <v>57122.277519999996</v>
      </c>
      <c r="DE57" s="56">
        <v>52032.199560000001</v>
      </c>
      <c r="DF57" s="55">
        <v>52299.875770000006</v>
      </c>
      <c r="DG57" s="56">
        <v>57023.949539999994</v>
      </c>
      <c r="DH57" s="56">
        <v>53510.219429999997</v>
      </c>
      <c r="DI57" s="56">
        <v>57331.008760000012</v>
      </c>
      <c r="DJ57" s="56">
        <v>61452.163119999997</v>
      </c>
      <c r="DK57" s="56">
        <v>66427.951889999997</v>
      </c>
      <c r="DL57" s="56">
        <v>67765.280529999989</v>
      </c>
      <c r="DM57" s="56">
        <v>60558.722959999999</v>
      </c>
      <c r="DN57" s="56">
        <v>59162.190949999997</v>
      </c>
      <c r="DO57" s="56">
        <v>62702.088199999998</v>
      </c>
      <c r="DP57" s="56">
        <v>67653.984060000003</v>
      </c>
      <c r="DQ57" s="57">
        <v>64324.524310000001</v>
      </c>
      <c r="DR57" s="56">
        <v>57090.998520000008</v>
      </c>
      <c r="DS57" s="56">
        <v>57339.236420000001</v>
      </c>
      <c r="DT57" s="56">
        <v>56950.10327</v>
      </c>
      <c r="DU57" s="56">
        <v>56715.074280000001</v>
      </c>
      <c r="DV57" s="56">
        <v>56853.33051</v>
      </c>
      <c r="DW57" s="56">
        <v>52958.532170000006</v>
      </c>
      <c r="DX57" s="56">
        <v>47428.754959999998</v>
      </c>
      <c r="DY57" s="56">
        <v>47509.494249999996</v>
      </c>
      <c r="DZ57" s="56">
        <v>47747.524640000003</v>
      </c>
      <c r="EA57" s="56">
        <v>46679.136209999997</v>
      </c>
      <c r="EB57" s="56">
        <v>46862.763830000004</v>
      </c>
      <c r="EC57" s="57">
        <v>42585.695140000011</v>
      </c>
      <c r="ED57" s="55">
        <v>37835.945809999997</v>
      </c>
      <c r="EE57" s="56">
        <v>42299</v>
      </c>
      <c r="EF57" s="56">
        <v>39288.434629999996</v>
      </c>
      <c r="EG57" s="56">
        <v>37276.564099999996</v>
      </c>
      <c r="EH57" s="56">
        <v>36571</v>
      </c>
      <c r="EI57" s="56">
        <v>36117.5</v>
      </c>
      <c r="EJ57" s="56">
        <v>34228.608809999998</v>
      </c>
      <c r="EK57" s="56">
        <v>33948.44584</v>
      </c>
      <c r="EL57" s="56">
        <v>34213</v>
      </c>
      <c r="EM57" s="56">
        <v>32613.597600000001</v>
      </c>
      <c r="EN57" s="56">
        <v>32716.38175</v>
      </c>
      <c r="EO57" s="57">
        <v>30105.4</v>
      </c>
      <c r="EQ57" s="769">
        <f t="shared" si="8"/>
        <v>0.77928209511224367</v>
      </c>
      <c r="ER57" s="769">
        <f t="shared" si="9"/>
        <v>-28.346023677762744</v>
      </c>
      <c r="ET57" s="945">
        <f t="shared" si="10"/>
        <v>1.3280664543015821E-2</v>
      </c>
      <c r="EU57" s="760"/>
      <c r="FF57" s="205" t="s">
        <v>553</v>
      </c>
    </row>
    <row r="58" spans="1:162" ht="13.9" customHeight="1" x14ac:dyDescent="0.2">
      <c r="A58" s="770" t="s">
        <v>187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Q58" s="771"/>
      <c r="ER58" s="771"/>
    </row>
    <row r="59" spans="1:162" ht="13.9" customHeight="1" x14ac:dyDescent="0.2">
      <c r="A59" s="770" t="s">
        <v>188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Q59" s="771"/>
      <c r="ER59" s="771"/>
    </row>
    <row r="60" spans="1:162" ht="13.9" customHeight="1" x14ac:dyDescent="0.2">
      <c r="A60" s="770" t="s">
        <v>231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Q60" s="771"/>
      <c r="ER60" s="771"/>
    </row>
    <row r="61" spans="1:162" s="666" customFormat="1" ht="13.9" customHeight="1" x14ac:dyDescent="0.2">
      <c r="A61" s="770" t="s">
        <v>273</v>
      </c>
      <c r="B61" s="770"/>
      <c r="C61" s="770"/>
      <c r="D61" s="770"/>
      <c r="E61" s="770"/>
      <c r="F61" s="770"/>
      <c r="G61" s="770"/>
      <c r="H61" s="770"/>
      <c r="I61" s="770"/>
      <c r="J61" s="770"/>
      <c r="K61" s="770"/>
      <c r="L61" s="770"/>
      <c r="M61" s="770"/>
      <c r="N61" s="770"/>
      <c r="O61" s="770"/>
      <c r="P61" s="770"/>
      <c r="Q61" s="770"/>
      <c r="R61" s="770"/>
      <c r="S61" s="770"/>
      <c r="T61" s="770"/>
      <c r="U61" s="770"/>
      <c r="V61" s="770"/>
      <c r="W61" s="770"/>
      <c r="X61" s="770"/>
      <c r="Y61" s="770"/>
      <c r="Z61" s="770"/>
      <c r="AA61" s="770"/>
      <c r="AB61" s="770"/>
      <c r="AC61" s="770"/>
      <c r="AD61" s="770"/>
      <c r="AE61" s="770"/>
      <c r="AF61" s="770"/>
      <c r="AG61" s="770"/>
      <c r="AH61" s="770"/>
      <c r="AI61" s="770"/>
      <c r="AJ61" s="770"/>
      <c r="AK61" s="770"/>
      <c r="AL61" s="770"/>
      <c r="AM61" s="770"/>
      <c r="AN61" s="770"/>
      <c r="AO61" s="770"/>
      <c r="AP61" s="770"/>
      <c r="AQ61" s="770"/>
      <c r="AR61" s="770"/>
      <c r="AS61" s="770"/>
      <c r="AT61" s="770"/>
      <c r="AU61" s="770"/>
      <c r="AV61" s="770"/>
      <c r="AW61" s="770"/>
      <c r="AX61" s="770"/>
      <c r="AY61" s="770"/>
      <c r="AZ61" s="770"/>
      <c r="BA61" s="770"/>
      <c r="BB61" s="770"/>
      <c r="BC61" s="770"/>
      <c r="BD61" s="770"/>
      <c r="BE61" s="770"/>
      <c r="BF61" s="770"/>
      <c r="BG61" s="770"/>
      <c r="BH61" s="770"/>
      <c r="BI61" s="770"/>
      <c r="BJ61" s="770"/>
      <c r="BK61" s="770"/>
      <c r="BL61" s="770"/>
      <c r="BM61" s="770"/>
      <c r="BN61" s="770"/>
      <c r="BO61" s="770"/>
      <c r="BP61" s="770"/>
      <c r="BQ61" s="770"/>
      <c r="BR61" s="770"/>
      <c r="BS61" s="770"/>
      <c r="BT61" s="770"/>
      <c r="BU61" s="770"/>
      <c r="BV61" s="770"/>
      <c r="BW61" s="770"/>
      <c r="BX61" s="770"/>
      <c r="BY61" s="770"/>
      <c r="BZ61" s="770"/>
      <c r="CA61" s="770"/>
      <c r="CB61" s="770"/>
      <c r="CC61" s="770"/>
      <c r="CD61" s="770"/>
      <c r="CE61" s="770"/>
      <c r="CF61" s="770"/>
      <c r="CG61" s="770"/>
      <c r="CH61" s="770"/>
      <c r="CI61" s="770"/>
      <c r="CJ61" s="770"/>
      <c r="CK61" s="770"/>
      <c r="CL61" s="770"/>
      <c r="CM61" s="770"/>
      <c r="CN61" s="770"/>
      <c r="CO61" s="770"/>
      <c r="CP61" s="770"/>
      <c r="CQ61" s="770"/>
      <c r="CR61" s="770"/>
      <c r="CS61" s="770"/>
      <c r="CT61" s="770"/>
      <c r="CU61" s="770"/>
      <c r="CV61" s="770"/>
      <c r="CW61" s="770"/>
      <c r="CX61" s="770"/>
      <c r="CY61" s="770"/>
      <c r="CZ61" s="770"/>
      <c r="DA61" s="770"/>
      <c r="DB61" s="770"/>
      <c r="DC61" s="770"/>
      <c r="DD61" s="770"/>
      <c r="EP61"/>
    </row>
    <row r="62" spans="1:162" s="666" customFormat="1" ht="13.9" customHeight="1" x14ac:dyDescent="0.2">
      <c r="A62" s="770" t="s">
        <v>278</v>
      </c>
      <c r="B62" s="770"/>
      <c r="C62" s="770"/>
      <c r="D62" s="770"/>
      <c r="E62" s="770"/>
      <c r="F62" s="770"/>
      <c r="G62" s="770"/>
      <c r="H62" s="770"/>
      <c r="I62" s="770"/>
      <c r="J62" s="770"/>
      <c r="K62" s="770"/>
      <c r="L62" s="770"/>
      <c r="M62" s="770"/>
      <c r="N62" s="770"/>
      <c r="O62" s="770"/>
      <c r="P62" s="770"/>
      <c r="Q62" s="770"/>
      <c r="R62" s="770"/>
      <c r="S62" s="770"/>
      <c r="T62" s="770"/>
      <c r="U62" s="770"/>
      <c r="V62" s="770"/>
      <c r="W62" s="770"/>
      <c r="X62" s="770"/>
      <c r="Y62" s="770"/>
      <c r="Z62" s="770"/>
      <c r="AA62" s="770"/>
      <c r="AB62" s="770"/>
      <c r="AC62" s="770"/>
      <c r="AD62" s="770"/>
      <c r="AE62" s="770"/>
      <c r="AF62" s="770"/>
      <c r="AG62" s="770"/>
      <c r="AH62" s="770"/>
      <c r="AI62" s="770"/>
      <c r="AJ62" s="770"/>
      <c r="AK62" s="770"/>
      <c r="AL62" s="770"/>
      <c r="AM62" s="770"/>
      <c r="AN62" s="770"/>
      <c r="AO62" s="770"/>
      <c r="AP62" s="770"/>
      <c r="AQ62" s="770"/>
      <c r="AR62" s="770"/>
      <c r="AS62" s="770"/>
      <c r="AT62" s="770"/>
      <c r="AU62" s="770"/>
      <c r="AV62" s="770"/>
      <c r="AW62" s="770"/>
      <c r="AX62" s="770"/>
      <c r="AY62" s="770"/>
      <c r="AZ62" s="770"/>
      <c r="BA62" s="770"/>
      <c r="BB62" s="770"/>
      <c r="BC62" s="770"/>
      <c r="BD62" s="770"/>
      <c r="BE62" s="770"/>
      <c r="BF62" s="770"/>
      <c r="BG62" s="770"/>
      <c r="BH62" s="770"/>
      <c r="BI62" s="770"/>
      <c r="BJ62" s="770"/>
      <c r="BK62" s="770"/>
      <c r="BL62" s="770"/>
      <c r="BM62" s="770"/>
      <c r="BN62" s="770"/>
      <c r="BO62" s="770"/>
      <c r="BP62" s="770"/>
      <c r="BQ62" s="770"/>
      <c r="BR62" s="770"/>
      <c r="BS62" s="770"/>
      <c r="BT62" s="770"/>
      <c r="BU62" s="770"/>
      <c r="BV62" s="770"/>
      <c r="BW62" s="770"/>
      <c r="BX62" s="770"/>
      <c r="BY62" s="770"/>
      <c r="BZ62" s="770"/>
      <c r="CA62" s="770"/>
      <c r="CB62" s="770"/>
      <c r="CC62" s="770"/>
      <c r="CD62" s="770"/>
      <c r="CE62" s="770"/>
      <c r="CF62" s="770"/>
      <c r="CG62" s="770"/>
      <c r="CH62" s="770"/>
      <c r="CI62" s="770"/>
      <c r="CJ62" s="770"/>
      <c r="CK62" s="770"/>
      <c r="CL62" s="770"/>
      <c r="CM62" s="770"/>
      <c r="CN62" s="770"/>
      <c r="CO62" s="770"/>
      <c r="CP62" s="770"/>
      <c r="CQ62" s="770"/>
      <c r="CR62" s="770"/>
      <c r="CS62" s="770"/>
      <c r="CT62" s="770"/>
      <c r="CU62" s="770"/>
      <c r="CV62" s="770"/>
      <c r="CW62" s="770"/>
      <c r="CX62" s="770"/>
      <c r="CY62" s="770"/>
      <c r="CZ62" s="770"/>
      <c r="DA62" s="770"/>
      <c r="DB62" s="770"/>
      <c r="DC62" s="770"/>
      <c r="DD62" s="770"/>
      <c r="EP62"/>
    </row>
    <row r="63" spans="1:162" s="666" customFormat="1" ht="13.9" customHeight="1" x14ac:dyDescent="0.2">
      <c r="A63" s="770" t="s">
        <v>279</v>
      </c>
      <c r="B63" s="770"/>
      <c r="C63" s="770"/>
      <c r="D63" s="770"/>
      <c r="E63" s="770"/>
      <c r="F63" s="770"/>
      <c r="G63" s="770"/>
      <c r="H63" s="770"/>
      <c r="I63" s="770"/>
      <c r="J63" s="770"/>
      <c r="K63" s="770"/>
      <c r="L63" s="770"/>
      <c r="M63" s="770"/>
      <c r="N63" s="770"/>
      <c r="O63" s="770"/>
      <c r="P63" s="770"/>
      <c r="Q63" s="770"/>
      <c r="R63" s="770"/>
      <c r="S63" s="770"/>
      <c r="T63" s="770"/>
      <c r="U63" s="770"/>
      <c r="V63" s="770"/>
      <c r="W63" s="770"/>
      <c r="X63" s="770"/>
      <c r="Y63" s="770"/>
      <c r="Z63" s="770"/>
      <c r="AA63" s="770"/>
      <c r="AB63" s="770"/>
      <c r="AC63" s="770"/>
      <c r="AD63" s="770"/>
      <c r="AE63" s="770"/>
      <c r="AF63" s="770"/>
      <c r="AG63" s="770"/>
      <c r="AH63" s="770"/>
      <c r="AI63" s="770"/>
      <c r="AJ63" s="770"/>
      <c r="AK63" s="770"/>
      <c r="AL63" s="770"/>
      <c r="AM63" s="770"/>
      <c r="AN63" s="770"/>
      <c r="AO63" s="770"/>
      <c r="AP63" s="770"/>
      <c r="AQ63" s="770"/>
      <c r="AR63" s="770"/>
      <c r="AS63" s="770"/>
      <c r="AT63" s="770"/>
      <c r="AU63" s="770"/>
      <c r="AV63" s="770"/>
      <c r="AW63" s="770"/>
      <c r="AX63" s="770"/>
      <c r="AY63" s="770"/>
      <c r="AZ63" s="770"/>
      <c r="BA63" s="770"/>
      <c r="BB63" s="770"/>
      <c r="BC63" s="770"/>
      <c r="BD63" s="770"/>
      <c r="BE63" s="770"/>
      <c r="BF63" s="770"/>
      <c r="BG63" s="770"/>
      <c r="BH63" s="770"/>
      <c r="BI63" s="770"/>
      <c r="BJ63" s="770"/>
      <c r="BK63" s="770"/>
      <c r="BL63" s="770"/>
      <c r="BM63" s="770"/>
      <c r="BN63" s="770"/>
      <c r="BO63" s="770"/>
      <c r="BP63" s="770"/>
      <c r="BQ63" s="770"/>
      <c r="BR63" s="770"/>
      <c r="BS63" s="770"/>
      <c r="BT63" s="770"/>
      <c r="BU63" s="770"/>
      <c r="BV63" s="770"/>
      <c r="BW63" s="770"/>
      <c r="BX63" s="770"/>
      <c r="BY63" s="770"/>
      <c r="BZ63" s="770"/>
      <c r="CA63" s="770"/>
      <c r="CB63" s="770"/>
      <c r="CC63" s="770"/>
      <c r="CD63" s="770"/>
      <c r="CE63" s="770"/>
      <c r="CF63" s="770"/>
      <c r="CG63" s="770"/>
      <c r="CH63" s="770"/>
      <c r="CI63" s="770"/>
      <c r="CJ63" s="770"/>
      <c r="CK63" s="770"/>
      <c r="CL63" s="770"/>
      <c r="CM63" s="770"/>
      <c r="CN63" s="770"/>
      <c r="CO63" s="770"/>
      <c r="CP63" s="770"/>
      <c r="CQ63" s="770"/>
      <c r="CR63" s="770"/>
      <c r="CS63" s="770"/>
      <c r="CT63" s="770"/>
      <c r="CU63" s="770"/>
      <c r="CV63" s="770"/>
      <c r="CW63" s="770"/>
      <c r="CX63" s="770"/>
      <c r="CY63" s="770"/>
      <c r="CZ63" s="770"/>
      <c r="DA63" s="770"/>
      <c r="DB63" s="770"/>
      <c r="DC63" s="770"/>
      <c r="DD63" s="770"/>
      <c r="EP63"/>
    </row>
    <row r="64" spans="1:162" ht="13.9" customHeight="1" x14ac:dyDescent="0.2">
      <c r="A64" s="770" t="s">
        <v>242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Q64" s="771"/>
      <c r="ER64" s="771"/>
    </row>
    <row r="65" spans="1:148" ht="13.9" customHeight="1" x14ac:dyDescent="0.2">
      <c r="A65" s="770" t="s">
        <v>243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Q65" s="771"/>
      <c r="ER65" s="771"/>
    </row>
    <row r="66" spans="1:148" ht="13.9" customHeight="1" x14ac:dyDescent="0.2">
      <c r="A66" s="772" t="s">
        <v>108</v>
      </c>
    </row>
    <row r="67" spans="1:148" ht="13.9" customHeight="1" x14ac:dyDescent="0.2">
      <c r="Z67" s="208">
        <f t="shared" ref="Z67:BE67" si="40">Z55-Z7</f>
        <v>0</v>
      </c>
      <c r="AA67" s="208">
        <f t="shared" si="40"/>
        <v>0</v>
      </c>
      <c r="AB67" s="208">
        <f t="shared" si="40"/>
        <v>0</v>
      </c>
      <c r="AC67" s="208">
        <f t="shared" si="40"/>
        <v>0</v>
      </c>
      <c r="AD67" s="208">
        <f t="shared" si="40"/>
        <v>0</v>
      </c>
      <c r="AE67" s="208">
        <f t="shared" si="40"/>
        <v>0</v>
      </c>
      <c r="AF67" s="208">
        <f t="shared" si="40"/>
        <v>0</v>
      </c>
      <c r="AG67" s="208">
        <f t="shared" si="40"/>
        <v>0</v>
      </c>
      <c r="AH67" s="208">
        <f t="shared" si="40"/>
        <v>0</v>
      </c>
      <c r="AI67" s="208">
        <f t="shared" si="40"/>
        <v>0</v>
      </c>
      <c r="AJ67" s="208">
        <f t="shared" si="40"/>
        <v>0</v>
      </c>
      <c r="AK67" s="208">
        <f t="shared" si="40"/>
        <v>0</v>
      </c>
      <c r="AL67" s="208">
        <f t="shared" si="40"/>
        <v>0</v>
      </c>
      <c r="AM67" s="208">
        <f t="shared" si="40"/>
        <v>0</v>
      </c>
      <c r="AN67" s="208">
        <f t="shared" si="40"/>
        <v>0</v>
      </c>
      <c r="AO67" s="208">
        <f t="shared" si="40"/>
        <v>0</v>
      </c>
      <c r="AP67" s="208">
        <f t="shared" si="40"/>
        <v>0</v>
      </c>
      <c r="AQ67" s="208">
        <f t="shared" si="40"/>
        <v>0</v>
      </c>
      <c r="AR67" s="208">
        <f t="shared" si="40"/>
        <v>0</v>
      </c>
      <c r="AS67" s="208">
        <f t="shared" si="40"/>
        <v>0</v>
      </c>
      <c r="AT67" s="208">
        <f t="shared" si="40"/>
        <v>0</v>
      </c>
      <c r="AU67" s="208">
        <f t="shared" si="40"/>
        <v>0</v>
      </c>
      <c r="AV67" s="208">
        <f t="shared" si="40"/>
        <v>0</v>
      </c>
      <c r="AW67" s="208">
        <f t="shared" si="40"/>
        <v>-7.7769999857991934E-2</v>
      </c>
      <c r="AX67" s="208">
        <f t="shared" si="40"/>
        <v>-0.19860000046901405</v>
      </c>
      <c r="AY67" s="208">
        <f t="shared" si="40"/>
        <v>4.1209999704733491E-2</v>
      </c>
      <c r="AZ67" s="208">
        <f t="shared" si="40"/>
        <v>-0.45334999985061586</v>
      </c>
      <c r="BA67" s="208">
        <f t="shared" si="40"/>
        <v>-0.38391999946907163</v>
      </c>
      <c r="BB67" s="208">
        <f t="shared" si="40"/>
        <v>-0.39195000031031668</v>
      </c>
      <c r="BC67" s="208">
        <f t="shared" si="40"/>
        <v>-0.13685000012628734</v>
      </c>
      <c r="BD67" s="208">
        <f t="shared" si="40"/>
        <v>0</v>
      </c>
      <c r="BE67" s="208">
        <f t="shared" si="40"/>
        <v>0</v>
      </c>
      <c r="BF67" s="208">
        <f t="shared" ref="BF67:CK67" si="41">BF55-BF7</f>
        <v>0</v>
      </c>
      <c r="BG67" s="208">
        <f t="shared" si="41"/>
        <v>3.0000000260770321E-3</v>
      </c>
      <c r="BH67" s="208">
        <f t="shared" si="41"/>
        <v>0.1459500000346452</v>
      </c>
      <c r="BI67" s="208">
        <f t="shared" si="41"/>
        <v>0</v>
      </c>
      <c r="BJ67" s="208">
        <f t="shared" si="41"/>
        <v>2.8800000436604023E-2</v>
      </c>
      <c r="BK67" s="208">
        <f t="shared" si="41"/>
        <v>-0.10850999969989061</v>
      </c>
      <c r="BL67" s="208">
        <f t="shared" si="41"/>
        <v>-3.1280000461265445E-2</v>
      </c>
      <c r="BM67" s="208">
        <f t="shared" si="41"/>
        <v>0.33255000039935112</v>
      </c>
      <c r="BN67" s="208">
        <f t="shared" si="41"/>
        <v>0.49401000025682151</v>
      </c>
      <c r="BO67" s="208">
        <f t="shared" si="41"/>
        <v>4.4590000063180923E-2</v>
      </c>
      <c r="BP67" s="208">
        <f t="shared" si="41"/>
        <v>-3.5269999410957098E-2</v>
      </c>
      <c r="BQ67" s="208">
        <f t="shared" si="41"/>
        <v>-0.22147000045515597</v>
      </c>
      <c r="BR67" s="208">
        <f t="shared" si="41"/>
        <v>-0.10719999973662198</v>
      </c>
      <c r="BS67" s="208">
        <f t="shared" si="41"/>
        <v>0.20607000030577183</v>
      </c>
      <c r="BT67" s="208">
        <f t="shared" si="41"/>
        <v>0</v>
      </c>
      <c r="BU67" s="208">
        <f t="shared" si="41"/>
        <v>-0.20128999999724329</v>
      </c>
      <c r="BV67" s="208">
        <f t="shared" si="41"/>
        <v>0</v>
      </c>
      <c r="BW67" s="208">
        <f t="shared" si="41"/>
        <v>0</v>
      </c>
      <c r="BX67" s="208">
        <f t="shared" si="41"/>
        <v>0</v>
      </c>
      <c r="BY67" s="208">
        <f t="shared" si="41"/>
        <v>0</v>
      </c>
      <c r="BZ67" s="208">
        <f t="shared" si="41"/>
        <v>0</v>
      </c>
      <c r="CA67" s="208">
        <f t="shared" si="41"/>
        <v>0</v>
      </c>
      <c r="CB67" s="208">
        <f t="shared" si="41"/>
        <v>0</v>
      </c>
      <c r="CC67" s="208">
        <f t="shared" si="41"/>
        <v>0</v>
      </c>
      <c r="CD67" s="208">
        <f t="shared" si="41"/>
        <v>0</v>
      </c>
      <c r="CE67" s="208">
        <f t="shared" si="41"/>
        <v>0</v>
      </c>
      <c r="CF67" s="208">
        <f t="shared" si="41"/>
        <v>0</v>
      </c>
      <c r="CG67" s="208">
        <f t="shared" si="41"/>
        <v>0</v>
      </c>
      <c r="CH67" s="208">
        <f t="shared" si="41"/>
        <v>0</v>
      </c>
      <c r="CI67" s="208">
        <f t="shared" si="41"/>
        <v>0</v>
      </c>
      <c r="CJ67" s="208">
        <f t="shared" si="41"/>
        <v>0</v>
      </c>
      <c r="CK67" s="208">
        <f t="shared" si="41"/>
        <v>0</v>
      </c>
      <c r="CL67" s="208">
        <f t="shared" ref="CL67:DQ67" si="42">CL55-CL7</f>
        <v>0</v>
      </c>
      <c r="CM67" s="208">
        <f t="shared" si="42"/>
        <v>0</v>
      </c>
      <c r="CN67" s="208">
        <f t="shared" si="42"/>
        <v>0</v>
      </c>
      <c r="CO67" s="208">
        <f t="shared" si="42"/>
        <v>0</v>
      </c>
      <c r="CP67" s="208">
        <f t="shared" si="42"/>
        <v>0</v>
      </c>
      <c r="CQ67" s="208">
        <f t="shared" si="42"/>
        <v>0</v>
      </c>
      <c r="CR67" s="208">
        <f t="shared" si="42"/>
        <v>0</v>
      </c>
      <c r="CS67" s="208">
        <f t="shared" si="42"/>
        <v>0</v>
      </c>
      <c r="CT67" s="208">
        <f t="shared" si="42"/>
        <v>0</v>
      </c>
      <c r="CU67" s="208">
        <f t="shared" si="42"/>
        <v>0</v>
      </c>
      <c r="CV67" s="208">
        <f t="shared" si="42"/>
        <v>0</v>
      </c>
      <c r="CW67" s="208">
        <f t="shared" si="42"/>
        <v>0</v>
      </c>
      <c r="CX67" s="208">
        <f t="shared" si="42"/>
        <v>0</v>
      </c>
      <c r="CY67" s="208">
        <f t="shared" si="42"/>
        <v>0</v>
      </c>
      <c r="CZ67" s="208">
        <f t="shared" si="42"/>
        <v>0</v>
      </c>
      <c r="DA67" s="208">
        <f t="shared" si="42"/>
        <v>0</v>
      </c>
      <c r="DB67" s="208">
        <f t="shared" si="42"/>
        <v>0</v>
      </c>
      <c r="DC67" s="208">
        <f t="shared" si="42"/>
        <v>0</v>
      </c>
      <c r="DD67" s="208">
        <f t="shared" si="42"/>
        <v>0</v>
      </c>
      <c r="DE67" s="208">
        <f t="shared" si="42"/>
        <v>0</v>
      </c>
      <c r="DF67" s="208">
        <f t="shared" si="42"/>
        <v>0</v>
      </c>
      <c r="DG67" s="208">
        <f t="shared" si="42"/>
        <v>0</v>
      </c>
      <c r="DH67" s="208">
        <f t="shared" si="42"/>
        <v>0</v>
      </c>
      <c r="DI67" s="208">
        <f t="shared" si="42"/>
        <v>0</v>
      </c>
      <c r="DJ67" s="208">
        <f t="shared" si="42"/>
        <v>0</v>
      </c>
      <c r="DK67" s="208">
        <f t="shared" si="42"/>
        <v>0</v>
      </c>
      <c r="DL67" s="208">
        <f t="shared" si="42"/>
        <v>0</v>
      </c>
      <c r="DM67" s="208">
        <f t="shared" si="42"/>
        <v>0</v>
      </c>
      <c r="DN67" s="208">
        <f t="shared" si="42"/>
        <v>0</v>
      </c>
      <c r="DO67" s="208">
        <f t="shared" si="42"/>
        <v>0</v>
      </c>
      <c r="DP67" s="208">
        <f t="shared" si="42"/>
        <v>0</v>
      </c>
      <c r="DQ67" s="208">
        <f t="shared" si="42"/>
        <v>0</v>
      </c>
      <c r="DR67" s="208">
        <f t="shared" ref="DR67:EO67" si="43">DR55-DR7</f>
        <v>0</v>
      </c>
      <c r="DS67" s="208">
        <f t="shared" si="43"/>
        <v>0</v>
      </c>
      <c r="DT67" s="208">
        <f t="shared" si="43"/>
        <v>0</v>
      </c>
      <c r="DU67" s="208">
        <f t="shared" si="43"/>
        <v>0</v>
      </c>
      <c r="DV67" s="208">
        <f t="shared" si="43"/>
        <v>0</v>
      </c>
      <c r="DW67" s="208">
        <f t="shared" si="43"/>
        <v>0</v>
      </c>
      <c r="DX67" s="208">
        <f t="shared" si="43"/>
        <v>0</v>
      </c>
      <c r="DY67" s="208">
        <f t="shared" si="43"/>
        <v>0</v>
      </c>
      <c r="DZ67" s="208">
        <f t="shared" si="43"/>
        <v>0</v>
      </c>
      <c r="EA67" s="208">
        <f t="shared" si="43"/>
        <v>0</v>
      </c>
      <c r="EB67" s="208">
        <f t="shared" si="43"/>
        <v>0</v>
      </c>
      <c r="EC67" s="208">
        <f t="shared" si="43"/>
        <v>0</v>
      </c>
      <c r="ED67" s="208">
        <f t="shared" si="43"/>
        <v>0</v>
      </c>
      <c r="EE67" s="208">
        <f t="shared" si="43"/>
        <v>0.14999999990686774</v>
      </c>
      <c r="EF67" s="208">
        <f t="shared" si="43"/>
        <v>0.31918999878689647</v>
      </c>
      <c r="EG67" s="208">
        <f t="shared" si="43"/>
        <v>0.13242999976500869</v>
      </c>
      <c r="EH67" s="208">
        <f t="shared" si="43"/>
        <v>-0.20000000018626451</v>
      </c>
      <c r="EI67" s="208">
        <f t="shared" si="43"/>
        <v>0.40000000037252903</v>
      </c>
      <c r="EJ67" s="208">
        <f t="shared" si="43"/>
        <v>-0.34779999917373061</v>
      </c>
      <c r="EK67" s="208">
        <f t="shared" si="43"/>
        <v>-0.2400500001385808</v>
      </c>
      <c r="EL67" s="208">
        <f t="shared" si="43"/>
        <v>0</v>
      </c>
      <c r="EM67" s="208">
        <f t="shared" si="43"/>
        <v>0.19059999985620379</v>
      </c>
      <c r="EN67" s="208">
        <f t="shared" si="43"/>
        <v>-7.1129999589174986E-2</v>
      </c>
      <c r="EO67" s="208">
        <f t="shared" si="43"/>
        <v>0.29999999981373549</v>
      </c>
      <c r="EQ67" s="208"/>
    </row>
    <row r="69" spans="1:148" ht="13.9" customHeight="1" x14ac:dyDescent="0.2">
      <c r="B69" s="267">
        <v>1.9275679903224412</v>
      </c>
      <c r="C69" s="267">
        <v>1.9262186927292158</v>
      </c>
      <c r="D69" s="267">
        <v>1.9331530800230408</v>
      </c>
      <c r="E69" s="267">
        <v>1.9335397106390453</v>
      </c>
      <c r="F69" s="267">
        <v>1.9327662947547899</v>
      </c>
      <c r="G69" s="267">
        <v>1.9261948893526231</v>
      </c>
      <c r="H69" s="267">
        <v>1.9298546596423929</v>
      </c>
      <c r="I69" s="267">
        <v>1.9258019648571441</v>
      </c>
      <c r="J69" s="267">
        <v>1.9240687430887724</v>
      </c>
      <c r="K69" s="267">
        <v>1.9263776255804792</v>
      </c>
      <c r="L69" s="267">
        <v>1.9242586101923407</v>
      </c>
      <c r="M69" s="267">
        <v>1.9304162377449561</v>
      </c>
      <c r="N69" s="267">
        <v>1.9362074864581909</v>
      </c>
      <c r="O69" s="267">
        <v>1.9424033504148568</v>
      </c>
      <c r="P69" s="267">
        <v>1.9478420797960201</v>
      </c>
      <c r="Q69" s="267">
        <v>1.9484264324199601</v>
      </c>
      <c r="R69" s="267">
        <v>1.953102655857768</v>
      </c>
      <c r="S69" s="267">
        <v>1.9579854124974125</v>
      </c>
      <c r="T69" s="267">
        <v>1.9650341599824006</v>
      </c>
      <c r="U69" s="267">
        <v>1.9703397522143531</v>
      </c>
      <c r="V69" s="267">
        <v>1.969748650288689</v>
      </c>
      <c r="W69" s="267">
        <v>1.9669910021782848</v>
      </c>
      <c r="X69" s="267">
        <v>1.9671877012785028</v>
      </c>
      <c r="Y69" s="267">
        <v>1.9707286391408045</v>
      </c>
      <c r="Z69" s="267">
        <v>1.9784144808334547</v>
      </c>
      <c r="AA69" s="267">
        <v>1.9859324558606217</v>
      </c>
      <c r="AB69" s="267">
        <v>1.9998339830516463</v>
      </c>
      <c r="AC69" s="267">
        <v>2.0134328541363975</v>
      </c>
      <c r="AD69" s="267">
        <v>2.0130301675655704</v>
      </c>
      <c r="AE69" s="267">
        <v>2.01504319773314</v>
      </c>
      <c r="AF69" s="267">
        <v>2.0309620389952276</v>
      </c>
      <c r="AG69" s="267">
        <v>2.0364456365005199</v>
      </c>
      <c r="AH69" s="267">
        <v>2.04316590710097</v>
      </c>
      <c r="AI69" s="267">
        <v>2.0494997214129778</v>
      </c>
      <c r="AJ69" s="267">
        <v>2.0583125702150538</v>
      </c>
      <c r="AK69" s="267">
        <v>2.0638700141546344</v>
      </c>
      <c r="AL69" s="267">
        <v>2.0618061441404798</v>
      </c>
      <c r="AM69" s="267">
        <v>2.0684039238017293</v>
      </c>
      <c r="AN69" s="267">
        <v>2.0843306340150023</v>
      </c>
      <c r="AO69" s="267">
        <v>2.0953775863752817</v>
      </c>
      <c r="AP69" s="267">
        <v>2.0962157374098318</v>
      </c>
      <c r="AQ69" s="267">
        <v>2.0953772511148681</v>
      </c>
      <c r="AR69" s="267">
        <v>2.0972630906408711</v>
      </c>
      <c r="AS69" s="267">
        <v>2.1079591324031401</v>
      </c>
      <c r="AT69" s="267">
        <v>2.1193421117181175</v>
      </c>
      <c r="AU69" s="267">
        <v>2.1159511643393687</v>
      </c>
      <c r="AV69" s="267">
        <v>2.1129888327092932</v>
      </c>
      <c r="AW69" s="267">
        <v>2.1184826036743378</v>
      </c>
      <c r="AX69" s="267">
        <v>2.121024782798747</v>
      </c>
      <c r="AY69" s="267">
        <v>2.1191158604942277</v>
      </c>
      <c r="AZ69" s="267">
        <v>2.1383998148247256</v>
      </c>
      <c r="BA69" s="267">
        <v>2.1437458143617873</v>
      </c>
      <c r="BB69" s="267">
        <v>2.1478189314090752</v>
      </c>
      <c r="BC69" s="267">
        <v>2.1534032606307387</v>
      </c>
      <c r="BD69" s="267">
        <v>2.1652469785642081</v>
      </c>
      <c r="BE69" s="267">
        <v>2.1769393122484546</v>
      </c>
      <c r="BF69" s="267">
        <v>2.179333945491928</v>
      </c>
      <c r="BG69" s="267">
        <v>2.1802056790701254</v>
      </c>
      <c r="BH69" s="267">
        <v>2.1754092265761709</v>
      </c>
      <c r="BI69" s="267">
        <v>2.1791074222613505</v>
      </c>
      <c r="BJ69" s="267">
        <v>1.2345506860700497</v>
      </c>
      <c r="BK69" s="267">
        <v>1.2419579901864699</v>
      </c>
      <c r="BL69" s="267">
        <v>1.2484161717354396</v>
      </c>
      <c r="BM69" s="267">
        <v>1.2532849948052076</v>
      </c>
      <c r="BN69" s="267">
        <v>1.2561675502932597</v>
      </c>
      <c r="BO69" s="267">
        <v>1.2581774183737287</v>
      </c>
      <c r="BP69" s="267">
        <v>1.2635875812727357</v>
      </c>
      <c r="BQ69" s="267">
        <v>1.26245035244959</v>
      </c>
      <c r="BR69" s="267">
        <v>1.2644702730135093</v>
      </c>
      <c r="BS69" s="267">
        <v>1.2692752600509609</v>
      </c>
      <c r="BT69" s="267">
        <v>1.2673713471608843</v>
      </c>
      <c r="BU69" s="267">
        <v>1.2702863012593546</v>
      </c>
      <c r="BV69" s="267">
        <v>1.2724457879714952</v>
      </c>
      <c r="BW69" s="267">
        <v>1.2762631253354098</v>
      </c>
      <c r="BX69" s="267">
        <v>1.2859627250879588</v>
      </c>
      <c r="BY69" s="267">
        <v>1.2909779797158021</v>
      </c>
      <c r="BZ69" s="267">
        <v>1.2982074564022108</v>
      </c>
      <c r="CA69" s="267">
        <v>1.302491541008338</v>
      </c>
      <c r="CB69" s="267">
        <v>1.3083527529428765</v>
      </c>
      <c r="CC69" s="267">
        <v>1.3133244934040593</v>
      </c>
      <c r="CD69" s="267">
        <v>1.3137184907520796</v>
      </c>
      <c r="CE69" s="267">
        <v>1.3155576966391334</v>
      </c>
      <c r="CF69" s="267">
        <v>1.3200305928077065</v>
      </c>
      <c r="CG69" s="267">
        <v>1.3259707304753412</v>
      </c>
      <c r="CH69" s="267">
        <v>1.3308768221781</v>
      </c>
      <c r="CI69" s="267">
        <v>1.3331393127758029</v>
      </c>
      <c r="CJ69" s="267">
        <v>1.3411381486524576</v>
      </c>
      <c r="CK69" s="267">
        <v>1.3412722624673228</v>
      </c>
      <c r="CL69" s="267">
        <v>1.3440889342185038</v>
      </c>
      <c r="CM69" s="267">
        <v>1.3459706587264098</v>
      </c>
      <c r="CN69" s="267">
        <v>1.3470474352533908</v>
      </c>
      <c r="CO69" s="267">
        <v>1.3518968060203032</v>
      </c>
      <c r="CP69" s="267">
        <v>1.3547357893129455</v>
      </c>
      <c r="CQ69" s="267">
        <v>1.3602902060491286</v>
      </c>
      <c r="CR69" s="267">
        <v>1.3642350476466711</v>
      </c>
      <c r="CS69" s="267">
        <v>1.3687370233039053</v>
      </c>
      <c r="CT69" s="267">
        <v>1.3720219921598344</v>
      </c>
      <c r="CU69" s="267">
        <v>1.376412462534746</v>
      </c>
      <c r="CV69" s="267">
        <v>1.3943058245476976</v>
      </c>
      <c r="CW69" s="267">
        <v>1.3906806294038736</v>
      </c>
      <c r="CX69" s="267">
        <v>1.3848397707603775</v>
      </c>
      <c r="CY69" s="267">
        <v>1.382624027127161</v>
      </c>
      <c r="CZ69" s="267">
        <v>1.3853892751814154</v>
      </c>
      <c r="DA69" s="267">
        <v>1.394671383325131</v>
      </c>
      <c r="DB69" s="267">
        <v>1.3943924490484658</v>
      </c>
      <c r="DC69" s="267">
        <v>1.3878388045379382</v>
      </c>
      <c r="DD69" s="267">
        <v>1.385063126928862</v>
      </c>
      <c r="DE69" s="267">
        <v>1.3872792279319484</v>
      </c>
      <c r="DF69" s="267">
        <v>1.3890826909282596</v>
      </c>
      <c r="DG69" s="267">
        <v>1.3925553976555805</v>
      </c>
      <c r="DH69" s="267">
        <v>1.3993789191040926</v>
      </c>
      <c r="DI69" s="267">
        <v>1.3974197886173472</v>
      </c>
      <c r="DJ69" s="267">
        <v>1.3976992725750705</v>
      </c>
      <c r="DK69" s="267">
        <v>1.4023116801745681</v>
      </c>
      <c r="DL69" s="267">
        <v>1.4076404645592313</v>
      </c>
      <c r="DM69" s="267">
        <v>1.4094703971631584</v>
      </c>
      <c r="DN69" s="267">
        <v>1.4121483909177683</v>
      </c>
      <c r="DO69" s="267">
        <v>1.4132781096305025</v>
      </c>
      <c r="DP69" s="267">
        <v>1.414974043362059</v>
      </c>
      <c r="DQ69" s="267">
        <v>1.4175209966401108</v>
      </c>
      <c r="DR69" s="267">
        <v>1.4185132613377587</v>
      </c>
      <c r="DS69" s="267">
        <v>1.4203573285774977</v>
      </c>
      <c r="DT69" s="267">
        <v>1.4307259370761134</v>
      </c>
      <c r="DU69" s="267">
        <v>1.4335873889502657</v>
      </c>
      <c r="DV69" s="267">
        <v>1.4357377700336911</v>
      </c>
      <c r="DW69" s="267">
        <v>1.4344456060406607</v>
      </c>
      <c r="DX69" s="267">
        <v>1.4373144972527421</v>
      </c>
      <c r="DY69" s="267">
        <v>1.4381768859510939</v>
      </c>
      <c r="DZ69" s="267">
        <v>1.438320703639689</v>
      </c>
      <c r="EA69" s="267">
        <v>1.4399028564136926</v>
      </c>
      <c r="EB69" s="267">
        <v>1.4414867495557475</v>
      </c>
      <c r="EC69" s="267">
        <v>1.4445138717298147</v>
      </c>
      <c r="ED69" s="267">
        <v>1.4452361286656796</v>
      </c>
      <c r="EE69" s="267"/>
      <c r="EF69" s="267"/>
      <c r="EG69" s="267"/>
      <c r="EH69" s="267"/>
      <c r="EI69" s="267"/>
      <c r="EJ69" s="267"/>
      <c r="EK69" s="267"/>
      <c r="EL69" s="267"/>
      <c r="EM69" s="267"/>
      <c r="EN69" s="267"/>
      <c r="EO69" s="267"/>
    </row>
    <row r="70" spans="1:148" ht="13.9" customHeight="1" x14ac:dyDescent="0.2">
      <c r="B70" s="105">
        <f t="shared" ref="B70:AG70" si="44">B7/B69</f>
        <v>436908.06458096602</v>
      </c>
      <c r="C70" s="105">
        <f t="shared" si="44"/>
        <v>451351.13851904601</v>
      </c>
      <c r="D70" s="105">
        <f t="shared" si="44"/>
        <v>450790.99477709929</v>
      </c>
      <c r="E70" s="105">
        <f t="shared" si="44"/>
        <v>451460.08390564501</v>
      </c>
      <c r="F70" s="105">
        <f t="shared" si="44"/>
        <v>460523.862825808</v>
      </c>
      <c r="G70" s="105">
        <f t="shared" si="44"/>
        <v>456737.27246555057</v>
      </c>
      <c r="H70" s="105">
        <f t="shared" si="44"/>
        <v>460679.76961785421</v>
      </c>
      <c r="I70" s="105">
        <f t="shared" si="44"/>
        <v>461316.38466050779</v>
      </c>
      <c r="J70" s="105">
        <f t="shared" si="44"/>
        <v>467380.90997537161</v>
      </c>
      <c r="K70" s="105">
        <f t="shared" si="44"/>
        <v>473412.37143220764</v>
      </c>
      <c r="L70" s="105">
        <f t="shared" si="44"/>
        <v>481126.07894604141</v>
      </c>
      <c r="M70" s="105">
        <f t="shared" si="44"/>
        <v>480886.96201831644</v>
      </c>
      <c r="N70" s="105">
        <f t="shared" si="44"/>
        <v>482757.47739713313</v>
      </c>
      <c r="O70" s="105">
        <f t="shared" si="44"/>
        <v>489882.80410284956</v>
      </c>
      <c r="P70" s="105">
        <f t="shared" si="44"/>
        <v>491850.96160379064</v>
      </c>
      <c r="Q70" s="105">
        <f t="shared" si="44"/>
        <v>494196.74460280425</v>
      </c>
      <c r="R70" s="105">
        <f t="shared" si="44"/>
        <v>493563.91847034619</v>
      </c>
      <c r="S70" s="105">
        <f t="shared" si="44"/>
        <v>495538.42117875442</v>
      </c>
      <c r="T70" s="105">
        <f t="shared" si="44"/>
        <v>500538.37232468731</v>
      </c>
      <c r="U70" s="105">
        <f t="shared" si="44"/>
        <v>509648.65266076976</v>
      </c>
      <c r="V70" s="105">
        <f t="shared" si="44"/>
        <v>518910.87720770674</v>
      </c>
      <c r="W70" s="24">
        <f t="shared" si="44"/>
        <v>535425.93679060542</v>
      </c>
      <c r="X70" s="24">
        <f t="shared" si="44"/>
        <v>553340.9802951453</v>
      </c>
      <c r="Y70" s="24">
        <f t="shared" si="44"/>
        <v>560200.92166586779</v>
      </c>
      <c r="Z70" s="24">
        <f t="shared" si="44"/>
        <v>620585.0491312471</v>
      </c>
      <c r="AA70" s="24">
        <f t="shared" si="44"/>
        <v>638370.51435397612</v>
      </c>
      <c r="AB70" s="24">
        <f t="shared" si="44"/>
        <v>650632.90414962277</v>
      </c>
      <c r="AC70" s="24">
        <f t="shared" si="44"/>
        <v>655493.12063157198</v>
      </c>
      <c r="AD70" s="24">
        <f t="shared" si="44"/>
        <v>666897.8489147611</v>
      </c>
      <c r="AE70" s="24">
        <f t="shared" si="44"/>
        <v>672404.77933884878</v>
      </c>
      <c r="AF70" s="24">
        <f t="shared" si="44"/>
        <v>671693.07551651658</v>
      </c>
      <c r="AG70" s="24">
        <f t="shared" si="44"/>
        <v>685193.14854769211</v>
      </c>
      <c r="AH70" s="24">
        <f t="shared" ref="AH70:BM70" si="45">AH7/AH69</f>
        <v>700703.46507071494</v>
      </c>
      <c r="AI70" s="24">
        <f t="shared" si="45"/>
        <v>713848.66601560102</v>
      </c>
      <c r="AJ70" s="24">
        <f t="shared" si="45"/>
        <v>731625.07736259967</v>
      </c>
      <c r="AK70" s="24">
        <f t="shared" si="45"/>
        <v>743301.6671732408</v>
      </c>
      <c r="AL70" s="24">
        <f t="shared" si="45"/>
        <v>759413.2164654748</v>
      </c>
      <c r="AM70" s="24">
        <f t="shared" si="45"/>
        <v>780365.58913660399</v>
      </c>
      <c r="AN70" s="24">
        <f t="shared" si="45"/>
        <v>797527.1060752616</v>
      </c>
      <c r="AO70" s="24">
        <f t="shared" si="45"/>
        <v>805903.71156979573</v>
      </c>
      <c r="AP70" s="24">
        <f t="shared" si="45"/>
        <v>813791.5657755041</v>
      </c>
      <c r="AQ70" s="24">
        <f t="shared" si="45"/>
        <v>816801.80202365655</v>
      </c>
      <c r="AR70" s="24">
        <f t="shared" si="45"/>
        <v>817252.33336664818</v>
      </c>
      <c r="AS70" s="24">
        <f t="shared" si="45"/>
        <v>827869.66720294673</v>
      </c>
      <c r="AT70" s="24">
        <f t="shared" si="45"/>
        <v>834125.07108957274</v>
      </c>
      <c r="AU70" s="24">
        <f t="shared" si="45"/>
        <v>849299.43986730615</v>
      </c>
      <c r="AV70" s="24">
        <f t="shared" si="45"/>
        <v>866046.81088334252</v>
      </c>
      <c r="AW70" s="24">
        <f t="shared" si="45"/>
        <v>870827.1068548247</v>
      </c>
      <c r="AX70" s="24">
        <f t="shared" si="45"/>
        <v>879502.32379109471</v>
      </c>
      <c r="AY70" s="24">
        <f t="shared" si="45"/>
        <v>885505.59778376564</v>
      </c>
      <c r="AZ70" s="24">
        <f t="shared" si="45"/>
        <v>892476.08539305278</v>
      </c>
      <c r="BA70" s="24">
        <f t="shared" si="45"/>
        <v>898848.11459965748</v>
      </c>
      <c r="BB70" s="24">
        <f t="shared" si="45"/>
        <v>901730.16886921378</v>
      </c>
      <c r="BC70" s="24">
        <f t="shared" si="45"/>
        <v>898920.29643487034</v>
      </c>
      <c r="BD70" s="24">
        <f t="shared" si="45"/>
        <v>889865.55396911886</v>
      </c>
      <c r="BE70" s="24">
        <f t="shared" si="45"/>
        <v>894208.94124485808</v>
      </c>
      <c r="BF70" s="24">
        <f t="shared" si="45"/>
        <v>892418.02381552604</v>
      </c>
      <c r="BG70" s="24">
        <f t="shared" si="45"/>
        <v>896951.57987298374</v>
      </c>
      <c r="BH70" s="24">
        <f t="shared" si="45"/>
        <v>908994.63816848956</v>
      </c>
      <c r="BI70" s="24">
        <f t="shared" si="45"/>
        <v>906943.78728657716</v>
      </c>
      <c r="BJ70" s="24">
        <f t="shared" si="45"/>
        <v>1609177.4953477103</v>
      </c>
      <c r="BK70" s="24">
        <f t="shared" si="45"/>
        <v>1609904.6289639806</v>
      </c>
      <c r="BL70" s="24">
        <f t="shared" si="45"/>
        <v>1605535.0220941878</v>
      </c>
      <c r="BM70" s="24">
        <f t="shared" si="45"/>
        <v>1609945.6229774817</v>
      </c>
      <c r="BN70" s="24">
        <f t="shared" ref="BN70:CS70" si="46">BN7/BN69</f>
        <v>1613135.9049490909</v>
      </c>
      <c r="BO70" s="24">
        <f t="shared" si="46"/>
        <v>1607140.0658769142</v>
      </c>
      <c r="BP70" s="24">
        <f t="shared" si="46"/>
        <v>1611040.4566097199</v>
      </c>
      <c r="BQ70" s="24">
        <f t="shared" si="46"/>
        <v>1628184.6224222723</v>
      </c>
      <c r="BR70" s="24">
        <f t="shared" si="46"/>
        <v>1637410.1187809261</v>
      </c>
      <c r="BS70" s="24">
        <f t="shared" si="46"/>
        <v>1634094.4906912665</v>
      </c>
      <c r="BT70" s="24">
        <f t="shared" si="46"/>
        <v>1649824.9689832772</v>
      </c>
      <c r="BU70" s="24">
        <f t="shared" si="46"/>
        <v>1648807.9885719984</v>
      </c>
      <c r="BV70" s="24">
        <f t="shared" si="46"/>
        <v>1656122.3124086508</v>
      </c>
      <c r="BW70" s="24">
        <f t="shared" si="46"/>
        <v>1668374.505069565</v>
      </c>
      <c r="BX70" s="24">
        <f t="shared" si="46"/>
        <v>1696266.0854270083</v>
      </c>
      <c r="BY70" s="24">
        <f t="shared" si="46"/>
        <v>1706619.8522650383</v>
      </c>
      <c r="BZ70" s="24">
        <f t="shared" si="46"/>
        <v>1709631.3063559909</v>
      </c>
      <c r="CA70" s="24">
        <f t="shared" si="46"/>
        <v>1701415.0639353853</v>
      </c>
      <c r="CB70" s="24">
        <f t="shared" si="46"/>
        <v>1712977.9178122396</v>
      </c>
      <c r="CC70" s="24">
        <f t="shared" si="46"/>
        <v>1672391.8789765954</v>
      </c>
      <c r="CD70" s="24">
        <f t="shared" si="46"/>
        <v>1687250.4875082134</v>
      </c>
      <c r="CE70" s="24">
        <f t="shared" si="46"/>
        <v>1694141.4610957643</v>
      </c>
      <c r="CF70" s="24">
        <f t="shared" si="46"/>
        <v>1700196.7668918539</v>
      </c>
      <c r="CG70" s="24">
        <f t="shared" si="46"/>
        <v>1693035.1664891057</v>
      </c>
      <c r="CH70" s="24">
        <f t="shared" si="46"/>
        <v>1684765.3912631921</v>
      </c>
      <c r="CI70" s="24">
        <f t="shared" si="46"/>
        <v>1697506.7145443759</v>
      </c>
      <c r="CJ70" s="24">
        <f t="shared" si="46"/>
        <v>1666222.7664803255</v>
      </c>
      <c r="CK70" s="24">
        <f t="shared" si="46"/>
        <v>1671648.1990878603</v>
      </c>
      <c r="CL70" s="24">
        <f t="shared" si="46"/>
        <v>1680673.2943630992</v>
      </c>
      <c r="CM70" s="24">
        <f t="shared" si="46"/>
        <v>1676922.1712052119</v>
      </c>
      <c r="CN70" s="24">
        <f t="shared" si="46"/>
        <v>1687579.0448406762</v>
      </c>
      <c r="CO70" s="24">
        <f t="shared" si="46"/>
        <v>1696216.448140319</v>
      </c>
      <c r="CP70" s="24">
        <f t="shared" si="46"/>
        <v>1719232.018946813</v>
      </c>
      <c r="CQ70" s="24">
        <f t="shared" si="46"/>
        <v>1722603.0469378904</v>
      </c>
      <c r="CR70" s="24">
        <f t="shared" si="46"/>
        <v>1738641.5518583804</v>
      </c>
      <c r="CS70" s="24">
        <f t="shared" si="46"/>
        <v>1744509.5236090752</v>
      </c>
      <c r="CT70" s="24">
        <f t="shared" ref="CT70:DY70" si="47">CT7/CT69</f>
        <v>1726367.6980872089</v>
      </c>
      <c r="CU70" s="24">
        <f t="shared" si="47"/>
        <v>1741132.9093363993</v>
      </c>
      <c r="CV70" s="24">
        <f t="shared" si="47"/>
        <v>1730109.6129412875</v>
      </c>
      <c r="CW70" s="24">
        <f t="shared" si="47"/>
        <v>1736131.0311735296</v>
      </c>
      <c r="CX70" s="24">
        <f t="shared" si="47"/>
        <v>1797190.907546984</v>
      </c>
      <c r="CY70" s="24">
        <f t="shared" si="47"/>
        <v>1798425.7879971808</v>
      </c>
      <c r="CZ70" s="24">
        <f t="shared" si="47"/>
        <v>1796375.0363984229</v>
      </c>
      <c r="DA70" s="24">
        <f t="shared" si="47"/>
        <v>1794329.8830105902</v>
      </c>
      <c r="DB70" s="24">
        <f t="shared" si="47"/>
        <v>1825430.2456937137</v>
      </c>
      <c r="DC70" s="24">
        <f t="shared" si="47"/>
        <v>1831182.7942482987</v>
      </c>
      <c r="DD70" s="24">
        <f t="shared" si="47"/>
        <v>1844787.6602531446</v>
      </c>
      <c r="DE70" s="24">
        <f t="shared" si="47"/>
        <v>1860230.1878743272</v>
      </c>
      <c r="DF70" s="24">
        <f t="shared" si="47"/>
        <v>1861881.594487143</v>
      </c>
      <c r="DG70" s="24">
        <f t="shared" si="47"/>
        <v>1878129.197267931</v>
      </c>
      <c r="DH70" s="24">
        <f t="shared" si="47"/>
        <v>1874082.4359273643</v>
      </c>
      <c r="DI70" s="24">
        <f t="shared" si="47"/>
        <v>1894161.6884064367</v>
      </c>
      <c r="DJ70" s="24">
        <f t="shared" si="47"/>
        <v>1915596.4896992496</v>
      </c>
      <c r="DK70" s="24">
        <f t="shared" si="47"/>
        <v>1925439.5016405194</v>
      </c>
      <c r="DL70" s="24">
        <f t="shared" si="47"/>
        <v>1934633.5292817301</v>
      </c>
      <c r="DM70" s="24">
        <f t="shared" si="47"/>
        <v>1939940.980955191</v>
      </c>
      <c r="DN70" s="24">
        <f t="shared" si="47"/>
        <v>1959816.6074751834</v>
      </c>
      <c r="DO70" s="24">
        <f t="shared" si="47"/>
        <v>1974320.6008118999</v>
      </c>
      <c r="DP70" s="24">
        <f t="shared" si="47"/>
        <v>1989180.5105783124</v>
      </c>
      <c r="DQ70" s="24">
        <f t="shared" si="47"/>
        <v>1982063.474269174</v>
      </c>
      <c r="DR70" s="24">
        <f t="shared" si="47"/>
        <v>1985051.8538857221</v>
      </c>
      <c r="DS70" s="24">
        <f t="shared" si="47"/>
        <v>1993713.7459388918</v>
      </c>
      <c r="DT70" s="24">
        <f t="shared" si="47"/>
        <v>1991825.7303798327</v>
      </c>
      <c r="DU70" s="24">
        <f t="shared" si="47"/>
        <v>1960664.8442535317</v>
      </c>
      <c r="DV70" s="24">
        <f t="shared" si="47"/>
        <v>1966083.4119058948</v>
      </c>
      <c r="DW70" s="24">
        <f t="shared" si="47"/>
        <v>1974508.7925834639</v>
      </c>
      <c r="DX70" s="24">
        <f t="shared" si="47"/>
        <v>1963500.1576511206</v>
      </c>
      <c r="DY70" s="24">
        <f t="shared" si="47"/>
        <v>1974038.2873574726</v>
      </c>
      <c r="DZ70" s="24">
        <f t="shared" ref="DZ70:ED70" si="48">DZ7/DZ69</f>
        <v>1982689.4147901973</v>
      </c>
      <c r="EA70" s="24">
        <f t="shared" si="48"/>
        <v>1994281.6824963505</v>
      </c>
      <c r="EB70" s="24">
        <f t="shared" si="48"/>
        <v>2010855.9187750614</v>
      </c>
      <c r="EC70" s="24">
        <f t="shared" si="48"/>
        <v>2003033.9454512279</v>
      </c>
      <c r="ED70" s="24">
        <f t="shared" si="48"/>
        <v>1971269.389466692</v>
      </c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</row>
    <row r="74" spans="1:148" ht="13.9" customHeight="1" x14ac:dyDescent="0.2">
      <c r="A74" s="184" t="str">
        <f>A2</f>
        <v>SAN MARTÍN: SALDO DE CRÉDITOS DEL SISTEMA FINANCIERO</v>
      </c>
    </row>
    <row r="75" spans="1:148" ht="13.9" customHeight="1" x14ac:dyDescent="0.2">
      <c r="A75" s="830" t="s">
        <v>206</v>
      </c>
      <c r="B75" s="267">
        <v>1.9275679903224412</v>
      </c>
      <c r="C75" s="267">
        <v>1.9262186927292158</v>
      </c>
      <c r="D75" s="267">
        <v>1.9331530800230408</v>
      </c>
      <c r="E75" s="267">
        <v>1.9335397106390453</v>
      </c>
      <c r="F75" s="267">
        <v>1.9327662947547894</v>
      </c>
      <c r="G75" s="267">
        <v>1.9261948893526231</v>
      </c>
      <c r="H75" s="267">
        <v>1.9298500000000001</v>
      </c>
      <c r="I75" s="267">
        <v>1.9258</v>
      </c>
      <c r="J75" s="267">
        <v>1.9240687430887724</v>
      </c>
      <c r="K75" s="267">
        <v>1.9263776255804792</v>
      </c>
      <c r="L75" s="267">
        <v>1.9242586101923407</v>
      </c>
      <c r="M75" s="267">
        <v>1.9304162377449561</v>
      </c>
      <c r="N75" s="267">
        <v>1.9362074864581909</v>
      </c>
      <c r="O75" s="267">
        <v>1.9424033504148568</v>
      </c>
      <c r="P75" s="267">
        <v>1.9478420797960185</v>
      </c>
      <c r="Q75" s="267">
        <v>1.9484264324199574</v>
      </c>
      <c r="R75" s="267">
        <v>1.953102655857768</v>
      </c>
      <c r="S75" s="267">
        <v>1.9579854124974101</v>
      </c>
      <c r="T75" s="267">
        <v>1.9650341599824006</v>
      </c>
      <c r="U75" s="267">
        <v>1.97033975221435</v>
      </c>
      <c r="V75" s="267">
        <v>1.969748650288689</v>
      </c>
      <c r="W75" s="267">
        <v>1.9669910021782848</v>
      </c>
      <c r="X75" s="267">
        <v>1.9671877012785028</v>
      </c>
      <c r="Y75" s="267">
        <v>1.9707286391408045</v>
      </c>
      <c r="Z75" s="267">
        <v>1.9784144808334547</v>
      </c>
      <c r="AA75" s="267">
        <v>1.9859324558606217</v>
      </c>
      <c r="AB75" s="267">
        <v>1.9998339830516463</v>
      </c>
      <c r="AC75" s="267">
        <v>2.0134328541363975</v>
      </c>
      <c r="AD75" s="267">
        <v>2.01303016756557</v>
      </c>
      <c r="AE75" s="267">
        <v>2.01504319773314</v>
      </c>
      <c r="AF75" s="267">
        <v>2.0309620389952276</v>
      </c>
      <c r="AG75" s="267">
        <v>2.0364456365005199</v>
      </c>
      <c r="AH75" s="267">
        <v>2.04316590710097</v>
      </c>
      <c r="AI75" s="267">
        <v>2.0494997214129778</v>
      </c>
      <c r="AJ75" s="267">
        <v>2.0583125702150538</v>
      </c>
      <c r="AK75" s="267">
        <v>2.0638700141546344</v>
      </c>
      <c r="AL75" s="267">
        <v>2.0618061441404798</v>
      </c>
      <c r="AM75" s="267">
        <v>2.0684039238017293</v>
      </c>
      <c r="AN75" s="267">
        <v>2.0843306340150023</v>
      </c>
      <c r="AO75" s="267">
        <v>2.0953775863752817</v>
      </c>
      <c r="AP75" s="267">
        <v>2.0962157374098318</v>
      </c>
      <c r="AQ75" s="267">
        <v>2.0953772511148681</v>
      </c>
      <c r="AR75" s="267">
        <v>2.0972630906408711</v>
      </c>
      <c r="AS75" s="267">
        <v>2.1079591324031401</v>
      </c>
      <c r="AT75" s="267">
        <v>2.1193421117181175</v>
      </c>
      <c r="AU75" s="267">
        <v>2.1159511643393687</v>
      </c>
      <c r="AV75" s="267">
        <v>2.1129888327092932</v>
      </c>
      <c r="AW75" s="267">
        <v>2.1184826036743378</v>
      </c>
      <c r="AX75" s="267">
        <v>2.121024782798747</v>
      </c>
      <c r="AY75" s="267">
        <v>2.1191158604942277</v>
      </c>
      <c r="AZ75" s="267">
        <v>2.1383998148247256</v>
      </c>
      <c r="BA75" s="267">
        <v>2.1437458143617873</v>
      </c>
      <c r="BB75" s="267">
        <v>2.1478189314090752</v>
      </c>
      <c r="BC75" s="267">
        <v>2.1534032606307387</v>
      </c>
      <c r="BD75" s="267">
        <v>2.1652469785642081</v>
      </c>
      <c r="BE75" s="267">
        <v>2.1769393122484546</v>
      </c>
      <c r="BF75" s="267">
        <v>2.179333945491928</v>
      </c>
      <c r="BG75" s="267">
        <v>2.1802056790701254</v>
      </c>
      <c r="BH75" s="267">
        <v>2.1754092265761709</v>
      </c>
      <c r="BI75" s="267">
        <v>2.1791074222613505</v>
      </c>
      <c r="BJ75" s="267">
        <v>1.2345506860700497</v>
      </c>
      <c r="BK75" s="267">
        <v>1.2419579901864699</v>
      </c>
      <c r="BL75" s="267">
        <v>1.2484161717354396</v>
      </c>
      <c r="BM75" s="267">
        <v>1.2532849948052076</v>
      </c>
      <c r="BN75" s="267">
        <v>1.2561675502932597</v>
      </c>
      <c r="BO75" s="267">
        <v>1.2581774183737287</v>
      </c>
      <c r="BP75" s="267">
        <v>1.2635875812727357</v>
      </c>
      <c r="BQ75" s="267">
        <v>1.26245035244959</v>
      </c>
      <c r="BR75" s="267">
        <v>1.2644702730135093</v>
      </c>
      <c r="BS75" s="267">
        <v>1.2692752600509609</v>
      </c>
      <c r="BT75" s="267">
        <v>1.2673713471608843</v>
      </c>
      <c r="BU75" s="267">
        <v>1.2702863012593546</v>
      </c>
      <c r="BV75" s="277">
        <v>1.2724457879714952</v>
      </c>
      <c r="BW75" s="277">
        <v>1.2762631253354098</v>
      </c>
      <c r="BX75" s="277">
        <v>1.2859627250879588</v>
      </c>
      <c r="BY75" s="277">
        <v>1.2909779797158021</v>
      </c>
      <c r="BZ75" s="277">
        <v>1.2982074564022108</v>
      </c>
      <c r="CA75" s="277">
        <v>1.302491541008338</v>
      </c>
      <c r="CB75" s="277">
        <v>1.3083527529428765</v>
      </c>
      <c r="CC75" s="277">
        <v>1.3133244934040593</v>
      </c>
      <c r="CD75" s="267">
        <v>1.3137184907520796</v>
      </c>
      <c r="CE75" s="267">
        <v>1.3155576966391334</v>
      </c>
      <c r="CF75" s="267">
        <v>1.3200305928077065</v>
      </c>
      <c r="CG75" s="267">
        <v>1.3259707304753412</v>
      </c>
      <c r="CH75" s="267">
        <v>1.3308768221781</v>
      </c>
      <c r="CI75" s="267">
        <v>1.3331393127758029</v>
      </c>
      <c r="CJ75" s="267">
        <v>1.3411381486524576</v>
      </c>
      <c r="CK75" s="267">
        <v>1.3412722624673228</v>
      </c>
      <c r="CL75" s="267">
        <v>1.3440889342185038</v>
      </c>
      <c r="CM75" s="267">
        <v>1.3459706587264098</v>
      </c>
      <c r="CN75" s="267">
        <v>1.3470474352533908</v>
      </c>
      <c r="CO75" s="267">
        <v>1.3518968060203032</v>
      </c>
      <c r="CP75" s="267">
        <v>1.3547357893129455</v>
      </c>
      <c r="CQ75" s="267">
        <v>1.3602902060491286</v>
      </c>
      <c r="CR75" s="267">
        <v>1.3642350476466711</v>
      </c>
      <c r="CS75" s="267">
        <v>1.3687370233039053</v>
      </c>
      <c r="CT75" s="267">
        <v>1.3720219921598344</v>
      </c>
      <c r="CU75" s="267">
        <v>1.376412462534746</v>
      </c>
      <c r="CV75" s="267">
        <v>1.3943058245476976</v>
      </c>
      <c r="CW75" s="267">
        <v>1.3906806294038736</v>
      </c>
      <c r="CX75" s="267">
        <v>1.3848397707603775</v>
      </c>
      <c r="CY75" s="267">
        <v>1.382624027127161</v>
      </c>
      <c r="CZ75" s="267">
        <v>1.3853892751814154</v>
      </c>
      <c r="DA75" s="267">
        <v>1.394671383325131</v>
      </c>
      <c r="DB75" s="267">
        <v>1.3943924490484658</v>
      </c>
      <c r="DC75" s="267">
        <v>1.3878388045379382</v>
      </c>
      <c r="DD75" s="277">
        <v>1.385063126928862</v>
      </c>
      <c r="DE75" s="267">
        <v>1.3872792279319484</v>
      </c>
      <c r="DF75" s="267">
        <v>1.3890826909282596</v>
      </c>
      <c r="DG75" s="267">
        <v>1.3925553976555805</v>
      </c>
      <c r="DH75" s="267">
        <v>1.3993789191040926</v>
      </c>
      <c r="DI75" s="267">
        <v>1.3974197886173472</v>
      </c>
      <c r="DJ75" s="267">
        <v>1.3976992725750705</v>
      </c>
      <c r="DK75" s="267">
        <v>1.4023116801745681</v>
      </c>
      <c r="DL75" s="267">
        <v>1.4076404645592313</v>
      </c>
      <c r="DM75" s="267">
        <v>1.4094703971631584</v>
      </c>
      <c r="DN75" s="267">
        <v>1.4121483909177683</v>
      </c>
      <c r="DO75" s="267">
        <v>1.4132781096305025</v>
      </c>
      <c r="DP75" s="267">
        <v>1.414974043362059</v>
      </c>
      <c r="DQ75" s="267">
        <v>1.4175209966401108</v>
      </c>
      <c r="DR75" s="267">
        <v>1.4185132613377587</v>
      </c>
      <c r="DS75" s="267">
        <v>1.4203573285774977</v>
      </c>
      <c r="DT75" s="267">
        <v>1.4307259370761134</v>
      </c>
      <c r="DU75" s="267">
        <v>1.4335873889502657</v>
      </c>
      <c r="DV75" s="267">
        <v>1.4357377700336911</v>
      </c>
      <c r="DW75" s="267">
        <v>1.4344456060406607</v>
      </c>
      <c r="DX75" s="267">
        <v>1.4373144972527421</v>
      </c>
      <c r="DY75" s="267">
        <v>1.4381768859510939</v>
      </c>
      <c r="DZ75" s="267">
        <v>1.438320703639689</v>
      </c>
      <c r="EA75" s="267">
        <v>1.4399028564136926</v>
      </c>
      <c r="EB75" s="267">
        <v>1.4414867495557475</v>
      </c>
      <c r="EC75" s="267">
        <v>1.4445138717298147</v>
      </c>
      <c r="ED75" s="267">
        <v>1.4452361286656796</v>
      </c>
      <c r="EE75" s="267"/>
      <c r="EF75" s="267"/>
      <c r="EG75" s="267"/>
      <c r="EH75" s="267"/>
      <c r="EI75" s="267"/>
      <c r="EJ75" s="267"/>
      <c r="EK75" s="267"/>
      <c r="EL75" s="267"/>
      <c r="EM75" s="267"/>
      <c r="EN75" s="267"/>
      <c r="EO75" s="267"/>
    </row>
    <row r="76" spans="1:148" ht="13.9" customHeight="1" x14ac:dyDescent="0.2">
      <c r="A76" s="849"/>
      <c r="B76" s="842">
        <v>2009</v>
      </c>
      <c r="C76" s="840"/>
      <c r="D76" s="840"/>
      <c r="E76" s="840"/>
      <c r="F76" s="840"/>
      <c r="G76" s="840"/>
      <c r="H76" s="840"/>
      <c r="I76" s="840"/>
      <c r="J76" s="840"/>
      <c r="K76" s="840"/>
      <c r="L76" s="840"/>
      <c r="M76" s="841"/>
      <c r="N76" s="139">
        <v>2010</v>
      </c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1"/>
      <c r="Z76" s="139">
        <v>2011</v>
      </c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1"/>
      <c r="AL76" s="139">
        <v>2012</v>
      </c>
      <c r="AM76" s="140"/>
      <c r="AN76" s="140"/>
      <c r="AO76" s="140"/>
      <c r="AP76" s="140"/>
      <c r="AQ76" s="140"/>
      <c r="AR76" s="140"/>
      <c r="AS76" s="140"/>
      <c r="AT76" s="140"/>
      <c r="AU76" s="140"/>
      <c r="AV76" s="140"/>
      <c r="AW76" s="140"/>
      <c r="AX76" s="139">
        <v>2013</v>
      </c>
      <c r="AY76" s="140"/>
      <c r="AZ76" s="140"/>
      <c r="BA76" s="140"/>
      <c r="BB76" s="140"/>
      <c r="BC76" s="140"/>
      <c r="BD76" s="140"/>
      <c r="BE76" s="140"/>
      <c r="BF76" s="140"/>
      <c r="BG76" s="140"/>
      <c r="BH76" s="140"/>
      <c r="BI76" s="864"/>
      <c r="BJ76" s="139">
        <v>2014</v>
      </c>
      <c r="BK76" s="140"/>
      <c r="BL76" s="140"/>
      <c r="BM76" s="140"/>
      <c r="BN76" s="140"/>
      <c r="BO76" s="140"/>
      <c r="BP76" s="140"/>
      <c r="BQ76" s="140"/>
      <c r="BR76" s="140"/>
      <c r="BS76" s="140"/>
      <c r="BT76" s="140"/>
      <c r="BU76" s="141"/>
      <c r="BV76" s="139">
        <v>2015</v>
      </c>
      <c r="BW76" s="140"/>
      <c r="BX76" s="140"/>
      <c r="BY76" s="140"/>
      <c r="BZ76" s="140"/>
      <c r="CA76" s="140"/>
      <c r="CB76" s="140"/>
      <c r="CC76" s="140"/>
      <c r="CD76" s="140"/>
      <c r="CE76" s="140"/>
      <c r="CF76" s="140"/>
      <c r="CG76" s="141"/>
      <c r="CH76" s="824">
        <v>2016</v>
      </c>
      <c r="CI76" s="825"/>
      <c r="CJ76" s="825"/>
      <c r="CK76" s="825"/>
      <c r="CL76" s="825"/>
      <c r="CM76" s="825"/>
      <c r="CN76" s="825"/>
      <c r="CO76" s="825"/>
      <c r="CP76" s="825"/>
      <c r="CQ76" s="825"/>
      <c r="CR76" s="825"/>
      <c r="CS76" s="825"/>
      <c r="CT76" s="824">
        <v>2017</v>
      </c>
      <c r="CU76" s="825"/>
      <c r="CV76" s="825"/>
      <c r="CW76" s="825"/>
      <c r="CX76" s="825"/>
      <c r="CY76" s="825"/>
      <c r="CZ76" s="825"/>
      <c r="DA76" s="825"/>
      <c r="DB76" s="825"/>
      <c r="DC76" s="825"/>
      <c r="DD76" s="825"/>
      <c r="DE76" s="825"/>
      <c r="DF76" s="974">
        <v>2018</v>
      </c>
      <c r="DG76" s="975"/>
      <c r="DH76" s="975"/>
      <c r="DI76" s="975"/>
      <c r="DJ76" s="975"/>
      <c r="DK76" s="975"/>
      <c r="DL76" s="975"/>
      <c r="DM76" s="975"/>
      <c r="DN76" s="975"/>
      <c r="DO76" s="975"/>
      <c r="DP76" s="975"/>
      <c r="DQ76" s="975"/>
      <c r="DR76" s="974">
        <v>2019</v>
      </c>
      <c r="DS76" s="975"/>
      <c r="DT76" s="975"/>
      <c r="DU76" s="975"/>
      <c r="DV76" s="975"/>
      <c r="DW76" s="975"/>
      <c r="DX76" s="975"/>
      <c r="DY76" s="975"/>
      <c r="DZ76" s="975"/>
      <c r="EA76" s="975"/>
      <c r="EB76" s="975"/>
      <c r="EC76" s="976"/>
      <c r="ED76" s="959"/>
      <c r="EE76" s="960"/>
      <c r="EF76" s="960"/>
      <c r="EG76" s="960"/>
      <c r="EH76" s="960"/>
      <c r="EI76" s="960"/>
      <c r="EJ76" s="960"/>
      <c r="EK76" s="960"/>
      <c r="EL76" s="960"/>
      <c r="EM76" s="960"/>
      <c r="EN76" s="960"/>
      <c r="EO76" s="960"/>
    </row>
    <row r="77" spans="1:148" ht="13.9" customHeight="1" x14ac:dyDescent="0.2">
      <c r="A77" s="866"/>
      <c r="B77" s="109" t="s">
        <v>0</v>
      </c>
      <c r="C77" s="4" t="s">
        <v>1</v>
      </c>
      <c r="D77" s="4" t="s">
        <v>2</v>
      </c>
      <c r="E77" s="4" t="s">
        <v>3</v>
      </c>
      <c r="F77" s="4" t="s">
        <v>4</v>
      </c>
      <c r="G77" s="4" t="s">
        <v>5</v>
      </c>
      <c r="H77" s="4" t="s">
        <v>6</v>
      </c>
      <c r="I77" s="4" t="s">
        <v>7</v>
      </c>
      <c r="J77" s="4" t="s">
        <v>8</v>
      </c>
      <c r="K77" s="4" t="s">
        <v>9</v>
      </c>
      <c r="L77" s="4" t="s">
        <v>10</v>
      </c>
      <c r="M77" s="835" t="s">
        <v>11</v>
      </c>
      <c r="N77" s="827" t="s">
        <v>0</v>
      </c>
      <c r="O77" s="827" t="s">
        <v>1</v>
      </c>
      <c r="P77" s="827" t="s">
        <v>2</v>
      </c>
      <c r="Q77" s="827" t="s">
        <v>3</v>
      </c>
      <c r="R77" s="827" t="s">
        <v>4</v>
      </c>
      <c r="S77" s="827" t="s">
        <v>5</v>
      </c>
      <c r="T77" s="827" t="s">
        <v>6</v>
      </c>
      <c r="U77" s="827" t="s">
        <v>7</v>
      </c>
      <c r="V77" s="827" t="s">
        <v>8</v>
      </c>
      <c r="W77" s="827" t="s">
        <v>9</v>
      </c>
      <c r="X77" s="827" t="s">
        <v>10</v>
      </c>
      <c r="Y77" s="829" t="s">
        <v>11</v>
      </c>
      <c r="Z77" s="827" t="s">
        <v>183</v>
      </c>
      <c r="AA77" s="827" t="s">
        <v>1</v>
      </c>
      <c r="AB77" s="827" t="s">
        <v>2</v>
      </c>
      <c r="AC77" s="827" t="s">
        <v>3</v>
      </c>
      <c r="AD77" s="827" t="s">
        <v>4</v>
      </c>
      <c r="AE77" s="827" t="s">
        <v>5</v>
      </c>
      <c r="AF77" s="827" t="s">
        <v>6</v>
      </c>
      <c r="AG77" s="827" t="s">
        <v>7</v>
      </c>
      <c r="AH77" s="827" t="s">
        <v>8</v>
      </c>
      <c r="AI77" s="827" t="s">
        <v>9</v>
      </c>
      <c r="AJ77" s="827" t="s">
        <v>10</v>
      </c>
      <c r="AK77" s="829" t="s">
        <v>11</v>
      </c>
      <c r="AL77" s="826" t="s">
        <v>0</v>
      </c>
      <c r="AM77" s="827" t="s">
        <v>1</v>
      </c>
      <c r="AN77" s="827" t="s">
        <v>2</v>
      </c>
      <c r="AO77" s="827" t="s">
        <v>3</v>
      </c>
      <c r="AP77" s="827" t="s">
        <v>4</v>
      </c>
      <c r="AQ77" s="827" t="s">
        <v>5</v>
      </c>
      <c r="AR77" s="827" t="s">
        <v>6</v>
      </c>
      <c r="AS77" s="827" t="s">
        <v>7</v>
      </c>
      <c r="AT77" s="827" t="s">
        <v>8</v>
      </c>
      <c r="AU77" s="827" t="s">
        <v>9</v>
      </c>
      <c r="AV77" s="827" t="s">
        <v>179</v>
      </c>
      <c r="AW77" s="827" t="s">
        <v>190</v>
      </c>
      <c r="AX77" s="826" t="s">
        <v>183</v>
      </c>
      <c r="AY77" s="827" t="s">
        <v>93</v>
      </c>
      <c r="AZ77" s="827" t="s">
        <v>94</v>
      </c>
      <c r="BA77" s="827" t="s">
        <v>95</v>
      </c>
      <c r="BB77" s="827" t="s">
        <v>96</v>
      </c>
      <c r="BC77" s="827" t="s">
        <v>98</v>
      </c>
      <c r="BD77" s="827" t="s">
        <v>105</v>
      </c>
      <c r="BE77" s="827" t="s">
        <v>99</v>
      </c>
      <c r="BF77" s="827" t="s">
        <v>204</v>
      </c>
      <c r="BG77" s="827" t="s">
        <v>205</v>
      </c>
      <c r="BH77" s="827" t="s">
        <v>179</v>
      </c>
      <c r="BI77" s="829" t="s">
        <v>190</v>
      </c>
      <c r="BJ77" s="826" t="s">
        <v>183</v>
      </c>
      <c r="BK77" s="827" t="s">
        <v>93</v>
      </c>
      <c r="BL77" s="827" t="s">
        <v>94</v>
      </c>
      <c r="BM77" s="827" t="s">
        <v>95</v>
      </c>
      <c r="BN77" s="827" t="s">
        <v>96</v>
      </c>
      <c r="BO77" s="827" t="s">
        <v>98</v>
      </c>
      <c r="BP77" s="827" t="s">
        <v>105</v>
      </c>
      <c r="BQ77" s="827" t="s">
        <v>99</v>
      </c>
      <c r="BR77" s="307" t="s">
        <v>126</v>
      </c>
      <c r="BS77" s="827" t="s">
        <v>205</v>
      </c>
      <c r="BT77" s="827" t="s">
        <v>179</v>
      </c>
      <c r="BU77" s="829" t="s">
        <v>190</v>
      </c>
      <c r="BV77" s="836" t="s">
        <v>0</v>
      </c>
      <c r="BW77" s="837" t="s">
        <v>1</v>
      </c>
      <c r="BX77" s="837" t="s">
        <v>2</v>
      </c>
      <c r="BY77" s="837" t="s">
        <v>3</v>
      </c>
      <c r="BZ77" s="837" t="s">
        <v>4</v>
      </c>
      <c r="CA77" s="837" t="s">
        <v>5</v>
      </c>
      <c r="CB77" s="837" t="s">
        <v>6</v>
      </c>
      <c r="CC77" s="837" t="s">
        <v>7</v>
      </c>
      <c r="CD77" s="837" t="s">
        <v>8</v>
      </c>
      <c r="CE77" s="837" t="s">
        <v>9</v>
      </c>
      <c r="CF77" s="837" t="s">
        <v>10</v>
      </c>
      <c r="CG77" s="828" t="s">
        <v>190</v>
      </c>
      <c r="CH77" s="836" t="s">
        <v>0</v>
      </c>
      <c r="CI77" s="837" t="s">
        <v>1</v>
      </c>
      <c r="CJ77" s="837" t="s">
        <v>2</v>
      </c>
      <c r="CK77" s="837" t="s">
        <v>3</v>
      </c>
      <c r="CL77" s="837" t="s">
        <v>4</v>
      </c>
      <c r="CM77" s="837" t="s">
        <v>5</v>
      </c>
      <c r="CN77" s="837" t="s">
        <v>6</v>
      </c>
      <c r="CO77" s="837" t="s">
        <v>7</v>
      </c>
      <c r="CP77" s="837" t="s">
        <v>8</v>
      </c>
      <c r="CQ77" s="837" t="s">
        <v>9</v>
      </c>
      <c r="CR77" s="837" t="s">
        <v>10</v>
      </c>
      <c r="CS77" s="837" t="s">
        <v>11</v>
      </c>
      <c r="CT77" s="836" t="s">
        <v>0</v>
      </c>
      <c r="CU77" s="837" t="s">
        <v>1</v>
      </c>
      <c r="CV77" s="837" t="s">
        <v>2</v>
      </c>
      <c r="CW77" s="837" t="s">
        <v>3</v>
      </c>
      <c r="CX77" s="837" t="s">
        <v>4</v>
      </c>
      <c r="CY77" s="837" t="s">
        <v>5</v>
      </c>
      <c r="CZ77" s="837" t="s">
        <v>6</v>
      </c>
      <c r="DA77" s="837" t="s">
        <v>7</v>
      </c>
      <c r="DB77" s="837" t="s">
        <v>8</v>
      </c>
      <c r="DC77" s="837" t="s">
        <v>9</v>
      </c>
      <c r="DD77" s="837" t="s">
        <v>10</v>
      </c>
      <c r="DE77" s="837" t="s">
        <v>11</v>
      </c>
      <c r="DF77" s="836" t="s">
        <v>0</v>
      </c>
      <c r="DG77" s="837" t="s">
        <v>1</v>
      </c>
      <c r="DH77" s="837" t="s">
        <v>94</v>
      </c>
      <c r="DI77" s="837" t="s">
        <v>3</v>
      </c>
      <c r="DJ77" s="837" t="s">
        <v>4</v>
      </c>
      <c r="DK77" s="837" t="s">
        <v>5</v>
      </c>
      <c r="DL77" s="837" t="s">
        <v>6</v>
      </c>
      <c r="DM77" s="837" t="s">
        <v>7</v>
      </c>
      <c r="DN77" s="837" t="s">
        <v>234</v>
      </c>
      <c r="DO77" s="837" t="s">
        <v>9</v>
      </c>
      <c r="DP77" s="837" t="s">
        <v>10</v>
      </c>
      <c r="DQ77" s="837" t="s">
        <v>11</v>
      </c>
      <c r="DR77" s="836" t="s">
        <v>0</v>
      </c>
      <c r="DS77" s="837" t="s">
        <v>1</v>
      </c>
      <c r="DT77" s="837" t="s">
        <v>2</v>
      </c>
      <c r="DU77" s="837" t="s">
        <v>3</v>
      </c>
      <c r="DV77" s="837" t="s">
        <v>4</v>
      </c>
      <c r="DW77" s="837" t="s">
        <v>5</v>
      </c>
      <c r="DX77" s="837" t="s">
        <v>6</v>
      </c>
      <c r="DY77" s="837" t="s">
        <v>7</v>
      </c>
      <c r="DZ77" s="837" t="s">
        <v>234</v>
      </c>
      <c r="EA77" s="837" t="s">
        <v>9</v>
      </c>
      <c r="EB77" s="837" t="s">
        <v>10</v>
      </c>
      <c r="EC77" s="828" t="s">
        <v>11</v>
      </c>
      <c r="ED77" s="838" t="s">
        <v>0</v>
      </c>
      <c r="EE77" s="305"/>
      <c r="EF77" s="305"/>
      <c r="EG77" s="305"/>
      <c r="EH77" s="305"/>
      <c r="EI77" s="305"/>
      <c r="EJ77" s="305"/>
      <c r="EK77" s="305"/>
      <c r="EL77" s="305"/>
      <c r="EM77" s="305"/>
      <c r="EN77" s="305"/>
      <c r="EO77" s="305"/>
    </row>
    <row r="78" spans="1:148" ht="13.9" customHeight="1" x14ac:dyDescent="0.2">
      <c r="A78" s="839"/>
      <c r="B78" s="850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296"/>
      <c r="N78" s="850"/>
      <c r="O78" s="82"/>
      <c r="P78" s="82"/>
      <c r="Q78" s="832"/>
      <c r="R78" s="832"/>
      <c r="S78" s="832"/>
      <c r="T78" s="834"/>
      <c r="U78" s="834"/>
      <c r="V78" s="834"/>
      <c r="W78" s="834"/>
      <c r="X78" s="834"/>
      <c r="Y78" s="961"/>
      <c r="Z78" s="962"/>
      <c r="AA78" s="834"/>
      <c r="AB78" s="834"/>
      <c r="AC78" s="834"/>
      <c r="AD78" s="834"/>
      <c r="AE78" s="834"/>
      <c r="AF78" s="834"/>
      <c r="AG78" s="834"/>
      <c r="AH78" s="834"/>
      <c r="AI78" s="832"/>
      <c r="AJ78" s="832"/>
      <c r="AK78" s="865"/>
      <c r="AL78" s="962"/>
      <c r="AM78" s="832"/>
      <c r="AN78" s="832"/>
      <c r="AO78" s="834"/>
      <c r="AP78" s="832"/>
      <c r="AQ78" s="832"/>
      <c r="AR78" s="832"/>
      <c r="AS78" s="832"/>
      <c r="AT78" s="834"/>
      <c r="AU78" s="834"/>
      <c r="AV78" s="834"/>
      <c r="AW78" s="832"/>
      <c r="AX78" s="962"/>
      <c r="AY78" s="834"/>
      <c r="AZ78" s="834"/>
      <c r="BA78" s="834"/>
      <c r="BB78" s="834"/>
      <c r="BC78" s="834"/>
      <c r="BD78" s="834"/>
      <c r="BE78" s="834"/>
      <c r="BF78" s="834"/>
      <c r="BG78" s="834"/>
      <c r="BH78" s="834"/>
      <c r="BI78" s="961"/>
      <c r="BJ78" s="831"/>
      <c r="BK78" s="832"/>
      <c r="BL78" s="832"/>
      <c r="BM78" s="832"/>
      <c r="BN78" s="832"/>
      <c r="BO78" s="832"/>
      <c r="BP78" s="832"/>
      <c r="BQ78" s="832"/>
      <c r="BR78" s="832"/>
      <c r="BS78" s="832"/>
      <c r="BT78" s="834"/>
      <c r="BU78" s="961"/>
      <c r="BV78" s="962"/>
      <c r="BW78" s="834"/>
      <c r="BX78" s="834"/>
      <c r="BY78" s="834"/>
      <c r="BZ78" s="834"/>
      <c r="CA78" s="834"/>
      <c r="CB78" s="834"/>
      <c r="CC78" s="834"/>
      <c r="CD78" s="834"/>
      <c r="CE78" s="834"/>
      <c r="CF78" s="832"/>
      <c r="CG78" s="865"/>
      <c r="CH78" s="962"/>
      <c r="CI78" s="832"/>
      <c r="CJ78" s="834"/>
      <c r="CK78" s="834"/>
      <c r="CL78" s="834"/>
      <c r="CM78" s="834"/>
      <c r="CN78" s="834"/>
      <c r="CO78" s="834"/>
      <c r="CP78" s="834"/>
      <c r="CQ78" s="834"/>
      <c r="CR78" s="834"/>
      <c r="CS78" s="834"/>
      <c r="CT78" s="962"/>
      <c r="CU78" s="834"/>
      <c r="CV78" s="834"/>
      <c r="CW78" s="834"/>
      <c r="CX78" s="834"/>
      <c r="CY78" s="834"/>
      <c r="CZ78" s="834"/>
      <c r="DA78" s="834"/>
      <c r="DB78" s="834"/>
      <c r="DC78" s="834"/>
      <c r="DD78" s="834"/>
      <c r="DE78" s="834"/>
      <c r="DF78" s="831"/>
      <c r="DG78" s="832"/>
      <c r="DH78" s="832"/>
      <c r="DI78" s="832"/>
      <c r="DJ78" s="832"/>
      <c r="DK78" s="832"/>
      <c r="DL78" s="832"/>
      <c r="DM78" s="832"/>
      <c r="DN78" s="832"/>
      <c r="DO78" s="832"/>
      <c r="DP78" s="832"/>
      <c r="DQ78" s="832"/>
      <c r="DR78" s="962"/>
      <c r="DS78" s="834"/>
      <c r="DT78" s="834"/>
      <c r="DU78" s="834"/>
      <c r="DV78" s="834"/>
      <c r="DW78" s="834"/>
      <c r="DX78" s="834"/>
      <c r="DY78" s="834"/>
      <c r="DZ78" s="834"/>
      <c r="EA78" s="834"/>
      <c r="EB78" s="834"/>
      <c r="EC78" s="961"/>
      <c r="ED78" s="963"/>
      <c r="EE78" s="834"/>
      <c r="EF78" s="834"/>
      <c r="EG78" s="834"/>
      <c r="EH78" s="834"/>
      <c r="EI78" s="834"/>
      <c r="EJ78" s="834"/>
      <c r="EK78" s="834"/>
      <c r="EL78" s="834"/>
      <c r="EM78" s="834"/>
      <c r="EN78" s="834"/>
      <c r="EO78" s="834"/>
    </row>
    <row r="79" spans="1:148" ht="13.9" customHeight="1" x14ac:dyDescent="0.2">
      <c r="A79" s="843" t="s">
        <v>207</v>
      </c>
      <c r="B79" s="11">
        <f t="shared" ref="B79:BM79" si="49">B55/B75</f>
        <v>436908.06458096602</v>
      </c>
      <c r="C79" s="10">
        <f t="shared" si="49"/>
        <v>451351.13851904601</v>
      </c>
      <c r="D79" s="10">
        <f t="shared" si="49"/>
        <v>450790.99477709929</v>
      </c>
      <c r="E79" s="10">
        <f t="shared" si="49"/>
        <v>451460.08390564501</v>
      </c>
      <c r="F79" s="10">
        <f t="shared" si="49"/>
        <v>460523.86282580806</v>
      </c>
      <c r="G79" s="10">
        <f t="shared" si="49"/>
        <v>456737.27246555057</v>
      </c>
      <c r="H79" s="10">
        <f t="shared" si="49"/>
        <v>460680.88193382905</v>
      </c>
      <c r="I79" s="10">
        <f t="shared" si="49"/>
        <v>461316.85533284867</v>
      </c>
      <c r="J79" s="10">
        <f t="shared" si="49"/>
        <v>467380.90997537161</v>
      </c>
      <c r="K79" s="10">
        <f t="shared" si="49"/>
        <v>473412.37143220764</v>
      </c>
      <c r="L79" s="10">
        <f t="shared" si="49"/>
        <v>481126.07894604141</v>
      </c>
      <c r="M79" s="12">
        <f t="shared" si="49"/>
        <v>480886.96201831644</v>
      </c>
      <c r="N79" s="10">
        <f t="shared" si="49"/>
        <v>482757.47739713307</v>
      </c>
      <c r="O79" s="10">
        <f t="shared" si="49"/>
        <v>489882.80410284956</v>
      </c>
      <c r="P79" s="10">
        <f t="shared" si="49"/>
        <v>491850.96160379105</v>
      </c>
      <c r="Q79" s="10">
        <f t="shared" si="49"/>
        <v>494196.74460280489</v>
      </c>
      <c r="R79" s="10">
        <f t="shared" si="49"/>
        <v>493563.91847034619</v>
      </c>
      <c r="S79" s="10">
        <f t="shared" si="49"/>
        <v>495538.421178755</v>
      </c>
      <c r="T79" s="10">
        <f t="shared" si="49"/>
        <v>500538.37232468731</v>
      </c>
      <c r="U79" s="10">
        <f t="shared" si="49"/>
        <v>509648.65266077057</v>
      </c>
      <c r="V79" s="10">
        <f t="shared" si="49"/>
        <v>518910.87720770674</v>
      </c>
      <c r="W79" s="10">
        <f t="shared" si="49"/>
        <v>535425.93679060542</v>
      </c>
      <c r="X79" s="10">
        <f t="shared" si="49"/>
        <v>553341.19834754546</v>
      </c>
      <c r="Y79" s="12">
        <f t="shared" si="49"/>
        <v>560200.92166586779</v>
      </c>
      <c r="Z79" s="11">
        <f t="shared" si="49"/>
        <v>620585.0491312471</v>
      </c>
      <c r="AA79" s="10">
        <f t="shared" si="49"/>
        <v>638370.51435397612</v>
      </c>
      <c r="AB79" s="10">
        <f t="shared" si="49"/>
        <v>650632.90414962277</v>
      </c>
      <c r="AC79" s="10">
        <f t="shared" si="49"/>
        <v>655493.12063157198</v>
      </c>
      <c r="AD79" s="10">
        <f t="shared" si="49"/>
        <v>666897.84891476121</v>
      </c>
      <c r="AE79" s="10">
        <f t="shared" si="49"/>
        <v>672404.77933884878</v>
      </c>
      <c r="AF79" s="10">
        <f t="shared" si="49"/>
        <v>671693.07551651658</v>
      </c>
      <c r="AG79" s="10">
        <f t="shared" si="49"/>
        <v>685193.14854769211</v>
      </c>
      <c r="AH79" s="10">
        <f t="shared" si="49"/>
        <v>700703.46507071494</v>
      </c>
      <c r="AI79" s="10">
        <f t="shared" si="49"/>
        <v>713848.66601560102</v>
      </c>
      <c r="AJ79" s="10">
        <f t="shared" si="49"/>
        <v>731625.07736259967</v>
      </c>
      <c r="AK79" s="12">
        <f t="shared" si="49"/>
        <v>743301.6671732408</v>
      </c>
      <c r="AL79" s="11">
        <f t="shared" si="49"/>
        <v>759413.2164654748</v>
      </c>
      <c r="AM79" s="10">
        <f t="shared" si="49"/>
        <v>780365.58913660399</v>
      </c>
      <c r="AN79" s="10">
        <f t="shared" si="49"/>
        <v>797527.1060752616</v>
      </c>
      <c r="AO79" s="10">
        <f t="shared" si="49"/>
        <v>805903.71156979573</v>
      </c>
      <c r="AP79" s="10">
        <f t="shared" si="49"/>
        <v>813791.5657755041</v>
      </c>
      <c r="AQ79" s="10">
        <f t="shared" si="49"/>
        <v>816801.80202365655</v>
      </c>
      <c r="AR79" s="10">
        <f t="shared" si="49"/>
        <v>817252.33336664818</v>
      </c>
      <c r="AS79" s="10">
        <f t="shared" si="49"/>
        <v>827869.66720294673</v>
      </c>
      <c r="AT79" s="10">
        <f t="shared" si="49"/>
        <v>834125.07108957274</v>
      </c>
      <c r="AU79" s="10">
        <f t="shared" si="49"/>
        <v>849299.43986730615</v>
      </c>
      <c r="AV79" s="10">
        <f t="shared" si="49"/>
        <v>866046.81088334252</v>
      </c>
      <c r="AW79" s="10">
        <f t="shared" si="49"/>
        <v>870827.07014458708</v>
      </c>
      <c r="AX79" s="11">
        <f t="shared" si="49"/>
        <v>879502.23015711084</v>
      </c>
      <c r="AY79" s="10">
        <f t="shared" si="49"/>
        <v>885505.61723055493</v>
      </c>
      <c r="AZ79" s="10">
        <f t="shared" si="49"/>
        <v>892475.8733887322</v>
      </c>
      <c r="BA79" s="10">
        <f t="shared" si="49"/>
        <v>898847.93551126134</v>
      </c>
      <c r="BB79" s="10">
        <f t="shared" si="49"/>
        <v>901729.98638176359</v>
      </c>
      <c r="BC79" s="10">
        <f t="shared" si="49"/>
        <v>898920.2328843025</v>
      </c>
      <c r="BD79" s="10">
        <f t="shared" si="49"/>
        <v>889865.55396911898</v>
      </c>
      <c r="BE79" s="10">
        <f t="shared" si="49"/>
        <v>894208.94124485797</v>
      </c>
      <c r="BF79" s="10">
        <f t="shared" si="49"/>
        <v>892418.02381552628</v>
      </c>
      <c r="BG79" s="10">
        <f t="shared" si="49"/>
        <v>896951.58124900074</v>
      </c>
      <c r="BH79" s="10">
        <f t="shared" si="49"/>
        <v>908994.70525931462</v>
      </c>
      <c r="BI79" s="12">
        <f t="shared" si="49"/>
        <v>906943.78728657705</v>
      </c>
      <c r="BJ79" s="11">
        <f t="shared" si="49"/>
        <v>1609177.518676036</v>
      </c>
      <c r="BK79" s="10">
        <f t="shared" si="49"/>
        <v>1609904.5415938757</v>
      </c>
      <c r="BL79" s="10">
        <f t="shared" si="49"/>
        <v>1605534.9970384401</v>
      </c>
      <c r="BM79" s="10">
        <f t="shared" si="49"/>
        <v>1609945.8883201624</v>
      </c>
      <c r="BN79" s="10">
        <f t="shared" ref="BN79:DY79" si="50">BN55/BN75</f>
        <v>1613136.2982166929</v>
      </c>
      <c r="BO79" s="10">
        <f t="shared" si="50"/>
        <v>1607140.1013170672</v>
      </c>
      <c r="BP79" s="10">
        <f t="shared" si="50"/>
        <v>1611040.428697132</v>
      </c>
      <c r="BQ79" s="10">
        <f t="shared" si="50"/>
        <v>1628184.446993591</v>
      </c>
      <c r="BR79" s="10">
        <f t="shared" si="50"/>
        <v>1637410.0340023416</v>
      </c>
      <c r="BS79" s="10">
        <f t="shared" si="50"/>
        <v>1634094.6530437577</v>
      </c>
      <c r="BT79" s="10">
        <f t="shared" si="50"/>
        <v>1649824.968983277</v>
      </c>
      <c r="BU79" s="12">
        <f t="shared" si="50"/>
        <v>1648807.8301116577</v>
      </c>
      <c r="BV79" s="11">
        <f t="shared" si="50"/>
        <v>1656122.3124086503</v>
      </c>
      <c r="BW79" s="10">
        <f t="shared" si="50"/>
        <v>1668374.5050695646</v>
      </c>
      <c r="BX79" s="10">
        <f t="shared" si="50"/>
        <v>1696266.0854270083</v>
      </c>
      <c r="BY79" s="10">
        <f t="shared" si="50"/>
        <v>1706619.8522650381</v>
      </c>
      <c r="BZ79" s="10">
        <f t="shared" si="50"/>
        <v>1709631.3063559912</v>
      </c>
      <c r="CA79" s="10">
        <f t="shared" si="50"/>
        <v>1701415.0639353853</v>
      </c>
      <c r="CB79" s="10">
        <f t="shared" si="50"/>
        <v>1712977.9178122398</v>
      </c>
      <c r="CC79" s="10">
        <f t="shared" si="50"/>
        <v>1672391.8789765951</v>
      </c>
      <c r="CD79" s="10">
        <f t="shared" si="50"/>
        <v>1687250.4875082129</v>
      </c>
      <c r="CE79" s="10">
        <f t="shared" si="50"/>
        <v>1694141.4610957643</v>
      </c>
      <c r="CF79" s="10">
        <f t="shared" si="50"/>
        <v>1700196.7668918539</v>
      </c>
      <c r="CG79" s="12">
        <f t="shared" si="50"/>
        <v>1693035.1664891054</v>
      </c>
      <c r="CH79" s="11">
        <f t="shared" si="50"/>
        <v>1684765.3912631921</v>
      </c>
      <c r="CI79" s="10">
        <f t="shared" si="50"/>
        <v>1697506.7145443752</v>
      </c>
      <c r="CJ79" s="10">
        <f t="shared" si="50"/>
        <v>1666222.7664803253</v>
      </c>
      <c r="CK79" s="10">
        <f t="shared" si="50"/>
        <v>1671648.1990878603</v>
      </c>
      <c r="CL79" s="10">
        <f t="shared" si="50"/>
        <v>1680673.2943630992</v>
      </c>
      <c r="CM79" s="10">
        <f t="shared" si="50"/>
        <v>1676922.1712052119</v>
      </c>
      <c r="CN79" s="10">
        <f t="shared" si="50"/>
        <v>1687579.044840676</v>
      </c>
      <c r="CO79" s="10">
        <f t="shared" si="50"/>
        <v>1696216.4481403185</v>
      </c>
      <c r="CP79" s="10">
        <f t="shared" si="50"/>
        <v>1719232.0189468125</v>
      </c>
      <c r="CQ79" s="10">
        <f t="shared" si="50"/>
        <v>1722603.0469378904</v>
      </c>
      <c r="CR79" s="10">
        <f t="shared" si="50"/>
        <v>1738641.5518583809</v>
      </c>
      <c r="CS79" s="10">
        <f t="shared" si="50"/>
        <v>1744509.5236090752</v>
      </c>
      <c r="CT79" s="11">
        <f t="shared" si="50"/>
        <v>1726367.6980872089</v>
      </c>
      <c r="CU79" s="10">
        <f t="shared" si="50"/>
        <v>1741132.9093363993</v>
      </c>
      <c r="CV79" s="10">
        <f t="shared" si="50"/>
        <v>1730109.6129412877</v>
      </c>
      <c r="CW79" s="10">
        <f t="shared" si="50"/>
        <v>1736131.0311735293</v>
      </c>
      <c r="CX79" s="10">
        <f t="shared" si="50"/>
        <v>1797190.907546984</v>
      </c>
      <c r="CY79" s="10">
        <f t="shared" si="50"/>
        <v>1798425.7879971808</v>
      </c>
      <c r="CZ79" s="10">
        <f t="shared" si="50"/>
        <v>1796375.0363984227</v>
      </c>
      <c r="DA79" s="10">
        <f t="shared" si="50"/>
        <v>1794329.8830105902</v>
      </c>
      <c r="DB79" s="10">
        <f t="shared" si="50"/>
        <v>1825430.2456937137</v>
      </c>
      <c r="DC79" s="10">
        <f t="shared" si="50"/>
        <v>1831182.7942482987</v>
      </c>
      <c r="DD79" s="10">
        <f t="shared" si="50"/>
        <v>1844787.6602531446</v>
      </c>
      <c r="DE79" s="10">
        <f t="shared" si="50"/>
        <v>1860230.1878743272</v>
      </c>
      <c r="DF79" s="11">
        <f t="shared" si="50"/>
        <v>1861881.594487143</v>
      </c>
      <c r="DG79" s="10">
        <f t="shared" si="50"/>
        <v>1878129.197267931</v>
      </c>
      <c r="DH79" s="10">
        <f t="shared" si="50"/>
        <v>1874082.4359273643</v>
      </c>
      <c r="DI79" s="10">
        <f t="shared" si="50"/>
        <v>1894161.6884064372</v>
      </c>
      <c r="DJ79" s="10">
        <f t="shared" si="50"/>
        <v>1915596.4896992496</v>
      </c>
      <c r="DK79" s="10">
        <f t="shared" si="50"/>
        <v>1925439.5016405196</v>
      </c>
      <c r="DL79" s="10">
        <f t="shared" si="50"/>
        <v>1934633.5292817303</v>
      </c>
      <c r="DM79" s="10">
        <f t="shared" si="50"/>
        <v>1939940.980955191</v>
      </c>
      <c r="DN79" s="10">
        <f t="shared" si="50"/>
        <v>1959816.6074751834</v>
      </c>
      <c r="DO79" s="10">
        <f t="shared" si="50"/>
        <v>1974320.6008119003</v>
      </c>
      <c r="DP79" s="10">
        <f t="shared" si="50"/>
        <v>1989180.5105783129</v>
      </c>
      <c r="DQ79" s="10">
        <f t="shared" si="50"/>
        <v>1982063.4742691738</v>
      </c>
      <c r="DR79" s="11">
        <f t="shared" si="50"/>
        <v>1985051.8538857223</v>
      </c>
      <c r="DS79" s="10">
        <f t="shared" si="50"/>
        <v>1993713.7459388918</v>
      </c>
      <c r="DT79" s="10">
        <f t="shared" si="50"/>
        <v>1991825.7303798327</v>
      </c>
      <c r="DU79" s="10">
        <f t="shared" si="50"/>
        <v>1960664.8442535317</v>
      </c>
      <c r="DV79" s="10">
        <f t="shared" si="50"/>
        <v>1966083.4119058941</v>
      </c>
      <c r="DW79" s="10">
        <f t="shared" si="50"/>
        <v>1974508.7925834639</v>
      </c>
      <c r="DX79" s="10">
        <f t="shared" si="50"/>
        <v>1963500.1576511206</v>
      </c>
      <c r="DY79" s="10">
        <f t="shared" si="50"/>
        <v>1974038.2873574721</v>
      </c>
      <c r="DZ79" s="10">
        <f>DZ55/DZ75</f>
        <v>1982689.4147901975</v>
      </c>
      <c r="EA79" s="10">
        <f>EA55/EA75</f>
        <v>1994281.6824963507</v>
      </c>
      <c r="EB79" s="10">
        <f>EB55/EB75</f>
        <v>2010855.9187750614</v>
      </c>
      <c r="EC79" s="12">
        <f>EC55/EC75</f>
        <v>2003033.9454512282</v>
      </c>
      <c r="ED79" s="13">
        <f>ED55/ED75</f>
        <v>1971269.3894666925</v>
      </c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</row>
    <row r="80" spans="1:148" ht="13.9" customHeight="1" x14ac:dyDescent="0.2">
      <c r="A80" s="839"/>
      <c r="B80" s="111"/>
      <c r="C80" s="5"/>
      <c r="D80" s="5"/>
      <c r="E80" s="5"/>
      <c r="F80" s="5"/>
      <c r="G80" s="5"/>
      <c r="H80" s="5"/>
      <c r="I80" s="5"/>
      <c r="J80" s="5"/>
      <c r="K80" s="5"/>
      <c r="L80" s="5"/>
      <c r="M80" s="228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228"/>
      <c r="Z80" s="111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228"/>
      <c r="AL80" s="111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111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228"/>
      <c r="BJ80" s="111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228"/>
      <c r="BV80" s="111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228"/>
      <c r="CH80" s="111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111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111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111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228"/>
      <c r="ED80" s="7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</row>
    <row r="81" spans="1:145" ht="13.9" customHeight="1" x14ac:dyDescent="0.2">
      <c r="A81" s="843" t="s">
        <v>15</v>
      </c>
      <c r="B81" s="11">
        <f t="shared" ref="B81:BM81" si="51">B56/B75</f>
        <v>373631.43796527036</v>
      </c>
      <c r="C81" s="10">
        <f t="shared" si="51"/>
        <v>388217.601055709</v>
      </c>
      <c r="D81" s="10">
        <f t="shared" si="51"/>
        <v>392221.39614052855</v>
      </c>
      <c r="E81" s="10">
        <f t="shared" si="51"/>
        <v>396602.66390213056</v>
      </c>
      <c r="F81" s="10">
        <f t="shared" si="51"/>
        <v>401501.72429328942</v>
      </c>
      <c r="G81" s="10">
        <f t="shared" si="51"/>
        <v>402777.51970401546</v>
      </c>
      <c r="H81" s="10">
        <f t="shared" si="51"/>
        <v>406644.55786719173</v>
      </c>
      <c r="I81" s="10">
        <f t="shared" si="51"/>
        <v>409628.20645965316</v>
      </c>
      <c r="J81" s="10">
        <f t="shared" si="51"/>
        <v>415054.81696978776</v>
      </c>
      <c r="K81" s="10">
        <f t="shared" si="51"/>
        <v>422348.13631353079</v>
      </c>
      <c r="L81" s="10">
        <f t="shared" si="51"/>
        <v>431104.73592584371</v>
      </c>
      <c r="M81" s="12">
        <f t="shared" si="51"/>
        <v>432197.46274752863</v>
      </c>
      <c r="N81" s="10">
        <f t="shared" si="51"/>
        <v>436234.04992357391</v>
      </c>
      <c r="O81" s="44">
        <f t="shared" si="51"/>
        <v>444215.15223175165</v>
      </c>
      <c r="P81" s="44">
        <f t="shared" si="51"/>
        <v>447349.92073446279</v>
      </c>
      <c r="Q81" s="44">
        <f t="shared" si="51"/>
        <v>449485.27972506755</v>
      </c>
      <c r="R81" s="44">
        <f t="shared" si="51"/>
        <v>448663.05279542576</v>
      </c>
      <c r="S81" s="44">
        <f t="shared" si="51"/>
        <v>452344.53451331396</v>
      </c>
      <c r="T81" s="44">
        <f t="shared" si="51"/>
        <v>457031.24062130478</v>
      </c>
      <c r="U81" s="44">
        <f t="shared" si="51"/>
        <v>466911.35321514722</v>
      </c>
      <c r="V81" s="44">
        <f t="shared" si="51"/>
        <v>475769.33222553582</v>
      </c>
      <c r="W81" s="44">
        <f t="shared" si="51"/>
        <v>487452.6619278834</v>
      </c>
      <c r="X81" s="44">
        <f t="shared" si="51"/>
        <v>500925.25454463018</v>
      </c>
      <c r="Y81" s="202">
        <f t="shared" si="51"/>
        <v>508134.39258516423</v>
      </c>
      <c r="Z81" s="25">
        <f t="shared" si="51"/>
        <v>568261.83728516765</v>
      </c>
      <c r="AA81" s="44">
        <f t="shared" si="51"/>
        <v>585383.81800916092</v>
      </c>
      <c r="AB81" s="44">
        <f t="shared" si="51"/>
        <v>598152.04779381317</v>
      </c>
      <c r="AC81" s="44">
        <f t="shared" si="51"/>
        <v>603087.10183475551</v>
      </c>
      <c r="AD81" s="44">
        <f t="shared" si="51"/>
        <v>616923.43639929488</v>
      </c>
      <c r="AE81" s="44">
        <f t="shared" si="51"/>
        <v>623377.54254752945</v>
      </c>
      <c r="AF81" s="44">
        <f t="shared" si="51"/>
        <v>622808.85311661509</v>
      </c>
      <c r="AG81" s="44">
        <f t="shared" si="51"/>
        <v>632326.03632513969</v>
      </c>
      <c r="AH81" s="44">
        <f t="shared" si="51"/>
        <v>646640.30768535566</v>
      </c>
      <c r="AI81" s="44">
        <f t="shared" si="51"/>
        <v>661387.08289039182</v>
      </c>
      <c r="AJ81" s="44">
        <f t="shared" si="51"/>
        <v>678294.01307797013</v>
      </c>
      <c r="AK81" s="202">
        <f t="shared" si="51"/>
        <v>689360.28557629941</v>
      </c>
      <c r="AL81" s="25">
        <f t="shared" si="51"/>
        <v>703830.88137267961</v>
      </c>
      <c r="AM81" s="44">
        <f t="shared" si="51"/>
        <v>723752.85568908008</v>
      </c>
      <c r="AN81" s="44">
        <f t="shared" si="51"/>
        <v>741342.16205108946</v>
      </c>
      <c r="AO81" s="44">
        <f t="shared" si="51"/>
        <v>748732.15414790367</v>
      </c>
      <c r="AP81" s="44">
        <f t="shared" si="51"/>
        <v>754352.55013584613</v>
      </c>
      <c r="AQ81" s="44">
        <f t="shared" si="51"/>
        <v>758556.9203752256</v>
      </c>
      <c r="AR81" s="44">
        <f t="shared" si="51"/>
        <v>759216.21927911788</v>
      </c>
      <c r="AS81" s="44">
        <f t="shared" si="51"/>
        <v>772331.1142014314</v>
      </c>
      <c r="AT81" s="44">
        <f t="shared" si="51"/>
        <v>781204.40321822267</v>
      </c>
      <c r="AU81" s="44">
        <f t="shared" si="51"/>
        <v>794374.7317933914</v>
      </c>
      <c r="AV81" s="44">
        <f t="shared" si="51"/>
        <v>810371.17352128495</v>
      </c>
      <c r="AW81" s="44">
        <f t="shared" si="51"/>
        <v>815255.21895458433</v>
      </c>
      <c r="AX81" s="25">
        <f t="shared" si="51"/>
        <v>820421.18516590283</v>
      </c>
      <c r="AY81" s="44">
        <f t="shared" si="51"/>
        <v>826198.47106503625</v>
      </c>
      <c r="AZ81" s="44">
        <f t="shared" si="51"/>
        <v>834879.13023240387</v>
      </c>
      <c r="BA81" s="44">
        <f t="shared" si="51"/>
        <v>840094.83329820959</v>
      </c>
      <c r="BB81" s="44">
        <f t="shared" si="51"/>
        <v>841690.0139780381</v>
      </c>
      <c r="BC81" s="44">
        <f t="shared" si="51"/>
        <v>837899.96544423548</v>
      </c>
      <c r="BD81" s="44">
        <f t="shared" si="51"/>
        <v>829948.70171421906</v>
      </c>
      <c r="BE81" s="44">
        <f t="shared" si="51"/>
        <v>834554.81154572987</v>
      </c>
      <c r="BF81" s="44">
        <f t="shared" si="51"/>
        <v>834467.57520197413</v>
      </c>
      <c r="BG81" s="44">
        <f t="shared" si="51"/>
        <v>841062.70121820946</v>
      </c>
      <c r="BH81" s="44">
        <f t="shared" si="51"/>
        <v>853592.67545378371</v>
      </c>
      <c r="BI81" s="202">
        <f t="shared" si="51"/>
        <v>851968.70675765024</v>
      </c>
      <c r="BJ81" s="25">
        <f t="shared" si="51"/>
        <v>1514744.6040250252</v>
      </c>
      <c r="BK81" s="44">
        <f t="shared" si="51"/>
        <v>1518438.220979485</v>
      </c>
      <c r="BL81" s="44">
        <f t="shared" si="51"/>
        <v>1514353.9716823197</v>
      </c>
      <c r="BM81" s="44">
        <f t="shared" si="51"/>
        <v>1515620.5950229473</v>
      </c>
      <c r="BN81" s="44">
        <f t="shared" ref="BN81:DY81" si="52">BN56/BN75</f>
        <v>1519481.5374703777</v>
      </c>
      <c r="BO81" s="44">
        <f t="shared" si="52"/>
        <v>1510876.5216650409</v>
      </c>
      <c r="BP81" s="44">
        <f t="shared" si="52"/>
        <v>1512257.9883661848</v>
      </c>
      <c r="BQ81" s="44">
        <f t="shared" si="52"/>
        <v>1527030.2134491086</v>
      </c>
      <c r="BR81" s="44">
        <f t="shared" si="52"/>
        <v>1533630.3237705946</v>
      </c>
      <c r="BS81" s="44">
        <f t="shared" si="52"/>
        <v>1528120.871245947</v>
      </c>
      <c r="BT81" s="44">
        <f t="shared" si="52"/>
        <v>1542104.8151816071</v>
      </c>
      <c r="BU81" s="202">
        <f t="shared" si="52"/>
        <v>1541877.605118019</v>
      </c>
      <c r="BV81" s="25">
        <f t="shared" si="52"/>
        <v>1548187.0882141902</v>
      </c>
      <c r="BW81" s="44">
        <f t="shared" si="52"/>
        <v>1563124.2046546731</v>
      </c>
      <c r="BX81" s="44">
        <f t="shared" si="52"/>
        <v>1583406.1157415938</v>
      </c>
      <c r="BY81" s="44">
        <f t="shared" si="52"/>
        <v>1595265.9693648461</v>
      </c>
      <c r="BZ81" s="44">
        <f t="shared" si="52"/>
        <v>1600362.4564349421</v>
      </c>
      <c r="CA81" s="44">
        <f t="shared" si="52"/>
        <v>1590197.8396854254</v>
      </c>
      <c r="CB81" s="44">
        <f t="shared" si="52"/>
        <v>1602136.4955476345</v>
      </c>
      <c r="CC81" s="44">
        <f t="shared" si="52"/>
        <v>1574089.7393466751</v>
      </c>
      <c r="CD81" s="44">
        <f t="shared" si="52"/>
        <v>1594030.232756458</v>
      </c>
      <c r="CE81" s="44">
        <f t="shared" si="52"/>
        <v>1601242.3968341048</v>
      </c>
      <c r="CF81" s="44">
        <f t="shared" si="52"/>
        <v>1608117.744699293</v>
      </c>
      <c r="CG81" s="202">
        <f t="shared" si="52"/>
        <v>1604426.7040022444</v>
      </c>
      <c r="CH81" s="25">
        <f t="shared" si="52"/>
        <v>1602421.8204580084</v>
      </c>
      <c r="CI81" s="44">
        <f t="shared" si="52"/>
        <v>1616262.8106612298</v>
      </c>
      <c r="CJ81" s="44">
        <f t="shared" si="52"/>
        <v>1601188.7234642229</v>
      </c>
      <c r="CK81" s="44">
        <f t="shared" si="52"/>
        <v>1610340.1845698138</v>
      </c>
      <c r="CL81" s="44">
        <f t="shared" si="52"/>
        <v>1619744.3307766118</v>
      </c>
      <c r="CM81" s="44">
        <f t="shared" si="52"/>
        <v>1615698.8785682286</v>
      </c>
      <c r="CN81" s="44">
        <f t="shared" si="52"/>
        <v>1626212.5233161759</v>
      </c>
      <c r="CO81" s="44">
        <f t="shared" si="52"/>
        <v>1634884.5918989519</v>
      </c>
      <c r="CP81" s="44">
        <f t="shared" si="52"/>
        <v>1657788.6115705189</v>
      </c>
      <c r="CQ81" s="44">
        <f t="shared" si="52"/>
        <v>1661856.7451468918</v>
      </c>
      <c r="CR81" s="44">
        <f t="shared" si="52"/>
        <v>1675529.0366151135</v>
      </c>
      <c r="CS81" s="44">
        <f t="shared" si="52"/>
        <v>1683967.8408759115</v>
      </c>
      <c r="CT81" s="25">
        <f t="shared" si="52"/>
        <v>1670804.3742515666</v>
      </c>
      <c r="CU81" s="44">
        <f t="shared" si="52"/>
        <v>1690206.7276372628</v>
      </c>
      <c r="CV81" s="44">
        <f t="shared" si="52"/>
        <v>1680429.223258866</v>
      </c>
      <c r="CW81" s="44">
        <f t="shared" si="52"/>
        <v>1688212.98956065</v>
      </c>
      <c r="CX81" s="44">
        <f t="shared" si="52"/>
        <v>1754213.9114160012</v>
      </c>
      <c r="CY81" s="44">
        <f t="shared" si="52"/>
        <v>1755129.6819368929</v>
      </c>
      <c r="CZ81" s="44">
        <f t="shared" si="52"/>
        <v>1753380.2245523443</v>
      </c>
      <c r="DA81" s="44">
        <f t="shared" si="52"/>
        <v>1756940.1334656656</v>
      </c>
      <c r="DB81" s="44">
        <f t="shared" si="52"/>
        <v>1786346.2150557179</v>
      </c>
      <c r="DC81" s="44">
        <f t="shared" si="52"/>
        <v>1791045.3969959239</v>
      </c>
      <c r="DD81" s="44">
        <f t="shared" si="52"/>
        <v>1803546.0183312644</v>
      </c>
      <c r="DE81" s="44">
        <f t="shared" si="52"/>
        <v>1822723.5356356385</v>
      </c>
      <c r="DF81" s="25">
        <f t="shared" si="52"/>
        <v>1824230.9376100854</v>
      </c>
      <c r="DG81" s="44">
        <f t="shared" si="52"/>
        <v>1837180.0546801374</v>
      </c>
      <c r="DH81" s="44">
        <f t="shared" si="52"/>
        <v>1835843.8868828651</v>
      </c>
      <c r="DI81" s="44">
        <f t="shared" si="52"/>
        <v>1853135.3559993906</v>
      </c>
      <c r="DJ81" s="44">
        <f t="shared" si="52"/>
        <v>1871629.8336912068</v>
      </c>
      <c r="DK81" s="44">
        <f t="shared" si="52"/>
        <v>1878069.1824531828</v>
      </c>
      <c r="DL81" s="44">
        <f t="shared" si="52"/>
        <v>1886492.485999617</v>
      </c>
      <c r="DM81" s="44">
        <f t="shared" si="52"/>
        <v>1896975.3939645833</v>
      </c>
      <c r="DN81" s="44">
        <f t="shared" si="52"/>
        <v>1917921.441690552</v>
      </c>
      <c r="DO81" s="44">
        <f t="shared" si="52"/>
        <v>1929954.182219035</v>
      </c>
      <c r="DP81" s="44">
        <f t="shared" si="52"/>
        <v>1941367.6306337095</v>
      </c>
      <c r="DQ81" s="44">
        <f t="shared" si="52"/>
        <v>1936685.2933022142</v>
      </c>
      <c r="DR81" s="25">
        <f t="shared" si="52"/>
        <v>1944804.7867090935</v>
      </c>
      <c r="DS81" s="44">
        <f t="shared" si="52"/>
        <v>1953344.16057728</v>
      </c>
      <c r="DT81" s="44">
        <f t="shared" si="52"/>
        <v>1952020.6902990011</v>
      </c>
      <c r="DU81" s="44">
        <f t="shared" si="52"/>
        <v>1921103.2000055804</v>
      </c>
      <c r="DV81" s="44">
        <f t="shared" si="52"/>
        <v>1926484.7249474353</v>
      </c>
      <c r="DW81" s="44">
        <f t="shared" si="52"/>
        <v>1937589.628868239</v>
      </c>
      <c r="DX81" s="44">
        <f t="shared" si="52"/>
        <v>1930501.9828948968</v>
      </c>
      <c r="DY81" s="44">
        <f t="shared" si="52"/>
        <v>1941003.7596063318</v>
      </c>
      <c r="DZ81" s="44">
        <f>DZ56/DZ75</f>
        <v>1949492.6982865874</v>
      </c>
      <c r="EA81" s="44">
        <f>EA56/EA75</f>
        <v>1961863.4287217441</v>
      </c>
      <c r="EB81" s="44">
        <f>EB56/EB75</f>
        <v>1978345.898239359</v>
      </c>
      <c r="EC81" s="202">
        <f>EC56/EC75</f>
        <v>1973552.9581284805</v>
      </c>
      <c r="ED81" s="26">
        <f>ED56/ED75</f>
        <v>1945089.6219812697</v>
      </c>
      <c r="EE81" s="44"/>
      <c r="EF81" s="44"/>
      <c r="EG81" s="44"/>
      <c r="EH81" s="44"/>
      <c r="EI81" s="44"/>
      <c r="EJ81" s="44"/>
      <c r="EK81" s="44"/>
      <c r="EL81" s="44"/>
      <c r="EM81" s="44"/>
      <c r="EN81" s="44"/>
      <c r="EO81" s="44"/>
    </row>
    <row r="82" spans="1:145" ht="13.9" customHeight="1" x14ac:dyDescent="0.2">
      <c r="A82" s="839"/>
      <c r="B82" s="111"/>
      <c r="C82" s="5"/>
      <c r="D82" s="5"/>
      <c r="E82" s="5"/>
      <c r="F82" s="5"/>
      <c r="G82" s="5"/>
      <c r="H82" s="5"/>
      <c r="I82" s="5"/>
      <c r="J82" s="5"/>
      <c r="K82" s="5"/>
      <c r="L82" s="5"/>
      <c r="M82" s="228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228"/>
      <c r="Z82" s="111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228"/>
      <c r="AL82" s="111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111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228"/>
      <c r="BJ82" s="111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228"/>
      <c r="BV82" s="111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228"/>
      <c r="CH82" s="111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111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111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111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228"/>
      <c r="ED82" s="7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</row>
    <row r="83" spans="1:145" ht="13.9" customHeight="1" x14ac:dyDescent="0.2">
      <c r="A83" s="843" t="s">
        <v>19</v>
      </c>
      <c r="B83" s="11">
        <f t="shared" ref="B83:BM83" si="53">B57/B75</f>
        <v>63276.62661569567</v>
      </c>
      <c r="C83" s="10">
        <f t="shared" si="53"/>
        <v>63133.537463337016</v>
      </c>
      <c r="D83" s="10">
        <f t="shared" si="53"/>
        <v>58569.598636570736</v>
      </c>
      <c r="E83" s="10">
        <f t="shared" si="53"/>
        <v>54857.420003514497</v>
      </c>
      <c r="F83" s="10">
        <f t="shared" si="53"/>
        <v>59022.138532518671</v>
      </c>
      <c r="G83" s="10">
        <f t="shared" si="53"/>
        <v>53959.752761535099</v>
      </c>
      <c r="H83" s="10">
        <f t="shared" si="53"/>
        <v>54036.324066637302</v>
      </c>
      <c r="I83" s="10">
        <f t="shared" si="53"/>
        <v>51688.648873195554</v>
      </c>
      <c r="J83" s="10">
        <f t="shared" si="53"/>
        <v>52326.093005583891</v>
      </c>
      <c r="K83" s="10">
        <f t="shared" si="53"/>
        <v>51064.235118676836</v>
      </c>
      <c r="L83" s="10">
        <f t="shared" si="53"/>
        <v>50021.343020197717</v>
      </c>
      <c r="M83" s="12">
        <f t="shared" si="53"/>
        <v>48689.499270787819</v>
      </c>
      <c r="N83" s="10">
        <f t="shared" si="53"/>
        <v>46523.427473559197</v>
      </c>
      <c r="O83" s="44">
        <f t="shared" si="53"/>
        <v>45667.651871097973</v>
      </c>
      <c r="P83" s="44">
        <f t="shared" si="53"/>
        <v>44501.040869328273</v>
      </c>
      <c r="Q83" s="44">
        <f t="shared" si="53"/>
        <v>44711.464877737344</v>
      </c>
      <c r="R83" s="44">
        <f t="shared" si="53"/>
        <v>44900.865674920438</v>
      </c>
      <c r="S83" s="44">
        <f t="shared" si="53"/>
        <v>43193.886665441059</v>
      </c>
      <c r="T83" s="44">
        <f t="shared" si="53"/>
        <v>43507.131703382547</v>
      </c>
      <c r="U83" s="44">
        <f t="shared" si="53"/>
        <v>42737.299445623357</v>
      </c>
      <c r="V83" s="44">
        <f t="shared" si="53"/>
        <v>43141.544982170955</v>
      </c>
      <c r="W83" s="44">
        <f t="shared" si="53"/>
        <v>47973.274862722072</v>
      </c>
      <c r="X83" s="44">
        <f t="shared" si="53"/>
        <v>52415.94380291523</v>
      </c>
      <c r="Y83" s="202">
        <f t="shared" si="53"/>
        <v>52066.529080703534</v>
      </c>
      <c r="Z83" s="25">
        <f t="shared" si="53"/>
        <v>52323.211846079379</v>
      </c>
      <c r="AA83" s="44">
        <f t="shared" si="53"/>
        <v>52986.69634481526</v>
      </c>
      <c r="AB83" s="44">
        <f t="shared" si="53"/>
        <v>52480.856355809592</v>
      </c>
      <c r="AC83" s="44">
        <f t="shared" si="53"/>
        <v>52406.018796816526</v>
      </c>
      <c r="AD83" s="44">
        <f t="shared" si="53"/>
        <v>49974.412515466276</v>
      </c>
      <c r="AE83" s="44">
        <f t="shared" si="53"/>
        <v>49027.236791319352</v>
      </c>
      <c r="AF83" s="44">
        <f t="shared" si="53"/>
        <v>48884.222399901439</v>
      </c>
      <c r="AG83" s="44">
        <f t="shared" si="53"/>
        <v>52867.112222552336</v>
      </c>
      <c r="AH83" s="44">
        <f t="shared" si="53"/>
        <v>54063.157385359234</v>
      </c>
      <c r="AI83" s="44">
        <f t="shared" si="53"/>
        <v>52461.583125209188</v>
      </c>
      <c r="AJ83" s="44">
        <f t="shared" si="53"/>
        <v>53331.064284629501</v>
      </c>
      <c r="AK83" s="202">
        <f t="shared" si="53"/>
        <v>53941.381596941406</v>
      </c>
      <c r="AL83" s="25">
        <f t="shared" si="53"/>
        <v>55582.335092795125</v>
      </c>
      <c r="AM83" s="44">
        <f t="shared" si="53"/>
        <v>56612.733447523977</v>
      </c>
      <c r="AN83" s="44">
        <f t="shared" si="53"/>
        <v>56184.94402417208</v>
      </c>
      <c r="AO83" s="44">
        <f t="shared" si="53"/>
        <v>57171.557421892059</v>
      </c>
      <c r="AP83" s="44">
        <f t="shared" si="53"/>
        <v>59439.015639657897</v>
      </c>
      <c r="AQ83" s="44">
        <f t="shared" si="53"/>
        <v>58244.881648430914</v>
      </c>
      <c r="AR83" s="44">
        <f t="shared" si="53"/>
        <v>58036.114087530303</v>
      </c>
      <c r="AS83" s="44">
        <f t="shared" si="53"/>
        <v>55538.553001515298</v>
      </c>
      <c r="AT83" s="44">
        <f t="shared" si="53"/>
        <v>52920.667871349979</v>
      </c>
      <c r="AU83" s="44">
        <f t="shared" si="53"/>
        <v>54924.708073914822</v>
      </c>
      <c r="AV83" s="44">
        <f t="shared" si="53"/>
        <v>55675.637362057598</v>
      </c>
      <c r="AW83" s="44">
        <f t="shared" si="53"/>
        <v>55571.85119000281</v>
      </c>
      <c r="AX83" s="25">
        <f t="shared" si="53"/>
        <v>59081.044991208022</v>
      </c>
      <c r="AY83" s="44">
        <f t="shared" si="53"/>
        <v>59307.146165518687</v>
      </c>
      <c r="AZ83" s="44">
        <f t="shared" si="53"/>
        <v>57596.743156328404</v>
      </c>
      <c r="BA83" s="44">
        <f t="shared" si="53"/>
        <v>58753.102213051789</v>
      </c>
      <c r="BB83" s="44">
        <f t="shared" si="53"/>
        <v>60039.972403725464</v>
      </c>
      <c r="BC83" s="44">
        <f t="shared" si="53"/>
        <v>61020.267440067029</v>
      </c>
      <c r="BD83" s="44">
        <f t="shared" si="53"/>
        <v>59916.852254899859</v>
      </c>
      <c r="BE83" s="44">
        <f t="shared" si="53"/>
        <v>59654.129699128076</v>
      </c>
      <c r="BF83" s="44">
        <f t="shared" si="53"/>
        <v>57950.448613552209</v>
      </c>
      <c r="BG83" s="44">
        <f t="shared" si="53"/>
        <v>55888.880030791275</v>
      </c>
      <c r="BH83" s="44">
        <f t="shared" si="53"/>
        <v>55402.029805530932</v>
      </c>
      <c r="BI83" s="202">
        <f t="shared" si="53"/>
        <v>54975.080528926839</v>
      </c>
      <c r="BJ83" s="25">
        <f t="shared" si="53"/>
        <v>94432.914651010942</v>
      </c>
      <c r="BK83" s="44">
        <f t="shared" si="53"/>
        <v>91466.320614390715</v>
      </c>
      <c r="BL83" s="44">
        <f t="shared" si="53"/>
        <v>91181.025356120546</v>
      </c>
      <c r="BM83" s="44">
        <f t="shared" si="53"/>
        <v>94325.293297215176</v>
      </c>
      <c r="BN83" s="44">
        <f t="shared" ref="BN83:DY83" si="54">BN57/BN75</f>
        <v>93654.760746315122</v>
      </c>
      <c r="BO83" s="44">
        <f t="shared" si="54"/>
        <v>96263.579652026106</v>
      </c>
      <c r="BP83" s="44">
        <f t="shared" si="54"/>
        <v>98782.440330947269</v>
      </c>
      <c r="BQ83" s="44">
        <f t="shared" si="54"/>
        <v>101154.23354448243</v>
      </c>
      <c r="BR83" s="44">
        <f t="shared" si="54"/>
        <v>103779.71023174698</v>
      </c>
      <c r="BS83" s="44">
        <f t="shared" si="54"/>
        <v>105973.78179781072</v>
      </c>
      <c r="BT83" s="44">
        <f t="shared" si="54"/>
        <v>107720.15380166986</v>
      </c>
      <c r="BU83" s="202">
        <f t="shared" si="54"/>
        <v>106930.22499363878</v>
      </c>
      <c r="BV83" s="25">
        <f t="shared" si="54"/>
        <v>107935.22419446029</v>
      </c>
      <c r="BW83" s="44">
        <f t="shared" si="54"/>
        <v>105250.30041489138</v>
      </c>
      <c r="BX83" s="44">
        <f t="shared" si="54"/>
        <v>112859.96968541446</v>
      </c>
      <c r="BY83" s="44">
        <f t="shared" si="54"/>
        <v>111353.88290019211</v>
      </c>
      <c r="BZ83" s="44">
        <f t="shared" si="54"/>
        <v>109268.84992104904</v>
      </c>
      <c r="CA83" s="44">
        <f t="shared" si="54"/>
        <v>111217.22424995976</v>
      </c>
      <c r="CB83" s="44">
        <f t="shared" si="54"/>
        <v>110841.42226460515</v>
      </c>
      <c r="CC83" s="44">
        <f t="shared" si="54"/>
        <v>98302.139629920159</v>
      </c>
      <c r="CD83" s="44">
        <f t="shared" si="54"/>
        <v>93220.254751755027</v>
      </c>
      <c r="CE83" s="44">
        <f t="shared" si="54"/>
        <v>92899.064261659805</v>
      </c>
      <c r="CF83" s="44">
        <f t="shared" si="54"/>
        <v>92079.022192560806</v>
      </c>
      <c r="CG83" s="202">
        <f t="shared" si="54"/>
        <v>88608.462486861041</v>
      </c>
      <c r="CH83" s="25">
        <f t="shared" si="54"/>
        <v>82343.57080518351</v>
      </c>
      <c r="CI83" s="44">
        <f t="shared" si="54"/>
        <v>81243.903883145525</v>
      </c>
      <c r="CJ83" s="44">
        <f t="shared" si="54"/>
        <v>65034.043016102514</v>
      </c>
      <c r="CK83" s="44">
        <f t="shared" si="54"/>
        <v>61308.014518046723</v>
      </c>
      <c r="CL83" s="44">
        <f t="shared" si="54"/>
        <v>60928.963586487487</v>
      </c>
      <c r="CM83" s="44">
        <f t="shared" si="54"/>
        <v>61223.292636983169</v>
      </c>
      <c r="CN83" s="44">
        <f t="shared" si="54"/>
        <v>61366.521524500211</v>
      </c>
      <c r="CO83" s="44">
        <f t="shared" si="54"/>
        <v>61331.856241366659</v>
      </c>
      <c r="CP83" s="44">
        <f t="shared" si="54"/>
        <v>61443.407376293624</v>
      </c>
      <c r="CQ83" s="44">
        <f t="shared" si="54"/>
        <v>60746.301790998579</v>
      </c>
      <c r="CR83" s="44">
        <f t="shared" si="54"/>
        <v>63112.515243267277</v>
      </c>
      <c r="CS83" s="44">
        <f t="shared" si="54"/>
        <v>60541.682733163761</v>
      </c>
      <c r="CT83" s="25">
        <f t="shared" si="54"/>
        <v>55563.323835642339</v>
      </c>
      <c r="CU83" s="44">
        <f t="shared" si="54"/>
        <v>50926.181699136221</v>
      </c>
      <c r="CV83" s="44">
        <f t="shared" si="54"/>
        <v>49680.389682421752</v>
      </c>
      <c r="CW83" s="44">
        <f t="shared" si="54"/>
        <v>47918.041612879308</v>
      </c>
      <c r="CX83" s="44">
        <f t="shared" si="54"/>
        <v>42976.996130982916</v>
      </c>
      <c r="CY83" s="44">
        <f t="shared" si="54"/>
        <v>43296.106060287944</v>
      </c>
      <c r="CZ83" s="44">
        <f t="shared" si="54"/>
        <v>42994.811846078483</v>
      </c>
      <c r="DA83" s="44">
        <f t="shared" si="54"/>
        <v>37389.749544924482</v>
      </c>
      <c r="DB83" s="44">
        <f t="shared" si="54"/>
        <v>39084.030637995646</v>
      </c>
      <c r="DC83" s="44">
        <f t="shared" si="54"/>
        <v>40137.397252374678</v>
      </c>
      <c r="DD83" s="44">
        <f t="shared" si="54"/>
        <v>41241.64192188032</v>
      </c>
      <c r="DE83" s="44">
        <f t="shared" si="54"/>
        <v>37506.652238688599</v>
      </c>
      <c r="DF83" s="25">
        <f t="shared" si="54"/>
        <v>37650.65687705778</v>
      </c>
      <c r="DG83" s="44">
        <f t="shared" si="54"/>
        <v>40949.142587793613</v>
      </c>
      <c r="DH83" s="44">
        <f t="shared" si="54"/>
        <v>38238.549044499108</v>
      </c>
      <c r="DI83" s="44">
        <f t="shared" si="54"/>
        <v>41026.332407046553</v>
      </c>
      <c r="DJ83" s="44">
        <f t="shared" si="54"/>
        <v>43966.656008042955</v>
      </c>
      <c r="DK83" s="44">
        <f t="shared" si="54"/>
        <v>47370.319187336907</v>
      </c>
      <c r="DL83" s="44">
        <f t="shared" si="54"/>
        <v>48141.043282113271</v>
      </c>
      <c r="DM83" s="44">
        <f t="shared" si="54"/>
        <v>42965.586990607655</v>
      </c>
      <c r="DN83" s="44">
        <f t="shared" si="54"/>
        <v>41895.165784631135</v>
      </c>
      <c r="DO83" s="44">
        <f t="shared" si="54"/>
        <v>44366.41859286512</v>
      </c>
      <c r="DP83" s="44">
        <f t="shared" si="54"/>
        <v>47812.879944603279</v>
      </c>
      <c r="DQ83" s="44">
        <f t="shared" si="54"/>
        <v>45378.180966959684</v>
      </c>
      <c r="DR83" s="25">
        <f t="shared" si="54"/>
        <v>40247.067176629105</v>
      </c>
      <c r="DS83" s="44">
        <f t="shared" si="54"/>
        <v>40369.585361611666</v>
      </c>
      <c r="DT83" s="44">
        <f t="shared" si="54"/>
        <v>39805.040080831568</v>
      </c>
      <c r="DU83" s="44">
        <f t="shared" si="54"/>
        <v>39561.644247951437</v>
      </c>
      <c r="DV83" s="44">
        <f t="shared" si="54"/>
        <v>39598.686958458908</v>
      </c>
      <c r="DW83" s="44">
        <f t="shared" si="54"/>
        <v>36919.1637152248</v>
      </c>
      <c r="DX83" s="44">
        <f t="shared" si="54"/>
        <v>32998.174756223845</v>
      </c>
      <c r="DY83" s="44">
        <f t="shared" si="54"/>
        <v>33034.527751140333</v>
      </c>
      <c r="DZ83" s="44">
        <f>DZ57/DZ75</f>
        <v>33196.716503610274</v>
      </c>
      <c r="EA83" s="44">
        <f>EA57/EA75</f>
        <v>32418.253774606586</v>
      </c>
      <c r="EB83" s="44">
        <f>EB57/EB75</f>
        <v>32510.020535702228</v>
      </c>
      <c r="EC83" s="202">
        <f>EC57/EC75</f>
        <v>29480.987322747802</v>
      </c>
      <c r="ED83" s="26">
        <f>ED57/ED75</f>
        <v>26179.767485422741</v>
      </c>
      <c r="EE83" s="44"/>
      <c r="EF83" s="44"/>
      <c r="EG83" s="44"/>
      <c r="EH83" s="44"/>
      <c r="EI83" s="44"/>
      <c r="EJ83" s="44"/>
      <c r="EK83" s="44"/>
      <c r="EL83" s="44"/>
      <c r="EM83" s="44"/>
      <c r="EN83" s="44"/>
      <c r="EO83" s="44"/>
    </row>
    <row r="84" spans="1:145" ht="13.9" customHeight="1" x14ac:dyDescent="0.2">
      <c r="A84" s="844"/>
      <c r="B84" s="55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7"/>
      <c r="N84" s="56"/>
      <c r="O84" s="56"/>
      <c r="P84" s="56"/>
      <c r="Q84" s="964"/>
      <c r="R84" s="964"/>
      <c r="S84" s="964"/>
      <c r="T84" s="964"/>
      <c r="U84" s="964"/>
      <c r="V84" s="964"/>
      <c r="W84" s="964"/>
      <c r="X84" s="964"/>
      <c r="Y84" s="965"/>
      <c r="Z84" s="966"/>
      <c r="AA84" s="964"/>
      <c r="AB84" s="964"/>
      <c r="AC84" s="964"/>
      <c r="AD84" s="964"/>
      <c r="AE84" s="964"/>
      <c r="AF84" s="964"/>
      <c r="AG84" s="964"/>
      <c r="AH84" s="964"/>
      <c r="AI84" s="964"/>
      <c r="AJ84" s="964"/>
      <c r="AK84" s="965"/>
      <c r="AL84" s="966"/>
      <c r="AM84" s="964"/>
      <c r="AN84" s="964"/>
      <c r="AO84" s="964"/>
      <c r="AP84" s="964"/>
      <c r="AQ84" s="964"/>
      <c r="AR84" s="964"/>
      <c r="AS84" s="964"/>
      <c r="AT84" s="964"/>
      <c r="AU84" s="964"/>
      <c r="AV84" s="964"/>
      <c r="AW84" s="964"/>
      <c r="AX84" s="966"/>
      <c r="AY84" s="964"/>
      <c r="AZ84" s="964"/>
      <c r="BA84" s="964"/>
      <c r="BB84" s="964"/>
      <c r="BC84" s="964"/>
      <c r="BD84" s="964"/>
      <c r="BE84" s="964"/>
      <c r="BF84" s="964"/>
      <c r="BG84" s="964"/>
      <c r="BH84" s="964"/>
      <c r="BI84" s="965"/>
      <c r="BJ84" s="966"/>
      <c r="BK84" s="964"/>
      <c r="BL84" s="964"/>
      <c r="BM84" s="964"/>
      <c r="BN84" s="964"/>
      <c r="BO84" s="964"/>
      <c r="BP84" s="964"/>
      <c r="BQ84" s="964"/>
      <c r="BR84" s="964"/>
      <c r="BS84" s="964"/>
      <c r="BT84" s="964"/>
      <c r="BU84" s="965"/>
      <c r="BV84" s="966"/>
      <c r="BW84" s="964"/>
      <c r="BX84" s="964"/>
      <c r="BY84" s="964"/>
      <c r="BZ84" s="964"/>
      <c r="CA84" s="964"/>
      <c r="CB84" s="964"/>
      <c r="CC84" s="964"/>
      <c r="CD84" s="964"/>
      <c r="CE84" s="964"/>
      <c r="CF84" s="964"/>
      <c r="CG84" s="965"/>
      <c r="CH84" s="966"/>
      <c r="CI84" s="964"/>
      <c r="CJ84" s="964"/>
      <c r="CK84" s="964"/>
      <c r="CL84" s="964"/>
      <c r="CM84" s="964"/>
      <c r="CN84" s="964"/>
      <c r="CO84" s="964"/>
      <c r="CP84" s="964"/>
      <c r="CQ84" s="964"/>
      <c r="CR84" s="964"/>
      <c r="CS84" s="964"/>
      <c r="CT84" s="966"/>
      <c r="CU84" s="964"/>
      <c r="CV84" s="964"/>
      <c r="CW84" s="964"/>
      <c r="CX84" s="964"/>
      <c r="CY84" s="964"/>
      <c r="CZ84" s="964"/>
      <c r="DA84" s="964"/>
      <c r="DB84" s="964"/>
      <c r="DC84" s="964"/>
      <c r="DD84" s="964"/>
      <c r="DE84" s="964"/>
      <c r="DF84" s="966"/>
      <c r="DG84" s="964"/>
      <c r="DH84" s="964"/>
      <c r="DI84" s="964"/>
      <c r="DJ84" s="964"/>
      <c r="DK84" s="964"/>
      <c r="DL84" s="964"/>
      <c r="DM84" s="964"/>
      <c r="DN84" s="964"/>
      <c r="DO84" s="964"/>
      <c r="DP84" s="964"/>
      <c r="DQ84" s="964"/>
      <c r="DR84" s="966"/>
      <c r="DS84" s="964"/>
      <c r="DT84" s="964"/>
      <c r="DU84" s="964"/>
      <c r="DV84" s="964"/>
      <c r="DW84" s="964"/>
      <c r="DX84" s="964"/>
      <c r="DY84" s="964"/>
      <c r="DZ84" s="964"/>
      <c r="EA84" s="964"/>
      <c r="EB84" s="964"/>
      <c r="EC84" s="965"/>
      <c r="ED84" s="967"/>
      <c r="EE84" s="834"/>
      <c r="EF84" s="834"/>
      <c r="EG84" s="834"/>
      <c r="EH84" s="834"/>
      <c r="EI84" s="834"/>
      <c r="EJ84" s="834"/>
      <c r="EK84" s="834"/>
      <c r="EL84" s="834"/>
      <c r="EM84" s="834"/>
      <c r="EN84" s="834"/>
      <c r="EO84" s="834"/>
    </row>
    <row r="85" spans="1:145" ht="13.9" customHeight="1" x14ac:dyDescent="0.2">
      <c r="A85" s="845" t="s">
        <v>200</v>
      </c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  <c r="AC85" s="187"/>
      <c r="AD85" s="187"/>
      <c r="AE85" s="187"/>
      <c r="AF85" s="187"/>
      <c r="AG85" s="187"/>
      <c r="AH85" s="187"/>
      <c r="AI85" s="187"/>
      <c r="AJ85" s="187"/>
      <c r="AK85" s="187"/>
      <c r="AL85" s="187"/>
      <c r="AM85" s="187"/>
      <c r="AN85" s="187"/>
      <c r="AO85" s="187"/>
      <c r="AP85" s="187"/>
      <c r="AQ85" s="187"/>
      <c r="AR85" s="187"/>
      <c r="AS85" s="187"/>
      <c r="AT85" s="187"/>
      <c r="AU85" s="187"/>
      <c r="AV85" s="187"/>
      <c r="AW85" s="187"/>
      <c r="AX85" s="187"/>
      <c r="AY85" s="187"/>
      <c r="AZ85" s="187"/>
      <c r="BA85" s="187"/>
      <c r="BB85" s="187"/>
      <c r="BC85" s="187"/>
      <c r="BD85" s="187"/>
      <c r="BE85" s="187"/>
      <c r="BF85" s="187"/>
      <c r="BG85" s="187"/>
      <c r="BH85" s="187"/>
      <c r="BI85" s="187"/>
      <c r="BJ85" s="187"/>
      <c r="BK85" s="187"/>
      <c r="BL85" s="187"/>
      <c r="BM85" s="187"/>
      <c r="BN85" s="187"/>
      <c r="BO85" s="187"/>
      <c r="BP85" s="187"/>
      <c r="BQ85" s="187"/>
      <c r="BR85" s="187"/>
      <c r="BS85" s="187"/>
      <c r="BT85" s="187"/>
      <c r="BU85" s="187"/>
      <c r="BV85" s="187"/>
      <c r="BW85" s="187"/>
      <c r="BX85" s="187"/>
      <c r="BY85" s="187"/>
      <c r="BZ85" s="187"/>
      <c r="CA85" s="187"/>
      <c r="CB85" s="187"/>
      <c r="CC85" s="187"/>
      <c r="CD85" s="187"/>
      <c r="CE85" s="187"/>
      <c r="CF85" s="187"/>
      <c r="CG85" s="187"/>
      <c r="CH85" s="187"/>
      <c r="CI85" s="187"/>
      <c r="CJ85" s="187"/>
      <c r="CK85" s="187"/>
      <c r="CL85" s="187"/>
      <c r="CM85" s="187"/>
      <c r="CN85" s="187"/>
      <c r="CO85" s="187"/>
      <c r="CP85" s="187"/>
      <c r="CQ85" s="187"/>
      <c r="CR85" s="187"/>
      <c r="CS85" s="187"/>
      <c r="CT85" s="187"/>
      <c r="CU85" s="187"/>
      <c r="CV85" s="187"/>
      <c r="CW85" s="187"/>
      <c r="CX85" s="187"/>
      <c r="CY85" s="187"/>
      <c r="CZ85" s="187"/>
      <c r="DA85" s="187"/>
      <c r="DB85" s="187"/>
      <c r="DC85" s="187"/>
      <c r="DD85" s="187"/>
      <c r="DE85" s="187"/>
      <c r="DF85" s="187"/>
      <c r="DG85" s="187"/>
      <c r="DH85" s="187"/>
      <c r="DI85" s="187"/>
      <c r="DJ85" s="187"/>
      <c r="DK85" s="187"/>
      <c r="DL85" s="187"/>
      <c r="DM85" s="187"/>
      <c r="DN85" s="187"/>
      <c r="DO85" s="187"/>
      <c r="DP85" s="187"/>
      <c r="DQ85" s="187"/>
      <c r="DR85" s="187"/>
      <c r="DS85" s="187"/>
      <c r="DT85" s="187"/>
      <c r="DU85" s="187"/>
      <c r="DV85" s="187"/>
      <c r="DW85" s="187"/>
      <c r="DX85" s="187"/>
      <c r="DY85" s="187"/>
      <c r="DZ85" s="187"/>
      <c r="EA85" s="187"/>
      <c r="EB85" s="187"/>
      <c r="EC85" s="187"/>
      <c r="ED85" s="187"/>
      <c r="EE85" s="187"/>
      <c r="EF85" s="187"/>
      <c r="EG85" s="187"/>
      <c r="EH85" s="187"/>
      <c r="EI85" s="187"/>
      <c r="EJ85" s="187"/>
      <c r="EK85" s="187"/>
      <c r="EL85" s="187"/>
      <c r="EM85" s="187"/>
      <c r="EN85" s="187"/>
      <c r="EO85" s="187"/>
    </row>
    <row r="86" spans="1:145" ht="13.9" customHeight="1" x14ac:dyDescent="0.2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  <c r="AB86" s="187"/>
      <c r="AC86" s="187"/>
      <c r="AD86" s="187"/>
      <c r="AE86" s="187"/>
      <c r="AF86" s="187"/>
      <c r="AG86" s="187"/>
      <c r="AH86" s="187"/>
      <c r="AI86" s="187"/>
      <c r="AJ86" s="187"/>
      <c r="AK86" s="187"/>
      <c r="AL86" s="187"/>
      <c r="AM86" s="187"/>
      <c r="AN86" s="187"/>
      <c r="AO86" s="187"/>
      <c r="AP86" s="187"/>
      <c r="AQ86" s="187"/>
      <c r="AR86" s="187"/>
      <c r="AS86" s="187"/>
      <c r="AT86" s="187"/>
      <c r="AU86" s="187"/>
      <c r="AV86" s="187"/>
      <c r="AW86" s="187"/>
      <c r="AX86" s="187"/>
      <c r="AY86" s="187"/>
      <c r="AZ86" s="187"/>
      <c r="BA86" s="187"/>
      <c r="BB86" s="187"/>
      <c r="BC86" s="187"/>
      <c r="BD86" s="187"/>
      <c r="BE86" s="187"/>
      <c r="BF86" s="187"/>
      <c r="BG86" s="187"/>
      <c r="BH86" s="187"/>
      <c r="BI86" s="187"/>
      <c r="BJ86" s="187"/>
      <c r="BK86" s="187"/>
      <c r="BL86" s="187"/>
      <c r="BM86" s="187"/>
      <c r="BN86" s="187"/>
      <c r="BO86" s="187"/>
      <c r="BP86" s="187"/>
      <c r="BQ86" s="187"/>
      <c r="BR86" s="187"/>
      <c r="BS86" s="187"/>
      <c r="BT86" s="187"/>
      <c r="BU86" s="187"/>
      <c r="BV86" s="187"/>
      <c r="BW86" s="187"/>
      <c r="BX86" s="187"/>
      <c r="BY86" s="187"/>
      <c r="BZ86" s="187"/>
      <c r="CA86" s="187"/>
      <c r="CB86" s="187"/>
      <c r="CC86" s="187"/>
      <c r="CD86" s="187"/>
      <c r="CE86" s="187"/>
      <c r="CF86" s="187"/>
      <c r="CG86" s="187"/>
      <c r="CH86" s="187"/>
      <c r="CI86" s="187"/>
      <c r="CJ86" s="187"/>
      <c r="CK86" s="187"/>
      <c r="CL86" s="187"/>
      <c r="CM86" s="187"/>
      <c r="CN86" s="187"/>
      <c r="CO86" s="187"/>
      <c r="CP86" s="187"/>
      <c r="CQ86" s="187"/>
      <c r="CR86" s="187"/>
      <c r="CS86" s="187"/>
      <c r="CT86" s="187"/>
      <c r="CU86" s="187"/>
      <c r="CV86" s="187"/>
      <c r="CW86" s="187"/>
      <c r="CX86" s="187"/>
      <c r="CY86" s="187"/>
      <c r="CZ86" s="187"/>
      <c r="DA86" s="187"/>
      <c r="DB86" s="187"/>
      <c r="DC86" s="187"/>
      <c r="DD86" s="187"/>
      <c r="DE86" s="187"/>
      <c r="DF86" s="187"/>
      <c r="DG86" s="187"/>
      <c r="DH86" s="187"/>
      <c r="DI86" s="187"/>
      <c r="DJ86" s="187"/>
      <c r="DK86" s="187"/>
      <c r="DL86" s="187"/>
      <c r="DM86" s="187"/>
      <c r="DN86" s="187"/>
      <c r="DO86" s="187"/>
      <c r="DP86" s="187"/>
      <c r="DQ86" s="187"/>
      <c r="DR86" s="187"/>
      <c r="DS86" s="187"/>
      <c r="DT86" s="187"/>
      <c r="DU86" s="187"/>
      <c r="DV86" s="187"/>
      <c r="DW86" s="187"/>
      <c r="DX86" s="187"/>
      <c r="DY86" s="187"/>
      <c r="DZ86" s="187"/>
      <c r="EA86" s="187"/>
      <c r="EB86" s="187"/>
      <c r="EC86" s="187"/>
      <c r="ED86" s="187"/>
      <c r="EE86" s="187"/>
      <c r="EF86" s="187"/>
      <c r="EG86" s="187"/>
      <c r="EH86" s="187"/>
      <c r="EI86" s="187"/>
      <c r="EJ86" s="187"/>
      <c r="EK86" s="187"/>
      <c r="EL86" s="187"/>
      <c r="EM86" s="187"/>
      <c r="EN86" s="187"/>
      <c r="EO86" s="187"/>
    </row>
    <row r="87" spans="1:145" ht="13.9" customHeight="1" x14ac:dyDescent="0.2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  <c r="AB87" s="187"/>
      <c r="AC87" s="187"/>
      <c r="AD87" s="187"/>
      <c r="AE87" s="187"/>
      <c r="AF87" s="187"/>
      <c r="AG87" s="187"/>
      <c r="AH87" s="187"/>
      <c r="AI87" s="187"/>
      <c r="AJ87" s="187"/>
      <c r="AK87" s="187"/>
      <c r="AL87" s="187"/>
      <c r="AM87" s="187"/>
      <c r="AN87" s="187"/>
      <c r="AO87" s="187"/>
      <c r="AP87" s="187"/>
      <c r="AQ87" s="187"/>
      <c r="AR87" s="187"/>
      <c r="AS87" s="187"/>
      <c r="AT87" s="187"/>
      <c r="AU87" s="187"/>
      <c r="AV87" s="187"/>
      <c r="AW87" s="187"/>
      <c r="AX87" s="187"/>
      <c r="AY87" s="187"/>
      <c r="AZ87" s="187"/>
      <c r="BA87" s="187"/>
      <c r="BB87" s="187"/>
      <c r="BC87" s="187"/>
      <c r="BD87" s="187"/>
      <c r="BE87" s="187"/>
      <c r="BF87" s="187"/>
      <c r="BG87" s="187"/>
      <c r="BH87" s="187"/>
      <c r="BI87" s="187"/>
      <c r="BJ87" s="187"/>
      <c r="BK87" s="187"/>
      <c r="BL87" s="187"/>
      <c r="BM87" s="187"/>
      <c r="BN87" s="187"/>
      <c r="BO87" s="187"/>
      <c r="BP87" s="187"/>
      <c r="BQ87" s="187"/>
      <c r="BR87" s="187"/>
      <c r="BS87" s="187"/>
      <c r="BT87" s="187"/>
      <c r="BU87" s="187"/>
      <c r="BV87" s="187"/>
      <c r="BW87" s="187"/>
      <c r="BX87" s="187"/>
      <c r="BY87" s="187"/>
      <c r="BZ87" s="187"/>
      <c r="CA87" s="187"/>
      <c r="CB87" s="187"/>
      <c r="CC87" s="187"/>
      <c r="CD87" s="187"/>
      <c r="CE87" s="187"/>
      <c r="CF87" s="187"/>
      <c r="CG87" s="187"/>
      <c r="CH87" s="187"/>
      <c r="CI87" s="187"/>
      <c r="CJ87" s="187"/>
      <c r="CK87" s="187"/>
      <c r="CL87" s="187"/>
      <c r="CM87" s="187"/>
      <c r="CN87" s="187"/>
      <c r="CO87" s="187"/>
      <c r="CP87" s="187"/>
      <c r="CQ87" s="187"/>
      <c r="CR87" s="187"/>
      <c r="CS87" s="187"/>
      <c r="CT87" s="187"/>
      <c r="CU87" s="187"/>
      <c r="CV87" s="187"/>
      <c r="CW87" s="187"/>
      <c r="CX87" s="187"/>
      <c r="CY87" s="187"/>
      <c r="CZ87" s="187"/>
      <c r="DA87" s="187"/>
      <c r="DB87" s="187"/>
      <c r="DC87" s="187"/>
      <c r="DD87" s="187"/>
      <c r="DE87" s="187"/>
      <c r="DF87" s="187"/>
      <c r="DG87" s="187"/>
      <c r="DH87" s="187"/>
      <c r="DI87" s="187"/>
      <c r="DJ87" s="187"/>
      <c r="DK87" s="187"/>
      <c r="DL87" s="187"/>
      <c r="DM87" s="187"/>
      <c r="DN87" s="187"/>
      <c r="DO87" s="187"/>
      <c r="DP87" s="187"/>
      <c r="DQ87" s="187"/>
      <c r="DR87" s="187"/>
      <c r="DS87" s="187"/>
      <c r="DT87" s="187"/>
      <c r="DU87" s="187"/>
      <c r="DV87" s="187"/>
      <c r="DW87" s="187"/>
      <c r="DX87" s="187"/>
      <c r="DY87" s="187"/>
      <c r="DZ87" s="187"/>
      <c r="EA87" s="187"/>
      <c r="EB87" s="187"/>
      <c r="EC87" s="187"/>
      <c r="ED87" s="187"/>
      <c r="EE87" s="187"/>
      <c r="EF87" s="187"/>
      <c r="EG87" s="187"/>
      <c r="EH87" s="187"/>
      <c r="EI87" s="187"/>
      <c r="EJ87" s="187"/>
      <c r="EK87" s="187"/>
      <c r="EL87" s="187"/>
      <c r="EM87" s="187"/>
      <c r="EN87" s="187"/>
      <c r="EO87" s="187"/>
    </row>
    <row r="88" spans="1:145" ht="13.9" customHeight="1" x14ac:dyDescent="0.2">
      <c r="A88" s="830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87"/>
      <c r="AB88" s="187"/>
      <c r="AC88" s="187"/>
      <c r="AD88" s="187"/>
      <c r="AE88" s="187"/>
      <c r="AF88" s="187"/>
      <c r="AG88" s="187"/>
      <c r="AH88" s="187"/>
      <c r="AI88" s="187"/>
      <c r="AJ88" s="187"/>
      <c r="AK88" s="187"/>
      <c r="AL88" s="187"/>
      <c r="AM88" s="187"/>
      <c r="AN88" s="187"/>
      <c r="AO88" s="187"/>
      <c r="AP88" s="187"/>
      <c r="AQ88" s="187"/>
      <c r="AR88" s="187"/>
      <c r="AS88" s="187"/>
      <c r="AT88" s="187"/>
      <c r="AU88" s="187"/>
      <c r="AV88" s="187"/>
      <c r="AW88" s="187"/>
      <c r="AX88" s="187"/>
      <c r="AY88" s="187"/>
      <c r="AZ88" s="187"/>
      <c r="BA88" s="187"/>
      <c r="BB88" s="187"/>
      <c r="BC88" s="187"/>
      <c r="BD88" s="187"/>
      <c r="BE88" s="187"/>
      <c r="BF88" s="187"/>
      <c r="BG88" s="187"/>
      <c r="BH88" s="187"/>
      <c r="BI88" s="187"/>
      <c r="BJ88" s="187"/>
      <c r="BK88" s="187"/>
      <c r="BL88" s="187"/>
      <c r="BM88" s="187"/>
      <c r="BN88" s="187"/>
      <c r="BO88" s="187"/>
      <c r="BP88" s="187"/>
      <c r="BQ88" s="187"/>
      <c r="BR88" s="187"/>
      <c r="BS88" s="187"/>
      <c r="BT88" s="187"/>
      <c r="BU88" s="187"/>
      <c r="BV88" s="187"/>
      <c r="BW88" s="187"/>
      <c r="BX88" s="187"/>
      <c r="BY88" s="187"/>
      <c r="BZ88" s="187"/>
      <c r="CA88" s="187"/>
      <c r="CB88" s="187"/>
      <c r="CC88" s="187"/>
      <c r="CD88" s="187"/>
      <c r="CE88" s="187"/>
      <c r="CF88" s="187"/>
      <c r="CG88" s="187"/>
      <c r="CH88" s="187"/>
      <c r="CI88" s="187"/>
      <c r="CJ88" s="187"/>
      <c r="CK88" s="187"/>
      <c r="CL88" s="187"/>
      <c r="CM88" s="187"/>
      <c r="CN88" s="187"/>
      <c r="CO88" s="187"/>
      <c r="CP88" s="187"/>
      <c r="CQ88" s="187"/>
      <c r="CR88" s="187"/>
      <c r="CS88" s="187"/>
      <c r="CT88" s="187"/>
      <c r="CU88" s="187"/>
      <c r="CV88" s="187"/>
      <c r="CW88" s="187"/>
      <c r="CX88" s="187"/>
      <c r="CY88" s="187"/>
      <c r="CZ88" s="187"/>
      <c r="DA88" s="187"/>
      <c r="DB88" s="187"/>
      <c r="DC88" s="187"/>
      <c r="DD88" s="187"/>
      <c r="DE88" s="187"/>
      <c r="DF88" s="187"/>
      <c r="DG88" s="187"/>
      <c r="DH88" s="187"/>
      <c r="DI88" s="187"/>
      <c r="DJ88" s="187"/>
      <c r="DK88" s="187"/>
      <c r="DL88" s="187"/>
      <c r="DM88" s="187"/>
      <c r="DN88" s="187"/>
      <c r="DO88" s="187"/>
      <c r="DP88" s="187"/>
      <c r="DQ88" s="187"/>
      <c r="DR88" s="187"/>
      <c r="DS88" s="187"/>
      <c r="DT88" s="187"/>
      <c r="DU88" s="187"/>
      <c r="DV88" s="187"/>
      <c r="DW88" s="187"/>
      <c r="DX88" s="187"/>
      <c r="DY88" s="187"/>
      <c r="DZ88" s="187"/>
      <c r="EA88" s="187"/>
      <c r="EB88" s="187"/>
      <c r="EC88" s="187"/>
      <c r="ED88" s="187"/>
      <c r="EE88" s="187"/>
      <c r="EF88" s="187"/>
      <c r="EG88" s="187"/>
      <c r="EH88" s="187"/>
      <c r="EI88" s="187"/>
      <c r="EJ88" s="187"/>
      <c r="EK88" s="187"/>
      <c r="EL88" s="187"/>
      <c r="EM88" s="187"/>
      <c r="EN88" s="187"/>
      <c r="EO88" s="187"/>
    </row>
    <row r="89" spans="1:145" ht="13.9" customHeight="1" x14ac:dyDescent="0.2">
      <c r="A89" s="184" t="str">
        <f>A74</f>
        <v>SAN MARTÍN: SALDO DE CRÉDITOS DEL SISTEMA FINANCIERO</v>
      </c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  <c r="AB89" s="187"/>
      <c r="AC89" s="187"/>
      <c r="AD89" s="187"/>
      <c r="AE89" s="187"/>
      <c r="AF89" s="187"/>
      <c r="AG89" s="187"/>
      <c r="AH89" s="187"/>
      <c r="AI89" s="187"/>
      <c r="AJ89" s="187"/>
      <c r="AK89" s="187"/>
      <c r="AL89" s="187"/>
      <c r="AM89" s="187"/>
      <c r="AN89" s="187"/>
      <c r="AO89" s="187"/>
      <c r="AP89" s="187"/>
      <c r="AQ89" s="187"/>
      <c r="AR89" s="187"/>
      <c r="AS89" s="187"/>
      <c r="AT89" s="187"/>
      <c r="AU89" s="187"/>
      <c r="AV89" s="187"/>
      <c r="AW89" s="187"/>
      <c r="AX89" s="187"/>
      <c r="AY89" s="187"/>
      <c r="AZ89" s="187"/>
      <c r="BA89" s="187"/>
      <c r="BB89" s="187"/>
      <c r="BC89" s="187"/>
      <c r="BD89" s="187"/>
      <c r="BE89" s="187"/>
      <c r="BF89" s="187"/>
      <c r="BG89" s="187"/>
      <c r="BH89" s="187"/>
      <c r="BI89" s="187"/>
      <c r="BJ89" s="187"/>
      <c r="BK89" s="187"/>
      <c r="BL89" s="187"/>
      <c r="BM89" s="187"/>
      <c r="BN89" s="187"/>
      <c r="BO89" s="187"/>
      <c r="BP89" s="187"/>
      <c r="BQ89" s="187"/>
      <c r="BR89" s="187"/>
      <c r="BS89" s="187"/>
      <c r="BT89" s="187"/>
      <c r="BU89" s="187"/>
      <c r="BV89" s="187"/>
      <c r="BW89" s="187"/>
      <c r="BX89" s="187"/>
      <c r="BY89" s="187"/>
      <c r="BZ89" s="187"/>
      <c r="CA89" s="187"/>
      <c r="CB89" s="187"/>
      <c r="CC89" s="187"/>
      <c r="CD89" s="187"/>
      <c r="CE89" s="187"/>
      <c r="CF89" s="187"/>
      <c r="CG89" s="187"/>
      <c r="CH89" s="187"/>
      <c r="CI89" s="187"/>
      <c r="CJ89" s="187"/>
      <c r="CK89" s="187"/>
      <c r="CL89" s="187"/>
      <c r="CM89" s="187"/>
      <c r="CN89" s="187"/>
      <c r="CO89" s="187"/>
      <c r="CP89" s="187"/>
      <c r="CQ89" s="187"/>
      <c r="CR89" s="187"/>
      <c r="CS89" s="187"/>
      <c r="CT89" s="187"/>
      <c r="CU89" s="187"/>
      <c r="CV89" s="187"/>
      <c r="CW89" s="187"/>
      <c r="CX89" s="187"/>
      <c r="CY89" s="187"/>
      <c r="CZ89" s="187"/>
      <c r="DA89" s="187"/>
      <c r="DB89" s="187"/>
      <c r="DC89" s="187"/>
      <c r="DD89" s="187"/>
      <c r="DE89" s="187"/>
      <c r="DF89" s="187"/>
      <c r="DG89" s="187"/>
      <c r="DH89" s="187"/>
      <c r="DI89" s="187"/>
      <c r="DJ89" s="187"/>
      <c r="DK89" s="187"/>
      <c r="DL89" s="187"/>
      <c r="DM89" s="187"/>
      <c r="DN89" s="187"/>
      <c r="DO89" s="187"/>
      <c r="DP89" s="187"/>
      <c r="DQ89" s="187"/>
      <c r="DR89" s="187"/>
      <c r="DS89" s="187"/>
      <c r="DT89" s="187"/>
      <c r="DU89" s="187"/>
      <c r="DV89" s="187"/>
      <c r="DW89" s="187"/>
      <c r="DX89" s="187"/>
      <c r="DY89" s="187"/>
      <c r="DZ89" s="187"/>
      <c r="EA89" s="187"/>
      <c r="EB89" s="187"/>
      <c r="EC89" s="187"/>
      <c r="ED89" s="187"/>
      <c r="EE89" s="187"/>
      <c r="EF89" s="187"/>
      <c r="EG89" s="187"/>
      <c r="EH89" s="187"/>
      <c r="EI89" s="187"/>
      <c r="EJ89" s="187"/>
      <c r="EK89" s="187"/>
      <c r="EL89" s="187"/>
      <c r="EM89" s="187"/>
      <c r="EN89" s="187"/>
      <c r="EO89" s="187"/>
    </row>
    <row r="90" spans="1:145" ht="13.9" customHeight="1" x14ac:dyDescent="0.2">
      <c r="A90" s="830" t="s">
        <v>206</v>
      </c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  <c r="AE90" s="187"/>
      <c r="AF90" s="187"/>
      <c r="AG90" s="187"/>
      <c r="AH90" s="187"/>
      <c r="AI90" s="187"/>
      <c r="AJ90" s="187"/>
      <c r="AK90" s="187"/>
      <c r="AL90" s="187"/>
      <c r="AM90" s="187"/>
      <c r="AN90" s="187"/>
      <c r="AO90" s="187"/>
      <c r="AP90" s="187"/>
      <c r="AQ90" s="187"/>
      <c r="AR90" s="187"/>
      <c r="AS90" s="187"/>
      <c r="AT90" s="187"/>
      <c r="AU90" s="187"/>
      <c r="AV90" s="187"/>
      <c r="AW90" s="187"/>
      <c r="AX90" s="187"/>
      <c r="AY90" s="187"/>
      <c r="AZ90" s="187"/>
      <c r="BA90" s="187"/>
      <c r="BB90" s="187"/>
      <c r="BC90" s="187"/>
      <c r="BD90" s="187"/>
      <c r="BE90" s="187"/>
      <c r="BF90" s="187"/>
      <c r="BG90" s="187"/>
      <c r="BH90" s="187"/>
      <c r="BI90" s="187"/>
      <c r="BJ90" s="187"/>
      <c r="BK90" s="187"/>
      <c r="BL90" s="187"/>
      <c r="BM90" s="187"/>
      <c r="BN90" s="187"/>
      <c r="BO90" s="187"/>
      <c r="BP90" s="187"/>
      <c r="BQ90" s="187"/>
      <c r="BR90" s="187"/>
      <c r="BS90" s="187"/>
      <c r="BT90" s="187"/>
      <c r="BU90" s="187"/>
      <c r="BV90" s="187"/>
      <c r="BW90" s="187"/>
      <c r="BX90" s="187"/>
      <c r="BY90" s="187"/>
      <c r="BZ90" s="187"/>
      <c r="CA90" s="187"/>
      <c r="CB90" s="187"/>
      <c r="CC90" s="187"/>
      <c r="CD90" s="187"/>
      <c r="CE90" s="187"/>
      <c r="CF90" s="187"/>
      <c r="CG90" s="187"/>
      <c r="CH90" s="187"/>
      <c r="CI90" s="187"/>
      <c r="CJ90" s="187"/>
      <c r="CK90" s="187"/>
      <c r="CL90" s="187"/>
      <c r="CM90" s="187"/>
      <c r="CN90" s="187"/>
      <c r="CO90" s="187"/>
      <c r="CP90" s="187"/>
      <c r="CQ90" s="187"/>
      <c r="CR90" s="187"/>
      <c r="CS90" s="187"/>
      <c r="CT90" s="187"/>
      <c r="CU90" s="187"/>
      <c r="CV90" s="187"/>
      <c r="CW90" s="187"/>
      <c r="CX90" s="187"/>
      <c r="CY90" s="187"/>
      <c r="CZ90" s="187"/>
      <c r="DA90" s="187"/>
      <c r="DB90" s="187"/>
      <c r="DC90" s="187"/>
      <c r="DD90" s="187"/>
      <c r="DE90" s="187"/>
      <c r="DF90" s="187"/>
      <c r="DG90" s="187"/>
      <c r="DH90" s="187"/>
      <c r="DI90" s="187"/>
      <c r="DJ90" s="187"/>
      <c r="DK90" s="187"/>
      <c r="DL90" s="187"/>
      <c r="DM90" s="187"/>
      <c r="DN90" s="187"/>
      <c r="DO90" s="187"/>
      <c r="DP90" s="187"/>
      <c r="DQ90" s="187"/>
      <c r="DR90" s="187"/>
      <c r="DS90" s="187"/>
      <c r="DT90" s="187"/>
      <c r="DU90" s="187"/>
      <c r="DV90" s="187"/>
      <c r="DW90" s="187"/>
      <c r="DX90" s="187"/>
      <c r="DY90" s="187"/>
      <c r="DZ90" s="187"/>
      <c r="EA90" s="187"/>
      <c r="EB90" s="187"/>
      <c r="EC90" s="187"/>
      <c r="ED90" s="187"/>
      <c r="EE90" s="187"/>
      <c r="EF90" s="187"/>
      <c r="EG90" s="187"/>
      <c r="EH90" s="187"/>
      <c r="EI90" s="187"/>
      <c r="EJ90" s="187"/>
      <c r="EK90" s="187"/>
      <c r="EL90" s="187"/>
      <c r="EM90" s="187"/>
      <c r="EN90" s="187"/>
      <c r="EO90" s="187"/>
    </row>
    <row r="91" spans="1:145" ht="13.9" customHeight="1" x14ac:dyDescent="0.2">
      <c r="A91" s="849"/>
      <c r="B91" s="842">
        <v>2009</v>
      </c>
      <c r="C91" s="840"/>
      <c r="D91" s="840"/>
      <c r="E91" s="840"/>
      <c r="F91" s="840"/>
      <c r="G91" s="840"/>
      <c r="H91" s="840"/>
      <c r="I91" s="840"/>
      <c r="J91" s="840"/>
      <c r="K91" s="840"/>
      <c r="L91" s="840"/>
      <c r="M91" s="841"/>
      <c r="N91" s="842"/>
      <c r="O91" s="840"/>
      <c r="P91" s="840"/>
      <c r="Q91" s="840"/>
      <c r="R91" s="840"/>
      <c r="S91" s="840"/>
      <c r="T91" s="840"/>
      <c r="U91" s="840"/>
      <c r="V91" s="840"/>
      <c r="W91" s="840">
        <v>2010</v>
      </c>
      <c r="X91" s="840">
        <v>2010</v>
      </c>
      <c r="Y91" s="841">
        <v>2011</v>
      </c>
      <c r="Z91" s="842"/>
      <c r="AA91" s="840"/>
      <c r="AB91" s="840"/>
      <c r="AC91" s="840"/>
      <c r="AD91" s="840"/>
      <c r="AE91" s="840"/>
      <c r="AF91" s="840"/>
      <c r="AG91" s="840"/>
      <c r="AH91" s="840"/>
      <c r="AI91" s="840"/>
      <c r="AJ91" s="840"/>
      <c r="AK91" s="841">
        <v>2011</v>
      </c>
      <c r="AL91" s="842"/>
      <c r="AM91" s="840"/>
      <c r="AN91" s="840"/>
      <c r="AO91" s="840"/>
      <c r="AP91" s="840"/>
      <c r="AQ91" s="840"/>
      <c r="AR91" s="840"/>
      <c r="AS91" s="840"/>
      <c r="AT91" s="840"/>
      <c r="AU91" s="840"/>
      <c r="AV91" s="840"/>
      <c r="AW91" s="841">
        <v>2012</v>
      </c>
      <c r="AX91" s="842">
        <v>2013</v>
      </c>
      <c r="AY91" s="840"/>
      <c r="AZ91" s="840"/>
      <c r="BA91" s="840"/>
      <c r="BB91" s="840"/>
      <c r="BC91" s="840"/>
      <c r="BD91" s="840"/>
      <c r="BE91" s="840"/>
      <c r="BF91" s="840"/>
      <c r="BG91" s="840"/>
      <c r="BH91" s="840"/>
      <c r="BI91" s="841"/>
      <c r="BJ91" s="842">
        <v>2014</v>
      </c>
      <c r="BK91" s="840"/>
      <c r="BL91" s="840"/>
      <c r="BM91" s="840"/>
      <c r="BN91" s="840"/>
      <c r="BO91" s="840"/>
      <c r="BP91" s="840"/>
      <c r="BQ91" s="840"/>
      <c r="BR91" s="840"/>
      <c r="BS91" s="840"/>
      <c r="BT91" s="840"/>
      <c r="BU91" s="841"/>
      <c r="BV91" s="842">
        <v>2015</v>
      </c>
      <c r="BW91" s="840"/>
      <c r="BX91" s="840"/>
      <c r="BY91" s="840"/>
      <c r="BZ91" s="840"/>
      <c r="CA91" s="840"/>
      <c r="CB91" s="840"/>
      <c r="CC91" s="840"/>
      <c r="CD91" s="840"/>
      <c r="CE91" s="840"/>
      <c r="CF91" s="840"/>
      <c r="CG91" s="841"/>
      <c r="CH91" s="831">
        <v>2016</v>
      </c>
      <c r="CI91" s="832"/>
      <c r="CJ91" s="832"/>
      <c r="CK91" s="832"/>
      <c r="CL91" s="832"/>
      <c r="CM91" s="832"/>
      <c r="CN91" s="832"/>
      <c r="CO91" s="832"/>
      <c r="CP91" s="832"/>
      <c r="CQ91" s="832"/>
      <c r="CR91" s="832"/>
      <c r="CS91" s="832"/>
      <c r="CT91" s="831">
        <v>2017</v>
      </c>
      <c r="CU91" s="832"/>
      <c r="CV91" s="832"/>
      <c r="CW91" s="832"/>
      <c r="CX91" s="832"/>
      <c r="CY91" s="832"/>
      <c r="CZ91" s="832"/>
      <c r="DA91" s="832"/>
      <c r="DB91" s="832"/>
      <c r="DC91" s="832"/>
      <c r="DD91" s="832"/>
      <c r="DE91" s="832"/>
      <c r="DF91" s="842">
        <v>2018</v>
      </c>
      <c r="DG91" s="840"/>
      <c r="DH91" s="840"/>
      <c r="DI91" s="840"/>
      <c r="DJ91" s="840"/>
      <c r="DK91" s="840"/>
      <c r="DL91" s="840"/>
      <c r="DM91" s="840"/>
      <c r="DN91" s="840"/>
      <c r="DO91" s="840"/>
      <c r="DP91" s="840"/>
      <c r="DQ91" s="840"/>
      <c r="DR91" s="842">
        <v>2019</v>
      </c>
      <c r="DS91" s="840"/>
      <c r="DT91" s="840"/>
      <c r="DU91" s="840"/>
      <c r="DV91" s="840"/>
      <c r="DW91" s="840"/>
      <c r="DX91" s="840"/>
      <c r="DY91" s="840"/>
      <c r="DZ91" s="840"/>
      <c r="EA91" s="840"/>
      <c r="EB91" s="840"/>
      <c r="EC91" s="841"/>
      <c r="ED91" s="833"/>
      <c r="EE91" s="834"/>
      <c r="EF91" s="834"/>
      <c r="EG91" s="834"/>
      <c r="EH91" s="834"/>
      <c r="EI91" s="834"/>
      <c r="EJ91" s="834"/>
      <c r="EK91" s="834"/>
      <c r="EL91" s="834"/>
      <c r="EM91" s="834"/>
      <c r="EN91" s="834"/>
      <c r="EO91" s="834"/>
    </row>
    <row r="92" spans="1:145" ht="13.9" customHeight="1" x14ac:dyDescent="0.2">
      <c r="A92" s="866"/>
      <c r="B92" s="848" t="s">
        <v>0</v>
      </c>
      <c r="C92" s="846" t="s">
        <v>1</v>
      </c>
      <c r="D92" s="846" t="s">
        <v>2</v>
      </c>
      <c r="E92" s="846" t="s">
        <v>3</v>
      </c>
      <c r="F92" s="846" t="s">
        <v>208</v>
      </c>
      <c r="G92" s="846" t="s">
        <v>209</v>
      </c>
      <c r="H92" s="846" t="s">
        <v>6</v>
      </c>
      <c r="I92" s="846" t="s">
        <v>7</v>
      </c>
      <c r="J92" s="846" t="s">
        <v>8</v>
      </c>
      <c r="K92" s="846" t="s">
        <v>212</v>
      </c>
      <c r="L92" s="846" t="s">
        <v>213</v>
      </c>
      <c r="M92" s="847" t="s">
        <v>214</v>
      </c>
      <c r="N92" s="848" t="s">
        <v>0</v>
      </c>
      <c r="O92" s="846" t="s">
        <v>1</v>
      </c>
      <c r="P92" s="846" t="s">
        <v>2</v>
      </c>
      <c r="Q92" s="846" t="s">
        <v>3</v>
      </c>
      <c r="R92" s="846" t="s">
        <v>4</v>
      </c>
      <c r="S92" s="846" t="s">
        <v>5</v>
      </c>
      <c r="T92" s="846" t="s">
        <v>6</v>
      </c>
      <c r="U92" s="846" t="s">
        <v>7</v>
      </c>
      <c r="V92" s="846" t="s">
        <v>8</v>
      </c>
      <c r="W92" s="846" t="s">
        <v>9</v>
      </c>
      <c r="X92" s="846" t="s">
        <v>10</v>
      </c>
      <c r="Y92" s="847" t="s">
        <v>11</v>
      </c>
      <c r="Z92" s="848" t="s">
        <v>0</v>
      </c>
      <c r="AA92" s="846" t="s">
        <v>1</v>
      </c>
      <c r="AB92" s="846" t="s">
        <v>2</v>
      </c>
      <c r="AC92" s="846" t="s">
        <v>3</v>
      </c>
      <c r="AD92" s="846" t="s">
        <v>4</v>
      </c>
      <c r="AE92" s="846" t="s">
        <v>5</v>
      </c>
      <c r="AF92" s="846" t="s">
        <v>6</v>
      </c>
      <c r="AG92" s="846" t="s">
        <v>7</v>
      </c>
      <c r="AH92" s="846" t="s">
        <v>8</v>
      </c>
      <c r="AI92" s="846" t="s">
        <v>9</v>
      </c>
      <c r="AJ92" s="846" t="s">
        <v>10</v>
      </c>
      <c r="AK92" s="847" t="s">
        <v>11</v>
      </c>
      <c r="AL92" s="848" t="s">
        <v>0</v>
      </c>
      <c r="AM92" s="846" t="s">
        <v>1</v>
      </c>
      <c r="AN92" s="846" t="s">
        <v>2</v>
      </c>
      <c r="AO92" s="846" t="s">
        <v>3</v>
      </c>
      <c r="AP92" s="846" t="s">
        <v>4</v>
      </c>
      <c r="AQ92" s="846" t="s">
        <v>5</v>
      </c>
      <c r="AR92" s="846" t="s">
        <v>6</v>
      </c>
      <c r="AS92" s="846" t="s">
        <v>7</v>
      </c>
      <c r="AT92" s="846" t="s">
        <v>8</v>
      </c>
      <c r="AU92" s="846" t="s">
        <v>9</v>
      </c>
      <c r="AV92" s="846" t="s">
        <v>10</v>
      </c>
      <c r="AW92" s="846" t="s">
        <v>11</v>
      </c>
      <c r="AX92" s="848" t="s">
        <v>0</v>
      </c>
      <c r="AY92" s="846" t="s">
        <v>1</v>
      </c>
      <c r="AZ92" s="846" t="s">
        <v>2</v>
      </c>
      <c r="BA92" s="846" t="s">
        <v>3</v>
      </c>
      <c r="BB92" s="846" t="s">
        <v>4</v>
      </c>
      <c r="BC92" s="846" t="s">
        <v>5</v>
      </c>
      <c r="BD92" s="846" t="s">
        <v>6</v>
      </c>
      <c r="BE92" s="846" t="s">
        <v>7</v>
      </c>
      <c r="BF92" s="846" t="s">
        <v>234</v>
      </c>
      <c r="BG92" s="846" t="s">
        <v>9</v>
      </c>
      <c r="BH92" s="846" t="s">
        <v>10</v>
      </c>
      <c r="BI92" s="847" t="s">
        <v>11</v>
      </c>
      <c r="BJ92" s="848" t="s">
        <v>0</v>
      </c>
      <c r="BK92" s="846" t="s">
        <v>1</v>
      </c>
      <c r="BL92" s="846" t="s">
        <v>2</v>
      </c>
      <c r="BM92" s="846" t="s">
        <v>3</v>
      </c>
      <c r="BN92" s="846" t="s">
        <v>4</v>
      </c>
      <c r="BO92" s="846" t="s">
        <v>5</v>
      </c>
      <c r="BP92" s="846" t="s">
        <v>6</v>
      </c>
      <c r="BQ92" s="846" t="s">
        <v>7</v>
      </c>
      <c r="BR92" s="968" t="s">
        <v>8</v>
      </c>
      <c r="BS92" s="846" t="s">
        <v>9</v>
      </c>
      <c r="BT92" s="846" t="s">
        <v>10</v>
      </c>
      <c r="BU92" s="847" t="s">
        <v>11</v>
      </c>
      <c r="BV92" s="969" t="s">
        <v>0</v>
      </c>
      <c r="BW92" s="970" t="s">
        <v>1</v>
      </c>
      <c r="BX92" s="970" t="s">
        <v>2</v>
      </c>
      <c r="BY92" s="970" t="s">
        <v>3</v>
      </c>
      <c r="BZ92" s="970" t="s">
        <v>4</v>
      </c>
      <c r="CA92" s="970" t="s">
        <v>5</v>
      </c>
      <c r="CB92" s="970" t="s">
        <v>6</v>
      </c>
      <c r="CC92" s="970" t="s">
        <v>7</v>
      </c>
      <c r="CD92" s="970" t="s">
        <v>8</v>
      </c>
      <c r="CE92" s="970" t="s">
        <v>9</v>
      </c>
      <c r="CF92" s="970" t="s">
        <v>10</v>
      </c>
      <c r="CG92" s="971" t="s">
        <v>190</v>
      </c>
      <c r="CH92" s="969" t="s">
        <v>0</v>
      </c>
      <c r="CI92" s="970" t="s">
        <v>1</v>
      </c>
      <c r="CJ92" s="970" t="s">
        <v>2</v>
      </c>
      <c r="CK92" s="970" t="s">
        <v>3</v>
      </c>
      <c r="CL92" s="970" t="s">
        <v>4</v>
      </c>
      <c r="CM92" s="970" t="s">
        <v>5</v>
      </c>
      <c r="CN92" s="970" t="s">
        <v>6</v>
      </c>
      <c r="CO92" s="970" t="s">
        <v>7</v>
      </c>
      <c r="CP92" s="970" t="s">
        <v>8</v>
      </c>
      <c r="CQ92" s="970" t="s">
        <v>9</v>
      </c>
      <c r="CR92" s="970" t="s">
        <v>10</v>
      </c>
      <c r="CS92" s="970" t="s">
        <v>11</v>
      </c>
      <c r="CT92" s="969" t="s">
        <v>0</v>
      </c>
      <c r="CU92" s="970" t="s">
        <v>1</v>
      </c>
      <c r="CV92" s="970" t="s">
        <v>2</v>
      </c>
      <c r="CW92" s="970" t="s">
        <v>3</v>
      </c>
      <c r="CX92" s="970" t="s">
        <v>4</v>
      </c>
      <c r="CY92" s="970" t="s">
        <v>5</v>
      </c>
      <c r="CZ92" s="970" t="s">
        <v>6</v>
      </c>
      <c r="DA92" s="970" t="s">
        <v>7</v>
      </c>
      <c r="DB92" s="970" t="s">
        <v>8</v>
      </c>
      <c r="DC92" s="970" t="s">
        <v>9</v>
      </c>
      <c r="DD92" s="970" t="s">
        <v>10</v>
      </c>
      <c r="DE92" s="970" t="s">
        <v>11</v>
      </c>
      <c r="DF92" s="969" t="s">
        <v>0</v>
      </c>
      <c r="DG92" s="970" t="s">
        <v>1</v>
      </c>
      <c r="DH92" s="970" t="s">
        <v>2</v>
      </c>
      <c r="DI92" s="970" t="s">
        <v>3</v>
      </c>
      <c r="DJ92" s="970" t="s">
        <v>4</v>
      </c>
      <c r="DK92" s="970" t="s">
        <v>5</v>
      </c>
      <c r="DL92" s="970" t="s">
        <v>6</v>
      </c>
      <c r="DM92" s="970" t="s">
        <v>7</v>
      </c>
      <c r="DN92" s="970" t="s">
        <v>8</v>
      </c>
      <c r="DO92" s="970" t="s">
        <v>9</v>
      </c>
      <c r="DP92" s="970" t="s">
        <v>10</v>
      </c>
      <c r="DQ92" s="970" t="s">
        <v>11</v>
      </c>
      <c r="DR92" s="969" t="s">
        <v>0</v>
      </c>
      <c r="DS92" s="970" t="s">
        <v>1</v>
      </c>
      <c r="DT92" s="970" t="s">
        <v>2</v>
      </c>
      <c r="DU92" s="970" t="s">
        <v>3</v>
      </c>
      <c r="DV92" s="970" t="s">
        <v>4</v>
      </c>
      <c r="DW92" s="970" t="s">
        <v>5</v>
      </c>
      <c r="DX92" s="970" t="s">
        <v>6</v>
      </c>
      <c r="DY92" s="970" t="s">
        <v>7</v>
      </c>
      <c r="DZ92" s="970" t="s">
        <v>234</v>
      </c>
      <c r="EA92" s="970" t="s">
        <v>9</v>
      </c>
      <c r="EB92" s="970" t="s">
        <v>10</v>
      </c>
      <c r="EC92" s="971" t="s">
        <v>11</v>
      </c>
      <c r="ED92" s="972" t="s">
        <v>0</v>
      </c>
      <c r="EE92" s="973"/>
      <c r="EF92" s="973"/>
      <c r="EG92" s="973"/>
      <c r="EH92" s="973"/>
      <c r="EI92" s="973"/>
      <c r="EJ92" s="973"/>
      <c r="EK92" s="973"/>
      <c r="EL92" s="973"/>
      <c r="EM92" s="973"/>
      <c r="EN92" s="973"/>
      <c r="EO92" s="973"/>
    </row>
    <row r="93" spans="1:145" ht="13.9" customHeight="1" x14ac:dyDescent="0.2">
      <c r="A93" s="849"/>
      <c r="B93" s="850"/>
      <c r="C93" s="82"/>
      <c r="D93" s="82"/>
      <c r="E93" s="82"/>
      <c r="F93" s="82"/>
      <c r="G93" s="82"/>
      <c r="H93" s="82"/>
      <c r="I93" s="82"/>
      <c r="J93" s="851"/>
      <c r="K93" s="851"/>
      <c r="L93" s="851"/>
      <c r="M93" s="852"/>
      <c r="N93" s="82"/>
      <c r="O93" s="82"/>
      <c r="P93" s="82"/>
      <c r="Q93" s="851"/>
      <c r="R93" s="851"/>
      <c r="S93" s="82"/>
      <c r="T93" s="82"/>
      <c r="U93" s="82"/>
      <c r="V93" s="82"/>
      <c r="W93" s="82"/>
      <c r="X93" s="82"/>
      <c r="Y93" s="296"/>
      <c r="Z93" s="850"/>
      <c r="AA93" s="82"/>
      <c r="AB93" s="82"/>
      <c r="AC93" s="82"/>
      <c r="AD93" s="82"/>
      <c r="AE93" s="82"/>
      <c r="AF93" s="82"/>
      <c r="AG93" s="82"/>
      <c r="AH93" s="82"/>
      <c r="AI93" s="851"/>
      <c r="AJ93" s="851"/>
      <c r="AK93" s="852"/>
      <c r="AL93" s="850"/>
      <c r="AM93" s="82"/>
      <c r="AN93" s="851"/>
      <c r="AO93" s="851"/>
      <c r="AP93" s="851"/>
      <c r="AQ93" s="851"/>
      <c r="AR93" s="82"/>
      <c r="AS93" s="82"/>
      <c r="AT93" s="82"/>
      <c r="AU93" s="82"/>
      <c r="AV93" s="82"/>
      <c r="AW93" s="851"/>
      <c r="AX93" s="850"/>
      <c r="AY93" s="82"/>
      <c r="AZ93" s="82"/>
      <c r="BA93" s="82"/>
      <c r="BB93" s="851"/>
      <c r="BC93" s="82"/>
      <c r="BD93" s="82"/>
      <c r="BE93" s="82"/>
      <c r="BF93" s="82"/>
      <c r="BG93" s="82"/>
      <c r="BH93" s="82"/>
      <c r="BI93" s="296"/>
      <c r="BJ93" s="853"/>
      <c r="BK93" s="851"/>
      <c r="BL93" s="851"/>
      <c r="BM93" s="851"/>
      <c r="BN93" s="82"/>
      <c r="BO93" s="851"/>
      <c r="BP93" s="851"/>
      <c r="BQ93" s="851"/>
      <c r="BR93" s="851"/>
      <c r="BS93" s="851"/>
      <c r="BT93" s="82"/>
      <c r="BU93" s="852"/>
      <c r="BV93" s="850"/>
      <c r="BW93" s="82"/>
      <c r="BX93" s="82"/>
      <c r="BY93" s="82"/>
      <c r="BZ93" s="82"/>
      <c r="CA93" s="82"/>
      <c r="CB93" s="82"/>
      <c r="CC93" s="82"/>
      <c r="CD93" s="82"/>
      <c r="CE93" s="82"/>
      <c r="CF93" s="851"/>
      <c r="CG93" s="852"/>
      <c r="CH93" s="850"/>
      <c r="CI93" s="851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850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53"/>
      <c r="DG93" s="851"/>
      <c r="DH93" s="851"/>
      <c r="DI93" s="851"/>
      <c r="DJ93" s="851"/>
      <c r="DK93" s="851"/>
      <c r="DL93" s="851"/>
      <c r="DM93" s="851"/>
      <c r="DN93" s="851"/>
      <c r="DO93" s="851"/>
      <c r="DP93" s="851"/>
      <c r="DQ93" s="851"/>
      <c r="DR93" s="850"/>
      <c r="DS93" s="82"/>
      <c r="DT93" s="82"/>
      <c r="DU93" s="82"/>
      <c r="DV93" s="82"/>
      <c r="DW93" s="82"/>
      <c r="DX93" s="82"/>
      <c r="DY93" s="82"/>
      <c r="DZ93" s="82"/>
      <c r="EA93" s="82"/>
      <c r="EB93" s="82"/>
      <c r="EC93" s="296"/>
      <c r="ED93" s="215"/>
      <c r="EE93" s="82"/>
      <c r="EF93" s="82"/>
      <c r="EG93" s="82"/>
      <c r="EH93" s="82"/>
      <c r="EI93" s="82"/>
      <c r="EJ93" s="82"/>
      <c r="EK93" s="82"/>
      <c r="EL93" s="82"/>
      <c r="EM93" s="82"/>
      <c r="EN93" s="82"/>
      <c r="EO93" s="82"/>
    </row>
    <row r="94" spans="1:145" ht="13.9" customHeight="1" x14ac:dyDescent="0.2">
      <c r="A94" s="854" t="s">
        <v>202</v>
      </c>
      <c r="B94" s="855"/>
      <c r="C94" s="855"/>
      <c r="D94" s="855"/>
      <c r="E94" s="855"/>
      <c r="F94" s="855"/>
      <c r="G94" s="855"/>
      <c r="H94" s="855"/>
      <c r="I94" s="855"/>
      <c r="J94" s="855"/>
      <c r="K94" s="855"/>
      <c r="L94" s="855"/>
      <c r="M94" s="856"/>
      <c r="N94" s="855">
        <f t="shared" ref="N94:BY94" si="55">((N81/B81)-1)*100</f>
        <v>16.755177856345838</v>
      </c>
      <c r="O94" s="855">
        <f t="shared" si="55"/>
        <v>14.4242690243215</v>
      </c>
      <c r="P94" s="855">
        <f t="shared" si="55"/>
        <v>14.055460802597896</v>
      </c>
      <c r="Q94" s="855">
        <f t="shared" si="55"/>
        <v>13.333903333535545</v>
      </c>
      <c r="R94" s="855">
        <f t="shared" si="55"/>
        <v>11.746233116469984</v>
      </c>
      <c r="S94" s="855">
        <f t="shared" si="55"/>
        <v>12.306301217039927</v>
      </c>
      <c r="T94" s="855">
        <f t="shared" si="55"/>
        <v>12.390841529611496</v>
      </c>
      <c r="U94" s="855">
        <f t="shared" si="55"/>
        <v>13.984180252278655</v>
      </c>
      <c r="V94" s="855">
        <f t="shared" si="55"/>
        <v>14.628071467525583</v>
      </c>
      <c r="W94" s="855">
        <f t="shared" si="55"/>
        <v>15.41489591563443</v>
      </c>
      <c r="X94" s="855">
        <f t="shared" si="55"/>
        <v>16.195720622006029</v>
      </c>
      <c r="Y94" s="856">
        <f t="shared" si="55"/>
        <v>17.56996196944236</v>
      </c>
      <c r="Z94" s="857">
        <f t="shared" si="55"/>
        <v>30.265355807215034</v>
      </c>
      <c r="AA94" s="855">
        <f t="shared" si="55"/>
        <v>31.779345001667146</v>
      </c>
      <c r="AB94" s="855">
        <f t="shared" si="55"/>
        <v>33.710104790398134</v>
      </c>
      <c r="AC94" s="855">
        <f t="shared" si="55"/>
        <v>34.172825905142012</v>
      </c>
      <c r="AD94" s="855">
        <f t="shared" si="55"/>
        <v>37.502616396761738</v>
      </c>
      <c r="AE94" s="855">
        <f t="shared" si="55"/>
        <v>37.810340345602533</v>
      </c>
      <c r="AF94" s="855">
        <f t="shared" si="55"/>
        <v>36.272709119391109</v>
      </c>
      <c r="AG94" s="855">
        <f t="shared" si="55"/>
        <v>35.427427919871413</v>
      </c>
      <c r="AH94" s="855">
        <f t="shared" si="55"/>
        <v>35.914667862370628</v>
      </c>
      <c r="AI94" s="855">
        <f t="shared" si="55"/>
        <v>35.682320468739448</v>
      </c>
      <c r="AJ94" s="855">
        <f t="shared" si="55"/>
        <v>35.408228458071719</v>
      </c>
      <c r="AK94" s="856">
        <f t="shared" si="55"/>
        <v>35.664953137522851</v>
      </c>
      <c r="AL94" s="857">
        <f t="shared" si="55"/>
        <v>23.856791920989085</v>
      </c>
      <c r="AM94" s="855">
        <f t="shared" si="55"/>
        <v>23.637318528978145</v>
      </c>
      <c r="AN94" s="855">
        <f t="shared" si="55"/>
        <v>23.938748481328421</v>
      </c>
      <c r="AO94" s="855">
        <f t="shared" si="55"/>
        <v>24.149919948554064</v>
      </c>
      <c r="AP94" s="855">
        <f t="shared" si="55"/>
        <v>22.276526652750196</v>
      </c>
      <c r="AQ94" s="855">
        <f t="shared" si="55"/>
        <v>21.684993218598247</v>
      </c>
      <c r="AR94" s="855">
        <f t="shared" si="55"/>
        <v>21.901963255644642</v>
      </c>
      <c r="AS94" s="855">
        <f t="shared" si="55"/>
        <v>22.141279946331615</v>
      </c>
      <c r="AT94" s="855">
        <f t="shared" si="55"/>
        <v>20.809728984346521</v>
      </c>
      <c r="AU94" s="855">
        <f t="shared" si="55"/>
        <v>20.107385273056334</v>
      </c>
      <c r="AV94" s="855">
        <f t="shared" si="55"/>
        <v>19.471963174785166</v>
      </c>
      <c r="AW94" s="855">
        <f t="shared" si="55"/>
        <v>18.262574159321908</v>
      </c>
      <c r="AX94" s="857">
        <f t="shared" si="55"/>
        <v>16.565102054891014</v>
      </c>
      <c r="AY94" s="855">
        <f t="shared" si="55"/>
        <v>14.154778743970331</v>
      </c>
      <c r="AZ94" s="855">
        <f t="shared" si="55"/>
        <v>12.617246525210902</v>
      </c>
      <c r="BA94" s="855">
        <f t="shared" si="55"/>
        <v>12.202318097889275</v>
      </c>
      <c r="BB94" s="855">
        <f t="shared" si="55"/>
        <v>11.577804545959847</v>
      </c>
      <c r="BC94" s="855">
        <f t="shared" si="55"/>
        <v>10.45973518108072</v>
      </c>
      <c r="BD94" s="855">
        <f t="shared" si="55"/>
        <v>9.3165136148253289</v>
      </c>
      <c r="BE94" s="855">
        <f t="shared" si="55"/>
        <v>8.0566089077786387</v>
      </c>
      <c r="BF94" s="855">
        <f t="shared" si="55"/>
        <v>6.8180839437579133</v>
      </c>
      <c r="BG94" s="855">
        <f t="shared" si="55"/>
        <v>5.8773230764043394</v>
      </c>
      <c r="BH94" s="855">
        <f t="shared" si="55"/>
        <v>5.3335438555507153</v>
      </c>
      <c r="BI94" s="856">
        <f t="shared" si="55"/>
        <v>4.5033122081872934</v>
      </c>
      <c r="BJ94" s="857">
        <f t="shared" si="55"/>
        <v>84.630118214063259</v>
      </c>
      <c r="BK94" s="855">
        <f t="shared" si="55"/>
        <v>83.786133012579427</v>
      </c>
      <c r="BL94" s="855">
        <f t="shared" si="55"/>
        <v>81.386013477276833</v>
      </c>
      <c r="BM94" s="855">
        <f t="shared" si="55"/>
        <v>80.410655434294938</v>
      </c>
      <c r="BN94" s="855">
        <f t="shared" si="55"/>
        <v>80.527452177901807</v>
      </c>
      <c r="BO94" s="855">
        <f t="shared" si="55"/>
        <v>80.317052628592549</v>
      </c>
      <c r="BP94" s="855">
        <f t="shared" si="55"/>
        <v>82.211019216330939</v>
      </c>
      <c r="BQ94" s="855">
        <f t="shared" si="55"/>
        <v>82.97542501981421</v>
      </c>
      <c r="BR94" s="855">
        <f t="shared" si="55"/>
        <v>83.785490215050643</v>
      </c>
      <c r="BS94" s="855">
        <f t="shared" si="55"/>
        <v>81.689292490630109</v>
      </c>
      <c r="BT94" s="855">
        <f t="shared" si="55"/>
        <v>80.66050231297956</v>
      </c>
      <c r="BU94" s="856">
        <f t="shared" si="55"/>
        <v>80.978197073219405</v>
      </c>
      <c r="BV94" s="857">
        <f t="shared" si="55"/>
        <v>2.2077968853825736</v>
      </c>
      <c r="BW94" s="855">
        <f t="shared" si="55"/>
        <v>2.9428911270662717</v>
      </c>
      <c r="BX94" s="855">
        <f t="shared" si="55"/>
        <v>4.5598417114172562</v>
      </c>
      <c r="BY94" s="855">
        <f t="shared" si="55"/>
        <v>5.2549678068140038</v>
      </c>
      <c r="BZ94" s="855">
        <f t="shared" ref="BZ94:DZ94" si="56">((BZ81/BN81)-1)*100</f>
        <v>5.3229287075915677</v>
      </c>
      <c r="CA94" s="855">
        <f t="shared" si="56"/>
        <v>5.2500198979179125</v>
      </c>
      <c r="CB94" s="855">
        <f t="shared" si="56"/>
        <v>5.9433316188696628</v>
      </c>
      <c r="CC94" s="855">
        <f t="shared" si="56"/>
        <v>3.0817678316444663</v>
      </c>
      <c r="CD94" s="855">
        <f t="shared" si="56"/>
        <v>3.9383616801057952</v>
      </c>
      <c r="CE94" s="855">
        <f t="shared" si="56"/>
        <v>4.7850616377314692</v>
      </c>
      <c r="CF94" s="855">
        <f t="shared" si="56"/>
        <v>4.2807031576457266</v>
      </c>
      <c r="CG94" s="856">
        <f t="shared" si="56"/>
        <v>4.0566837910222864</v>
      </c>
      <c r="CH94" s="857">
        <f t="shared" si="56"/>
        <v>3.5031122954511273</v>
      </c>
      <c r="CI94" s="855">
        <f t="shared" si="56"/>
        <v>3.3995127097591116</v>
      </c>
      <c r="CJ94" s="855">
        <f t="shared" si="56"/>
        <v>1.1230604420332524</v>
      </c>
      <c r="CK94" s="855">
        <f t="shared" si="56"/>
        <v>0.94493429274176144</v>
      </c>
      <c r="CL94" s="855">
        <f t="shared" si="56"/>
        <v>1.2110927911197056</v>
      </c>
      <c r="CM94" s="855">
        <f t="shared" si="56"/>
        <v>1.6036393866468712</v>
      </c>
      <c r="CN94" s="855">
        <f t="shared" si="56"/>
        <v>1.5027451053920338</v>
      </c>
      <c r="CO94" s="855">
        <f t="shared" si="56"/>
        <v>3.86222278391255</v>
      </c>
      <c r="CP94" s="855">
        <f t="shared" si="56"/>
        <v>3.9998224314608866</v>
      </c>
      <c r="CQ94" s="855">
        <f t="shared" si="56"/>
        <v>3.7854573693920868</v>
      </c>
      <c r="CR94" s="855">
        <f t="shared" si="56"/>
        <v>4.1919375703690198</v>
      </c>
      <c r="CS94" s="855">
        <f t="shared" si="56"/>
        <v>4.9576048987000521</v>
      </c>
      <c r="CT94" s="857">
        <f t="shared" si="56"/>
        <v>4.2674502381659263</v>
      </c>
      <c r="CU94" s="855">
        <f t="shared" si="56"/>
        <v>4.5749934038129547</v>
      </c>
      <c r="CV94" s="855">
        <f t="shared" si="56"/>
        <v>4.9488544750180274</v>
      </c>
      <c r="CW94" s="855">
        <f t="shared" si="56"/>
        <v>4.8357984068837734</v>
      </c>
      <c r="CX94" s="855">
        <f t="shared" si="56"/>
        <v>8.301901607824469</v>
      </c>
      <c r="CY94" s="855">
        <f t="shared" si="56"/>
        <v>8.6297518193626956</v>
      </c>
      <c r="CZ94" s="855">
        <f t="shared" si="56"/>
        <v>7.8198697533608863</v>
      </c>
      <c r="DA94" s="855">
        <f t="shared" si="56"/>
        <v>7.4656977117231182</v>
      </c>
      <c r="DB94" s="855">
        <f t="shared" si="56"/>
        <v>7.7547645452461511</v>
      </c>
      <c r="DC94" s="855">
        <f t="shared" si="56"/>
        <v>7.7737537983524119</v>
      </c>
      <c r="DD94" s="855">
        <f t="shared" si="56"/>
        <v>7.6403917162050083</v>
      </c>
      <c r="DE94" s="855">
        <f t="shared" si="56"/>
        <v>8.2398066870180706</v>
      </c>
      <c r="DF94" s="857">
        <f t="shared" si="56"/>
        <v>9.1827963658070999</v>
      </c>
      <c r="DG94" s="855">
        <f t="shared" si="56"/>
        <v>8.6955828917051115</v>
      </c>
      <c r="DH94" s="855">
        <f t="shared" si="56"/>
        <v>9.2485099326351072</v>
      </c>
      <c r="DI94" s="855">
        <f t="shared" si="56"/>
        <v>9.7690497264602207</v>
      </c>
      <c r="DJ94" s="855">
        <f t="shared" si="56"/>
        <v>6.6933639911923581</v>
      </c>
      <c r="DK94" s="855">
        <f t="shared" si="56"/>
        <v>7.0045821560386745</v>
      </c>
      <c r="DL94" s="855">
        <f t="shared" si="56"/>
        <v>7.5917510408364253</v>
      </c>
      <c r="DM94" s="855">
        <f t="shared" si="56"/>
        <v>7.9704059251404447</v>
      </c>
      <c r="DN94" s="855">
        <f t="shared" si="56"/>
        <v>7.3656061476711221</v>
      </c>
      <c r="DO94" s="855">
        <f t="shared" si="56"/>
        <v>7.7557378197168791</v>
      </c>
      <c r="DP94" s="855">
        <f t="shared" si="56"/>
        <v>7.6417020082451215</v>
      </c>
      <c r="DQ94" s="855">
        <f t="shared" si="56"/>
        <v>6.2522788255342299</v>
      </c>
      <c r="DR94" s="857">
        <f t="shared" si="56"/>
        <v>6.6095715522164866</v>
      </c>
      <c r="DS94" s="855">
        <f t="shared" si="56"/>
        <v>6.3229570559085735</v>
      </c>
      <c r="DT94" s="855">
        <f t="shared" si="56"/>
        <v>6.3282506887552437</v>
      </c>
      <c r="DU94" s="855">
        <f t="shared" si="56"/>
        <v>3.6677215070204605</v>
      </c>
      <c r="DV94" s="855">
        <f t="shared" si="56"/>
        <v>2.9308621966152471</v>
      </c>
      <c r="DW94" s="855">
        <f t="shared" si="56"/>
        <v>3.1692360947698894</v>
      </c>
      <c r="DX94" s="855">
        <f t="shared" si="56"/>
        <v>2.3328742214395737</v>
      </c>
      <c r="DY94" s="855">
        <f t="shared" si="56"/>
        <v>2.32097716089672</v>
      </c>
      <c r="DZ94" s="855">
        <f t="shared" si="56"/>
        <v>1.6461183398735368</v>
      </c>
      <c r="EA94" s="855">
        <f>((EA81/DO81)-1)*100</f>
        <v>1.6533680849366128</v>
      </c>
      <c r="EB94" s="855">
        <f>((EB81/DP81)-1)*100</f>
        <v>1.9047534852313808</v>
      </c>
      <c r="EC94" s="856">
        <f>((EC81/DQ81)-1)*100</f>
        <v>1.9036476888510734</v>
      </c>
      <c r="ED94" s="858">
        <f>((ED81/DR81)-1)*100</f>
        <v>1.4645956968162288E-2</v>
      </c>
      <c r="EE94" s="855"/>
      <c r="EF94" s="855"/>
      <c r="EG94" s="855"/>
      <c r="EH94" s="855"/>
      <c r="EI94" s="855"/>
      <c r="EJ94" s="855"/>
      <c r="EK94" s="855"/>
      <c r="EL94" s="855"/>
      <c r="EM94" s="855"/>
      <c r="EN94" s="855"/>
      <c r="EO94" s="855"/>
    </row>
    <row r="95" spans="1:145" ht="13.9" customHeight="1" x14ac:dyDescent="0.2">
      <c r="A95" s="854" t="s">
        <v>203</v>
      </c>
      <c r="B95" s="855"/>
      <c r="C95" s="855"/>
      <c r="D95" s="855"/>
      <c r="E95" s="855"/>
      <c r="F95" s="855"/>
      <c r="G95" s="855"/>
      <c r="H95" s="855"/>
      <c r="I95" s="855"/>
      <c r="J95" s="855"/>
      <c r="K95" s="855"/>
      <c r="L95" s="855"/>
      <c r="M95" s="856"/>
      <c r="N95" s="855">
        <f t="shared" ref="N95:BY95" si="57">((N83/B83)-1)*100</f>
        <v>-26.476125606197954</v>
      </c>
      <c r="O95" s="855">
        <f t="shared" si="57"/>
        <v>-27.664988045984039</v>
      </c>
      <c r="P95" s="855">
        <f t="shared" si="57"/>
        <v>-24.020239330201054</v>
      </c>
      <c r="Q95" s="855">
        <f t="shared" si="57"/>
        <v>-18.495137257871662</v>
      </c>
      <c r="R95" s="855">
        <f t="shared" si="57"/>
        <v>-23.925383269225353</v>
      </c>
      <c r="S95" s="855">
        <f t="shared" si="57"/>
        <v>-19.951659422295254</v>
      </c>
      <c r="T95" s="855">
        <f t="shared" si="57"/>
        <v>-19.485397175185739</v>
      </c>
      <c r="U95" s="855">
        <f t="shared" si="57"/>
        <v>-17.317824363202007</v>
      </c>
      <c r="V95" s="855">
        <f t="shared" si="57"/>
        <v>-17.552520159364516</v>
      </c>
      <c r="W95" s="855">
        <f t="shared" si="57"/>
        <v>-6.0530824534454686</v>
      </c>
      <c r="X95" s="855">
        <f t="shared" si="57"/>
        <v>4.787158117187329</v>
      </c>
      <c r="Y95" s="856">
        <f t="shared" si="57"/>
        <v>6.9358483050611763</v>
      </c>
      <c r="Z95" s="857">
        <f t="shared" si="57"/>
        <v>12.466373798053443</v>
      </c>
      <c r="AA95" s="855">
        <f t="shared" si="57"/>
        <v>16.026758928565243</v>
      </c>
      <c r="AB95" s="855">
        <f t="shared" si="57"/>
        <v>17.931750203131315</v>
      </c>
      <c r="AC95" s="855">
        <f t="shared" si="57"/>
        <v>17.209353216495572</v>
      </c>
      <c r="AD95" s="855">
        <f t="shared" si="57"/>
        <v>11.299441033671842</v>
      </c>
      <c r="AE95" s="855">
        <f t="shared" si="57"/>
        <v>13.505036421150528</v>
      </c>
      <c r="AF95" s="855">
        <f t="shared" si="57"/>
        <v>12.359101797788341</v>
      </c>
      <c r="AG95" s="855">
        <f t="shared" si="57"/>
        <v>23.702510238901752</v>
      </c>
      <c r="AH95" s="855">
        <f t="shared" si="57"/>
        <v>25.315765598338768</v>
      </c>
      <c r="AI95" s="855">
        <f t="shared" si="57"/>
        <v>9.3558513053999981</v>
      </c>
      <c r="AJ95" s="855">
        <f t="shared" si="57"/>
        <v>1.7458819117235347</v>
      </c>
      <c r="AK95" s="856">
        <f t="shared" si="57"/>
        <v>3.6008786245993685</v>
      </c>
      <c r="AL95" s="857">
        <f t="shared" si="57"/>
        <v>6.2288287200395809</v>
      </c>
      <c r="AM95" s="855">
        <f t="shared" si="57"/>
        <v>6.84329719126473</v>
      </c>
      <c r="AN95" s="855">
        <f t="shared" si="57"/>
        <v>7.0579787098928426</v>
      </c>
      <c r="AO95" s="855">
        <f t="shared" si="57"/>
        <v>9.0934948589626927</v>
      </c>
      <c r="AP95" s="855">
        <f t="shared" si="57"/>
        <v>18.938898223690927</v>
      </c>
      <c r="AQ95" s="855">
        <f t="shared" si="57"/>
        <v>18.801069487855806</v>
      </c>
      <c r="AR95" s="855">
        <f t="shared" si="57"/>
        <v>18.721565442446963</v>
      </c>
      <c r="AS95" s="855">
        <f t="shared" si="57"/>
        <v>5.0531240815974821</v>
      </c>
      <c r="AT95" s="855">
        <f t="shared" si="57"/>
        <v>-2.1132497050915022</v>
      </c>
      <c r="AU95" s="855">
        <f t="shared" si="57"/>
        <v>4.695102209986568</v>
      </c>
      <c r="AV95" s="855">
        <f t="shared" si="57"/>
        <v>4.3962615576449871</v>
      </c>
      <c r="AW95" s="855">
        <f t="shared" si="57"/>
        <v>3.022669321383975</v>
      </c>
      <c r="AX95" s="857">
        <f t="shared" si="57"/>
        <v>6.2946435995749006</v>
      </c>
      <c r="AY95" s="855">
        <f t="shared" si="57"/>
        <v>4.7593757692202532</v>
      </c>
      <c r="AZ95" s="855">
        <f t="shared" si="57"/>
        <v>2.5127712711592975</v>
      </c>
      <c r="BA95" s="855">
        <f t="shared" si="57"/>
        <v>2.766313989819924</v>
      </c>
      <c r="BB95" s="855">
        <f t="shared" si="57"/>
        <v>1.0110476386600897</v>
      </c>
      <c r="BC95" s="855">
        <f t="shared" si="57"/>
        <v>4.7650294980226438</v>
      </c>
      <c r="BD95" s="855">
        <f t="shared" si="57"/>
        <v>3.2406342101626961</v>
      </c>
      <c r="BE95" s="855">
        <f t="shared" si="57"/>
        <v>7.4103059499956547</v>
      </c>
      <c r="BF95" s="855">
        <f t="shared" si="57"/>
        <v>9.5043788079727456</v>
      </c>
      <c r="BG95" s="855">
        <f t="shared" si="57"/>
        <v>1.7554430249841602</v>
      </c>
      <c r="BH95" s="855">
        <f t="shared" si="57"/>
        <v>-0.49143138631247973</v>
      </c>
      <c r="BI95" s="856">
        <f t="shared" si="57"/>
        <v>-1.073872200218029</v>
      </c>
      <c r="BJ95" s="857">
        <f t="shared" si="57"/>
        <v>59.836229479461146</v>
      </c>
      <c r="BK95" s="855">
        <f t="shared" si="57"/>
        <v>54.224788289626801</v>
      </c>
      <c r="BL95" s="855">
        <f t="shared" si="57"/>
        <v>58.309342437363298</v>
      </c>
      <c r="BM95" s="855">
        <f t="shared" si="57"/>
        <v>60.545213349195983</v>
      </c>
      <c r="BN95" s="855">
        <f t="shared" si="57"/>
        <v>55.987348089626821</v>
      </c>
      <c r="BO95" s="855">
        <f t="shared" si="57"/>
        <v>57.756731804845664</v>
      </c>
      <c r="BP95" s="855">
        <f t="shared" si="57"/>
        <v>64.865870975171376</v>
      </c>
      <c r="BQ95" s="855">
        <f t="shared" si="57"/>
        <v>69.56786404338564</v>
      </c>
      <c r="BR95" s="855">
        <f t="shared" si="57"/>
        <v>79.08353207722574</v>
      </c>
      <c r="BS95" s="855">
        <f t="shared" si="57"/>
        <v>89.615146589850795</v>
      </c>
      <c r="BT95" s="855">
        <f t="shared" si="57"/>
        <v>94.433586963840582</v>
      </c>
      <c r="BU95" s="856">
        <f t="shared" si="57"/>
        <v>94.506718252780246</v>
      </c>
      <c r="BV95" s="857">
        <f t="shared" si="57"/>
        <v>14.298308585887543</v>
      </c>
      <c r="BW95" s="855">
        <f t="shared" si="57"/>
        <v>15.070005776893547</v>
      </c>
      <c r="BX95" s="855">
        <f t="shared" si="57"/>
        <v>23.775718955367829</v>
      </c>
      <c r="BY95" s="855">
        <f t="shared" si="57"/>
        <v>18.053047075422857</v>
      </c>
      <c r="BZ95" s="855">
        <f t="shared" ref="BZ95:DZ95" si="58">((BZ83/BN83)-1)*100</f>
        <v>16.67196525868895</v>
      </c>
      <c r="CA95" s="855">
        <f t="shared" si="58"/>
        <v>15.534062468888177</v>
      </c>
      <c r="CB95" s="855">
        <f t="shared" si="58"/>
        <v>12.207616954245214</v>
      </c>
      <c r="CC95" s="855">
        <f t="shared" si="58"/>
        <v>-2.8195497258234559</v>
      </c>
      <c r="CD95" s="855">
        <f t="shared" si="58"/>
        <v>-10.174874699892678</v>
      </c>
      <c r="CE95" s="855">
        <f t="shared" si="58"/>
        <v>-12.337690808370327</v>
      </c>
      <c r="CF95" s="855">
        <f t="shared" si="58"/>
        <v>-14.52015343192593</v>
      </c>
      <c r="CG95" s="856">
        <f t="shared" si="58"/>
        <v>-17.13431586613391</v>
      </c>
      <c r="CH95" s="857">
        <f t="shared" si="58"/>
        <v>-23.710196166517306</v>
      </c>
      <c r="CI95" s="855">
        <f t="shared" si="58"/>
        <v>-22.808862717839141</v>
      </c>
      <c r="CJ95" s="855">
        <f t="shared" si="58"/>
        <v>-42.37634194180788</v>
      </c>
      <c r="CK95" s="855">
        <f t="shared" si="58"/>
        <v>-44.943083329211007</v>
      </c>
      <c r="CL95" s="855">
        <f t="shared" si="58"/>
        <v>-44.239402509945869</v>
      </c>
      <c r="CM95" s="855">
        <f t="shared" si="58"/>
        <v>-44.951608844881484</v>
      </c>
      <c r="CN95" s="855">
        <f t="shared" si="58"/>
        <v>-44.635750542785743</v>
      </c>
      <c r="CO95" s="855">
        <f t="shared" si="58"/>
        <v>-37.608828788199524</v>
      </c>
      <c r="CP95" s="855">
        <f t="shared" si="58"/>
        <v>-34.087921621843833</v>
      </c>
      <c r="CQ95" s="855">
        <f t="shared" si="58"/>
        <v>-34.610426623996617</v>
      </c>
      <c r="CR95" s="855">
        <f t="shared" si="58"/>
        <v>-31.458312935510058</v>
      </c>
      <c r="CS95" s="855">
        <f t="shared" si="58"/>
        <v>-31.675055593994816</v>
      </c>
      <c r="CT95" s="857">
        <f t="shared" si="58"/>
        <v>-32.522571838547663</v>
      </c>
      <c r="CU95" s="855">
        <f t="shared" si="58"/>
        <v>-37.316919467109557</v>
      </c>
      <c r="CV95" s="855">
        <f t="shared" si="58"/>
        <v>-23.608640369904698</v>
      </c>
      <c r="CW95" s="855">
        <f t="shared" si="58"/>
        <v>-21.840493466357358</v>
      </c>
      <c r="CX95" s="855">
        <f t="shared" si="58"/>
        <v>-29.46376632522577</v>
      </c>
      <c r="CY95" s="855">
        <f t="shared" si="58"/>
        <v>-29.281643970036896</v>
      </c>
      <c r="CZ95" s="855">
        <f t="shared" si="58"/>
        <v>-29.937674846189445</v>
      </c>
      <c r="DA95" s="855">
        <f t="shared" si="58"/>
        <v>-39.036983655312682</v>
      </c>
      <c r="DB95" s="855">
        <f t="shared" si="58"/>
        <v>-36.390196594020232</v>
      </c>
      <c r="DC95" s="855">
        <f t="shared" si="58"/>
        <v>-33.926187983476119</v>
      </c>
      <c r="DD95" s="855">
        <f t="shared" si="58"/>
        <v>-34.653781800781736</v>
      </c>
      <c r="DE95" s="855">
        <f t="shared" si="58"/>
        <v>-38.0482164593964</v>
      </c>
      <c r="DF95" s="857">
        <f t="shared" si="58"/>
        <v>-32.238292675885738</v>
      </c>
      <c r="DG95" s="855">
        <f t="shared" si="58"/>
        <v>-19.591178404627641</v>
      </c>
      <c r="DH95" s="855">
        <f t="shared" si="58"/>
        <v>-23.030899538155335</v>
      </c>
      <c r="DI95" s="855">
        <f t="shared" si="58"/>
        <v>-14.382284780145138</v>
      </c>
      <c r="DJ95" s="855">
        <f t="shared" si="58"/>
        <v>2.3027665173336098</v>
      </c>
      <c r="DK95" s="855">
        <f t="shared" si="58"/>
        <v>9.4101144370253529</v>
      </c>
      <c r="DL95" s="855">
        <f t="shared" si="58"/>
        <v>11.969424251601124</v>
      </c>
      <c r="DM95" s="855">
        <f t="shared" si="58"/>
        <v>14.912743502022385</v>
      </c>
      <c r="DN95" s="855">
        <f t="shared" si="58"/>
        <v>7.1925415591672204</v>
      </c>
      <c r="DO95" s="855">
        <f t="shared" si="58"/>
        <v>10.536361672629969</v>
      </c>
      <c r="DP95" s="855">
        <f t="shared" si="58"/>
        <v>15.93350244194971</v>
      </c>
      <c r="DQ95" s="855">
        <f t="shared" si="58"/>
        <v>20.987020324227991</v>
      </c>
      <c r="DR95" s="857">
        <f t="shared" si="58"/>
        <v>6.8960557794502497</v>
      </c>
      <c r="DS95" s="855">
        <f t="shared" si="58"/>
        <v>-1.4153097954112126</v>
      </c>
      <c r="DT95" s="855">
        <f t="shared" si="58"/>
        <v>4.096627815321896</v>
      </c>
      <c r="DU95" s="855">
        <f t="shared" si="58"/>
        <v>-3.5701172226731748</v>
      </c>
      <c r="DV95" s="855">
        <f t="shared" si="58"/>
        <v>-9.9347311034639567</v>
      </c>
      <c r="DW95" s="855">
        <f t="shared" si="58"/>
        <v>-22.062666351857562</v>
      </c>
      <c r="DX95" s="855">
        <f t="shared" si="58"/>
        <v>-31.455214705568579</v>
      </c>
      <c r="DY95" s="855">
        <f t="shared" si="58"/>
        <v>-23.113984784237363</v>
      </c>
      <c r="DZ95" s="855">
        <f t="shared" si="58"/>
        <v>-20.762417615761784</v>
      </c>
      <c r="EA95" s="855">
        <f>((EA83/DO83)-1)*100</f>
        <v>-26.930649795969796</v>
      </c>
      <c r="EB95" s="855">
        <f>((EB83/DP83)-1)*100</f>
        <v>-32.005726127836631</v>
      </c>
      <c r="EC95" s="856">
        <f>((EC83/DQ83)-1)*100</f>
        <v>-35.03268157837087</v>
      </c>
      <c r="ED95" s="858">
        <f>((ED83/DR83)-1)*100</f>
        <v>-34.952359707280841</v>
      </c>
      <c r="EE95" s="855"/>
      <c r="EF95" s="855"/>
      <c r="EG95" s="855"/>
      <c r="EH95" s="855"/>
      <c r="EI95" s="855"/>
      <c r="EJ95" s="855"/>
      <c r="EK95" s="855"/>
      <c r="EL95" s="855"/>
      <c r="EM95" s="855"/>
      <c r="EN95" s="855"/>
      <c r="EO95" s="855"/>
    </row>
    <row r="96" spans="1:145" ht="13.9" customHeight="1" x14ac:dyDescent="0.2">
      <c r="A96" s="859" t="s">
        <v>207</v>
      </c>
      <c r="B96" s="860"/>
      <c r="C96" s="860"/>
      <c r="D96" s="860"/>
      <c r="E96" s="860"/>
      <c r="F96" s="860"/>
      <c r="G96" s="860"/>
      <c r="H96" s="860"/>
      <c r="I96" s="860"/>
      <c r="J96" s="860"/>
      <c r="K96" s="860"/>
      <c r="L96" s="860"/>
      <c r="M96" s="861"/>
      <c r="N96" s="860">
        <f t="shared" ref="N96:BY96" si="59">((N79/B79)-1)*100</f>
        <v>10.494064205507581</v>
      </c>
      <c r="O96" s="860">
        <f t="shared" si="59"/>
        <v>8.5369598734661434</v>
      </c>
      <c r="P96" s="860">
        <f t="shared" si="59"/>
        <v>9.1084265884669122</v>
      </c>
      <c r="Q96" s="860">
        <f t="shared" si="59"/>
        <v>9.4663209928636416</v>
      </c>
      <c r="R96" s="860">
        <f t="shared" si="59"/>
        <v>7.1744502970599422</v>
      </c>
      <c r="S96" s="860">
        <f t="shared" si="59"/>
        <v>8.4952884409342779</v>
      </c>
      <c r="T96" s="860">
        <f t="shared" si="59"/>
        <v>8.651865522082435</v>
      </c>
      <c r="U96" s="860">
        <f t="shared" si="59"/>
        <v>10.476919880382351</v>
      </c>
      <c r="V96" s="860">
        <f t="shared" si="59"/>
        <v>11.02526143719702</v>
      </c>
      <c r="W96" s="860">
        <f t="shared" si="59"/>
        <v>13.099270129081987</v>
      </c>
      <c r="X96" s="860">
        <f t="shared" si="59"/>
        <v>15.009604043850434</v>
      </c>
      <c r="Y96" s="861">
        <f t="shared" si="59"/>
        <v>16.493264719564248</v>
      </c>
      <c r="Z96" s="862">
        <f t="shared" si="59"/>
        <v>28.550064615722626</v>
      </c>
      <c r="AA96" s="860">
        <f t="shared" si="59"/>
        <v>30.310863946951685</v>
      </c>
      <c r="AB96" s="860">
        <f t="shared" si="59"/>
        <v>32.282531689698722</v>
      </c>
      <c r="AC96" s="860">
        <f t="shared" si="59"/>
        <v>32.638089544358294</v>
      </c>
      <c r="AD96" s="860">
        <f t="shared" si="59"/>
        <v>35.118841543687338</v>
      </c>
      <c r="AE96" s="860">
        <f t="shared" si="59"/>
        <v>35.691754786515936</v>
      </c>
      <c r="AF96" s="860">
        <f t="shared" si="59"/>
        <v>34.194122300139121</v>
      </c>
      <c r="AG96" s="860">
        <f t="shared" si="59"/>
        <v>34.444218574980987</v>
      </c>
      <c r="AH96" s="860">
        <f t="shared" si="59"/>
        <v>35.033489535090489</v>
      </c>
      <c r="AI96" s="860">
        <f t="shared" si="59"/>
        <v>33.323512546754564</v>
      </c>
      <c r="AJ96" s="860">
        <f t="shared" si="59"/>
        <v>32.219520170821745</v>
      </c>
      <c r="AK96" s="861">
        <f t="shared" si="59"/>
        <v>32.68483474873387</v>
      </c>
      <c r="AL96" s="862">
        <f t="shared" si="59"/>
        <v>22.370530441971216</v>
      </c>
      <c r="AM96" s="860">
        <f t="shared" si="59"/>
        <v>22.243363625014112</v>
      </c>
      <c r="AN96" s="860">
        <f t="shared" si="59"/>
        <v>22.577124671803929</v>
      </c>
      <c r="AO96" s="860">
        <f t="shared" si="59"/>
        <v>22.946173835249727</v>
      </c>
      <c r="AP96" s="860">
        <f t="shared" si="59"/>
        <v>22.026419353396044</v>
      </c>
      <c r="AQ96" s="860">
        <f t="shared" si="59"/>
        <v>21.474716885086419</v>
      </c>
      <c r="AR96" s="860">
        <f t="shared" si="59"/>
        <v>21.670501476913383</v>
      </c>
      <c r="AS96" s="860">
        <f t="shared" si="59"/>
        <v>20.822817472367603</v>
      </c>
      <c r="AT96" s="860">
        <f t="shared" si="59"/>
        <v>19.041094081844289</v>
      </c>
      <c r="AU96" s="860">
        <f t="shared" si="59"/>
        <v>18.974718354204345</v>
      </c>
      <c r="AV96" s="860">
        <f t="shared" si="59"/>
        <v>18.373035271742367</v>
      </c>
      <c r="AW96" s="860">
        <f t="shared" si="59"/>
        <v>17.156614683284978</v>
      </c>
      <c r="AX96" s="862">
        <f t="shared" si="59"/>
        <v>15.813395275178976</v>
      </c>
      <c r="AY96" s="860">
        <f t="shared" si="59"/>
        <v>13.473175849575547</v>
      </c>
      <c r="AZ96" s="860">
        <f t="shared" si="59"/>
        <v>11.9053968937465</v>
      </c>
      <c r="BA96" s="860">
        <f t="shared" si="59"/>
        <v>11.532919206988424</v>
      </c>
      <c r="BB96" s="860">
        <f t="shared" si="59"/>
        <v>10.80601278073685</v>
      </c>
      <c r="BC96" s="860">
        <f t="shared" si="59"/>
        <v>10.053654467607021</v>
      </c>
      <c r="BD96" s="860">
        <f t="shared" si="59"/>
        <v>8.8850429222199434</v>
      </c>
      <c r="BE96" s="860">
        <f t="shared" si="59"/>
        <v>8.0132509584565526</v>
      </c>
      <c r="BF96" s="860">
        <f t="shared" si="59"/>
        <v>6.9885146420318733</v>
      </c>
      <c r="BG96" s="860">
        <f t="shared" si="59"/>
        <v>5.6107586023063538</v>
      </c>
      <c r="BH96" s="860">
        <f t="shared" si="59"/>
        <v>4.9590730935394234</v>
      </c>
      <c r="BI96" s="861">
        <f t="shared" si="59"/>
        <v>4.1474040461320749</v>
      </c>
      <c r="BJ96" s="862">
        <f t="shared" si="59"/>
        <v>82.964575131160132</v>
      </c>
      <c r="BK96" s="860">
        <f t="shared" si="59"/>
        <v>81.80624834757117</v>
      </c>
      <c r="BL96" s="860">
        <f t="shared" si="59"/>
        <v>79.896739498651243</v>
      </c>
      <c r="BM96" s="860">
        <f t="shared" si="59"/>
        <v>79.112152869821202</v>
      </c>
      <c r="BN96" s="860">
        <f t="shared" si="59"/>
        <v>78.893496121769502</v>
      </c>
      <c r="BO96" s="860">
        <f t="shared" si="59"/>
        <v>78.785618848554464</v>
      </c>
      <c r="BP96" s="860">
        <f t="shared" si="59"/>
        <v>81.043127415294919</v>
      </c>
      <c r="BQ96" s="860">
        <f t="shared" si="59"/>
        <v>82.080984867691157</v>
      </c>
      <c r="BR96" s="860">
        <f t="shared" si="59"/>
        <v>83.48016179700268</v>
      </c>
      <c r="BS96" s="860">
        <f t="shared" si="59"/>
        <v>82.183150930877318</v>
      </c>
      <c r="BT96" s="860">
        <f t="shared" si="59"/>
        <v>81.499953678236352</v>
      </c>
      <c r="BU96" s="861">
        <f t="shared" si="59"/>
        <v>81.79823857050863</v>
      </c>
      <c r="BV96" s="862">
        <f t="shared" si="59"/>
        <v>2.9173160318097358</v>
      </c>
      <c r="BW96" s="860">
        <f t="shared" si="59"/>
        <v>3.631890088203682</v>
      </c>
      <c r="BX96" s="860">
        <f t="shared" si="59"/>
        <v>5.6511436098204193</v>
      </c>
      <c r="BY96" s="860">
        <f t="shared" si="59"/>
        <v>6.0047958534647616</v>
      </c>
      <c r="BZ96" s="860">
        <f t="shared" ref="BZ96:DZ96" si="60">((BZ79/BN79)-1)*100</f>
        <v>5.981826101487675</v>
      </c>
      <c r="CA96" s="860">
        <f t="shared" si="60"/>
        <v>5.866007732683598</v>
      </c>
      <c r="CB96" s="860">
        <f t="shared" si="60"/>
        <v>6.3274320929081806</v>
      </c>
      <c r="CC96" s="860">
        <f t="shared" si="60"/>
        <v>2.715136609039126</v>
      </c>
      <c r="CD96" s="860">
        <f t="shared" si="60"/>
        <v>3.0438590500172724</v>
      </c>
      <c r="CE96" s="860">
        <f t="shared" si="60"/>
        <v>3.6746223935168132</v>
      </c>
      <c r="CF96" s="860">
        <f t="shared" si="60"/>
        <v>3.0531601142889109</v>
      </c>
      <c r="CG96" s="861">
        <f t="shared" si="60"/>
        <v>2.6823827234282671</v>
      </c>
      <c r="CH96" s="862">
        <f t="shared" si="60"/>
        <v>1.7295267770943479</v>
      </c>
      <c r="CI96" s="860">
        <f t="shared" si="60"/>
        <v>1.7461432901479057</v>
      </c>
      <c r="CJ96" s="860">
        <f t="shared" si="60"/>
        <v>-1.7711442329002347</v>
      </c>
      <c r="CK96" s="860">
        <f t="shared" si="60"/>
        <v>-2.0491765129043271</v>
      </c>
      <c r="CL96" s="860">
        <f t="shared" si="60"/>
        <v>-1.6938161979856869</v>
      </c>
      <c r="CM96" s="860">
        <f t="shared" si="60"/>
        <v>-1.4395601196524721</v>
      </c>
      <c r="CN96" s="860">
        <f t="shared" si="60"/>
        <v>-1.4827320718764692</v>
      </c>
      <c r="CO96" s="860">
        <f t="shared" si="60"/>
        <v>1.4245805342168127</v>
      </c>
      <c r="CP96" s="860">
        <f t="shared" si="60"/>
        <v>1.8954821276022216</v>
      </c>
      <c r="CQ96" s="860">
        <f t="shared" si="60"/>
        <v>1.6800005486978131</v>
      </c>
      <c r="CR96" s="860">
        <f t="shared" si="60"/>
        <v>2.2611962165301813</v>
      </c>
      <c r="CS96" s="860">
        <f t="shared" si="60"/>
        <v>3.0403595943440109</v>
      </c>
      <c r="CT96" s="862">
        <f t="shared" si="60"/>
        <v>2.4693234464428615</v>
      </c>
      <c r="CU96" s="860">
        <f t="shared" si="60"/>
        <v>2.5700160369459102</v>
      </c>
      <c r="CV96" s="860">
        <f t="shared" si="60"/>
        <v>3.8342319974366212</v>
      </c>
      <c r="CW96" s="860">
        <f t="shared" si="60"/>
        <v>3.8574403466503426</v>
      </c>
      <c r="CX96" s="860">
        <f t="shared" si="60"/>
        <v>6.93279375442446</v>
      </c>
      <c r="CY96" s="860">
        <f t="shared" si="60"/>
        <v>7.2456324377084158</v>
      </c>
      <c r="CZ96" s="860">
        <f t="shared" si="60"/>
        <v>6.4468678898544907</v>
      </c>
      <c r="DA96" s="860">
        <f t="shared" si="60"/>
        <v>5.7842520615715376</v>
      </c>
      <c r="DB96" s="860">
        <f t="shared" si="60"/>
        <v>6.1770735756746298</v>
      </c>
      <c r="DC96" s="860">
        <f t="shared" si="60"/>
        <v>6.3032366919018479</v>
      </c>
      <c r="DD96" s="860">
        <f t="shared" si="60"/>
        <v>6.1051174281039788</v>
      </c>
      <c r="DE96" s="860">
        <f t="shared" si="60"/>
        <v>6.6334211822384859</v>
      </c>
      <c r="DF96" s="862">
        <f t="shared" si="60"/>
        <v>7.8496543088752979</v>
      </c>
      <c r="DG96" s="860">
        <f t="shared" si="60"/>
        <v>7.868226899676789</v>
      </c>
      <c r="DH96" s="860">
        <f t="shared" si="60"/>
        <v>8.321601238970878</v>
      </c>
      <c r="DI96" s="860">
        <f t="shared" si="60"/>
        <v>9.1024614153741403</v>
      </c>
      <c r="DJ96" s="860">
        <f t="shared" si="60"/>
        <v>6.5883697527648444</v>
      </c>
      <c r="DK96" s="860">
        <f t="shared" si="60"/>
        <v>7.0624940151012616</v>
      </c>
      <c r="DL96" s="860">
        <f t="shared" si="60"/>
        <v>7.696527177337309</v>
      </c>
      <c r="DM96" s="860">
        <f t="shared" si="60"/>
        <v>8.1150684343666679</v>
      </c>
      <c r="DN96" s="860">
        <f t="shared" si="60"/>
        <v>7.3619006860708103</v>
      </c>
      <c r="DO96" s="860">
        <f t="shared" si="60"/>
        <v>7.8166858608105017</v>
      </c>
      <c r="DP96" s="860">
        <f t="shared" si="60"/>
        <v>7.8270715614692676</v>
      </c>
      <c r="DQ96" s="860">
        <f t="shared" si="60"/>
        <v>6.5493661585002361</v>
      </c>
      <c r="DR96" s="862">
        <f t="shared" si="60"/>
        <v>6.6153647881409317</v>
      </c>
      <c r="DS96" s="860">
        <f t="shared" si="60"/>
        <v>6.1542384218880697</v>
      </c>
      <c r="DT96" s="860">
        <f t="shared" si="60"/>
        <v>6.2827169283086848</v>
      </c>
      <c r="DU96" s="860">
        <f t="shared" si="60"/>
        <v>3.510954542800615</v>
      </c>
      <c r="DV96" s="860">
        <f t="shared" si="60"/>
        <v>2.635571869030251</v>
      </c>
      <c r="DW96" s="860">
        <f t="shared" si="60"/>
        <v>2.5484722267895776</v>
      </c>
      <c r="DX96" s="860">
        <f t="shared" si="60"/>
        <v>1.4920980088723779</v>
      </c>
      <c r="DY96" s="860">
        <f t="shared" si="60"/>
        <v>1.7576465849745704</v>
      </c>
      <c r="DZ96" s="860">
        <f t="shared" si="60"/>
        <v>1.1670891668012162</v>
      </c>
      <c r="EA96" s="860">
        <f>((EA79/DO79)-1)*100</f>
        <v>1.0110354760134665</v>
      </c>
      <c r="EB96" s="860">
        <f>((EB79/DP79)-1)*100</f>
        <v>1.0896652205006241</v>
      </c>
      <c r="EC96" s="861">
        <f>((EC79/DQ79)-1)*100</f>
        <v>1.0580120896373613</v>
      </c>
      <c r="ED96" s="863">
        <f>((ED79/DR79)-1)*100</f>
        <v>-0.69431256377765482</v>
      </c>
      <c r="EE96" s="855"/>
      <c r="EF96" s="855"/>
      <c r="EG96" s="855"/>
      <c r="EH96" s="855"/>
      <c r="EI96" s="855"/>
      <c r="EJ96" s="855"/>
      <c r="EK96" s="855"/>
      <c r="EL96" s="855"/>
      <c r="EM96" s="855"/>
      <c r="EN96" s="855"/>
      <c r="EO96" s="855"/>
    </row>
    <row r="97" spans="1:145" ht="13.9" customHeight="1" x14ac:dyDescent="0.2">
      <c r="A97" s="845" t="s">
        <v>200</v>
      </c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  <c r="AB97" s="187"/>
      <c r="AC97" s="187"/>
      <c r="AD97" s="187"/>
      <c r="AE97" s="187"/>
      <c r="AF97" s="187"/>
      <c r="AG97" s="187"/>
      <c r="AH97" s="187"/>
      <c r="AI97" s="187"/>
      <c r="AJ97" s="187"/>
      <c r="AK97" s="187"/>
      <c r="AL97" s="187"/>
      <c r="AM97" s="187"/>
      <c r="AN97" s="187"/>
      <c r="AO97" s="187"/>
      <c r="AP97" s="187"/>
      <c r="AQ97" s="187"/>
      <c r="AR97" s="187"/>
      <c r="AS97" s="187"/>
      <c r="AT97" s="187"/>
      <c r="AU97" s="187"/>
      <c r="AV97" s="187"/>
      <c r="AW97" s="187"/>
      <c r="AX97" s="187"/>
      <c r="AY97" s="187"/>
      <c r="AZ97" s="187"/>
      <c r="BA97" s="187"/>
      <c r="BB97" s="187"/>
      <c r="BC97" s="187"/>
      <c r="BD97" s="187"/>
      <c r="BE97" s="187"/>
      <c r="BF97" s="187"/>
      <c r="BG97" s="187"/>
      <c r="BH97" s="187"/>
      <c r="BI97" s="187"/>
      <c r="BJ97" s="187"/>
      <c r="BK97" s="187"/>
      <c r="BL97" s="187"/>
      <c r="BM97" s="187"/>
      <c r="BN97" s="187"/>
      <c r="BO97" s="187"/>
      <c r="BP97" s="187"/>
      <c r="BQ97" s="187"/>
      <c r="BR97" s="187"/>
      <c r="BS97" s="187"/>
      <c r="BT97" s="187"/>
      <c r="BU97" s="187"/>
      <c r="BV97" s="187"/>
      <c r="BW97" s="187"/>
      <c r="BX97" s="187"/>
      <c r="BY97" s="187"/>
      <c r="BZ97" s="187"/>
      <c r="CA97" s="187"/>
      <c r="CB97" s="187"/>
      <c r="CC97" s="187"/>
      <c r="CD97" s="187"/>
      <c r="CE97" s="187"/>
      <c r="CF97" s="187"/>
      <c r="CG97" s="187"/>
      <c r="CH97" s="187"/>
      <c r="CI97" s="187"/>
      <c r="CJ97" s="187"/>
      <c r="CK97" s="187"/>
      <c r="CL97" s="187"/>
      <c r="CM97" s="187"/>
      <c r="CN97" s="187"/>
      <c r="CO97" s="187"/>
      <c r="CP97" s="187"/>
      <c r="CQ97" s="187"/>
      <c r="CR97" s="187"/>
      <c r="CS97" s="187"/>
      <c r="CT97" s="187"/>
      <c r="CU97" s="187"/>
      <c r="CV97" s="187"/>
      <c r="CW97" s="187"/>
      <c r="CX97" s="187"/>
      <c r="CY97" s="187"/>
      <c r="CZ97" s="187"/>
      <c r="DA97" s="187"/>
      <c r="DB97" s="187"/>
      <c r="DC97" s="187"/>
      <c r="DD97" s="187"/>
      <c r="DE97" s="187"/>
      <c r="DF97" s="187"/>
      <c r="DG97" s="187"/>
      <c r="DH97" s="187"/>
      <c r="DI97" s="187"/>
      <c r="DJ97" s="187"/>
      <c r="DK97" s="187"/>
      <c r="DL97" s="187"/>
      <c r="DM97" s="187"/>
      <c r="DN97" s="187"/>
      <c r="DO97" s="187"/>
      <c r="DP97" s="187"/>
      <c r="DQ97" s="187"/>
      <c r="DR97" s="187"/>
      <c r="DS97" s="187"/>
      <c r="DT97" s="187"/>
      <c r="DU97" s="187"/>
      <c r="DV97" s="187"/>
      <c r="DW97" s="187"/>
      <c r="DX97" s="187"/>
      <c r="DY97" s="187"/>
      <c r="DZ97" s="187"/>
      <c r="EA97" s="187"/>
      <c r="EB97" s="187"/>
      <c r="EC97" s="187"/>
      <c r="ED97" s="187"/>
      <c r="EE97" s="187"/>
      <c r="EF97" s="187"/>
      <c r="EG97" s="187"/>
      <c r="EH97" s="187"/>
      <c r="EI97" s="187"/>
      <c r="EJ97" s="187"/>
      <c r="EK97" s="187"/>
      <c r="EL97" s="187"/>
      <c r="EM97" s="187"/>
      <c r="EN97" s="187"/>
      <c r="EO97" s="187"/>
    </row>
    <row r="98" spans="1:145" ht="13.9" customHeight="1" x14ac:dyDescent="0.2"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  <c r="AB98" s="187"/>
      <c r="AC98" s="187"/>
      <c r="AD98" s="187"/>
      <c r="AE98" s="187"/>
      <c r="AF98" s="187"/>
      <c r="AG98" s="187"/>
      <c r="AH98" s="187"/>
      <c r="AI98" s="187"/>
      <c r="AJ98" s="187"/>
      <c r="AK98" s="187"/>
      <c r="AL98" s="187"/>
      <c r="AM98" s="187"/>
      <c r="AN98" s="187"/>
      <c r="AO98" s="187"/>
      <c r="AP98" s="187"/>
      <c r="AQ98" s="187"/>
      <c r="AR98" s="187"/>
      <c r="AS98" s="187"/>
      <c r="AT98" s="187"/>
      <c r="AU98" s="187"/>
      <c r="AV98" s="187"/>
      <c r="AW98" s="187"/>
      <c r="AX98" s="187"/>
      <c r="AY98" s="187"/>
      <c r="AZ98" s="187"/>
      <c r="BA98" s="187"/>
      <c r="BB98" s="187"/>
      <c r="BC98" s="187"/>
      <c r="BD98" s="187"/>
      <c r="BE98" s="187"/>
      <c r="BF98" s="187"/>
      <c r="BG98" s="187"/>
      <c r="BH98" s="187"/>
      <c r="BI98" s="187"/>
      <c r="BJ98" s="187"/>
      <c r="BK98" s="187"/>
      <c r="BL98" s="187"/>
      <c r="BM98" s="187"/>
      <c r="BN98" s="187"/>
      <c r="BO98" s="187"/>
      <c r="BP98" s="187"/>
      <c r="BQ98" s="187"/>
      <c r="BR98" s="187"/>
      <c r="BS98" s="187"/>
      <c r="BT98" s="187"/>
      <c r="BU98" s="187"/>
      <c r="BV98" s="187"/>
      <c r="BW98" s="187"/>
      <c r="BX98" s="187"/>
      <c r="BY98" s="187"/>
      <c r="BZ98" s="187"/>
      <c r="CA98" s="187"/>
      <c r="CB98" s="187"/>
      <c r="CC98" s="187"/>
      <c r="CD98" s="187"/>
      <c r="CE98" s="187"/>
      <c r="CF98" s="187"/>
      <c r="CG98" s="187"/>
      <c r="CH98" s="187"/>
      <c r="CI98" s="187"/>
      <c r="CJ98" s="187"/>
      <c r="CK98" s="187"/>
      <c r="CL98" s="187"/>
      <c r="CM98" s="187"/>
      <c r="CN98" s="187"/>
      <c r="CO98" s="187"/>
      <c r="CP98" s="187"/>
      <c r="CQ98" s="187"/>
      <c r="CR98" s="187"/>
      <c r="CS98" s="187"/>
      <c r="CT98" s="187"/>
      <c r="CU98" s="187"/>
      <c r="CV98" s="187"/>
      <c r="CW98" s="187"/>
      <c r="CX98" s="187"/>
      <c r="CY98" s="187"/>
      <c r="CZ98" s="187"/>
      <c r="DA98" s="187"/>
      <c r="DB98" s="187"/>
      <c r="DC98" s="187"/>
      <c r="DD98" s="187"/>
      <c r="DE98" s="187"/>
      <c r="DF98" s="187"/>
      <c r="DG98" s="187"/>
      <c r="DH98" s="187"/>
      <c r="DI98" s="187"/>
      <c r="DJ98" s="187"/>
      <c r="DK98" s="187"/>
      <c r="DL98" s="187"/>
      <c r="DM98" s="187"/>
      <c r="DN98" s="187"/>
      <c r="DO98" s="187"/>
      <c r="DP98" s="187"/>
      <c r="DQ98" s="187"/>
      <c r="DR98" s="187"/>
      <c r="DS98" s="187"/>
      <c r="DT98" s="187"/>
      <c r="DU98" s="187"/>
      <c r="DV98" s="187"/>
      <c r="DW98" s="187"/>
      <c r="DX98" s="187"/>
      <c r="DY98" s="187"/>
      <c r="DZ98" s="187"/>
      <c r="EA98" s="187"/>
      <c r="EB98" s="187"/>
      <c r="EC98" s="187"/>
      <c r="ED98" s="187"/>
      <c r="EE98" s="187"/>
      <c r="EF98" s="187"/>
      <c r="EG98" s="187"/>
      <c r="EH98" s="187"/>
      <c r="EI98" s="187"/>
      <c r="EJ98" s="187"/>
      <c r="EK98" s="187"/>
      <c r="EL98" s="187"/>
      <c r="EM98" s="187"/>
      <c r="EN98" s="187"/>
      <c r="EO98" s="187"/>
    </row>
    <row r="99" spans="1:145" ht="13.9" customHeight="1" x14ac:dyDescent="0.2"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  <c r="AA99" s="187"/>
      <c r="AB99" s="187"/>
      <c r="AC99" s="187"/>
      <c r="AD99" s="187"/>
      <c r="AE99" s="187"/>
      <c r="AF99" s="187"/>
      <c r="AG99" s="187"/>
      <c r="AH99" s="187"/>
      <c r="AI99" s="187"/>
      <c r="AJ99" s="187"/>
      <c r="AK99" s="187"/>
      <c r="AL99" s="187"/>
      <c r="AM99" s="187"/>
      <c r="AN99" s="187"/>
      <c r="AO99" s="187"/>
      <c r="AP99" s="187"/>
      <c r="AQ99" s="187"/>
      <c r="AR99" s="187"/>
      <c r="AS99" s="187"/>
      <c r="AT99" s="187"/>
      <c r="AU99" s="187"/>
      <c r="AV99" s="187"/>
      <c r="AW99" s="187"/>
      <c r="AX99" s="187"/>
      <c r="AY99" s="187"/>
      <c r="AZ99" s="187"/>
      <c r="BA99" s="187"/>
      <c r="BB99" s="187"/>
      <c r="BC99" s="187"/>
      <c r="BD99" s="187"/>
      <c r="BE99" s="187"/>
      <c r="BF99" s="187"/>
      <c r="BG99" s="187"/>
      <c r="BH99" s="187"/>
      <c r="BI99" s="187"/>
      <c r="BJ99" s="187"/>
      <c r="BK99" s="187"/>
      <c r="BL99" s="187"/>
      <c r="BM99" s="187"/>
      <c r="BN99" s="187"/>
      <c r="BO99" s="187"/>
      <c r="BP99" s="187"/>
      <c r="BQ99" s="187"/>
      <c r="BR99" s="187"/>
      <c r="BS99" s="187"/>
      <c r="BT99" s="187"/>
      <c r="BU99" s="187"/>
      <c r="BV99" s="187"/>
      <c r="BW99" s="187"/>
      <c r="BX99" s="187"/>
      <c r="BY99" s="187"/>
      <c r="BZ99" s="187"/>
      <c r="CA99" s="187"/>
      <c r="CB99" s="187"/>
      <c r="CC99" s="187"/>
      <c r="CD99" s="187"/>
      <c r="CE99" s="187"/>
      <c r="CF99" s="187"/>
      <c r="CG99" s="187"/>
      <c r="CH99" s="187"/>
      <c r="CI99" s="187"/>
      <c r="CJ99" s="187"/>
      <c r="CK99" s="187"/>
      <c r="CL99" s="187"/>
      <c r="CM99" s="187"/>
      <c r="CN99" s="187"/>
      <c r="CO99" s="187"/>
      <c r="CP99" s="187"/>
      <c r="CQ99" s="187"/>
      <c r="CR99" s="187"/>
      <c r="CS99" s="187"/>
      <c r="CT99" s="187"/>
      <c r="CU99" s="187"/>
      <c r="CV99" s="187"/>
      <c r="CW99" s="187"/>
      <c r="CX99" s="187"/>
      <c r="CY99" s="187"/>
      <c r="CZ99" s="187"/>
      <c r="DA99" s="187"/>
      <c r="DB99" s="187"/>
      <c r="DC99" s="187"/>
      <c r="DD99" s="187"/>
      <c r="DE99" s="187"/>
      <c r="DF99" s="187"/>
      <c r="DG99" s="187"/>
      <c r="DH99" s="187"/>
      <c r="DI99" s="187"/>
      <c r="DJ99" s="187"/>
      <c r="DK99" s="187"/>
      <c r="DL99" s="187"/>
      <c r="DM99" s="187"/>
      <c r="DN99" s="187"/>
      <c r="DO99" s="187"/>
      <c r="DP99" s="187"/>
      <c r="DQ99" s="187"/>
      <c r="DR99" s="187"/>
      <c r="DS99" s="187"/>
      <c r="DT99" s="187"/>
      <c r="DU99" s="187"/>
      <c r="DV99" s="187"/>
      <c r="DW99" s="187"/>
      <c r="DX99" s="187"/>
      <c r="DY99" s="187"/>
      <c r="DZ99" s="187"/>
      <c r="EA99" s="187"/>
      <c r="EB99" s="187"/>
      <c r="EC99" s="187"/>
      <c r="ED99" s="187"/>
      <c r="EE99" s="187"/>
      <c r="EF99" s="187"/>
      <c r="EG99" s="187"/>
      <c r="EH99" s="187"/>
      <c r="EI99" s="187"/>
      <c r="EJ99" s="187"/>
      <c r="EK99" s="187"/>
      <c r="EL99" s="187"/>
      <c r="EM99" s="187"/>
      <c r="EN99" s="187"/>
      <c r="EO99" s="187"/>
    </row>
    <row r="100" spans="1:145" ht="13.9" customHeight="1" x14ac:dyDescent="0.2"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  <c r="AB100" s="187"/>
      <c r="AC100" s="187"/>
      <c r="AD100" s="187"/>
      <c r="AE100" s="187"/>
      <c r="AF100" s="187"/>
      <c r="AG100" s="187"/>
      <c r="AH100" s="187"/>
      <c r="AI100" s="187"/>
      <c r="AJ100" s="187"/>
      <c r="AK100" s="187"/>
      <c r="AL100" s="187"/>
      <c r="AM100" s="187"/>
      <c r="AN100" s="187"/>
      <c r="AO100" s="187"/>
      <c r="AP100" s="187"/>
      <c r="AQ100" s="187"/>
      <c r="AR100" s="187"/>
      <c r="AS100" s="187"/>
      <c r="AT100" s="187"/>
      <c r="AU100" s="187"/>
      <c r="AV100" s="187"/>
      <c r="AW100" s="187"/>
      <c r="AX100" s="187"/>
      <c r="AY100" s="187"/>
      <c r="AZ100" s="187"/>
      <c r="BA100" s="187"/>
      <c r="BB100" s="187"/>
      <c r="BC100" s="187"/>
      <c r="BD100" s="187"/>
      <c r="BE100" s="187"/>
      <c r="BF100" s="187"/>
      <c r="BG100" s="187"/>
      <c r="BH100" s="187"/>
      <c r="BI100" s="187"/>
      <c r="BJ100" s="187"/>
      <c r="BK100" s="187"/>
      <c r="BL100" s="187"/>
      <c r="BM100" s="187"/>
      <c r="BN100" s="187"/>
      <c r="BO100" s="187"/>
      <c r="BP100" s="187"/>
      <c r="BQ100" s="187"/>
      <c r="BR100" s="187"/>
      <c r="BS100" s="187"/>
      <c r="BT100" s="187"/>
      <c r="BU100" s="187"/>
      <c r="BV100" s="187"/>
      <c r="BW100" s="187"/>
      <c r="BX100" s="187"/>
      <c r="BY100" s="187"/>
      <c r="BZ100" s="187"/>
      <c r="CA100" s="187"/>
      <c r="CB100" s="187"/>
      <c r="CC100" s="187"/>
      <c r="CD100" s="187"/>
      <c r="CE100" s="187"/>
      <c r="CF100" s="187"/>
      <c r="CG100" s="187"/>
      <c r="CH100" s="187"/>
      <c r="CI100" s="187"/>
      <c r="CJ100" s="187"/>
      <c r="CK100" s="187"/>
      <c r="CL100" s="187"/>
      <c r="CM100" s="187"/>
      <c r="CN100" s="187"/>
      <c r="CO100" s="187"/>
      <c r="CP100" s="187"/>
      <c r="CQ100" s="187"/>
      <c r="CR100" s="187"/>
      <c r="CS100" s="187"/>
      <c r="CT100" s="187"/>
      <c r="CU100" s="187"/>
      <c r="CV100" s="187"/>
      <c r="CW100" s="187"/>
      <c r="CX100" s="187"/>
      <c r="CY100" s="187"/>
      <c r="CZ100" s="187"/>
      <c r="DA100" s="187"/>
      <c r="DB100" s="187"/>
      <c r="DC100" s="187"/>
      <c r="DD100" s="187"/>
      <c r="DE100" s="187"/>
      <c r="DF100" s="187"/>
      <c r="DG100" s="187"/>
      <c r="DH100" s="187"/>
      <c r="DI100" s="187"/>
      <c r="DJ100" s="187"/>
      <c r="DK100" s="187"/>
      <c r="DL100" s="187"/>
      <c r="DM100" s="187"/>
      <c r="DN100" s="187"/>
      <c r="DO100" s="187"/>
      <c r="DP100" s="187"/>
      <c r="DQ100" s="187"/>
      <c r="DR100" s="187"/>
      <c r="DS100" s="187"/>
      <c r="DT100" s="187"/>
      <c r="DU100" s="187"/>
      <c r="DV100" s="187"/>
      <c r="DW100" s="187"/>
      <c r="DX100" s="187"/>
      <c r="DY100" s="187"/>
      <c r="DZ100" s="187"/>
      <c r="EA100" s="187"/>
      <c r="EB100" s="187"/>
      <c r="EC100" s="187"/>
      <c r="ED100" s="187"/>
      <c r="EE100" s="187"/>
      <c r="EF100" s="187"/>
      <c r="EG100" s="187"/>
      <c r="EH100" s="187"/>
      <c r="EI100" s="187"/>
      <c r="EJ100" s="187"/>
      <c r="EK100" s="187"/>
      <c r="EL100" s="187"/>
      <c r="EM100" s="187"/>
      <c r="EN100" s="187"/>
      <c r="EO100" s="187"/>
    </row>
    <row r="101" spans="1:145" ht="13.9" customHeight="1" x14ac:dyDescent="0.2"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  <c r="AB101" s="187"/>
      <c r="AC101" s="187"/>
      <c r="AD101" s="187"/>
      <c r="AE101" s="187"/>
      <c r="AF101" s="187"/>
      <c r="AG101" s="187"/>
      <c r="AH101" s="187"/>
      <c r="AI101" s="187"/>
      <c r="AJ101" s="187"/>
      <c r="AK101" s="187"/>
      <c r="AL101" s="187"/>
      <c r="AM101" s="187"/>
      <c r="AN101" s="187"/>
      <c r="AO101" s="187"/>
      <c r="AP101" s="187"/>
      <c r="AQ101" s="187"/>
      <c r="AR101" s="187"/>
      <c r="AS101" s="187"/>
      <c r="AT101" s="187"/>
      <c r="AU101" s="187"/>
      <c r="AV101" s="187"/>
      <c r="AW101" s="187"/>
      <c r="AX101" s="187"/>
      <c r="AY101" s="187"/>
      <c r="AZ101" s="187"/>
      <c r="BA101" s="187"/>
      <c r="BB101" s="187"/>
      <c r="BC101" s="187"/>
      <c r="BD101" s="187"/>
      <c r="BE101" s="187"/>
      <c r="BF101" s="187"/>
      <c r="BG101" s="187"/>
      <c r="BH101" s="187"/>
      <c r="BI101" s="187"/>
      <c r="BJ101" s="187"/>
      <c r="BK101" s="187"/>
      <c r="BL101" s="187"/>
      <c r="BM101" s="187"/>
      <c r="BN101" s="187"/>
      <c r="BO101" s="187"/>
      <c r="BP101" s="187"/>
      <c r="BQ101" s="187"/>
      <c r="BR101" s="187"/>
      <c r="BS101" s="187"/>
      <c r="BT101" s="187"/>
      <c r="BU101" s="187"/>
      <c r="BV101" s="187"/>
      <c r="BW101" s="187"/>
      <c r="BX101" s="187"/>
      <c r="BY101" s="187"/>
      <c r="BZ101" s="187"/>
      <c r="CA101" s="187"/>
      <c r="CB101" s="187"/>
      <c r="CC101" s="187"/>
      <c r="CD101" s="187"/>
      <c r="CE101" s="187"/>
      <c r="CF101" s="187"/>
      <c r="CG101" s="187"/>
      <c r="CH101" s="187"/>
      <c r="CI101" s="187"/>
      <c r="CJ101" s="187"/>
      <c r="CK101" s="187"/>
      <c r="CL101" s="187"/>
      <c r="CM101" s="187"/>
      <c r="CN101" s="187"/>
      <c r="CO101" s="187"/>
      <c r="CP101" s="187"/>
      <c r="CQ101" s="187"/>
      <c r="CR101" s="187"/>
      <c r="CS101" s="187"/>
      <c r="CT101" s="187"/>
      <c r="CU101" s="187"/>
      <c r="CV101" s="187"/>
      <c r="CW101" s="187"/>
      <c r="CX101" s="187"/>
      <c r="CY101" s="187"/>
      <c r="CZ101" s="187"/>
      <c r="DA101" s="187"/>
      <c r="DB101" s="187"/>
      <c r="DC101" s="187"/>
      <c r="DD101" s="187"/>
      <c r="DE101" s="187"/>
      <c r="DF101" s="187"/>
      <c r="DG101" s="187"/>
      <c r="DH101" s="187"/>
      <c r="DI101" s="187"/>
      <c r="DJ101" s="187"/>
      <c r="DK101" s="187"/>
      <c r="DL101" s="187"/>
      <c r="DM101" s="187"/>
      <c r="DN101" s="187"/>
      <c r="DO101" s="187"/>
      <c r="DP101" s="187"/>
      <c r="DQ101" s="187"/>
      <c r="DR101" s="187"/>
      <c r="DS101" s="187"/>
      <c r="DT101" s="187"/>
      <c r="DU101" s="187"/>
      <c r="DV101" s="187"/>
      <c r="DW101" s="187"/>
      <c r="DX101" s="187"/>
      <c r="DY101" s="187"/>
      <c r="DZ101" s="187"/>
      <c r="EA101" s="187"/>
      <c r="EB101" s="187"/>
      <c r="EC101" s="187"/>
      <c r="ED101" s="187"/>
      <c r="EE101" s="187"/>
      <c r="EF101" s="187"/>
      <c r="EG101" s="187"/>
      <c r="EH101" s="187"/>
      <c r="EI101" s="187"/>
      <c r="EJ101" s="187"/>
      <c r="EK101" s="187"/>
      <c r="EL101" s="187"/>
      <c r="EM101" s="187"/>
      <c r="EN101" s="187"/>
      <c r="EO101" s="187"/>
    </row>
    <row r="102" spans="1:145" ht="13.9" customHeight="1" x14ac:dyDescent="0.2"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  <c r="AB102" s="187"/>
      <c r="AC102" s="187"/>
      <c r="AD102" s="187"/>
      <c r="AE102" s="187"/>
      <c r="AF102" s="187"/>
      <c r="AG102" s="187"/>
      <c r="AH102" s="187"/>
      <c r="AI102" s="187"/>
      <c r="AJ102" s="187"/>
      <c r="AK102" s="187"/>
      <c r="AL102" s="187"/>
      <c r="AM102" s="187"/>
      <c r="AN102" s="187"/>
      <c r="AO102" s="187"/>
      <c r="AP102" s="187"/>
      <c r="AQ102" s="187"/>
      <c r="AR102" s="187"/>
      <c r="AS102" s="187"/>
      <c r="AT102" s="187"/>
      <c r="AU102" s="187"/>
      <c r="AV102" s="187"/>
      <c r="AW102" s="187"/>
      <c r="AX102" s="187"/>
      <c r="AY102" s="187"/>
      <c r="AZ102" s="187"/>
      <c r="BA102" s="187"/>
      <c r="BB102" s="187"/>
      <c r="BC102" s="187"/>
      <c r="BD102" s="187"/>
      <c r="BE102" s="187"/>
      <c r="BF102" s="187"/>
      <c r="BG102" s="187"/>
      <c r="BH102" s="187"/>
      <c r="BI102" s="187"/>
      <c r="BJ102" s="187"/>
      <c r="BK102" s="187"/>
      <c r="BL102" s="187"/>
      <c r="BM102" s="187"/>
      <c r="BN102" s="187"/>
      <c r="BO102" s="187"/>
      <c r="BP102" s="187"/>
      <c r="BQ102" s="187"/>
      <c r="BR102" s="187"/>
      <c r="BS102" s="187"/>
      <c r="BT102" s="187"/>
      <c r="BU102" s="187"/>
      <c r="BV102" s="187"/>
      <c r="BW102" s="187"/>
      <c r="BX102" s="187"/>
      <c r="BY102" s="187"/>
      <c r="BZ102" s="187"/>
      <c r="CA102" s="187"/>
      <c r="CB102" s="187"/>
      <c r="CC102" s="187"/>
      <c r="CD102" s="187"/>
      <c r="CE102" s="187"/>
      <c r="CF102" s="187"/>
      <c r="CG102" s="187"/>
      <c r="CH102" s="187"/>
      <c r="CI102" s="187"/>
      <c r="CJ102" s="187"/>
      <c r="CK102" s="187"/>
      <c r="CL102" s="187"/>
      <c r="CM102" s="187"/>
      <c r="CN102" s="187"/>
      <c r="CO102" s="187"/>
      <c r="CP102" s="187"/>
      <c r="CQ102" s="187"/>
      <c r="CR102" s="187"/>
      <c r="CS102" s="187"/>
      <c r="CT102" s="187"/>
      <c r="CU102" s="187"/>
      <c r="CV102" s="187"/>
      <c r="CW102" s="187"/>
      <c r="CX102" s="187"/>
      <c r="CY102" s="187"/>
      <c r="CZ102" s="187"/>
      <c r="DA102" s="187"/>
      <c r="DB102" s="187"/>
      <c r="DC102" s="187"/>
      <c r="DD102" s="187"/>
      <c r="DE102" s="187"/>
      <c r="DF102" s="187"/>
      <c r="DG102" s="187"/>
      <c r="DH102" s="187"/>
      <c r="DI102" s="187"/>
      <c r="DJ102" s="187"/>
      <c r="DK102" s="187"/>
      <c r="DL102" s="187"/>
      <c r="DM102" s="187"/>
      <c r="DN102" s="187"/>
      <c r="DO102" s="187"/>
      <c r="DP102" s="187"/>
      <c r="DQ102" s="187"/>
      <c r="DR102" s="187"/>
      <c r="DS102" s="187"/>
      <c r="DT102" s="187"/>
      <c r="DU102" s="187"/>
      <c r="DV102" s="187"/>
      <c r="DW102" s="187"/>
      <c r="DX102" s="187"/>
      <c r="DY102" s="187"/>
      <c r="DZ102" s="187"/>
      <c r="EA102" s="187"/>
      <c r="EB102" s="187"/>
      <c r="EC102" s="187"/>
      <c r="ED102" s="187"/>
      <c r="EE102" s="187"/>
      <c r="EF102" s="187"/>
      <c r="EG102" s="187"/>
      <c r="EH102" s="187"/>
      <c r="EI102" s="187"/>
      <c r="EJ102" s="187"/>
      <c r="EK102" s="187"/>
      <c r="EL102" s="187"/>
      <c r="EM102" s="187"/>
      <c r="EN102" s="187"/>
      <c r="EO102" s="187"/>
    </row>
    <row r="103" spans="1:145" ht="13.9" customHeight="1" x14ac:dyDescent="0.2"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  <c r="AB103" s="187"/>
      <c r="AC103" s="187"/>
      <c r="AD103" s="187"/>
      <c r="AE103" s="187"/>
      <c r="AF103" s="187"/>
      <c r="AG103" s="187"/>
      <c r="AH103" s="187"/>
      <c r="AI103" s="187"/>
      <c r="AJ103" s="187"/>
      <c r="AK103" s="187"/>
      <c r="AL103" s="187"/>
      <c r="AM103" s="187"/>
      <c r="AN103" s="187"/>
      <c r="AO103" s="187"/>
      <c r="AP103" s="187"/>
      <c r="AQ103" s="187"/>
      <c r="AR103" s="187"/>
      <c r="AS103" s="187"/>
      <c r="AT103" s="187"/>
      <c r="AU103" s="187"/>
      <c r="AV103" s="187"/>
      <c r="AW103" s="187"/>
      <c r="AX103" s="187"/>
      <c r="AY103" s="187"/>
      <c r="AZ103" s="187"/>
      <c r="BA103" s="187"/>
      <c r="BB103" s="187"/>
      <c r="BC103" s="187"/>
      <c r="BD103" s="187"/>
      <c r="BE103" s="187"/>
      <c r="BF103" s="187"/>
      <c r="BG103" s="187"/>
      <c r="BH103" s="187"/>
      <c r="BI103" s="187"/>
      <c r="BJ103" s="187"/>
      <c r="BK103" s="187"/>
      <c r="BL103" s="187"/>
      <c r="BM103" s="187"/>
      <c r="BN103" s="187"/>
      <c r="BO103" s="187"/>
      <c r="BP103" s="187"/>
      <c r="BQ103" s="187"/>
      <c r="BR103" s="187"/>
      <c r="BS103" s="187"/>
      <c r="BT103" s="187"/>
      <c r="BU103" s="187"/>
      <c r="BV103" s="187"/>
      <c r="BW103" s="187"/>
      <c r="BX103" s="187"/>
      <c r="BY103" s="187"/>
      <c r="BZ103" s="187"/>
      <c r="CA103" s="187"/>
      <c r="CB103" s="187"/>
      <c r="CC103" s="187"/>
      <c r="CD103" s="187"/>
      <c r="CE103" s="187"/>
      <c r="CF103" s="187"/>
      <c r="CG103" s="187"/>
      <c r="CH103" s="187"/>
      <c r="CI103" s="187"/>
      <c r="CJ103" s="187"/>
      <c r="CK103" s="187"/>
      <c r="CL103" s="187"/>
      <c r="CM103" s="187"/>
      <c r="CN103" s="187"/>
      <c r="CO103" s="187"/>
      <c r="CP103" s="187"/>
      <c r="CQ103" s="187"/>
      <c r="CR103" s="187"/>
      <c r="CS103" s="187"/>
      <c r="CT103" s="187"/>
      <c r="CU103" s="187"/>
      <c r="CV103" s="187"/>
      <c r="CW103" s="187"/>
      <c r="CX103" s="187"/>
      <c r="CY103" s="187"/>
      <c r="CZ103" s="187"/>
      <c r="DA103" s="187"/>
      <c r="DB103" s="187"/>
      <c r="DC103" s="187"/>
      <c r="DD103" s="187"/>
      <c r="DE103" s="187"/>
      <c r="DF103" s="187"/>
      <c r="DG103" s="187"/>
      <c r="DH103" s="187"/>
      <c r="DI103" s="187"/>
      <c r="DJ103" s="187"/>
      <c r="DK103" s="187"/>
      <c r="DL103" s="187"/>
      <c r="DM103" s="187"/>
      <c r="DN103" s="187"/>
      <c r="DO103" s="187"/>
      <c r="DP103" s="187"/>
      <c r="DQ103" s="187"/>
      <c r="DR103" s="187"/>
      <c r="DS103" s="187"/>
      <c r="DT103" s="187"/>
      <c r="DU103" s="187"/>
      <c r="DV103" s="187"/>
      <c r="DW103" s="187"/>
      <c r="DX103" s="187"/>
      <c r="DY103" s="187"/>
      <c r="DZ103" s="187"/>
      <c r="EA103" s="187"/>
      <c r="EB103" s="187"/>
      <c r="EC103" s="187"/>
      <c r="ED103" s="187"/>
      <c r="EE103" s="187"/>
      <c r="EF103" s="187"/>
      <c r="EG103" s="187"/>
      <c r="EH103" s="187"/>
      <c r="EI103" s="187"/>
      <c r="EJ103" s="187"/>
      <c r="EK103" s="187"/>
      <c r="EL103" s="187"/>
      <c r="EM103" s="187"/>
      <c r="EN103" s="187"/>
      <c r="EO103" s="187"/>
    </row>
    <row r="104" spans="1:145" ht="13.9" customHeight="1" x14ac:dyDescent="0.2"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  <c r="AB104" s="187"/>
      <c r="AC104" s="187"/>
      <c r="AD104" s="187"/>
      <c r="AE104" s="187"/>
      <c r="AF104" s="187"/>
      <c r="AG104" s="187"/>
      <c r="AH104" s="187"/>
      <c r="AI104" s="187"/>
      <c r="AJ104" s="187"/>
      <c r="AK104" s="187"/>
      <c r="AL104" s="187"/>
      <c r="AM104" s="187"/>
      <c r="AN104" s="187"/>
      <c r="AO104" s="187"/>
      <c r="AP104" s="187"/>
      <c r="AQ104" s="187"/>
      <c r="AR104" s="187"/>
      <c r="AS104" s="187"/>
      <c r="AT104" s="187"/>
      <c r="AU104" s="187"/>
      <c r="AV104" s="187"/>
      <c r="AW104" s="187"/>
      <c r="AX104" s="187"/>
      <c r="AY104" s="187"/>
      <c r="AZ104" s="187"/>
      <c r="BA104" s="187"/>
      <c r="BB104" s="187"/>
      <c r="BC104" s="187"/>
      <c r="BD104" s="187"/>
      <c r="BE104" s="187"/>
      <c r="BF104" s="187"/>
      <c r="BG104" s="187"/>
      <c r="BH104" s="187"/>
      <c r="BI104" s="187"/>
      <c r="BJ104" s="187"/>
      <c r="BK104" s="187"/>
      <c r="BL104" s="187"/>
      <c r="BM104" s="187"/>
      <c r="BN104" s="187"/>
      <c r="BO104" s="187"/>
      <c r="BP104" s="187"/>
      <c r="BQ104" s="187"/>
      <c r="BR104" s="187"/>
      <c r="BS104" s="187"/>
      <c r="BT104" s="187"/>
      <c r="BU104" s="187"/>
      <c r="BV104" s="187"/>
      <c r="BW104" s="187"/>
      <c r="BX104" s="187"/>
      <c r="BY104" s="187"/>
      <c r="BZ104" s="187"/>
      <c r="CA104" s="187"/>
      <c r="CB104" s="187"/>
      <c r="CC104" s="187"/>
      <c r="CD104" s="187"/>
      <c r="CE104" s="187"/>
      <c r="CF104" s="187"/>
      <c r="CG104" s="187"/>
      <c r="CH104" s="187"/>
      <c r="CI104" s="187"/>
      <c r="CJ104" s="187"/>
      <c r="CK104" s="187"/>
      <c r="CL104" s="187"/>
      <c r="CM104" s="187"/>
      <c r="CN104" s="187"/>
      <c r="CO104" s="187"/>
      <c r="CP104" s="187"/>
      <c r="CQ104" s="187"/>
      <c r="CR104" s="187"/>
      <c r="CS104" s="187"/>
      <c r="CT104" s="187"/>
      <c r="CU104" s="187"/>
      <c r="CV104" s="187"/>
      <c r="CW104" s="187"/>
      <c r="CX104" s="187"/>
      <c r="CY104" s="187"/>
      <c r="CZ104" s="187"/>
      <c r="DA104" s="187"/>
      <c r="DB104" s="187"/>
      <c r="DC104" s="187"/>
      <c r="DD104" s="187"/>
      <c r="DE104" s="187"/>
      <c r="DF104" s="187"/>
      <c r="DG104" s="187"/>
      <c r="DH104" s="187"/>
      <c r="DI104" s="187"/>
      <c r="DJ104" s="187"/>
      <c r="DK104" s="187"/>
      <c r="DL104" s="187"/>
      <c r="DM104" s="187"/>
      <c r="DN104" s="187"/>
      <c r="DO104" s="187"/>
      <c r="DP104" s="187"/>
      <c r="DQ104" s="187"/>
      <c r="DR104" s="187"/>
      <c r="DS104" s="187"/>
      <c r="DT104" s="187"/>
      <c r="DU104" s="187"/>
      <c r="DV104" s="187"/>
      <c r="DW104" s="187"/>
      <c r="DX104" s="187"/>
      <c r="DY104" s="187"/>
      <c r="DZ104" s="187"/>
      <c r="EA104" s="187"/>
      <c r="EB104" s="187"/>
      <c r="EC104" s="187"/>
      <c r="ED104" s="187"/>
      <c r="EE104" s="187"/>
      <c r="EF104" s="187"/>
      <c r="EG104" s="187"/>
      <c r="EH104" s="187"/>
      <c r="EI104" s="187"/>
      <c r="EJ104" s="187"/>
      <c r="EK104" s="187"/>
      <c r="EL104" s="187"/>
      <c r="EM104" s="187"/>
      <c r="EN104" s="187"/>
      <c r="EO104" s="187"/>
    </row>
    <row r="105" spans="1:145" ht="13.9" customHeight="1" x14ac:dyDescent="0.2"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  <c r="AB105" s="187"/>
      <c r="AC105" s="187"/>
      <c r="AD105" s="187"/>
      <c r="AE105" s="187"/>
      <c r="AF105" s="187"/>
      <c r="AG105" s="187"/>
      <c r="AH105" s="187"/>
      <c r="AI105" s="187"/>
      <c r="AJ105" s="187"/>
      <c r="AK105" s="187"/>
      <c r="AL105" s="187"/>
      <c r="AM105" s="187"/>
      <c r="AN105" s="187"/>
      <c r="AO105" s="187"/>
      <c r="AP105" s="187"/>
      <c r="AQ105" s="187"/>
      <c r="AR105" s="187"/>
      <c r="AS105" s="187"/>
      <c r="AT105" s="187"/>
      <c r="AU105" s="187"/>
      <c r="AV105" s="187"/>
      <c r="AW105" s="187"/>
      <c r="AX105" s="187"/>
      <c r="AY105" s="187"/>
      <c r="AZ105" s="187"/>
      <c r="BA105" s="187"/>
      <c r="BB105" s="187"/>
      <c r="BC105" s="187"/>
      <c r="BD105" s="187"/>
      <c r="BE105" s="187"/>
      <c r="BF105" s="187"/>
      <c r="BG105" s="187"/>
      <c r="BH105" s="187"/>
      <c r="BI105" s="187"/>
      <c r="BJ105" s="187"/>
      <c r="BK105" s="187"/>
      <c r="BL105" s="187"/>
      <c r="BM105" s="187"/>
      <c r="BN105" s="187"/>
      <c r="BO105" s="187"/>
      <c r="BP105" s="187"/>
      <c r="BQ105" s="187"/>
      <c r="BR105" s="187"/>
      <c r="BS105" s="187"/>
      <c r="BT105" s="187"/>
      <c r="BU105" s="187"/>
      <c r="BV105" s="187"/>
      <c r="BW105" s="187"/>
      <c r="BX105" s="187"/>
      <c r="BY105" s="187"/>
      <c r="BZ105" s="187"/>
      <c r="CA105" s="187"/>
      <c r="CB105" s="187"/>
      <c r="CC105" s="187"/>
      <c r="CD105" s="187"/>
      <c r="CE105" s="187"/>
      <c r="CF105" s="187"/>
      <c r="CG105" s="187"/>
      <c r="CH105" s="187"/>
      <c r="CI105" s="187"/>
      <c r="CJ105" s="187"/>
      <c r="CK105" s="187"/>
      <c r="CL105" s="187"/>
      <c r="CM105" s="187"/>
      <c r="CN105" s="187"/>
      <c r="CO105" s="187"/>
      <c r="CP105" s="187"/>
      <c r="CQ105" s="187"/>
      <c r="CR105" s="187"/>
      <c r="CS105" s="187"/>
      <c r="CT105" s="187"/>
      <c r="CU105" s="187"/>
      <c r="CV105" s="187"/>
      <c r="CW105" s="187"/>
      <c r="CX105" s="187"/>
      <c r="CY105" s="187"/>
      <c r="CZ105" s="187"/>
      <c r="DA105" s="187"/>
      <c r="DB105" s="187"/>
      <c r="DC105" s="187"/>
      <c r="DD105" s="187"/>
      <c r="DE105" s="187"/>
      <c r="DF105" s="187"/>
      <c r="DG105" s="187"/>
      <c r="DH105" s="187"/>
      <c r="DI105" s="187"/>
      <c r="DJ105" s="187"/>
      <c r="DK105" s="187"/>
      <c r="DL105" s="187"/>
      <c r="DM105" s="187"/>
      <c r="DN105" s="187"/>
      <c r="DO105" s="187"/>
      <c r="DP105" s="187"/>
      <c r="DQ105" s="187"/>
      <c r="DR105" s="187"/>
      <c r="DS105" s="187"/>
      <c r="DT105" s="187"/>
      <c r="DU105" s="187"/>
      <c r="DV105" s="187"/>
      <c r="DW105" s="187"/>
      <c r="DX105" s="187"/>
      <c r="DY105" s="187"/>
      <c r="DZ105" s="187"/>
      <c r="EA105" s="187"/>
      <c r="EB105" s="187"/>
      <c r="EC105" s="187"/>
      <c r="ED105" s="187"/>
      <c r="EE105" s="187"/>
      <c r="EF105" s="187"/>
      <c r="EG105" s="187"/>
      <c r="EH105" s="187"/>
      <c r="EI105" s="187"/>
      <c r="EJ105" s="187"/>
      <c r="EK105" s="187"/>
      <c r="EL105" s="187"/>
      <c r="EM105" s="187"/>
      <c r="EN105" s="187"/>
      <c r="EO105" s="187"/>
    </row>
    <row r="106" spans="1:145" ht="13.9" customHeight="1" x14ac:dyDescent="0.2"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  <c r="AB106" s="187"/>
      <c r="AC106" s="187"/>
      <c r="AD106" s="187"/>
      <c r="AE106" s="187"/>
      <c r="AF106" s="187"/>
      <c r="AG106" s="187"/>
      <c r="AH106" s="187"/>
      <c r="AI106" s="187"/>
      <c r="AJ106" s="187"/>
      <c r="AK106" s="187"/>
      <c r="AL106" s="187"/>
      <c r="AM106" s="187"/>
      <c r="AN106" s="187"/>
      <c r="AO106" s="187"/>
      <c r="AP106" s="187"/>
      <c r="AQ106" s="187"/>
      <c r="AR106" s="187"/>
      <c r="AS106" s="187"/>
      <c r="AT106" s="187"/>
      <c r="AU106" s="187"/>
      <c r="AV106" s="187"/>
      <c r="AW106" s="187"/>
      <c r="AX106" s="187"/>
      <c r="AY106" s="187"/>
      <c r="AZ106" s="187"/>
      <c r="BA106" s="187"/>
      <c r="BB106" s="187"/>
      <c r="BC106" s="187"/>
      <c r="BD106" s="187"/>
      <c r="BE106" s="187"/>
      <c r="BF106" s="187"/>
      <c r="BG106" s="187"/>
      <c r="BH106" s="187"/>
      <c r="BI106" s="187"/>
      <c r="BJ106" s="187"/>
      <c r="BK106" s="187"/>
      <c r="BL106" s="187"/>
      <c r="BM106" s="187"/>
      <c r="BN106" s="187"/>
      <c r="BO106" s="187"/>
      <c r="BP106" s="187"/>
      <c r="BQ106" s="187"/>
      <c r="BR106" s="187"/>
      <c r="BS106" s="187"/>
      <c r="BT106" s="187"/>
      <c r="BU106" s="187"/>
      <c r="BV106" s="187"/>
      <c r="BW106" s="187"/>
      <c r="BX106" s="187"/>
      <c r="BY106" s="187"/>
      <c r="BZ106" s="187"/>
      <c r="CA106" s="187"/>
      <c r="CB106" s="187"/>
      <c r="CC106" s="187"/>
      <c r="CD106" s="187"/>
      <c r="CE106" s="187"/>
      <c r="CF106" s="187"/>
      <c r="CG106" s="187"/>
      <c r="CH106" s="187"/>
      <c r="CI106" s="187"/>
      <c r="CJ106" s="187"/>
      <c r="CK106" s="187"/>
      <c r="CL106" s="187"/>
      <c r="CM106" s="187"/>
      <c r="CN106" s="187"/>
      <c r="CO106" s="187"/>
      <c r="CP106" s="187"/>
      <c r="CQ106" s="187"/>
      <c r="CR106" s="187"/>
      <c r="CS106" s="187"/>
      <c r="CT106" s="187"/>
      <c r="CU106" s="187"/>
      <c r="CV106" s="187"/>
      <c r="CW106" s="187"/>
      <c r="CX106" s="187"/>
      <c r="CY106" s="187"/>
      <c r="CZ106" s="187"/>
      <c r="DA106" s="187"/>
      <c r="DB106" s="187"/>
      <c r="DC106" s="187"/>
      <c r="DD106" s="187"/>
      <c r="DE106" s="187"/>
      <c r="DF106" s="187"/>
      <c r="DG106" s="187"/>
      <c r="DH106" s="187"/>
      <c r="DI106" s="187"/>
      <c r="DJ106" s="187"/>
      <c r="DK106" s="187"/>
      <c r="DL106" s="187"/>
      <c r="DM106" s="187"/>
      <c r="DN106" s="187"/>
      <c r="DO106" s="187"/>
      <c r="DP106" s="187"/>
      <c r="DQ106" s="187"/>
      <c r="DR106" s="187"/>
      <c r="DS106" s="187"/>
      <c r="DT106" s="187"/>
      <c r="DU106" s="187"/>
      <c r="DV106" s="187"/>
      <c r="DW106" s="187"/>
      <c r="DX106" s="187"/>
      <c r="DY106" s="187"/>
      <c r="DZ106" s="187"/>
      <c r="EA106" s="187"/>
      <c r="EB106" s="187"/>
      <c r="EC106" s="187"/>
      <c r="ED106" s="187"/>
      <c r="EE106" s="187"/>
      <c r="EF106" s="187"/>
      <c r="EG106" s="187"/>
      <c r="EH106" s="187"/>
      <c r="EI106" s="187"/>
      <c r="EJ106" s="187"/>
      <c r="EK106" s="187"/>
      <c r="EL106" s="187"/>
      <c r="EM106" s="187"/>
      <c r="EN106" s="187"/>
      <c r="EO106" s="187"/>
    </row>
    <row r="107" spans="1:145" ht="13.9" customHeight="1" x14ac:dyDescent="0.2"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  <c r="AB107" s="187"/>
      <c r="AC107" s="187"/>
      <c r="AD107" s="187"/>
      <c r="AE107" s="187"/>
      <c r="AF107" s="187"/>
      <c r="AG107" s="187"/>
      <c r="AH107" s="187"/>
      <c r="AI107" s="187"/>
      <c r="AJ107" s="187"/>
      <c r="AK107" s="187"/>
      <c r="AL107" s="187"/>
      <c r="AM107" s="187"/>
      <c r="AN107" s="187"/>
      <c r="AO107" s="187"/>
      <c r="AP107" s="187"/>
      <c r="AQ107" s="187"/>
      <c r="AR107" s="187"/>
      <c r="AS107" s="187"/>
      <c r="AT107" s="187"/>
      <c r="AU107" s="187"/>
      <c r="AV107" s="187"/>
      <c r="AW107" s="187"/>
      <c r="AX107" s="187"/>
      <c r="AY107" s="187"/>
      <c r="AZ107" s="187"/>
      <c r="BA107" s="187"/>
      <c r="BB107" s="187"/>
      <c r="BC107" s="187"/>
      <c r="BD107" s="187"/>
      <c r="BE107" s="187"/>
      <c r="BF107" s="187"/>
      <c r="BG107" s="187"/>
      <c r="BH107" s="187"/>
      <c r="BI107" s="187"/>
      <c r="BJ107" s="187"/>
      <c r="BK107" s="187"/>
      <c r="BL107" s="187"/>
      <c r="BM107" s="187"/>
      <c r="BN107" s="187"/>
      <c r="BO107" s="187"/>
      <c r="BP107" s="187"/>
      <c r="BQ107" s="187"/>
      <c r="BR107" s="187"/>
      <c r="BS107" s="187"/>
      <c r="BT107" s="187"/>
      <c r="BU107" s="187"/>
      <c r="BV107" s="187"/>
      <c r="BW107" s="187"/>
      <c r="BX107" s="187"/>
      <c r="BY107" s="187"/>
      <c r="BZ107" s="187"/>
      <c r="CA107" s="187"/>
      <c r="CB107" s="187"/>
      <c r="CC107" s="187"/>
      <c r="CD107" s="187"/>
      <c r="CE107" s="187"/>
      <c r="CF107" s="187"/>
      <c r="CG107" s="187"/>
      <c r="CH107" s="187"/>
      <c r="CI107" s="187"/>
      <c r="CJ107" s="187"/>
      <c r="CK107" s="187"/>
      <c r="CL107" s="187"/>
      <c r="CM107" s="187"/>
      <c r="CN107" s="187"/>
      <c r="CO107" s="187"/>
      <c r="CP107" s="187"/>
      <c r="CQ107" s="187"/>
      <c r="CR107" s="187"/>
      <c r="CS107" s="187"/>
      <c r="CT107" s="187"/>
      <c r="CU107" s="187"/>
      <c r="CV107" s="187"/>
      <c r="CW107" s="187"/>
      <c r="CX107" s="187"/>
      <c r="CY107" s="187"/>
      <c r="CZ107" s="187"/>
      <c r="DA107" s="187"/>
      <c r="DB107" s="187"/>
      <c r="DC107" s="187"/>
      <c r="DD107" s="187"/>
      <c r="DE107" s="187"/>
      <c r="DF107" s="187"/>
      <c r="DG107" s="187"/>
      <c r="DH107" s="187"/>
      <c r="DI107" s="187"/>
      <c r="DJ107" s="187"/>
      <c r="DK107" s="187"/>
      <c r="DL107" s="187"/>
      <c r="DM107" s="187"/>
      <c r="DN107" s="187"/>
      <c r="DO107" s="187"/>
      <c r="DP107" s="187"/>
      <c r="DQ107" s="187"/>
      <c r="DR107" s="187"/>
      <c r="DS107" s="187"/>
      <c r="DT107" s="187"/>
      <c r="DU107" s="187"/>
      <c r="DV107" s="187"/>
      <c r="DW107" s="187"/>
      <c r="DX107" s="187"/>
      <c r="DY107" s="187"/>
      <c r="DZ107" s="187"/>
      <c r="EA107" s="187"/>
      <c r="EB107" s="187"/>
      <c r="EC107" s="187"/>
      <c r="ED107" s="187"/>
      <c r="EE107" s="187"/>
      <c r="EF107" s="187"/>
      <c r="EG107" s="187"/>
      <c r="EH107" s="187"/>
      <c r="EI107" s="187"/>
      <c r="EJ107" s="187"/>
      <c r="EK107" s="187"/>
      <c r="EL107" s="187"/>
      <c r="EM107" s="187"/>
      <c r="EN107" s="187"/>
      <c r="EO107" s="187"/>
    </row>
    <row r="108" spans="1:145" ht="13.9" customHeight="1" x14ac:dyDescent="0.2"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  <c r="AB108" s="187"/>
      <c r="AC108" s="187"/>
      <c r="AD108" s="187"/>
      <c r="AE108" s="187"/>
      <c r="AF108" s="187"/>
      <c r="AG108" s="187"/>
      <c r="AH108" s="187"/>
      <c r="AI108" s="187"/>
      <c r="AJ108" s="187"/>
      <c r="AK108" s="187"/>
      <c r="AL108" s="187"/>
      <c r="AM108" s="187"/>
      <c r="AN108" s="187"/>
      <c r="AO108" s="187"/>
      <c r="AP108" s="187"/>
      <c r="AQ108" s="187"/>
      <c r="AR108" s="187"/>
      <c r="AS108" s="187"/>
      <c r="AT108" s="187"/>
      <c r="AU108" s="187"/>
      <c r="AV108" s="187"/>
      <c r="AW108" s="187"/>
      <c r="AX108" s="187"/>
      <c r="AY108" s="187"/>
      <c r="AZ108" s="187"/>
      <c r="BA108" s="187"/>
      <c r="BB108" s="187"/>
      <c r="BC108" s="187"/>
      <c r="BD108" s="187"/>
      <c r="BE108" s="187"/>
      <c r="BF108" s="187"/>
      <c r="BG108" s="187"/>
      <c r="BH108" s="187"/>
      <c r="BI108" s="187"/>
      <c r="BJ108" s="187"/>
      <c r="BK108" s="187"/>
      <c r="BL108" s="187"/>
      <c r="BM108" s="187"/>
      <c r="BN108" s="187"/>
      <c r="BO108" s="187"/>
      <c r="BP108" s="187"/>
      <c r="BQ108" s="187"/>
      <c r="BR108" s="187"/>
      <c r="BS108" s="187"/>
      <c r="BT108" s="187"/>
      <c r="BU108" s="187"/>
      <c r="BV108" s="187"/>
      <c r="BW108" s="187"/>
      <c r="BX108" s="187"/>
      <c r="BY108" s="187"/>
      <c r="BZ108" s="187"/>
      <c r="CA108" s="187"/>
      <c r="CB108" s="187"/>
      <c r="CC108" s="187"/>
      <c r="CD108" s="187"/>
      <c r="CE108" s="187"/>
      <c r="CF108" s="187"/>
      <c r="CG108" s="187"/>
      <c r="CH108" s="187"/>
      <c r="CI108" s="187"/>
      <c r="CJ108" s="187"/>
      <c r="CK108" s="187"/>
      <c r="CL108" s="187"/>
      <c r="CM108" s="187"/>
      <c r="CN108" s="187"/>
      <c r="CO108" s="187"/>
      <c r="CP108" s="187"/>
      <c r="CQ108" s="187"/>
      <c r="CR108" s="187"/>
      <c r="CS108" s="187"/>
      <c r="CT108" s="187"/>
      <c r="CU108" s="187"/>
      <c r="CV108" s="187"/>
      <c r="CW108" s="187"/>
      <c r="CX108" s="187"/>
      <c r="CY108" s="187"/>
      <c r="CZ108" s="187"/>
      <c r="DA108" s="187"/>
      <c r="DB108" s="187"/>
      <c r="DC108" s="187"/>
      <c r="DD108" s="187"/>
      <c r="DE108" s="187"/>
      <c r="DF108" s="187"/>
      <c r="DG108" s="187"/>
      <c r="DH108" s="187"/>
      <c r="DI108" s="187"/>
      <c r="DJ108" s="187"/>
      <c r="DK108" s="187"/>
      <c r="DL108" s="187"/>
      <c r="DM108" s="187"/>
      <c r="DN108" s="187"/>
      <c r="DO108" s="187"/>
      <c r="DP108" s="187"/>
      <c r="DQ108" s="187"/>
      <c r="DR108" s="187"/>
      <c r="DS108" s="187"/>
      <c r="DT108" s="187"/>
      <c r="DU108" s="187"/>
      <c r="DV108" s="187"/>
      <c r="DW108" s="187"/>
      <c r="DX108" s="187"/>
      <c r="DY108" s="187"/>
      <c r="DZ108" s="187"/>
      <c r="EA108" s="187"/>
      <c r="EB108" s="187"/>
      <c r="EC108" s="187"/>
      <c r="ED108" s="187"/>
      <c r="EE108" s="187"/>
      <c r="EF108" s="187"/>
      <c r="EG108" s="187"/>
      <c r="EH108" s="187"/>
      <c r="EI108" s="187"/>
      <c r="EJ108" s="187"/>
      <c r="EK108" s="187"/>
      <c r="EL108" s="187"/>
      <c r="EM108" s="187"/>
      <c r="EN108" s="187"/>
      <c r="EO108" s="187"/>
    </row>
    <row r="109" spans="1:145" ht="13.9" customHeight="1" x14ac:dyDescent="0.2"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  <c r="AA109" s="187"/>
      <c r="AB109" s="187"/>
      <c r="AC109" s="187"/>
      <c r="AD109" s="187"/>
      <c r="AE109" s="187"/>
      <c r="AF109" s="187"/>
      <c r="AG109" s="187"/>
      <c r="AH109" s="187"/>
      <c r="AI109" s="187"/>
      <c r="AJ109" s="187"/>
      <c r="AK109" s="187"/>
      <c r="AL109" s="187"/>
      <c r="AM109" s="187"/>
      <c r="AN109" s="187"/>
      <c r="AO109" s="187"/>
      <c r="AP109" s="187"/>
      <c r="AQ109" s="187"/>
      <c r="AR109" s="187"/>
      <c r="AS109" s="187"/>
      <c r="AT109" s="187"/>
      <c r="AU109" s="187"/>
      <c r="AV109" s="187"/>
      <c r="AW109" s="187"/>
      <c r="AX109" s="187"/>
      <c r="AY109" s="187"/>
      <c r="AZ109" s="187"/>
      <c r="BA109" s="187"/>
      <c r="BB109" s="187"/>
      <c r="BC109" s="187"/>
      <c r="BD109" s="187"/>
      <c r="BE109" s="187"/>
      <c r="BF109" s="187"/>
      <c r="BG109" s="187"/>
      <c r="BH109" s="187"/>
      <c r="BI109" s="187"/>
      <c r="BJ109" s="187"/>
      <c r="BK109" s="187"/>
      <c r="BL109" s="187"/>
      <c r="BM109" s="187"/>
      <c r="BN109" s="187"/>
      <c r="BO109" s="187"/>
      <c r="BP109" s="187"/>
      <c r="BQ109" s="187"/>
      <c r="BR109" s="187"/>
      <c r="BS109" s="187"/>
      <c r="BT109" s="187"/>
      <c r="BU109" s="187"/>
      <c r="BV109" s="187"/>
      <c r="BW109" s="187"/>
      <c r="BX109" s="187"/>
      <c r="BY109" s="187"/>
      <c r="BZ109" s="187"/>
      <c r="CA109" s="187"/>
      <c r="CB109" s="187"/>
      <c r="CC109" s="187"/>
      <c r="CD109" s="187"/>
      <c r="CE109" s="187"/>
      <c r="CF109" s="187"/>
      <c r="CG109" s="187"/>
      <c r="CH109" s="187"/>
      <c r="CI109" s="187"/>
      <c r="CJ109" s="187"/>
      <c r="CK109" s="187"/>
      <c r="CL109" s="187"/>
      <c r="CM109" s="187"/>
      <c r="CN109" s="187"/>
      <c r="CO109" s="187"/>
      <c r="CP109" s="187"/>
      <c r="CQ109" s="187"/>
      <c r="CR109" s="187"/>
      <c r="CS109" s="187"/>
      <c r="CT109" s="187"/>
      <c r="CU109" s="187"/>
      <c r="CV109" s="187"/>
      <c r="CW109" s="187"/>
      <c r="CX109" s="187"/>
      <c r="CY109" s="187"/>
      <c r="CZ109" s="187"/>
      <c r="DA109" s="187"/>
      <c r="DB109" s="187"/>
      <c r="DC109" s="187"/>
      <c r="DD109" s="187"/>
      <c r="DE109" s="187"/>
      <c r="DF109" s="187"/>
      <c r="DG109" s="187"/>
      <c r="DH109" s="187"/>
      <c r="DI109" s="187"/>
      <c r="DJ109" s="187"/>
      <c r="DK109" s="187"/>
      <c r="DL109" s="187"/>
      <c r="DM109" s="187"/>
      <c r="DN109" s="187"/>
      <c r="DO109" s="187"/>
      <c r="DP109" s="187"/>
      <c r="DQ109" s="187"/>
      <c r="DR109" s="187"/>
      <c r="DS109" s="187"/>
      <c r="DT109" s="187"/>
      <c r="DU109" s="187"/>
      <c r="DV109" s="187"/>
      <c r="DW109" s="187"/>
      <c r="DX109" s="187"/>
      <c r="DY109" s="187"/>
      <c r="DZ109" s="187"/>
      <c r="EA109" s="187"/>
      <c r="EB109" s="187"/>
      <c r="EC109" s="187"/>
      <c r="ED109" s="187"/>
      <c r="EE109" s="187"/>
      <c r="EF109" s="187"/>
      <c r="EG109" s="187"/>
      <c r="EH109" s="187"/>
      <c r="EI109" s="187"/>
      <c r="EJ109" s="187"/>
      <c r="EK109" s="187"/>
      <c r="EL109" s="187"/>
      <c r="EM109" s="187"/>
      <c r="EN109" s="187"/>
      <c r="EO109" s="187"/>
    </row>
    <row r="110" spans="1:145" ht="13.9" customHeight="1" x14ac:dyDescent="0.2"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  <c r="AA110" s="187"/>
      <c r="AB110" s="187"/>
      <c r="AC110" s="187"/>
      <c r="AD110" s="187"/>
      <c r="AE110" s="187"/>
      <c r="AF110" s="187"/>
      <c r="AG110" s="187"/>
      <c r="AH110" s="187"/>
      <c r="AI110" s="187"/>
      <c r="AJ110" s="187"/>
      <c r="AK110" s="187"/>
      <c r="AL110" s="187"/>
      <c r="AM110" s="187"/>
      <c r="AN110" s="187"/>
      <c r="AO110" s="187"/>
      <c r="AP110" s="187"/>
      <c r="AQ110" s="187"/>
      <c r="AR110" s="187"/>
      <c r="AS110" s="187"/>
      <c r="AT110" s="187"/>
      <c r="AU110" s="187"/>
      <c r="AV110" s="187"/>
      <c r="AW110" s="187"/>
      <c r="AX110" s="187"/>
      <c r="AY110" s="187"/>
      <c r="AZ110" s="187"/>
      <c r="BA110" s="187"/>
      <c r="BB110" s="187"/>
      <c r="BC110" s="187"/>
      <c r="BD110" s="187"/>
      <c r="BE110" s="187"/>
      <c r="BF110" s="187"/>
      <c r="BG110" s="187"/>
      <c r="BH110" s="187"/>
      <c r="BI110" s="187"/>
      <c r="BJ110" s="187"/>
      <c r="BK110" s="187"/>
      <c r="BL110" s="187"/>
      <c r="BM110" s="187"/>
      <c r="BN110" s="187"/>
      <c r="BO110" s="187"/>
      <c r="BP110" s="187"/>
      <c r="BQ110" s="187"/>
      <c r="BR110" s="187"/>
      <c r="BS110" s="187"/>
      <c r="BT110" s="187"/>
      <c r="BU110" s="187"/>
      <c r="BV110" s="187"/>
      <c r="BW110" s="187"/>
      <c r="BX110" s="187"/>
      <c r="BY110" s="187"/>
      <c r="BZ110" s="187"/>
      <c r="CA110" s="187"/>
      <c r="CB110" s="187"/>
      <c r="CC110" s="187"/>
      <c r="CD110" s="187"/>
      <c r="CE110" s="187"/>
      <c r="CF110" s="187"/>
      <c r="CG110" s="187"/>
      <c r="CH110" s="187"/>
      <c r="CI110" s="187"/>
      <c r="CJ110" s="187"/>
      <c r="CK110" s="187"/>
      <c r="CL110" s="187"/>
      <c r="CM110" s="187"/>
      <c r="CN110" s="187"/>
      <c r="CO110" s="187"/>
      <c r="CP110" s="187"/>
      <c r="CQ110" s="187"/>
      <c r="CR110" s="187"/>
      <c r="CS110" s="187"/>
      <c r="CT110" s="187"/>
      <c r="CU110" s="187"/>
      <c r="CV110" s="187"/>
      <c r="CW110" s="187"/>
      <c r="CX110" s="187"/>
      <c r="CY110" s="187"/>
      <c r="CZ110" s="187"/>
      <c r="DA110" s="187"/>
      <c r="DB110" s="187"/>
      <c r="DC110" s="187"/>
      <c r="DD110" s="187"/>
      <c r="DE110" s="187"/>
      <c r="DF110" s="187"/>
      <c r="DG110" s="187"/>
      <c r="DH110" s="187"/>
      <c r="DI110" s="187"/>
      <c r="DJ110" s="187"/>
      <c r="DK110" s="187"/>
      <c r="DL110" s="187"/>
      <c r="DM110" s="187"/>
      <c r="DN110" s="187"/>
      <c r="DO110" s="187"/>
      <c r="DP110" s="187"/>
      <c r="DQ110" s="187"/>
      <c r="DR110" s="187"/>
      <c r="DS110" s="187"/>
      <c r="DT110" s="187"/>
      <c r="DU110" s="187"/>
      <c r="DV110" s="187"/>
      <c r="DW110" s="187"/>
      <c r="DX110" s="187"/>
      <c r="DY110" s="187"/>
      <c r="DZ110" s="187"/>
      <c r="EA110" s="187"/>
      <c r="EB110" s="187"/>
      <c r="EC110" s="187"/>
      <c r="ED110" s="187"/>
      <c r="EE110" s="187"/>
      <c r="EF110" s="187"/>
      <c r="EG110" s="187"/>
      <c r="EH110" s="187"/>
      <c r="EI110" s="187"/>
      <c r="EJ110" s="187"/>
      <c r="EK110" s="187"/>
      <c r="EL110" s="187"/>
      <c r="EM110" s="187"/>
      <c r="EN110" s="187"/>
      <c r="EO110" s="187"/>
    </row>
    <row r="111" spans="1:145" ht="13.9" customHeight="1" x14ac:dyDescent="0.2"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  <c r="AB111" s="187"/>
      <c r="AC111" s="187"/>
      <c r="AD111" s="187"/>
      <c r="AE111" s="187"/>
      <c r="AF111" s="187"/>
      <c r="AG111" s="187"/>
      <c r="AH111" s="187"/>
      <c r="AI111" s="187"/>
      <c r="AJ111" s="187"/>
      <c r="AK111" s="187"/>
      <c r="AL111" s="187"/>
      <c r="AM111" s="187"/>
      <c r="AN111" s="187"/>
      <c r="AO111" s="187"/>
      <c r="AP111" s="187"/>
      <c r="AQ111" s="187"/>
      <c r="AR111" s="187"/>
      <c r="AS111" s="187"/>
      <c r="AT111" s="187"/>
      <c r="AU111" s="187"/>
      <c r="AV111" s="187"/>
      <c r="AW111" s="187"/>
      <c r="AX111" s="187"/>
      <c r="AY111" s="187"/>
      <c r="AZ111" s="187"/>
      <c r="BA111" s="187"/>
      <c r="BB111" s="187"/>
      <c r="BC111" s="187"/>
      <c r="BD111" s="187"/>
      <c r="BE111" s="187"/>
      <c r="BF111" s="187"/>
      <c r="BG111" s="187"/>
      <c r="BH111" s="187"/>
      <c r="BI111" s="187"/>
      <c r="BJ111" s="187"/>
      <c r="BK111" s="187"/>
      <c r="BL111" s="187"/>
      <c r="BM111" s="187"/>
      <c r="BN111" s="187"/>
      <c r="BO111" s="187"/>
      <c r="BP111" s="187"/>
      <c r="BQ111" s="187"/>
      <c r="BR111" s="187"/>
      <c r="BS111" s="187"/>
      <c r="BT111" s="187"/>
      <c r="BU111" s="187"/>
      <c r="BV111" s="187"/>
      <c r="BW111" s="187"/>
      <c r="BX111" s="187"/>
      <c r="BY111" s="187"/>
      <c r="BZ111" s="187"/>
      <c r="CA111" s="187"/>
      <c r="CB111" s="187"/>
      <c r="CC111" s="187"/>
      <c r="CD111" s="187"/>
      <c r="CE111" s="187"/>
      <c r="CF111" s="187"/>
      <c r="CG111" s="187"/>
      <c r="CH111" s="187"/>
      <c r="CI111" s="187"/>
      <c r="CJ111" s="187"/>
      <c r="CK111" s="187"/>
      <c r="CL111" s="187"/>
      <c r="CM111" s="187"/>
      <c r="CN111" s="187"/>
      <c r="CO111" s="187"/>
      <c r="CP111" s="187"/>
      <c r="CQ111" s="187"/>
      <c r="CR111" s="187"/>
      <c r="CS111" s="187"/>
      <c r="CT111" s="187"/>
      <c r="CU111" s="187"/>
      <c r="CV111" s="187"/>
      <c r="CW111" s="187"/>
      <c r="CX111" s="187"/>
      <c r="CY111" s="187"/>
      <c r="CZ111" s="187"/>
      <c r="DA111" s="187"/>
      <c r="DB111" s="187"/>
      <c r="DC111" s="187"/>
      <c r="DD111" s="187"/>
      <c r="DE111" s="187"/>
      <c r="DF111" s="187"/>
      <c r="DG111" s="187"/>
      <c r="DH111" s="187"/>
      <c r="DI111" s="187"/>
      <c r="DJ111" s="187"/>
      <c r="DK111" s="187"/>
      <c r="DL111" s="187"/>
      <c r="DM111" s="187"/>
      <c r="DN111" s="187"/>
      <c r="DO111" s="187"/>
      <c r="DP111" s="187"/>
      <c r="DQ111" s="187"/>
      <c r="DR111" s="187"/>
      <c r="DS111" s="187"/>
      <c r="DT111" s="187"/>
      <c r="DU111" s="187"/>
      <c r="DV111" s="187"/>
      <c r="DW111" s="187"/>
      <c r="DX111" s="187"/>
      <c r="DY111" s="187"/>
      <c r="DZ111" s="187"/>
      <c r="EA111" s="187"/>
      <c r="EB111" s="187"/>
      <c r="EC111" s="187"/>
      <c r="ED111" s="187"/>
      <c r="EE111" s="187"/>
      <c r="EF111" s="187"/>
      <c r="EG111" s="187"/>
      <c r="EH111" s="187"/>
      <c r="EI111" s="187"/>
      <c r="EJ111" s="187"/>
      <c r="EK111" s="187"/>
      <c r="EL111" s="187"/>
      <c r="EM111" s="187"/>
      <c r="EN111" s="187"/>
      <c r="EO111" s="187"/>
    </row>
    <row r="112" spans="1:145" ht="13.9" customHeight="1" x14ac:dyDescent="0.2"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187"/>
      <c r="CX112" s="187"/>
      <c r="CY112" s="187"/>
      <c r="CZ112" s="187"/>
      <c r="DA112" s="187"/>
      <c r="DB112" s="187"/>
      <c r="DC112" s="187"/>
      <c r="DD112" s="187"/>
      <c r="DE112" s="187"/>
      <c r="DF112" s="187"/>
      <c r="DG112" s="187"/>
      <c r="DH112" s="187"/>
      <c r="DI112" s="187"/>
      <c r="DJ112" s="187"/>
      <c r="DK112" s="187"/>
      <c r="DL112" s="187"/>
      <c r="DM112" s="187"/>
      <c r="DN112" s="187"/>
      <c r="DO112" s="187"/>
      <c r="DP112" s="187"/>
      <c r="DQ112" s="187"/>
      <c r="DR112" s="187"/>
      <c r="DS112" s="187"/>
      <c r="DT112" s="187"/>
      <c r="DU112" s="187"/>
      <c r="DV112" s="187"/>
      <c r="DW112" s="187"/>
      <c r="DX112" s="187"/>
      <c r="DY112" s="187"/>
      <c r="DZ112" s="187"/>
      <c r="EA112" s="187"/>
      <c r="EB112" s="187"/>
      <c r="EC112" s="187"/>
      <c r="ED112" s="187"/>
      <c r="EE112" s="187"/>
      <c r="EF112" s="187"/>
      <c r="EG112" s="187"/>
      <c r="EH112" s="187"/>
      <c r="EI112" s="187"/>
      <c r="EJ112" s="187"/>
      <c r="EK112" s="187"/>
      <c r="EL112" s="187"/>
      <c r="EM112" s="187"/>
      <c r="EN112" s="187"/>
      <c r="EO112" s="187"/>
    </row>
    <row r="113" spans="2:145" ht="13.9" customHeight="1" x14ac:dyDescent="0.2"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87"/>
      <c r="AB113" s="187"/>
      <c r="AC113" s="187"/>
      <c r="AD113" s="187"/>
      <c r="AE113" s="187"/>
      <c r="AF113" s="187"/>
      <c r="AG113" s="187"/>
      <c r="AH113" s="187"/>
      <c r="AI113" s="187"/>
      <c r="AJ113" s="187"/>
      <c r="AK113" s="187"/>
      <c r="AL113" s="187"/>
      <c r="AM113" s="187"/>
      <c r="AN113" s="187"/>
      <c r="AO113" s="187"/>
      <c r="AP113" s="187"/>
      <c r="AQ113" s="187"/>
      <c r="AR113" s="187"/>
      <c r="AS113" s="187"/>
      <c r="AT113" s="187"/>
      <c r="AU113" s="187"/>
      <c r="AV113" s="187"/>
      <c r="AW113" s="187"/>
      <c r="AX113" s="187"/>
      <c r="AY113" s="187"/>
      <c r="AZ113" s="187"/>
      <c r="BA113" s="187"/>
      <c r="BB113" s="187"/>
      <c r="BC113" s="187"/>
      <c r="BD113" s="187"/>
      <c r="BE113" s="187"/>
      <c r="BF113" s="187"/>
      <c r="BG113" s="187"/>
      <c r="BH113" s="187"/>
      <c r="BI113" s="187"/>
      <c r="BJ113" s="187"/>
      <c r="BK113" s="187"/>
      <c r="BL113" s="187"/>
      <c r="BM113" s="187"/>
      <c r="BN113" s="187"/>
      <c r="BO113" s="187"/>
      <c r="BP113" s="187"/>
      <c r="BQ113" s="187"/>
      <c r="BR113" s="187"/>
      <c r="BS113" s="187"/>
      <c r="BT113" s="187"/>
      <c r="BU113" s="187"/>
      <c r="BV113" s="187"/>
      <c r="BW113" s="187"/>
      <c r="BX113" s="187"/>
      <c r="BY113" s="187"/>
      <c r="BZ113" s="187"/>
      <c r="CA113" s="187"/>
      <c r="CB113" s="187"/>
      <c r="CC113" s="187"/>
      <c r="CD113" s="187"/>
      <c r="CE113" s="187"/>
      <c r="CF113" s="187"/>
      <c r="CG113" s="187"/>
      <c r="CH113" s="187"/>
      <c r="CI113" s="187"/>
      <c r="CJ113" s="187"/>
      <c r="CK113" s="187"/>
      <c r="CL113" s="187"/>
      <c r="CM113" s="187"/>
      <c r="CN113" s="187"/>
      <c r="CO113" s="187"/>
      <c r="CP113" s="187"/>
      <c r="CQ113" s="187"/>
      <c r="CR113" s="187"/>
      <c r="CS113" s="187"/>
      <c r="CT113" s="187"/>
      <c r="CU113" s="187"/>
      <c r="CV113" s="187"/>
      <c r="CW113" s="187"/>
      <c r="CX113" s="187"/>
      <c r="CY113" s="187"/>
      <c r="CZ113" s="187"/>
      <c r="DA113" s="187"/>
      <c r="DB113" s="187"/>
      <c r="DC113" s="187"/>
      <c r="DD113" s="187"/>
      <c r="DE113" s="187"/>
      <c r="DF113" s="187"/>
      <c r="DG113" s="187"/>
      <c r="DH113" s="187"/>
      <c r="DI113" s="187"/>
      <c r="DJ113" s="187"/>
      <c r="DK113" s="187"/>
      <c r="DL113" s="187"/>
      <c r="DM113" s="187"/>
      <c r="DN113" s="187"/>
      <c r="DO113" s="187"/>
      <c r="DP113" s="187"/>
      <c r="DQ113" s="187"/>
      <c r="DR113" s="187"/>
      <c r="DS113" s="187"/>
      <c r="DT113" s="187"/>
      <c r="DU113" s="187"/>
      <c r="DV113" s="187"/>
      <c r="DW113" s="187"/>
      <c r="DX113" s="187"/>
      <c r="DY113" s="187"/>
      <c r="DZ113" s="187"/>
      <c r="EA113" s="187"/>
      <c r="EB113" s="187"/>
      <c r="EC113" s="187"/>
      <c r="ED113" s="187"/>
      <c r="EE113" s="187"/>
      <c r="EF113" s="187"/>
      <c r="EG113" s="187"/>
      <c r="EH113" s="187"/>
      <c r="EI113" s="187"/>
      <c r="EJ113" s="187"/>
      <c r="EK113" s="187"/>
      <c r="EL113" s="187"/>
      <c r="EM113" s="187"/>
      <c r="EN113" s="187"/>
      <c r="EO113" s="187"/>
    </row>
    <row r="114" spans="2:145" ht="13.9" customHeight="1" x14ac:dyDescent="0.2"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  <c r="AB114" s="187"/>
      <c r="AC114" s="187"/>
      <c r="AD114" s="187"/>
      <c r="AE114" s="187"/>
      <c r="AF114" s="187"/>
      <c r="AG114" s="187"/>
      <c r="AH114" s="187"/>
      <c r="AI114" s="187"/>
      <c r="AJ114" s="187"/>
      <c r="AK114" s="187"/>
      <c r="AL114" s="187"/>
      <c r="AM114" s="187"/>
      <c r="AN114" s="187"/>
      <c r="AO114" s="187"/>
      <c r="AP114" s="187"/>
      <c r="AQ114" s="187"/>
      <c r="AR114" s="187"/>
      <c r="AS114" s="187"/>
      <c r="AT114" s="187"/>
      <c r="AU114" s="187"/>
      <c r="AV114" s="187"/>
      <c r="AW114" s="187"/>
      <c r="AX114" s="187"/>
      <c r="AY114" s="187"/>
      <c r="AZ114" s="187"/>
      <c r="BA114" s="187"/>
      <c r="BB114" s="187"/>
      <c r="BC114" s="187"/>
      <c r="BD114" s="187"/>
      <c r="BE114" s="187"/>
      <c r="BF114" s="187"/>
      <c r="BG114" s="187"/>
      <c r="BH114" s="187"/>
      <c r="BI114" s="187"/>
      <c r="BJ114" s="187"/>
      <c r="BK114" s="187"/>
      <c r="BL114" s="187"/>
      <c r="BM114" s="187"/>
      <c r="BN114" s="187"/>
      <c r="BO114" s="187"/>
      <c r="BP114" s="187"/>
      <c r="BQ114" s="187"/>
      <c r="BR114" s="187"/>
      <c r="BS114" s="187"/>
      <c r="BT114" s="187"/>
      <c r="BU114" s="187"/>
      <c r="BV114" s="187"/>
      <c r="BW114" s="187"/>
      <c r="BX114" s="187"/>
      <c r="BY114" s="187"/>
      <c r="BZ114" s="187"/>
      <c r="CA114" s="187"/>
      <c r="CB114" s="187"/>
      <c r="CC114" s="187"/>
      <c r="CD114" s="187"/>
      <c r="CE114" s="187"/>
      <c r="CF114" s="187"/>
      <c r="CG114" s="187"/>
      <c r="CH114" s="187"/>
      <c r="CI114" s="187"/>
      <c r="CJ114" s="187"/>
      <c r="CK114" s="187"/>
      <c r="CL114" s="187"/>
      <c r="CM114" s="187"/>
      <c r="CN114" s="187"/>
      <c r="CO114" s="187"/>
      <c r="CP114" s="187"/>
      <c r="CQ114" s="187"/>
      <c r="CR114" s="187"/>
      <c r="CS114" s="187"/>
      <c r="CT114" s="187"/>
      <c r="CU114" s="187"/>
      <c r="CV114" s="187"/>
      <c r="CW114" s="187"/>
      <c r="CX114" s="187"/>
      <c r="CY114" s="187"/>
      <c r="CZ114" s="187"/>
      <c r="DA114" s="187"/>
      <c r="DB114" s="187"/>
      <c r="DC114" s="187"/>
      <c r="DD114" s="187"/>
      <c r="DE114" s="187"/>
      <c r="DF114" s="187"/>
      <c r="DG114" s="187"/>
      <c r="DH114" s="187"/>
      <c r="DI114" s="187"/>
      <c r="DJ114" s="187"/>
      <c r="DK114" s="187"/>
      <c r="DL114" s="187"/>
      <c r="DM114" s="187"/>
      <c r="DN114" s="187"/>
      <c r="DO114" s="187"/>
      <c r="DP114" s="187"/>
      <c r="DQ114" s="187"/>
      <c r="DR114" s="187"/>
      <c r="DS114" s="187"/>
      <c r="DT114" s="187"/>
      <c r="DU114" s="187"/>
      <c r="DV114" s="187"/>
      <c r="DW114" s="187"/>
      <c r="DX114" s="187"/>
      <c r="DY114" s="187"/>
      <c r="DZ114" s="187"/>
      <c r="EA114" s="187"/>
      <c r="EB114" s="187"/>
      <c r="EC114" s="187"/>
      <c r="ED114" s="187"/>
      <c r="EE114" s="187"/>
      <c r="EF114" s="187"/>
      <c r="EG114" s="187"/>
      <c r="EH114" s="187"/>
      <c r="EI114" s="187"/>
      <c r="EJ114" s="187"/>
      <c r="EK114" s="187"/>
      <c r="EL114" s="187"/>
      <c r="EM114" s="187"/>
      <c r="EN114" s="187"/>
      <c r="EO114" s="187"/>
    </row>
    <row r="115" spans="2:145" ht="13.9" customHeight="1" x14ac:dyDescent="0.2"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  <c r="AB115" s="187"/>
      <c r="AC115" s="187"/>
      <c r="AD115" s="187"/>
      <c r="AE115" s="187"/>
      <c r="AF115" s="187"/>
      <c r="AG115" s="187"/>
      <c r="AH115" s="187"/>
      <c r="AI115" s="187"/>
      <c r="AJ115" s="187"/>
      <c r="AK115" s="187"/>
      <c r="AL115" s="187"/>
      <c r="AM115" s="187"/>
      <c r="AN115" s="187"/>
      <c r="AO115" s="187"/>
      <c r="AP115" s="187"/>
      <c r="AQ115" s="187"/>
      <c r="AR115" s="187"/>
      <c r="AS115" s="187"/>
      <c r="AT115" s="187"/>
      <c r="AU115" s="187"/>
      <c r="AV115" s="187"/>
      <c r="AW115" s="187"/>
      <c r="AX115" s="187"/>
      <c r="AY115" s="187"/>
      <c r="AZ115" s="187"/>
      <c r="BA115" s="187"/>
      <c r="BB115" s="187"/>
      <c r="BC115" s="187"/>
      <c r="BD115" s="187"/>
      <c r="BE115" s="187"/>
      <c r="BF115" s="187"/>
      <c r="BG115" s="187"/>
      <c r="BH115" s="187"/>
      <c r="BI115" s="187"/>
      <c r="BJ115" s="187"/>
      <c r="BK115" s="187"/>
      <c r="BL115" s="187"/>
      <c r="BM115" s="187"/>
      <c r="BN115" s="187"/>
      <c r="BO115" s="187"/>
      <c r="BP115" s="187"/>
      <c r="BQ115" s="187"/>
      <c r="BR115" s="187"/>
      <c r="BS115" s="187"/>
      <c r="BT115" s="187"/>
      <c r="BU115" s="187"/>
      <c r="BV115" s="187"/>
      <c r="BW115" s="187"/>
      <c r="BX115" s="187"/>
      <c r="BY115" s="187"/>
      <c r="BZ115" s="187"/>
      <c r="CA115" s="187"/>
      <c r="CB115" s="187"/>
      <c r="CC115" s="187"/>
      <c r="CD115" s="187"/>
      <c r="CE115" s="187"/>
      <c r="CF115" s="187"/>
      <c r="CG115" s="187"/>
      <c r="CH115" s="187"/>
      <c r="CI115" s="187"/>
      <c r="CJ115" s="187"/>
      <c r="CK115" s="187"/>
      <c r="CL115" s="187"/>
      <c r="CM115" s="187"/>
      <c r="CN115" s="187"/>
      <c r="CO115" s="187"/>
      <c r="CP115" s="187"/>
      <c r="CQ115" s="187"/>
      <c r="CR115" s="187"/>
      <c r="CS115" s="187"/>
      <c r="CT115" s="187"/>
      <c r="CU115" s="187"/>
      <c r="CV115" s="187"/>
      <c r="CW115" s="187"/>
      <c r="CX115" s="187"/>
      <c r="CY115" s="187"/>
      <c r="CZ115" s="187"/>
      <c r="DA115" s="187"/>
      <c r="DB115" s="187"/>
      <c r="DC115" s="187"/>
      <c r="DD115" s="187"/>
      <c r="DE115" s="187"/>
      <c r="DF115" s="187"/>
      <c r="DG115" s="187"/>
      <c r="DH115" s="187"/>
      <c r="DI115" s="187"/>
      <c r="DJ115" s="187"/>
      <c r="DK115" s="187"/>
      <c r="DL115" s="187"/>
      <c r="DM115" s="187"/>
      <c r="DN115" s="187"/>
      <c r="DO115" s="187"/>
      <c r="DP115" s="187"/>
      <c r="DQ115" s="187"/>
      <c r="DR115" s="187"/>
      <c r="DS115" s="187"/>
      <c r="DT115" s="187"/>
      <c r="DU115" s="187"/>
      <c r="DV115" s="187"/>
      <c r="DW115" s="187"/>
      <c r="DX115" s="187"/>
      <c r="DY115" s="187"/>
      <c r="DZ115" s="187"/>
      <c r="EA115" s="187"/>
      <c r="EB115" s="187"/>
      <c r="EC115" s="187"/>
      <c r="ED115" s="187"/>
      <c r="EE115" s="187"/>
      <c r="EF115" s="187"/>
      <c r="EG115" s="187"/>
      <c r="EH115" s="187"/>
      <c r="EI115" s="187"/>
      <c r="EJ115" s="187"/>
      <c r="EK115" s="187"/>
      <c r="EL115" s="187"/>
      <c r="EM115" s="187"/>
      <c r="EN115" s="187"/>
      <c r="EO115" s="187"/>
    </row>
    <row r="116" spans="2:145" ht="13.9" customHeight="1" x14ac:dyDescent="0.2"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  <c r="AA116" s="187"/>
      <c r="AB116" s="187"/>
      <c r="AC116" s="187"/>
      <c r="AD116" s="187"/>
      <c r="AE116" s="187"/>
      <c r="AF116" s="187"/>
      <c r="AG116" s="187"/>
      <c r="AH116" s="187"/>
      <c r="AI116" s="187"/>
      <c r="AJ116" s="187"/>
      <c r="AK116" s="187"/>
      <c r="AL116" s="187"/>
      <c r="AM116" s="187"/>
      <c r="AN116" s="187"/>
      <c r="AO116" s="187"/>
      <c r="AP116" s="187"/>
      <c r="AQ116" s="187"/>
      <c r="AR116" s="187"/>
      <c r="AS116" s="187"/>
      <c r="AT116" s="187"/>
      <c r="AU116" s="187"/>
      <c r="AV116" s="187"/>
      <c r="AW116" s="187"/>
      <c r="AX116" s="187"/>
      <c r="AY116" s="187"/>
      <c r="AZ116" s="187"/>
      <c r="BA116" s="187"/>
      <c r="BB116" s="187"/>
      <c r="BC116" s="187"/>
      <c r="BD116" s="187"/>
      <c r="BE116" s="187"/>
      <c r="BF116" s="187"/>
      <c r="BG116" s="187"/>
      <c r="BH116" s="187"/>
      <c r="BI116" s="187"/>
      <c r="BJ116" s="187"/>
      <c r="BK116" s="187"/>
      <c r="BL116" s="187"/>
      <c r="BM116" s="187"/>
      <c r="BN116" s="187"/>
      <c r="BO116" s="187"/>
      <c r="BP116" s="187"/>
      <c r="BQ116" s="187"/>
      <c r="BR116" s="187"/>
      <c r="BS116" s="187"/>
      <c r="BT116" s="187"/>
      <c r="BU116" s="187"/>
      <c r="BV116" s="187"/>
      <c r="BW116" s="187"/>
      <c r="BX116" s="187"/>
      <c r="BY116" s="187"/>
      <c r="BZ116" s="187"/>
      <c r="CA116" s="187"/>
      <c r="CB116" s="187"/>
      <c r="CC116" s="187"/>
      <c r="CD116" s="187"/>
      <c r="CE116" s="187"/>
      <c r="CF116" s="187"/>
      <c r="CG116" s="187"/>
      <c r="CH116" s="187"/>
      <c r="CI116" s="187"/>
      <c r="CJ116" s="187"/>
      <c r="CK116" s="187"/>
      <c r="CL116" s="187"/>
      <c r="CM116" s="187"/>
      <c r="CN116" s="187"/>
      <c r="CO116" s="187"/>
      <c r="CP116" s="187"/>
      <c r="CQ116" s="187"/>
      <c r="CR116" s="187"/>
      <c r="CS116" s="187"/>
      <c r="CT116" s="187"/>
      <c r="CU116" s="187"/>
      <c r="CV116" s="187"/>
      <c r="CW116" s="187"/>
      <c r="CX116" s="187"/>
      <c r="CY116" s="187"/>
      <c r="CZ116" s="187"/>
      <c r="DA116" s="187"/>
      <c r="DB116" s="187"/>
      <c r="DC116" s="187"/>
      <c r="DD116" s="187"/>
      <c r="DE116" s="187"/>
      <c r="DF116" s="187"/>
      <c r="DG116" s="187"/>
      <c r="DH116" s="187"/>
      <c r="DI116" s="187"/>
      <c r="DJ116" s="187"/>
      <c r="DK116" s="187"/>
      <c r="DL116" s="187"/>
      <c r="DM116" s="187"/>
      <c r="DN116" s="187"/>
      <c r="DO116" s="187"/>
      <c r="DP116" s="187"/>
      <c r="DQ116" s="187"/>
      <c r="DR116" s="187"/>
      <c r="DS116" s="187"/>
      <c r="DT116" s="187"/>
      <c r="DU116" s="187"/>
      <c r="DV116" s="187"/>
      <c r="DW116" s="187"/>
      <c r="DX116" s="187"/>
      <c r="DY116" s="187"/>
      <c r="DZ116" s="187"/>
      <c r="EA116" s="187"/>
      <c r="EB116" s="187"/>
      <c r="EC116" s="187"/>
      <c r="ED116" s="187"/>
      <c r="EE116" s="187"/>
      <c r="EF116" s="187"/>
      <c r="EG116" s="187"/>
      <c r="EH116" s="187"/>
      <c r="EI116" s="187"/>
      <c r="EJ116" s="187"/>
      <c r="EK116" s="187"/>
      <c r="EL116" s="187"/>
      <c r="EM116" s="187"/>
      <c r="EN116" s="187"/>
      <c r="EO116" s="187"/>
    </row>
    <row r="117" spans="2:145" ht="13.9" customHeight="1" x14ac:dyDescent="0.2"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7"/>
      <c r="AH117" s="187"/>
      <c r="AI117" s="187"/>
      <c r="AJ117" s="187"/>
      <c r="AK117" s="187"/>
      <c r="AL117" s="187"/>
      <c r="AM117" s="187"/>
      <c r="AN117" s="187"/>
      <c r="AO117" s="187"/>
      <c r="AP117" s="187"/>
      <c r="AQ117" s="187"/>
      <c r="AR117" s="187"/>
      <c r="AS117" s="187"/>
      <c r="AT117" s="187"/>
      <c r="AU117" s="187"/>
      <c r="AV117" s="187"/>
      <c r="AW117" s="187"/>
      <c r="AX117" s="187"/>
      <c r="AY117" s="187"/>
      <c r="AZ117" s="187"/>
      <c r="BA117" s="187"/>
      <c r="BB117" s="187"/>
      <c r="BC117" s="187"/>
      <c r="BD117" s="187"/>
      <c r="BE117" s="187"/>
      <c r="BF117" s="187"/>
      <c r="BG117" s="187"/>
      <c r="BH117" s="187"/>
      <c r="BI117" s="187"/>
      <c r="BJ117" s="187"/>
      <c r="BK117" s="187"/>
      <c r="BL117" s="187"/>
      <c r="BM117" s="187"/>
      <c r="BN117" s="187"/>
      <c r="BO117" s="187"/>
      <c r="BP117" s="187"/>
      <c r="BQ117" s="187"/>
      <c r="BR117" s="187"/>
      <c r="BS117" s="187"/>
      <c r="BT117" s="187"/>
      <c r="BU117" s="187"/>
      <c r="BV117" s="187"/>
      <c r="BW117" s="187"/>
      <c r="BX117" s="187"/>
      <c r="BY117" s="187"/>
      <c r="BZ117" s="187"/>
      <c r="CA117" s="187"/>
      <c r="CB117" s="187"/>
      <c r="CC117" s="187"/>
      <c r="CD117" s="187"/>
      <c r="CE117" s="187"/>
      <c r="CF117" s="187"/>
      <c r="CG117" s="187"/>
      <c r="CH117" s="187"/>
      <c r="CI117" s="187"/>
      <c r="CJ117" s="187"/>
      <c r="CK117" s="187"/>
      <c r="CL117" s="187"/>
      <c r="CM117" s="187"/>
      <c r="CN117" s="187"/>
      <c r="CO117" s="187"/>
      <c r="CP117" s="187"/>
      <c r="CQ117" s="187"/>
      <c r="CR117" s="187"/>
      <c r="CS117" s="187"/>
      <c r="CT117" s="187"/>
      <c r="CU117" s="187"/>
      <c r="CV117" s="187"/>
      <c r="CW117" s="187"/>
      <c r="CX117" s="187"/>
      <c r="CY117" s="187"/>
      <c r="CZ117" s="187"/>
      <c r="DA117" s="187"/>
      <c r="DB117" s="187"/>
      <c r="DC117" s="187"/>
      <c r="DD117" s="187"/>
      <c r="DE117" s="187"/>
      <c r="DF117" s="187"/>
      <c r="DG117" s="187"/>
      <c r="DH117" s="187"/>
      <c r="DI117" s="187"/>
      <c r="DJ117" s="187"/>
      <c r="DK117" s="187"/>
      <c r="DL117" s="187"/>
      <c r="DM117" s="187"/>
      <c r="DN117" s="187"/>
      <c r="DO117" s="187"/>
      <c r="DP117" s="187"/>
      <c r="DQ117" s="187"/>
      <c r="DR117" s="187"/>
      <c r="DS117" s="187"/>
      <c r="DT117" s="187"/>
      <c r="DU117" s="187"/>
      <c r="DV117" s="187"/>
      <c r="DW117" s="187"/>
      <c r="DX117" s="187"/>
      <c r="DY117" s="187"/>
      <c r="DZ117" s="187"/>
      <c r="EA117" s="187"/>
      <c r="EB117" s="187"/>
      <c r="EC117" s="187"/>
      <c r="ED117" s="187"/>
      <c r="EE117" s="187"/>
      <c r="EF117" s="187"/>
      <c r="EG117" s="187"/>
      <c r="EH117" s="187"/>
      <c r="EI117" s="187"/>
      <c r="EJ117" s="187"/>
      <c r="EK117" s="187"/>
      <c r="EL117" s="187"/>
      <c r="EM117" s="187"/>
      <c r="EN117" s="187"/>
      <c r="EO117" s="187"/>
    </row>
    <row r="118" spans="2:145" ht="13.9" customHeight="1" x14ac:dyDescent="0.2"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  <c r="AB118" s="187"/>
      <c r="AC118" s="187"/>
      <c r="AD118" s="187"/>
      <c r="AE118" s="187"/>
      <c r="AF118" s="187"/>
      <c r="AG118" s="187"/>
      <c r="AH118" s="187"/>
      <c r="AI118" s="187"/>
      <c r="AJ118" s="187"/>
      <c r="AK118" s="187"/>
      <c r="AL118" s="187"/>
      <c r="AM118" s="187"/>
      <c r="AN118" s="187"/>
      <c r="AO118" s="187"/>
      <c r="AP118" s="187"/>
      <c r="AQ118" s="187"/>
      <c r="AR118" s="187"/>
      <c r="AS118" s="187"/>
      <c r="AT118" s="187"/>
      <c r="AU118" s="187"/>
      <c r="AV118" s="187"/>
      <c r="AW118" s="187"/>
      <c r="AX118" s="187"/>
      <c r="AY118" s="187"/>
      <c r="AZ118" s="187"/>
      <c r="BA118" s="187"/>
      <c r="BB118" s="187"/>
      <c r="BC118" s="187"/>
      <c r="BD118" s="187"/>
      <c r="BE118" s="187"/>
      <c r="BF118" s="187"/>
      <c r="BG118" s="187"/>
      <c r="BH118" s="187"/>
      <c r="BI118" s="187"/>
      <c r="BJ118" s="187"/>
      <c r="BK118" s="187"/>
      <c r="BL118" s="187"/>
      <c r="BM118" s="187"/>
      <c r="BN118" s="187"/>
      <c r="BO118" s="187"/>
      <c r="BP118" s="187"/>
      <c r="BQ118" s="187"/>
      <c r="BR118" s="187"/>
      <c r="BS118" s="187"/>
      <c r="BT118" s="187"/>
      <c r="BU118" s="187"/>
      <c r="BV118" s="187"/>
      <c r="BW118" s="187"/>
      <c r="BX118" s="187"/>
      <c r="BY118" s="187"/>
      <c r="BZ118" s="187"/>
      <c r="CA118" s="187"/>
      <c r="CB118" s="187"/>
      <c r="CC118" s="187"/>
      <c r="CD118" s="187"/>
      <c r="CE118" s="187"/>
      <c r="CF118" s="187"/>
      <c r="CG118" s="187"/>
      <c r="CH118" s="187"/>
      <c r="CI118" s="187"/>
      <c r="CJ118" s="187"/>
      <c r="CK118" s="187"/>
      <c r="CL118" s="187"/>
      <c r="CM118" s="187"/>
      <c r="CN118" s="187"/>
      <c r="CO118" s="187"/>
      <c r="CP118" s="187"/>
      <c r="CQ118" s="187"/>
      <c r="CR118" s="187"/>
      <c r="CS118" s="187"/>
      <c r="CT118" s="187"/>
      <c r="CU118" s="187"/>
      <c r="CV118" s="187"/>
      <c r="CW118" s="187"/>
      <c r="CX118" s="187"/>
      <c r="CY118" s="187"/>
      <c r="CZ118" s="187"/>
      <c r="DA118" s="187"/>
      <c r="DB118" s="187"/>
      <c r="DC118" s="187"/>
      <c r="DD118" s="187"/>
      <c r="DE118" s="187"/>
      <c r="DF118" s="187"/>
      <c r="DG118" s="187"/>
      <c r="DH118" s="187"/>
      <c r="DI118" s="187"/>
      <c r="DJ118" s="187"/>
      <c r="DK118" s="187"/>
      <c r="DL118" s="187"/>
      <c r="DM118" s="187"/>
      <c r="DN118" s="187"/>
      <c r="DO118" s="187"/>
      <c r="DP118" s="187"/>
      <c r="DQ118" s="187"/>
      <c r="DR118" s="187"/>
      <c r="DS118" s="187"/>
      <c r="DT118" s="187"/>
      <c r="DU118" s="187"/>
      <c r="DV118" s="187"/>
      <c r="DW118" s="187"/>
      <c r="DX118" s="187"/>
      <c r="DY118" s="187"/>
      <c r="DZ118" s="187"/>
      <c r="EA118" s="187"/>
      <c r="EB118" s="187"/>
      <c r="EC118" s="187"/>
      <c r="ED118" s="187"/>
      <c r="EE118" s="187"/>
      <c r="EF118" s="187"/>
      <c r="EG118" s="187"/>
      <c r="EH118" s="187"/>
      <c r="EI118" s="187"/>
      <c r="EJ118" s="187"/>
      <c r="EK118" s="187"/>
      <c r="EL118" s="187"/>
      <c r="EM118" s="187"/>
      <c r="EN118" s="187"/>
      <c r="EO118" s="187"/>
    </row>
    <row r="119" spans="2:145" ht="13.9" customHeight="1" x14ac:dyDescent="0.2"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  <c r="AB119" s="187"/>
      <c r="AC119" s="187"/>
      <c r="AD119" s="187"/>
      <c r="AE119" s="187"/>
      <c r="AF119" s="187"/>
      <c r="AG119" s="187"/>
      <c r="AH119" s="187"/>
      <c r="AI119" s="187"/>
      <c r="AJ119" s="187"/>
      <c r="AK119" s="187"/>
      <c r="AL119" s="187"/>
      <c r="AM119" s="187"/>
      <c r="AN119" s="187"/>
      <c r="AO119" s="187"/>
      <c r="AP119" s="187"/>
      <c r="AQ119" s="187"/>
      <c r="AR119" s="187"/>
      <c r="AS119" s="187"/>
      <c r="AT119" s="187"/>
      <c r="AU119" s="187"/>
      <c r="AV119" s="187"/>
      <c r="AW119" s="187"/>
      <c r="AX119" s="187"/>
      <c r="AY119" s="187"/>
      <c r="AZ119" s="187"/>
      <c r="BA119" s="187"/>
      <c r="BB119" s="187"/>
      <c r="BC119" s="187"/>
      <c r="BD119" s="187"/>
      <c r="BE119" s="187"/>
      <c r="BF119" s="187"/>
      <c r="BG119" s="187"/>
      <c r="BH119" s="187"/>
      <c r="BI119" s="187"/>
      <c r="BJ119" s="187"/>
      <c r="BK119" s="187"/>
      <c r="BL119" s="187"/>
      <c r="BM119" s="187"/>
      <c r="BN119" s="187"/>
      <c r="BO119" s="187"/>
      <c r="BP119" s="187"/>
      <c r="BQ119" s="187"/>
      <c r="BR119" s="187"/>
      <c r="BS119" s="187"/>
      <c r="BT119" s="187"/>
      <c r="BU119" s="187"/>
      <c r="BV119" s="187"/>
      <c r="BW119" s="187"/>
      <c r="BX119" s="187"/>
      <c r="BY119" s="187"/>
      <c r="BZ119" s="187"/>
      <c r="CA119" s="187"/>
      <c r="CB119" s="187"/>
      <c r="CC119" s="187"/>
      <c r="CD119" s="187"/>
      <c r="CE119" s="187"/>
      <c r="CF119" s="187"/>
      <c r="CG119" s="187"/>
      <c r="CH119" s="187"/>
      <c r="CI119" s="187"/>
      <c r="CJ119" s="187"/>
      <c r="CK119" s="187"/>
      <c r="CL119" s="187"/>
      <c r="CM119" s="187"/>
      <c r="CN119" s="187"/>
      <c r="CO119" s="187"/>
      <c r="CP119" s="187"/>
      <c r="CQ119" s="187"/>
      <c r="CR119" s="187"/>
      <c r="CS119" s="187"/>
      <c r="CT119" s="187"/>
      <c r="CU119" s="187"/>
      <c r="CV119" s="187"/>
      <c r="CW119" s="187"/>
      <c r="CX119" s="187"/>
      <c r="CY119" s="187"/>
      <c r="CZ119" s="187"/>
      <c r="DA119" s="187"/>
      <c r="DB119" s="187"/>
      <c r="DC119" s="187"/>
      <c r="DD119" s="187"/>
      <c r="DE119" s="187"/>
      <c r="DF119" s="187"/>
      <c r="DG119" s="187"/>
      <c r="DH119" s="187"/>
      <c r="DI119" s="187"/>
      <c r="DJ119" s="187"/>
      <c r="DK119" s="187"/>
      <c r="DL119" s="187"/>
      <c r="DM119" s="187"/>
      <c r="DN119" s="187"/>
      <c r="DO119" s="187"/>
      <c r="DP119" s="187"/>
      <c r="DQ119" s="187"/>
      <c r="DR119" s="187"/>
      <c r="DS119" s="187"/>
      <c r="DT119" s="187"/>
      <c r="DU119" s="187"/>
      <c r="DV119" s="187"/>
      <c r="DW119" s="187"/>
      <c r="DX119" s="187"/>
      <c r="DY119" s="187"/>
      <c r="DZ119" s="187"/>
      <c r="EA119" s="187"/>
      <c r="EB119" s="187"/>
      <c r="EC119" s="187"/>
      <c r="ED119" s="187"/>
      <c r="EE119" s="187"/>
      <c r="EF119" s="187"/>
      <c r="EG119" s="187"/>
      <c r="EH119" s="187"/>
      <c r="EI119" s="187"/>
      <c r="EJ119" s="187"/>
      <c r="EK119" s="187"/>
      <c r="EL119" s="187"/>
      <c r="EM119" s="187"/>
      <c r="EN119" s="187"/>
      <c r="EO119" s="187"/>
    </row>
    <row r="120" spans="2:145" ht="13.9" customHeight="1" x14ac:dyDescent="0.2"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  <c r="AB120" s="187"/>
      <c r="AC120" s="187"/>
      <c r="AD120" s="187"/>
      <c r="AE120" s="187"/>
      <c r="AF120" s="187"/>
      <c r="AG120" s="187"/>
      <c r="AH120" s="187"/>
      <c r="AI120" s="187"/>
      <c r="AJ120" s="187"/>
      <c r="AK120" s="187"/>
      <c r="AL120" s="187"/>
      <c r="AM120" s="187"/>
      <c r="AN120" s="187"/>
      <c r="AO120" s="187"/>
      <c r="AP120" s="187"/>
      <c r="AQ120" s="187"/>
      <c r="AR120" s="187"/>
      <c r="AS120" s="187"/>
      <c r="AT120" s="187"/>
      <c r="AU120" s="187"/>
      <c r="AV120" s="187"/>
      <c r="AW120" s="187"/>
      <c r="AX120" s="187"/>
      <c r="AY120" s="187"/>
      <c r="AZ120" s="187"/>
      <c r="BA120" s="187"/>
      <c r="BB120" s="187"/>
      <c r="BC120" s="187"/>
      <c r="BD120" s="187"/>
      <c r="BE120" s="187"/>
      <c r="BF120" s="187"/>
      <c r="BG120" s="187"/>
      <c r="BH120" s="187"/>
      <c r="BI120" s="187"/>
      <c r="BJ120" s="187"/>
      <c r="BK120" s="187"/>
      <c r="BL120" s="187"/>
      <c r="BM120" s="187"/>
      <c r="BN120" s="187"/>
      <c r="BO120" s="187"/>
      <c r="BP120" s="187"/>
      <c r="BQ120" s="187"/>
      <c r="BR120" s="187"/>
      <c r="BS120" s="187"/>
      <c r="BT120" s="187"/>
      <c r="BU120" s="187"/>
      <c r="BV120" s="187"/>
      <c r="BW120" s="187"/>
      <c r="BX120" s="187"/>
      <c r="BY120" s="187"/>
      <c r="BZ120" s="187"/>
      <c r="CA120" s="187"/>
      <c r="CB120" s="187"/>
      <c r="CC120" s="187"/>
      <c r="CD120" s="187"/>
      <c r="CE120" s="187"/>
      <c r="CF120" s="187"/>
      <c r="CG120" s="187"/>
      <c r="CH120" s="187"/>
      <c r="CI120" s="187"/>
      <c r="CJ120" s="187"/>
      <c r="CK120" s="187"/>
      <c r="CL120" s="187"/>
      <c r="CM120" s="187"/>
      <c r="CN120" s="187"/>
      <c r="CO120" s="187"/>
      <c r="CP120" s="187"/>
      <c r="CQ120" s="187"/>
      <c r="CR120" s="187"/>
      <c r="CS120" s="187"/>
      <c r="CT120" s="187"/>
      <c r="CU120" s="187"/>
      <c r="CV120" s="187"/>
      <c r="CW120" s="187"/>
      <c r="CX120" s="187"/>
      <c r="CY120" s="187"/>
      <c r="CZ120" s="187"/>
      <c r="DA120" s="187"/>
      <c r="DB120" s="187"/>
      <c r="DC120" s="187"/>
      <c r="DD120" s="187"/>
      <c r="DE120" s="187"/>
      <c r="DF120" s="187"/>
      <c r="DG120" s="187"/>
      <c r="DH120" s="187"/>
      <c r="DI120" s="187"/>
      <c r="DJ120" s="187"/>
      <c r="DK120" s="187"/>
      <c r="DL120" s="187"/>
      <c r="DM120" s="187"/>
      <c r="DN120" s="187"/>
      <c r="DO120" s="187"/>
      <c r="DP120" s="187"/>
      <c r="DQ120" s="187"/>
      <c r="DR120" s="187"/>
      <c r="DS120" s="187"/>
      <c r="DT120" s="187"/>
      <c r="DU120" s="187"/>
      <c r="DV120" s="187"/>
      <c r="DW120" s="187"/>
      <c r="DX120" s="187"/>
      <c r="DY120" s="187"/>
      <c r="DZ120" s="187"/>
      <c r="EA120" s="187"/>
      <c r="EB120" s="187"/>
      <c r="EC120" s="187"/>
      <c r="ED120" s="187"/>
      <c r="EE120" s="187"/>
      <c r="EF120" s="187"/>
      <c r="EG120" s="187"/>
      <c r="EH120" s="187"/>
      <c r="EI120" s="187"/>
      <c r="EJ120" s="187"/>
      <c r="EK120" s="187"/>
      <c r="EL120" s="187"/>
      <c r="EM120" s="187"/>
      <c r="EN120" s="187"/>
      <c r="EO120" s="187"/>
    </row>
    <row r="121" spans="2:145" ht="13.9" customHeight="1" x14ac:dyDescent="0.2"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  <c r="AB121" s="187"/>
      <c r="AC121" s="187"/>
      <c r="AD121" s="187"/>
      <c r="AE121" s="187"/>
      <c r="AF121" s="187"/>
      <c r="AG121" s="187"/>
      <c r="AH121" s="187"/>
      <c r="AI121" s="187"/>
      <c r="AJ121" s="187"/>
      <c r="AK121" s="187"/>
      <c r="AL121" s="187"/>
      <c r="AM121" s="187"/>
      <c r="AN121" s="187"/>
      <c r="AO121" s="187"/>
      <c r="AP121" s="187"/>
      <c r="AQ121" s="187"/>
      <c r="AR121" s="187"/>
      <c r="AS121" s="187"/>
      <c r="AT121" s="187"/>
      <c r="AU121" s="187"/>
      <c r="AV121" s="187"/>
      <c r="AW121" s="187"/>
      <c r="AX121" s="187"/>
      <c r="AY121" s="187"/>
      <c r="AZ121" s="187"/>
      <c r="BA121" s="187"/>
      <c r="BB121" s="187"/>
      <c r="BC121" s="187"/>
      <c r="BD121" s="187"/>
      <c r="BE121" s="187"/>
      <c r="BF121" s="187"/>
      <c r="BG121" s="187"/>
      <c r="BH121" s="187"/>
      <c r="BI121" s="187"/>
      <c r="BJ121" s="187"/>
      <c r="BK121" s="187"/>
      <c r="BL121" s="187"/>
      <c r="BM121" s="187"/>
      <c r="BN121" s="187"/>
      <c r="BO121" s="187"/>
      <c r="BP121" s="187"/>
      <c r="BQ121" s="187"/>
      <c r="BR121" s="187"/>
      <c r="BS121" s="187"/>
      <c r="BT121" s="187"/>
      <c r="BU121" s="187"/>
      <c r="BV121" s="187"/>
      <c r="BW121" s="187"/>
      <c r="BX121" s="187"/>
      <c r="BY121" s="187"/>
      <c r="BZ121" s="187"/>
      <c r="CA121" s="187"/>
      <c r="CB121" s="187"/>
      <c r="CC121" s="187"/>
      <c r="CD121" s="187"/>
      <c r="CE121" s="187"/>
      <c r="CF121" s="187"/>
      <c r="CG121" s="187"/>
      <c r="CH121" s="187"/>
      <c r="CI121" s="187"/>
      <c r="CJ121" s="187"/>
      <c r="CK121" s="187"/>
      <c r="CL121" s="187"/>
      <c r="CM121" s="187"/>
      <c r="CN121" s="187"/>
      <c r="CO121" s="187"/>
      <c r="CP121" s="187"/>
      <c r="CQ121" s="187"/>
      <c r="CR121" s="187"/>
      <c r="CS121" s="187"/>
      <c r="CT121" s="187"/>
      <c r="CU121" s="187"/>
      <c r="CV121" s="187"/>
      <c r="CW121" s="187"/>
      <c r="CX121" s="187"/>
      <c r="CY121" s="187"/>
      <c r="CZ121" s="187"/>
      <c r="DA121" s="187"/>
      <c r="DB121" s="187"/>
      <c r="DC121" s="187"/>
      <c r="DD121" s="187"/>
      <c r="DE121" s="187"/>
      <c r="DF121" s="187"/>
      <c r="DG121" s="187"/>
      <c r="DH121" s="187"/>
      <c r="DI121" s="187"/>
      <c r="DJ121" s="187"/>
      <c r="DK121" s="187"/>
      <c r="DL121" s="187"/>
      <c r="DM121" s="187"/>
      <c r="DN121" s="187"/>
      <c r="DO121" s="187"/>
      <c r="DP121" s="187"/>
      <c r="DQ121" s="187"/>
      <c r="DR121" s="187"/>
      <c r="DS121" s="187"/>
      <c r="DT121" s="187"/>
      <c r="DU121" s="187"/>
      <c r="DV121" s="187"/>
      <c r="DW121" s="187"/>
      <c r="DX121" s="187"/>
      <c r="DY121" s="187"/>
      <c r="DZ121" s="187"/>
      <c r="EA121" s="187"/>
      <c r="EB121" s="187"/>
      <c r="EC121" s="187"/>
      <c r="ED121" s="187"/>
      <c r="EE121" s="187"/>
      <c r="EF121" s="187"/>
      <c r="EG121" s="187"/>
      <c r="EH121" s="187"/>
      <c r="EI121" s="187"/>
      <c r="EJ121" s="187"/>
      <c r="EK121" s="187"/>
      <c r="EL121" s="187"/>
      <c r="EM121" s="187"/>
      <c r="EN121" s="187"/>
      <c r="EO121" s="187"/>
    </row>
    <row r="122" spans="2:145" ht="13.9" customHeight="1" x14ac:dyDescent="0.2"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  <c r="AB122" s="187"/>
      <c r="AC122" s="187"/>
      <c r="AD122" s="187"/>
      <c r="AE122" s="187"/>
      <c r="AF122" s="187"/>
      <c r="AG122" s="187"/>
      <c r="AH122" s="187"/>
      <c r="AI122" s="187"/>
      <c r="AJ122" s="187"/>
      <c r="AK122" s="187"/>
      <c r="AL122" s="187"/>
      <c r="AM122" s="187"/>
      <c r="AN122" s="187"/>
      <c r="AO122" s="187"/>
      <c r="AP122" s="187"/>
      <c r="AQ122" s="187"/>
      <c r="AR122" s="187"/>
      <c r="AS122" s="187"/>
      <c r="AT122" s="187"/>
      <c r="AU122" s="187"/>
      <c r="AV122" s="187"/>
      <c r="AW122" s="187"/>
      <c r="AX122" s="187"/>
      <c r="AY122" s="187"/>
      <c r="AZ122" s="187"/>
      <c r="BA122" s="187"/>
      <c r="BB122" s="187"/>
      <c r="BC122" s="187"/>
      <c r="BD122" s="187"/>
      <c r="BE122" s="187"/>
      <c r="BF122" s="187"/>
      <c r="BG122" s="187"/>
      <c r="BH122" s="187"/>
      <c r="BI122" s="187"/>
      <c r="BJ122" s="187"/>
      <c r="BK122" s="187"/>
      <c r="BL122" s="187"/>
      <c r="BM122" s="187"/>
      <c r="BN122" s="187"/>
      <c r="BO122" s="187"/>
      <c r="BP122" s="187"/>
      <c r="BQ122" s="187"/>
      <c r="BR122" s="187"/>
      <c r="BS122" s="187"/>
      <c r="BT122" s="187"/>
      <c r="BU122" s="187"/>
      <c r="BV122" s="187"/>
      <c r="BW122" s="187"/>
      <c r="BX122" s="187"/>
      <c r="BY122" s="187"/>
      <c r="BZ122" s="187"/>
      <c r="CA122" s="187"/>
      <c r="CB122" s="187"/>
      <c r="CC122" s="187"/>
      <c r="CD122" s="187"/>
      <c r="CE122" s="187"/>
      <c r="CF122" s="187"/>
      <c r="CG122" s="187"/>
      <c r="CH122" s="187"/>
      <c r="CI122" s="187"/>
      <c r="CJ122" s="187"/>
      <c r="CK122" s="187"/>
      <c r="CL122" s="187"/>
      <c r="CM122" s="187"/>
      <c r="CN122" s="187"/>
      <c r="CO122" s="187"/>
      <c r="CP122" s="187"/>
      <c r="CQ122" s="187"/>
      <c r="CR122" s="187"/>
      <c r="CS122" s="187"/>
      <c r="CT122" s="187"/>
      <c r="CU122" s="187"/>
      <c r="CV122" s="187"/>
      <c r="CW122" s="187"/>
      <c r="CX122" s="187"/>
      <c r="CY122" s="187"/>
      <c r="CZ122" s="187"/>
      <c r="DA122" s="187"/>
      <c r="DB122" s="187"/>
      <c r="DC122" s="187"/>
      <c r="DD122" s="187"/>
      <c r="DE122" s="187"/>
      <c r="DF122" s="187"/>
      <c r="DG122" s="187"/>
      <c r="DH122" s="187"/>
      <c r="DI122" s="187"/>
      <c r="DJ122" s="187"/>
      <c r="DK122" s="187"/>
      <c r="DL122" s="187"/>
      <c r="DM122" s="187"/>
      <c r="DN122" s="187"/>
      <c r="DO122" s="187"/>
      <c r="DP122" s="187"/>
      <c r="DQ122" s="187"/>
      <c r="DR122" s="187"/>
      <c r="DS122" s="187"/>
      <c r="DT122" s="187"/>
      <c r="DU122" s="187"/>
      <c r="DV122" s="187"/>
      <c r="DW122" s="187"/>
      <c r="DX122" s="187"/>
      <c r="DY122" s="187"/>
      <c r="DZ122" s="187"/>
      <c r="EA122" s="187"/>
      <c r="EB122" s="187"/>
      <c r="EC122" s="187"/>
      <c r="ED122" s="187"/>
      <c r="EE122" s="187"/>
      <c r="EF122" s="187"/>
      <c r="EG122" s="187"/>
      <c r="EH122" s="187"/>
      <c r="EI122" s="187"/>
      <c r="EJ122" s="187"/>
      <c r="EK122" s="187"/>
      <c r="EL122" s="187"/>
      <c r="EM122" s="187"/>
      <c r="EN122" s="187"/>
      <c r="EO122" s="187"/>
    </row>
    <row r="123" spans="2:145" ht="13.9" customHeight="1" x14ac:dyDescent="0.2"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  <c r="AB123" s="187"/>
      <c r="AC123" s="187"/>
      <c r="AD123" s="187"/>
      <c r="AE123" s="187"/>
      <c r="AF123" s="187"/>
      <c r="AG123" s="187"/>
      <c r="AH123" s="187"/>
      <c r="AI123" s="187"/>
      <c r="AJ123" s="187"/>
      <c r="AK123" s="187"/>
      <c r="AL123" s="187"/>
      <c r="AM123" s="187"/>
      <c r="AN123" s="187"/>
      <c r="AO123" s="187"/>
      <c r="AP123" s="187"/>
      <c r="AQ123" s="187"/>
      <c r="AR123" s="187"/>
      <c r="AS123" s="187"/>
      <c r="AT123" s="187"/>
      <c r="AU123" s="187"/>
      <c r="AV123" s="187"/>
      <c r="AW123" s="187"/>
      <c r="AX123" s="187"/>
      <c r="AY123" s="187"/>
      <c r="AZ123" s="187"/>
      <c r="BA123" s="187"/>
      <c r="BB123" s="187"/>
      <c r="BC123" s="187"/>
      <c r="BD123" s="187"/>
      <c r="BE123" s="187"/>
      <c r="BF123" s="187"/>
      <c r="BG123" s="187"/>
      <c r="BH123" s="187"/>
      <c r="BI123" s="187"/>
      <c r="BJ123" s="187"/>
      <c r="BK123" s="187"/>
      <c r="BL123" s="187"/>
      <c r="BM123" s="187"/>
      <c r="BN123" s="187"/>
      <c r="BO123" s="187"/>
      <c r="BP123" s="187"/>
      <c r="BQ123" s="187"/>
      <c r="BR123" s="187"/>
      <c r="BS123" s="187"/>
      <c r="BT123" s="187"/>
      <c r="BU123" s="187"/>
      <c r="BV123" s="187"/>
      <c r="BW123" s="187"/>
      <c r="BX123" s="187"/>
      <c r="BY123" s="187"/>
      <c r="BZ123" s="187"/>
      <c r="CA123" s="187"/>
      <c r="CB123" s="187"/>
      <c r="CC123" s="187"/>
      <c r="CD123" s="187"/>
      <c r="CE123" s="187"/>
      <c r="CF123" s="187"/>
      <c r="CG123" s="187"/>
      <c r="CH123" s="187"/>
      <c r="CI123" s="187"/>
      <c r="CJ123" s="187"/>
      <c r="CK123" s="187"/>
      <c r="CL123" s="187"/>
      <c r="CM123" s="187"/>
      <c r="CN123" s="187"/>
      <c r="CO123" s="187"/>
      <c r="CP123" s="187"/>
      <c r="CQ123" s="187"/>
      <c r="CR123" s="187"/>
      <c r="CS123" s="187"/>
      <c r="CT123" s="187"/>
      <c r="CU123" s="187"/>
      <c r="CV123" s="187"/>
      <c r="CW123" s="187"/>
      <c r="CX123" s="187"/>
      <c r="CY123" s="187"/>
      <c r="CZ123" s="187"/>
      <c r="DA123" s="187"/>
      <c r="DB123" s="187"/>
      <c r="DC123" s="187"/>
      <c r="DD123" s="187"/>
      <c r="DE123" s="187"/>
      <c r="DF123" s="187"/>
      <c r="DG123" s="187"/>
      <c r="DH123" s="187"/>
      <c r="DI123" s="187"/>
      <c r="DJ123" s="187"/>
      <c r="DK123" s="187"/>
      <c r="DL123" s="187"/>
      <c r="DM123" s="187"/>
      <c r="DN123" s="187"/>
      <c r="DO123" s="187"/>
      <c r="DP123" s="187"/>
      <c r="DQ123" s="187"/>
      <c r="DR123" s="187"/>
      <c r="DS123" s="187"/>
      <c r="DT123" s="187"/>
      <c r="DU123" s="187"/>
      <c r="DV123" s="187"/>
      <c r="DW123" s="187"/>
      <c r="DX123" s="187"/>
      <c r="DY123" s="187"/>
      <c r="DZ123" s="187"/>
      <c r="EA123" s="187"/>
      <c r="EB123" s="187"/>
      <c r="EC123" s="187"/>
      <c r="ED123" s="187"/>
      <c r="EE123" s="187"/>
      <c r="EF123" s="187"/>
      <c r="EG123" s="187"/>
      <c r="EH123" s="187"/>
      <c r="EI123" s="187"/>
      <c r="EJ123" s="187"/>
      <c r="EK123" s="187"/>
      <c r="EL123" s="187"/>
      <c r="EM123" s="187"/>
      <c r="EN123" s="187"/>
      <c r="EO123" s="187"/>
    </row>
    <row r="124" spans="2:145" ht="13.9" customHeight="1" x14ac:dyDescent="0.2"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  <c r="AB124" s="187"/>
      <c r="AC124" s="187"/>
      <c r="AD124" s="187"/>
      <c r="AE124" s="187"/>
      <c r="AF124" s="187"/>
      <c r="AG124" s="187"/>
      <c r="AH124" s="187"/>
      <c r="AI124" s="187"/>
      <c r="AJ124" s="187"/>
      <c r="AK124" s="187"/>
      <c r="AL124" s="187"/>
      <c r="AM124" s="187"/>
      <c r="AN124" s="187"/>
      <c r="AO124" s="187"/>
      <c r="AP124" s="187"/>
      <c r="AQ124" s="187"/>
      <c r="AR124" s="187"/>
      <c r="AS124" s="187"/>
      <c r="AT124" s="187"/>
      <c r="AU124" s="187"/>
      <c r="AV124" s="187"/>
      <c r="AW124" s="187"/>
      <c r="AX124" s="187"/>
      <c r="AY124" s="187"/>
      <c r="AZ124" s="187"/>
      <c r="BA124" s="187"/>
      <c r="BB124" s="187"/>
      <c r="BC124" s="187"/>
      <c r="BD124" s="187"/>
      <c r="BE124" s="187"/>
      <c r="BF124" s="187"/>
      <c r="BG124" s="187"/>
      <c r="BH124" s="187"/>
      <c r="BI124" s="187"/>
      <c r="BJ124" s="187"/>
      <c r="BK124" s="187"/>
      <c r="BL124" s="187"/>
      <c r="BM124" s="187"/>
      <c r="BN124" s="187"/>
      <c r="BO124" s="187"/>
      <c r="BP124" s="187"/>
      <c r="BQ124" s="187"/>
      <c r="BR124" s="187"/>
      <c r="BS124" s="187"/>
      <c r="BT124" s="187"/>
      <c r="BU124" s="187"/>
      <c r="BV124" s="187"/>
      <c r="BW124" s="187"/>
      <c r="BX124" s="187"/>
      <c r="BY124" s="187"/>
      <c r="BZ124" s="187"/>
      <c r="CA124" s="187"/>
      <c r="CB124" s="187"/>
      <c r="CC124" s="187"/>
      <c r="CD124" s="187"/>
      <c r="CE124" s="187"/>
      <c r="CF124" s="187"/>
      <c r="CG124" s="187"/>
      <c r="CH124" s="187"/>
      <c r="CI124" s="187"/>
      <c r="CJ124" s="187"/>
      <c r="CK124" s="187"/>
      <c r="CL124" s="187"/>
      <c r="CM124" s="187"/>
      <c r="CN124" s="187"/>
      <c r="CO124" s="187"/>
      <c r="CP124" s="187"/>
      <c r="CQ124" s="187"/>
      <c r="CR124" s="187"/>
      <c r="CS124" s="187"/>
      <c r="CT124" s="187"/>
      <c r="CU124" s="187"/>
      <c r="CV124" s="187"/>
      <c r="CW124" s="187"/>
      <c r="CX124" s="187"/>
      <c r="CY124" s="187"/>
      <c r="CZ124" s="187"/>
      <c r="DA124" s="187"/>
      <c r="DB124" s="187"/>
      <c r="DC124" s="187"/>
      <c r="DD124" s="187"/>
      <c r="DE124" s="187"/>
      <c r="DF124" s="187"/>
      <c r="DG124" s="187"/>
      <c r="DH124" s="187"/>
      <c r="DI124" s="187"/>
      <c r="DJ124" s="187"/>
      <c r="DK124" s="187"/>
      <c r="DL124" s="187"/>
      <c r="DM124" s="187"/>
      <c r="DN124" s="187"/>
      <c r="DO124" s="187"/>
      <c r="DP124" s="187"/>
      <c r="DQ124" s="187"/>
      <c r="DR124" s="187"/>
      <c r="DS124" s="187"/>
      <c r="DT124" s="187"/>
      <c r="DU124" s="187"/>
      <c r="DV124" s="187"/>
      <c r="DW124" s="187"/>
      <c r="DX124" s="187"/>
      <c r="DY124" s="187"/>
      <c r="DZ124" s="187"/>
      <c r="EA124" s="187"/>
      <c r="EB124" s="187"/>
      <c r="EC124" s="187"/>
      <c r="ED124" s="187"/>
      <c r="EE124" s="187"/>
      <c r="EF124" s="187"/>
      <c r="EG124" s="187"/>
      <c r="EH124" s="187"/>
      <c r="EI124" s="187"/>
      <c r="EJ124" s="187"/>
      <c r="EK124" s="187"/>
      <c r="EL124" s="187"/>
      <c r="EM124" s="187"/>
      <c r="EN124" s="187"/>
      <c r="EO124" s="187"/>
    </row>
    <row r="125" spans="2:145" ht="13.9" customHeight="1" x14ac:dyDescent="0.2"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  <c r="AE125" s="187"/>
      <c r="AF125" s="187"/>
      <c r="AG125" s="187"/>
      <c r="AH125" s="187"/>
      <c r="AI125" s="187"/>
      <c r="AJ125" s="187"/>
      <c r="AK125" s="187"/>
      <c r="AL125" s="187"/>
      <c r="AM125" s="187"/>
      <c r="AN125" s="187"/>
      <c r="AO125" s="187"/>
      <c r="AP125" s="187"/>
      <c r="AQ125" s="187"/>
      <c r="AR125" s="187"/>
      <c r="AS125" s="187"/>
      <c r="AT125" s="187"/>
      <c r="AU125" s="187"/>
      <c r="AV125" s="187"/>
      <c r="AW125" s="187"/>
      <c r="AX125" s="187"/>
      <c r="AY125" s="187"/>
      <c r="AZ125" s="187"/>
      <c r="BA125" s="187"/>
      <c r="BB125" s="187"/>
      <c r="BC125" s="187"/>
      <c r="BD125" s="187"/>
      <c r="BE125" s="187"/>
      <c r="BF125" s="187"/>
      <c r="BG125" s="187"/>
      <c r="BH125" s="187"/>
      <c r="BI125" s="187"/>
      <c r="BJ125" s="187"/>
      <c r="BK125" s="187"/>
      <c r="BL125" s="187"/>
      <c r="BM125" s="187"/>
      <c r="BN125" s="187"/>
      <c r="BO125" s="187"/>
      <c r="BP125" s="187"/>
      <c r="BQ125" s="187"/>
      <c r="BR125" s="187"/>
      <c r="BS125" s="187"/>
      <c r="BT125" s="187"/>
      <c r="BU125" s="187"/>
      <c r="BV125" s="187"/>
      <c r="BW125" s="187"/>
      <c r="BX125" s="187"/>
      <c r="BY125" s="187"/>
      <c r="BZ125" s="187"/>
      <c r="CA125" s="187"/>
      <c r="CB125" s="187"/>
      <c r="CC125" s="187"/>
      <c r="CD125" s="187"/>
      <c r="CE125" s="187"/>
      <c r="CF125" s="187"/>
      <c r="CG125" s="187"/>
      <c r="CH125" s="187"/>
      <c r="CI125" s="187"/>
      <c r="CJ125" s="187"/>
      <c r="CK125" s="187"/>
      <c r="CL125" s="187"/>
      <c r="CM125" s="187"/>
      <c r="CN125" s="187"/>
      <c r="CO125" s="187"/>
      <c r="CP125" s="187"/>
      <c r="CQ125" s="187"/>
      <c r="CR125" s="187"/>
      <c r="CS125" s="187"/>
      <c r="CT125" s="187"/>
      <c r="CU125" s="187"/>
      <c r="CV125" s="187"/>
      <c r="CW125" s="187"/>
      <c r="CX125" s="187"/>
      <c r="CY125" s="187"/>
      <c r="CZ125" s="187"/>
      <c r="DA125" s="187"/>
      <c r="DB125" s="187"/>
      <c r="DC125" s="187"/>
      <c r="DD125" s="187"/>
      <c r="DE125" s="187"/>
      <c r="DF125" s="187"/>
      <c r="DG125" s="187"/>
      <c r="DH125" s="187"/>
      <c r="DI125" s="187"/>
      <c r="DJ125" s="187"/>
      <c r="DK125" s="187"/>
      <c r="DL125" s="187"/>
      <c r="DM125" s="187"/>
      <c r="DN125" s="187"/>
      <c r="DO125" s="187"/>
      <c r="DP125" s="187"/>
      <c r="DQ125" s="187"/>
      <c r="DR125" s="187"/>
      <c r="DS125" s="187"/>
      <c r="DT125" s="187"/>
      <c r="DU125" s="187"/>
      <c r="DV125" s="187"/>
      <c r="DW125" s="187"/>
      <c r="DX125" s="187"/>
      <c r="DY125" s="187"/>
      <c r="DZ125" s="187"/>
      <c r="EA125" s="187"/>
      <c r="EB125" s="187"/>
      <c r="EC125" s="187"/>
      <c r="ED125" s="187"/>
      <c r="EE125" s="187"/>
      <c r="EF125" s="187"/>
      <c r="EG125" s="187"/>
      <c r="EH125" s="187"/>
      <c r="EI125" s="187"/>
      <c r="EJ125" s="187"/>
      <c r="EK125" s="187"/>
      <c r="EL125" s="187"/>
      <c r="EM125" s="187"/>
      <c r="EN125" s="187"/>
      <c r="EO125" s="187"/>
    </row>
    <row r="126" spans="2:145" ht="13.9" customHeight="1" x14ac:dyDescent="0.2"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  <c r="AB126" s="187"/>
      <c r="AC126" s="187"/>
      <c r="AD126" s="187"/>
      <c r="AE126" s="187"/>
      <c r="AF126" s="187"/>
      <c r="AG126" s="187"/>
      <c r="AH126" s="187"/>
      <c r="AI126" s="187"/>
      <c r="AJ126" s="187"/>
      <c r="AK126" s="187"/>
      <c r="AL126" s="187"/>
      <c r="AM126" s="187"/>
      <c r="AN126" s="187"/>
      <c r="AO126" s="187"/>
      <c r="AP126" s="187"/>
      <c r="AQ126" s="187"/>
      <c r="AR126" s="187"/>
      <c r="AS126" s="187"/>
      <c r="AT126" s="187"/>
      <c r="AU126" s="187"/>
      <c r="AV126" s="187"/>
      <c r="AW126" s="187"/>
      <c r="AX126" s="187"/>
      <c r="AY126" s="187"/>
      <c r="AZ126" s="187"/>
      <c r="BA126" s="187"/>
      <c r="BB126" s="187"/>
      <c r="BC126" s="187"/>
      <c r="BD126" s="187"/>
      <c r="BE126" s="187"/>
      <c r="BF126" s="187"/>
      <c r="BG126" s="187"/>
      <c r="BH126" s="187"/>
      <c r="BI126" s="187"/>
      <c r="BJ126" s="187"/>
      <c r="BK126" s="187"/>
      <c r="BL126" s="187"/>
      <c r="BM126" s="187"/>
      <c r="BN126" s="187"/>
      <c r="BO126" s="187"/>
      <c r="BP126" s="187"/>
      <c r="BQ126" s="187"/>
      <c r="BR126" s="187"/>
      <c r="BS126" s="187"/>
      <c r="BT126" s="187"/>
      <c r="BU126" s="187"/>
      <c r="BV126" s="187"/>
      <c r="BW126" s="187"/>
      <c r="BX126" s="187"/>
      <c r="BY126" s="187"/>
      <c r="BZ126" s="187"/>
      <c r="CA126" s="187"/>
      <c r="CB126" s="187"/>
      <c r="CC126" s="187"/>
      <c r="CD126" s="187"/>
      <c r="CE126" s="187"/>
      <c r="CF126" s="187"/>
      <c r="CG126" s="187"/>
      <c r="CH126" s="187"/>
      <c r="CI126" s="187"/>
      <c r="CJ126" s="187"/>
      <c r="CK126" s="187"/>
      <c r="CL126" s="187"/>
      <c r="CM126" s="187"/>
      <c r="CN126" s="187"/>
      <c r="CO126" s="187"/>
      <c r="CP126" s="187"/>
      <c r="CQ126" s="187"/>
      <c r="CR126" s="187"/>
      <c r="CS126" s="187"/>
      <c r="CT126" s="187"/>
      <c r="CU126" s="187"/>
      <c r="CV126" s="187"/>
      <c r="CW126" s="187"/>
      <c r="CX126" s="187"/>
      <c r="CY126" s="187"/>
      <c r="CZ126" s="187"/>
      <c r="DA126" s="187"/>
      <c r="DB126" s="187"/>
      <c r="DC126" s="187"/>
      <c r="DD126" s="187"/>
      <c r="DE126" s="187"/>
      <c r="DF126" s="187"/>
      <c r="DG126" s="187"/>
      <c r="DH126" s="187"/>
      <c r="DI126" s="187"/>
      <c r="DJ126" s="187"/>
      <c r="DK126" s="187"/>
      <c r="DL126" s="187"/>
      <c r="DM126" s="187"/>
      <c r="DN126" s="187"/>
      <c r="DO126" s="187"/>
      <c r="DP126" s="187"/>
      <c r="DQ126" s="187"/>
      <c r="DR126" s="187"/>
      <c r="DS126" s="187"/>
      <c r="DT126" s="187"/>
      <c r="DU126" s="187"/>
      <c r="DV126" s="187"/>
      <c r="DW126" s="187"/>
      <c r="DX126" s="187"/>
      <c r="DY126" s="187"/>
      <c r="DZ126" s="187"/>
      <c r="EA126" s="187"/>
      <c r="EB126" s="187"/>
      <c r="EC126" s="187"/>
      <c r="ED126" s="187"/>
      <c r="EE126" s="187"/>
      <c r="EF126" s="187"/>
      <c r="EG126" s="187"/>
      <c r="EH126" s="187"/>
      <c r="EI126" s="187"/>
      <c r="EJ126" s="187"/>
      <c r="EK126" s="187"/>
      <c r="EL126" s="187"/>
      <c r="EM126" s="187"/>
      <c r="EN126" s="187"/>
      <c r="EO126" s="187"/>
    </row>
    <row r="127" spans="2:145" ht="13.9" customHeight="1" x14ac:dyDescent="0.2"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  <c r="AB127" s="187"/>
      <c r="AC127" s="187"/>
      <c r="AD127" s="187"/>
      <c r="AE127" s="187"/>
      <c r="AF127" s="187"/>
      <c r="AG127" s="187"/>
      <c r="AH127" s="187"/>
      <c r="AI127" s="187"/>
      <c r="AJ127" s="187"/>
      <c r="AK127" s="187"/>
      <c r="AL127" s="187"/>
      <c r="AM127" s="187"/>
      <c r="AN127" s="187"/>
      <c r="AO127" s="187"/>
      <c r="AP127" s="187"/>
      <c r="AQ127" s="187"/>
      <c r="AR127" s="187"/>
      <c r="AS127" s="187"/>
      <c r="AT127" s="187"/>
      <c r="AU127" s="187"/>
      <c r="AV127" s="187"/>
      <c r="AW127" s="187"/>
      <c r="AX127" s="187"/>
      <c r="AY127" s="187"/>
      <c r="AZ127" s="187"/>
      <c r="BA127" s="187"/>
      <c r="BB127" s="187"/>
      <c r="BC127" s="187"/>
      <c r="BD127" s="187"/>
      <c r="BE127" s="187"/>
      <c r="BF127" s="187"/>
      <c r="BG127" s="187"/>
      <c r="BH127" s="187"/>
      <c r="BI127" s="187"/>
      <c r="BJ127" s="187"/>
      <c r="BK127" s="187"/>
      <c r="BL127" s="187"/>
      <c r="BM127" s="187"/>
      <c r="BN127" s="187"/>
      <c r="BO127" s="187"/>
      <c r="BP127" s="187"/>
      <c r="BQ127" s="187"/>
      <c r="BR127" s="187"/>
      <c r="BS127" s="187"/>
      <c r="BT127" s="187"/>
      <c r="BU127" s="187"/>
      <c r="BV127" s="187"/>
      <c r="BW127" s="187"/>
      <c r="BX127" s="187"/>
      <c r="BY127" s="187"/>
      <c r="BZ127" s="187"/>
      <c r="CA127" s="187"/>
      <c r="CB127" s="187"/>
      <c r="CC127" s="187"/>
      <c r="CD127" s="187"/>
      <c r="CE127" s="187"/>
      <c r="CF127" s="187"/>
      <c r="CG127" s="187"/>
      <c r="CH127" s="187"/>
      <c r="CI127" s="187"/>
      <c r="CJ127" s="187"/>
      <c r="CK127" s="187"/>
      <c r="CL127" s="187"/>
      <c r="CM127" s="187"/>
      <c r="CN127" s="187"/>
      <c r="CO127" s="187"/>
      <c r="CP127" s="187"/>
      <c r="CQ127" s="187"/>
      <c r="CR127" s="187"/>
      <c r="CS127" s="187"/>
      <c r="CT127" s="187"/>
      <c r="CU127" s="187"/>
      <c r="CV127" s="187"/>
      <c r="CW127" s="187"/>
      <c r="CX127" s="187"/>
      <c r="CY127" s="187"/>
      <c r="CZ127" s="187"/>
      <c r="DA127" s="187"/>
      <c r="DB127" s="187"/>
      <c r="DC127" s="187"/>
      <c r="DD127" s="187"/>
      <c r="DE127" s="187"/>
      <c r="DF127" s="187"/>
      <c r="DG127" s="187"/>
      <c r="DH127" s="187"/>
      <c r="DI127" s="187"/>
      <c r="DJ127" s="187"/>
      <c r="DK127" s="187"/>
      <c r="DL127" s="187"/>
      <c r="DM127" s="187"/>
      <c r="DN127" s="187"/>
      <c r="DO127" s="187"/>
      <c r="DP127" s="187"/>
      <c r="DQ127" s="187"/>
      <c r="DR127" s="187"/>
      <c r="DS127" s="187"/>
      <c r="DT127" s="187"/>
      <c r="DU127" s="187"/>
      <c r="DV127" s="187"/>
      <c r="DW127" s="187"/>
      <c r="DX127" s="187"/>
      <c r="DY127" s="187"/>
      <c r="DZ127" s="187"/>
      <c r="EA127" s="187"/>
      <c r="EB127" s="187"/>
      <c r="EC127" s="187"/>
      <c r="ED127" s="187"/>
      <c r="EE127" s="187"/>
      <c r="EF127" s="187"/>
      <c r="EG127" s="187"/>
      <c r="EH127" s="187"/>
      <c r="EI127" s="187"/>
      <c r="EJ127" s="187"/>
      <c r="EK127" s="187"/>
      <c r="EL127" s="187"/>
      <c r="EM127" s="187"/>
      <c r="EN127" s="187"/>
      <c r="EO127" s="187"/>
    </row>
    <row r="128" spans="2:145" ht="13.9" customHeight="1" x14ac:dyDescent="0.2"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  <c r="AE128" s="187"/>
      <c r="AF128" s="187"/>
      <c r="AG128" s="187"/>
      <c r="AH128" s="187"/>
      <c r="AI128" s="187"/>
      <c r="AJ128" s="187"/>
      <c r="AK128" s="187"/>
      <c r="AL128" s="187"/>
      <c r="AM128" s="187"/>
      <c r="AN128" s="187"/>
      <c r="AO128" s="187"/>
      <c r="AP128" s="187"/>
      <c r="AQ128" s="187"/>
      <c r="AR128" s="187"/>
      <c r="AS128" s="187"/>
      <c r="AT128" s="187"/>
      <c r="AU128" s="187"/>
      <c r="AV128" s="187"/>
      <c r="AW128" s="187"/>
      <c r="AX128" s="187"/>
      <c r="AY128" s="187"/>
      <c r="AZ128" s="187"/>
      <c r="BA128" s="187"/>
      <c r="BB128" s="187"/>
      <c r="BC128" s="187"/>
      <c r="BD128" s="187"/>
      <c r="BE128" s="187"/>
      <c r="BF128" s="187"/>
      <c r="BG128" s="187"/>
      <c r="BH128" s="187"/>
      <c r="BI128" s="187"/>
      <c r="BJ128" s="187"/>
      <c r="BK128" s="187"/>
      <c r="BL128" s="187"/>
      <c r="BM128" s="187"/>
      <c r="BN128" s="187"/>
      <c r="BO128" s="187"/>
      <c r="BP128" s="187"/>
      <c r="BQ128" s="187"/>
      <c r="BR128" s="187"/>
      <c r="BS128" s="187"/>
      <c r="BT128" s="187"/>
      <c r="BU128" s="187"/>
      <c r="BV128" s="187"/>
      <c r="BW128" s="187"/>
      <c r="BX128" s="187"/>
      <c r="BY128" s="187"/>
      <c r="BZ128" s="187"/>
      <c r="CA128" s="187"/>
      <c r="CB128" s="187"/>
      <c r="CC128" s="187"/>
      <c r="CD128" s="187"/>
      <c r="CE128" s="187"/>
      <c r="CF128" s="187"/>
      <c r="CG128" s="187"/>
      <c r="CH128" s="187"/>
      <c r="CI128" s="187"/>
      <c r="CJ128" s="187"/>
      <c r="CK128" s="187"/>
      <c r="CL128" s="187"/>
      <c r="CM128" s="187"/>
      <c r="CN128" s="187"/>
      <c r="CO128" s="187"/>
      <c r="CP128" s="187"/>
      <c r="CQ128" s="187"/>
      <c r="CR128" s="187"/>
      <c r="CS128" s="187"/>
      <c r="CT128" s="187"/>
      <c r="CU128" s="187"/>
      <c r="CV128" s="187"/>
      <c r="CW128" s="187"/>
      <c r="CX128" s="187"/>
      <c r="CY128" s="187"/>
      <c r="CZ128" s="187"/>
      <c r="DA128" s="187"/>
      <c r="DB128" s="187"/>
      <c r="DC128" s="187"/>
      <c r="DD128" s="187"/>
      <c r="DE128" s="187"/>
      <c r="DF128" s="187"/>
      <c r="DG128" s="187"/>
      <c r="DH128" s="187"/>
      <c r="DI128" s="187"/>
      <c r="DJ128" s="187"/>
      <c r="DK128" s="187"/>
      <c r="DL128" s="187"/>
      <c r="DM128" s="187"/>
      <c r="DN128" s="187"/>
      <c r="DO128" s="187"/>
      <c r="DP128" s="187"/>
      <c r="DQ128" s="187"/>
      <c r="DR128" s="187"/>
      <c r="DS128" s="187"/>
      <c r="DT128" s="187"/>
      <c r="DU128" s="187"/>
      <c r="DV128" s="187"/>
      <c r="DW128" s="187"/>
      <c r="DX128" s="187"/>
      <c r="DY128" s="187"/>
      <c r="DZ128" s="187"/>
      <c r="EA128" s="187"/>
      <c r="EB128" s="187"/>
      <c r="EC128" s="187"/>
      <c r="ED128" s="187"/>
      <c r="EE128" s="187"/>
      <c r="EF128" s="187"/>
      <c r="EG128" s="187"/>
      <c r="EH128" s="187"/>
      <c r="EI128" s="187"/>
      <c r="EJ128" s="187"/>
      <c r="EK128" s="187"/>
      <c r="EL128" s="187"/>
      <c r="EM128" s="187"/>
      <c r="EN128" s="187"/>
      <c r="EO128" s="187"/>
    </row>
    <row r="129" spans="2:145" ht="13.9" customHeight="1" x14ac:dyDescent="0.2"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  <c r="AE129" s="187"/>
      <c r="AF129" s="187"/>
      <c r="AG129" s="187"/>
      <c r="AH129" s="187"/>
      <c r="AI129" s="187"/>
      <c r="AJ129" s="187"/>
      <c r="AK129" s="187"/>
      <c r="AL129" s="187"/>
      <c r="AM129" s="187"/>
      <c r="AN129" s="187"/>
      <c r="AO129" s="187"/>
      <c r="AP129" s="187"/>
      <c r="AQ129" s="187"/>
      <c r="AR129" s="187"/>
      <c r="AS129" s="187"/>
      <c r="AT129" s="187"/>
      <c r="AU129" s="187"/>
      <c r="AV129" s="187"/>
      <c r="AW129" s="187"/>
      <c r="AX129" s="187"/>
      <c r="AY129" s="187"/>
      <c r="AZ129" s="187"/>
      <c r="BA129" s="187"/>
      <c r="BB129" s="187"/>
      <c r="BC129" s="187"/>
      <c r="BD129" s="187"/>
      <c r="BE129" s="187"/>
      <c r="BF129" s="187"/>
      <c r="BG129" s="187"/>
      <c r="BH129" s="187"/>
      <c r="BI129" s="187"/>
      <c r="BJ129" s="187"/>
      <c r="BK129" s="187"/>
      <c r="BL129" s="187"/>
      <c r="BM129" s="187"/>
      <c r="BN129" s="187"/>
      <c r="BO129" s="187"/>
      <c r="BP129" s="187"/>
      <c r="BQ129" s="187"/>
      <c r="BR129" s="187"/>
      <c r="BS129" s="187"/>
      <c r="BT129" s="187"/>
      <c r="BU129" s="187"/>
      <c r="BV129" s="187"/>
      <c r="BW129" s="187"/>
      <c r="BX129" s="187"/>
      <c r="BY129" s="187"/>
      <c r="BZ129" s="187"/>
      <c r="CA129" s="187"/>
      <c r="CB129" s="187"/>
      <c r="CC129" s="187"/>
      <c r="CD129" s="187"/>
      <c r="CE129" s="187"/>
      <c r="CF129" s="187"/>
      <c r="CG129" s="187"/>
      <c r="CH129" s="187"/>
      <c r="CI129" s="187"/>
      <c r="CJ129" s="187"/>
      <c r="CK129" s="187"/>
      <c r="CL129" s="187"/>
      <c r="CM129" s="187"/>
      <c r="CN129" s="187"/>
      <c r="CO129" s="187"/>
      <c r="CP129" s="187"/>
      <c r="CQ129" s="187"/>
      <c r="CR129" s="187"/>
      <c r="CS129" s="187"/>
      <c r="CT129" s="187"/>
      <c r="CU129" s="187"/>
      <c r="CV129" s="187"/>
      <c r="CW129" s="187"/>
      <c r="CX129" s="187"/>
      <c r="CY129" s="187"/>
      <c r="CZ129" s="187"/>
      <c r="DA129" s="187"/>
      <c r="DB129" s="187"/>
      <c r="DC129" s="187"/>
      <c r="DD129" s="187"/>
      <c r="DE129" s="187"/>
      <c r="DF129" s="187"/>
      <c r="DG129" s="187"/>
      <c r="DH129" s="187"/>
      <c r="DI129" s="187"/>
      <c r="DJ129" s="187"/>
      <c r="DK129" s="187"/>
      <c r="DL129" s="187"/>
      <c r="DM129" s="187"/>
      <c r="DN129" s="187"/>
      <c r="DO129" s="187"/>
      <c r="DP129" s="187"/>
      <c r="DQ129" s="187"/>
      <c r="DR129" s="187"/>
      <c r="DS129" s="187"/>
      <c r="DT129" s="187"/>
      <c r="DU129" s="187"/>
      <c r="DV129" s="187"/>
      <c r="DW129" s="187"/>
      <c r="DX129" s="187"/>
      <c r="DY129" s="187"/>
      <c r="DZ129" s="187"/>
      <c r="EA129" s="187"/>
      <c r="EB129" s="187"/>
      <c r="EC129" s="187"/>
      <c r="ED129" s="187"/>
      <c r="EE129" s="187"/>
      <c r="EF129" s="187"/>
      <c r="EG129" s="187"/>
      <c r="EH129" s="187"/>
      <c r="EI129" s="187"/>
      <c r="EJ129" s="187"/>
      <c r="EK129" s="187"/>
      <c r="EL129" s="187"/>
      <c r="EM129" s="187"/>
      <c r="EN129" s="187"/>
      <c r="EO129" s="187"/>
    </row>
    <row r="130" spans="2:145" ht="13.9" customHeight="1" x14ac:dyDescent="0.2"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  <c r="AB130" s="187"/>
      <c r="AC130" s="187"/>
      <c r="AD130" s="187"/>
      <c r="AE130" s="187"/>
      <c r="AF130" s="187"/>
      <c r="AG130" s="187"/>
      <c r="AH130" s="187"/>
      <c r="AI130" s="187"/>
      <c r="AJ130" s="187"/>
      <c r="AK130" s="187"/>
      <c r="AL130" s="187"/>
      <c r="AM130" s="187"/>
      <c r="AN130" s="187"/>
      <c r="AO130" s="187"/>
      <c r="AP130" s="187"/>
      <c r="AQ130" s="187"/>
      <c r="AR130" s="187"/>
      <c r="AS130" s="187"/>
      <c r="AT130" s="187"/>
      <c r="AU130" s="187"/>
      <c r="AV130" s="187"/>
      <c r="AW130" s="187"/>
      <c r="AX130" s="187"/>
      <c r="AY130" s="187"/>
      <c r="AZ130" s="187"/>
      <c r="BA130" s="187"/>
      <c r="BB130" s="187"/>
      <c r="BC130" s="187"/>
      <c r="BD130" s="187"/>
      <c r="BE130" s="187"/>
      <c r="BF130" s="187"/>
      <c r="BG130" s="187"/>
      <c r="BH130" s="187"/>
      <c r="BI130" s="187"/>
      <c r="BJ130" s="187"/>
      <c r="BK130" s="187"/>
      <c r="BL130" s="187"/>
      <c r="BM130" s="187"/>
      <c r="BN130" s="187"/>
      <c r="BO130" s="187"/>
      <c r="BP130" s="187"/>
      <c r="BQ130" s="187"/>
      <c r="BR130" s="187"/>
      <c r="BS130" s="187"/>
      <c r="BT130" s="187"/>
      <c r="BU130" s="187"/>
      <c r="BV130" s="187"/>
      <c r="BW130" s="187"/>
      <c r="BX130" s="187"/>
      <c r="BY130" s="187"/>
      <c r="BZ130" s="187"/>
      <c r="CA130" s="187"/>
      <c r="CB130" s="187"/>
      <c r="CC130" s="187"/>
      <c r="CD130" s="187"/>
      <c r="CE130" s="187"/>
      <c r="CF130" s="187"/>
      <c r="CG130" s="187"/>
      <c r="CH130" s="187"/>
      <c r="CI130" s="187"/>
      <c r="CJ130" s="187"/>
      <c r="CK130" s="187"/>
      <c r="CL130" s="187"/>
      <c r="CM130" s="187"/>
      <c r="CN130" s="187"/>
      <c r="CO130" s="187"/>
      <c r="CP130" s="187"/>
      <c r="CQ130" s="187"/>
      <c r="CR130" s="187"/>
      <c r="CS130" s="187"/>
      <c r="CT130" s="187"/>
      <c r="CU130" s="187"/>
      <c r="CV130" s="187"/>
      <c r="CW130" s="187"/>
      <c r="CX130" s="187"/>
      <c r="CY130" s="187"/>
      <c r="CZ130" s="187"/>
      <c r="DA130" s="187"/>
      <c r="DB130" s="187"/>
      <c r="DC130" s="187"/>
      <c r="DD130" s="187"/>
      <c r="DE130" s="187"/>
      <c r="DF130" s="187"/>
      <c r="DG130" s="187"/>
      <c r="DH130" s="187"/>
      <c r="DI130" s="187"/>
      <c r="DJ130" s="187"/>
      <c r="DK130" s="187"/>
      <c r="DL130" s="187"/>
      <c r="DM130" s="187"/>
      <c r="DN130" s="187"/>
      <c r="DO130" s="187"/>
      <c r="DP130" s="187"/>
      <c r="DQ130" s="187"/>
      <c r="DR130" s="187"/>
      <c r="DS130" s="187"/>
      <c r="DT130" s="187"/>
      <c r="DU130" s="187"/>
      <c r="DV130" s="187"/>
      <c r="DW130" s="187"/>
      <c r="DX130" s="187"/>
      <c r="DY130" s="187"/>
      <c r="DZ130" s="187"/>
      <c r="EA130" s="187"/>
      <c r="EB130" s="187"/>
      <c r="EC130" s="187"/>
      <c r="ED130" s="187"/>
      <c r="EE130" s="187"/>
      <c r="EF130" s="187"/>
      <c r="EG130" s="187"/>
      <c r="EH130" s="187"/>
      <c r="EI130" s="187"/>
      <c r="EJ130" s="187"/>
      <c r="EK130" s="187"/>
      <c r="EL130" s="187"/>
      <c r="EM130" s="187"/>
      <c r="EN130" s="187"/>
      <c r="EO130" s="187"/>
    </row>
    <row r="131" spans="2:145" ht="13.9" customHeight="1" x14ac:dyDescent="0.2"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  <c r="AB131" s="187"/>
      <c r="AC131" s="187"/>
      <c r="AD131" s="187"/>
      <c r="AE131" s="187"/>
      <c r="AF131" s="187"/>
      <c r="AG131" s="187"/>
      <c r="AH131" s="187"/>
      <c r="AI131" s="187"/>
      <c r="AJ131" s="187"/>
      <c r="AK131" s="187"/>
      <c r="AL131" s="187"/>
      <c r="AM131" s="187"/>
      <c r="AN131" s="187"/>
      <c r="AO131" s="187"/>
      <c r="AP131" s="187"/>
      <c r="AQ131" s="187"/>
      <c r="AR131" s="187"/>
      <c r="AS131" s="187"/>
      <c r="AT131" s="187"/>
      <c r="AU131" s="187"/>
      <c r="AV131" s="187"/>
      <c r="AW131" s="187"/>
      <c r="AX131" s="187"/>
      <c r="AY131" s="187"/>
      <c r="AZ131" s="187"/>
      <c r="BA131" s="187"/>
      <c r="BB131" s="187"/>
      <c r="BC131" s="187"/>
      <c r="BD131" s="187"/>
      <c r="BE131" s="187"/>
      <c r="BF131" s="187"/>
      <c r="BG131" s="187"/>
      <c r="BH131" s="187"/>
      <c r="BI131" s="187"/>
      <c r="BJ131" s="187"/>
      <c r="BK131" s="187"/>
      <c r="BL131" s="187"/>
      <c r="BM131" s="187"/>
      <c r="BN131" s="187"/>
      <c r="BO131" s="187"/>
      <c r="BP131" s="187"/>
      <c r="BQ131" s="187"/>
      <c r="BR131" s="187"/>
      <c r="BS131" s="187"/>
      <c r="BT131" s="187"/>
      <c r="BU131" s="187"/>
      <c r="BV131" s="187"/>
      <c r="BW131" s="187"/>
      <c r="BX131" s="187"/>
      <c r="BY131" s="187"/>
      <c r="BZ131" s="187"/>
      <c r="CA131" s="187"/>
      <c r="CB131" s="187"/>
      <c r="CC131" s="187"/>
      <c r="CD131" s="187"/>
      <c r="CE131" s="187"/>
      <c r="CF131" s="187"/>
      <c r="CG131" s="187"/>
      <c r="CH131" s="187"/>
      <c r="CI131" s="187"/>
      <c r="CJ131" s="187"/>
      <c r="CK131" s="187"/>
      <c r="CL131" s="187"/>
      <c r="CM131" s="187"/>
      <c r="CN131" s="187"/>
      <c r="CO131" s="187"/>
      <c r="CP131" s="187"/>
      <c r="CQ131" s="187"/>
      <c r="CR131" s="187"/>
      <c r="CS131" s="187"/>
      <c r="CT131" s="187"/>
      <c r="CU131" s="187"/>
      <c r="CV131" s="187"/>
      <c r="CW131" s="187"/>
      <c r="CX131" s="187"/>
      <c r="CY131" s="187"/>
      <c r="CZ131" s="187"/>
      <c r="DA131" s="187"/>
      <c r="DB131" s="187"/>
      <c r="DC131" s="187"/>
      <c r="DD131" s="187"/>
      <c r="DE131" s="187"/>
      <c r="DF131" s="187"/>
      <c r="DG131" s="187"/>
      <c r="DH131" s="187"/>
      <c r="DI131" s="187"/>
      <c r="DJ131" s="187"/>
      <c r="DK131" s="187"/>
      <c r="DL131" s="187"/>
      <c r="DM131" s="187"/>
      <c r="DN131" s="187"/>
      <c r="DO131" s="187"/>
      <c r="DP131" s="187"/>
      <c r="DQ131" s="187"/>
      <c r="DR131" s="187"/>
      <c r="DS131" s="187"/>
      <c r="DT131" s="187"/>
      <c r="DU131" s="187"/>
      <c r="DV131" s="187"/>
      <c r="DW131" s="187"/>
      <c r="DX131" s="187"/>
      <c r="DY131" s="187"/>
      <c r="DZ131" s="187"/>
      <c r="EA131" s="187"/>
      <c r="EB131" s="187"/>
      <c r="EC131" s="187"/>
      <c r="ED131" s="187"/>
      <c r="EE131" s="187"/>
      <c r="EF131" s="187"/>
      <c r="EG131" s="187"/>
      <c r="EH131" s="187"/>
      <c r="EI131" s="187"/>
      <c r="EJ131" s="187"/>
      <c r="EK131" s="187"/>
      <c r="EL131" s="187"/>
      <c r="EM131" s="187"/>
      <c r="EN131" s="187"/>
      <c r="EO131" s="187"/>
    </row>
    <row r="132" spans="2:145" ht="13.9" customHeight="1" x14ac:dyDescent="0.2"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  <c r="AB132" s="187"/>
      <c r="AC132" s="187"/>
      <c r="AD132" s="187"/>
      <c r="AE132" s="187"/>
      <c r="AF132" s="187"/>
      <c r="AG132" s="187"/>
      <c r="AH132" s="187"/>
      <c r="AI132" s="187"/>
      <c r="AJ132" s="187"/>
      <c r="AK132" s="187"/>
      <c r="AL132" s="187"/>
      <c r="AM132" s="187"/>
      <c r="AN132" s="187"/>
      <c r="AO132" s="187"/>
      <c r="AP132" s="187"/>
      <c r="AQ132" s="187"/>
      <c r="AR132" s="187"/>
      <c r="AS132" s="187"/>
      <c r="AT132" s="187"/>
      <c r="AU132" s="187"/>
      <c r="AV132" s="187"/>
      <c r="AW132" s="187"/>
      <c r="AX132" s="187"/>
      <c r="AY132" s="187"/>
      <c r="AZ132" s="187"/>
      <c r="BA132" s="187"/>
      <c r="BB132" s="187"/>
      <c r="BC132" s="187"/>
      <c r="BD132" s="187"/>
      <c r="BE132" s="187"/>
      <c r="BF132" s="187"/>
      <c r="BG132" s="187"/>
      <c r="BH132" s="187"/>
      <c r="BI132" s="187"/>
      <c r="BJ132" s="187"/>
      <c r="BK132" s="187"/>
      <c r="BL132" s="187"/>
      <c r="BM132" s="187"/>
      <c r="BN132" s="187"/>
      <c r="BO132" s="187"/>
      <c r="BP132" s="187"/>
      <c r="BQ132" s="187"/>
      <c r="BR132" s="187"/>
      <c r="BS132" s="187"/>
      <c r="BT132" s="187"/>
      <c r="BU132" s="187"/>
      <c r="BV132" s="187"/>
      <c r="BW132" s="187"/>
      <c r="BX132" s="187"/>
      <c r="BY132" s="187"/>
      <c r="BZ132" s="187"/>
      <c r="CA132" s="187"/>
      <c r="CB132" s="187"/>
      <c r="CC132" s="187"/>
      <c r="CD132" s="187"/>
      <c r="CE132" s="187"/>
      <c r="CF132" s="187"/>
      <c r="CG132" s="187"/>
      <c r="CH132" s="187"/>
      <c r="CI132" s="187"/>
      <c r="CJ132" s="187"/>
      <c r="CK132" s="187"/>
      <c r="CL132" s="187"/>
      <c r="CM132" s="187"/>
      <c r="CN132" s="187"/>
      <c r="CO132" s="187"/>
      <c r="CP132" s="187"/>
      <c r="CQ132" s="187"/>
      <c r="CR132" s="187"/>
      <c r="CS132" s="187"/>
      <c r="CT132" s="187"/>
      <c r="CU132" s="187"/>
      <c r="CV132" s="187"/>
      <c r="CW132" s="187"/>
      <c r="CX132" s="187"/>
      <c r="CY132" s="187"/>
      <c r="CZ132" s="187"/>
      <c r="DA132" s="187"/>
      <c r="DB132" s="187"/>
      <c r="DC132" s="187"/>
      <c r="DD132" s="187"/>
      <c r="DE132" s="187"/>
      <c r="DF132" s="187"/>
      <c r="DG132" s="187"/>
      <c r="DH132" s="187"/>
      <c r="DI132" s="187"/>
      <c r="DJ132" s="187"/>
      <c r="DK132" s="187"/>
      <c r="DL132" s="187"/>
      <c r="DM132" s="187"/>
      <c r="DN132" s="187"/>
      <c r="DO132" s="187"/>
      <c r="DP132" s="187"/>
      <c r="DQ132" s="187"/>
      <c r="DR132" s="187"/>
      <c r="DS132" s="187"/>
      <c r="DT132" s="187"/>
      <c r="DU132" s="187"/>
      <c r="DV132" s="187"/>
      <c r="DW132" s="187"/>
      <c r="DX132" s="187"/>
      <c r="DY132" s="187"/>
      <c r="DZ132" s="187"/>
      <c r="EA132" s="187"/>
      <c r="EB132" s="187"/>
      <c r="EC132" s="187"/>
      <c r="ED132" s="187"/>
      <c r="EE132" s="187"/>
      <c r="EF132" s="187"/>
      <c r="EG132" s="187"/>
      <c r="EH132" s="187"/>
      <c r="EI132" s="187"/>
      <c r="EJ132" s="187"/>
      <c r="EK132" s="187"/>
      <c r="EL132" s="187"/>
      <c r="EM132" s="187"/>
      <c r="EN132" s="187"/>
      <c r="EO132" s="187"/>
    </row>
    <row r="133" spans="2:145" ht="13.9" customHeight="1" x14ac:dyDescent="0.2"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  <c r="AB133" s="187"/>
      <c r="AC133" s="187"/>
      <c r="AD133" s="187"/>
      <c r="AE133" s="187"/>
      <c r="AF133" s="187"/>
      <c r="AG133" s="187"/>
      <c r="AH133" s="187"/>
      <c r="AI133" s="187"/>
      <c r="AJ133" s="187"/>
      <c r="AK133" s="187"/>
      <c r="AL133" s="187"/>
      <c r="AM133" s="187"/>
      <c r="AN133" s="187"/>
      <c r="AO133" s="187"/>
      <c r="AP133" s="187"/>
      <c r="AQ133" s="187"/>
      <c r="AR133" s="187"/>
      <c r="AS133" s="187"/>
      <c r="AT133" s="187"/>
      <c r="AU133" s="187"/>
      <c r="AV133" s="187"/>
      <c r="AW133" s="187"/>
      <c r="AX133" s="187"/>
      <c r="AY133" s="187"/>
      <c r="AZ133" s="187"/>
      <c r="BA133" s="187"/>
      <c r="BB133" s="187"/>
      <c r="BC133" s="187"/>
      <c r="BD133" s="187"/>
      <c r="BE133" s="187"/>
      <c r="BF133" s="187"/>
      <c r="BG133" s="187"/>
      <c r="BH133" s="187"/>
      <c r="BI133" s="187"/>
      <c r="BJ133" s="187"/>
      <c r="BK133" s="187"/>
      <c r="BL133" s="187"/>
      <c r="BM133" s="187"/>
      <c r="BN133" s="187"/>
      <c r="BO133" s="187"/>
      <c r="BP133" s="187"/>
      <c r="BQ133" s="187"/>
      <c r="BR133" s="187"/>
      <c r="BS133" s="187"/>
      <c r="BT133" s="187"/>
      <c r="BU133" s="187"/>
      <c r="BV133" s="187"/>
      <c r="BW133" s="187"/>
      <c r="BX133" s="187"/>
      <c r="BY133" s="187"/>
      <c r="BZ133" s="187"/>
      <c r="CA133" s="187"/>
      <c r="CB133" s="187"/>
      <c r="CC133" s="187"/>
      <c r="CD133" s="187"/>
      <c r="CE133" s="187"/>
      <c r="CF133" s="187"/>
      <c r="CG133" s="187"/>
      <c r="CH133" s="187"/>
      <c r="CI133" s="187"/>
      <c r="CJ133" s="187"/>
      <c r="CK133" s="187"/>
      <c r="CL133" s="187"/>
      <c r="CM133" s="187"/>
      <c r="CN133" s="187"/>
      <c r="CO133" s="187"/>
      <c r="CP133" s="187"/>
      <c r="CQ133" s="187"/>
      <c r="CR133" s="187"/>
      <c r="CS133" s="187"/>
      <c r="CT133" s="187"/>
      <c r="CU133" s="187"/>
      <c r="CV133" s="187"/>
      <c r="CW133" s="187"/>
      <c r="CX133" s="187"/>
      <c r="CY133" s="187"/>
      <c r="CZ133" s="187"/>
      <c r="DA133" s="187"/>
      <c r="DB133" s="187"/>
      <c r="DC133" s="187"/>
      <c r="DD133" s="187"/>
      <c r="DE133" s="187"/>
      <c r="DF133" s="187"/>
      <c r="DG133" s="187"/>
      <c r="DH133" s="187"/>
      <c r="DI133" s="187"/>
      <c r="DJ133" s="187"/>
      <c r="DK133" s="187"/>
      <c r="DL133" s="187"/>
      <c r="DM133" s="187"/>
      <c r="DN133" s="187"/>
      <c r="DO133" s="187"/>
      <c r="DP133" s="187"/>
      <c r="DQ133" s="187"/>
      <c r="DR133" s="187"/>
      <c r="DS133" s="187"/>
      <c r="DT133" s="187"/>
      <c r="DU133" s="187"/>
      <c r="DV133" s="187"/>
      <c r="DW133" s="187"/>
      <c r="DX133" s="187"/>
      <c r="DY133" s="187"/>
      <c r="DZ133" s="187"/>
      <c r="EA133" s="187"/>
      <c r="EB133" s="187"/>
      <c r="EC133" s="187"/>
      <c r="ED133" s="187"/>
      <c r="EE133" s="187"/>
      <c r="EF133" s="187"/>
      <c r="EG133" s="187"/>
      <c r="EH133" s="187"/>
      <c r="EI133" s="187"/>
      <c r="EJ133" s="187"/>
      <c r="EK133" s="187"/>
      <c r="EL133" s="187"/>
      <c r="EM133" s="187"/>
      <c r="EN133" s="187"/>
      <c r="EO133" s="187"/>
    </row>
    <row r="134" spans="2:145" ht="13.9" customHeight="1" x14ac:dyDescent="0.2"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  <c r="AB134" s="187"/>
      <c r="AC134" s="187"/>
      <c r="AD134" s="187"/>
      <c r="AE134" s="187"/>
      <c r="AF134" s="187"/>
      <c r="AG134" s="187"/>
      <c r="AH134" s="187"/>
      <c r="AI134" s="187"/>
      <c r="AJ134" s="187"/>
      <c r="AK134" s="187"/>
      <c r="AL134" s="187"/>
      <c r="AM134" s="187"/>
      <c r="AN134" s="187"/>
      <c r="AO134" s="187"/>
      <c r="AP134" s="187"/>
      <c r="AQ134" s="187"/>
      <c r="AR134" s="187"/>
      <c r="AS134" s="187"/>
      <c r="AT134" s="187"/>
      <c r="AU134" s="187"/>
      <c r="AV134" s="187"/>
      <c r="AW134" s="187"/>
      <c r="AX134" s="187"/>
      <c r="AY134" s="187"/>
      <c r="AZ134" s="187"/>
      <c r="BA134" s="187"/>
      <c r="BB134" s="187"/>
      <c r="BC134" s="187"/>
      <c r="BD134" s="187"/>
      <c r="BE134" s="187"/>
      <c r="BF134" s="187"/>
      <c r="BG134" s="187"/>
      <c r="BH134" s="187"/>
      <c r="BI134" s="187"/>
      <c r="BJ134" s="187"/>
      <c r="BK134" s="187"/>
      <c r="BL134" s="187"/>
      <c r="BM134" s="187"/>
      <c r="BN134" s="187"/>
      <c r="BO134" s="187"/>
      <c r="BP134" s="187"/>
      <c r="BQ134" s="187"/>
      <c r="BR134" s="187"/>
      <c r="BS134" s="187"/>
      <c r="BT134" s="187"/>
      <c r="BU134" s="187"/>
      <c r="BV134" s="187"/>
      <c r="BW134" s="187"/>
      <c r="BX134" s="187"/>
      <c r="BY134" s="187"/>
      <c r="BZ134" s="187"/>
      <c r="CA134" s="187"/>
      <c r="CB134" s="187"/>
      <c r="CC134" s="187"/>
      <c r="CD134" s="187"/>
      <c r="CE134" s="187"/>
      <c r="CF134" s="187"/>
      <c r="CG134" s="187"/>
      <c r="CH134" s="187"/>
      <c r="CI134" s="187"/>
      <c r="CJ134" s="187"/>
      <c r="CK134" s="187"/>
      <c r="CL134" s="187"/>
      <c r="CM134" s="187"/>
      <c r="CN134" s="187"/>
      <c r="CO134" s="187"/>
      <c r="CP134" s="187"/>
      <c r="CQ134" s="187"/>
      <c r="CR134" s="187"/>
      <c r="CS134" s="187"/>
      <c r="CT134" s="187"/>
      <c r="CU134" s="187"/>
      <c r="CV134" s="187"/>
      <c r="CW134" s="187"/>
      <c r="CX134" s="187"/>
      <c r="CY134" s="187"/>
      <c r="CZ134" s="187"/>
      <c r="DA134" s="187"/>
      <c r="DB134" s="187"/>
      <c r="DC134" s="187"/>
      <c r="DD134" s="187"/>
      <c r="DE134" s="187"/>
      <c r="DF134" s="187"/>
      <c r="DG134" s="187"/>
      <c r="DH134" s="187"/>
      <c r="DI134" s="187"/>
      <c r="DJ134" s="187"/>
      <c r="DK134" s="187"/>
      <c r="DL134" s="187"/>
      <c r="DM134" s="187"/>
      <c r="DN134" s="187"/>
      <c r="DO134" s="187"/>
      <c r="DP134" s="187"/>
      <c r="DQ134" s="187"/>
      <c r="DR134" s="187"/>
      <c r="DS134" s="187"/>
      <c r="DT134" s="187"/>
      <c r="DU134" s="187"/>
      <c r="DV134" s="187"/>
      <c r="DW134" s="187"/>
      <c r="DX134" s="187"/>
      <c r="DY134" s="187"/>
      <c r="DZ134" s="187"/>
      <c r="EA134" s="187"/>
      <c r="EB134" s="187"/>
      <c r="EC134" s="187"/>
      <c r="ED134" s="187"/>
      <c r="EE134" s="187"/>
      <c r="EF134" s="187"/>
      <c r="EG134" s="187"/>
      <c r="EH134" s="187"/>
      <c r="EI134" s="187"/>
      <c r="EJ134" s="187"/>
      <c r="EK134" s="187"/>
      <c r="EL134" s="187"/>
      <c r="EM134" s="187"/>
      <c r="EN134" s="187"/>
      <c r="EO134" s="187"/>
    </row>
    <row r="135" spans="2:145" ht="13.9" customHeight="1" x14ac:dyDescent="0.2"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  <c r="AE135" s="187"/>
      <c r="AF135" s="187"/>
      <c r="AG135" s="187"/>
      <c r="AH135" s="187"/>
      <c r="AI135" s="187"/>
      <c r="AJ135" s="187"/>
      <c r="AK135" s="187"/>
      <c r="AL135" s="187"/>
      <c r="AM135" s="187"/>
      <c r="AN135" s="187"/>
      <c r="AO135" s="187"/>
      <c r="AP135" s="187"/>
      <c r="AQ135" s="187"/>
      <c r="AR135" s="187"/>
      <c r="AS135" s="187"/>
      <c r="AT135" s="187"/>
      <c r="AU135" s="187"/>
      <c r="AV135" s="187"/>
      <c r="AW135" s="187"/>
      <c r="AX135" s="187"/>
      <c r="AY135" s="187"/>
      <c r="AZ135" s="187"/>
      <c r="BA135" s="187"/>
      <c r="BB135" s="187"/>
      <c r="BC135" s="187"/>
      <c r="BD135" s="187"/>
      <c r="BE135" s="187"/>
      <c r="BF135" s="187"/>
      <c r="BG135" s="187"/>
      <c r="BH135" s="187"/>
      <c r="BI135" s="187"/>
      <c r="BJ135" s="187"/>
      <c r="BK135" s="187"/>
      <c r="BL135" s="187"/>
      <c r="BM135" s="187"/>
      <c r="BN135" s="187"/>
      <c r="BO135" s="187"/>
      <c r="BP135" s="187"/>
      <c r="BQ135" s="187"/>
      <c r="BR135" s="187"/>
      <c r="BS135" s="187"/>
      <c r="BT135" s="187"/>
      <c r="BU135" s="187"/>
      <c r="BV135" s="187"/>
      <c r="BW135" s="187"/>
      <c r="BX135" s="187"/>
      <c r="BY135" s="187"/>
      <c r="BZ135" s="187"/>
      <c r="CA135" s="187"/>
      <c r="CB135" s="187"/>
      <c r="CC135" s="187"/>
      <c r="CD135" s="187"/>
      <c r="CE135" s="187"/>
      <c r="CF135" s="187"/>
      <c r="CG135" s="187"/>
      <c r="CH135" s="187"/>
      <c r="CI135" s="187"/>
      <c r="CJ135" s="187"/>
      <c r="CK135" s="187"/>
      <c r="CL135" s="187"/>
      <c r="CM135" s="187"/>
      <c r="CN135" s="187"/>
      <c r="CO135" s="187"/>
      <c r="CP135" s="187"/>
      <c r="CQ135" s="187"/>
      <c r="CR135" s="187"/>
      <c r="CS135" s="187"/>
      <c r="CT135" s="187"/>
      <c r="CU135" s="187"/>
      <c r="CV135" s="187"/>
      <c r="CW135" s="187"/>
      <c r="CX135" s="187"/>
      <c r="CY135" s="187"/>
      <c r="CZ135" s="187"/>
      <c r="DA135" s="187"/>
      <c r="DB135" s="187"/>
      <c r="DC135" s="187"/>
      <c r="DD135" s="187"/>
      <c r="DE135" s="187"/>
      <c r="DF135" s="187"/>
      <c r="DG135" s="187"/>
      <c r="DH135" s="187"/>
      <c r="DI135" s="187"/>
      <c r="DJ135" s="187"/>
      <c r="DK135" s="187"/>
      <c r="DL135" s="187"/>
      <c r="DM135" s="187"/>
      <c r="DN135" s="187"/>
      <c r="DO135" s="187"/>
      <c r="DP135" s="187"/>
      <c r="DQ135" s="187"/>
      <c r="DR135" s="187"/>
      <c r="DS135" s="187"/>
      <c r="DT135" s="187"/>
      <c r="DU135" s="187"/>
      <c r="DV135" s="187"/>
      <c r="DW135" s="187"/>
      <c r="DX135" s="187"/>
      <c r="DY135" s="187"/>
      <c r="DZ135" s="187"/>
      <c r="EA135" s="187"/>
      <c r="EB135" s="187"/>
      <c r="EC135" s="187"/>
      <c r="ED135" s="187"/>
      <c r="EE135" s="187"/>
      <c r="EF135" s="187"/>
      <c r="EG135" s="187"/>
      <c r="EH135" s="187"/>
      <c r="EI135" s="187"/>
      <c r="EJ135" s="187"/>
      <c r="EK135" s="187"/>
      <c r="EL135" s="187"/>
      <c r="EM135" s="187"/>
      <c r="EN135" s="187"/>
      <c r="EO135" s="187"/>
    </row>
    <row r="136" spans="2:145" ht="13.9" customHeight="1" x14ac:dyDescent="0.2"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  <c r="AB136" s="187"/>
      <c r="AC136" s="187"/>
      <c r="AD136" s="187"/>
      <c r="AE136" s="187"/>
      <c r="AF136" s="187"/>
      <c r="AG136" s="187"/>
      <c r="AH136" s="187"/>
      <c r="AI136" s="187"/>
      <c r="AJ136" s="187"/>
      <c r="AK136" s="187"/>
      <c r="AL136" s="187"/>
      <c r="AM136" s="187"/>
      <c r="AN136" s="187"/>
      <c r="AO136" s="187"/>
      <c r="AP136" s="187"/>
      <c r="AQ136" s="187"/>
      <c r="AR136" s="187"/>
      <c r="AS136" s="187"/>
      <c r="AT136" s="187"/>
      <c r="AU136" s="187"/>
      <c r="AV136" s="187"/>
      <c r="AW136" s="187"/>
      <c r="AX136" s="187"/>
      <c r="AY136" s="187"/>
      <c r="AZ136" s="187"/>
      <c r="BA136" s="187"/>
      <c r="BB136" s="187"/>
      <c r="BC136" s="187"/>
      <c r="BD136" s="187"/>
      <c r="BE136" s="187"/>
      <c r="BF136" s="187"/>
      <c r="BG136" s="187"/>
      <c r="BH136" s="187"/>
      <c r="BI136" s="187"/>
      <c r="BJ136" s="187"/>
      <c r="BK136" s="187"/>
      <c r="BL136" s="187"/>
      <c r="BM136" s="187"/>
      <c r="BN136" s="187"/>
      <c r="BO136" s="187"/>
      <c r="BP136" s="187"/>
      <c r="BQ136" s="187"/>
      <c r="BR136" s="187"/>
      <c r="BS136" s="187"/>
      <c r="BT136" s="187"/>
      <c r="BU136" s="187"/>
      <c r="BV136" s="187"/>
      <c r="BW136" s="187"/>
      <c r="BX136" s="187"/>
      <c r="BY136" s="187"/>
      <c r="BZ136" s="187"/>
      <c r="CA136" s="187"/>
      <c r="CB136" s="187"/>
      <c r="CC136" s="187"/>
      <c r="CD136" s="187"/>
      <c r="CE136" s="187"/>
      <c r="CF136" s="187"/>
      <c r="CG136" s="187"/>
      <c r="CH136" s="187"/>
      <c r="CI136" s="187"/>
      <c r="CJ136" s="187"/>
      <c r="CK136" s="187"/>
      <c r="CL136" s="187"/>
      <c r="CM136" s="187"/>
      <c r="CN136" s="187"/>
      <c r="CO136" s="187"/>
      <c r="CP136" s="187"/>
      <c r="CQ136" s="187"/>
      <c r="CR136" s="187"/>
      <c r="CS136" s="187"/>
      <c r="CT136" s="187"/>
      <c r="CU136" s="187"/>
      <c r="CV136" s="187"/>
      <c r="CW136" s="187"/>
      <c r="CX136" s="187"/>
      <c r="CY136" s="187"/>
      <c r="CZ136" s="187"/>
      <c r="DA136" s="187"/>
      <c r="DB136" s="187"/>
      <c r="DC136" s="187"/>
      <c r="DD136" s="187"/>
      <c r="DE136" s="187"/>
      <c r="DF136" s="187"/>
      <c r="DG136" s="187"/>
      <c r="DH136" s="187"/>
      <c r="DI136" s="187"/>
      <c r="DJ136" s="187"/>
      <c r="DK136" s="187"/>
      <c r="DL136" s="187"/>
      <c r="DM136" s="187"/>
      <c r="DN136" s="187"/>
      <c r="DO136" s="187"/>
      <c r="DP136" s="187"/>
      <c r="DQ136" s="187"/>
      <c r="DR136" s="187"/>
      <c r="DS136" s="187"/>
      <c r="DT136" s="187"/>
      <c r="DU136" s="187"/>
      <c r="DV136" s="187"/>
      <c r="DW136" s="187"/>
      <c r="DX136" s="187"/>
      <c r="DY136" s="187"/>
      <c r="DZ136" s="187"/>
      <c r="EA136" s="187"/>
      <c r="EB136" s="187"/>
      <c r="EC136" s="187"/>
      <c r="ED136" s="187"/>
      <c r="EE136" s="187"/>
      <c r="EF136" s="187"/>
      <c r="EG136" s="187"/>
      <c r="EH136" s="187"/>
      <c r="EI136" s="187"/>
      <c r="EJ136" s="187"/>
      <c r="EK136" s="187"/>
      <c r="EL136" s="187"/>
      <c r="EM136" s="187"/>
      <c r="EN136" s="187"/>
      <c r="EO136" s="187"/>
    </row>
    <row r="137" spans="2:145" ht="13.9" customHeight="1" x14ac:dyDescent="0.2"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  <c r="AB137" s="187"/>
      <c r="AC137" s="187"/>
      <c r="AD137" s="187"/>
      <c r="AE137" s="187"/>
      <c r="AF137" s="187"/>
      <c r="AG137" s="187"/>
      <c r="AH137" s="187"/>
      <c r="AI137" s="187"/>
      <c r="AJ137" s="187"/>
      <c r="AK137" s="187"/>
      <c r="AL137" s="187"/>
      <c r="AM137" s="187"/>
      <c r="AN137" s="187"/>
      <c r="AO137" s="187"/>
      <c r="AP137" s="187"/>
      <c r="AQ137" s="187"/>
      <c r="AR137" s="187"/>
      <c r="AS137" s="187"/>
      <c r="AT137" s="187"/>
      <c r="AU137" s="187"/>
      <c r="AV137" s="187"/>
      <c r="AW137" s="187"/>
      <c r="AX137" s="187"/>
      <c r="AY137" s="187"/>
      <c r="AZ137" s="187"/>
      <c r="BA137" s="187"/>
      <c r="BB137" s="187"/>
      <c r="BC137" s="187"/>
      <c r="BD137" s="187"/>
      <c r="BE137" s="187"/>
      <c r="BF137" s="187"/>
      <c r="BG137" s="187"/>
      <c r="BH137" s="187"/>
      <c r="BI137" s="187"/>
      <c r="BJ137" s="187"/>
      <c r="BK137" s="187"/>
      <c r="BL137" s="187"/>
      <c r="BM137" s="187"/>
      <c r="BN137" s="187"/>
      <c r="BO137" s="187"/>
      <c r="BP137" s="187"/>
      <c r="BQ137" s="187"/>
      <c r="BR137" s="187"/>
      <c r="BS137" s="187"/>
      <c r="BT137" s="187"/>
      <c r="BU137" s="187"/>
      <c r="BV137" s="187"/>
      <c r="BW137" s="187"/>
      <c r="BX137" s="187"/>
      <c r="BY137" s="187"/>
      <c r="BZ137" s="187"/>
      <c r="CA137" s="187"/>
      <c r="CB137" s="187"/>
      <c r="CC137" s="187"/>
      <c r="CD137" s="187"/>
      <c r="CE137" s="187"/>
      <c r="CF137" s="187"/>
      <c r="CG137" s="187"/>
      <c r="CH137" s="187"/>
      <c r="CI137" s="187"/>
      <c r="CJ137" s="187"/>
      <c r="CK137" s="187"/>
      <c r="CL137" s="187"/>
      <c r="CM137" s="187"/>
      <c r="CN137" s="187"/>
      <c r="CO137" s="187"/>
      <c r="CP137" s="187"/>
      <c r="CQ137" s="187"/>
      <c r="CR137" s="187"/>
      <c r="CS137" s="187"/>
      <c r="CT137" s="187"/>
      <c r="CU137" s="187"/>
      <c r="CV137" s="187"/>
      <c r="CW137" s="187"/>
      <c r="CX137" s="187"/>
      <c r="CY137" s="187"/>
      <c r="CZ137" s="187"/>
      <c r="DA137" s="187"/>
      <c r="DB137" s="187"/>
      <c r="DC137" s="187"/>
      <c r="DD137" s="187"/>
      <c r="DE137" s="187"/>
      <c r="DF137" s="187"/>
      <c r="DG137" s="187"/>
      <c r="DH137" s="187"/>
      <c r="DI137" s="187"/>
      <c r="DJ137" s="187"/>
      <c r="DK137" s="187"/>
      <c r="DL137" s="187"/>
      <c r="DM137" s="187"/>
      <c r="DN137" s="187"/>
      <c r="DO137" s="187"/>
      <c r="DP137" s="187"/>
      <c r="DQ137" s="187"/>
      <c r="DR137" s="187"/>
      <c r="DS137" s="187"/>
      <c r="DT137" s="187"/>
      <c r="DU137" s="187"/>
      <c r="DV137" s="187"/>
      <c r="DW137" s="187"/>
      <c r="DX137" s="187"/>
      <c r="DY137" s="187"/>
      <c r="DZ137" s="187"/>
      <c r="EA137" s="187"/>
      <c r="EB137" s="187"/>
      <c r="EC137" s="187"/>
      <c r="ED137" s="187"/>
      <c r="EE137" s="187"/>
      <c r="EF137" s="187"/>
      <c r="EG137" s="187"/>
      <c r="EH137" s="187"/>
      <c r="EI137" s="187"/>
      <c r="EJ137" s="187"/>
      <c r="EK137" s="187"/>
      <c r="EL137" s="187"/>
      <c r="EM137" s="187"/>
      <c r="EN137" s="187"/>
      <c r="EO137" s="187"/>
    </row>
    <row r="138" spans="2:145" ht="13.9" customHeight="1" x14ac:dyDescent="0.2"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  <c r="AB138" s="187"/>
      <c r="AC138" s="187"/>
      <c r="AD138" s="187"/>
      <c r="AE138" s="187"/>
      <c r="AF138" s="187"/>
      <c r="AG138" s="187"/>
      <c r="AH138" s="187"/>
      <c r="AI138" s="187"/>
      <c r="AJ138" s="187"/>
      <c r="AK138" s="187"/>
      <c r="AL138" s="187"/>
      <c r="AM138" s="187"/>
      <c r="AN138" s="187"/>
      <c r="AO138" s="187"/>
      <c r="AP138" s="187"/>
      <c r="AQ138" s="187"/>
      <c r="AR138" s="187"/>
      <c r="AS138" s="187"/>
      <c r="AT138" s="187"/>
      <c r="AU138" s="187"/>
      <c r="AV138" s="187"/>
      <c r="AW138" s="187"/>
      <c r="AX138" s="187"/>
      <c r="AY138" s="187"/>
      <c r="AZ138" s="187"/>
      <c r="BA138" s="187"/>
      <c r="BB138" s="187"/>
      <c r="BC138" s="187"/>
      <c r="BD138" s="187"/>
      <c r="BE138" s="187"/>
      <c r="BF138" s="187"/>
      <c r="BG138" s="187"/>
      <c r="BH138" s="187"/>
      <c r="BI138" s="187"/>
      <c r="BJ138" s="187"/>
      <c r="BK138" s="187"/>
      <c r="BL138" s="187"/>
      <c r="BM138" s="187"/>
      <c r="BN138" s="187"/>
      <c r="BO138" s="187"/>
      <c r="BP138" s="187"/>
      <c r="BQ138" s="187"/>
      <c r="BR138" s="187"/>
      <c r="BS138" s="187"/>
      <c r="BT138" s="187"/>
      <c r="BU138" s="187"/>
      <c r="BV138" s="187"/>
      <c r="BW138" s="187"/>
      <c r="BX138" s="187"/>
      <c r="BY138" s="187"/>
      <c r="BZ138" s="187"/>
      <c r="CA138" s="187"/>
      <c r="CB138" s="187"/>
      <c r="CC138" s="187"/>
      <c r="CD138" s="187"/>
      <c r="CE138" s="187"/>
      <c r="CF138" s="187"/>
      <c r="CG138" s="187"/>
      <c r="CH138" s="187"/>
      <c r="CI138" s="187"/>
      <c r="CJ138" s="187"/>
      <c r="CK138" s="187"/>
      <c r="CL138" s="187"/>
      <c r="CM138" s="187"/>
      <c r="CN138" s="187"/>
      <c r="CO138" s="187"/>
      <c r="CP138" s="187"/>
      <c r="CQ138" s="187"/>
      <c r="CR138" s="187"/>
      <c r="CS138" s="187"/>
      <c r="CT138" s="187"/>
      <c r="CU138" s="187"/>
      <c r="CV138" s="187"/>
      <c r="CW138" s="187"/>
      <c r="CX138" s="187"/>
      <c r="CY138" s="187"/>
      <c r="CZ138" s="187"/>
      <c r="DA138" s="187"/>
      <c r="DB138" s="187"/>
      <c r="DC138" s="187"/>
      <c r="DD138" s="187"/>
      <c r="DE138" s="187"/>
      <c r="DF138" s="187"/>
      <c r="DG138" s="187"/>
      <c r="DH138" s="187"/>
      <c r="DI138" s="187"/>
      <c r="DJ138" s="187"/>
      <c r="DK138" s="187"/>
      <c r="DL138" s="187"/>
      <c r="DM138" s="187"/>
      <c r="DN138" s="187"/>
      <c r="DO138" s="187"/>
      <c r="DP138" s="187"/>
      <c r="DQ138" s="187"/>
      <c r="DR138" s="187"/>
      <c r="DS138" s="187"/>
      <c r="DT138" s="187"/>
      <c r="DU138" s="187"/>
      <c r="DV138" s="187"/>
      <c r="DW138" s="187"/>
      <c r="DX138" s="187"/>
      <c r="DY138" s="187"/>
      <c r="DZ138" s="187"/>
      <c r="EA138" s="187"/>
      <c r="EB138" s="187"/>
      <c r="EC138" s="187"/>
      <c r="ED138" s="187"/>
      <c r="EE138" s="187"/>
      <c r="EF138" s="187"/>
      <c r="EG138" s="187"/>
      <c r="EH138" s="187"/>
      <c r="EI138" s="187"/>
      <c r="EJ138" s="187"/>
      <c r="EK138" s="187"/>
      <c r="EL138" s="187"/>
      <c r="EM138" s="187"/>
      <c r="EN138" s="187"/>
      <c r="EO138" s="187"/>
    </row>
    <row r="139" spans="2:145" ht="13.9" customHeight="1" x14ac:dyDescent="0.2"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  <c r="AB139" s="187"/>
      <c r="AC139" s="187"/>
      <c r="AD139" s="187"/>
      <c r="AE139" s="187"/>
      <c r="AF139" s="187"/>
      <c r="AG139" s="187"/>
      <c r="AH139" s="187"/>
      <c r="AI139" s="187"/>
      <c r="AJ139" s="187"/>
      <c r="AK139" s="187"/>
      <c r="AL139" s="187"/>
      <c r="AM139" s="187"/>
      <c r="AN139" s="187"/>
      <c r="AO139" s="187"/>
      <c r="AP139" s="187"/>
      <c r="AQ139" s="187"/>
      <c r="AR139" s="187"/>
      <c r="AS139" s="187"/>
      <c r="AT139" s="187"/>
      <c r="AU139" s="187"/>
      <c r="AV139" s="187"/>
      <c r="AW139" s="187"/>
      <c r="AX139" s="187"/>
      <c r="AY139" s="187"/>
      <c r="AZ139" s="187"/>
      <c r="BA139" s="187"/>
      <c r="BB139" s="187"/>
      <c r="BC139" s="187"/>
      <c r="BD139" s="187"/>
      <c r="BE139" s="187"/>
      <c r="BF139" s="187"/>
      <c r="BG139" s="187"/>
      <c r="BH139" s="187"/>
      <c r="BI139" s="187"/>
      <c r="BJ139" s="187"/>
      <c r="BK139" s="187"/>
      <c r="BL139" s="187"/>
      <c r="BM139" s="187"/>
      <c r="BN139" s="187"/>
      <c r="BO139" s="187"/>
      <c r="BP139" s="187"/>
      <c r="BQ139" s="187"/>
      <c r="BR139" s="187"/>
      <c r="BS139" s="187"/>
      <c r="BT139" s="187"/>
      <c r="BU139" s="187"/>
      <c r="BV139" s="187"/>
      <c r="BW139" s="187"/>
      <c r="BX139" s="187"/>
      <c r="BY139" s="187"/>
      <c r="BZ139" s="187"/>
      <c r="CA139" s="187"/>
      <c r="CB139" s="187"/>
      <c r="CC139" s="187"/>
      <c r="CD139" s="187"/>
      <c r="CE139" s="187"/>
      <c r="CF139" s="187"/>
      <c r="CG139" s="187"/>
      <c r="CH139" s="187"/>
      <c r="CI139" s="187"/>
      <c r="CJ139" s="187"/>
      <c r="CK139" s="187"/>
      <c r="CL139" s="187"/>
      <c r="CM139" s="187"/>
      <c r="CN139" s="187"/>
      <c r="CO139" s="187"/>
      <c r="CP139" s="187"/>
      <c r="CQ139" s="187"/>
      <c r="CR139" s="187"/>
      <c r="CS139" s="187"/>
      <c r="CT139" s="187"/>
      <c r="CU139" s="187"/>
      <c r="CV139" s="187"/>
      <c r="CW139" s="187"/>
      <c r="CX139" s="187"/>
      <c r="CY139" s="187"/>
      <c r="CZ139" s="187"/>
      <c r="DA139" s="187"/>
      <c r="DB139" s="187"/>
      <c r="DC139" s="187"/>
      <c r="DD139" s="187"/>
      <c r="DE139" s="187"/>
      <c r="DF139" s="187"/>
      <c r="DG139" s="187"/>
      <c r="DH139" s="187"/>
      <c r="DI139" s="187"/>
      <c r="DJ139" s="187"/>
      <c r="DK139" s="187"/>
      <c r="DL139" s="187"/>
      <c r="DM139" s="187"/>
      <c r="DN139" s="187"/>
      <c r="DO139" s="187"/>
      <c r="DP139" s="187"/>
      <c r="DQ139" s="187"/>
      <c r="DR139" s="187"/>
      <c r="DS139" s="187"/>
      <c r="DT139" s="187"/>
      <c r="DU139" s="187"/>
      <c r="DV139" s="187"/>
      <c r="DW139" s="187"/>
      <c r="DX139" s="187"/>
      <c r="DY139" s="187"/>
      <c r="DZ139" s="187"/>
      <c r="EA139" s="187"/>
      <c r="EB139" s="187"/>
      <c r="EC139" s="187"/>
      <c r="ED139" s="187"/>
      <c r="EE139" s="187"/>
      <c r="EF139" s="187"/>
      <c r="EG139" s="187"/>
      <c r="EH139" s="187"/>
      <c r="EI139" s="187"/>
      <c r="EJ139" s="187"/>
      <c r="EK139" s="187"/>
      <c r="EL139" s="187"/>
      <c r="EM139" s="187"/>
      <c r="EN139" s="187"/>
      <c r="EO139" s="187"/>
    </row>
    <row r="140" spans="2:145" ht="13.9" customHeight="1" x14ac:dyDescent="0.2"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  <c r="AB140" s="187"/>
      <c r="AC140" s="187"/>
      <c r="AD140" s="187"/>
      <c r="AE140" s="187"/>
      <c r="AF140" s="187"/>
      <c r="AG140" s="187"/>
      <c r="AH140" s="187"/>
      <c r="AI140" s="187"/>
      <c r="AJ140" s="187"/>
      <c r="AK140" s="187"/>
      <c r="AL140" s="187"/>
      <c r="AM140" s="187"/>
      <c r="AN140" s="187"/>
      <c r="AO140" s="187"/>
      <c r="AP140" s="187"/>
      <c r="AQ140" s="187"/>
      <c r="AR140" s="187"/>
      <c r="AS140" s="187"/>
      <c r="AT140" s="187"/>
      <c r="AU140" s="187"/>
      <c r="AV140" s="187"/>
      <c r="AW140" s="187"/>
      <c r="AX140" s="187"/>
      <c r="AY140" s="187"/>
      <c r="AZ140" s="187"/>
      <c r="BA140" s="187"/>
      <c r="BB140" s="187"/>
      <c r="BC140" s="187"/>
      <c r="BD140" s="187"/>
      <c r="BE140" s="187"/>
      <c r="BF140" s="187"/>
      <c r="BG140" s="187"/>
      <c r="BH140" s="187"/>
      <c r="BI140" s="187"/>
      <c r="BJ140" s="187"/>
      <c r="BK140" s="187"/>
      <c r="BL140" s="187"/>
      <c r="BM140" s="187"/>
      <c r="BN140" s="187"/>
      <c r="BO140" s="187"/>
      <c r="BP140" s="187"/>
      <c r="BQ140" s="187"/>
      <c r="BR140" s="187"/>
      <c r="BS140" s="187"/>
      <c r="BT140" s="187"/>
      <c r="BU140" s="187"/>
      <c r="BV140" s="187"/>
      <c r="BW140" s="187"/>
      <c r="BX140" s="187"/>
      <c r="BY140" s="187"/>
      <c r="BZ140" s="187"/>
      <c r="CA140" s="187"/>
      <c r="CB140" s="187"/>
      <c r="CC140" s="187"/>
      <c r="CD140" s="187"/>
      <c r="CE140" s="187"/>
      <c r="CF140" s="187"/>
      <c r="CG140" s="187"/>
      <c r="CH140" s="187"/>
      <c r="CI140" s="187"/>
      <c r="CJ140" s="187"/>
      <c r="CK140" s="187"/>
      <c r="CL140" s="187"/>
      <c r="CM140" s="187"/>
      <c r="CN140" s="187"/>
      <c r="CO140" s="187"/>
      <c r="CP140" s="187"/>
      <c r="CQ140" s="187"/>
      <c r="CR140" s="187"/>
      <c r="CS140" s="187"/>
      <c r="CT140" s="187"/>
      <c r="CU140" s="187"/>
      <c r="CV140" s="187"/>
      <c r="CW140" s="187"/>
      <c r="CX140" s="187"/>
      <c r="CY140" s="187"/>
      <c r="CZ140" s="187"/>
      <c r="DA140" s="187"/>
      <c r="DB140" s="187"/>
      <c r="DC140" s="187"/>
      <c r="DD140" s="187"/>
      <c r="DE140" s="187"/>
      <c r="DF140" s="187"/>
      <c r="DG140" s="187"/>
      <c r="DH140" s="187"/>
      <c r="DI140" s="187"/>
      <c r="DJ140" s="187"/>
      <c r="DK140" s="187"/>
      <c r="DL140" s="187"/>
      <c r="DM140" s="187"/>
      <c r="DN140" s="187"/>
      <c r="DO140" s="187"/>
      <c r="DP140" s="187"/>
      <c r="DQ140" s="187"/>
      <c r="DR140" s="187"/>
      <c r="DS140" s="187"/>
      <c r="DT140" s="187"/>
      <c r="DU140" s="187"/>
      <c r="DV140" s="187"/>
      <c r="DW140" s="187"/>
      <c r="DX140" s="187"/>
      <c r="DY140" s="187"/>
      <c r="DZ140" s="187"/>
      <c r="EA140" s="187"/>
      <c r="EB140" s="187"/>
      <c r="EC140" s="187"/>
      <c r="ED140" s="187"/>
      <c r="EE140" s="187"/>
      <c r="EF140" s="187"/>
      <c r="EG140" s="187"/>
      <c r="EH140" s="187"/>
      <c r="EI140" s="187"/>
      <c r="EJ140" s="187"/>
      <c r="EK140" s="187"/>
      <c r="EL140" s="187"/>
      <c r="EM140" s="187"/>
      <c r="EN140" s="187"/>
      <c r="EO140" s="187"/>
    </row>
    <row r="141" spans="2:145" ht="13.9" customHeight="1" x14ac:dyDescent="0.2"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  <c r="AA141" s="187"/>
      <c r="AB141" s="187"/>
      <c r="AC141" s="187"/>
      <c r="AD141" s="187"/>
      <c r="AE141" s="187"/>
      <c r="AF141" s="187"/>
      <c r="AG141" s="187"/>
      <c r="AH141" s="187"/>
      <c r="AI141" s="187"/>
      <c r="AJ141" s="187"/>
      <c r="AK141" s="187"/>
      <c r="AL141" s="187"/>
      <c r="AM141" s="187"/>
      <c r="AN141" s="187"/>
      <c r="AO141" s="187"/>
      <c r="AP141" s="187"/>
      <c r="AQ141" s="187"/>
      <c r="AR141" s="187"/>
      <c r="AS141" s="187"/>
      <c r="AT141" s="187"/>
      <c r="AU141" s="187"/>
      <c r="AV141" s="187"/>
      <c r="AW141" s="187"/>
      <c r="AX141" s="187"/>
      <c r="AY141" s="187"/>
      <c r="AZ141" s="187"/>
      <c r="BA141" s="187"/>
      <c r="BB141" s="187"/>
      <c r="BC141" s="187"/>
      <c r="BD141" s="187"/>
      <c r="BE141" s="187"/>
      <c r="BF141" s="187"/>
      <c r="BG141" s="187"/>
      <c r="BH141" s="187"/>
      <c r="BI141" s="187"/>
      <c r="BJ141" s="187"/>
      <c r="BK141" s="187"/>
      <c r="BL141" s="187"/>
      <c r="BM141" s="187"/>
      <c r="BN141" s="187"/>
      <c r="BO141" s="187"/>
      <c r="BP141" s="187"/>
      <c r="BQ141" s="187"/>
      <c r="BR141" s="187"/>
      <c r="BS141" s="187"/>
      <c r="BT141" s="187"/>
      <c r="BU141" s="187"/>
      <c r="BV141" s="187"/>
      <c r="BW141" s="187"/>
      <c r="BX141" s="187"/>
      <c r="BY141" s="187"/>
      <c r="BZ141" s="187"/>
      <c r="CA141" s="187"/>
      <c r="CB141" s="187"/>
      <c r="CC141" s="187"/>
      <c r="CD141" s="187"/>
      <c r="CE141" s="187"/>
      <c r="CF141" s="187"/>
      <c r="CG141" s="187"/>
      <c r="CH141" s="187"/>
      <c r="CI141" s="187"/>
      <c r="CJ141" s="187"/>
      <c r="CK141" s="187"/>
      <c r="CL141" s="187"/>
      <c r="CM141" s="187"/>
      <c r="CN141" s="187"/>
      <c r="CO141" s="187"/>
      <c r="CP141" s="187"/>
      <c r="CQ141" s="187"/>
      <c r="CR141" s="187"/>
      <c r="CS141" s="187"/>
      <c r="CT141" s="187"/>
      <c r="CU141" s="187"/>
      <c r="CV141" s="187"/>
      <c r="CW141" s="187"/>
      <c r="CX141" s="187"/>
      <c r="CY141" s="187"/>
      <c r="CZ141" s="187"/>
      <c r="DA141" s="187"/>
      <c r="DB141" s="187"/>
      <c r="DC141" s="187"/>
      <c r="DD141" s="187"/>
      <c r="DE141" s="187"/>
      <c r="DF141" s="187"/>
      <c r="DG141" s="187"/>
      <c r="DH141" s="187"/>
      <c r="DI141" s="187"/>
      <c r="DJ141" s="187"/>
      <c r="DK141" s="187"/>
      <c r="DL141" s="187"/>
      <c r="DM141" s="187"/>
      <c r="DN141" s="187"/>
      <c r="DO141" s="187"/>
      <c r="DP141" s="187"/>
      <c r="DQ141" s="187"/>
      <c r="DR141" s="187"/>
      <c r="DS141" s="187"/>
      <c r="DT141" s="187"/>
      <c r="DU141" s="187"/>
      <c r="DV141" s="187"/>
      <c r="DW141" s="187"/>
      <c r="DX141" s="187"/>
      <c r="DY141" s="187"/>
      <c r="DZ141" s="187"/>
      <c r="EA141" s="187"/>
      <c r="EB141" s="187"/>
      <c r="EC141" s="187"/>
      <c r="ED141" s="187"/>
      <c r="EE141" s="187"/>
      <c r="EF141" s="187"/>
      <c r="EG141" s="187"/>
      <c r="EH141" s="187"/>
      <c r="EI141" s="187"/>
      <c r="EJ141" s="187"/>
      <c r="EK141" s="187"/>
      <c r="EL141" s="187"/>
      <c r="EM141" s="187"/>
      <c r="EN141" s="187"/>
      <c r="EO141" s="187"/>
    </row>
    <row r="142" spans="2:145" ht="13.9" customHeight="1" x14ac:dyDescent="0.2"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  <c r="AB142" s="187"/>
      <c r="AC142" s="187"/>
      <c r="AD142" s="187"/>
      <c r="AE142" s="187"/>
      <c r="AF142" s="187"/>
      <c r="AG142" s="187"/>
      <c r="AH142" s="187"/>
      <c r="AI142" s="187"/>
      <c r="AJ142" s="187"/>
      <c r="AK142" s="187"/>
      <c r="AL142" s="187"/>
      <c r="AM142" s="187"/>
      <c r="AN142" s="187"/>
      <c r="AO142" s="187"/>
      <c r="AP142" s="187"/>
      <c r="AQ142" s="187"/>
      <c r="AR142" s="187"/>
      <c r="AS142" s="187"/>
      <c r="AT142" s="187"/>
      <c r="AU142" s="187"/>
      <c r="AV142" s="187"/>
      <c r="AW142" s="187"/>
      <c r="AX142" s="187"/>
      <c r="AY142" s="187"/>
      <c r="AZ142" s="187"/>
      <c r="BA142" s="187"/>
      <c r="BB142" s="187"/>
      <c r="BC142" s="187"/>
      <c r="BD142" s="187"/>
      <c r="BE142" s="187"/>
      <c r="BF142" s="187"/>
      <c r="BG142" s="187"/>
      <c r="BH142" s="187"/>
      <c r="BI142" s="187"/>
      <c r="BJ142" s="187"/>
      <c r="BK142" s="187"/>
      <c r="BL142" s="187"/>
      <c r="BM142" s="187"/>
      <c r="BN142" s="187"/>
      <c r="BO142" s="187"/>
      <c r="BP142" s="187"/>
      <c r="BQ142" s="187"/>
      <c r="BR142" s="187"/>
      <c r="BS142" s="187"/>
      <c r="BT142" s="187"/>
      <c r="BU142" s="187"/>
      <c r="BV142" s="187"/>
      <c r="BW142" s="187"/>
      <c r="BX142" s="187"/>
      <c r="BY142" s="187"/>
      <c r="BZ142" s="187"/>
      <c r="CA142" s="187"/>
      <c r="CB142" s="187"/>
      <c r="CC142" s="187"/>
      <c r="CD142" s="187"/>
      <c r="CE142" s="187"/>
      <c r="CF142" s="187"/>
      <c r="CG142" s="187"/>
      <c r="CH142" s="187"/>
      <c r="CI142" s="187"/>
      <c r="CJ142" s="187"/>
      <c r="CK142" s="187"/>
      <c r="CL142" s="187"/>
      <c r="CM142" s="187"/>
      <c r="CN142" s="187"/>
      <c r="CO142" s="187"/>
      <c r="CP142" s="187"/>
      <c r="CQ142" s="187"/>
      <c r="CR142" s="187"/>
      <c r="CS142" s="187"/>
      <c r="CT142" s="187"/>
      <c r="CU142" s="187"/>
      <c r="CV142" s="187"/>
      <c r="CW142" s="187"/>
      <c r="CX142" s="187"/>
      <c r="CY142" s="187"/>
      <c r="CZ142" s="187"/>
      <c r="DA142" s="187"/>
      <c r="DB142" s="187"/>
      <c r="DC142" s="187"/>
      <c r="DD142" s="187"/>
      <c r="DE142" s="187"/>
      <c r="DF142" s="187"/>
      <c r="DG142" s="187"/>
      <c r="DH142" s="187"/>
      <c r="DI142" s="187"/>
      <c r="DJ142" s="187"/>
      <c r="DK142" s="187"/>
      <c r="DL142" s="187"/>
      <c r="DM142" s="187"/>
      <c r="DN142" s="187"/>
      <c r="DO142" s="187"/>
      <c r="DP142" s="187"/>
      <c r="DQ142" s="187"/>
      <c r="DR142" s="187"/>
      <c r="DS142" s="187"/>
      <c r="DT142" s="187"/>
      <c r="DU142" s="187"/>
      <c r="DV142" s="187"/>
      <c r="DW142" s="187"/>
      <c r="DX142" s="187"/>
      <c r="DY142" s="187"/>
      <c r="DZ142" s="187"/>
      <c r="EA142" s="187"/>
      <c r="EB142" s="187"/>
      <c r="EC142" s="187"/>
      <c r="ED142" s="187"/>
      <c r="EE142" s="187"/>
      <c r="EF142" s="187"/>
      <c r="EG142" s="187"/>
      <c r="EH142" s="187"/>
      <c r="EI142" s="187"/>
      <c r="EJ142" s="187"/>
      <c r="EK142" s="187"/>
      <c r="EL142" s="187"/>
      <c r="EM142" s="187"/>
      <c r="EN142" s="187"/>
      <c r="EO142" s="187"/>
    </row>
    <row r="143" spans="2:145" ht="13.9" customHeight="1" x14ac:dyDescent="0.2"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  <c r="AG143" s="187"/>
      <c r="AH143" s="187"/>
      <c r="AI143" s="187"/>
      <c r="AJ143" s="187"/>
      <c r="AK143" s="187"/>
      <c r="AL143" s="187"/>
      <c r="AM143" s="187"/>
      <c r="AN143" s="187"/>
      <c r="AO143" s="187"/>
      <c r="AP143" s="187"/>
      <c r="AQ143" s="187"/>
      <c r="AR143" s="187"/>
      <c r="AS143" s="187"/>
      <c r="AT143" s="187"/>
      <c r="AU143" s="187"/>
      <c r="AV143" s="187"/>
      <c r="AW143" s="187"/>
      <c r="AX143" s="187"/>
      <c r="AY143" s="187"/>
      <c r="AZ143" s="187"/>
      <c r="BA143" s="187"/>
      <c r="BB143" s="187"/>
      <c r="BC143" s="187"/>
      <c r="BD143" s="187"/>
      <c r="BE143" s="187"/>
      <c r="BF143" s="187"/>
      <c r="BG143" s="187"/>
      <c r="BH143" s="187"/>
      <c r="BI143" s="187"/>
      <c r="BJ143" s="187"/>
      <c r="BK143" s="187"/>
      <c r="BL143" s="187"/>
      <c r="BM143" s="187"/>
      <c r="BN143" s="187"/>
      <c r="BO143" s="187"/>
      <c r="BP143" s="187"/>
      <c r="BQ143" s="187"/>
      <c r="BR143" s="187"/>
      <c r="BS143" s="187"/>
      <c r="BT143" s="187"/>
      <c r="BU143" s="187"/>
      <c r="BV143" s="187"/>
      <c r="BW143" s="187"/>
      <c r="BX143" s="187"/>
      <c r="BY143" s="187"/>
      <c r="BZ143" s="187"/>
      <c r="CA143" s="187"/>
      <c r="CB143" s="187"/>
      <c r="CC143" s="187"/>
      <c r="CD143" s="187"/>
      <c r="CE143" s="187"/>
      <c r="CF143" s="187"/>
      <c r="CG143" s="187"/>
      <c r="CH143" s="187"/>
      <c r="CI143" s="187"/>
      <c r="CJ143" s="187"/>
      <c r="CK143" s="187"/>
      <c r="CL143" s="187"/>
      <c r="CM143" s="187"/>
      <c r="CN143" s="187"/>
      <c r="CO143" s="187"/>
      <c r="CP143" s="187"/>
      <c r="CQ143" s="187"/>
      <c r="CR143" s="187"/>
      <c r="CS143" s="187"/>
      <c r="CT143" s="187"/>
      <c r="CU143" s="187"/>
      <c r="CV143" s="187"/>
      <c r="CW143" s="187"/>
      <c r="CX143" s="187"/>
      <c r="CY143" s="187"/>
      <c r="CZ143" s="187"/>
      <c r="DA143" s="187"/>
      <c r="DB143" s="187"/>
      <c r="DC143" s="187"/>
      <c r="DD143" s="187"/>
      <c r="DE143" s="187"/>
      <c r="DF143" s="187"/>
      <c r="DG143" s="187"/>
      <c r="DH143" s="187"/>
      <c r="DI143" s="187"/>
      <c r="DJ143" s="187"/>
      <c r="DK143" s="187"/>
      <c r="DL143" s="187"/>
      <c r="DM143" s="187"/>
      <c r="DN143" s="187"/>
      <c r="DO143" s="187"/>
      <c r="DP143" s="187"/>
      <c r="DQ143" s="187"/>
      <c r="DR143" s="187"/>
      <c r="DS143" s="187"/>
      <c r="DT143" s="187"/>
      <c r="DU143" s="187"/>
      <c r="DV143" s="187"/>
      <c r="DW143" s="187"/>
      <c r="DX143" s="187"/>
      <c r="DY143" s="187"/>
      <c r="DZ143" s="187"/>
      <c r="EA143" s="187"/>
      <c r="EB143" s="187"/>
      <c r="EC143" s="187"/>
      <c r="ED143" s="187"/>
      <c r="EE143" s="187"/>
      <c r="EF143" s="187"/>
      <c r="EG143" s="187"/>
      <c r="EH143" s="187"/>
      <c r="EI143" s="187"/>
      <c r="EJ143" s="187"/>
      <c r="EK143" s="187"/>
      <c r="EL143" s="187"/>
      <c r="EM143" s="187"/>
      <c r="EN143" s="187"/>
      <c r="EO143" s="187"/>
    </row>
    <row r="144" spans="2:145" ht="13.9" customHeight="1" x14ac:dyDescent="0.2"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  <c r="AA144" s="187"/>
      <c r="AB144" s="187"/>
      <c r="AC144" s="187"/>
      <c r="AD144" s="187"/>
      <c r="AE144" s="187"/>
      <c r="AF144" s="187"/>
      <c r="AG144" s="187"/>
      <c r="AH144" s="187"/>
      <c r="AI144" s="187"/>
      <c r="AJ144" s="187"/>
      <c r="AK144" s="187"/>
      <c r="AL144" s="187"/>
      <c r="AM144" s="187"/>
      <c r="AN144" s="187"/>
      <c r="AO144" s="187"/>
      <c r="AP144" s="187"/>
      <c r="AQ144" s="187"/>
      <c r="AR144" s="187"/>
      <c r="AS144" s="187"/>
      <c r="AT144" s="187"/>
      <c r="AU144" s="187"/>
      <c r="AV144" s="187"/>
      <c r="AW144" s="187"/>
      <c r="AX144" s="187"/>
      <c r="AY144" s="187"/>
      <c r="AZ144" s="187"/>
      <c r="BA144" s="187"/>
      <c r="BB144" s="187"/>
      <c r="BC144" s="187"/>
      <c r="BD144" s="187"/>
      <c r="BE144" s="187"/>
      <c r="BF144" s="187"/>
      <c r="BG144" s="187"/>
      <c r="BH144" s="187"/>
      <c r="BI144" s="187"/>
      <c r="BJ144" s="187"/>
      <c r="BK144" s="187"/>
      <c r="BL144" s="187"/>
      <c r="BM144" s="187"/>
      <c r="BN144" s="187"/>
      <c r="BO144" s="187"/>
      <c r="BP144" s="187"/>
      <c r="BQ144" s="187"/>
      <c r="BR144" s="187"/>
      <c r="BS144" s="187"/>
      <c r="BT144" s="187"/>
      <c r="BU144" s="187"/>
      <c r="BV144" s="187"/>
      <c r="BW144" s="187"/>
      <c r="BX144" s="187"/>
      <c r="BY144" s="187"/>
      <c r="BZ144" s="187"/>
      <c r="CA144" s="187"/>
      <c r="CB144" s="187"/>
      <c r="CC144" s="187"/>
      <c r="CD144" s="187"/>
      <c r="CE144" s="187"/>
      <c r="CF144" s="187"/>
      <c r="CG144" s="187"/>
      <c r="CH144" s="187"/>
      <c r="CI144" s="187"/>
      <c r="CJ144" s="187"/>
      <c r="CK144" s="187"/>
      <c r="CL144" s="187"/>
      <c r="CM144" s="187"/>
      <c r="CN144" s="187"/>
      <c r="CO144" s="187"/>
      <c r="CP144" s="187"/>
      <c r="CQ144" s="187"/>
      <c r="CR144" s="187"/>
      <c r="CS144" s="187"/>
      <c r="CT144" s="187"/>
      <c r="CU144" s="187"/>
      <c r="CV144" s="187"/>
      <c r="CW144" s="187"/>
      <c r="CX144" s="187"/>
      <c r="CY144" s="187"/>
      <c r="CZ144" s="187"/>
      <c r="DA144" s="187"/>
      <c r="DB144" s="187"/>
      <c r="DC144" s="187"/>
      <c r="DD144" s="187"/>
      <c r="DE144" s="187"/>
      <c r="DF144" s="187"/>
      <c r="DG144" s="187"/>
      <c r="DH144" s="187"/>
      <c r="DI144" s="187"/>
      <c r="DJ144" s="187"/>
      <c r="DK144" s="187"/>
      <c r="DL144" s="187"/>
      <c r="DM144" s="187"/>
      <c r="DN144" s="187"/>
      <c r="DO144" s="187"/>
      <c r="DP144" s="187"/>
      <c r="DQ144" s="187"/>
      <c r="DR144" s="187"/>
      <c r="DS144" s="187"/>
      <c r="DT144" s="187"/>
      <c r="DU144" s="187"/>
      <c r="DV144" s="187"/>
      <c r="DW144" s="187"/>
      <c r="DX144" s="187"/>
      <c r="DY144" s="187"/>
      <c r="DZ144" s="187"/>
      <c r="EA144" s="187"/>
      <c r="EB144" s="187"/>
      <c r="EC144" s="187"/>
      <c r="ED144" s="187"/>
      <c r="EE144" s="187"/>
      <c r="EF144" s="187"/>
      <c r="EG144" s="187"/>
      <c r="EH144" s="187"/>
      <c r="EI144" s="187"/>
      <c r="EJ144" s="187"/>
      <c r="EK144" s="187"/>
      <c r="EL144" s="187"/>
      <c r="EM144" s="187"/>
      <c r="EN144" s="187"/>
      <c r="EO144" s="187"/>
    </row>
    <row r="145" spans="2:145" ht="13.9" customHeight="1" x14ac:dyDescent="0.2"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  <c r="AA145" s="187"/>
      <c r="AB145" s="187"/>
      <c r="AC145" s="187"/>
      <c r="AD145" s="187"/>
      <c r="AE145" s="187"/>
      <c r="AF145" s="187"/>
      <c r="AG145" s="187"/>
      <c r="AH145" s="187"/>
      <c r="AI145" s="187"/>
      <c r="AJ145" s="187"/>
      <c r="AK145" s="187"/>
      <c r="AL145" s="187"/>
      <c r="AM145" s="187"/>
      <c r="AN145" s="187"/>
      <c r="AO145" s="187"/>
      <c r="AP145" s="187"/>
      <c r="AQ145" s="187"/>
      <c r="AR145" s="187"/>
      <c r="AS145" s="187"/>
      <c r="AT145" s="187"/>
      <c r="AU145" s="187"/>
      <c r="AV145" s="187"/>
      <c r="AW145" s="187"/>
      <c r="AX145" s="187"/>
      <c r="AY145" s="187"/>
      <c r="AZ145" s="187"/>
      <c r="BA145" s="187"/>
      <c r="BB145" s="187"/>
      <c r="BC145" s="187"/>
      <c r="BD145" s="187"/>
      <c r="BE145" s="187"/>
      <c r="BF145" s="187"/>
      <c r="BG145" s="187"/>
      <c r="BH145" s="187"/>
      <c r="BI145" s="187"/>
      <c r="BJ145" s="187"/>
      <c r="BK145" s="187"/>
      <c r="BL145" s="187"/>
      <c r="BM145" s="187"/>
      <c r="BN145" s="187"/>
      <c r="BO145" s="187"/>
      <c r="BP145" s="187"/>
      <c r="BQ145" s="187"/>
      <c r="BR145" s="187"/>
      <c r="BS145" s="187"/>
      <c r="BT145" s="187"/>
      <c r="BU145" s="187"/>
      <c r="BV145" s="187"/>
      <c r="BW145" s="187"/>
      <c r="BX145" s="187"/>
      <c r="BY145" s="187"/>
      <c r="BZ145" s="187"/>
      <c r="CA145" s="187"/>
      <c r="CB145" s="187"/>
      <c r="CC145" s="187"/>
      <c r="CD145" s="187"/>
      <c r="CE145" s="187"/>
      <c r="CF145" s="187"/>
      <c r="CG145" s="187"/>
      <c r="CH145" s="187"/>
      <c r="CI145" s="187"/>
      <c r="CJ145" s="187"/>
      <c r="CK145" s="187"/>
      <c r="CL145" s="187"/>
      <c r="CM145" s="187"/>
      <c r="CN145" s="187"/>
      <c r="CO145" s="187"/>
      <c r="CP145" s="187"/>
      <c r="CQ145" s="187"/>
      <c r="CR145" s="187"/>
      <c r="CS145" s="187"/>
      <c r="CT145" s="187"/>
      <c r="CU145" s="187"/>
      <c r="CV145" s="187"/>
      <c r="CW145" s="187"/>
      <c r="CX145" s="187"/>
      <c r="CY145" s="187"/>
      <c r="CZ145" s="187"/>
      <c r="DA145" s="187"/>
      <c r="DB145" s="187"/>
      <c r="DC145" s="187"/>
      <c r="DD145" s="187"/>
      <c r="DE145" s="187"/>
      <c r="DF145" s="187"/>
      <c r="DG145" s="187"/>
      <c r="DH145" s="187"/>
      <c r="DI145" s="187"/>
      <c r="DJ145" s="187"/>
      <c r="DK145" s="187"/>
      <c r="DL145" s="187"/>
      <c r="DM145" s="187"/>
      <c r="DN145" s="187"/>
      <c r="DO145" s="187"/>
      <c r="DP145" s="187"/>
      <c r="DQ145" s="187"/>
      <c r="DR145" s="187"/>
      <c r="DS145" s="187"/>
      <c r="DT145" s="187"/>
      <c r="DU145" s="187"/>
      <c r="DV145" s="187"/>
      <c r="DW145" s="187"/>
      <c r="DX145" s="187"/>
      <c r="DY145" s="187"/>
      <c r="DZ145" s="187"/>
      <c r="EA145" s="187"/>
      <c r="EB145" s="187"/>
      <c r="EC145" s="187"/>
      <c r="ED145" s="187"/>
      <c r="EE145" s="187"/>
      <c r="EF145" s="187"/>
      <c r="EG145" s="187"/>
      <c r="EH145" s="187"/>
      <c r="EI145" s="187"/>
      <c r="EJ145" s="187"/>
      <c r="EK145" s="187"/>
      <c r="EL145" s="187"/>
      <c r="EM145" s="187"/>
      <c r="EN145" s="187"/>
      <c r="EO145" s="187"/>
    </row>
    <row r="146" spans="2:145" ht="13.9" customHeight="1" x14ac:dyDescent="0.2"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  <c r="AA146" s="187"/>
      <c r="AB146" s="187"/>
      <c r="AC146" s="187"/>
      <c r="AD146" s="187"/>
      <c r="AE146" s="187"/>
      <c r="AF146" s="187"/>
      <c r="AG146" s="187"/>
      <c r="AH146" s="187"/>
      <c r="AI146" s="187"/>
      <c r="AJ146" s="187"/>
      <c r="AK146" s="187"/>
      <c r="AL146" s="187"/>
      <c r="AM146" s="187"/>
      <c r="AN146" s="187"/>
      <c r="AO146" s="187"/>
      <c r="AP146" s="187"/>
      <c r="AQ146" s="187"/>
      <c r="AR146" s="187"/>
      <c r="AS146" s="187"/>
      <c r="AT146" s="187"/>
      <c r="AU146" s="187"/>
      <c r="AV146" s="187"/>
      <c r="AW146" s="187"/>
      <c r="AX146" s="187"/>
      <c r="AY146" s="187"/>
      <c r="AZ146" s="187"/>
      <c r="BA146" s="187"/>
      <c r="BB146" s="187"/>
      <c r="BC146" s="187"/>
      <c r="BD146" s="187"/>
      <c r="BE146" s="187"/>
      <c r="BF146" s="187"/>
      <c r="BG146" s="187"/>
      <c r="BH146" s="187"/>
      <c r="BI146" s="187"/>
      <c r="BJ146" s="187"/>
      <c r="BK146" s="187"/>
      <c r="BL146" s="187"/>
      <c r="BM146" s="187"/>
      <c r="BN146" s="187"/>
      <c r="BO146" s="187"/>
      <c r="BP146" s="187"/>
      <c r="BQ146" s="187"/>
      <c r="BR146" s="187"/>
      <c r="BS146" s="187"/>
      <c r="BT146" s="187"/>
      <c r="BU146" s="187"/>
      <c r="BV146" s="187"/>
      <c r="BW146" s="187"/>
      <c r="BX146" s="187"/>
      <c r="BY146" s="187"/>
      <c r="BZ146" s="187"/>
      <c r="CA146" s="187"/>
      <c r="CB146" s="187"/>
      <c r="CC146" s="187"/>
      <c r="CD146" s="187"/>
      <c r="CE146" s="187"/>
      <c r="CF146" s="187"/>
      <c r="CG146" s="187"/>
      <c r="CH146" s="187"/>
      <c r="CI146" s="187"/>
      <c r="CJ146" s="187"/>
      <c r="CK146" s="187"/>
      <c r="CL146" s="187"/>
      <c r="CM146" s="187"/>
      <c r="CN146" s="187"/>
      <c r="CO146" s="187"/>
      <c r="CP146" s="187"/>
      <c r="CQ146" s="187"/>
      <c r="CR146" s="187"/>
      <c r="CS146" s="187"/>
      <c r="CT146" s="187"/>
      <c r="CU146" s="187"/>
      <c r="CV146" s="187"/>
      <c r="CW146" s="187"/>
      <c r="CX146" s="187"/>
      <c r="CY146" s="187"/>
      <c r="CZ146" s="187"/>
      <c r="DA146" s="187"/>
      <c r="DB146" s="187"/>
      <c r="DC146" s="187"/>
      <c r="DD146" s="187"/>
      <c r="DE146" s="187"/>
      <c r="DF146" s="187"/>
      <c r="DG146" s="187"/>
      <c r="DH146" s="187"/>
      <c r="DI146" s="187"/>
      <c r="DJ146" s="187"/>
      <c r="DK146" s="187"/>
      <c r="DL146" s="187"/>
      <c r="DM146" s="187"/>
      <c r="DN146" s="187"/>
      <c r="DO146" s="187"/>
      <c r="DP146" s="187"/>
      <c r="DQ146" s="187"/>
      <c r="DR146" s="187"/>
      <c r="DS146" s="187"/>
      <c r="DT146" s="187"/>
      <c r="DU146" s="187"/>
      <c r="DV146" s="187"/>
      <c r="DW146" s="187"/>
      <c r="DX146" s="187"/>
      <c r="DY146" s="187"/>
      <c r="DZ146" s="187"/>
      <c r="EA146" s="187"/>
      <c r="EB146" s="187"/>
      <c r="EC146" s="187"/>
      <c r="ED146" s="187"/>
      <c r="EE146" s="187"/>
      <c r="EF146" s="187"/>
      <c r="EG146" s="187"/>
      <c r="EH146" s="187"/>
      <c r="EI146" s="187"/>
      <c r="EJ146" s="187"/>
      <c r="EK146" s="187"/>
      <c r="EL146" s="187"/>
      <c r="EM146" s="187"/>
      <c r="EN146" s="187"/>
      <c r="EO146" s="187"/>
    </row>
    <row r="147" spans="2:145" ht="13.9" customHeight="1" x14ac:dyDescent="0.2"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  <c r="AA147" s="187"/>
      <c r="AB147" s="187"/>
      <c r="AC147" s="187"/>
      <c r="AD147" s="187"/>
      <c r="AE147" s="187"/>
      <c r="AF147" s="187"/>
      <c r="AG147" s="187"/>
      <c r="AH147" s="187"/>
      <c r="AI147" s="187"/>
      <c r="AJ147" s="187"/>
      <c r="AK147" s="187"/>
      <c r="AL147" s="187"/>
      <c r="AM147" s="187"/>
      <c r="AN147" s="187"/>
      <c r="AO147" s="187"/>
      <c r="AP147" s="187"/>
      <c r="AQ147" s="187"/>
      <c r="AR147" s="187"/>
      <c r="AS147" s="187"/>
      <c r="AT147" s="187"/>
      <c r="AU147" s="187"/>
      <c r="AV147" s="187"/>
      <c r="AW147" s="187"/>
      <c r="AX147" s="187"/>
      <c r="AY147" s="187"/>
      <c r="AZ147" s="187"/>
      <c r="BA147" s="187"/>
      <c r="BB147" s="187"/>
      <c r="BC147" s="187"/>
      <c r="BD147" s="187"/>
      <c r="BE147" s="187"/>
      <c r="BF147" s="187"/>
      <c r="BG147" s="187"/>
      <c r="BH147" s="187"/>
      <c r="BI147" s="187"/>
      <c r="BJ147" s="187"/>
      <c r="BK147" s="187"/>
      <c r="BL147" s="187"/>
      <c r="BM147" s="187"/>
      <c r="BN147" s="187"/>
      <c r="BO147" s="187"/>
      <c r="BP147" s="187"/>
      <c r="BQ147" s="187"/>
      <c r="BR147" s="187"/>
      <c r="BS147" s="187"/>
      <c r="BT147" s="187"/>
      <c r="BU147" s="187"/>
      <c r="BV147" s="187"/>
      <c r="BW147" s="187"/>
      <c r="BX147" s="187"/>
      <c r="BY147" s="187"/>
      <c r="BZ147" s="187"/>
      <c r="CA147" s="187"/>
      <c r="CB147" s="187"/>
      <c r="CC147" s="187"/>
      <c r="CD147" s="187"/>
      <c r="CE147" s="187"/>
      <c r="CF147" s="187"/>
      <c r="CG147" s="187"/>
      <c r="CH147" s="187"/>
      <c r="CI147" s="187"/>
      <c r="CJ147" s="187"/>
      <c r="CK147" s="187"/>
      <c r="CL147" s="187"/>
      <c r="CM147" s="187"/>
      <c r="CN147" s="187"/>
      <c r="CO147" s="187"/>
      <c r="CP147" s="187"/>
      <c r="CQ147" s="187"/>
      <c r="CR147" s="187"/>
      <c r="CS147" s="187"/>
      <c r="CT147" s="187"/>
      <c r="CU147" s="187"/>
      <c r="CV147" s="187"/>
      <c r="CW147" s="187"/>
      <c r="CX147" s="187"/>
      <c r="CY147" s="187"/>
      <c r="CZ147" s="187"/>
      <c r="DA147" s="187"/>
      <c r="DB147" s="187"/>
      <c r="DC147" s="187"/>
      <c r="DD147" s="187"/>
      <c r="DE147" s="187"/>
      <c r="DF147" s="187"/>
      <c r="DG147" s="187"/>
      <c r="DH147" s="187"/>
      <c r="DI147" s="187"/>
      <c r="DJ147" s="187"/>
      <c r="DK147" s="187"/>
      <c r="DL147" s="187"/>
      <c r="DM147" s="187"/>
      <c r="DN147" s="187"/>
      <c r="DO147" s="187"/>
      <c r="DP147" s="187"/>
      <c r="DQ147" s="187"/>
      <c r="DR147" s="187"/>
      <c r="DS147" s="187"/>
      <c r="DT147" s="187"/>
      <c r="DU147" s="187"/>
      <c r="DV147" s="187"/>
      <c r="DW147" s="187"/>
      <c r="DX147" s="187"/>
      <c r="DY147" s="187"/>
      <c r="DZ147" s="187"/>
      <c r="EA147" s="187"/>
      <c r="EB147" s="187"/>
      <c r="EC147" s="187"/>
      <c r="ED147" s="187"/>
      <c r="EE147" s="187"/>
      <c r="EF147" s="187"/>
      <c r="EG147" s="187"/>
      <c r="EH147" s="187"/>
      <c r="EI147" s="187"/>
      <c r="EJ147" s="187"/>
      <c r="EK147" s="187"/>
      <c r="EL147" s="187"/>
      <c r="EM147" s="187"/>
      <c r="EN147" s="187"/>
      <c r="EO147" s="187"/>
    </row>
    <row r="148" spans="2:145" ht="13.9" customHeight="1" x14ac:dyDescent="0.2"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  <c r="AA148" s="187"/>
      <c r="AB148" s="187"/>
      <c r="AC148" s="187"/>
      <c r="AD148" s="187"/>
      <c r="AE148" s="187"/>
      <c r="AF148" s="187"/>
      <c r="AG148" s="187"/>
      <c r="AH148" s="187"/>
      <c r="AI148" s="187"/>
      <c r="AJ148" s="187"/>
      <c r="AK148" s="187"/>
      <c r="AL148" s="187"/>
      <c r="AM148" s="187"/>
      <c r="AN148" s="187"/>
      <c r="AO148" s="187"/>
      <c r="AP148" s="187"/>
      <c r="AQ148" s="187"/>
      <c r="AR148" s="187"/>
      <c r="AS148" s="187"/>
      <c r="AT148" s="187"/>
      <c r="AU148" s="187"/>
      <c r="AV148" s="187"/>
      <c r="AW148" s="187"/>
      <c r="AX148" s="187"/>
      <c r="AY148" s="187"/>
      <c r="AZ148" s="187"/>
      <c r="BA148" s="187"/>
      <c r="BB148" s="187"/>
      <c r="BC148" s="187"/>
      <c r="BD148" s="187"/>
      <c r="BE148" s="187"/>
      <c r="BF148" s="187"/>
      <c r="BG148" s="187"/>
      <c r="BH148" s="187"/>
      <c r="BI148" s="187"/>
      <c r="BJ148" s="187"/>
      <c r="BK148" s="187"/>
      <c r="BL148" s="187"/>
      <c r="BM148" s="187"/>
      <c r="BN148" s="187"/>
      <c r="BO148" s="187"/>
      <c r="BP148" s="187"/>
      <c r="BQ148" s="187"/>
      <c r="BR148" s="187"/>
      <c r="BS148" s="187"/>
      <c r="BT148" s="187"/>
      <c r="BU148" s="187"/>
      <c r="BV148" s="187"/>
      <c r="BW148" s="187"/>
      <c r="BX148" s="187"/>
      <c r="BY148" s="187"/>
      <c r="BZ148" s="187"/>
      <c r="CA148" s="187"/>
      <c r="CB148" s="187"/>
      <c r="CC148" s="187"/>
      <c r="CD148" s="187"/>
      <c r="CE148" s="187"/>
      <c r="CF148" s="187"/>
      <c r="CG148" s="187"/>
      <c r="CH148" s="187"/>
      <c r="CI148" s="187"/>
      <c r="CJ148" s="187"/>
      <c r="CK148" s="187"/>
      <c r="CL148" s="187"/>
      <c r="CM148" s="187"/>
      <c r="CN148" s="187"/>
      <c r="CO148" s="187"/>
      <c r="CP148" s="187"/>
      <c r="CQ148" s="187"/>
      <c r="CR148" s="187"/>
      <c r="CS148" s="187"/>
      <c r="CT148" s="187"/>
      <c r="CU148" s="187"/>
      <c r="CV148" s="187"/>
      <c r="CW148" s="187"/>
      <c r="CX148" s="187"/>
      <c r="CY148" s="187"/>
      <c r="CZ148" s="187"/>
      <c r="DA148" s="187"/>
      <c r="DB148" s="187"/>
      <c r="DC148" s="187"/>
      <c r="DD148" s="187"/>
      <c r="DE148" s="187"/>
      <c r="DF148" s="187"/>
      <c r="DG148" s="187"/>
      <c r="DH148" s="187"/>
      <c r="DI148" s="187"/>
      <c r="DJ148" s="187"/>
      <c r="DK148" s="187"/>
      <c r="DL148" s="187"/>
      <c r="DM148" s="187"/>
      <c r="DN148" s="187"/>
      <c r="DO148" s="187"/>
      <c r="DP148" s="187"/>
      <c r="DQ148" s="187"/>
      <c r="DR148" s="187"/>
      <c r="DS148" s="187"/>
      <c r="DT148" s="187"/>
      <c r="DU148" s="187"/>
      <c r="DV148" s="187"/>
      <c r="DW148" s="187"/>
      <c r="DX148" s="187"/>
      <c r="DY148" s="187"/>
      <c r="DZ148" s="187"/>
      <c r="EA148" s="187"/>
      <c r="EB148" s="187"/>
      <c r="EC148" s="187"/>
      <c r="ED148" s="187"/>
      <c r="EE148" s="187"/>
      <c r="EF148" s="187"/>
      <c r="EG148" s="187"/>
      <c r="EH148" s="187"/>
      <c r="EI148" s="187"/>
      <c r="EJ148" s="187"/>
      <c r="EK148" s="187"/>
      <c r="EL148" s="187"/>
      <c r="EM148" s="187"/>
      <c r="EN148" s="187"/>
      <c r="EO148" s="187"/>
    </row>
    <row r="149" spans="2:145" ht="13.9" customHeight="1" x14ac:dyDescent="0.2"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  <c r="AA149" s="187"/>
      <c r="AB149" s="187"/>
      <c r="AC149" s="187"/>
      <c r="AD149" s="187"/>
      <c r="AE149" s="187"/>
      <c r="AF149" s="187"/>
      <c r="AG149" s="187"/>
      <c r="AH149" s="187"/>
      <c r="AI149" s="187"/>
      <c r="AJ149" s="187"/>
      <c r="AK149" s="187"/>
      <c r="AL149" s="187"/>
      <c r="AM149" s="187"/>
      <c r="AN149" s="187"/>
      <c r="AO149" s="187"/>
      <c r="AP149" s="187"/>
      <c r="AQ149" s="187"/>
      <c r="AR149" s="187"/>
      <c r="AS149" s="187"/>
      <c r="AT149" s="187"/>
      <c r="AU149" s="187"/>
      <c r="AV149" s="187"/>
      <c r="AW149" s="187"/>
      <c r="AX149" s="187"/>
      <c r="AY149" s="187"/>
      <c r="AZ149" s="187"/>
      <c r="BA149" s="187"/>
      <c r="BB149" s="187"/>
      <c r="BC149" s="187"/>
      <c r="BD149" s="187"/>
      <c r="BE149" s="187"/>
      <c r="BF149" s="187"/>
      <c r="BG149" s="187"/>
      <c r="BH149" s="187"/>
      <c r="BI149" s="187"/>
      <c r="BJ149" s="187"/>
      <c r="BK149" s="187"/>
      <c r="BL149" s="187"/>
      <c r="BM149" s="187"/>
      <c r="BN149" s="187"/>
      <c r="BO149" s="187"/>
      <c r="BP149" s="187"/>
      <c r="BQ149" s="187"/>
      <c r="BR149" s="187"/>
      <c r="BS149" s="187"/>
      <c r="BT149" s="187"/>
      <c r="BU149" s="187"/>
      <c r="BV149" s="187"/>
      <c r="BW149" s="187"/>
      <c r="BX149" s="187"/>
      <c r="BY149" s="187"/>
      <c r="BZ149" s="187"/>
      <c r="CA149" s="187"/>
      <c r="CB149" s="187"/>
      <c r="CC149" s="187"/>
      <c r="CD149" s="187"/>
      <c r="CE149" s="187"/>
      <c r="CF149" s="187"/>
      <c r="CG149" s="187"/>
      <c r="CH149" s="187"/>
      <c r="CI149" s="187"/>
      <c r="CJ149" s="187"/>
      <c r="CK149" s="187"/>
      <c r="CL149" s="187"/>
      <c r="CM149" s="187"/>
      <c r="CN149" s="187"/>
      <c r="CO149" s="187"/>
      <c r="CP149" s="187"/>
      <c r="CQ149" s="187"/>
      <c r="CR149" s="187"/>
      <c r="CS149" s="187"/>
      <c r="CT149" s="187"/>
      <c r="CU149" s="187"/>
      <c r="CV149" s="187"/>
      <c r="CW149" s="187"/>
      <c r="CX149" s="187"/>
      <c r="CY149" s="187"/>
      <c r="CZ149" s="187"/>
      <c r="DA149" s="187"/>
      <c r="DB149" s="187"/>
      <c r="DC149" s="187"/>
      <c r="DD149" s="187"/>
      <c r="DE149" s="187"/>
      <c r="DF149" s="187"/>
      <c r="DG149" s="187"/>
      <c r="DH149" s="187"/>
      <c r="DI149" s="187"/>
      <c r="DJ149" s="187"/>
      <c r="DK149" s="187"/>
      <c r="DL149" s="187"/>
      <c r="DM149" s="187"/>
      <c r="DN149" s="187"/>
      <c r="DO149" s="187"/>
      <c r="DP149" s="187"/>
      <c r="DQ149" s="187"/>
      <c r="DR149" s="187"/>
      <c r="DS149" s="187"/>
      <c r="DT149" s="187"/>
      <c r="DU149" s="187"/>
      <c r="DV149" s="187"/>
      <c r="DW149" s="187"/>
      <c r="DX149" s="187"/>
      <c r="DY149" s="187"/>
      <c r="DZ149" s="187"/>
      <c r="EA149" s="187"/>
      <c r="EB149" s="187"/>
      <c r="EC149" s="187"/>
      <c r="ED149" s="187"/>
      <c r="EE149" s="187"/>
      <c r="EF149" s="187"/>
      <c r="EG149" s="187"/>
      <c r="EH149" s="187"/>
      <c r="EI149" s="187"/>
      <c r="EJ149" s="187"/>
      <c r="EK149" s="187"/>
      <c r="EL149" s="187"/>
      <c r="EM149" s="187"/>
      <c r="EN149" s="187"/>
      <c r="EO149" s="187"/>
    </row>
    <row r="150" spans="2:145" ht="13.9" customHeight="1" x14ac:dyDescent="0.2"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  <c r="AA150" s="187"/>
      <c r="AB150" s="187"/>
      <c r="AC150" s="187"/>
      <c r="AD150" s="187"/>
      <c r="AE150" s="187"/>
      <c r="AF150" s="187"/>
      <c r="AG150" s="187"/>
      <c r="AH150" s="187"/>
      <c r="AI150" s="187"/>
      <c r="AJ150" s="187"/>
      <c r="AK150" s="187"/>
      <c r="AL150" s="187"/>
      <c r="AM150" s="187"/>
      <c r="AN150" s="187"/>
      <c r="AO150" s="187"/>
      <c r="AP150" s="187"/>
      <c r="AQ150" s="187"/>
      <c r="AR150" s="187"/>
      <c r="AS150" s="187"/>
      <c r="AT150" s="187"/>
      <c r="AU150" s="187"/>
      <c r="AV150" s="187"/>
      <c r="AW150" s="187"/>
      <c r="AX150" s="187"/>
      <c r="AY150" s="187"/>
      <c r="AZ150" s="187"/>
      <c r="BA150" s="187"/>
      <c r="BB150" s="187"/>
      <c r="BC150" s="187"/>
      <c r="BD150" s="187"/>
      <c r="BE150" s="187"/>
      <c r="BF150" s="187"/>
      <c r="BG150" s="187"/>
      <c r="BH150" s="187"/>
      <c r="BI150" s="187"/>
      <c r="BJ150" s="187"/>
      <c r="BK150" s="187"/>
      <c r="BL150" s="187"/>
      <c r="BM150" s="187"/>
      <c r="BN150" s="187"/>
      <c r="BO150" s="187"/>
      <c r="BP150" s="187"/>
      <c r="BQ150" s="187"/>
      <c r="BR150" s="187"/>
      <c r="BS150" s="187"/>
      <c r="BT150" s="187"/>
      <c r="BU150" s="187"/>
      <c r="BV150" s="187"/>
      <c r="BW150" s="187"/>
      <c r="BX150" s="187"/>
      <c r="BY150" s="187"/>
      <c r="BZ150" s="187"/>
      <c r="CA150" s="187"/>
      <c r="CB150" s="187"/>
      <c r="CC150" s="187"/>
      <c r="CD150" s="187"/>
      <c r="CE150" s="187"/>
      <c r="CF150" s="187"/>
      <c r="CG150" s="187"/>
      <c r="CH150" s="187"/>
      <c r="CI150" s="187"/>
      <c r="CJ150" s="187"/>
      <c r="CK150" s="187"/>
      <c r="CL150" s="187"/>
      <c r="CM150" s="187"/>
      <c r="CN150" s="187"/>
      <c r="CO150" s="187"/>
      <c r="CP150" s="187"/>
      <c r="CQ150" s="187"/>
      <c r="CR150" s="187"/>
      <c r="CS150" s="187"/>
      <c r="CT150" s="187"/>
      <c r="CU150" s="187"/>
      <c r="CV150" s="187"/>
      <c r="CW150" s="187"/>
      <c r="CX150" s="187"/>
      <c r="CY150" s="187"/>
      <c r="CZ150" s="187"/>
      <c r="DA150" s="187"/>
      <c r="DB150" s="187"/>
      <c r="DC150" s="187"/>
      <c r="DD150" s="187"/>
      <c r="DE150" s="187"/>
      <c r="DF150" s="187"/>
      <c r="DG150" s="187"/>
      <c r="DH150" s="187"/>
      <c r="DI150" s="187"/>
      <c r="DJ150" s="187"/>
      <c r="DK150" s="187"/>
      <c r="DL150" s="187"/>
      <c r="DM150" s="187"/>
      <c r="DN150" s="187"/>
      <c r="DO150" s="187"/>
      <c r="DP150" s="187"/>
      <c r="DQ150" s="187"/>
      <c r="DR150" s="187"/>
      <c r="DS150" s="187"/>
      <c r="DT150" s="187"/>
      <c r="DU150" s="187"/>
      <c r="DV150" s="187"/>
      <c r="DW150" s="187"/>
      <c r="DX150" s="187"/>
      <c r="DY150" s="187"/>
      <c r="DZ150" s="187"/>
      <c r="EA150" s="187"/>
      <c r="EB150" s="187"/>
      <c r="EC150" s="187"/>
      <c r="ED150" s="187"/>
      <c r="EE150" s="187"/>
      <c r="EF150" s="187"/>
      <c r="EG150" s="187"/>
      <c r="EH150" s="187"/>
      <c r="EI150" s="187"/>
      <c r="EJ150" s="187"/>
      <c r="EK150" s="187"/>
      <c r="EL150" s="187"/>
      <c r="EM150" s="187"/>
      <c r="EN150" s="187"/>
      <c r="EO150" s="187"/>
    </row>
    <row r="151" spans="2:145" ht="13.9" customHeight="1" x14ac:dyDescent="0.2"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  <c r="AA151" s="187"/>
      <c r="AB151" s="187"/>
      <c r="AC151" s="187"/>
      <c r="AD151" s="187"/>
      <c r="AE151" s="187"/>
      <c r="AF151" s="187"/>
      <c r="AG151" s="187"/>
      <c r="AH151" s="187"/>
      <c r="AI151" s="187"/>
      <c r="AJ151" s="187"/>
      <c r="AK151" s="187"/>
      <c r="AL151" s="187"/>
      <c r="AM151" s="187"/>
      <c r="AN151" s="187"/>
      <c r="AO151" s="187"/>
      <c r="AP151" s="187"/>
      <c r="AQ151" s="187"/>
      <c r="AR151" s="187"/>
      <c r="AS151" s="187"/>
      <c r="AT151" s="187"/>
      <c r="AU151" s="187"/>
      <c r="AV151" s="187"/>
      <c r="AW151" s="187"/>
      <c r="AX151" s="187"/>
      <c r="AY151" s="187"/>
      <c r="AZ151" s="187"/>
      <c r="BA151" s="187"/>
      <c r="BB151" s="187"/>
      <c r="BC151" s="187"/>
      <c r="BD151" s="187"/>
      <c r="BE151" s="187"/>
      <c r="BF151" s="187"/>
      <c r="BG151" s="187"/>
      <c r="BH151" s="187"/>
      <c r="BI151" s="187"/>
      <c r="BJ151" s="187"/>
      <c r="BK151" s="187"/>
      <c r="BL151" s="187"/>
      <c r="BM151" s="187"/>
      <c r="BN151" s="187"/>
      <c r="BO151" s="187"/>
      <c r="BP151" s="187"/>
      <c r="BQ151" s="187"/>
      <c r="BR151" s="187"/>
      <c r="BS151" s="187"/>
      <c r="BT151" s="187"/>
      <c r="BU151" s="187"/>
      <c r="BV151" s="187"/>
      <c r="BW151" s="187"/>
      <c r="BX151" s="187"/>
      <c r="BY151" s="187"/>
      <c r="BZ151" s="187"/>
      <c r="CA151" s="187"/>
      <c r="CB151" s="187"/>
      <c r="CC151" s="187"/>
      <c r="CD151" s="187"/>
      <c r="CE151" s="187"/>
      <c r="CF151" s="187"/>
      <c r="CG151" s="187"/>
      <c r="CH151" s="187"/>
      <c r="CI151" s="187"/>
      <c r="CJ151" s="187"/>
      <c r="CK151" s="187"/>
      <c r="CL151" s="187"/>
      <c r="CM151" s="187"/>
      <c r="CN151" s="187"/>
      <c r="CO151" s="187"/>
      <c r="CP151" s="187"/>
      <c r="CQ151" s="187"/>
      <c r="CR151" s="187"/>
      <c r="CS151" s="187"/>
      <c r="CT151" s="187"/>
      <c r="CU151" s="187"/>
      <c r="CV151" s="187"/>
      <c r="CW151" s="187"/>
      <c r="CX151" s="187"/>
      <c r="CY151" s="187"/>
      <c r="CZ151" s="187"/>
      <c r="DA151" s="187"/>
      <c r="DB151" s="187"/>
      <c r="DC151" s="187"/>
      <c r="DD151" s="187"/>
      <c r="DE151" s="187"/>
      <c r="DF151" s="187"/>
      <c r="DG151" s="187"/>
      <c r="DH151" s="187"/>
      <c r="DI151" s="187"/>
      <c r="DJ151" s="187"/>
      <c r="DK151" s="187"/>
      <c r="DL151" s="187"/>
      <c r="DM151" s="187"/>
      <c r="DN151" s="187"/>
      <c r="DO151" s="187"/>
      <c r="DP151" s="187"/>
      <c r="DQ151" s="187"/>
      <c r="DR151" s="187"/>
      <c r="DS151" s="187"/>
      <c r="DT151" s="187"/>
      <c r="DU151" s="187"/>
      <c r="DV151" s="187"/>
      <c r="DW151" s="187"/>
      <c r="DX151" s="187"/>
      <c r="DY151" s="187"/>
      <c r="DZ151" s="187"/>
      <c r="EA151" s="187"/>
      <c r="EB151" s="187"/>
      <c r="EC151" s="187"/>
      <c r="ED151" s="187"/>
      <c r="EE151" s="187"/>
      <c r="EF151" s="187"/>
      <c r="EG151" s="187"/>
      <c r="EH151" s="187"/>
      <c r="EI151" s="187"/>
      <c r="EJ151" s="187"/>
      <c r="EK151" s="187"/>
      <c r="EL151" s="187"/>
      <c r="EM151" s="187"/>
      <c r="EN151" s="187"/>
      <c r="EO151" s="187"/>
    </row>
    <row r="152" spans="2:145" ht="13.9" customHeight="1" x14ac:dyDescent="0.2"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  <c r="AA152" s="187"/>
      <c r="AB152" s="187"/>
      <c r="AC152" s="187"/>
      <c r="AD152" s="187"/>
      <c r="AE152" s="187"/>
      <c r="AF152" s="187"/>
      <c r="AG152" s="187"/>
      <c r="AH152" s="187"/>
      <c r="AI152" s="187"/>
      <c r="AJ152" s="187"/>
      <c r="AK152" s="187"/>
      <c r="AL152" s="187"/>
      <c r="AM152" s="187"/>
      <c r="AN152" s="187"/>
      <c r="AO152" s="187"/>
      <c r="AP152" s="187"/>
      <c r="AQ152" s="187"/>
      <c r="AR152" s="187"/>
      <c r="AS152" s="187"/>
      <c r="AT152" s="187"/>
      <c r="AU152" s="187"/>
      <c r="AV152" s="187"/>
      <c r="AW152" s="187"/>
      <c r="AX152" s="187"/>
      <c r="AY152" s="187"/>
      <c r="AZ152" s="187"/>
      <c r="BA152" s="187"/>
      <c r="BB152" s="187"/>
      <c r="BC152" s="187"/>
      <c r="BD152" s="187"/>
      <c r="BE152" s="187"/>
      <c r="BF152" s="187"/>
      <c r="BG152" s="187"/>
      <c r="BH152" s="187"/>
      <c r="BI152" s="187"/>
      <c r="BJ152" s="187"/>
      <c r="BK152" s="187"/>
      <c r="BL152" s="187"/>
      <c r="BM152" s="187"/>
      <c r="BN152" s="187"/>
      <c r="BO152" s="187"/>
      <c r="BP152" s="187"/>
      <c r="BQ152" s="187"/>
      <c r="BR152" s="187"/>
      <c r="BS152" s="187"/>
      <c r="BT152" s="187"/>
      <c r="BU152" s="187"/>
      <c r="BV152" s="187"/>
      <c r="BW152" s="187"/>
      <c r="BX152" s="187"/>
      <c r="BY152" s="187"/>
      <c r="BZ152" s="187"/>
      <c r="CA152" s="187"/>
      <c r="CB152" s="187"/>
      <c r="CC152" s="187"/>
      <c r="CD152" s="187"/>
      <c r="CE152" s="187"/>
      <c r="CF152" s="187"/>
      <c r="CG152" s="187"/>
      <c r="CH152" s="187"/>
      <c r="CI152" s="187"/>
      <c r="CJ152" s="187"/>
      <c r="CK152" s="187"/>
      <c r="CL152" s="187"/>
      <c r="CM152" s="187"/>
      <c r="CN152" s="187"/>
      <c r="CO152" s="187"/>
      <c r="CP152" s="187"/>
      <c r="CQ152" s="187"/>
      <c r="CR152" s="187"/>
      <c r="CS152" s="187"/>
      <c r="CT152" s="187"/>
      <c r="CU152" s="187"/>
      <c r="CV152" s="187"/>
      <c r="CW152" s="187"/>
      <c r="CX152" s="187"/>
      <c r="CY152" s="187"/>
      <c r="CZ152" s="187"/>
      <c r="DA152" s="187"/>
      <c r="DB152" s="187"/>
      <c r="DC152" s="187"/>
      <c r="DD152" s="187"/>
      <c r="DE152" s="187"/>
      <c r="DF152" s="187"/>
      <c r="DG152" s="187"/>
      <c r="DH152" s="187"/>
      <c r="DI152" s="187"/>
      <c r="DJ152" s="187"/>
      <c r="DK152" s="187"/>
      <c r="DL152" s="187"/>
      <c r="DM152" s="187"/>
      <c r="DN152" s="187"/>
      <c r="DO152" s="187"/>
      <c r="DP152" s="187"/>
      <c r="DQ152" s="187"/>
      <c r="DR152" s="187"/>
      <c r="DS152" s="187"/>
      <c r="DT152" s="187"/>
      <c r="DU152" s="187"/>
      <c r="DV152" s="187"/>
      <c r="DW152" s="187"/>
      <c r="DX152" s="187"/>
      <c r="DY152" s="187"/>
      <c r="DZ152" s="187"/>
      <c r="EA152" s="187"/>
      <c r="EB152" s="187"/>
      <c r="EC152" s="187"/>
      <c r="ED152" s="187"/>
      <c r="EE152" s="187"/>
      <c r="EF152" s="187"/>
      <c r="EG152" s="187"/>
      <c r="EH152" s="187"/>
      <c r="EI152" s="187"/>
      <c r="EJ152" s="187"/>
      <c r="EK152" s="187"/>
      <c r="EL152" s="187"/>
      <c r="EM152" s="187"/>
      <c r="EN152" s="187"/>
      <c r="EO152" s="187"/>
    </row>
    <row r="153" spans="2:145" ht="13.9" customHeight="1" x14ac:dyDescent="0.2"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  <c r="AA153" s="187"/>
      <c r="AB153" s="187"/>
      <c r="AC153" s="187"/>
      <c r="AD153" s="187"/>
      <c r="AE153" s="187"/>
      <c r="AF153" s="187"/>
      <c r="AG153" s="187"/>
      <c r="AH153" s="187"/>
      <c r="AI153" s="187"/>
      <c r="AJ153" s="187"/>
      <c r="AK153" s="187"/>
      <c r="AL153" s="187"/>
      <c r="AM153" s="187"/>
      <c r="AN153" s="187"/>
      <c r="AO153" s="187"/>
      <c r="AP153" s="187"/>
      <c r="AQ153" s="187"/>
      <c r="AR153" s="187"/>
      <c r="AS153" s="187"/>
      <c r="AT153" s="187"/>
      <c r="AU153" s="187"/>
      <c r="AV153" s="187"/>
      <c r="AW153" s="187"/>
      <c r="AX153" s="187"/>
      <c r="AY153" s="187"/>
      <c r="AZ153" s="187"/>
      <c r="BA153" s="187"/>
      <c r="BB153" s="187"/>
      <c r="BC153" s="187"/>
      <c r="BD153" s="187"/>
      <c r="BE153" s="187"/>
      <c r="BF153" s="187"/>
      <c r="BG153" s="187"/>
      <c r="BH153" s="187"/>
      <c r="BI153" s="187"/>
      <c r="BJ153" s="187"/>
      <c r="BK153" s="187"/>
      <c r="BL153" s="187"/>
      <c r="BM153" s="187"/>
      <c r="BN153" s="187"/>
      <c r="BO153" s="187"/>
      <c r="BP153" s="187"/>
      <c r="BQ153" s="187"/>
      <c r="BR153" s="187"/>
      <c r="BS153" s="187"/>
      <c r="BT153" s="187"/>
      <c r="BU153" s="187"/>
      <c r="BV153" s="187"/>
      <c r="BW153" s="187"/>
      <c r="BX153" s="187"/>
      <c r="BY153" s="187"/>
      <c r="BZ153" s="187"/>
      <c r="CA153" s="187"/>
      <c r="CB153" s="187"/>
      <c r="CC153" s="187"/>
      <c r="CD153" s="187"/>
      <c r="CE153" s="187"/>
      <c r="CF153" s="187"/>
      <c r="CG153" s="187"/>
      <c r="CH153" s="187"/>
      <c r="CI153" s="187"/>
      <c r="CJ153" s="187"/>
      <c r="CK153" s="187"/>
      <c r="CL153" s="187"/>
      <c r="CM153" s="187"/>
      <c r="CN153" s="187"/>
      <c r="CO153" s="187"/>
      <c r="CP153" s="187"/>
      <c r="CQ153" s="187"/>
      <c r="CR153" s="187"/>
      <c r="CS153" s="187"/>
      <c r="CT153" s="187"/>
      <c r="CU153" s="187"/>
      <c r="CV153" s="187"/>
      <c r="CW153" s="187"/>
      <c r="CX153" s="187"/>
      <c r="CY153" s="187"/>
      <c r="CZ153" s="187"/>
      <c r="DA153" s="187"/>
      <c r="DB153" s="187"/>
      <c r="DC153" s="187"/>
      <c r="DD153" s="187"/>
      <c r="DE153" s="187"/>
      <c r="DF153" s="187"/>
      <c r="DG153" s="187"/>
      <c r="DH153" s="187"/>
      <c r="DI153" s="187"/>
      <c r="DJ153" s="187"/>
      <c r="DK153" s="187"/>
      <c r="DL153" s="187"/>
      <c r="DM153" s="187"/>
      <c r="DN153" s="187"/>
      <c r="DO153" s="187"/>
      <c r="DP153" s="187"/>
      <c r="DQ153" s="187"/>
      <c r="DR153" s="187"/>
      <c r="DS153" s="187"/>
      <c r="DT153" s="187"/>
      <c r="DU153" s="187"/>
      <c r="DV153" s="187"/>
      <c r="DW153" s="187"/>
      <c r="DX153" s="187"/>
      <c r="DY153" s="187"/>
      <c r="DZ153" s="187"/>
      <c r="EA153" s="187"/>
      <c r="EB153" s="187"/>
      <c r="EC153" s="187"/>
      <c r="ED153" s="187"/>
      <c r="EE153" s="187"/>
      <c r="EF153" s="187"/>
      <c r="EG153" s="187"/>
      <c r="EH153" s="187"/>
      <c r="EI153" s="187"/>
      <c r="EJ153" s="187"/>
      <c r="EK153" s="187"/>
      <c r="EL153" s="187"/>
      <c r="EM153" s="187"/>
      <c r="EN153" s="187"/>
      <c r="EO153" s="187"/>
    </row>
    <row r="154" spans="2:145" ht="13.9" customHeight="1" x14ac:dyDescent="0.2"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  <c r="AA154" s="187"/>
      <c r="AB154" s="187"/>
      <c r="AC154" s="187"/>
      <c r="AD154" s="187"/>
      <c r="AE154" s="187"/>
      <c r="AF154" s="187"/>
      <c r="AG154" s="187"/>
      <c r="AH154" s="187"/>
      <c r="AI154" s="187"/>
      <c r="AJ154" s="187"/>
      <c r="AK154" s="187"/>
      <c r="AL154" s="187"/>
      <c r="AM154" s="187"/>
      <c r="AN154" s="187"/>
      <c r="AO154" s="187"/>
      <c r="AP154" s="187"/>
      <c r="AQ154" s="187"/>
      <c r="AR154" s="187"/>
      <c r="AS154" s="187"/>
      <c r="AT154" s="187"/>
      <c r="AU154" s="187"/>
      <c r="AV154" s="187"/>
      <c r="AW154" s="187"/>
      <c r="AX154" s="187"/>
      <c r="AY154" s="187"/>
      <c r="AZ154" s="187"/>
      <c r="BA154" s="187"/>
      <c r="BB154" s="187"/>
      <c r="BC154" s="187"/>
      <c r="BD154" s="187"/>
      <c r="BE154" s="187"/>
      <c r="BF154" s="187"/>
      <c r="BG154" s="187"/>
      <c r="BH154" s="187"/>
      <c r="BI154" s="187"/>
      <c r="BJ154" s="187"/>
      <c r="BK154" s="187"/>
      <c r="BL154" s="187"/>
      <c r="BM154" s="187"/>
      <c r="BN154" s="187"/>
      <c r="BO154" s="187"/>
      <c r="BP154" s="187"/>
      <c r="BQ154" s="187"/>
      <c r="BR154" s="187"/>
      <c r="BS154" s="187"/>
      <c r="BT154" s="187"/>
      <c r="BU154" s="187"/>
      <c r="BV154" s="187"/>
      <c r="BW154" s="187"/>
      <c r="BX154" s="187"/>
      <c r="BY154" s="187"/>
      <c r="BZ154" s="187"/>
      <c r="CA154" s="187"/>
      <c r="CB154" s="187"/>
      <c r="CC154" s="187"/>
      <c r="CD154" s="187"/>
      <c r="CE154" s="187"/>
      <c r="CF154" s="187"/>
      <c r="CG154" s="187"/>
      <c r="CH154" s="187"/>
      <c r="CI154" s="187"/>
      <c r="CJ154" s="187"/>
      <c r="CK154" s="187"/>
      <c r="CL154" s="187"/>
      <c r="CM154" s="187"/>
      <c r="CN154" s="187"/>
      <c r="CO154" s="187"/>
      <c r="CP154" s="187"/>
      <c r="CQ154" s="187"/>
      <c r="CR154" s="187"/>
      <c r="CS154" s="187"/>
      <c r="CT154" s="187"/>
      <c r="CU154" s="187"/>
      <c r="CV154" s="187"/>
      <c r="CW154" s="187"/>
      <c r="CX154" s="187"/>
      <c r="CY154" s="187"/>
      <c r="CZ154" s="187"/>
      <c r="DA154" s="187"/>
      <c r="DB154" s="187"/>
      <c r="DC154" s="187"/>
      <c r="DD154" s="187"/>
      <c r="DE154" s="187"/>
      <c r="DF154" s="187"/>
      <c r="DG154" s="187"/>
      <c r="DH154" s="187"/>
      <c r="DI154" s="187"/>
      <c r="DJ154" s="187"/>
      <c r="DK154" s="187"/>
      <c r="DL154" s="187"/>
      <c r="DM154" s="187"/>
      <c r="DN154" s="187"/>
      <c r="DO154" s="187"/>
      <c r="DP154" s="187"/>
      <c r="DQ154" s="187"/>
      <c r="DR154" s="187"/>
      <c r="DS154" s="187"/>
      <c r="DT154" s="187"/>
      <c r="DU154" s="187"/>
      <c r="DV154" s="187"/>
      <c r="DW154" s="187"/>
      <c r="DX154" s="187"/>
      <c r="DY154" s="187"/>
      <c r="DZ154" s="187"/>
      <c r="EA154" s="187"/>
      <c r="EB154" s="187"/>
      <c r="EC154" s="187"/>
      <c r="ED154" s="187"/>
      <c r="EE154" s="187"/>
      <c r="EF154" s="187"/>
      <c r="EG154" s="187"/>
      <c r="EH154" s="187"/>
      <c r="EI154" s="187"/>
      <c r="EJ154" s="187"/>
      <c r="EK154" s="187"/>
      <c r="EL154" s="187"/>
      <c r="EM154" s="187"/>
      <c r="EN154" s="187"/>
      <c r="EO154" s="187"/>
    </row>
    <row r="155" spans="2:145" ht="13.9" customHeight="1" x14ac:dyDescent="0.2"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  <c r="AA155" s="187"/>
      <c r="AB155" s="187"/>
      <c r="AC155" s="187"/>
      <c r="AD155" s="187"/>
      <c r="AE155" s="187"/>
      <c r="AF155" s="187"/>
      <c r="AG155" s="187"/>
      <c r="AH155" s="187"/>
      <c r="AI155" s="187"/>
      <c r="AJ155" s="187"/>
      <c r="AK155" s="187"/>
      <c r="AL155" s="187"/>
      <c r="AM155" s="187"/>
      <c r="AN155" s="187"/>
      <c r="AO155" s="187"/>
      <c r="AP155" s="187"/>
      <c r="AQ155" s="187"/>
      <c r="AR155" s="187"/>
      <c r="AS155" s="187"/>
      <c r="AT155" s="187"/>
      <c r="AU155" s="187"/>
      <c r="AV155" s="187"/>
      <c r="AW155" s="187"/>
      <c r="AX155" s="187"/>
      <c r="AY155" s="187"/>
      <c r="AZ155" s="187"/>
      <c r="BA155" s="187"/>
      <c r="BB155" s="187"/>
      <c r="BC155" s="187"/>
      <c r="BD155" s="187"/>
      <c r="BE155" s="187"/>
      <c r="BF155" s="187"/>
      <c r="BG155" s="187"/>
      <c r="BH155" s="187"/>
      <c r="BI155" s="187"/>
      <c r="BJ155" s="187"/>
      <c r="BK155" s="187"/>
      <c r="BL155" s="187"/>
      <c r="BM155" s="187"/>
      <c r="BN155" s="187"/>
      <c r="BO155" s="187"/>
      <c r="BP155" s="187"/>
      <c r="BQ155" s="187"/>
      <c r="BR155" s="187"/>
      <c r="BS155" s="187"/>
      <c r="BT155" s="187"/>
      <c r="BU155" s="187"/>
      <c r="BV155" s="187"/>
      <c r="BW155" s="187"/>
      <c r="BX155" s="187"/>
      <c r="BY155" s="187"/>
      <c r="BZ155" s="187"/>
      <c r="CA155" s="187"/>
      <c r="CB155" s="187"/>
      <c r="CC155" s="187"/>
      <c r="CD155" s="187"/>
      <c r="CE155" s="187"/>
      <c r="CF155" s="187"/>
      <c r="CG155" s="187"/>
      <c r="CH155" s="187"/>
      <c r="CI155" s="187"/>
      <c r="CJ155" s="187"/>
      <c r="CK155" s="187"/>
      <c r="CL155" s="187"/>
      <c r="CM155" s="187"/>
      <c r="CN155" s="187"/>
      <c r="CO155" s="187"/>
      <c r="CP155" s="187"/>
      <c r="CQ155" s="187"/>
      <c r="CR155" s="187"/>
      <c r="CS155" s="187"/>
      <c r="CT155" s="187"/>
      <c r="CU155" s="187"/>
      <c r="CV155" s="187"/>
      <c r="CW155" s="187"/>
      <c r="CX155" s="187"/>
      <c r="CY155" s="187"/>
      <c r="CZ155" s="187"/>
      <c r="DA155" s="187"/>
      <c r="DB155" s="187"/>
      <c r="DC155" s="187"/>
      <c r="DD155" s="187"/>
      <c r="DE155" s="187"/>
      <c r="DF155" s="187"/>
      <c r="DG155" s="187"/>
      <c r="DH155" s="187"/>
      <c r="DI155" s="187"/>
      <c r="DJ155" s="187"/>
      <c r="DK155" s="187"/>
      <c r="DL155" s="187"/>
      <c r="DM155" s="187"/>
      <c r="DN155" s="187"/>
      <c r="DO155" s="187"/>
      <c r="DP155" s="187"/>
      <c r="DQ155" s="187"/>
      <c r="DR155" s="187"/>
      <c r="DS155" s="187"/>
      <c r="DT155" s="187"/>
      <c r="DU155" s="187"/>
      <c r="DV155" s="187"/>
      <c r="DW155" s="187"/>
      <c r="DX155" s="187"/>
      <c r="DY155" s="187"/>
      <c r="DZ155" s="187"/>
      <c r="EA155" s="187"/>
      <c r="EB155" s="187"/>
      <c r="EC155" s="187"/>
      <c r="ED155" s="187"/>
      <c r="EE155" s="187"/>
      <c r="EF155" s="187"/>
      <c r="EG155" s="187"/>
      <c r="EH155" s="187"/>
      <c r="EI155" s="187"/>
      <c r="EJ155" s="187"/>
      <c r="EK155" s="187"/>
      <c r="EL155" s="187"/>
      <c r="EM155" s="187"/>
      <c r="EN155" s="187"/>
      <c r="EO155" s="187"/>
    </row>
    <row r="156" spans="2:145" ht="13.9" customHeight="1" x14ac:dyDescent="0.2"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  <c r="AA156" s="187"/>
      <c r="AB156" s="187"/>
      <c r="AC156" s="187"/>
      <c r="AD156" s="187"/>
      <c r="AE156" s="187"/>
      <c r="AF156" s="187"/>
      <c r="AG156" s="187"/>
      <c r="AH156" s="187"/>
      <c r="AI156" s="187"/>
      <c r="AJ156" s="187"/>
      <c r="AK156" s="187"/>
      <c r="AL156" s="187"/>
      <c r="AM156" s="187"/>
      <c r="AN156" s="187"/>
      <c r="AO156" s="187"/>
      <c r="AP156" s="187"/>
      <c r="AQ156" s="187"/>
      <c r="AR156" s="187"/>
      <c r="AS156" s="187"/>
      <c r="AT156" s="187"/>
      <c r="AU156" s="187"/>
      <c r="AV156" s="187"/>
      <c r="AW156" s="187"/>
      <c r="AX156" s="187"/>
      <c r="AY156" s="187"/>
      <c r="AZ156" s="187"/>
      <c r="BA156" s="187"/>
      <c r="BB156" s="187"/>
      <c r="BC156" s="187"/>
      <c r="BD156" s="187"/>
      <c r="BE156" s="187"/>
      <c r="BF156" s="187"/>
      <c r="BG156" s="187"/>
      <c r="BH156" s="187"/>
      <c r="BI156" s="187"/>
      <c r="BJ156" s="187"/>
      <c r="BK156" s="187"/>
      <c r="BL156" s="187"/>
      <c r="BM156" s="187"/>
      <c r="BN156" s="187"/>
      <c r="BO156" s="187"/>
      <c r="BP156" s="187"/>
      <c r="BQ156" s="187"/>
      <c r="BR156" s="187"/>
      <c r="BS156" s="187"/>
      <c r="BT156" s="187"/>
      <c r="BU156" s="187"/>
      <c r="BV156" s="187"/>
      <c r="BW156" s="187"/>
      <c r="BX156" s="187"/>
      <c r="BY156" s="187"/>
      <c r="BZ156" s="187"/>
      <c r="CA156" s="187"/>
      <c r="CB156" s="187"/>
      <c r="CC156" s="187"/>
      <c r="CD156" s="187"/>
      <c r="CE156" s="187"/>
      <c r="CF156" s="187"/>
      <c r="CG156" s="187"/>
      <c r="CH156" s="187"/>
      <c r="CI156" s="187"/>
      <c r="CJ156" s="187"/>
      <c r="CK156" s="187"/>
      <c r="CL156" s="187"/>
      <c r="CM156" s="187"/>
      <c r="CN156" s="187"/>
      <c r="CO156" s="187"/>
      <c r="CP156" s="187"/>
      <c r="CQ156" s="187"/>
      <c r="CR156" s="187"/>
      <c r="CS156" s="187"/>
      <c r="CT156" s="187"/>
      <c r="CU156" s="187"/>
      <c r="CV156" s="187"/>
      <c r="CW156" s="187"/>
      <c r="CX156" s="187"/>
      <c r="CY156" s="187"/>
      <c r="CZ156" s="187"/>
      <c r="DA156" s="187"/>
      <c r="DB156" s="187"/>
      <c r="DC156" s="187"/>
      <c r="DD156" s="187"/>
      <c r="DE156" s="187"/>
      <c r="DF156" s="187"/>
      <c r="DG156" s="187"/>
      <c r="DH156" s="187"/>
      <c r="DI156" s="187"/>
      <c r="DJ156" s="187"/>
      <c r="DK156" s="187"/>
      <c r="DL156" s="187"/>
      <c r="DM156" s="187"/>
      <c r="DN156" s="187"/>
      <c r="DO156" s="187"/>
      <c r="DP156" s="187"/>
      <c r="DQ156" s="187"/>
      <c r="DR156" s="187"/>
      <c r="DS156" s="187"/>
      <c r="DT156" s="187"/>
      <c r="DU156" s="187"/>
      <c r="DV156" s="187"/>
      <c r="DW156" s="187"/>
      <c r="DX156" s="187"/>
      <c r="DY156" s="187"/>
      <c r="DZ156" s="187"/>
      <c r="EA156" s="187"/>
      <c r="EB156" s="187"/>
      <c r="EC156" s="187"/>
      <c r="ED156" s="187"/>
      <c r="EE156" s="187"/>
      <c r="EF156" s="187"/>
      <c r="EG156" s="187"/>
      <c r="EH156" s="187"/>
      <c r="EI156" s="187"/>
      <c r="EJ156" s="187"/>
      <c r="EK156" s="187"/>
      <c r="EL156" s="187"/>
      <c r="EM156" s="187"/>
      <c r="EN156" s="187"/>
      <c r="EO156" s="187"/>
    </row>
    <row r="157" spans="2:145" ht="13.9" customHeight="1" x14ac:dyDescent="0.2"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  <c r="AA157" s="187"/>
      <c r="AB157" s="187"/>
      <c r="AC157" s="187"/>
      <c r="AD157" s="187"/>
      <c r="AE157" s="187"/>
      <c r="AF157" s="187"/>
      <c r="AG157" s="187"/>
      <c r="AH157" s="187"/>
      <c r="AI157" s="187"/>
      <c r="AJ157" s="187"/>
      <c r="AK157" s="187"/>
      <c r="AL157" s="187"/>
      <c r="AM157" s="187"/>
      <c r="AN157" s="187"/>
      <c r="AO157" s="187"/>
      <c r="AP157" s="187"/>
      <c r="AQ157" s="187"/>
      <c r="AR157" s="187"/>
      <c r="AS157" s="187"/>
      <c r="AT157" s="187"/>
      <c r="AU157" s="187"/>
      <c r="AV157" s="187"/>
      <c r="AW157" s="187"/>
      <c r="AX157" s="187"/>
      <c r="AY157" s="187"/>
      <c r="AZ157" s="187"/>
      <c r="BA157" s="187"/>
      <c r="BB157" s="187"/>
      <c r="BC157" s="187"/>
      <c r="BD157" s="187"/>
      <c r="BE157" s="187"/>
      <c r="BF157" s="187"/>
      <c r="BG157" s="187"/>
      <c r="BH157" s="187"/>
      <c r="BI157" s="187"/>
      <c r="BJ157" s="187"/>
      <c r="BK157" s="187"/>
      <c r="BL157" s="187"/>
      <c r="BM157" s="187"/>
      <c r="BN157" s="187"/>
      <c r="BO157" s="187"/>
      <c r="BP157" s="187"/>
      <c r="BQ157" s="187"/>
      <c r="BR157" s="187"/>
      <c r="BS157" s="187"/>
      <c r="BT157" s="187"/>
      <c r="BU157" s="187"/>
      <c r="BV157" s="187"/>
      <c r="BW157" s="187"/>
      <c r="BX157" s="187"/>
      <c r="BY157" s="187"/>
      <c r="BZ157" s="187"/>
      <c r="CA157" s="187"/>
      <c r="CB157" s="187"/>
      <c r="CC157" s="187"/>
      <c r="CD157" s="187"/>
      <c r="CE157" s="187"/>
      <c r="CF157" s="187"/>
      <c r="CG157" s="187"/>
      <c r="CH157" s="187"/>
      <c r="CI157" s="187"/>
      <c r="CJ157" s="187"/>
      <c r="CK157" s="187"/>
      <c r="CL157" s="187"/>
      <c r="CM157" s="187"/>
      <c r="CN157" s="187"/>
      <c r="CO157" s="187"/>
      <c r="CP157" s="187"/>
      <c r="CQ157" s="187"/>
      <c r="CR157" s="187"/>
      <c r="CS157" s="187"/>
      <c r="CT157" s="187"/>
      <c r="CU157" s="187"/>
      <c r="CV157" s="187"/>
      <c r="CW157" s="187"/>
      <c r="CX157" s="187"/>
      <c r="CY157" s="187"/>
      <c r="CZ157" s="187"/>
      <c r="DA157" s="187"/>
      <c r="DB157" s="187"/>
      <c r="DC157" s="187"/>
      <c r="DD157" s="187"/>
      <c r="DE157" s="187"/>
      <c r="DF157" s="187"/>
      <c r="DG157" s="187"/>
      <c r="DH157" s="187"/>
      <c r="DI157" s="187"/>
      <c r="DJ157" s="187"/>
      <c r="DK157" s="187"/>
      <c r="DL157" s="187"/>
      <c r="DM157" s="187"/>
      <c r="DN157" s="187"/>
      <c r="DO157" s="187"/>
      <c r="DP157" s="187"/>
      <c r="DQ157" s="187"/>
      <c r="DR157" s="187"/>
      <c r="DS157" s="187"/>
      <c r="DT157" s="187"/>
      <c r="DU157" s="187"/>
      <c r="DV157" s="187"/>
      <c r="DW157" s="187"/>
      <c r="DX157" s="187"/>
      <c r="DY157" s="187"/>
      <c r="DZ157" s="187"/>
      <c r="EA157" s="187"/>
      <c r="EB157" s="187"/>
      <c r="EC157" s="187"/>
      <c r="ED157" s="187"/>
      <c r="EE157" s="187"/>
      <c r="EF157" s="187"/>
      <c r="EG157" s="187"/>
      <c r="EH157" s="187"/>
      <c r="EI157" s="187"/>
      <c r="EJ157" s="187"/>
      <c r="EK157" s="187"/>
      <c r="EL157" s="187"/>
      <c r="EM157" s="187"/>
      <c r="EN157" s="187"/>
      <c r="EO157" s="187"/>
    </row>
    <row r="158" spans="2:145" ht="13.9" customHeight="1" x14ac:dyDescent="0.2"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  <c r="AA158" s="187"/>
      <c r="AB158" s="187"/>
      <c r="AC158" s="187"/>
      <c r="AD158" s="187"/>
      <c r="AE158" s="187"/>
      <c r="AF158" s="187"/>
      <c r="AG158" s="187"/>
      <c r="AH158" s="187"/>
      <c r="AI158" s="187"/>
      <c r="AJ158" s="187"/>
      <c r="AK158" s="187"/>
      <c r="AL158" s="187"/>
      <c r="AM158" s="187"/>
      <c r="AN158" s="187"/>
      <c r="AO158" s="187"/>
      <c r="AP158" s="187"/>
      <c r="AQ158" s="187"/>
      <c r="AR158" s="187"/>
      <c r="AS158" s="187"/>
      <c r="AT158" s="187"/>
      <c r="AU158" s="187"/>
      <c r="AV158" s="187"/>
      <c r="AW158" s="187"/>
      <c r="AX158" s="187"/>
      <c r="AY158" s="187"/>
      <c r="AZ158" s="187"/>
      <c r="BA158" s="187"/>
      <c r="BB158" s="187"/>
      <c r="BC158" s="187"/>
      <c r="BD158" s="187"/>
      <c r="BE158" s="187"/>
      <c r="BF158" s="187"/>
      <c r="BG158" s="187"/>
      <c r="BH158" s="187"/>
      <c r="BI158" s="187"/>
      <c r="BJ158" s="187"/>
      <c r="BK158" s="187"/>
      <c r="BL158" s="187"/>
      <c r="BM158" s="187"/>
      <c r="BN158" s="187"/>
      <c r="BO158" s="187"/>
      <c r="BP158" s="187"/>
      <c r="BQ158" s="187"/>
      <c r="BR158" s="187"/>
      <c r="BS158" s="187"/>
      <c r="BT158" s="187"/>
      <c r="BU158" s="187"/>
      <c r="BV158" s="187"/>
      <c r="BW158" s="187"/>
      <c r="BX158" s="187"/>
      <c r="BY158" s="187"/>
      <c r="BZ158" s="187"/>
      <c r="CA158" s="187"/>
      <c r="CB158" s="187"/>
      <c r="CC158" s="187"/>
      <c r="CD158" s="187"/>
      <c r="CE158" s="187"/>
      <c r="CF158" s="187"/>
      <c r="CG158" s="187"/>
      <c r="CH158" s="187"/>
      <c r="CI158" s="187"/>
      <c r="CJ158" s="187"/>
      <c r="CK158" s="187"/>
      <c r="CL158" s="187"/>
      <c r="CM158" s="187"/>
      <c r="CN158" s="187"/>
      <c r="CO158" s="187"/>
      <c r="CP158" s="187"/>
      <c r="CQ158" s="187"/>
      <c r="CR158" s="187"/>
      <c r="CS158" s="187"/>
      <c r="CT158" s="187"/>
      <c r="CU158" s="187"/>
      <c r="CV158" s="187"/>
      <c r="CW158" s="187"/>
      <c r="CX158" s="187"/>
      <c r="CY158" s="187"/>
      <c r="CZ158" s="187"/>
      <c r="DA158" s="187"/>
      <c r="DB158" s="187"/>
      <c r="DC158" s="187"/>
      <c r="DD158" s="187"/>
      <c r="DE158" s="187"/>
      <c r="DF158" s="187"/>
      <c r="DG158" s="187"/>
      <c r="DH158" s="187"/>
      <c r="DI158" s="187"/>
      <c r="DJ158" s="187"/>
      <c r="DK158" s="187"/>
      <c r="DL158" s="187"/>
      <c r="DM158" s="187"/>
      <c r="DN158" s="187"/>
      <c r="DO158" s="187"/>
      <c r="DP158" s="187"/>
      <c r="DQ158" s="187"/>
      <c r="DR158" s="187"/>
      <c r="DS158" s="187"/>
      <c r="DT158" s="187"/>
      <c r="DU158" s="187"/>
      <c r="DV158" s="187"/>
      <c r="DW158" s="187"/>
      <c r="DX158" s="187"/>
      <c r="DY158" s="187"/>
      <c r="DZ158" s="187"/>
      <c r="EA158" s="187"/>
      <c r="EB158" s="187"/>
      <c r="EC158" s="187"/>
      <c r="ED158" s="187"/>
      <c r="EE158" s="187"/>
      <c r="EF158" s="187"/>
      <c r="EG158" s="187"/>
      <c r="EH158" s="187"/>
      <c r="EI158" s="187"/>
      <c r="EJ158" s="187"/>
      <c r="EK158" s="187"/>
      <c r="EL158" s="187"/>
      <c r="EM158" s="187"/>
      <c r="EN158" s="187"/>
      <c r="EO158" s="187"/>
    </row>
    <row r="159" spans="2:145" ht="13.9" customHeight="1" x14ac:dyDescent="0.2"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  <c r="AA159" s="187"/>
      <c r="AB159" s="187"/>
      <c r="AC159" s="187"/>
      <c r="AD159" s="187"/>
      <c r="AE159" s="187"/>
      <c r="AF159" s="187"/>
      <c r="AG159" s="187"/>
      <c r="AH159" s="187"/>
      <c r="AI159" s="187"/>
      <c r="AJ159" s="187"/>
      <c r="AK159" s="187"/>
      <c r="AL159" s="187"/>
      <c r="AM159" s="187"/>
      <c r="AN159" s="187"/>
      <c r="AO159" s="187"/>
      <c r="AP159" s="187"/>
      <c r="AQ159" s="187"/>
      <c r="AR159" s="187"/>
      <c r="AS159" s="187"/>
      <c r="AT159" s="187"/>
      <c r="AU159" s="187"/>
      <c r="AV159" s="187"/>
      <c r="AW159" s="187"/>
      <c r="AX159" s="187"/>
      <c r="AY159" s="187"/>
      <c r="AZ159" s="187"/>
      <c r="BA159" s="187"/>
      <c r="BB159" s="187"/>
      <c r="BC159" s="187"/>
      <c r="BD159" s="187"/>
      <c r="BE159" s="187"/>
      <c r="BF159" s="187"/>
      <c r="BG159" s="187"/>
      <c r="BH159" s="187"/>
      <c r="BI159" s="187"/>
      <c r="BJ159" s="187"/>
      <c r="BK159" s="187"/>
      <c r="BL159" s="187"/>
      <c r="BM159" s="187"/>
      <c r="BN159" s="187"/>
      <c r="BO159" s="187"/>
      <c r="BP159" s="187"/>
      <c r="BQ159" s="187"/>
      <c r="BR159" s="187"/>
      <c r="BS159" s="187"/>
      <c r="BT159" s="187"/>
      <c r="BU159" s="187"/>
      <c r="BV159" s="187"/>
      <c r="BW159" s="187"/>
      <c r="BX159" s="187"/>
      <c r="BY159" s="187"/>
      <c r="BZ159" s="187"/>
      <c r="CA159" s="187"/>
      <c r="CB159" s="187"/>
      <c r="CC159" s="187"/>
      <c r="CD159" s="187"/>
      <c r="CE159" s="187"/>
      <c r="CF159" s="187"/>
      <c r="CG159" s="187"/>
      <c r="CH159" s="187"/>
      <c r="CI159" s="187"/>
      <c r="CJ159" s="187"/>
      <c r="CK159" s="187"/>
      <c r="CL159" s="187"/>
      <c r="CM159" s="187"/>
      <c r="CN159" s="187"/>
      <c r="CO159" s="187"/>
      <c r="CP159" s="187"/>
      <c r="CQ159" s="187"/>
      <c r="CR159" s="187"/>
      <c r="CS159" s="187"/>
      <c r="CT159" s="187"/>
      <c r="CU159" s="187"/>
      <c r="CV159" s="187"/>
      <c r="CW159" s="187"/>
      <c r="CX159" s="187"/>
      <c r="CY159" s="187"/>
      <c r="CZ159" s="187"/>
      <c r="DA159" s="187"/>
      <c r="DB159" s="187"/>
      <c r="DC159" s="187"/>
      <c r="DD159" s="187"/>
      <c r="DE159" s="187"/>
      <c r="DF159" s="187"/>
      <c r="DG159" s="187"/>
      <c r="DH159" s="187"/>
      <c r="DI159" s="187"/>
      <c r="DJ159" s="187"/>
      <c r="DK159" s="187"/>
      <c r="DL159" s="187"/>
      <c r="DM159" s="187"/>
      <c r="DN159" s="187"/>
      <c r="DO159" s="187"/>
      <c r="DP159" s="187"/>
      <c r="DQ159" s="187"/>
      <c r="DR159" s="187"/>
      <c r="DS159" s="187"/>
      <c r="DT159" s="187"/>
      <c r="DU159" s="187"/>
      <c r="DV159" s="187"/>
      <c r="DW159" s="187"/>
      <c r="DX159" s="187"/>
      <c r="DY159" s="187"/>
      <c r="DZ159" s="187"/>
      <c r="EA159" s="187"/>
      <c r="EB159" s="187"/>
      <c r="EC159" s="187"/>
      <c r="ED159" s="187"/>
      <c r="EE159" s="187"/>
      <c r="EF159" s="187"/>
      <c r="EG159" s="187"/>
      <c r="EH159" s="187"/>
      <c r="EI159" s="187"/>
      <c r="EJ159" s="187"/>
      <c r="EK159" s="187"/>
      <c r="EL159" s="187"/>
      <c r="EM159" s="187"/>
      <c r="EN159" s="187"/>
      <c r="EO159" s="187"/>
    </row>
    <row r="160" spans="2:145" ht="13.9" customHeight="1" x14ac:dyDescent="0.2"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  <c r="AA160" s="187"/>
      <c r="AB160" s="187"/>
      <c r="AC160" s="187"/>
      <c r="AD160" s="187"/>
      <c r="AE160" s="187"/>
      <c r="AF160" s="187"/>
      <c r="AG160" s="187"/>
      <c r="AH160" s="187"/>
      <c r="AI160" s="187"/>
      <c r="AJ160" s="187"/>
      <c r="AK160" s="187"/>
      <c r="AL160" s="187"/>
      <c r="AM160" s="187"/>
      <c r="AN160" s="187"/>
      <c r="AO160" s="187"/>
      <c r="AP160" s="187"/>
      <c r="AQ160" s="187"/>
      <c r="AR160" s="187"/>
      <c r="AS160" s="187"/>
      <c r="AT160" s="187"/>
      <c r="AU160" s="187"/>
      <c r="AV160" s="187"/>
      <c r="AW160" s="187"/>
      <c r="AX160" s="187"/>
      <c r="AY160" s="187"/>
      <c r="AZ160" s="187"/>
      <c r="BA160" s="187"/>
      <c r="BB160" s="187"/>
      <c r="BC160" s="187"/>
      <c r="BD160" s="187"/>
      <c r="BE160" s="187"/>
      <c r="BF160" s="187"/>
      <c r="BG160" s="187"/>
      <c r="BH160" s="187"/>
      <c r="BI160" s="187"/>
      <c r="BJ160" s="187"/>
      <c r="BK160" s="187"/>
      <c r="BL160" s="187"/>
      <c r="BM160" s="187"/>
      <c r="BN160" s="187"/>
      <c r="BO160" s="187"/>
      <c r="BP160" s="187"/>
      <c r="BQ160" s="187"/>
      <c r="BR160" s="187"/>
      <c r="BS160" s="187"/>
      <c r="BT160" s="187"/>
      <c r="BU160" s="187"/>
      <c r="BV160" s="187"/>
      <c r="BW160" s="187"/>
      <c r="BX160" s="187"/>
      <c r="BY160" s="187"/>
      <c r="BZ160" s="187"/>
      <c r="CA160" s="187"/>
      <c r="CB160" s="187"/>
      <c r="CC160" s="187"/>
      <c r="CD160" s="187"/>
      <c r="CE160" s="187"/>
      <c r="CF160" s="187"/>
      <c r="CG160" s="187"/>
      <c r="CH160" s="187"/>
      <c r="CI160" s="187"/>
      <c r="CJ160" s="187"/>
      <c r="CK160" s="187"/>
      <c r="CL160" s="187"/>
      <c r="CM160" s="187"/>
      <c r="CN160" s="187"/>
      <c r="CO160" s="187"/>
      <c r="CP160" s="187"/>
      <c r="CQ160" s="187"/>
      <c r="CR160" s="187"/>
      <c r="CS160" s="187"/>
      <c r="CT160" s="187"/>
      <c r="CU160" s="187"/>
      <c r="CV160" s="187"/>
      <c r="CW160" s="187"/>
      <c r="CX160" s="187"/>
      <c r="CY160" s="187"/>
      <c r="CZ160" s="187"/>
      <c r="DA160" s="187"/>
      <c r="DB160" s="187"/>
      <c r="DC160" s="187"/>
      <c r="DD160" s="187"/>
      <c r="DE160" s="187"/>
      <c r="DF160" s="187"/>
      <c r="DG160" s="187"/>
      <c r="DH160" s="187"/>
      <c r="DI160" s="187"/>
      <c r="DJ160" s="187"/>
      <c r="DK160" s="187"/>
      <c r="DL160" s="187"/>
      <c r="DM160" s="187"/>
      <c r="DN160" s="187"/>
      <c r="DO160" s="187"/>
      <c r="DP160" s="187"/>
      <c r="DQ160" s="187"/>
      <c r="DR160" s="187"/>
      <c r="DS160" s="187"/>
      <c r="DT160" s="187"/>
      <c r="DU160" s="187"/>
      <c r="DV160" s="187"/>
      <c r="DW160" s="187"/>
      <c r="DX160" s="187"/>
      <c r="DY160" s="187"/>
      <c r="DZ160" s="187"/>
      <c r="EA160" s="187"/>
      <c r="EB160" s="187"/>
      <c r="EC160" s="187"/>
      <c r="ED160" s="187"/>
      <c r="EE160" s="187"/>
      <c r="EF160" s="187"/>
      <c r="EG160" s="187"/>
      <c r="EH160" s="187"/>
      <c r="EI160" s="187"/>
      <c r="EJ160" s="187"/>
      <c r="EK160" s="187"/>
      <c r="EL160" s="187"/>
      <c r="EM160" s="187"/>
      <c r="EN160" s="187"/>
      <c r="EO160" s="187"/>
    </row>
    <row r="161" spans="2:145" ht="13.9" customHeight="1" x14ac:dyDescent="0.2"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  <c r="AA161" s="187"/>
      <c r="AB161" s="187"/>
      <c r="AC161" s="187"/>
      <c r="AD161" s="187"/>
      <c r="AE161" s="187"/>
      <c r="AF161" s="187"/>
      <c r="AG161" s="187"/>
      <c r="AH161" s="187"/>
      <c r="AI161" s="187"/>
      <c r="AJ161" s="187"/>
      <c r="AK161" s="187"/>
      <c r="AL161" s="187"/>
      <c r="AM161" s="187"/>
      <c r="AN161" s="187"/>
      <c r="AO161" s="187"/>
      <c r="AP161" s="187"/>
      <c r="AQ161" s="187"/>
      <c r="AR161" s="187"/>
      <c r="AS161" s="187"/>
      <c r="AT161" s="187"/>
      <c r="AU161" s="187"/>
      <c r="AV161" s="187"/>
      <c r="AW161" s="187"/>
      <c r="AX161" s="187"/>
      <c r="AY161" s="187"/>
      <c r="AZ161" s="187"/>
      <c r="BA161" s="187"/>
      <c r="BB161" s="187"/>
      <c r="BC161" s="187"/>
      <c r="BD161" s="187"/>
      <c r="BE161" s="187"/>
      <c r="BF161" s="187"/>
      <c r="BG161" s="187"/>
      <c r="BH161" s="187"/>
      <c r="BI161" s="187"/>
      <c r="BJ161" s="187"/>
      <c r="BK161" s="187"/>
      <c r="BL161" s="187"/>
      <c r="BM161" s="187"/>
      <c r="BN161" s="187"/>
      <c r="BO161" s="187"/>
      <c r="BP161" s="187"/>
      <c r="BQ161" s="187"/>
      <c r="BR161" s="187"/>
      <c r="BS161" s="187"/>
      <c r="BT161" s="187"/>
      <c r="BU161" s="187"/>
      <c r="BV161" s="187"/>
      <c r="BW161" s="187"/>
      <c r="BX161" s="187"/>
      <c r="BY161" s="187"/>
      <c r="BZ161" s="187"/>
      <c r="CA161" s="187"/>
      <c r="CB161" s="187"/>
      <c r="CC161" s="187"/>
      <c r="CD161" s="187"/>
      <c r="CE161" s="187"/>
      <c r="CF161" s="187"/>
      <c r="CG161" s="187"/>
      <c r="CH161" s="187"/>
      <c r="CI161" s="187"/>
      <c r="CJ161" s="187"/>
      <c r="CK161" s="187"/>
      <c r="CL161" s="187"/>
      <c r="CM161" s="187"/>
      <c r="CN161" s="187"/>
      <c r="CO161" s="187"/>
      <c r="CP161" s="187"/>
      <c r="CQ161" s="187"/>
      <c r="CR161" s="187"/>
      <c r="CS161" s="187"/>
      <c r="CT161" s="187"/>
      <c r="CU161" s="187"/>
      <c r="CV161" s="187"/>
      <c r="CW161" s="187"/>
      <c r="CX161" s="187"/>
      <c r="CY161" s="187"/>
      <c r="CZ161" s="187"/>
      <c r="DA161" s="187"/>
      <c r="DB161" s="187"/>
      <c r="DC161" s="187"/>
      <c r="DD161" s="187"/>
      <c r="DE161" s="187"/>
      <c r="DF161" s="187"/>
      <c r="DG161" s="187"/>
      <c r="DH161" s="187"/>
      <c r="DI161" s="187"/>
      <c r="DJ161" s="187"/>
      <c r="DK161" s="187"/>
      <c r="DL161" s="187"/>
      <c r="DM161" s="187"/>
      <c r="DN161" s="187"/>
      <c r="DO161" s="187"/>
      <c r="DP161" s="187"/>
      <c r="DQ161" s="187"/>
      <c r="DR161" s="187"/>
      <c r="DS161" s="187"/>
      <c r="DT161" s="187"/>
      <c r="DU161" s="187"/>
      <c r="DV161" s="187"/>
      <c r="DW161" s="187"/>
      <c r="DX161" s="187"/>
      <c r="DY161" s="187"/>
      <c r="DZ161" s="187"/>
      <c r="EA161" s="187"/>
      <c r="EB161" s="187"/>
      <c r="EC161" s="187"/>
      <c r="ED161" s="187"/>
      <c r="EE161" s="187"/>
      <c r="EF161" s="187"/>
      <c r="EG161" s="187"/>
      <c r="EH161" s="187"/>
      <c r="EI161" s="187"/>
      <c r="EJ161" s="187"/>
      <c r="EK161" s="187"/>
      <c r="EL161" s="187"/>
      <c r="EM161" s="187"/>
      <c r="EN161" s="187"/>
      <c r="EO161" s="187"/>
    </row>
    <row r="162" spans="2:145" ht="13.9" customHeight="1" x14ac:dyDescent="0.2"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  <c r="AA162" s="187"/>
      <c r="AB162" s="187"/>
      <c r="AC162" s="187"/>
      <c r="AD162" s="187"/>
      <c r="AE162" s="187"/>
      <c r="AF162" s="187"/>
      <c r="AG162" s="187"/>
      <c r="AH162" s="187"/>
      <c r="AI162" s="187"/>
      <c r="AJ162" s="187"/>
      <c r="AK162" s="187"/>
      <c r="AL162" s="187"/>
      <c r="AM162" s="187"/>
      <c r="AN162" s="187"/>
      <c r="AO162" s="187"/>
      <c r="AP162" s="187"/>
      <c r="AQ162" s="187"/>
      <c r="AR162" s="187"/>
      <c r="AS162" s="187"/>
      <c r="AT162" s="187"/>
      <c r="AU162" s="187"/>
      <c r="AV162" s="187"/>
      <c r="AW162" s="187"/>
      <c r="AX162" s="187"/>
      <c r="AY162" s="187"/>
      <c r="AZ162" s="187"/>
      <c r="BA162" s="187"/>
      <c r="BB162" s="187"/>
      <c r="BC162" s="187"/>
      <c r="BD162" s="187"/>
      <c r="BE162" s="187"/>
      <c r="BF162" s="187"/>
      <c r="BG162" s="187"/>
      <c r="BH162" s="187"/>
      <c r="BI162" s="187"/>
      <c r="BJ162" s="187"/>
      <c r="BK162" s="187"/>
      <c r="BL162" s="187"/>
      <c r="BM162" s="187"/>
      <c r="BN162" s="187"/>
      <c r="BO162" s="187"/>
      <c r="BP162" s="187"/>
      <c r="BQ162" s="187"/>
      <c r="BR162" s="187"/>
      <c r="BS162" s="187"/>
      <c r="BT162" s="187"/>
      <c r="BU162" s="187"/>
      <c r="BV162" s="187"/>
      <c r="BW162" s="187"/>
      <c r="BX162" s="187"/>
      <c r="BY162" s="187"/>
      <c r="BZ162" s="187"/>
      <c r="CA162" s="187"/>
      <c r="CB162" s="187"/>
      <c r="CC162" s="187"/>
      <c r="CD162" s="187"/>
      <c r="CE162" s="187"/>
      <c r="CF162" s="187"/>
      <c r="CG162" s="187"/>
      <c r="CH162" s="187"/>
      <c r="CI162" s="187"/>
      <c r="CJ162" s="187"/>
      <c r="CK162" s="187"/>
      <c r="CL162" s="187"/>
      <c r="CM162" s="187"/>
      <c r="CN162" s="187"/>
      <c r="CO162" s="187"/>
      <c r="CP162" s="187"/>
      <c r="CQ162" s="187"/>
      <c r="CR162" s="187"/>
      <c r="CS162" s="187"/>
      <c r="CT162" s="187"/>
      <c r="CU162" s="187"/>
      <c r="CV162" s="187"/>
      <c r="CW162" s="187"/>
      <c r="CX162" s="187"/>
      <c r="CY162" s="187"/>
      <c r="CZ162" s="187"/>
      <c r="DA162" s="187"/>
      <c r="DB162" s="187"/>
      <c r="DC162" s="187"/>
      <c r="DD162" s="187"/>
      <c r="DE162" s="187"/>
      <c r="DF162" s="187"/>
      <c r="DG162" s="187"/>
      <c r="DH162" s="187"/>
      <c r="DI162" s="187"/>
      <c r="DJ162" s="187"/>
      <c r="DK162" s="187"/>
      <c r="DL162" s="187"/>
      <c r="DM162" s="187"/>
      <c r="DN162" s="187"/>
      <c r="DO162" s="187"/>
      <c r="DP162" s="187"/>
      <c r="DQ162" s="187"/>
      <c r="DR162" s="187"/>
      <c r="DS162" s="187"/>
      <c r="DT162" s="187"/>
      <c r="DU162" s="187"/>
      <c r="DV162" s="187"/>
      <c r="DW162" s="187"/>
      <c r="DX162" s="187"/>
      <c r="DY162" s="187"/>
      <c r="DZ162" s="187"/>
      <c r="EA162" s="187"/>
      <c r="EB162" s="187"/>
      <c r="EC162" s="187"/>
      <c r="ED162" s="187"/>
      <c r="EE162" s="187"/>
      <c r="EF162" s="187"/>
      <c r="EG162" s="187"/>
      <c r="EH162" s="187"/>
      <c r="EI162" s="187"/>
      <c r="EJ162" s="187"/>
      <c r="EK162" s="187"/>
      <c r="EL162" s="187"/>
      <c r="EM162" s="187"/>
      <c r="EN162" s="187"/>
      <c r="EO162" s="187"/>
    </row>
    <row r="163" spans="2:145" ht="13.9" customHeight="1" x14ac:dyDescent="0.2"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  <c r="AA163" s="187"/>
      <c r="AB163" s="187"/>
      <c r="AC163" s="187"/>
      <c r="AD163" s="187"/>
      <c r="AE163" s="187"/>
      <c r="AF163" s="187"/>
      <c r="AG163" s="187"/>
      <c r="AH163" s="187"/>
      <c r="AI163" s="187"/>
      <c r="AJ163" s="187"/>
      <c r="AK163" s="187"/>
      <c r="AL163" s="187"/>
      <c r="AM163" s="187"/>
      <c r="AN163" s="187"/>
      <c r="AO163" s="187"/>
      <c r="AP163" s="187"/>
      <c r="AQ163" s="187"/>
      <c r="AR163" s="187"/>
      <c r="AS163" s="187"/>
      <c r="AT163" s="187"/>
      <c r="AU163" s="187"/>
      <c r="AV163" s="187"/>
      <c r="AW163" s="187"/>
      <c r="AX163" s="187"/>
      <c r="AY163" s="187"/>
      <c r="AZ163" s="187"/>
      <c r="BA163" s="187"/>
      <c r="BB163" s="187"/>
      <c r="BC163" s="187"/>
      <c r="BD163" s="187"/>
      <c r="BE163" s="187"/>
      <c r="BF163" s="187"/>
      <c r="BG163" s="187"/>
      <c r="BH163" s="187"/>
      <c r="BI163" s="187"/>
      <c r="BJ163" s="187"/>
      <c r="BK163" s="187"/>
      <c r="BL163" s="187"/>
      <c r="BM163" s="187"/>
      <c r="BN163" s="187"/>
      <c r="BO163" s="187"/>
      <c r="BP163" s="187"/>
      <c r="BQ163" s="187"/>
      <c r="BR163" s="187"/>
      <c r="BS163" s="187"/>
      <c r="BT163" s="187"/>
      <c r="BU163" s="187"/>
      <c r="BV163" s="187"/>
      <c r="BW163" s="187"/>
      <c r="BX163" s="187"/>
      <c r="BY163" s="187"/>
      <c r="BZ163" s="187"/>
      <c r="CA163" s="187"/>
      <c r="CB163" s="187"/>
      <c r="CC163" s="187"/>
      <c r="CD163" s="187"/>
      <c r="CE163" s="187"/>
      <c r="CF163" s="187"/>
      <c r="CG163" s="187"/>
      <c r="CH163" s="187"/>
      <c r="CI163" s="187"/>
      <c r="CJ163" s="187"/>
      <c r="CK163" s="187"/>
      <c r="CL163" s="187"/>
      <c r="CM163" s="187"/>
      <c r="CN163" s="187"/>
      <c r="CO163" s="187"/>
      <c r="CP163" s="187"/>
      <c r="CQ163" s="187"/>
      <c r="CR163" s="187"/>
      <c r="CS163" s="187"/>
      <c r="CT163" s="187"/>
      <c r="CU163" s="187"/>
      <c r="CV163" s="187"/>
      <c r="CW163" s="187"/>
      <c r="CX163" s="187"/>
      <c r="CY163" s="187"/>
      <c r="CZ163" s="187"/>
      <c r="DA163" s="187"/>
      <c r="DB163" s="187"/>
      <c r="DC163" s="187"/>
      <c r="DD163" s="187"/>
      <c r="DE163" s="187"/>
      <c r="DF163" s="187"/>
      <c r="DG163" s="187"/>
      <c r="DH163" s="187"/>
      <c r="DI163" s="187"/>
      <c r="DJ163" s="187"/>
      <c r="DK163" s="187"/>
      <c r="DL163" s="187"/>
      <c r="DM163" s="187"/>
      <c r="DN163" s="187"/>
      <c r="DO163" s="187"/>
      <c r="DP163" s="187"/>
      <c r="DQ163" s="187"/>
      <c r="DR163" s="187"/>
      <c r="DS163" s="187"/>
      <c r="DT163" s="187"/>
      <c r="DU163" s="187"/>
      <c r="DV163" s="187"/>
      <c r="DW163" s="187"/>
      <c r="DX163" s="187"/>
      <c r="DY163" s="187"/>
      <c r="DZ163" s="187"/>
      <c r="EA163" s="187"/>
      <c r="EB163" s="187"/>
      <c r="EC163" s="187"/>
      <c r="ED163" s="187"/>
      <c r="EE163" s="187"/>
      <c r="EF163" s="187"/>
      <c r="EG163" s="187"/>
      <c r="EH163" s="187"/>
      <c r="EI163" s="187"/>
      <c r="EJ163" s="187"/>
      <c r="EK163" s="187"/>
      <c r="EL163" s="187"/>
      <c r="EM163" s="187"/>
      <c r="EN163" s="187"/>
      <c r="EO163" s="187"/>
    </row>
    <row r="164" spans="2:145" ht="13.9" customHeight="1" x14ac:dyDescent="0.2"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  <c r="AB164" s="187"/>
      <c r="AC164" s="187"/>
      <c r="AD164" s="187"/>
      <c r="AE164" s="187"/>
      <c r="AF164" s="187"/>
      <c r="AG164" s="187"/>
      <c r="AH164" s="187"/>
      <c r="AI164" s="187"/>
      <c r="AJ164" s="187"/>
      <c r="AK164" s="187"/>
      <c r="AL164" s="187"/>
      <c r="AM164" s="187"/>
      <c r="AN164" s="187"/>
      <c r="AO164" s="187"/>
      <c r="AP164" s="187"/>
      <c r="AQ164" s="187"/>
      <c r="AR164" s="187"/>
      <c r="AS164" s="187"/>
      <c r="AT164" s="187"/>
      <c r="AU164" s="187"/>
      <c r="AV164" s="187"/>
      <c r="AW164" s="187"/>
      <c r="AX164" s="187"/>
      <c r="AY164" s="187"/>
      <c r="AZ164" s="187"/>
      <c r="BA164" s="187"/>
      <c r="BB164" s="187"/>
      <c r="BC164" s="187"/>
      <c r="BD164" s="187"/>
      <c r="BE164" s="187"/>
      <c r="BF164" s="187"/>
      <c r="BG164" s="187"/>
      <c r="BH164" s="187"/>
      <c r="BI164" s="187"/>
      <c r="BJ164" s="187"/>
      <c r="BK164" s="187"/>
      <c r="BL164" s="187"/>
      <c r="BM164" s="187"/>
      <c r="BN164" s="187"/>
      <c r="BO164" s="187"/>
      <c r="BP164" s="187"/>
      <c r="BQ164" s="187"/>
      <c r="BR164" s="187"/>
      <c r="BS164" s="187"/>
      <c r="BT164" s="187"/>
      <c r="BU164" s="187"/>
      <c r="BV164" s="187"/>
      <c r="BW164" s="187"/>
      <c r="BX164" s="187"/>
      <c r="BY164" s="187"/>
      <c r="BZ164" s="187"/>
      <c r="CA164" s="187"/>
      <c r="CB164" s="187"/>
      <c r="CC164" s="187"/>
      <c r="CD164" s="187"/>
      <c r="CE164" s="187"/>
      <c r="CF164" s="187"/>
      <c r="CG164" s="187"/>
      <c r="CH164" s="187"/>
      <c r="CI164" s="187"/>
      <c r="CJ164" s="187"/>
      <c r="CK164" s="187"/>
      <c r="CL164" s="187"/>
      <c r="CM164" s="187"/>
      <c r="CN164" s="187"/>
      <c r="CO164" s="187"/>
      <c r="CP164" s="187"/>
      <c r="CQ164" s="187"/>
      <c r="CR164" s="187"/>
      <c r="CS164" s="187"/>
      <c r="CT164" s="187"/>
      <c r="CU164" s="187"/>
      <c r="CV164" s="187"/>
      <c r="CW164" s="187"/>
      <c r="CX164" s="187"/>
      <c r="CY164" s="187"/>
      <c r="CZ164" s="187"/>
      <c r="DA164" s="187"/>
      <c r="DB164" s="187"/>
      <c r="DC164" s="187"/>
      <c r="DD164" s="187"/>
      <c r="DE164" s="187"/>
      <c r="DF164" s="187"/>
      <c r="DG164" s="187"/>
      <c r="DH164" s="187"/>
      <c r="DI164" s="187"/>
      <c r="DJ164" s="187"/>
      <c r="DK164" s="187"/>
      <c r="DL164" s="187"/>
      <c r="DM164" s="187"/>
      <c r="DN164" s="187"/>
      <c r="DO164" s="187"/>
      <c r="DP164" s="187"/>
      <c r="DQ164" s="187"/>
      <c r="DR164" s="187"/>
      <c r="DS164" s="187"/>
      <c r="DT164" s="187"/>
      <c r="DU164" s="187"/>
      <c r="DV164" s="187"/>
      <c r="DW164" s="187"/>
      <c r="DX164" s="187"/>
      <c r="DY164" s="187"/>
      <c r="DZ164" s="187"/>
      <c r="EA164" s="187"/>
      <c r="EB164" s="187"/>
      <c r="EC164" s="187"/>
      <c r="ED164" s="187"/>
      <c r="EE164" s="187"/>
      <c r="EF164" s="187"/>
      <c r="EG164" s="187"/>
      <c r="EH164" s="187"/>
      <c r="EI164" s="187"/>
      <c r="EJ164" s="187"/>
      <c r="EK164" s="187"/>
      <c r="EL164" s="187"/>
      <c r="EM164" s="187"/>
      <c r="EN164" s="187"/>
      <c r="EO164" s="187"/>
    </row>
    <row r="165" spans="2:145" ht="13.9" customHeight="1" x14ac:dyDescent="0.2"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  <c r="AA165" s="187"/>
      <c r="AB165" s="187"/>
      <c r="AC165" s="187"/>
      <c r="AD165" s="187"/>
      <c r="AE165" s="187"/>
      <c r="AF165" s="187"/>
      <c r="AG165" s="187"/>
      <c r="AH165" s="187"/>
      <c r="AI165" s="187"/>
      <c r="AJ165" s="187"/>
      <c r="AK165" s="187"/>
      <c r="AL165" s="187"/>
      <c r="AM165" s="187"/>
      <c r="AN165" s="187"/>
      <c r="AO165" s="187"/>
      <c r="AP165" s="187"/>
      <c r="AQ165" s="187"/>
      <c r="AR165" s="187"/>
      <c r="AS165" s="187"/>
      <c r="AT165" s="187"/>
      <c r="AU165" s="187"/>
      <c r="AV165" s="187"/>
      <c r="AW165" s="187"/>
      <c r="AX165" s="187"/>
      <c r="AY165" s="187"/>
      <c r="AZ165" s="187"/>
      <c r="BA165" s="187"/>
      <c r="BB165" s="187"/>
      <c r="BC165" s="187"/>
      <c r="BD165" s="187"/>
      <c r="BE165" s="187"/>
      <c r="BF165" s="187"/>
      <c r="BG165" s="187"/>
      <c r="BH165" s="187"/>
      <c r="BI165" s="187"/>
      <c r="BJ165" s="187"/>
      <c r="BK165" s="187"/>
      <c r="BL165" s="187"/>
      <c r="BM165" s="187"/>
      <c r="BN165" s="187"/>
      <c r="BO165" s="187"/>
      <c r="BP165" s="187"/>
      <c r="BQ165" s="187"/>
      <c r="BR165" s="187"/>
      <c r="BS165" s="187"/>
      <c r="BT165" s="187"/>
      <c r="BU165" s="187"/>
      <c r="BV165" s="187"/>
      <c r="BW165" s="187"/>
      <c r="BX165" s="187"/>
      <c r="BY165" s="187"/>
      <c r="BZ165" s="187"/>
      <c r="CA165" s="187"/>
      <c r="CB165" s="187"/>
      <c r="CC165" s="187"/>
      <c r="CD165" s="187"/>
      <c r="CE165" s="187"/>
      <c r="CF165" s="187"/>
      <c r="CG165" s="187"/>
      <c r="CH165" s="187"/>
      <c r="CI165" s="187"/>
      <c r="CJ165" s="187"/>
      <c r="CK165" s="187"/>
      <c r="CL165" s="187"/>
      <c r="CM165" s="187"/>
      <c r="CN165" s="187"/>
      <c r="CO165" s="187"/>
      <c r="CP165" s="187"/>
      <c r="CQ165" s="187"/>
      <c r="CR165" s="187"/>
      <c r="CS165" s="187"/>
      <c r="CT165" s="187"/>
      <c r="CU165" s="187"/>
      <c r="CV165" s="187"/>
      <c r="CW165" s="187"/>
      <c r="CX165" s="187"/>
      <c r="CY165" s="187"/>
      <c r="CZ165" s="187"/>
      <c r="DA165" s="187"/>
      <c r="DB165" s="187"/>
      <c r="DC165" s="187"/>
      <c r="DD165" s="187"/>
      <c r="DE165" s="187"/>
      <c r="DF165" s="187"/>
      <c r="DG165" s="187"/>
      <c r="DH165" s="187"/>
      <c r="DI165" s="187"/>
      <c r="DJ165" s="187"/>
      <c r="DK165" s="187"/>
      <c r="DL165" s="187"/>
      <c r="DM165" s="187"/>
      <c r="DN165" s="187"/>
      <c r="DO165" s="187"/>
      <c r="DP165" s="187"/>
      <c r="DQ165" s="187"/>
      <c r="DR165" s="187"/>
      <c r="DS165" s="187"/>
      <c r="DT165" s="187"/>
      <c r="DU165" s="187"/>
      <c r="DV165" s="187"/>
      <c r="DW165" s="187"/>
      <c r="DX165" s="187"/>
      <c r="DY165" s="187"/>
      <c r="DZ165" s="187"/>
      <c r="EA165" s="187"/>
      <c r="EB165" s="187"/>
      <c r="EC165" s="187"/>
      <c r="ED165" s="187"/>
      <c r="EE165" s="187"/>
      <c r="EF165" s="187"/>
      <c r="EG165" s="187"/>
      <c r="EH165" s="187"/>
      <c r="EI165" s="187"/>
      <c r="EJ165" s="187"/>
      <c r="EK165" s="187"/>
      <c r="EL165" s="187"/>
      <c r="EM165" s="187"/>
      <c r="EN165" s="187"/>
      <c r="EO165" s="187"/>
    </row>
    <row r="166" spans="2:145" ht="13.9" customHeight="1" x14ac:dyDescent="0.2"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  <c r="AA166" s="187"/>
      <c r="AB166" s="187"/>
      <c r="AC166" s="187"/>
      <c r="AD166" s="187"/>
      <c r="AE166" s="187"/>
      <c r="AF166" s="187"/>
      <c r="AG166" s="187"/>
      <c r="AH166" s="187"/>
      <c r="AI166" s="187"/>
      <c r="AJ166" s="187"/>
      <c r="AK166" s="187"/>
      <c r="AL166" s="187"/>
      <c r="AM166" s="187"/>
      <c r="AN166" s="187"/>
      <c r="AO166" s="187"/>
      <c r="AP166" s="187"/>
      <c r="AQ166" s="187"/>
      <c r="AR166" s="187"/>
      <c r="AS166" s="187"/>
      <c r="AT166" s="187"/>
      <c r="AU166" s="187"/>
      <c r="AV166" s="187"/>
      <c r="AW166" s="187"/>
      <c r="AX166" s="187"/>
      <c r="AY166" s="187"/>
      <c r="AZ166" s="187"/>
      <c r="BA166" s="187"/>
      <c r="BB166" s="187"/>
      <c r="BC166" s="187"/>
      <c r="BD166" s="187"/>
      <c r="BE166" s="187"/>
      <c r="BF166" s="187"/>
      <c r="BG166" s="187"/>
      <c r="BH166" s="187"/>
      <c r="BI166" s="187"/>
      <c r="BJ166" s="187"/>
      <c r="BK166" s="187"/>
      <c r="BL166" s="187"/>
      <c r="BM166" s="187"/>
      <c r="BN166" s="187"/>
      <c r="BO166" s="187"/>
      <c r="BP166" s="187"/>
      <c r="BQ166" s="187"/>
      <c r="BR166" s="187"/>
      <c r="BS166" s="187"/>
      <c r="BT166" s="187"/>
      <c r="BU166" s="187"/>
      <c r="BV166" s="187"/>
      <c r="BW166" s="187"/>
      <c r="BX166" s="187"/>
      <c r="BY166" s="187"/>
      <c r="BZ166" s="187"/>
      <c r="CA166" s="187"/>
      <c r="CB166" s="187"/>
      <c r="CC166" s="187"/>
      <c r="CD166" s="187"/>
      <c r="CE166" s="187"/>
      <c r="CF166" s="187"/>
      <c r="CG166" s="187"/>
      <c r="CH166" s="187"/>
      <c r="CI166" s="187"/>
      <c r="CJ166" s="187"/>
      <c r="CK166" s="187"/>
      <c r="CL166" s="187"/>
      <c r="CM166" s="187"/>
      <c r="CN166" s="187"/>
      <c r="CO166" s="187"/>
      <c r="CP166" s="187"/>
      <c r="CQ166" s="187"/>
      <c r="CR166" s="187"/>
      <c r="CS166" s="187"/>
      <c r="CT166" s="187"/>
      <c r="CU166" s="187"/>
      <c r="CV166" s="187"/>
      <c r="CW166" s="187"/>
      <c r="CX166" s="187"/>
      <c r="CY166" s="187"/>
      <c r="CZ166" s="187"/>
      <c r="DA166" s="187"/>
      <c r="DB166" s="187"/>
      <c r="DC166" s="187"/>
      <c r="DD166" s="187"/>
      <c r="DE166" s="187"/>
      <c r="DF166" s="187"/>
      <c r="DG166" s="187"/>
      <c r="DH166" s="187"/>
      <c r="DI166" s="187"/>
      <c r="DJ166" s="187"/>
      <c r="DK166" s="187"/>
      <c r="DL166" s="187"/>
      <c r="DM166" s="187"/>
      <c r="DN166" s="187"/>
      <c r="DO166" s="187"/>
      <c r="DP166" s="187"/>
      <c r="DQ166" s="187"/>
      <c r="DR166" s="187"/>
      <c r="DS166" s="187"/>
      <c r="DT166" s="187"/>
      <c r="DU166" s="187"/>
      <c r="DV166" s="187"/>
      <c r="DW166" s="187"/>
      <c r="DX166" s="187"/>
      <c r="DY166" s="187"/>
      <c r="DZ166" s="187"/>
      <c r="EA166" s="187"/>
      <c r="EB166" s="187"/>
      <c r="EC166" s="187"/>
      <c r="ED166" s="187"/>
      <c r="EE166" s="187"/>
      <c r="EF166" s="187"/>
      <c r="EG166" s="187"/>
      <c r="EH166" s="187"/>
      <c r="EI166" s="187"/>
      <c r="EJ166" s="187"/>
      <c r="EK166" s="187"/>
      <c r="EL166" s="187"/>
      <c r="EM166" s="187"/>
      <c r="EN166" s="187"/>
      <c r="EO166" s="187"/>
    </row>
    <row r="167" spans="2:145" ht="13.9" customHeight="1" x14ac:dyDescent="0.2"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  <c r="AA167" s="187"/>
      <c r="AB167" s="187"/>
      <c r="AC167" s="187"/>
      <c r="AD167" s="187"/>
      <c r="AE167" s="187"/>
      <c r="AF167" s="187"/>
      <c r="AG167" s="187"/>
      <c r="AH167" s="187"/>
      <c r="AI167" s="187"/>
      <c r="AJ167" s="187"/>
      <c r="AK167" s="187"/>
      <c r="AL167" s="187"/>
      <c r="AM167" s="187"/>
      <c r="AN167" s="187"/>
      <c r="AO167" s="187"/>
      <c r="AP167" s="187"/>
      <c r="AQ167" s="187"/>
      <c r="AR167" s="187"/>
      <c r="AS167" s="187"/>
      <c r="AT167" s="187"/>
      <c r="AU167" s="187"/>
      <c r="AV167" s="187"/>
      <c r="AW167" s="187"/>
      <c r="AX167" s="187"/>
      <c r="AY167" s="187"/>
      <c r="AZ167" s="187"/>
      <c r="BA167" s="187"/>
      <c r="BB167" s="187"/>
      <c r="BC167" s="187"/>
      <c r="BD167" s="187"/>
      <c r="BE167" s="187"/>
      <c r="BF167" s="187"/>
      <c r="BG167" s="187"/>
      <c r="BH167" s="187"/>
      <c r="BI167" s="187"/>
      <c r="BJ167" s="187"/>
      <c r="BK167" s="187"/>
      <c r="BL167" s="187"/>
      <c r="BM167" s="187"/>
      <c r="BN167" s="187"/>
      <c r="BO167" s="187"/>
      <c r="BP167" s="187"/>
      <c r="BQ167" s="187"/>
      <c r="BR167" s="187"/>
      <c r="BS167" s="187"/>
      <c r="BT167" s="187"/>
      <c r="BU167" s="187"/>
      <c r="BV167" s="187"/>
      <c r="BW167" s="187"/>
      <c r="BX167" s="187"/>
      <c r="BY167" s="187"/>
      <c r="BZ167" s="187"/>
      <c r="CA167" s="187"/>
      <c r="CB167" s="187"/>
      <c r="CC167" s="187"/>
      <c r="CD167" s="187"/>
      <c r="CE167" s="187"/>
      <c r="CF167" s="187"/>
      <c r="CG167" s="187"/>
      <c r="CH167" s="187"/>
      <c r="CI167" s="187"/>
      <c r="CJ167" s="187"/>
      <c r="CK167" s="187"/>
      <c r="CL167" s="187"/>
      <c r="CM167" s="187"/>
      <c r="CN167" s="187"/>
      <c r="CO167" s="187"/>
      <c r="CP167" s="187"/>
      <c r="CQ167" s="187"/>
      <c r="CR167" s="187"/>
      <c r="CS167" s="187"/>
      <c r="CT167" s="187"/>
      <c r="CU167" s="187"/>
      <c r="CV167" s="187"/>
      <c r="CW167" s="187"/>
      <c r="CX167" s="187"/>
      <c r="CY167" s="187"/>
      <c r="CZ167" s="187"/>
      <c r="DA167" s="187"/>
      <c r="DB167" s="187"/>
      <c r="DC167" s="187"/>
      <c r="DD167" s="187"/>
      <c r="DE167" s="187"/>
      <c r="DF167" s="187"/>
      <c r="DG167" s="187"/>
      <c r="DH167" s="187"/>
      <c r="DI167" s="187"/>
      <c r="DJ167" s="187"/>
      <c r="DK167" s="187"/>
      <c r="DL167" s="187"/>
      <c r="DM167" s="187"/>
      <c r="DN167" s="187"/>
      <c r="DO167" s="187"/>
      <c r="DP167" s="187"/>
      <c r="DQ167" s="187"/>
      <c r="DR167" s="187"/>
      <c r="DS167" s="187"/>
      <c r="DT167" s="187"/>
      <c r="DU167" s="187"/>
      <c r="DV167" s="187"/>
      <c r="DW167" s="187"/>
      <c r="DX167" s="187"/>
      <c r="DY167" s="187"/>
      <c r="DZ167" s="187"/>
      <c r="EA167" s="187"/>
      <c r="EB167" s="187"/>
      <c r="EC167" s="187"/>
      <c r="ED167" s="187"/>
      <c r="EE167" s="187"/>
      <c r="EF167" s="187"/>
      <c r="EG167" s="187"/>
      <c r="EH167" s="187"/>
      <c r="EI167" s="187"/>
      <c r="EJ167" s="187"/>
      <c r="EK167" s="187"/>
      <c r="EL167" s="187"/>
      <c r="EM167" s="187"/>
      <c r="EN167" s="187"/>
      <c r="EO167" s="187"/>
    </row>
    <row r="168" spans="2:145" ht="13.9" customHeight="1" x14ac:dyDescent="0.2"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  <c r="AB168" s="187"/>
      <c r="AC168" s="187"/>
      <c r="AD168" s="187"/>
      <c r="AE168" s="187"/>
      <c r="AF168" s="187"/>
      <c r="AG168" s="187"/>
      <c r="AH168" s="187"/>
      <c r="AI168" s="187"/>
      <c r="AJ168" s="187"/>
      <c r="AK168" s="187"/>
      <c r="AL168" s="187"/>
      <c r="AM168" s="187"/>
      <c r="AN168" s="187"/>
      <c r="AO168" s="187"/>
      <c r="AP168" s="187"/>
      <c r="AQ168" s="187"/>
      <c r="AR168" s="187"/>
      <c r="AS168" s="187"/>
      <c r="AT168" s="187"/>
      <c r="AU168" s="187"/>
      <c r="AV168" s="187"/>
      <c r="AW168" s="187"/>
      <c r="AX168" s="187"/>
      <c r="AY168" s="187"/>
      <c r="AZ168" s="187"/>
      <c r="BA168" s="187"/>
      <c r="BB168" s="187"/>
      <c r="BC168" s="187"/>
      <c r="BD168" s="187"/>
      <c r="BE168" s="187"/>
      <c r="BF168" s="187"/>
      <c r="BG168" s="187"/>
      <c r="BH168" s="187"/>
      <c r="BI168" s="187"/>
      <c r="BJ168" s="187"/>
      <c r="BK168" s="187"/>
      <c r="BL168" s="187"/>
      <c r="BM168" s="187"/>
      <c r="BN168" s="187"/>
      <c r="BO168" s="187"/>
      <c r="BP168" s="187"/>
      <c r="BQ168" s="187"/>
      <c r="BR168" s="187"/>
      <c r="BS168" s="187"/>
      <c r="BT168" s="187"/>
      <c r="BU168" s="187"/>
      <c r="BV168" s="187"/>
      <c r="BW168" s="187"/>
      <c r="BX168" s="187"/>
      <c r="BY168" s="187"/>
      <c r="BZ168" s="187"/>
      <c r="CA168" s="187"/>
      <c r="CB168" s="187"/>
      <c r="CC168" s="187"/>
      <c r="CD168" s="187"/>
      <c r="CE168" s="187"/>
      <c r="CF168" s="187"/>
      <c r="CG168" s="187"/>
      <c r="CH168" s="187"/>
      <c r="CI168" s="187"/>
      <c r="CJ168" s="187"/>
      <c r="CK168" s="187"/>
      <c r="CL168" s="187"/>
      <c r="CM168" s="187"/>
      <c r="CN168" s="187"/>
      <c r="CO168" s="187"/>
      <c r="CP168" s="187"/>
      <c r="CQ168" s="187"/>
      <c r="CR168" s="187"/>
      <c r="CS168" s="187"/>
      <c r="CT168" s="187"/>
      <c r="CU168" s="187"/>
      <c r="CV168" s="187"/>
      <c r="CW168" s="187"/>
      <c r="CX168" s="187"/>
      <c r="CY168" s="187"/>
      <c r="CZ168" s="187"/>
      <c r="DA168" s="187"/>
      <c r="DB168" s="187"/>
      <c r="DC168" s="187"/>
      <c r="DD168" s="187"/>
      <c r="DE168" s="187"/>
      <c r="DF168" s="187"/>
      <c r="DG168" s="187"/>
      <c r="DH168" s="187"/>
      <c r="DI168" s="187"/>
      <c r="DJ168" s="187"/>
      <c r="DK168" s="187"/>
      <c r="DL168" s="187"/>
      <c r="DM168" s="187"/>
      <c r="DN168" s="187"/>
      <c r="DO168" s="187"/>
      <c r="DP168" s="187"/>
      <c r="DQ168" s="187"/>
      <c r="DR168" s="187"/>
      <c r="DS168" s="187"/>
      <c r="DT168" s="187"/>
      <c r="DU168" s="187"/>
      <c r="DV168" s="187"/>
      <c r="DW168" s="187"/>
      <c r="DX168" s="187"/>
      <c r="DY168" s="187"/>
      <c r="DZ168" s="187"/>
      <c r="EA168" s="187"/>
      <c r="EB168" s="187"/>
      <c r="EC168" s="187"/>
      <c r="ED168" s="187"/>
      <c r="EE168" s="187"/>
      <c r="EF168" s="187"/>
      <c r="EG168" s="187"/>
      <c r="EH168" s="187"/>
      <c r="EI168" s="187"/>
      <c r="EJ168" s="187"/>
      <c r="EK168" s="187"/>
      <c r="EL168" s="187"/>
      <c r="EM168" s="187"/>
      <c r="EN168" s="187"/>
      <c r="EO168" s="187"/>
    </row>
    <row r="169" spans="2:145" ht="13.9" customHeight="1" x14ac:dyDescent="0.2"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  <c r="AA169" s="187"/>
      <c r="AB169" s="187"/>
      <c r="AC169" s="187"/>
      <c r="AD169" s="187"/>
      <c r="AE169" s="187"/>
      <c r="AF169" s="187"/>
      <c r="AG169" s="187"/>
      <c r="AH169" s="187"/>
      <c r="AI169" s="187"/>
      <c r="AJ169" s="187"/>
      <c r="AK169" s="187"/>
      <c r="AL169" s="187"/>
      <c r="AM169" s="187"/>
      <c r="AN169" s="187"/>
      <c r="AO169" s="187"/>
      <c r="AP169" s="187"/>
      <c r="AQ169" s="187"/>
      <c r="AR169" s="187"/>
      <c r="AS169" s="187"/>
      <c r="AT169" s="187"/>
      <c r="AU169" s="187"/>
      <c r="AV169" s="187"/>
      <c r="AW169" s="187"/>
      <c r="AX169" s="187"/>
      <c r="AY169" s="187"/>
      <c r="AZ169" s="187"/>
      <c r="BA169" s="187"/>
      <c r="BB169" s="187"/>
      <c r="BC169" s="187"/>
      <c r="BD169" s="187"/>
      <c r="BE169" s="187"/>
      <c r="BF169" s="187"/>
      <c r="BG169" s="187"/>
      <c r="BH169" s="187"/>
      <c r="BI169" s="187"/>
      <c r="BJ169" s="187"/>
      <c r="BK169" s="187"/>
      <c r="BL169" s="187"/>
      <c r="BM169" s="187"/>
      <c r="BN169" s="187"/>
      <c r="BO169" s="187"/>
      <c r="BP169" s="187"/>
      <c r="BQ169" s="187"/>
      <c r="BR169" s="187"/>
      <c r="BS169" s="187"/>
      <c r="BT169" s="187"/>
      <c r="BU169" s="187"/>
      <c r="BV169" s="187"/>
      <c r="BW169" s="187"/>
      <c r="BX169" s="187"/>
      <c r="BY169" s="187"/>
      <c r="BZ169" s="187"/>
      <c r="CA169" s="187"/>
      <c r="CB169" s="187"/>
      <c r="CC169" s="187"/>
      <c r="CD169" s="187"/>
      <c r="CE169" s="187"/>
      <c r="CF169" s="187"/>
      <c r="CG169" s="187"/>
      <c r="CH169" s="187"/>
      <c r="CI169" s="187"/>
      <c r="CJ169" s="187"/>
      <c r="CK169" s="187"/>
      <c r="CL169" s="187"/>
      <c r="CM169" s="187"/>
      <c r="CN169" s="187"/>
      <c r="CO169" s="187"/>
      <c r="CP169" s="187"/>
      <c r="CQ169" s="187"/>
      <c r="CR169" s="187"/>
      <c r="CS169" s="187"/>
      <c r="CT169" s="187"/>
      <c r="CU169" s="187"/>
      <c r="CV169" s="187"/>
      <c r="CW169" s="187"/>
      <c r="CX169" s="187"/>
      <c r="CY169" s="187"/>
      <c r="CZ169" s="187"/>
      <c r="DA169" s="187"/>
      <c r="DB169" s="187"/>
      <c r="DC169" s="187"/>
      <c r="DD169" s="187"/>
      <c r="DE169" s="187"/>
      <c r="DF169" s="187"/>
      <c r="DG169" s="187"/>
      <c r="DH169" s="187"/>
      <c r="DI169" s="187"/>
      <c r="DJ169" s="187"/>
      <c r="DK169" s="187"/>
      <c r="DL169" s="187"/>
      <c r="DM169" s="187"/>
      <c r="DN169" s="187"/>
      <c r="DO169" s="187"/>
      <c r="DP169" s="187"/>
      <c r="DQ169" s="187"/>
      <c r="DR169" s="187"/>
      <c r="DS169" s="187"/>
      <c r="DT169" s="187"/>
      <c r="DU169" s="187"/>
      <c r="DV169" s="187"/>
      <c r="DW169" s="187"/>
      <c r="DX169" s="187"/>
      <c r="DY169" s="187"/>
      <c r="DZ169" s="187"/>
      <c r="EA169" s="187"/>
      <c r="EB169" s="187"/>
      <c r="EC169" s="187"/>
      <c r="ED169" s="187"/>
      <c r="EE169" s="187"/>
      <c r="EF169" s="187"/>
      <c r="EG169" s="187"/>
      <c r="EH169" s="187"/>
      <c r="EI169" s="187"/>
      <c r="EJ169" s="187"/>
      <c r="EK169" s="187"/>
      <c r="EL169" s="187"/>
      <c r="EM169" s="187"/>
      <c r="EN169" s="187"/>
      <c r="EO169" s="187"/>
    </row>
    <row r="170" spans="2:145" ht="13.9" customHeight="1" x14ac:dyDescent="0.2"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  <c r="AA170" s="187"/>
      <c r="AB170" s="187"/>
      <c r="AC170" s="187"/>
      <c r="AD170" s="187"/>
      <c r="AE170" s="187"/>
      <c r="AF170" s="187"/>
      <c r="AG170" s="187"/>
      <c r="AH170" s="187"/>
      <c r="AI170" s="187"/>
      <c r="AJ170" s="187"/>
      <c r="AK170" s="187"/>
      <c r="AL170" s="187"/>
      <c r="AM170" s="187"/>
      <c r="AN170" s="187"/>
      <c r="AO170" s="187"/>
      <c r="AP170" s="187"/>
      <c r="AQ170" s="187"/>
      <c r="AR170" s="187"/>
      <c r="AS170" s="187"/>
      <c r="AT170" s="187"/>
      <c r="AU170" s="187"/>
      <c r="AV170" s="187"/>
      <c r="AW170" s="187"/>
      <c r="AX170" s="187"/>
      <c r="AY170" s="187"/>
      <c r="AZ170" s="187"/>
      <c r="BA170" s="187"/>
      <c r="BB170" s="187"/>
      <c r="BC170" s="187"/>
      <c r="BD170" s="187"/>
      <c r="BE170" s="187"/>
      <c r="BF170" s="187"/>
      <c r="BG170" s="187"/>
      <c r="BH170" s="187"/>
      <c r="BI170" s="187"/>
      <c r="BJ170" s="187"/>
      <c r="BK170" s="187"/>
      <c r="BL170" s="187"/>
      <c r="BM170" s="187"/>
      <c r="BN170" s="187"/>
      <c r="BO170" s="187"/>
      <c r="BP170" s="187"/>
      <c r="BQ170" s="187"/>
      <c r="BR170" s="187"/>
      <c r="BS170" s="187"/>
      <c r="BT170" s="187"/>
      <c r="BU170" s="187"/>
      <c r="BV170" s="187"/>
      <c r="BW170" s="187"/>
      <c r="BX170" s="187"/>
      <c r="BY170" s="187"/>
      <c r="BZ170" s="187"/>
      <c r="CA170" s="187"/>
      <c r="CB170" s="187"/>
      <c r="CC170" s="187"/>
      <c r="CD170" s="187"/>
      <c r="CE170" s="187"/>
      <c r="CF170" s="187"/>
      <c r="CG170" s="187"/>
      <c r="CH170" s="187"/>
      <c r="CI170" s="187"/>
      <c r="CJ170" s="187"/>
      <c r="CK170" s="187"/>
      <c r="CL170" s="187"/>
      <c r="CM170" s="187"/>
      <c r="CN170" s="187"/>
      <c r="CO170" s="187"/>
      <c r="CP170" s="187"/>
      <c r="CQ170" s="187"/>
      <c r="CR170" s="187"/>
      <c r="CS170" s="187"/>
      <c r="CT170" s="187"/>
      <c r="CU170" s="187"/>
      <c r="CV170" s="187"/>
      <c r="CW170" s="187"/>
      <c r="CX170" s="187"/>
      <c r="CY170" s="187"/>
      <c r="CZ170" s="187"/>
      <c r="DA170" s="187"/>
      <c r="DB170" s="187"/>
      <c r="DC170" s="187"/>
      <c r="DD170" s="187"/>
      <c r="DE170" s="187"/>
      <c r="DF170" s="187"/>
      <c r="DG170" s="187"/>
      <c r="DH170" s="187"/>
      <c r="DI170" s="187"/>
      <c r="DJ170" s="187"/>
      <c r="DK170" s="187"/>
      <c r="DL170" s="187"/>
      <c r="DM170" s="187"/>
      <c r="DN170" s="187"/>
      <c r="DO170" s="187"/>
      <c r="DP170" s="187"/>
      <c r="DQ170" s="187"/>
      <c r="DR170" s="187"/>
      <c r="DS170" s="187"/>
      <c r="DT170" s="187"/>
      <c r="DU170" s="187"/>
      <c r="DV170" s="187"/>
      <c r="DW170" s="187"/>
      <c r="DX170" s="187"/>
      <c r="DY170" s="187"/>
      <c r="DZ170" s="187"/>
      <c r="EA170" s="187"/>
      <c r="EB170" s="187"/>
      <c r="EC170" s="187"/>
      <c r="ED170" s="187"/>
      <c r="EE170" s="187"/>
      <c r="EF170" s="187"/>
      <c r="EG170" s="187"/>
      <c r="EH170" s="187"/>
      <c r="EI170" s="187"/>
      <c r="EJ170" s="187"/>
      <c r="EK170" s="187"/>
      <c r="EL170" s="187"/>
      <c r="EM170" s="187"/>
      <c r="EN170" s="187"/>
      <c r="EO170" s="187"/>
    </row>
    <row r="171" spans="2:145" ht="13.9" customHeight="1" x14ac:dyDescent="0.2"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  <c r="AA171" s="187"/>
      <c r="AB171" s="187"/>
      <c r="AC171" s="187"/>
      <c r="AD171" s="187"/>
      <c r="AE171" s="187"/>
      <c r="AF171" s="187"/>
      <c r="AG171" s="187"/>
      <c r="AH171" s="187"/>
      <c r="AI171" s="187"/>
      <c r="AJ171" s="187"/>
      <c r="AK171" s="187"/>
      <c r="AL171" s="187"/>
      <c r="AM171" s="187"/>
      <c r="AN171" s="187"/>
      <c r="AO171" s="187"/>
      <c r="AP171" s="187"/>
      <c r="AQ171" s="187"/>
      <c r="AR171" s="187"/>
      <c r="AS171" s="187"/>
      <c r="AT171" s="187"/>
      <c r="AU171" s="187"/>
      <c r="AV171" s="187"/>
      <c r="AW171" s="187"/>
      <c r="AX171" s="187"/>
      <c r="AY171" s="187"/>
      <c r="AZ171" s="187"/>
      <c r="BA171" s="187"/>
      <c r="BB171" s="187"/>
      <c r="BC171" s="187"/>
      <c r="BD171" s="187"/>
      <c r="BE171" s="187"/>
      <c r="BF171" s="187"/>
      <c r="BG171" s="187"/>
      <c r="BH171" s="187"/>
      <c r="BI171" s="187"/>
      <c r="BJ171" s="187"/>
      <c r="BK171" s="187"/>
      <c r="BL171" s="187"/>
      <c r="BM171" s="187"/>
      <c r="BN171" s="187"/>
      <c r="BO171" s="187"/>
      <c r="BP171" s="187"/>
      <c r="BQ171" s="187"/>
      <c r="BR171" s="187"/>
      <c r="BS171" s="187"/>
      <c r="BT171" s="187"/>
      <c r="BU171" s="187"/>
      <c r="BV171" s="187"/>
      <c r="BW171" s="187"/>
      <c r="BX171" s="187"/>
      <c r="BY171" s="187"/>
      <c r="BZ171" s="187"/>
      <c r="CA171" s="187"/>
      <c r="CB171" s="187"/>
      <c r="CC171" s="187"/>
      <c r="CD171" s="187"/>
      <c r="CE171" s="187"/>
      <c r="CF171" s="187"/>
      <c r="CG171" s="187"/>
      <c r="CH171" s="187"/>
      <c r="CI171" s="187"/>
      <c r="CJ171" s="187"/>
      <c r="CK171" s="187"/>
      <c r="CL171" s="187"/>
      <c r="CM171" s="187"/>
      <c r="CN171" s="187"/>
      <c r="CO171" s="187"/>
      <c r="CP171" s="187"/>
      <c r="CQ171" s="187"/>
      <c r="CR171" s="187"/>
      <c r="CS171" s="187"/>
      <c r="CT171" s="187"/>
      <c r="CU171" s="187"/>
      <c r="CV171" s="187"/>
      <c r="CW171" s="187"/>
      <c r="CX171" s="187"/>
      <c r="CY171" s="187"/>
      <c r="CZ171" s="187"/>
      <c r="DA171" s="187"/>
      <c r="DB171" s="187"/>
      <c r="DC171" s="187"/>
      <c r="DD171" s="187"/>
      <c r="DE171" s="187"/>
      <c r="DF171" s="187"/>
      <c r="DG171" s="187"/>
      <c r="DH171" s="187"/>
      <c r="DI171" s="187"/>
      <c r="DJ171" s="187"/>
      <c r="DK171" s="187"/>
      <c r="DL171" s="187"/>
      <c r="DM171" s="187"/>
      <c r="DN171" s="187"/>
      <c r="DO171" s="187"/>
      <c r="DP171" s="187"/>
      <c r="DQ171" s="187"/>
      <c r="DR171" s="187"/>
      <c r="DS171" s="187"/>
      <c r="DT171" s="187"/>
      <c r="DU171" s="187"/>
      <c r="DV171" s="187"/>
      <c r="DW171" s="187"/>
      <c r="DX171" s="187"/>
      <c r="DY171" s="187"/>
      <c r="DZ171" s="187"/>
      <c r="EA171" s="187"/>
      <c r="EB171" s="187"/>
      <c r="EC171" s="187"/>
      <c r="ED171" s="187"/>
      <c r="EE171" s="187"/>
      <c r="EF171" s="187"/>
      <c r="EG171" s="187"/>
      <c r="EH171" s="187"/>
      <c r="EI171" s="187"/>
      <c r="EJ171" s="187"/>
      <c r="EK171" s="187"/>
      <c r="EL171" s="187"/>
      <c r="EM171" s="187"/>
      <c r="EN171" s="187"/>
      <c r="EO171" s="187"/>
    </row>
    <row r="172" spans="2:145" ht="13.9" customHeight="1" x14ac:dyDescent="0.2"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  <c r="AA172" s="187"/>
      <c r="AB172" s="187"/>
      <c r="AC172" s="187"/>
      <c r="AD172" s="187"/>
      <c r="AE172" s="187"/>
      <c r="AF172" s="187"/>
      <c r="AG172" s="187"/>
      <c r="AH172" s="187"/>
      <c r="AI172" s="187"/>
      <c r="AJ172" s="187"/>
      <c r="AK172" s="187"/>
      <c r="AL172" s="187"/>
      <c r="AM172" s="187"/>
      <c r="AN172" s="187"/>
      <c r="AO172" s="187"/>
      <c r="AP172" s="187"/>
      <c r="AQ172" s="187"/>
      <c r="AR172" s="187"/>
      <c r="AS172" s="187"/>
      <c r="AT172" s="187"/>
      <c r="AU172" s="187"/>
      <c r="AV172" s="187"/>
      <c r="AW172" s="187"/>
      <c r="AX172" s="187"/>
      <c r="AY172" s="187"/>
      <c r="AZ172" s="187"/>
      <c r="BA172" s="187"/>
      <c r="BB172" s="187"/>
      <c r="BC172" s="187"/>
      <c r="BD172" s="187"/>
      <c r="BE172" s="187"/>
      <c r="BF172" s="187"/>
      <c r="BG172" s="187"/>
      <c r="BH172" s="187"/>
      <c r="BI172" s="187"/>
      <c r="BJ172" s="187"/>
      <c r="BK172" s="187"/>
      <c r="BL172" s="187"/>
      <c r="BM172" s="187"/>
      <c r="BN172" s="187"/>
      <c r="BO172" s="187"/>
      <c r="BP172" s="187"/>
      <c r="BQ172" s="187"/>
      <c r="BR172" s="187"/>
      <c r="BS172" s="187"/>
      <c r="BT172" s="187"/>
      <c r="BU172" s="187"/>
      <c r="BV172" s="187"/>
      <c r="BW172" s="187"/>
      <c r="BX172" s="187"/>
      <c r="BY172" s="187"/>
      <c r="BZ172" s="187"/>
      <c r="CA172" s="187"/>
      <c r="CB172" s="187"/>
      <c r="CC172" s="187"/>
      <c r="CD172" s="187"/>
      <c r="CE172" s="187"/>
      <c r="CF172" s="187"/>
      <c r="CG172" s="187"/>
      <c r="CH172" s="187"/>
      <c r="CI172" s="187"/>
      <c r="CJ172" s="187"/>
      <c r="CK172" s="187"/>
      <c r="CL172" s="187"/>
      <c r="CM172" s="187"/>
      <c r="CN172" s="187"/>
      <c r="CO172" s="187"/>
      <c r="CP172" s="187"/>
      <c r="CQ172" s="187"/>
      <c r="CR172" s="187"/>
      <c r="CS172" s="187"/>
      <c r="CT172" s="187"/>
      <c r="CU172" s="187"/>
      <c r="CV172" s="187"/>
      <c r="CW172" s="187"/>
      <c r="CX172" s="187"/>
      <c r="CY172" s="187"/>
      <c r="CZ172" s="187"/>
      <c r="DA172" s="187"/>
      <c r="DB172" s="187"/>
      <c r="DC172" s="187"/>
      <c r="DD172" s="187"/>
      <c r="DE172" s="187"/>
      <c r="DF172" s="187"/>
      <c r="DG172" s="187"/>
      <c r="DH172" s="187"/>
      <c r="DI172" s="187"/>
      <c r="DJ172" s="187"/>
      <c r="DK172" s="187"/>
      <c r="DL172" s="187"/>
      <c r="DM172" s="187"/>
      <c r="DN172" s="187"/>
      <c r="DO172" s="187"/>
      <c r="DP172" s="187"/>
      <c r="DQ172" s="187"/>
      <c r="DR172" s="187"/>
      <c r="DS172" s="187"/>
      <c r="DT172" s="187"/>
      <c r="DU172" s="187"/>
      <c r="DV172" s="187"/>
      <c r="DW172" s="187"/>
      <c r="DX172" s="187"/>
      <c r="DY172" s="187"/>
      <c r="DZ172" s="187"/>
      <c r="EA172" s="187"/>
      <c r="EB172" s="187"/>
      <c r="EC172" s="187"/>
      <c r="ED172" s="187"/>
      <c r="EE172" s="187"/>
      <c r="EF172" s="187"/>
      <c r="EG172" s="187"/>
      <c r="EH172" s="187"/>
      <c r="EI172" s="187"/>
      <c r="EJ172" s="187"/>
      <c r="EK172" s="187"/>
      <c r="EL172" s="187"/>
      <c r="EM172" s="187"/>
      <c r="EN172" s="187"/>
      <c r="EO172" s="187"/>
    </row>
    <row r="173" spans="2:145" ht="13.9" customHeight="1" x14ac:dyDescent="0.2"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  <c r="AA173" s="187"/>
      <c r="AB173" s="187"/>
      <c r="AC173" s="187"/>
      <c r="AD173" s="187"/>
      <c r="AE173" s="187"/>
      <c r="AF173" s="187"/>
      <c r="AG173" s="187"/>
      <c r="AH173" s="187"/>
      <c r="AI173" s="187"/>
      <c r="AJ173" s="187"/>
      <c r="AK173" s="187"/>
      <c r="AL173" s="187"/>
      <c r="AM173" s="187"/>
      <c r="AN173" s="187"/>
      <c r="AO173" s="187"/>
      <c r="AP173" s="187"/>
      <c r="AQ173" s="187"/>
      <c r="AR173" s="187"/>
      <c r="AS173" s="187"/>
      <c r="AT173" s="187"/>
      <c r="AU173" s="187"/>
      <c r="AV173" s="187"/>
      <c r="AW173" s="187"/>
      <c r="AX173" s="187"/>
      <c r="AY173" s="187"/>
      <c r="AZ173" s="187"/>
      <c r="BA173" s="187"/>
      <c r="BB173" s="187"/>
      <c r="BC173" s="187"/>
      <c r="BD173" s="187"/>
      <c r="BE173" s="187"/>
      <c r="BF173" s="187"/>
      <c r="BG173" s="187"/>
      <c r="BH173" s="187"/>
      <c r="BI173" s="187"/>
      <c r="BJ173" s="187"/>
      <c r="BK173" s="187"/>
      <c r="BL173" s="187"/>
      <c r="BM173" s="187"/>
      <c r="BN173" s="187"/>
      <c r="BO173" s="187"/>
      <c r="BP173" s="187"/>
      <c r="BQ173" s="187"/>
      <c r="BR173" s="187"/>
      <c r="BS173" s="187"/>
      <c r="BT173" s="187"/>
      <c r="BU173" s="187"/>
      <c r="BV173" s="187"/>
      <c r="BW173" s="187"/>
      <c r="BX173" s="187"/>
      <c r="BY173" s="187"/>
      <c r="BZ173" s="187"/>
      <c r="CA173" s="187"/>
      <c r="CB173" s="187"/>
      <c r="CC173" s="187"/>
      <c r="CD173" s="187"/>
      <c r="CE173" s="187"/>
      <c r="CF173" s="187"/>
      <c r="CG173" s="187"/>
      <c r="CH173" s="187"/>
      <c r="CI173" s="187"/>
      <c r="CJ173" s="187"/>
      <c r="CK173" s="187"/>
      <c r="CL173" s="187"/>
      <c r="CM173" s="187"/>
      <c r="CN173" s="187"/>
      <c r="CO173" s="187"/>
      <c r="CP173" s="187"/>
      <c r="CQ173" s="187"/>
      <c r="CR173" s="187"/>
      <c r="CS173" s="187"/>
      <c r="CT173" s="187"/>
      <c r="CU173" s="187"/>
      <c r="CV173" s="187"/>
      <c r="CW173" s="187"/>
      <c r="CX173" s="187"/>
      <c r="CY173" s="187"/>
      <c r="CZ173" s="187"/>
      <c r="DA173" s="187"/>
      <c r="DB173" s="187"/>
      <c r="DC173" s="187"/>
      <c r="DD173" s="187"/>
      <c r="DE173" s="187"/>
      <c r="DF173" s="187"/>
      <c r="DG173" s="187"/>
      <c r="DH173" s="187"/>
      <c r="DI173" s="187"/>
      <c r="DJ173" s="187"/>
      <c r="DK173" s="187"/>
      <c r="DL173" s="187"/>
      <c r="DM173" s="187"/>
      <c r="DN173" s="187"/>
      <c r="DO173" s="187"/>
      <c r="DP173" s="187"/>
      <c r="DQ173" s="187"/>
      <c r="DR173" s="187"/>
      <c r="DS173" s="187"/>
      <c r="DT173" s="187"/>
      <c r="DU173" s="187"/>
      <c r="DV173" s="187"/>
      <c r="DW173" s="187"/>
      <c r="DX173" s="187"/>
      <c r="DY173" s="187"/>
      <c r="DZ173" s="187"/>
      <c r="EA173" s="187"/>
      <c r="EB173" s="187"/>
      <c r="EC173" s="187"/>
      <c r="ED173" s="187"/>
      <c r="EE173" s="187"/>
      <c r="EF173" s="187"/>
      <c r="EG173" s="187"/>
      <c r="EH173" s="187"/>
      <c r="EI173" s="187"/>
      <c r="EJ173" s="187"/>
      <c r="EK173" s="187"/>
      <c r="EL173" s="187"/>
      <c r="EM173" s="187"/>
      <c r="EN173" s="187"/>
      <c r="EO173" s="187"/>
    </row>
    <row r="174" spans="2:145" ht="13.9" customHeight="1" x14ac:dyDescent="0.2"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  <c r="AA174" s="187"/>
      <c r="AB174" s="187"/>
      <c r="AC174" s="187"/>
      <c r="AD174" s="187"/>
      <c r="AE174" s="187"/>
      <c r="AF174" s="187"/>
      <c r="AG174" s="187"/>
      <c r="AH174" s="187"/>
      <c r="AI174" s="187"/>
      <c r="AJ174" s="187"/>
      <c r="AK174" s="187"/>
      <c r="AL174" s="187"/>
      <c r="AM174" s="187"/>
      <c r="AN174" s="187"/>
      <c r="AO174" s="187"/>
      <c r="AP174" s="187"/>
      <c r="AQ174" s="187"/>
      <c r="AR174" s="187"/>
      <c r="AS174" s="187"/>
      <c r="AT174" s="187"/>
      <c r="AU174" s="187"/>
      <c r="AV174" s="187"/>
      <c r="AW174" s="187"/>
      <c r="AX174" s="187"/>
      <c r="AY174" s="187"/>
      <c r="AZ174" s="187"/>
      <c r="BA174" s="187"/>
      <c r="BB174" s="187"/>
      <c r="BC174" s="187"/>
      <c r="BD174" s="187"/>
      <c r="BE174" s="187"/>
      <c r="BF174" s="187"/>
      <c r="BG174" s="187"/>
      <c r="BH174" s="187"/>
      <c r="BI174" s="187"/>
      <c r="BJ174" s="187"/>
      <c r="BK174" s="187"/>
      <c r="BL174" s="187"/>
      <c r="BM174" s="187"/>
      <c r="BN174" s="187"/>
      <c r="BO174" s="187"/>
      <c r="BP174" s="187"/>
      <c r="BQ174" s="187"/>
      <c r="BR174" s="187"/>
      <c r="BS174" s="187"/>
      <c r="BT174" s="187"/>
      <c r="BU174" s="187"/>
      <c r="BV174" s="187"/>
      <c r="BW174" s="187"/>
      <c r="BX174" s="187"/>
      <c r="BY174" s="187"/>
      <c r="BZ174" s="187"/>
      <c r="CA174" s="187"/>
      <c r="CB174" s="187"/>
      <c r="CC174" s="187"/>
      <c r="CD174" s="187"/>
      <c r="CE174" s="187"/>
      <c r="CF174" s="187"/>
      <c r="CG174" s="187"/>
      <c r="CH174" s="187"/>
      <c r="CI174" s="187"/>
      <c r="CJ174" s="187"/>
      <c r="CK174" s="187"/>
      <c r="CL174" s="187"/>
      <c r="CM174" s="187"/>
      <c r="CN174" s="187"/>
      <c r="CO174" s="187"/>
      <c r="CP174" s="187"/>
      <c r="CQ174" s="187"/>
      <c r="CR174" s="187"/>
      <c r="CS174" s="187"/>
      <c r="CT174" s="187"/>
      <c r="CU174" s="187"/>
      <c r="CV174" s="187"/>
      <c r="CW174" s="187"/>
      <c r="CX174" s="187"/>
      <c r="CY174" s="187"/>
      <c r="CZ174" s="187"/>
      <c r="DA174" s="187"/>
      <c r="DB174" s="187"/>
      <c r="DC174" s="187"/>
      <c r="DD174" s="187"/>
      <c r="DE174" s="187"/>
      <c r="DF174" s="187"/>
      <c r="DG174" s="187"/>
      <c r="DH174" s="187"/>
      <c r="DI174" s="187"/>
      <c r="DJ174" s="187"/>
      <c r="DK174" s="187"/>
      <c r="DL174" s="187"/>
      <c r="DM174" s="187"/>
      <c r="DN174" s="187"/>
      <c r="DO174" s="187"/>
      <c r="DP174" s="187"/>
      <c r="DQ174" s="187"/>
      <c r="DR174" s="187"/>
      <c r="DS174" s="187"/>
      <c r="DT174" s="187"/>
      <c r="DU174" s="187"/>
      <c r="DV174" s="187"/>
      <c r="DW174" s="187"/>
      <c r="DX174" s="187"/>
      <c r="DY174" s="187"/>
      <c r="DZ174" s="187"/>
      <c r="EA174" s="187"/>
      <c r="EB174" s="187"/>
      <c r="EC174" s="187"/>
      <c r="ED174" s="187"/>
      <c r="EE174" s="187"/>
      <c r="EF174" s="187"/>
      <c r="EG174" s="187"/>
      <c r="EH174" s="187"/>
      <c r="EI174" s="187"/>
      <c r="EJ174" s="187"/>
      <c r="EK174" s="187"/>
      <c r="EL174" s="187"/>
      <c r="EM174" s="187"/>
      <c r="EN174" s="187"/>
      <c r="EO174" s="187"/>
    </row>
    <row r="175" spans="2:145" ht="13.9" customHeight="1" x14ac:dyDescent="0.2"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  <c r="AA175" s="187"/>
      <c r="AB175" s="187"/>
      <c r="AC175" s="187"/>
      <c r="AD175" s="187"/>
      <c r="AE175" s="187"/>
      <c r="AF175" s="187"/>
      <c r="AG175" s="187"/>
      <c r="AH175" s="187"/>
      <c r="AI175" s="187"/>
      <c r="AJ175" s="187"/>
      <c r="AK175" s="187"/>
      <c r="AL175" s="187"/>
      <c r="AM175" s="187"/>
      <c r="AN175" s="187"/>
      <c r="AO175" s="187"/>
      <c r="AP175" s="187"/>
      <c r="AQ175" s="187"/>
      <c r="AR175" s="187"/>
      <c r="AS175" s="187"/>
      <c r="AT175" s="187"/>
      <c r="AU175" s="187"/>
      <c r="AV175" s="187"/>
      <c r="AW175" s="187"/>
      <c r="AX175" s="187"/>
      <c r="AY175" s="187"/>
      <c r="AZ175" s="187"/>
      <c r="BA175" s="187"/>
      <c r="BB175" s="187"/>
      <c r="BC175" s="187"/>
      <c r="BD175" s="187"/>
      <c r="BE175" s="187"/>
      <c r="BF175" s="187"/>
      <c r="BG175" s="187"/>
      <c r="BH175" s="187"/>
      <c r="BI175" s="187"/>
      <c r="BJ175" s="187"/>
      <c r="BK175" s="187"/>
      <c r="BL175" s="187"/>
      <c r="BM175" s="187"/>
      <c r="BN175" s="187"/>
      <c r="BO175" s="187"/>
      <c r="BP175" s="187"/>
      <c r="BQ175" s="187"/>
      <c r="BR175" s="187"/>
      <c r="BS175" s="187"/>
      <c r="BT175" s="187"/>
      <c r="BU175" s="187"/>
      <c r="BV175" s="187"/>
      <c r="BW175" s="187"/>
      <c r="BX175" s="187"/>
      <c r="BY175" s="187"/>
      <c r="BZ175" s="187"/>
      <c r="CA175" s="187"/>
      <c r="CB175" s="187"/>
      <c r="CC175" s="187"/>
      <c r="CD175" s="187"/>
      <c r="CE175" s="187"/>
      <c r="CF175" s="187"/>
      <c r="CG175" s="187"/>
      <c r="CH175" s="187"/>
      <c r="CI175" s="187"/>
      <c r="CJ175" s="187"/>
      <c r="CK175" s="187"/>
      <c r="CL175" s="187"/>
      <c r="CM175" s="187"/>
      <c r="CN175" s="187"/>
      <c r="CO175" s="187"/>
      <c r="CP175" s="187"/>
      <c r="CQ175" s="187"/>
      <c r="CR175" s="187"/>
      <c r="CS175" s="187"/>
      <c r="CT175" s="187"/>
      <c r="CU175" s="187"/>
      <c r="CV175" s="187"/>
      <c r="CW175" s="187"/>
      <c r="CX175" s="187"/>
      <c r="CY175" s="187"/>
      <c r="CZ175" s="187"/>
      <c r="DA175" s="187"/>
      <c r="DB175" s="187"/>
      <c r="DC175" s="187"/>
      <c r="DD175" s="187"/>
      <c r="DE175" s="187"/>
      <c r="DF175" s="187"/>
      <c r="DG175" s="187"/>
      <c r="DH175" s="187"/>
      <c r="DI175" s="187"/>
      <c r="DJ175" s="187"/>
      <c r="DK175" s="187"/>
      <c r="DL175" s="187"/>
      <c r="DM175" s="187"/>
      <c r="DN175" s="187"/>
      <c r="DO175" s="187"/>
      <c r="DP175" s="187"/>
      <c r="DQ175" s="187"/>
      <c r="DR175" s="187"/>
      <c r="DS175" s="187"/>
      <c r="DT175" s="187"/>
      <c r="DU175" s="187"/>
      <c r="DV175" s="187"/>
      <c r="DW175" s="187"/>
      <c r="DX175" s="187"/>
      <c r="DY175" s="187"/>
      <c r="DZ175" s="187"/>
      <c r="EA175" s="187"/>
      <c r="EB175" s="187"/>
      <c r="EC175" s="187"/>
      <c r="ED175" s="187"/>
      <c r="EE175" s="187"/>
      <c r="EF175" s="187"/>
      <c r="EG175" s="187"/>
      <c r="EH175" s="187"/>
      <c r="EI175" s="187"/>
      <c r="EJ175" s="187"/>
      <c r="EK175" s="187"/>
      <c r="EL175" s="187"/>
      <c r="EM175" s="187"/>
      <c r="EN175" s="187"/>
      <c r="EO175" s="187"/>
    </row>
    <row r="176" spans="2:145" ht="13.9" customHeight="1" x14ac:dyDescent="0.2"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  <c r="AA176" s="187"/>
      <c r="AB176" s="187"/>
      <c r="AC176" s="187"/>
      <c r="AD176" s="187"/>
      <c r="AE176" s="187"/>
      <c r="AF176" s="187"/>
      <c r="AG176" s="187"/>
      <c r="AH176" s="187"/>
      <c r="AI176" s="187"/>
      <c r="AJ176" s="187"/>
      <c r="AK176" s="187"/>
      <c r="AL176" s="187"/>
      <c r="AM176" s="187"/>
      <c r="AN176" s="187"/>
      <c r="AO176" s="187"/>
      <c r="AP176" s="187"/>
      <c r="AQ176" s="187"/>
      <c r="AR176" s="187"/>
      <c r="AS176" s="187"/>
      <c r="AT176" s="187"/>
      <c r="AU176" s="187"/>
      <c r="AV176" s="187"/>
      <c r="AW176" s="187"/>
      <c r="AX176" s="187"/>
      <c r="AY176" s="187"/>
      <c r="AZ176" s="187"/>
      <c r="BA176" s="187"/>
      <c r="BB176" s="187"/>
      <c r="BC176" s="187"/>
      <c r="BD176" s="187"/>
      <c r="BE176" s="187"/>
      <c r="BF176" s="187"/>
      <c r="BG176" s="187"/>
      <c r="BH176" s="187"/>
      <c r="BI176" s="187"/>
      <c r="BJ176" s="187"/>
      <c r="BK176" s="187"/>
      <c r="BL176" s="187"/>
      <c r="BM176" s="187"/>
      <c r="BN176" s="187"/>
      <c r="BO176" s="187"/>
      <c r="BP176" s="187"/>
      <c r="BQ176" s="187"/>
      <c r="BR176" s="187"/>
      <c r="BS176" s="187"/>
      <c r="BT176" s="187"/>
      <c r="BU176" s="187"/>
      <c r="BV176" s="187"/>
      <c r="BW176" s="187"/>
      <c r="BX176" s="187"/>
      <c r="BY176" s="187"/>
      <c r="BZ176" s="187"/>
      <c r="CA176" s="187"/>
      <c r="CB176" s="187"/>
      <c r="CC176" s="187"/>
      <c r="CD176" s="187"/>
      <c r="CE176" s="187"/>
      <c r="CF176" s="187"/>
      <c r="CG176" s="187"/>
      <c r="CH176" s="187"/>
      <c r="CI176" s="187"/>
      <c r="CJ176" s="187"/>
      <c r="CK176" s="187"/>
      <c r="CL176" s="187"/>
      <c r="CM176" s="187"/>
      <c r="CN176" s="187"/>
      <c r="CO176" s="187"/>
      <c r="CP176" s="187"/>
      <c r="CQ176" s="187"/>
      <c r="CR176" s="187"/>
      <c r="CS176" s="187"/>
      <c r="CT176" s="187"/>
      <c r="CU176" s="187"/>
      <c r="CV176" s="187"/>
      <c r="CW176" s="187"/>
      <c r="CX176" s="187"/>
      <c r="CY176" s="187"/>
      <c r="CZ176" s="187"/>
      <c r="DA176" s="187"/>
      <c r="DB176" s="187"/>
      <c r="DC176" s="187"/>
      <c r="DD176" s="187"/>
      <c r="DE176" s="187"/>
      <c r="DF176" s="187"/>
      <c r="DG176" s="187"/>
      <c r="DH176" s="187"/>
      <c r="DI176" s="187"/>
      <c r="DJ176" s="187"/>
      <c r="DK176" s="187"/>
      <c r="DL176" s="187"/>
      <c r="DM176" s="187"/>
      <c r="DN176" s="187"/>
      <c r="DO176" s="187"/>
      <c r="DP176" s="187"/>
      <c r="DQ176" s="187"/>
      <c r="DR176" s="187"/>
      <c r="DS176" s="187"/>
      <c r="DT176" s="187"/>
      <c r="DU176" s="187"/>
      <c r="DV176" s="187"/>
      <c r="DW176" s="187"/>
      <c r="DX176" s="187"/>
      <c r="DY176" s="187"/>
      <c r="DZ176" s="187"/>
      <c r="EA176" s="187"/>
      <c r="EB176" s="187"/>
      <c r="EC176" s="187"/>
      <c r="ED176" s="187"/>
      <c r="EE176" s="187"/>
      <c r="EF176" s="187"/>
      <c r="EG176" s="187"/>
      <c r="EH176" s="187"/>
      <c r="EI176" s="187"/>
      <c r="EJ176" s="187"/>
      <c r="EK176" s="187"/>
      <c r="EL176" s="187"/>
      <c r="EM176" s="187"/>
      <c r="EN176" s="187"/>
      <c r="EO176" s="187"/>
    </row>
    <row r="177" spans="2:145" ht="13.9" customHeight="1" x14ac:dyDescent="0.2"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  <c r="AA177" s="187"/>
      <c r="AB177" s="187"/>
      <c r="AC177" s="187"/>
      <c r="AD177" s="187"/>
      <c r="AE177" s="187"/>
      <c r="AF177" s="187"/>
      <c r="AG177" s="187"/>
      <c r="AH177" s="187"/>
      <c r="AI177" s="187"/>
      <c r="AJ177" s="187"/>
      <c r="AK177" s="187"/>
      <c r="AL177" s="187"/>
      <c r="AM177" s="187"/>
      <c r="AN177" s="187"/>
      <c r="AO177" s="187"/>
      <c r="AP177" s="187"/>
      <c r="AQ177" s="187"/>
      <c r="AR177" s="187"/>
      <c r="AS177" s="187"/>
      <c r="AT177" s="187"/>
      <c r="AU177" s="187"/>
      <c r="AV177" s="187"/>
      <c r="AW177" s="187"/>
      <c r="AX177" s="187"/>
      <c r="AY177" s="187"/>
      <c r="AZ177" s="187"/>
      <c r="BA177" s="187"/>
      <c r="BB177" s="187"/>
      <c r="BC177" s="187"/>
      <c r="BD177" s="187"/>
      <c r="BE177" s="187"/>
      <c r="BF177" s="187"/>
      <c r="BG177" s="187"/>
      <c r="BH177" s="187"/>
      <c r="BI177" s="187"/>
      <c r="BJ177" s="187"/>
      <c r="BK177" s="187"/>
      <c r="BL177" s="187"/>
      <c r="BM177" s="187"/>
      <c r="BN177" s="187"/>
      <c r="BO177" s="187"/>
      <c r="BP177" s="187"/>
      <c r="BQ177" s="187"/>
      <c r="BR177" s="187"/>
      <c r="BS177" s="187"/>
      <c r="BT177" s="187"/>
      <c r="BU177" s="187"/>
      <c r="BV177" s="187"/>
      <c r="BW177" s="187"/>
      <c r="BX177" s="187"/>
      <c r="BY177" s="187"/>
      <c r="BZ177" s="187"/>
      <c r="CA177" s="187"/>
      <c r="CB177" s="187"/>
      <c r="CC177" s="187"/>
      <c r="CD177" s="187"/>
      <c r="CE177" s="187"/>
      <c r="CF177" s="187"/>
      <c r="CG177" s="187"/>
      <c r="CH177" s="187"/>
      <c r="CI177" s="187"/>
      <c r="CJ177" s="187"/>
      <c r="CK177" s="187"/>
      <c r="CL177" s="187"/>
      <c r="CM177" s="187"/>
      <c r="CN177" s="187"/>
      <c r="CO177" s="187"/>
      <c r="CP177" s="187"/>
      <c r="CQ177" s="187"/>
      <c r="CR177" s="187"/>
      <c r="CS177" s="187"/>
      <c r="CT177" s="187"/>
      <c r="CU177" s="187"/>
      <c r="CV177" s="187"/>
      <c r="CW177" s="187"/>
      <c r="CX177" s="187"/>
      <c r="CY177" s="187"/>
      <c r="CZ177" s="187"/>
      <c r="DA177" s="187"/>
      <c r="DB177" s="187"/>
      <c r="DC177" s="187"/>
      <c r="DD177" s="187"/>
      <c r="DE177" s="187"/>
      <c r="DF177" s="187"/>
      <c r="DG177" s="187"/>
      <c r="DH177" s="187"/>
      <c r="DI177" s="187"/>
      <c r="DJ177" s="187"/>
      <c r="DK177" s="187"/>
      <c r="DL177" s="187"/>
      <c r="DM177" s="187"/>
      <c r="DN177" s="187"/>
      <c r="DO177" s="187"/>
      <c r="DP177" s="187"/>
      <c r="DQ177" s="187"/>
      <c r="DR177" s="187"/>
      <c r="DS177" s="187"/>
      <c r="DT177" s="187"/>
      <c r="DU177" s="187"/>
      <c r="DV177" s="187"/>
      <c r="DW177" s="187"/>
      <c r="DX177" s="187"/>
      <c r="DY177" s="187"/>
      <c r="DZ177" s="187"/>
      <c r="EA177" s="187"/>
      <c r="EB177" s="187"/>
      <c r="EC177" s="187"/>
      <c r="ED177" s="187"/>
      <c r="EE177" s="187"/>
      <c r="EF177" s="187"/>
      <c r="EG177" s="187"/>
      <c r="EH177" s="187"/>
      <c r="EI177" s="187"/>
      <c r="EJ177" s="187"/>
      <c r="EK177" s="187"/>
      <c r="EL177" s="187"/>
      <c r="EM177" s="187"/>
      <c r="EN177" s="187"/>
      <c r="EO177" s="187"/>
    </row>
    <row r="178" spans="2:145" ht="13.9" customHeight="1" x14ac:dyDescent="0.2"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  <c r="AA178" s="187"/>
      <c r="AB178" s="187"/>
      <c r="AC178" s="187"/>
      <c r="AD178" s="187"/>
      <c r="AE178" s="187"/>
      <c r="AF178" s="187"/>
      <c r="AG178" s="187"/>
      <c r="AH178" s="187"/>
      <c r="AI178" s="187"/>
      <c r="AJ178" s="187"/>
      <c r="AK178" s="187"/>
      <c r="AL178" s="187"/>
      <c r="AM178" s="187"/>
      <c r="AN178" s="187"/>
      <c r="AO178" s="187"/>
      <c r="AP178" s="187"/>
      <c r="AQ178" s="187"/>
      <c r="AR178" s="187"/>
      <c r="AS178" s="187"/>
      <c r="AT178" s="187"/>
      <c r="AU178" s="187"/>
      <c r="AV178" s="187"/>
      <c r="AW178" s="187"/>
      <c r="AX178" s="187"/>
      <c r="AY178" s="187"/>
      <c r="AZ178" s="187"/>
      <c r="BA178" s="187"/>
      <c r="BB178" s="187"/>
      <c r="BC178" s="187"/>
      <c r="BD178" s="187"/>
      <c r="BE178" s="187"/>
      <c r="BF178" s="187"/>
      <c r="BG178" s="187"/>
      <c r="BH178" s="187"/>
      <c r="BI178" s="187"/>
      <c r="BJ178" s="187"/>
      <c r="BK178" s="187"/>
      <c r="BL178" s="187"/>
      <c r="BM178" s="187"/>
      <c r="BN178" s="187"/>
      <c r="BO178" s="187"/>
      <c r="BP178" s="187"/>
      <c r="BQ178" s="187"/>
      <c r="BR178" s="187"/>
      <c r="BS178" s="187"/>
      <c r="BT178" s="187"/>
      <c r="BU178" s="187"/>
      <c r="BV178" s="187"/>
      <c r="BW178" s="187"/>
      <c r="BX178" s="187"/>
      <c r="BY178" s="187"/>
      <c r="BZ178" s="187"/>
      <c r="CA178" s="187"/>
      <c r="CB178" s="187"/>
      <c r="CC178" s="187"/>
      <c r="CD178" s="187"/>
      <c r="CE178" s="187"/>
      <c r="CF178" s="187"/>
      <c r="CG178" s="187"/>
      <c r="CH178" s="187"/>
      <c r="CI178" s="187"/>
      <c r="CJ178" s="187"/>
      <c r="CK178" s="187"/>
      <c r="CL178" s="187"/>
      <c r="CM178" s="187"/>
      <c r="CN178" s="187"/>
      <c r="CO178" s="187"/>
      <c r="CP178" s="187"/>
      <c r="CQ178" s="187"/>
      <c r="CR178" s="187"/>
      <c r="CS178" s="187"/>
      <c r="CT178" s="187"/>
      <c r="CU178" s="187"/>
      <c r="CV178" s="187"/>
      <c r="CW178" s="187"/>
      <c r="CX178" s="187"/>
      <c r="CY178" s="187"/>
      <c r="CZ178" s="187"/>
      <c r="DA178" s="187"/>
      <c r="DB178" s="187"/>
      <c r="DC178" s="187"/>
      <c r="DD178" s="187"/>
      <c r="DE178" s="187"/>
      <c r="DF178" s="187"/>
      <c r="DG178" s="187"/>
      <c r="DH178" s="187"/>
      <c r="DI178" s="187"/>
      <c r="DJ178" s="187"/>
      <c r="DK178" s="187"/>
      <c r="DL178" s="187"/>
      <c r="DM178" s="187"/>
      <c r="DN178" s="187"/>
      <c r="DO178" s="187"/>
      <c r="DP178" s="187"/>
      <c r="DQ178" s="187"/>
      <c r="DR178" s="187"/>
      <c r="DS178" s="187"/>
      <c r="DT178" s="187"/>
      <c r="DU178" s="187"/>
      <c r="DV178" s="187"/>
      <c r="DW178" s="187"/>
      <c r="DX178" s="187"/>
      <c r="DY178" s="187"/>
      <c r="DZ178" s="187"/>
      <c r="EA178" s="187"/>
      <c r="EB178" s="187"/>
      <c r="EC178" s="187"/>
      <c r="ED178" s="187"/>
      <c r="EE178" s="187"/>
      <c r="EF178" s="187"/>
      <c r="EG178" s="187"/>
      <c r="EH178" s="187"/>
      <c r="EI178" s="187"/>
      <c r="EJ178" s="187"/>
      <c r="EK178" s="187"/>
      <c r="EL178" s="187"/>
      <c r="EM178" s="187"/>
      <c r="EN178" s="187"/>
      <c r="EO178" s="187"/>
    </row>
    <row r="179" spans="2:145" ht="13.9" customHeight="1" x14ac:dyDescent="0.2"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  <c r="AA179" s="187"/>
      <c r="AB179" s="187"/>
      <c r="AC179" s="187"/>
      <c r="AD179" s="187"/>
      <c r="AE179" s="187"/>
      <c r="AF179" s="187"/>
      <c r="AG179" s="187"/>
      <c r="AH179" s="187"/>
      <c r="AI179" s="187"/>
      <c r="AJ179" s="187"/>
      <c r="AK179" s="187"/>
      <c r="AL179" s="187"/>
      <c r="AM179" s="187"/>
      <c r="AN179" s="187"/>
      <c r="AO179" s="187"/>
      <c r="AP179" s="187"/>
      <c r="AQ179" s="187"/>
      <c r="AR179" s="187"/>
      <c r="AS179" s="187"/>
      <c r="AT179" s="187"/>
      <c r="AU179" s="187"/>
      <c r="AV179" s="187"/>
      <c r="AW179" s="187"/>
      <c r="AX179" s="187"/>
      <c r="AY179" s="187"/>
      <c r="AZ179" s="187"/>
      <c r="BA179" s="187"/>
      <c r="BB179" s="187"/>
      <c r="BC179" s="187"/>
      <c r="BD179" s="187"/>
      <c r="BE179" s="187"/>
      <c r="BF179" s="187"/>
      <c r="BG179" s="187"/>
      <c r="BH179" s="187"/>
      <c r="BI179" s="187"/>
      <c r="BJ179" s="187"/>
      <c r="BK179" s="187"/>
      <c r="BL179" s="187"/>
      <c r="BM179" s="187"/>
      <c r="BN179" s="187"/>
      <c r="BO179" s="187"/>
      <c r="BP179" s="187"/>
      <c r="BQ179" s="187"/>
      <c r="BR179" s="187"/>
      <c r="BS179" s="187"/>
      <c r="BT179" s="187"/>
      <c r="BU179" s="187"/>
      <c r="BV179" s="187"/>
      <c r="BW179" s="187"/>
      <c r="BX179" s="187"/>
      <c r="BY179" s="187"/>
      <c r="BZ179" s="187"/>
      <c r="CA179" s="187"/>
      <c r="CB179" s="187"/>
      <c r="CC179" s="187"/>
      <c r="CD179" s="187"/>
      <c r="CE179" s="187"/>
      <c r="CF179" s="187"/>
      <c r="CG179" s="187"/>
      <c r="CH179" s="187"/>
      <c r="CI179" s="187"/>
      <c r="CJ179" s="187"/>
      <c r="CK179" s="187"/>
      <c r="CL179" s="187"/>
      <c r="CM179" s="187"/>
      <c r="CN179" s="187"/>
      <c r="CO179" s="187"/>
      <c r="CP179" s="187"/>
      <c r="CQ179" s="187"/>
      <c r="CR179" s="187"/>
      <c r="CS179" s="187"/>
      <c r="CT179" s="187"/>
      <c r="CU179" s="187"/>
      <c r="CV179" s="187"/>
      <c r="CW179" s="187"/>
      <c r="CX179" s="187"/>
      <c r="CY179" s="187"/>
      <c r="CZ179" s="187"/>
      <c r="DA179" s="187"/>
      <c r="DB179" s="187"/>
      <c r="DC179" s="187"/>
      <c r="DD179" s="187"/>
      <c r="DE179" s="187"/>
      <c r="DF179" s="187"/>
      <c r="DG179" s="187"/>
      <c r="DH179" s="187"/>
      <c r="DI179" s="187"/>
      <c r="DJ179" s="187"/>
      <c r="DK179" s="187"/>
      <c r="DL179" s="187"/>
      <c r="DM179" s="187"/>
      <c r="DN179" s="187"/>
      <c r="DO179" s="187"/>
      <c r="DP179" s="187"/>
      <c r="DQ179" s="187"/>
      <c r="DR179" s="187"/>
      <c r="DS179" s="187"/>
      <c r="DT179" s="187"/>
      <c r="DU179" s="187"/>
      <c r="DV179" s="187"/>
      <c r="DW179" s="187"/>
      <c r="DX179" s="187"/>
      <c r="DY179" s="187"/>
      <c r="DZ179" s="187"/>
      <c r="EA179" s="187"/>
      <c r="EB179" s="187"/>
      <c r="EC179" s="187"/>
      <c r="ED179" s="187"/>
      <c r="EE179" s="187"/>
      <c r="EF179" s="187"/>
      <c r="EG179" s="187"/>
      <c r="EH179" s="187"/>
      <c r="EI179" s="187"/>
      <c r="EJ179" s="187"/>
      <c r="EK179" s="187"/>
      <c r="EL179" s="187"/>
      <c r="EM179" s="187"/>
      <c r="EN179" s="187"/>
      <c r="EO179" s="187"/>
    </row>
    <row r="180" spans="2:145" ht="13.9" customHeight="1" x14ac:dyDescent="0.2"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  <c r="AA180" s="187"/>
      <c r="AB180" s="187"/>
      <c r="AC180" s="187"/>
      <c r="AD180" s="187"/>
      <c r="AE180" s="187"/>
      <c r="AF180" s="187"/>
      <c r="AG180" s="187"/>
      <c r="AH180" s="187"/>
      <c r="AI180" s="187"/>
      <c r="AJ180" s="187"/>
      <c r="AK180" s="187"/>
      <c r="AL180" s="187"/>
      <c r="AM180" s="187"/>
      <c r="AN180" s="187"/>
      <c r="AO180" s="187"/>
      <c r="AP180" s="187"/>
      <c r="AQ180" s="187"/>
      <c r="AR180" s="187"/>
      <c r="AS180" s="187"/>
      <c r="AT180" s="187"/>
      <c r="AU180" s="187"/>
      <c r="AV180" s="187"/>
      <c r="AW180" s="187"/>
      <c r="AX180" s="187"/>
      <c r="AY180" s="187"/>
      <c r="AZ180" s="187"/>
      <c r="BA180" s="187"/>
      <c r="BB180" s="187"/>
      <c r="BC180" s="187"/>
      <c r="BD180" s="187"/>
      <c r="BE180" s="187"/>
      <c r="BF180" s="187"/>
      <c r="BG180" s="187"/>
      <c r="BH180" s="187"/>
      <c r="BI180" s="187"/>
      <c r="BJ180" s="187"/>
      <c r="BK180" s="187"/>
      <c r="BL180" s="187"/>
      <c r="BM180" s="187"/>
      <c r="BN180" s="187"/>
      <c r="BO180" s="187"/>
      <c r="BP180" s="187"/>
      <c r="BQ180" s="187"/>
      <c r="BR180" s="187"/>
      <c r="BS180" s="187"/>
      <c r="BT180" s="187"/>
      <c r="BU180" s="187"/>
      <c r="BV180" s="187"/>
      <c r="BW180" s="187"/>
      <c r="BX180" s="187"/>
      <c r="BY180" s="187"/>
      <c r="BZ180" s="187"/>
      <c r="CA180" s="187"/>
      <c r="CB180" s="187"/>
      <c r="CC180" s="187"/>
      <c r="CD180" s="187"/>
      <c r="CE180" s="187"/>
      <c r="CF180" s="187"/>
      <c r="CG180" s="187"/>
      <c r="CH180" s="187"/>
      <c r="CI180" s="187"/>
      <c r="CJ180" s="187"/>
      <c r="CK180" s="187"/>
      <c r="CL180" s="187"/>
      <c r="CM180" s="187"/>
      <c r="CN180" s="187"/>
      <c r="CO180" s="187"/>
      <c r="CP180" s="187"/>
      <c r="CQ180" s="187"/>
      <c r="CR180" s="187"/>
      <c r="CS180" s="187"/>
      <c r="CT180" s="187"/>
      <c r="CU180" s="187"/>
      <c r="CV180" s="187"/>
      <c r="CW180" s="187"/>
      <c r="CX180" s="187"/>
      <c r="CY180" s="187"/>
      <c r="CZ180" s="187"/>
      <c r="DA180" s="187"/>
      <c r="DB180" s="187"/>
      <c r="DC180" s="187"/>
      <c r="DD180" s="187"/>
      <c r="DE180" s="187"/>
      <c r="DF180" s="187"/>
      <c r="DG180" s="187"/>
      <c r="DH180" s="187"/>
      <c r="DI180" s="187"/>
      <c r="DJ180" s="187"/>
      <c r="DK180" s="187"/>
      <c r="DL180" s="187"/>
      <c r="DM180" s="187"/>
      <c r="DN180" s="187"/>
      <c r="DO180" s="187"/>
      <c r="DP180" s="187"/>
      <c r="DQ180" s="187"/>
      <c r="DR180" s="187"/>
      <c r="DS180" s="187"/>
      <c r="DT180" s="187"/>
      <c r="DU180" s="187"/>
      <c r="DV180" s="187"/>
      <c r="DW180" s="187"/>
      <c r="DX180" s="187"/>
      <c r="DY180" s="187"/>
      <c r="DZ180" s="187"/>
      <c r="EA180" s="187"/>
      <c r="EB180" s="187"/>
      <c r="EC180" s="187"/>
      <c r="ED180" s="187"/>
      <c r="EE180" s="187"/>
      <c r="EF180" s="187"/>
      <c r="EG180" s="187"/>
      <c r="EH180" s="187"/>
      <c r="EI180" s="187"/>
      <c r="EJ180" s="187"/>
      <c r="EK180" s="187"/>
      <c r="EL180" s="187"/>
      <c r="EM180" s="187"/>
      <c r="EN180" s="187"/>
      <c r="EO180" s="187"/>
    </row>
    <row r="181" spans="2:145" ht="13.9" customHeight="1" x14ac:dyDescent="0.2"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  <c r="AA181" s="187"/>
      <c r="AB181" s="187"/>
      <c r="AC181" s="187"/>
      <c r="AD181" s="187"/>
      <c r="AE181" s="187"/>
      <c r="AF181" s="187"/>
      <c r="AG181" s="187"/>
      <c r="AH181" s="187"/>
      <c r="AI181" s="187"/>
      <c r="AJ181" s="187"/>
      <c r="AK181" s="187"/>
      <c r="AL181" s="187"/>
      <c r="AM181" s="187"/>
      <c r="AN181" s="187"/>
      <c r="AO181" s="187"/>
      <c r="AP181" s="187"/>
      <c r="AQ181" s="187"/>
      <c r="AR181" s="187"/>
      <c r="AS181" s="187"/>
      <c r="AT181" s="187"/>
      <c r="AU181" s="187"/>
      <c r="AV181" s="187"/>
      <c r="AW181" s="187"/>
      <c r="AX181" s="187"/>
      <c r="AY181" s="187"/>
      <c r="AZ181" s="187"/>
      <c r="BA181" s="187"/>
      <c r="BB181" s="187"/>
      <c r="BC181" s="187"/>
      <c r="BD181" s="187"/>
      <c r="BE181" s="187"/>
      <c r="BF181" s="187"/>
      <c r="BG181" s="187"/>
      <c r="BH181" s="187"/>
      <c r="BI181" s="187"/>
      <c r="BJ181" s="187"/>
      <c r="BK181" s="187"/>
      <c r="BL181" s="187"/>
      <c r="BM181" s="187"/>
      <c r="BN181" s="187"/>
      <c r="BO181" s="187"/>
      <c r="BP181" s="187"/>
      <c r="BQ181" s="187"/>
      <c r="BR181" s="187"/>
      <c r="BS181" s="187"/>
      <c r="BT181" s="187"/>
      <c r="BU181" s="187"/>
      <c r="BV181" s="187"/>
      <c r="BW181" s="187"/>
      <c r="BX181" s="187"/>
      <c r="BY181" s="187"/>
      <c r="BZ181" s="187"/>
      <c r="CA181" s="187"/>
      <c r="CB181" s="187"/>
      <c r="CC181" s="187"/>
      <c r="CD181" s="187"/>
      <c r="CE181" s="187"/>
      <c r="CF181" s="187"/>
      <c r="CG181" s="187"/>
      <c r="CH181" s="187"/>
      <c r="CI181" s="187"/>
      <c r="CJ181" s="187"/>
      <c r="CK181" s="187"/>
      <c r="CL181" s="187"/>
      <c r="CM181" s="187"/>
      <c r="CN181" s="187"/>
      <c r="CO181" s="187"/>
      <c r="CP181" s="187"/>
      <c r="CQ181" s="187"/>
      <c r="CR181" s="187"/>
      <c r="CS181" s="187"/>
      <c r="CT181" s="187"/>
      <c r="CU181" s="187"/>
      <c r="CV181" s="187"/>
      <c r="CW181" s="187"/>
      <c r="CX181" s="187"/>
      <c r="CY181" s="187"/>
      <c r="CZ181" s="187"/>
      <c r="DA181" s="187"/>
      <c r="DB181" s="187"/>
      <c r="DC181" s="187"/>
      <c r="DD181" s="187"/>
      <c r="DE181" s="187"/>
      <c r="DF181" s="187"/>
      <c r="DG181" s="187"/>
      <c r="DH181" s="187"/>
      <c r="DI181" s="187"/>
      <c r="DJ181" s="187"/>
      <c r="DK181" s="187"/>
      <c r="DL181" s="187"/>
      <c r="DM181" s="187"/>
      <c r="DN181" s="187"/>
      <c r="DO181" s="187"/>
      <c r="DP181" s="187"/>
      <c r="DQ181" s="187"/>
      <c r="DR181" s="187"/>
      <c r="DS181" s="187"/>
      <c r="DT181" s="187"/>
      <c r="DU181" s="187"/>
      <c r="DV181" s="187"/>
      <c r="DW181" s="187"/>
      <c r="DX181" s="187"/>
      <c r="DY181" s="187"/>
      <c r="DZ181" s="187"/>
      <c r="EA181" s="187"/>
      <c r="EB181" s="187"/>
      <c r="EC181" s="187"/>
      <c r="ED181" s="187"/>
      <c r="EE181" s="187"/>
      <c r="EF181" s="187"/>
      <c r="EG181" s="187"/>
      <c r="EH181" s="187"/>
      <c r="EI181" s="187"/>
      <c r="EJ181" s="187"/>
      <c r="EK181" s="187"/>
      <c r="EL181" s="187"/>
      <c r="EM181" s="187"/>
      <c r="EN181" s="187"/>
      <c r="EO181" s="187"/>
    </row>
    <row r="182" spans="2:145" ht="13.9" customHeight="1" x14ac:dyDescent="0.2"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  <c r="AA182" s="187"/>
      <c r="AB182" s="187"/>
      <c r="AC182" s="187"/>
      <c r="AD182" s="187"/>
      <c r="AE182" s="187"/>
      <c r="AF182" s="187"/>
      <c r="AG182" s="187"/>
      <c r="AH182" s="187"/>
      <c r="AI182" s="187"/>
      <c r="AJ182" s="187"/>
      <c r="AK182" s="187"/>
      <c r="AL182" s="187"/>
      <c r="AM182" s="187"/>
      <c r="AN182" s="187"/>
      <c r="AO182" s="187"/>
      <c r="AP182" s="187"/>
      <c r="AQ182" s="187"/>
      <c r="AR182" s="187"/>
      <c r="AS182" s="187"/>
      <c r="AT182" s="187"/>
      <c r="AU182" s="187"/>
      <c r="AV182" s="187"/>
      <c r="AW182" s="187"/>
      <c r="AX182" s="187"/>
      <c r="AY182" s="187"/>
      <c r="AZ182" s="187"/>
      <c r="BA182" s="187"/>
      <c r="BB182" s="187"/>
      <c r="BC182" s="187"/>
      <c r="BD182" s="187"/>
      <c r="BE182" s="187"/>
      <c r="BF182" s="187"/>
      <c r="BG182" s="187"/>
      <c r="BH182" s="187"/>
      <c r="BI182" s="187"/>
      <c r="BJ182" s="187"/>
      <c r="BK182" s="187"/>
      <c r="BL182" s="187"/>
      <c r="BM182" s="187"/>
      <c r="BN182" s="187"/>
      <c r="BO182" s="187"/>
      <c r="BP182" s="187"/>
      <c r="BQ182" s="187"/>
      <c r="BR182" s="187"/>
      <c r="BS182" s="187"/>
      <c r="BT182" s="187"/>
      <c r="BU182" s="187"/>
      <c r="BV182" s="187"/>
      <c r="BW182" s="187"/>
      <c r="BX182" s="187"/>
      <c r="BY182" s="187"/>
      <c r="BZ182" s="187"/>
      <c r="CA182" s="187"/>
      <c r="CB182" s="187"/>
      <c r="CC182" s="187"/>
      <c r="CD182" s="187"/>
      <c r="CE182" s="187"/>
      <c r="CF182" s="187"/>
      <c r="CG182" s="187"/>
      <c r="CH182" s="187"/>
      <c r="CI182" s="187"/>
      <c r="CJ182" s="187"/>
      <c r="CK182" s="187"/>
      <c r="CL182" s="187"/>
      <c r="CM182" s="187"/>
      <c r="CN182" s="187"/>
      <c r="CO182" s="187"/>
      <c r="CP182" s="187"/>
      <c r="CQ182" s="187"/>
      <c r="CR182" s="187"/>
      <c r="CS182" s="187"/>
      <c r="CT182" s="187"/>
      <c r="CU182" s="187"/>
      <c r="CV182" s="187"/>
      <c r="CW182" s="187"/>
      <c r="CX182" s="187"/>
      <c r="CY182" s="187"/>
      <c r="CZ182" s="187"/>
      <c r="DA182" s="187"/>
      <c r="DB182" s="187"/>
      <c r="DC182" s="187"/>
      <c r="DD182" s="187"/>
      <c r="DE182" s="187"/>
      <c r="DF182" s="187"/>
      <c r="DG182" s="187"/>
      <c r="DH182" s="187"/>
      <c r="DI182" s="187"/>
      <c r="DJ182" s="187"/>
      <c r="DK182" s="187"/>
      <c r="DL182" s="187"/>
      <c r="DM182" s="187"/>
      <c r="DN182" s="187"/>
      <c r="DO182" s="187"/>
      <c r="DP182" s="187"/>
      <c r="DQ182" s="187"/>
      <c r="DR182" s="187"/>
      <c r="DS182" s="187"/>
      <c r="DT182" s="187"/>
      <c r="DU182" s="187"/>
      <c r="DV182" s="187"/>
      <c r="DW182" s="187"/>
      <c r="DX182" s="187"/>
      <c r="DY182" s="187"/>
      <c r="DZ182" s="187"/>
      <c r="EA182" s="187"/>
      <c r="EB182" s="187"/>
      <c r="EC182" s="187"/>
      <c r="ED182" s="187"/>
      <c r="EE182" s="187"/>
      <c r="EF182" s="187"/>
      <c r="EG182" s="187"/>
      <c r="EH182" s="187"/>
      <c r="EI182" s="187"/>
      <c r="EJ182" s="187"/>
      <c r="EK182" s="187"/>
      <c r="EL182" s="187"/>
      <c r="EM182" s="187"/>
      <c r="EN182" s="187"/>
      <c r="EO182" s="187"/>
    </row>
    <row r="183" spans="2:145" ht="13.9" customHeight="1" x14ac:dyDescent="0.2"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  <c r="AA183" s="187"/>
      <c r="AB183" s="187"/>
      <c r="AC183" s="187"/>
      <c r="AD183" s="187"/>
      <c r="AE183" s="187"/>
      <c r="AF183" s="187"/>
      <c r="AG183" s="187"/>
      <c r="AH183" s="187"/>
      <c r="AI183" s="187"/>
      <c r="AJ183" s="187"/>
      <c r="AK183" s="187"/>
      <c r="AL183" s="187"/>
      <c r="AM183" s="187"/>
      <c r="AN183" s="187"/>
      <c r="AO183" s="187"/>
      <c r="AP183" s="187"/>
      <c r="AQ183" s="187"/>
      <c r="AR183" s="187"/>
      <c r="AS183" s="187"/>
      <c r="AT183" s="187"/>
      <c r="AU183" s="187"/>
      <c r="AV183" s="187"/>
      <c r="AW183" s="187"/>
      <c r="AX183" s="187"/>
      <c r="AY183" s="187"/>
      <c r="AZ183" s="187"/>
      <c r="BA183" s="187"/>
      <c r="BB183" s="187"/>
      <c r="BC183" s="187"/>
      <c r="BD183" s="187"/>
      <c r="BE183" s="187"/>
      <c r="BF183" s="187"/>
      <c r="BG183" s="187"/>
      <c r="BH183" s="187"/>
      <c r="BI183" s="187"/>
      <c r="BJ183" s="187"/>
      <c r="BK183" s="187"/>
      <c r="BL183" s="187"/>
      <c r="BM183" s="187"/>
      <c r="BN183" s="187"/>
      <c r="BO183" s="187"/>
      <c r="BP183" s="187"/>
      <c r="BQ183" s="187"/>
      <c r="BR183" s="187"/>
      <c r="BS183" s="187"/>
      <c r="BT183" s="187"/>
      <c r="BU183" s="187"/>
      <c r="BV183" s="187"/>
      <c r="BW183" s="187"/>
      <c r="BX183" s="187"/>
      <c r="BY183" s="187"/>
      <c r="BZ183" s="187"/>
      <c r="CA183" s="187"/>
      <c r="CB183" s="187"/>
      <c r="CC183" s="187"/>
      <c r="CD183" s="187"/>
      <c r="CE183" s="187"/>
      <c r="CF183" s="187"/>
      <c r="CG183" s="187"/>
      <c r="CH183" s="187"/>
      <c r="CI183" s="187"/>
      <c r="CJ183" s="187"/>
      <c r="CK183" s="187"/>
      <c r="CL183" s="187"/>
      <c r="CM183" s="187"/>
      <c r="CN183" s="187"/>
      <c r="CO183" s="187"/>
      <c r="CP183" s="187"/>
      <c r="CQ183" s="187"/>
      <c r="CR183" s="187"/>
      <c r="CS183" s="187"/>
      <c r="CT183" s="187"/>
      <c r="CU183" s="187"/>
      <c r="CV183" s="187"/>
      <c r="CW183" s="187"/>
      <c r="CX183" s="187"/>
      <c r="CY183" s="187"/>
      <c r="CZ183" s="187"/>
      <c r="DA183" s="187"/>
      <c r="DB183" s="187"/>
      <c r="DC183" s="187"/>
      <c r="DD183" s="187"/>
      <c r="DE183" s="187"/>
      <c r="DF183" s="187"/>
      <c r="DG183" s="187"/>
      <c r="DH183" s="187"/>
      <c r="DI183" s="187"/>
      <c r="DJ183" s="187"/>
      <c r="DK183" s="187"/>
      <c r="DL183" s="187"/>
      <c r="DM183" s="187"/>
      <c r="DN183" s="187"/>
      <c r="DO183" s="187"/>
      <c r="DP183" s="187"/>
      <c r="DQ183" s="187"/>
      <c r="DR183" s="187"/>
      <c r="DS183" s="187"/>
      <c r="DT183" s="187"/>
      <c r="DU183" s="187"/>
      <c r="DV183" s="187"/>
      <c r="DW183" s="187"/>
      <c r="DX183" s="187"/>
      <c r="DY183" s="187"/>
      <c r="DZ183" s="187"/>
      <c r="EA183" s="187"/>
      <c r="EB183" s="187"/>
      <c r="EC183" s="187"/>
      <c r="ED183" s="187"/>
      <c r="EE183" s="187"/>
      <c r="EF183" s="187"/>
      <c r="EG183" s="187"/>
      <c r="EH183" s="187"/>
      <c r="EI183" s="187"/>
      <c r="EJ183" s="187"/>
      <c r="EK183" s="187"/>
      <c r="EL183" s="187"/>
      <c r="EM183" s="187"/>
      <c r="EN183" s="187"/>
      <c r="EO183" s="187"/>
    </row>
    <row r="184" spans="2:145" ht="13.9" customHeight="1" x14ac:dyDescent="0.2"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  <c r="AA184" s="187"/>
      <c r="AB184" s="187"/>
      <c r="AC184" s="187"/>
      <c r="AD184" s="187"/>
      <c r="AE184" s="187"/>
      <c r="AF184" s="187"/>
      <c r="AG184" s="187"/>
      <c r="AH184" s="187"/>
      <c r="AI184" s="187"/>
      <c r="AJ184" s="187"/>
      <c r="AK184" s="187"/>
      <c r="AL184" s="187"/>
      <c r="AM184" s="187"/>
      <c r="AN184" s="187"/>
      <c r="AO184" s="187"/>
      <c r="AP184" s="187"/>
      <c r="AQ184" s="187"/>
      <c r="AR184" s="187"/>
      <c r="AS184" s="187"/>
      <c r="AT184" s="187"/>
      <c r="AU184" s="187"/>
      <c r="AV184" s="187"/>
      <c r="AW184" s="187"/>
      <c r="AX184" s="187"/>
      <c r="AY184" s="187"/>
      <c r="AZ184" s="187"/>
      <c r="BA184" s="187"/>
      <c r="BB184" s="187"/>
      <c r="BC184" s="187"/>
      <c r="BD184" s="187"/>
      <c r="BE184" s="187"/>
      <c r="BF184" s="187"/>
      <c r="BG184" s="187"/>
      <c r="BH184" s="187"/>
      <c r="BI184" s="187"/>
      <c r="BJ184" s="187"/>
      <c r="BK184" s="187"/>
      <c r="BL184" s="187"/>
      <c r="BM184" s="187"/>
      <c r="BN184" s="187"/>
      <c r="BO184" s="187"/>
      <c r="BP184" s="187"/>
      <c r="BQ184" s="187"/>
      <c r="BR184" s="187"/>
      <c r="BS184" s="187"/>
      <c r="BT184" s="187"/>
      <c r="BU184" s="187"/>
      <c r="BV184" s="187"/>
      <c r="BW184" s="187"/>
      <c r="BX184" s="187"/>
      <c r="BY184" s="187"/>
      <c r="BZ184" s="187"/>
      <c r="CA184" s="187"/>
      <c r="CB184" s="187"/>
      <c r="CC184" s="187"/>
      <c r="CD184" s="187"/>
      <c r="CE184" s="187"/>
      <c r="CF184" s="187"/>
      <c r="CG184" s="187"/>
      <c r="CH184" s="187"/>
      <c r="CI184" s="187"/>
      <c r="CJ184" s="187"/>
      <c r="CK184" s="187"/>
      <c r="CL184" s="187"/>
      <c r="CM184" s="187"/>
      <c r="CN184" s="187"/>
      <c r="CO184" s="187"/>
      <c r="CP184" s="187"/>
      <c r="CQ184" s="187"/>
      <c r="CR184" s="187"/>
      <c r="CS184" s="187"/>
      <c r="CT184" s="187"/>
      <c r="CU184" s="187"/>
      <c r="CV184" s="187"/>
      <c r="CW184" s="187"/>
      <c r="CX184" s="187"/>
      <c r="CY184" s="187"/>
      <c r="CZ184" s="187"/>
      <c r="DA184" s="187"/>
      <c r="DB184" s="187"/>
      <c r="DC184" s="187"/>
      <c r="DD184" s="187"/>
      <c r="DE184" s="187"/>
      <c r="DF184" s="187"/>
      <c r="DG184" s="187"/>
      <c r="DH184" s="187"/>
      <c r="DI184" s="187"/>
      <c r="DJ184" s="187"/>
      <c r="DK184" s="187"/>
      <c r="DL184" s="187"/>
      <c r="DM184" s="187"/>
      <c r="DN184" s="187"/>
      <c r="DO184" s="187"/>
      <c r="DP184" s="187"/>
      <c r="DQ184" s="187"/>
      <c r="DR184" s="187"/>
      <c r="DS184" s="187"/>
      <c r="DT184" s="187"/>
      <c r="DU184" s="187"/>
      <c r="DV184" s="187"/>
      <c r="DW184" s="187"/>
      <c r="DX184" s="187"/>
      <c r="DY184" s="187"/>
      <c r="DZ184" s="187"/>
      <c r="EA184" s="187"/>
      <c r="EB184" s="187"/>
      <c r="EC184" s="187"/>
      <c r="ED184" s="187"/>
      <c r="EE184" s="187"/>
      <c r="EF184" s="187"/>
      <c r="EG184" s="187"/>
      <c r="EH184" s="187"/>
      <c r="EI184" s="187"/>
      <c r="EJ184" s="187"/>
      <c r="EK184" s="187"/>
      <c r="EL184" s="187"/>
      <c r="EM184" s="187"/>
      <c r="EN184" s="187"/>
      <c r="EO184" s="187"/>
    </row>
    <row r="185" spans="2:145" ht="13.9" customHeight="1" x14ac:dyDescent="0.2"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  <c r="AA185" s="187"/>
      <c r="AB185" s="187"/>
      <c r="AC185" s="187"/>
      <c r="AD185" s="187"/>
      <c r="AE185" s="187"/>
      <c r="AF185" s="187"/>
      <c r="AG185" s="187"/>
      <c r="AH185" s="187"/>
      <c r="AI185" s="187"/>
      <c r="AJ185" s="187"/>
      <c r="AK185" s="187"/>
      <c r="AL185" s="187"/>
      <c r="AM185" s="187"/>
      <c r="AN185" s="187"/>
      <c r="AO185" s="187"/>
      <c r="AP185" s="187"/>
      <c r="AQ185" s="187"/>
      <c r="AR185" s="187"/>
      <c r="AS185" s="187"/>
      <c r="AT185" s="187"/>
      <c r="AU185" s="187"/>
      <c r="AV185" s="187"/>
      <c r="AW185" s="187"/>
      <c r="AX185" s="187"/>
      <c r="AY185" s="187"/>
      <c r="AZ185" s="187"/>
      <c r="BA185" s="187"/>
      <c r="BB185" s="187"/>
      <c r="BC185" s="187"/>
      <c r="BD185" s="187"/>
      <c r="BE185" s="187"/>
      <c r="BF185" s="187"/>
      <c r="BG185" s="187"/>
      <c r="BH185" s="187"/>
      <c r="BI185" s="187"/>
      <c r="BJ185" s="187"/>
      <c r="BK185" s="187"/>
      <c r="BL185" s="187"/>
      <c r="BM185" s="187"/>
      <c r="BN185" s="187"/>
      <c r="BO185" s="187"/>
      <c r="BP185" s="187"/>
      <c r="BQ185" s="187"/>
      <c r="BR185" s="187"/>
      <c r="BS185" s="187"/>
      <c r="BT185" s="187"/>
      <c r="BU185" s="187"/>
      <c r="BV185" s="187"/>
      <c r="BW185" s="187"/>
      <c r="BX185" s="187"/>
      <c r="BY185" s="187"/>
      <c r="BZ185" s="187"/>
      <c r="CA185" s="187"/>
      <c r="CB185" s="187"/>
      <c r="CC185" s="187"/>
      <c r="CD185" s="187"/>
      <c r="CE185" s="187"/>
      <c r="CF185" s="187"/>
      <c r="CG185" s="187"/>
      <c r="CH185" s="187"/>
      <c r="CI185" s="187"/>
      <c r="CJ185" s="187"/>
      <c r="CK185" s="187"/>
      <c r="CL185" s="187"/>
      <c r="CM185" s="187"/>
      <c r="CN185" s="187"/>
      <c r="CO185" s="187"/>
      <c r="CP185" s="187"/>
      <c r="CQ185" s="187"/>
      <c r="CR185" s="187"/>
      <c r="CS185" s="187"/>
      <c r="CT185" s="187"/>
      <c r="CU185" s="187"/>
      <c r="CV185" s="187"/>
      <c r="CW185" s="187"/>
      <c r="CX185" s="187"/>
      <c r="CY185" s="187"/>
      <c r="CZ185" s="187"/>
      <c r="DA185" s="187"/>
      <c r="DB185" s="187"/>
      <c r="DC185" s="187"/>
      <c r="DD185" s="187"/>
      <c r="DE185" s="187"/>
      <c r="DF185" s="187"/>
      <c r="DG185" s="187"/>
      <c r="DH185" s="187"/>
      <c r="DI185" s="187"/>
      <c r="DJ185" s="187"/>
      <c r="DK185" s="187"/>
      <c r="DL185" s="187"/>
      <c r="DM185" s="187"/>
      <c r="DN185" s="187"/>
      <c r="DO185" s="187"/>
      <c r="DP185" s="187"/>
      <c r="DQ185" s="187"/>
      <c r="DR185" s="187"/>
      <c r="DS185" s="187"/>
      <c r="DT185" s="187"/>
      <c r="DU185" s="187"/>
      <c r="DV185" s="187"/>
      <c r="DW185" s="187"/>
      <c r="DX185" s="187"/>
      <c r="DY185" s="187"/>
      <c r="DZ185" s="187"/>
      <c r="EA185" s="187"/>
      <c r="EB185" s="187"/>
      <c r="EC185" s="187"/>
      <c r="ED185" s="187"/>
      <c r="EE185" s="187"/>
      <c r="EF185" s="187"/>
      <c r="EG185" s="187"/>
      <c r="EH185" s="187"/>
      <c r="EI185" s="187"/>
      <c r="EJ185" s="187"/>
      <c r="EK185" s="187"/>
      <c r="EL185" s="187"/>
      <c r="EM185" s="187"/>
      <c r="EN185" s="187"/>
      <c r="EO185" s="187"/>
    </row>
    <row r="186" spans="2:145" ht="13.9" customHeight="1" x14ac:dyDescent="0.2"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  <c r="AA186" s="187"/>
      <c r="AB186" s="187"/>
      <c r="AC186" s="187"/>
      <c r="AD186" s="187"/>
      <c r="AE186" s="187"/>
      <c r="AF186" s="187"/>
      <c r="AG186" s="187"/>
      <c r="AH186" s="187"/>
      <c r="AI186" s="187"/>
      <c r="AJ186" s="187"/>
      <c r="AK186" s="187"/>
      <c r="AL186" s="187"/>
      <c r="AM186" s="187"/>
      <c r="AN186" s="187"/>
      <c r="AO186" s="187"/>
      <c r="AP186" s="187"/>
      <c r="AQ186" s="187"/>
      <c r="AR186" s="187"/>
      <c r="AS186" s="187"/>
      <c r="AT186" s="187"/>
      <c r="AU186" s="187"/>
      <c r="AV186" s="187"/>
      <c r="AW186" s="187"/>
      <c r="AX186" s="187"/>
      <c r="AY186" s="187"/>
      <c r="AZ186" s="187"/>
      <c r="BA186" s="187"/>
      <c r="BB186" s="187"/>
      <c r="BC186" s="187"/>
      <c r="BD186" s="187"/>
      <c r="BE186" s="187"/>
      <c r="BF186" s="187"/>
      <c r="BG186" s="187"/>
      <c r="BH186" s="187"/>
      <c r="BI186" s="187"/>
      <c r="BJ186" s="187"/>
      <c r="BK186" s="187"/>
      <c r="BL186" s="187"/>
      <c r="BM186" s="187"/>
      <c r="BN186" s="187"/>
      <c r="BO186" s="187"/>
      <c r="BP186" s="187"/>
      <c r="BQ186" s="187"/>
      <c r="BR186" s="187"/>
      <c r="BS186" s="187"/>
      <c r="BT186" s="187"/>
      <c r="BU186" s="187"/>
      <c r="BV186" s="187"/>
      <c r="BW186" s="187"/>
      <c r="BX186" s="187"/>
      <c r="BY186" s="187"/>
      <c r="BZ186" s="187"/>
      <c r="CA186" s="187"/>
      <c r="CB186" s="187"/>
      <c r="CC186" s="187"/>
      <c r="CD186" s="187"/>
      <c r="CE186" s="187"/>
      <c r="CF186" s="187"/>
      <c r="CG186" s="187"/>
      <c r="CH186" s="187"/>
      <c r="CI186" s="187"/>
      <c r="CJ186" s="187"/>
      <c r="CK186" s="187"/>
      <c r="CL186" s="187"/>
      <c r="CM186" s="187"/>
      <c r="CN186" s="187"/>
      <c r="CO186" s="187"/>
      <c r="CP186" s="187"/>
      <c r="CQ186" s="187"/>
      <c r="CR186" s="187"/>
      <c r="CS186" s="187"/>
      <c r="CT186" s="187"/>
      <c r="CU186" s="187"/>
      <c r="CV186" s="187"/>
      <c r="CW186" s="187"/>
      <c r="CX186" s="187"/>
      <c r="CY186" s="187"/>
      <c r="CZ186" s="187"/>
      <c r="DA186" s="187"/>
      <c r="DB186" s="187"/>
      <c r="DC186" s="187"/>
      <c r="DD186" s="187"/>
      <c r="DE186" s="187"/>
      <c r="DF186" s="187"/>
      <c r="DG186" s="187"/>
      <c r="DH186" s="187"/>
      <c r="DI186" s="187"/>
      <c r="DJ186" s="187"/>
      <c r="DK186" s="187"/>
      <c r="DL186" s="187"/>
      <c r="DM186" s="187"/>
      <c r="DN186" s="187"/>
      <c r="DO186" s="187"/>
      <c r="DP186" s="187"/>
      <c r="DQ186" s="187"/>
      <c r="DR186" s="187"/>
      <c r="DS186" s="187"/>
      <c r="DT186" s="187"/>
      <c r="DU186" s="187"/>
      <c r="DV186" s="187"/>
      <c r="DW186" s="187"/>
      <c r="DX186" s="187"/>
      <c r="DY186" s="187"/>
      <c r="DZ186" s="187"/>
      <c r="EA186" s="187"/>
      <c r="EB186" s="187"/>
      <c r="EC186" s="187"/>
      <c r="ED186" s="187"/>
      <c r="EE186" s="187"/>
      <c r="EF186" s="187"/>
      <c r="EG186" s="187"/>
      <c r="EH186" s="187"/>
      <c r="EI186" s="187"/>
      <c r="EJ186" s="187"/>
      <c r="EK186" s="187"/>
      <c r="EL186" s="187"/>
      <c r="EM186" s="187"/>
      <c r="EN186" s="187"/>
      <c r="EO186" s="187"/>
    </row>
    <row r="187" spans="2:145" ht="13.9" customHeight="1" x14ac:dyDescent="0.2"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  <c r="AA187" s="187"/>
      <c r="AB187" s="187"/>
      <c r="AC187" s="187"/>
      <c r="AD187" s="187"/>
      <c r="AE187" s="187"/>
      <c r="AF187" s="187"/>
      <c r="AG187" s="187"/>
      <c r="AH187" s="187"/>
      <c r="AI187" s="187"/>
      <c r="AJ187" s="187"/>
      <c r="AK187" s="187"/>
      <c r="AL187" s="187"/>
      <c r="AM187" s="187"/>
      <c r="AN187" s="187"/>
      <c r="AO187" s="187"/>
      <c r="AP187" s="187"/>
      <c r="AQ187" s="187"/>
      <c r="AR187" s="187"/>
      <c r="AS187" s="187"/>
      <c r="AT187" s="187"/>
      <c r="AU187" s="187"/>
      <c r="AV187" s="187"/>
      <c r="AW187" s="187"/>
      <c r="AX187" s="187"/>
      <c r="AY187" s="187"/>
      <c r="AZ187" s="187"/>
      <c r="BA187" s="187"/>
      <c r="BB187" s="187"/>
      <c r="BC187" s="187"/>
      <c r="BD187" s="187"/>
      <c r="BE187" s="187"/>
      <c r="BF187" s="187"/>
      <c r="BG187" s="187"/>
      <c r="BH187" s="187"/>
      <c r="BI187" s="187"/>
      <c r="BJ187" s="187"/>
      <c r="BK187" s="187"/>
      <c r="BL187" s="187"/>
      <c r="BM187" s="187"/>
      <c r="BN187" s="187"/>
      <c r="BO187" s="187"/>
      <c r="BP187" s="187"/>
      <c r="BQ187" s="187"/>
      <c r="BR187" s="187"/>
      <c r="BS187" s="187"/>
      <c r="BT187" s="187"/>
      <c r="BU187" s="187"/>
      <c r="BV187" s="187"/>
      <c r="BW187" s="187"/>
      <c r="BX187" s="187"/>
      <c r="BY187" s="187"/>
      <c r="BZ187" s="187"/>
      <c r="CA187" s="187"/>
      <c r="CB187" s="187"/>
      <c r="CC187" s="187"/>
      <c r="CD187" s="187"/>
      <c r="CE187" s="187"/>
      <c r="CF187" s="187"/>
      <c r="CG187" s="187"/>
      <c r="CH187" s="187"/>
      <c r="CI187" s="187"/>
      <c r="CJ187" s="187"/>
      <c r="CK187" s="187"/>
      <c r="CL187" s="187"/>
      <c r="CM187" s="187"/>
      <c r="CN187" s="187"/>
      <c r="CO187" s="187"/>
      <c r="CP187" s="187"/>
      <c r="CQ187" s="187"/>
      <c r="CR187" s="187"/>
      <c r="CS187" s="187"/>
      <c r="CT187" s="187"/>
      <c r="CU187" s="187"/>
      <c r="CV187" s="187"/>
      <c r="CW187" s="187"/>
      <c r="CX187" s="187"/>
      <c r="CY187" s="187"/>
      <c r="CZ187" s="187"/>
      <c r="DA187" s="187"/>
      <c r="DB187" s="187"/>
      <c r="DC187" s="187"/>
      <c r="DD187" s="187"/>
      <c r="DE187" s="187"/>
      <c r="DF187" s="187"/>
      <c r="DG187" s="187"/>
      <c r="DH187" s="187"/>
      <c r="DI187" s="187"/>
      <c r="DJ187" s="187"/>
      <c r="DK187" s="187"/>
      <c r="DL187" s="187"/>
      <c r="DM187" s="187"/>
      <c r="DN187" s="187"/>
      <c r="DO187" s="187"/>
      <c r="DP187" s="187"/>
      <c r="DQ187" s="187"/>
      <c r="DR187" s="187"/>
      <c r="DS187" s="187"/>
      <c r="DT187" s="187"/>
      <c r="DU187" s="187"/>
      <c r="DV187" s="187"/>
      <c r="DW187" s="187"/>
      <c r="DX187" s="187"/>
      <c r="DY187" s="187"/>
      <c r="DZ187" s="187"/>
      <c r="EA187" s="187"/>
      <c r="EB187" s="187"/>
      <c r="EC187" s="187"/>
      <c r="ED187" s="187"/>
      <c r="EE187" s="187"/>
      <c r="EF187" s="187"/>
      <c r="EG187" s="187"/>
      <c r="EH187" s="187"/>
      <c r="EI187" s="187"/>
      <c r="EJ187" s="187"/>
      <c r="EK187" s="187"/>
      <c r="EL187" s="187"/>
      <c r="EM187" s="187"/>
      <c r="EN187" s="187"/>
      <c r="EO187" s="187"/>
    </row>
    <row r="188" spans="2:145" ht="13.9" customHeight="1" x14ac:dyDescent="0.2"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  <c r="AA188" s="187"/>
      <c r="AB188" s="187"/>
      <c r="AC188" s="187"/>
      <c r="AD188" s="187"/>
      <c r="AE188" s="187"/>
      <c r="AF188" s="187"/>
      <c r="AG188" s="187"/>
      <c r="AH188" s="187"/>
      <c r="AI188" s="187"/>
      <c r="AJ188" s="187"/>
      <c r="AK188" s="187"/>
      <c r="AL188" s="187"/>
      <c r="AM188" s="187"/>
      <c r="AN188" s="187"/>
      <c r="AO188" s="187"/>
      <c r="AP188" s="187"/>
      <c r="AQ188" s="187"/>
      <c r="AR188" s="187"/>
      <c r="AS188" s="187"/>
      <c r="AT188" s="187"/>
      <c r="AU188" s="187"/>
      <c r="AV188" s="187"/>
      <c r="AW188" s="187"/>
      <c r="AX188" s="187"/>
      <c r="AY188" s="187"/>
      <c r="AZ188" s="187"/>
      <c r="BA188" s="187"/>
      <c r="BB188" s="187"/>
      <c r="BC188" s="187"/>
      <c r="BD188" s="187"/>
      <c r="BE188" s="187"/>
      <c r="BF188" s="187"/>
      <c r="BG188" s="187"/>
      <c r="BH188" s="187"/>
      <c r="BI188" s="187"/>
      <c r="BJ188" s="187"/>
      <c r="BK188" s="187"/>
      <c r="BL188" s="187"/>
      <c r="BM188" s="187"/>
      <c r="BN188" s="187"/>
      <c r="BO188" s="187"/>
      <c r="BP188" s="187"/>
      <c r="BQ188" s="187"/>
      <c r="BR188" s="187"/>
      <c r="BS188" s="187"/>
      <c r="BT188" s="187"/>
      <c r="BU188" s="187"/>
      <c r="BV188" s="187"/>
      <c r="BW188" s="187"/>
      <c r="BX188" s="187"/>
      <c r="BY188" s="187"/>
      <c r="BZ188" s="187"/>
      <c r="CA188" s="187"/>
      <c r="CB188" s="187"/>
      <c r="CC188" s="187"/>
      <c r="CD188" s="187"/>
      <c r="CE188" s="187"/>
      <c r="CF188" s="187"/>
      <c r="CG188" s="187"/>
      <c r="CH188" s="187"/>
      <c r="CI188" s="187"/>
      <c r="CJ188" s="187"/>
      <c r="CK188" s="187"/>
      <c r="CL188" s="187"/>
      <c r="CM188" s="187"/>
      <c r="CN188" s="187"/>
      <c r="CO188" s="187"/>
      <c r="CP188" s="187"/>
      <c r="CQ188" s="187"/>
      <c r="CR188" s="187"/>
      <c r="CS188" s="187"/>
      <c r="CT188" s="187"/>
      <c r="CU188" s="187"/>
      <c r="CV188" s="187"/>
      <c r="CW188" s="187"/>
      <c r="CX188" s="187"/>
      <c r="CY188" s="187"/>
      <c r="CZ188" s="187"/>
      <c r="DA188" s="187"/>
      <c r="DB188" s="187"/>
      <c r="DC188" s="187"/>
      <c r="DD188" s="187"/>
      <c r="DE188" s="187"/>
      <c r="DF188" s="187"/>
      <c r="DG188" s="187"/>
      <c r="DH188" s="187"/>
      <c r="DI188" s="187"/>
      <c r="DJ188" s="187"/>
      <c r="DK188" s="187"/>
      <c r="DL188" s="187"/>
      <c r="DM188" s="187"/>
      <c r="DN188" s="187"/>
      <c r="DO188" s="187"/>
      <c r="DP188" s="187"/>
      <c r="DQ188" s="187"/>
      <c r="DR188" s="187"/>
      <c r="DS188" s="187"/>
      <c r="DT188" s="187"/>
      <c r="DU188" s="187"/>
      <c r="DV188" s="187"/>
      <c r="DW188" s="187"/>
      <c r="DX188" s="187"/>
      <c r="DY188" s="187"/>
      <c r="DZ188" s="187"/>
      <c r="EA188" s="187"/>
      <c r="EB188" s="187"/>
      <c r="EC188" s="187"/>
      <c r="ED188" s="187"/>
      <c r="EE188" s="187"/>
      <c r="EF188" s="187"/>
      <c r="EG188" s="187"/>
      <c r="EH188" s="187"/>
      <c r="EI188" s="187"/>
      <c r="EJ188" s="187"/>
      <c r="EK188" s="187"/>
      <c r="EL188" s="187"/>
      <c r="EM188" s="187"/>
      <c r="EN188" s="187"/>
      <c r="EO188" s="187"/>
    </row>
    <row r="189" spans="2:145" ht="13.9" customHeight="1" x14ac:dyDescent="0.2"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  <c r="AA189" s="187"/>
      <c r="AB189" s="187"/>
      <c r="AC189" s="187"/>
      <c r="AD189" s="187"/>
      <c r="AE189" s="187"/>
      <c r="AF189" s="187"/>
      <c r="AG189" s="187"/>
      <c r="AH189" s="187"/>
      <c r="AI189" s="187"/>
      <c r="AJ189" s="187"/>
      <c r="AK189" s="187"/>
      <c r="AL189" s="187"/>
      <c r="AM189" s="187"/>
      <c r="AN189" s="187"/>
      <c r="AO189" s="187"/>
      <c r="AP189" s="187"/>
      <c r="AQ189" s="187"/>
      <c r="AR189" s="187"/>
      <c r="AS189" s="187"/>
      <c r="AT189" s="187"/>
      <c r="AU189" s="187"/>
      <c r="AV189" s="187"/>
      <c r="AW189" s="187"/>
      <c r="AX189" s="187"/>
      <c r="AY189" s="187"/>
      <c r="AZ189" s="187"/>
      <c r="BA189" s="187"/>
      <c r="BB189" s="187"/>
      <c r="BC189" s="187"/>
      <c r="BD189" s="187"/>
      <c r="BE189" s="187"/>
      <c r="BF189" s="187"/>
      <c r="BG189" s="187"/>
      <c r="BH189" s="187"/>
      <c r="BI189" s="187"/>
      <c r="BJ189" s="187"/>
      <c r="BK189" s="187"/>
      <c r="BL189" s="187"/>
      <c r="BM189" s="187"/>
      <c r="BN189" s="187"/>
      <c r="BO189" s="187"/>
      <c r="BP189" s="187"/>
      <c r="BQ189" s="187"/>
      <c r="BR189" s="187"/>
      <c r="BS189" s="187"/>
      <c r="BT189" s="187"/>
      <c r="BU189" s="187"/>
      <c r="BV189" s="187"/>
      <c r="BW189" s="187"/>
      <c r="BX189" s="187"/>
      <c r="BY189" s="187"/>
      <c r="BZ189" s="187"/>
      <c r="CA189" s="187"/>
      <c r="CB189" s="187"/>
      <c r="CC189" s="187"/>
      <c r="CD189" s="187"/>
      <c r="CE189" s="187"/>
      <c r="CF189" s="187"/>
      <c r="CG189" s="187"/>
      <c r="CH189" s="187"/>
      <c r="CI189" s="187"/>
      <c r="CJ189" s="187"/>
      <c r="CK189" s="187"/>
      <c r="CL189" s="187"/>
      <c r="CM189" s="187"/>
      <c r="CN189" s="187"/>
      <c r="CO189" s="187"/>
      <c r="CP189" s="187"/>
      <c r="CQ189" s="187"/>
      <c r="CR189" s="187"/>
      <c r="CS189" s="187"/>
      <c r="CT189" s="187"/>
      <c r="CU189" s="187"/>
      <c r="CV189" s="187"/>
      <c r="CW189" s="187"/>
      <c r="CX189" s="187"/>
      <c r="CY189" s="187"/>
      <c r="CZ189" s="187"/>
      <c r="DA189" s="187"/>
      <c r="DB189" s="187"/>
      <c r="DC189" s="187"/>
      <c r="DD189" s="187"/>
      <c r="DE189" s="187"/>
      <c r="DF189" s="187"/>
      <c r="DG189" s="187"/>
      <c r="DH189" s="187"/>
      <c r="DI189" s="187"/>
      <c r="DJ189" s="187"/>
      <c r="DK189" s="187"/>
      <c r="DL189" s="187"/>
      <c r="DM189" s="187"/>
      <c r="DN189" s="187"/>
      <c r="DO189" s="187"/>
      <c r="DP189" s="187"/>
      <c r="DQ189" s="187"/>
      <c r="DR189" s="187"/>
      <c r="DS189" s="187"/>
      <c r="DT189" s="187"/>
      <c r="DU189" s="187"/>
      <c r="DV189" s="187"/>
      <c r="DW189" s="187"/>
      <c r="DX189" s="187"/>
      <c r="DY189" s="187"/>
      <c r="DZ189" s="187"/>
      <c r="EA189" s="187"/>
      <c r="EB189" s="187"/>
      <c r="EC189" s="187"/>
      <c r="ED189" s="187"/>
      <c r="EE189" s="187"/>
      <c r="EF189" s="187"/>
      <c r="EG189" s="187"/>
      <c r="EH189" s="187"/>
      <c r="EI189" s="187"/>
      <c r="EJ189" s="187"/>
      <c r="EK189" s="187"/>
      <c r="EL189" s="187"/>
      <c r="EM189" s="187"/>
      <c r="EN189" s="187"/>
      <c r="EO189" s="187"/>
    </row>
    <row r="190" spans="2:145" ht="13.9" customHeight="1" x14ac:dyDescent="0.2"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  <c r="AA190" s="187"/>
      <c r="AB190" s="187"/>
      <c r="AC190" s="187"/>
      <c r="AD190" s="187"/>
      <c r="AE190" s="187"/>
      <c r="AF190" s="187"/>
      <c r="AG190" s="187"/>
      <c r="AH190" s="187"/>
      <c r="AI190" s="187"/>
      <c r="AJ190" s="187"/>
      <c r="AK190" s="187"/>
      <c r="AL190" s="187"/>
      <c r="AM190" s="187"/>
      <c r="AN190" s="187"/>
      <c r="AO190" s="187"/>
      <c r="AP190" s="187"/>
      <c r="AQ190" s="187"/>
      <c r="AR190" s="187"/>
      <c r="AS190" s="187"/>
      <c r="AT190" s="187"/>
      <c r="AU190" s="187"/>
      <c r="AV190" s="187"/>
      <c r="AW190" s="187"/>
      <c r="AX190" s="187"/>
      <c r="AY190" s="187"/>
      <c r="AZ190" s="187"/>
      <c r="BA190" s="187"/>
      <c r="BB190" s="187"/>
      <c r="BC190" s="187"/>
      <c r="BD190" s="187"/>
      <c r="BE190" s="187"/>
      <c r="BF190" s="187"/>
      <c r="BG190" s="187"/>
      <c r="BH190" s="187"/>
      <c r="BI190" s="187"/>
      <c r="BJ190" s="187"/>
      <c r="BK190" s="187"/>
      <c r="BL190" s="187"/>
      <c r="BM190" s="187"/>
      <c r="BN190" s="187"/>
      <c r="BO190" s="187"/>
      <c r="BP190" s="187"/>
      <c r="BQ190" s="187"/>
      <c r="BR190" s="187"/>
      <c r="BS190" s="187"/>
      <c r="BT190" s="187"/>
      <c r="BU190" s="187"/>
      <c r="BV190" s="187"/>
      <c r="BW190" s="187"/>
      <c r="BX190" s="187"/>
      <c r="BY190" s="187"/>
      <c r="BZ190" s="187"/>
      <c r="CA190" s="187"/>
      <c r="CB190" s="187"/>
      <c r="CC190" s="187"/>
      <c r="CD190" s="187"/>
      <c r="CE190" s="187"/>
      <c r="CF190" s="187"/>
      <c r="CG190" s="187"/>
      <c r="CH190" s="187"/>
      <c r="CI190" s="187"/>
      <c r="CJ190" s="187"/>
      <c r="CK190" s="187"/>
      <c r="CL190" s="187"/>
      <c r="CM190" s="187"/>
      <c r="CN190" s="187"/>
      <c r="CO190" s="187"/>
      <c r="CP190" s="187"/>
      <c r="CQ190" s="187"/>
      <c r="CR190" s="187"/>
      <c r="CS190" s="187"/>
      <c r="CT190" s="187"/>
      <c r="CU190" s="187"/>
      <c r="CV190" s="187"/>
      <c r="CW190" s="187"/>
      <c r="CX190" s="187"/>
      <c r="CY190" s="187"/>
      <c r="CZ190" s="187"/>
      <c r="DA190" s="187"/>
      <c r="DB190" s="187"/>
      <c r="DC190" s="187"/>
      <c r="DD190" s="187"/>
      <c r="DE190" s="187"/>
      <c r="DF190" s="187"/>
      <c r="DG190" s="187"/>
      <c r="DH190" s="187"/>
      <c r="DI190" s="187"/>
      <c r="DJ190" s="187"/>
      <c r="DK190" s="187"/>
      <c r="DL190" s="187"/>
      <c r="DM190" s="187"/>
      <c r="DN190" s="187"/>
      <c r="DO190" s="187"/>
      <c r="DP190" s="187"/>
      <c r="DQ190" s="187"/>
      <c r="DR190" s="187"/>
      <c r="DS190" s="187"/>
      <c r="DT190" s="187"/>
      <c r="DU190" s="187"/>
      <c r="DV190" s="187"/>
      <c r="DW190" s="187"/>
      <c r="DX190" s="187"/>
      <c r="DY190" s="187"/>
      <c r="DZ190" s="187"/>
      <c r="EA190" s="187"/>
      <c r="EB190" s="187"/>
      <c r="EC190" s="187"/>
      <c r="ED190" s="187"/>
      <c r="EE190" s="187"/>
      <c r="EF190" s="187"/>
      <c r="EG190" s="187"/>
      <c r="EH190" s="187"/>
      <c r="EI190" s="187"/>
      <c r="EJ190" s="187"/>
      <c r="EK190" s="187"/>
      <c r="EL190" s="187"/>
      <c r="EM190" s="187"/>
      <c r="EN190" s="187"/>
      <c r="EO190" s="187"/>
    </row>
    <row r="191" spans="2:145" ht="13.9" customHeight="1" x14ac:dyDescent="0.2"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  <c r="AA191" s="187"/>
      <c r="AB191" s="187"/>
      <c r="AC191" s="187"/>
      <c r="AD191" s="187"/>
      <c r="AE191" s="187"/>
      <c r="AF191" s="187"/>
      <c r="AG191" s="187"/>
      <c r="AH191" s="187"/>
      <c r="AI191" s="187"/>
      <c r="AJ191" s="187"/>
      <c r="AK191" s="187"/>
      <c r="AL191" s="187"/>
      <c r="AM191" s="187"/>
      <c r="AN191" s="187"/>
      <c r="AO191" s="187"/>
      <c r="AP191" s="187"/>
      <c r="AQ191" s="187"/>
      <c r="AR191" s="187"/>
      <c r="AS191" s="187"/>
      <c r="AT191" s="187"/>
      <c r="AU191" s="187"/>
      <c r="AV191" s="187"/>
      <c r="AW191" s="187"/>
      <c r="AX191" s="187"/>
      <c r="AY191" s="187"/>
      <c r="AZ191" s="187"/>
      <c r="BA191" s="187"/>
      <c r="BB191" s="187"/>
      <c r="BC191" s="187"/>
      <c r="BD191" s="187"/>
      <c r="BE191" s="187"/>
      <c r="BF191" s="187"/>
      <c r="BG191" s="187"/>
      <c r="BH191" s="187"/>
      <c r="BI191" s="187"/>
      <c r="BJ191" s="187"/>
      <c r="BK191" s="187"/>
      <c r="BL191" s="187"/>
      <c r="BM191" s="187"/>
      <c r="BN191" s="187"/>
      <c r="BO191" s="187"/>
      <c r="BP191" s="187"/>
      <c r="BQ191" s="187"/>
      <c r="BR191" s="187"/>
      <c r="BS191" s="187"/>
      <c r="BT191" s="187"/>
      <c r="BU191" s="187"/>
      <c r="BV191" s="187"/>
      <c r="BW191" s="187"/>
      <c r="BX191" s="187"/>
      <c r="BY191" s="187"/>
      <c r="BZ191" s="187"/>
      <c r="CA191" s="187"/>
      <c r="CB191" s="187"/>
      <c r="CC191" s="187"/>
      <c r="CD191" s="187"/>
      <c r="CE191" s="187"/>
      <c r="CF191" s="187"/>
      <c r="CG191" s="187"/>
      <c r="CH191" s="187"/>
      <c r="CI191" s="187"/>
      <c r="CJ191" s="187"/>
      <c r="CK191" s="187"/>
      <c r="CL191" s="187"/>
      <c r="CM191" s="187"/>
      <c r="CN191" s="187"/>
      <c r="CO191" s="187"/>
      <c r="CP191" s="187"/>
      <c r="CQ191" s="187"/>
      <c r="CR191" s="187"/>
      <c r="CS191" s="187"/>
      <c r="CT191" s="187"/>
      <c r="CU191" s="187"/>
      <c r="CV191" s="187"/>
      <c r="CW191" s="187"/>
      <c r="CX191" s="187"/>
      <c r="CY191" s="187"/>
      <c r="CZ191" s="187"/>
      <c r="DA191" s="187"/>
      <c r="DB191" s="187"/>
      <c r="DC191" s="187"/>
      <c r="DD191" s="187"/>
      <c r="DE191" s="187"/>
      <c r="DF191" s="187"/>
      <c r="DG191" s="187"/>
      <c r="DH191" s="187"/>
      <c r="DI191" s="187"/>
      <c r="DJ191" s="187"/>
      <c r="DK191" s="187"/>
      <c r="DL191" s="187"/>
      <c r="DM191" s="187"/>
      <c r="DN191" s="187"/>
      <c r="DO191" s="187"/>
      <c r="DP191" s="187"/>
      <c r="DQ191" s="187"/>
      <c r="DR191" s="187"/>
      <c r="DS191" s="187"/>
      <c r="DT191" s="187"/>
      <c r="DU191" s="187"/>
      <c r="DV191" s="187"/>
      <c r="DW191" s="187"/>
      <c r="DX191" s="187"/>
      <c r="DY191" s="187"/>
      <c r="DZ191" s="187"/>
      <c r="EA191" s="187"/>
      <c r="EB191" s="187"/>
      <c r="EC191" s="187"/>
      <c r="ED191" s="187"/>
      <c r="EE191" s="187"/>
      <c r="EF191" s="187"/>
      <c r="EG191" s="187"/>
      <c r="EH191" s="187"/>
      <c r="EI191" s="187"/>
      <c r="EJ191" s="187"/>
      <c r="EK191" s="187"/>
      <c r="EL191" s="187"/>
      <c r="EM191" s="187"/>
      <c r="EN191" s="187"/>
      <c r="EO191" s="187"/>
    </row>
    <row r="192" spans="2:145" ht="13.9" customHeight="1" x14ac:dyDescent="0.2"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  <c r="AA192" s="187"/>
      <c r="AB192" s="187"/>
      <c r="AC192" s="187"/>
      <c r="AD192" s="187"/>
      <c r="AE192" s="187"/>
      <c r="AF192" s="187"/>
      <c r="AG192" s="187"/>
      <c r="AH192" s="187"/>
      <c r="AI192" s="187"/>
      <c r="AJ192" s="187"/>
      <c r="AK192" s="187"/>
      <c r="AL192" s="187"/>
      <c r="AM192" s="187"/>
      <c r="AN192" s="187"/>
      <c r="AO192" s="187"/>
      <c r="AP192" s="187"/>
      <c r="AQ192" s="187"/>
      <c r="AR192" s="187"/>
      <c r="AS192" s="187"/>
      <c r="AT192" s="187"/>
      <c r="AU192" s="187"/>
      <c r="AV192" s="187"/>
      <c r="AW192" s="187"/>
      <c r="AX192" s="187"/>
      <c r="AY192" s="187"/>
      <c r="AZ192" s="187"/>
      <c r="BA192" s="187"/>
      <c r="BB192" s="187"/>
      <c r="BC192" s="187"/>
      <c r="BD192" s="187"/>
      <c r="BE192" s="187"/>
      <c r="BF192" s="187"/>
      <c r="BG192" s="187"/>
      <c r="BH192" s="187"/>
      <c r="BI192" s="187"/>
      <c r="BJ192" s="187"/>
      <c r="BK192" s="187"/>
      <c r="BL192" s="187"/>
      <c r="BM192" s="187"/>
      <c r="BN192" s="187"/>
      <c r="BO192" s="187"/>
      <c r="BP192" s="187"/>
      <c r="BQ192" s="187"/>
      <c r="BR192" s="187"/>
      <c r="BS192" s="187"/>
      <c r="BT192" s="187"/>
      <c r="BU192" s="187"/>
      <c r="BV192" s="187"/>
      <c r="BW192" s="187"/>
      <c r="BX192" s="187"/>
      <c r="BY192" s="187"/>
      <c r="BZ192" s="187"/>
      <c r="CA192" s="187"/>
      <c r="CB192" s="187"/>
      <c r="CC192" s="187"/>
      <c r="CD192" s="187"/>
      <c r="CE192" s="187"/>
      <c r="CF192" s="187"/>
      <c r="CG192" s="187"/>
      <c r="CH192" s="187"/>
      <c r="CI192" s="187"/>
      <c r="CJ192" s="187"/>
      <c r="CK192" s="187"/>
      <c r="CL192" s="187"/>
      <c r="CM192" s="187"/>
      <c r="CN192" s="187"/>
      <c r="CO192" s="187"/>
      <c r="CP192" s="187"/>
      <c r="CQ192" s="187"/>
      <c r="CR192" s="187"/>
      <c r="CS192" s="187"/>
      <c r="CT192" s="187"/>
      <c r="CU192" s="187"/>
      <c r="CV192" s="187"/>
      <c r="CW192" s="187"/>
      <c r="CX192" s="187"/>
      <c r="CY192" s="187"/>
      <c r="CZ192" s="187"/>
      <c r="DA192" s="187"/>
      <c r="DB192" s="187"/>
      <c r="DC192" s="187"/>
      <c r="DD192" s="187"/>
      <c r="DE192" s="187"/>
      <c r="DF192" s="187"/>
      <c r="DG192" s="187"/>
      <c r="DH192" s="187"/>
      <c r="DI192" s="187"/>
      <c r="DJ192" s="187"/>
      <c r="DK192" s="187"/>
      <c r="DL192" s="187"/>
      <c r="DM192" s="187"/>
      <c r="DN192" s="187"/>
      <c r="DO192" s="187"/>
      <c r="DP192" s="187"/>
      <c r="DQ192" s="187"/>
      <c r="DR192" s="187"/>
      <c r="DS192" s="187"/>
      <c r="DT192" s="187"/>
      <c r="DU192" s="187"/>
      <c r="DV192" s="187"/>
      <c r="DW192" s="187"/>
      <c r="DX192" s="187"/>
      <c r="DY192" s="187"/>
      <c r="DZ192" s="187"/>
      <c r="EA192" s="187"/>
      <c r="EB192" s="187"/>
      <c r="EC192" s="187"/>
      <c r="ED192" s="187"/>
      <c r="EE192" s="187"/>
      <c r="EF192" s="187"/>
      <c r="EG192" s="187"/>
      <c r="EH192" s="187"/>
      <c r="EI192" s="187"/>
      <c r="EJ192" s="187"/>
      <c r="EK192" s="187"/>
      <c r="EL192" s="187"/>
      <c r="EM192" s="187"/>
      <c r="EN192" s="187"/>
      <c r="EO192" s="187"/>
    </row>
    <row r="193" spans="2:145" ht="13.9" customHeight="1" x14ac:dyDescent="0.2"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  <c r="AA193" s="187"/>
      <c r="AB193" s="187"/>
      <c r="AC193" s="187"/>
      <c r="AD193" s="187"/>
      <c r="AE193" s="187"/>
      <c r="AF193" s="187"/>
      <c r="AG193" s="187"/>
      <c r="AH193" s="187"/>
      <c r="AI193" s="187"/>
      <c r="AJ193" s="187"/>
      <c r="AK193" s="187"/>
      <c r="AL193" s="187"/>
      <c r="AM193" s="187"/>
      <c r="AN193" s="187"/>
      <c r="AO193" s="187"/>
      <c r="AP193" s="187"/>
      <c r="AQ193" s="187"/>
      <c r="AR193" s="187"/>
      <c r="AS193" s="187"/>
      <c r="AT193" s="187"/>
      <c r="AU193" s="187"/>
      <c r="AV193" s="187"/>
      <c r="AW193" s="187"/>
      <c r="AX193" s="187"/>
      <c r="AY193" s="187"/>
      <c r="AZ193" s="187"/>
      <c r="BA193" s="187"/>
      <c r="BB193" s="187"/>
      <c r="BC193" s="187"/>
      <c r="BD193" s="187"/>
      <c r="BE193" s="187"/>
      <c r="BF193" s="187"/>
      <c r="BG193" s="187"/>
      <c r="BH193" s="187"/>
      <c r="BI193" s="187"/>
      <c r="BJ193" s="187"/>
      <c r="BK193" s="187"/>
      <c r="BL193" s="187"/>
      <c r="BM193" s="187"/>
      <c r="BN193" s="187"/>
      <c r="BO193" s="187"/>
      <c r="BP193" s="187"/>
      <c r="BQ193" s="187"/>
      <c r="BR193" s="187"/>
      <c r="BS193" s="187"/>
      <c r="BT193" s="187"/>
      <c r="BU193" s="187"/>
      <c r="BV193" s="187"/>
      <c r="BW193" s="187"/>
      <c r="BX193" s="187"/>
      <c r="BY193" s="187"/>
      <c r="BZ193" s="187"/>
      <c r="CA193" s="187"/>
      <c r="CB193" s="187"/>
      <c r="CC193" s="187"/>
      <c r="CD193" s="187"/>
      <c r="CE193" s="187"/>
      <c r="CF193" s="187"/>
      <c r="CG193" s="187"/>
      <c r="CH193" s="187"/>
      <c r="CI193" s="187"/>
      <c r="CJ193" s="187"/>
      <c r="CK193" s="187"/>
      <c r="CL193" s="187"/>
      <c r="CM193" s="187"/>
      <c r="CN193" s="187"/>
      <c r="CO193" s="187"/>
      <c r="CP193" s="187"/>
      <c r="CQ193" s="187"/>
      <c r="CR193" s="187"/>
      <c r="CS193" s="187"/>
      <c r="CT193" s="187"/>
      <c r="CU193" s="187"/>
      <c r="CV193" s="187"/>
      <c r="CW193" s="187"/>
      <c r="CX193" s="187"/>
      <c r="CY193" s="187"/>
      <c r="CZ193" s="187"/>
      <c r="DA193" s="187"/>
      <c r="DB193" s="187"/>
      <c r="DC193" s="187"/>
      <c r="DD193" s="187"/>
      <c r="DE193" s="187"/>
      <c r="DF193" s="187"/>
      <c r="DG193" s="187"/>
      <c r="DH193" s="187"/>
      <c r="DI193" s="187"/>
      <c r="DJ193" s="187"/>
      <c r="DK193" s="187"/>
      <c r="DL193" s="187"/>
      <c r="DM193" s="187"/>
      <c r="DN193" s="187"/>
      <c r="DO193" s="187"/>
      <c r="DP193" s="187"/>
      <c r="DQ193" s="187"/>
      <c r="DR193" s="187"/>
      <c r="DS193" s="187"/>
      <c r="DT193" s="187"/>
      <c r="DU193" s="187"/>
      <c r="DV193" s="187"/>
      <c r="DW193" s="187"/>
      <c r="DX193" s="187"/>
      <c r="DY193" s="187"/>
      <c r="DZ193" s="187"/>
      <c r="EA193" s="187"/>
      <c r="EB193" s="187"/>
      <c r="EC193" s="187"/>
      <c r="ED193" s="187"/>
      <c r="EE193" s="187"/>
      <c r="EF193" s="187"/>
      <c r="EG193" s="187"/>
      <c r="EH193" s="187"/>
      <c r="EI193" s="187"/>
      <c r="EJ193" s="187"/>
      <c r="EK193" s="187"/>
      <c r="EL193" s="187"/>
      <c r="EM193" s="187"/>
      <c r="EN193" s="187"/>
      <c r="EO193" s="187"/>
    </row>
    <row r="194" spans="2:145" ht="13.9" customHeight="1" x14ac:dyDescent="0.2"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  <c r="AA194" s="187"/>
      <c r="AB194" s="187"/>
      <c r="AC194" s="187"/>
      <c r="AD194" s="187"/>
      <c r="AE194" s="187"/>
      <c r="AF194" s="187"/>
      <c r="AG194" s="187"/>
      <c r="AH194" s="187"/>
      <c r="AI194" s="187"/>
      <c r="AJ194" s="187"/>
      <c r="AK194" s="187"/>
      <c r="AL194" s="187"/>
      <c r="AM194" s="187"/>
      <c r="AN194" s="187"/>
      <c r="AO194" s="187"/>
      <c r="AP194" s="187"/>
      <c r="AQ194" s="187"/>
      <c r="AR194" s="187"/>
      <c r="AS194" s="187"/>
      <c r="AT194" s="187"/>
      <c r="AU194" s="187"/>
      <c r="AV194" s="187"/>
      <c r="AW194" s="187"/>
      <c r="AX194" s="187"/>
      <c r="AY194" s="187"/>
      <c r="AZ194" s="187"/>
      <c r="BA194" s="187"/>
      <c r="BB194" s="187"/>
      <c r="BC194" s="187"/>
      <c r="BD194" s="187"/>
      <c r="BE194" s="187"/>
      <c r="BF194" s="187"/>
      <c r="BG194" s="187"/>
      <c r="BH194" s="187"/>
      <c r="BI194" s="187"/>
      <c r="BJ194" s="187"/>
      <c r="BK194" s="187"/>
      <c r="BL194" s="187"/>
      <c r="BM194" s="187"/>
      <c r="BN194" s="187"/>
      <c r="BO194" s="187"/>
      <c r="BP194" s="187"/>
      <c r="BQ194" s="187"/>
      <c r="BR194" s="187"/>
      <c r="BS194" s="187"/>
      <c r="BT194" s="187"/>
      <c r="BU194" s="187"/>
      <c r="BV194" s="187"/>
      <c r="BW194" s="187"/>
      <c r="BX194" s="187"/>
      <c r="BY194" s="187"/>
      <c r="BZ194" s="187"/>
      <c r="CA194" s="187"/>
      <c r="CB194" s="187"/>
      <c r="CC194" s="187"/>
      <c r="CD194" s="187"/>
      <c r="CE194" s="187"/>
      <c r="CF194" s="187"/>
      <c r="CG194" s="187"/>
      <c r="CH194" s="187"/>
      <c r="CI194" s="187"/>
      <c r="CJ194" s="187"/>
      <c r="CK194" s="187"/>
      <c r="CL194" s="187"/>
      <c r="CM194" s="187"/>
      <c r="CN194" s="187"/>
      <c r="CO194" s="187"/>
      <c r="CP194" s="187"/>
      <c r="CQ194" s="187"/>
      <c r="CR194" s="187"/>
      <c r="CS194" s="187"/>
      <c r="CT194" s="187"/>
      <c r="CU194" s="187"/>
      <c r="CV194" s="187"/>
      <c r="CW194" s="187"/>
      <c r="CX194" s="187"/>
      <c r="CY194" s="187"/>
      <c r="CZ194" s="187"/>
      <c r="DA194" s="187"/>
      <c r="DB194" s="187"/>
      <c r="DC194" s="187"/>
      <c r="DD194" s="187"/>
      <c r="DE194" s="187"/>
      <c r="DF194" s="187"/>
      <c r="DG194" s="187"/>
      <c r="DH194" s="187"/>
      <c r="DI194" s="187"/>
      <c r="DJ194" s="187"/>
      <c r="DK194" s="187"/>
      <c r="DL194" s="187"/>
      <c r="DM194" s="187"/>
      <c r="DN194" s="187"/>
      <c r="DO194" s="187"/>
      <c r="DP194" s="187"/>
      <c r="DQ194" s="187"/>
      <c r="DR194" s="187"/>
      <c r="DS194" s="187"/>
      <c r="DT194" s="187"/>
      <c r="DU194" s="187"/>
      <c r="DV194" s="187"/>
      <c r="DW194" s="187"/>
      <c r="DX194" s="187"/>
      <c r="DY194" s="187"/>
      <c r="DZ194" s="187"/>
      <c r="EA194" s="187"/>
      <c r="EB194" s="187"/>
      <c r="EC194" s="187"/>
      <c r="ED194" s="187"/>
      <c r="EE194" s="187"/>
      <c r="EF194" s="187"/>
      <c r="EG194" s="187"/>
      <c r="EH194" s="187"/>
      <c r="EI194" s="187"/>
      <c r="EJ194" s="187"/>
      <c r="EK194" s="187"/>
      <c r="EL194" s="187"/>
      <c r="EM194" s="187"/>
      <c r="EN194" s="187"/>
      <c r="EO194" s="187"/>
    </row>
    <row r="195" spans="2:145" ht="13.9" customHeight="1" x14ac:dyDescent="0.2"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  <c r="AA195" s="187"/>
      <c r="AB195" s="187"/>
      <c r="AC195" s="187"/>
      <c r="AD195" s="187"/>
      <c r="AE195" s="187"/>
      <c r="AF195" s="187"/>
      <c r="AG195" s="187"/>
      <c r="AH195" s="187"/>
      <c r="AI195" s="187"/>
      <c r="AJ195" s="187"/>
      <c r="AK195" s="187"/>
      <c r="AL195" s="187"/>
      <c r="AM195" s="187"/>
      <c r="AN195" s="187"/>
      <c r="AO195" s="187"/>
      <c r="AP195" s="187"/>
      <c r="AQ195" s="187"/>
      <c r="AR195" s="187"/>
      <c r="AS195" s="187"/>
      <c r="AT195" s="187"/>
      <c r="AU195" s="187"/>
      <c r="AV195" s="187"/>
      <c r="AW195" s="187"/>
      <c r="AX195" s="187"/>
      <c r="AY195" s="187"/>
      <c r="AZ195" s="187"/>
      <c r="BA195" s="187"/>
      <c r="BB195" s="187"/>
      <c r="BC195" s="187"/>
      <c r="BD195" s="187"/>
      <c r="BE195" s="187"/>
      <c r="BF195" s="187"/>
      <c r="BG195" s="187"/>
      <c r="BH195" s="187"/>
      <c r="BI195" s="187"/>
      <c r="BJ195" s="187"/>
      <c r="BK195" s="187"/>
      <c r="BL195" s="187"/>
      <c r="BM195" s="187"/>
      <c r="BN195" s="187"/>
      <c r="BO195" s="187"/>
      <c r="BP195" s="187"/>
      <c r="BQ195" s="187"/>
      <c r="BR195" s="187"/>
      <c r="BS195" s="187"/>
      <c r="BT195" s="187"/>
      <c r="BU195" s="187"/>
      <c r="BV195" s="187"/>
      <c r="BW195" s="187"/>
      <c r="BX195" s="187"/>
      <c r="BY195" s="187"/>
      <c r="BZ195" s="187"/>
      <c r="CA195" s="187"/>
      <c r="CB195" s="187"/>
      <c r="CC195" s="187"/>
      <c r="CD195" s="187"/>
      <c r="CE195" s="187"/>
      <c r="CF195" s="187"/>
      <c r="CG195" s="187"/>
      <c r="CH195" s="187"/>
      <c r="CI195" s="187"/>
      <c r="CJ195" s="187"/>
      <c r="CK195" s="187"/>
      <c r="CL195" s="187"/>
      <c r="CM195" s="187"/>
      <c r="CN195" s="187"/>
      <c r="CO195" s="187"/>
      <c r="CP195" s="187"/>
      <c r="CQ195" s="187"/>
      <c r="CR195" s="187"/>
      <c r="CS195" s="187"/>
      <c r="CT195" s="187"/>
      <c r="CU195" s="187"/>
      <c r="CV195" s="187"/>
      <c r="CW195" s="187"/>
      <c r="CX195" s="187"/>
      <c r="CY195" s="187"/>
      <c r="CZ195" s="187"/>
      <c r="DA195" s="187"/>
      <c r="DB195" s="187"/>
      <c r="DC195" s="187"/>
      <c r="DD195" s="187"/>
      <c r="DE195" s="187"/>
      <c r="DF195" s="187"/>
      <c r="DG195" s="187"/>
      <c r="DH195" s="187"/>
      <c r="DI195" s="187"/>
      <c r="DJ195" s="187"/>
      <c r="DK195" s="187"/>
      <c r="DL195" s="187"/>
      <c r="DM195" s="187"/>
      <c r="DN195" s="187"/>
      <c r="DO195" s="187"/>
      <c r="DP195" s="187"/>
      <c r="DQ195" s="187"/>
      <c r="DR195" s="187"/>
      <c r="DS195" s="187"/>
      <c r="DT195" s="187"/>
      <c r="DU195" s="187"/>
      <c r="DV195" s="187"/>
      <c r="DW195" s="187"/>
      <c r="DX195" s="187"/>
      <c r="DY195" s="187"/>
      <c r="DZ195" s="187"/>
      <c r="EA195" s="187"/>
      <c r="EB195" s="187"/>
      <c r="EC195" s="187"/>
      <c r="ED195" s="187"/>
      <c r="EE195" s="187"/>
      <c r="EF195" s="187"/>
      <c r="EG195" s="187"/>
      <c r="EH195" s="187"/>
      <c r="EI195" s="187"/>
      <c r="EJ195" s="187"/>
      <c r="EK195" s="187"/>
      <c r="EL195" s="187"/>
      <c r="EM195" s="187"/>
      <c r="EN195" s="187"/>
      <c r="EO195" s="187"/>
    </row>
    <row r="196" spans="2:145" ht="13.9" customHeight="1" x14ac:dyDescent="0.2"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  <c r="AA196" s="187"/>
      <c r="AB196" s="187"/>
      <c r="AC196" s="187"/>
      <c r="AD196" s="187"/>
      <c r="AE196" s="187"/>
      <c r="AF196" s="187"/>
      <c r="AG196" s="187"/>
      <c r="AH196" s="187"/>
      <c r="AI196" s="187"/>
      <c r="AJ196" s="187"/>
      <c r="AK196" s="187"/>
      <c r="AL196" s="187"/>
      <c r="AM196" s="187"/>
      <c r="AN196" s="187"/>
      <c r="AO196" s="187"/>
      <c r="AP196" s="187"/>
      <c r="AQ196" s="187"/>
      <c r="AR196" s="187"/>
      <c r="AS196" s="187"/>
      <c r="AT196" s="187"/>
      <c r="AU196" s="187"/>
      <c r="AV196" s="187"/>
      <c r="AW196" s="187"/>
      <c r="AX196" s="187"/>
      <c r="AY196" s="187"/>
      <c r="AZ196" s="187"/>
      <c r="BA196" s="187"/>
      <c r="BB196" s="187"/>
      <c r="BC196" s="187"/>
      <c r="BD196" s="187"/>
      <c r="BE196" s="187"/>
      <c r="BF196" s="187"/>
      <c r="BG196" s="187"/>
      <c r="BH196" s="187"/>
      <c r="BI196" s="187"/>
      <c r="BJ196" s="187"/>
      <c r="BK196" s="187"/>
      <c r="BL196" s="187"/>
      <c r="BM196" s="187"/>
      <c r="BN196" s="187"/>
      <c r="BO196" s="187"/>
      <c r="BP196" s="187"/>
      <c r="BQ196" s="187"/>
      <c r="BR196" s="187"/>
      <c r="BS196" s="187"/>
      <c r="BT196" s="187"/>
      <c r="BU196" s="187"/>
      <c r="BV196" s="187"/>
      <c r="BW196" s="187"/>
      <c r="BX196" s="187"/>
      <c r="BY196" s="187"/>
      <c r="BZ196" s="187"/>
      <c r="CA196" s="187"/>
      <c r="CB196" s="187"/>
      <c r="CC196" s="187"/>
      <c r="CD196" s="187"/>
      <c r="CE196" s="187"/>
      <c r="CF196" s="187"/>
      <c r="CG196" s="187"/>
      <c r="CH196" s="187"/>
      <c r="CI196" s="187"/>
      <c r="CJ196" s="187"/>
      <c r="CK196" s="187"/>
      <c r="CL196" s="187"/>
      <c r="CM196" s="187"/>
      <c r="CN196" s="187"/>
      <c r="CO196" s="187"/>
      <c r="CP196" s="187"/>
      <c r="CQ196" s="187"/>
      <c r="CR196" s="187"/>
      <c r="CS196" s="187"/>
      <c r="CT196" s="187"/>
      <c r="CU196" s="187"/>
      <c r="CV196" s="187"/>
      <c r="CW196" s="187"/>
      <c r="CX196" s="187"/>
      <c r="CY196" s="187"/>
      <c r="CZ196" s="187"/>
      <c r="DA196" s="187"/>
      <c r="DB196" s="187"/>
      <c r="DC196" s="187"/>
      <c r="DD196" s="187"/>
      <c r="DE196" s="187"/>
      <c r="DF196" s="187"/>
      <c r="DG196" s="187"/>
      <c r="DH196" s="187"/>
      <c r="DI196" s="187"/>
      <c r="DJ196" s="187"/>
      <c r="DK196" s="187"/>
      <c r="DL196" s="187"/>
      <c r="DM196" s="187"/>
      <c r="DN196" s="187"/>
      <c r="DO196" s="187"/>
      <c r="DP196" s="187"/>
      <c r="DQ196" s="187"/>
      <c r="DR196" s="187"/>
      <c r="DS196" s="187"/>
      <c r="DT196" s="187"/>
      <c r="DU196" s="187"/>
      <c r="DV196" s="187"/>
      <c r="DW196" s="187"/>
      <c r="DX196" s="187"/>
      <c r="DY196" s="187"/>
      <c r="DZ196" s="187"/>
      <c r="EA196" s="187"/>
      <c r="EB196" s="187"/>
      <c r="EC196" s="187"/>
      <c r="ED196" s="187"/>
      <c r="EE196" s="187"/>
      <c r="EF196" s="187"/>
      <c r="EG196" s="187"/>
      <c r="EH196" s="187"/>
      <c r="EI196" s="187"/>
      <c r="EJ196" s="187"/>
      <c r="EK196" s="187"/>
      <c r="EL196" s="187"/>
      <c r="EM196" s="187"/>
      <c r="EN196" s="187"/>
      <c r="EO196" s="187"/>
    </row>
    <row r="197" spans="2:145" ht="13.9" customHeight="1" x14ac:dyDescent="0.2"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  <c r="AA197" s="187"/>
      <c r="AB197" s="187"/>
      <c r="AC197" s="187"/>
      <c r="AD197" s="187"/>
      <c r="AE197" s="187"/>
      <c r="AF197" s="187"/>
      <c r="AG197" s="187"/>
      <c r="AH197" s="187"/>
      <c r="AI197" s="187"/>
      <c r="AJ197" s="187"/>
      <c r="AK197" s="187"/>
      <c r="AL197" s="187"/>
      <c r="AM197" s="187"/>
      <c r="AN197" s="187"/>
      <c r="AO197" s="187"/>
      <c r="AP197" s="187"/>
      <c r="AQ197" s="187"/>
      <c r="AR197" s="187"/>
      <c r="AS197" s="187"/>
      <c r="AT197" s="187"/>
      <c r="AU197" s="187"/>
      <c r="AV197" s="187"/>
      <c r="AW197" s="187"/>
      <c r="AX197" s="187"/>
      <c r="AY197" s="187"/>
      <c r="AZ197" s="187"/>
      <c r="BA197" s="187"/>
      <c r="BB197" s="187"/>
      <c r="BC197" s="187"/>
      <c r="BD197" s="187"/>
      <c r="BE197" s="187"/>
      <c r="BF197" s="187"/>
      <c r="BG197" s="187"/>
      <c r="BH197" s="187"/>
      <c r="BI197" s="187"/>
      <c r="BJ197" s="187"/>
      <c r="BK197" s="187"/>
      <c r="BL197" s="187"/>
      <c r="BM197" s="187"/>
      <c r="BN197" s="187"/>
      <c r="BO197" s="187"/>
      <c r="BP197" s="187"/>
      <c r="BQ197" s="187"/>
      <c r="BR197" s="187"/>
      <c r="BS197" s="187"/>
      <c r="BT197" s="187"/>
      <c r="BU197" s="187"/>
      <c r="BV197" s="187"/>
      <c r="BW197" s="187"/>
      <c r="BX197" s="187"/>
      <c r="BY197" s="187"/>
      <c r="BZ197" s="187"/>
      <c r="CA197" s="187"/>
      <c r="CB197" s="187"/>
      <c r="CC197" s="187"/>
      <c r="CD197" s="187"/>
      <c r="CE197" s="187"/>
      <c r="CF197" s="187"/>
      <c r="CG197" s="187"/>
      <c r="CH197" s="187"/>
      <c r="CI197" s="187"/>
      <c r="CJ197" s="187"/>
      <c r="CK197" s="187"/>
      <c r="CL197" s="187"/>
      <c r="CM197" s="187"/>
      <c r="CN197" s="187"/>
      <c r="CO197" s="187"/>
      <c r="CP197" s="187"/>
      <c r="CQ197" s="187"/>
      <c r="CR197" s="187"/>
      <c r="CS197" s="187"/>
      <c r="CT197" s="187"/>
      <c r="CU197" s="187"/>
      <c r="CV197" s="187"/>
      <c r="CW197" s="187"/>
      <c r="CX197" s="187"/>
      <c r="CY197" s="187"/>
      <c r="CZ197" s="187"/>
      <c r="DA197" s="187"/>
      <c r="DB197" s="187"/>
      <c r="DC197" s="187"/>
      <c r="DD197" s="187"/>
      <c r="DE197" s="187"/>
      <c r="DF197" s="187"/>
      <c r="DG197" s="187"/>
      <c r="DH197" s="187"/>
      <c r="DI197" s="187"/>
      <c r="DJ197" s="187"/>
      <c r="DK197" s="187"/>
      <c r="DL197" s="187"/>
      <c r="DM197" s="187"/>
      <c r="DN197" s="187"/>
      <c r="DO197" s="187"/>
      <c r="DP197" s="187"/>
      <c r="DQ197" s="187"/>
      <c r="DR197" s="187"/>
      <c r="DS197" s="187"/>
      <c r="DT197" s="187"/>
      <c r="DU197" s="187"/>
      <c r="DV197" s="187"/>
      <c r="DW197" s="187"/>
      <c r="DX197" s="187"/>
      <c r="DY197" s="187"/>
      <c r="DZ197" s="187"/>
      <c r="EA197" s="187"/>
      <c r="EB197" s="187"/>
      <c r="EC197" s="187"/>
      <c r="ED197" s="187"/>
      <c r="EE197" s="187"/>
      <c r="EF197" s="187"/>
      <c r="EG197" s="187"/>
      <c r="EH197" s="187"/>
      <c r="EI197" s="187"/>
      <c r="EJ197" s="187"/>
      <c r="EK197" s="187"/>
      <c r="EL197" s="187"/>
      <c r="EM197" s="187"/>
      <c r="EN197" s="187"/>
      <c r="EO197" s="187"/>
    </row>
    <row r="198" spans="2:145" ht="13.9" customHeight="1" x14ac:dyDescent="0.2"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  <c r="AA198" s="187"/>
      <c r="AB198" s="187"/>
      <c r="AC198" s="187"/>
      <c r="AD198" s="187"/>
      <c r="AE198" s="187"/>
      <c r="AF198" s="187"/>
      <c r="AG198" s="187"/>
      <c r="AH198" s="187"/>
      <c r="AI198" s="187"/>
      <c r="AJ198" s="187"/>
      <c r="AK198" s="187"/>
      <c r="AL198" s="187"/>
      <c r="AM198" s="187"/>
      <c r="AN198" s="187"/>
      <c r="AO198" s="187"/>
      <c r="AP198" s="187"/>
      <c r="AQ198" s="187"/>
      <c r="AR198" s="187"/>
      <c r="AS198" s="187"/>
      <c r="AT198" s="187"/>
      <c r="AU198" s="187"/>
      <c r="AV198" s="187"/>
      <c r="AW198" s="187"/>
      <c r="AX198" s="187"/>
      <c r="AY198" s="187"/>
      <c r="AZ198" s="187"/>
      <c r="BA198" s="187"/>
      <c r="BB198" s="187"/>
      <c r="BC198" s="187"/>
      <c r="BD198" s="187"/>
      <c r="BE198" s="187"/>
      <c r="BF198" s="187"/>
      <c r="BG198" s="187"/>
      <c r="BH198" s="187"/>
      <c r="BI198" s="187"/>
      <c r="BJ198" s="187"/>
      <c r="BK198" s="187"/>
      <c r="BL198" s="187"/>
      <c r="BM198" s="187"/>
      <c r="BN198" s="187"/>
      <c r="BO198" s="187"/>
      <c r="BP198" s="187"/>
      <c r="BQ198" s="187"/>
      <c r="BR198" s="187"/>
      <c r="BS198" s="187"/>
      <c r="BT198" s="187"/>
      <c r="BU198" s="187"/>
      <c r="BV198" s="187"/>
      <c r="BW198" s="187"/>
      <c r="BX198" s="187"/>
      <c r="BY198" s="187"/>
      <c r="BZ198" s="187"/>
      <c r="CA198" s="187"/>
      <c r="CB198" s="187"/>
      <c r="CC198" s="187"/>
      <c r="CD198" s="187"/>
      <c r="CE198" s="187"/>
      <c r="CF198" s="187"/>
      <c r="CG198" s="187"/>
      <c r="CH198" s="187"/>
      <c r="CI198" s="187"/>
      <c r="CJ198" s="187"/>
      <c r="CK198" s="187"/>
      <c r="CL198" s="187"/>
      <c r="CM198" s="187"/>
      <c r="CN198" s="187"/>
      <c r="CO198" s="187"/>
      <c r="CP198" s="187"/>
      <c r="CQ198" s="187"/>
      <c r="CR198" s="187"/>
      <c r="CS198" s="187"/>
      <c r="CT198" s="187"/>
      <c r="CU198" s="187"/>
      <c r="CV198" s="187"/>
      <c r="CW198" s="187"/>
      <c r="CX198" s="187"/>
      <c r="CY198" s="187"/>
      <c r="CZ198" s="187"/>
      <c r="DA198" s="187"/>
      <c r="DB198" s="187"/>
      <c r="DC198" s="187"/>
      <c r="DD198" s="187"/>
      <c r="DE198" s="187"/>
      <c r="DF198" s="187"/>
      <c r="DG198" s="187"/>
      <c r="DH198" s="187"/>
      <c r="DI198" s="187"/>
      <c r="DJ198" s="187"/>
      <c r="DK198" s="187"/>
      <c r="DL198" s="187"/>
      <c r="DM198" s="187"/>
      <c r="DN198" s="187"/>
      <c r="DO198" s="187"/>
      <c r="DP198" s="187"/>
      <c r="DQ198" s="187"/>
      <c r="DR198" s="187"/>
      <c r="DS198" s="187"/>
      <c r="DT198" s="187"/>
      <c r="DU198" s="187"/>
      <c r="DV198" s="187"/>
      <c r="DW198" s="187"/>
      <c r="DX198" s="187"/>
      <c r="DY198" s="187"/>
      <c r="DZ198" s="187"/>
      <c r="EA198" s="187"/>
      <c r="EB198" s="187"/>
      <c r="EC198" s="187"/>
      <c r="ED198" s="187"/>
      <c r="EE198" s="187"/>
      <c r="EF198" s="187"/>
      <c r="EG198" s="187"/>
      <c r="EH198" s="187"/>
      <c r="EI198" s="187"/>
      <c r="EJ198" s="187"/>
      <c r="EK198" s="187"/>
      <c r="EL198" s="187"/>
      <c r="EM198" s="187"/>
      <c r="EN198" s="187"/>
      <c r="EO198" s="187"/>
    </row>
    <row r="199" spans="2:145" ht="13.9" customHeight="1" x14ac:dyDescent="0.2"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7"/>
      <c r="AB199" s="187"/>
      <c r="AC199" s="187"/>
      <c r="AD199" s="187"/>
      <c r="AE199" s="187"/>
      <c r="AF199" s="187"/>
      <c r="AG199" s="187"/>
      <c r="AH199" s="187"/>
      <c r="AI199" s="187"/>
      <c r="AJ199" s="187"/>
      <c r="AK199" s="187"/>
      <c r="AL199" s="187"/>
      <c r="AM199" s="187"/>
      <c r="AN199" s="187"/>
      <c r="AO199" s="187"/>
      <c r="AP199" s="187"/>
      <c r="AQ199" s="187"/>
      <c r="AR199" s="187"/>
      <c r="AS199" s="187"/>
      <c r="AT199" s="187"/>
      <c r="AU199" s="187"/>
      <c r="AV199" s="187"/>
      <c r="AW199" s="187"/>
      <c r="AX199" s="187"/>
      <c r="AY199" s="187"/>
      <c r="AZ199" s="187"/>
      <c r="BA199" s="187"/>
      <c r="BB199" s="187"/>
      <c r="BC199" s="187"/>
      <c r="BD199" s="187"/>
      <c r="BE199" s="187"/>
      <c r="BF199" s="187"/>
      <c r="BG199" s="187"/>
      <c r="BH199" s="187"/>
      <c r="BI199" s="187"/>
      <c r="BJ199" s="187"/>
      <c r="BK199" s="187"/>
      <c r="BL199" s="187"/>
      <c r="BM199" s="187"/>
      <c r="BN199" s="187"/>
      <c r="BO199" s="187"/>
      <c r="BP199" s="187"/>
      <c r="BQ199" s="187"/>
      <c r="BR199" s="187"/>
      <c r="BS199" s="187"/>
      <c r="BT199" s="187"/>
      <c r="BU199" s="187"/>
      <c r="BV199" s="187"/>
      <c r="BW199" s="187"/>
      <c r="BX199" s="187"/>
      <c r="BY199" s="187"/>
      <c r="BZ199" s="187"/>
      <c r="CA199" s="187"/>
      <c r="CB199" s="187"/>
      <c r="CC199" s="187"/>
      <c r="CD199" s="187"/>
      <c r="CE199" s="187"/>
      <c r="CF199" s="187"/>
      <c r="CG199" s="187"/>
      <c r="CH199" s="187"/>
      <c r="CI199" s="187"/>
      <c r="CJ199" s="187"/>
      <c r="CK199" s="187"/>
      <c r="CL199" s="187"/>
      <c r="CM199" s="187"/>
      <c r="CN199" s="187"/>
      <c r="CO199" s="187"/>
      <c r="CP199" s="187"/>
      <c r="CQ199" s="187"/>
      <c r="CR199" s="187"/>
      <c r="CS199" s="187"/>
      <c r="CT199" s="187"/>
      <c r="CU199" s="187"/>
      <c r="CV199" s="187"/>
      <c r="CW199" s="187"/>
      <c r="CX199" s="187"/>
      <c r="CY199" s="187"/>
      <c r="CZ199" s="187"/>
      <c r="DA199" s="187"/>
      <c r="DB199" s="187"/>
      <c r="DC199" s="187"/>
      <c r="DD199" s="187"/>
      <c r="DE199" s="187"/>
      <c r="DF199" s="187"/>
      <c r="DG199" s="187"/>
      <c r="DH199" s="187"/>
      <c r="DI199" s="187"/>
      <c r="DJ199" s="187"/>
      <c r="DK199" s="187"/>
      <c r="DL199" s="187"/>
      <c r="DM199" s="187"/>
      <c r="DN199" s="187"/>
      <c r="DO199" s="187"/>
      <c r="DP199" s="187"/>
      <c r="DQ199" s="187"/>
      <c r="DR199" s="187"/>
      <c r="DS199" s="187"/>
      <c r="DT199" s="187"/>
      <c r="DU199" s="187"/>
      <c r="DV199" s="187"/>
      <c r="DW199" s="187"/>
      <c r="DX199" s="187"/>
      <c r="DY199" s="187"/>
      <c r="DZ199" s="187"/>
      <c r="EA199" s="187"/>
      <c r="EB199" s="187"/>
      <c r="EC199" s="187"/>
      <c r="ED199" s="187"/>
      <c r="EE199" s="187"/>
      <c r="EF199" s="187"/>
      <c r="EG199" s="187"/>
      <c r="EH199" s="187"/>
      <c r="EI199" s="187"/>
      <c r="EJ199" s="187"/>
      <c r="EK199" s="187"/>
      <c r="EL199" s="187"/>
      <c r="EM199" s="187"/>
      <c r="EN199" s="187"/>
      <c r="EO199" s="187"/>
    </row>
    <row r="200" spans="2:145" ht="13.9" customHeight="1" x14ac:dyDescent="0.2"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  <c r="AA200" s="187"/>
      <c r="AB200" s="187"/>
      <c r="AC200" s="187"/>
      <c r="AD200" s="187"/>
      <c r="AE200" s="187"/>
      <c r="AF200" s="187"/>
      <c r="AG200" s="187"/>
      <c r="AH200" s="187"/>
      <c r="AI200" s="187"/>
      <c r="AJ200" s="187"/>
      <c r="AK200" s="187"/>
      <c r="AL200" s="187"/>
      <c r="AM200" s="187"/>
      <c r="AN200" s="187"/>
      <c r="AO200" s="187"/>
      <c r="AP200" s="187"/>
      <c r="AQ200" s="187"/>
      <c r="AR200" s="187"/>
      <c r="AS200" s="187"/>
      <c r="AT200" s="187"/>
      <c r="AU200" s="187"/>
      <c r="AV200" s="187"/>
      <c r="AW200" s="187"/>
      <c r="AX200" s="187"/>
      <c r="AY200" s="187"/>
      <c r="AZ200" s="187"/>
      <c r="BA200" s="187"/>
      <c r="BB200" s="187"/>
      <c r="BC200" s="187"/>
      <c r="BD200" s="187"/>
      <c r="BE200" s="187"/>
      <c r="BF200" s="187"/>
      <c r="BG200" s="187"/>
      <c r="BH200" s="187"/>
      <c r="BI200" s="187"/>
      <c r="BJ200" s="187"/>
      <c r="BK200" s="187"/>
      <c r="BL200" s="187"/>
      <c r="BM200" s="187"/>
      <c r="BN200" s="187"/>
      <c r="BO200" s="187"/>
      <c r="BP200" s="187"/>
      <c r="BQ200" s="187"/>
      <c r="BR200" s="187"/>
      <c r="BS200" s="187"/>
      <c r="BT200" s="187"/>
      <c r="BU200" s="187"/>
      <c r="BV200" s="187"/>
      <c r="BW200" s="187"/>
      <c r="BX200" s="187"/>
      <c r="BY200" s="187"/>
      <c r="BZ200" s="187"/>
      <c r="CA200" s="187"/>
      <c r="CB200" s="187"/>
      <c r="CC200" s="187"/>
      <c r="CD200" s="187"/>
      <c r="CE200" s="187"/>
      <c r="CF200" s="187"/>
      <c r="CG200" s="187"/>
      <c r="CH200" s="187"/>
      <c r="CI200" s="187"/>
      <c r="CJ200" s="187"/>
      <c r="CK200" s="187"/>
      <c r="CL200" s="187"/>
      <c r="CM200" s="187"/>
      <c r="CN200" s="187"/>
      <c r="CO200" s="187"/>
      <c r="CP200" s="187"/>
      <c r="CQ200" s="187"/>
      <c r="CR200" s="187"/>
      <c r="CS200" s="187"/>
      <c r="CT200" s="187"/>
      <c r="CU200" s="187"/>
      <c r="CV200" s="187"/>
      <c r="CW200" s="187"/>
      <c r="CX200" s="187"/>
      <c r="CY200" s="187"/>
      <c r="CZ200" s="187"/>
      <c r="DA200" s="187"/>
      <c r="DB200" s="187"/>
      <c r="DC200" s="187"/>
      <c r="DD200" s="187"/>
      <c r="DE200" s="187"/>
      <c r="DF200" s="187"/>
      <c r="DG200" s="187"/>
      <c r="DH200" s="187"/>
      <c r="DI200" s="187"/>
      <c r="DJ200" s="187"/>
      <c r="DK200" s="187"/>
      <c r="DL200" s="187"/>
      <c r="DM200" s="187"/>
      <c r="DN200" s="187"/>
      <c r="DO200" s="187"/>
      <c r="DP200" s="187"/>
      <c r="DQ200" s="187"/>
      <c r="DR200" s="187"/>
      <c r="DS200" s="187"/>
      <c r="DT200" s="187"/>
      <c r="DU200" s="187"/>
      <c r="DV200" s="187"/>
      <c r="DW200" s="187"/>
      <c r="DX200" s="187"/>
      <c r="DY200" s="187"/>
      <c r="DZ200" s="187"/>
      <c r="EA200" s="187"/>
      <c r="EB200" s="187"/>
      <c r="EC200" s="187"/>
      <c r="ED200" s="187"/>
      <c r="EE200" s="187"/>
      <c r="EF200" s="187"/>
      <c r="EG200" s="187"/>
      <c r="EH200" s="187"/>
      <c r="EI200" s="187"/>
      <c r="EJ200" s="187"/>
      <c r="EK200" s="187"/>
      <c r="EL200" s="187"/>
      <c r="EM200" s="187"/>
      <c r="EN200" s="187"/>
      <c r="EO200" s="187"/>
    </row>
    <row r="201" spans="2:145" ht="13.9" customHeight="1" x14ac:dyDescent="0.2"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  <c r="AA201" s="187"/>
      <c r="AB201" s="187"/>
      <c r="AC201" s="187"/>
      <c r="AD201" s="187"/>
      <c r="AE201" s="187"/>
      <c r="AF201" s="187"/>
      <c r="AG201" s="187"/>
      <c r="AH201" s="187"/>
      <c r="AI201" s="187"/>
      <c r="AJ201" s="187"/>
      <c r="AK201" s="187"/>
      <c r="AL201" s="187"/>
      <c r="AM201" s="187"/>
      <c r="AN201" s="187"/>
      <c r="AO201" s="187"/>
      <c r="AP201" s="187"/>
      <c r="AQ201" s="187"/>
      <c r="AR201" s="187"/>
      <c r="AS201" s="187"/>
      <c r="AT201" s="187"/>
      <c r="AU201" s="187"/>
      <c r="AV201" s="187"/>
      <c r="AW201" s="187"/>
      <c r="AX201" s="187"/>
      <c r="AY201" s="187"/>
      <c r="AZ201" s="187"/>
      <c r="BA201" s="187"/>
      <c r="BB201" s="187"/>
      <c r="BC201" s="187"/>
      <c r="BD201" s="187"/>
      <c r="BE201" s="187"/>
      <c r="BF201" s="187"/>
      <c r="BG201" s="187"/>
      <c r="BH201" s="187"/>
      <c r="BI201" s="187"/>
      <c r="BJ201" s="187"/>
      <c r="BK201" s="187"/>
      <c r="BL201" s="187"/>
      <c r="BM201" s="187"/>
      <c r="BN201" s="187"/>
      <c r="BO201" s="187"/>
      <c r="BP201" s="187"/>
      <c r="BQ201" s="187"/>
      <c r="BR201" s="187"/>
      <c r="BS201" s="187"/>
      <c r="BT201" s="187"/>
      <c r="BU201" s="187"/>
      <c r="BV201" s="187"/>
      <c r="BW201" s="187"/>
      <c r="BX201" s="187"/>
      <c r="BY201" s="187"/>
      <c r="BZ201" s="187"/>
      <c r="CA201" s="187"/>
      <c r="CB201" s="187"/>
      <c r="CC201" s="187"/>
      <c r="CD201" s="187"/>
      <c r="CE201" s="187"/>
      <c r="CF201" s="187"/>
      <c r="CG201" s="187"/>
      <c r="CH201" s="187"/>
      <c r="CI201" s="187"/>
      <c r="CJ201" s="187"/>
      <c r="CK201" s="187"/>
      <c r="CL201" s="187"/>
      <c r="CM201" s="187"/>
      <c r="CN201" s="187"/>
      <c r="CO201" s="187"/>
      <c r="CP201" s="187"/>
      <c r="CQ201" s="187"/>
      <c r="CR201" s="187"/>
      <c r="CS201" s="187"/>
      <c r="CT201" s="187"/>
      <c r="CU201" s="187"/>
      <c r="CV201" s="187"/>
      <c r="CW201" s="187"/>
      <c r="CX201" s="187"/>
      <c r="CY201" s="187"/>
      <c r="CZ201" s="187"/>
      <c r="DA201" s="187"/>
      <c r="DB201" s="187"/>
      <c r="DC201" s="187"/>
      <c r="DD201" s="187"/>
      <c r="DE201" s="187"/>
      <c r="DF201" s="187"/>
      <c r="DG201" s="187"/>
      <c r="DH201" s="187"/>
      <c r="DI201" s="187"/>
      <c r="DJ201" s="187"/>
      <c r="DK201" s="187"/>
      <c r="DL201" s="187"/>
      <c r="DM201" s="187"/>
      <c r="DN201" s="187"/>
      <c r="DO201" s="187"/>
      <c r="DP201" s="187"/>
      <c r="DQ201" s="187"/>
      <c r="DR201" s="187"/>
      <c r="DS201" s="187"/>
      <c r="DT201" s="187"/>
      <c r="DU201" s="187"/>
      <c r="DV201" s="187"/>
      <c r="DW201" s="187"/>
      <c r="DX201" s="187"/>
      <c r="DY201" s="187"/>
      <c r="DZ201" s="187"/>
      <c r="EA201" s="187"/>
      <c r="EB201" s="187"/>
      <c r="EC201" s="187"/>
      <c r="ED201" s="187"/>
      <c r="EE201" s="187"/>
      <c r="EF201" s="187"/>
      <c r="EG201" s="187"/>
      <c r="EH201" s="187"/>
      <c r="EI201" s="187"/>
      <c r="EJ201" s="187"/>
      <c r="EK201" s="187"/>
      <c r="EL201" s="187"/>
      <c r="EM201" s="187"/>
      <c r="EN201" s="187"/>
      <c r="EO201" s="187"/>
    </row>
    <row r="202" spans="2:145" ht="13.9" customHeight="1" x14ac:dyDescent="0.2"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  <c r="AA202" s="187"/>
      <c r="AB202" s="187"/>
      <c r="AC202" s="187"/>
      <c r="AD202" s="187"/>
      <c r="AE202" s="187"/>
      <c r="AF202" s="187"/>
      <c r="AG202" s="187"/>
      <c r="AH202" s="187"/>
      <c r="AI202" s="187"/>
      <c r="AJ202" s="187"/>
      <c r="AK202" s="187"/>
      <c r="AL202" s="187"/>
      <c r="AM202" s="187"/>
      <c r="AN202" s="187"/>
      <c r="AO202" s="187"/>
      <c r="AP202" s="187"/>
      <c r="AQ202" s="187"/>
      <c r="AR202" s="187"/>
      <c r="AS202" s="187"/>
      <c r="AT202" s="187"/>
      <c r="AU202" s="187"/>
      <c r="AV202" s="187"/>
      <c r="AW202" s="187"/>
      <c r="AX202" s="187"/>
      <c r="AY202" s="187"/>
      <c r="AZ202" s="187"/>
      <c r="BA202" s="187"/>
      <c r="BB202" s="187"/>
      <c r="BC202" s="187"/>
      <c r="BD202" s="187"/>
      <c r="BE202" s="187"/>
      <c r="BF202" s="187"/>
      <c r="BG202" s="187"/>
      <c r="BH202" s="187"/>
      <c r="BI202" s="187"/>
      <c r="BJ202" s="187"/>
      <c r="BK202" s="187"/>
      <c r="BL202" s="187"/>
      <c r="BM202" s="187"/>
      <c r="BN202" s="187"/>
      <c r="BO202" s="187"/>
      <c r="BP202" s="187"/>
      <c r="BQ202" s="187"/>
      <c r="BR202" s="187"/>
      <c r="BS202" s="187"/>
      <c r="BT202" s="187"/>
      <c r="BU202" s="187"/>
      <c r="BV202" s="187"/>
      <c r="BW202" s="187"/>
      <c r="BX202" s="187"/>
      <c r="BY202" s="187"/>
      <c r="BZ202" s="187"/>
      <c r="CA202" s="187"/>
      <c r="CB202" s="187"/>
      <c r="CC202" s="187"/>
      <c r="CD202" s="187"/>
      <c r="CE202" s="187"/>
      <c r="CF202" s="187"/>
      <c r="CG202" s="187"/>
      <c r="CH202" s="187"/>
      <c r="CI202" s="187"/>
      <c r="CJ202" s="187"/>
      <c r="CK202" s="187"/>
      <c r="CL202" s="187"/>
      <c r="CM202" s="187"/>
      <c r="CN202" s="187"/>
      <c r="CO202" s="187"/>
      <c r="CP202" s="187"/>
      <c r="CQ202" s="187"/>
      <c r="CR202" s="187"/>
      <c r="CS202" s="187"/>
      <c r="CT202" s="187"/>
      <c r="CU202" s="187"/>
      <c r="CV202" s="187"/>
      <c r="CW202" s="187"/>
      <c r="CX202" s="187"/>
      <c r="CY202" s="187"/>
      <c r="CZ202" s="187"/>
      <c r="DA202" s="187"/>
      <c r="DB202" s="187"/>
      <c r="DC202" s="187"/>
      <c r="DD202" s="187"/>
      <c r="DE202" s="187"/>
      <c r="DF202" s="187"/>
      <c r="DG202" s="187"/>
      <c r="DH202" s="187"/>
      <c r="DI202" s="187"/>
      <c r="DJ202" s="187"/>
      <c r="DK202" s="187"/>
      <c r="DL202" s="187"/>
      <c r="DM202" s="187"/>
      <c r="DN202" s="187"/>
      <c r="DO202" s="187"/>
      <c r="DP202" s="187"/>
      <c r="DQ202" s="187"/>
      <c r="DR202" s="187"/>
      <c r="DS202" s="187"/>
      <c r="DT202" s="187"/>
      <c r="DU202" s="187"/>
      <c r="DV202" s="187"/>
      <c r="DW202" s="187"/>
      <c r="DX202" s="187"/>
      <c r="DY202" s="187"/>
      <c r="DZ202" s="187"/>
      <c r="EA202" s="187"/>
      <c r="EB202" s="187"/>
      <c r="EC202" s="187"/>
      <c r="ED202" s="187"/>
      <c r="EE202" s="187"/>
      <c r="EF202" s="187"/>
      <c r="EG202" s="187"/>
      <c r="EH202" s="187"/>
      <c r="EI202" s="187"/>
      <c r="EJ202" s="187"/>
      <c r="EK202" s="187"/>
      <c r="EL202" s="187"/>
      <c r="EM202" s="187"/>
      <c r="EN202" s="187"/>
      <c r="EO202" s="187"/>
    </row>
    <row r="203" spans="2:145" ht="13.9" customHeight="1" x14ac:dyDescent="0.2"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  <c r="AA203" s="187"/>
      <c r="AB203" s="187"/>
      <c r="AC203" s="187"/>
      <c r="AD203" s="187"/>
      <c r="AE203" s="187"/>
      <c r="AF203" s="187"/>
      <c r="AG203" s="187"/>
      <c r="AH203" s="187"/>
      <c r="AI203" s="187"/>
      <c r="AJ203" s="187"/>
      <c r="AK203" s="187"/>
      <c r="AL203" s="187"/>
      <c r="AM203" s="187"/>
      <c r="AN203" s="187"/>
      <c r="AO203" s="187"/>
      <c r="AP203" s="187"/>
      <c r="AQ203" s="187"/>
      <c r="AR203" s="187"/>
      <c r="AS203" s="187"/>
      <c r="AT203" s="187"/>
      <c r="AU203" s="187"/>
      <c r="AV203" s="187"/>
      <c r="AW203" s="187"/>
      <c r="AX203" s="187"/>
      <c r="AY203" s="187"/>
      <c r="AZ203" s="187"/>
      <c r="BA203" s="187"/>
      <c r="BB203" s="187"/>
      <c r="BC203" s="187"/>
      <c r="BD203" s="187"/>
      <c r="BE203" s="187"/>
      <c r="BF203" s="187"/>
      <c r="BG203" s="187"/>
      <c r="BH203" s="187"/>
      <c r="BI203" s="187"/>
      <c r="BJ203" s="187"/>
      <c r="BK203" s="187"/>
      <c r="BL203" s="187"/>
      <c r="BM203" s="187"/>
      <c r="BN203" s="187"/>
      <c r="BO203" s="187"/>
      <c r="BP203" s="187"/>
      <c r="BQ203" s="187"/>
      <c r="BR203" s="187"/>
      <c r="BS203" s="187"/>
      <c r="BT203" s="187"/>
      <c r="BU203" s="187"/>
      <c r="BV203" s="187"/>
      <c r="BW203" s="187"/>
      <c r="BX203" s="187"/>
      <c r="BY203" s="187"/>
      <c r="BZ203" s="187"/>
      <c r="CA203" s="187"/>
      <c r="CB203" s="187"/>
      <c r="CC203" s="187"/>
      <c r="CD203" s="187"/>
      <c r="CE203" s="187"/>
      <c r="CF203" s="187"/>
      <c r="CG203" s="187"/>
      <c r="CH203" s="187"/>
      <c r="CI203" s="187"/>
      <c r="CJ203" s="187"/>
      <c r="CK203" s="187"/>
      <c r="CL203" s="187"/>
      <c r="CM203" s="187"/>
      <c r="CN203" s="187"/>
      <c r="CO203" s="187"/>
      <c r="CP203" s="187"/>
      <c r="CQ203" s="187"/>
      <c r="CR203" s="187"/>
      <c r="CS203" s="187"/>
      <c r="CT203" s="187"/>
      <c r="CU203" s="187"/>
      <c r="CV203" s="187"/>
      <c r="CW203" s="187"/>
      <c r="CX203" s="187"/>
      <c r="CY203" s="187"/>
      <c r="CZ203" s="187"/>
      <c r="DA203" s="187"/>
      <c r="DB203" s="187"/>
      <c r="DC203" s="187"/>
      <c r="DD203" s="187"/>
      <c r="DE203" s="187"/>
      <c r="DF203" s="187"/>
      <c r="DG203" s="187"/>
      <c r="DH203" s="187"/>
      <c r="DI203" s="187"/>
      <c r="DJ203" s="187"/>
      <c r="DK203" s="187"/>
      <c r="DL203" s="187"/>
      <c r="DM203" s="187"/>
      <c r="DN203" s="187"/>
      <c r="DO203" s="187"/>
      <c r="DP203" s="187"/>
      <c r="DQ203" s="187"/>
      <c r="DR203" s="187"/>
      <c r="DS203" s="187"/>
      <c r="DT203" s="187"/>
      <c r="DU203" s="187"/>
      <c r="DV203" s="187"/>
      <c r="DW203" s="187"/>
      <c r="DX203" s="187"/>
      <c r="DY203" s="187"/>
      <c r="DZ203" s="187"/>
      <c r="EA203" s="187"/>
      <c r="EB203" s="187"/>
      <c r="EC203" s="187"/>
      <c r="ED203" s="187"/>
      <c r="EE203" s="187"/>
      <c r="EF203" s="187"/>
      <c r="EG203" s="187"/>
      <c r="EH203" s="187"/>
      <c r="EI203" s="187"/>
      <c r="EJ203" s="187"/>
      <c r="EK203" s="187"/>
      <c r="EL203" s="187"/>
      <c r="EM203" s="187"/>
      <c r="EN203" s="187"/>
      <c r="EO203" s="187"/>
    </row>
    <row r="204" spans="2:145" ht="13.9" customHeight="1" x14ac:dyDescent="0.2"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  <c r="AA204" s="187"/>
      <c r="AB204" s="187"/>
      <c r="AC204" s="187"/>
      <c r="AD204" s="187"/>
      <c r="AE204" s="187"/>
      <c r="AF204" s="187"/>
      <c r="AG204" s="187"/>
      <c r="AH204" s="187"/>
      <c r="AI204" s="187"/>
      <c r="AJ204" s="187"/>
      <c r="AK204" s="187"/>
      <c r="AL204" s="187"/>
      <c r="AM204" s="187"/>
      <c r="AN204" s="187"/>
      <c r="AO204" s="187"/>
      <c r="AP204" s="187"/>
      <c r="AQ204" s="187"/>
      <c r="AR204" s="187"/>
      <c r="AS204" s="187"/>
      <c r="AT204" s="187"/>
      <c r="AU204" s="187"/>
      <c r="AV204" s="187"/>
      <c r="AW204" s="187"/>
      <c r="AX204" s="187"/>
      <c r="AY204" s="187"/>
      <c r="AZ204" s="187"/>
      <c r="BA204" s="187"/>
      <c r="BB204" s="187"/>
      <c r="BC204" s="187"/>
      <c r="BD204" s="187"/>
      <c r="BE204" s="187"/>
      <c r="BF204" s="187"/>
      <c r="BG204" s="187"/>
      <c r="BH204" s="187"/>
      <c r="BI204" s="187"/>
      <c r="BJ204" s="187"/>
      <c r="BK204" s="187"/>
      <c r="BL204" s="187"/>
      <c r="BM204" s="187"/>
      <c r="BN204" s="187"/>
      <c r="BO204" s="187"/>
      <c r="BP204" s="187"/>
      <c r="BQ204" s="187"/>
      <c r="BR204" s="187"/>
      <c r="BS204" s="187"/>
      <c r="BT204" s="187"/>
      <c r="BU204" s="187"/>
      <c r="BV204" s="187"/>
      <c r="BW204" s="187"/>
      <c r="BX204" s="187"/>
      <c r="BY204" s="187"/>
      <c r="BZ204" s="187"/>
      <c r="CA204" s="187"/>
      <c r="CB204" s="187"/>
      <c r="CC204" s="187"/>
      <c r="CD204" s="187"/>
      <c r="CE204" s="187"/>
      <c r="CF204" s="187"/>
      <c r="CG204" s="187"/>
      <c r="CH204" s="187"/>
      <c r="CI204" s="187"/>
      <c r="CJ204" s="187"/>
      <c r="CK204" s="187"/>
      <c r="CL204" s="187"/>
      <c r="CM204" s="187"/>
      <c r="CN204" s="187"/>
      <c r="CO204" s="187"/>
      <c r="CP204" s="187"/>
      <c r="CQ204" s="187"/>
      <c r="CR204" s="187"/>
      <c r="CS204" s="187"/>
      <c r="CT204" s="187"/>
      <c r="CU204" s="187"/>
      <c r="CV204" s="187"/>
      <c r="CW204" s="187"/>
      <c r="CX204" s="187"/>
      <c r="CY204" s="187"/>
      <c r="CZ204" s="187"/>
      <c r="DA204" s="187"/>
      <c r="DB204" s="187"/>
      <c r="DC204" s="187"/>
      <c r="DD204" s="187"/>
      <c r="DE204" s="187"/>
      <c r="DF204" s="187"/>
      <c r="DG204" s="187"/>
      <c r="DH204" s="187"/>
      <c r="DI204" s="187"/>
      <c r="DJ204" s="187"/>
      <c r="DK204" s="187"/>
      <c r="DL204" s="187"/>
      <c r="DM204" s="187"/>
      <c r="DN204" s="187"/>
      <c r="DO204" s="187"/>
      <c r="DP204" s="187"/>
      <c r="DQ204" s="187"/>
      <c r="DR204" s="187"/>
      <c r="DS204" s="187"/>
      <c r="DT204" s="187"/>
      <c r="DU204" s="187"/>
      <c r="DV204" s="187"/>
      <c r="DW204" s="187"/>
      <c r="DX204" s="187"/>
      <c r="DY204" s="187"/>
      <c r="DZ204" s="187"/>
      <c r="EA204" s="187"/>
      <c r="EB204" s="187"/>
      <c r="EC204" s="187"/>
      <c r="ED204" s="187"/>
      <c r="EE204" s="187"/>
      <c r="EF204" s="187"/>
      <c r="EG204" s="187"/>
      <c r="EH204" s="187"/>
      <c r="EI204" s="187"/>
      <c r="EJ204" s="187"/>
      <c r="EK204" s="187"/>
      <c r="EL204" s="187"/>
      <c r="EM204" s="187"/>
      <c r="EN204" s="187"/>
      <c r="EO204" s="187"/>
    </row>
    <row r="205" spans="2:145" ht="13.9" customHeight="1" x14ac:dyDescent="0.2"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  <c r="AA205" s="187"/>
      <c r="AB205" s="187"/>
      <c r="AC205" s="187"/>
      <c r="AD205" s="187"/>
      <c r="AE205" s="187"/>
      <c r="AF205" s="187"/>
      <c r="AG205" s="187"/>
      <c r="AH205" s="187"/>
      <c r="AI205" s="187"/>
      <c r="AJ205" s="187"/>
      <c r="AK205" s="187"/>
      <c r="AL205" s="187"/>
      <c r="AM205" s="187"/>
      <c r="AN205" s="187"/>
      <c r="AO205" s="187"/>
      <c r="AP205" s="187"/>
      <c r="AQ205" s="187"/>
      <c r="AR205" s="187"/>
      <c r="AS205" s="187"/>
      <c r="AT205" s="187"/>
      <c r="AU205" s="187"/>
      <c r="AV205" s="187"/>
      <c r="AW205" s="187"/>
      <c r="AX205" s="187"/>
      <c r="AY205" s="187"/>
      <c r="AZ205" s="187"/>
      <c r="BA205" s="187"/>
      <c r="BB205" s="187"/>
      <c r="BC205" s="187"/>
      <c r="BD205" s="187"/>
      <c r="BE205" s="187"/>
      <c r="BF205" s="187"/>
      <c r="BG205" s="187"/>
      <c r="BH205" s="187"/>
      <c r="BI205" s="187"/>
      <c r="BJ205" s="187"/>
      <c r="BK205" s="187"/>
      <c r="BL205" s="187"/>
      <c r="BM205" s="187"/>
      <c r="BN205" s="187"/>
      <c r="BO205" s="187"/>
      <c r="BP205" s="187"/>
      <c r="BQ205" s="187"/>
      <c r="BR205" s="187"/>
      <c r="BS205" s="187"/>
      <c r="BT205" s="187"/>
      <c r="BU205" s="187"/>
      <c r="BV205" s="187"/>
      <c r="BW205" s="187"/>
      <c r="BX205" s="187"/>
      <c r="BY205" s="187"/>
      <c r="BZ205" s="187"/>
      <c r="CA205" s="187"/>
      <c r="CB205" s="187"/>
      <c r="CC205" s="187"/>
      <c r="CD205" s="187"/>
      <c r="CE205" s="187"/>
      <c r="CF205" s="187"/>
      <c r="CG205" s="187"/>
      <c r="CH205" s="187"/>
      <c r="CI205" s="187"/>
      <c r="CJ205" s="187"/>
      <c r="CK205" s="187"/>
      <c r="CL205" s="187"/>
      <c r="CM205" s="187"/>
      <c r="CN205" s="187"/>
      <c r="CO205" s="187"/>
      <c r="CP205" s="187"/>
      <c r="CQ205" s="187"/>
      <c r="CR205" s="187"/>
      <c r="CS205" s="187"/>
      <c r="CT205" s="187"/>
      <c r="CU205" s="187"/>
      <c r="CV205" s="187"/>
      <c r="CW205" s="187"/>
      <c r="CX205" s="187"/>
      <c r="CY205" s="187"/>
      <c r="CZ205" s="187"/>
      <c r="DA205" s="187"/>
      <c r="DB205" s="187"/>
      <c r="DC205" s="187"/>
      <c r="DD205" s="187"/>
      <c r="DE205" s="187"/>
      <c r="DF205" s="187"/>
      <c r="DG205" s="187"/>
      <c r="DH205" s="187"/>
      <c r="DI205" s="187"/>
      <c r="DJ205" s="187"/>
      <c r="DK205" s="187"/>
      <c r="DL205" s="187"/>
      <c r="DM205" s="187"/>
      <c r="DN205" s="187"/>
      <c r="DO205" s="187"/>
      <c r="DP205" s="187"/>
      <c r="DQ205" s="187"/>
      <c r="DR205" s="187"/>
      <c r="DS205" s="187"/>
      <c r="DT205" s="187"/>
      <c r="DU205" s="187"/>
      <c r="DV205" s="187"/>
      <c r="DW205" s="187"/>
      <c r="DX205" s="187"/>
      <c r="DY205" s="187"/>
      <c r="DZ205" s="187"/>
      <c r="EA205" s="187"/>
      <c r="EB205" s="187"/>
      <c r="EC205" s="187"/>
      <c r="ED205" s="187"/>
      <c r="EE205" s="187"/>
      <c r="EF205" s="187"/>
      <c r="EG205" s="187"/>
      <c r="EH205" s="187"/>
      <c r="EI205" s="187"/>
      <c r="EJ205" s="187"/>
      <c r="EK205" s="187"/>
      <c r="EL205" s="187"/>
      <c r="EM205" s="187"/>
      <c r="EN205" s="187"/>
      <c r="EO205" s="187"/>
    </row>
    <row r="206" spans="2:145" ht="13.9" customHeight="1" x14ac:dyDescent="0.2"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  <c r="AA206" s="187"/>
      <c r="AB206" s="187"/>
      <c r="AC206" s="187"/>
      <c r="AD206" s="187"/>
      <c r="AE206" s="187"/>
      <c r="AF206" s="187"/>
      <c r="AG206" s="187"/>
      <c r="AH206" s="187"/>
      <c r="AI206" s="187"/>
      <c r="AJ206" s="187"/>
      <c r="AK206" s="187"/>
      <c r="AL206" s="187"/>
      <c r="AM206" s="187"/>
      <c r="AN206" s="187"/>
      <c r="AO206" s="187"/>
      <c r="AP206" s="187"/>
      <c r="AQ206" s="187"/>
      <c r="AR206" s="187"/>
      <c r="AS206" s="187"/>
      <c r="AT206" s="187"/>
      <c r="AU206" s="187"/>
      <c r="AV206" s="187"/>
      <c r="AW206" s="187"/>
      <c r="AX206" s="187"/>
      <c r="AY206" s="187"/>
      <c r="AZ206" s="187"/>
      <c r="BA206" s="187"/>
      <c r="BB206" s="187"/>
      <c r="BC206" s="187"/>
      <c r="BD206" s="187"/>
      <c r="BE206" s="187"/>
      <c r="BF206" s="187"/>
      <c r="BG206" s="187"/>
      <c r="BH206" s="187"/>
      <c r="BI206" s="187"/>
      <c r="BJ206" s="187"/>
      <c r="BK206" s="187"/>
      <c r="BL206" s="187"/>
      <c r="BM206" s="187"/>
      <c r="BN206" s="187"/>
      <c r="BO206" s="187"/>
      <c r="BP206" s="187"/>
      <c r="BQ206" s="187"/>
      <c r="BR206" s="187"/>
      <c r="BS206" s="187"/>
      <c r="BT206" s="187"/>
      <c r="BU206" s="187"/>
      <c r="BV206" s="187"/>
      <c r="BW206" s="187"/>
      <c r="BX206" s="187"/>
      <c r="BY206" s="187"/>
      <c r="BZ206" s="187"/>
      <c r="CA206" s="187"/>
      <c r="CB206" s="187"/>
      <c r="CC206" s="187"/>
      <c r="CD206" s="187"/>
      <c r="CE206" s="187"/>
      <c r="CF206" s="187"/>
      <c r="CG206" s="187"/>
      <c r="CH206" s="187"/>
      <c r="CI206" s="187"/>
      <c r="CJ206" s="187"/>
      <c r="CK206" s="187"/>
      <c r="CL206" s="187"/>
      <c r="CM206" s="187"/>
      <c r="CN206" s="187"/>
      <c r="CO206" s="187"/>
      <c r="CP206" s="187"/>
      <c r="CQ206" s="187"/>
      <c r="CR206" s="187"/>
      <c r="CS206" s="187"/>
      <c r="CT206" s="187"/>
      <c r="CU206" s="187"/>
      <c r="CV206" s="187"/>
      <c r="CW206" s="187"/>
      <c r="CX206" s="187"/>
      <c r="CY206" s="187"/>
      <c r="CZ206" s="187"/>
      <c r="DA206" s="187"/>
      <c r="DB206" s="187"/>
      <c r="DC206" s="187"/>
      <c r="DD206" s="187"/>
      <c r="DE206" s="187"/>
      <c r="DF206" s="187"/>
      <c r="DG206" s="187"/>
      <c r="DH206" s="187"/>
      <c r="DI206" s="187"/>
      <c r="DJ206" s="187"/>
      <c r="DK206" s="187"/>
      <c r="DL206" s="187"/>
      <c r="DM206" s="187"/>
      <c r="DN206" s="187"/>
      <c r="DO206" s="187"/>
      <c r="DP206" s="187"/>
      <c r="DQ206" s="187"/>
      <c r="DR206" s="187"/>
      <c r="DS206" s="187"/>
      <c r="DT206" s="187"/>
      <c r="DU206" s="187"/>
      <c r="DV206" s="187"/>
      <c r="DW206" s="187"/>
      <c r="DX206" s="187"/>
      <c r="DY206" s="187"/>
      <c r="DZ206" s="187"/>
      <c r="EA206" s="187"/>
      <c r="EB206" s="187"/>
      <c r="EC206" s="187"/>
      <c r="ED206" s="187"/>
      <c r="EE206" s="187"/>
      <c r="EF206" s="187"/>
      <c r="EG206" s="187"/>
      <c r="EH206" s="187"/>
      <c r="EI206" s="187"/>
      <c r="EJ206" s="187"/>
      <c r="EK206" s="187"/>
      <c r="EL206" s="187"/>
      <c r="EM206" s="187"/>
      <c r="EN206" s="187"/>
      <c r="EO206" s="187"/>
    </row>
    <row r="207" spans="2:145" ht="13.9" customHeight="1" x14ac:dyDescent="0.2"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  <c r="AA207" s="187"/>
      <c r="AB207" s="187"/>
      <c r="AC207" s="187"/>
      <c r="AD207" s="187"/>
      <c r="AE207" s="187"/>
      <c r="AF207" s="187"/>
      <c r="AG207" s="187"/>
      <c r="AH207" s="187"/>
      <c r="AI207" s="187"/>
      <c r="AJ207" s="187"/>
      <c r="AK207" s="187"/>
      <c r="AL207" s="187"/>
      <c r="AM207" s="187"/>
      <c r="AN207" s="187"/>
      <c r="AO207" s="187"/>
      <c r="AP207" s="187"/>
      <c r="AQ207" s="187"/>
      <c r="AR207" s="187"/>
      <c r="AS207" s="187"/>
      <c r="AT207" s="187"/>
      <c r="AU207" s="187"/>
      <c r="AV207" s="187"/>
      <c r="AW207" s="187"/>
      <c r="AX207" s="187"/>
      <c r="AY207" s="187"/>
      <c r="AZ207" s="187"/>
      <c r="BA207" s="187"/>
      <c r="BB207" s="187"/>
      <c r="BC207" s="187"/>
      <c r="BD207" s="187"/>
      <c r="BE207" s="187"/>
      <c r="BF207" s="187"/>
      <c r="BG207" s="187"/>
      <c r="BH207" s="187"/>
      <c r="BI207" s="187"/>
      <c r="BJ207" s="187"/>
      <c r="BK207" s="187"/>
      <c r="BL207" s="187"/>
      <c r="BM207" s="187"/>
      <c r="BN207" s="187"/>
      <c r="BO207" s="187"/>
      <c r="BP207" s="187"/>
      <c r="BQ207" s="187"/>
      <c r="BR207" s="187"/>
      <c r="BS207" s="187"/>
      <c r="BT207" s="187"/>
      <c r="BU207" s="187"/>
      <c r="BV207" s="187"/>
      <c r="BW207" s="187"/>
      <c r="BX207" s="187"/>
      <c r="BY207" s="187"/>
      <c r="BZ207" s="187"/>
      <c r="CA207" s="187"/>
      <c r="CB207" s="187"/>
      <c r="CC207" s="187"/>
      <c r="CD207" s="187"/>
      <c r="CE207" s="187"/>
      <c r="CF207" s="187"/>
      <c r="CG207" s="187"/>
      <c r="CH207" s="187"/>
      <c r="CI207" s="187"/>
      <c r="CJ207" s="187"/>
      <c r="CK207" s="187"/>
      <c r="CL207" s="187"/>
      <c r="CM207" s="187"/>
      <c r="CN207" s="187"/>
      <c r="CO207" s="187"/>
      <c r="CP207" s="187"/>
      <c r="CQ207" s="187"/>
      <c r="CR207" s="187"/>
      <c r="CS207" s="187"/>
      <c r="CT207" s="187"/>
      <c r="CU207" s="187"/>
      <c r="CV207" s="187"/>
      <c r="CW207" s="187"/>
      <c r="CX207" s="187"/>
      <c r="CY207" s="187"/>
      <c r="CZ207" s="187"/>
      <c r="DA207" s="187"/>
      <c r="DB207" s="187"/>
      <c r="DC207" s="187"/>
      <c r="DD207" s="187"/>
      <c r="DE207" s="187"/>
      <c r="DF207" s="187"/>
      <c r="DG207" s="187"/>
      <c r="DH207" s="187"/>
      <c r="DI207" s="187"/>
      <c r="DJ207" s="187"/>
      <c r="DK207" s="187"/>
      <c r="DL207" s="187"/>
      <c r="DM207" s="187"/>
      <c r="DN207" s="187"/>
      <c r="DO207" s="187"/>
      <c r="DP207" s="187"/>
      <c r="DQ207" s="187"/>
      <c r="DR207" s="187"/>
      <c r="DS207" s="187"/>
      <c r="DT207" s="187"/>
      <c r="DU207" s="187"/>
      <c r="DV207" s="187"/>
      <c r="DW207" s="187"/>
      <c r="DX207" s="187"/>
      <c r="DY207" s="187"/>
      <c r="DZ207" s="187"/>
      <c r="EA207" s="187"/>
      <c r="EB207" s="187"/>
      <c r="EC207" s="187"/>
      <c r="ED207" s="187"/>
      <c r="EE207" s="187"/>
      <c r="EF207" s="187"/>
      <c r="EG207" s="187"/>
      <c r="EH207" s="187"/>
      <c r="EI207" s="187"/>
      <c r="EJ207" s="187"/>
      <c r="EK207" s="187"/>
      <c r="EL207" s="187"/>
      <c r="EM207" s="187"/>
      <c r="EN207" s="187"/>
      <c r="EO207" s="187"/>
    </row>
    <row r="208" spans="2:145" ht="13.9" customHeight="1" x14ac:dyDescent="0.2"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  <c r="AB208" s="187"/>
      <c r="AC208" s="187"/>
      <c r="AD208" s="187"/>
      <c r="AE208" s="187"/>
      <c r="AF208" s="187"/>
      <c r="AG208" s="187"/>
      <c r="AH208" s="187"/>
      <c r="AI208" s="187"/>
      <c r="AJ208" s="187"/>
      <c r="AK208" s="187"/>
      <c r="AL208" s="187"/>
      <c r="AM208" s="187"/>
      <c r="AN208" s="187"/>
      <c r="AO208" s="187"/>
      <c r="AP208" s="187"/>
      <c r="AQ208" s="187"/>
      <c r="AR208" s="187"/>
      <c r="AS208" s="187"/>
      <c r="AT208" s="187"/>
      <c r="AU208" s="187"/>
      <c r="AV208" s="187"/>
      <c r="AW208" s="187"/>
      <c r="AX208" s="187"/>
      <c r="AY208" s="187"/>
      <c r="AZ208" s="187"/>
      <c r="BA208" s="187"/>
      <c r="BB208" s="187"/>
      <c r="BC208" s="187"/>
      <c r="BD208" s="187"/>
      <c r="BE208" s="187"/>
      <c r="BF208" s="187"/>
      <c r="BG208" s="187"/>
      <c r="BH208" s="187"/>
      <c r="BI208" s="187"/>
      <c r="BJ208" s="187"/>
      <c r="BK208" s="187"/>
      <c r="BL208" s="187"/>
      <c r="BM208" s="187"/>
      <c r="BN208" s="187"/>
      <c r="BO208" s="187"/>
      <c r="BP208" s="187"/>
      <c r="BQ208" s="187"/>
      <c r="BR208" s="187"/>
      <c r="BS208" s="187"/>
      <c r="BT208" s="187"/>
      <c r="BU208" s="187"/>
      <c r="BV208" s="187"/>
      <c r="BW208" s="187"/>
      <c r="BX208" s="187"/>
      <c r="BY208" s="187"/>
      <c r="BZ208" s="187"/>
      <c r="CA208" s="187"/>
      <c r="CB208" s="187"/>
      <c r="CC208" s="187"/>
      <c r="CD208" s="187"/>
      <c r="CE208" s="187"/>
      <c r="CF208" s="187"/>
      <c r="CG208" s="187"/>
      <c r="CH208" s="187"/>
      <c r="CI208" s="187"/>
      <c r="CJ208" s="187"/>
      <c r="CK208" s="187"/>
      <c r="CL208" s="187"/>
      <c r="CM208" s="187"/>
      <c r="CN208" s="187"/>
      <c r="CO208" s="187"/>
      <c r="CP208" s="187"/>
      <c r="CQ208" s="187"/>
      <c r="CR208" s="187"/>
      <c r="CS208" s="187"/>
      <c r="CT208" s="187"/>
      <c r="CU208" s="187"/>
      <c r="CV208" s="187"/>
      <c r="CW208" s="187"/>
      <c r="CX208" s="187"/>
      <c r="CY208" s="187"/>
      <c r="CZ208" s="187"/>
      <c r="DA208" s="187"/>
      <c r="DB208" s="187"/>
      <c r="DC208" s="187"/>
      <c r="DD208" s="187"/>
      <c r="DE208" s="187"/>
      <c r="DF208" s="187"/>
      <c r="DG208" s="187"/>
      <c r="DH208" s="187"/>
      <c r="DI208" s="187"/>
      <c r="DJ208" s="187"/>
      <c r="DK208" s="187"/>
      <c r="DL208" s="187"/>
      <c r="DM208" s="187"/>
      <c r="DN208" s="187"/>
      <c r="DO208" s="187"/>
      <c r="DP208" s="187"/>
      <c r="DQ208" s="187"/>
      <c r="DR208" s="187"/>
      <c r="DS208" s="187"/>
      <c r="DT208" s="187"/>
      <c r="DU208" s="187"/>
      <c r="DV208" s="187"/>
      <c r="DW208" s="187"/>
      <c r="DX208" s="187"/>
      <c r="DY208" s="187"/>
      <c r="DZ208" s="187"/>
      <c r="EA208" s="187"/>
      <c r="EB208" s="187"/>
      <c r="EC208" s="187"/>
      <c r="ED208" s="187"/>
      <c r="EE208" s="187"/>
      <c r="EF208" s="187"/>
      <c r="EG208" s="187"/>
      <c r="EH208" s="187"/>
      <c r="EI208" s="187"/>
      <c r="EJ208" s="187"/>
      <c r="EK208" s="187"/>
      <c r="EL208" s="187"/>
      <c r="EM208" s="187"/>
      <c r="EN208" s="187"/>
      <c r="EO208" s="187"/>
    </row>
    <row r="209" spans="2:145" ht="13.9" customHeight="1" x14ac:dyDescent="0.2"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  <c r="AA209" s="187"/>
      <c r="AB209" s="187"/>
      <c r="AC209" s="187"/>
      <c r="AD209" s="187"/>
      <c r="AE209" s="187"/>
      <c r="AF209" s="187"/>
      <c r="AG209" s="187"/>
      <c r="AH209" s="187"/>
      <c r="AI209" s="187"/>
      <c r="AJ209" s="187"/>
      <c r="AK209" s="187"/>
      <c r="AL209" s="187"/>
      <c r="AM209" s="187"/>
      <c r="AN209" s="187"/>
      <c r="AO209" s="187"/>
      <c r="AP209" s="187"/>
      <c r="AQ209" s="187"/>
      <c r="AR209" s="187"/>
      <c r="AS209" s="187"/>
      <c r="AT209" s="187"/>
      <c r="AU209" s="187"/>
      <c r="AV209" s="187"/>
      <c r="AW209" s="187"/>
      <c r="AX209" s="187"/>
      <c r="AY209" s="187"/>
      <c r="AZ209" s="187"/>
      <c r="BA209" s="187"/>
      <c r="BB209" s="187"/>
      <c r="BC209" s="187"/>
      <c r="BD209" s="187"/>
      <c r="BE209" s="187"/>
      <c r="BF209" s="187"/>
      <c r="BG209" s="187"/>
      <c r="BH209" s="187"/>
      <c r="BI209" s="187"/>
      <c r="BJ209" s="187"/>
      <c r="BK209" s="187"/>
      <c r="BL209" s="187"/>
      <c r="BM209" s="187"/>
      <c r="BN209" s="187"/>
      <c r="BO209" s="187"/>
      <c r="BP209" s="187"/>
      <c r="BQ209" s="187"/>
      <c r="BR209" s="187"/>
      <c r="BS209" s="187"/>
      <c r="BT209" s="187"/>
      <c r="BU209" s="187"/>
      <c r="BV209" s="187"/>
      <c r="BW209" s="187"/>
      <c r="BX209" s="187"/>
      <c r="BY209" s="187"/>
      <c r="BZ209" s="187"/>
      <c r="CA209" s="187"/>
      <c r="CB209" s="187"/>
      <c r="CC209" s="187"/>
      <c r="CD209" s="187"/>
      <c r="CE209" s="187"/>
      <c r="CF209" s="187"/>
      <c r="CG209" s="187"/>
      <c r="CH209" s="187"/>
      <c r="CI209" s="187"/>
      <c r="CJ209" s="187"/>
      <c r="CK209" s="187"/>
      <c r="CL209" s="187"/>
      <c r="CM209" s="187"/>
      <c r="CN209" s="187"/>
      <c r="CO209" s="187"/>
      <c r="CP209" s="187"/>
      <c r="CQ209" s="187"/>
      <c r="CR209" s="187"/>
      <c r="CS209" s="187"/>
      <c r="CT209" s="187"/>
      <c r="CU209" s="187"/>
      <c r="CV209" s="187"/>
      <c r="CW209" s="187"/>
      <c r="CX209" s="187"/>
      <c r="CY209" s="187"/>
      <c r="CZ209" s="187"/>
      <c r="DA209" s="187"/>
      <c r="DB209" s="187"/>
      <c r="DC209" s="187"/>
      <c r="DD209" s="187"/>
      <c r="DE209" s="187"/>
      <c r="DF209" s="187"/>
      <c r="DG209" s="187"/>
      <c r="DH209" s="187"/>
      <c r="DI209" s="187"/>
      <c r="DJ209" s="187"/>
      <c r="DK209" s="187"/>
      <c r="DL209" s="187"/>
      <c r="DM209" s="187"/>
      <c r="DN209" s="187"/>
      <c r="DO209" s="187"/>
      <c r="DP209" s="187"/>
      <c r="DQ209" s="187"/>
      <c r="DR209" s="187"/>
      <c r="DS209" s="187"/>
      <c r="DT209" s="187"/>
      <c r="DU209" s="187"/>
      <c r="DV209" s="187"/>
      <c r="DW209" s="187"/>
      <c r="DX209" s="187"/>
      <c r="DY209" s="187"/>
      <c r="DZ209" s="187"/>
      <c r="EA209" s="187"/>
      <c r="EB209" s="187"/>
      <c r="EC209" s="187"/>
      <c r="ED209" s="187"/>
      <c r="EE209" s="187"/>
      <c r="EF209" s="187"/>
      <c r="EG209" s="187"/>
      <c r="EH209" s="187"/>
      <c r="EI209" s="187"/>
      <c r="EJ209" s="187"/>
      <c r="EK209" s="187"/>
      <c r="EL209" s="187"/>
      <c r="EM209" s="187"/>
      <c r="EN209" s="187"/>
      <c r="EO209" s="187"/>
    </row>
    <row r="210" spans="2:145" ht="13.9" customHeight="1" x14ac:dyDescent="0.2"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  <c r="AA210" s="187"/>
      <c r="AB210" s="187"/>
      <c r="AC210" s="187"/>
      <c r="AD210" s="187"/>
      <c r="AE210" s="187"/>
      <c r="AF210" s="187"/>
      <c r="AG210" s="187"/>
      <c r="AH210" s="187"/>
      <c r="AI210" s="187"/>
      <c r="AJ210" s="187"/>
      <c r="AK210" s="187"/>
      <c r="AL210" s="187"/>
      <c r="AM210" s="187"/>
      <c r="AN210" s="187"/>
      <c r="AO210" s="187"/>
      <c r="AP210" s="187"/>
      <c r="AQ210" s="187"/>
      <c r="AR210" s="187"/>
      <c r="AS210" s="187"/>
      <c r="AT210" s="187"/>
      <c r="AU210" s="187"/>
      <c r="AV210" s="187"/>
      <c r="AW210" s="187"/>
      <c r="AX210" s="187"/>
      <c r="AY210" s="187"/>
      <c r="AZ210" s="187"/>
      <c r="BA210" s="187"/>
      <c r="BB210" s="187"/>
      <c r="BC210" s="187"/>
      <c r="BD210" s="187"/>
      <c r="BE210" s="187"/>
      <c r="BF210" s="187"/>
      <c r="BG210" s="187"/>
      <c r="BH210" s="187"/>
      <c r="BI210" s="187"/>
      <c r="BJ210" s="187"/>
      <c r="BK210" s="187"/>
      <c r="BL210" s="187"/>
      <c r="BM210" s="187"/>
      <c r="BN210" s="187"/>
      <c r="BO210" s="187"/>
      <c r="BP210" s="187"/>
      <c r="BQ210" s="187"/>
      <c r="BR210" s="187"/>
      <c r="BS210" s="187"/>
      <c r="BT210" s="187"/>
      <c r="BU210" s="187"/>
      <c r="BV210" s="187"/>
      <c r="BW210" s="187"/>
      <c r="BX210" s="187"/>
      <c r="BY210" s="187"/>
      <c r="BZ210" s="187"/>
      <c r="CA210" s="187"/>
      <c r="CB210" s="187"/>
      <c r="CC210" s="187"/>
      <c r="CD210" s="187"/>
      <c r="CE210" s="187"/>
      <c r="CF210" s="187"/>
      <c r="CG210" s="187"/>
      <c r="CH210" s="187"/>
      <c r="CI210" s="187"/>
      <c r="CJ210" s="187"/>
      <c r="CK210" s="187"/>
      <c r="CL210" s="187"/>
      <c r="CM210" s="187"/>
      <c r="CN210" s="187"/>
      <c r="CO210" s="187"/>
      <c r="CP210" s="187"/>
      <c r="CQ210" s="187"/>
      <c r="CR210" s="187"/>
      <c r="CS210" s="187"/>
      <c r="CT210" s="187"/>
      <c r="CU210" s="187"/>
      <c r="CV210" s="187"/>
      <c r="CW210" s="187"/>
      <c r="CX210" s="187"/>
      <c r="CY210" s="187"/>
      <c r="CZ210" s="187"/>
      <c r="DA210" s="187"/>
      <c r="DB210" s="187"/>
      <c r="DC210" s="187"/>
      <c r="DD210" s="187"/>
      <c r="DE210" s="187"/>
      <c r="DF210" s="187"/>
      <c r="DG210" s="187"/>
      <c r="DH210" s="187"/>
      <c r="DI210" s="187"/>
      <c r="DJ210" s="187"/>
      <c r="DK210" s="187"/>
      <c r="DL210" s="187"/>
      <c r="DM210" s="187"/>
      <c r="DN210" s="187"/>
      <c r="DO210" s="187"/>
      <c r="DP210" s="187"/>
      <c r="DQ210" s="187"/>
      <c r="DR210" s="187"/>
      <c r="DS210" s="187"/>
      <c r="DT210" s="187"/>
      <c r="DU210" s="187"/>
      <c r="DV210" s="187"/>
      <c r="DW210" s="187"/>
      <c r="DX210" s="187"/>
      <c r="DY210" s="187"/>
      <c r="DZ210" s="187"/>
      <c r="EA210" s="187"/>
      <c r="EB210" s="187"/>
      <c r="EC210" s="187"/>
      <c r="ED210" s="187"/>
      <c r="EE210" s="187"/>
      <c r="EF210" s="187"/>
      <c r="EG210" s="187"/>
      <c r="EH210" s="187"/>
      <c r="EI210" s="187"/>
      <c r="EJ210" s="187"/>
      <c r="EK210" s="187"/>
      <c r="EL210" s="187"/>
      <c r="EM210" s="187"/>
      <c r="EN210" s="187"/>
      <c r="EO210" s="187"/>
    </row>
    <row r="211" spans="2:145" ht="13.9" customHeight="1" x14ac:dyDescent="0.2"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  <c r="AA211" s="187"/>
      <c r="AB211" s="187"/>
      <c r="AC211" s="187"/>
      <c r="AD211" s="187"/>
      <c r="AE211" s="187"/>
      <c r="AF211" s="187"/>
      <c r="AG211" s="187"/>
      <c r="AH211" s="187"/>
      <c r="AI211" s="187"/>
      <c r="AJ211" s="187"/>
      <c r="AK211" s="187"/>
      <c r="AL211" s="187"/>
      <c r="AM211" s="187"/>
      <c r="AN211" s="187"/>
      <c r="AO211" s="187"/>
      <c r="AP211" s="187"/>
      <c r="AQ211" s="187"/>
      <c r="AR211" s="187"/>
      <c r="AS211" s="187"/>
      <c r="AT211" s="187"/>
      <c r="AU211" s="187"/>
      <c r="AV211" s="187"/>
      <c r="AW211" s="187"/>
      <c r="AX211" s="187"/>
      <c r="AY211" s="187"/>
      <c r="AZ211" s="187"/>
      <c r="BA211" s="187"/>
      <c r="BB211" s="187"/>
      <c r="BC211" s="187"/>
      <c r="BD211" s="187"/>
      <c r="BE211" s="187"/>
      <c r="BF211" s="187"/>
      <c r="BG211" s="187"/>
      <c r="BH211" s="187"/>
      <c r="BI211" s="187"/>
      <c r="BJ211" s="187"/>
      <c r="BK211" s="187"/>
      <c r="BL211" s="187"/>
      <c r="BM211" s="187"/>
      <c r="BN211" s="187"/>
      <c r="BO211" s="187"/>
      <c r="BP211" s="187"/>
      <c r="BQ211" s="187"/>
      <c r="BR211" s="187"/>
      <c r="BS211" s="187"/>
      <c r="BT211" s="187"/>
      <c r="BU211" s="187"/>
      <c r="BV211" s="187"/>
      <c r="BW211" s="187"/>
      <c r="BX211" s="187"/>
      <c r="BY211" s="187"/>
      <c r="BZ211" s="187"/>
      <c r="CA211" s="187"/>
      <c r="CB211" s="187"/>
      <c r="CC211" s="187"/>
      <c r="CD211" s="187"/>
      <c r="CE211" s="187"/>
      <c r="CF211" s="187"/>
      <c r="CG211" s="187"/>
      <c r="CH211" s="187"/>
      <c r="CI211" s="187"/>
      <c r="CJ211" s="187"/>
      <c r="CK211" s="187"/>
      <c r="CL211" s="187"/>
      <c r="CM211" s="187"/>
      <c r="CN211" s="187"/>
      <c r="CO211" s="187"/>
      <c r="CP211" s="187"/>
      <c r="CQ211" s="187"/>
      <c r="CR211" s="187"/>
      <c r="CS211" s="187"/>
      <c r="CT211" s="187"/>
      <c r="CU211" s="187"/>
      <c r="CV211" s="187"/>
      <c r="CW211" s="187"/>
      <c r="CX211" s="187"/>
      <c r="CY211" s="187"/>
      <c r="CZ211" s="187"/>
      <c r="DA211" s="187"/>
      <c r="DB211" s="187"/>
      <c r="DC211" s="187"/>
      <c r="DD211" s="187"/>
      <c r="DE211" s="187"/>
      <c r="DF211" s="187"/>
      <c r="DG211" s="187"/>
      <c r="DH211" s="187"/>
      <c r="DI211" s="187"/>
      <c r="DJ211" s="187"/>
      <c r="DK211" s="187"/>
      <c r="DL211" s="187"/>
      <c r="DM211" s="187"/>
      <c r="DN211" s="187"/>
      <c r="DO211" s="187"/>
      <c r="DP211" s="187"/>
      <c r="DQ211" s="187"/>
      <c r="DR211" s="187"/>
      <c r="DS211" s="187"/>
      <c r="DT211" s="187"/>
      <c r="DU211" s="187"/>
      <c r="DV211" s="187"/>
      <c r="DW211" s="187"/>
      <c r="DX211" s="187"/>
      <c r="DY211" s="187"/>
      <c r="DZ211" s="187"/>
      <c r="EA211" s="187"/>
      <c r="EB211" s="187"/>
      <c r="EC211" s="187"/>
      <c r="ED211" s="187"/>
      <c r="EE211" s="187"/>
      <c r="EF211" s="187"/>
      <c r="EG211" s="187"/>
      <c r="EH211" s="187"/>
      <c r="EI211" s="187"/>
      <c r="EJ211" s="187"/>
      <c r="EK211" s="187"/>
      <c r="EL211" s="187"/>
      <c r="EM211" s="187"/>
      <c r="EN211" s="187"/>
      <c r="EO211" s="187"/>
    </row>
    <row r="212" spans="2:145" ht="13.9" customHeight="1" x14ac:dyDescent="0.2"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  <c r="AA212" s="187"/>
      <c r="AB212" s="187"/>
      <c r="AC212" s="187"/>
      <c r="AD212" s="187"/>
      <c r="AE212" s="187"/>
      <c r="AF212" s="187"/>
      <c r="AG212" s="187"/>
      <c r="AH212" s="187"/>
      <c r="AI212" s="187"/>
      <c r="AJ212" s="187"/>
      <c r="AK212" s="187"/>
      <c r="AL212" s="187"/>
      <c r="AM212" s="187"/>
      <c r="AN212" s="187"/>
      <c r="AO212" s="187"/>
      <c r="AP212" s="187"/>
      <c r="AQ212" s="187"/>
      <c r="AR212" s="187"/>
      <c r="AS212" s="187"/>
      <c r="AT212" s="187"/>
      <c r="AU212" s="187"/>
      <c r="AV212" s="187"/>
      <c r="AW212" s="187"/>
      <c r="AX212" s="187"/>
      <c r="AY212" s="187"/>
      <c r="AZ212" s="187"/>
      <c r="BA212" s="187"/>
      <c r="BB212" s="187"/>
      <c r="BC212" s="187"/>
      <c r="BD212" s="187"/>
      <c r="BE212" s="187"/>
      <c r="BF212" s="187"/>
      <c r="BG212" s="187"/>
      <c r="BH212" s="187"/>
      <c r="BI212" s="187"/>
      <c r="BJ212" s="187"/>
      <c r="BK212" s="187"/>
      <c r="BL212" s="187"/>
      <c r="BM212" s="187"/>
      <c r="BN212" s="187"/>
      <c r="BO212" s="187"/>
      <c r="BP212" s="187"/>
      <c r="BQ212" s="187"/>
      <c r="BR212" s="187"/>
      <c r="BS212" s="187"/>
      <c r="BT212" s="187"/>
      <c r="BU212" s="187"/>
      <c r="BV212" s="187"/>
      <c r="BW212" s="187"/>
      <c r="BX212" s="187"/>
      <c r="BY212" s="187"/>
      <c r="BZ212" s="187"/>
      <c r="CA212" s="187"/>
      <c r="CB212" s="187"/>
      <c r="CC212" s="187"/>
      <c r="CD212" s="187"/>
      <c r="CE212" s="187"/>
      <c r="CF212" s="187"/>
      <c r="CG212" s="187"/>
      <c r="CH212" s="187"/>
      <c r="CI212" s="187"/>
      <c r="CJ212" s="187"/>
      <c r="CK212" s="187"/>
      <c r="CL212" s="187"/>
      <c r="CM212" s="187"/>
      <c r="CN212" s="187"/>
      <c r="CO212" s="187"/>
      <c r="CP212" s="187"/>
      <c r="CQ212" s="187"/>
      <c r="CR212" s="187"/>
      <c r="CS212" s="187"/>
      <c r="CT212" s="187"/>
      <c r="CU212" s="187"/>
      <c r="CV212" s="187"/>
      <c r="CW212" s="187"/>
      <c r="CX212" s="187"/>
      <c r="CY212" s="187"/>
      <c r="CZ212" s="187"/>
      <c r="DA212" s="187"/>
      <c r="DB212" s="187"/>
      <c r="DC212" s="187"/>
      <c r="DD212" s="187"/>
      <c r="DE212" s="187"/>
      <c r="DF212" s="187"/>
      <c r="DG212" s="187"/>
      <c r="DH212" s="187"/>
      <c r="DI212" s="187"/>
      <c r="DJ212" s="187"/>
      <c r="DK212" s="187"/>
      <c r="DL212" s="187"/>
      <c r="DM212" s="187"/>
      <c r="DN212" s="187"/>
      <c r="DO212" s="187"/>
      <c r="DP212" s="187"/>
      <c r="DQ212" s="187"/>
      <c r="DR212" s="187"/>
      <c r="DS212" s="187"/>
      <c r="DT212" s="187"/>
      <c r="DU212" s="187"/>
      <c r="DV212" s="187"/>
      <c r="DW212" s="187"/>
      <c r="DX212" s="187"/>
      <c r="DY212" s="187"/>
      <c r="DZ212" s="187"/>
      <c r="EA212" s="187"/>
      <c r="EB212" s="187"/>
      <c r="EC212" s="187"/>
      <c r="ED212" s="187"/>
      <c r="EE212" s="187"/>
      <c r="EF212" s="187"/>
      <c r="EG212" s="187"/>
      <c r="EH212" s="187"/>
      <c r="EI212" s="187"/>
      <c r="EJ212" s="187"/>
      <c r="EK212" s="187"/>
      <c r="EL212" s="187"/>
      <c r="EM212" s="187"/>
      <c r="EN212" s="187"/>
      <c r="EO212" s="187"/>
    </row>
    <row r="213" spans="2:145" ht="13.9" customHeight="1" x14ac:dyDescent="0.2"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  <c r="AA213" s="187"/>
      <c r="AB213" s="187"/>
      <c r="AC213" s="187"/>
      <c r="AD213" s="187"/>
      <c r="AE213" s="187"/>
      <c r="AF213" s="187"/>
      <c r="AG213" s="187"/>
      <c r="AH213" s="187"/>
      <c r="AI213" s="187"/>
      <c r="AJ213" s="187"/>
      <c r="AK213" s="187"/>
      <c r="AL213" s="187"/>
      <c r="AM213" s="187"/>
      <c r="AN213" s="187"/>
      <c r="AO213" s="187"/>
      <c r="AP213" s="187"/>
      <c r="AQ213" s="187"/>
      <c r="AR213" s="187"/>
      <c r="AS213" s="187"/>
      <c r="AT213" s="187"/>
      <c r="AU213" s="187"/>
      <c r="AV213" s="187"/>
      <c r="AW213" s="187"/>
      <c r="AX213" s="187"/>
      <c r="AY213" s="187"/>
      <c r="AZ213" s="187"/>
      <c r="BA213" s="187"/>
      <c r="BB213" s="187"/>
      <c r="BC213" s="187"/>
      <c r="BD213" s="187"/>
      <c r="BE213" s="187"/>
      <c r="BF213" s="187"/>
      <c r="BG213" s="187"/>
      <c r="BH213" s="187"/>
      <c r="BI213" s="187"/>
      <c r="BJ213" s="187"/>
      <c r="BK213" s="187"/>
      <c r="BL213" s="187"/>
      <c r="BM213" s="187"/>
      <c r="BN213" s="187"/>
      <c r="BO213" s="187"/>
      <c r="BP213" s="187"/>
      <c r="BQ213" s="187"/>
      <c r="BR213" s="187"/>
      <c r="BS213" s="187"/>
      <c r="BT213" s="187"/>
      <c r="BU213" s="187"/>
      <c r="BV213" s="187"/>
      <c r="BW213" s="187"/>
      <c r="BX213" s="187"/>
      <c r="BY213" s="187"/>
      <c r="BZ213" s="187"/>
      <c r="CA213" s="187"/>
      <c r="CB213" s="187"/>
      <c r="CC213" s="187"/>
      <c r="CD213" s="187"/>
      <c r="CE213" s="187"/>
      <c r="CF213" s="187"/>
      <c r="CG213" s="187"/>
      <c r="CH213" s="187"/>
      <c r="CI213" s="187"/>
      <c r="CJ213" s="187"/>
      <c r="CK213" s="187"/>
      <c r="CL213" s="187"/>
      <c r="CM213" s="187"/>
      <c r="CN213" s="187"/>
      <c r="CO213" s="187"/>
      <c r="CP213" s="187"/>
      <c r="CQ213" s="187"/>
      <c r="CR213" s="187"/>
      <c r="CS213" s="187"/>
      <c r="CT213" s="187"/>
      <c r="CU213" s="187"/>
      <c r="CV213" s="187"/>
      <c r="CW213" s="187"/>
      <c r="CX213" s="187"/>
      <c r="CY213" s="187"/>
      <c r="CZ213" s="187"/>
      <c r="DA213" s="187"/>
      <c r="DB213" s="187"/>
      <c r="DC213" s="187"/>
      <c r="DD213" s="187"/>
      <c r="DE213" s="187"/>
      <c r="DF213" s="187"/>
      <c r="DG213" s="187"/>
      <c r="DH213" s="187"/>
      <c r="DI213" s="187"/>
      <c r="DJ213" s="187"/>
      <c r="DK213" s="187"/>
      <c r="DL213" s="187"/>
      <c r="DM213" s="187"/>
      <c r="DN213" s="187"/>
      <c r="DO213" s="187"/>
      <c r="DP213" s="187"/>
      <c r="DQ213" s="187"/>
      <c r="DR213" s="187"/>
      <c r="DS213" s="187"/>
      <c r="DT213" s="187"/>
      <c r="DU213" s="187"/>
      <c r="DV213" s="187"/>
      <c r="DW213" s="187"/>
      <c r="DX213" s="187"/>
      <c r="DY213" s="187"/>
      <c r="DZ213" s="187"/>
      <c r="EA213" s="187"/>
      <c r="EB213" s="187"/>
      <c r="EC213" s="187"/>
      <c r="ED213" s="187"/>
      <c r="EE213" s="187"/>
      <c r="EF213" s="187"/>
      <c r="EG213" s="187"/>
      <c r="EH213" s="187"/>
      <c r="EI213" s="187"/>
      <c r="EJ213" s="187"/>
      <c r="EK213" s="187"/>
      <c r="EL213" s="187"/>
      <c r="EM213" s="187"/>
      <c r="EN213" s="187"/>
      <c r="EO213" s="187"/>
    </row>
    <row r="214" spans="2:145" ht="13.9" customHeight="1" x14ac:dyDescent="0.2"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  <c r="AA214" s="187"/>
      <c r="AB214" s="187"/>
      <c r="AC214" s="187"/>
      <c r="AD214" s="187"/>
      <c r="AE214" s="187"/>
      <c r="AF214" s="187"/>
      <c r="AG214" s="187"/>
      <c r="AH214" s="187"/>
      <c r="AI214" s="187"/>
      <c r="AJ214" s="187"/>
      <c r="AK214" s="187"/>
      <c r="AL214" s="187"/>
      <c r="AM214" s="187"/>
      <c r="AN214" s="187"/>
      <c r="AO214" s="187"/>
      <c r="AP214" s="187"/>
      <c r="AQ214" s="187"/>
      <c r="AR214" s="187"/>
      <c r="AS214" s="187"/>
      <c r="AT214" s="187"/>
      <c r="AU214" s="187"/>
      <c r="AV214" s="187"/>
      <c r="AW214" s="187"/>
      <c r="AX214" s="187"/>
      <c r="AY214" s="187"/>
      <c r="AZ214" s="187"/>
      <c r="BA214" s="187"/>
      <c r="BB214" s="187"/>
      <c r="BC214" s="187"/>
      <c r="BD214" s="187"/>
      <c r="BE214" s="187"/>
      <c r="BF214" s="187"/>
      <c r="BG214" s="187"/>
      <c r="BH214" s="187"/>
      <c r="BI214" s="187"/>
      <c r="BJ214" s="187"/>
      <c r="BK214" s="187"/>
      <c r="BL214" s="187"/>
      <c r="BM214" s="187"/>
      <c r="BN214" s="187"/>
      <c r="BO214" s="187"/>
      <c r="BP214" s="187"/>
      <c r="BQ214" s="187"/>
      <c r="BR214" s="187"/>
      <c r="BS214" s="187"/>
      <c r="BT214" s="187"/>
      <c r="BU214" s="187"/>
      <c r="BV214" s="187"/>
      <c r="BW214" s="187"/>
      <c r="BX214" s="187"/>
      <c r="BY214" s="187"/>
      <c r="BZ214" s="187"/>
      <c r="CA214" s="187"/>
      <c r="CB214" s="187"/>
      <c r="CC214" s="187"/>
      <c r="CD214" s="187"/>
      <c r="CE214" s="187"/>
      <c r="CF214" s="187"/>
      <c r="CG214" s="187"/>
      <c r="CH214" s="187"/>
      <c r="CI214" s="187"/>
      <c r="CJ214" s="187"/>
      <c r="CK214" s="187"/>
      <c r="CL214" s="187"/>
      <c r="CM214" s="187"/>
      <c r="CN214" s="187"/>
      <c r="CO214" s="187"/>
      <c r="CP214" s="187"/>
      <c r="CQ214" s="187"/>
      <c r="CR214" s="187"/>
      <c r="CS214" s="187"/>
      <c r="CT214" s="187"/>
      <c r="CU214" s="187"/>
      <c r="CV214" s="187"/>
      <c r="CW214" s="187"/>
      <c r="CX214" s="187"/>
      <c r="CY214" s="187"/>
      <c r="CZ214" s="187"/>
      <c r="DA214" s="187"/>
      <c r="DB214" s="187"/>
      <c r="DC214" s="187"/>
      <c r="DD214" s="187"/>
      <c r="DE214" s="187"/>
      <c r="DF214" s="187"/>
      <c r="DG214" s="187"/>
      <c r="DH214" s="187"/>
      <c r="DI214" s="187"/>
      <c r="DJ214" s="187"/>
      <c r="DK214" s="187"/>
      <c r="DL214" s="187"/>
      <c r="DM214" s="187"/>
      <c r="DN214" s="187"/>
      <c r="DO214" s="187"/>
      <c r="DP214" s="187"/>
      <c r="DQ214" s="187"/>
      <c r="DR214" s="187"/>
      <c r="DS214" s="187"/>
      <c r="DT214" s="187"/>
      <c r="DU214" s="187"/>
      <c r="DV214" s="187"/>
      <c r="DW214" s="187"/>
      <c r="DX214" s="187"/>
      <c r="DY214" s="187"/>
      <c r="DZ214" s="187"/>
      <c r="EA214" s="187"/>
      <c r="EB214" s="187"/>
      <c r="EC214" s="187"/>
      <c r="ED214" s="187"/>
      <c r="EE214" s="187"/>
      <c r="EF214" s="187"/>
      <c r="EG214" s="187"/>
      <c r="EH214" s="187"/>
      <c r="EI214" s="187"/>
      <c r="EJ214" s="187"/>
      <c r="EK214" s="187"/>
      <c r="EL214" s="187"/>
      <c r="EM214" s="187"/>
      <c r="EN214" s="187"/>
      <c r="EO214" s="187"/>
    </row>
    <row r="215" spans="2:145" ht="13.9" customHeight="1" x14ac:dyDescent="0.2"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  <c r="AA215" s="187"/>
      <c r="AB215" s="187"/>
      <c r="AC215" s="187"/>
      <c r="AD215" s="187"/>
      <c r="AE215" s="187"/>
      <c r="AF215" s="187"/>
      <c r="AG215" s="187"/>
      <c r="AH215" s="187"/>
      <c r="AI215" s="187"/>
      <c r="AJ215" s="187"/>
      <c r="AK215" s="187"/>
      <c r="AL215" s="187"/>
      <c r="AM215" s="187"/>
      <c r="AN215" s="187"/>
      <c r="AO215" s="187"/>
      <c r="AP215" s="187"/>
      <c r="AQ215" s="187"/>
      <c r="AR215" s="187"/>
      <c r="AS215" s="187"/>
      <c r="AT215" s="187"/>
      <c r="AU215" s="187"/>
      <c r="AV215" s="187"/>
      <c r="AW215" s="187"/>
      <c r="AX215" s="187"/>
      <c r="AY215" s="187"/>
      <c r="AZ215" s="187"/>
      <c r="BA215" s="187"/>
      <c r="BB215" s="187"/>
      <c r="BC215" s="187"/>
      <c r="BD215" s="187"/>
      <c r="BE215" s="187"/>
      <c r="BF215" s="187"/>
      <c r="BG215" s="187"/>
      <c r="BH215" s="187"/>
      <c r="BI215" s="187"/>
      <c r="BJ215" s="187"/>
      <c r="BK215" s="187"/>
      <c r="BL215" s="187"/>
      <c r="BM215" s="187"/>
      <c r="BN215" s="187"/>
      <c r="BO215" s="187"/>
      <c r="BP215" s="187"/>
      <c r="BQ215" s="187"/>
      <c r="BR215" s="187"/>
      <c r="BS215" s="187"/>
      <c r="BT215" s="187"/>
      <c r="BU215" s="187"/>
      <c r="BV215" s="187"/>
      <c r="BW215" s="187"/>
      <c r="BX215" s="187"/>
      <c r="BY215" s="187"/>
      <c r="BZ215" s="187"/>
      <c r="CA215" s="187"/>
      <c r="CB215" s="187"/>
      <c r="CC215" s="187"/>
      <c r="CD215" s="187"/>
      <c r="CE215" s="187"/>
      <c r="CF215" s="187"/>
      <c r="CG215" s="187"/>
      <c r="CH215" s="187"/>
      <c r="CI215" s="187"/>
      <c r="CJ215" s="187"/>
      <c r="CK215" s="187"/>
      <c r="CL215" s="187"/>
      <c r="CM215" s="187"/>
      <c r="CN215" s="187"/>
      <c r="CO215" s="187"/>
      <c r="CP215" s="187"/>
      <c r="CQ215" s="187"/>
      <c r="CR215" s="187"/>
      <c r="CS215" s="187"/>
      <c r="CT215" s="187"/>
      <c r="CU215" s="187"/>
      <c r="CV215" s="187"/>
      <c r="CW215" s="187"/>
      <c r="CX215" s="187"/>
      <c r="CY215" s="187"/>
      <c r="CZ215" s="187"/>
      <c r="DA215" s="187"/>
      <c r="DB215" s="187"/>
      <c r="DC215" s="187"/>
      <c r="DD215" s="187"/>
      <c r="DE215" s="187"/>
      <c r="DF215" s="187"/>
      <c r="DG215" s="187"/>
      <c r="DH215" s="187"/>
      <c r="DI215" s="187"/>
      <c r="DJ215" s="187"/>
      <c r="DK215" s="187"/>
      <c r="DL215" s="187"/>
      <c r="DM215" s="187"/>
      <c r="DN215" s="187"/>
      <c r="DO215" s="187"/>
      <c r="DP215" s="187"/>
      <c r="DQ215" s="187"/>
      <c r="DR215" s="187"/>
      <c r="DS215" s="187"/>
      <c r="DT215" s="187"/>
      <c r="DU215" s="187"/>
      <c r="DV215" s="187"/>
      <c r="DW215" s="187"/>
      <c r="DX215" s="187"/>
      <c r="DY215" s="187"/>
      <c r="DZ215" s="187"/>
      <c r="EA215" s="187"/>
      <c r="EB215" s="187"/>
      <c r="EC215" s="187"/>
      <c r="ED215" s="187"/>
      <c r="EE215" s="187"/>
      <c r="EF215" s="187"/>
      <c r="EG215" s="187"/>
      <c r="EH215" s="187"/>
      <c r="EI215" s="187"/>
      <c r="EJ215" s="187"/>
      <c r="EK215" s="187"/>
      <c r="EL215" s="187"/>
      <c r="EM215" s="187"/>
      <c r="EN215" s="187"/>
      <c r="EO215" s="187"/>
    </row>
    <row r="216" spans="2:145" ht="13.9" customHeight="1" x14ac:dyDescent="0.2"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  <c r="AA216" s="187"/>
      <c r="AB216" s="187"/>
      <c r="AC216" s="187"/>
      <c r="AD216" s="187"/>
      <c r="AE216" s="187"/>
      <c r="AF216" s="187"/>
      <c r="AG216" s="187"/>
      <c r="AH216" s="187"/>
      <c r="AI216" s="187"/>
      <c r="AJ216" s="187"/>
      <c r="AK216" s="187"/>
      <c r="AL216" s="187"/>
      <c r="AM216" s="187"/>
      <c r="AN216" s="187"/>
      <c r="AO216" s="187"/>
      <c r="AP216" s="187"/>
      <c r="AQ216" s="187"/>
      <c r="AR216" s="187"/>
      <c r="AS216" s="187"/>
      <c r="AT216" s="187"/>
      <c r="AU216" s="187"/>
      <c r="AV216" s="187"/>
      <c r="AW216" s="187"/>
      <c r="AX216" s="187"/>
      <c r="AY216" s="187"/>
      <c r="AZ216" s="187"/>
      <c r="BA216" s="187"/>
      <c r="BB216" s="187"/>
      <c r="BC216" s="187"/>
      <c r="BD216" s="187"/>
      <c r="BE216" s="187"/>
      <c r="BF216" s="187"/>
      <c r="BG216" s="187"/>
      <c r="BH216" s="187"/>
      <c r="BI216" s="187"/>
      <c r="BJ216" s="187"/>
      <c r="BK216" s="187"/>
      <c r="BL216" s="187"/>
      <c r="BM216" s="187"/>
      <c r="BN216" s="187"/>
      <c r="BO216" s="187"/>
      <c r="BP216" s="187"/>
      <c r="BQ216" s="187"/>
      <c r="BR216" s="187"/>
      <c r="BS216" s="187"/>
      <c r="BT216" s="187"/>
      <c r="BU216" s="187"/>
      <c r="BV216" s="187"/>
      <c r="BW216" s="187"/>
      <c r="BX216" s="187"/>
      <c r="BY216" s="187"/>
      <c r="BZ216" s="187"/>
      <c r="CA216" s="187"/>
      <c r="CB216" s="187"/>
      <c r="CC216" s="187"/>
      <c r="CD216" s="187"/>
      <c r="CE216" s="187"/>
      <c r="CF216" s="187"/>
      <c r="CG216" s="187"/>
      <c r="CH216" s="187"/>
      <c r="CI216" s="187"/>
      <c r="CJ216" s="187"/>
      <c r="CK216" s="187"/>
      <c r="CL216" s="187"/>
      <c r="CM216" s="187"/>
      <c r="CN216" s="187"/>
      <c r="CO216" s="187"/>
      <c r="CP216" s="187"/>
      <c r="CQ216" s="187"/>
      <c r="CR216" s="187"/>
      <c r="CS216" s="187"/>
      <c r="CT216" s="187"/>
      <c r="CU216" s="187"/>
      <c r="CV216" s="187"/>
      <c r="CW216" s="187"/>
      <c r="CX216" s="187"/>
      <c r="CY216" s="187"/>
      <c r="CZ216" s="187"/>
      <c r="DA216" s="187"/>
      <c r="DB216" s="187"/>
      <c r="DC216" s="187"/>
      <c r="DD216" s="187"/>
      <c r="DE216" s="187"/>
      <c r="DF216" s="187"/>
      <c r="DG216" s="187"/>
      <c r="DH216" s="187"/>
      <c r="DI216" s="187"/>
      <c r="DJ216" s="187"/>
      <c r="DK216" s="187"/>
      <c r="DL216" s="187"/>
      <c r="DM216" s="187"/>
      <c r="DN216" s="187"/>
      <c r="DO216" s="187"/>
      <c r="DP216" s="187"/>
      <c r="DQ216" s="187"/>
      <c r="DR216" s="187"/>
      <c r="DS216" s="187"/>
      <c r="DT216" s="187"/>
      <c r="DU216" s="187"/>
      <c r="DV216" s="187"/>
      <c r="DW216" s="187"/>
      <c r="DX216" s="187"/>
      <c r="DY216" s="187"/>
      <c r="DZ216" s="187"/>
      <c r="EA216" s="187"/>
      <c r="EB216" s="187"/>
      <c r="EC216" s="187"/>
      <c r="ED216" s="187"/>
      <c r="EE216" s="187"/>
      <c r="EF216" s="187"/>
      <c r="EG216" s="187"/>
      <c r="EH216" s="187"/>
      <c r="EI216" s="187"/>
      <c r="EJ216" s="187"/>
      <c r="EK216" s="187"/>
      <c r="EL216" s="187"/>
      <c r="EM216" s="187"/>
      <c r="EN216" s="187"/>
      <c r="EO216" s="187"/>
    </row>
    <row r="217" spans="2:145" ht="13.9" customHeight="1" x14ac:dyDescent="0.2"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  <c r="AA217" s="187"/>
      <c r="AB217" s="187"/>
      <c r="AC217" s="187"/>
      <c r="AD217" s="187"/>
      <c r="AE217" s="187"/>
      <c r="AF217" s="187"/>
      <c r="AG217" s="187"/>
      <c r="AH217" s="187"/>
      <c r="AI217" s="187"/>
      <c r="AJ217" s="187"/>
      <c r="AK217" s="187"/>
      <c r="AL217" s="187"/>
      <c r="AM217" s="187"/>
      <c r="AN217" s="187"/>
      <c r="AO217" s="187"/>
      <c r="AP217" s="187"/>
      <c r="AQ217" s="187"/>
      <c r="AR217" s="187"/>
      <c r="AS217" s="187"/>
      <c r="AT217" s="187"/>
      <c r="AU217" s="187"/>
      <c r="AV217" s="187"/>
      <c r="AW217" s="187"/>
      <c r="AX217" s="187"/>
      <c r="AY217" s="187"/>
      <c r="AZ217" s="187"/>
      <c r="BA217" s="187"/>
      <c r="BB217" s="187"/>
      <c r="BC217" s="187"/>
      <c r="BD217" s="187"/>
      <c r="BE217" s="187"/>
      <c r="BF217" s="187"/>
      <c r="BG217" s="187"/>
      <c r="BH217" s="187"/>
      <c r="BI217" s="187"/>
      <c r="BJ217" s="187"/>
      <c r="BK217" s="187"/>
      <c r="BL217" s="187"/>
      <c r="BM217" s="187"/>
      <c r="BN217" s="187"/>
      <c r="BO217" s="187"/>
      <c r="BP217" s="187"/>
      <c r="BQ217" s="187"/>
      <c r="BR217" s="187"/>
      <c r="BS217" s="187"/>
      <c r="BT217" s="187"/>
      <c r="BU217" s="187"/>
      <c r="BV217" s="187"/>
      <c r="BW217" s="187"/>
      <c r="BX217" s="187"/>
      <c r="BY217" s="187"/>
      <c r="BZ217" s="187"/>
      <c r="CA217" s="187"/>
      <c r="CB217" s="187"/>
      <c r="CC217" s="187"/>
      <c r="CD217" s="187"/>
      <c r="CE217" s="187"/>
      <c r="CF217" s="187"/>
      <c r="CG217" s="187"/>
      <c r="CH217" s="187"/>
      <c r="CI217" s="187"/>
      <c r="CJ217" s="187"/>
      <c r="CK217" s="187"/>
      <c r="CL217" s="187"/>
      <c r="CM217" s="187"/>
      <c r="CN217" s="187"/>
      <c r="CO217" s="187"/>
      <c r="CP217" s="187"/>
      <c r="CQ217" s="187"/>
      <c r="CR217" s="187"/>
      <c r="CS217" s="187"/>
      <c r="CT217" s="187"/>
      <c r="CU217" s="187"/>
      <c r="CV217" s="187"/>
      <c r="CW217" s="187"/>
      <c r="CX217" s="187"/>
      <c r="CY217" s="187"/>
      <c r="CZ217" s="187"/>
      <c r="DA217" s="187"/>
      <c r="DB217" s="187"/>
      <c r="DC217" s="187"/>
      <c r="DD217" s="187"/>
      <c r="DE217" s="187"/>
      <c r="DF217" s="187"/>
      <c r="DG217" s="187"/>
      <c r="DH217" s="187"/>
      <c r="DI217" s="187"/>
      <c r="DJ217" s="187"/>
      <c r="DK217" s="187"/>
      <c r="DL217" s="187"/>
      <c r="DM217" s="187"/>
      <c r="DN217" s="187"/>
      <c r="DO217" s="187"/>
      <c r="DP217" s="187"/>
      <c r="DQ217" s="187"/>
      <c r="DR217" s="187"/>
      <c r="DS217" s="187"/>
      <c r="DT217" s="187"/>
      <c r="DU217" s="187"/>
      <c r="DV217" s="187"/>
      <c r="DW217" s="187"/>
      <c r="DX217" s="187"/>
      <c r="DY217" s="187"/>
      <c r="DZ217" s="187"/>
      <c r="EA217" s="187"/>
      <c r="EB217" s="187"/>
      <c r="EC217" s="187"/>
      <c r="ED217" s="187"/>
      <c r="EE217" s="187"/>
      <c r="EF217" s="187"/>
      <c r="EG217" s="187"/>
      <c r="EH217" s="187"/>
      <c r="EI217" s="187"/>
      <c r="EJ217" s="187"/>
      <c r="EK217" s="187"/>
      <c r="EL217" s="187"/>
      <c r="EM217" s="187"/>
      <c r="EN217" s="187"/>
      <c r="EO217" s="187"/>
    </row>
    <row r="218" spans="2:145" ht="13.9" customHeight="1" x14ac:dyDescent="0.2"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  <c r="AA218" s="187"/>
      <c r="AB218" s="187"/>
      <c r="AC218" s="187"/>
      <c r="AD218" s="187"/>
      <c r="AE218" s="187"/>
      <c r="AF218" s="187"/>
      <c r="AG218" s="187"/>
      <c r="AH218" s="187"/>
      <c r="AI218" s="187"/>
      <c r="AJ218" s="187"/>
      <c r="AK218" s="187"/>
      <c r="AL218" s="187"/>
      <c r="AM218" s="187"/>
      <c r="AN218" s="187"/>
      <c r="AO218" s="187"/>
      <c r="AP218" s="187"/>
      <c r="AQ218" s="187"/>
      <c r="AR218" s="187"/>
      <c r="AS218" s="187"/>
      <c r="AT218" s="187"/>
      <c r="AU218" s="187"/>
      <c r="AV218" s="187"/>
      <c r="AW218" s="187"/>
      <c r="AX218" s="187"/>
      <c r="AY218" s="187"/>
      <c r="AZ218" s="187"/>
      <c r="BA218" s="187"/>
      <c r="BB218" s="187"/>
      <c r="BC218" s="187"/>
      <c r="BD218" s="187"/>
      <c r="BE218" s="187"/>
      <c r="BF218" s="187"/>
      <c r="BG218" s="187"/>
      <c r="BH218" s="187"/>
      <c r="BI218" s="187"/>
      <c r="BJ218" s="187"/>
      <c r="BK218" s="187"/>
      <c r="BL218" s="187"/>
      <c r="BM218" s="187"/>
      <c r="BN218" s="187"/>
      <c r="BO218" s="187"/>
      <c r="BP218" s="187"/>
      <c r="BQ218" s="187"/>
      <c r="BR218" s="187"/>
      <c r="BS218" s="187"/>
      <c r="BT218" s="187"/>
      <c r="BU218" s="187"/>
      <c r="BV218" s="187"/>
      <c r="BW218" s="187"/>
      <c r="BX218" s="187"/>
      <c r="BY218" s="187"/>
      <c r="BZ218" s="187"/>
      <c r="CA218" s="187"/>
      <c r="CB218" s="187"/>
      <c r="CC218" s="187"/>
      <c r="CD218" s="187"/>
      <c r="CE218" s="187"/>
      <c r="CF218" s="187"/>
      <c r="CG218" s="187"/>
      <c r="CH218" s="187"/>
      <c r="CI218" s="187"/>
      <c r="CJ218" s="187"/>
      <c r="CK218" s="187"/>
      <c r="CL218" s="187"/>
      <c r="CM218" s="187"/>
      <c r="CN218" s="187"/>
      <c r="CO218" s="187"/>
      <c r="CP218" s="187"/>
      <c r="CQ218" s="187"/>
      <c r="CR218" s="187"/>
      <c r="CS218" s="187"/>
      <c r="CT218" s="187"/>
      <c r="CU218" s="187"/>
      <c r="CV218" s="187"/>
      <c r="CW218" s="187"/>
      <c r="CX218" s="187"/>
      <c r="CY218" s="187"/>
      <c r="CZ218" s="187"/>
      <c r="DA218" s="187"/>
      <c r="DB218" s="187"/>
      <c r="DC218" s="187"/>
      <c r="DD218" s="187"/>
      <c r="DE218" s="187"/>
      <c r="DF218" s="187"/>
      <c r="DG218" s="187"/>
      <c r="DH218" s="187"/>
      <c r="DI218" s="187"/>
      <c r="DJ218" s="187"/>
      <c r="DK218" s="187"/>
      <c r="DL218" s="187"/>
      <c r="DM218" s="187"/>
      <c r="DN218" s="187"/>
      <c r="DO218" s="187"/>
      <c r="DP218" s="187"/>
      <c r="DQ218" s="187"/>
      <c r="DR218" s="187"/>
      <c r="DS218" s="187"/>
      <c r="DT218" s="187"/>
      <c r="DU218" s="187"/>
      <c r="DV218" s="187"/>
      <c r="DW218" s="187"/>
      <c r="DX218" s="187"/>
      <c r="DY218" s="187"/>
      <c r="DZ218" s="187"/>
      <c r="EA218" s="187"/>
      <c r="EB218" s="187"/>
      <c r="EC218" s="187"/>
      <c r="ED218" s="187"/>
      <c r="EE218" s="187"/>
      <c r="EF218" s="187"/>
      <c r="EG218" s="187"/>
      <c r="EH218" s="187"/>
      <c r="EI218" s="187"/>
      <c r="EJ218" s="187"/>
      <c r="EK218" s="187"/>
      <c r="EL218" s="187"/>
      <c r="EM218" s="187"/>
      <c r="EN218" s="187"/>
      <c r="EO218" s="187"/>
    </row>
    <row r="219" spans="2:145" ht="13.9" customHeight="1" x14ac:dyDescent="0.2"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  <c r="AA219" s="187"/>
      <c r="AB219" s="187"/>
      <c r="AC219" s="187"/>
      <c r="AD219" s="187"/>
      <c r="AE219" s="187"/>
      <c r="AF219" s="187"/>
      <c r="AG219" s="187"/>
      <c r="AH219" s="187"/>
      <c r="AI219" s="187"/>
      <c r="AJ219" s="187"/>
      <c r="AK219" s="187"/>
      <c r="AL219" s="187"/>
      <c r="AM219" s="187"/>
      <c r="AN219" s="187"/>
      <c r="AO219" s="187"/>
      <c r="AP219" s="187"/>
      <c r="AQ219" s="187"/>
      <c r="AR219" s="187"/>
      <c r="AS219" s="187"/>
      <c r="AT219" s="187"/>
      <c r="AU219" s="187"/>
      <c r="AV219" s="187"/>
      <c r="AW219" s="187"/>
      <c r="AX219" s="187"/>
      <c r="AY219" s="187"/>
      <c r="AZ219" s="187"/>
      <c r="BA219" s="187"/>
      <c r="BB219" s="187"/>
      <c r="BC219" s="187"/>
      <c r="BD219" s="187"/>
      <c r="BE219" s="187"/>
      <c r="BF219" s="187"/>
      <c r="BG219" s="187"/>
      <c r="BH219" s="187"/>
      <c r="BI219" s="187"/>
      <c r="BJ219" s="187"/>
      <c r="BK219" s="187"/>
      <c r="BL219" s="187"/>
      <c r="BM219" s="187"/>
      <c r="BN219" s="187"/>
      <c r="BO219" s="187"/>
      <c r="BP219" s="187"/>
      <c r="BQ219" s="187"/>
      <c r="BR219" s="187"/>
      <c r="BS219" s="187"/>
      <c r="BT219" s="187"/>
      <c r="BU219" s="187"/>
      <c r="BV219" s="187"/>
      <c r="BW219" s="187"/>
      <c r="BX219" s="187"/>
      <c r="BY219" s="187"/>
      <c r="BZ219" s="187"/>
      <c r="CA219" s="187"/>
      <c r="CB219" s="187"/>
      <c r="CC219" s="187"/>
      <c r="CD219" s="187"/>
      <c r="CE219" s="187"/>
      <c r="CF219" s="187"/>
      <c r="CG219" s="187"/>
      <c r="CH219" s="187"/>
      <c r="CI219" s="187"/>
      <c r="CJ219" s="187"/>
      <c r="CK219" s="187"/>
      <c r="CL219" s="187"/>
      <c r="CM219" s="187"/>
      <c r="CN219" s="187"/>
      <c r="CO219" s="187"/>
      <c r="CP219" s="187"/>
      <c r="CQ219" s="187"/>
      <c r="CR219" s="187"/>
      <c r="CS219" s="187"/>
      <c r="CT219" s="187"/>
      <c r="CU219" s="187"/>
      <c r="CV219" s="187"/>
      <c r="CW219" s="187"/>
      <c r="CX219" s="187"/>
      <c r="CY219" s="187"/>
      <c r="CZ219" s="187"/>
      <c r="DA219" s="187"/>
      <c r="DB219" s="187"/>
      <c r="DC219" s="187"/>
      <c r="DD219" s="187"/>
      <c r="DE219" s="187"/>
      <c r="DF219" s="187"/>
      <c r="DG219" s="187"/>
      <c r="DH219" s="187"/>
      <c r="DI219" s="187"/>
      <c r="DJ219" s="187"/>
      <c r="DK219" s="187"/>
      <c r="DL219" s="187"/>
      <c r="DM219" s="187"/>
      <c r="DN219" s="187"/>
      <c r="DO219" s="187"/>
      <c r="DP219" s="187"/>
      <c r="DQ219" s="187"/>
      <c r="DR219" s="187"/>
      <c r="DS219" s="187"/>
      <c r="DT219" s="187"/>
      <c r="DU219" s="187"/>
      <c r="DV219" s="187"/>
      <c r="DW219" s="187"/>
      <c r="DX219" s="187"/>
      <c r="DY219" s="187"/>
      <c r="DZ219" s="187"/>
      <c r="EA219" s="187"/>
      <c r="EB219" s="187"/>
      <c r="EC219" s="187"/>
      <c r="ED219" s="187"/>
      <c r="EE219" s="187"/>
      <c r="EF219" s="187"/>
      <c r="EG219" s="187"/>
      <c r="EH219" s="187"/>
      <c r="EI219" s="187"/>
      <c r="EJ219" s="187"/>
      <c r="EK219" s="187"/>
      <c r="EL219" s="187"/>
      <c r="EM219" s="187"/>
      <c r="EN219" s="187"/>
      <c r="EO219" s="187"/>
    </row>
    <row r="220" spans="2:145" ht="13.9" customHeight="1" x14ac:dyDescent="0.2"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  <c r="AA220" s="187"/>
      <c r="AB220" s="187"/>
      <c r="AC220" s="187"/>
      <c r="AD220" s="187"/>
      <c r="AE220" s="187"/>
      <c r="AF220" s="187"/>
      <c r="AG220" s="187"/>
      <c r="AH220" s="187"/>
      <c r="AI220" s="187"/>
      <c r="AJ220" s="187"/>
      <c r="AK220" s="187"/>
      <c r="AL220" s="187"/>
      <c r="AM220" s="187"/>
      <c r="AN220" s="187"/>
      <c r="AO220" s="187"/>
      <c r="AP220" s="187"/>
      <c r="AQ220" s="187"/>
      <c r="AR220" s="187"/>
      <c r="AS220" s="187"/>
      <c r="AT220" s="187"/>
      <c r="AU220" s="187"/>
      <c r="AV220" s="187"/>
      <c r="AW220" s="187"/>
      <c r="AX220" s="187"/>
      <c r="AY220" s="187"/>
      <c r="AZ220" s="187"/>
      <c r="BA220" s="187"/>
      <c r="BB220" s="187"/>
      <c r="BC220" s="187"/>
      <c r="BD220" s="187"/>
      <c r="BE220" s="187"/>
      <c r="BF220" s="187"/>
      <c r="BG220" s="187"/>
      <c r="BH220" s="187"/>
      <c r="BI220" s="187"/>
      <c r="BJ220" s="187"/>
      <c r="BK220" s="187"/>
      <c r="BL220" s="187"/>
      <c r="BM220" s="187"/>
      <c r="BN220" s="187"/>
      <c r="BO220" s="187"/>
      <c r="BP220" s="187"/>
      <c r="BQ220" s="187"/>
      <c r="BR220" s="187"/>
      <c r="BS220" s="187"/>
      <c r="BT220" s="187"/>
      <c r="BU220" s="187"/>
      <c r="BV220" s="187"/>
      <c r="BW220" s="187"/>
      <c r="BX220" s="187"/>
      <c r="BY220" s="187"/>
      <c r="BZ220" s="187"/>
      <c r="CA220" s="187"/>
      <c r="CB220" s="187"/>
      <c r="CC220" s="187"/>
      <c r="CD220" s="187"/>
      <c r="CE220" s="187"/>
      <c r="CF220" s="187"/>
      <c r="CG220" s="187"/>
      <c r="CH220" s="187"/>
      <c r="CI220" s="187"/>
      <c r="CJ220" s="187"/>
      <c r="CK220" s="187"/>
      <c r="CL220" s="187"/>
      <c r="CM220" s="187"/>
      <c r="CN220" s="187"/>
      <c r="CO220" s="187"/>
      <c r="CP220" s="187"/>
      <c r="CQ220" s="187"/>
      <c r="CR220" s="187"/>
      <c r="CS220" s="187"/>
      <c r="CT220" s="187"/>
      <c r="CU220" s="187"/>
      <c r="CV220" s="187"/>
      <c r="CW220" s="187"/>
      <c r="CX220" s="187"/>
      <c r="CY220" s="187"/>
      <c r="CZ220" s="187"/>
      <c r="DA220" s="187"/>
      <c r="DB220" s="187"/>
      <c r="DC220" s="187"/>
      <c r="DD220" s="187"/>
      <c r="DE220" s="187"/>
      <c r="DF220" s="187"/>
      <c r="DG220" s="187"/>
      <c r="DH220" s="187"/>
      <c r="DI220" s="187"/>
      <c r="DJ220" s="187"/>
      <c r="DK220" s="187"/>
      <c r="DL220" s="187"/>
      <c r="DM220" s="187"/>
      <c r="DN220" s="187"/>
      <c r="DO220" s="187"/>
      <c r="DP220" s="187"/>
      <c r="DQ220" s="187"/>
      <c r="DR220" s="187"/>
      <c r="DS220" s="187"/>
      <c r="DT220" s="187"/>
      <c r="DU220" s="187"/>
      <c r="DV220" s="187"/>
      <c r="DW220" s="187"/>
      <c r="DX220" s="187"/>
      <c r="DY220" s="187"/>
      <c r="DZ220" s="187"/>
      <c r="EA220" s="187"/>
      <c r="EB220" s="187"/>
      <c r="EC220" s="187"/>
      <c r="ED220" s="187"/>
      <c r="EE220" s="187"/>
      <c r="EF220" s="187"/>
      <c r="EG220" s="187"/>
      <c r="EH220" s="187"/>
      <c r="EI220" s="187"/>
      <c r="EJ220" s="187"/>
      <c r="EK220" s="187"/>
      <c r="EL220" s="187"/>
      <c r="EM220" s="187"/>
      <c r="EN220" s="187"/>
      <c r="EO220" s="187"/>
    </row>
    <row r="221" spans="2:145" ht="13.9" customHeight="1" x14ac:dyDescent="0.2"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  <c r="AA221" s="187"/>
      <c r="AB221" s="187"/>
      <c r="AC221" s="187"/>
      <c r="AD221" s="187"/>
      <c r="AE221" s="187"/>
      <c r="AF221" s="187"/>
      <c r="AG221" s="187"/>
      <c r="AH221" s="187"/>
      <c r="AI221" s="187"/>
      <c r="AJ221" s="187"/>
      <c r="AK221" s="187"/>
      <c r="AL221" s="187"/>
      <c r="AM221" s="187"/>
      <c r="AN221" s="187"/>
      <c r="AO221" s="187"/>
      <c r="AP221" s="187"/>
      <c r="AQ221" s="187"/>
      <c r="AR221" s="187"/>
      <c r="AS221" s="187"/>
      <c r="AT221" s="187"/>
      <c r="AU221" s="187"/>
      <c r="AV221" s="187"/>
      <c r="AW221" s="187"/>
      <c r="AX221" s="187"/>
      <c r="AY221" s="187"/>
      <c r="AZ221" s="187"/>
      <c r="BA221" s="187"/>
      <c r="BB221" s="187"/>
      <c r="BC221" s="187"/>
      <c r="BD221" s="187"/>
      <c r="BE221" s="187"/>
      <c r="BF221" s="187"/>
      <c r="BG221" s="187"/>
      <c r="BH221" s="187"/>
      <c r="BI221" s="187"/>
      <c r="BJ221" s="187"/>
      <c r="BK221" s="187"/>
      <c r="BL221" s="187"/>
      <c r="BM221" s="187"/>
      <c r="BN221" s="187"/>
      <c r="BO221" s="187"/>
      <c r="BP221" s="187"/>
      <c r="BQ221" s="187"/>
      <c r="BR221" s="187"/>
      <c r="BS221" s="187"/>
      <c r="BT221" s="187"/>
      <c r="BU221" s="187"/>
      <c r="BV221" s="187"/>
      <c r="BW221" s="187"/>
      <c r="BX221" s="187"/>
      <c r="BY221" s="187"/>
      <c r="BZ221" s="187"/>
      <c r="CA221" s="187"/>
      <c r="CB221" s="187"/>
      <c r="CC221" s="187"/>
      <c r="CD221" s="187"/>
      <c r="CE221" s="187"/>
      <c r="CF221" s="187"/>
      <c r="CG221" s="187"/>
      <c r="CH221" s="187"/>
      <c r="CI221" s="187"/>
      <c r="CJ221" s="187"/>
      <c r="CK221" s="187"/>
      <c r="CL221" s="187"/>
      <c r="CM221" s="187"/>
      <c r="CN221" s="187"/>
      <c r="CO221" s="187"/>
      <c r="CP221" s="187"/>
      <c r="CQ221" s="187"/>
      <c r="CR221" s="187"/>
      <c r="CS221" s="187"/>
      <c r="CT221" s="187"/>
      <c r="CU221" s="187"/>
      <c r="CV221" s="187"/>
      <c r="CW221" s="187"/>
      <c r="CX221" s="187"/>
      <c r="CY221" s="187"/>
      <c r="CZ221" s="187"/>
      <c r="DA221" s="187"/>
      <c r="DB221" s="187"/>
      <c r="DC221" s="187"/>
      <c r="DD221" s="187"/>
      <c r="DE221" s="187"/>
      <c r="DF221" s="187"/>
      <c r="DG221" s="187"/>
      <c r="DH221" s="187"/>
      <c r="DI221" s="187"/>
      <c r="DJ221" s="187"/>
      <c r="DK221" s="187"/>
      <c r="DL221" s="187"/>
      <c r="DM221" s="187"/>
      <c r="DN221" s="187"/>
      <c r="DO221" s="187"/>
      <c r="DP221" s="187"/>
      <c r="DQ221" s="187"/>
      <c r="DR221" s="187"/>
      <c r="DS221" s="187"/>
      <c r="DT221" s="187"/>
      <c r="DU221" s="187"/>
      <c r="DV221" s="187"/>
      <c r="DW221" s="187"/>
      <c r="DX221" s="187"/>
      <c r="DY221" s="187"/>
      <c r="DZ221" s="187"/>
      <c r="EA221" s="187"/>
      <c r="EB221" s="187"/>
      <c r="EC221" s="187"/>
      <c r="ED221" s="187"/>
      <c r="EE221" s="187"/>
      <c r="EF221" s="187"/>
      <c r="EG221" s="187"/>
      <c r="EH221" s="187"/>
      <c r="EI221" s="187"/>
      <c r="EJ221" s="187"/>
      <c r="EK221" s="187"/>
      <c r="EL221" s="187"/>
      <c r="EM221" s="187"/>
      <c r="EN221" s="187"/>
      <c r="EO221" s="187"/>
    </row>
    <row r="222" spans="2:145" ht="13.9" customHeight="1" x14ac:dyDescent="0.2"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  <c r="AA222" s="187"/>
      <c r="AB222" s="187"/>
      <c r="AC222" s="187"/>
      <c r="AD222" s="187"/>
      <c r="AE222" s="187"/>
      <c r="AF222" s="187"/>
      <c r="AG222" s="187"/>
      <c r="AH222" s="187"/>
      <c r="AI222" s="187"/>
      <c r="AJ222" s="187"/>
      <c r="AK222" s="187"/>
      <c r="AL222" s="187"/>
      <c r="AM222" s="187"/>
      <c r="AN222" s="187"/>
      <c r="AO222" s="187"/>
      <c r="AP222" s="187"/>
      <c r="AQ222" s="187"/>
      <c r="AR222" s="187"/>
      <c r="AS222" s="187"/>
      <c r="AT222" s="187"/>
      <c r="AU222" s="187"/>
      <c r="AV222" s="187"/>
      <c r="AW222" s="187"/>
      <c r="AX222" s="187"/>
      <c r="AY222" s="187"/>
      <c r="AZ222" s="187"/>
      <c r="BA222" s="187"/>
      <c r="BB222" s="187"/>
      <c r="BC222" s="187"/>
      <c r="BD222" s="187"/>
      <c r="BE222" s="187"/>
      <c r="BF222" s="187"/>
      <c r="BG222" s="187"/>
      <c r="BH222" s="187"/>
      <c r="BI222" s="187"/>
      <c r="BJ222" s="187"/>
      <c r="BK222" s="187"/>
      <c r="BL222" s="187"/>
      <c r="BM222" s="187"/>
      <c r="BN222" s="187"/>
      <c r="BO222" s="187"/>
      <c r="BP222" s="187"/>
      <c r="BQ222" s="187"/>
      <c r="BR222" s="187"/>
      <c r="BS222" s="187"/>
      <c r="BT222" s="187"/>
      <c r="BU222" s="187"/>
      <c r="BV222" s="187"/>
      <c r="BW222" s="187"/>
      <c r="BX222" s="187"/>
      <c r="BY222" s="187"/>
      <c r="BZ222" s="187"/>
      <c r="CA222" s="187"/>
      <c r="CB222" s="187"/>
      <c r="CC222" s="187"/>
      <c r="CD222" s="187"/>
      <c r="CE222" s="187"/>
      <c r="CF222" s="187"/>
      <c r="CG222" s="187"/>
      <c r="CH222" s="187"/>
      <c r="CI222" s="187"/>
      <c r="CJ222" s="187"/>
      <c r="CK222" s="187"/>
      <c r="CL222" s="187"/>
      <c r="CM222" s="187"/>
      <c r="CN222" s="187"/>
      <c r="CO222" s="187"/>
      <c r="CP222" s="187"/>
      <c r="CQ222" s="187"/>
      <c r="CR222" s="187"/>
      <c r="CS222" s="187"/>
      <c r="CT222" s="187"/>
      <c r="CU222" s="187"/>
      <c r="CV222" s="187"/>
      <c r="CW222" s="187"/>
      <c r="CX222" s="187"/>
      <c r="CY222" s="187"/>
      <c r="CZ222" s="187"/>
      <c r="DA222" s="187"/>
      <c r="DB222" s="187"/>
      <c r="DC222" s="187"/>
      <c r="DD222" s="187"/>
      <c r="DE222" s="187"/>
      <c r="DF222" s="187"/>
      <c r="DG222" s="187"/>
      <c r="DH222" s="187"/>
      <c r="DI222" s="187"/>
      <c r="DJ222" s="187"/>
      <c r="DK222" s="187"/>
      <c r="DL222" s="187"/>
      <c r="DM222" s="187"/>
      <c r="DN222" s="187"/>
      <c r="DO222" s="187"/>
      <c r="DP222" s="187"/>
      <c r="DQ222" s="187"/>
      <c r="DR222" s="187"/>
      <c r="DS222" s="187"/>
      <c r="DT222" s="187"/>
      <c r="DU222" s="187"/>
      <c r="DV222" s="187"/>
      <c r="DW222" s="187"/>
      <c r="DX222" s="187"/>
      <c r="DY222" s="187"/>
      <c r="DZ222" s="187"/>
      <c r="EA222" s="187"/>
      <c r="EB222" s="187"/>
      <c r="EC222" s="187"/>
      <c r="ED222" s="187"/>
      <c r="EE222" s="187"/>
      <c r="EF222" s="187"/>
      <c r="EG222" s="187"/>
      <c r="EH222" s="187"/>
      <c r="EI222" s="187"/>
      <c r="EJ222" s="187"/>
      <c r="EK222" s="187"/>
      <c r="EL222" s="187"/>
      <c r="EM222" s="187"/>
      <c r="EN222" s="187"/>
      <c r="EO222" s="187"/>
    </row>
    <row r="223" spans="2:145" ht="13.9" customHeight="1" x14ac:dyDescent="0.2"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  <c r="AA223" s="187"/>
      <c r="AB223" s="187"/>
      <c r="AC223" s="187"/>
      <c r="AD223" s="187"/>
      <c r="AE223" s="187"/>
      <c r="AF223" s="187"/>
      <c r="AG223" s="187"/>
      <c r="AH223" s="187"/>
      <c r="AI223" s="187"/>
      <c r="AJ223" s="187"/>
      <c r="AK223" s="187"/>
      <c r="AL223" s="187"/>
      <c r="AM223" s="187"/>
      <c r="AN223" s="187"/>
      <c r="AO223" s="187"/>
      <c r="AP223" s="187"/>
      <c r="AQ223" s="187"/>
      <c r="AR223" s="187"/>
      <c r="AS223" s="187"/>
      <c r="AT223" s="187"/>
      <c r="AU223" s="187"/>
      <c r="AV223" s="187"/>
      <c r="AW223" s="187"/>
      <c r="AX223" s="187"/>
      <c r="AY223" s="187"/>
      <c r="AZ223" s="187"/>
      <c r="BA223" s="187"/>
      <c r="BB223" s="187"/>
      <c r="BC223" s="187"/>
      <c r="BD223" s="187"/>
      <c r="BE223" s="187"/>
      <c r="BF223" s="187"/>
      <c r="BG223" s="187"/>
      <c r="BH223" s="187"/>
      <c r="BI223" s="187"/>
      <c r="BJ223" s="187"/>
      <c r="BK223" s="187"/>
      <c r="BL223" s="187"/>
      <c r="BM223" s="187"/>
      <c r="BN223" s="187"/>
      <c r="BO223" s="187"/>
      <c r="BP223" s="187"/>
      <c r="BQ223" s="187"/>
      <c r="BR223" s="187"/>
      <c r="BS223" s="187"/>
      <c r="BT223" s="187"/>
      <c r="BU223" s="187"/>
      <c r="BV223" s="187"/>
      <c r="BW223" s="187"/>
      <c r="BX223" s="187"/>
      <c r="BY223" s="187"/>
      <c r="BZ223" s="187"/>
      <c r="CA223" s="187"/>
      <c r="CB223" s="187"/>
      <c r="CC223" s="187"/>
      <c r="CD223" s="187"/>
      <c r="CE223" s="187"/>
      <c r="CF223" s="187"/>
      <c r="CG223" s="187"/>
      <c r="CH223" s="187"/>
      <c r="CI223" s="187"/>
      <c r="CJ223" s="187"/>
      <c r="CK223" s="187"/>
      <c r="CL223" s="187"/>
      <c r="CM223" s="187"/>
      <c r="CN223" s="187"/>
      <c r="CO223" s="187"/>
      <c r="CP223" s="187"/>
      <c r="CQ223" s="187"/>
      <c r="CR223" s="187"/>
      <c r="CS223" s="187"/>
      <c r="CT223" s="187"/>
      <c r="CU223" s="187"/>
      <c r="CV223" s="187"/>
      <c r="CW223" s="187"/>
      <c r="CX223" s="187"/>
      <c r="CY223" s="187"/>
      <c r="CZ223" s="187"/>
      <c r="DA223" s="187"/>
      <c r="DB223" s="187"/>
      <c r="DC223" s="187"/>
      <c r="DD223" s="187"/>
      <c r="DE223" s="187"/>
      <c r="DF223" s="187"/>
      <c r="DG223" s="187"/>
      <c r="DH223" s="187"/>
      <c r="DI223" s="187"/>
      <c r="DJ223" s="187"/>
      <c r="DK223" s="187"/>
      <c r="DL223" s="187"/>
      <c r="DM223" s="187"/>
      <c r="DN223" s="187"/>
      <c r="DO223" s="187"/>
      <c r="DP223" s="187"/>
      <c r="DQ223" s="187"/>
      <c r="DR223" s="187"/>
      <c r="DS223" s="187"/>
      <c r="DT223" s="187"/>
      <c r="DU223" s="187"/>
      <c r="DV223" s="187"/>
      <c r="DW223" s="187"/>
      <c r="DX223" s="187"/>
      <c r="DY223" s="187"/>
      <c r="DZ223" s="187"/>
      <c r="EA223" s="187"/>
      <c r="EB223" s="187"/>
      <c r="EC223" s="187"/>
      <c r="ED223" s="187"/>
      <c r="EE223" s="187"/>
      <c r="EF223" s="187"/>
      <c r="EG223" s="187"/>
      <c r="EH223" s="187"/>
      <c r="EI223" s="187"/>
      <c r="EJ223" s="187"/>
      <c r="EK223" s="187"/>
      <c r="EL223" s="187"/>
      <c r="EM223" s="187"/>
      <c r="EN223" s="187"/>
      <c r="EO223" s="187"/>
    </row>
    <row r="224" spans="2:145" ht="13.9" customHeight="1" x14ac:dyDescent="0.2"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  <c r="AA224" s="187"/>
      <c r="AB224" s="187"/>
      <c r="AC224" s="187"/>
      <c r="AD224" s="187"/>
      <c r="AE224" s="187"/>
      <c r="AF224" s="187"/>
      <c r="AG224" s="187"/>
      <c r="AH224" s="187"/>
      <c r="AI224" s="187"/>
      <c r="AJ224" s="187"/>
      <c r="AK224" s="187"/>
      <c r="AL224" s="187"/>
      <c r="AM224" s="187"/>
      <c r="AN224" s="187"/>
      <c r="AO224" s="187"/>
      <c r="AP224" s="187"/>
      <c r="AQ224" s="187"/>
      <c r="AR224" s="187"/>
      <c r="AS224" s="187"/>
      <c r="AT224" s="187"/>
      <c r="AU224" s="187"/>
      <c r="AV224" s="187"/>
      <c r="AW224" s="187"/>
      <c r="AX224" s="187"/>
      <c r="AY224" s="187"/>
      <c r="AZ224" s="187"/>
      <c r="BA224" s="187"/>
      <c r="BB224" s="187"/>
      <c r="BC224" s="187"/>
      <c r="BD224" s="187"/>
      <c r="BE224" s="187"/>
      <c r="BF224" s="187"/>
      <c r="BG224" s="187"/>
      <c r="BH224" s="187"/>
      <c r="BI224" s="187"/>
      <c r="BJ224" s="187"/>
      <c r="BK224" s="187"/>
      <c r="BL224" s="187"/>
      <c r="BM224" s="187"/>
      <c r="BN224" s="187"/>
      <c r="BO224" s="187"/>
      <c r="BP224" s="187"/>
      <c r="BQ224" s="187"/>
      <c r="BR224" s="187"/>
      <c r="BS224" s="187"/>
      <c r="BT224" s="187"/>
      <c r="BU224" s="187"/>
      <c r="BV224" s="187"/>
      <c r="BW224" s="187"/>
      <c r="BX224" s="187"/>
      <c r="BY224" s="187"/>
      <c r="BZ224" s="187"/>
      <c r="CA224" s="187"/>
      <c r="CB224" s="187"/>
      <c r="CC224" s="187"/>
      <c r="CD224" s="187"/>
      <c r="CE224" s="187"/>
      <c r="CF224" s="187"/>
      <c r="CG224" s="187"/>
      <c r="CH224" s="187"/>
      <c r="CI224" s="187"/>
      <c r="CJ224" s="187"/>
      <c r="CK224" s="187"/>
      <c r="CL224" s="187"/>
      <c r="CM224" s="187"/>
      <c r="CN224" s="187"/>
      <c r="CO224" s="187"/>
      <c r="CP224" s="187"/>
      <c r="CQ224" s="187"/>
      <c r="CR224" s="187"/>
      <c r="CS224" s="187"/>
      <c r="CT224" s="187"/>
      <c r="CU224" s="187"/>
      <c r="CV224" s="187"/>
      <c r="CW224" s="187"/>
      <c r="CX224" s="187"/>
      <c r="CY224" s="187"/>
      <c r="CZ224" s="187"/>
      <c r="DA224" s="187"/>
      <c r="DB224" s="187"/>
      <c r="DC224" s="187"/>
      <c r="DD224" s="187"/>
      <c r="DE224" s="187"/>
      <c r="DF224" s="187"/>
      <c r="DG224" s="187"/>
      <c r="DH224" s="187"/>
      <c r="DI224" s="187"/>
      <c r="DJ224" s="187"/>
      <c r="DK224" s="187"/>
      <c r="DL224" s="187"/>
      <c r="DM224" s="187"/>
      <c r="DN224" s="187"/>
      <c r="DO224" s="187"/>
      <c r="DP224" s="187"/>
      <c r="DQ224" s="187"/>
      <c r="DR224" s="187"/>
      <c r="DS224" s="187"/>
      <c r="DT224" s="187"/>
      <c r="DU224" s="187"/>
      <c r="DV224" s="187"/>
      <c r="DW224" s="187"/>
      <c r="DX224" s="187"/>
      <c r="DY224" s="187"/>
      <c r="DZ224" s="187"/>
      <c r="EA224" s="187"/>
      <c r="EB224" s="187"/>
      <c r="EC224" s="187"/>
      <c r="ED224" s="187"/>
      <c r="EE224" s="187"/>
      <c r="EF224" s="187"/>
      <c r="EG224" s="187"/>
      <c r="EH224" s="187"/>
      <c r="EI224" s="187"/>
      <c r="EJ224" s="187"/>
      <c r="EK224" s="187"/>
      <c r="EL224" s="187"/>
      <c r="EM224" s="187"/>
      <c r="EN224" s="187"/>
      <c r="EO224" s="187"/>
    </row>
    <row r="225" spans="2:145" ht="13.9" customHeight="1" x14ac:dyDescent="0.2"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  <c r="AA225" s="187"/>
      <c r="AB225" s="187"/>
      <c r="AC225" s="187"/>
      <c r="AD225" s="187"/>
      <c r="AE225" s="187"/>
      <c r="AF225" s="187"/>
      <c r="AG225" s="187"/>
      <c r="AH225" s="187"/>
      <c r="AI225" s="187"/>
      <c r="AJ225" s="187"/>
      <c r="AK225" s="187"/>
      <c r="AL225" s="187"/>
      <c r="AM225" s="187"/>
      <c r="AN225" s="187"/>
      <c r="AO225" s="187"/>
      <c r="AP225" s="187"/>
      <c r="AQ225" s="187"/>
      <c r="AR225" s="187"/>
      <c r="AS225" s="187"/>
      <c r="AT225" s="187"/>
      <c r="AU225" s="187"/>
      <c r="AV225" s="187"/>
      <c r="AW225" s="187"/>
      <c r="AX225" s="187"/>
      <c r="AY225" s="187"/>
      <c r="AZ225" s="187"/>
      <c r="BA225" s="187"/>
      <c r="BB225" s="187"/>
      <c r="BC225" s="187"/>
      <c r="BD225" s="187"/>
      <c r="BE225" s="187"/>
      <c r="BF225" s="187"/>
      <c r="BG225" s="187"/>
      <c r="BH225" s="187"/>
      <c r="BI225" s="187"/>
      <c r="BJ225" s="187"/>
      <c r="BK225" s="187"/>
      <c r="BL225" s="187"/>
      <c r="BM225" s="187"/>
      <c r="BN225" s="187"/>
      <c r="BO225" s="187"/>
      <c r="BP225" s="187"/>
      <c r="BQ225" s="187"/>
      <c r="BR225" s="187"/>
      <c r="BS225" s="187"/>
      <c r="BT225" s="187"/>
      <c r="BU225" s="187"/>
      <c r="BV225" s="187"/>
      <c r="BW225" s="187"/>
      <c r="BX225" s="187"/>
      <c r="BY225" s="187"/>
      <c r="BZ225" s="187"/>
      <c r="CA225" s="187"/>
      <c r="CB225" s="187"/>
      <c r="CC225" s="187"/>
      <c r="CD225" s="187"/>
      <c r="CE225" s="187"/>
      <c r="CF225" s="187"/>
      <c r="CG225" s="187"/>
      <c r="CH225" s="187"/>
      <c r="CI225" s="187"/>
      <c r="CJ225" s="187"/>
      <c r="CK225" s="187"/>
      <c r="CL225" s="187"/>
      <c r="CM225" s="187"/>
      <c r="CN225" s="187"/>
      <c r="CO225" s="187"/>
      <c r="CP225" s="187"/>
      <c r="CQ225" s="187"/>
      <c r="CR225" s="187"/>
      <c r="CS225" s="187"/>
      <c r="CT225" s="187"/>
      <c r="CU225" s="187"/>
      <c r="CV225" s="187"/>
      <c r="CW225" s="187"/>
      <c r="CX225" s="187"/>
      <c r="CY225" s="187"/>
      <c r="CZ225" s="187"/>
      <c r="DA225" s="187"/>
      <c r="DB225" s="187"/>
      <c r="DC225" s="187"/>
      <c r="DD225" s="187"/>
      <c r="DE225" s="187"/>
      <c r="DF225" s="187"/>
      <c r="DG225" s="187"/>
      <c r="DH225" s="187"/>
      <c r="DI225" s="187"/>
      <c r="DJ225" s="187"/>
      <c r="DK225" s="187"/>
      <c r="DL225" s="187"/>
      <c r="DM225" s="187"/>
      <c r="DN225" s="187"/>
      <c r="DO225" s="187"/>
      <c r="DP225" s="187"/>
      <c r="DQ225" s="187"/>
      <c r="DR225" s="187"/>
      <c r="DS225" s="187"/>
      <c r="DT225" s="187"/>
      <c r="DU225" s="187"/>
      <c r="DV225" s="187"/>
      <c r="DW225" s="187"/>
      <c r="DX225" s="187"/>
      <c r="DY225" s="187"/>
      <c r="DZ225" s="187"/>
      <c r="EA225" s="187"/>
      <c r="EB225" s="187"/>
      <c r="EC225" s="187"/>
      <c r="ED225" s="187"/>
      <c r="EE225" s="187"/>
      <c r="EF225" s="187"/>
      <c r="EG225" s="187"/>
      <c r="EH225" s="187"/>
      <c r="EI225" s="187"/>
      <c r="EJ225" s="187"/>
      <c r="EK225" s="187"/>
      <c r="EL225" s="187"/>
      <c r="EM225" s="187"/>
      <c r="EN225" s="187"/>
      <c r="EO225" s="187"/>
    </row>
    <row r="226" spans="2:145" ht="13.9" customHeight="1" x14ac:dyDescent="0.2"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  <c r="AA226" s="187"/>
      <c r="AB226" s="187"/>
      <c r="AC226" s="187"/>
      <c r="AD226" s="187"/>
      <c r="AE226" s="187"/>
      <c r="AF226" s="187"/>
      <c r="AG226" s="187"/>
      <c r="AH226" s="187"/>
      <c r="AI226" s="187"/>
      <c r="AJ226" s="187"/>
      <c r="AK226" s="187"/>
      <c r="AL226" s="187"/>
      <c r="AM226" s="187"/>
      <c r="AN226" s="187"/>
      <c r="AO226" s="187"/>
      <c r="AP226" s="187"/>
      <c r="AQ226" s="187"/>
      <c r="AR226" s="187"/>
      <c r="AS226" s="187"/>
      <c r="AT226" s="187"/>
      <c r="AU226" s="187"/>
      <c r="AV226" s="187"/>
      <c r="AW226" s="187"/>
      <c r="AX226" s="187"/>
      <c r="AY226" s="187"/>
      <c r="AZ226" s="187"/>
      <c r="BA226" s="187"/>
      <c r="BB226" s="187"/>
      <c r="BC226" s="187"/>
      <c r="BD226" s="187"/>
      <c r="BE226" s="187"/>
      <c r="BF226" s="187"/>
      <c r="BG226" s="187"/>
      <c r="BH226" s="187"/>
      <c r="BI226" s="187"/>
      <c r="BJ226" s="187"/>
      <c r="BK226" s="187"/>
      <c r="BL226" s="187"/>
      <c r="BM226" s="187"/>
      <c r="BN226" s="187"/>
      <c r="BO226" s="187"/>
      <c r="BP226" s="187"/>
      <c r="BQ226" s="187"/>
      <c r="BR226" s="187"/>
      <c r="BS226" s="187"/>
      <c r="BT226" s="187"/>
      <c r="BU226" s="187"/>
      <c r="BV226" s="187"/>
      <c r="BW226" s="187"/>
      <c r="BX226" s="187"/>
      <c r="BY226" s="187"/>
      <c r="BZ226" s="187"/>
      <c r="CA226" s="187"/>
      <c r="CB226" s="187"/>
      <c r="CC226" s="187"/>
      <c r="CD226" s="187"/>
      <c r="CE226" s="187"/>
      <c r="CF226" s="187"/>
      <c r="CG226" s="187"/>
      <c r="CH226" s="187"/>
      <c r="CI226" s="187"/>
      <c r="CJ226" s="187"/>
      <c r="CK226" s="187"/>
      <c r="CL226" s="187"/>
      <c r="CM226" s="187"/>
      <c r="CN226" s="187"/>
      <c r="CO226" s="187"/>
      <c r="CP226" s="187"/>
      <c r="CQ226" s="187"/>
      <c r="CR226" s="187"/>
      <c r="CS226" s="187"/>
      <c r="CT226" s="187"/>
      <c r="CU226" s="187"/>
      <c r="CV226" s="187"/>
      <c r="CW226" s="187"/>
      <c r="CX226" s="187"/>
      <c r="CY226" s="187"/>
      <c r="CZ226" s="187"/>
      <c r="DA226" s="187"/>
      <c r="DB226" s="187"/>
      <c r="DC226" s="187"/>
      <c r="DD226" s="187"/>
      <c r="DE226" s="187"/>
      <c r="DF226" s="187"/>
      <c r="DG226" s="187"/>
      <c r="DH226" s="187"/>
      <c r="DI226" s="187"/>
      <c r="DJ226" s="187"/>
      <c r="DK226" s="187"/>
      <c r="DL226" s="187"/>
      <c r="DM226" s="187"/>
      <c r="DN226" s="187"/>
      <c r="DO226" s="187"/>
      <c r="DP226" s="187"/>
      <c r="DQ226" s="187"/>
      <c r="DR226" s="187"/>
      <c r="DS226" s="187"/>
      <c r="DT226" s="187"/>
      <c r="DU226" s="187"/>
      <c r="DV226" s="187"/>
      <c r="DW226" s="187"/>
      <c r="DX226" s="187"/>
      <c r="DY226" s="187"/>
      <c r="DZ226" s="187"/>
      <c r="EA226" s="187"/>
      <c r="EB226" s="187"/>
      <c r="EC226" s="187"/>
      <c r="ED226" s="187"/>
      <c r="EE226" s="187"/>
      <c r="EF226" s="187"/>
      <c r="EG226" s="187"/>
      <c r="EH226" s="187"/>
      <c r="EI226" s="187"/>
      <c r="EJ226" s="187"/>
      <c r="EK226" s="187"/>
      <c r="EL226" s="187"/>
      <c r="EM226" s="187"/>
      <c r="EN226" s="187"/>
      <c r="EO226" s="187"/>
    </row>
    <row r="227" spans="2:145" ht="13.9" customHeight="1" x14ac:dyDescent="0.2"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  <c r="AA227" s="187"/>
      <c r="AB227" s="187"/>
      <c r="AC227" s="187"/>
      <c r="AD227" s="187"/>
      <c r="AE227" s="187"/>
      <c r="AF227" s="187"/>
      <c r="AG227" s="187"/>
      <c r="AH227" s="187"/>
      <c r="AI227" s="187"/>
      <c r="AJ227" s="187"/>
      <c r="AK227" s="187"/>
      <c r="AL227" s="187"/>
      <c r="AM227" s="187"/>
      <c r="AN227" s="187"/>
      <c r="AO227" s="187"/>
      <c r="AP227" s="187"/>
      <c r="AQ227" s="187"/>
      <c r="AR227" s="187"/>
      <c r="AS227" s="187"/>
      <c r="AT227" s="187"/>
      <c r="AU227" s="187"/>
      <c r="AV227" s="187"/>
      <c r="AW227" s="187"/>
      <c r="AX227" s="187"/>
      <c r="AY227" s="187"/>
      <c r="AZ227" s="187"/>
      <c r="BA227" s="187"/>
      <c r="BB227" s="187"/>
      <c r="BC227" s="187"/>
      <c r="BD227" s="187"/>
      <c r="BE227" s="187"/>
      <c r="BF227" s="187"/>
      <c r="BG227" s="187"/>
      <c r="BH227" s="187"/>
      <c r="BI227" s="187"/>
      <c r="BJ227" s="187"/>
      <c r="BK227" s="187"/>
      <c r="BL227" s="187"/>
      <c r="BM227" s="187"/>
      <c r="BN227" s="187"/>
      <c r="BO227" s="187"/>
      <c r="BP227" s="187"/>
      <c r="BQ227" s="187"/>
      <c r="BR227" s="187"/>
      <c r="BS227" s="187"/>
      <c r="BT227" s="187"/>
      <c r="BU227" s="187"/>
      <c r="BV227" s="187"/>
      <c r="BW227" s="187"/>
      <c r="BX227" s="187"/>
      <c r="BY227" s="187"/>
      <c r="BZ227" s="187"/>
      <c r="CA227" s="187"/>
      <c r="CB227" s="187"/>
      <c r="CC227" s="187"/>
      <c r="CD227" s="187"/>
      <c r="CE227" s="187"/>
      <c r="CF227" s="187"/>
      <c r="CG227" s="187"/>
      <c r="CH227" s="187"/>
      <c r="CI227" s="187"/>
      <c r="CJ227" s="187"/>
      <c r="CK227" s="187"/>
      <c r="CL227" s="187"/>
      <c r="CM227" s="187"/>
      <c r="CN227" s="187"/>
      <c r="CO227" s="187"/>
      <c r="CP227" s="187"/>
      <c r="CQ227" s="187"/>
      <c r="CR227" s="187"/>
      <c r="CS227" s="187"/>
      <c r="CT227" s="187"/>
      <c r="CU227" s="187"/>
      <c r="CV227" s="187"/>
      <c r="CW227" s="187"/>
      <c r="CX227" s="187"/>
      <c r="CY227" s="187"/>
      <c r="CZ227" s="187"/>
      <c r="DA227" s="187"/>
      <c r="DB227" s="187"/>
      <c r="DC227" s="187"/>
      <c r="DD227" s="187"/>
      <c r="DE227" s="187"/>
      <c r="DF227" s="187"/>
      <c r="DG227" s="187"/>
      <c r="DH227" s="187"/>
      <c r="DI227" s="187"/>
      <c r="DJ227" s="187"/>
      <c r="DK227" s="187"/>
      <c r="DL227" s="187"/>
      <c r="DM227" s="187"/>
      <c r="DN227" s="187"/>
      <c r="DO227" s="187"/>
      <c r="DP227" s="187"/>
      <c r="DQ227" s="187"/>
      <c r="DR227" s="187"/>
      <c r="DS227" s="187"/>
      <c r="DT227" s="187"/>
      <c r="DU227" s="187"/>
      <c r="DV227" s="187"/>
      <c r="DW227" s="187"/>
      <c r="DX227" s="187"/>
      <c r="DY227" s="187"/>
      <c r="DZ227" s="187"/>
      <c r="EA227" s="187"/>
      <c r="EB227" s="187"/>
      <c r="EC227" s="187"/>
      <c r="ED227" s="187"/>
      <c r="EE227" s="187"/>
      <c r="EF227" s="187"/>
      <c r="EG227" s="187"/>
      <c r="EH227" s="187"/>
      <c r="EI227" s="187"/>
      <c r="EJ227" s="187"/>
      <c r="EK227" s="187"/>
      <c r="EL227" s="187"/>
      <c r="EM227" s="187"/>
      <c r="EN227" s="187"/>
      <c r="EO227" s="187"/>
    </row>
    <row r="228" spans="2:145" ht="13.9" customHeight="1" x14ac:dyDescent="0.2"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  <c r="AA228" s="187"/>
      <c r="AB228" s="187"/>
      <c r="AC228" s="187"/>
      <c r="AD228" s="187"/>
      <c r="AE228" s="187"/>
      <c r="AF228" s="187"/>
      <c r="AG228" s="187"/>
      <c r="AH228" s="187"/>
      <c r="AI228" s="187"/>
      <c r="AJ228" s="187"/>
      <c r="AK228" s="187"/>
      <c r="AL228" s="187"/>
      <c r="AM228" s="187"/>
      <c r="AN228" s="187"/>
      <c r="AO228" s="187"/>
      <c r="AP228" s="187"/>
      <c r="AQ228" s="187"/>
      <c r="AR228" s="187"/>
      <c r="AS228" s="187"/>
      <c r="AT228" s="187"/>
      <c r="AU228" s="187"/>
      <c r="AV228" s="187"/>
      <c r="AW228" s="187"/>
      <c r="AX228" s="187"/>
      <c r="AY228" s="187"/>
      <c r="AZ228" s="187"/>
      <c r="BA228" s="187"/>
      <c r="BB228" s="187"/>
      <c r="BC228" s="187"/>
      <c r="BD228" s="187"/>
      <c r="BE228" s="187"/>
      <c r="BF228" s="187"/>
      <c r="BG228" s="187"/>
      <c r="BH228" s="187"/>
      <c r="BI228" s="187"/>
      <c r="BJ228" s="187"/>
      <c r="BK228" s="187"/>
      <c r="BL228" s="187"/>
      <c r="BM228" s="187"/>
      <c r="BN228" s="187"/>
      <c r="BO228" s="187"/>
      <c r="BP228" s="187"/>
      <c r="BQ228" s="187"/>
      <c r="BR228" s="187"/>
      <c r="BS228" s="187"/>
      <c r="BT228" s="187"/>
      <c r="BU228" s="187"/>
      <c r="BV228" s="187"/>
      <c r="BW228" s="187"/>
      <c r="BX228" s="187"/>
      <c r="BY228" s="187"/>
      <c r="BZ228" s="187"/>
      <c r="CA228" s="187"/>
      <c r="CB228" s="187"/>
      <c r="CC228" s="187"/>
      <c r="CD228" s="187"/>
      <c r="CE228" s="187"/>
      <c r="CF228" s="187"/>
      <c r="CG228" s="187"/>
      <c r="CH228" s="187"/>
      <c r="CI228" s="187"/>
      <c r="CJ228" s="187"/>
      <c r="CK228" s="187"/>
      <c r="CL228" s="187"/>
      <c r="CM228" s="187"/>
      <c r="CN228" s="187"/>
      <c r="CO228" s="187"/>
      <c r="CP228" s="187"/>
      <c r="CQ228" s="187"/>
      <c r="CR228" s="187"/>
      <c r="CS228" s="187"/>
      <c r="CT228" s="187"/>
      <c r="CU228" s="187"/>
      <c r="CV228" s="187"/>
      <c r="CW228" s="187"/>
      <c r="CX228" s="187"/>
      <c r="CY228" s="187"/>
      <c r="CZ228" s="187"/>
      <c r="DA228" s="187"/>
      <c r="DB228" s="187"/>
      <c r="DC228" s="187"/>
      <c r="DD228" s="187"/>
      <c r="DE228" s="187"/>
      <c r="DF228" s="187"/>
      <c r="DG228" s="187"/>
      <c r="DH228" s="187"/>
      <c r="DI228" s="187"/>
      <c r="DJ228" s="187"/>
      <c r="DK228" s="187"/>
      <c r="DL228" s="187"/>
      <c r="DM228" s="187"/>
      <c r="DN228" s="187"/>
      <c r="DO228" s="187"/>
      <c r="DP228" s="187"/>
      <c r="DQ228" s="187"/>
      <c r="DR228" s="187"/>
      <c r="DS228" s="187"/>
      <c r="DT228" s="187"/>
      <c r="DU228" s="187"/>
      <c r="DV228" s="187"/>
      <c r="DW228" s="187"/>
      <c r="DX228" s="187"/>
      <c r="DY228" s="187"/>
      <c r="DZ228" s="187"/>
      <c r="EA228" s="187"/>
      <c r="EB228" s="187"/>
      <c r="EC228" s="187"/>
      <c r="ED228" s="187"/>
      <c r="EE228" s="187"/>
      <c r="EF228" s="187"/>
      <c r="EG228" s="187"/>
      <c r="EH228" s="187"/>
      <c r="EI228" s="187"/>
      <c r="EJ228" s="187"/>
      <c r="EK228" s="187"/>
      <c r="EL228" s="187"/>
      <c r="EM228" s="187"/>
      <c r="EN228" s="187"/>
      <c r="EO228" s="187"/>
    </row>
    <row r="229" spans="2:145" ht="13.9" customHeight="1" x14ac:dyDescent="0.2"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  <c r="AA229" s="187"/>
      <c r="AB229" s="187"/>
      <c r="AC229" s="187"/>
      <c r="AD229" s="187"/>
      <c r="AE229" s="187"/>
      <c r="AF229" s="187"/>
      <c r="AG229" s="187"/>
      <c r="AH229" s="187"/>
      <c r="AI229" s="187"/>
      <c r="AJ229" s="187"/>
      <c r="AK229" s="187"/>
      <c r="AL229" s="187"/>
      <c r="AM229" s="187"/>
      <c r="AN229" s="187"/>
      <c r="AO229" s="187"/>
      <c r="AP229" s="187"/>
      <c r="AQ229" s="187"/>
      <c r="AR229" s="187"/>
      <c r="AS229" s="187"/>
      <c r="AT229" s="187"/>
      <c r="AU229" s="187"/>
      <c r="AV229" s="187"/>
      <c r="AW229" s="187"/>
      <c r="AX229" s="187"/>
      <c r="AY229" s="187"/>
      <c r="AZ229" s="187"/>
      <c r="BA229" s="187"/>
      <c r="BB229" s="187"/>
      <c r="BC229" s="187"/>
      <c r="BD229" s="187"/>
      <c r="BE229" s="187"/>
      <c r="BF229" s="187"/>
      <c r="BG229" s="187"/>
      <c r="BH229" s="187"/>
      <c r="BI229" s="187"/>
      <c r="BJ229" s="187"/>
      <c r="BK229" s="187"/>
      <c r="BL229" s="187"/>
      <c r="BM229" s="187"/>
      <c r="BN229" s="187"/>
      <c r="BO229" s="187"/>
      <c r="BP229" s="187"/>
      <c r="BQ229" s="187"/>
      <c r="BR229" s="187"/>
      <c r="BS229" s="187"/>
      <c r="BT229" s="187"/>
      <c r="BU229" s="187"/>
      <c r="BV229" s="187"/>
      <c r="BW229" s="187"/>
      <c r="BX229" s="187"/>
      <c r="BY229" s="187"/>
      <c r="BZ229" s="187"/>
      <c r="CA229" s="187"/>
      <c r="CB229" s="187"/>
      <c r="CC229" s="187"/>
      <c r="CD229" s="187"/>
      <c r="CE229" s="187"/>
      <c r="CF229" s="187"/>
      <c r="CG229" s="187"/>
      <c r="CH229" s="187"/>
      <c r="CI229" s="187"/>
      <c r="CJ229" s="187"/>
      <c r="CK229" s="187"/>
      <c r="CL229" s="187"/>
      <c r="CM229" s="187"/>
      <c r="CN229" s="187"/>
      <c r="CO229" s="187"/>
      <c r="CP229" s="187"/>
      <c r="CQ229" s="187"/>
      <c r="CR229" s="187"/>
      <c r="CS229" s="187"/>
      <c r="CT229" s="187"/>
      <c r="CU229" s="187"/>
      <c r="CV229" s="187"/>
      <c r="CW229" s="187"/>
      <c r="CX229" s="187"/>
      <c r="CY229" s="187"/>
      <c r="CZ229" s="187"/>
      <c r="DA229" s="187"/>
      <c r="DB229" s="187"/>
      <c r="DC229" s="187"/>
      <c r="DD229" s="187"/>
      <c r="DE229" s="187"/>
      <c r="DF229" s="187"/>
      <c r="DG229" s="187"/>
      <c r="DH229" s="187"/>
      <c r="DI229" s="187"/>
      <c r="DJ229" s="187"/>
      <c r="DK229" s="187"/>
      <c r="DL229" s="187"/>
      <c r="DM229" s="187"/>
      <c r="DN229" s="187"/>
      <c r="DO229" s="187"/>
      <c r="DP229" s="187"/>
      <c r="DQ229" s="187"/>
      <c r="DR229" s="187"/>
      <c r="DS229" s="187"/>
      <c r="DT229" s="187"/>
      <c r="DU229" s="187"/>
      <c r="DV229" s="187"/>
      <c r="DW229" s="187"/>
      <c r="DX229" s="187"/>
      <c r="DY229" s="187"/>
      <c r="DZ229" s="187"/>
      <c r="EA229" s="187"/>
      <c r="EB229" s="187"/>
      <c r="EC229" s="187"/>
      <c r="ED229" s="187"/>
      <c r="EE229" s="187"/>
      <c r="EF229" s="187"/>
      <c r="EG229" s="187"/>
      <c r="EH229" s="187"/>
      <c r="EI229" s="187"/>
      <c r="EJ229" s="187"/>
      <c r="EK229" s="187"/>
      <c r="EL229" s="187"/>
      <c r="EM229" s="187"/>
      <c r="EN229" s="187"/>
      <c r="EO229" s="187"/>
    </row>
    <row r="230" spans="2:145" ht="13.9" customHeight="1" x14ac:dyDescent="0.2"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  <c r="AA230" s="187"/>
      <c r="AB230" s="187"/>
      <c r="AC230" s="187"/>
      <c r="AD230" s="187"/>
      <c r="AE230" s="187"/>
      <c r="AF230" s="187"/>
      <c r="AG230" s="187"/>
      <c r="AH230" s="187"/>
      <c r="AI230" s="187"/>
      <c r="AJ230" s="187"/>
      <c r="AK230" s="187"/>
      <c r="AL230" s="187"/>
      <c r="AM230" s="187"/>
      <c r="AN230" s="187"/>
      <c r="AO230" s="187"/>
      <c r="AP230" s="187"/>
      <c r="AQ230" s="187"/>
      <c r="AR230" s="187"/>
      <c r="AS230" s="187"/>
      <c r="AT230" s="187"/>
      <c r="AU230" s="187"/>
      <c r="AV230" s="187"/>
      <c r="AW230" s="187"/>
      <c r="AX230" s="187"/>
      <c r="AY230" s="187"/>
      <c r="AZ230" s="187"/>
      <c r="BA230" s="187"/>
      <c r="BB230" s="187"/>
      <c r="BC230" s="187"/>
      <c r="BD230" s="187"/>
      <c r="BE230" s="187"/>
      <c r="BF230" s="187"/>
      <c r="BG230" s="187"/>
      <c r="BH230" s="187"/>
      <c r="BI230" s="187"/>
      <c r="BJ230" s="187"/>
      <c r="BK230" s="187"/>
      <c r="BL230" s="187"/>
      <c r="BM230" s="187"/>
      <c r="BN230" s="187"/>
      <c r="BO230" s="187"/>
      <c r="BP230" s="187"/>
      <c r="BQ230" s="187"/>
      <c r="BR230" s="187"/>
      <c r="BS230" s="187"/>
      <c r="BT230" s="187"/>
      <c r="BU230" s="187"/>
      <c r="BV230" s="187"/>
      <c r="BW230" s="187"/>
      <c r="BX230" s="187"/>
      <c r="BY230" s="187"/>
      <c r="BZ230" s="187"/>
      <c r="CA230" s="187"/>
      <c r="CB230" s="187"/>
      <c r="CC230" s="187"/>
      <c r="CD230" s="187"/>
      <c r="CE230" s="187"/>
      <c r="CF230" s="187"/>
      <c r="CG230" s="187"/>
      <c r="CH230" s="187"/>
      <c r="CI230" s="187"/>
      <c r="CJ230" s="187"/>
      <c r="CK230" s="187"/>
      <c r="CL230" s="187"/>
      <c r="CM230" s="187"/>
      <c r="CN230" s="187"/>
      <c r="CO230" s="187"/>
      <c r="CP230" s="187"/>
      <c r="CQ230" s="187"/>
      <c r="CR230" s="187"/>
      <c r="CS230" s="187"/>
      <c r="CT230" s="187"/>
      <c r="CU230" s="187"/>
      <c r="CV230" s="187"/>
      <c r="CW230" s="187"/>
      <c r="CX230" s="187"/>
      <c r="CY230" s="187"/>
      <c r="CZ230" s="187"/>
      <c r="DA230" s="187"/>
      <c r="DB230" s="187"/>
      <c r="DC230" s="187"/>
      <c r="DD230" s="187"/>
      <c r="DE230" s="187"/>
      <c r="DF230" s="187"/>
      <c r="DG230" s="187"/>
      <c r="DH230" s="187"/>
      <c r="DI230" s="187"/>
      <c r="DJ230" s="187"/>
      <c r="DK230" s="187"/>
      <c r="DL230" s="187"/>
      <c r="DM230" s="187"/>
      <c r="DN230" s="187"/>
      <c r="DO230" s="187"/>
      <c r="DP230" s="187"/>
      <c r="DQ230" s="187"/>
      <c r="DR230" s="187"/>
      <c r="DS230" s="187"/>
      <c r="DT230" s="187"/>
      <c r="DU230" s="187"/>
      <c r="DV230" s="187"/>
      <c r="DW230" s="187"/>
      <c r="DX230" s="187"/>
      <c r="DY230" s="187"/>
      <c r="DZ230" s="187"/>
      <c r="EA230" s="187"/>
      <c r="EB230" s="187"/>
      <c r="EC230" s="187"/>
      <c r="ED230" s="187"/>
      <c r="EE230" s="187"/>
      <c r="EF230" s="187"/>
      <c r="EG230" s="187"/>
      <c r="EH230" s="187"/>
      <c r="EI230" s="187"/>
      <c r="EJ230" s="187"/>
      <c r="EK230" s="187"/>
      <c r="EL230" s="187"/>
      <c r="EM230" s="187"/>
      <c r="EN230" s="187"/>
      <c r="EO230" s="187"/>
    </row>
    <row r="231" spans="2:145" ht="13.9" customHeight="1" x14ac:dyDescent="0.2"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  <c r="AA231" s="187"/>
      <c r="AB231" s="187"/>
      <c r="AC231" s="187"/>
      <c r="AD231" s="187"/>
      <c r="AE231" s="187"/>
      <c r="AF231" s="187"/>
      <c r="AG231" s="187"/>
      <c r="AH231" s="187"/>
      <c r="AI231" s="187"/>
      <c r="AJ231" s="187"/>
      <c r="AK231" s="187"/>
      <c r="AL231" s="187"/>
      <c r="AM231" s="187"/>
      <c r="AN231" s="187"/>
      <c r="AO231" s="187"/>
      <c r="AP231" s="187"/>
      <c r="AQ231" s="187"/>
      <c r="AR231" s="187"/>
      <c r="AS231" s="187"/>
      <c r="AT231" s="187"/>
      <c r="AU231" s="187"/>
      <c r="AV231" s="187"/>
      <c r="AW231" s="187"/>
      <c r="AX231" s="187"/>
      <c r="AY231" s="187"/>
      <c r="AZ231" s="187"/>
      <c r="BA231" s="187"/>
      <c r="BB231" s="187"/>
      <c r="BC231" s="187"/>
      <c r="BD231" s="187"/>
      <c r="BE231" s="187"/>
      <c r="BF231" s="187"/>
      <c r="BG231" s="187"/>
      <c r="BH231" s="187"/>
      <c r="BI231" s="187"/>
      <c r="BJ231" s="187"/>
      <c r="BK231" s="187"/>
      <c r="BL231" s="187"/>
      <c r="BM231" s="187"/>
      <c r="BN231" s="187"/>
      <c r="BO231" s="187"/>
      <c r="BP231" s="187"/>
      <c r="BQ231" s="187"/>
      <c r="BR231" s="187"/>
      <c r="BS231" s="187"/>
      <c r="BT231" s="187"/>
      <c r="BU231" s="187"/>
      <c r="BV231" s="187"/>
      <c r="BW231" s="187"/>
      <c r="BX231" s="187"/>
      <c r="BY231" s="187"/>
      <c r="BZ231" s="187"/>
      <c r="CA231" s="187"/>
      <c r="CB231" s="187"/>
      <c r="CC231" s="187"/>
      <c r="CD231" s="187"/>
      <c r="CE231" s="187"/>
      <c r="CF231" s="187"/>
      <c r="CG231" s="187"/>
      <c r="CH231" s="187"/>
      <c r="CI231" s="187"/>
      <c r="CJ231" s="187"/>
      <c r="CK231" s="187"/>
      <c r="CL231" s="187"/>
      <c r="CM231" s="187"/>
      <c r="CN231" s="187"/>
      <c r="CO231" s="187"/>
      <c r="CP231" s="187"/>
      <c r="CQ231" s="187"/>
      <c r="CR231" s="187"/>
      <c r="CS231" s="187"/>
      <c r="CT231" s="187"/>
      <c r="CU231" s="187"/>
      <c r="CV231" s="187"/>
      <c r="CW231" s="187"/>
      <c r="CX231" s="187"/>
      <c r="CY231" s="187"/>
      <c r="CZ231" s="187"/>
      <c r="DA231" s="187"/>
      <c r="DB231" s="187"/>
      <c r="DC231" s="187"/>
      <c r="DD231" s="187"/>
      <c r="DE231" s="187"/>
      <c r="DF231" s="187"/>
      <c r="DG231" s="187"/>
      <c r="DH231" s="187"/>
      <c r="DI231" s="187"/>
      <c r="DJ231" s="187"/>
      <c r="DK231" s="187"/>
      <c r="DL231" s="187"/>
      <c r="DM231" s="187"/>
      <c r="DN231" s="187"/>
      <c r="DO231" s="187"/>
      <c r="DP231" s="187"/>
      <c r="DQ231" s="187"/>
      <c r="DR231" s="187"/>
      <c r="DS231" s="187"/>
      <c r="DT231" s="187"/>
      <c r="DU231" s="187"/>
      <c r="DV231" s="187"/>
      <c r="DW231" s="187"/>
      <c r="DX231" s="187"/>
      <c r="DY231" s="187"/>
      <c r="DZ231" s="187"/>
      <c r="EA231" s="187"/>
      <c r="EB231" s="187"/>
      <c r="EC231" s="187"/>
      <c r="ED231" s="187"/>
      <c r="EE231" s="187"/>
      <c r="EF231" s="187"/>
      <c r="EG231" s="187"/>
      <c r="EH231" s="187"/>
      <c r="EI231" s="187"/>
      <c r="EJ231" s="187"/>
      <c r="EK231" s="187"/>
      <c r="EL231" s="187"/>
      <c r="EM231" s="187"/>
      <c r="EN231" s="187"/>
      <c r="EO231" s="187"/>
    </row>
    <row r="232" spans="2:145" ht="13.9" customHeight="1" x14ac:dyDescent="0.2"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  <c r="AA232" s="187"/>
      <c r="AB232" s="187"/>
      <c r="AC232" s="187"/>
      <c r="AD232" s="187"/>
      <c r="AE232" s="187"/>
      <c r="AF232" s="187"/>
      <c r="AG232" s="187"/>
      <c r="AH232" s="187"/>
      <c r="AI232" s="187"/>
      <c r="AJ232" s="187"/>
      <c r="AK232" s="187"/>
      <c r="AL232" s="187"/>
      <c r="AM232" s="187"/>
      <c r="AN232" s="187"/>
      <c r="AO232" s="187"/>
      <c r="AP232" s="187"/>
      <c r="AQ232" s="187"/>
      <c r="AR232" s="187"/>
      <c r="AS232" s="187"/>
      <c r="AT232" s="187"/>
      <c r="AU232" s="187"/>
      <c r="AV232" s="187"/>
      <c r="AW232" s="187"/>
      <c r="AX232" s="187"/>
      <c r="AY232" s="187"/>
      <c r="AZ232" s="187"/>
      <c r="BA232" s="187"/>
      <c r="BB232" s="187"/>
      <c r="BC232" s="187"/>
      <c r="BD232" s="187"/>
      <c r="BE232" s="187"/>
      <c r="BF232" s="187"/>
      <c r="BG232" s="187"/>
      <c r="BH232" s="187"/>
      <c r="BI232" s="187"/>
      <c r="BJ232" s="187"/>
      <c r="BK232" s="187"/>
      <c r="BL232" s="187"/>
      <c r="BM232" s="187"/>
      <c r="BN232" s="187"/>
      <c r="BO232" s="187"/>
      <c r="BP232" s="187"/>
      <c r="BQ232" s="187"/>
      <c r="BR232" s="187"/>
      <c r="BS232" s="187"/>
      <c r="BT232" s="187"/>
      <c r="BU232" s="187"/>
      <c r="BV232" s="187"/>
      <c r="BW232" s="187"/>
      <c r="BX232" s="187"/>
      <c r="BY232" s="187"/>
      <c r="BZ232" s="187"/>
      <c r="CA232" s="187"/>
      <c r="CB232" s="187"/>
      <c r="CC232" s="187"/>
      <c r="CD232" s="187"/>
      <c r="CE232" s="187"/>
      <c r="CF232" s="187"/>
      <c r="CG232" s="187"/>
      <c r="CH232" s="187"/>
      <c r="CI232" s="187"/>
      <c r="CJ232" s="187"/>
      <c r="CK232" s="187"/>
      <c r="CL232" s="187"/>
      <c r="CM232" s="187"/>
      <c r="CN232" s="187"/>
      <c r="CO232" s="187"/>
      <c r="CP232" s="187"/>
      <c r="CQ232" s="187"/>
      <c r="CR232" s="187"/>
      <c r="CS232" s="187"/>
      <c r="CT232" s="187"/>
      <c r="CU232" s="187"/>
      <c r="CV232" s="187"/>
      <c r="CW232" s="187"/>
      <c r="CX232" s="187"/>
      <c r="CY232" s="187"/>
      <c r="CZ232" s="187"/>
      <c r="DA232" s="187"/>
      <c r="DB232" s="187"/>
      <c r="DC232" s="187"/>
      <c r="DD232" s="187"/>
      <c r="DE232" s="187"/>
      <c r="DF232" s="187"/>
      <c r="DG232" s="187"/>
      <c r="DH232" s="187"/>
      <c r="DI232" s="187"/>
      <c r="DJ232" s="187"/>
      <c r="DK232" s="187"/>
      <c r="DL232" s="187"/>
      <c r="DM232" s="187"/>
      <c r="DN232" s="187"/>
      <c r="DO232" s="187"/>
      <c r="DP232" s="187"/>
      <c r="DQ232" s="187"/>
      <c r="DR232" s="187"/>
      <c r="DS232" s="187"/>
      <c r="DT232" s="187"/>
      <c r="DU232" s="187"/>
      <c r="DV232" s="187"/>
      <c r="DW232" s="187"/>
      <c r="DX232" s="187"/>
      <c r="DY232" s="187"/>
      <c r="DZ232" s="187"/>
      <c r="EA232" s="187"/>
      <c r="EB232" s="187"/>
      <c r="EC232" s="187"/>
      <c r="ED232" s="187"/>
      <c r="EE232" s="187"/>
      <c r="EF232" s="187"/>
      <c r="EG232" s="187"/>
      <c r="EH232" s="187"/>
      <c r="EI232" s="187"/>
      <c r="EJ232" s="187"/>
      <c r="EK232" s="187"/>
      <c r="EL232" s="187"/>
      <c r="EM232" s="187"/>
      <c r="EN232" s="187"/>
      <c r="EO232" s="187"/>
    </row>
    <row r="233" spans="2:145" ht="13.9" customHeight="1" x14ac:dyDescent="0.2"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  <c r="AA233" s="187"/>
      <c r="AB233" s="187"/>
      <c r="AC233" s="187"/>
      <c r="AD233" s="187"/>
      <c r="AE233" s="187"/>
      <c r="AF233" s="187"/>
      <c r="AG233" s="187"/>
      <c r="AH233" s="187"/>
      <c r="AI233" s="187"/>
      <c r="AJ233" s="187"/>
      <c r="AK233" s="187"/>
      <c r="AL233" s="187"/>
      <c r="AM233" s="187"/>
      <c r="AN233" s="187"/>
      <c r="AO233" s="187"/>
      <c r="AP233" s="187"/>
      <c r="AQ233" s="187"/>
      <c r="AR233" s="187"/>
      <c r="AS233" s="187"/>
      <c r="AT233" s="187"/>
      <c r="AU233" s="187"/>
      <c r="AV233" s="187"/>
      <c r="AW233" s="187"/>
      <c r="AX233" s="187"/>
      <c r="AY233" s="187"/>
      <c r="AZ233" s="187"/>
      <c r="BA233" s="187"/>
      <c r="BB233" s="187"/>
      <c r="BC233" s="187"/>
      <c r="BD233" s="187"/>
      <c r="BE233" s="187"/>
      <c r="BF233" s="187"/>
      <c r="BG233" s="187"/>
      <c r="BH233" s="187"/>
      <c r="BI233" s="187"/>
      <c r="BJ233" s="187"/>
      <c r="BK233" s="187"/>
      <c r="BL233" s="187"/>
      <c r="BM233" s="187"/>
      <c r="BN233" s="187"/>
      <c r="BO233" s="187"/>
      <c r="BP233" s="187"/>
      <c r="BQ233" s="187"/>
      <c r="BR233" s="187"/>
      <c r="BS233" s="187"/>
      <c r="BT233" s="187"/>
      <c r="BU233" s="187"/>
      <c r="BV233" s="187"/>
      <c r="BW233" s="187"/>
      <c r="BX233" s="187"/>
      <c r="BY233" s="187"/>
      <c r="BZ233" s="187"/>
      <c r="CA233" s="187"/>
      <c r="CB233" s="187"/>
      <c r="CC233" s="187"/>
      <c r="CD233" s="187"/>
      <c r="CE233" s="187"/>
      <c r="CF233" s="187"/>
      <c r="CG233" s="187"/>
      <c r="CH233" s="187"/>
      <c r="CI233" s="187"/>
      <c r="CJ233" s="187"/>
      <c r="CK233" s="187"/>
      <c r="CL233" s="187"/>
      <c r="CM233" s="187"/>
      <c r="CN233" s="187"/>
      <c r="CO233" s="187"/>
      <c r="CP233" s="187"/>
      <c r="CQ233" s="187"/>
      <c r="CR233" s="187"/>
      <c r="CS233" s="187"/>
      <c r="CT233" s="187"/>
      <c r="CU233" s="187"/>
      <c r="CV233" s="187"/>
      <c r="CW233" s="187"/>
      <c r="CX233" s="187"/>
      <c r="CY233" s="187"/>
      <c r="CZ233" s="187"/>
      <c r="DA233" s="187"/>
      <c r="DB233" s="187"/>
      <c r="DC233" s="187"/>
      <c r="DD233" s="187"/>
      <c r="DE233" s="187"/>
      <c r="DF233" s="187"/>
      <c r="DG233" s="187"/>
      <c r="DH233" s="187"/>
      <c r="DI233" s="187"/>
      <c r="DJ233" s="187"/>
      <c r="DK233" s="187"/>
      <c r="DL233" s="187"/>
      <c r="DM233" s="187"/>
      <c r="DN233" s="187"/>
      <c r="DO233" s="187"/>
      <c r="DP233" s="187"/>
      <c r="DQ233" s="187"/>
      <c r="DR233" s="187"/>
      <c r="DS233" s="187"/>
      <c r="DT233" s="187"/>
      <c r="DU233" s="187"/>
      <c r="DV233" s="187"/>
      <c r="DW233" s="187"/>
      <c r="DX233" s="187"/>
      <c r="DY233" s="187"/>
      <c r="DZ233" s="187"/>
      <c r="EA233" s="187"/>
      <c r="EB233" s="187"/>
      <c r="EC233" s="187"/>
      <c r="ED233" s="187"/>
      <c r="EE233" s="187"/>
      <c r="EF233" s="187"/>
      <c r="EG233" s="187"/>
      <c r="EH233" s="187"/>
      <c r="EI233" s="187"/>
      <c r="EJ233" s="187"/>
      <c r="EK233" s="187"/>
      <c r="EL233" s="187"/>
      <c r="EM233" s="187"/>
      <c r="EN233" s="187"/>
      <c r="EO233" s="187"/>
    </row>
    <row r="234" spans="2:145" ht="13.9" customHeight="1" x14ac:dyDescent="0.2"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  <c r="AA234" s="187"/>
      <c r="AB234" s="187"/>
      <c r="AC234" s="187"/>
      <c r="AD234" s="187"/>
      <c r="AE234" s="187"/>
      <c r="AF234" s="187"/>
      <c r="AG234" s="187"/>
      <c r="AH234" s="187"/>
      <c r="AI234" s="187"/>
      <c r="AJ234" s="187"/>
      <c r="AK234" s="187"/>
      <c r="AL234" s="187"/>
      <c r="AM234" s="187"/>
      <c r="AN234" s="187"/>
      <c r="AO234" s="187"/>
      <c r="AP234" s="187"/>
      <c r="AQ234" s="187"/>
      <c r="AR234" s="187"/>
      <c r="AS234" s="187"/>
      <c r="AT234" s="187"/>
      <c r="AU234" s="187"/>
      <c r="AV234" s="187"/>
      <c r="AW234" s="187"/>
      <c r="AX234" s="187"/>
      <c r="AY234" s="187"/>
      <c r="AZ234" s="187"/>
      <c r="BA234" s="187"/>
      <c r="BB234" s="187"/>
      <c r="BC234" s="187"/>
      <c r="BD234" s="187"/>
      <c r="BE234" s="187"/>
      <c r="BF234" s="187"/>
      <c r="BG234" s="187"/>
      <c r="BH234" s="187"/>
      <c r="BI234" s="187"/>
      <c r="BJ234" s="187"/>
      <c r="BK234" s="187"/>
      <c r="BL234" s="187"/>
      <c r="BM234" s="187"/>
      <c r="BN234" s="187"/>
      <c r="BO234" s="187"/>
      <c r="BP234" s="187"/>
      <c r="BQ234" s="187"/>
      <c r="BR234" s="187"/>
      <c r="BS234" s="187"/>
      <c r="BT234" s="187"/>
      <c r="BU234" s="187"/>
      <c r="BV234" s="187"/>
      <c r="BW234" s="187"/>
      <c r="BX234" s="187"/>
      <c r="BY234" s="187"/>
      <c r="BZ234" s="187"/>
      <c r="CA234" s="187"/>
      <c r="CB234" s="187"/>
      <c r="CC234" s="187"/>
      <c r="CD234" s="187"/>
      <c r="CE234" s="187"/>
      <c r="CF234" s="187"/>
      <c r="CG234" s="187"/>
      <c r="CH234" s="187"/>
      <c r="CI234" s="187"/>
      <c r="CJ234" s="187"/>
      <c r="CK234" s="187"/>
      <c r="CL234" s="187"/>
      <c r="CM234" s="187"/>
      <c r="CN234" s="187"/>
      <c r="CO234" s="187"/>
      <c r="CP234" s="187"/>
      <c r="CQ234" s="187"/>
      <c r="CR234" s="187"/>
      <c r="CS234" s="187"/>
      <c r="CT234" s="187"/>
      <c r="CU234" s="187"/>
      <c r="CV234" s="187"/>
      <c r="CW234" s="187"/>
      <c r="CX234" s="187"/>
      <c r="CY234" s="187"/>
      <c r="CZ234" s="187"/>
      <c r="DA234" s="187"/>
      <c r="DB234" s="187"/>
      <c r="DC234" s="187"/>
      <c r="DD234" s="187"/>
      <c r="DE234" s="187"/>
      <c r="DF234" s="187"/>
      <c r="DG234" s="187"/>
      <c r="DH234" s="187"/>
      <c r="DI234" s="187"/>
      <c r="DJ234" s="187"/>
      <c r="DK234" s="187"/>
      <c r="DL234" s="187"/>
      <c r="DM234" s="187"/>
      <c r="DN234" s="187"/>
      <c r="DO234" s="187"/>
      <c r="DP234" s="187"/>
      <c r="DQ234" s="187"/>
      <c r="DR234" s="187"/>
      <c r="DS234" s="187"/>
      <c r="DT234" s="187"/>
      <c r="DU234" s="187"/>
      <c r="DV234" s="187"/>
      <c r="DW234" s="187"/>
      <c r="DX234" s="187"/>
      <c r="DY234" s="187"/>
      <c r="DZ234" s="187"/>
      <c r="EA234" s="187"/>
      <c r="EB234" s="187"/>
      <c r="EC234" s="187"/>
      <c r="ED234" s="187"/>
      <c r="EE234" s="187"/>
      <c r="EF234" s="187"/>
      <c r="EG234" s="187"/>
      <c r="EH234" s="187"/>
      <c r="EI234" s="187"/>
      <c r="EJ234" s="187"/>
      <c r="EK234" s="187"/>
      <c r="EL234" s="187"/>
      <c r="EM234" s="187"/>
      <c r="EN234" s="187"/>
      <c r="EO234" s="187"/>
    </row>
    <row r="235" spans="2:145" ht="13.9" customHeight="1" x14ac:dyDescent="0.2"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  <c r="AB235" s="187"/>
      <c r="AC235" s="187"/>
      <c r="AD235" s="187"/>
      <c r="AE235" s="187"/>
      <c r="AF235" s="187"/>
      <c r="AG235" s="187"/>
      <c r="AH235" s="187"/>
      <c r="AI235" s="187"/>
      <c r="AJ235" s="187"/>
      <c r="AK235" s="187"/>
      <c r="AL235" s="187"/>
      <c r="AM235" s="187"/>
      <c r="AN235" s="187"/>
      <c r="AO235" s="187"/>
      <c r="AP235" s="187"/>
      <c r="AQ235" s="187"/>
      <c r="AR235" s="187"/>
      <c r="AS235" s="187"/>
      <c r="AT235" s="187"/>
      <c r="AU235" s="187"/>
      <c r="AV235" s="187"/>
      <c r="AW235" s="187"/>
      <c r="AX235" s="187"/>
      <c r="AY235" s="187"/>
      <c r="AZ235" s="187"/>
      <c r="BA235" s="187"/>
      <c r="BB235" s="187"/>
      <c r="BC235" s="187"/>
      <c r="BD235" s="187"/>
      <c r="BE235" s="187"/>
      <c r="BF235" s="187"/>
      <c r="BG235" s="187"/>
      <c r="BH235" s="187"/>
      <c r="BI235" s="187"/>
      <c r="BJ235" s="187"/>
      <c r="BK235" s="187"/>
      <c r="BL235" s="187"/>
      <c r="BM235" s="187"/>
      <c r="BN235" s="187"/>
      <c r="BO235" s="187"/>
      <c r="BP235" s="187"/>
      <c r="BQ235" s="187"/>
      <c r="BR235" s="187"/>
      <c r="BS235" s="187"/>
      <c r="BT235" s="187"/>
      <c r="BU235" s="187"/>
      <c r="BV235" s="187"/>
      <c r="BW235" s="187"/>
      <c r="BX235" s="187"/>
      <c r="BY235" s="187"/>
      <c r="BZ235" s="187"/>
      <c r="CA235" s="187"/>
      <c r="CB235" s="187"/>
      <c r="CC235" s="187"/>
      <c r="CD235" s="187"/>
      <c r="CE235" s="187"/>
      <c r="CF235" s="187"/>
      <c r="CG235" s="187"/>
      <c r="CH235" s="187"/>
      <c r="CI235" s="187"/>
      <c r="CJ235" s="187"/>
      <c r="CK235" s="187"/>
      <c r="CL235" s="187"/>
      <c r="CM235" s="187"/>
      <c r="CN235" s="187"/>
      <c r="CO235" s="187"/>
      <c r="CP235" s="187"/>
      <c r="CQ235" s="187"/>
      <c r="CR235" s="187"/>
      <c r="CS235" s="187"/>
      <c r="CT235" s="187"/>
      <c r="CU235" s="187"/>
      <c r="CV235" s="187"/>
      <c r="CW235" s="187"/>
      <c r="CX235" s="187"/>
      <c r="CY235" s="187"/>
      <c r="CZ235" s="187"/>
      <c r="DA235" s="187"/>
      <c r="DB235" s="187"/>
      <c r="DC235" s="187"/>
      <c r="DD235" s="187"/>
      <c r="DE235" s="187"/>
      <c r="DF235" s="187"/>
      <c r="DG235" s="187"/>
      <c r="DH235" s="187"/>
      <c r="DI235" s="187"/>
      <c r="DJ235" s="187"/>
      <c r="DK235" s="187"/>
      <c r="DL235" s="187"/>
      <c r="DM235" s="187"/>
      <c r="DN235" s="187"/>
      <c r="DO235" s="187"/>
      <c r="DP235" s="187"/>
      <c r="DQ235" s="187"/>
      <c r="DR235" s="187"/>
      <c r="DS235" s="187"/>
      <c r="DT235" s="187"/>
      <c r="DU235" s="187"/>
      <c r="DV235" s="187"/>
      <c r="DW235" s="187"/>
      <c r="DX235" s="187"/>
      <c r="DY235" s="187"/>
      <c r="DZ235" s="187"/>
      <c r="EA235" s="187"/>
      <c r="EB235" s="187"/>
      <c r="EC235" s="187"/>
      <c r="ED235" s="187"/>
      <c r="EE235" s="187"/>
      <c r="EF235" s="187"/>
      <c r="EG235" s="187"/>
      <c r="EH235" s="187"/>
      <c r="EI235" s="187"/>
      <c r="EJ235" s="187"/>
      <c r="EK235" s="187"/>
      <c r="EL235" s="187"/>
      <c r="EM235" s="187"/>
      <c r="EN235" s="187"/>
      <c r="EO235" s="187"/>
    </row>
    <row r="236" spans="2:145" ht="13.9" customHeight="1" x14ac:dyDescent="0.2"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  <c r="AA236" s="187"/>
      <c r="AB236" s="187"/>
      <c r="AC236" s="187"/>
      <c r="AD236" s="187"/>
      <c r="AE236" s="187"/>
      <c r="AF236" s="187"/>
      <c r="AG236" s="187"/>
      <c r="AH236" s="187"/>
      <c r="AI236" s="187"/>
      <c r="AJ236" s="187"/>
      <c r="AK236" s="187"/>
      <c r="AL236" s="187"/>
      <c r="AM236" s="187"/>
      <c r="AN236" s="187"/>
      <c r="AO236" s="187"/>
      <c r="AP236" s="187"/>
      <c r="AQ236" s="187"/>
      <c r="AR236" s="187"/>
      <c r="AS236" s="187"/>
      <c r="AT236" s="187"/>
      <c r="AU236" s="187"/>
      <c r="AV236" s="187"/>
      <c r="AW236" s="187"/>
      <c r="AX236" s="187"/>
      <c r="AY236" s="187"/>
      <c r="AZ236" s="187"/>
      <c r="BA236" s="187"/>
      <c r="BB236" s="187"/>
      <c r="BC236" s="187"/>
      <c r="BD236" s="187"/>
      <c r="BE236" s="187"/>
      <c r="BF236" s="187"/>
      <c r="BG236" s="187"/>
      <c r="BH236" s="187"/>
      <c r="BI236" s="187"/>
      <c r="BJ236" s="187"/>
      <c r="BK236" s="187"/>
      <c r="BL236" s="187"/>
      <c r="BM236" s="187"/>
      <c r="BN236" s="187"/>
      <c r="BO236" s="187"/>
      <c r="BP236" s="187"/>
      <c r="BQ236" s="187"/>
      <c r="BR236" s="187"/>
      <c r="BS236" s="187"/>
      <c r="BT236" s="187"/>
      <c r="BU236" s="187"/>
      <c r="BV236" s="187"/>
      <c r="BW236" s="187"/>
      <c r="BX236" s="187"/>
      <c r="BY236" s="187"/>
      <c r="BZ236" s="187"/>
      <c r="CA236" s="187"/>
      <c r="CB236" s="187"/>
      <c r="CC236" s="187"/>
      <c r="CD236" s="187"/>
      <c r="CE236" s="187"/>
      <c r="CF236" s="187"/>
      <c r="CG236" s="187"/>
      <c r="CH236" s="187"/>
      <c r="CI236" s="187"/>
      <c r="CJ236" s="187"/>
      <c r="CK236" s="187"/>
      <c r="CL236" s="187"/>
      <c r="CM236" s="187"/>
      <c r="CN236" s="187"/>
      <c r="CO236" s="187"/>
      <c r="CP236" s="187"/>
      <c r="CQ236" s="187"/>
      <c r="CR236" s="187"/>
      <c r="CS236" s="187"/>
      <c r="CT236" s="187"/>
      <c r="CU236" s="187"/>
      <c r="CV236" s="187"/>
      <c r="CW236" s="187"/>
      <c r="CX236" s="187"/>
      <c r="CY236" s="187"/>
      <c r="CZ236" s="187"/>
      <c r="DA236" s="187"/>
      <c r="DB236" s="187"/>
      <c r="DC236" s="187"/>
      <c r="DD236" s="187"/>
      <c r="DE236" s="187"/>
      <c r="DF236" s="187"/>
      <c r="DG236" s="187"/>
      <c r="DH236" s="187"/>
      <c r="DI236" s="187"/>
      <c r="DJ236" s="187"/>
      <c r="DK236" s="187"/>
      <c r="DL236" s="187"/>
      <c r="DM236" s="187"/>
      <c r="DN236" s="187"/>
      <c r="DO236" s="187"/>
      <c r="DP236" s="187"/>
      <c r="DQ236" s="187"/>
      <c r="DR236" s="187"/>
      <c r="DS236" s="187"/>
      <c r="DT236" s="187"/>
      <c r="DU236" s="187"/>
      <c r="DV236" s="187"/>
      <c r="DW236" s="187"/>
      <c r="DX236" s="187"/>
      <c r="DY236" s="187"/>
      <c r="DZ236" s="187"/>
      <c r="EA236" s="187"/>
      <c r="EB236" s="187"/>
      <c r="EC236" s="187"/>
      <c r="ED236" s="187"/>
      <c r="EE236" s="187"/>
      <c r="EF236" s="187"/>
      <c r="EG236" s="187"/>
      <c r="EH236" s="187"/>
      <c r="EI236" s="187"/>
      <c r="EJ236" s="187"/>
      <c r="EK236" s="187"/>
      <c r="EL236" s="187"/>
      <c r="EM236" s="187"/>
      <c r="EN236" s="187"/>
      <c r="EO236" s="187"/>
    </row>
    <row r="237" spans="2:145" ht="13.9" customHeight="1" x14ac:dyDescent="0.2"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  <c r="AA237" s="187"/>
      <c r="AB237" s="187"/>
      <c r="AC237" s="187"/>
      <c r="AD237" s="187"/>
      <c r="AE237" s="187"/>
      <c r="AF237" s="187"/>
      <c r="AG237" s="187"/>
      <c r="AH237" s="187"/>
      <c r="AI237" s="187"/>
      <c r="AJ237" s="187"/>
      <c r="AK237" s="187"/>
      <c r="AL237" s="187"/>
      <c r="AM237" s="187"/>
      <c r="AN237" s="187"/>
      <c r="AO237" s="187"/>
      <c r="AP237" s="187"/>
      <c r="AQ237" s="187"/>
      <c r="AR237" s="187"/>
      <c r="AS237" s="187"/>
      <c r="AT237" s="187"/>
      <c r="AU237" s="187"/>
      <c r="AV237" s="187"/>
      <c r="AW237" s="187"/>
      <c r="AX237" s="187"/>
      <c r="AY237" s="187"/>
      <c r="AZ237" s="187"/>
      <c r="BA237" s="187"/>
      <c r="BB237" s="187"/>
      <c r="BC237" s="187"/>
      <c r="BD237" s="187"/>
      <c r="BE237" s="187"/>
      <c r="BF237" s="187"/>
      <c r="BG237" s="187"/>
      <c r="BH237" s="187"/>
      <c r="BI237" s="187"/>
      <c r="BJ237" s="187"/>
      <c r="BK237" s="187"/>
      <c r="BL237" s="187"/>
      <c r="BM237" s="187"/>
      <c r="BN237" s="187"/>
      <c r="BO237" s="187"/>
      <c r="BP237" s="187"/>
      <c r="BQ237" s="187"/>
      <c r="BR237" s="187"/>
      <c r="BS237" s="187"/>
      <c r="BT237" s="187"/>
      <c r="BU237" s="187"/>
      <c r="BV237" s="187"/>
      <c r="BW237" s="187"/>
      <c r="BX237" s="187"/>
      <c r="BY237" s="187"/>
      <c r="BZ237" s="187"/>
      <c r="CA237" s="187"/>
      <c r="CB237" s="187"/>
      <c r="CC237" s="187"/>
      <c r="CD237" s="187"/>
      <c r="CE237" s="187"/>
      <c r="CF237" s="187"/>
      <c r="CG237" s="187"/>
      <c r="CH237" s="187"/>
      <c r="CI237" s="187"/>
      <c r="CJ237" s="187"/>
      <c r="CK237" s="187"/>
      <c r="CL237" s="187"/>
      <c r="CM237" s="187"/>
      <c r="CN237" s="187"/>
      <c r="CO237" s="187"/>
      <c r="CP237" s="187"/>
      <c r="CQ237" s="187"/>
      <c r="CR237" s="187"/>
      <c r="CS237" s="187"/>
      <c r="CT237" s="187"/>
      <c r="CU237" s="187"/>
      <c r="CV237" s="187"/>
      <c r="CW237" s="187"/>
      <c r="CX237" s="187"/>
      <c r="CY237" s="187"/>
      <c r="CZ237" s="187"/>
      <c r="DA237" s="187"/>
      <c r="DB237" s="187"/>
      <c r="DC237" s="187"/>
      <c r="DD237" s="187"/>
      <c r="DE237" s="187"/>
      <c r="DF237" s="187"/>
      <c r="DG237" s="187"/>
      <c r="DH237" s="187"/>
      <c r="DI237" s="187"/>
      <c r="DJ237" s="187"/>
      <c r="DK237" s="187"/>
      <c r="DL237" s="187"/>
      <c r="DM237" s="187"/>
      <c r="DN237" s="187"/>
      <c r="DO237" s="187"/>
      <c r="DP237" s="187"/>
      <c r="DQ237" s="187"/>
      <c r="DR237" s="187"/>
      <c r="DS237" s="187"/>
      <c r="DT237" s="187"/>
      <c r="DU237" s="187"/>
      <c r="DV237" s="187"/>
      <c r="DW237" s="187"/>
      <c r="DX237" s="187"/>
      <c r="DY237" s="187"/>
      <c r="DZ237" s="187"/>
      <c r="EA237" s="187"/>
      <c r="EB237" s="187"/>
      <c r="EC237" s="187"/>
      <c r="ED237" s="187"/>
      <c r="EE237" s="187"/>
      <c r="EF237" s="187"/>
      <c r="EG237" s="187"/>
      <c r="EH237" s="187"/>
      <c r="EI237" s="187"/>
      <c r="EJ237" s="187"/>
      <c r="EK237" s="187"/>
      <c r="EL237" s="187"/>
      <c r="EM237" s="187"/>
      <c r="EN237" s="187"/>
      <c r="EO237" s="187"/>
    </row>
    <row r="238" spans="2:145" ht="13.9" customHeight="1" x14ac:dyDescent="0.2"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  <c r="AA238" s="187"/>
      <c r="AB238" s="187"/>
      <c r="AC238" s="187"/>
      <c r="AD238" s="187"/>
      <c r="AE238" s="187"/>
      <c r="AF238" s="187"/>
      <c r="AG238" s="187"/>
      <c r="AH238" s="187"/>
      <c r="AI238" s="187"/>
      <c r="AJ238" s="187"/>
      <c r="AK238" s="187"/>
      <c r="AL238" s="187"/>
      <c r="AM238" s="187"/>
      <c r="AN238" s="187"/>
      <c r="AO238" s="187"/>
      <c r="AP238" s="187"/>
      <c r="AQ238" s="187"/>
      <c r="AR238" s="187"/>
      <c r="AS238" s="187"/>
      <c r="AT238" s="187"/>
      <c r="AU238" s="187"/>
      <c r="AV238" s="187"/>
      <c r="AW238" s="187"/>
      <c r="AX238" s="187"/>
      <c r="AY238" s="187"/>
      <c r="AZ238" s="187"/>
      <c r="BA238" s="187"/>
      <c r="BB238" s="187"/>
      <c r="BC238" s="187"/>
      <c r="BD238" s="187"/>
      <c r="BE238" s="187"/>
      <c r="BF238" s="187"/>
      <c r="BG238" s="187"/>
      <c r="BH238" s="187"/>
      <c r="BI238" s="187"/>
      <c r="BJ238" s="187"/>
      <c r="BK238" s="187"/>
      <c r="BL238" s="187"/>
      <c r="BM238" s="187"/>
      <c r="BN238" s="187"/>
      <c r="BO238" s="187"/>
      <c r="BP238" s="187"/>
      <c r="BQ238" s="187"/>
      <c r="BR238" s="187"/>
      <c r="BS238" s="187"/>
      <c r="BT238" s="187"/>
      <c r="BU238" s="187"/>
      <c r="BV238" s="187"/>
      <c r="BW238" s="187"/>
      <c r="BX238" s="187"/>
      <c r="BY238" s="187"/>
      <c r="BZ238" s="187"/>
      <c r="CA238" s="187"/>
      <c r="CB238" s="187"/>
      <c r="CC238" s="187"/>
      <c r="CD238" s="187"/>
      <c r="CE238" s="187"/>
      <c r="CF238" s="187"/>
      <c r="CG238" s="187"/>
      <c r="CH238" s="187"/>
      <c r="CI238" s="187"/>
      <c r="CJ238" s="187"/>
      <c r="CK238" s="187"/>
      <c r="CL238" s="187"/>
      <c r="CM238" s="187"/>
      <c r="CN238" s="187"/>
      <c r="CO238" s="187"/>
      <c r="CP238" s="187"/>
      <c r="CQ238" s="187"/>
      <c r="CR238" s="187"/>
      <c r="CS238" s="187"/>
      <c r="CT238" s="187"/>
      <c r="CU238" s="187"/>
      <c r="CV238" s="187"/>
      <c r="CW238" s="187"/>
      <c r="CX238" s="187"/>
      <c r="CY238" s="187"/>
      <c r="CZ238" s="187"/>
      <c r="DA238" s="187"/>
      <c r="DB238" s="187"/>
      <c r="DC238" s="187"/>
      <c r="DD238" s="187"/>
      <c r="DE238" s="187"/>
      <c r="DF238" s="187"/>
      <c r="DG238" s="187"/>
      <c r="DH238" s="187"/>
      <c r="DI238" s="187"/>
      <c r="DJ238" s="187"/>
      <c r="DK238" s="187"/>
      <c r="DL238" s="187"/>
      <c r="DM238" s="187"/>
      <c r="DN238" s="187"/>
      <c r="DO238" s="187"/>
      <c r="DP238" s="187"/>
      <c r="DQ238" s="187"/>
      <c r="DR238" s="187"/>
      <c r="DS238" s="187"/>
      <c r="DT238" s="187"/>
      <c r="DU238" s="187"/>
      <c r="DV238" s="187"/>
      <c r="DW238" s="187"/>
      <c r="DX238" s="187"/>
      <c r="DY238" s="187"/>
      <c r="DZ238" s="187"/>
      <c r="EA238" s="187"/>
      <c r="EB238" s="187"/>
      <c r="EC238" s="187"/>
      <c r="ED238" s="187"/>
      <c r="EE238" s="187"/>
      <c r="EF238" s="187"/>
      <c r="EG238" s="187"/>
      <c r="EH238" s="187"/>
      <c r="EI238" s="187"/>
      <c r="EJ238" s="187"/>
      <c r="EK238" s="187"/>
      <c r="EL238" s="187"/>
      <c r="EM238" s="187"/>
      <c r="EN238" s="187"/>
      <c r="EO238" s="187"/>
    </row>
    <row r="239" spans="2:145" ht="13.9" customHeight="1" x14ac:dyDescent="0.2"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  <c r="AA239" s="187"/>
      <c r="AB239" s="187"/>
      <c r="AC239" s="187"/>
      <c r="AD239" s="187"/>
      <c r="AE239" s="187"/>
      <c r="AF239" s="187"/>
      <c r="AG239" s="187"/>
      <c r="AH239" s="187"/>
      <c r="AI239" s="187"/>
      <c r="AJ239" s="187"/>
      <c r="AK239" s="187"/>
      <c r="AL239" s="187"/>
      <c r="AM239" s="187"/>
      <c r="AN239" s="187"/>
      <c r="AO239" s="187"/>
      <c r="AP239" s="187"/>
      <c r="AQ239" s="187"/>
      <c r="AR239" s="187"/>
      <c r="AS239" s="187"/>
      <c r="AT239" s="187"/>
      <c r="AU239" s="187"/>
      <c r="AV239" s="187"/>
      <c r="AW239" s="187"/>
      <c r="AX239" s="187"/>
      <c r="AY239" s="187"/>
      <c r="AZ239" s="187"/>
      <c r="BA239" s="187"/>
      <c r="BB239" s="187"/>
      <c r="BC239" s="187"/>
      <c r="BD239" s="187"/>
      <c r="BE239" s="187"/>
      <c r="BF239" s="187"/>
      <c r="BG239" s="187"/>
      <c r="BH239" s="187"/>
      <c r="BI239" s="187"/>
      <c r="BJ239" s="187"/>
      <c r="BK239" s="187"/>
      <c r="BL239" s="187"/>
      <c r="BM239" s="187"/>
      <c r="BN239" s="187"/>
      <c r="BO239" s="187"/>
      <c r="BP239" s="187"/>
      <c r="BQ239" s="187"/>
      <c r="BR239" s="187"/>
      <c r="BS239" s="187"/>
      <c r="BT239" s="187"/>
      <c r="BU239" s="187"/>
      <c r="BV239" s="187"/>
      <c r="BW239" s="187"/>
      <c r="BX239" s="187"/>
      <c r="BY239" s="187"/>
      <c r="BZ239" s="187"/>
      <c r="CA239" s="187"/>
      <c r="CB239" s="187"/>
      <c r="CC239" s="187"/>
      <c r="CD239" s="187"/>
      <c r="CE239" s="187"/>
      <c r="CF239" s="187"/>
      <c r="CG239" s="187"/>
      <c r="CH239" s="187"/>
      <c r="CI239" s="187"/>
      <c r="CJ239" s="187"/>
      <c r="CK239" s="187"/>
      <c r="CL239" s="187"/>
      <c r="CM239" s="187"/>
      <c r="CN239" s="187"/>
      <c r="CO239" s="187"/>
      <c r="CP239" s="187"/>
      <c r="CQ239" s="187"/>
      <c r="CR239" s="187"/>
      <c r="CS239" s="187"/>
      <c r="CT239" s="187"/>
      <c r="CU239" s="187"/>
      <c r="CV239" s="187"/>
      <c r="CW239" s="187"/>
      <c r="CX239" s="187"/>
      <c r="CY239" s="187"/>
      <c r="CZ239" s="187"/>
      <c r="DA239" s="187"/>
      <c r="DB239" s="187"/>
      <c r="DC239" s="187"/>
      <c r="DD239" s="187"/>
      <c r="DE239" s="187"/>
      <c r="DF239" s="187"/>
      <c r="DG239" s="187"/>
      <c r="DH239" s="187"/>
      <c r="DI239" s="187"/>
      <c r="DJ239" s="187"/>
      <c r="DK239" s="187"/>
      <c r="DL239" s="187"/>
      <c r="DM239" s="187"/>
      <c r="DN239" s="187"/>
      <c r="DO239" s="187"/>
      <c r="DP239" s="187"/>
      <c r="DQ239" s="187"/>
      <c r="DR239" s="187"/>
      <c r="DS239" s="187"/>
      <c r="DT239" s="187"/>
      <c r="DU239" s="187"/>
      <c r="DV239" s="187"/>
      <c r="DW239" s="187"/>
      <c r="DX239" s="187"/>
      <c r="DY239" s="187"/>
      <c r="DZ239" s="187"/>
      <c r="EA239" s="187"/>
      <c r="EB239" s="187"/>
      <c r="EC239" s="187"/>
      <c r="ED239" s="187"/>
      <c r="EE239" s="187"/>
      <c r="EF239" s="187"/>
      <c r="EG239" s="187"/>
      <c r="EH239" s="187"/>
      <c r="EI239" s="187"/>
      <c r="EJ239" s="187"/>
      <c r="EK239" s="187"/>
      <c r="EL239" s="187"/>
      <c r="EM239" s="187"/>
      <c r="EN239" s="187"/>
      <c r="EO239" s="187"/>
    </row>
    <row r="240" spans="2:145" ht="13.9" customHeight="1" x14ac:dyDescent="0.2"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  <c r="AA240" s="187"/>
      <c r="AB240" s="187"/>
      <c r="AC240" s="187"/>
      <c r="AD240" s="187"/>
      <c r="AE240" s="187"/>
      <c r="AF240" s="187"/>
      <c r="AG240" s="187"/>
      <c r="AH240" s="187"/>
      <c r="AI240" s="187"/>
      <c r="AJ240" s="187"/>
      <c r="AK240" s="187"/>
      <c r="AL240" s="187"/>
      <c r="AM240" s="187"/>
      <c r="AN240" s="187"/>
      <c r="AO240" s="187"/>
      <c r="AP240" s="187"/>
      <c r="AQ240" s="187"/>
      <c r="AR240" s="187"/>
      <c r="AS240" s="187"/>
      <c r="AT240" s="187"/>
      <c r="AU240" s="187"/>
      <c r="AV240" s="187"/>
      <c r="AW240" s="187"/>
      <c r="AX240" s="187"/>
      <c r="AY240" s="187"/>
      <c r="AZ240" s="187"/>
      <c r="BA240" s="187"/>
      <c r="BB240" s="187"/>
      <c r="BC240" s="187"/>
      <c r="BD240" s="187"/>
      <c r="BE240" s="187"/>
      <c r="BF240" s="187"/>
      <c r="BG240" s="187"/>
      <c r="BH240" s="187"/>
      <c r="BI240" s="187"/>
      <c r="BJ240" s="187"/>
      <c r="BK240" s="187"/>
      <c r="BL240" s="187"/>
      <c r="BM240" s="187"/>
      <c r="BN240" s="187"/>
      <c r="BO240" s="187"/>
      <c r="BP240" s="187"/>
      <c r="BQ240" s="187"/>
      <c r="BR240" s="187"/>
      <c r="BS240" s="187"/>
      <c r="BT240" s="187"/>
      <c r="BU240" s="187"/>
      <c r="BV240" s="187"/>
      <c r="BW240" s="187"/>
      <c r="BX240" s="187"/>
      <c r="BY240" s="187"/>
      <c r="BZ240" s="187"/>
      <c r="CA240" s="187"/>
      <c r="CB240" s="187"/>
      <c r="CC240" s="187"/>
      <c r="CD240" s="187"/>
      <c r="CE240" s="187"/>
      <c r="CF240" s="187"/>
      <c r="CG240" s="187"/>
      <c r="CH240" s="187"/>
      <c r="CI240" s="187"/>
      <c r="CJ240" s="187"/>
      <c r="CK240" s="187"/>
      <c r="CL240" s="187"/>
      <c r="CM240" s="187"/>
      <c r="CN240" s="187"/>
      <c r="CO240" s="187"/>
      <c r="CP240" s="187"/>
      <c r="CQ240" s="187"/>
      <c r="CR240" s="187"/>
      <c r="CS240" s="187"/>
      <c r="CT240" s="187"/>
      <c r="CU240" s="187"/>
      <c r="CV240" s="187"/>
      <c r="CW240" s="187"/>
      <c r="CX240" s="187"/>
      <c r="CY240" s="187"/>
      <c r="CZ240" s="187"/>
      <c r="DA240" s="187"/>
      <c r="DB240" s="187"/>
      <c r="DC240" s="187"/>
      <c r="DD240" s="187"/>
      <c r="DE240" s="187"/>
      <c r="DF240" s="187"/>
      <c r="DG240" s="187"/>
      <c r="DH240" s="187"/>
      <c r="DI240" s="187"/>
      <c r="DJ240" s="187"/>
      <c r="DK240" s="187"/>
      <c r="DL240" s="187"/>
      <c r="DM240" s="187"/>
      <c r="DN240" s="187"/>
      <c r="DO240" s="187"/>
      <c r="DP240" s="187"/>
      <c r="DQ240" s="187"/>
      <c r="DR240" s="187"/>
      <c r="DS240" s="187"/>
      <c r="DT240" s="187"/>
      <c r="DU240" s="187"/>
      <c r="DV240" s="187"/>
      <c r="DW240" s="187"/>
      <c r="DX240" s="187"/>
      <c r="DY240" s="187"/>
      <c r="DZ240" s="187"/>
      <c r="EA240" s="187"/>
      <c r="EB240" s="187"/>
      <c r="EC240" s="187"/>
      <c r="ED240" s="187"/>
      <c r="EE240" s="187"/>
      <c r="EF240" s="187"/>
      <c r="EG240" s="187"/>
      <c r="EH240" s="187"/>
      <c r="EI240" s="187"/>
      <c r="EJ240" s="187"/>
      <c r="EK240" s="187"/>
      <c r="EL240" s="187"/>
      <c r="EM240" s="187"/>
      <c r="EN240" s="187"/>
      <c r="EO240" s="187"/>
    </row>
    <row r="241" spans="2:145" ht="13.9" customHeight="1" x14ac:dyDescent="0.2"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  <c r="AA241" s="187"/>
      <c r="AB241" s="187"/>
      <c r="AC241" s="187"/>
      <c r="AD241" s="187"/>
      <c r="AE241" s="187"/>
      <c r="AF241" s="187"/>
      <c r="AG241" s="187"/>
      <c r="AH241" s="187"/>
      <c r="AI241" s="187"/>
      <c r="AJ241" s="187"/>
      <c r="AK241" s="187"/>
      <c r="AL241" s="187"/>
      <c r="AM241" s="187"/>
      <c r="AN241" s="187"/>
      <c r="AO241" s="187"/>
      <c r="AP241" s="187"/>
      <c r="AQ241" s="187"/>
      <c r="AR241" s="187"/>
      <c r="AS241" s="187"/>
      <c r="AT241" s="187"/>
      <c r="AU241" s="187"/>
      <c r="AV241" s="187"/>
      <c r="AW241" s="187"/>
      <c r="AX241" s="187"/>
      <c r="AY241" s="187"/>
      <c r="AZ241" s="187"/>
      <c r="BA241" s="187"/>
      <c r="BB241" s="187"/>
      <c r="BC241" s="187"/>
      <c r="BD241" s="187"/>
      <c r="BE241" s="187"/>
      <c r="BF241" s="187"/>
      <c r="BG241" s="187"/>
      <c r="BH241" s="187"/>
      <c r="BI241" s="187"/>
      <c r="BJ241" s="187"/>
      <c r="BK241" s="187"/>
      <c r="BL241" s="187"/>
      <c r="BM241" s="187"/>
      <c r="BN241" s="187"/>
      <c r="BO241" s="187"/>
      <c r="BP241" s="187"/>
      <c r="BQ241" s="187"/>
      <c r="BR241" s="187"/>
      <c r="BS241" s="187"/>
      <c r="BT241" s="187"/>
      <c r="BU241" s="187"/>
      <c r="BV241" s="187"/>
      <c r="BW241" s="187"/>
      <c r="BX241" s="187"/>
      <c r="BY241" s="187"/>
      <c r="BZ241" s="187"/>
      <c r="CA241" s="187"/>
      <c r="CB241" s="187"/>
      <c r="CC241" s="187"/>
      <c r="CD241" s="187"/>
      <c r="CE241" s="187"/>
      <c r="CF241" s="187"/>
      <c r="CG241" s="187"/>
      <c r="CH241" s="187"/>
      <c r="CI241" s="187"/>
      <c r="CJ241" s="187"/>
      <c r="CK241" s="187"/>
      <c r="CL241" s="187"/>
      <c r="CM241" s="187"/>
      <c r="CN241" s="187"/>
      <c r="CO241" s="187"/>
      <c r="CP241" s="187"/>
      <c r="CQ241" s="187"/>
      <c r="CR241" s="187"/>
      <c r="CS241" s="187"/>
      <c r="CT241" s="187"/>
      <c r="CU241" s="187"/>
      <c r="CV241" s="187"/>
      <c r="CW241" s="187"/>
      <c r="CX241" s="187"/>
      <c r="CY241" s="187"/>
      <c r="CZ241" s="187"/>
      <c r="DA241" s="187"/>
      <c r="DB241" s="187"/>
      <c r="DC241" s="187"/>
      <c r="DD241" s="187"/>
      <c r="DE241" s="187"/>
      <c r="DF241" s="187"/>
      <c r="DG241" s="187"/>
      <c r="DH241" s="187"/>
      <c r="DI241" s="187"/>
      <c r="DJ241" s="187"/>
      <c r="DK241" s="187"/>
      <c r="DL241" s="187"/>
      <c r="DM241" s="187"/>
      <c r="DN241" s="187"/>
      <c r="DO241" s="187"/>
      <c r="DP241" s="187"/>
      <c r="DQ241" s="187"/>
      <c r="DR241" s="187"/>
      <c r="DS241" s="187"/>
      <c r="DT241" s="187"/>
      <c r="DU241" s="187"/>
      <c r="DV241" s="187"/>
      <c r="DW241" s="187"/>
      <c r="DX241" s="187"/>
      <c r="DY241" s="187"/>
      <c r="DZ241" s="187"/>
      <c r="EA241" s="187"/>
      <c r="EB241" s="187"/>
      <c r="EC241" s="187"/>
      <c r="ED241" s="187"/>
      <c r="EE241" s="187"/>
      <c r="EF241" s="187"/>
      <c r="EG241" s="187"/>
      <c r="EH241" s="187"/>
      <c r="EI241" s="187"/>
      <c r="EJ241" s="187"/>
      <c r="EK241" s="187"/>
      <c r="EL241" s="187"/>
      <c r="EM241" s="187"/>
      <c r="EN241" s="187"/>
      <c r="EO241" s="187"/>
    </row>
    <row r="242" spans="2:145" ht="13.9" customHeight="1" x14ac:dyDescent="0.2"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  <c r="AA242" s="187"/>
      <c r="AB242" s="187"/>
      <c r="AC242" s="187"/>
      <c r="AD242" s="187"/>
      <c r="AE242" s="187"/>
      <c r="AF242" s="187"/>
      <c r="AG242" s="187"/>
      <c r="AH242" s="187"/>
      <c r="AI242" s="187"/>
      <c r="AJ242" s="187"/>
      <c r="AK242" s="187"/>
      <c r="AL242" s="187"/>
      <c r="AM242" s="187"/>
      <c r="AN242" s="187"/>
      <c r="AO242" s="187"/>
      <c r="AP242" s="187"/>
      <c r="AQ242" s="187"/>
      <c r="AR242" s="187"/>
      <c r="AS242" s="187"/>
      <c r="AT242" s="187"/>
      <c r="AU242" s="187"/>
      <c r="AV242" s="187"/>
      <c r="AW242" s="187"/>
      <c r="AX242" s="187"/>
      <c r="AY242" s="187"/>
      <c r="AZ242" s="187"/>
      <c r="BA242" s="187"/>
      <c r="BB242" s="187"/>
      <c r="BC242" s="187"/>
      <c r="BD242" s="187"/>
      <c r="BE242" s="187"/>
      <c r="BF242" s="187"/>
      <c r="BG242" s="187"/>
      <c r="BH242" s="187"/>
      <c r="BI242" s="187"/>
      <c r="BJ242" s="187"/>
      <c r="BK242" s="187"/>
      <c r="BL242" s="187"/>
      <c r="BM242" s="187"/>
      <c r="BN242" s="187"/>
      <c r="BO242" s="187"/>
      <c r="BP242" s="187"/>
      <c r="BQ242" s="187"/>
      <c r="BR242" s="187"/>
      <c r="BS242" s="187"/>
      <c r="BT242" s="187"/>
      <c r="BU242" s="187"/>
      <c r="BV242" s="187"/>
      <c r="BW242" s="187"/>
      <c r="BX242" s="187"/>
      <c r="BY242" s="187"/>
      <c r="BZ242" s="187"/>
      <c r="CA242" s="187"/>
      <c r="CB242" s="187"/>
      <c r="CC242" s="187"/>
      <c r="CD242" s="187"/>
      <c r="CE242" s="187"/>
      <c r="CF242" s="187"/>
      <c r="CG242" s="187"/>
      <c r="CH242" s="187"/>
      <c r="CI242" s="187"/>
      <c r="CJ242" s="187"/>
      <c r="CK242" s="187"/>
      <c r="CL242" s="187"/>
      <c r="CM242" s="187"/>
      <c r="CN242" s="187"/>
      <c r="CO242" s="187"/>
      <c r="CP242" s="187"/>
      <c r="CQ242" s="187"/>
      <c r="CR242" s="187"/>
      <c r="CS242" s="187"/>
      <c r="CT242" s="187"/>
      <c r="CU242" s="187"/>
      <c r="CV242" s="187"/>
      <c r="CW242" s="187"/>
      <c r="CX242" s="187"/>
      <c r="CY242" s="187"/>
      <c r="CZ242" s="187"/>
      <c r="DA242" s="187"/>
      <c r="DB242" s="187"/>
      <c r="DC242" s="187"/>
      <c r="DD242" s="187"/>
      <c r="DE242" s="187"/>
      <c r="DF242" s="187"/>
      <c r="DG242" s="187"/>
      <c r="DH242" s="187"/>
      <c r="DI242" s="187"/>
      <c r="DJ242" s="187"/>
      <c r="DK242" s="187"/>
      <c r="DL242" s="187"/>
      <c r="DM242" s="187"/>
      <c r="DN242" s="187"/>
      <c r="DO242" s="187"/>
      <c r="DP242" s="187"/>
      <c r="DQ242" s="187"/>
      <c r="DR242" s="187"/>
      <c r="DS242" s="187"/>
      <c r="DT242" s="187"/>
      <c r="DU242" s="187"/>
      <c r="DV242" s="187"/>
      <c r="DW242" s="187"/>
      <c r="DX242" s="187"/>
      <c r="DY242" s="187"/>
      <c r="DZ242" s="187"/>
      <c r="EA242" s="187"/>
      <c r="EB242" s="187"/>
      <c r="EC242" s="187"/>
      <c r="ED242" s="187"/>
      <c r="EE242" s="187"/>
      <c r="EF242" s="187"/>
      <c r="EG242" s="187"/>
      <c r="EH242" s="187"/>
      <c r="EI242" s="187"/>
      <c r="EJ242" s="187"/>
      <c r="EK242" s="187"/>
      <c r="EL242" s="187"/>
      <c r="EM242" s="187"/>
      <c r="EN242" s="187"/>
      <c r="EO242" s="187"/>
    </row>
    <row r="243" spans="2:145" ht="13.9" customHeight="1" x14ac:dyDescent="0.2"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  <c r="AA243" s="187"/>
      <c r="AB243" s="187"/>
      <c r="AC243" s="187"/>
      <c r="AD243" s="187"/>
      <c r="AE243" s="187"/>
      <c r="AF243" s="187"/>
      <c r="AG243" s="187"/>
      <c r="AH243" s="187"/>
      <c r="AI243" s="187"/>
      <c r="AJ243" s="187"/>
      <c r="AK243" s="187"/>
      <c r="AL243" s="187"/>
      <c r="AM243" s="187"/>
      <c r="AN243" s="187"/>
      <c r="AO243" s="187"/>
      <c r="AP243" s="187"/>
      <c r="AQ243" s="187"/>
      <c r="AR243" s="187"/>
      <c r="AS243" s="187"/>
      <c r="AT243" s="187"/>
      <c r="AU243" s="187"/>
      <c r="AV243" s="187"/>
      <c r="AW243" s="187"/>
      <c r="AX243" s="187"/>
      <c r="AY243" s="187"/>
      <c r="AZ243" s="187"/>
      <c r="BA243" s="187"/>
      <c r="BB243" s="187"/>
      <c r="BC243" s="187"/>
      <c r="BD243" s="187"/>
      <c r="BE243" s="187"/>
      <c r="BF243" s="187"/>
      <c r="BG243" s="187"/>
      <c r="BH243" s="187"/>
      <c r="BI243" s="187"/>
      <c r="BJ243" s="187"/>
      <c r="BK243" s="187"/>
      <c r="BL243" s="187"/>
      <c r="BM243" s="187"/>
      <c r="BN243" s="187"/>
      <c r="BO243" s="187"/>
      <c r="BP243" s="187"/>
      <c r="BQ243" s="187"/>
      <c r="BR243" s="187"/>
      <c r="BS243" s="187"/>
      <c r="BT243" s="187"/>
      <c r="BU243" s="187"/>
      <c r="BV243" s="187"/>
      <c r="BW243" s="187"/>
      <c r="BX243" s="187"/>
      <c r="BY243" s="187"/>
      <c r="BZ243" s="187"/>
      <c r="CA243" s="187"/>
      <c r="CB243" s="187"/>
      <c r="CC243" s="187"/>
      <c r="CD243" s="187"/>
      <c r="CE243" s="187"/>
      <c r="CF243" s="187"/>
      <c r="CG243" s="187"/>
      <c r="CH243" s="187"/>
      <c r="CI243" s="187"/>
      <c r="CJ243" s="187"/>
      <c r="CK243" s="187"/>
      <c r="CL243" s="187"/>
      <c r="CM243" s="187"/>
      <c r="CN243" s="187"/>
      <c r="CO243" s="187"/>
      <c r="CP243" s="187"/>
      <c r="CQ243" s="187"/>
      <c r="CR243" s="187"/>
      <c r="CS243" s="187"/>
      <c r="CT243" s="187"/>
      <c r="CU243" s="187"/>
      <c r="CV243" s="187"/>
      <c r="CW243" s="187"/>
      <c r="CX243" s="187"/>
      <c r="CY243" s="187"/>
      <c r="CZ243" s="187"/>
      <c r="DA243" s="187"/>
      <c r="DB243" s="187"/>
      <c r="DC243" s="187"/>
      <c r="DD243" s="187"/>
      <c r="DE243" s="187"/>
      <c r="DF243" s="187"/>
      <c r="DG243" s="187"/>
      <c r="DH243" s="187"/>
      <c r="DI243" s="187"/>
      <c r="DJ243" s="187"/>
      <c r="DK243" s="187"/>
      <c r="DL243" s="187"/>
      <c r="DM243" s="187"/>
      <c r="DN243" s="187"/>
      <c r="DO243" s="187"/>
      <c r="DP243" s="187"/>
      <c r="DQ243" s="187"/>
      <c r="DR243" s="187"/>
      <c r="DS243" s="187"/>
      <c r="DT243" s="187"/>
      <c r="DU243" s="187"/>
      <c r="DV243" s="187"/>
      <c r="DW243" s="187"/>
      <c r="DX243" s="187"/>
      <c r="DY243" s="187"/>
      <c r="DZ243" s="187"/>
      <c r="EA243" s="187"/>
      <c r="EB243" s="187"/>
      <c r="EC243" s="187"/>
      <c r="ED243" s="187"/>
      <c r="EE243" s="187"/>
      <c r="EF243" s="187"/>
      <c r="EG243" s="187"/>
      <c r="EH243" s="187"/>
      <c r="EI243" s="187"/>
      <c r="EJ243" s="187"/>
      <c r="EK243" s="187"/>
      <c r="EL243" s="187"/>
      <c r="EM243" s="187"/>
      <c r="EN243" s="187"/>
      <c r="EO243" s="187"/>
    </row>
    <row r="244" spans="2:145" ht="13.9" customHeight="1" x14ac:dyDescent="0.2"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  <c r="AA244" s="187"/>
      <c r="AB244" s="187"/>
      <c r="AC244" s="187"/>
      <c r="AD244" s="187"/>
      <c r="AE244" s="187"/>
      <c r="AF244" s="187"/>
      <c r="AG244" s="187"/>
      <c r="AH244" s="187"/>
      <c r="AI244" s="187"/>
      <c r="AJ244" s="187"/>
      <c r="AK244" s="187"/>
      <c r="AL244" s="187"/>
      <c r="AM244" s="187"/>
      <c r="AN244" s="187"/>
      <c r="AO244" s="187"/>
      <c r="AP244" s="187"/>
      <c r="AQ244" s="187"/>
      <c r="AR244" s="187"/>
      <c r="AS244" s="187"/>
      <c r="AT244" s="187"/>
      <c r="AU244" s="187"/>
      <c r="AV244" s="187"/>
      <c r="AW244" s="187"/>
      <c r="AX244" s="187"/>
      <c r="AY244" s="187"/>
      <c r="AZ244" s="187"/>
      <c r="BA244" s="187"/>
      <c r="BB244" s="187"/>
      <c r="BC244" s="187"/>
      <c r="BD244" s="187"/>
      <c r="BE244" s="187"/>
      <c r="BF244" s="187"/>
      <c r="BG244" s="187"/>
      <c r="BH244" s="187"/>
      <c r="BI244" s="187"/>
      <c r="BJ244" s="187"/>
      <c r="BK244" s="187"/>
      <c r="BL244" s="187"/>
      <c r="BM244" s="187"/>
      <c r="BN244" s="187"/>
      <c r="BO244" s="187"/>
      <c r="BP244" s="187"/>
      <c r="BQ244" s="187"/>
      <c r="BR244" s="187"/>
      <c r="BS244" s="187"/>
      <c r="BT244" s="187"/>
      <c r="BU244" s="187"/>
      <c r="BV244" s="187"/>
      <c r="BW244" s="187"/>
      <c r="BX244" s="187"/>
      <c r="BY244" s="187"/>
      <c r="BZ244" s="187"/>
      <c r="CA244" s="187"/>
      <c r="CB244" s="187"/>
      <c r="CC244" s="187"/>
      <c r="CD244" s="187"/>
      <c r="CE244" s="187"/>
      <c r="CF244" s="187"/>
      <c r="CG244" s="187"/>
      <c r="CH244" s="187"/>
      <c r="CI244" s="187"/>
      <c r="CJ244" s="187"/>
      <c r="CK244" s="187"/>
      <c r="CL244" s="187"/>
      <c r="CM244" s="187"/>
      <c r="CN244" s="187"/>
      <c r="CO244" s="187"/>
      <c r="CP244" s="187"/>
      <c r="CQ244" s="187"/>
      <c r="CR244" s="187"/>
      <c r="CS244" s="187"/>
      <c r="CT244" s="187"/>
      <c r="CU244" s="187"/>
      <c r="CV244" s="187"/>
      <c r="CW244" s="187"/>
      <c r="CX244" s="187"/>
      <c r="CY244" s="187"/>
      <c r="CZ244" s="187"/>
      <c r="DA244" s="187"/>
      <c r="DB244" s="187"/>
      <c r="DC244" s="187"/>
      <c r="DD244" s="187"/>
      <c r="DE244" s="187"/>
      <c r="DF244" s="187"/>
      <c r="DG244" s="187"/>
      <c r="DH244" s="187"/>
      <c r="DI244" s="187"/>
      <c r="DJ244" s="187"/>
      <c r="DK244" s="187"/>
      <c r="DL244" s="187"/>
      <c r="DM244" s="187"/>
      <c r="DN244" s="187"/>
      <c r="DO244" s="187"/>
      <c r="DP244" s="187"/>
      <c r="DQ244" s="187"/>
      <c r="DR244" s="187"/>
      <c r="DS244" s="187"/>
      <c r="DT244" s="187"/>
      <c r="DU244" s="187"/>
      <c r="DV244" s="187"/>
      <c r="DW244" s="187"/>
      <c r="DX244" s="187"/>
      <c r="DY244" s="187"/>
      <c r="DZ244" s="187"/>
      <c r="EA244" s="187"/>
      <c r="EB244" s="187"/>
      <c r="EC244" s="187"/>
      <c r="ED244" s="187"/>
      <c r="EE244" s="187"/>
      <c r="EF244" s="187"/>
      <c r="EG244" s="187"/>
      <c r="EH244" s="187"/>
      <c r="EI244" s="187"/>
      <c r="EJ244" s="187"/>
      <c r="EK244" s="187"/>
      <c r="EL244" s="187"/>
      <c r="EM244" s="187"/>
      <c r="EN244" s="187"/>
      <c r="EO244" s="187"/>
    </row>
    <row r="245" spans="2:145" ht="13.9" customHeight="1" x14ac:dyDescent="0.2"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  <c r="AA245" s="187"/>
      <c r="AB245" s="187"/>
      <c r="AC245" s="187"/>
      <c r="AD245" s="187"/>
      <c r="AE245" s="187"/>
      <c r="AF245" s="187"/>
      <c r="AG245" s="187"/>
      <c r="AH245" s="187"/>
      <c r="AI245" s="187"/>
      <c r="AJ245" s="187"/>
      <c r="AK245" s="187"/>
      <c r="AL245" s="187"/>
      <c r="AM245" s="187"/>
      <c r="AN245" s="187"/>
      <c r="AO245" s="187"/>
      <c r="AP245" s="187"/>
      <c r="AQ245" s="187"/>
      <c r="AR245" s="187"/>
      <c r="AS245" s="187"/>
      <c r="AT245" s="187"/>
      <c r="AU245" s="187"/>
      <c r="AV245" s="187"/>
      <c r="AW245" s="187"/>
      <c r="AX245" s="187"/>
      <c r="AY245" s="187"/>
      <c r="AZ245" s="187"/>
      <c r="BA245" s="187"/>
      <c r="BB245" s="187"/>
      <c r="BC245" s="187"/>
      <c r="BD245" s="187"/>
      <c r="BE245" s="187"/>
      <c r="BF245" s="187"/>
      <c r="BG245" s="187"/>
      <c r="BH245" s="187"/>
      <c r="BI245" s="187"/>
      <c r="BJ245" s="187"/>
      <c r="BK245" s="187"/>
      <c r="BL245" s="187"/>
      <c r="BM245" s="187"/>
      <c r="BN245" s="187"/>
      <c r="BO245" s="187"/>
      <c r="BP245" s="187"/>
      <c r="BQ245" s="187"/>
      <c r="BR245" s="187"/>
      <c r="BS245" s="187"/>
      <c r="BT245" s="187"/>
      <c r="BU245" s="187"/>
      <c r="BV245" s="187"/>
      <c r="BW245" s="187"/>
      <c r="BX245" s="187"/>
      <c r="BY245" s="187"/>
      <c r="BZ245" s="187"/>
      <c r="CA245" s="187"/>
      <c r="CB245" s="187"/>
      <c r="CC245" s="187"/>
      <c r="CD245" s="187"/>
      <c r="CE245" s="187"/>
      <c r="CF245" s="187"/>
      <c r="CG245" s="187"/>
      <c r="CH245" s="187"/>
      <c r="CI245" s="187"/>
      <c r="CJ245" s="187"/>
      <c r="CK245" s="187"/>
      <c r="CL245" s="187"/>
      <c r="CM245" s="187"/>
      <c r="CN245" s="187"/>
      <c r="CO245" s="187"/>
      <c r="CP245" s="187"/>
      <c r="CQ245" s="187"/>
      <c r="CR245" s="187"/>
      <c r="CS245" s="187"/>
      <c r="CT245" s="187"/>
      <c r="CU245" s="187"/>
      <c r="CV245" s="187"/>
      <c r="CW245" s="187"/>
      <c r="CX245" s="187"/>
      <c r="CY245" s="187"/>
      <c r="CZ245" s="187"/>
      <c r="DA245" s="187"/>
      <c r="DB245" s="187"/>
      <c r="DC245" s="187"/>
      <c r="DD245" s="187"/>
      <c r="DE245" s="187"/>
      <c r="DF245" s="187"/>
      <c r="DG245" s="187"/>
      <c r="DH245" s="187"/>
      <c r="DI245" s="187"/>
      <c r="DJ245" s="187"/>
      <c r="DK245" s="187"/>
      <c r="DL245" s="187"/>
      <c r="DM245" s="187"/>
      <c r="DN245" s="187"/>
      <c r="DO245" s="187"/>
      <c r="DP245" s="187"/>
      <c r="DQ245" s="187"/>
      <c r="DR245" s="187"/>
      <c r="DS245" s="187"/>
      <c r="DT245" s="187"/>
      <c r="DU245" s="187"/>
      <c r="DV245" s="187"/>
      <c r="DW245" s="187"/>
      <c r="DX245" s="187"/>
      <c r="DY245" s="187"/>
      <c r="DZ245" s="187"/>
      <c r="EA245" s="187"/>
      <c r="EB245" s="187"/>
      <c r="EC245" s="187"/>
      <c r="ED245" s="187"/>
      <c r="EE245" s="187"/>
      <c r="EF245" s="187"/>
      <c r="EG245" s="187"/>
      <c r="EH245" s="187"/>
      <c r="EI245" s="187"/>
      <c r="EJ245" s="187"/>
      <c r="EK245" s="187"/>
      <c r="EL245" s="187"/>
      <c r="EM245" s="187"/>
      <c r="EN245" s="187"/>
      <c r="EO245" s="187"/>
    </row>
    <row r="246" spans="2:145" ht="13.9" customHeight="1" x14ac:dyDescent="0.2"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  <c r="AA246" s="187"/>
      <c r="AB246" s="187"/>
      <c r="AC246" s="187"/>
      <c r="AD246" s="187"/>
      <c r="AE246" s="187"/>
      <c r="AF246" s="187"/>
      <c r="AG246" s="187"/>
      <c r="AH246" s="187"/>
      <c r="AI246" s="187"/>
      <c r="AJ246" s="187"/>
      <c r="AK246" s="187"/>
      <c r="AL246" s="187"/>
      <c r="AM246" s="187"/>
      <c r="AN246" s="187"/>
      <c r="AO246" s="187"/>
      <c r="AP246" s="187"/>
      <c r="AQ246" s="187"/>
      <c r="AR246" s="187"/>
      <c r="AS246" s="187"/>
      <c r="AT246" s="187"/>
      <c r="AU246" s="187"/>
      <c r="AV246" s="187"/>
      <c r="AW246" s="187"/>
      <c r="AX246" s="187"/>
      <c r="AY246" s="187"/>
      <c r="AZ246" s="187"/>
      <c r="BA246" s="187"/>
      <c r="BB246" s="187"/>
      <c r="BC246" s="187"/>
      <c r="BD246" s="187"/>
      <c r="BE246" s="187"/>
      <c r="BF246" s="187"/>
      <c r="BG246" s="187"/>
      <c r="BH246" s="187"/>
      <c r="BI246" s="187"/>
      <c r="BJ246" s="187"/>
      <c r="BK246" s="187"/>
      <c r="BL246" s="187"/>
      <c r="BM246" s="187"/>
      <c r="BN246" s="187"/>
      <c r="BO246" s="187"/>
      <c r="BP246" s="187"/>
      <c r="BQ246" s="187"/>
      <c r="BR246" s="187"/>
      <c r="BS246" s="187"/>
      <c r="BT246" s="187"/>
      <c r="BU246" s="187"/>
      <c r="BV246" s="187"/>
      <c r="BW246" s="187"/>
      <c r="BX246" s="187"/>
      <c r="BY246" s="187"/>
      <c r="BZ246" s="187"/>
      <c r="CA246" s="187"/>
      <c r="CB246" s="187"/>
      <c r="CC246" s="187"/>
      <c r="CD246" s="187"/>
      <c r="CE246" s="187"/>
      <c r="CF246" s="187"/>
      <c r="CG246" s="187"/>
      <c r="CH246" s="187"/>
      <c r="CI246" s="187"/>
      <c r="CJ246" s="187"/>
      <c r="CK246" s="187"/>
      <c r="CL246" s="187"/>
      <c r="CM246" s="187"/>
      <c r="CN246" s="187"/>
      <c r="CO246" s="187"/>
      <c r="CP246" s="187"/>
      <c r="CQ246" s="187"/>
      <c r="CR246" s="187"/>
      <c r="CS246" s="187"/>
      <c r="CT246" s="187"/>
      <c r="CU246" s="187"/>
      <c r="CV246" s="187"/>
      <c r="CW246" s="187"/>
      <c r="CX246" s="187"/>
      <c r="CY246" s="187"/>
      <c r="CZ246" s="187"/>
      <c r="DA246" s="187"/>
      <c r="DB246" s="187"/>
      <c r="DC246" s="187"/>
      <c r="DD246" s="187"/>
      <c r="DE246" s="187"/>
      <c r="DF246" s="187"/>
      <c r="DG246" s="187"/>
      <c r="DH246" s="187"/>
      <c r="DI246" s="187"/>
      <c r="DJ246" s="187"/>
      <c r="DK246" s="187"/>
      <c r="DL246" s="187"/>
      <c r="DM246" s="187"/>
      <c r="DN246" s="187"/>
      <c r="DO246" s="187"/>
      <c r="DP246" s="187"/>
      <c r="DQ246" s="187"/>
      <c r="DR246" s="187"/>
      <c r="DS246" s="187"/>
      <c r="DT246" s="187"/>
      <c r="DU246" s="187"/>
      <c r="DV246" s="187"/>
      <c r="DW246" s="187"/>
      <c r="DX246" s="187"/>
      <c r="DY246" s="187"/>
      <c r="DZ246" s="187"/>
      <c r="EA246" s="187"/>
      <c r="EB246" s="187"/>
      <c r="EC246" s="187"/>
      <c r="ED246" s="187"/>
      <c r="EE246" s="187"/>
      <c r="EF246" s="187"/>
      <c r="EG246" s="187"/>
      <c r="EH246" s="187"/>
      <c r="EI246" s="187"/>
      <c r="EJ246" s="187"/>
      <c r="EK246" s="187"/>
      <c r="EL246" s="187"/>
      <c r="EM246" s="187"/>
      <c r="EN246" s="187"/>
      <c r="EO246" s="187"/>
    </row>
    <row r="247" spans="2:145" ht="13.9" customHeight="1" x14ac:dyDescent="0.2"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  <c r="AA247" s="187"/>
      <c r="AB247" s="187"/>
      <c r="AC247" s="187"/>
      <c r="AD247" s="187"/>
      <c r="AE247" s="187"/>
      <c r="AF247" s="187"/>
      <c r="AG247" s="187"/>
      <c r="AH247" s="187"/>
      <c r="AI247" s="187"/>
      <c r="AJ247" s="187"/>
      <c r="AK247" s="187"/>
      <c r="AL247" s="187"/>
      <c r="AM247" s="187"/>
      <c r="AN247" s="187"/>
      <c r="AO247" s="187"/>
      <c r="AP247" s="187"/>
      <c r="AQ247" s="187"/>
      <c r="AR247" s="187"/>
      <c r="AS247" s="187"/>
      <c r="AT247" s="187"/>
      <c r="AU247" s="187"/>
      <c r="AV247" s="187"/>
      <c r="AW247" s="187"/>
      <c r="AX247" s="187"/>
      <c r="AY247" s="187"/>
      <c r="AZ247" s="187"/>
      <c r="BA247" s="187"/>
      <c r="BB247" s="187"/>
      <c r="BC247" s="187"/>
      <c r="BD247" s="187"/>
      <c r="BE247" s="187"/>
      <c r="BF247" s="187"/>
      <c r="BG247" s="187"/>
      <c r="BH247" s="187"/>
      <c r="BI247" s="187"/>
      <c r="BJ247" s="187"/>
      <c r="BK247" s="187"/>
      <c r="BL247" s="187"/>
      <c r="BM247" s="187"/>
      <c r="BN247" s="187"/>
      <c r="BO247" s="187"/>
      <c r="BP247" s="187"/>
      <c r="BQ247" s="187"/>
      <c r="BR247" s="187"/>
      <c r="BS247" s="187"/>
      <c r="BT247" s="187"/>
      <c r="BU247" s="187"/>
      <c r="BV247" s="187"/>
      <c r="BW247" s="187"/>
      <c r="BX247" s="187"/>
      <c r="BY247" s="187"/>
      <c r="BZ247" s="187"/>
      <c r="CA247" s="187"/>
      <c r="CB247" s="187"/>
      <c r="CC247" s="187"/>
      <c r="CD247" s="187"/>
      <c r="CE247" s="187"/>
      <c r="CF247" s="187"/>
      <c r="CG247" s="187"/>
      <c r="CH247" s="187"/>
      <c r="CI247" s="187"/>
      <c r="CJ247" s="187"/>
      <c r="CK247" s="187"/>
      <c r="CL247" s="187"/>
      <c r="CM247" s="187"/>
      <c r="CN247" s="187"/>
      <c r="CO247" s="187"/>
      <c r="CP247" s="187"/>
      <c r="CQ247" s="187"/>
      <c r="CR247" s="187"/>
      <c r="CS247" s="187"/>
      <c r="CT247" s="187"/>
      <c r="CU247" s="187"/>
      <c r="CV247" s="187"/>
      <c r="CW247" s="187"/>
      <c r="CX247" s="187"/>
      <c r="CY247" s="187"/>
      <c r="CZ247" s="187"/>
      <c r="DA247" s="187"/>
      <c r="DB247" s="187"/>
      <c r="DC247" s="187"/>
      <c r="DD247" s="187"/>
      <c r="DE247" s="187"/>
      <c r="DF247" s="187"/>
      <c r="DG247" s="187"/>
      <c r="DH247" s="187"/>
      <c r="DI247" s="187"/>
      <c r="DJ247" s="187"/>
      <c r="DK247" s="187"/>
      <c r="DL247" s="187"/>
      <c r="DM247" s="187"/>
      <c r="DN247" s="187"/>
      <c r="DO247" s="187"/>
      <c r="DP247" s="187"/>
      <c r="DQ247" s="187"/>
      <c r="DR247" s="187"/>
      <c r="DS247" s="187"/>
      <c r="DT247" s="187"/>
      <c r="DU247" s="187"/>
      <c r="DV247" s="187"/>
      <c r="DW247" s="187"/>
      <c r="DX247" s="187"/>
      <c r="DY247" s="187"/>
      <c r="DZ247" s="187"/>
      <c r="EA247" s="187"/>
      <c r="EB247" s="187"/>
      <c r="EC247" s="187"/>
      <c r="ED247" s="187"/>
      <c r="EE247" s="187"/>
      <c r="EF247" s="187"/>
      <c r="EG247" s="187"/>
      <c r="EH247" s="187"/>
      <c r="EI247" s="187"/>
      <c r="EJ247" s="187"/>
      <c r="EK247" s="187"/>
      <c r="EL247" s="187"/>
      <c r="EM247" s="187"/>
      <c r="EN247" s="187"/>
      <c r="EO247" s="187"/>
    </row>
    <row r="248" spans="2:145" ht="13.9" customHeight="1" x14ac:dyDescent="0.2"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  <c r="AA248" s="187"/>
      <c r="AB248" s="187"/>
      <c r="AC248" s="187"/>
      <c r="AD248" s="187"/>
      <c r="AE248" s="187"/>
      <c r="AF248" s="187"/>
      <c r="AG248" s="187"/>
      <c r="AH248" s="187"/>
      <c r="AI248" s="187"/>
      <c r="AJ248" s="187"/>
      <c r="AK248" s="187"/>
      <c r="AL248" s="187"/>
      <c r="AM248" s="187"/>
      <c r="AN248" s="187"/>
      <c r="AO248" s="187"/>
      <c r="AP248" s="187"/>
      <c r="AQ248" s="187"/>
      <c r="AR248" s="187"/>
      <c r="AS248" s="187"/>
      <c r="AT248" s="187"/>
      <c r="AU248" s="187"/>
      <c r="AV248" s="187"/>
      <c r="AW248" s="187"/>
      <c r="AX248" s="187"/>
      <c r="AY248" s="187"/>
      <c r="AZ248" s="187"/>
      <c r="BA248" s="187"/>
      <c r="BB248" s="187"/>
      <c r="BC248" s="187"/>
      <c r="BD248" s="187"/>
      <c r="BE248" s="187"/>
      <c r="BF248" s="187"/>
      <c r="BG248" s="187"/>
      <c r="BH248" s="187"/>
      <c r="BI248" s="187"/>
      <c r="BJ248" s="187"/>
      <c r="BK248" s="187"/>
      <c r="BL248" s="187"/>
      <c r="BM248" s="187"/>
      <c r="BN248" s="187"/>
      <c r="BO248" s="187"/>
      <c r="BP248" s="187"/>
      <c r="BQ248" s="187"/>
      <c r="BR248" s="187"/>
      <c r="BS248" s="187"/>
      <c r="BT248" s="187"/>
      <c r="BU248" s="187"/>
      <c r="BV248" s="187"/>
      <c r="BW248" s="187"/>
      <c r="BX248" s="187"/>
      <c r="BY248" s="187"/>
      <c r="BZ248" s="187"/>
      <c r="CA248" s="187"/>
      <c r="CB248" s="187"/>
      <c r="CC248" s="187"/>
      <c r="CD248" s="187"/>
      <c r="CE248" s="187"/>
      <c r="CF248" s="187"/>
      <c r="CG248" s="187"/>
      <c r="CH248" s="187"/>
      <c r="CI248" s="187"/>
      <c r="CJ248" s="187"/>
      <c r="CK248" s="187"/>
      <c r="CL248" s="187"/>
      <c r="CM248" s="187"/>
      <c r="CN248" s="187"/>
      <c r="CO248" s="187"/>
      <c r="CP248" s="187"/>
      <c r="CQ248" s="187"/>
      <c r="CR248" s="187"/>
      <c r="CS248" s="187"/>
      <c r="CT248" s="187"/>
      <c r="CU248" s="187"/>
      <c r="CV248" s="187"/>
      <c r="CW248" s="187"/>
      <c r="CX248" s="187"/>
      <c r="CY248" s="187"/>
      <c r="CZ248" s="187"/>
      <c r="DA248" s="187"/>
      <c r="DB248" s="187"/>
      <c r="DC248" s="187"/>
      <c r="DD248" s="187"/>
      <c r="DE248" s="187"/>
      <c r="DF248" s="187"/>
      <c r="DG248" s="187"/>
      <c r="DH248" s="187"/>
      <c r="DI248" s="187"/>
      <c r="DJ248" s="187"/>
      <c r="DK248" s="187"/>
      <c r="DL248" s="187"/>
      <c r="DM248" s="187"/>
      <c r="DN248" s="187"/>
      <c r="DO248" s="187"/>
      <c r="DP248" s="187"/>
      <c r="DQ248" s="187"/>
      <c r="DR248" s="187"/>
      <c r="DS248" s="187"/>
      <c r="DT248" s="187"/>
      <c r="DU248" s="187"/>
      <c r="DV248" s="187"/>
      <c r="DW248" s="187"/>
      <c r="DX248" s="187"/>
      <c r="DY248" s="187"/>
      <c r="DZ248" s="187"/>
      <c r="EA248" s="187"/>
      <c r="EB248" s="187"/>
      <c r="EC248" s="187"/>
      <c r="ED248" s="187"/>
      <c r="EE248" s="187"/>
      <c r="EF248" s="187"/>
      <c r="EG248" s="187"/>
      <c r="EH248" s="187"/>
      <c r="EI248" s="187"/>
      <c r="EJ248" s="187"/>
      <c r="EK248" s="187"/>
      <c r="EL248" s="187"/>
      <c r="EM248" s="187"/>
      <c r="EN248" s="187"/>
      <c r="EO248" s="187"/>
    </row>
    <row r="249" spans="2:145" ht="13.9" customHeight="1" x14ac:dyDescent="0.2"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  <c r="AA249" s="187"/>
      <c r="AB249" s="187"/>
      <c r="AC249" s="187"/>
      <c r="AD249" s="187"/>
      <c r="AE249" s="187"/>
      <c r="AF249" s="187"/>
      <c r="AG249" s="187"/>
      <c r="AH249" s="187"/>
      <c r="AI249" s="187"/>
      <c r="AJ249" s="187"/>
      <c r="AK249" s="187"/>
      <c r="AL249" s="187"/>
      <c r="AM249" s="187"/>
      <c r="AN249" s="187"/>
      <c r="AO249" s="187"/>
      <c r="AP249" s="187"/>
      <c r="AQ249" s="187"/>
      <c r="AR249" s="187"/>
      <c r="AS249" s="187"/>
      <c r="AT249" s="187"/>
      <c r="AU249" s="187"/>
      <c r="AV249" s="187"/>
      <c r="AW249" s="187"/>
      <c r="AX249" s="187"/>
      <c r="AY249" s="187"/>
      <c r="AZ249" s="187"/>
      <c r="BA249" s="187"/>
      <c r="BB249" s="187"/>
      <c r="BC249" s="187"/>
      <c r="BD249" s="187"/>
      <c r="BE249" s="187"/>
      <c r="BF249" s="187"/>
      <c r="BG249" s="187"/>
      <c r="BH249" s="187"/>
      <c r="BI249" s="187"/>
      <c r="BJ249" s="187"/>
      <c r="BK249" s="187"/>
      <c r="BL249" s="187"/>
      <c r="BM249" s="187"/>
      <c r="BN249" s="187"/>
      <c r="BO249" s="187"/>
      <c r="BP249" s="187"/>
      <c r="BQ249" s="187"/>
      <c r="BR249" s="187"/>
      <c r="BS249" s="187"/>
      <c r="BT249" s="187"/>
      <c r="BU249" s="187"/>
      <c r="BV249" s="187"/>
      <c r="BW249" s="187"/>
      <c r="BX249" s="187"/>
      <c r="BY249" s="187"/>
      <c r="BZ249" s="187"/>
      <c r="CA249" s="187"/>
      <c r="CB249" s="187"/>
      <c r="CC249" s="187"/>
      <c r="CD249" s="187"/>
      <c r="CE249" s="187"/>
      <c r="CF249" s="187"/>
      <c r="CG249" s="187"/>
      <c r="CH249" s="187"/>
      <c r="CI249" s="187"/>
      <c r="CJ249" s="187"/>
      <c r="CK249" s="187"/>
      <c r="CL249" s="187"/>
      <c r="CM249" s="187"/>
      <c r="CN249" s="187"/>
      <c r="CO249" s="187"/>
      <c r="CP249" s="187"/>
      <c r="CQ249" s="187"/>
      <c r="CR249" s="187"/>
      <c r="CS249" s="187"/>
      <c r="CT249" s="187"/>
      <c r="CU249" s="187"/>
      <c r="CV249" s="187"/>
      <c r="CW249" s="187"/>
      <c r="CX249" s="187"/>
      <c r="CY249" s="187"/>
      <c r="CZ249" s="187"/>
      <c r="DA249" s="187"/>
      <c r="DB249" s="187"/>
      <c r="DC249" s="187"/>
      <c r="DD249" s="187"/>
      <c r="DE249" s="187"/>
      <c r="DF249" s="187"/>
      <c r="DG249" s="187"/>
      <c r="DH249" s="187"/>
      <c r="DI249" s="187"/>
      <c r="DJ249" s="187"/>
      <c r="DK249" s="187"/>
      <c r="DL249" s="187"/>
      <c r="DM249" s="187"/>
      <c r="DN249" s="187"/>
      <c r="DO249" s="187"/>
      <c r="DP249" s="187"/>
      <c r="DQ249" s="187"/>
      <c r="DR249" s="187"/>
      <c r="DS249" s="187"/>
      <c r="DT249" s="187"/>
      <c r="DU249" s="187"/>
      <c r="DV249" s="187"/>
      <c r="DW249" s="187"/>
      <c r="DX249" s="187"/>
      <c r="DY249" s="187"/>
      <c r="DZ249" s="187"/>
      <c r="EA249" s="187"/>
      <c r="EB249" s="187"/>
      <c r="EC249" s="187"/>
      <c r="ED249" s="187"/>
      <c r="EE249" s="187"/>
      <c r="EF249" s="187"/>
      <c r="EG249" s="187"/>
      <c r="EH249" s="187"/>
      <c r="EI249" s="187"/>
      <c r="EJ249" s="187"/>
      <c r="EK249" s="187"/>
      <c r="EL249" s="187"/>
      <c r="EM249" s="187"/>
      <c r="EN249" s="187"/>
      <c r="EO249" s="187"/>
    </row>
    <row r="250" spans="2:145" ht="13.9" customHeight="1" x14ac:dyDescent="0.2"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  <c r="AA250" s="187"/>
      <c r="AB250" s="187"/>
      <c r="AC250" s="187"/>
      <c r="AD250" s="187"/>
      <c r="AE250" s="187"/>
      <c r="AF250" s="187"/>
      <c r="AG250" s="187"/>
      <c r="AH250" s="187"/>
      <c r="AI250" s="187"/>
      <c r="AJ250" s="187"/>
      <c r="AK250" s="187"/>
      <c r="AL250" s="187"/>
      <c r="AM250" s="187"/>
      <c r="AN250" s="187"/>
      <c r="AO250" s="187"/>
      <c r="AP250" s="187"/>
      <c r="AQ250" s="187"/>
      <c r="AR250" s="187"/>
      <c r="AS250" s="187"/>
      <c r="AT250" s="187"/>
      <c r="AU250" s="187"/>
      <c r="AV250" s="187"/>
      <c r="AW250" s="187"/>
      <c r="AX250" s="187"/>
      <c r="AY250" s="187"/>
      <c r="AZ250" s="187"/>
      <c r="BA250" s="187"/>
      <c r="BB250" s="187"/>
      <c r="BC250" s="187"/>
      <c r="BD250" s="187"/>
      <c r="BE250" s="187"/>
      <c r="BF250" s="187"/>
      <c r="BG250" s="187"/>
      <c r="BH250" s="187"/>
      <c r="BI250" s="187"/>
      <c r="BJ250" s="187"/>
      <c r="BK250" s="187"/>
      <c r="BL250" s="187"/>
      <c r="BM250" s="187"/>
      <c r="BN250" s="187"/>
      <c r="BO250" s="187"/>
      <c r="BP250" s="187"/>
      <c r="BQ250" s="187"/>
      <c r="BR250" s="187"/>
      <c r="BS250" s="187"/>
      <c r="BT250" s="187"/>
      <c r="BU250" s="187"/>
      <c r="BV250" s="187"/>
      <c r="BW250" s="187"/>
      <c r="BX250" s="187"/>
      <c r="BY250" s="187"/>
      <c r="BZ250" s="187"/>
      <c r="CA250" s="187"/>
      <c r="CB250" s="187"/>
      <c r="CC250" s="187"/>
      <c r="CD250" s="187"/>
      <c r="CE250" s="187"/>
      <c r="CF250" s="187"/>
      <c r="CG250" s="187"/>
      <c r="CH250" s="187"/>
      <c r="CI250" s="187"/>
      <c r="CJ250" s="187"/>
      <c r="CK250" s="187"/>
      <c r="CL250" s="187"/>
      <c r="CM250" s="187"/>
      <c r="CN250" s="187"/>
      <c r="CO250" s="187"/>
      <c r="CP250" s="187"/>
      <c r="CQ250" s="187"/>
      <c r="CR250" s="187"/>
      <c r="CS250" s="187"/>
      <c r="CT250" s="187"/>
      <c r="CU250" s="187"/>
      <c r="CV250" s="187"/>
      <c r="CW250" s="187"/>
      <c r="CX250" s="187"/>
      <c r="CY250" s="187"/>
      <c r="CZ250" s="187"/>
      <c r="DA250" s="187"/>
      <c r="DB250" s="187"/>
      <c r="DC250" s="187"/>
      <c r="DD250" s="187"/>
      <c r="DE250" s="187"/>
      <c r="DF250" s="187"/>
      <c r="DG250" s="187"/>
      <c r="DH250" s="187"/>
      <c r="DI250" s="187"/>
      <c r="DJ250" s="187"/>
      <c r="DK250" s="187"/>
      <c r="DL250" s="187"/>
      <c r="DM250" s="187"/>
      <c r="DN250" s="187"/>
      <c r="DO250" s="187"/>
      <c r="DP250" s="187"/>
      <c r="DQ250" s="187"/>
      <c r="DR250" s="187"/>
      <c r="DS250" s="187"/>
      <c r="DT250" s="187"/>
      <c r="DU250" s="187"/>
      <c r="DV250" s="187"/>
      <c r="DW250" s="187"/>
      <c r="DX250" s="187"/>
      <c r="DY250" s="187"/>
      <c r="DZ250" s="187"/>
      <c r="EA250" s="187"/>
      <c r="EB250" s="187"/>
      <c r="EC250" s="187"/>
      <c r="ED250" s="187"/>
      <c r="EE250" s="187"/>
      <c r="EF250" s="187"/>
      <c r="EG250" s="187"/>
      <c r="EH250" s="187"/>
      <c r="EI250" s="187"/>
      <c r="EJ250" s="187"/>
      <c r="EK250" s="187"/>
      <c r="EL250" s="187"/>
      <c r="EM250" s="187"/>
      <c r="EN250" s="187"/>
      <c r="EO250" s="187"/>
    </row>
    <row r="251" spans="2:145" ht="13.9" customHeight="1" x14ac:dyDescent="0.2"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  <c r="AA251" s="187"/>
      <c r="AB251" s="187"/>
      <c r="AC251" s="187"/>
      <c r="AD251" s="187"/>
      <c r="AE251" s="187"/>
      <c r="AF251" s="187"/>
      <c r="AG251" s="187"/>
      <c r="AH251" s="187"/>
      <c r="AI251" s="187"/>
      <c r="AJ251" s="187"/>
      <c r="AK251" s="187"/>
      <c r="AL251" s="187"/>
      <c r="AM251" s="187"/>
      <c r="AN251" s="187"/>
      <c r="AO251" s="187"/>
      <c r="AP251" s="187"/>
      <c r="AQ251" s="187"/>
      <c r="AR251" s="187"/>
      <c r="AS251" s="187"/>
      <c r="AT251" s="187"/>
      <c r="AU251" s="187"/>
      <c r="AV251" s="187"/>
      <c r="AW251" s="187"/>
      <c r="AX251" s="187"/>
      <c r="AY251" s="187"/>
      <c r="AZ251" s="187"/>
      <c r="BA251" s="187"/>
      <c r="BB251" s="187"/>
      <c r="BC251" s="187"/>
      <c r="BD251" s="187"/>
      <c r="BE251" s="187"/>
      <c r="BF251" s="187"/>
      <c r="BG251" s="187"/>
      <c r="BH251" s="187"/>
      <c r="BI251" s="187"/>
      <c r="BJ251" s="187"/>
      <c r="BK251" s="187"/>
      <c r="BL251" s="187"/>
      <c r="BM251" s="187"/>
      <c r="BN251" s="187"/>
      <c r="BO251" s="187"/>
      <c r="BP251" s="187"/>
      <c r="BQ251" s="187"/>
      <c r="BR251" s="187"/>
      <c r="BS251" s="187"/>
      <c r="BT251" s="187"/>
      <c r="BU251" s="187"/>
      <c r="BV251" s="187"/>
      <c r="BW251" s="187"/>
      <c r="BX251" s="187"/>
      <c r="BY251" s="187"/>
      <c r="BZ251" s="187"/>
      <c r="CA251" s="187"/>
      <c r="CB251" s="187"/>
      <c r="CC251" s="187"/>
      <c r="CD251" s="187"/>
      <c r="CE251" s="187"/>
      <c r="CF251" s="187"/>
      <c r="CG251" s="187"/>
      <c r="CH251" s="187"/>
      <c r="CI251" s="187"/>
      <c r="CJ251" s="187"/>
      <c r="CK251" s="187"/>
      <c r="CL251" s="187"/>
      <c r="CM251" s="187"/>
      <c r="CN251" s="187"/>
      <c r="CO251" s="187"/>
      <c r="CP251" s="187"/>
      <c r="CQ251" s="187"/>
      <c r="CR251" s="187"/>
      <c r="CS251" s="187"/>
      <c r="CT251" s="187"/>
      <c r="CU251" s="187"/>
      <c r="CV251" s="187"/>
      <c r="CW251" s="187"/>
      <c r="CX251" s="187"/>
      <c r="CY251" s="187"/>
      <c r="CZ251" s="187"/>
      <c r="DA251" s="187"/>
      <c r="DB251" s="187"/>
      <c r="DC251" s="187"/>
      <c r="DD251" s="187"/>
      <c r="DE251" s="187"/>
      <c r="DF251" s="187"/>
      <c r="DG251" s="187"/>
      <c r="DH251" s="187"/>
      <c r="DI251" s="187"/>
      <c r="DJ251" s="187"/>
      <c r="DK251" s="187"/>
      <c r="DL251" s="187"/>
      <c r="DM251" s="187"/>
      <c r="DN251" s="187"/>
      <c r="DO251" s="187"/>
      <c r="DP251" s="187"/>
      <c r="DQ251" s="187"/>
      <c r="DR251" s="187"/>
      <c r="DS251" s="187"/>
      <c r="DT251" s="187"/>
      <c r="DU251" s="187"/>
      <c r="DV251" s="187"/>
      <c r="DW251" s="187"/>
      <c r="DX251" s="187"/>
      <c r="DY251" s="187"/>
      <c r="DZ251" s="187"/>
      <c r="EA251" s="187"/>
      <c r="EB251" s="187"/>
      <c r="EC251" s="187"/>
      <c r="ED251" s="187"/>
      <c r="EE251" s="187"/>
      <c r="EF251" s="187"/>
      <c r="EG251" s="187"/>
      <c r="EH251" s="187"/>
      <c r="EI251" s="187"/>
      <c r="EJ251" s="187"/>
      <c r="EK251" s="187"/>
      <c r="EL251" s="187"/>
      <c r="EM251" s="187"/>
      <c r="EN251" s="187"/>
      <c r="EO251" s="187"/>
    </row>
    <row r="252" spans="2:145" ht="13.9" customHeight="1" x14ac:dyDescent="0.2"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  <c r="AA252" s="187"/>
      <c r="AB252" s="187"/>
      <c r="AC252" s="187"/>
      <c r="AD252" s="187"/>
      <c r="AE252" s="187"/>
      <c r="AF252" s="187"/>
      <c r="AG252" s="187"/>
      <c r="AH252" s="187"/>
      <c r="AI252" s="187"/>
      <c r="AJ252" s="187"/>
      <c r="AK252" s="187"/>
      <c r="AL252" s="187"/>
      <c r="AM252" s="187"/>
      <c r="AN252" s="187"/>
      <c r="AO252" s="187"/>
      <c r="AP252" s="187"/>
      <c r="AQ252" s="187"/>
      <c r="AR252" s="187"/>
      <c r="AS252" s="187"/>
      <c r="AT252" s="187"/>
      <c r="AU252" s="187"/>
      <c r="AV252" s="187"/>
      <c r="AW252" s="187"/>
      <c r="AX252" s="187"/>
      <c r="AY252" s="187"/>
      <c r="AZ252" s="187"/>
      <c r="BA252" s="187"/>
      <c r="BB252" s="187"/>
      <c r="BC252" s="187"/>
      <c r="BD252" s="187"/>
      <c r="BE252" s="187"/>
      <c r="BF252" s="187"/>
      <c r="BG252" s="187"/>
      <c r="BH252" s="187"/>
      <c r="BI252" s="187"/>
      <c r="BJ252" s="187"/>
      <c r="BK252" s="187"/>
      <c r="BL252" s="187"/>
      <c r="BM252" s="187"/>
      <c r="BN252" s="187"/>
      <c r="BO252" s="187"/>
      <c r="BP252" s="187"/>
      <c r="BQ252" s="187"/>
      <c r="BR252" s="187"/>
      <c r="BS252" s="187"/>
      <c r="BT252" s="187"/>
      <c r="BU252" s="187"/>
      <c r="BV252" s="187"/>
      <c r="BW252" s="187"/>
      <c r="BX252" s="187"/>
      <c r="BY252" s="187"/>
      <c r="BZ252" s="187"/>
      <c r="CA252" s="187"/>
      <c r="CB252" s="187"/>
      <c r="CC252" s="187"/>
      <c r="CD252" s="187"/>
      <c r="CE252" s="187"/>
      <c r="CF252" s="187"/>
      <c r="CG252" s="187"/>
      <c r="CH252" s="187"/>
      <c r="CI252" s="187"/>
      <c r="CJ252" s="187"/>
      <c r="CK252" s="187"/>
      <c r="CL252" s="187"/>
      <c r="CM252" s="187"/>
      <c r="CN252" s="187"/>
      <c r="CO252" s="187"/>
      <c r="CP252" s="187"/>
      <c r="CQ252" s="187"/>
      <c r="CR252" s="187"/>
      <c r="CS252" s="187"/>
      <c r="CT252" s="187"/>
      <c r="CU252" s="187"/>
      <c r="CV252" s="187"/>
      <c r="CW252" s="187"/>
      <c r="CX252" s="187"/>
      <c r="CY252" s="187"/>
      <c r="CZ252" s="187"/>
      <c r="DA252" s="187"/>
      <c r="DB252" s="187"/>
      <c r="DC252" s="187"/>
      <c r="DD252" s="187"/>
      <c r="DE252" s="187"/>
      <c r="DF252" s="187"/>
      <c r="DG252" s="187"/>
      <c r="DH252" s="187"/>
      <c r="DI252" s="187"/>
      <c r="DJ252" s="187"/>
      <c r="DK252" s="187"/>
      <c r="DL252" s="187"/>
      <c r="DM252" s="187"/>
      <c r="DN252" s="187"/>
      <c r="DO252" s="187"/>
      <c r="DP252" s="187"/>
      <c r="DQ252" s="187"/>
      <c r="DR252" s="187"/>
      <c r="DS252" s="187"/>
      <c r="DT252" s="187"/>
      <c r="DU252" s="187"/>
      <c r="DV252" s="187"/>
      <c r="DW252" s="187"/>
      <c r="DX252" s="187"/>
      <c r="DY252" s="187"/>
      <c r="DZ252" s="187"/>
      <c r="EA252" s="187"/>
      <c r="EB252" s="187"/>
      <c r="EC252" s="187"/>
      <c r="ED252" s="187"/>
      <c r="EE252" s="187"/>
      <c r="EF252" s="187"/>
      <c r="EG252" s="187"/>
      <c r="EH252" s="187"/>
      <c r="EI252" s="187"/>
      <c r="EJ252" s="187"/>
      <c r="EK252" s="187"/>
      <c r="EL252" s="187"/>
      <c r="EM252" s="187"/>
      <c r="EN252" s="187"/>
      <c r="EO252" s="187"/>
    </row>
    <row r="253" spans="2:145" ht="13.9" customHeight="1" x14ac:dyDescent="0.2"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  <c r="AA253" s="187"/>
      <c r="AB253" s="187"/>
      <c r="AC253" s="187"/>
      <c r="AD253" s="187"/>
      <c r="AE253" s="187"/>
      <c r="AF253" s="187"/>
      <c r="AG253" s="187"/>
      <c r="AH253" s="187"/>
      <c r="AI253" s="187"/>
      <c r="AJ253" s="187"/>
      <c r="AK253" s="187"/>
      <c r="AL253" s="187"/>
      <c r="AM253" s="187"/>
      <c r="AN253" s="187"/>
      <c r="AO253" s="187"/>
      <c r="AP253" s="187"/>
      <c r="AQ253" s="187"/>
      <c r="AR253" s="187"/>
      <c r="AS253" s="187"/>
      <c r="AT253" s="187"/>
      <c r="AU253" s="187"/>
      <c r="AV253" s="187"/>
      <c r="AW253" s="187"/>
      <c r="AX253" s="187"/>
      <c r="AY253" s="187"/>
      <c r="AZ253" s="187"/>
      <c r="BA253" s="187"/>
      <c r="BB253" s="187"/>
      <c r="BC253" s="187"/>
      <c r="BD253" s="187"/>
      <c r="BE253" s="187"/>
      <c r="BF253" s="187"/>
      <c r="BG253" s="187"/>
      <c r="BH253" s="187"/>
      <c r="BI253" s="187"/>
      <c r="BJ253" s="187"/>
      <c r="BK253" s="187"/>
      <c r="BL253" s="187"/>
      <c r="BM253" s="187"/>
      <c r="BN253" s="187"/>
      <c r="BO253" s="187"/>
      <c r="BP253" s="187"/>
      <c r="BQ253" s="187"/>
      <c r="BR253" s="187"/>
      <c r="BS253" s="187"/>
      <c r="BT253" s="187"/>
      <c r="BU253" s="187"/>
      <c r="BV253" s="187"/>
      <c r="BW253" s="187"/>
      <c r="BX253" s="187"/>
      <c r="BY253" s="187"/>
      <c r="BZ253" s="187"/>
      <c r="CA253" s="187"/>
      <c r="CB253" s="187"/>
      <c r="CC253" s="187"/>
      <c r="CD253" s="187"/>
      <c r="CE253" s="187"/>
      <c r="CF253" s="187"/>
      <c r="CG253" s="187"/>
      <c r="CH253" s="187"/>
      <c r="CI253" s="187"/>
      <c r="CJ253" s="187"/>
      <c r="CK253" s="187"/>
      <c r="CL253" s="187"/>
      <c r="CM253" s="187"/>
      <c r="CN253" s="187"/>
      <c r="CO253" s="187"/>
      <c r="CP253" s="187"/>
      <c r="CQ253" s="187"/>
      <c r="CR253" s="187"/>
      <c r="CS253" s="187"/>
      <c r="CT253" s="187"/>
      <c r="CU253" s="187"/>
      <c r="CV253" s="187"/>
      <c r="CW253" s="187"/>
      <c r="CX253" s="187"/>
      <c r="CY253" s="187"/>
      <c r="CZ253" s="187"/>
      <c r="DA253" s="187"/>
      <c r="DB253" s="187"/>
      <c r="DC253" s="187"/>
      <c r="DD253" s="187"/>
      <c r="DE253" s="187"/>
      <c r="DF253" s="187"/>
      <c r="DG253" s="187"/>
      <c r="DH253" s="187"/>
      <c r="DI253" s="187"/>
      <c r="DJ253" s="187"/>
      <c r="DK253" s="187"/>
      <c r="DL253" s="187"/>
      <c r="DM253" s="187"/>
      <c r="DN253" s="187"/>
      <c r="DO253" s="187"/>
      <c r="DP253" s="187"/>
      <c r="DQ253" s="187"/>
      <c r="DR253" s="187"/>
      <c r="DS253" s="187"/>
      <c r="DT253" s="187"/>
      <c r="DU253" s="187"/>
      <c r="DV253" s="187"/>
      <c r="DW253" s="187"/>
      <c r="DX253" s="187"/>
      <c r="DY253" s="187"/>
      <c r="DZ253" s="187"/>
      <c r="EA253" s="187"/>
      <c r="EB253" s="187"/>
      <c r="EC253" s="187"/>
      <c r="ED253" s="187"/>
      <c r="EE253" s="187"/>
      <c r="EF253" s="187"/>
      <c r="EG253" s="187"/>
      <c r="EH253" s="187"/>
      <c r="EI253" s="187"/>
      <c r="EJ253" s="187"/>
      <c r="EK253" s="187"/>
      <c r="EL253" s="187"/>
      <c r="EM253" s="187"/>
      <c r="EN253" s="187"/>
      <c r="EO253" s="187"/>
    </row>
    <row r="254" spans="2:145" ht="13.9" customHeight="1" x14ac:dyDescent="0.2"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  <c r="AA254" s="187"/>
      <c r="AB254" s="187"/>
      <c r="AC254" s="187"/>
      <c r="AD254" s="187"/>
      <c r="AE254" s="187"/>
      <c r="AF254" s="187"/>
      <c r="AG254" s="187"/>
      <c r="AH254" s="187"/>
      <c r="AI254" s="187"/>
      <c r="AJ254" s="187"/>
      <c r="AK254" s="187"/>
      <c r="AL254" s="187"/>
      <c r="AM254" s="187"/>
      <c r="AN254" s="187"/>
      <c r="AO254" s="187"/>
      <c r="AP254" s="187"/>
      <c r="AQ254" s="187"/>
      <c r="AR254" s="187"/>
      <c r="AS254" s="187"/>
      <c r="AT254" s="187"/>
      <c r="AU254" s="187"/>
      <c r="AV254" s="187"/>
      <c r="AW254" s="187"/>
      <c r="AX254" s="187"/>
      <c r="AY254" s="187"/>
      <c r="AZ254" s="187"/>
      <c r="BA254" s="187"/>
      <c r="BB254" s="187"/>
      <c r="BC254" s="187"/>
      <c r="BD254" s="187"/>
      <c r="BE254" s="187"/>
      <c r="BF254" s="187"/>
      <c r="BG254" s="187"/>
      <c r="BH254" s="187"/>
      <c r="BI254" s="187"/>
      <c r="BJ254" s="187"/>
      <c r="BK254" s="187"/>
      <c r="BL254" s="187"/>
      <c r="BM254" s="187"/>
      <c r="BN254" s="187"/>
      <c r="BO254" s="187"/>
      <c r="BP254" s="187"/>
      <c r="BQ254" s="187"/>
      <c r="BR254" s="187"/>
      <c r="BS254" s="187"/>
      <c r="BT254" s="187"/>
      <c r="BU254" s="187"/>
      <c r="BV254" s="187"/>
      <c r="BW254" s="187"/>
      <c r="BX254" s="187"/>
      <c r="BY254" s="187"/>
      <c r="BZ254" s="187"/>
      <c r="CA254" s="187"/>
      <c r="CB254" s="187"/>
      <c r="CC254" s="187"/>
      <c r="CD254" s="187"/>
      <c r="CE254" s="187"/>
      <c r="CF254" s="187"/>
      <c r="CG254" s="187"/>
      <c r="CH254" s="187"/>
      <c r="CI254" s="187"/>
      <c r="CJ254" s="187"/>
      <c r="CK254" s="187"/>
      <c r="CL254" s="187"/>
      <c r="CM254" s="187"/>
      <c r="CN254" s="187"/>
      <c r="CO254" s="187"/>
      <c r="CP254" s="187"/>
      <c r="CQ254" s="187"/>
      <c r="CR254" s="187"/>
      <c r="CS254" s="187"/>
      <c r="CT254" s="187"/>
      <c r="CU254" s="187"/>
      <c r="CV254" s="187"/>
      <c r="CW254" s="187"/>
      <c r="CX254" s="187"/>
      <c r="CY254" s="187"/>
      <c r="CZ254" s="187"/>
      <c r="DA254" s="187"/>
      <c r="DB254" s="187"/>
      <c r="DC254" s="187"/>
      <c r="DD254" s="187"/>
      <c r="DE254" s="187"/>
      <c r="DF254" s="187"/>
      <c r="DG254" s="187"/>
      <c r="DH254" s="187"/>
      <c r="DI254" s="187"/>
      <c r="DJ254" s="187"/>
      <c r="DK254" s="187"/>
      <c r="DL254" s="187"/>
      <c r="DM254" s="187"/>
      <c r="DN254" s="187"/>
      <c r="DO254" s="187"/>
      <c r="DP254" s="187"/>
      <c r="DQ254" s="187"/>
      <c r="DR254" s="187"/>
      <c r="DS254" s="187"/>
      <c r="DT254" s="187"/>
      <c r="DU254" s="187"/>
      <c r="DV254" s="187"/>
      <c r="DW254" s="187"/>
      <c r="DX254" s="187"/>
      <c r="DY254" s="187"/>
      <c r="DZ254" s="187"/>
      <c r="EA254" s="187"/>
      <c r="EB254" s="187"/>
      <c r="EC254" s="187"/>
      <c r="ED254" s="187"/>
      <c r="EE254" s="187"/>
      <c r="EF254" s="187"/>
      <c r="EG254" s="187"/>
      <c r="EH254" s="187"/>
      <c r="EI254" s="187"/>
      <c r="EJ254" s="187"/>
      <c r="EK254" s="187"/>
      <c r="EL254" s="187"/>
      <c r="EM254" s="187"/>
      <c r="EN254" s="187"/>
      <c r="EO254" s="187"/>
    </row>
    <row r="255" spans="2:145" ht="13.9" customHeight="1" x14ac:dyDescent="0.2"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  <c r="AA255" s="187"/>
      <c r="AB255" s="187"/>
      <c r="AC255" s="187"/>
      <c r="AD255" s="187"/>
      <c r="AE255" s="187"/>
      <c r="AF255" s="187"/>
      <c r="AG255" s="187"/>
      <c r="AH255" s="187"/>
      <c r="AI255" s="187"/>
      <c r="AJ255" s="187"/>
      <c r="AK255" s="187"/>
      <c r="AL255" s="187"/>
      <c r="AM255" s="187"/>
      <c r="AN255" s="187"/>
      <c r="AO255" s="187"/>
      <c r="AP255" s="187"/>
      <c r="AQ255" s="187"/>
      <c r="AR255" s="187"/>
      <c r="AS255" s="187"/>
      <c r="AT255" s="187"/>
      <c r="AU255" s="187"/>
      <c r="AV255" s="187"/>
      <c r="AW255" s="187"/>
      <c r="AX255" s="187"/>
      <c r="AY255" s="187"/>
      <c r="AZ255" s="187"/>
      <c r="BA255" s="187"/>
      <c r="BB255" s="187"/>
      <c r="BC255" s="187"/>
      <c r="BD255" s="187"/>
      <c r="BE255" s="187"/>
      <c r="BF255" s="187"/>
      <c r="BG255" s="187"/>
      <c r="BH255" s="187"/>
      <c r="BI255" s="187"/>
      <c r="BJ255" s="187"/>
      <c r="BK255" s="187"/>
      <c r="BL255" s="187"/>
      <c r="BM255" s="187"/>
      <c r="BN255" s="187"/>
      <c r="BO255" s="187"/>
      <c r="BP255" s="187"/>
      <c r="BQ255" s="187"/>
      <c r="BR255" s="187"/>
      <c r="BS255" s="187"/>
      <c r="BT255" s="187"/>
      <c r="BU255" s="187"/>
      <c r="BV255" s="187"/>
      <c r="BW255" s="187"/>
      <c r="BX255" s="187"/>
      <c r="BY255" s="187"/>
      <c r="BZ255" s="187"/>
      <c r="CA255" s="187"/>
      <c r="CB255" s="187"/>
      <c r="CC255" s="187"/>
      <c r="CD255" s="187"/>
      <c r="CE255" s="187"/>
      <c r="CF255" s="187"/>
      <c r="CG255" s="187"/>
      <c r="CH255" s="187"/>
      <c r="CI255" s="187"/>
      <c r="CJ255" s="187"/>
      <c r="CK255" s="187"/>
      <c r="CL255" s="187"/>
      <c r="CM255" s="187"/>
      <c r="CN255" s="187"/>
      <c r="CO255" s="187"/>
      <c r="CP255" s="187"/>
      <c r="CQ255" s="187"/>
      <c r="CR255" s="187"/>
      <c r="CS255" s="187"/>
      <c r="CT255" s="187"/>
      <c r="CU255" s="187"/>
      <c r="CV255" s="187"/>
      <c r="CW255" s="187"/>
      <c r="CX255" s="187"/>
      <c r="CY255" s="187"/>
      <c r="CZ255" s="187"/>
      <c r="DA255" s="187"/>
      <c r="DB255" s="187"/>
      <c r="DC255" s="187"/>
      <c r="DD255" s="187"/>
      <c r="DE255" s="187"/>
      <c r="DF255" s="187"/>
      <c r="DG255" s="187"/>
      <c r="DH255" s="187"/>
      <c r="DI255" s="187"/>
      <c r="DJ255" s="187"/>
      <c r="DK255" s="187"/>
      <c r="DL255" s="187"/>
      <c r="DM255" s="187"/>
      <c r="DN255" s="187"/>
      <c r="DO255" s="187"/>
      <c r="DP255" s="187"/>
      <c r="DQ255" s="187"/>
      <c r="DR255" s="187"/>
      <c r="DS255" s="187"/>
      <c r="DT255" s="187"/>
      <c r="DU255" s="187"/>
      <c r="DV255" s="187"/>
      <c r="DW255" s="187"/>
      <c r="DX255" s="187"/>
      <c r="DY255" s="187"/>
      <c r="DZ255" s="187"/>
      <c r="EA255" s="187"/>
      <c r="EB255" s="187"/>
      <c r="EC255" s="187"/>
      <c r="ED255" s="187"/>
      <c r="EE255" s="187"/>
      <c r="EF255" s="187"/>
      <c r="EG255" s="187"/>
      <c r="EH255" s="187"/>
      <c r="EI255" s="187"/>
      <c r="EJ255" s="187"/>
      <c r="EK255" s="187"/>
      <c r="EL255" s="187"/>
      <c r="EM255" s="187"/>
      <c r="EN255" s="187"/>
      <c r="EO255" s="187"/>
    </row>
    <row r="256" spans="2:145" ht="13.9" customHeight="1" x14ac:dyDescent="0.2"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  <c r="AA256" s="187"/>
      <c r="AB256" s="187"/>
      <c r="AC256" s="187"/>
      <c r="AD256" s="187"/>
      <c r="AE256" s="187"/>
      <c r="AF256" s="187"/>
      <c r="AG256" s="187"/>
      <c r="AH256" s="187"/>
      <c r="AI256" s="187"/>
      <c r="AJ256" s="187"/>
      <c r="AK256" s="187"/>
      <c r="AL256" s="187"/>
      <c r="AM256" s="187"/>
      <c r="AN256" s="187"/>
      <c r="AO256" s="187"/>
      <c r="AP256" s="187"/>
      <c r="AQ256" s="187"/>
      <c r="AR256" s="187"/>
      <c r="AS256" s="187"/>
      <c r="AT256" s="187"/>
      <c r="AU256" s="187"/>
      <c r="AV256" s="187"/>
      <c r="AW256" s="187"/>
      <c r="AX256" s="187"/>
      <c r="AY256" s="187"/>
      <c r="AZ256" s="187"/>
      <c r="BA256" s="187"/>
      <c r="BB256" s="187"/>
      <c r="BC256" s="187"/>
      <c r="BD256" s="187"/>
      <c r="BE256" s="187"/>
      <c r="BF256" s="187"/>
      <c r="BG256" s="187"/>
      <c r="BH256" s="187"/>
      <c r="BI256" s="187"/>
      <c r="BJ256" s="187"/>
      <c r="BK256" s="187"/>
      <c r="BL256" s="187"/>
      <c r="BM256" s="187"/>
      <c r="BN256" s="187"/>
      <c r="BO256" s="187"/>
      <c r="BP256" s="187"/>
      <c r="BQ256" s="187"/>
      <c r="BR256" s="187"/>
      <c r="BS256" s="187"/>
      <c r="BT256" s="187"/>
      <c r="BU256" s="187"/>
      <c r="BV256" s="187"/>
      <c r="BW256" s="187"/>
      <c r="BX256" s="187"/>
      <c r="BY256" s="187"/>
      <c r="BZ256" s="187"/>
      <c r="CA256" s="187"/>
      <c r="CB256" s="187"/>
      <c r="CC256" s="187"/>
      <c r="CD256" s="187"/>
      <c r="CE256" s="187"/>
      <c r="CF256" s="187"/>
      <c r="CG256" s="187"/>
      <c r="CH256" s="187"/>
      <c r="CI256" s="187"/>
      <c r="CJ256" s="187"/>
      <c r="CK256" s="187"/>
      <c r="CL256" s="187"/>
      <c r="CM256" s="187"/>
      <c r="CN256" s="187"/>
      <c r="CO256" s="187"/>
      <c r="CP256" s="187"/>
      <c r="CQ256" s="187"/>
      <c r="CR256" s="187"/>
      <c r="CS256" s="187"/>
      <c r="CT256" s="187"/>
      <c r="CU256" s="187"/>
      <c r="CV256" s="187"/>
      <c r="CW256" s="187"/>
      <c r="CX256" s="187"/>
      <c r="CY256" s="187"/>
      <c r="CZ256" s="187"/>
      <c r="DA256" s="187"/>
      <c r="DB256" s="187"/>
      <c r="DC256" s="187"/>
      <c r="DD256" s="187"/>
      <c r="DE256" s="187"/>
      <c r="DF256" s="187"/>
      <c r="DG256" s="187"/>
      <c r="DH256" s="187"/>
      <c r="DI256" s="187"/>
      <c r="DJ256" s="187"/>
      <c r="DK256" s="187"/>
      <c r="DL256" s="187"/>
      <c r="DM256" s="187"/>
      <c r="DN256" s="187"/>
      <c r="DO256" s="187"/>
      <c r="DP256" s="187"/>
      <c r="DQ256" s="187"/>
      <c r="DR256" s="187"/>
      <c r="DS256" s="187"/>
      <c r="DT256" s="187"/>
      <c r="DU256" s="187"/>
      <c r="DV256" s="187"/>
      <c r="DW256" s="187"/>
      <c r="DX256" s="187"/>
      <c r="DY256" s="187"/>
      <c r="DZ256" s="187"/>
      <c r="EA256" s="187"/>
      <c r="EB256" s="187"/>
      <c r="EC256" s="187"/>
      <c r="ED256" s="187"/>
      <c r="EE256" s="187"/>
      <c r="EF256" s="187"/>
      <c r="EG256" s="187"/>
      <c r="EH256" s="187"/>
      <c r="EI256" s="187"/>
      <c r="EJ256" s="187"/>
      <c r="EK256" s="187"/>
      <c r="EL256" s="187"/>
      <c r="EM256" s="187"/>
      <c r="EN256" s="187"/>
      <c r="EO256" s="187"/>
    </row>
    <row r="257" spans="2:145" ht="13.9" customHeight="1" x14ac:dyDescent="0.2"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  <c r="AA257" s="187"/>
      <c r="AB257" s="187"/>
      <c r="AC257" s="187"/>
      <c r="AD257" s="187"/>
      <c r="AE257" s="187"/>
      <c r="AF257" s="187"/>
      <c r="AG257" s="187"/>
      <c r="AH257" s="187"/>
      <c r="AI257" s="187"/>
      <c r="AJ257" s="187"/>
      <c r="AK257" s="187"/>
      <c r="AL257" s="187"/>
      <c r="AM257" s="187"/>
      <c r="AN257" s="187"/>
      <c r="AO257" s="187"/>
      <c r="AP257" s="187"/>
      <c r="AQ257" s="187"/>
      <c r="AR257" s="187"/>
      <c r="AS257" s="187"/>
      <c r="AT257" s="187"/>
      <c r="AU257" s="187"/>
      <c r="AV257" s="187"/>
      <c r="AW257" s="187"/>
      <c r="AX257" s="187"/>
      <c r="AY257" s="187"/>
      <c r="AZ257" s="187"/>
      <c r="BA257" s="187"/>
      <c r="BB257" s="187"/>
      <c r="BC257" s="187"/>
      <c r="BD257" s="187"/>
      <c r="BE257" s="187"/>
      <c r="BF257" s="187"/>
      <c r="BG257" s="187"/>
      <c r="BH257" s="187"/>
      <c r="BI257" s="187"/>
      <c r="BJ257" s="187"/>
      <c r="BK257" s="187"/>
      <c r="BL257" s="187"/>
      <c r="BM257" s="187"/>
      <c r="BN257" s="187"/>
      <c r="BO257" s="187"/>
      <c r="BP257" s="187"/>
      <c r="BQ257" s="187"/>
      <c r="BR257" s="187"/>
      <c r="BS257" s="187"/>
      <c r="BT257" s="187"/>
      <c r="BU257" s="187"/>
      <c r="BV257" s="187"/>
      <c r="BW257" s="187"/>
      <c r="BX257" s="187"/>
      <c r="BY257" s="187"/>
      <c r="BZ257" s="187"/>
      <c r="CA257" s="187"/>
      <c r="CB257" s="187"/>
      <c r="CC257" s="187"/>
      <c r="CD257" s="187"/>
      <c r="CE257" s="187"/>
      <c r="CF257" s="187"/>
      <c r="CG257" s="187"/>
      <c r="CH257" s="187"/>
      <c r="CI257" s="187"/>
      <c r="CJ257" s="187"/>
      <c r="CK257" s="187"/>
      <c r="CL257" s="187"/>
      <c r="CM257" s="187"/>
      <c r="CN257" s="187"/>
      <c r="CO257" s="187"/>
      <c r="CP257" s="187"/>
      <c r="CQ257" s="187"/>
      <c r="CR257" s="187"/>
      <c r="CS257" s="187"/>
      <c r="CT257" s="187"/>
      <c r="CU257" s="187"/>
      <c r="CV257" s="187"/>
      <c r="CW257" s="187"/>
      <c r="CX257" s="187"/>
      <c r="CY257" s="187"/>
      <c r="CZ257" s="187"/>
      <c r="DA257" s="187"/>
      <c r="DB257" s="187"/>
      <c r="DC257" s="187"/>
      <c r="DD257" s="187"/>
      <c r="DE257" s="187"/>
      <c r="DF257" s="187"/>
      <c r="DG257" s="187"/>
      <c r="DH257" s="187"/>
      <c r="DI257" s="187"/>
      <c r="DJ257" s="187"/>
      <c r="DK257" s="187"/>
      <c r="DL257" s="187"/>
      <c r="DM257" s="187"/>
      <c r="DN257" s="187"/>
      <c r="DO257" s="187"/>
      <c r="DP257" s="187"/>
      <c r="DQ257" s="187"/>
      <c r="DR257" s="187"/>
      <c r="DS257" s="187"/>
      <c r="DT257" s="187"/>
      <c r="DU257" s="187"/>
      <c r="DV257" s="187"/>
      <c r="DW257" s="187"/>
      <c r="DX257" s="187"/>
      <c r="DY257" s="187"/>
      <c r="DZ257" s="187"/>
      <c r="EA257" s="187"/>
      <c r="EB257" s="187"/>
      <c r="EC257" s="187"/>
      <c r="ED257" s="187"/>
      <c r="EE257" s="187"/>
      <c r="EF257" s="187"/>
      <c r="EG257" s="187"/>
      <c r="EH257" s="187"/>
      <c r="EI257" s="187"/>
      <c r="EJ257" s="187"/>
      <c r="EK257" s="187"/>
      <c r="EL257" s="187"/>
      <c r="EM257" s="187"/>
      <c r="EN257" s="187"/>
      <c r="EO257" s="187"/>
    </row>
    <row r="258" spans="2:145" ht="13.9" customHeight="1" x14ac:dyDescent="0.2"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  <c r="AA258" s="187"/>
      <c r="AB258" s="187"/>
      <c r="AC258" s="187"/>
      <c r="AD258" s="187"/>
      <c r="AE258" s="187"/>
      <c r="AF258" s="187"/>
      <c r="AG258" s="187"/>
      <c r="AH258" s="187"/>
      <c r="AI258" s="187"/>
      <c r="AJ258" s="187"/>
      <c r="AK258" s="187"/>
      <c r="AL258" s="187"/>
      <c r="AM258" s="187"/>
      <c r="AN258" s="187"/>
      <c r="AO258" s="187"/>
      <c r="AP258" s="187"/>
      <c r="AQ258" s="187"/>
      <c r="AR258" s="187"/>
      <c r="AS258" s="187"/>
      <c r="AT258" s="187"/>
      <c r="AU258" s="187"/>
      <c r="AV258" s="187"/>
      <c r="AW258" s="187"/>
      <c r="AX258" s="187"/>
      <c r="AY258" s="187"/>
      <c r="AZ258" s="187"/>
      <c r="BA258" s="187"/>
      <c r="BB258" s="187"/>
      <c r="BC258" s="187"/>
      <c r="BD258" s="187"/>
      <c r="BE258" s="187"/>
      <c r="BF258" s="187"/>
      <c r="BG258" s="187"/>
      <c r="BH258" s="187"/>
      <c r="BI258" s="187"/>
      <c r="BJ258" s="187"/>
      <c r="BK258" s="187"/>
      <c r="BL258" s="187"/>
      <c r="BM258" s="187"/>
      <c r="BN258" s="187"/>
      <c r="BO258" s="187"/>
      <c r="BP258" s="187"/>
      <c r="BQ258" s="187"/>
      <c r="BR258" s="187"/>
      <c r="BS258" s="187"/>
      <c r="BT258" s="187"/>
      <c r="BU258" s="187"/>
      <c r="BV258" s="187"/>
      <c r="BW258" s="187"/>
      <c r="BX258" s="187"/>
      <c r="BY258" s="187"/>
      <c r="BZ258" s="187"/>
      <c r="CA258" s="187"/>
      <c r="CB258" s="187"/>
      <c r="CC258" s="187"/>
      <c r="CD258" s="187"/>
      <c r="CE258" s="187"/>
      <c r="CF258" s="187"/>
      <c r="CG258" s="187"/>
      <c r="CH258" s="187"/>
      <c r="CI258" s="187"/>
      <c r="CJ258" s="187"/>
      <c r="CK258" s="187"/>
      <c r="CL258" s="187"/>
      <c r="CM258" s="187"/>
      <c r="CN258" s="187"/>
      <c r="CO258" s="187"/>
      <c r="CP258" s="187"/>
      <c r="CQ258" s="187"/>
      <c r="CR258" s="187"/>
      <c r="CS258" s="187"/>
      <c r="CT258" s="187"/>
      <c r="CU258" s="187"/>
      <c r="CV258" s="187"/>
      <c r="CW258" s="187"/>
      <c r="CX258" s="187"/>
      <c r="CY258" s="187"/>
      <c r="CZ258" s="187"/>
      <c r="DA258" s="187"/>
      <c r="DB258" s="187"/>
      <c r="DC258" s="187"/>
      <c r="DD258" s="187"/>
      <c r="DE258" s="187"/>
      <c r="DF258" s="187"/>
      <c r="DG258" s="187"/>
      <c r="DH258" s="187"/>
      <c r="DI258" s="187"/>
      <c r="DJ258" s="187"/>
      <c r="DK258" s="187"/>
      <c r="DL258" s="187"/>
      <c r="DM258" s="187"/>
      <c r="DN258" s="187"/>
      <c r="DO258" s="187"/>
      <c r="DP258" s="187"/>
      <c r="DQ258" s="187"/>
      <c r="DR258" s="187"/>
      <c r="DS258" s="187"/>
      <c r="DT258" s="187"/>
      <c r="DU258" s="187"/>
      <c r="DV258" s="187"/>
      <c r="DW258" s="187"/>
      <c r="DX258" s="187"/>
      <c r="DY258" s="187"/>
      <c r="DZ258" s="187"/>
      <c r="EA258" s="187"/>
      <c r="EB258" s="187"/>
      <c r="EC258" s="187"/>
      <c r="ED258" s="187"/>
      <c r="EE258" s="187"/>
      <c r="EF258" s="187"/>
      <c r="EG258" s="187"/>
      <c r="EH258" s="187"/>
      <c r="EI258" s="187"/>
      <c r="EJ258" s="187"/>
      <c r="EK258" s="187"/>
      <c r="EL258" s="187"/>
      <c r="EM258" s="187"/>
      <c r="EN258" s="187"/>
      <c r="EO258" s="187"/>
    </row>
    <row r="259" spans="2:145" ht="13.9" customHeight="1" x14ac:dyDescent="0.2"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  <c r="AA259" s="187"/>
      <c r="AB259" s="187"/>
      <c r="AC259" s="187"/>
      <c r="AD259" s="187"/>
      <c r="AE259" s="187"/>
      <c r="AF259" s="187"/>
      <c r="AG259" s="187"/>
      <c r="AH259" s="187"/>
      <c r="AI259" s="187"/>
      <c r="AJ259" s="187"/>
      <c r="AK259" s="187"/>
      <c r="AL259" s="187"/>
      <c r="AM259" s="187"/>
      <c r="AN259" s="187"/>
      <c r="AO259" s="187"/>
      <c r="AP259" s="187"/>
      <c r="AQ259" s="187"/>
      <c r="AR259" s="187"/>
      <c r="AS259" s="187"/>
      <c r="AT259" s="187"/>
      <c r="AU259" s="187"/>
      <c r="AV259" s="187"/>
      <c r="AW259" s="187"/>
      <c r="AX259" s="187"/>
      <c r="AY259" s="187"/>
      <c r="AZ259" s="187"/>
      <c r="BA259" s="187"/>
      <c r="BB259" s="187"/>
      <c r="BC259" s="187"/>
      <c r="BD259" s="187"/>
      <c r="BE259" s="187"/>
      <c r="BF259" s="187"/>
      <c r="BG259" s="187"/>
      <c r="BH259" s="187"/>
      <c r="BI259" s="187"/>
      <c r="BJ259" s="187"/>
      <c r="BK259" s="187"/>
      <c r="BL259" s="187"/>
      <c r="BM259" s="187"/>
      <c r="BN259" s="187"/>
      <c r="BO259" s="187"/>
      <c r="BP259" s="187"/>
      <c r="BQ259" s="187"/>
      <c r="BR259" s="187"/>
      <c r="BS259" s="187"/>
      <c r="BT259" s="187"/>
      <c r="BU259" s="187"/>
      <c r="BV259" s="187"/>
      <c r="BW259" s="187"/>
      <c r="BX259" s="187"/>
      <c r="BY259" s="187"/>
      <c r="BZ259" s="187"/>
      <c r="CA259" s="187"/>
      <c r="CB259" s="187"/>
      <c r="CC259" s="187"/>
      <c r="CD259" s="187"/>
      <c r="CE259" s="187"/>
      <c r="CF259" s="187"/>
      <c r="CG259" s="187"/>
      <c r="CH259" s="187"/>
      <c r="CI259" s="187"/>
      <c r="CJ259" s="187"/>
      <c r="CK259" s="187"/>
      <c r="CL259" s="187"/>
      <c r="CM259" s="187"/>
      <c r="CN259" s="187"/>
      <c r="CO259" s="187"/>
      <c r="CP259" s="187"/>
      <c r="CQ259" s="187"/>
      <c r="CR259" s="187"/>
      <c r="CS259" s="187"/>
      <c r="CT259" s="187"/>
      <c r="CU259" s="187"/>
      <c r="CV259" s="187"/>
      <c r="CW259" s="187"/>
      <c r="CX259" s="187"/>
      <c r="CY259" s="187"/>
      <c r="CZ259" s="187"/>
      <c r="DA259" s="187"/>
      <c r="DB259" s="187"/>
      <c r="DC259" s="187"/>
      <c r="DD259" s="187"/>
      <c r="DE259" s="187"/>
      <c r="DF259" s="187"/>
      <c r="DG259" s="187"/>
      <c r="DH259" s="187"/>
      <c r="DI259" s="187"/>
      <c r="DJ259" s="187"/>
      <c r="DK259" s="187"/>
      <c r="DL259" s="187"/>
      <c r="DM259" s="187"/>
      <c r="DN259" s="187"/>
      <c r="DO259" s="187"/>
      <c r="DP259" s="187"/>
      <c r="DQ259" s="187"/>
      <c r="DR259" s="187"/>
      <c r="DS259" s="187"/>
      <c r="DT259" s="187"/>
      <c r="DU259" s="187"/>
      <c r="DV259" s="187"/>
      <c r="DW259" s="187"/>
      <c r="DX259" s="187"/>
      <c r="DY259" s="187"/>
      <c r="DZ259" s="187"/>
      <c r="EA259" s="187"/>
      <c r="EB259" s="187"/>
      <c r="EC259" s="187"/>
      <c r="ED259" s="187"/>
      <c r="EE259" s="187"/>
      <c r="EF259" s="187"/>
      <c r="EG259" s="187"/>
      <c r="EH259" s="187"/>
      <c r="EI259" s="187"/>
      <c r="EJ259" s="187"/>
      <c r="EK259" s="187"/>
      <c r="EL259" s="187"/>
      <c r="EM259" s="187"/>
      <c r="EN259" s="187"/>
      <c r="EO259" s="187"/>
    </row>
    <row r="260" spans="2:145" ht="13.9" customHeight="1" x14ac:dyDescent="0.2"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  <c r="AA260" s="187"/>
      <c r="AB260" s="187"/>
      <c r="AC260" s="187"/>
      <c r="AD260" s="187"/>
      <c r="AE260" s="187"/>
      <c r="AF260" s="187"/>
      <c r="AG260" s="187"/>
      <c r="AH260" s="187"/>
      <c r="AI260" s="187"/>
      <c r="AJ260" s="187"/>
      <c r="AK260" s="187"/>
      <c r="AL260" s="187"/>
      <c r="AM260" s="187"/>
      <c r="AN260" s="187"/>
      <c r="AO260" s="187"/>
      <c r="AP260" s="187"/>
      <c r="AQ260" s="187"/>
      <c r="AR260" s="187"/>
      <c r="AS260" s="187"/>
      <c r="AT260" s="187"/>
      <c r="AU260" s="187"/>
      <c r="AV260" s="187"/>
      <c r="AW260" s="187"/>
      <c r="AX260" s="187"/>
      <c r="AY260" s="187"/>
      <c r="AZ260" s="187"/>
      <c r="BA260" s="187"/>
      <c r="BB260" s="187"/>
      <c r="BC260" s="187"/>
      <c r="BD260" s="187"/>
      <c r="BE260" s="187"/>
      <c r="BF260" s="187"/>
      <c r="BG260" s="187"/>
      <c r="BH260" s="187"/>
      <c r="BI260" s="187"/>
      <c r="BJ260" s="187"/>
      <c r="BK260" s="187"/>
      <c r="BL260" s="187"/>
      <c r="BM260" s="187"/>
      <c r="BN260" s="187"/>
      <c r="BO260" s="187"/>
      <c r="BP260" s="187"/>
      <c r="BQ260" s="187"/>
      <c r="BR260" s="187"/>
      <c r="BS260" s="187"/>
      <c r="BT260" s="187"/>
      <c r="BU260" s="187"/>
      <c r="BV260" s="187"/>
      <c r="BW260" s="187"/>
      <c r="BX260" s="187"/>
      <c r="BY260" s="187"/>
      <c r="BZ260" s="187"/>
      <c r="CA260" s="187"/>
      <c r="CB260" s="187"/>
      <c r="CC260" s="187"/>
      <c r="CD260" s="187"/>
      <c r="CE260" s="187"/>
      <c r="CF260" s="187"/>
      <c r="CG260" s="187"/>
      <c r="CH260" s="187"/>
      <c r="CI260" s="187"/>
      <c r="CJ260" s="187"/>
      <c r="CK260" s="187"/>
      <c r="CL260" s="187"/>
      <c r="CM260" s="187"/>
      <c r="CN260" s="187"/>
      <c r="CO260" s="187"/>
      <c r="CP260" s="187"/>
      <c r="CQ260" s="187"/>
      <c r="CR260" s="187"/>
      <c r="CS260" s="187"/>
      <c r="CT260" s="187"/>
      <c r="CU260" s="187"/>
      <c r="CV260" s="187"/>
      <c r="CW260" s="187"/>
      <c r="CX260" s="187"/>
      <c r="CY260" s="187"/>
      <c r="CZ260" s="187"/>
      <c r="DA260" s="187"/>
      <c r="DB260" s="187"/>
      <c r="DC260" s="187"/>
      <c r="DD260" s="187"/>
      <c r="DE260" s="187"/>
      <c r="DF260" s="187"/>
      <c r="DG260" s="187"/>
      <c r="DH260" s="187"/>
      <c r="DI260" s="187"/>
      <c r="DJ260" s="187"/>
      <c r="DK260" s="187"/>
      <c r="DL260" s="187"/>
      <c r="DM260" s="187"/>
      <c r="DN260" s="187"/>
      <c r="DO260" s="187"/>
      <c r="DP260" s="187"/>
      <c r="DQ260" s="187"/>
      <c r="DR260" s="187"/>
      <c r="DS260" s="187"/>
      <c r="DT260" s="187"/>
      <c r="DU260" s="187"/>
      <c r="DV260" s="187"/>
      <c r="DW260" s="187"/>
      <c r="DX260" s="187"/>
      <c r="DY260" s="187"/>
      <c r="DZ260" s="187"/>
      <c r="EA260" s="187"/>
      <c r="EB260" s="187"/>
      <c r="EC260" s="187"/>
      <c r="ED260" s="187"/>
      <c r="EE260" s="187"/>
      <c r="EF260" s="187"/>
      <c r="EG260" s="187"/>
      <c r="EH260" s="187"/>
      <c r="EI260" s="187"/>
      <c r="EJ260" s="187"/>
      <c r="EK260" s="187"/>
      <c r="EL260" s="187"/>
      <c r="EM260" s="187"/>
      <c r="EN260" s="187"/>
      <c r="EO260" s="187"/>
    </row>
    <row r="261" spans="2:145" ht="13.9" customHeight="1" x14ac:dyDescent="0.2"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  <c r="AA261" s="187"/>
      <c r="AB261" s="187"/>
      <c r="AC261" s="187"/>
      <c r="AD261" s="187"/>
      <c r="AE261" s="187"/>
      <c r="AF261" s="187"/>
      <c r="AG261" s="187"/>
      <c r="AH261" s="187"/>
      <c r="AI261" s="187"/>
      <c r="AJ261" s="187"/>
      <c r="AK261" s="187"/>
      <c r="AL261" s="187"/>
      <c r="AM261" s="187"/>
      <c r="AN261" s="187"/>
      <c r="AO261" s="187"/>
      <c r="AP261" s="187"/>
      <c r="AQ261" s="187"/>
      <c r="AR261" s="187"/>
      <c r="AS261" s="187"/>
      <c r="AT261" s="187"/>
      <c r="AU261" s="187"/>
      <c r="AV261" s="187"/>
      <c r="AW261" s="187"/>
      <c r="AX261" s="187"/>
      <c r="AY261" s="187"/>
      <c r="AZ261" s="187"/>
      <c r="BA261" s="187"/>
      <c r="BB261" s="187"/>
      <c r="BC261" s="187"/>
      <c r="BD261" s="187"/>
      <c r="BE261" s="187"/>
      <c r="BF261" s="187"/>
      <c r="BG261" s="187"/>
      <c r="BH261" s="187"/>
      <c r="BI261" s="187"/>
      <c r="BJ261" s="187"/>
      <c r="BK261" s="187"/>
      <c r="BL261" s="187"/>
      <c r="BM261" s="187"/>
      <c r="BN261" s="187"/>
      <c r="BO261" s="187"/>
      <c r="BP261" s="187"/>
      <c r="BQ261" s="187"/>
      <c r="BR261" s="187"/>
      <c r="BS261" s="187"/>
      <c r="BT261" s="187"/>
      <c r="BU261" s="187"/>
      <c r="BV261" s="187"/>
      <c r="BW261" s="187"/>
      <c r="BX261" s="187"/>
      <c r="BY261" s="187"/>
      <c r="BZ261" s="187"/>
      <c r="CA261" s="187"/>
      <c r="CB261" s="187"/>
      <c r="CC261" s="187"/>
      <c r="CD261" s="187"/>
      <c r="CE261" s="187"/>
      <c r="CF261" s="187"/>
      <c r="CG261" s="187"/>
      <c r="CH261" s="187"/>
      <c r="CI261" s="187"/>
      <c r="CJ261" s="187"/>
      <c r="CK261" s="187"/>
      <c r="CL261" s="187"/>
      <c r="CM261" s="187"/>
      <c r="CN261" s="187"/>
      <c r="CO261" s="187"/>
      <c r="CP261" s="187"/>
      <c r="CQ261" s="187"/>
      <c r="CR261" s="187"/>
      <c r="CS261" s="187"/>
      <c r="CT261" s="187"/>
      <c r="CU261" s="187"/>
      <c r="CV261" s="187"/>
      <c r="CW261" s="187"/>
      <c r="CX261" s="187"/>
      <c r="CY261" s="187"/>
      <c r="CZ261" s="187"/>
      <c r="DA261" s="187"/>
      <c r="DB261" s="187"/>
      <c r="DC261" s="187"/>
      <c r="DD261" s="187"/>
      <c r="DE261" s="187"/>
      <c r="DF261" s="187"/>
      <c r="DG261" s="187"/>
      <c r="DH261" s="187"/>
      <c r="DI261" s="187"/>
      <c r="DJ261" s="187"/>
      <c r="DK261" s="187"/>
      <c r="DL261" s="187"/>
      <c r="DM261" s="187"/>
      <c r="DN261" s="187"/>
      <c r="DO261" s="187"/>
      <c r="DP261" s="187"/>
      <c r="DQ261" s="187"/>
      <c r="DR261" s="187"/>
      <c r="DS261" s="187"/>
      <c r="DT261" s="187"/>
      <c r="DU261" s="187"/>
      <c r="DV261" s="187"/>
      <c r="DW261" s="187"/>
      <c r="DX261" s="187"/>
      <c r="DY261" s="187"/>
      <c r="DZ261" s="187"/>
      <c r="EA261" s="187"/>
      <c r="EB261" s="187"/>
      <c r="EC261" s="187"/>
      <c r="ED261" s="187"/>
      <c r="EE261" s="187"/>
      <c r="EF261" s="187"/>
      <c r="EG261" s="187"/>
      <c r="EH261" s="187"/>
      <c r="EI261" s="187"/>
      <c r="EJ261" s="187"/>
      <c r="EK261" s="187"/>
      <c r="EL261" s="187"/>
      <c r="EM261" s="187"/>
      <c r="EN261" s="187"/>
      <c r="EO261" s="187"/>
    </row>
    <row r="262" spans="2:145" ht="13.9" customHeight="1" x14ac:dyDescent="0.2"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  <c r="AA262" s="187"/>
      <c r="AB262" s="187"/>
      <c r="AC262" s="187"/>
      <c r="AD262" s="187"/>
      <c r="AE262" s="187"/>
      <c r="AF262" s="187"/>
      <c r="AG262" s="187"/>
      <c r="AH262" s="187"/>
      <c r="AI262" s="187"/>
      <c r="AJ262" s="187"/>
      <c r="AK262" s="187"/>
      <c r="AL262" s="187"/>
      <c r="AM262" s="187"/>
      <c r="AN262" s="187"/>
      <c r="AO262" s="187"/>
      <c r="AP262" s="187"/>
      <c r="AQ262" s="187"/>
      <c r="AR262" s="187"/>
      <c r="AS262" s="187"/>
      <c r="AT262" s="187"/>
      <c r="AU262" s="187"/>
      <c r="AV262" s="187"/>
      <c r="AW262" s="187"/>
      <c r="AX262" s="187"/>
      <c r="AY262" s="187"/>
      <c r="AZ262" s="187"/>
      <c r="BA262" s="187"/>
      <c r="BB262" s="187"/>
      <c r="BC262" s="187"/>
      <c r="BD262" s="187"/>
      <c r="BE262" s="187"/>
      <c r="BF262" s="187"/>
      <c r="BG262" s="187"/>
      <c r="BH262" s="187"/>
      <c r="BI262" s="187"/>
      <c r="BJ262" s="187"/>
      <c r="BK262" s="187"/>
      <c r="BL262" s="187"/>
      <c r="BM262" s="187"/>
      <c r="BN262" s="187"/>
      <c r="BO262" s="187"/>
      <c r="BP262" s="187"/>
      <c r="BQ262" s="187"/>
      <c r="BR262" s="187"/>
      <c r="BS262" s="187"/>
      <c r="BT262" s="187"/>
      <c r="BU262" s="187"/>
      <c r="BV262" s="187"/>
      <c r="BW262" s="187"/>
      <c r="BX262" s="187"/>
      <c r="BY262" s="187"/>
      <c r="BZ262" s="187"/>
      <c r="CA262" s="187"/>
      <c r="CB262" s="187"/>
      <c r="CC262" s="187"/>
      <c r="CD262" s="187"/>
      <c r="CE262" s="187"/>
      <c r="CF262" s="187"/>
      <c r="CG262" s="187"/>
      <c r="CH262" s="187"/>
      <c r="CI262" s="187"/>
      <c r="CJ262" s="187"/>
      <c r="CK262" s="187"/>
      <c r="CL262" s="187"/>
      <c r="CM262" s="187"/>
      <c r="CN262" s="187"/>
      <c r="CO262" s="187"/>
      <c r="CP262" s="187"/>
      <c r="CQ262" s="187"/>
      <c r="CR262" s="187"/>
      <c r="CS262" s="187"/>
      <c r="CT262" s="187"/>
      <c r="CU262" s="187"/>
      <c r="CV262" s="187"/>
      <c r="CW262" s="187"/>
      <c r="CX262" s="187"/>
      <c r="CY262" s="187"/>
      <c r="CZ262" s="187"/>
      <c r="DA262" s="187"/>
      <c r="DB262" s="187"/>
      <c r="DC262" s="187"/>
      <c r="DD262" s="187"/>
      <c r="DE262" s="187"/>
      <c r="DF262" s="187"/>
      <c r="DG262" s="187"/>
      <c r="DH262" s="187"/>
      <c r="DI262" s="187"/>
      <c r="DJ262" s="187"/>
      <c r="DK262" s="187"/>
      <c r="DL262" s="187"/>
      <c r="DM262" s="187"/>
      <c r="DN262" s="187"/>
      <c r="DO262" s="187"/>
      <c r="DP262" s="187"/>
      <c r="DQ262" s="187"/>
      <c r="DR262" s="187"/>
      <c r="DS262" s="187"/>
      <c r="DT262" s="187"/>
      <c r="DU262" s="187"/>
      <c r="DV262" s="187"/>
      <c r="DW262" s="187"/>
      <c r="DX262" s="187"/>
      <c r="DY262" s="187"/>
      <c r="DZ262" s="187"/>
      <c r="EA262" s="187"/>
      <c r="EB262" s="187"/>
      <c r="EC262" s="187"/>
      <c r="ED262" s="187"/>
      <c r="EE262" s="187"/>
      <c r="EF262" s="187"/>
      <c r="EG262" s="187"/>
      <c r="EH262" s="187"/>
      <c r="EI262" s="187"/>
      <c r="EJ262" s="187"/>
      <c r="EK262" s="187"/>
      <c r="EL262" s="187"/>
      <c r="EM262" s="187"/>
      <c r="EN262" s="187"/>
      <c r="EO262" s="187"/>
    </row>
    <row r="263" spans="2:145" ht="13.9" customHeight="1" x14ac:dyDescent="0.2"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  <c r="AA263" s="187"/>
      <c r="AB263" s="187"/>
      <c r="AC263" s="187"/>
      <c r="AD263" s="187"/>
      <c r="AE263" s="187"/>
      <c r="AF263" s="187"/>
      <c r="AG263" s="187"/>
      <c r="AH263" s="187"/>
      <c r="AI263" s="187"/>
      <c r="AJ263" s="187"/>
      <c r="AK263" s="187"/>
      <c r="AL263" s="187"/>
      <c r="AM263" s="187"/>
      <c r="AN263" s="187"/>
      <c r="AO263" s="187"/>
      <c r="AP263" s="187"/>
      <c r="AQ263" s="187"/>
      <c r="AR263" s="187"/>
      <c r="AS263" s="187"/>
      <c r="AT263" s="187"/>
      <c r="AU263" s="187"/>
      <c r="AV263" s="187"/>
      <c r="AW263" s="187"/>
      <c r="AX263" s="187"/>
      <c r="AY263" s="187"/>
      <c r="AZ263" s="187"/>
      <c r="BA263" s="187"/>
      <c r="BB263" s="187"/>
      <c r="BC263" s="187"/>
      <c r="BD263" s="187"/>
      <c r="BE263" s="187"/>
      <c r="BF263" s="187"/>
      <c r="BG263" s="187"/>
      <c r="BH263" s="187"/>
      <c r="BI263" s="187"/>
      <c r="BJ263" s="187"/>
      <c r="BK263" s="187"/>
      <c r="BL263" s="187"/>
      <c r="BM263" s="187"/>
      <c r="BN263" s="187"/>
      <c r="BO263" s="187"/>
      <c r="BP263" s="187"/>
      <c r="BQ263" s="187"/>
      <c r="BR263" s="187"/>
      <c r="BS263" s="187"/>
      <c r="BT263" s="187"/>
      <c r="BU263" s="187"/>
      <c r="BV263" s="187"/>
      <c r="BW263" s="187"/>
      <c r="BX263" s="187"/>
      <c r="BY263" s="187"/>
      <c r="BZ263" s="187"/>
      <c r="CA263" s="187"/>
      <c r="CB263" s="187"/>
      <c r="CC263" s="187"/>
      <c r="CD263" s="187"/>
      <c r="CE263" s="187"/>
      <c r="CF263" s="187"/>
      <c r="CG263" s="187"/>
      <c r="CH263" s="187"/>
      <c r="CI263" s="187"/>
      <c r="CJ263" s="187"/>
      <c r="CK263" s="187"/>
      <c r="CL263" s="187"/>
      <c r="CM263" s="187"/>
      <c r="CN263" s="187"/>
      <c r="CO263" s="187"/>
      <c r="CP263" s="187"/>
      <c r="CQ263" s="187"/>
      <c r="CR263" s="187"/>
      <c r="CS263" s="187"/>
      <c r="CT263" s="187"/>
      <c r="CU263" s="187"/>
      <c r="CV263" s="187"/>
      <c r="CW263" s="187"/>
      <c r="CX263" s="187"/>
      <c r="CY263" s="187"/>
      <c r="CZ263" s="187"/>
      <c r="DA263" s="187"/>
      <c r="DB263" s="187"/>
      <c r="DC263" s="187"/>
      <c r="DD263" s="187"/>
      <c r="DE263" s="187"/>
      <c r="DF263" s="187"/>
      <c r="DG263" s="187"/>
      <c r="DH263" s="187"/>
      <c r="DI263" s="187"/>
      <c r="DJ263" s="187"/>
      <c r="DK263" s="187"/>
      <c r="DL263" s="187"/>
      <c r="DM263" s="187"/>
      <c r="DN263" s="187"/>
      <c r="DO263" s="187"/>
      <c r="DP263" s="187"/>
      <c r="DQ263" s="187"/>
      <c r="DR263" s="187"/>
      <c r="DS263" s="187"/>
      <c r="DT263" s="187"/>
      <c r="DU263" s="187"/>
      <c r="DV263" s="187"/>
      <c r="DW263" s="187"/>
      <c r="DX263" s="187"/>
      <c r="DY263" s="187"/>
      <c r="DZ263" s="187"/>
      <c r="EA263" s="187"/>
      <c r="EB263" s="187"/>
      <c r="EC263" s="187"/>
      <c r="ED263" s="187"/>
      <c r="EE263" s="187"/>
      <c r="EF263" s="187"/>
      <c r="EG263" s="187"/>
      <c r="EH263" s="187"/>
      <c r="EI263" s="187"/>
      <c r="EJ263" s="187"/>
      <c r="EK263" s="187"/>
      <c r="EL263" s="187"/>
      <c r="EM263" s="187"/>
      <c r="EN263" s="187"/>
      <c r="EO263" s="187"/>
    </row>
    <row r="264" spans="2:145" ht="13.9" customHeight="1" x14ac:dyDescent="0.2"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  <c r="AA264" s="187"/>
      <c r="AB264" s="187"/>
      <c r="AC264" s="187"/>
      <c r="AD264" s="187"/>
      <c r="AE264" s="187"/>
      <c r="AF264" s="187"/>
      <c r="AG264" s="187"/>
      <c r="AH264" s="187"/>
      <c r="AI264" s="187"/>
      <c r="AJ264" s="187"/>
      <c r="AK264" s="187"/>
      <c r="AL264" s="187"/>
      <c r="AM264" s="187"/>
      <c r="AN264" s="187"/>
      <c r="AO264" s="187"/>
      <c r="AP264" s="187"/>
      <c r="AQ264" s="187"/>
      <c r="AR264" s="187"/>
      <c r="AS264" s="187"/>
      <c r="AT264" s="187"/>
      <c r="AU264" s="187"/>
      <c r="AV264" s="187"/>
      <c r="AW264" s="187"/>
      <c r="AX264" s="187"/>
      <c r="AY264" s="187"/>
      <c r="AZ264" s="187"/>
      <c r="BA264" s="187"/>
      <c r="BB264" s="187"/>
      <c r="BC264" s="187"/>
      <c r="BD264" s="187"/>
      <c r="BE264" s="187"/>
      <c r="BF264" s="187"/>
      <c r="BG264" s="187"/>
      <c r="BH264" s="187"/>
      <c r="BI264" s="187"/>
      <c r="BJ264" s="187"/>
      <c r="BK264" s="187"/>
      <c r="BL264" s="187"/>
      <c r="BM264" s="187"/>
      <c r="BN264" s="187"/>
      <c r="BO264" s="187"/>
      <c r="BP264" s="187"/>
      <c r="BQ264" s="187"/>
      <c r="BR264" s="187"/>
      <c r="BS264" s="187"/>
      <c r="BT264" s="187"/>
      <c r="BU264" s="187"/>
      <c r="BV264" s="187"/>
      <c r="BW264" s="187"/>
      <c r="BX264" s="187"/>
      <c r="BY264" s="187"/>
      <c r="BZ264" s="187"/>
      <c r="CA264" s="187"/>
      <c r="CB264" s="187"/>
      <c r="CC264" s="187"/>
      <c r="CD264" s="187"/>
      <c r="CE264" s="187"/>
      <c r="CF264" s="187"/>
      <c r="CG264" s="187"/>
      <c r="CH264" s="187"/>
      <c r="CI264" s="187"/>
      <c r="CJ264" s="187"/>
      <c r="CK264" s="187"/>
      <c r="CL264" s="187"/>
      <c r="CM264" s="187"/>
      <c r="CN264" s="187"/>
      <c r="CO264" s="187"/>
      <c r="CP264" s="187"/>
      <c r="CQ264" s="187"/>
      <c r="CR264" s="187"/>
      <c r="CS264" s="187"/>
      <c r="CT264" s="187"/>
      <c r="CU264" s="187"/>
      <c r="CV264" s="187"/>
      <c r="CW264" s="187"/>
      <c r="CX264" s="187"/>
      <c r="CY264" s="187"/>
      <c r="CZ264" s="187"/>
      <c r="DA264" s="187"/>
      <c r="DB264" s="187"/>
      <c r="DC264" s="187"/>
      <c r="DD264" s="187"/>
      <c r="DE264" s="187"/>
      <c r="DF264" s="187"/>
      <c r="DG264" s="187"/>
      <c r="DH264" s="187"/>
      <c r="DI264" s="187"/>
      <c r="DJ264" s="187"/>
      <c r="DK264" s="187"/>
      <c r="DL264" s="187"/>
      <c r="DM264" s="187"/>
      <c r="DN264" s="187"/>
      <c r="DO264" s="187"/>
      <c r="DP264" s="187"/>
      <c r="DQ264" s="187"/>
      <c r="DR264" s="187"/>
      <c r="DS264" s="187"/>
      <c r="DT264" s="187"/>
      <c r="DU264" s="187"/>
      <c r="DV264" s="187"/>
      <c r="DW264" s="187"/>
      <c r="DX264" s="187"/>
      <c r="DY264" s="187"/>
      <c r="DZ264" s="187"/>
      <c r="EA264" s="187"/>
      <c r="EB264" s="187"/>
      <c r="EC264" s="187"/>
      <c r="ED264" s="187"/>
      <c r="EE264" s="187"/>
      <c r="EF264" s="187"/>
      <c r="EG264" s="187"/>
      <c r="EH264" s="187"/>
      <c r="EI264" s="187"/>
      <c r="EJ264" s="187"/>
      <c r="EK264" s="187"/>
      <c r="EL264" s="187"/>
      <c r="EM264" s="187"/>
      <c r="EN264" s="187"/>
      <c r="EO264" s="187"/>
    </row>
    <row r="265" spans="2:145" ht="13.9" customHeight="1" x14ac:dyDescent="0.2"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  <c r="AA265" s="187"/>
      <c r="AB265" s="187"/>
      <c r="AC265" s="187"/>
      <c r="AD265" s="187"/>
      <c r="AE265" s="187"/>
      <c r="AF265" s="187"/>
      <c r="AG265" s="187"/>
      <c r="AH265" s="187"/>
      <c r="AI265" s="187"/>
      <c r="AJ265" s="187"/>
      <c r="AK265" s="187"/>
      <c r="AL265" s="187"/>
      <c r="AM265" s="187"/>
      <c r="AN265" s="187"/>
      <c r="AO265" s="187"/>
      <c r="AP265" s="187"/>
      <c r="AQ265" s="187"/>
      <c r="AR265" s="187"/>
      <c r="AS265" s="187"/>
      <c r="AT265" s="187"/>
      <c r="AU265" s="187"/>
      <c r="AV265" s="187"/>
      <c r="AW265" s="187"/>
      <c r="AX265" s="187"/>
      <c r="AY265" s="187"/>
      <c r="AZ265" s="187"/>
      <c r="BA265" s="187"/>
      <c r="BB265" s="187"/>
      <c r="BC265" s="187"/>
      <c r="BD265" s="187"/>
      <c r="BE265" s="187"/>
      <c r="BF265" s="187"/>
      <c r="BG265" s="187"/>
      <c r="BH265" s="187"/>
      <c r="BI265" s="187"/>
      <c r="BJ265" s="187"/>
      <c r="BK265" s="187"/>
      <c r="BL265" s="187"/>
      <c r="BM265" s="187"/>
      <c r="BN265" s="187"/>
      <c r="BO265" s="187"/>
      <c r="BP265" s="187"/>
      <c r="BQ265" s="187"/>
      <c r="BR265" s="187"/>
      <c r="BS265" s="187"/>
      <c r="BT265" s="187"/>
      <c r="BU265" s="187"/>
      <c r="BV265" s="187"/>
      <c r="BW265" s="187"/>
      <c r="BX265" s="187"/>
      <c r="BY265" s="187"/>
      <c r="BZ265" s="187"/>
      <c r="CA265" s="187"/>
      <c r="CB265" s="187"/>
      <c r="CC265" s="187"/>
      <c r="CD265" s="187"/>
      <c r="CE265" s="187"/>
      <c r="CF265" s="187"/>
      <c r="CG265" s="187"/>
      <c r="CH265" s="187"/>
      <c r="CI265" s="187"/>
      <c r="CJ265" s="187"/>
      <c r="CK265" s="187"/>
      <c r="CL265" s="187"/>
      <c r="CM265" s="187"/>
      <c r="CN265" s="187"/>
      <c r="CO265" s="187"/>
      <c r="CP265" s="187"/>
      <c r="CQ265" s="187"/>
      <c r="CR265" s="187"/>
      <c r="CS265" s="187"/>
      <c r="CT265" s="187"/>
      <c r="CU265" s="187"/>
      <c r="CV265" s="187"/>
      <c r="CW265" s="187"/>
      <c r="CX265" s="187"/>
      <c r="CY265" s="187"/>
      <c r="CZ265" s="187"/>
      <c r="DA265" s="187"/>
      <c r="DB265" s="187"/>
      <c r="DC265" s="187"/>
      <c r="DD265" s="187"/>
      <c r="DE265" s="187"/>
      <c r="DF265" s="187"/>
      <c r="DG265" s="187"/>
      <c r="DH265" s="187"/>
      <c r="DI265" s="187"/>
      <c r="DJ265" s="187"/>
      <c r="DK265" s="187"/>
      <c r="DL265" s="187"/>
      <c r="DM265" s="187"/>
      <c r="DN265" s="187"/>
      <c r="DO265" s="187"/>
      <c r="DP265" s="187"/>
      <c r="DQ265" s="187"/>
      <c r="DR265" s="187"/>
      <c r="DS265" s="187"/>
      <c r="DT265" s="187"/>
      <c r="DU265" s="187"/>
      <c r="DV265" s="187"/>
      <c r="DW265" s="187"/>
      <c r="DX265" s="187"/>
      <c r="DY265" s="187"/>
      <c r="DZ265" s="187"/>
      <c r="EA265" s="187"/>
      <c r="EB265" s="187"/>
      <c r="EC265" s="187"/>
      <c r="ED265" s="187"/>
      <c r="EE265" s="187"/>
      <c r="EF265" s="187"/>
      <c r="EG265" s="187"/>
      <c r="EH265" s="187"/>
      <c r="EI265" s="187"/>
      <c r="EJ265" s="187"/>
      <c r="EK265" s="187"/>
      <c r="EL265" s="187"/>
      <c r="EM265" s="187"/>
      <c r="EN265" s="187"/>
      <c r="EO265" s="187"/>
    </row>
    <row r="266" spans="2:145" ht="13.9" customHeight="1" x14ac:dyDescent="0.2"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  <c r="AA266" s="187"/>
      <c r="AB266" s="187"/>
      <c r="AC266" s="187"/>
      <c r="AD266" s="187"/>
      <c r="AE266" s="187"/>
      <c r="AF266" s="187"/>
      <c r="AG266" s="187"/>
      <c r="AH266" s="187"/>
      <c r="AI266" s="187"/>
      <c r="AJ266" s="187"/>
      <c r="AK266" s="187"/>
      <c r="AL266" s="187"/>
      <c r="AM266" s="187"/>
      <c r="AN266" s="187"/>
      <c r="AO266" s="187"/>
      <c r="AP266" s="187"/>
      <c r="AQ266" s="187"/>
      <c r="AR266" s="187"/>
      <c r="AS266" s="187"/>
      <c r="AT266" s="187"/>
      <c r="AU266" s="187"/>
      <c r="AV266" s="187"/>
      <c r="AW266" s="187"/>
      <c r="AX266" s="187"/>
      <c r="AY266" s="187"/>
      <c r="AZ266" s="187"/>
      <c r="BA266" s="187"/>
      <c r="BB266" s="187"/>
      <c r="BC266" s="187"/>
      <c r="BD266" s="187"/>
      <c r="BE266" s="187"/>
      <c r="BF266" s="187"/>
      <c r="BG266" s="187"/>
      <c r="BH266" s="187"/>
      <c r="BI266" s="187"/>
      <c r="BJ266" s="187"/>
      <c r="BK266" s="187"/>
      <c r="BL266" s="187"/>
      <c r="BM266" s="187"/>
      <c r="BN266" s="187"/>
      <c r="BO266" s="187"/>
      <c r="BP266" s="187"/>
      <c r="BQ266" s="187"/>
      <c r="BR266" s="187"/>
      <c r="BS266" s="187"/>
      <c r="BT266" s="187"/>
      <c r="BU266" s="187"/>
      <c r="BV266" s="187"/>
      <c r="BW266" s="187"/>
      <c r="BX266" s="187"/>
      <c r="BY266" s="187"/>
      <c r="BZ266" s="187"/>
      <c r="CA266" s="187"/>
      <c r="CB266" s="187"/>
      <c r="CC266" s="187"/>
      <c r="CD266" s="187"/>
      <c r="CE266" s="187"/>
      <c r="CF266" s="187"/>
      <c r="CG266" s="187"/>
      <c r="CH266" s="187"/>
      <c r="CI266" s="187"/>
      <c r="CJ266" s="187"/>
      <c r="CK266" s="187"/>
      <c r="CL266" s="187"/>
      <c r="CM266" s="187"/>
      <c r="CN266" s="187"/>
      <c r="CO266" s="187"/>
      <c r="CP266" s="187"/>
      <c r="CQ266" s="187"/>
      <c r="CR266" s="187"/>
      <c r="CS266" s="187"/>
      <c r="CT266" s="187"/>
      <c r="CU266" s="187"/>
      <c r="CV266" s="187"/>
      <c r="CW266" s="187"/>
      <c r="CX266" s="187"/>
      <c r="CY266" s="187"/>
      <c r="CZ266" s="187"/>
      <c r="DA266" s="187"/>
      <c r="DB266" s="187"/>
      <c r="DC266" s="187"/>
      <c r="DD266" s="187"/>
      <c r="DE266" s="187"/>
      <c r="DF266" s="187"/>
      <c r="DG266" s="187"/>
      <c r="DH266" s="187"/>
      <c r="DI266" s="187"/>
      <c r="DJ266" s="187"/>
      <c r="DK266" s="187"/>
      <c r="DL266" s="187"/>
      <c r="DM266" s="187"/>
      <c r="DN266" s="187"/>
      <c r="DO266" s="187"/>
      <c r="DP266" s="187"/>
      <c r="DQ266" s="187"/>
      <c r="DR266" s="187"/>
      <c r="DS266" s="187"/>
      <c r="DT266" s="187"/>
      <c r="DU266" s="187"/>
      <c r="DV266" s="187"/>
      <c r="DW266" s="187"/>
      <c r="DX266" s="187"/>
      <c r="DY266" s="187"/>
      <c r="DZ266" s="187"/>
      <c r="EA266" s="187"/>
      <c r="EB266" s="187"/>
      <c r="EC266" s="187"/>
      <c r="ED266" s="187"/>
      <c r="EE266" s="187"/>
      <c r="EF266" s="187"/>
      <c r="EG266" s="187"/>
      <c r="EH266" s="187"/>
      <c r="EI266" s="187"/>
      <c r="EJ266" s="187"/>
      <c r="EK266" s="187"/>
      <c r="EL266" s="187"/>
      <c r="EM266" s="187"/>
      <c r="EN266" s="187"/>
      <c r="EO266" s="187"/>
    </row>
    <row r="267" spans="2:145" ht="13.9" customHeight="1" x14ac:dyDescent="0.2"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  <c r="AA267" s="187"/>
      <c r="AB267" s="187"/>
      <c r="AC267" s="187"/>
      <c r="AD267" s="187"/>
      <c r="AE267" s="187"/>
      <c r="AF267" s="187"/>
      <c r="AG267" s="187"/>
      <c r="AH267" s="187"/>
      <c r="AI267" s="187"/>
      <c r="AJ267" s="187"/>
      <c r="AK267" s="187"/>
      <c r="AL267" s="187"/>
      <c r="AM267" s="187"/>
      <c r="AN267" s="187"/>
      <c r="AO267" s="187"/>
      <c r="AP267" s="187"/>
      <c r="AQ267" s="187"/>
      <c r="AR267" s="187"/>
      <c r="AS267" s="187"/>
      <c r="AT267" s="187"/>
      <c r="AU267" s="187"/>
      <c r="AV267" s="187"/>
      <c r="AW267" s="187"/>
      <c r="AX267" s="187"/>
      <c r="AY267" s="187"/>
      <c r="AZ267" s="187"/>
      <c r="BA267" s="187"/>
      <c r="BB267" s="187"/>
      <c r="BC267" s="187"/>
      <c r="BD267" s="187"/>
      <c r="BE267" s="187"/>
      <c r="BF267" s="187"/>
      <c r="BG267" s="187"/>
      <c r="BH267" s="187"/>
      <c r="BI267" s="187"/>
      <c r="BJ267" s="187"/>
      <c r="BK267" s="187"/>
      <c r="BL267" s="187"/>
      <c r="BM267" s="187"/>
      <c r="BN267" s="187"/>
      <c r="BO267" s="187"/>
      <c r="BP267" s="187"/>
      <c r="BQ267" s="187"/>
      <c r="BR267" s="187"/>
      <c r="BS267" s="187"/>
      <c r="BT267" s="187"/>
      <c r="BU267" s="187"/>
      <c r="BV267" s="187"/>
      <c r="BW267" s="187"/>
      <c r="BX267" s="187"/>
      <c r="BY267" s="187"/>
      <c r="BZ267" s="187"/>
      <c r="CA267" s="187"/>
      <c r="CB267" s="187"/>
      <c r="CC267" s="187"/>
      <c r="CD267" s="187"/>
      <c r="CE267" s="187"/>
      <c r="CF267" s="187"/>
      <c r="CG267" s="187"/>
      <c r="CH267" s="187"/>
      <c r="CI267" s="187"/>
      <c r="CJ267" s="187"/>
      <c r="CK267" s="187"/>
      <c r="CL267" s="187"/>
      <c r="CM267" s="187"/>
      <c r="CN267" s="187"/>
      <c r="CO267" s="187"/>
      <c r="CP267" s="187"/>
      <c r="CQ267" s="187"/>
      <c r="CR267" s="187"/>
      <c r="CS267" s="187"/>
      <c r="CT267" s="187"/>
      <c r="CU267" s="187"/>
      <c r="CV267" s="187"/>
      <c r="CW267" s="187"/>
      <c r="CX267" s="187"/>
      <c r="CY267" s="187"/>
      <c r="CZ267" s="187"/>
      <c r="DA267" s="187"/>
      <c r="DB267" s="187"/>
      <c r="DC267" s="187"/>
      <c r="DD267" s="187"/>
      <c r="DE267" s="187"/>
      <c r="DF267" s="187"/>
      <c r="DG267" s="187"/>
      <c r="DH267" s="187"/>
      <c r="DI267" s="187"/>
      <c r="DJ267" s="187"/>
      <c r="DK267" s="187"/>
      <c r="DL267" s="187"/>
      <c r="DM267" s="187"/>
      <c r="DN267" s="187"/>
      <c r="DO267" s="187"/>
      <c r="DP267" s="187"/>
      <c r="DQ267" s="187"/>
      <c r="DR267" s="187"/>
      <c r="DS267" s="187"/>
      <c r="DT267" s="187"/>
      <c r="DU267" s="187"/>
      <c r="DV267" s="187"/>
      <c r="DW267" s="187"/>
      <c r="DX267" s="187"/>
      <c r="DY267" s="187"/>
      <c r="DZ267" s="187"/>
      <c r="EA267" s="187"/>
      <c r="EB267" s="187"/>
      <c r="EC267" s="187"/>
      <c r="ED267" s="187"/>
      <c r="EE267" s="187"/>
      <c r="EF267" s="187"/>
      <c r="EG267" s="187"/>
      <c r="EH267" s="187"/>
      <c r="EI267" s="187"/>
      <c r="EJ267" s="187"/>
      <c r="EK267" s="187"/>
      <c r="EL267" s="187"/>
      <c r="EM267" s="187"/>
      <c r="EN267" s="187"/>
      <c r="EO267" s="187"/>
    </row>
    <row r="268" spans="2:145" ht="13.9" customHeight="1" x14ac:dyDescent="0.2"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  <c r="AA268" s="187"/>
      <c r="AB268" s="187"/>
      <c r="AC268" s="187"/>
      <c r="AD268" s="187"/>
      <c r="AE268" s="187"/>
      <c r="AF268" s="187"/>
      <c r="AG268" s="187"/>
      <c r="AH268" s="187"/>
      <c r="AI268" s="187"/>
      <c r="AJ268" s="187"/>
      <c r="AK268" s="187"/>
      <c r="AL268" s="187"/>
      <c r="AM268" s="187"/>
      <c r="AN268" s="187"/>
      <c r="AO268" s="187"/>
      <c r="AP268" s="187"/>
      <c r="AQ268" s="187"/>
      <c r="AR268" s="187"/>
      <c r="AS268" s="187"/>
      <c r="AT268" s="187"/>
      <c r="AU268" s="187"/>
      <c r="AV268" s="187"/>
      <c r="AW268" s="187"/>
      <c r="AX268" s="187"/>
      <c r="AY268" s="187"/>
      <c r="AZ268" s="187"/>
      <c r="BA268" s="187"/>
      <c r="BB268" s="187"/>
      <c r="BC268" s="187"/>
      <c r="BD268" s="187"/>
      <c r="BE268" s="187"/>
      <c r="BF268" s="187"/>
      <c r="BG268" s="187"/>
      <c r="BH268" s="187"/>
      <c r="BI268" s="187"/>
      <c r="BJ268" s="187"/>
      <c r="BK268" s="187"/>
      <c r="BL268" s="187"/>
      <c r="BM268" s="187"/>
      <c r="BN268" s="187"/>
      <c r="BO268" s="187"/>
      <c r="BP268" s="187"/>
      <c r="BQ268" s="187"/>
      <c r="BR268" s="187"/>
      <c r="BS268" s="187"/>
      <c r="BT268" s="187"/>
      <c r="BU268" s="187"/>
      <c r="BV268" s="187"/>
      <c r="BW268" s="187"/>
      <c r="BX268" s="187"/>
      <c r="BY268" s="187"/>
      <c r="BZ268" s="187"/>
      <c r="CA268" s="187"/>
      <c r="CB268" s="187"/>
      <c r="CC268" s="187"/>
      <c r="CD268" s="187"/>
      <c r="CE268" s="187"/>
      <c r="CF268" s="187"/>
      <c r="CG268" s="187"/>
      <c r="CH268" s="187"/>
      <c r="CI268" s="187"/>
      <c r="CJ268" s="187"/>
      <c r="CK268" s="187"/>
      <c r="CL268" s="187"/>
      <c r="CM268" s="187"/>
      <c r="CN268" s="187"/>
      <c r="CO268" s="187"/>
      <c r="CP268" s="187"/>
      <c r="CQ268" s="187"/>
      <c r="CR268" s="187"/>
      <c r="CS268" s="187"/>
      <c r="CT268" s="187"/>
      <c r="CU268" s="187"/>
      <c r="CV268" s="187"/>
      <c r="CW268" s="187"/>
      <c r="CX268" s="187"/>
      <c r="CY268" s="187"/>
      <c r="CZ268" s="187"/>
      <c r="DA268" s="187"/>
      <c r="DB268" s="187"/>
      <c r="DC268" s="187"/>
      <c r="DD268" s="187"/>
      <c r="DE268" s="187"/>
      <c r="DF268" s="187"/>
      <c r="DG268" s="187"/>
      <c r="DH268" s="187"/>
      <c r="DI268" s="187"/>
      <c r="DJ268" s="187"/>
      <c r="DK268" s="187"/>
      <c r="DL268" s="187"/>
      <c r="DM268" s="187"/>
      <c r="DN268" s="187"/>
      <c r="DO268" s="187"/>
      <c r="DP268" s="187"/>
      <c r="DQ268" s="187"/>
      <c r="DR268" s="187"/>
      <c r="DS268" s="187"/>
      <c r="DT268" s="187"/>
      <c r="DU268" s="187"/>
      <c r="DV268" s="187"/>
      <c r="DW268" s="187"/>
      <c r="DX268" s="187"/>
      <c r="DY268" s="187"/>
      <c r="DZ268" s="187"/>
      <c r="EA268" s="187"/>
      <c r="EB268" s="187"/>
      <c r="EC268" s="187"/>
      <c r="ED268" s="187"/>
      <c r="EE268" s="187"/>
      <c r="EF268" s="187"/>
      <c r="EG268" s="187"/>
      <c r="EH268" s="187"/>
      <c r="EI268" s="187"/>
      <c r="EJ268" s="187"/>
      <c r="EK268" s="187"/>
      <c r="EL268" s="187"/>
      <c r="EM268" s="187"/>
      <c r="EN268" s="187"/>
      <c r="EO268" s="187"/>
    </row>
    <row r="269" spans="2:145" ht="13.9" customHeight="1" x14ac:dyDescent="0.2"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  <c r="AA269" s="187"/>
      <c r="AB269" s="187"/>
      <c r="AC269" s="187"/>
      <c r="AD269" s="187"/>
      <c r="AE269" s="187"/>
      <c r="AF269" s="187"/>
      <c r="AG269" s="187"/>
      <c r="AH269" s="187"/>
      <c r="AI269" s="187"/>
      <c r="AJ269" s="187"/>
      <c r="AK269" s="187"/>
      <c r="AL269" s="187"/>
      <c r="AM269" s="187"/>
      <c r="AN269" s="187"/>
      <c r="AO269" s="187"/>
      <c r="AP269" s="187"/>
      <c r="AQ269" s="187"/>
      <c r="AR269" s="187"/>
      <c r="AS269" s="187"/>
      <c r="AT269" s="187"/>
      <c r="AU269" s="187"/>
      <c r="AV269" s="187"/>
      <c r="AW269" s="187"/>
      <c r="AX269" s="187"/>
      <c r="AY269" s="187"/>
      <c r="AZ269" s="187"/>
      <c r="BA269" s="187"/>
      <c r="BB269" s="187"/>
      <c r="BC269" s="187"/>
      <c r="BD269" s="187"/>
      <c r="BE269" s="187"/>
      <c r="BF269" s="187"/>
      <c r="BG269" s="187"/>
      <c r="BH269" s="187"/>
      <c r="BI269" s="187"/>
      <c r="BJ269" s="187"/>
      <c r="BK269" s="187"/>
      <c r="BL269" s="187"/>
      <c r="BM269" s="187"/>
      <c r="BN269" s="187"/>
      <c r="BO269" s="187"/>
      <c r="BP269" s="187"/>
      <c r="BQ269" s="187"/>
      <c r="BR269" s="187"/>
      <c r="BS269" s="187"/>
      <c r="BT269" s="187"/>
      <c r="BU269" s="187"/>
      <c r="BV269" s="187"/>
      <c r="BW269" s="187"/>
      <c r="BX269" s="187"/>
      <c r="BY269" s="187"/>
      <c r="BZ269" s="187"/>
      <c r="CA269" s="187"/>
      <c r="CB269" s="187"/>
      <c r="CC269" s="187"/>
      <c r="CD269" s="187"/>
      <c r="CE269" s="187"/>
      <c r="CF269" s="187"/>
      <c r="CG269" s="187"/>
      <c r="CH269" s="187"/>
      <c r="CI269" s="187"/>
      <c r="CJ269" s="187"/>
      <c r="CK269" s="187"/>
      <c r="CL269" s="187"/>
      <c r="CM269" s="187"/>
      <c r="CN269" s="187"/>
      <c r="CO269" s="187"/>
      <c r="CP269" s="187"/>
      <c r="CQ269" s="187"/>
      <c r="CR269" s="187"/>
      <c r="CS269" s="187"/>
      <c r="CT269" s="187"/>
      <c r="CU269" s="187"/>
      <c r="CV269" s="187"/>
      <c r="CW269" s="187"/>
      <c r="CX269" s="187"/>
      <c r="CY269" s="187"/>
      <c r="CZ269" s="187"/>
      <c r="DA269" s="187"/>
      <c r="DB269" s="187"/>
      <c r="DC269" s="187"/>
      <c r="DD269" s="187"/>
      <c r="DE269" s="187"/>
      <c r="DF269" s="187"/>
      <c r="DG269" s="187"/>
      <c r="DH269" s="187"/>
      <c r="DI269" s="187"/>
      <c r="DJ269" s="187"/>
      <c r="DK269" s="187"/>
      <c r="DL269" s="187"/>
      <c r="DM269" s="187"/>
      <c r="DN269" s="187"/>
      <c r="DO269" s="187"/>
      <c r="DP269" s="187"/>
      <c r="DQ269" s="187"/>
      <c r="DR269" s="187"/>
      <c r="DS269" s="187"/>
      <c r="DT269" s="187"/>
      <c r="DU269" s="187"/>
      <c r="DV269" s="187"/>
      <c r="DW269" s="187"/>
      <c r="DX269" s="187"/>
      <c r="DY269" s="187"/>
      <c r="DZ269" s="187"/>
      <c r="EA269" s="187"/>
      <c r="EB269" s="187"/>
      <c r="EC269" s="187"/>
      <c r="ED269" s="187"/>
      <c r="EE269" s="187"/>
      <c r="EF269" s="187"/>
      <c r="EG269" s="187"/>
      <c r="EH269" s="187"/>
      <c r="EI269" s="187"/>
      <c r="EJ269" s="187"/>
      <c r="EK269" s="187"/>
      <c r="EL269" s="187"/>
      <c r="EM269" s="187"/>
      <c r="EN269" s="187"/>
      <c r="EO269" s="187"/>
    </row>
  </sheetData>
  <printOptions horizontalCentered="1" verticalCentered="1"/>
  <pageMargins left="0.74803149606299213" right="0.74803149606299213" top="0.98425196850393704" bottom="0.98425196850393704" header="0" footer="0"/>
  <pageSetup paperSize="9" scale="10" orientation="portrait" r:id="rId1"/>
  <headerFooter alignWithMargins="0"/>
  <colBreaks count="1" manualBreakCount="1">
    <brk id="73" max="97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31"/>
  <dimension ref="A1:BW39"/>
  <sheetViews>
    <sheetView showGridLines="0" view="pageBreakPreview" zoomScale="91" zoomScaleNormal="70" zoomScaleSheetLayoutView="90" workbookViewId="0">
      <pane xSplit="1" topLeftCell="BB1" activePane="topRight" state="frozen"/>
      <selection activeCell="IB59" sqref="IB59:JB59"/>
      <selection pane="topRight" activeCell="IB59" sqref="IB59:JB59"/>
    </sheetView>
  </sheetViews>
  <sheetFormatPr baseColWidth="10" defaultColWidth="8.7109375" defaultRowHeight="13.9" customHeight="1" x14ac:dyDescent="0.2"/>
  <cols>
    <col min="1" max="1" width="20.7109375" style="317" customWidth="1"/>
    <col min="2" max="65" width="9" style="317" customWidth="1"/>
    <col min="66" max="73" width="8.7109375" style="317"/>
    <col min="75" max="75" width="10.140625" style="317" customWidth="1"/>
    <col min="76" max="16384" width="8.7109375" style="317"/>
  </cols>
  <sheetData>
    <row r="1" spans="1:75" ht="13.9" customHeight="1" x14ac:dyDescent="0.2">
      <c r="A1" s="357" t="s">
        <v>261</v>
      </c>
    </row>
    <row r="2" spans="1:75" ht="13.9" customHeight="1" x14ac:dyDescent="0.2">
      <c r="A2" s="360" t="s">
        <v>175</v>
      </c>
      <c r="C2" s="977"/>
      <c r="D2" s="977"/>
      <c r="E2" s="977"/>
      <c r="F2" s="977"/>
      <c r="G2" s="977"/>
      <c r="H2" s="977"/>
      <c r="I2" s="977"/>
      <c r="J2" s="977"/>
      <c r="K2" s="977"/>
      <c r="L2" s="977"/>
      <c r="M2" s="977"/>
    </row>
    <row r="3" spans="1:75" ht="13.9" customHeight="1" x14ac:dyDescent="0.2">
      <c r="A3" s="322" t="s">
        <v>352</v>
      </c>
      <c r="B3" s="39">
        <f>YEAR(B4)</f>
        <v>2009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94"/>
      <c r="N3" s="39">
        <f>YEAR(N4)</f>
        <v>2010</v>
      </c>
      <c r="O3" s="40"/>
      <c r="P3" s="40"/>
      <c r="Q3" s="40"/>
      <c r="R3" s="40"/>
      <c r="S3" s="40"/>
      <c r="T3" s="40"/>
      <c r="U3" s="40"/>
      <c r="V3" s="40"/>
      <c r="W3" s="40"/>
      <c r="X3" s="40"/>
      <c r="Y3" s="94"/>
      <c r="Z3" s="39">
        <f>YEAR(Z4)</f>
        <v>2011</v>
      </c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94"/>
      <c r="AL3" s="39">
        <f>YEAR(AL4)</f>
        <v>2012</v>
      </c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94"/>
      <c r="AX3" s="39">
        <f>YEAR(AX4)</f>
        <v>2013</v>
      </c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94"/>
      <c r="BJ3" s="39">
        <f>YEAR(BJ4)</f>
        <v>2014</v>
      </c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94"/>
    </row>
    <row r="4" spans="1:75" ht="13.9" customHeight="1" x14ac:dyDescent="0.2">
      <c r="A4" s="324" t="s">
        <v>352</v>
      </c>
      <c r="B4" s="68">
        <v>39814</v>
      </c>
      <c r="C4" s="69">
        <v>39845</v>
      </c>
      <c r="D4" s="69">
        <v>39873</v>
      </c>
      <c r="E4" s="69">
        <v>39904</v>
      </c>
      <c r="F4" s="69">
        <v>39934</v>
      </c>
      <c r="G4" s="69">
        <v>39965</v>
      </c>
      <c r="H4" s="69">
        <v>39995</v>
      </c>
      <c r="I4" s="69">
        <v>40026</v>
      </c>
      <c r="J4" s="69">
        <v>40057</v>
      </c>
      <c r="K4" s="69">
        <v>40087</v>
      </c>
      <c r="L4" s="69">
        <v>40118</v>
      </c>
      <c r="M4" s="138">
        <v>40148</v>
      </c>
      <c r="N4" s="68">
        <v>40179</v>
      </c>
      <c r="O4" s="69">
        <v>40210</v>
      </c>
      <c r="P4" s="69">
        <v>40238</v>
      </c>
      <c r="Q4" s="69">
        <v>40269</v>
      </c>
      <c r="R4" s="69">
        <v>40299</v>
      </c>
      <c r="S4" s="69">
        <v>40330</v>
      </c>
      <c r="T4" s="69">
        <v>40360</v>
      </c>
      <c r="U4" s="69">
        <v>40391</v>
      </c>
      <c r="V4" s="69">
        <v>40422</v>
      </c>
      <c r="W4" s="69">
        <v>40452</v>
      </c>
      <c r="X4" s="69">
        <v>40483</v>
      </c>
      <c r="Y4" s="138">
        <v>40513</v>
      </c>
      <c r="Z4" s="68">
        <v>40544</v>
      </c>
      <c r="AA4" s="69">
        <v>40575</v>
      </c>
      <c r="AB4" s="69">
        <v>40603</v>
      </c>
      <c r="AC4" s="69">
        <v>40634</v>
      </c>
      <c r="AD4" s="69">
        <v>40664</v>
      </c>
      <c r="AE4" s="69">
        <v>40695</v>
      </c>
      <c r="AF4" s="69">
        <v>40725</v>
      </c>
      <c r="AG4" s="69">
        <v>40756</v>
      </c>
      <c r="AH4" s="69">
        <v>40787</v>
      </c>
      <c r="AI4" s="69">
        <v>40817</v>
      </c>
      <c r="AJ4" s="69">
        <v>40848</v>
      </c>
      <c r="AK4" s="138">
        <v>40878</v>
      </c>
      <c r="AL4" s="68">
        <v>40909</v>
      </c>
      <c r="AM4" s="69">
        <v>40940</v>
      </c>
      <c r="AN4" s="69">
        <v>40969</v>
      </c>
      <c r="AO4" s="69">
        <v>41000</v>
      </c>
      <c r="AP4" s="69">
        <v>41030</v>
      </c>
      <c r="AQ4" s="69">
        <v>41061</v>
      </c>
      <c r="AR4" s="69">
        <v>41091</v>
      </c>
      <c r="AS4" s="69">
        <v>41122</v>
      </c>
      <c r="AT4" s="69">
        <v>41153</v>
      </c>
      <c r="AU4" s="69">
        <v>41183</v>
      </c>
      <c r="AV4" s="69">
        <v>41214</v>
      </c>
      <c r="AW4" s="138">
        <v>41244</v>
      </c>
      <c r="AX4" s="68">
        <v>41275</v>
      </c>
      <c r="AY4" s="69">
        <v>41306</v>
      </c>
      <c r="AZ4" s="69">
        <v>41334</v>
      </c>
      <c r="BA4" s="69">
        <v>41365</v>
      </c>
      <c r="BB4" s="69">
        <v>41395</v>
      </c>
      <c r="BC4" s="69">
        <v>41426</v>
      </c>
      <c r="BD4" s="69">
        <v>41456</v>
      </c>
      <c r="BE4" s="69">
        <v>41487</v>
      </c>
      <c r="BF4" s="69">
        <v>41518</v>
      </c>
      <c r="BG4" s="69">
        <v>41548</v>
      </c>
      <c r="BH4" s="69">
        <v>41579</v>
      </c>
      <c r="BI4" s="138">
        <v>41609</v>
      </c>
      <c r="BJ4" s="68">
        <v>41640</v>
      </c>
      <c r="BK4" s="69">
        <v>41671</v>
      </c>
      <c r="BL4" s="69">
        <v>41699</v>
      </c>
      <c r="BM4" s="69">
        <v>41730</v>
      </c>
      <c r="BN4" s="69">
        <v>41760</v>
      </c>
      <c r="BO4" s="69">
        <v>41791</v>
      </c>
      <c r="BP4" s="69">
        <v>41821</v>
      </c>
      <c r="BQ4" s="69">
        <v>41852</v>
      </c>
      <c r="BR4" s="69">
        <v>41883</v>
      </c>
      <c r="BS4" s="69">
        <v>41913</v>
      </c>
      <c r="BT4" s="69">
        <v>41944</v>
      </c>
      <c r="BU4" s="138">
        <v>41974</v>
      </c>
    </row>
    <row r="5" spans="1:75" ht="13.9" customHeight="1" x14ac:dyDescent="0.2">
      <c r="A5" s="331" t="s">
        <v>352</v>
      </c>
      <c r="B5" s="333"/>
      <c r="D5" s="744"/>
      <c r="E5" s="744"/>
      <c r="F5" s="744"/>
      <c r="G5" s="744"/>
      <c r="H5" s="744"/>
      <c r="I5" s="744"/>
      <c r="J5" s="744"/>
      <c r="K5" s="744"/>
      <c r="L5" s="744"/>
      <c r="M5" s="783"/>
      <c r="N5" s="333"/>
      <c r="O5" s="744"/>
      <c r="U5" s="744"/>
      <c r="Y5" s="332"/>
      <c r="Z5" s="333"/>
      <c r="AD5" s="744"/>
      <c r="AJ5" s="744"/>
      <c r="AK5" s="332"/>
      <c r="AL5" s="333"/>
      <c r="AP5" s="744"/>
      <c r="AX5" s="333"/>
      <c r="BI5" s="332"/>
      <c r="BJ5" s="782"/>
      <c r="BK5" s="744"/>
      <c r="BL5" s="744"/>
      <c r="BM5" s="744"/>
      <c r="BN5" s="744"/>
      <c r="BO5" s="744"/>
      <c r="BP5" s="744"/>
      <c r="BQ5" s="744"/>
      <c r="BR5" s="744"/>
      <c r="BS5" s="744"/>
      <c r="BT5" s="744"/>
      <c r="BU5" s="783"/>
    </row>
    <row r="6" spans="1:75" ht="13.9" customHeight="1" x14ac:dyDescent="0.2">
      <c r="A6" s="747" t="s">
        <v>176</v>
      </c>
      <c r="B6" s="978">
        <v>4.03</v>
      </c>
      <c r="C6" s="979">
        <v>4.07</v>
      </c>
      <c r="D6" s="979">
        <v>3.92</v>
      </c>
      <c r="E6" s="979">
        <v>3.95</v>
      </c>
      <c r="F6" s="979">
        <v>4.05</v>
      </c>
      <c r="G6" s="979">
        <v>4.12</v>
      </c>
      <c r="H6" s="979">
        <v>4.12</v>
      </c>
      <c r="I6" s="979">
        <v>4.1100000000000003</v>
      </c>
      <c r="J6" s="979">
        <v>4.0599999999999996</v>
      </c>
      <c r="K6" s="979">
        <v>4.17</v>
      </c>
      <c r="L6" s="979">
        <v>4.24</v>
      </c>
      <c r="M6" s="980">
        <v>4.3899999999999997</v>
      </c>
      <c r="N6" s="979">
        <v>4.8899999999999997</v>
      </c>
      <c r="O6" s="979">
        <v>4.8899999999999997</v>
      </c>
      <c r="P6" s="979">
        <v>5.01</v>
      </c>
      <c r="Q6" s="979">
        <v>4.9400000000000004</v>
      </c>
      <c r="R6" s="979">
        <v>4.75</v>
      </c>
      <c r="S6" s="979">
        <v>4.84</v>
      </c>
      <c r="T6" s="979">
        <v>4.51</v>
      </c>
      <c r="U6" s="979">
        <v>3.92</v>
      </c>
      <c r="V6" s="979">
        <v>4</v>
      </c>
      <c r="W6" s="979">
        <v>4.0199999999999996</v>
      </c>
      <c r="X6" s="979">
        <v>3.71</v>
      </c>
      <c r="Y6" s="980">
        <v>3.7</v>
      </c>
      <c r="Z6" s="978">
        <v>3.6</v>
      </c>
      <c r="AA6" s="979">
        <v>3.5</v>
      </c>
      <c r="AB6" s="979">
        <v>3.5</v>
      </c>
      <c r="AC6" s="979">
        <v>3.4</v>
      </c>
      <c r="AD6" s="981">
        <v>3.3</v>
      </c>
      <c r="AE6" s="981">
        <v>3.2</v>
      </c>
      <c r="AF6" s="981">
        <v>3.5</v>
      </c>
      <c r="AG6" s="981">
        <v>3.2</v>
      </c>
      <c r="AH6" s="981">
        <v>3.3</v>
      </c>
      <c r="AI6" s="981">
        <v>3.2</v>
      </c>
      <c r="AJ6" s="981">
        <v>2.9</v>
      </c>
      <c r="AK6" s="982">
        <v>2.9</v>
      </c>
      <c r="AL6" s="983">
        <v>2.7</v>
      </c>
      <c r="AM6" s="981">
        <v>2.7</v>
      </c>
      <c r="AN6" s="981">
        <v>3.1</v>
      </c>
      <c r="AO6" s="981">
        <v>2.9</v>
      </c>
      <c r="AP6" s="981">
        <v>3</v>
      </c>
      <c r="AQ6" s="981">
        <v>3.2</v>
      </c>
      <c r="AR6" s="981">
        <v>3.3</v>
      </c>
      <c r="AS6" s="981">
        <v>3.4</v>
      </c>
      <c r="AT6" s="981">
        <v>3.2</v>
      </c>
      <c r="AU6" s="981">
        <v>3.4</v>
      </c>
      <c r="AV6" s="981">
        <v>3.6</v>
      </c>
      <c r="AW6" s="981">
        <v>3</v>
      </c>
      <c r="AX6" s="983">
        <v>3.3</v>
      </c>
      <c r="AY6" s="981">
        <v>3.9</v>
      </c>
      <c r="AZ6" s="981">
        <v>4.2</v>
      </c>
      <c r="BA6" s="981">
        <v>3.9</v>
      </c>
      <c r="BB6" s="981">
        <v>4.7</v>
      </c>
      <c r="BC6" s="981">
        <v>4.3</v>
      </c>
      <c r="BD6" s="981">
        <v>4.5</v>
      </c>
      <c r="BE6" s="981">
        <v>5.7</v>
      </c>
      <c r="BF6" s="981">
        <v>5.7</v>
      </c>
      <c r="BG6" s="981">
        <v>5.8</v>
      </c>
      <c r="BH6" s="981">
        <v>5.5</v>
      </c>
      <c r="BI6" s="982"/>
      <c r="BJ6" s="983"/>
      <c r="BK6" s="981"/>
      <c r="BL6" s="981"/>
      <c r="BM6" s="981"/>
      <c r="BN6" s="981"/>
      <c r="BO6" s="981"/>
      <c r="BP6" s="981"/>
      <c r="BQ6" s="981"/>
      <c r="BR6" s="981"/>
      <c r="BS6" s="981"/>
      <c r="BU6" s="332"/>
    </row>
    <row r="7" spans="1:75" s="338" customFormat="1" ht="13.9" customHeight="1" x14ac:dyDescent="0.2">
      <c r="A7" s="748" t="s">
        <v>238</v>
      </c>
      <c r="B7" s="989">
        <v>1.8</v>
      </c>
      <c r="C7" s="990">
        <v>1.93</v>
      </c>
      <c r="D7" s="990">
        <v>1.88</v>
      </c>
      <c r="E7" s="990">
        <v>1.89</v>
      </c>
      <c r="F7" s="990">
        <v>1.93</v>
      </c>
      <c r="G7" s="990">
        <v>2</v>
      </c>
      <c r="H7" s="990">
        <v>2.0299999999999998</v>
      </c>
      <c r="I7" s="990">
        <v>1.97</v>
      </c>
      <c r="J7" s="990">
        <v>1.92</v>
      </c>
      <c r="K7" s="990">
        <v>1.99</v>
      </c>
      <c r="L7" s="990">
        <v>2.02</v>
      </c>
      <c r="M7" s="991">
        <v>2.12</v>
      </c>
      <c r="N7" s="990">
        <v>2.4</v>
      </c>
      <c r="O7" s="990">
        <v>2.5299999999999998</v>
      </c>
      <c r="P7" s="990">
        <v>2.62</v>
      </c>
      <c r="Q7" s="990">
        <v>2.4700000000000002</v>
      </c>
      <c r="R7" s="990">
        <v>2.4700000000000002</v>
      </c>
      <c r="S7" s="990">
        <v>2.2799999999999998</v>
      </c>
      <c r="T7" s="990">
        <v>1.75</v>
      </c>
      <c r="U7" s="990">
        <v>1.1399999999999999</v>
      </c>
      <c r="V7" s="990">
        <v>1.3</v>
      </c>
      <c r="W7" s="990">
        <v>1.27</v>
      </c>
      <c r="X7" s="990">
        <v>1.21</v>
      </c>
      <c r="Y7" s="991">
        <v>1.2</v>
      </c>
      <c r="Z7" s="989">
        <v>1.2</v>
      </c>
      <c r="AA7" s="990">
        <v>1.3</v>
      </c>
      <c r="AB7" s="990">
        <v>1.3</v>
      </c>
      <c r="AC7" s="990">
        <v>1.1000000000000001</v>
      </c>
      <c r="AD7" s="992">
        <v>1.1000000000000001</v>
      </c>
      <c r="AE7" s="992">
        <v>1.1000000000000001</v>
      </c>
      <c r="AF7" s="992">
        <v>1.5</v>
      </c>
      <c r="AG7" s="992">
        <v>1.2</v>
      </c>
      <c r="AH7" s="992">
        <v>1.4</v>
      </c>
      <c r="AI7" s="992">
        <v>1.3</v>
      </c>
      <c r="AJ7" s="992">
        <v>1.3</v>
      </c>
      <c r="AK7" s="993">
        <v>1.5</v>
      </c>
      <c r="AL7" s="994">
        <v>1.3</v>
      </c>
      <c r="AM7" s="992">
        <v>1.3</v>
      </c>
      <c r="AN7" s="992">
        <v>1.9</v>
      </c>
      <c r="AO7" s="992">
        <v>1.4</v>
      </c>
      <c r="AP7" s="992">
        <v>1.5</v>
      </c>
      <c r="AQ7" s="995">
        <v>1.6</v>
      </c>
      <c r="AR7" s="995">
        <v>1.7</v>
      </c>
      <c r="AS7" s="995">
        <v>1.7</v>
      </c>
      <c r="AT7" s="995">
        <v>1.4</v>
      </c>
      <c r="AU7" s="995">
        <v>1.5</v>
      </c>
      <c r="AV7" s="995">
        <v>1.6</v>
      </c>
      <c r="AW7" s="992">
        <v>1.5</v>
      </c>
      <c r="AX7" s="994">
        <v>1.9</v>
      </c>
      <c r="AY7" s="992">
        <v>2.4</v>
      </c>
      <c r="AZ7" s="992">
        <v>2.6</v>
      </c>
      <c r="BA7" s="992">
        <v>2.2000000000000002</v>
      </c>
      <c r="BB7" s="992">
        <v>3.1</v>
      </c>
      <c r="BC7" s="992">
        <v>2.6</v>
      </c>
      <c r="BD7" s="992">
        <v>2.6</v>
      </c>
      <c r="BE7" s="992">
        <v>4.2</v>
      </c>
      <c r="BF7" s="992">
        <v>4.2</v>
      </c>
      <c r="BG7" s="992">
        <v>4.2</v>
      </c>
      <c r="BH7" s="992">
        <v>4.2</v>
      </c>
      <c r="BI7" s="993">
        <v>4.0999999999999996</v>
      </c>
      <c r="BJ7" s="994"/>
      <c r="BK7" s="992"/>
      <c r="BL7" s="992"/>
      <c r="BM7" s="992"/>
      <c r="BN7" s="992"/>
      <c r="BO7" s="992"/>
      <c r="BP7" s="992"/>
      <c r="BQ7" s="992"/>
      <c r="BR7" s="992"/>
      <c r="BS7" s="992"/>
      <c r="BU7" s="1009"/>
      <c r="BV7"/>
    </row>
    <row r="8" spans="1:75" ht="13.9" customHeight="1" x14ac:dyDescent="0.2">
      <c r="A8" s="793" t="s">
        <v>517</v>
      </c>
      <c r="B8" s="996">
        <v>1.22</v>
      </c>
      <c r="C8" s="996">
        <v>1.1000000000000001</v>
      </c>
      <c r="D8" s="996">
        <v>0.66</v>
      </c>
      <c r="E8" s="996">
        <v>0.72</v>
      </c>
      <c r="F8" s="996">
        <v>0.86</v>
      </c>
      <c r="G8" s="996">
        <v>0.75</v>
      </c>
      <c r="H8" s="996">
        <v>0.9</v>
      </c>
      <c r="I8" s="996">
        <v>0.94</v>
      </c>
      <c r="J8" s="996">
        <v>0.69</v>
      </c>
      <c r="K8" s="996">
        <v>0.86</v>
      </c>
      <c r="L8" s="996">
        <v>0.98</v>
      </c>
      <c r="M8" s="997">
        <v>1.01</v>
      </c>
      <c r="N8" s="998">
        <v>1.27</v>
      </c>
      <c r="O8" s="996">
        <v>1.34</v>
      </c>
      <c r="P8" s="996">
        <v>1.05</v>
      </c>
      <c r="Q8" s="996">
        <v>1.37</v>
      </c>
      <c r="R8" s="996">
        <v>1.49</v>
      </c>
      <c r="S8" s="996">
        <v>1.24</v>
      </c>
      <c r="T8" s="996">
        <v>0.48</v>
      </c>
      <c r="U8" s="996">
        <v>0.43</v>
      </c>
      <c r="V8" s="996">
        <v>0.4</v>
      </c>
      <c r="W8" s="996">
        <v>0.4</v>
      </c>
      <c r="X8" s="996">
        <v>0.32</v>
      </c>
      <c r="Y8" s="997">
        <v>0.4</v>
      </c>
      <c r="Z8" s="998">
        <v>0.5</v>
      </c>
      <c r="AA8" s="996">
        <v>0.7</v>
      </c>
      <c r="AB8" s="996">
        <v>0.7</v>
      </c>
      <c r="AC8" s="996">
        <v>0.3</v>
      </c>
      <c r="AD8" s="986">
        <v>0.3</v>
      </c>
      <c r="AE8" s="986">
        <v>0.3</v>
      </c>
      <c r="AF8" s="986">
        <v>0.3</v>
      </c>
      <c r="AG8" s="986">
        <v>0.4</v>
      </c>
      <c r="AH8" s="986">
        <v>0.3</v>
      </c>
      <c r="AI8" s="986">
        <v>0.3</v>
      </c>
      <c r="AJ8" s="986">
        <v>0.3</v>
      </c>
      <c r="AK8" s="987">
        <v>0.9</v>
      </c>
      <c r="AL8" s="988">
        <v>0.3</v>
      </c>
      <c r="AM8" s="986">
        <v>0.3</v>
      </c>
      <c r="AN8" s="986">
        <v>1.6</v>
      </c>
      <c r="AO8" s="986">
        <v>0.3</v>
      </c>
      <c r="AP8" s="986">
        <v>0.4</v>
      </c>
      <c r="AQ8" s="999">
        <v>0.5</v>
      </c>
      <c r="AR8" s="999">
        <v>0.4</v>
      </c>
      <c r="AS8" s="999">
        <v>0.4</v>
      </c>
      <c r="AT8" s="999">
        <v>0.4</v>
      </c>
      <c r="AU8" s="999">
        <v>0.4</v>
      </c>
      <c r="AV8" s="999">
        <v>0.7</v>
      </c>
      <c r="AW8" s="986">
        <v>0.8</v>
      </c>
      <c r="AX8" s="988">
        <v>1</v>
      </c>
      <c r="AY8" s="986">
        <v>2</v>
      </c>
      <c r="AZ8" s="986">
        <v>2.5</v>
      </c>
      <c r="BA8" s="986">
        <v>1.3</v>
      </c>
      <c r="BB8" s="986">
        <v>3.3</v>
      </c>
      <c r="BC8" s="986">
        <v>1.4</v>
      </c>
      <c r="BD8" s="986">
        <v>1.6</v>
      </c>
      <c r="BE8" s="986">
        <v>4.2</v>
      </c>
      <c r="BF8" s="986">
        <v>4.0999999999999996</v>
      </c>
      <c r="BG8" s="986">
        <v>4.9000000000000004</v>
      </c>
      <c r="BH8" s="986">
        <v>5.5</v>
      </c>
      <c r="BI8" s="987">
        <v>5.5</v>
      </c>
      <c r="BJ8" s="988">
        <v>3.1</v>
      </c>
      <c r="BK8" s="986"/>
      <c r="BL8" s="986"/>
      <c r="BM8" s="986"/>
      <c r="BU8" s="332"/>
    </row>
    <row r="9" spans="1:75" ht="13.9" customHeight="1" x14ac:dyDescent="0.2">
      <c r="A9" s="793" t="s">
        <v>487</v>
      </c>
      <c r="B9" s="998">
        <v>0.3</v>
      </c>
      <c r="C9" s="996">
        <v>0.8</v>
      </c>
      <c r="D9" s="996">
        <v>0.93</v>
      </c>
      <c r="E9" s="996">
        <v>0.36</v>
      </c>
      <c r="F9" s="996">
        <v>0.24</v>
      </c>
      <c r="G9" s="996">
        <v>0.22</v>
      </c>
      <c r="H9" s="996">
        <v>0.06</v>
      </c>
      <c r="I9" s="996">
        <v>0.06</v>
      </c>
      <c r="J9" s="996">
        <v>7.0000000000000007E-2</v>
      </c>
      <c r="K9" s="996">
        <v>7.0000000000000007E-2</v>
      </c>
      <c r="L9" s="996">
        <v>7.0000000000000007E-2</v>
      </c>
      <c r="M9" s="997">
        <v>0.06</v>
      </c>
      <c r="N9" s="998">
        <v>0.04</v>
      </c>
      <c r="O9" s="996">
        <v>0.1</v>
      </c>
      <c r="P9" s="996">
        <v>0.17</v>
      </c>
      <c r="Q9" s="996">
        <v>0.05</v>
      </c>
      <c r="R9" s="996">
        <v>0.13</v>
      </c>
      <c r="S9" s="996">
        <v>0.17</v>
      </c>
      <c r="T9" s="996">
        <v>0.65</v>
      </c>
      <c r="U9" s="996">
        <v>0.36</v>
      </c>
      <c r="V9" s="996">
        <v>1.1000000000000001</v>
      </c>
      <c r="W9" s="996">
        <v>0.5</v>
      </c>
      <c r="X9" s="996">
        <v>0.46</v>
      </c>
      <c r="Y9" s="997">
        <v>0.6</v>
      </c>
      <c r="Z9" s="998">
        <v>0.3</v>
      </c>
      <c r="AA9" s="996">
        <v>0.4</v>
      </c>
      <c r="AB9" s="996">
        <v>0.6</v>
      </c>
      <c r="AC9" s="996">
        <v>0.6</v>
      </c>
      <c r="AD9" s="986">
        <v>0.5</v>
      </c>
      <c r="AE9" s="986">
        <v>0.6</v>
      </c>
      <c r="AF9" s="986">
        <v>1.3</v>
      </c>
      <c r="AG9" s="986">
        <v>0.8</v>
      </c>
      <c r="AH9" s="986">
        <v>1.8</v>
      </c>
      <c r="AI9" s="986">
        <v>1.4</v>
      </c>
      <c r="AJ9" s="986">
        <v>1.3</v>
      </c>
      <c r="AK9" s="987">
        <v>1.4</v>
      </c>
      <c r="AL9" s="988">
        <v>1.3</v>
      </c>
      <c r="AM9" s="986">
        <v>1.6</v>
      </c>
      <c r="AN9" s="986">
        <v>1.5</v>
      </c>
      <c r="AO9" s="986">
        <v>1.5</v>
      </c>
      <c r="AP9" s="986">
        <v>1.6</v>
      </c>
      <c r="AQ9" s="986">
        <v>1.8</v>
      </c>
      <c r="AR9" s="986">
        <v>1.8</v>
      </c>
      <c r="AS9" s="986">
        <v>1.9</v>
      </c>
      <c r="AT9" s="986">
        <v>0.6</v>
      </c>
      <c r="AU9" s="986">
        <v>0.8</v>
      </c>
      <c r="AV9" s="986">
        <v>0.9</v>
      </c>
      <c r="AW9" s="986">
        <v>0.4</v>
      </c>
      <c r="AX9" s="988">
        <v>1</v>
      </c>
      <c r="AY9" s="986">
        <v>1.1000000000000001</v>
      </c>
      <c r="AZ9" s="986">
        <v>0.6</v>
      </c>
      <c r="BA9" s="986">
        <v>0.7</v>
      </c>
      <c r="BB9" s="986">
        <v>0.7</v>
      </c>
      <c r="BC9" s="986">
        <v>1</v>
      </c>
      <c r="BD9" s="986">
        <v>1.1000000000000001</v>
      </c>
      <c r="BE9" s="986">
        <v>3</v>
      </c>
      <c r="BF9" s="986">
        <v>3.1</v>
      </c>
      <c r="BG9" s="986">
        <v>1.4</v>
      </c>
      <c r="BH9" s="986">
        <v>1</v>
      </c>
      <c r="BI9" s="987">
        <v>1.1000000000000001</v>
      </c>
      <c r="BJ9" s="988"/>
      <c r="BK9" s="986"/>
      <c r="BL9" s="986"/>
      <c r="BM9" s="986"/>
      <c r="BU9" s="332"/>
      <c r="BW9" s="317">
        <v>162438.69929999998</v>
      </c>
    </row>
    <row r="10" spans="1:75" ht="13.9" customHeight="1" x14ac:dyDescent="0.2">
      <c r="A10" s="793" t="s">
        <v>488</v>
      </c>
      <c r="B10" s="998">
        <v>4.93</v>
      </c>
      <c r="C10" s="996">
        <v>4.92</v>
      </c>
      <c r="D10" s="996">
        <v>4.72</v>
      </c>
      <c r="E10" s="996">
        <v>4.6100000000000003</v>
      </c>
      <c r="F10" s="996">
        <v>4.07</v>
      </c>
      <c r="G10" s="996">
        <v>4.41</v>
      </c>
      <c r="H10" s="996">
        <v>4.1900000000000004</v>
      </c>
      <c r="I10" s="996">
        <v>4.28</v>
      </c>
      <c r="J10" s="996">
        <v>3.95</v>
      </c>
      <c r="K10" s="996">
        <v>3.8</v>
      </c>
      <c r="L10" s="996">
        <v>3.92</v>
      </c>
      <c r="M10" s="997">
        <v>4.01</v>
      </c>
      <c r="N10" s="998">
        <v>4.1900000000000004</v>
      </c>
      <c r="O10" s="996">
        <v>4.24</v>
      </c>
      <c r="P10" s="996">
        <v>4.1100000000000003</v>
      </c>
      <c r="Q10" s="996">
        <v>4.17</v>
      </c>
      <c r="R10" s="996">
        <v>3.89</v>
      </c>
      <c r="S10" s="996">
        <v>3.69</v>
      </c>
      <c r="T10" s="996">
        <v>3.15</v>
      </c>
      <c r="U10" s="996">
        <v>0.95</v>
      </c>
      <c r="V10" s="996">
        <v>0.6</v>
      </c>
      <c r="W10" s="996">
        <v>0.7</v>
      </c>
      <c r="X10" s="996">
        <v>0.6</v>
      </c>
      <c r="Y10" s="997">
        <v>0.6</v>
      </c>
      <c r="Z10" s="998">
        <v>0.6</v>
      </c>
      <c r="AA10" s="996">
        <v>0.7</v>
      </c>
      <c r="AB10" s="996">
        <v>0.6</v>
      </c>
      <c r="AC10" s="996">
        <v>0.6</v>
      </c>
      <c r="AD10" s="986">
        <v>0.6</v>
      </c>
      <c r="AE10" s="986">
        <v>0.6</v>
      </c>
      <c r="AF10" s="986">
        <v>1.2</v>
      </c>
      <c r="AG10" s="986">
        <v>0.92</v>
      </c>
      <c r="AH10" s="986">
        <v>0.9</v>
      </c>
      <c r="AI10" s="986">
        <v>1</v>
      </c>
      <c r="AJ10" s="986">
        <v>1.2</v>
      </c>
      <c r="AK10" s="987">
        <v>1.1000000000000001</v>
      </c>
      <c r="AL10" s="988">
        <v>1.2</v>
      </c>
      <c r="AM10" s="986">
        <v>1.2</v>
      </c>
      <c r="AN10" s="986">
        <v>1.3</v>
      </c>
      <c r="AO10" s="986">
        <v>1.4</v>
      </c>
      <c r="AP10" s="868">
        <v>1.2</v>
      </c>
      <c r="AQ10" s="868">
        <v>1.3</v>
      </c>
      <c r="AR10" s="868">
        <v>1.4</v>
      </c>
      <c r="AS10" s="868">
        <v>1.4</v>
      </c>
      <c r="AT10" s="868">
        <v>1.7</v>
      </c>
      <c r="AU10" s="868">
        <v>1.8</v>
      </c>
      <c r="AV10" s="868">
        <v>2.1</v>
      </c>
      <c r="AW10" s="986">
        <v>1.7</v>
      </c>
      <c r="AX10" s="988">
        <v>2.1</v>
      </c>
      <c r="AY10" s="986">
        <v>2.2999999999999998</v>
      </c>
      <c r="AZ10" s="986">
        <v>2.2999999999999998</v>
      </c>
      <c r="BA10" s="986">
        <v>2.1</v>
      </c>
      <c r="BB10" s="986">
        <v>2.1</v>
      </c>
      <c r="BC10" s="986">
        <v>2.1</v>
      </c>
      <c r="BD10" s="986">
        <v>1.8</v>
      </c>
      <c r="BE10" s="986">
        <v>1.8</v>
      </c>
      <c r="BF10" s="986">
        <v>2</v>
      </c>
      <c r="BG10" s="986">
        <v>3.2</v>
      </c>
      <c r="BH10" s="986">
        <v>1.8</v>
      </c>
      <c r="BI10" s="987">
        <v>1.9</v>
      </c>
      <c r="BJ10" s="988">
        <v>1.9</v>
      </c>
      <c r="BK10" s="986">
        <v>1.9</v>
      </c>
      <c r="BL10" s="986"/>
      <c r="BM10" s="986"/>
      <c r="BU10" s="332"/>
      <c r="BW10" s="317">
        <v>118324.31633000002</v>
      </c>
    </row>
    <row r="11" spans="1:75" ht="13.9" customHeight="1" x14ac:dyDescent="0.2">
      <c r="A11" s="793" t="s">
        <v>494</v>
      </c>
      <c r="B11" s="998"/>
      <c r="C11" s="996"/>
      <c r="D11" s="996"/>
      <c r="E11" s="996"/>
      <c r="F11" s="996"/>
      <c r="G11" s="996"/>
      <c r="H11" s="996"/>
      <c r="I11" s="996"/>
      <c r="J11" s="996"/>
      <c r="K11" s="996"/>
      <c r="L11" s="996"/>
      <c r="M11" s="997"/>
      <c r="N11" s="998"/>
      <c r="O11" s="996"/>
      <c r="P11" s="996"/>
      <c r="Q11" s="996"/>
      <c r="R11" s="996"/>
      <c r="S11" s="996"/>
      <c r="T11" s="996"/>
      <c r="U11" s="996"/>
      <c r="V11" s="996"/>
      <c r="W11" s="996"/>
      <c r="X11" s="996"/>
      <c r="Y11" s="997"/>
      <c r="Z11" s="998"/>
      <c r="AA11" s="805"/>
      <c r="AB11" s="805"/>
      <c r="AC11" s="805"/>
      <c r="AD11" s="326"/>
      <c r="AE11" s="326"/>
      <c r="AF11" s="1000"/>
      <c r="AG11" s="1000"/>
      <c r="AH11" s="1000"/>
      <c r="AI11" s="1000"/>
      <c r="AJ11" s="1000"/>
      <c r="AK11" s="1001"/>
      <c r="AL11" s="1002"/>
      <c r="AM11" s="1000"/>
      <c r="AN11" s="1000"/>
      <c r="AO11" s="1000"/>
      <c r="AP11" s="1000"/>
      <c r="AQ11" s="1000"/>
      <c r="AR11" s="1000"/>
      <c r="AS11" s="1000"/>
      <c r="AT11" s="1000"/>
      <c r="AU11" s="1000"/>
      <c r="AV11" s="1000"/>
      <c r="AW11" s="326"/>
      <c r="AX11" s="984"/>
      <c r="AY11" s="1000"/>
      <c r="AZ11" s="1000"/>
      <c r="BA11" s="1000"/>
      <c r="BB11" s="1000"/>
      <c r="BC11" s="1000"/>
      <c r="BD11" s="1000"/>
      <c r="BE11" s="1000"/>
      <c r="BF11" s="1000"/>
      <c r="BG11" s="1000"/>
      <c r="BH11" s="1000"/>
      <c r="BI11" s="1001"/>
      <c r="BJ11" s="1002"/>
      <c r="BK11" s="1000"/>
      <c r="BL11" s="1000"/>
      <c r="BM11" s="1000"/>
      <c r="BU11" s="332"/>
      <c r="BW11" s="317">
        <v>39243.657160000002</v>
      </c>
    </row>
    <row r="12" spans="1:75" ht="13.9" customHeight="1" x14ac:dyDescent="0.2">
      <c r="A12" s="793" t="s">
        <v>490</v>
      </c>
      <c r="B12" s="998">
        <v>3.66</v>
      </c>
      <c r="C12" s="996">
        <v>3.87</v>
      </c>
      <c r="D12" s="996">
        <v>4.7</v>
      </c>
      <c r="E12" s="996">
        <v>6.08</v>
      </c>
      <c r="F12" s="996">
        <v>6.94</v>
      </c>
      <c r="G12" s="996">
        <v>7.5</v>
      </c>
      <c r="H12" s="996">
        <v>7.66</v>
      </c>
      <c r="I12" s="996">
        <v>6.84</v>
      </c>
      <c r="J12" s="996">
        <v>6.86</v>
      </c>
      <c r="K12" s="996">
        <v>6.82</v>
      </c>
      <c r="L12" s="996">
        <v>6.77</v>
      </c>
      <c r="M12" s="997">
        <v>7.79</v>
      </c>
      <c r="N12" s="998">
        <v>7.68</v>
      </c>
      <c r="O12" s="996">
        <v>7.96</v>
      </c>
      <c r="P12" s="996">
        <v>7.48</v>
      </c>
      <c r="Q12" s="996">
        <v>6.62</v>
      </c>
      <c r="R12" s="996">
        <v>5.58</v>
      </c>
      <c r="S12" s="996">
        <v>4.99</v>
      </c>
      <c r="T12" s="996">
        <v>5.12</v>
      </c>
      <c r="U12" s="996">
        <v>4.09</v>
      </c>
      <c r="V12" s="996">
        <v>4.8</v>
      </c>
      <c r="W12" s="996">
        <v>4.5999999999999996</v>
      </c>
      <c r="X12" s="996">
        <v>4.58</v>
      </c>
      <c r="Y12" s="997">
        <v>4.3</v>
      </c>
      <c r="Z12" s="998">
        <v>4.7</v>
      </c>
      <c r="AA12" s="996">
        <v>5</v>
      </c>
      <c r="AB12" s="996">
        <v>4.0999999999999996</v>
      </c>
      <c r="AC12" s="996">
        <v>4</v>
      </c>
      <c r="AD12" s="986">
        <v>3.7</v>
      </c>
      <c r="AE12" s="986">
        <v>3.7</v>
      </c>
      <c r="AF12" s="986">
        <v>4.2</v>
      </c>
      <c r="AG12" s="986">
        <v>4.0999999999999996</v>
      </c>
      <c r="AH12" s="986">
        <v>4.0999999999999996</v>
      </c>
      <c r="AI12" s="986">
        <v>4.2</v>
      </c>
      <c r="AJ12" s="986">
        <v>4.5</v>
      </c>
      <c r="AK12" s="987">
        <v>4.3</v>
      </c>
      <c r="AL12" s="988">
        <v>4.5999999999999996</v>
      </c>
      <c r="AM12" s="986">
        <v>4.4000000000000004</v>
      </c>
      <c r="AN12" s="986">
        <v>4.5</v>
      </c>
      <c r="AO12" s="986">
        <v>4.9000000000000004</v>
      </c>
      <c r="AP12" s="640">
        <v>5</v>
      </c>
      <c r="AQ12" s="640">
        <v>5.6</v>
      </c>
      <c r="AR12" s="640">
        <v>6.1</v>
      </c>
      <c r="AS12" s="640">
        <v>6.2</v>
      </c>
      <c r="AT12" s="640">
        <v>5.9</v>
      </c>
      <c r="AU12" s="640">
        <v>5.9</v>
      </c>
      <c r="AV12" s="640">
        <v>5.7</v>
      </c>
      <c r="AW12" s="986">
        <v>5.8</v>
      </c>
      <c r="AX12" s="988">
        <v>6.7</v>
      </c>
      <c r="AY12" s="986">
        <v>7.5</v>
      </c>
      <c r="AZ12" s="986">
        <v>9</v>
      </c>
      <c r="BA12" s="986">
        <v>9.1</v>
      </c>
      <c r="BB12" s="986">
        <v>10.1</v>
      </c>
      <c r="BC12" s="986">
        <v>10.7</v>
      </c>
      <c r="BD12" s="986">
        <v>11</v>
      </c>
      <c r="BE12" s="986">
        <v>11.3</v>
      </c>
      <c r="BF12" s="986">
        <v>11.5</v>
      </c>
      <c r="BG12" s="986">
        <v>12.3</v>
      </c>
      <c r="BH12" s="986">
        <v>12.6</v>
      </c>
      <c r="BI12" s="987">
        <v>11.2</v>
      </c>
      <c r="BJ12" s="988">
        <v>11.5</v>
      </c>
      <c r="BK12" s="986">
        <v>9.1999999999999993</v>
      </c>
      <c r="BL12" s="986"/>
      <c r="BM12" s="986"/>
      <c r="BU12" s="332"/>
      <c r="BW12" s="317">
        <v>46808.712350000002</v>
      </c>
    </row>
    <row r="13" spans="1:75" ht="13.9" customHeight="1" x14ac:dyDescent="0.2">
      <c r="A13" s="793" t="s">
        <v>489</v>
      </c>
      <c r="B13" s="998">
        <v>2.1</v>
      </c>
      <c r="C13" s="996">
        <v>2.2599999999999998</v>
      </c>
      <c r="D13" s="996">
        <v>2.2000000000000002</v>
      </c>
      <c r="E13" s="996">
        <v>2.0499999999999998</v>
      </c>
      <c r="F13" s="996">
        <v>1.7</v>
      </c>
      <c r="G13" s="996">
        <v>1.91</v>
      </c>
      <c r="H13" s="996">
        <v>2.19</v>
      </c>
      <c r="I13" s="996">
        <v>2.2599999999999998</v>
      </c>
      <c r="J13" s="996">
        <v>2.67</v>
      </c>
      <c r="K13" s="996">
        <v>2.92</v>
      </c>
      <c r="L13" s="996">
        <v>2.88</v>
      </c>
      <c r="M13" s="997">
        <v>2.65</v>
      </c>
      <c r="N13" s="998">
        <v>4.16</v>
      </c>
      <c r="O13" s="996">
        <v>4.7300000000000004</v>
      </c>
      <c r="P13" s="996">
        <v>6.87</v>
      </c>
      <c r="Q13" s="996">
        <v>5.87</v>
      </c>
      <c r="R13" s="996">
        <v>6.49</v>
      </c>
      <c r="S13" s="996">
        <v>6.45</v>
      </c>
      <c r="T13" s="996">
        <v>3.2</v>
      </c>
      <c r="U13" s="996">
        <v>2.48</v>
      </c>
      <c r="V13" s="996">
        <v>1.9</v>
      </c>
      <c r="W13" s="996">
        <v>3.3</v>
      </c>
      <c r="X13" s="996">
        <v>3.25</v>
      </c>
      <c r="Y13" s="997">
        <v>3.1</v>
      </c>
      <c r="Z13" s="998">
        <v>2.9</v>
      </c>
      <c r="AA13" s="996">
        <v>2.7</v>
      </c>
      <c r="AB13" s="996">
        <v>2.8</v>
      </c>
      <c r="AC13" s="996">
        <v>2.6</v>
      </c>
      <c r="AD13" s="986">
        <v>2.8</v>
      </c>
      <c r="AE13" s="986">
        <v>2.7</v>
      </c>
      <c r="AF13" s="986">
        <v>3</v>
      </c>
      <c r="AG13" s="986">
        <v>2.4</v>
      </c>
      <c r="AH13" s="986">
        <v>2.5</v>
      </c>
      <c r="AI13" s="986">
        <v>2.2000000000000002</v>
      </c>
      <c r="AJ13" s="986">
        <v>1.8</v>
      </c>
      <c r="AK13" s="987">
        <v>1.7</v>
      </c>
      <c r="AL13" s="988">
        <v>1.8</v>
      </c>
      <c r="AM13" s="986">
        <v>1.7</v>
      </c>
      <c r="AN13" s="986">
        <v>2.2000000000000002</v>
      </c>
      <c r="AO13" s="986">
        <v>2.2999999999999998</v>
      </c>
      <c r="AP13" s="986">
        <v>2.2999999999999998</v>
      </c>
      <c r="AQ13" s="986">
        <v>2.2999999999999998</v>
      </c>
      <c r="AR13" s="986">
        <v>2.9</v>
      </c>
      <c r="AS13" s="986">
        <v>2.2999999999999998</v>
      </c>
      <c r="AT13" s="986">
        <v>2.6</v>
      </c>
      <c r="AU13" s="986">
        <v>3.2</v>
      </c>
      <c r="AV13" s="986">
        <v>2.7</v>
      </c>
      <c r="AW13" s="986">
        <v>3</v>
      </c>
      <c r="AX13" s="988">
        <v>3.5</v>
      </c>
      <c r="AY13" s="986">
        <v>3.3</v>
      </c>
      <c r="AZ13" s="986">
        <v>3.9</v>
      </c>
      <c r="BA13" s="986">
        <v>4</v>
      </c>
      <c r="BB13" s="986">
        <v>4.7</v>
      </c>
      <c r="BC13" s="986">
        <v>5.4</v>
      </c>
      <c r="BD13" s="986">
        <v>5.2</v>
      </c>
      <c r="BE13" s="986">
        <v>5.3</v>
      </c>
      <c r="BF13" s="986">
        <v>5</v>
      </c>
      <c r="BG13" s="986">
        <v>5.6</v>
      </c>
      <c r="BH13" s="986">
        <v>5.7</v>
      </c>
      <c r="BI13" s="987">
        <v>6.1</v>
      </c>
      <c r="BJ13" s="988">
        <v>6.1</v>
      </c>
      <c r="BK13" s="986"/>
      <c r="BL13" s="986"/>
      <c r="BM13" s="986"/>
      <c r="BU13" s="332"/>
      <c r="BW13" s="317">
        <v>9143.6914800000013</v>
      </c>
    </row>
    <row r="14" spans="1:75" ht="13.9" customHeight="1" x14ac:dyDescent="0.2">
      <c r="A14" s="793" t="s">
        <v>518</v>
      </c>
      <c r="B14" s="998"/>
      <c r="C14" s="996"/>
      <c r="D14" s="996"/>
      <c r="E14" s="996"/>
      <c r="F14" s="996"/>
      <c r="G14" s="996"/>
      <c r="H14" s="996"/>
      <c r="I14" s="996">
        <v>7.5</v>
      </c>
      <c r="J14" s="996">
        <v>6.9</v>
      </c>
      <c r="K14" s="996">
        <v>7.37</v>
      </c>
      <c r="L14" s="996">
        <v>7.14</v>
      </c>
      <c r="M14" s="997">
        <v>6.95</v>
      </c>
      <c r="N14" s="998">
        <v>8.33</v>
      </c>
      <c r="O14" s="996">
        <v>7.86</v>
      </c>
      <c r="P14" s="996">
        <v>9.1300000000000008</v>
      </c>
      <c r="Q14" s="996">
        <v>11.14</v>
      </c>
      <c r="R14" s="996">
        <v>12.48</v>
      </c>
      <c r="S14" s="996">
        <v>9.7799999999999994</v>
      </c>
      <c r="T14" s="996">
        <v>9.93</v>
      </c>
      <c r="U14" s="996">
        <v>11.06</v>
      </c>
      <c r="V14" s="996">
        <v>10.4</v>
      </c>
      <c r="W14" s="996">
        <v>11.8</v>
      </c>
      <c r="X14" s="996">
        <v>12.58</v>
      </c>
      <c r="Y14" s="997">
        <v>9.5</v>
      </c>
      <c r="Z14" s="998">
        <v>9</v>
      </c>
      <c r="AA14" s="996">
        <v>9</v>
      </c>
      <c r="AB14" s="996">
        <v>8.5</v>
      </c>
      <c r="AC14" s="996">
        <v>8.4</v>
      </c>
      <c r="AD14" s="986">
        <v>8.1</v>
      </c>
      <c r="AE14" s="986">
        <v>7.8</v>
      </c>
      <c r="AF14" s="986">
        <v>7.7</v>
      </c>
      <c r="AG14" s="986">
        <v>7.5</v>
      </c>
      <c r="AH14" s="986">
        <v>7.4</v>
      </c>
      <c r="AI14" s="986">
        <v>7.3</v>
      </c>
      <c r="AJ14" s="986">
        <v>7.3</v>
      </c>
      <c r="AK14" s="987">
        <v>6.9</v>
      </c>
      <c r="AL14" s="988">
        <v>7.2</v>
      </c>
      <c r="AM14" s="986">
        <v>7.3</v>
      </c>
      <c r="AN14" s="986">
        <v>7.1</v>
      </c>
      <c r="AO14" s="986">
        <v>7.1</v>
      </c>
      <c r="AP14" s="868">
        <v>6.8</v>
      </c>
      <c r="AQ14" s="868">
        <v>6.8</v>
      </c>
      <c r="AR14" s="868">
        <v>6.7</v>
      </c>
      <c r="AS14" s="868">
        <v>6.8</v>
      </c>
      <c r="AT14" s="868">
        <v>6.9</v>
      </c>
      <c r="AU14" s="868">
        <v>6.9</v>
      </c>
      <c r="AV14" s="868">
        <v>6.9</v>
      </c>
      <c r="AW14" s="986">
        <v>7</v>
      </c>
      <c r="AX14" s="988">
        <v>7.4</v>
      </c>
      <c r="AY14" s="986">
        <v>7.8</v>
      </c>
      <c r="AZ14" s="986">
        <v>8.6999999999999993</v>
      </c>
      <c r="BA14" s="986">
        <v>9.5</v>
      </c>
      <c r="BB14" s="986">
        <v>9.6</v>
      </c>
      <c r="BC14" s="986">
        <v>9.9</v>
      </c>
      <c r="BD14" s="986">
        <v>9.9</v>
      </c>
      <c r="BE14" s="986">
        <v>9.8000000000000007</v>
      </c>
      <c r="BF14" s="986">
        <v>9.6999999999999993</v>
      </c>
      <c r="BG14" s="986">
        <v>9.5</v>
      </c>
      <c r="BH14" s="986">
        <v>9.4</v>
      </c>
      <c r="BI14" s="987">
        <v>8.9</v>
      </c>
      <c r="BJ14" s="988">
        <v>8.8000000000000007</v>
      </c>
      <c r="BK14" s="986">
        <v>8.6999999999999993</v>
      </c>
      <c r="BL14" s="986">
        <v>9</v>
      </c>
      <c r="BM14" s="986">
        <v>9.1</v>
      </c>
      <c r="BU14" s="332"/>
      <c r="BW14" s="317">
        <v>887.25094999999999</v>
      </c>
    </row>
    <row r="15" spans="1:75" ht="13.9" customHeight="1" x14ac:dyDescent="0.2">
      <c r="A15" s="793" t="s">
        <v>519</v>
      </c>
      <c r="B15" s="639"/>
      <c r="C15" s="996"/>
      <c r="D15" s="996"/>
      <c r="E15" s="996"/>
      <c r="F15" s="996"/>
      <c r="G15" s="996"/>
      <c r="H15" s="996"/>
      <c r="I15" s="996">
        <v>3.14</v>
      </c>
      <c r="J15" s="996">
        <v>2.83</v>
      </c>
      <c r="K15" s="996">
        <v>2.87</v>
      </c>
      <c r="L15" s="996">
        <v>2.87</v>
      </c>
      <c r="M15" s="997">
        <v>2.4500000000000002</v>
      </c>
      <c r="N15" s="998">
        <v>2.71</v>
      </c>
      <c r="O15" s="996">
        <v>2.71</v>
      </c>
      <c r="P15" s="996">
        <v>2.66</v>
      </c>
      <c r="Q15" s="996">
        <v>2.65</v>
      </c>
      <c r="R15" s="996">
        <v>2.81</v>
      </c>
      <c r="S15" s="996">
        <v>2.77</v>
      </c>
      <c r="T15" s="996">
        <v>3.42</v>
      </c>
      <c r="U15" s="996">
        <v>3.4</v>
      </c>
      <c r="V15" s="996">
        <v>3.1</v>
      </c>
      <c r="W15" s="996">
        <v>3.1</v>
      </c>
      <c r="X15" s="996">
        <v>3.01</v>
      </c>
      <c r="Y15" s="997">
        <v>2.8</v>
      </c>
      <c r="Z15" s="998">
        <v>2.9</v>
      </c>
      <c r="AA15" s="996">
        <v>2.8</v>
      </c>
      <c r="AB15" s="996">
        <v>2.8</v>
      </c>
      <c r="AC15" s="996">
        <v>2.6</v>
      </c>
      <c r="AD15" s="986">
        <v>2.7</v>
      </c>
      <c r="AE15" s="986">
        <v>2.6</v>
      </c>
      <c r="AF15" s="986">
        <v>2.6</v>
      </c>
      <c r="AG15" s="986">
        <v>2.7</v>
      </c>
      <c r="AH15" s="986">
        <v>2.6</v>
      </c>
      <c r="AI15" s="986">
        <v>2.5</v>
      </c>
      <c r="AJ15" s="986">
        <v>2.4</v>
      </c>
      <c r="AK15" s="987">
        <v>2.2000000000000002</v>
      </c>
      <c r="AL15" s="988">
        <v>2.2999999999999998</v>
      </c>
      <c r="AM15" s="986">
        <v>2.4</v>
      </c>
      <c r="AN15" s="986">
        <v>2.2999999999999998</v>
      </c>
      <c r="AO15" s="986">
        <v>2.5</v>
      </c>
      <c r="AP15" s="868">
        <v>2.5</v>
      </c>
      <c r="AQ15" s="868">
        <v>2.6</v>
      </c>
      <c r="AR15" s="868">
        <v>2.2000000000000002</v>
      </c>
      <c r="AS15" s="868">
        <v>2.1</v>
      </c>
      <c r="AT15" s="868">
        <v>2.2000000000000002</v>
      </c>
      <c r="AU15" s="868">
        <v>2.2000000000000002</v>
      </c>
      <c r="AV15" s="868">
        <v>2.2000000000000002</v>
      </c>
      <c r="AW15" s="986">
        <v>2.4</v>
      </c>
      <c r="AX15" s="988">
        <v>2.5</v>
      </c>
      <c r="AY15" s="986">
        <v>2.7</v>
      </c>
      <c r="AZ15" s="986">
        <v>2.6</v>
      </c>
      <c r="BA15" s="986">
        <v>2.7</v>
      </c>
      <c r="BB15" s="986">
        <v>2.8</v>
      </c>
      <c r="BC15" s="986">
        <v>2.7</v>
      </c>
      <c r="BD15" s="986">
        <v>2.7</v>
      </c>
      <c r="BE15" s="986">
        <v>2.6</v>
      </c>
      <c r="BF15" s="986">
        <v>2.6</v>
      </c>
      <c r="BG15" s="986">
        <v>3</v>
      </c>
      <c r="BH15" s="986">
        <v>2.6</v>
      </c>
      <c r="BI15" s="987">
        <v>2.7</v>
      </c>
      <c r="BJ15" s="988">
        <v>2.7</v>
      </c>
      <c r="BK15" s="986">
        <v>3.1</v>
      </c>
      <c r="BL15" s="986">
        <v>3</v>
      </c>
      <c r="BM15" s="986">
        <v>3</v>
      </c>
      <c r="BU15" s="332"/>
      <c r="BW15" s="317">
        <v>565.54816000000005</v>
      </c>
    </row>
    <row r="16" spans="1:75" s="338" customFormat="1" ht="13.9" customHeight="1" x14ac:dyDescent="0.2">
      <c r="A16" s="748" t="s">
        <v>220</v>
      </c>
      <c r="B16" s="989"/>
      <c r="C16" s="990"/>
      <c r="D16" s="990"/>
      <c r="E16" s="990"/>
      <c r="F16" s="990"/>
      <c r="G16" s="990"/>
      <c r="H16" s="990"/>
      <c r="I16" s="990"/>
      <c r="J16" s="990"/>
      <c r="K16" s="990"/>
      <c r="L16" s="990"/>
      <c r="M16" s="991"/>
      <c r="N16" s="990">
        <v>3.1</v>
      </c>
      <c r="O16" s="990">
        <v>3</v>
      </c>
      <c r="P16" s="990">
        <v>3.4</v>
      </c>
      <c r="Q16" s="990">
        <v>3.2</v>
      </c>
      <c r="R16" s="990">
        <v>3.8</v>
      </c>
      <c r="S16" s="990">
        <v>3.8</v>
      </c>
      <c r="T16" s="990">
        <v>3.2</v>
      </c>
      <c r="U16" s="990">
        <v>3.2</v>
      </c>
      <c r="V16" s="990">
        <v>3.6</v>
      </c>
      <c r="W16" s="990">
        <v>3.6</v>
      </c>
      <c r="X16" s="990">
        <v>3.6</v>
      </c>
      <c r="Y16" s="991">
        <v>3.3</v>
      </c>
      <c r="Z16" s="989">
        <v>3.3</v>
      </c>
      <c r="AA16" s="990">
        <v>3.2</v>
      </c>
      <c r="AB16" s="990">
        <v>3.5</v>
      </c>
      <c r="AC16" s="990">
        <v>3.5</v>
      </c>
      <c r="AD16" s="992">
        <v>3.4</v>
      </c>
      <c r="AE16" s="992">
        <v>3.1</v>
      </c>
      <c r="AF16" s="992">
        <v>3.3</v>
      </c>
      <c r="AG16" s="992">
        <v>3.5</v>
      </c>
      <c r="AH16" s="992">
        <v>3.6</v>
      </c>
      <c r="AI16" s="992">
        <v>3.3</v>
      </c>
      <c r="AJ16" s="992">
        <v>2.9</v>
      </c>
      <c r="AK16" s="993">
        <v>2.5</v>
      </c>
      <c r="AL16" s="994">
        <v>2.6</v>
      </c>
      <c r="AM16" s="992">
        <v>2.5</v>
      </c>
      <c r="AN16" s="992">
        <v>2.8</v>
      </c>
      <c r="AO16" s="992">
        <v>3</v>
      </c>
      <c r="AP16" s="992">
        <v>3.4</v>
      </c>
      <c r="AQ16" s="992">
        <v>3.7</v>
      </c>
      <c r="AR16" s="992">
        <v>4.0999999999999996</v>
      </c>
      <c r="AS16" s="992">
        <v>4.5999999999999996</v>
      </c>
      <c r="AT16" s="992">
        <v>5.0999999999999996</v>
      </c>
      <c r="AU16" s="992">
        <v>5.7</v>
      </c>
      <c r="AV16" s="992">
        <v>5.9</v>
      </c>
      <c r="AW16" s="992">
        <v>6.3</v>
      </c>
      <c r="AX16" s="994">
        <v>7.1</v>
      </c>
      <c r="AY16" s="992">
        <v>7.3</v>
      </c>
      <c r="AZ16" s="992">
        <v>8.3000000000000007</v>
      </c>
      <c r="BA16" s="992">
        <v>8.9</v>
      </c>
      <c r="BB16" s="992">
        <v>10</v>
      </c>
      <c r="BC16" s="992">
        <v>11.3</v>
      </c>
      <c r="BD16" s="992">
        <v>12.4</v>
      </c>
      <c r="BE16" s="992">
        <v>13.3</v>
      </c>
      <c r="BF16" s="992">
        <v>13.1</v>
      </c>
      <c r="BG16" s="992">
        <v>13</v>
      </c>
      <c r="BH16" s="992">
        <v>12.4</v>
      </c>
      <c r="BI16" s="993">
        <v>11.4</v>
      </c>
      <c r="BJ16" s="994">
        <v>11.4</v>
      </c>
      <c r="BK16" s="992"/>
      <c r="BL16" s="992"/>
      <c r="BM16" s="992"/>
      <c r="BN16" s="992"/>
      <c r="BO16" s="992"/>
      <c r="BP16" s="992"/>
      <c r="BQ16" s="992"/>
      <c r="BR16" s="992"/>
      <c r="BS16" s="992"/>
      <c r="BU16" s="1009"/>
      <c r="BV16"/>
    </row>
    <row r="17" spans="1:75" ht="13.9" customHeight="1" x14ac:dyDescent="0.2">
      <c r="A17" s="793" t="s">
        <v>520</v>
      </c>
      <c r="B17" s="998">
        <v>4.96</v>
      </c>
      <c r="C17" s="996">
        <v>4.9000000000000004</v>
      </c>
      <c r="D17" s="996">
        <v>8.1999999999999993</v>
      </c>
      <c r="E17" s="996">
        <v>6.39</v>
      </c>
      <c r="F17" s="996">
        <v>7.43</v>
      </c>
      <c r="G17" s="996">
        <v>6.53</v>
      </c>
      <c r="H17" s="996">
        <v>6.1</v>
      </c>
      <c r="I17" s="996">
        <v>4.3099999999999996</v>
      </c>
      <c r="J17" s="996">
        <v>4.4800000000000004</v>
      </c>
      <c r="K17" s="996">
        <v>4.3899999999999997</v>
      </c>
      <c r="L17" s="996">
        <v>4.07</v>
      </c>
      <c r="M17" s="997">
        <v>3.26</v>
      </c>
      <c r="N17" s="998">
        <v>2.93</v>
      </c>
      <c r="O17" s="996">
        <v>2.91</v>
      </c>
      <c r="P17" s="996">
        <v>3.2</v>
      </c>
      <c r="Q17" s="996">
        <v>2.96</v>
      </c>
      <c r="R17" s="996">
        <v>3.67</v>
      </c>
      <c r="S17" s="996">
        <v>3.61</v>
      </c>
      <c r="T17" s="996">
        <v>3.41</v>
      </c>
      <c r="U17" s="996">
        <v>3.33</v>
      </c>
      <c r="V17" s="996">
        <v>3.8</v>
      </c>
      <c r="W17" s="996">
        <v>3.8</v>
      </c>
      <c r="X17" s="996">
        <v>3.44</v>
      </c>
      <c r="Y17" s="997">
        <v>3.5</v>
      </c>
      <c r="Z17" s="998">
        <v>3</v>
      </c>
      <c r="AA17" s="996">
        <v>2.8</v>
      </c>
      <c r="AB17" s="996">
        <v>3.2</v>
      </c>
      <c r="AC17" s="996">
        <v>3.2</v>
      </c>
      <c r="AD17" s="986">
        <v>2.9</v>
      </c>
      <c r="AE17" s="986">
        <v>3.1</v>
      </c>
      <c r="AF17" s="986">
        <v>3.3</v>
      </c>
      <c r="AG17" s="986">
        <v>3.5</v>
      </c>
      <c r="AH17" s="986">
        <v>3.3</v>
      </c>
      <c r="AI17" s="986">
        <v>3</v>
      </c>
      <c r="AJ17" s="986">
        <v>2.6</v>
      </c>
      <c r="AK17" s="987">
        <v>2</v>
      </c>
      <c r="AL17" s="988">
        <v>2.2000000000000002</v>
      </c>
      <c r="AM17" s="986">
        <v>2.1</v>
      </c>
      <c r="AN17" s="986">
        <v>2.4</v>
      </c>
      <c r="AO17" s="986">
        <v>2.5</v>
      </c>
      <c r="AP17" s="640">
        <v>3</v>
      </c>
      <c r="AQ17" s="640">
        <v>3</v>
      </c>
      <c r="AR17" s="640">
        <v>3.7</v>
      </c>
      <c r="AS17" s="640">
        <v>4.2</v>
      </c>
      <c r="AT17" s="640">
        <v>4.7</v>
      </c>
      <c r="AU17" s="640">
        <v>5.4</v>
      </c>
      <c r="AV17" s="640">
        <v>5.6</v>
      </c>
      <c r="AW17" s="986">
        <v>6</v>
      </c>
      <c r="AX17" s="988">
        <v>7.3</v>
      </c>
      <c r="AY17" s="986">
        <v>7.5</v>
      </c>
      <c r="AZ17" s="986">
        <v>9.1999999999999993</v>
      </c>
      <c r="BA17" s="986">
        <v>10.3</v>
      </c>
      <c r="BB17" s="986">
        <v>10.9</v>
      </c>
      <c r="BC17" s="986">
        <v>11.1</v>
      </c>
      <c r="BD17" s="986">
        <v>10.4</v>
      </c>
      <c r="BE17" s="986">
        <v>10.8</v>
      </c>
      <c r="BF17" s="986">
        <v>10.3</v>
      </c>
      <c r="BG17" s="986">
        <v>10.8</v>
      </c>
      <c r="BH17" s="986">
        <v>10.4</v>
      </c>
      <c r="BI17" s="987">
        <v>11.8</v>
      </c>
      <c r="BJ17" s="988">
        <v>11.8</v>
      </c>
      <c r="BK17" s="986"/>
      <c r="BL17" s="986"/>
      <c r="BM17" s="986"/>
      <c r="BU17" s="332"/>
    </row>
    <row r="18" spans="1:75" ht="13.9" customHeight="1" x14ac:dyDescent="0.2">
      <c r="A18" s="342" t="s">
        <v>521</v>
      </c>
      <c r="B18" s="984"/>
      <c r="C18" s="326"/>
      <c r="D18" s="996"/>
      <c r="E18" s="996"/>
      <c r="F18" s="996"/>
      <c r="G18" s="996"/>
      <c r="H18" s="996"/>
      <c r="I18" s="996"/>
      <c r="J18" s="996"/>
      <c r="K18" s="996"/>
      <c r="L18" s="996"/>
      <c r="M18" s="997"/>
      <c r="N18" s="998"/>
      <c r="O18" s="996"/>
      <c r="P18" s="996">
        <v>4.3499999999999996</v>
      </c>
      <c r="Q18" s="996">
        <v>4.55</v>
      </c>
      <c r="R18" s="996">
        <v>4.43</v>
      </c>
      <c r="S18" s="996">
        <v>4.5999999999999996</v>
      </c>
      <c r="T18" s="996">
        <v>0.13</v>
      </c>
      <c r="U18" s="996">
        <v>0.95</v>
      </c>
      <c r="V18" s="996">
        <v>1.2</v>
      </c>
      <c r="W18" s="996">
        <v>1.03</v>
      </c>
      <c r="X18" s="996">
        <v>3.95</v>
      </c>
      <c r="Y18" s="997">
        <v>1.4</v>
      </c>
      <c r="Z18" s="998">
        <v>3.9</v>
      </c>
      <c r="AA18" s="996">
        <v>3.9</v>
      </c>
      <c r="AB18" s="996">
        <v>4</v>
      </c>
      <c r="AC18" s="996">
        <v>4.0999999999999996</v>
      </c>
      <c r="AD18" s="986">
        <v>4.2</v>
      </c>
      <c r="AE18" s="986">
        <v>2.5</v>
      </c>
      <c r="AF18" s="986">
        <v>4.2</v>
      </c>
      <c r="AG18" s="986">
        <v>2.9</v>
      </c>
      <c r="AH18" s="986">
        <v>4.0999999999999996</v>
      </c>
      <c r="AI18" s="986">
        <v>3.4</v>
      </c>
      <c r="AJ18" s="986">
        <v>3.1</v>
      </c>
      <c r="AK18" s="987">
        <v>3.4</v>
      </c>
      <c r="AL18" s="988">
        <v>3.2</v>
      </c>
      <c r="AM18" s="986">
        <v>3</v>
      </c>
      <c r="AN18" s="986">
        <v>3.5</v>
      </c>
      <c r="AO18" s="986">
        <v>3.7</v>
      </c>
      <c r="AP18" s="868">
        <v>4.2</v>
      </c>
      <c r="AQ18" s="640">
        <v>5</v>
      </c>
      <c r="AR18" s="640">
        <v>5.2</v>
      </c>
      <c r="AS18" s="640">
        <v>5.3</v>
      </c>
      <c r="AT18" s="640">
        <v>5.9</v>
      </c>
      <c r="AU18" s="640">
        <v>6.4</v>
      </c>
      <c r="AV18" s="640">
        <v>6.5</v>
      </c>
      <c r="AW18" s="986">
        <v>7.2</v>
      </c>
      <c r="AX18" s="988">
        <v>7.2</v>
      </c>
      <c r="AY18" s="986">
        <v>7.6</v>
      </c>
      <c r="AZ18" s="986">
        <v>8</v>
      </c>
      <c r="BA18" s="986">
        <v>7.9</v>
      </c>
      <c r="BB18" s="986">
        <v>9.1999999999999993</v>
      </c>
      <c r="BC18" s="986">
        <v>10.7</v>
      </c>
      <c r="BD18" s="986">
        <v>12.3</v>
      </c>
      <c r="BE18" s="986">
        <v>13.6</v>
      </c>
      <c r="BF18" s="986">
        <v>14.1</v>
      </c>
      <c r="BG18" s="986">
        <v>14.4</v>
      </c>
      <c r="BH18" s="986">
        <v>14.2</v>
      </c>
      <c r="BI18" s="987">
        <v>11.4</v>
      </c>
      <c r="BJ18" s="988">
        <v>11.2</v>
      </c>
      <c r="BK18" s="986"/>
      <c r="BL18" s="986"/>
      <c r="BM18" s="986"/>
      <c r="BU18" s="332"/>
    </row>
    <row r="19" spans="1:75" ht="13.9" customHeight="1" x14ac:dyDescent="0.2">
      <c r="A19" s="793" t="s">
        <v>522</v>
      </c>
      <c r="B19" s="998"/>
      <c r="C19" s="996"/>
      <c r="D19" s="996"/>
      <c r="E19" s="996"/>
      <c r="F19" s="996"/>
      <c r="G19" s="996"/>
      <c r="H19" s="996"/>
      <c r="I19" s="996"/>
      <c r="J19" s="996"/>
      <c r="K19" s="996"/>
      <c r="L19" s="996"/>
      <c r="M19" s="997"/>
      <c r="N19" s="998"/>
      <c r="O19" s="996"/>
      <c r="P19" s="996"/>
      <c r="Q19" s="996">
        <v>3.76</v>
      </c>
      <c r="R19" s="996">
        <v>3.96</v>
      </c>
      <c r="S19" s="996">
        <v>3.69</v>
      </c>
      <c r="T19" s="996">
        <v>3.72</v>
      </c>
      <c r="U19" s="996">
        <v>3.67</v>
      </c>
      <c r="V19" s="996">
        <v>3.7</v>
      </c>
      <c r="W19" s="996">
        <v>3.9</v>
      </c>
      <c r="X19" s="996">
        <v>3.73</v>
      </c>
      <c r="Y19" s="997">
        <v>3.8</v>
      </c>
      <c r="Z19" s="998">
        <v>4</v>
      </c>
      <c r="AA19" s="996">
        <v>3.7</v>
      </c>
      <c r="AB19" s="996">
        <v>3.9</v>
      </c>
      <c r="AC19" s="996">
        <v>4</v>
      </c>
      <c r="AD19" s="986">
        <v>4</v>
      </c>
      <c r="AE19" s="986">
        <v>3.8</v>
      </c>
      <c r="AF19" s="986">
        <v>3.9</v>
      </c>
      <c r="AG19" s="986">
        <v>3.9</v>
      </c>
      <c r="AH19" s="986">
        <v>3.8</v>
      </c>
      <c r="AI19" s="986">
        <v>3.9</v>
      </c>
      <c r="AJ19" s="986">
        <v>3.9</v>
      </c>
      <c r="AK19" s="987">
        <v>3.8</v>
      </c>
      <c r="AL19" s="988">
        <v>3.9</v>
      </c>
      <c r="AM19" s="986">
        <v>3.9</v>
      </c>
      <c r="AN19" s="986">
        <v>3.8</v>
      </c>
      <c r="AO19" s="986">
        <v>4</v>
      </c>
      <c r="AP19" s="986">
        <v>4</v>
      </c>
      <c r="AQ19" s="986">
        <v>3.9</v>
      </c>
      <c r="AR19" s="986">
        <v>4</v>
      </c>
      <c r="AS19" s="986">
        <v>4</v>
      </c>
      <c r="AT19" s="986">
        <v>4</v>
      </c>
      <c r="AU19" s="986">
        <v>4</v>
      </c>
      <c r="AV19" s="986">
        <v>3.9</v>
      </c>
      <c r="AW19" s="986">
        <v>3.9</v>
      </c>
      <c r="AX19" s="988">
        <v>4</v>
      </c>
      <c r="AY19" s="986">
        <v>4.0999999999999996</v>
      </c>
      <c r="AZ19" s="986">
        <v>3.7</v>
      </c>
      <c r="BA19" s="986">
        <v>3.9</v>
      </c>
      <c r="BB19" s="986">
        <v>4</v>
      </c>
      <c r="BC19" s="986">
        <v>3.9</v>
      </c>
      <c r="BD19" s="986">
        <v>3.9</v>
      </c>
      <c r="BE19" s="986">
        <v>3.9</v>
      </c>
      <c r="BF19" s="986">
        <v>3.9</v>
      </c>
      <c r="BG19" s="986">
        <v>3.9</v>
      </c>
      <c r="BH19" s="986">
        <v>4</v>
      </c>
      <c r="BI19" s="987">
        <v>3.9</v>
      </c>
      <c r="BJ19" s="988">
        <v>4</v>
      </c>
      <c r="BK19" s="986">
        <v>4.0999999999999996</v>
      </c>
      <c r="BL19" s="986">
        <v>4</v>
      </c>
      <c r="BM19" s="986">
        <v>4.2</v>
      </c>
      <c r="BU19" s="332"/>
    </row>
    <row r="20" spans="1:75" ht="13.9" customHeight="1" x14ac:dyDescent="0.2">
      <c r="A20" s="793" t="s">
        <v>523</v>
      </c>
      <c r="B20" s="998">
        <v>2.71</v>
      </c>
      <c r="C20" s="996">
        <v>3.21</v>
      </c>
      <c r="D20" s="996">
        <v>3.81</v>
      </c>
      <c r="E20" s="996">
        <v>4.2699999999999996</v>
      </c>
      <c r="F20" s="996">
        <v>4.99</v>
      </c>
      <c r="G20" s="996">
        <v>4.09</v>
      </c>
      <c r="H20" s="996">
        <v>4.17</v>
      </c>
      <c r="I20" s="996">
        <v>4.0599999999999996</v>
      </c>
      <c r="J20" s="996">
        <v>4.1500000000000004</v>
      </c>
      <c r="K20" s="996">
        <v>4.82</v>
      </c>
      <c r="L20" s="996">
        <v>5.3</v>
      </c>
      <c r="M20" s="997">
        <v>5.97</v>
      </c>
      <c r="N20" s="998">
        <v>6.03</v>
      </c>
      <c r="O20" s="996">
        <v>5.94</v>
      </c>
      <c r="P20" s="996">
        <v>5.81</v>
      </c>
      <c r="Q20" s="996">
        <v>5.47</v>
      </c>
      <c r="R20" s="996">
        <v>5.45</v>
      </c>
      <c r="S20" s="996">
        <v>5.59</v>
      </c>
      <c r="T20" s="996">
        <v>5</v>
      </c>
      <c r="U20" s="996">
        <v>5.87</v>
      </c>
      <c r="V20" s="996">
        <v>6.5</v>
      </c>
      <c r="W20" s="996">
        <v>6</v>
      </c>
      <c r="X20" s="996">
        <v>5.79</v>
      </c>
      <c r="Y20" s="997">
        <v>5.8</v>
      </c>
      <c r="Z20" s="998">
        <v>5.9</v>
      </c>
      <c r="AA20" s="996">
        <v>6.7</v>
      </c>
      <c r="AB20" s="996">
        <v>6.4</v>
      </c>
      <c r="AC20" s="996">
        <v>7.3</v>
      </c>
      <c r="AD20" s="986">
        <v>6.9</v>
      </c>
      <c r="AE20" s="986">
        <v>6.9</v>
      </c>
      <c r="AF20" s="986">
        <v>7.5</v>
      </c>
      <c r="AG20" s="986">
        <v>7.6</v>
      </c>
      <c r="AH20" s="986">
        <v>7.5</v>
      </c>
      <c r="AI20" s="986">
        <v>7.4</v>
      </c>
      <c r="AJ20" s="986">
        <v>7.4</v>
      </c>
      <c r="AK20" s="987">
        <v>5.4</v>
      </c>
      <c r="AL20" s="988">
        <v>4.9000000000000004</v>
      </c>
      <c r="AM20" s="986">
        <v>5.3</v>
      </c>
      <c r="AN20" s="986">
        <v>5.0999999999999996</v>
      </c>
      <c r="AO20" s="986">
        <v>5.3</v>
      </c>
      <c r="AP20" s="868">
        <v>5.6</v>
      </c>
      <c r="AQ20" s="640">
        <v>6</v>
      </c>
      <c r="AR20" s="640">
        <v>4.2</v>
      </c>
      <c r="AS20" s="640">
        <v>6.9</v>
      </c>
      <c r="AT20" s="640">
        <v>6.9</v>
      </c>
      <c r="AU20" s="640">
        <v>6.8</v>
      </c>
      <c r="AV20" s="640">
        <v>7.6</v>
      </c>
      <c r="AW20" s="986">
        <v>8.1</v>
      </c>
      <c r="AX20" s="988">
        <v>8.5</v>
      </c>
      <c r="AY20" s="986">
        <v>9.5</v>
      </c>
      <c r="AZ20" s="1000"/>
      <c r="BA20" s="1000"/>
      <c r="BB20" s="1000"/>
      <c r="BC20" s="1000"/>
      <c r="BD20" s="1000"/>
      <c r="BE20" s="1000"/>
      <c r="BF20" s="1000"/>
      <c r="BG20" s="1000"/>
      <c r="BH20" s="1000"/>
      <c r="BI20" s="1001"/>
      <c r="BJ20" s="1002"/>
      <c r="BK20" s="1000"/>
      <c r="BL20" s="1000"/>
      <c r="BM20" s="1000"/>
      <c r="BU20" s="332"/>
    </row>
    <row r="21" spans="1:75" ht="13.9" customHeight="1" x14ac:dyDescent="0.2">
      <c r="A21" s="793" t="s">
        <v>497</v>
      </c>
      <c r="B21" s="998"/>
      <c r="C21" s="996"/>
      <c r="D21" s="996"/>
      <c r="E21" s="996"/>
      <c r="F21" s="996"/>
      <c r="G21" s="996"/>
      <c r="H21" s="996"/>
      <c r="I21" s="996"/>
      <c r="J21" s="996"/>
      <c r="K21" s="996"/>
      <c r="L21" s="996"/>
      <c r="M21" s="997"/>
      <c r="N21" s="998"/>
      <c r="O21" s="996"/>
      <c r="P21" s="996"/>
      <c r="Q21" s="996"/>
      <c r="R21" s="996"/>
      <c r="S21" s="996"/>
      <c r="T21" s="996"/>
      <c r="U21" s="996"/>
      <c r="V21" s="996"/>
      <c r="W21" s="996"/>
      <c r="X21" s="996"/>
      <c r="Y21" s="997"/>
      <c r="Z21" s="998"/>
      <c r="AA21" s="996"/>
      <c r="AB21" s="996"/>
      <c r="AC21" s="996"/>
      <c r="AD21" s="986"/>
      <c r="AE21" s="986"/>
      <c r="AF21" s="986"/>
      <c r="AG21" s="986"/>
      <c r="AH21" s="986"/>
      <c r="AI21" s="986"/>
      <c r="AJ21" s="986"/>
      <c r="AK21" s="987"/>
      <c r="AL21" s="988"/>
      <c r="AM21" s="986"/>
      <c r="AN21" s="986"/>
      <c r="AO21" s="986"/>
      <c r="AP21" s="749"/>
      <c r="AQ21" s="639"/>
      <c r="AR21" s="639"/>
      <c r="AS21" s="639"/>
      <c r="AT21" s="639"/>
      <c r="AU21" s="639"/>
      <c r="AV21" s="639"/>
      <c r="AW21" s="1003"/>
      <c r="AX21" s="639"/>
      <c r="AY21" s="639"/>
      <c r="AZ21" s="639"/>
      <c r="BA21" s="639"/>
      <c r="BB21" s="1000">
        <v>11.6</v>
      </c>
      <c r="BC21" s="1000">
        <v>16.100000000000001</v>
      </c>
      <c r="BD21" s="1000">
        <v>21.9</v>
      </c>
      <c r="BE21" s="1000">
        <v>23.6</v>
      </c>
      <c r="BF21" s="1000">
        <v>22.6</v>
      </c>
      <c r="BG21" s="1000">
        <v>20.9</v>
      </c>
      <c r="BH21" s="1000">
        <v>18.600000000000001</v>
      </c>
      <c r="BI21" s="1001">
        <v>15.1</v>
      </c>
      <c r="BJ21" s="1002">
        <v>16.100000000000001</v>
      </c>
      <c r="BK21" s="1000">
        <v>12.5</v>
      </c>
      <c r="BL21" s="1000"/>
      <c r="BM21" s="1000"/>
      <c r="BU21" s="332"/>
      <c r="BW21" s="317">
        <v>1872.62806</v>
      </c>
    </row>
    <row r="22" spans="1:75" s="338" customFormat="1" ht="13.9" customHeight="1" x14ac:dyDescent="0.2">
      <c r="A22" s="748" t="s">
        <v>221</v>
      </c>
      <c r="B22" s="989"/>
      <c r="C22" s="990"/>
      <c r="D22" s="990"/>
      <c r="E22" s="990"/>
      <c r="F22" s="990"/>
      <c r="G22" s="990"/>
      <c r="H22" s="990"/>
      <c r="I22" s="990"/>
      <c r="J22" s="990"/>
      <c r="K22" s="990"/>
      <c r="L22" s="990"/>
      <c r="M22" s="991"/>
      <c r="N22" s="990">
        <v>11.7</v>
      </c>
      <c r="O22" s="990">
        <v>11.5</v>
      </c>
      <c r="P22" s="990">
        <v>11.8</v>
      </c>
      <c r="Q22" s="990">
        <v>12.1</v>
      </c>
      <c r="R22" s="990">
        <v>11.4</v>
      </c>
      <c r="S22" s="990">
        <v>12.3</v>
      </c>
      <c r="T22" s="990">
        <v>12.7</v>
      </c>
      <c r="U22" s="990">
        <v>12.1</v>
      </c>
      <c r="V22" s="990">
        <v>12.1</v>
      </c>
      <c r="W22" s="990">
        <v>12.1</v>
      </c>
      <c r="X22" s="990">
        <v>11.1</v>
      </c>
      <c r="Y22" s="991">
        <v>11</v>
      </c>
      <c r="Z22" s="989">
        <v>10.7</v>
      </c>
      <c r="AA22" s="990">
        <v>9.98</v>
      </c>
      <c r="AB22" s="990">
        <v>10</v>
      </c>
      <c r="AC22" s="990">
        <v>10.199999999999999</v>
      </c>
      <c r="AD22" s="992">
        <v>10.199999999999999</v>
      </c>
      <c r="AE22" s="992">
        <v>9.9</v>
      </c>
      <c r="AF22" s="992">
        <v>10.1</v>
      </c>
      <c r="AG22" s="992">
        <v>9.8000000000000007</v>
      </c>
      <c r="AH22" s="992">
        <v>9.1999999999999993</v>
      </c>
      <c r="AI22" s="992">
        <v>9.1999999999999993</v>
      </c>
      <c r="AJ22" s="992">
        <v>7.9</v>
      </c>
      <c r="AK22" s="993">
        <v>7.4</v>
      </c>
      <c r="AL22" s="994">
        <v>7.3</v>
      </c>
      <c r="AM22" s="992">
        <v>7.1</v>
      </c>
      <c r="AN22" s="992">
        <v>7.2</v>
      </c>
      <c r="AO22" s="992">
        <v>7.7</v>
      </c>
      <c r="AP22" s="992">
        <v>7.9</v>
      </c>
      <c r="AQ22" s="992">
        <v>8.5</v>
      </c>
      <c r="AR22" s="992">
        <v>8.5</v>
      </c>
      <c r="AS22" s="992">
        <v>8.9</v>
      </c>
      <c r="AT22" s="992">
        <v>9.1</v>
      </c>
      <c r="AU22" s="992">
        <v>9</v>
      </c>
      <c r="AV22" s="992">
        <v>9.6999999999999993</v>
      </c>
      <c r="AW22" s="992">
        <v>7.2</v>
      </c>
      <c r="AX22" s="994">
        <v>6.9</v>
      </c>
      <c r="AY22" s="992">
        <v>7.7</v>
      </c>
      <c r="AZ22" s="992">
        <v>8.1999999999999993</v>
      </c>
      <c r="BA22" s="992">
        <v>8.5</v>
      </c>
      <c r="BB22" s="992">
        <v>8.9</v>
      </c>
      <c r="BC22" s="992">
        <v>8</v>
      </c>
      <c r="BD22" s="992">
        <v>8.3000000000000007</v>
      </c>
      <c r="BE22" s="992">
        <v>8.1</v>
      </c>
      <c r="BF22" s="992">
        <v>8.4</v>
      </c>
      <c r="BG22" s="992">
        <v>8.6999999999999993</v>
      </c>
      <c r="BH22" s="992">
        <v>7.7</v>
      </c>
      <c r="BI22" s="993"/>
      <c r="BJ22" s="994"/>
      <c r="BK22" s="992"/>
      <c r="BL22" s="992"/>
      <c r="BM22" s="992"/>
      <c r="BN22" s="992"/>
      <c r="BO22" s="992"/>
      <c r="BP22" s="992"/>
      <c r="BQ22" s="992"/>
      <c r="BR22" s="992"/>
      <c r="BS22" s="992"/>
      <c r="BU22" s="1009"/>
      <c r="BV22"/>
    </row>
    <row r="23" spans="1:75" ht="13.9" customHeight="1" x14ac:dyDescent="0.2">
      <c r="A23" s="342" t="s">
        <v>504</v>
      </c>
      <c r="B23" s="998">
        <v>3.85</v>
      </c>
      <c r="C23" s="996">
        <v>3.23</v>
      </c>
      <c r="D23" s="996">
        <v>3.29</v>
      </c>
      <c r="E23" s="996">
        <v>3.5</v>
      </c>
      <c r="F23" s="996">
        <v>4.5599999999999996</v>
      </c>
      <c r="G23" s="996">
        <v>3.46</v>
      </c>
      <c r="H23" s="996">
        <v>3.49</v>
      </c>
      <c r="I23" s="996">
        <v>3.61</v>
      </c>
      <c r="J23" s="996">
        <v>3.8</v>
      </c>
      <c r="K23" s="996">
        <v>3.62</v>
      </c>
      <c r="L23" s="996">
        <v>3.28</v>
      </c>
      <c r="M23" s="997">
        <v>3.66</v>
      </c>
      <c r="N23" s="998">
        <v>8.44</v>
      </c>
      <c r="O23" s="996">
        <v>5.4</v>
      </c>
      <c r="P23" s="996">
        <v>4.99</v>
      </c>
      <c r="Q23" s="996">
        <v>5.5</v>
      </c>
      <c r="R23" s="996">
        <v>5.15</v>
      </c>
      <c r="S23" s="996">
        <v>5.26</v>
      </c>
      <c r="T23" s="996">
        <v>5.69</v>
      </c>
      <c r="U23" s="996">
        <v>6.31</v>
      </c>
      <c r="V23" s="996">
        <v>6.1</v>
      </c>
      <c r="W23" s="996">
        <v>7.8</v>
      </c>
      <c r="X23" s="996">
        <v>8.06</v>
      </c>
      <c r="Y23" s="997">
        <v>7.3</v>
      </c>
      <c r="Z23" s="998">
        <v>7.8</v>
      </c>
      <c r="AA23" s="996">
        <v>8.3000000000000007</v>
      </c>
      <c r="AB23" s="996">
        <v>7</v>
      </c>
      <c r="AC23" s="996">
        <v>7.1</v>
      </c>
      <c r="AD23" s="986">
        <v>7.1</v>
      </c>
      <c r="AE23" s="986">
        <v>7.5</v>
      </c>
      <c r="AF23" s="986">
        <v>7.7</v>
      </c>
      <c r="AG23" s="986">
        <v>7.6</v>
      </c>
      <c r="AH23" s="986">
        <v>7.4</v>
      </c>
      <c r="AI23" s="986">
        <v>7.9</v>
      </c>
      <c r="AJ23" s="986">
        <v>7.3</v>
      </c>
      <c r="AK23" s="987">
        <v>6.8</v>
      </c>
      <c r="AL23" s="988">
        <v>6.7</v>
      </c>
      <c r="AM23" s="986">
        <v>6.6</v>
      </c>
      <c r="AN23" s="639">
        <v>6.7</v>
      </c>
      <c r="AO23" s="639">
        <v>7.6</v>
      </c>
      <c r="AP23" s="986">
        <v>7.9</v>
      </c>
      <c r="AQ23" s="986">
        <v>6.4</v>
      </c>
      <c r="AR23" s="986">
        <v>6.5</v>
      </c>
      <c r="AS23" s="986">
        <v>6.6</v>
      </c>
      <c r="AT23" s="986">
        <v>7.2</v>
      </c>
      <c r="AU23" s="986">
        <v>6</v>
      </c>
      <c r="AV23" s="986">
        <v>6.2</v>
      </c>
      <c r="AW23" s="986">
        <v>6.2</v>
      </c>
      <c r="AX23" s="988">
        <v>8.5</v>
      </c>
      <c r="AY23" s="986">
        <v>8.8000000000000007</v>
      </c>
      <c r="AZ23" s="986">
        <v>8.6</v>
      </c>
      <c r="BA23" s="986">
        <v>9.1</v>
      </c>
      <c r="BB23" s="986">
        <v>9.1999999999999993</v>
      </c>
      <c r="BC23" s="986">
        <v>9.3000000000000007</v>
      </c>
      <c r="BD23" s="986">
        <v>9.9</v>
      </c>
      <c r="BE23" s="986">
        <v>9.8000000000000007</v>
      </c>
      <c r="BF23" s="986">
        <v>9.6999999999999993</v>
      </c>
      <c r="BG23" s="986">
        <v>10.4</v>
      </c>
      <c r="BH23" s="986">
        <v>10.8</v>
      </c>
      <c r="BI23" s="987">
        <v>9.6</v>
      </c>
      <c r="BJ23" s="988">
        <v>9.8000000000000007</v>
      </c>
      <c r="BK23" s="986">
        <v>10.7</v>
      </c>
      <c r="BL23" s="986"/>
      <c r="BM23" s="986"/>
      <c r="BU23" s="332"/>
    </row>
    <row r="24" spans="1:75" ht="13.9" customHeight="1" x14ac:dyDescent="0.2">
      <c r="A24" s="342" t="s">
        <v>503</v>
      </c>
      <c r="B24" s="998">
        <v>9.69</v>
      </c>
      <c r="C24" s="996">
        <v>10.28</v>
      </c>
      <c r="D24" s="996">
        <v>7.83</v>
      </c>
      <c r="E24" s="996">
        <v>8.56</v>
      </c>
      <c r="F24" s="996">
        <v>7.94</v>
      </c>
      <c r="G24" s="996">
        <v>8.31</v>
      </c>
      <c r="H24" s="996">
        <v>8.27</v>
      </c>
      <c r="I24" s="996">
        <v>8.31</v>
      </c>
      <c r="J24" s="996">
        <v>8.85</v>
      </c>
      <c r="K24" s="996">
        <v>8.49</v>
      </c>
      <c r="L24" s="996">
        <v>8.42</v>
      </c>
      <c r="M24" s="997">
        <v>8.98</v>
      </c>
      <c r="N24" s="998">
        <v>8.7200000000000006</v>
      </c>
      <c r="O24" s="996">
        <v>8.49</v>
      </c>
      <c r="P24" s="996">
        <v>9.1999999999999993</v>
      </c>
      <c r="Q24" s="996">
        <v>9.1199999999999992</v>
      </c>
      <c r="R24" s="996">
        <v>9.59</v>
      </c>
      <c r="S24" s="996">
        <v>9.91</v>
      </c>
      <c r="T24" s="996">
        <v>10.31</v>
      </c>
      <c r="U24" s="996">
        <v>8.33</v>
      </c>
      <c r="V24" s="996">
        <v>8.8000000000000007</v>
      </c>
      <c r="W24" s="996">
        <v>9</v>
      </c>
      <c r="X24" s="996">
        <v>8.8699999999999992</v>
      </c>
      <c r="Y24" s="997">
        <v>9</v>
      </c>
      <c r="Z24" s="998">
        <v>8.6999999999999993</v>
      </c>
      <c r="AA24" s="996">
        <v>8.3000000000000007</v>
      </c>
      <c r="AB24" s="996">
        <v>9.1</v>
      </c>
      <c r="AC24" s="996">
        <v>9.3000000000000007</v>
      </c>
      <c r="AD24" s="986">
        <v>9.1999999999999993</v>
      </c>
      <c r="AE24" s="986">
        <v>9.5</v>
      </c>
      <c r="AF24" s="986">
        <v>9.8000000000000007</v>
      </c>
      <c r="AG24" s="986">
        <v>9.1999999999999993</v>
      </c>
      <c r="AH24" s="986">
        <v>8.8000000000000007</v>
      </c>
      <c r="AI24" s="986">
        <v>8.5</v>
      </c>
      <c r="AJ24" s="986">
        <v>7.9</v>
      </c>
      <c r="AK24" s="987">
        <v>7.8</v>
      </c>
      <c r="AL24" s="988">
        <v>7.1</v>
      </c>
      <c r="AM24" s="986">
        <v>6.9</v>
      </c>
      <c r="AN24" s="986">
        <v>7</v>
      </c>
      <c r="AO24" s="986">
        <v>7.1</v>
      </c>
      <c r="AP24" s="986">
        <v>7.3</v>
      </c>
      <c r="AQ24" s="986">
        <v>8.3000000000000007</v>
      </c>
      <c r="AR24" s="986">
        <v>8.1999999999999993</v>
      </c>
      <c r="AS24" s="986">
        <v>8</v>
      </c>
      <c r="AT24" s="986">
        <v>8.5</v>
      </c>
      <c r="AU24" s="986">
        <v>8.5</v>
      </c>
      <c r="AV24" s="986">
        <v>8.8000000000000007</v>
      </c>
      <c r="AW24" s="986">
        <v>7.7</v>
      </c>
      <c r="AX24" s="988">
        <v>8.5</v>
      </c>
      <c r="AY24" s="986">
        <v>9.1999999999999993</v>
      </c>
      <c r="AZ24" s="986">
        <v>9.3000000000000007</v>
      </c>
      <c r="BA24" s="986">
        <v>10.1</v>
      </c>
      <c r="BB24" s="986">
        <v>10.3</v>
      </c>
      <c r="BC24" s="986">
        <v>8.6</v>
      </c>
      <c r="BD24" s="986">
        <v>9.5</v>
      </c>
      <c r="BE24" s="986">
        <v>9.5</v>
      </c>
      <c r="BF24" s="986">
        <v>9.4</v>
      </c>
      <c r="BG24" s="986">
        <v>9.6</v>
      </c>
      <c r="BH24" s="986">
        <v>9.8000000000000007</v>
      </c>
      <c r="BI24" s="987">
        <v>10.8</v>
      </c>
      <c r="BJ24" s="988"/>
      <c r="BK24" s="986"/>
      <c r="BL24" s="986"/>
      <c r="BM24" s="986"/>
      <c r="BU24" s="332"/>
    </row>
    <row r="25" spans="1:75" ht="13.9" customHeight="1" x14ac:dyDescent="0.2">
      <c r="A25" s="342" t="s">
        <v>502</v>
      </c>
      <c r="B25" s="998">
        <v>11.74</v>
      </c>
      <c r="C25" s="996">
        <v>11.35</v>
      </c>
      <c r="D25" s="996">
        <v>11.24</v>
      </c>
      <c r="E25" s="996">
        <v>11.05</v>
      </c>
      <c r="F25" s="996">
        <v>11.83</v>
      </c>
      <c r="G25" s="996">
        <v>12.03</v>
      </c>
      <c r="H25" s="996">
        <v>12.13</v>
      </c>
      <c r="I25" s="996">
        <v>12.74</v>
      </c>
      <c r="J25" s="996">
        <v>12.28</v>
      </c>
      <c r="K25" s="996">
        <v>12.68</v>
      </c>
      <c r="L25" s="996">
        <v>13.15</v>
      </c>
      <c r="M25" s="997">
        <v>13.71</v>
      </c>
      <c r="N25" s="998">
        <v>14.68</v>
      </c>
      <c r="O25" s="996">
        <v>14.34</v>
      </c>
      <c r="P25" s="996">
        <v>14.73</v>
      </c>
      <c r="Q25" s="996">
        <v>15.38</v>
      </c>
      <c r="R25" s="996">
        <v>15.19</v>
      </c>
      <c r="S25" s="996">
        <v>15.64</v>
      </c>
      <c r="T25" s="996">
        <v>16.489999999999998</v>
      </c>
      <c r="U25" s="996">
        <v>16.61</v>
      </c>
      <c r="V25" s="996">
        <v>16.399999999999999</v>
      </c>
      <c r="W25" s="996">
        <v>16</v>
      </c>
      <c r="X25" s="996">
        <v>14.96</v>
      </c>
      <c r="Y25" s="997">
        <v>14.5</v>
      </c>
      <c r="Z25" s="998">
        <v>14.1</v>
      </c>
      <c r="AA25" s="996">
        <v>12.4</v>
      </c>
      <c r="AB25" s="996">
        <v>12.5</v>
      </c>
      <c r="AC25" s="996">
        <v>12.6</v>
      </c>
      <c r="AD25" s="986">
        <v>12.2</v>
      </c>
      <c r="AE25" s="986">
        <v>11.9</v>
      </c>
      <c r="AF25" s="986">
        <v>12.3</v>
      </c>
      <c r="AG25" s="986">
        <v>11.9</v>
      </c>
      <c r="AH25" s="986">
        <v>11.3</v>
      </c>
      <c r="AI25" s="986">
        <v>11</v>
      </c>
      <c r="AJ25" s="986">
        <v>8.9</v>
      </c>
      <c r="AK25" s="987">
        <v>8.4</v>
      </c>
      <c r="AL25" s="988">
        <v>8.1999999999999993</v>
      </c>
      <c r="AM25" s="986">
        <v>8.1999999999999993</v>
      </c>
      <c r="AN25" s="986">
        <v>8.4</v>
      </c>
      <c r="AO25" s="986">
        <v>8.6999999999999993</v>
      </c>
      <c r="AP25" s="986">
        <v>9.3000000000000007</v>
      </c>
      <c r="AQ25" s="986">
        <v>10</v>
      </c>
      <c r="AR25" s="986">
        <v>10</v>
      </c>
      <c r="AS25" s="986">
        <v>10.6</v>
      </c>
      <c r="AT25" s="986">
        <v>10.199999999999999</v>
      </c>
      <c r="AU25" s="986">
        <v>10</v>
      </c>
      <c r="AV25" s="986">
        <v>9.8000000000000007</v>
      </c>
      <c r="AW25" s="986">
        <v>6.2</v>
      </c>
      <c r="AX25" s="988">
        <v>6.4</v>
      </c>
      <c r="AY25" s="986">
        <v>6.2</v>
      </c>
      <c r="AZ25" s="986">
        <v>6.9</v>
      </c>
      <c r="BA25" s="986">
        <v>6.8</v>
      </c>
      <c r="BB25" s="986">
        <v>7.1</v>
      </c>
      <c r="BC25" s="986">
        <v>7.1</v>
      </c>
      <c r="BD25" s="986">
        <v>7</v>
      </c>
      <c r="BE25" s="986">
        <v>7</v>
      </c>
      <c r="BF25" s="986">
        <v>7.2</v>
      </c>
      <c r="BG25" s="986">
        <v>7.5</v>
      </c>
      <c r="BH25" s="986">
        <v>6.7</v>
      </c>
      <c r="BI25" s="987">
        <v>7.1</v>
      </c>
      <c r="BJ25" s="988">
        <v>7.6</v>
      </c>
      <c r="BK25" s="986">
        <v>7.8</v>
      </c>
      <c r="BL25" s="986">
        <v>8.3000000000000007</v>
      </c>
      <c r="BM25" s="986"/>
      <c r="BU25" s="332"/>
    </row>
    <row r="26" spans="1:75" ht="13.9" customHeight="1" x14ac:dyDescent="0.2">
      <c r="A26" s="342" t="s">
        <v>524</v>
      </c>
      <c r="B26" s="998"/>
      <c r="C26" s="996"/>
      <c r="D26" s="996"/>
      <c r="E26" s="996"/>
      <c r="F26" s="996"/>
      <c r="G26" s="996"/>
      <c r="H26" s="996"/>
      <c r="I26" s="996"/>
      <c r="J26" s="996"/>
      <c r="K26" s="996"/>
      <c r="L26" s="996"/>
      <c r="M26" s="997"/>
      <c r="N26" s="998"/>
      <c r="O26" s="996"/>
      <c r="P26" s="996"/>
      <c r="Q26" s="996"/>
      <c r="R26" s="996"/>
      <c r="S26" s="996"/>
      <c r="T26" s="996"/>
      <c r="U26" s="996"/>
      <c r="V26" s="996"/>
      <c r="W26" s="996"/>
      <c r="X26" s="996"/>
      <c r="Y26" s="997"/>
      <c r="Z26" s="998"/>
      <c r="AA26" s="996"/>
      <c r="AB26" s="996"/>
      <c r="AC26" s="996"/>
      <c r="AD26" s="986"/>
      <c r="AE26" s="986"/>
      <c r="AF26" s="986"/>
      <c r="AG26" s="986"/>
      <c r="AH26" s="986"/>
      <c r="AI26" s="986"/>
      <c r="AJ26" s="986"/>
      <c r="AK26" s="987"/>
      <c r="AL26" s="988"/>
      <c r="AM26" s="986"/>
      <c r="AN26" s="986"/>
      <c r="AO26" s="986"/>
      <c r="AP26" s="986"/>
      <c r="AQ26" s="986"/>
      <c r="AR26" s="986"/>
      <c r="AS26" s="986"/>
      <c r="AT26" s="1000"/>
      <c r="AU26" s="1000"/>
      <c r="AV26" s="1000"/>
      <c r="AW26" s="1000"/>
      <c r="AX26" s="1002"/>
      <c r="AY26" s="1000"/>
      <c r="AZ26" s="1000"/>
      <c r="BA26" s="1000"/>
      <c r="BB26" s="1000"/>
      <c r="BC26" s="1000"/>
      <c r="BD26" s="1000"/>
      <c r="BE26" s="986"/>
      <c r="BF26" s="986"/>
      <c r="BG26" s="986"/>
      <c r="BH26" s="986">
        <v>3</v>
      </c>
      <c r="BI26" s="987">
        <v>2.6</v>
      </c>
      <c r="BJ26" s="988">
        <v>2.4</v>
      </c>
      <c r="BK26" s="986">
        <v>2.2000000000000002</v>
      </c>
      <c r="BL26" s="986"/>
      <c r="BM26" s="986"/>
      <c r="BU26" s="332"/>
    </row>
    <row r="27" spans="1:75" ht="13.9" customHeight="1" x14ac:dyDescent="0.2">
      <c r="A27" s="342" t="s">
        <v>505</v>
      </c>
      <c r="B27" s="998">
        <v>3.7</v>
      </c>
      <c r="C27" s="996">
        <v>3.81</v>
      </c>
      <c r="D27" s="996">
        <v>3.79</v>
      </c>
      <c r="E27" s="996">
        <v>3.51</v>
      </c>
      <c r="F27" s="996">
        <v>3.35</v>
      </c>
      <c r="G27" s="996">
        <v>4.2300000000000004</v>
      </c>
      <c r="H27" s="996">
        <v>3.84</v>
      </c>
      <c r="I27" s="996">
        <v>3.88</v>
      </c>
      <c r="J27" s="996">
        <v>4.18</v>
      </c>
      <c r="K27" s="996">
        <v>5.16</v>
      </c>
      <c r="L27" s="996">
        <v>5.57</v>
      </c>
      <c r="M27" s="997">
        <v>5.91</v>
      </c>
      <c r="N27" s="998">
        <v>7.3</v>
      </c>
      <c r="O27" s="996">
        <v>7.58</v>
      </c>
      <c r="P27" s="996">
        <v>7.54</v>
      </c>
      <c r="Q27" s="996">
        <v>7.54</v>
      </c>
      <c r="R27" s="996">
        <v>7.46</v>
      </c>
      <c r="S27" s="996">
        <v>8.57</v>
      </c>
      <c r="T27" s="996">
        <v>8.98</v>
      </c>
      <c r="U27" s="996">
        <v>7.38</v>
      </c>
      <c r="V27" s="996">
        <v>7.8</v>
      </c>
      <c r="W27" s="996">
        <v>8.3000000000000007</v>
      </c>
      <c r="X27" s="996">
        <v>8.1300000000000008</v>
      </c>
      <c r="Y27" s="997">
        <v>8</v>
      </c>
      <c r="Z27" s="998">
        <v>7.2</v>
      </c>
      <c r="AA27" s="996">
        <v>8</v>
      </c>
      <c r="AB27" s="996">
        <v>6.8</v>
      </c>
      <c r="AC27" s="996">
        <v>7.2</v>
      </c>
      <c r="AD27" s="986">
        <v>7.5</v>
      </c>
      <c r="AE27" s="986">
        <v>7.4</v>
      </c>
      <c r="AF27" s="986">
        <v>7.4</v>
      </c>
      <c r="AG27" s="986">
        <v>7.5</v>
      </c>
      <c r="AH27" s="986">
        <v>6.6</v>
      </c>
      <c r="AI27" s="986">
        <v>7.4</v>
      </c>
      <c r="AJ27" s="986">
        <v>7.3</v>
      </c>
      <c r="AK27" s="987">
        <v>5.9</v>
      </c>
      <c r="AL27" s="988">
        <v>6.6</v>
      </c>
      <c r="AM27" s="986">
        <v>6.1</v>
      </c>
      <c r="AN27" s="986">
        <v>5.6</v>
      </c>
      <c r="AO27" s="986">
        <v>7.2</v>
      </c>
      <c r="AP27" s="986">
        <v>6.6</v>
      </c>
      <c r="AQ27" s="986">
        <v>7.4</v>
      </c>
      <c r="AR27" s="986">
        <v>7.7</v>
      </c>
      <c r="AS27" s="986">
        <v>7.9</v>
      </c>
      <c r="AT27" s="986">
        <v>9.6999999999999993</v>
      </c>
      <c r="AU27" s="986">
        <v>9.6</v>
      </c>
      <c r="AV27" s="986">
        <v>8.6</v>
      </c>
      <c r="AW27" s="986">
        <v>7.5</v>
      </c>
      <c r="AX27" s="988">
        <v>6.2</v>
      </c>
      <c r="AY27" s="986">
        <v>8.1</v>
      </c>
      <c r="AZ27" s="986">
        <v>8.3000000000000007</v>
      </c>
      <c r="BA27" s="986">
        <v>9.3000000000000007</v>
      </c>
      <c r="BB27" s="986">
        <v>13.8</v>
      </c>
      <c r="BC27" s="986">
        <v>10</v>
      </c>
      <c r="BD27" s="986">
        <v>11.3</v>
      </c>
      <c r="BE27" s="986">
        <v>10.5</v>
      </c>
      <c r="BF27" s="986">
        <v>11.3</v>
      </c>
      <c r="BG27" s="986">
        <v>11.8</v>
      </c>
      <c r="BH27" s="986">
        <v>8.3000000000000007</v>
      </c>
      <c r="BI27" s="987"/>
      <c r="BJ27" s="988"/>
      <c r="BK27" s="986"/>
      <c r="BL27" s="986"/>
      <c r="BM27" s="986"/>
      <c r="BU27" s="332"/>
    </row>
    <row r="28" spans="1:75" ht="13.9" customHeight="1" x14ac:dyDescent="0.2">
      <c r="A28" s="342" t="s">
        <v>511</v>
      </c>
      <c r="B28" s="998">
        <v>3.39</v>
      </c>
      <c r="C28" s="996">
        <v>4.2699999999999996</v>
      </c>
      <c r="D28" s="996">
        <v>3.97</v>
      </c>
      <c r="E28" s="996">
        <v>4.43</v>
      </c>
      <c r="F28" s="996">
        <v>5.0199999999999996</v>
      </c>
      <c r="G28" s="996">
        <v>3.75</v>
      </c>
      <c r="H28" s="996">
        <v>4.18</v>
      </c>
      <c r="I28" s="996">
        <v>3.37</v>
      </c>
      <c r="J28" s="996">
        <v>3</v>
      </c>
      <c r="K28" s="996">
        <v>12.15</v>
      </c>
      <c r="L28" s="996">
        <v>10.63</v>
      </c>
      <c r="M28" s="997">
        <v>9.27</v>
      </c>
      <c r="N28" s="998">
        <v>15.13</v>
      </c>
      <c r="O28" s="996">
        <v>19.37</v>
      </c>
      <c r="P28" s="996">
        <v>19.46</v>
      </c>
      <c r="Q28" s="996">
        <v>19.32</v>
      </c>
      <c r="R28" s="996">
        <v>19.32</v>
      </c>
      <c r="S28" s="996">
        <v>15.84</v>
      </c>
      <c r="T28" s="996">
        <v>16.36</v>
      </c>
      <c r="U28" s="996">
        <v>16.41</v>
      </c>
      <c r="V28" s="996">
        <v>16.5</v>
      </c>
      <c r="W28" s="996">
        <v>16.899999999999999</v>
      </c>
      <c r="X28" s="996">
        <v>3.79</v>
      </c>
      <c r="Y28" s="997">
        <v>8.9</v>
      </c>
      <c r="Z28" s="998">
        <v>10.3</v>
      </c>
      <c r="AA28" s="996">
        <v>10.1</v>
      </c>
      <c r="AB28" s="996">
        <v>11.3</v>
      </c>
      <c r="AC28" s="996">
        <v>10.7</v>
      </c>
      <c r="AD28" s="986">
        <v>18</v>
      </c>
      <c r="AE28" s="986">
        <v>10.7</v>
      </c>
      <c r="AF28" s="986">
        <v>10</v>
      </c>
      <c r="AG28" s="986">
        <v>10.4</v>
      </c>
      <c r="AH28" s="986">
        <v>10.1</v>
      </c>
      <c r="AI28" s="986">
        <v>10</v>
      </c>
      <c r="AJ28" s="986">
        <v>10.4</v>
      </c>
      <c r="AK28" s="987">
        <v>10.5</v>
      </c>
      <c r="AL28" s="988">
        <v>10.8</v>
      </c>
      <c r="AM28" s="986">
        <v>10.9</v>
      </c>
      <c r="AN28" s="986">
        <v>10.8</v>
      </c>
      <c r="AO28" s="986">
        <v>11.5</v>
      </c>
      <c r="AP28" s="986">
        <v>11.7</v>
      </c>
      <c r="AQ28" s="986">
        <v>12.5</v>
      </c>
      <c r="AR28" s="986">
        <v>13</v>
      </c>
      <c r="AS28" s="986">
        <v>13.8</v>
      </c>
      <c r="AT28" s="986">
        <v>13.3</v>
      </c>
      <c r="AU28" s="986">
        <v>13.7</v>
      </c>
      <c r="AV28" s="986">
        <v>14.1</v>
      </c>
      <c r="AW28" s="986">
        <v>15.2</v>
      </c>
      <c r="AX28" s="988">
        <v>16</v>
      </c>
      <c r="AY28" s="986">
        <v>16.5</v>
      </c>
      <c r="AZ28" s="986">
        <v>19.899999999999999</v>
      </c>
      <c r="BA28" s="986">
        <v>20.9</v>
      </c>
      <c r="BB28" s="986">
        <v>20.7</v>
      </c>
      <c r="BC28" s="986">
        <v>21.5</v>
      </c>
      <c r="BD28" s="986">
        <v>22.5</v>
      </c>
      <c r="BE28" s="986">
        <v>24.2</v>
      </c>
      <c r="BF28" s="986">
        <v>25.5</v>
      </c>
      <c r="BG28" s="986">
        <v>26.1</v>
      </c>
      <c r="BH28" s="986">
        <v>25.1</v>
      </c>
      <c r="BI28" s="987">
        <v>24.3</v>
      </c>
      <c r="BJ28" s="988"/>
      <c r="BK28" s="986"/>
      <c r="BL28" s="986"/>
      <c r="BM28" s="986"/>
      <c r="BU28" s="332"/>
    </row>
    <row r="29" spans="1:75" ht="13.9" customHeight="1" x14ac:dyDescent="0.2">
      <c r="A29" s="342" t="s">
        <v>510</v>
      </c>
      <c r="B29" s="984"/>
      <c r="C29" s="326"/>
      <c r="D29" s="996"/>
      <c r="E29" s="996"/>
      <c r="F29" s="996"/>
      <c r="G29" s="996"/>
      <c r="H29" s="996"/>
      <c r="I29" s="996"/>
      <c r="J29" s="996"/>
      <c r="K29" s="996"/>
      <c r="L29" s="996"/>
      <c r="M29" s="997"/>
      <c r="N29" s="998"/>
      <c r="O29" s="996"/>
      <c r="P29" s="996">
        <v>3.81</v>
      </c>
      <c r="Q29" s="996">
        <v>4.09</v>
      </c>
      <c r="R29" s="996">
        <v>4.1500000000000004</v>
      </c>
      <c r="S29" s="996">
        <v>3.72</v>
      </c>
      <c r="T29" s="996"/>
      <c r="U29" s="996"/>
      <c r="V29" s="996"/>
      <c r="W29" s="996"/>
      <c r="X29" s="996"/>
      <c r="Y29" s="997">
        <v>0.2</v>
      </c>
      <c r="Z29" s="998">
        <v>0.5</v>
      </c>
      <c r="AA29" s="996">
        <v>0.5</v>
      </c>
      <c r="AB29" s="996">
        <v>1</v>
      </c>
      <c r="AC29" s="996">
        <v>1.4</v>
      </c>
      <c r="AD29" s="986">
        <v>1.5</v>
      </c>
      <c r="AE29" s="986">
        <v>1.7</v>
      </c>
      <c r="AF29" s="986">
        <v>1.6</v>
      </c>
      <c r="AG29" s="986">
        <v>2.1</v>
      </c>
      <c r="AH29" s="986">
        <v>1.9</v>
      </c>
      <c r="AI29" s="986">
        <v>1.9</v>
      </c>
      <c r="AJ29" s="986">
        <v>2.2999999999999998</v>
      </c>
      <c r="AK29" s="987">
        <v>2.2000000000000002</v>
      </c>
      <c r="AL29" s="988">
        <v>2.4</v>
      </c>
      <c r="AM29" s="986">
        <v>2.2999999999999998</v>
      </c>
      <c r="AN29" s="986">
        <v>2.4</v>
      </c>
      <c r="AO29" s="986">
        <v>2.7</v>
      </c>
      <c r="AP29" s="986">
        <v>2.8</v>
      </c>
      <c r="AQ29" s="986">
        <v>2.7</v>
      </c>
      <c r="AR29" s="986">
        <v>3.1</v>
      </c>
      <c r="AS29" s="986">
        <v>3.9</v>
      </c>
      <c r="AT29" s="986">
        <v>4.0999999999999996</v>
      </c>
      <c r="AU29" s="986">
        <v>4.9000000000000004</v>
      </c>
      <c r="AV29" s="986">
        <v>17.399999999999999</v>
      </c>
      <c r="AW29" s="986">
        <v>11.5</v>
      </c>
      <c r="AX29" s="988">
        <v>6.3</v>
      </c>
      <c r="AY29" s="986">
        <v>12.6</v>
      </c>
      <c r="AZ29" s="986">
        <v>12.8</v>
      </c>
      <c r="BA29" s="986">
        <v>13.7</v>
      </c>
      <c r="BB29" s="1000"/>
      <c r="BC29" s="1000"/>
      <c r="BD29" s="1000"/>
      <c r="BE29" s="1000"/>
      <c r="BF29" s="1000"/>
      <c r="BG29" s="1000"/>
      <c r="BH29" s="1000"/>
      <c r="BI29" s="1001"/>
      <c r="BJ29" s="1002"/>
      <c r="BK29" s="1000"/>
      <c r="BL29" s="1000"/>
      <c r="BM29" s="1000"/>
      <c r="BU29" s="332"/>
    </row>
    <row r="30" spans="1:75" ht="13.9" customHeight="1" x14ac:dyDescent="0.2">
      <c r="A30" s="342" t="s">
        <v>512</v>
      </c>
      <c r="B30" s="984"/>
      <c r="C30" s="326"/>
      <c r="D30" s="996"/>
      <c r="E30" s="996"/>
      <c r="F30" s="996"/>
      <c r="G30" s="996"/>
      <c r="H30" s="996"/>
      <c r="I30" s="996"/>
      <c r="J30" s="996"/>
      <c r="K30" s="996"/>
      <c r="L30" s="996"/>
      <c r="M30" s="997"/>
      <c r="N30" s="998"/>
      <c r="O30" s="996"/>
      <c r="P30" s="996"/>
      <c r="Q30" s="996"/>
      <c r="R30" s="996"/>
      <c r="S30" s="996"/>
      <c r="T30" s="996"/>
      <c r="U30" s="996"/>
      <c r="V30" s="996"/>
      <c r="W30" s="996"/>
      <c r="X30" s="996"/>
      <c r="Y30" s="997"/>
      <c r="Z30" s="998"/>
      <c r="AA30" s="805"/>
      <c r="AB30" s="805"/>
      <c r="AC30" s="805"/>
      <c r="AD30" s="326"/>
      <c r="AE30" s="326"/>
      <c r="AF30" s="326"/>
      <c r="AG30" s="326"/>
      <c r="AH30" s="326"/>
      <c r="AI30" s="326"/>
      <c r="AJ30" s="326"/>
      <c r="AK30" s="985"/>
      <c r="AL30" s="984"/>
      <c r="AM30" s="326"/>
      <c r="AN30" s="1000"/>
      <c r="AO30" s="1000"/>
      <c r="AP30" s="1000"/>
      <c r="AQ30" s="1000"/>
      <c r="AR30" s="1000"/>
      <c r="AS30" s="1000"/>
      <c r="AT30" s="1000"/>
      <c r="AU30" s="1000"/>
      <c r="AV30" s="1000"/>
      <c r="AW30" s="1000"/>
      <c r="AX30" s="1002"/>
      <c r="AY30" s="1000"/>
      <c r="AZ30" s="1000"/>
      <c r="BA30" s="1000"/>
      <c r="BB30" s="1000"/>
      <c r="BC30" s="1000"/>
      <c r="BD30" s="1000"/>
      <c r="BE30" s="1000"/>
      <c r="BF30" s="1000"/>
      <c r="BG30" s="1000"/>
      <c r="BH30" s="1000"/>
      <c r="BI30" s="1001"/>
      <c r="BJ30" s="1002"/>
      <c r="BK30" s="1000"/>
      <c r="BL30" s="1000"/>
      <c r="BM30" s="1000"/>
      <c r="BU30" s="332"/>
    </row>
    <row r="31" spans="1:75" ht="13.9" customHeight="1" x14ac:dyDescent="0.2">
      <c r="A31" s="793" t="s">
        <v>513</v>
      </c>
      <c r="B31" s="998">
        <v>4.34</v>
      </c>
      <c r="C31" s="996">
        <v>3.55</v>
      </c>
      <c r="D31" s="996">
        <v>3.68</v>
      </c>
      <c r="E31" s="996">
        <v>3.8</v>
      </c>
      <c r="F31" s="996">
        <v>4.72</v>
      </c>
      <c r="G31" s="996">
        <v>4.3499999999999996</v>
      </c>
      <c r="H31" s="996">
        <v>4.5199999999999996</v>
      </c>
      <c r="I31" s="996">
        <v>4.3499999999999996</v>
      </c>
      <c r="J31" s="996">
        <v>4.03</v>
      </c>
      <c r="K31" s="996">
        <v>4.25</v>
      </c>
      <c r="L31" s="996">
        <v>4.72</v>
      </c>
      <c r="M31" s="997">
        <v>4.68</v>
      </c>
      <c r="N31" s="998">
        <v>5.03</v>
      </c>
      <c r="O31" s="996">
        <v>5.09</v>
      </c>
      <c r="P31" s="996">
        <v>4.8099999999999996</v>
      </c>
      <c r="Q31" s="996">
        <v>5.32</v>
      </c>
      <c r="R31" s="996">
        <v>5.74</v>
      </c>
      <c r="S31" s="996">
        <v>5.95</v>
      </c>
      <c r="T31" s="996">
        <v>7.02</v>
      </c>
      <c r="U31" s="996">
        <v>7.9</v>
      </c>
      <c r="V31" s="996">
        <v>7.2</v>
      </c>
      <c r="W31" s="996">
        <v>7.9</v>
      </c>
      <c r="X31" s="996">
        <v>8.1999999999999993</v>
      </c>
      <c r="Y31" s="997">
        <v>7.3</v>
      </c>
      <c r="Z31" s="998">
        <v>7.9</v>
      </c>
      <c r="AA31" s="996">
        <v>7.9</v>
      </c>
      <c r="AB31" s="996">
        <v>6.8</v>
      </c>
      <c r="AC31" s="996">
        <v>6.4</v>
      </c>
      <c r="AD31" s="986">
        <v>6.1</v>
      </c>
      <c r="AE31" s="986">
        <v>6.3</v>
      </c>
      <c r="AF31" s="986">
        <v>6.6</v>
      </c>
      <c r="AG31" s="986">
        <v>6.2</v>
      </c>
      <c r="AH31" s="986">
        <v>6.4</v>
      </c>
      <c r="AI31" s="986">
        <v>7.2</v>
      </c>
      <c r="AJ31" s="986">
        <v>5.8</v>
      </c>
      <c r="AK31" s="987">
        <v>4.9000000000000004</v>
      </c>
      <c r="AL31" s="988">
        <v>5.4</v>
      </c>
      <c r="AM31" s="986">
        <v>4.7</v>
      </c>
      <c r="AN31" s="1000">
        <v>4.5999999999999996</v>
      </c>
      <c r="AO31" s="1000">
        <v>4.8</v>
      </c>
      <c r="AP31" s="986">
        <v>4.2</v>
      </c>
      <c r="AQ31" s="986">
        <v>4.3</v>
      </c>
      <c r="AR31" s="986">
        <v>4.5</v>
      </c>
      <c r="AS31" s="986">
        <v>3.6</v>
      </c>
      <c r="AT31" s="986">
        <v>4</v>
      </c>
      <c r="AU31" s="986">
        <v>1.9</v>
      </c>
      <c r="AV31" s="986">
        <v>5</v>
      </c>
      <c r="AW31" s="986">
        <v>4.5999999999999996</v>
      </c>
      <c r="AX31" s="988">
        <v>5.0999999999999996</v>
      </c>
      <c r="AY31" s="986">
        <v>5.9</v>
      </c>
      <c r="AZ31" s="986">
        <v>5.9</v>
      </c>
      <c r="BA31" s="986">
        <v>6.2</v>
      </c>
      <c r="BB31" s="986">
        <v>6.7</v>
      </c>
      <c r="BC31" s="986">
        <v>6.3</v>
      </c>
      <c r="BD31" s="986">
        <v>7</v>
      </c>
      <c r="BE31" s="986">
        <v>8.1</v>
      </c>
      <c r="BF31" s="986">
        <v>9.4</v>
      </c>
      <c r="BG31" s="986">
        <v>10.6</v>
      </c>
      <c r="BH31" s="986">
        <v>10.7</v>
      </c>
      <c r="BI31" s="987">
        <v>5.7</v>
      </c>
      <c r="BJ31" s="988">
        <v>6.1</v>
      </c>
      <c r="BK31" s="986">
        <v>5.6</v>
      </c>
      <c r="BL31" s="986">
        <v>5.7</v>
      </c>
      <c r="BM31" s="986">
        <v>5.9</v>
      </c>
      <c r="BU31" s="332"/>
    </row>
    <row r="32" spans="1:75" ht="13.9" customHeight="1" x14ac:dyDescent="0.2">
      <c r="A32" s="793" t="s">
        <v>525</v>
      </c>
      <c r="B32" s="998">
        <v>3.68</v>
      </c>
      <c r="C32" s="996">
        <v>4.21</v>
      </c>
      <c r="D32" s="996">
        <v>3.7</v>
      </c>
      <c r="E32" s="996">
        <v>4.74</v>
      </c>
      <c r="F32" s="996">
        <v>5.73</v>
      </c>
      <c r="G32" s="996">
        <v>3.79</v>
      </c>
      <c r="H32" s="996">
        <v>3.6</v>
      </c>
      <c r="I32" s="996">
        <v>3.9</v>
      </c>
      <c r="J32" s="996">
        <v>3.9</v>
      </c>
      <c r="K32" s="996">
        <v>4.05</v>
      </c>
      <c r="L32" s="996">
        <v>3.84</v>
      </c>
      <c r="M32" s="997">
        <v>3.78</v>
      </c>
      <c r="N32" s="998">
        <v>3.9</v>
      </c>
      <c r="O32" s="996">
        <v>3.76</v>
      </c>
      <c r="P32" s="996">
        <v>3.76</v>
      </c>
      <c r="Q32" s="996"/>
      <c r="R32" s="996"/>
      <c r="S32" s="996"/>
      <c r="T32" s="996"/>
      <c r="U32" s="996"/>
      <c r="V32" s="996"/>
      <c r="W32" s="996"/>
      <c r="X32" s="996"/>
      <c r="Y32" s="997"/>
      <c r="Z32" s="998"/>
      <c r="AA32" s="805"/>
      <c r="AB32" s="805"/>
      <c r="AC32" s="805"/>
      <c r="AD32" s="326"/>
      <c r="AE32" s="326"/>
      <c r="AF32" s="1000"/>
      <c r="AG32" s="1000"/>
      <c r="AH32" s="1000"/>
      <c r="AI32" s="1000"/>
      <c r="AJ32" s="1000"/>
      <c r="AK32" s="1001"/>
      <c r="AL32" s="1002"/>
      <c r="AM32" s="1000"/>
      <c r="AN32" s="1000"/>
      <c r="AO32" s="1000"/>
      <c r="AP32" s="1000"/>
      <c r="AQ32" s="1000"/>
      <c r="AR32" s="1000"/>
      <c r="AS32" s="1000"/>
      <c r="AT32" s="1000"/>
      <c r="AU32" s="1000"/>
      <c r="AV32" s="1000"/>
      <c r="AW32" s="1000"/>
      <c r="AX32" s="1002"/>
      <c r="AY32" s="1000"/>
      <c r="AZ32" s="1000"/>
      <c r="BA32" s="1000"/>
      <c r="BB32" s="1000"/>
      <c r="BC32" s="1000"/>
      <c r="BD32" s="1000"/>
      <c r="BE32" s="1000"/>
      <c r="BF32" s="1000"/>
      <c r="BG32" s="1000"/>
      <c r="BH32" s="1000"/>
      <c r="BI32" s="1001"/>
      <c r="BJ32" s="1002"/>
      <c r="BK32" s="1000"/>
      <c r="BL32" s="1000"/>
      <c r="BM32" s="1000"/>
      <c r="BU32" s="332"/>
    </row>
    <row r="33" spans="1:73" ht="13.9" customHeight="1" x14ac:dyDescent="0.2">
      <c r="A33" s="793" t="s">
        <v>526</v>
      </c>
      <c r="B33" s="998">
        <v>3.68</v>
      </c>
      <c r="C33" s="996">
        <v>4.21</v>
      </c>
      <c r="D33" s="996">
        <v>3.7</v>
      </c>
      <c r="E33" s="996">
        <v>4.74</v>
      </c>
      <c r="F33" s="996">
        <v>5.73</v>
      </c>
      <c r="G33" s="996">
        <v>3.79</v>
      </c>
      <c r="H33" s="996">
        <v>3.6</v>
      </c>
      <c r="I33" s="996">
        <v>3.9</v>
      </c>
      <c r="J33" s="996">
        <v>3.9</v>
      </c>
      <c r="K33" s="996">
        <v>4.05</v>
      </c>
      <c r="L33" s="996">
        <v>3.84</v>
      </c>
      <c r="M33" s="997">
        <v>3.78</v>
      </c>
      <c r="N33" s="998">
        <v>3.9</v>
      </c>
      <c r="O33" s="996">
        <v>3.76</v>
      </c>
      <c r="P33" s="996">
        <v>3.76</v>
      </c>
      <c r="Q33" s="996"/>
      <c r="R33" s="996"/>
      <c r="S33" s="996"/>
      <c r="T33" s="996"/>
      <c r="U33" s="996"/>
      <c r="V33" s="996"/>
      <c r="W33" s="996"/>
      <c r="X33" s="996"/>
      <c r="Y33" s="997"/>
      <c r="Z33" s="998"/>
      <c r="AA33" s="805"/>
      <c r="AB33" s="805"/>
      <c r="AC33" s="805"/>
      <c r="AD33" s="326"/>
      <c r="AE33" s="326"/>
      <c r="AF33" s="1000"/>
      <c r="AG33" s="1000"/>
      <c r="AH33" s="1000">
        <v>5.9</v>
      </c>
      <c r="AI33" s="1000">
        <v>5.9</v>
      </c>
      <c r="AJ33" s="1000">
        <v>5.4</v>
      </c>
      <c r="AK33" s="1001">
        <v>5.3</v>
      </c>
      <c r="AL33" s="1002">
        <v>5.5</v>
      </c>
      <c r="AM33" s="1000">
        <v>5.4</v>
      </c>
      <c r="AN33" s="986">
        <v>5.5</v>
      </c>
      <c r="AO33" s="986">
        <v>5.6</v>
      </c>
      <c r="AP33" s="986">
        <v>5.6</v>
      </c>
      <c r="AQ33" s="986">
        <v>5.7</v>
      </c>
      <c r="AR33" s="986">
        <v>5.7</v>
      </c>
      <c r="AS33" s="986">
        <v>5.7</v>
      </c>
      <c r="AT33" s="986">
        <v>7.6</v>
      </c>
      <c r="AU33" s="986">
        <v>5.7</v>
      </c>
      <c r="AV33" s="986">
        <v>5.7</v>
      </c>
      <c r="AW33" s="986">
        <v>9.8000000000000007</v>
      </c>
      <c r="AX33" s="988">
        <v>6</v>
      </c>
      <c r="AY33" s="986">
        <v>6.1</v>
      </c>
      <c r="AZ33" s="986">
        <v>6.3</v>
      </c>
      <c r="BA33" s="986">
        <v>6.2</v>
      </c>
      <c r="BB33" s="986">
        <v>6.3</v>
      </c>
      <c r="BC33" s="986">
        <v>6.5</v>
      </c>
      <c r="BD33" s="986">
        <v>6.5</v>
      </c>
      <c r="BE33" s="986">
        <v>6.5</v>
      </c>
      <c r="BF33" s="986">
        <v>6.3</v>
      </c>
      <c r="BG33" s="986">
        <v>6.2</v>
      </c>
      <c r="BH33" s="986">
        <v>6</v>
      </c>
      <c r="BI33" s="987">
        <v>5.9</v>
      </c>
      <c r="BJ33" s="988">
        <v>6</v>
      </c>
      <c r="BK33" s="986">
        <v>6.1</v>
      </c>
      <c r="BL33" s="986">
        <v>6.4</v>
      </c>
      <c r="BM33" s="986"/>
      <c r="BU33" s="332"/>
    </row>
    <row r="34" spans="1:73" ht="13.9" customHeight="1" x14ac:dyDescent="0.2">
      <c r="A34" s="793" t="s">
        <v>527</v>
      </c>
      <c r="B34" s="998"/>
      <c r="C34" s="996"/>
      <c r="D34" s="996"/>
      <c r="E34" s="996"/>
      <c r="F34" s="996"/>
      <c r="G34" s="996"/>
      <c r="H34" s="996"/>
      <c r="I34" s="996"/>
      <c r="J34" s="996"/>
      <c r="K34" s="996"/>
      <c r="L34" s="996"/>
      <c r="M34" s="997"/>
      <c r="N34" s="998"/>
      <c r="O34" s="996"/>
      <c r="P34" s="996"/>
      <c r="Q34" s="996"/>
      <c r="R34" s="996"/>
      <c r="S34" s="996"/>
      <c r="T34" s="996"/>
      <c r="U34" s="996"/>
      <c r="V34" s="996"/>
      <c r="W34" s="996"/>
      <c r="X34" s="996"/>
      <c r="Y34" s="997"/>
      <c r="Z34" s="998"/>
      <c r="AA34" s="805"/>
      <c r="AB34" s="805"/>
      <c r="AC34" s="805"/>
      <c r="AD34" s="326"/>
      <c r="AE34" s="326"/>
      <c r="AF34" s="1000"/>
      <c r="AG34" s="1000"/>
      <c r="AH34" s="1000"/>
      <c r="AI34" s="1000"/>
      <c r="AJ34" s="1000"/>
      <c r="AK34" s="1000"/>
      <c r="AL34" s="1002"/>
      <c r="AM34" s="1000"/>
      <c r="AN34" s="986"/>
      <c r="AO34" s="986"/>
      <c r="AP34" s="986"/>
      <c r="AQ34" s="986"/>
      <c r="AR34" s="986"/>
      <c r="AS34" s="1000"/>
      <c r="AT34" s="1000"/>
      <c r="AU34" s="1000"/>
      <c r="AV34" s="1000"/>
      <c r="AW34" s="1001"/>
      <c r="AX34" s="1000"/>
      <c r="AY34" s="1000"/>
      <c r="AZ34" s="1000"/>
      <c r="BA34" s="1000"/>
      <c r="BB34" s="1000"/>
      <c r="BC34" s="1000"/>
      <c r="BD34" s="1000"/>
      <c r="BE34" s="986">
        <v>5.5</v>
      </c>
      <c r="BF34" s="986">
        <v>5.7</v>
      </c>
      <c r="BG34" s="986">
        <v>5.5</v>
      </c>
      <c r="BH34" s="986">
        <v>5.5</v>
      </c>
      <c r="BI34" s="987">
        <v>5.0999999999999996</v>
      </c>
      <c r="BJ34" s="988">
        <v>5.2</v>
      </c>
      <c r="BK34" s="986">
        <v>5.2</v>
      </c>
      <c r="BL34" s="986">
        <v>5</v>
      </c>
      <c r="BM34" s="986">
        <v>4.9000000000000004</v>
      </c>
      <c r="BU34" s="332"/>
    </row>
    <row r="35" spans="1:73" ht="13.9" customHeight="1" x14ac:dyDescent="0.2">
      <c r="A35" s="793" t="s">
        <v>528</v>
      </c>
      <c r="B35" s="998"/>
      <c r="C35" s="996"/>
      <c r="D35" s="996"/>
      <c r="E35" s="996"/>
      <c r="F35" s="996"/>
      <c r="G35" s="996"/>
      <c r="H35" s="996"/>
      <c r="I35" s="996"/>
      <c r="J35" s="996"/>
      <c r="K35" s="996"/>
      <c r="L35" s="996"/>
      <c r="M35" s="997"/>
      <c r="N35" s="998"/>
      <c r="O35" s="996"/>
      <c r="P35" s="996"/>
      <c r="Q35" s="996"/>
      <c r="R35" s="996"/>
      <c r="S35" s="996"/>
      <c r="T35" s="996"/>
      <c r="U35" s="996"/>
      <c r="V35" s="996"/>
      <c r="W35" s="996"/>
      <c r="X35" s="996"/>
      <c r="Y35" s="997"/>
      <c r="Z35" s="998"/>
      <c r="AA35" s="805"/>
      <c r="AB35" s="805"/>
      <c r="AC35" s="805"/>
      <c r="AD35" s="805"/>
      <c r="AE35" s="805"/>
      <c r="AF35" s="805"/>
      <c r="AG35" s="805"/>
      <c r="AH35" s="805"/>
      <c r="AI35" s="805"/>
      <c r="AJ35" s="805"/>
      <c r="AK35" s="805"/>
      <c r="AL35" s="806"/>
      <c r="AM35" s="805"/>
      <c r="AN35" s="986">
        <v>5.3</v>
      </c>
      <c r="AO35" s="986">
        <v>6.5</v>
      </c>
      <c r="AP35" s="986">
        <v>7.6</v>
      </c>
      <c r="AQ35" s="986">
        <v>5.7</v>
      </c>
      <c r="AR35" s="986">
        <v>6.3</v>
      </c>
      <c r="AS35" s="986">
        <v>4.8</v>
      </c>
      <c r="AT35" s="986">
        <v>7.9</v>
      </c>
      <c r="AU35" s="986">
        <v>7.7</v>
      </c>
      <c r="AV35" s="986">
        <v>7.2</v>
      </c>
      <c r="AW35" s="986">
        <v>6.3</v>
      </c>
      <c r="AX35" s="988">
        <v>5.2</v>
      </c>
      <c r="AY35" s="986">
        <v>6.1</v>
      </c>
      <c r="AZ35" s="986">
        <v>9.6</v>
      </c>
      <c r="BA35" s="986">
        <v>7.4</v>
      </c>
      <c r="BB35" s="986">
        <v>7.9</v>
      </c>
      <c r="BC35" s="986">
        <v>8.5</v>
      </c>
      <c r="BD35" s="986">
        <v>7.8</v>
      </c>
      <c r="BE35" s="986">
        <v>7.6</v>
      </c>
      <c r="BF35" s="986">
        <v>7.4</v>
      </c>
      <c r="BG35" s="986">
        <v>5.9</v>
      </c>
      <c r="BH35" s="986">
        <v>4.8</v>
      </c>
      <c r="BI35" s="987">
        <v>4.2</v>
      </c>
      <c r="BJ35" s="988">
        <v>4.4000000000000004</v>
      </c>
      <c r="BK35" s="986">
        <v>5.3</v>
      </c>
      <c r="BL35" s="986">
        <v>7.1</v>
      </c>
      <c r="BM35" s="986">
        <v>8.8000000000000007</v>
      </c>
      <c r="BU35" s="332"/>
    </row>
    <row r="36" spans="1:73" ht="13.9" customHeight="1" x14ac:dyDescent="0.2">
      <c r="A36" s="324" t="s">
        <v>352</v>
      </c>
      <c r="B36" s="867"/>
      <c r="C36" s="977"/>
      <c r="D36" s="977"/>
      <c r="E36" s="977"/>
      <c r="F36" s="977"/>
      <c r="G36" s="977"/>
      <c r="H36" s="977"/>
      <c r="I36" s="977"/>
      <c r="J36" s="977"/>
      <c r="K36" s="977"/>
      <c r="L36" s="977"/>
      <c r="M36" s="1004"/>
      <c r="N36" s="1005"/>
      <c r="O36" s="1006"/>
      <c r="P36" s="1006"/>
      <c r="Q36" s="1006"/>
      <c r="R36" s="1006"/>
      <c r="S36" s="1006"/>
      <c r="T36" s="1006"/>
      <c r="U36" s="1006"/>
      <c r="V36" s="1006"/>
      <c r="W36" s="1006"/>
      <c r="X36" s="1006"/>
      <c r="Y36" s="1004"/>
      <c r="Z36" s="1005"/>
      <c r="AA36" s="1006"/>
      <c r="AB36" s="1006"/>
      <c r="AC36" s="1006"/>
      <c r="AD36" s="977"/>
      <c r="AE36" s="977"/>
      <c r="AF36" s="977"/>
      <c r="AG36" s="977"/>
      <c r="AH36" s="977"/>
      <c r="AI36" s="977"/>
      <c r="AJ36" s="977"/>
      <c r="AK36" s="349"/>
      <c r="AL36" s="1007"/>
      <c r="AM36" s="977"/>
      <c r="AN36" s="977"/>
      <c r="AO36" s="977"/>
      <c r="AP36" s="977"/>
      <c r="AQ36" s="977"/>
      <c r="AR36" s="977"/>
      <c r="AS36" s="977"/>
      <c r="AT36" s="977"/>
      <c r="AU36" s="977"/>
      <c r="AV36" s="977"/>
      <c r="AW36" s="977"/>
      <c r="AX36" s="1007"/>
      <c r="AY36" s="1008"/>
      <c r="AZ36" s="977"/>
      <c r="BA36" s="977"/>
      <c r="BB36" s="977"/>
      <c r="BC36" s="977"/>
      <c r="BD36" s="977"/>
      <c r="BE36" s="977"/>
      <c r="BF36" s="977"/>
      <c r="BG36" s="977"/>
      <c r="BH36" s="977"/>
      <c r="BI36" s="349"/>
      <c r="BJ36" s="1007"/>
      <c r="BK36" s="977"/>
      <c r="BL36" s="977"/>
      <c r="BM36" s="977"/>
      <c r="BN36" s="977"/>
      <c r="BO36" s="977"/>
      <c r="BP36" s="977"/>
      <c r="BQ36" s="977"/>
      <c r="BR36" s="977"/>
      <c r="BS36" s="977"/>
      <c r="BT36" s="977"/>
      <c r="BU36" s="349"/>
    </row>
    <row r="37" spans="1:73" ht="13.9" customHeight="1" x14ac:dyDescent="0.2">
      <c r="A37" s="817" t="s">
        <v>187</v>
      </c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326"/>
      <c r="AB37" s="326"/>
      <c r="AC37" s="326"/>
    </row>
    <row r="38" spans="1:73" ht="13.9" customHeight="1" x14ac:dyDescent="0.2">
      <c r="A38" s="817" t="s">
        <v>188</v>
      </c>
    </row>
    <row r="39" spans="1:73" ht="13.9" customHeight="1" x14ac:dyDescent="0.2">
      <c r="A39" s="817" t="s">
        <v>177</v>
      </c>
    </row>
  </sheetData>
  <printOptions horizontalCentered="1" verticalCentered="1"/>
  <pageMargins left="0.75" right="0.75" top="1" bottom="1" header="0" footer="0"/>
  <pageSetup paperSize="9"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29</vt:i4>
      </vt:variant>
      <vt:variant>
        <vt:lpstr>Rangos con nombre</vt:lpstr>
      </vt:variant>
      <vt:variant>
        <vt:i4>45</vt:i4>
      </vt:variant>
    </vt:vector>
  </HeadingPairs>
  <TitlesOfParts>
    <vt:vector size="74" baseType="lpstr">
      <vt:lpstr>01.XLS</vt:lpstr>
      <vt:lpstr>02.XLS</vt:lpstr>
      <vt:lpstr>03.XLS</vt:lpstr>
      <vt:lpstr>04.XLS</vt:lpstr>
      <vt:lpstr>05.XLS</vt:lpstr>
      <vt:lpstr>06.XLS</vt:lpstr>
      <vt:lpstr>07.XLS</vt:lpstr>
      <vt:lpstr>08.XLS</vt:lpstr>
      <vt:lpstr>09.XLS</vt:lpstr>
      <vt:lpstr>10 - Base 2007</vt:lpstr>
      <vt:lpstr>11.XLS</vt:lpstr>
      <vt:lpstr>MINCETUR</vt:lpstr>
      <vt:lpstr>12.XLS</vt:lpstr>
      <vt:lpstr>13.XLS</vt:lpstr>
      <vt:lpstr>14.XLS</vt:lpstr>
      <vt:lpstr>15.XLS</vt:lpstr>
      <vt:lpstr>GASTO G.N.</vt:lpstr>
      <vt:lpstr>INVERSION G.N.</vt:lpstr>
      <vt:lpstr>INGRESO G.R.</vt:lpstr>
      <vt:lpstr>GASTO G.R.</vt:lpstr>
      <vt:lpstr>INVERSION G.R.</vt:lpstr>
      <vt:lpstr>INGRESO G.L.</vt:lpstr>
      <vt:lpstr>GASTO G.L.</vt:lpstr>
      <vt:lpstr>INVERSION G.L.</vt:lpstr>
      <vt:lpstr>19.XLS</vt:lpstr>
      <vt:lpstr>20.XLS</vt:lpstr>
      <vt:lpstr>21.XLS</vt:lpstr>
      <vt:lpstr>22.XLS</vt:lpstr>
      <vt:lpstr>23.XLS</vt:lpstr>
      <vt:lpstr>SMN.AGRO.DATE</vt:lpstr>
      <vt:lpstr>SMN.AGRO.NAME</vt:lpstr>
      <vt:lpstr>SMN.AGRO.VAL</vt:lpstr>
      <vt:lpstr>SMN.ASERRADA.DATE</vt:lpstr>
      <vt:lpstr>SMN.ASERRADA.NAME</vt:lpstr>
      <vt:lpstr>SMN.ASERRADA.VAL</vt:lpstr>
      <vt:lpstr>SMN.COSECHA.DATE</vt:lpstr>
      <vt:lpstr>SMN.COSECHA.NAME</vt:lpstr>
      <vt:lpstr>SMN.COSECHA.VAL</vt:lpstr>
      <vt:lpstr>SMN.GGL.DATE</vt:lpstr>
      <vt:lpstr>SMN.GGL.NAME</vt:lpstr>
      <vt:lpstr>SMN.GGL.VAL</vt:lpstr>
      <vt:lpstr>SMN.GGN.DATE</vt:lpstr>
      <vt:lpstr>SMN.GGN.NAME</vt:lpstr>
      <vt:lpstr>SMN.GGN.VAL</vt:lpstr>
      <vt:lpstr>SMN.GGR.DATE</vt:lpstr>
      <vt:lpstr>SMN.GGR.NAME</vt:lpstr>
      <vt:lpstr>SMN.GGR.VAL</vt:lpstr>
      <vt:lpstr>SMN.IGL.DATE</vt:lpstr>
      <vt:lpstr>SMN.IGL.NAME</vt:lpstr>
      <vt:lpstr>SMN.IGL.VAL</vt:lpstr>
      <vt:lpstr>SMN.IGN.DATE</vt:lpstr>
      <vt:lpstr>SMN.IGN.NAME</vt:lpstr>
      <vt:lpstr>SMN.IGN.VAL</vt:lpstr>
      <vt:lpstr>SMN.IGR.DATE</vt:lpstr>
      <vt:lpstr>SMN.IGR.NAME</vt:lpstr>
      <vt:lpstr>SMN.IGR.VAL</vt:lpstr>
      <vt:lpstr>SMN.MANUFACTURA.DATE</vt:lpstr>
      <vt:lpstr>SMN.MANUFACTURA.NAME</vt:lpstr>
      <vt:lpstr>SMN.MANUFACTURA.VAL</vt:lpstr>
      <vt:lpstr>SMN.MANUFACTURAVAR.DATE</vt:lpstr>
      <vt:lpstr>SMN.MANUFACTURAVAR.NAME</vt:lpstr>
      <vt:lpstr>SMN.MANUFACTURAVAR.VAL</vt:lpstr>
      <vt:lpstr>SMN.PESCA.DATE</vt:lpstr>
      <vt:lpstr>SMN.PESCA.NAME</vt:lpstr>
      <vt:lpstr>SMN.PESCA.VAL</vt:lpstr>
      <vt:lpstr>SMN.ROLLIZA.DATE</vt:lpstr>
      <vt:lpstr>SMN.ROLLIZA.NAME</vt:lpstr>
      <vt:lpstr>SMN.ROLLIZA.VAL</vt:lpstr>
      <vt:lpstr>SMN.SIEMBRA.DATE</vt:lpstr>
      <vt:lpstr>SMN.SIEMBRA.NAME</vt:lpstr>
      <vt:lpstr>SMN.SIEMBRA.VAL</vt:lpstr>
      <vt:lpstr>SMN.X.DATE</vt:lpstr>
      <vt:lpstr>SMN.X.NAME</vt:lpstr>
      <vt:lpstr>SMN.X.VAL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Arnulfo Cumbicus Ballesteros</dc:creator>
  <cp:lastModifiedBy>Practicante2 Sucursal Iquitos</cp:lastModifiedBy>
  <cp:lastPrinted>2021-05-14T19:20:33Z</cp:lastPrinted>
  <dcterms:created xsi:type="dcterms:W3CDTF">2010-05-17T17:37:43Z</dcterms:created>
  <dcterms:modified xsi:type="dcterms:W3CDTF">2026-10-21T15:24:58Z</dcterms:modified>
</cp:coreProperties>
</file>